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harts/chartEx2.xml" ContentType="application/vnd.ms-office.chartex+xml"/>
  <Override PartName="/xl/charts/style5.xml" ContentType="application/vnd.ms-office.chartstyle+xml"/>
  <Override PartName="/xl/charts/colors5.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https://d.docs.live.net/af30478b95ae6096/Desktop/"/>
    </mc:Choice>
  </mc:AlternateContent>
  <xr:revisionPtr revIDLastSave="0" documentId="13_ncr:1_{6E0A83CA-20C3-45EC-B016-C1EC1A4B9F37}" xr6:coauthVersionLast="47" xr6:coauthVersionMax="47" xr10:uidLastSave="{00000000-0000-0000-0000-000000000000}"/>
  <bookViews>
    <workbookView xWindow="-108" yWindow="-108" windowWidth="23256" windowHeight="12456" xr2:uid="{C7604B18-1E2D-48DB-AFCE-CEFF9E49254C}"/>
  </bookViews>
  <sheets>
    <sheet name="Title and Navigation" sheetId="28" r:id="rId1"/>
    <sheet name="Dashboard" sheetId="26" r:id="rId2"/>
    <sheet name="Sales by Month and Year" sheetId="5" r:id="rId3"/>
    <sheet name="Sales by Region" sheetId="25" r:id="rId4"/>
    <sheet name="Cash Flow Forecast" sheetId="8" r:id="rId5"/>
    <sheet name="Proposed Options" sheetId="9" r:id="rId6"/>
    <sheet name="Cash Flow Flat Rate Delivery  " sheetId="10" r:id="rId7"/>
    <sheet name="Cash Flow Discount Scheme" sheetId="11" r:id="rId8"/>
    <sheet name="Cash Flow Sales Increase" sheetId="14" r:id="rId9"/>
    <sheet name="Monte Carlo Simulation" sheetId="23" r:id="rId10"/>
    <sheet name="Test Plan" sheetId="27" r:id="rId11"/>
    <sheet name="Organized Data" sheetId="4" r:id="rId12"/>
    <sheet name="Cleaned Data" sheetId="3" r:id="rId13"/>
    <sheet name="Original Data" sheetId="2" r:id="rId14"/>
    <sheet name="Reference Sheet" sheetId="6" r:id="rId15"/>
  </sheets>
  <functionGroups builtInGroupCount="19"/>
  <definedNames>
    <definedName name="_xlnm._FilterDatabase" localSheetId="9" hidden="1">'Monte Carlo Simulation'!$M$2:$N$1002</definedName>
    <definedName name="_xlchart.v1.0" hidden="1">'Monte Carlo Simulation'!$M$2:$M$1002</definedName>
    <definedName name="_xlchart.v1.1" hidden="1">'Monte Carlo Simulation'!$N$1</definedName>
    <definedName name="_xlchart.v1.2" hidden="1">'Monte Carlo Simulation'!$N$2:$N$1002</definedName>
    <definedName name="_xlchart.v1.3" hidden="1">'Monte Carlo Simulation'!$M$2:$M$1002</definedName>
    <definedName name="_xlchart.v1.4" hidden="1">'Monte Carlo Simulation'!$N$1</definedName>
    <definedName name="_xlchart.v1.5" hidden="1">'Monte Carlo Simulation'!$N$2:$N$1002</definedName>
    <definedName name="ExternalData_1" localSheetId="13" hidden="1">'Original Data'!$A$1:$M$5104</definedName>
    <definedName name="ExternalData_2" localSheetId="12" hidden="1">'Cleaned Data'!$A$11:$L$4963</definedName>
    <definedName name="ExternalData_2" localSheetId="11" hidden="1">'Organized Data'!$A$7:$N$4959</definedName>
    <definedName name="LoanDetails">#REF!</definedName>
    <definedName name="Slicer_Town">#N/A</definedName>
  </definedNames>
  <calcPr calcId="191029"/>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26" l="1"/>
  <c r="B23" i="26"/>
  <c r="B19" i="26"/>
  <c r="B16" i="26"/>
  <c r="B15" i="26"/>
  <c r="B11" i="26"/>
  <c r="C5" i="23"/>
  <c r="D5" i="23"/>
  <c r="E5" i="23"/>
  <c r="F5" i="23"/>
  <c r="G5" i="23"/>
  <c r="B5" i="23"/>
  <c r="B3" i="26"/>
  <c r="E4" i="23" l="1"/>
  <c r="B34" i="6" l="1"/>
  <c r="C16" i="10"/>
  <c r="C16" i="6"/>
  <c r="E25" i="9" s="1"/>
  <c r="P1374" i="4"/>
  <c r="Q1374" i="4" s="1"/>
  <c r="R1374" i="4" s="1"/>
  <c r="E12" i="6"/>
  <c r="G12" i="6" s="1"/>
  <c r="F12" i="6" s="1"/>
  <c r="P10" i="4"/>
  <c r="Q10" i="4" s="1"/>
  <c r="R10" i="4" s="1"/>
  <c r="E13" i="6"/>
  <c r="G13" i="6" s="1"/>
  <c r="F13" i="6" s="1"/>
  <c r="E11" i="6"/>
  <c r="E10" i="6"/>
  <c r="E9" i="6"/>
  <c r="G9" i="6" s="1"/>
  <c r="F9" i="6" s="1"/>
  <c r="E8" i="6"/>
  <c r="G8" i="6" s="1"/>
  <c r="F8" i="6" s="1"/>
  <c r="E7" i="6"/>
  <c r="G7" i="6" s="1"/>
  <c r="E6" i="6"/>
  <c r="G6" i="6" s="1"/>
  <c r="F6" i="6" s="1"/>
  <c r="E5" i="6"/>
  <c r="G5" i="6" s="1"/>
  <c r="E4" i="6"/>
  <c r="G4" i="6" s="1"/>
  <c r="F4" i="6" s="1"/>
  <c r="G11" i="6"/>
  <c r="F11" i="6" s="1"/>
  <c r="E17" i="8"/>
  <c r="J17" i="8"/>
  <c r="K17" i="8"/>
  <c r="M17" i="8"/>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L1001" i="4"/>
  <c r="L1002" i="4"/>
  <c r="L1003" i="4"/>
  <c r="L1004" i="4"/>
  <c r="L1005" i="4"/>
  <c r="L1006" i="4"/>
  <c r="L1007" i="4"/>
  <c r="L1008" i="4"/>
  <c r="L1009" i="4"/>
  <c r="L1010" i="4"/>
  <c r="L1011" i="4"/>
  <c r="L1012" i="4"/>
  <c r="L1013" i="4"/>
  <c r="L1014" i="4"/>
  <c r="L1015" i="4"/>
  <c r="L1016" i="4"/>
  <c r="L1017" i="4"/>
  <c r="L1018" i="4"/>
  <c r="L1019" i="4"/>
  <c r="L1020" i="4"/>
  <c r="L1021" i="4"/>
  <c r="L1022" i="4"/>
  <c r="L1023" i="4"/>
  <c r="L1024" i="4"/>
  <c r="L1025" i="4"/>
  <c r="L1026" i="4"/>
  <c r="L1027" i="4"/>
  <c r="L1028" i="4"/>
  <c r="L1029" i="4"/>
  <c r="L1030" i="4"/>
  <c r="L1031" i="4"/>
  <c r="L1032" i="4"/>
  <c r="L1033" i="4"/>
  <c r="L1034" i="4"/>
  <c r="L1035" i="4"/>
  <c r="L1036" i="4"/>
  <c r="L1037" i="4"/>
  <c r="L1038" i="4"/>
  <c r="L1039" i="4"/>
  <c r="L1040" i="4"/>
  <c r="L1041" i="4"/>
  <c r="L1042" i="4"/>
  <c r="L1043" i="4"/>
  <c r="L1044" i="4"/>
  <c r="L1045" i="4"/>
  <c r="L1046" i="4"/>
  <c r="L1047" i="4"/>
  <c r="L1048" i="4"/>
  <c r="L1049" i="4"/>
  <c r="L1050" i="4"/>
  <c r="L1051" i="4"/>
  <c r="L1052" i="4"/>
  <c r="L1053" i="4"/>
  <c r="L1054" i="4"/>
  <c r="L1055" i="4"/>
  <c r="L1056" i="4"/>
  <c r="L1057" i="4"/>
  <c r="L1058" i="4"/>
  <c r="L1059" i="4"/>
  <c r="L1060" i="4"/>
  <c r="L1061" i="4"/>
  <c r="L1062" i="4"/>
  <c r="L1063" i="4"/>
  <c r="L1064" i="4"/>
  <c r="L1065" i="4"/>
  <c r="L1066" i="4"/>
  <c r="L1067" i="4"/>
  <c r="L1068" i="4"/>
  <c r="L1069" i="4"/>
  <c r="L1070" i="4"/>
  <c r="L1071" i="4"/>
  <c r="L1072" i="4"/>
  <c r="L1073" i="4"/>
  <c r="L1074" i="4"/>
  <c r="L1075" i="4"/>
  <c r="L1076" i="4"/>
  <c r="L1077" i="4"/>
  <c r="L1078" i="4"/>
  <c r="L1079" i="4"/>
  <c r="L1080" i="4"/>
  <c r="L1081" i="4"/>
  <c r="L1082" i="4"/>
  <c r="L1083" i="4"/>
  <c r="L1084" i="4"/>
  <c r="L1085" i="4"/>
  <c r="L1086" i="4"/>
  <c r="L1087" i="4"/>
  <c r="L1088" i="4"/>
  <c r="L1089" i="4"/>
  <c r="L1090" i="4"/>
  <c r="L1091" i="4"/>
  <c r="L1092" i="4"/>
  <c r="L1093" i="4"/>
  <c r="L1094" i="4"/>
  <c r="L1095" i="4"/>
  <c r="L1096" i="4"/>
  <c r="L1097" i="4"/>
  <c r="L1098" i="4"/>
  <c r="L1099" i="4"/>
  <c r="L1100" i="4"/>
  <c r="L1101" i="4"/>
  <c r="L1102" i="4"/>
  <c r="L1103" i="4"/>
  <c r="L1104" i="4"/>
  <c r="L1105" i="4"/>
  <c r="L1106" i="4"/>
  <c r="L1107" i="4"/>
  <c r="L1108" i="4"/>
  <c r="L1109" i="4"/>
  <c r="L1110" i="4"/>
  <c r="L1111" i="4"/>
  <c r="L1112" i="4"/>
  <c r="L1113" i="4"/>
  <c r="L1114" i="4"/>
  <c r="L1115" i="4"/>
  <c r="L1116" i="4"/>
  <c r="L1117" i="4"/>
  <c r="L1118" i="4"/>
  <c r="L1119" i="4"/>
  <c r="L1120" i="4"/>
  <c r="L1121" i="4"/>
  <c r="L1122" i="4"/>
  <c r="L1123" i="4"/>
  <c r="L1124" i="4"/>
  <c r="L1125" i="4"/>
  <c r="L1126" i="4"/>
  <c r="L1127" i="4"/>
  <c r="L1128" i="4"/>
  <c r="L1129" i="4"/>
  <c r="L1130" i="4"/>
  <c r="L1131" i="4"/>
  <c r="L1132" i="4"/>
  <c r="L1133" i="4"/>
  <c r="L1134" i="4"/>
  <c r="L1135" i="4"/>
  <c r="L1136" i="4"/>
  <c r="L1137" i="4"/>
  <c r="L1138" i="4"/>
  <c r="L1139" i="4"/>
  <c r="L1140" i="4"/>
  <c r="L1141" i="4"/>
  <c r="L1142" i="4"/>
  <c r="L1143" i="4"/>
  <c r="L1144" i="4"/>
  <c r="L1145" i="4"/>
  <c r="L1146" i="4"/>
  <c r="L1147" i="4"/>
  <c r="L1148" i="4"/>
  <c r="L1149" i="4"/>
  <c r="L1150" i="4"/>
  <c r="L1151" i="4"/>
  <c r="L1152" i="4"/>
  <c r="L1153" i="4"/>
  <c r="L1154" i="4"/>
  <c r="L1155" i="4"/>
  <c r="L1156" i="4"/>
  <c r="L1157" i="4"/>
  <c r="L1158" i="4"/>
  <c r="L1159" i="4"/>
  <c r="L1160" i="4"/>
  <c r="L1161" i="4"/>
  <c r="L1162" i="4"/>
  <c r="L1163" i="4"/>
  <c r="L1164" i="4"/>
  <c r="L1165" i="4"/>
  <c r="L1166" i="4"/>
  <c r="L1167" i="4"/>
  <c r="L1168" i="4"/>
  <c r="L1169" i="4"/>
  <c r="L1170" i="4"/>
  <c r="L1171" i="4"/>
  <c r="L1172" i="4"/>
  <c r="L1173" i="4"/>
  <c r="L1174" i="4"/>
  <c r="L1175" i="4"/>
  <c r="L1176" i="4"/>
  <c r="L1177" i="4"/>
  <c r="L1178" i="4"/>
  <c r="L1179" i="4"/>
  <c r="L1180" i="4"/>
  <c r="L1181" i="4"/>
  <c r="L1182" i="4"/>
  <c r="L1183" i="4"/>
  <c r="L1184" i="4"/>
  <c r="L1185" i="4"/>
  <c r="L1186" i="4"/>
  <c r="L1187" i="4"/>
  <c r="L1188" i="4"/>
  <c r="L1189" i="4"/>
  <c r="L1190" i="4"/>
  <c r="L1191" i="4"/>
  <c r="L1192" i="4"/>
  <c r="L1193" i="4"/>
  <c r="L1194" i="4"/>
  <c r="L1195" i="4"/>
  <c r="L1196" i="4"/>
  <c r="L1197" i="4"/>
  <c r="L1198" i="4"/>
  <c r="L1199" i="4"/>
  <c r="L1200" i="4"/>
  <c r="L1201" i="4"/>
  <c r="L1202" i="4"/>
  <c r="L1203" i="4"/>
  <c r="L1204" i="4"/>
  <c r="L1205" i="4"/>
  <c r="L1206" i="4"/>
  <c r="L1207" i="4"/>
  <c r="L1208" i="4"/>
  <c r="L1209" i="4"/>
  <c r="L1210" i="4"/>
  <c r="L1211" i="4"/>
  <c r="L1212" i="4"/>
  <c r="L1213" i="4"/>
  <c r="L1214" i="4"/>
  <c r="L1215" i="4"/>
  <c r="L1216" i="4"/>
  <c r="L1217" i="4"/>
  <c r="L1218" i="4"/>
  <c r="L1219" i="4"/>
  <c r="L1220" i="4"/>
  <c r="L1221" i="4"/>
  <c r="L1222" i="4"/>
  <c r="L1223" i="4"/>
  <c r="L1224" i="4"/>
  <c r="L1225" i="4"/>
  <c r="L1226" i="4"/>
  <c r="L1227" i="4"/>
  <c r="L1228" i="4"/>
  <c r="L1229" i="4"/>
  <c r="L1230" i="4"/>
  <c r="L1231" i="4"/>
  <c r="L1232" i="4"/>
  <c r="L1233" i="4"/>
  <c r="L1234" i="4"/>
  <c r="L1235" i="4"/>
  <c r="L1236" i="4"/>
  <c r="L1237" i="4"/>
  <c r="L1238" i="4"/>
  <c r="L1239" i="4"/>
  <c r="L1240" i="4"/>
  <c r="L1241" i="4"/>
  <c r="L1242" i="4"/>
  <c r="L1243" i="4"/>
  <c r="L1244" i="4"/>
  <c r="L1245" i="4"/>
  <c r="L1246" i="4"/>
  <c r="L1247" i="4"/>
  <c r="L1248" i="4"/>
  <c r="L1249" i="4"/>
  <c r="L1250" i="4"/>
  <c r="L1251" i="4"/>
  <c r="L1252" i="4"/>
  <c r="L1253" i="4"/>
  <c r="L1254" i="4"/>
  <c r="L1255" i="4"/>
  <c r="L1256" i="4"/>
  <c r="L1257" i="4"/>
  <c r="L1258" i="4"/>
  <c r="L1259" i="4"/>
  <c r="L1260" i="4"/>
  <c r="L1261" i="4"/>
  <c r="L1262" i="4"/>
  <c r="L1263" i="4"/>
  <c r="L1264" i="4"/>
  <c r="L1265" i="4"/>
  <c r="L1266" i="4"/>
  <c r="L1267" i="4"/>
  <c r="L1268" i="4"/>
  <c r="L1269" i="4"/>
  <c r="L1270" i="4"/>
  <c r="L1271" i="4"/>
  <c r="L1272" i="4"/>
  <c r="L1273" i="4"/>
  <c r="L1274" i="4"/>
  <c r="L1275" i="4"/>
  <c r="L1276" i="4"/>
  <c r="L1277" i="4"/>
  <c r="L1278" i="4"/>
  <c r="L1279" i="4"/>
  <c r="L1280" i="4"/>
  <c r="L1281" i="4"/>
  <c r="L1282" i="4"/>
  <c r="L1283" i="4"/>
  <c r="L1284" i="4"/>
  <c r="L1285" i="4"/>
  <c r="L1286" i="4"/>
  <c r="L1287" i="4"/>
  <c r="L1288" i="4"/>
  <c r="L1289" i="4"/>
  <c r="L1290" i="4"/>
  <c r="L1291" i="4"/>
  <c r="L1292" i="4"/>
  <c r="L1293" i="4"/>
  <c r="L1294" i="4"/>
  <c r="L1295" i="4"/>
  <c r="L1296" i="4"/>
  <c r="L1297" i="4"/>
  <c r="L1298" i="4"/>
  <c r="L1299" i="4"/>
  <c r="L1300" i="4"/>
  <c r="L1301" i="4"/>
  <c r="L1302" i="4"/>
  <c r="L1303" i="4"/>
  <c r="L1304" i="4"/>
  <c r="L1305" i="4"/>
  <c r="L1306" i="4"/>
  <c r="L1307" i="4"/>
  <c r="L1308" i="4"/>
  <c r="L1309" i="4"/>
  <c r="L1310" i="4"/>
  <c r="L1311" i="4"/>
  <c r="L1312" i="4"/>
  <c r="L1313" i="4"/>
  <c r="L1314" i="4"/>
  <c r="L1315" i="4"/>
  <c r="L1316" i="4"/>
  <c r="L1317" i="4"/>
  <c r="L1318" i="4"/>
  <c r="L1319" i="4"/>
  <c r="L1320" i="4"/>
  <c r="L1321" i="4"/>
  <c r="L1322" i="4"/>
  <c r="L1323" i="4"/>
  <c r="L1324" i="4"/>
  <c r="L1325" i="4"/>
  <c r="L1326" i="4"/>
  <c r="L1327" i="4"/>
  <c r="L1328" i="4"/>
  <c r="L1329" i="4"/>
  <c r="L1330" i="4"/>
  <c r="L1331" i="4"/>
  <c r="L1332" i="4"/>
  <c r="L1333" i="4"/>
  <c r="L1334" i="4"/>
  <c r="L1335" i="4"/>
  <c r="L1336" i="4"/>
  <c r="L1337" i="4"/>
  <c r="L1338" i="4"/>
  <c r="L1339" i="4"/>
  <c r="L1340" i="4"/>
  <c r="L1341" i="4"/>
  <c r="L1342" i="4"/>
  <c r="L1343" i="4"/>
  <c r="L1344" i="4"/>
  <c r="L1345" i="4"/>
  <c r="L1346" i="4"/>
  <c r="L1347" i="4"/>
  <c r="L1348" i="4"/>
  <c r="L1349" i="4"/>
  <c r="L1350" i="4"/>
  <c r="L1351" i="4"/>
  <c r="L1352" i="4"/>
  <c r="L1353" i="4"/>
  <c r="L1354" i="4"/>
  <c r="L1355" i="4"/>
  <c r="L1356" i="4"/>
  <c r="L1357" i="4"/>
  <c r="L1358" i="4"/>
  <c r="L1359" i="4"/>
  <c r="L1360" i="4"/>
  <c r="L1361" i="4"/>
  <c r="L1362" i="4"/>
  <c r="L1363" i="4"/>
  <c r="L1364" i="4"/>
  <c r="L1365" i="4"/>
  <c r="L1366" i="4"/>
  <c r="L1367" i="4"/>
  <c r="L1368" i="4"/>
  <c r="L1369" i="4"/>
  <c r="L1370" i="4"/>
  <c r="L1371" i="4"/>
  <c r="L1372" i="4"/>
  <c r="L1373" i="4"/>
  <c r="L1374" i="4"/>
  <c r="L1375" i="4"/>
  <c r="L1376" i="4"/>
  <c r="L1377" i="4"/>
  <c r="L1378" i="4"/>
  <c r="L1379" i="4"/>
  <c r="L1380" i="4"/>
  <c r="L1381" i="4"/>
  <c r="L1382" i="4"/>
  <c r="L1383" i="4"/>
  <c r="L1384" i="4"/>
  <c r="L1385" i="4"/>
  <c r="L1386" i="4"/>
  <c r="L1387" i="4"/>
  <c r="L1388" i="4"/>
  <c r="L1389" i="4"/>
  <c r="L1390" i="4"/>
  <c r="L1391" i="4"/>
  <c r="L1392" i="4"/>
  <c r="L1393" i="4"/>
  <c r="L1394" i="4"/>
  <c r="L1395" i="4"/>
  <c r="L1396" i="4"/>
  <c r="L1397" i="4"/>
  <c r="L1398" i="4"/>
  <c r="L1399" i="4"/>
  <c r="L1400" i="4"/>
  <c r="L1401" i="4"/>
  <c r="L1402" i="4"/>
  <c r="L1403" i="4"/>
  <c r="L1404" i="4"/>
  <c r="L1405" i="4"/>
  <c r="L1406" i="4"/>
  <c r="L1407" i="4"/>
  <c r="L1408" i="4"/>
  <c r="L1409" i="4"/>
  <c r="L1410" i="4"/>
  <c r="L1411" i="4"/>
  <c r="L1412" i="4"/>
  <c r="L1413" i="4"/>
  <c r="L1414" i="4"/>
  <c r="L1415" i="4"/>
  <c r="L1416" i="4"/>
  <c r="L1417" i="4"/>
  <c r="L1418" i="4"/>
  <c r="L1419" i="4"/>
  <c r="L1420" i="4"/>
  <c r="L1421" i="4"/>
  <c r="L1422" i="4"/>
  <c r="L1423" i="4"/>
  <c r="L1424" i="4"/>
  <c r="L1425" i="4"/>
  <c r="L1426" i="4"/>
  <c r="L1427" i="4"/>
  <c r="L1428" i="4"/>
  <c r="L1429" i="4"/>
  <c r="L1430" i="4"/>
  <c r="L1431" i="4"/>
  <c r="L1432" i="4"/>
  <c r="L1433" i="4"/>
  <c r="L1434" i="4"/>
  <c r="L1435" i="4"/>
  <c r="L1436" i="4"/>
  <c r="L1437" i="4"/>
  <c r="L1438" i="4"/>
  <c r="L1439" i="4"/>
  <c r="L1440" i="4"/>
  <c r="L1441" i="4"/>
  <c r="L1442" i="4"/>
  <c r="L1443" i="4"/>
  <c r="L1444" i="4"/>
  <c r="L1445" i="4"/>
  <c r="L1446" i="4"/>
  <c r="L1447" i="4"/>
  <c r="L1448" i="4"/>
  <c r="L1449" i="4"/>
  <c r="L1450" i="4"/>
  <c r="L1451" i="4"/>
  <c r="L1452" i="4"/>
  <c r="L1453" i="4"/>
  <c r="L1454" i="4"/>
  <c r="L1455" i="4"/>
  <c r="L1456" i="4"/>
  <c r="L1457" i="4"/>
  <c r="L1458" i="4"/>
  <c r="L1459" i="4"/>
  <c r="L1460" i="4"/>
  <c r="L1461" i="4"/>
  <c r="L1462" i="4"/>
  <c r="L1463" i="4"/>
  <c r="L1464" i="4"/>
  <c r="L1465" i="4"/>
  <c r="L1466" i="4"/>
  <c r="L1467" i="4"/>
  <c r="L1468" i="4"/>
  <c r="L1469" i="4"/>
  <c r="L1470" i="4"/>
  <c r="L1471" i="4"/>
  <c r="L1472" i="4"/>
  <c r="L1473" i="4"/>
  <c r="L1474" i="4"/>
  <c r="L1475" i="4"/>
  <c r="L1476" i="4"/>
  <c r="L1477" i="4"/>
  <c r="L1478" i="4"/>
  <c r="L1479" i="4"/>
  <c r="L1480" i="4"/>
  <c r="L1481" i="4"/>
  <c r="L1482" i="4"/>
  <c r="L1483" i="4"/>
  <c r="L1484" i="4"/>
  <c r="L1485" i="4"/>
  <c r="L1486" i="4"/>
  <c r="L1487" i="4"/>
  <c r="L1488" i="4"/>
  <c r="L1489" i="4"/>
  <c r="L1490" i="4"/>
  <c r="L1491" i="4"/>
  <c r="L1492" i="4"/>
  <c r="L1493" i="4"/>
  <c r="L1494" i="4"/>
  <c r="L1495" i="4"/>
  <c r="L1496" i="4"/>
  <c r="L1497" i="4"/>
  <c r="L1498" i="4"/>
  <c r="L1499" i="4"/>
  <c r="L1500" i="4"/>
  <c r="L1501" i="4"/>
  <c r="L1502" i="4"/>
  <c r="L1503" i="4"/>
  <c r="L1504" i="4"/>
  <c r="L1505" i="4"/>
  <c r="L1506" i="4"/>
  <c r="L1507" i="4"/>
  <c r="L1508" i="4"/>
  <c r="L1509" i="4"/>
  <c r="L1510" i="4"/>
  <c r="L1511" i="4"/>
  <c r="L1512" i="4"/>
  <c r="L1513" i="4"/>
  <c r="L1514" i="4"/>
  <c r="L1515" i="4"/>
  <c r="L1516" i="4"/>
  <c r="L1517" i="4"/>
  <c r="L1518" i="4"/>
  <c r="L1519" i="4"/>
  <c r="L1520" i="4"/>
  <c r="L1521" i="4"/>
  <c r="L1522" i="4"/>
  <c r="L1523" i="4"/>
  <c r="L1524" i="4"/>
  <c r="L1525" i="4"/>
  <c r="L1526" i="4"/>
  <c r="L1527" i="4"/>
  <c r="L1528" i="4"/>
  <c r="L1529" i="4"/>
  <c r="L1530" i="4"/>
  <c r="L1531" i="4"/>
  <c r="L1532" i="4"/>
  <c r="L1533" i="4"/>
  <c r="L1534" i="4"/>
  <c r="L1535" i="4"/>
  <c r="L1536" i="4"/>
  <c r="L1537" i="4"/>
  <c r="L1538" i="4"/>
  <c r="L1539" i="4"/>
  <c r="L1540" i="4"/>
  <c r="L1541" i="4"/>
  <c r="L1542" i="4"/>
  <c r="L1543" i="4"/>
  <c r="L1544" i="4"/>
  <c r="L1545" i="4"/>
  <c r="L1546" i="4"/>
  <c r="L1547" i="4"/>
  <c r="L1548" i="4"/>
  <c r="L1549" i="4"/>
  <c r="L1550" i="4"/>
  <c r="L1551" i="4"/>
  <c r="L1552" i="4"/>
  <c r="L1553" i="4"/>
  <c r="L1554" i="4"/>
  <c r="L1555" i="4"/>
  <c r="L1556" i="4"/>
  <c r="L1557" i="4"/>
  <c r="L1558" i="4"/>
  <c r="L1559" i="4"/>
  <c r="L1560" i="4"/>
  <c r="L1561" i="4"/>
  <c r="L1562" i="4"/>
  <c r="L1563" i="4"/>
  <c r="L1564" i="4"/>
  <c r="L1565" i="4"/>
  <c r="L1566" i="4"/>
  <c r="L1567" i="4"/>
  <c r="L1568" i="4"/>
  <c r="L1569" i="4"/>
  <c r="L1570" i="4"/>
  <c r="L1571" i="4"/>
  <c r="L1572" i="4"/>
  <c r="L1573" i="4"/>
  <c r="L1574" i="4"/>
  <c r="L1575" i="4"/>
  <c r="L1576" i="4"/>
  <c r="L1577" i="4"/>
  <c r="L1578" i="4"/>
  <c r="L1579" i="4"/>
  <c r="L1580" i="4"/>
  <c r="L1581" i="4"/>
  <c r="L1582" i="4"/>
  <c r="L1583" i="4"/>
  <c r="L1584" i="4"/>
  <c r="L1585" i="4"/>
  <c r="L1586" i="4"/>
  <c r="L1587" i="4"/>
  <c r="L1588" i="4"/>
  <c r="L1589" i="4"/>
  <c r="L1590" i="4"/>
  <c r="L1591" i="4"/>
  <c r="L1592" i="4"/>
  <c r="L1593" i="4"/>
  <c r="L1594" i="4"/>
  <c r="L1595" i="4"/>
  <c r="L1596" i="4"/>
  <c r="L1597" i="4"/>
  <c r="L1598" i="4"/>
  <c r="L1599" i="4"/>
  <c r="L1600" i="4"/>
  <c r="L1601" i="4"/>
  <c r="L1602" i="4"/>
  <c r="L1603" i="4"/>
  <c r="L1604" i="4"/>
  <c r="L1605" i="4"/>
  <c r="L1606" i="4"/>
  <c r="L1607" i="4"/>
  <c r="L1608" i="4"/>
  <c r="L1609" i="4"/>
  <c r="L1610" i="4"/>
  <c r="L1611" i="4"/>
  <c r="L1612" i="4"/>
  <c r="L1613" i="4"/>
  <c r="L1614" i="4"/>
  <c r="L1615" i="4"/>
  <c r="L1616" i="4"/>
  <c r="L1617" i="4"/>
  <c r="L1618" i="4"/>
  <c r="L1619" i="4"/>
  <c r="L1620" i="4"/>
  <c r="L1621" i="4"/>
  <c r="L1622" i="4"/>
  <c r="L1623" i="4"/>
  <c r="L1624" i="4"/>
  <c r="L1625" i="4"/>
  <c r="L1626" i="4"/>
  <c r="L1627" i="4"/>
  <c r="L1628" i="4"/>
  <c r="L1629" i="4"/>
  <c r="L1630" i="4"/>
  <c r="L1631" i="4"/>
  <c r="L1632" i="4"/>
  <c r="L1633" i="4"/>
  <c r="L1634" i="4"/>
  <c r="L1635" i="4"/>
  <c r="L1636" i="4"/>
  <c r="L1637" i="4"/>
  <c r="L1638" i="4"/>
  <c r="L1639" i="4"/>
  <c r="L1640" i="4"/>
  <c r="L1641" i="4"/>
  <c r="L1642" i="4"/>
  <c r="L1643" i="4"/>
  <c r="L1644" i="4"/>
  <c r="L1645" i="4"/>
  <c r="L1646" i="4"/>
  <c r="L1647" i="4"/>
  <c r="L1648" i="4"/>
  <c r="L1649" i="4"/>
  <c r="L1650" i="4"/>
  <c r="L1651" i="4"/>
  <c r="L1652" i="4"/>
  <c r="L1653" i="4"/>
  <c r="L1654" i="4"/>
  <c r="L1655" i="4"/>
  <c r="L1656" i="4"/>
  <c r="L1657" i="4"/>
  <c r="L1658" i="4"/>
  <c r="L1659" i="4"/>
  <c r="L1660" i="4"/>
  <c r="L1661" i="4"/>
  <c r="L1662" i="4"/>
  <c r="L1663" i="4"/>
  <c r="L1664" i="4"/>
  <c r="L1665" i="4"/>
  <c r="L1666" i="4"/>
  <c r="L1667" i="4"/>
  <c r="L1668" i="4"/>
  <c r="L1669" i="4"/>
  <c r="L1670" i="4"/>
  <c r="L1671" i="4"/>
  <c r="L1672" i="4"/>
  <c r="L1673" i="4"/>
  <c r="L1674" i="4"/>
  <c r="L1675" i="4"/>
  <c r="L1676" i="4"/>
  <c r="L1677" i="4"/>
  <c r="L1678" i="4"/>
  <c r="L1679" i="4"/>
  <c r="L1680" i="4"/>
  <c r="L1681" i="4"/>
  <c r="L1682" i="4"/>
  <c r="L1683" i="4"/>
  <c r="L1684" i="4"/>
  <c r="L1685" i="4"/>
  <c r="L1686" i="4"/>
  <c r="L1687" i="4"/>
  <c r="L1688" i="4"/>
  <c r="L1689" i="4"/>
  <c r="L1690" i="4"/>
  <c r="L1691" i="4"/>
  <c r="L1692" i="4"/>
  <c r="L1693" i="4"/>
  <c r="L1694" i="4"/>
  <c r="L1695" i="4"/>
  <c r="L1696" i="4"/>
  <c r="L1697" i="4"/>
  <c r="L1698" i="4"/>
  <c r="L1699" i="4"/>
  <c r="L1700" i="4"/>
  <c r="L1701" i="4"/>
  <c r="L1702" i="4"/>
  <c r="L1703" i="4"/>
  <c r="L1704" i="4"/>
  <c r="L1705" i="4"/>
  <c r="L1706" i="4"/>
  <c r="L1707" i="4"/>
  <c r="L1708" i="4"/>
  <c r="L1709" i="4"/>
  <c r="L1710" i="4"/>
  <c r="L1711" i="4"/>
  <c r="L1712" i="4"/>
  <c r="L1713" i="4"/>
  <c r="L1714" i="4"/>
  <c r="L1715" i="4"/>
  <c r="L1716" i="4"/>
  <c r="L1717" i="4"/>
  <c r="L1718" i="4"/>
  <c r="L1719" i="4"/>
  <c r="L1720" i="4"/>
  <c r="L1721" i="4"/>
  <c r="L1722" i="4"/>
  <c r="L1723" i="4"/>
  <c r="L1724" i="4"/>
  <c r="L1725" i="4"/>
  <c r="L1726" i="4"/>
  <c r="L1727" i="4"/>
  <c r="L1728" i="4"/>
  <c r="L1729" i="4"/>
  <c r="L1730" i="4"/>
  <c r="L1731" i="4"/>
  <c r="L1732" i="4"/>
  <c r="L1733" i="4"/>
  <c r="L1734" i="4"/>
  <c r="L1735" i="4"/>
  <c r="L1736" i="4"/>
  <c r="L1737" i="4"/>
  <c r="L1738" i="4"/>
  <c r="L1739" i="4"/>
  <c r="L1740" i="4"/>
  <c r="L1741" i="4"/>
  <c r="L1742" i="4"/>
  <c r="L1743" i="4"/>
  <c r="L1744" i="4"/>
  <c r="L1745" i="4"/>
  <c r="L1746" i="4"/>
  <c r="L1747" i="4"/>
  <c r="L1748" i="4"/>
  <c r="L1749" i="4"/>
  <c r="L1750" i="4"/>
  <c r="L1751" i="4"/>
  <c r="L1752" i="4"/>
  <c r="L1753" i="4"/>
  <c r="L1754" i="4"/>
  <c r="L1755" i="4"/>
  <c r="L1756" i="4"/>
  <c r="L1757" i="4"/>
  <c r="L1758" i="4"/>
  <c r="L1759" i="4"/>
  <c r="L1760" i="4"/>
  <c r="L1761" i="4"/>
  <c r="L1762" i="4"/>
  <c r="L1763" i="4"/>
  <c r="L1764" i="4"/>
  <c r="L1765" i="4"/>
  <c r="L1766" i="4"/>
  <c r="L1767" i="4"/>
  <c r="L1768" i="4"/>
  <c r="L1769" i="4"/>
  <c r="L1770" i="4"/>
  <c r="L1771" i="4"/>
  <c r="L1772" i="4"/>
  <c r="L1773" i="4"/>
  <c r="L1774" i="4"/>
  <c r="L1775" i="4"/>
  <c r="L1776" i="4"/>
  <c r="L1777" i="4"/>
  <c r="L1778" i="4"/>
  <c r="L1779" i="4"/>
  <c r="L1780" i="4"/>
  <c r="L1781" i="4"/>
  <c r="L1782" i="4"/>
  <c r="L1783" i="4"/>
  <c r="L1784" i="4"/>
  <c r="L1785" i="4"/>
  <c r="L1786" i="4"/>
  <c r="L1787" i="4"/>
  <c r="L1788" i="4"/>
  <c r="L1789" i="4"/>
  <c r="L1790" i="4"/>
  <c r="L1791" i="4"/>
  <c r="L1792" i="4"/>
  <c r="L1793" i="4"/>
  <c r="L1794" i="4"/>
  <c r="L1795" i="4"/>
  <c r="L1796" i="4"/>
  <c r="L1797" i="4"/>
  <c r="L1798" i="4"/>
  <c r="L1799" i="4"/>
  <c r="L1800" i="4"/>
  <c r="L1801" i="4"/>
  <c r="L1802" i="4"/>
  <c r="L1803" i="4"/>
  <c r="L1804" i="4"/>
  <c r="L1805" i="4"/>
  <c r="L1806" i="4"/>
  <c r="L1807" i="4"/>
  <c r="L1808" i="4"/>
  <c r="L1809" i="4"/>
  <c r="L1810" i="4"/>
  <c r="L1811" i="4"/>
  <c r="L1812" i="4"/>
  <c r="L1813" i="4"/>
  <c r="L1814" i="4"/>
  <c r="L1815" i="4"/>
  <c r="L1816" i="4"/>
  <c r="L1817" i="4"/>
  <c r="L1818" i="4"/>
  <c r="L1819" i="4"/>
  <c r="L1820" i="4"/>
  <c r="L1821" i="4"/>
  <c r="L1822" i="4"/>
  <c r="L1823" i="4"/>
  <c r="L1824" i="4"/>
  <c r="L1825" i="4"/>
  <c r="L1826" i="4"/>
  <c r="L1827" i="4"/>
  <c r="L1828" i="4"/>
  <c r="L1829" i="4"/>
  <c r="L1830" i="4"/>
  <c r="L1831" i="4"/>
  <c r="L1832" i="4"/>
  <c r="L1833" i="4"/>
  <c r="L1834" i="4"/>
  <c r="L1835" i="4"/>
  <c r="L1836" i="4"/>
  <c r="L1837" i="4"/>
  <c r="L1838" i="4"/>
  <c r="L1839" i="4"/>
  <c r="L1840" i="4"/>
  <c r="L1841" i="4"/>
  <c r="L1842" i="4"/>
  <c r="L1843" i="4"/>
  <c r="L1844" i="4"/>
  <c r="L1845" i="4"/>
  <c r="L1846" i="4"/>
  <c r="L1847" i="4"/>
  <c r="L1848" i="4"/>
  <c r="L1849" i="4"/>
  <c r="L1850" i="4"/>
  <c r="L1851" i="4"/>
  <c r="L1852" i="4"/>
  <c r="L1853" i="4"/>
  <c r="L1854" i="4"/>
  <c r="L1855" i="4"/>
  <c r="L1856" i="4"/>
  <c r="L1857" i="4"/>
  <c r="L1858" i="4"/>
  <c r="L1859" i="4"/>
  <c r="L1860" i="4"/>
  <c r="L1861" i="4"/>
  <c r="L1862" i="4"/>
  <c r="L1863" i="4"/>
  <c r="L1864" i="4"/>
  <c r="L1865" i="4"/>
  <c r="L1866" i="4"/>
  <c r="L1867" i="4"/>
  <c r="L1868" i="4"/>
  <c r="L1869" i="4"/>
  <c r="L1870" i="4"/>
  <c r="L1871" i="4"/>
  <c r="L1872" i="4"/>
  <c r="L1873" i="4"/>
  <c r="L1874" i="4"/>
  <c r="L1875" i="4"/>
  <c r="L1876" i="4"/>
  <c r="L1877" i="4"/>
  <c r="L1878" i="4"/>
  <c r="L1879" i="4"/>
  <c r="L1880" i="4"/>
  <c r="L1881" i="4"/>
  <c r="L1882" i="4"/>
  <c r="L1883" i="4"/>
  <c r="L1884" i="4"/>
  <c r="L1885" i="4"/>
  <c r="L1886" i="4"/>
  <c r="L1887" i="4"/>
  <c r="L1888" i="4"/>
  <c r="L1889" i="4"/>
  <c r="L1890" i="4"/>
  <c r="L1891" i="4"/>
  <c r="L1892" i="4"/>
  <c r="L1893" i="4"/>
  <c r="L1894" i="4"/>
  <c r="L1895" i="4"/>
  <c r="L1896" i="4"/>
  <c r="L1897" i="4"/>
  <c r="L1898" i="4"/>
  <c r="L1899" i="4"/>
  <c r="L1900" i="4"/>
  <c r="L1901" i="4"/>
  <c r="L1902" i="4"/>
  <c r="L1903" i="4"/>
  <c r="L1904" i="4"/>
  <c r="L1905" i="4"/>
  <c r="L1906" i="4"/>
  <c r="L1907" i="4"/>
  <c r="L1908" i="4"/>
  <c r="L1909" i="4"/>
  <c r="L1910" i="4"/>
  <c r="L1911" i="4"/>
  <c r="L1912" i="4"/>
  <c r="L1913" i="4"/>
  <c r="L1914" i="4"/>
  <c r="L1915" i="4"/>
  <c r="L1916" i="4"/>
  <c r="L1917" i="4"/>
  <c r="L1918" i="4"/>
  <c r="L1919" i="4"/>
  <c r="L1920" i="4"/>
  <c r="L1921" i="4"/>
  <c r="L1922" i="4"/>
  <c r="L1923" i="4"/>
  <c r="L1924" i="4"/>
  <c r="L1925" i="4"/>
  <c r="L1926" i="4"/>
  <c r="L1927" i="4"/>
  <c r="L1928" i="4"/>
  <c r="L1929" i="4"/>
  <c r="L1930" i="4"/>
  <c r="L1931" i="4"/>
  <c r="L1932" i="4"/>
  <c r="L1933" i="4"/>
  <c r="L1934" i="4"/>
  <c r="L1935" i="4"/>
  <c r="L1936" i="4"/>
  <c r="L1937" i="4"/>
  <c r="L1938" i="4"/>
  <c r="L1939" i="4"/>
  <c r="L1940" i="4"/>
  <c r="L1941" i="4"/>
  <c r="L1942" i="4"/>
  <c r="L1943" i="4"/>
  <c r="L1944" i="4"/>
  <c r="L1945" i="4"/>
  <c r="L1946" i="4"/>
  <c r="L1947" i="4"/>
  <c r="L1948" i="4"/>
  <c r="L1949" i="4"/>
  <c r="L1950" i="4"/>
  <c r="L1951" i="4"/>
  <c r="L1952" i="4"/>
  <c r="L1953" i="4"/>
  <c r="L1954" i="4"/>
  <c r="L1955" i="4"/>
  <c r="L1956" i="4"/>
  <c r="L1957" i="4"/>
  <c r="L1958" i="4"/>
  <c r="L1959" i="4"/>
  <c r="L1960" i="4"/>
  <c r="L1961" i="4"/>
  <c r="L1962" i="4"/>
  <c r="L1963" i="4"/>
  <c r="L1964" i="4"/>
  <c r="L1965" i="4"/>
  <c r="L1966" i="4"/>
  <c r="L1967" i="4"/>
  <c r="L1968" i="4"/>
  <c r="L1969" i="4"/>
  <c r="L1970" i="4"/>
  <c r="L1971" i="4"/>
  <c r="L1972" i="4"/>
  <c r="L1973" i="4"/>
  <c r="L1974" i="4"/>
  <c r="L1975" i="4"/>
  <c r="L1976" i="4"/>
  <c r="L1977" i="4"/>
  <c r="L1978" i="4"/>
  <c r="L1979" i="4"/>
  <c r="L1980" i="4"/>
  <c r="L1981" i="4"/>
  <c r="L1982" i="4"/>
  <c r="L1983" i="4"/>
  <c r="L1984" i="4"/>
  <c r="L1985" i="4"/>
  <c r="L1986" i="4"/>
  <c r="L1987" i="4"/>
  <c r="L1988" i="4"/>
  <c r="L1989" i="4"/>
  <c r="L1990" i="4"/>
  <c r="L1991" i="4"/>
  <c r="L1992" i="4"/>
  <c r="L1993" i="4"/>
  <c r="L1994" i="4"/>
  <c r="L1995" i="4"/>
  <c r="L1996" i="4"/>
  <c r="L1997" i="4"/>
  <c r="L1998" i="4"/>
  <c r="L1999" i="4"/>
  <c r="L2000" i="4"/>
  <c r="L2001" i="4"/>
  <c r="L2002" i="4"/>
  <c r="L2003" i="4"/>
  <c r="L2004" i="4"/>
  <c r="L2005" i="4"/>
  <c r="L2006" i="4"/>
  <c r="L2007" i="4"/>
  <c r="L2008" i="4"/>
  <c r="L2009" i="4"/>
  <c r="L2010" i="4"/>
  <c r="L2011" i="4"/>
  <c r="L2012" i="4"/>
  <c r="L2013" i="4"/>
  <c r="L2014" i="4"/>
  <c r="L2015" i="4"/>
  <c r="L2016" i="4"/>
  <c r="L2017" i="4"/>
  <c r="L2018" i="4"/>
  <c r="L2019" i="4"/>
  <c r="L2020" i="4"/>
  <c r="L2021" i="4"/>
  <c r="L2022" i="4"/>
  <c r="L2023" i="4"/>
  <c r="L2024" i="4"/>
  <c r="L2025" i="4"/>
  <c r="L2026" i="4"/>
  <c r="L2027" i="4"/>
  <c r="L2028" i="4"/>
  <c r="L2029" i="4"/>
  <c r="L2030" i="4"/>
  <c r="L2031" i="4"/>
  <c r="L2032" i="4"/>
  <c r="L2033" i="4"/>
  <c r="L2034" i="4"/>
  <c r="L2035" i="4"/>
  <c r="L2036" i="4"/>
  <c r="L2037" i="4"/>
  <c r="L2038" i="4"/>
  <c r="L2039" i="4"/>
  <c r="L2040" i="4"/>
  <c r="L2041" i="4"/>
  <c r="L2042" i="4"/>
  <c r="L2043" i="4"/>
  <c r="L2044" i="4"/>
  <c r="L2045" i="4"/>
  <c r="L2046" i="4"/>
  <c r="L2047" i="4"/>
  <c r="L2048" i="4"/>
  <c r="L2049" i="4"/>
  <c r="L2050" i="4"/>
  <c r="L2051" i="4"/>
  <c r="L2052" i="4"/>
  <c r="L2053" i="4"/>
  <c r="L2054" i="4"/>
  <c r="L2055" i="4"/>
  <c r="L2056" i="4"/>
  <c r="L2057" i="4"/>
  <c r="L2058" i="4"/>
  <c r="L2059" i="4"/>
  <c r="L2060" i="4"/>
  <c r="L2061" i="4"/>
  <c r="L2062" i="4"/>
  <c r="L2063" i="4"/>
  <c r="L2064" i="4"/>
  <c r="L2065" i="4"/>
  <c r="L2066" i="4"/>
  <c r="L2067" i="4"/>
  <c r="L2068" i="4"/>
  <c r="L2069" i="4"/>
  <c r="L2070" i="4"/>
  <c r="L2071" i="4"/>
  <c r="L2072" i="4"/>
  <c r="L2073" i="4"/>
  <c r="L2074" i="4"/>
  <c r="L2075" i="4"/>
  <c r="L2076" i="4"/>
  <c r="L2077" i="4"/>
  <c r="L2078" i="4"/>
  <c r="L2079" i="4"/>
  <c r="L2080" i="4"/>
  <c r="L2081" i="4"/>
  <c r="L2082" i="4"/>
  <c r="L2083" i="4"/>
  <c r="L2084" i="4"/>
  <c r="L2085" i="4"/>
  <c r="L2086" i="4"/>
  <c r="L2087" i="4"/>
  <c r="L2088" i="4"/>
  <c r="L2089" i="4"/>
  <c r="L2090" i="4"/>
  <c r="L2091" i="4"/>
  <c r="L2092" i="4"/>
  <c r="L2093" i="4"/>
  <c r="L2094" i="4"/>
  <c r="L2095" i="4"/>
  <c r="L2096" i="4"/>
  <c r="L2097" i="4"/>
  <c r="L2098" i="4"/>
  <c r="L2099" i="4"/>
  <c r="L2100" i="4"/>
  <c r="L2101" i="4"/>
  <c r="L2102" i="4"/>
  <c r="L2103" i="4"/>
  <c r="L2104" i="4"/>
  <c r="L2105" i="4"/>
  <c r="L2106" i="4"/>
  <c r="L2107" i="4"/>
  <c r="L2108" i="4"/>
  <c r="L2109" i="4"/>
  <c r="L2110" i="4"/>
  <c r="L2111" i="4"/>
  <c r="L2112" i="4"/>
  <c r="L2113" i="4"/>
  <c r="L2114" i="4"/>
  <c r="L2115" i="4"/>
  <c r="L2116" i="4"/>
  <c r="L2117" i="4"/>
  <c r="L2118" i="4"/>
  <c r="L2119" i="4"/>
  <c r="L2120" i="4"/>
  <c r="L2121" i="4"/>
  <c r="L2122" i="4"/>
  <c r="L2123" i="4"/>
  <c r="L2124" i="4"/>
  <c r="L2125" i="4"/>
  <c r="L2126" i="4"/>
  <c r="L2127" i="4"/>
  <c r="L2128" i="4"/>
  <c r="L2129" i="4"/>
  <c r="L2130" i="4"/>
  <c r="L2131" i="4"/>
  <c r="L2132" i="4"/>
  <c r="L2133" i="4"/>
  <c r="L2134" i="4"/>
  <c r="L2135" i="4"/>
  <c r="L2136" i="4"/>
  <c r="L2137" i="4"/>
  <c r="L2138" i="4"/>
  <c r="L2139" i="4"/>
  <c r="L2140" i="4"/>
  <c r="L2141" i="4"/>
  <c r="L2142" i="4"/>
  <c r="L2143" i="4"/>
  <c r="L2144" i="4"/>
  <c r="L2145" i="4"/>
  <c r="L2146" i="4"/>
  <c r="L2147" i="4"/>
  <c r="L2148" i="4"/>
  <c r="L2149" i="4"/>
  <c r="L2150" i="4"/>
  <c r="L2151" i="4"/>
  <c r="L2152" i="4"/>
  <c r="L2153" i="4"/>
  <c r="L2154" i="4"/>
  <c r="L2155" i="4"/>
  <c r="L2156" i="4"/>
  <c r="L2157" i="4"/>
  <c r="L2158" i="4"/>
  <c r="L2159" i="4"/>
  <c r="L2160" i="4"/>
  <c r="L2161" i="4"/>
  <c r="L2162" i="4"/>
  <c r="L2163" i="4"/>
  <c r="L2164" i="4"/>
  <c r="L2165" i="4"/>
  <c r="L2166" i="4"/>
  <c r="L2167" i="4"/>
  <c r="L2168" i="4"/>
  <c r="L2169" i="4"/>
  <c r="L2170" i="4"/>
  <c r="L2171" i="4"/>
  <c r="L2172" i="4"/>
  <c r="L2173" i="4"/>
  <c r="L2174" i="4"/>
  <c r="L2175" i="4"/>
  <c r="L2176" i="4"/>
  <c r="L2177" i="4"/>
  <c r="L2178" i="4"/>
  <c r="L2179" i="4"/>
  <c r="L2180" i="4"/>
  <c r="L2181" i="4"/>
  <c r="L2182" i="4"/>
  <c r="L2183" i="4"/>
  <c r="L2184" i="4"/>
  <c r="L2185" i="4"/>
  <c r="L2186" i="4"/>
  <c r="L2187" i="4"/>
  <c r="L2188" i="4"/>
  <c r="L2189" i="4"/>
  <c r="L2190" i="4"/>
  <c r="L2191" i="4"/>
  <c r="L2192" i="4"/>
  <c r="L2193" i="4"/>
  <c r="L2194" i="4"/>
  <c r="L2195" i="4"/>
  <c r="L2196" i="4"/>
  <c r="L2197" i="4"/>
  <c r="L2198" i="4"/>
  <c r="L2199" i="4"/>
  <c r="L2200" i="4"/>
  <c r="L2201" i="4"/>
  <c r="L2202" i="4"/>
  <c r="L2203" i="4"/>
  <c r="L2204" i="4"/>
  <c r="L2205" i="4"/>
  <c r="L2206" i="4"/>
  <c r="L2207" i="4"/>
  <c r="L2208" i="4"/>
  <c r="L2209" i="4"/>
  <c r="L2210" i="4"/>
  <c r="L2211" i="4"/>
  <c r="L2212" i="4"/>
  <c r="L2213" i="4"/>
  <c r="L2214" i="4"/>
  <c r="L2215" i="4"/>
  <c r="L2216" i="4"/>
  <c r="L2217" i="4"/>
  <c r="L2218" i="4"/>
  <c r="L2219" i="4"/>
  <c r="L2220" i="4"/>
  <c r="L2221" i="4"/>
  <c r="L2222" i="4"/>
  <c r="L2223" i="4"/>
  <c r="L2224" i="4"/>
  <c r="L2225" i="4"/>
  <c r="L2226" i="4"/>
  <c r="L2227" i="4"/>
  <c r="L2228" i="4"/>
  <c r="L2229" i="4"/>
  <c r="L2230" i="4"/>
  <c r="L2231" i="4"/>
  <c r="L2232" i="4"/>
  <c r="L2233" i="4"/>
  <c r="L2234" i="4"/>
  <c r="L2235" i="4"/>
  <c r="L2236" i="4"/>
  <c r="L2237" i="4"/>
  <c r="L2238" i="4"/>
  <c r="L2239" i="4"/>
  <c r="L2240" i="4"/>
  <c r="L2241" i="4"/>
  <c r="L2242" i="4"/>
  <c r="L2243" i="4"/>
  <c r="L2244" i="4"/>
  <c r="L2245" i="4"/>
  <c r="L2246" i="4"/>
  <c r="L2247" i="4"/>
  <c r="L2248" i="4"/>
  <c r="L2249" i="4"/>
  <c r="L2250" i="4"/>
  <c r="L2251" i="4"/>
  <c r="L2252" i="4"/>
  <c r="L2253" i="4"/>
  <c r="L2254" i="4"/>
  <c r="L2255" i="4"/>
  <c r="L2256" i="4"/>
  <c r="L2257" i="4"/>
  <c r="L2258" i="4"/>
  <c r="L2259" i="4"/>
  <c r="L2260" i="4"/>
  <c r="L2261" i="4"/>
  <c r="L2262" i="4"/>
  <c r="L2263" i="4"/>
  <c r="L2264" i="4"/>
  <c r="L2265" i="4"/>
  <c r="L2266" i="4"/>
  <c r="L2267" i="4"/>
  <c r="L2268" i="4"/>
  <c r="L2269" i="4"/>
  <c r="L2270" i="4"/>
  <c r="L2271" i="4"/>
  <c r="L2272" i="4"/>
  <c r="L2273" i="4"/>
  <c r="L2274" i="4"/>
  <c r="L2275" i="4"/>
  <c r="L2276" i="4"/>
  <c r="L2277" i="4"/>
  <c r="L2278" i="4"/>
  <c r="L2279" i="4"/>
  <c r="L2280" i="4"/>
  <c r="L2281" i="4"/>
  <c r="L2282" i="4"/>
  <c r="L2283" i="4"/>
  <c r="L2284" i="4"/>
  <c r="L2285" i="4"/>
  <c r="L2286" i="4"/>
  <c r="L2287" i="4"/>
  <c r="L2288" i="4"/>
  <c r="L2289" i="4"/>
  <c r="L2290" i="4"/>
  <c r="L2291" i="4"/>
  <c r="L2292" i="4"/>
  <c r="L2293" i="4"/>
  <c r="L2294" i="4"/>
  <c r="L2295" i="4"/>
  <c r="L2296" i="4"/>
  <c r="L2297" i="4"/>
  <c r="L2298" i="4"/>
  <c r="L2299" i="4"/>
  <c r="L2300" i="4"/>
  <c r="L2301" i="4"/>
  <c r="L2302" i="4"/>
  <c r="L2303" i="4"/>
  <c r="L2304" i="4"/>
  <c r="L2305" i="4"/>
  <c r="L2306" i="4"/>
  <c r="L2307" i="4"/>
  <c r="L2308" i="4"/>
  <c r="L2309" i="4"/>
  <c r="L2310" i="4"/>
  <c r="L2311" i="4"/>
  <c r="L2312" i="4"/>
  <c r="L2313" i="4"/>
  <c r="L2314" i="4"/>
  <c r="L2315" i="4"/>
  <c r="L2316" i="4"/>
  <c r="L2317" i="4"/>
  <c r="L2318" i="4"/>
  <c r="L2319" i="4"/>
  <c r="L2320" i="4"/>
  <c r="L2321" i="4"/>
  <c r="L2322" i="4"/>
  <c r="L2323" i="4"/>
  <c r="L2324" i="4"/>
  <c r="L2325" i="4"/>
  <c r="L2326" i="4"/>
  <c r="L2327" i="4"/>
  <c r="L2328" i="4"/>
  <c r="L2329" i="4"/>
  <c r="L2330" i="4"/>
  <c r="L2331" i="4"/>
  <c r="L2332" i="4"/>
  <c r="L2333" i="4"/>
  <c r="L2334" i="4"/>
  <c r="L2335" i="4"/>
  <c r="L2336" i="4"/>
  <c r="L2337" i="4"/>
  <c r="L2338" i="4"/>
  <c r="L2339" i="4"/>
  <c r="L2340" i="4"/>
  <c r="L2341" i="4"/>
  <c r="L2342" i="4"/>
  <c r="L2343" i="4"/>
  <c r="L2344" i="4"/>
  <c r="L2345" i="4"/>
  <c r="L2346" i="4"/>
  <c r="L2347" i="4"/>
  <c r="L2348" i="4"/>
  <c r="L2349" i="4"/>
  <c r="L2350" i="4"/>
  <c r="L2351" i="4"/>
  <c r="L2352" i="4"/>
  <c r="L2353" i="4"/>
  <c r="L2354" i="4"/>
  <c r="L2355" i="4"/>
  <c r="L2356" i="4"/>
  <c r="L2357" i="4"/>
  <c r="L2358" i="4"/>
  <c r="L2359" i="4"/>
  <c r="L2360" i="4"/>
  <c r="L2361" i="4"/>
  <c r="L2362" i="4"/>
  <c r="L2363" i="4"/>
  <c r="L2364" i="4"/>
  <c r="L2365" i="4"/>
  <c r="L2366" i="4"/>
  <c r="L2367" i="4"/>
  <c r="L2368" i="4"/>
  <c r="L2369" i="4"/>
  <c r="L2370" i="4"/>
  <c r="L2371" i="4"/>
  <c r="L2372" i="4"/>
  <c r="L2373" i="4"/>
  <c r="L2374" i="4"/>
  <c r="L2375" i="4"/>
  <c r="L2376" i="4"/>
  <c r="L2377" i="4"/>
  <c r="L2378" i="4"/>
  <c r="L2379" i="4"/>
  <c r="L2380" i="4"/>
  <c r="L2381" i="4"/>
  <c r="L2382" i="4"/>
  <c r="L2383" i="4"/>
  <c r="L2384" i="4"/>
  <c r="L2385" i="4"/>
  <c r="L2386" i="4"/>
  <c r="L2387" i="4"/>
  <c r="L2388" i="4"/>
  <c r="L2389" i="4"/>
  <c r="L2390" i="4"/>
  <c r="L2391" i="4"/>
  <c r="L2392" i="4"/>
  <c r="L2393" i="4"/>
  <c r="L2394" i="4"/>
  <c r="L2395" i="4"/>
  <c r="L2396" i="4"/>
  <c r="L2397" i="4"/>
  <c r="L2398" i="4"/>
  <c r="L2399" i="4"/>
  <c r="L2400" i="4"/>
  <c r="L2401" i="4"/>
  <c r="L2402" i="4"/>
  <c r="L2403" i="4"/>
  <c r="L2404" i="4"/>
  <c r="L2405" i="4"/>
  <c r="L2406" i="4"/>
  <c r="L2407" i="4"/>
  <c r="L2408" i="4"/>
  <c r="L2409" i="4"/>
  <c r="L2410" i="4"/>
  <c r="L2411" i="4"/>
  <c r="L2412" i="4"/>
  <c r="L2413" i="4"/>
  <c r="L2414" i="4"/>
  <c r="L2415" i="4"/>
  <c r="L2416" i="4"/>
  <c r="L2417" i="4"/>
  <c r="L2418" i="4"/>
  <c r="L2419" i="4"/>
  <c r="L2420" i="4"/>
  <c r="L2421" i="4"/>
  <c r="L2422" i="4"/>
  <c r="L2423" i="4"/>
  <c r="L2424" i="4"/>
  <c r="L2425" i="4"/>
  <c r="L2426" i="4"/>
  <c r="L2427" i="4"/>
  <c r="L2428" i="4"/>
  <c r="L2429" i="4"/>
  <c r="L2430" i="4"/>
  <c r="L2431" i="4"/>
  <c r="L2432" i="4"/>
  <c r="L2433" i="4"/>
  <c r="L2434" i="4"/>
  <c r="L2435" i="4"/>
  <c r="L2436" i="4"/>
  <c r="L2437" i="4"/>
  <c r="L2438" i="4"/>
  <c r="L2439" i="4"/>
  <c r="L2440" i="4"/>
  <c r="L2441" i="4"/>
  <c r="L2442" i="4"/>
  <c r="L2443" i="4"/>
  <c r="L2444" i="4"/>
  <c r="L2445" i="4"/>
  <c r="L2446" i="4"/>
  <c r="L2447" i="4"/>
  <c r="L2448" i="4"/>
  <c r="L2449" i="4"/>
  <c r="L2450" i="4"/>
  <c r="L2451" i="4"/>
  <c r="L2452" i="4"/>
  <c r="L2453" i="4"/>
  <c r="L2454" i="4"/>
  <c r="L2455" i="4"/>
  <c r="L2456" i="4"/>
  <c r="L2457" i="4"/>
  <c r="L2458" i="4"/>
  <c r="L2459" i="4"/>
  <c r="L2460" i="4"/>
  <c r="L2461" i="4"/>
  <c r="L2462" i="4"/>
  <c r="L2463" i="4"/>
  <c r="L2464" i="4"/>
  <c r="L2465" i="4"/>
  <c r="L2466" i="4"/>
  <c r="L2467" i="4"/>
  <c r="L2468" i="4"/>
  <c r="L2469" i="4"/>
  <c r="L2470" i="4"/>
  <c r="L2471" i="4"/>
  <c r="L2472" i="4"/>
  <c r="L2473" i="4"/>
  <c r="L2474" i="4"/>
  <c r="L2475" i="4"/>
  <c r="L2476" i="4"/>
  <c r="L2477" i="4"/>
  <c r="L2478" i="4"/>
  <c r="L2479" i="4"/>
  <c r="L2480" i="4"/>
  <c r="L2481" i="4"/>
  <c r="L2482" i="4"/>
  <c r="L2483" i="4"/>
  <c r="L2484" i="4"/>
  <c r="L2485" i="4"/>
  <c r="L2486" i="4"/>
  <c r="L2487" i="4"/>
  <c r="L2488" i="4"/>
  <c r="L2489" i="4"/>
  <c r="L2490" i="4"/>
  <c r="L2491" i="4"/>
  <c r="L2492" i="4"/>
  <c r="L2493" i="4"/>
  <c r="L2494" i="4"/>
  <c r="L2495" i="4"/>
  <c r="L2496" i="4"/>
  <c r="L2497" i="4"/>
  <c r="L2498" i="4"/>
  <c r="L2499" i="4"/>
  <c r="L2500" i="4"/>
  <c r="L2501" i="4"/>
  <c r="L2502" i="4"/>
  <c r="L2503" i="4"/>
  <c r="L2504" i="4"/>
  <c r="L2505" i="4"/>
  <c r="L2506" i="4"/>
  <c r="L2507" i="4"/>
  <c r="L2508" i="4"/>
  <c r="L2509" i="4"/>
  <c r="L2510" i="4"/>
  <c r="L2511" i="4"/>
  <c r="L2512" i="4"/>
  <c r="L2513" i="4"/>
  <c r="L2514" i="4"/>
  <c r="L2515" i="4"/>
  <c r="L2516" i="4"/>
  <c r="L2517" i="4"/>
  <c r="L2518" i="4"/>
  <c r="L2519" i="4"/>
  <c r="L2520" i="4"/>
  <c r="L2521" i="4"/>
  <c r="L2522" i="4"/>
  <c r="L2523" i="4"/>
  <c r="L2524" i="4"/>
  <c r="L2525" i="4"/>
  <c r="L2526" i="4"/>
  <c r="L2527" i="4"/>
  <c r="L2528" i="4"/>
  <c r="L2529" i="4"/>
  <c r="L2530" i="4"/>
  <c r="L2531" i="4"/>
  <c r="L2532" i="4"/>
  <c r="L2533" i="4"/>
  <c r="L2534" i="4"/>
  <c r="L2535" i="4"/>
  <c r="L2536" i="4"/>
  <c r="L2537" i="4"/>
  <c r="L2538" i="4"/>
  <c r="L2539" i="4"/>
  <c r="L2540" i="4"/>
  <c r="L2541" i="4"/>
  <c r="L2542" i="4"/>
  <c r="L2543" i="4"/>
  <c r="L2544" i="4"/>
  <c r="L2545" i="4"/>
  <c r="L2546" i="4"/>
  <c r="L2547" i="4"/>
  <c r="L2548" i="4"/>
  <c r="L2549" i="4"/>
  <c r="L2550" i="4"/>
  <c r="L2551" i="4"/>
  <c r="L2552" i="4"/>
  <c r="L2553" i="4"/>
  <c r="L2554" i="4"/>
  <c r="L2555" i="4"/>
  <c r="L2556" i="4"/>
  <c r="L2557" i="4"/>
  <c r="L2558" i="4"/>
  <c r="L2559" i="4"/>
  <c r="L2560" i="4"/>
  <c r="L2561" i="4"/>
  <c r="L2562" i="4"/>
  <c r="L2563" i="4"/>
  <c r="L2564" i="4"/>
  <c r="L2565" i="4"/>
  <c r="L2566" i="4"/>
  <c r="L2567" i="4"/>
  <c r="L2568" i="4"/>
  <c r="L2569" i="4"/>
  <c r="L2570" i="4"/>
  <c r="L2571" i="4"/>
  <c r="L2572" i="4"/>
  <c r="L2573" i="4"/>
  <c r="L2574" i="4"/>
  <c r="L2575" i="4"/>
  <c r="L2576" i="4"/>
  <c r="L2577" i="4"/>
  <c r="L2578" i="4"/>
  <c r="L2579" i="4"/>
  <c r="L2580" i="4"/>
  <c r="L2581" i="4"/>
  <c r="L2582" i="4"/>
  <c r="L2583" i="4"/>
  <c r="L2584" i="4"/>
  <c r="L2585" i="4"/>
  <c r="L2586" i="4"/>
  <c r="L2587" i="4"/>
  <c r="L2588" i="4"/>
  <c r="L2589" i="4"/>
  <c r="L2590" i="4"/>
  <c r="L2591" i="4"/>
  <c r="L2592" i="4"/>
  <c r="L2593" i="4"/>
  <c r="L2594" i="4"/>
  <c r="L2595" i="4"/>
  <c r="L2596" i="4"/>
  <c r="L2597" i="4"/>
  <c r="L2598" i="4"/>
  <c r="L2599" i="4"/>
  <c r="L2600" i="4"/>
  <c r="L2601" i="4"/>
  <c r="L2602" i="4"/>
  <c r="L2603" i="4"/>
  <c r="L2604" i="4"/>
  <c r="L2605" i="4"/>
  <c r="L2606" i="4"/>
  <c r="L2607" i="4"/>
  <c r="L2608" i="4"/>
  <c r="L2609" i="4"/>
  <c r="L2610" i="4"/>
  <c r="L2611" i="4"/>
  <c r="L2612" i="4"/>
  <c r="L2613" i="4"/>
  <c r="L2614" i="4"/>
  <c r="L2615" i="4"/>
  <c r="L2616" i="4"/>
  <c r="L2617" i="4"/>
  <c r="L2618" i="4"/>
  <c r="L2619" i="4"/>
  <c r="L2620" i="4"/>
  <c r="L2621" i="4"/>
  <c r="L2622" i="4"/>
  <c r="L2623" i="4"/>
  <c r="L2624" i="4"/>
  <c r="L2625" i="4"/>
  <c r="L2626" i="4"/>
  <c r="L2627" i="4"/>
  <c r="L2628" i="4"/>
  <c r="L2629" i="4"/>
  <c r="L2630" i="4"/>
  <c r="L2631" i="4"/>
  <c r="L2632" i="4"/>
  <c r="L2633" i="4"/>
  <c r="L2634" i="4"/>
  <c r="L2635" i="4"/>
  <c r="L2636" i="4"/>
  <c r="L2637" i="4"/>
  <c r="L2638" i="4"/>
  <c r="L2639" i="4"/>
  <c r="L2640" i="4"/>
  <c r="L2641" i="4"/>
  <c r="L2642" i="4"/>
  <c r="L2643" i="4"/>
  <c r="L2644" i="4"/>
  <c r="L2645" i="4"/>
  <c r="L2646" i="4"/>
  <c r="L2647" i="4"/>
  <c r="L2648" i="4"/>
  <c r="L2649" i="4"/>
  <c r="L2650" i="4"/>
  <c r="L2651" i="4"/>
  <c r="L2652" i="4"/>
  <c r="L2653" i="4"/>
  <c r="L2654" i="4"/>
  <c r="L2655" i="4"/>
  <c r="L2656" i="4"/>
  <c r="L2657" i="4"/>
  <c r="L2658" i="4"/>
  <c r="L2659" i="4"/>
  <c r="L2660" i="4"/>
  <c r="L2661" i="4"/>
  <c r="L2662" i="4"/>
  <c r="L2663" i="4"/>
  <c r="L2664" i="4"/>
  <c r="L2665" i="4"/>
  <c r="L2666" i="4"/>
  <c r="L2667" i="4"/>
  <c r="L2668" i="4"/>
  <c r="L2669" i="4"/>
  <c r="L2670" i="4"/>
  <c r="L2671" i="4"/>
  <c r="L2672" i="4"/>
  <c r="L2673" i="4"/>
  <c r="L2674" i="4"/>
  <c r="L2675" i="4"/>
  <c r="L2676" i="4"/>
  <c r="L2677" i="4"/>
  <c r="L2678" i="4"/>
  <c r="L2679" i="4"/>
  <c r="L2680" i="4"/>
  <c r="L2681" i="4"/>
  <c r="L2682" i="4"/>
  <c r="L2683" i="4"/>
  <c r="L2684" i="4"/>
  <c r="L2685" i="4"/>
  <c r="L2686" i="4"/>
  <c r="L2687" i="4"/>
  <c r="L2688" i="4"/>
  <c r="L2689" i="4"/>
  <c r="L2690" i="4"/>
  <c r="L2691" i="4"/>
  <c r="L2692" i="4"/>
  <c r="L2693" i="4"/>
  <c r="L2694" i="4"/>
  <c r="L2695" i="4"/>
  <c r="L2696" i="4"/>
  <c r="L2697" i="4"/>
  <c r="L2698" i="4"/>
  <c r="L2699" i="4"/>
  <c r="L2700" i="4"/>
  <c r="L2701" i="4"/>
  <c r="L2702" i="4"/>
  <c r="L2703" i="4"/>
  <c r="L2704" i="4"/>
  <c r="L2705" i="4"/>
  <c r="L2706" i="4"/>
  <c r="L2707" i="4"/>
  <c r="L2708" i="4"/>
  <c r="L2709" i="4"/>
  <c r="L2710" i="4"/>
  <c r="L2711" i="4"/>
  <c r="L2712" i="4"/>
  <c r="L2713" i="4"/>
  <c r="L2714" i="4"/>
  <c r="L2715" i="4"/>
  <c r="L2716" i="4"/>
  <c r="L2717" i="4"/>
  <c r="L2718" i="4"/>
  <c r="L2719" i="4"/>
  <c r="L2720" i="4"/>
  <c r="L2721" i="4"/>
  <c r="L2722" i="4"/>
  <c r="L2723" i="4"/>
  <c r="L2724" i="4"/>
  <c r="L2725" i="4"/>
  <c r="L2726" i="4"/>
  <c r="L2727" i="4"/>
  <c r="L2728" i="4"/>
  <c r="L2729" i="4"/>
  <c r="L2730" i="4"/>
  <c r="L2731" i="4"/>
  <c r="L2732" i="4"/>
  <c r="L2733" i="4"/>
  <c r="L2734" i="4"/>
  <c r="L2735" i="4"/>
  <c r="L2736" i="4"/>
  <c r="L2737" i="4"/>
  <c r="L2738" i="4"/>
  <c r="L2739" i="4"/>
  <c r="L2740" i="4"/>
  <c r="L2741" i="4"/>
  <c r="L2742" i="4"/>
  <c r="L2743" i="4"/>
  <c r="L2744" i="4"/>
  <c r="L2745" i="4"/>
  <c r="L2746" i="4"/>
  <c r="L2747" i="4"/>
  <c r="L2748" i="4"/>
  <c r="L2749" i="4"/>
  <c r="L2750" i="4"/>
  <c r="L2751" i="4"/>
  <c r="L2752" i="4"/>
  <c r="L2753" i="4"/>
  <c r="L2754" i="4"/>
  <c r="L2755" i="4"/>
  <c r="L2756" i="4"/>
  <c r="L2757" i="4"/>
  <c r="L2758" i="4"/>
  <c r="L2759" i="4"/>
  <c r="L2760" i="4"/>
  <c r="L2761" i="4"/>
  <c r="L2762" i="4"/>
  <c r="L2763" i="4"/>
  <c r="L2764" i="4"/>
  <c r="L2765" i="4"/>
  <c r="L2766" i="4"/>
  <c r="L2767" i="4"/>
  <c r="L2768" i="4"/>
  <c r="L2769" i="4"/>
  <c r="L2770" i="4"/>
  <c r="L2771" i="4"/>
  <c r="L2772" i="4"/>
  <c r="L2773" i="4"/>
  <c r="L2774" i="4"/>
  <c r="L2775" i="4"/>
  <c r="L2776" i="4"/>
  <c r="L2777" i="4"/>
  <c r="L2778" i="4"/>
  <c r="L2779" i="4"/>
  <c r="L2780" i="4"/>
  <c r="L2781" i="4"/>
  <c r="L2782" i="4"/>
  <c r="L2783" i="4"/>
  <c r="L2784" i="4"/>
  <c r="L2785" i="4"/>
  <c r="L2786" i="4"/>
  <c r="L2787" i="4"/>
  <c r="L2788" i="4"/>
  <c r="L2789" i="4"/>
  <c r="L2790" i="4"/>
  <c r="L2791" i="4"/>
  <c r="L2792" i="4"/>
  <c r="L2793" i="4"/>
  <c r="L2794" i="4"/>
  <c r="L2795" i="4"/>
  <c r="L2796" i="4"/>
  <c r="L2797" i="4"/>
  <c r="L2798" i="4"/>
  <c r="L2799" i="4"/>
  <c r="L2800" i="4"/>
  <c r="L2801" i="4"/>
  <c r="L2802" i="4"/>
  <c r="L2803" i="4"/>
  <c r="L2804" i="4"/>
  <c r="L2805" i="4"/>
  <c r="L2806" i="4"/>
  <c r="L2807" i="4"/>
  <c r="L2808" i="4"/>
  <c r="L2809" i="4"/>
  <c r="L2810" i="4"/>
  <c r="L2811" i="4"/>
  <c r="L2812" i="4"/>
  <c r="L2813" i="4"/>
  <c r="L2814" i="4"/>
  <c r="L2815" i="4"/>
  <c r="L2816" i="4"/>
  <c r="L2817" i="4"/>
  <c r="L2818" i="4"/>
  <c r="L2819" i="4"/>
  <c r="L2820" i="4"/>
  <c r="L2821" i="4"/>
  <c r="L2822" i="4"/>
  <c r="L2823" i="4"/>
  <c r="L2824" i="4"/>
  <c r="L2825" i="4"/>
  <c r="L2826" i="4"/>
  <c r="L2827" i="4"/>
  <c r="L2828" i="4"/>
  <c r="L2829" i="4"/>
  <c r="L2830" i="4"/>
  <c r="L2831" i="4"/>
  <c r="L2832" i="4"/>
  <c r="L2833" i="4"/>
  <c r="L2834" i="4"/>
  <c r="L2835" i="4"/>
  <c r="L2836" i="4"/>
  <c r="L2837" i="4"/>
  <c r="L2838" i="4"/>
  <c r="L2839" i="4"/>
  <c r="L2840" i="4"/>
  <c r="L2841" i="4"/>
  <c r="L2842" i="4"/>
  <c r="L2843" i="4"/>
  <c r="L2844" i="4"/>
  <c r="L2845" i="4"/>
  <c r="L2846" i="4"/>
  <c r="L2847" i="4"/>
  <c r="L2848" i="4"/>
  <c r="L2849" i="4"/>
  <c r="L2850" i="4"/>
  <c r="L2851" i="4"/>
  <c r="L2852" i="4"/>
  <c r="L2853" i="4"/>
  <c r="L2854" i="4"/>
  <c r="L2855" i="4"/>
  <c r="L2856" i="4"/>
  <c r="L2857" i="4"/>
  <c r="L2858" i="4"/>
  <c r="L2859" i="4"/>
  <c r="L2860" i="4"/>
  <c r="L2861" i="4"/>
  <c r="L2862" i="4"/>
  <c r="L2863" i="4"/>
  <c r="L2864" i="4"/>
  <c r="L2865" i="4"/>
  <c r="L2866" i="4"/>
  <c r="L2867" i="4"/>
  <c r="L2868" i="4"/>
  <c r="L2869" i="4"/>
  <c r="L2870" i="4"/>
  <c r="L2871" i="4"/>
  <c r="L2872" i="4"/>
  <c r="L2873" i="4"/>
  <c r="L2874" i="4"/>
  <c r="L2875" i="4"/>
  <c r="L2876" i="4"/>
  <c r="L2877" i="4"/>
  <c r="L2878" i="4"/>
  <c r="L2879" i="4"/>
  <c r="L2880" i="4"/>
  <c r="L2881" i="4"/>
  <c r="L2882" i="4"/>
  <c r="L2883" i="4"/>
  <c r="L2884" i="4"/>
  <c r="L2885" i="4"/>
  <c r="L2886" i="4"/>
  <c r="L2887" i="4"/>
  <c r="L2888" i="4"/>
  <c r="L2889" i="4"/>
  <c r="L2890" i="4"/>
  <c r="L2891" i="4"/>
  <c r="L2892" i="4"/>
  <c r="L2893" i="4"/>
  <c r="L2894" i="4"/>
  <c r="L2895" i="4"/>
  <c r="L2896" i="4"/>
  <c r="L2897" i="4"/>
  <c r="L2898" i="4"/>
  <c r="L2899" i="4"/>
  <c r="L2900" i="4"/>
  <c r="L2901" i="4"/>
  <c r="L2902" i="4"/>
  <c r="L2903" i="4"/>
  <c r="L2904" i="4"/>
  <c r="L2905" i="4"/>
  <c r="L2906" i="4"/>
  <c r="L2907" i="4"/>
  <c r="L2908" i="4"/>
  <c r="L2909" i="4"/>
  <c r="L2910" i="4"/>
  <c r="L2911" i="4"/>
  <c r="L2912" i="4"/>
  <c r="L2913" i="4"/>
  <c r="L2914" i="4"/>
  <c r="L2915" i="4"/>
  <c r="L2916" i="4"/>
  <c r="L2917" i="4"/>
  <c r="L2918" i="4"/>
  <c r="L2919" i="4"/>
  <c r="L2920" i="4"/>
  <c r="L2921" i="4"/>
  <c r="L2922" i="4"/>
  <c r="L2923" i="4"/>
  <c r="L2924" i="4"/>
  <c r="L2925" i="4"/>
  <c r="L2926" i="4"/>
  <c r="L2927" i="4"/>
  <c r="L2928" i="4"/>
  <c r="L2929" i="4"/>
  <c r="L2930" i="4"/>
  <c r="L2931" i="4"/>
  <c r="L2932" i="4"/>
  <c r="L2933" i="4"/>
  <c r="L2934" i="4"/>
  <c r="L2935" i="4"/>
  <c r="L2936" i="4"/>
  <c r="L2937" i="4"/>
  <c r="L2938" i="4"/>
  <c r="L2939" i="4"/>
  <c r="L2940" i="4"/>
  <c r="L2941" i="4"/>
  <c r="L2942" i="4"/>
  <c r="L2943" i="4"/>
  <c r="L2944" i="4"/>
  <c r="L2945" i="4"/>
  <c r="L2946" i="4"/>
  <c r="L2947" i="4"/>
  <c r="L2948" i="4"/>
  <c r="L2949" i="4"/>
  <c r="L2950" i="4"/>
  <c r="L2951" i="4"/>
  <c r="L2952" i="4"/>
  <c r="L2953" i="4"/>
  <c r="L2954" i="4"/>
  <c r="L2955" i="4"/>
  <c r="L2956" i="4"/>
  <c r="L2957" i="4"/>
  <c r="L2958" i="4"/>
  <c r="L2959" i="4"/>
  <c r="L2960" i="4"/>
  <c r="L2961" i="4"/>
  <c r="L2962" i="4"/>
  <c r="L2963" i="4"/>
  <c r="L2964" i="4"/>
  <c r="L2965" i="4"/>
  <c r="L2966" i="4"/>
  <c r="L2967" i="4"/>
  <c r="L2968" i="4"/>
  <c r="L2969" i="4"/>
  <c r="L2970" i="4"/>
  <c r="L2971" i="4"/>
  <c r="L2972" i="4"/>
  <c r="L2973" i="4"/>
  <c r="L2974" i="4"/>
  <c r="L2975" i="4"/>
  <c r="L2976" i="4"/>
  <c r="L2977" i="4"/>
  <c r="L2978" i="4"/>
  <c r="L2979" i="4"/>
  <c r="L2980" i="4"/>
  <c r="L2981" i="4"/>
  <c r="L2982" i="4"/>
  <c r="L2983" i="4"/>
  <c r="L2984" i="4"/>
  <c r="L2985" i="4"/>
  <c r="L2986" i="4"/>
  <c r="L2987" i="4"/>
  <c r="L2988" i="4"/>
  <c r="L2989" i="4"/>
  <c r="L2990" i="4"/>
  <c r="L2991" i="4"/>
  <c r="L2992" i="4"/>
  <c r="L2993" i="4"/>
  <c r="L2994" i="4"/>
  <c r="L2995" i="4"/>
  <c r="L2996" i="4"/>
  <c r="L2997" i="4"/>
  <c r="L2998" i="4"/>
  <c r="L2999" i="4"/>
  <c r="L3000" i="4"/>
  <c r="L3001" i="4"/>
  <c r="L3002" i="4"/>
  <c r="L3003" i="4"/>
  <c r="L3004" i="4"/>
  <c r="L3005" i="4"/>
  <c r="L3006" i="4"/>
  <c r="L3007" i="4"/>
  <c r="L3008" i="4"/>
  <c r="L3009" i="4"/>
  <c r="L3010" i="4"/>
  <c r="L3011" i="4"/>
  <c r="L3012" i="4"/>
  <c r="L3013" i="4"/>
  <c r="L3014" i="4"/>
  <c r="L3015" i="4"/>
  <c r="L3016" i="4"/>
  <c r="L3017" i="4"/>
  <c r="L3018" i="4"/>
  <c r="L3019" i="4"/>
  <c r="L3020" i="4"/>
  <c r="L3021" i="4"/>
  <c r="L3022" i="4"/>
  <c r="L3023" i="4"/>
  <c r="L3024" i="4"/>
  <c r="L3025" i="4"/>
  <c r="L3026" i="4"/>
  <c r="L3027" i="4"/>
  <c r="L3028" i="4"/>
  <c r="L3029" i="4"/>
  <c r="L3030" i="4"/>
  <c r="L3031" i="4"/>
  <c r="L3032" i="4"/>
  <c r="L3033" i="4"/>
  <c r="L3034" i="4"/>
  <c r="L3035" i="4"/>
  <c r="L3036" i="4"/>
  <c r="L3037" i="4"/>
  <c r="L3038" i="4"/>
  <c r="L3039" i="4"/>
  <c r="L3040" i="4"/>
  <c r="L3041" i="4"/>
  <c r="L3042" i="4"/>
  <c r="L3043" i="4"/>
  <c r="L3044" i="4"/>
  <c r="L3045" i="4"/>
  <c r="L3046" i="4"/>
  <c r="L3047" i="4"/>
  <c r="L3048" i="4"/>
  <c r="L3049" i="4"/>
  <c r="L3050" i="4"/>
  <c r="L3051" i="4"/>
  <c r="L3052" i="4"/>
  <c r="L3053" i="4"/>
  <c r="L3054" i="4"/>
  <c r="L3055" i="4"/>
  <c r="L3056" i="4"/>
  <c r="L3057" i="4"/>
  <c r="L3058" i="4"/>
  <c r="L3059" i="4"/>
  <c r="L3060" i="4"/>
  <c r="L3061" i="4"/>
  <c r="L3062" i="4"/>
  <c r="L3063" i="4"/>
  <c r="L3064" i="4"/>
  <c r="L3065" i="4"/>
  <c r="L3066" i="4"/>
  <c r="L3067" i="4"/>
  <c r="L3068" i="4"/>
  <c r="L3069" i="4"/>
  <c r="L3070" i="4"/>
  <c r="L3071" i="4"/>
  <c r="L3072" i="4"/>
  <c r="L3073" i="4"/>
  <c r="L3074" i="4"/>
  <c r="L3075" i="4"/>
  <c r="L3076" i="4"/>
  <c r="L3077" i="4"/>
  <c r="L3078" i="4"/>
  <c r="L3079" i="4"/>
  <c r="L3080" i="4"/>
  <c r="L3081" i="4"/>
  <c r="L3082" i="4"/>
  <c r="L3083" i="4"/>
  <c r="L3084" i="4"/>
  <c r="L3085" i="4"/>
  <c r="L3086" i="4"/>
  <c r="L3087" i="4"/>
  <c r="L3088" i="4"/>
  <c r="L3089" i="4"/>
  <c r="L3090" i="4"/>
  <c r="L3091" i="4"/>
  <c r="L3092" i="4"/>
  <c r="L3093" i="4"/>
  <c r="L3094" i="4"/>
  <c r="L3095" i="4"/>
  <c r="L3096" i="4"/>
  <c r="L3097" i="4"/>
  <c r="L3098" i="4"/>
  <c r="L3099" i="4"/>
  <c r="L3100" i="4"/>
  <c r="L3101" i="4"/>
  <c r="L3102" i="4"/>
  <c r="L3103" i="4"/>
  <c r="L3104" i="4"/>
  <c r="L3105" i="4"/>
  <c r="L3106" i="4"/>
  <c r="L3107" i="4"/>
  <c r="L3108" i="4"/>
  <c r="L3109" i="4"/>
  <c r="L3110" i="4"/>
  <c r="L3111" i="4"/>
  <c r="L3112" i="4"/>
  <c r="L3113" i="4"/>
  <c r="L3114" i="4"/>
  <c r="L3115" i="4"/>
  <c r="L3116" i="4"/>
  <c r="L3117" i="4"/>
  <c r="L3118" i="4"/>
  <c r="L3119" i="4"/>
  <c r="L3120" i="4"/>
  <c r="L3121" i="4"/>
  <c r="L3122" i="4"/>
  <c r="L3123" i="4"/>
  <c r="L3124" i="4"/>
  <c r="L3125" i="4"/>
  <c r="L3126" i="4"/>
  <c r="L3127" i="4"/>
  <c r="L3128" i="4"/>
  <c r="L3129" i="4"/>
  <c r="L3130" i="4"/>
  <c r="L3131" i="4"/>
  <c r="L3132" i="4"/>
  <c r="L3133" i="4"/>
  <c r="L3134" i="4"/>
  <c r="L3135" i="4"/>
  <c r="L3136" i="4"/>
  <c r="L3137" i="4"/>
  <c r="L3138" i="4"/>
  <c r="L3139" i="4"/>
  <c r="L3140" i="4"/>
  <c r="L3141" i="4"/>
  <c r="L3142" i="4"/>
  <c r="L3143" i="4"/>
  <c r="L3144" i="4"/>
  <c r="L3145" i="4"/>
  <c r="L3146" i="4"/>
  <c r="L3147" i="4"/>
  <c r="L3148" i="4"/>
  <c r="L3149" i="4"/>
  <c r="L3150" i="4"/>
  <c r="L3151" i="4"/>
  <c r="L3152" i="4"/>
  <c r="L3153" i="4"/>
  <c r="L3154" i="4"/>
  <c r="L3155" i="4"/>
  <c r="L3156" i="4"/>
  <c r="L3157" i="4"/>
  <c r="L3158" i="4"/>
  <c r="L3159" i="4"/>
  <c r="L3160" i="4"/>
  <c r="L3161" i="4"/>
  <c r="L3162" i="4"/>
  <c r="L3163" i="4"/>
  <c r="L3164" i="4"/>
  <c r="L3165" i="4"/>
  <c r="L3166" i="4"/>
  <c r="L3167" i="4"/>
  <c r="L3168" i="4"/>
  <c r="L3169" i="4"/>
  <c r="L3170" i="4"/>
  <c r="L3171" i="4"/>
  <c r="L3172" i="4"/>
  <c r="L3173" i="4"/>
  <c r="L3174" i="4"/>
  <c r="L3175" i="4"/>
  <c r="L3176" i="4"/>
  <c r="L3177" i="4"/>
  <c r="L3178" i="4"/>
  <c r="L3179" i="4"/>
  <c r="L3180" i="4"/>
  <c r="L3181" i="4"/>
  <c r="L3182" i="4"/>
  <c r="L3183" i="4"/>
  <c r="L3184" i="4"/>
  <c r="L3185" i="4"/>
  <c r="L3186" i="4"/>
  <c r="L3187" i="4"/>
  <c r="L3188" i="4"/>
  <c r="L3189" i="4"/>
  <c r="L3190" i="4"/>
  <c r="L3191" i="4"/>
  <c r="L3192" i="4"/>
  <c r="L3193" i="4"/>
  <c r="L3194" i="4"/>
  <c r="L3195" i="4"/>
  <c r="L3196" i="4"/>
  <c r="L3197" i="4"/>
  <c r="L3198" i="4"/>
  <c r="L3199" i="4"/>
  <c r="L3200" i="4"/>
  <c r="L3201" i="4"/>
  <c r="L3202" i="4"/>
  <c r="L3203" i="4"/>
  <c r="L3204" i="4"/>
  <c r="L3205" i="4"/>
  <c r="L3206" i="4"/>
  <c r="L3207" i="4"/>
  <c r="L3208" i="4"/>
  <c r="L3209" i="4"/>
  <c r="L3210" i="4"/>
  <c r="L3211" i="4"/>
  <c r="L3212" i="4"/>
  <c r="L3213" i="4"/>
  <c r="L3214" i="4"/>
  <c r="L3215" i="4"/>
  <c r="L3216" i="4"/>
  <c r="L3217" i="4"/>
  <c r="L3218" i="4"/>
  <c r="L3219" i="4"/>
  <c r="L3220" i="4"/>
  <c r="L3221" i="4"/>
  <c r="L3222" i="4"/>
  <c r="L3223" i="4"/>
  <c r="L3224" i="4"/>
  <c r="L3225" i="4"/>
  <c r="L3226" i="4"/>
  <c r="L3227" i="4"/>
  <c r="L3228" i="4"/>
  <c r="L3229" i="4"/>
  <c r="L3230" i="4"/>
  <c r="L3231" i="4"/>
  <c r="L3232" i="4"/>
  <c r="L3233" i="4"/>
  <c r="L3234" i="4"/>
  <c r="L3235" i="4"/>
  <c r="L3236" i="4"/>
  <c r="L3237" i="4"/>
  <c r="L3238" i="4"/>
  <c r="L3239" i="4"/>
  <c r="L3240" i="4"/>
  <c r="L3241" i="4"/>
  <c r="L3242" i="4"/>
  <c r="L3243" i="4"/>
  <c r="L3244" i="4"/>
  <c r="L3245" i="4"/>
  <c r="L3246" i="4"/>
  <c r="L3247" i="4"/>
  <c r="L3248" i="4"/>
  <c r="L3249" i="4"/>
  <c r="L3250" i="4"/>
  <c r="L3251" i="4"/>
  <c r="L3252" i="4"/>
  <c r="L3253" i="4"/>
  <c r="L3254" i="4"/>
  <c r="L3255" i="4"/>
  <c r="L3256" i="4"/>
  <c r="L3257" i="4"/>
  <c r="L3258" i="4"/>
  <c r="L3259" i="4"/>
  <c r="L3260" i="4"/>
  <c r="L3261" i="4"/>
  <c r="L3262" i="4"/>
  <c r="L3263" i="4"/>
  <c r="L3264" i="4"/>
  <c r="L3265" i="4"/>
  <c r="L3266" i="4"/>
  <c r="L3267" i="4"/>
  <c r="L3268" i="4"/>
  <c r="L3269" i="4"/>
  <c r="L3270" i="4"/>
  <c r="L3271" i="4"/>
  <c r="L3272" i="4"/>
  <c r="L3273" i="4"/>
  <c r="L3274" i="4"/>
  <c r="L3275" i="4"/>
  <c r="L3276" i="4"/>
  <c r="L3277" i="4"/>
  <c r="L3278" i="4"/>
  <c r="L3279" i="4"/>
  <c r="L3280" i="4"/>
  <c r="L3281" i="4"/>
  <c r="L3282" i="4"/>
  <c r="L3283" i="4"/>
  <c r="L3284" i="4"/>
  <c r="L3285" i="4"/>
  <c r="L3286" i="4"/>
  <c r="L3287" i="4"/>
  <c r="L3288" i="4"/>
  <c r="L3289" i="4"/>
  <c r="L3290" i="4"/>
  <c r="L3291" i="4"/>
  <c r="L3292" i="4"/>
  <c r="L3293" i="4"/>
  <c r="L3294" i="4"/>
  <c r="L3295" i="4"/>
  <c r="L3296" i="4"/>
  <c r="L3297" i="4"/>
  <c r="L3298" i="4"/>
  <c r="L3299" i="4"/>
  <c r="L3300" i="4"/>
  <c r="L3301" i="4"/>
  <c r="L3302" i="4"/>
  <c r="L3303" i="4"/>
  <c r="L3304" i="4"/>
  <c r="L3305" i="4"/>
  <c r="L3306" i="4"/>
  <c r="L3307" i="4"/>
  <c r="L3308" i="4"/>
  <c r="L3309" i="4"/>
  <c r="L3310" i="4"/>
  <c r="L3311" i="4"/>
  <c r="L3312" i="4"/>
  <c r="L3313" i="4"/>
  <c r="L3314" i="4"/>
  <c r="L3315" i="4"/>
  <c r="L3316" i="4"/>
  <c r="L3317" i="4"/>
  <c r="L3318" i="4"/>
  <c r="L3319" i="4"/>
  <c r="L3320" i="4"/>
  <c r="L3321" i="4"/>
  <c r="L3322" i="4"/>
  <c r="L3323" i="4"/>
  <c r="L3324" i="4"/>
  <c r="L3325" i="4"/>
  <c r="L3326" i="4"/>
  <c r="L3327" i="4"/>
  <c r="L3328" i="4"/>
  <c r="L3329" i="4"/>
  <c r="L3330" i="4"/>
  <c r="L3331" i="4"/>
  <c r="L3332" i="4"/>
  <c r="L3333" i="4"/>
  <c r="L3334" i="4"/>
  <c r="L3335" i="4"/>
  <c r="L3336" i="4"/>
  <c r="L3337" i="4"/>
  <c r="L3338" i="4"/>
  <c r="L3339" i="4"/>
  <c r="L3340" i="4"/>
  <c r="L3341" i="4"/>
  <c r="L3342" i="4"/>
  <c r="L3343" i="4"/>
  <c r="L3344" i="4"/>
  <c r="L3345" i="4"/>
  <c r="L3346" i="4"/>
  <c r="L3347" i="4"/>
  <c r="L3348" i="4"/>
  <c r="L3349" i="4"/>
  <c r="L3350" i="4"/>
  <c r="L3351" i="4"/>
  <c r="L3352" i="4"/>
  <c r="L3353" i="4"/>
  <c r="L3354" i="4"/>
  <c r="L3355" i="4"/>
  <c r="L3356" i="4"/>
  <c r="L3357" i="4"/>
  <c r="L3358" i="4"/>
  <c r="L3359" i="4"/>
  <c r="L3360" i="4"/>
  <c r="L3361" i="4"/>
  <c r="L3362" i="4"/>
  <c r="L3363" i="4"/>
  <c r="L3364" i="4"/>
  <c r="L3365" i="4"/>
  <c r="L3366" i="4"/>
  <c r="L3367" i="4"/>
  <c r="L3368" i="4"/>
  <c r="L3369" i="4"/>
  <c r="L3370" i="4"/>
  <c r="L3371" i="4"/>
  <c r="L3372" i="4"/>
  <c r="L3373" i="4"/>
  <c r="L3374" i="4"/>
  <c r="L3375" i="4"/>
  <c r="L3376" i="4"/>
  <c r="L3377" i="4"/>
  <c r="L3378" i="4"/>
  <c r="L3379" i="4"/>
  <c r="L3380" i="4"/>
  <c r="L3381" i="4"/>
  <c r="L3382" i="4"/>
  <c r="L3383" i="4"/>
  <c r="L3384" i="4"/>
  <c r="L3385" i="4"/>
  <c r="L3386" i="4"/>
  <c r="L3387" i="4"/>
  <c r="L3388" i="4"/>
  <c r="L3389" i="4"/>
  <c r="L3390" i="4"/>
  <c r="L3391" i="4"/>
  <c r="L3392" i="4"/>
  <c r="L3393" i="4"/>
  <c r="L3394" i="4"/>
  <c r="L3395" i="4"/>
  <c r="L3396" i="4"/>
  <c r="L3397" i="4"/>
  <c r="L3398" i="4"/>
  <c r="L3399" i="4"/>
  <c r="L3400" i="4"/>
  <c r="L3401" i="4"/>
  <c r="L3402" i="4"/>
  <c r="L3403" i="4"/>
  <c r="L3404" i="4"/>
  <c r="L3405" i="4"/>
  <c r="L3406" i="4"/>
  <c r="L3407" i="4"/>
  <c r="L3408" i="4"/>
  <c r="L3409" i="4"/>
  <c r="L3410" i="4"/>
  <c r="L3411" i="4"/>
  <c r="L3412" i="4"/>
  <c r="L3413" i="4"/>
  <c r="L3414" i="4"/>
  <c r="L3415" i="4"/>
  <c r="L3416" i="4"/>
  <c r="L3417" i="4"/>
  <c r="L3418" i="4"/>
  <c r="L3419" i="4"/>
  <c r="L3420" i="4"/>
  <c r="L3421" i="4"/>
  <c r="L3422" i="4"/>
  <c r="L3423" i="4"/>
  <c r="L3424" i="4"/>
  <c r="L3425" i="4"/>
  <c r="L3426" i="4"/>
  <c r="L3427" i="4"/>
  <c r="L3428" i="4"/>
  <c r="L3429" i="4"/>
  <c r="L3430" i="4"/>
  <c r="L3431" i="4"/>
  <c r="L3432" i="4"/>
  <c r="L3433" i="4"/>
  <c r="L3434" i="4"/>
  <c r="L3435" i="4"/>
  <c r="L3436" i="4"/>
  <c r="L3437" i="4"/>
  <c r="L3438" i="4"/>
  <c r="L3439" i="4"/>
  <c r="L3440" i="4"/>
  <c r="L3441" i="4"/>
  <c r="L3442" i="4"/>
  <c r="L3443" i="4"/>
  <c r="L3444" i="4"/>
  <c r="L3445" i="4"/>
  <c r="L3446" i="4"/>
  <c r="L3447" i="4"/>
  <c r="L3448" i="4"/>
  <c r="L3449" i="4"/>
  <c r="L3450" i="4"/>
  <c r="L3451" i="4"/>
  <c r="L3452" i="4"/>
  <c r="L3453" i="4"/>
  <c r="L3454" i="4"/>
  <c r="L3455" i="4"/>
  <c r="L3456" i="4"/>
  <c r="L3457" i="4"/>
  <c r="L3458" i="4"/>
  <c r="L3459" i="4"/>
  <c r="L3460" i="4"/>
  <c r="L3461" i="4"/>
  <c r="L3462" i="4"/>
  <c r="L3463" i="4"/>
  <c r="L3464" i="4"/>
  <c r="L3465" i="4"/>
  <c r="L3466" i="4"/>
  <c r="L3467" i="4"/>
  <c r="L3468" i="4"/>
  <c r="L3469" i="4"/>
  <c r="L3470" i="4"/>
  <c r="L3471" i="4"/>
  <c r="L3472" i="4"/>
  <c r="L3473" i="4"/>
  <c r="L3474" i="4"/>
  <c r="L3475" i="4"/>
  <c r="L3476" i="4"/>
  <c r="L3477" i="4"/>
  <c r="L3478" i="4"/>
  <c r="L3479" i="4"/>
  <c r="L3480" i="4"/>
  <c r="L3481" i="4"/>
  <c r="L3482" i="4"/>
  <c r="L3483" i="4"/>
  <c r="L3484" i="4"/>
  <c r="L3485" i="4"/>
  <c r="L3486" i="4"/>
  <c r="L3487" i="4"/>
  <c r="L3488" i="4"/>
  <c r="L3489" i="4"/>
  <c r="L3490" i="4"/>
  <c r="L3491" i="4"/>
  <c r="L3492" i="4"/>
  <c r="L3493" i="4"/>
  <c r="L3494" i="4"/>
  <c r="L3495" i="4"/>
  <c r="L3496" i="4"/>
  <c r="L3497" i="4"/>
  <c r="L3498" i="4"/>
  <c r="L3499" i="4"/>
  <c r="L3500" i="4"/>
  <c r="L3501" i="4"/>
  <c r="L3502" i="4"/>
  <c r="L3503" i="4"/>
  <c r="L3504" i="4"/>
  <c r="L3505" i="4"/>
  <c r="L3506" i="4"/>
  <c r="L3507" i="4"/>
  <c r="L3508" i="4"/>
  <c r="L3509" i="4"/>
  <c r="L3510" i="4"/>
  <c r="L3511" i="4"/>
  <c r="L3512" i="4"/>
  <c r="L3513" i="4"/>
  <c r="L3514" i="4"/>
  <c r="L3515" i="4"/>
  <c r="L3516" i="4"/>
  <c r="L3517" i="4"/>
  <c r="L3518" i="4"/>
  <c r="L3519" i="4"/>
  <c r="L3520" i="4"/>
  <c r="L3521" i="4"/>
  <c r="L3522" i="4"/>
  <c r="L3523" i="4"/>
  <c r="L3524" i="4"/>
  <c r="L3525" i="4"/>
  <c r="L3526" i="4"/>
  <c r="L3527" i="4"/>
  <c r="L3528" i="4"/>
  <c r="L3529" i="4"/>
  <c r="L3530" i="4"/>
  <c r="L3531" i="4"/>
  <c r="L3532" i="4"/>
  <c r="L3533" i="4"/>
  <c r="L3534" i="4"/>
  <c r="L3535" i="4"/>
  <c r="L3536" i="4"/>
  <c r="L3537" i="4"/>
  <c r="L3538" i="4"/>
  <c r="L3539" i="4"/>
  <c r="L3540" i="4"/>
  <c r="L3541" i="4"/>
  <c r="L3542" i="4"/>
  <c r="L3543" i="4"/>
  <c r="L3544" i="4"/>
  <c r="L3545" i="4"/>
  <c r="L3546" i="4"/>
  <c r="L3547" i="4"/>
  <c r="L3548" i="4"/>
  <c r="L3549" i="4"/>
  <c r="L3550" i="4"/>
  <c r="L3551" i="4"/>
  <c r="L3552" i="4"/>
  <c r="L3553" i="4"/>
  <c r="L3554" i="4"/>
  <c r="L3555" i="4"/>
  <c r="L3556" i="4"/>
  <c r="L3557" i="4"/>
  <c r="L3558" i="4"/>
  <c r="L3559" i="4"/>
  <c r="L3560" i="4"/>
  <c r="L3561" i="4"/>
  <c r="L3562" i="4"/>
  <c r="L3563" i="4"/>
  <c r="L3564" i="4"/>
  <c r="L3565" i="4"/>
  <c r="L3566" i="4"/>
  <c r="L3567" i="4"/>
  <c r="L3568" i="4"/>
  <c r="L3569" i="4"/>
  <c r="L3570" i="4"/>
  <c r="L3571" i="4"/>
  <c r="L3572" i="4"/>
  <c r="L3573" i="4"/>
  <c r="L3574" i="4"/>
  <c r="L3575" i="4"/>
  <c r="L3576" i="4"/>
  <c r="L3577" i="4"/>
  <c r="L3578" i="4"/>
  <c r="L3579" i="4"/>
  <c r="L3580" i="4"/>
  <c r="L3581" i="4"/>
  <c r="L3582" i="4"/>
  <c r="L3583" i="4"/>
  <c r="L3584" i="4"/>
  <c r="L3585" i="4"/>
  <c r="L3586" i="4"/>
  <c r="L3587" i="4"/>
  <c r="L3588" i="4"/>
  <c r="L3589" i="4"/>
  <c r="L3590" i="4"/>
  <c r="L3591" i="4"/>
  <c r="L3592" i="4"/>
  <c r="L3593" i="4"/>
  <c r="L3594" i="4"/>
  <c r="L3595" i="4"/>
  <c r="L3596" i="4"/>
  <c r="L3597" i="4"/>
  <c r="L3598" i="4"/>
  <c r="L3599" i="4"/>
  <c r="L3600" i="4"/>
  <c r="L3601" i="4"/>
  <c r="L3602" i="4"/>
  <c r="L3603" i="4"/>
  <c r="L3604" i="4"/>
  <c r="L3605" i="4"/>
  <c r="L3606" i="4"/>
  <c r="L3607" i="4"/>
  <c r="L3608" i="4"/>
  <c r="L3609" i="4"/>
  <c r="L3610" i="4"/>
  <c r="L3611" i="4"/>
  <c r="L3612" i="4"/>
  <c r="L3613" i="4"/>
  <c r="L3614" i="4"/>
  <c r="L3615" i="4"/>
  <c r="L3616" i="4"/>
  <c r="L3617" i="4"/>
  <c r="L3618" i="4"/>
  <c r="L3619" i="4"/>
  <c r="L3620" i="4"/>
  <c r="L3621" i="4"/>
  <c r="L3622" i="4"/>
  <c r="L3623" i="4"/>
  <c r="L3624" i="4"/>
  <c r="L3625" i="4"/>
  <c r="L3626" i="4"/>
  <c r="L3627" i="4"/>
  <c r="L3628" i="4"/>
  <c r="L3629" i="4"/>
  <c r="L3630" i="4"/>
  <c r="L3631" i="4"/>
  <c r="L3632" i="4"/>
  <c r="L3633" i="4"/>
  <c r="L3634" i="4"/>
  <c r="L3635" i="4"/>
  <c r="L3636" i="4"/>
  <c r="L3637" i="4"/>
  <c r="L3638" i="4"/>
  <c r="L3639" i="4"/>
  <c r="L3640" i="4"/>
  <c r="L3641" i="4"/>
  <c r="L3642" i="4"/>
  <c r="L3643" i="4"/>
  <c r="L3644" i="4"/>
  <c r="L3645" i="4"/>
  <c r="L3646" i="4"/>
  <c r="L3647" i="4"/>
  <c r="L3648" i="4"/>
  <c r="L3649" i="4"/>
  <c r="L3650" i="4"/>
  <c r="L3651" i="4"/>
  <c r="L3652" i="4"/>
  <c r="L3653" i="4"/>
  <c r="L3654" i="4"/>
  <c r="L3655" i="4"/>
  <c r="L3656" i="4"/>
  <c r="L3657" i="4"/>
  <c r="L3658" i="4"/>
  <c r="L3659" i="4"/>
  <c r="L3660" i="4"/>
  <c r="L3661" i="4"/>
  <c r="L3662" i="4"/>
  <c r="L3663" i="4"/>
  <c r="L3664" i="4"/>
  <c r="L3665" i="4"/>
  <c r="L3666" i="4"/>
  <c r="L3667" i="4"/>
  <c r="L3668" i="4"/>
  <c r="L3669" i="4"/>
  <c r="L3670" i="4"/>
  <c r="L3671" i="4"/>
  <c r="L3672" i="4"/>
  <c r="L3673" i="4"/>
  <c r="L3674" i="4"/>
  <c r="L3675" i="4"/>
  <c r="L3676" i="4"/>
  <c r="L3677" i="4"/>
  <c r="L3678" i="4"/>
  <c r="L3679" i="4"/>
  <c r="L3680" i="4"/>
  <c r="L3681" i="4"/>
  <c r="L3682" i="4"/>
  <c r="L3683" i="4"/>
  <c r="L3684" i="4"/>
  <c r="L3685" i="4"/>
  <c r="L3686" i="4"/>
  <c r="L3687" i="4"/>
  <c r="L3688" i="4"/>
  <c r="L3689" i="4"/>
  <c r="L3690" i="4"/>
  <c r="L3691" i="4"/>
  <c r="L3692" i="4"/>
  <c r="L3693" i="4"/>
  <c r="L3694" i="4"/>
  <c r="L3695" i="4"/>
  <c r="L3696" i="4"/>
  <c r="L3697" i="4"/>
  <c r="L3698" i="4"/>
  <c r="L3699" i="4"/>
  <c r="L3700" i="4"/>
  <c r="L3701" i="4"/>
  <c r="L3702" i="4"/>
  <c r="L3703" i="4"/>
  <c r="L3704" i="4"/>
  <c r="L3705" i="4"/>
  <c r="L3706" i="4"/>
  <c r="L3707" i="4"/>
  <c r="L3708" i="4"/>
  <c r="L3709" i="4"/>
  <c r="L3710" i="4"/>
  <c r="L3711" i="4"/>
  <c r="L3712" i="4"/>
  <c r="L3713" i="4"/>
  <c r="L3714" i="4"/>
  <c r="L3715" i="4"/>
  <c r="L3716" i="4"/>
  <c r="L3717" i="4"/>
  <c r="L3718" i="4"/>
  <c r="L3719" i="4"/>
  <c r="L3720" i="4"/>
  <c r="L3721" i="4"/>
  <c r="L3722" i="4"/>
  <c r="L3723" i="4"/>
  <c r="L3724" i="4"/>
  <c r="L3725" i="4"/>
  <c r="L3726" i="4"/>
  <c r="L3727" i="4"/>
  <c r="L3728" i="4"/>
  <c r="L3729" i="4"/>
  <c r="L3730" i="4"/>
  <c r="L3731" i="4"/>
  <c r="L3732" i="4"/>
  <c r="L3733" i="4"/>
  <c r="L3734" i="4"/>
  <c r="L3735" i="4"/>
  <c r="L3736" i="4"/>
  <c r="L3737" i="4"/>
  <c r="L3738" i="4"/>
  <c r="L3739" i="4"/>
  <c r="L3740" i="4"/>
  <c r="L3741" i="4"/>
  <c r="L3742" i="4"/>
  <c r="L3743" i="4"/>
  <c r="L3744" i="4"/>
  <c r="L3745" i="4"/>
  <c r="L3746" i="4"/>
  <c r="L3747" i="4"/>
  <c r="L3748" i="4"/>
  <c r="L3749" i="4"/>
  <c r="L3750" i="4"/>
  <c r="L3751" i="4"/>
  <c r="L3752" i="4"/>
  <c r="L3753" i="4"/>
  <c r="L3754" i="4"/>
  <c r="L3755" i="4"/>
  <c r="L3756" i="4"/>
  <c r="L3757" i="4"/>
  <c r="L3758" i="4"/>
  <c r="L3759" i="4"/>
  <c r="L3760" i="4"/>
  <c r="L3761" i="4"/>
  <c r="L3762" i="4"/>
  <c r="L3763" i="4"/>
  <c r="L3764" i="4"/>
  <c r="L3765" i="4"/>
  <c r="L3766" i="4"/>
  <c r="L3767" i="4"/>
  <c r="L3768" i="4"/>
  <c r="L3769" i="4"/>
  <c r="L3770" i="4"/>
  <c r="L3771" i="4"/>
  <c r="L3772" i="4"/>
  <c r="L3773" i="4"/>
  <c r="L3774" i="4"/>
  <c r="L3775" i="4"/>
  <c r="L3776" i="4"/>
  <c r="L3777" i="4"/>
  <c r="L3778" i="4"/>
  <c r="L3779" i="4"/>
  <c r="L3780" i="4"/>
  <c r="L3781" i="4"/>
  <c r="L3782" i="4"/>
  <c r="L3783" i="4"/>
  <c r="L3784" i="4"/>
  <c r="L3785" i="4"/>
  <c r="L3786" i="4"/>
  <c r="L3787" i="4"/>
  <c r="L3788" i="4"/>
  <c r="L3789" i="4"/>
  <c r="L3790" i="4"/>
  <c r="L3791" i="4"/>
  <c r="L3792" i="4"/>
  <c r="L3793" i="4"/>
  <c r="L3794" i="4"/>
  <c r="L3795" i="4"/>
  <c r="L3796" i="4"/>
  <c r="L3797" i="4"/>
  <c r="L3798" i="4"/>
  <c r="L3799" i="4"/>
  <c r="L3800" i="4"/>
  <c r="L3801" i="4"/>
  <c r="L3802" i="4"/>
  <c r="L3803" i="4"/>
  <c r="L3804" i="4"/>
  <c r="L3805" i="4"/>
  <c r="L3806" i="4"/>
  <c r="L3807" i="4"/>
  <c r="L3808" i="4"/>
  <c r="L3809" i="4"/>
  <c r="L3810" i="4"/>
  <c r="L3811" i="4"/>
  <c r="L3812" i="4"/>
  <c r="L3813" i="4"/>
  <c r="L3814" i="4"/>
  <c r="L3815" i="4"/>
  <c r="L3816" i="4"/>
  <c r="L3817" i="4"/>
  <c r="L3818" i="4"/>
  <c r="L3819" i="4"/>
  <c r="L3820" i="4"/>
  <c r="L3821" i="4"/>
  <c r="L3822" i="4"/>
  <c r="L3823" i="4"/>
  <c r="L3824" i="4"/>
  <c r="L3825" i="4"/>
  <c r="L3826" i="4"/>
  <c r="L3827" i="4"/>
  <c r="L3828" i="4"/>
  <c r="L3829" i="4"/>
  <c r="L3830" i="4"/>
  <c r="L3831" i="4"/>
  <c r="L3832" i="4"/>
  <c r="L3833" i="4"/>
  <c r="L3834" i="4"/>
  <c r="L3835" i="4"/>
  <c r="L3836" i="4"/>
  <c r="L3837" i="4"/>
  <c r="L3838" i="4"/>
  <c r="L3839" i="4"/>
  <c r="L3840" i="4"/>
  <c r="L3841" i="4"/>
  <c r="L3842" i="4"/>
  <c r="L3843" i="4"/>
  <c r="L3844" i="4"/>
  <c r="L3845" i="4"/>
  <c r="L3846" i="4"/>
  <c r="L3847" i="4"/>
  <c r="L3848" i="4"/>
  <c r="L3849" i="4"/>
  <c r="L3850" i="4"/>
  <c r="L3851" i="4"/>
  <c r="L3852" i="4"/>
  <c r="L3853" i="4"/>
  <c r="L3854" i="4"/>
  <c r="L3855" i="4"/>
  <c r="L3856" i="4"/>
  <c r="L3857" i="4"/>
  <c r="L3858" i="4"/>
  <c r="L3859" i="4"/>
  <c r="L3860" i="4"/>
  <c r="L3861" i="4"/>
  <c r="L3862" i="4"/>
  <c r="L3863" i="4"/>
  <c r="L3864" i="4"/>
  <c r="L3865" i="4"/>
  <c r="L3866" i="4"/>
  <c r="L3867" i="4"/>
  <c r="L3868" i="4"/>
  <c r="L3869" i="4"/>
  <c r="L3870" i="4"/>
  <c r="L3871" i="4"/>
  <c r="L3872" i="4"/>
  <c r="L3873" i="4"/>
  <c r="L3874" i="4"/>
  <c r="L3875" i="4"/>
  <c r="L3876" i="4"/>
  <c r="L3877" i="4"/>
  <c r="L3878" i="4"/>
  <c r="L3879" i="4"/>
  <c r="L3880" i="4"/>
  <c r="L3881" i="4"/>
  <c r="L3882" i="4"/>
  <c r="L3883" i="4"/>
  <c r="L3884" i="4"/>
  <c r="L3885" i="4"/>
  <c r="L3886" i="4"/>
  <c r="L3887" i="4"/>
  <c r="L3888" i="4"/>
  <c r="L3889" i="4"/>
  <c r="L3890" i="4"/>
  <c r="L3891" i="4"/>
  <c r="L3892" i="4"/>
  <c r="L3893" i="4"/>
  <c r="L3894" i="4"/>
  <c r="L3895" i="4"/>
  <c r="L3896" i="4"/>
  <c r="L3897" i="4"/>
  <c r="L3898" i="4"/>
  <c r="L3899" i="4"/>
  <c r="L3900" i="4"/>
  <c r="L3901" i="4"/>
  <c r="L3902" i="4"/>
  <c r="L3903" i="4"/>
  <c r="L3904" i="4"/>
  <c r="L3905" i="4"/>
  <c r="L3906" i="4"/>
  <c r="L3907" i="4"/>
  <c r="L3908" i="4"/>
  <c r="L3909" i="4"/>
  <c r="L3910" i="4"/>
  <c r="L3911" i="4"/>
  <c r="L3912" i="4"/>
  <c r="L3913" i="4"/>
  <c r="L3914" i="4"/>
  <c r="L3915" i="4"/>
  <c r="L3916" i="4"/>
  <c r="L3917" i="4"/>
  <c r="L3918" i="4"/>
  <c r="L3919" i="4"/>
  <c r="L3920" i="4"/>
  <c r="L3921" i="4"/>
  <c r="L3922" i="4"/>
  <c r="L3923" i="4"/>
  <c r="L3924" i="4"/>
  <c r="L3925" i="4"/>
  <c r="L3926" i="4"/>
  <c r="L3927" i="4"/>
  <c r="L3928" i="4"/>
  <c r="L3929" i="4"/>
  <c r="L3930" i="4"/>
  <c r="L3931" i="4"/>
  <c r="L3932" i="4"/>
  <c r="L3933" i="4"/>
  <c r="L3934" i="4"/>
  <c r="L3935" i="4"/>
  <c r="L3936" i="4"/>
  <c r="L3937" i="4"/>
  <c r="L3938" i="4"/>
  <c r="L3939" i="4"/>
  <c r="L3940" i="4"/>
  <c r="L3941" i="4"/>
  <c r="L3942" i="4"/>
  <c r="L3943" i="4"/>
  <c r="L3944" i="4"/>
  <c r="L3945" i="4"/>
  <c r="L3946" i="4"/>
  <c r="L3947" i="4"/>
  <c r="L3948" i="4"/>
  <c r="L3949" i="4"/>
  <c r="L3950" i="4"/>
  <c r="L3951" i="4"/>
  <c r="L3952" i="4"/>
  <c r="L3953" i="4"/>
  <c r="L3954" i="4"/>
  <c r="L3955" i="4"/>
  <c r="L3956" i="4"/>
  <c r="L3957" i="4"/>
  <c r="L3958" i="4"/>
  <c r="L3959" i="4"/>
  <c r="L3960" i="4"/>
  <c r="L3961" i="4"/>
  <c r="L3962" i="4"/>
  <c r="L3963" i="4"/>
  <c r="L3964" i="4"/>
  <c r="L3965" i="4"/>
  <c r="L3966" i="4"/>
  <c r="L3967" i="4"/>
  <c r="L3968" i="4"/>
  <c r="L3969" i="4"/>
  <c r="L3970" i="4"/>
  <c r="L3971" i="4"/>
  <c r="L3972" i="4"/>
  <c r="L3973" i="4"/>
  <c r="L3974" i="4"/>
  <c r="L3975" i="4"/>
  <c r="L3976" i="4"/>
  <c r="L3977" i="4"/>
  <c r="L3978" i="4"/>
  <c r="L3979" i="4"/>
  <c r="L3980" i="4"/>
  <c r="L3981" i="4"/>
  <c r="L3982" i="4"/>
  <c r="L3983" i="4"/>
  <c r="L3984" i="4"/>
  <c r="L3985" i="4"/>
  <c r="L3986" i="4"/>
  <c r="L3987" i="4"/>
  <c r="L3988" i="4"/>
  <c r="L3989" i="4"/>
  <c r="L3990" i="4"/>
  <c r="L3991" i="4"/>
  <c r="L3992" i="4"/>
  <c r="L3993" i="4"/>
  <c r="L3994" i="4"/>
  <c r="L3995" i="4"/>
  <c r="L3996" i="4"/>
  <c r="L3997" i="4"/>
  <c r="L3998" i="4"/>
  <c r="L3999" i="4"/>
  <c r="L4000" i="4"/>
  <c r="L4001" i="4"/>
  <c r="L4002" i="4"/>
  <c r="L4003" i="4"/>
  <c r="L4004" i="4"/>
  <c r="L4005" i="4"/>
  <c r="L4006" i="4"/>
  <c r="L4007" i="4"/>
  <c r="L4008" i="4"/>
  <c r="L4009" i="4"/>
  <c r="L4010" i="4"/>
  <c r="L4011" i="4"/>
  <c r="L4012" i="4"/>
  <c r="L4013" i="4"/>
  <c r="L4014" i="4"/>
  <c r="L4015" i="4"/>
  <c r="L4016" i="4"/>
  <c r="L4017" i="4"/>
  <c r="L4018" i="4"/>
  <c r="L4019" i="4"/>
  <c r="L4020" i="4"/>
  <c r="L4021" i="4"/>
  <c r="L4022" i="4"/>
  <c r="L4023" i="4"/>
  <c r="L4024" i="4"/>
  <c r="L4025" i="4"/>
  <c r="L4026" i="4"/>
  <c r="L4027" i="4"/>
  <c r="L4028" i="4"/>
  <c r="L4029" i="4"/>
  <c r="L4030" i="4"/>
  <c r="L4031" i="4"/>
  <c r="L4032" i="4"/>
  <c r="L4033" i="4"/>
  <c r="L4034" i="4"/>
  <c r="L4035" i="4"/>
  <c r="L4036" i="4"/>
  <c r="L4037" i="4"/>
  <c r="L4038" i="4"/>
  <c r="L4039" i="4"/>
  <c r="L4040" i="4"/>
  <c r="L4041" i="4"/>
  <c r="L4042" i="4"/>
  <c r="L4043" i="4"/>
  <c r="L4044" i="4"/>
  <c r="L4045" i="4"/>
  <c r="L4046" i="4"/>
  <c r="L4047" i="4"/>
  <c r="L4048" i="4"/>
  <c r="L4049" i="4"/>
  <c r="L4050" i="4"/>
  <c r="L4051" i="4"/>
  <c r="L4052" i="4"/>
  <c r="L4053" i="4"/>
  <c r="L4054" i="4"/>
  <c r="L4055" i="4"/>
  <c r="L4056" i="4"/>
  <c r="L4057" i="4"/>
  <c r="L4058" i="4"/>
  <c r="L4059" i="4"/>
  <c r="L4060" i="4"/>
  <c r="L4061" i="4"/>
  <c r="L4062" i="4"/>
  <c r="L4063" i="4"/>
  <c r="L4064" i="4"/>
  <c r="L4065" i="4"/>
  <c r="L4066" i="4"/>
  <c r="L4067" i="4"/>
  <c r="L4068" i="4"/>
  <c r="L4069" i="4"/>
  <c r="L4070" i="4"/>
  <c r="L4071" i="4"/>
  <c r="L4072" i="4"/>
  <c r="L4073" i="4"/>
  <c r="L4074" i="4"/>
  <c r="L4075" i="4"/>
  <c r="L4076" i="4"/>
  <c r="L4077" i="4"/>
  <c r="L4078" i="4"/>
  <c r="L4079" i="4"/>
  <c r="L4080" i="4"/>
  <c r="L4081" i="4"/>
  <c r="L4082" i="4"/>
  <c r="L4083" i="4"/>
  <c r="L4084" i="4"/>
  <c r="L4085" i="4"/>
  <c r="L4086" i="4"/>
  <c r="L4087" i="4"/>
  <c r="L4088" i="4"/>
  <c r="L4089" i="4"/>
  <c r="L4090" i="4"/>
  <c r="L4091" i="4"/>
  <c r="L4092" i="4"/>
  <c r="L4093" i="4"/>
  <c r="L4094" i="4"/>
  <c r="L4095" i="4"/>
  <c r="L4096" i="4"/>
  <c r="L4097" i="4"/>
  <c r="L4098" i="4"/>
  <c r="L4099" i="4"/>
  <c r="L4100" i="4"/>
  <c r="L4101" i="4"/>
  <c r="L4102" i="4"/>
  <c r="L4103" i="4"/>
  <c r="L4104" i="4"/>
  <c r="L4105" i="4"/>
  <c r="L4106" i="4"/>
  <c r="L4107" i="4"/>
  <c r="L4108" i="4"/>
  <c r="L4109" i="4"/>
  <c r="L4110" i="4"/>
  <c r="L4111" i="4"/>
  <c r="L4112" i="4"/>
  <c r="L4113" i="4"/>
  <c r="L4114" i="4"/>
  <c r="L4115" i="4"/>
  <c r="L4116" i="4"/>
  <c r="L4117" i="4"/>
  <c r="L4118" i="4"/>
  <c r="L4119" i="4"/>
  <c r="L4120" i="4"/>
  <c r="L4121" i="4"/>
  <c r="L4122" i="4"/>
  <c r="L4123" i="4"/>
  <c r="L4124" i="4"/>
  <c r="L4125" i="4"/>
  <c r="L4126" i="4"/>
  <c r="L4127" i="4"/>
  <c r="L4128" i="4"/>
  <c r="L4129" i="4"/>
  <c r="L4130" i="4"/>
  <c r="L4131" i="4"/>
  <c r="L4132" i="4"/>
  <c r="L4133" i="4"/>
  <c r="L4134" i="4"/>
  <c r="L4135" i="4"/>
  <c r="L4136" i="4"/>
  <c r="L4137" i="4"/>
  <c r="L4138" i="4"/>
  <c r="L4139" i="4"/>
  <c r="L4140" i="4"/>
  <c r="L4141" i="4"/>
  <c r="L4142" i="4"/>
  <c r="L4143" i="4"/>
  <c r="L4144" i="4"/>
  <c r="L4145" i="4"/>
  <c r="L4146" i="4"/>
  <c r="L4147" i="4"/>
  <c r="L4148" i="4"/>
  <c r="L4149" i="4"/>
  <c r="L4150" i="4"/>
  <c r="L4151" i="4"/>
  <c r="L4152" i="4"/>
  <c r="L4153" i="4"/>
  <c r="L4154" i="4"/>
  <c r="L4155" i="4"/>
  <c r="L4156" i="4"/>
  <c r="L4157" i="4"/>
  <c r="L4158" i="4"/>
  <c r="L4159" i="4"/>
  <c r="L4160" i="4"/>
  <c r="L4161" i="4"/>
  <c r="L4162" i="4"/>
  <c r="L4163" i="4"/>
  <c r="L4164" i="4"/>
  <c r="L4165" i="4"/>
  <c r="L4166" i="4"/>
  <c r="L4167" i="4"/>
  <c r="L4168" i="4"/>
  <c r="L4169" i="4"/>
  <c r="L4170" i="4"/>
  <c r="L4171" i="4"/>
  <c r="L4172" i="4"/>
  <c r="L4173" i="4"/>
  <c r="L4174" i="4"/>
  <c r="L4175" i="4"/>
  <c r="L4176" i="4"/>
  <c r="L4177" i="4"/>
  <c r="L4178" i="4"/>
  <c r="L4179" i="4"/>
  <c r="L4180" i="4"/>
  <c r="L4181" i="4"/>
  <c r="L4182" i="4"/>
  <c r="L4183" i="4"/>
  <c r="L4184" i="4"/>
  <c r="L4185" i="4"/>
  <c r="L4186" i="4"/>
  <c r="L4187" i="4"/>
  <c r="L4188" i="4"/>
  <c r="L4189" i="4"/>
  <c r="L4190" i="4"/>
  <c r="L4191" i="4"/>
  <c r="L4192" i="4"/>
  <c r="L4193" i="4"/>
  <c r="L4194" i="4"/>
  <c r="L4195" i="4"/>
  <c r="L4196" i="4"/>
  <c r="L4197" i="4"/>
  <c r="L4198" i="4"/>
  <c r="L4199" i="4"/>
  <c r="L4200" i="4"/>
  <c r="L4201" i="4"/>
  <c r="L4202" i="4"/>
  <c r="L4203" i="4"/>
  <c r="L4204" i="4"/>
  <c r="L4205" i="4"/>
  <c r="L4206" i="4"/>
  <c r="L4207" i="4"/>
  <c r="L4208" i="4"/>
  <c r="L4209" i="4"/>
  <c r="L4210" i="4"/>
  <c r="L4211" i="4"/>
  <c r="L4212" i="4"/>
  <c r="L4213" i="4"/>
  <c r="L4214" i="4"/>
  <c r="L4215" i="4"/>
  <c r="L4216" i="4"/>
  <c r="L4217" i="4"/>
  <c r="L4218" i="4"/>
  <c r="L4219" i="4"/>
  <c r="L4220" i="4"/>
  <c r="L4221" i="4"/>
  <c r="L4222" i="4"/>
  <c r="L4223" i="4"/>
  <c r="L4224" i="4"/>
  <c r="L4225" i="4"/>
  <c r="L4226" i="4"/>
  <c r="L4227" i="4"/>
  <c r="L4228" i="4"/>
  <c r="L4229" i="4"/>
  <c r="L4230" i="4"/>
  <c r="L4231" i="4"/>
  <c r="L4232" i="4"/>
  <c r="L4233" i="4"/>
  <c r="L4234" i="4"/>
  <c r="L4235" i="4"/>
  <c r="L4236" i="4"/>
  <c r="L4237" i="4"/>
  <c r="L4238" i="4"/>
  <c r="L4239" i="4"/>
  <c r="L4240" i="4"/>
  <c r="L4241" i="4"/>
  <c r="L4242" i="4"/>
  <c r="L4243" i="4"/>
  <c r="L4244" i="4"/>
  <c r="L4245" i="4"/>
  <c r="L4246" i="4"/>
  <c r="L4247" i="4"/>
  <c r="L4248" i="4"/>
  <c r="L4249" i="4"/>
  <c r="L4250" i="4"/>
  <c r="L4251" i="4"/>
  <c r="L4252" i="4"/>
  <c r="L4253" i="4"/>
  <c r="L4254" i="4"/>
  <c r="L4255" i="4"/>
  <c r="L4256" i="4"/>
  <c r="L4257" i="4"/>
  <c r="L4258" i="4"/>
  <c r="L4259" i="4"/>
  <c r="L4260" i="4"/>
  <c r="L4261" i="4"/>
  <c r="L4262" i="4"/>
  <c r="L4263" i="4"/>
  <c r="L4264" i="4"/>
  <c r="L4265" i="4"/>
  <c r="L4266" i="4"/>
  <c r="L4267" i="4"/>
  <c r="L4268" i="4"/>
  <c r="L4269" i="4"/>
  <c r="L4270" i="4"/>
  <c r="L4271" i="4"/>
  <c r="L4272" i="4"/>
  <c r="L4273" i="4"/>
  <c r="L4274" i="4"/>
  <c r="L4275" i="4"/>
  <c r="L4276" i="4"/>
  <c r="L4277" i="4"/>
  <c r="L4278" i="4"/>
  <c r="L4279" i="4"/>
  <c r="L4280" i="4"/>
  <c r="L4281" i="4"/>
  <c r="L4282" i="4"/>
  <c r="L4283" i="4"/>
  <c r="L4284" i="4"/>
  <c r="L4285" i="4"/>
  <c r="L4286" i="4"/>
  <c r="L4287" i="4"/>
  <c r="L4288" i="4"/>
  <c r="L4289" i="4"/>
  <c r="L4290" i="4"/>
  <c r="L4291" i="4"/>
  <c r="L4292" i="4"/>
  <c r="L4293" i="4"/>
  <c r="L4294" i="4"/>
  <c r="L4295" i="4"/>
  <c r="L4296" i="4"/>
  <c r="L4297" i="4"/>
  <c r="L4298" i="4"/>
  <c r="L4299" i="4"/>
  <c r="L4300" i="4"/>
  <c r="L4301" i="4"/>
  <c r="L4302" i="4"/>
  <c r="L4303" i="4"/>
  <c r="L4304" i="4"/>
  <c r="L4305" i="4"/>
  <c r="L4306" i="4"/>
  <c r="L4307" i="4"/>
  <c r="L4308" i="4"/>
  <c r="L4309" i="4"/>
  <c r="L4310" i="4"/>
  <c r="L4311" i="4"/>
  <c r="L4312" i="4"/>
  <c r="L4313" i="4"/>
  <c r="L4314" i="4"/>
  <c r="L4315" i="4"/>
  <c r="L4316" i="4"/>
  <c r="L4317" i="4"/>
  <c r="L4318" i="4"/>
  <c r="L4319" i="4"/>
  <c r="L4320" i="4"/>
  <c r="L4321" i="4"/>
  <c r="L4322" i="4"/>
  <c r="L4323" i="4"/>
  <c r="L4324" i="4"/>
  <c r="L4325" i="4"/>
  <c r="L4326" i="4"/>
  <c r="L4327" i="4"/>
  <c r="L4328" i="4"/>
  <c r="L4329" i="4"/>
  <c r="L4330" i="4"/>
  <c r="L4331" i="4"/>
  <c r="L4332" i="4"/>
  <c r="L4333" i="4"/>
  <c r="L4334" i="4"/>
  <c r="L4335" i="4"/>
  <c r="L4336" i="4"/>
  <c r="L4337" i="4"/>
  <c r="L4338" i="4"/>
  <c r="L4339" i="4"/>
  <c r="L4340" i="4"/>
  <c r="L4341" i="4"/>
  <c r="L4342" i="4"/>
  <c r="L4343" i="4"/>
  <c r="L4344" i="4"/>
  <c r="L4345" i="4"/>
  <c r="L4346" i="4"/>
  <c r="L4347" i="4"/>
  <c r="L4348" i="4"/>
  <c r="L4349" i="4"/>
  <c r="L4350" i="4"/>
  <c r="L4351" i="4"/>
  <c r="L4352" i="4"/>
  <c r="L4353" i="4"/>
  <c r="L4354" i="4"/>
  <c r="L4355" i="4"/>
  <c r="L4356" i="4"/>
  <c r="L4357" i="4"/>
  <c r="L4358" i="4"/>
  <c r="L4359" i="4"/>
  <c r="L4360" i="4"/>
  <c r="L4361" i="4"/>
  <c r="L4362" i="4"/>
  <c r="L4363" i="4"/>
  <c r="L4364" i="4"/>
  <c r="L4365" i="4"/>
  <c r="L4366" i="4"/>
  <c r="L4367" i="4"/>
  <c r="L4368" i="4"/>
  <c r="L4369" i="4"/>
  <c r="L4370" i="4"/>
  <c r="L4371" i="4"/>
  <c r="L4372" i="4"/>
  <c r="L4373" i="4"/>
  <c r="L4374" i="4"/>
  <c r="L4375" i="4"/>
  <c r="L4376" i="4"/>
  <c r="L4377" i="4"/>
  <c r="L4378" i="4"/>
  <c r="L4379" i="4"/>
  <c r="L4380" i="4"/>
  <c r="L4381" i="4"/>
  <c r="L4382" i="4"/>
  <c r="L4383" i="4"/>
  <c r="L4384" i="4"/>
  <c r="L4385" i="4"/>
  <c r="L4386" i="4"/>
  <c r="L4387" i="4"/>
  <c r="L4388" i="4"/>
  <c r="L4389" i="4"/>
  <c r="L4390" i="4"/>
  <c r="L4391" i="4"/>
  <c r="L4392" i="4"/>
  <c r="L4393" i="4"/>
  <c r="L4394" i="4"/>
  <c r="L4395" i="4"/>
  <c r="L4396" i="4"/>
  <c r="L4397" i="4"/>
  <c r="L4398" i="4"/>
  <c r="L4399" i="4"/>
  <c r="L4400" i="4"/>
  <c r="L4401" i="4"/>
  <c r="L4402" i="4"/>
  <c r="L4403" i="4"/>
  <c r="L4404" i="4"/>
  <c r="L4405" i="4"/>
  <c r="L4406" i="4"/>
  <c r="L4407" i="4"/>
  <c r="L4408" i="4"/>
  <c r="L4409" i="4"/>
  <c r="L4410" i="4"/>
  <c r="L4411" i="4"/>
  <c r="L4412" i="4"/>
  <c r="L4413" i="4"/>
  <c r="L4414" i="4"/>
  <c r="L4415" i="4"/>
  <c r="L4416" i="4"/>
  <c r="L4417" i="4"/>
  <c r="L4418" i="4"/>
  <c r="L4419" i="4"/>
  <c r="L4420" i="4"/>
  <c r="L4421" i="4"/>
  <c r="L4422" i="4"/>
  <c r="L4423" i="4"/>
  <c r="L4424" i="4"/>
  <c r="L4425" i="4"/>
  <c r="L4426" i="4"/>
  <c r="L4427" i="4"/>
  <c r="L4428" i="4"/>
  <c r="L4429" i="4"/>
  <c r="L4430" i="4"/>
  <c r="L4431" i="4"/>
  <c r="L4432" i="4"/>
  <c r="L4433" i="4"/>
  <c r="L4434" i="4"/>
  <c r="L4435" i="4"/>
  <c r="L4436" i="4"/>
  <c r="L4437" i="4"/>
  <c r="L4438" i="4"/>
  <c r="L4439" i="4"/>
  <c r="L4440" i="4"/>
  <c r="L4441" i="4"/>
  <c r="L4442" i="4"/>
  <c r="L4443" i="4"/>
  <c r="L4444" i="4"/>
  <c r="L4445" i="4"/>
  <c r="L4446" i="4"/>
  <c r="L4447" i="4"/>
  <c r="L4448" i="4"/>
  <c r="L4449" i="4"/>
  <c r="L4450" i="4"/>
  <c r="L4451" i="4"/>
  <c r="L4452" i="4"/>
  <c r="L4453" i="4"/>
  <c r="L4454" i="4"/>
  <c r="L4455" i="4"/>
  <c r="L4456" i="4"/>
  <c r="L4457" i="4"/>
  <c r="L4458" i="4"/>
  <c r="L4459" i="4"/>
  <c r="L4460" i="4"/>
  <c r="L4461" i="4"/>
  <c r="L4462" i="4"/>
  <c r="L4463" i="4"/>
  <c r="L4464" i="4"/>
  <c r="L4465" i="4"/>
  <c r="L4466" i="4"/>
  <c r="L4467" i="4"/>
  <c r="L4468" i="4"/>
  <c r="L4469" i="4"/>
  <c r="L4470" i="4"/>
  <c r="L4471" i="4"/>
  <c r="L4472" i="4"/>
  <c r="L4473" i="4"/>
  <c r="L4474" i="4"/>
  <c r="L4475" i="4"/>
  <c r="L4476" i="4"/>
  <c r="L4477" i="4"/>
  <c r="L4478" i="4"/>
  <c r="L4479" i="4"/>
  <c r="L4480" i="4"/>
  <c r="L4481" i="4"/>
  <c r="L4482" i="4"/>
  <c r="L4483" i="4"/>
  <c r="L4484" i="4"/>
  <c r="L4485" i="4"/>
  <c r="L4486" i="4"/>
  <c r="L4487" i="4"/>
  <c r="L4488" i="4"/>
  <c r="L4489" i="4"/>
  <c r="L4490" i="4"/>
  <c r="L4491" i="4"/>
  <c r="L4492" i="4"/>
  <c r="L4493" i="4"/>
  <c r="L4494" i="4"/>
  <c r="L4495" i="4"/>
  <c r="L4496" i="4"/>
  <c r="L4497" i="4"/>
  <c r="L4498" i="4"/>
  <c r="L4499" i="4"/>
  <c r="L4500" i="4"/>
  <c r="L4501" i="4"/>
  <c r="L4502" i="4"/>
  <c r="L4503" i="4"/>
  <c r="L4504" i="4"/>
  <c r="L4505" i="4"/>
  <c r="L4506" i="4"/>
  <c r="L4507" i="4"/>
  <c r="L4508" i="4"/>
  <c r="L4509" i="4"/>
  <c r="L4510" i="4"/>
  <c r="L4511" i="4"/>
  <c r="L4512" i="4"/>
  <c r="L4513" i="4"/>
  <c r="L4514" i="4"/>
  <c r="L4515" i="4"/>
  <c r="L4516" i="4"/>
  <c r="L4517" i="4"/>
  <c r="L4518" i="4"/>
  <c r="L4519" i="4"/>
  <c r="L4520" i="4"/>
  <c r="L4521" i="4"/>
  <c r="L4522" i="4"/>
  <c r="L4523" i="4"/>
  <c r="L4524" i="4"/>
  <c r="L4525" i="4"/>
  <c r="L4526" i="4"/>
  <c r="L4527" i="4"/>
  <c r="L4528" i="4"/>
  <c r="L4529" i="4"/>
  <c r="L4530" i="4"/>
  <c r="L4531" i="4"/>
  <c r="L4532" i="4"/>
  <c r="L4533" i="4"/>
  <c r="L4534" i="4"/>
  <c r="L4535" i="4"/>
  <c r="L4536" i="4"/>
  <c r="L4537" i="4"/>
  <c r="L4538" i="4"/>
  <c r="L4539" i="4"/>
  <c r="L4540" i="4"/>
  <c r="L4541" i="4"/>
  <c r="L4542" i="4"/>
  <c r="L4543" i="4"/>
  <c r="L4544" i="4"/>
  <c r="L4545" i="4"/>
  <c r="L4546" i="4"/>
  <c r="L4547" i="4"/>
  <c r="L4548" i="4"/>
  <c r="L4549" i="4"/>
  <c r="L4550" i="4"/>
  <c r="L4551" i="4"/>
  <c r="L4552" i="4"/>
  <c r="L4553" i="4"/>
  <c r="L4554" i="4"/>
  <c r="L4555" i="4"/>
  <c r="L4556" i="4"/>
  <c r="L4557" i="4"/>
  <c r="L4558" i="4"/>
  <c r="L4559" i="4"/>
  <c r="L4560" i="4"/>
  <c r="L4561" i="4"/>
  <c r="L4562" i="4"/>
  <c r="L4563" i="4"/>
  <c r="L4564" i="4"/>
  <c r="L4565" i="4"/>
  <c r="L4566" i="4"/>
  <c r="L4567" i="4"/>
  <c r="L4568" i="4"/>
  <c r="L4569" i="4"/>
  <c r="L4570" i="4"/>
  <c r="L4571" i="4"/>
  <c r="L4572" i="4"/>
  <c r="L4573" i="4"/>
  <c r="L4574" i="4"/>
  <c r="L4575" i="4"/>
  <c r="L4576" i="4"/>
  <c r="L4577" i="4"/>
  <c r="L4578" i="4"/>
  <c r="L4579" i="4"/>
  <c r="L4580" i="4"/>
  <c r="L4581" i="4"/>
  <c r="L4582" i="4"/>
  <c r="L4583" i="4"/>
  <c r="L4584" i="4"/>
  <c r="L4585" i="4"/>
  <c r="L4586" i="4"/>
  <c r="L4587" i="4"/>
  <c r="L4588" i="4"/>
  <c r="L4589" i="4"/>
  <c r="L4590" i="4"/>
  <c r="L4591" i="4"/>
  <c r="L4592" i="4"/>
  <c r="L4593" i="4"/>
  <c r="L4594" i="4"/>
  <c r="L4595" i="4"/>
  <c r="L4596" i="4"/>
  <c r="L4597" i="4"/>
  <c r="L4598" i="4"/>
  <c r="L4599" i="4"/>
  <c r="L4600" i="4"/>
  <c r="L4601" i="4"/>
  <c r="L4602" i="4"/>
  <c r="L4603" i="4"/>
  <c r="L4604" i="4"/>
  <c r="L4605" i="4"/>
  <c r="L4606" i="4"/>
  <c r="L4607" i="4"/>
  <c r="L4608" i="4"/>
  <c r="L4609" i="4"/>
  <c r="L4610" i="4"/>
  <c r="L4611" i="4"/>
  <c r="L4612" i="4"/>
  <c r="L4613" i="4"/>
  <c r="L4614" i="4"/>
  <c r="L4615" i="4"/>
  <c r="L4616" i="4"/>
  <c r="L4617" i="4"/>
  <c r="L4618" i="4"/>
  <c r="L4619" i="4"/>
  <c r="L4620" i="4"/>
  <c r="L4621" i="4"/>
  <c r="L4622" i="4"/>
  <c r="L4623" i="4"/>
  <c r="L4624" i="4"/>
  <c r="L4625" i="4"/>
  <c r="L4626" i="4"/>
  <c r="L4627" i="4"/>
  <c r="L4628" i="4"/>
  <c r="L4629" i="4"/>
  <c r="L4630" i="4"/>
  <c r="L4631" i="4"/>
  <c r="L4632" i="4"/>
  <c r="L4633" i="4"/>
  <c r="L4634" i="4"/>
  <c r="L4635" i="4"/>
  <c r="L4636" i="4"/>
  <c r="L4637" i="4"/>
  <c r="L4638" i="4"/>
  <c r="L4639" i="4"/>
  <c r="L4640" i="4"/>
  <c r="L4641" i="4"/>
  <c r="L4642" i="4"/>
  <c r="L4643" i="4"/>
  <c r="L4644" i="4"/>
  <c r="L4645" i="4"/>
  <c r="L4646" i="4"/>
  <c r="L4647" i="4"/>
  <c r="L4648" i="4"/>
  <c r="L4649" i="4"/>
  <c r="L4650" i="4"/>
  <c r="L4651" i="4"/>
  <c r="L4652" i="4"/>
  <c r="L4653" i="4"/>
  <c r="L4654" i="4"/>
  <c r="L4655" i="4"/>
  <c r="L4656" i="4"/>
  <c r="L4657" i="4"/>
  <c r="L4658" i="4"/>
  <c r="L4659" i="4"/>
  <c r="L4660" i="4"/>
  <c r="L4661" i="4"/>
  <c r="L4662" i="4"/>
  <c r="L4663" i="4"/>
  <c r="L4664" i="4"/>
  <c r="L4665" i="4"/>
  <c r="L4666" i="4"/>
  <c r="L4667" i="4"/>
  <c r="L4668" i="4"/>
  <c r="L4669" i="4"/>
  <c r="L4670" i="4"/>
  <c r="L4671" i="4"/>
  <c r="L4672" i="4"/>
  <c r="L4673" i="4"/>
  <c r="L4674" i="4"/>
  <c r="L4675" i="4"/>
  <c r="L4676" i="4"/>
  <c r="L4677" i="4"/>
  <c r="L4678" i="4"/>
  <c r="L4679" i="4"/>
  <c r="L4680" i="4"/>
  <c r="L4681" i="4"/>
  <c r="L4682" i="4"/>
  <c r="L4683" i="4"/>
  <c r="L4684" i="4"/>
  <c r="L4685" i="4"/>
  <c r="L4686" i="4"/>
  <c r="L4687" i="4"/>
  <c r="L4688" i="4"/>
  <c r="L4689" i="4"/>
  <c r="L4690" i="4"/>
  <c r="L4691" i="4"/>
  <c r="L4692" i="4"/>
  <c r="L4693" i="4"/>
  <c r="L4694" i="4"/>
  <c r="L4695" i="4"/>
  <c r="L4696" i="4"/>
  <c r="L4697" i="4"/>
  <c r="L4698" i="4"/>
  <c r="L4699" i="4"/>
  <c r="L4700" i="4"/>
  <c r="L4701" i="4"/>
  <c r="L4702" i="4"/>
  <c r="L4703" i="4"/>
  <c r="L4704" i="4"/>
  <c r="L4705" i="4"/>
  <c r="L4706" i="4"/>
  <c r="L4707" i="4"/>
  <c r="L4708" i="4"/>
  <c r="L4709" i="4"/>
  <c r="L4710" i="4"/>
  <c r="L4711" i="4"/>
  <c r="L4712" i="4"/>
  <c r="L4713" i="4"/>
  <c r="L4714" i="4"/>
  <c r="L4715" i="4"/>
  <c r="L4716" i="4"/>
  <c r="L4717" i="4"/>
  <c r="L4718" i="4"/>
  <c r="L4719" i="4"/>
  <c r="L4720" i="4"/>
  <c r="L4721" i="4"/>
  <c r="L4722" i="4"/>
  <c r="L4723" i="4"/>
  <c r="L4724" i="4"/>
  <c r="L4725" i="4"/>
  <c r="L4726" i="4"/>
  <c r="L4727" i="4"/>
  <c r="L4728" i="4"/>
  <c r="L4729" i="4"/>
  <c r="L4730" i="4"/>
  <c r="L4731" i="4"/>
  <c r="L4732" i="4"/>
  <c r="L4733" i="4"/>
  <c r="L4734" i="4"/>
  <c r="L4735" i="4"/>
  <c r="L4736" i="4"/>
  <c r="L4737" i="4"/>
  <c r="L4738" i="4"/>
  <c r="L4739" i="4"/>
  <c r="L4740" i="4"/>
  <c r="L4741" i="4"/>
  <c r="L4742" i="4"/>
  <c r="L4743" i="4"/>
  <c r="L4744" i="4"/>
  <c r="L4745" i="4"/>
  <c r="L4746" i="4"/>
  <c r="L4747" i="4"/>
  <c r="L4748" i="4"/>
  <c r="L4749" i="4"/>
  <c r="L4750" i="4"/>
  <c r="L4751" i="4"/>
  <c r="L4752" i="4"/>
  <c r="L4753" i="4"/>
  <c r="L4754" i="4"/>
  <c r="L4755" i="4"/>
  <c r="L4756" i="4"/>
  <c r="L4757" i="4"/>
  <c r="L4758" i="4"/>
  <c r="L4759" i="4"/>
  <c r="L4760" i="4"/>
  <c r="L4761" i="4"/>
  <c r="L4762" i="4"/>
  <c r="L4763" i="4"/>
  <c r="L4764" i="4"/>
  <c r="L4765" i="4"/>
  <c r="L4766" i="4"/>
  <c r="L4767" i="4"/>
  <c r="L4768" i="4"/>
  <c r="L4769" i="4"/>
  <c r="L4770" i="4"/>
  <c r="L4771" i="4"/>
  <c r="L4772" i="4"/>
  <c r="L4773" i="4"/>
  <c r="L4774" i="4"/>
  <c r="L4775" i="4"/>
  <c r="L4776" i="4"/>
  <c r="L4777" i="4"/>
  <c r="L4778" i="4"/>
  <c r="L4779" i="4"/>
  <c r="L4780" i="4"/>
  <c r="L4781" i="4"/>
  <c r="L4782" i="4"/>
  <c r="L4783" i="4"/>
  <c r="L4784" i="4"/>
  <c r="L4785" i="4"/>
  <c r="L4786" i="4"/>
  <c r="L4787" i="4"/>
  <c r="L4788" i="4"/>
  <c r="L4789" i="4"/>
  <c r="L4790" i="4"/>
  <c r="L4791" i="4"/>
  <c r="L4792" i="4"/>
  <c r="L4793" i="4"/>
  <c r="L4794" i="4"/>
  <c r="L4795" i="4"/>
  <c r="L4796" i="4"/>
  <c r="L4797" i="4"/>
  <c r="L4798" i="4"/>
  <c r="L4799" i="4"/>
  <c r="L4800" i="4"/>
  <c r="L4801" i="4"/>
  <c r="L4802" i="4"/>
  <c r="L4803" i="4"/>
  <c r="L4804" i="4"/>
  <c r="L4805" i="4"/>
  <c r="L4806" i="4"/>
  <c r="L4807" i="4"/>
  <c r="L4808" i="4"/>
  <c r="L4809" i="4"/>
  <c r="L4810" i="4"/>
  <c r="L4811" i="4"/>
  <c r="L4812" i="4"/>
  <c r="L4813" i="4"/>
  <c r="L4814" i="4"/>
  <c r="L4815" i="4"/>
  <c r="L4816" i="4"/>
  <c r="L4817" i="4"/>
  <c r="L4818" i="4"/>
  <c r="L4819" i="4"/>
  <c r="L4820" i="4"/>
  <c r="L4821" i="4"/>
  <c r="L4822" i="4"/>
  <c r="L4823" i="4"/>
  <c r="L4824" i="4"/>
  <c r="L4825" i="4"/>
  <c r="L4826" i="4"/>
  <c r="L4827" i="4"/>
  <c r="L4828" i="4"/>
  <c r="L4829" i="4"/>
  <c r="L4830" i="4"/>
  <c r="L4831" i="4"/>
  <c r="L4832" i="4"/>
  <c r="L4833" i="4"/>
  <c r="L4834" i="4"/>
  <c r="L4835" i="4"/>
  <c r="L4836" i="4"/>
  <c r="L4837" i="4"/>
  <c r="L4838" i="4"/>
  <c r="L4839" i="4"/>
  <c r="L4840" i="4"/>
  <c r="L4841" i="4"/>
  <c r="L4842" i="4"/>
  <c r="L4843" i="4"/>
  <c r="L4844" i="4"/>
  <c r="L4845" i="4"/>
  <c r="L4846" i="4"/>
  <c r="L4847" i="4"/>
  <c r="L4848" i="4"/>
  <c r="L4849" i="4"/>
  <c r="L4850" i="4"/>
  <c r="L4851" i="4"/>
  <c r="L4852" i="4"/>
  <c r="L4853" i="4"/>
  <c r="L4854" i="4"/>
  <c r="L4855" i="4"/>
  <c r="L4856" i="4"/>
  <c r="L4857" i="4"/>
  <c r="L4858" i="4"/>
  <c r="L4859" i="4"/>
  <c r="L4860" i="4"/>
  <c r="L4861" i="4"/>
  <c r="L4862" i="4"/>
  <c r="L4863" i="4"/>
  <c r="L4864" i="4"/>
  <c r="L4865" i="4"/>
  <c r="L4866" i="4"/>
  <c r="L4867" i="4"/>
  <c r="L4868" i="4"/>
  <c r="L4869" i="4"/>
  <c r="L4870" i="4"/>
  <c r="L4871" i="4"/>
  <c r="L4872" i="4"/>
  <c r="L4873" i="4"/>
  <c r="L4874" i="4"/>
  <c r="L4875" i="4"/>
  <c r="L4876" i="4"/>
  <c r="L4877" i="4"/>
  <c r="L4878" i="4"/>
  <c r="L4879" i="4"/>
  <c r="L4880" i="4"/>
  <c r="L4881" i="4"/>
  <c r="L4882" i="4"/>
  <c r="L4883" i="4"/>
  <c r="L4884" i="4"/>
  <c r="L4885" i="4"/>
  <c r="L4886" i="4"/>
  <c r="L4887" i="4"/>
  <c r="L4888" i="4"/>
  <c r="L4889" i="4"/>
  <c r="L4890" i="4"/>
  <c r="L4891" i="4"/>
  <c r="L4892" i="4"/>
  <c r="L4893" i="4"/>
  <c r="L4894" i="4"/>
  <c r="L4895" i="4"/>
  <c r="L4896" i="4"/>
  <c r="L4897" i="4"/>
  <c r="L4898" i="4"/>
  <c r="L4899" i="4"/>
  <c r="L4900" i="4"/>
  <c r="L4901" i="4"/>
  <c r="L4902" i="4"/>
  <c r="L4903" i="4"/>
  <c r="L4904" i="4"/>
  <c r="L4905" i="4"/>
  <c r="L4906" i="4"/>
  <c r="L4907" i="4"/>
  <c r="L4908" i="4"/>
  <c r="L4909" i="4"/>
  <c r="L4910" i="4"/>
  <c r="L4911" i="4"/>
  <c r="L4912" i="4"/>
  <c r="L4913" i="4"/>
  <c r="L4914" i="4"/>
  <c r="L4915" i="4"/>
  <c r="L4916" i="4"/>
  <c r="L4917" i="4"/>
  <c r="L4918" i="4"/>
  <c r="L4919" i="4"/>
  <c r="L4920" i="4"/>
  <c r="L4921" i="4"/>
  <c r="L4922" i="4"/>
  <c r="L4923" i="4"/>
  <c r="L4924" i="4"/>
  <c r="L4925" i="4"/>
  <c r="L4926" i="4"/>
  <c r="L4927" i="4"/>
  <c r="L4928" i="4"/>
  <c r="L4929" i="4"/>
  <c r="L4930" i="4"/>
  <c r="L4931" i="4"/>
  <c r="L4932" i="4"/>
  <c r="L4933" i="4"/>
  <c r="L4934" i="4"/>
  <c r="L4935" i="4"/>
  <c r="L4936" i="4"/>
  <c r="L4937" i="4"/>
  <c r="L4938" i="4"/>
  <c r="L4939" i="4"/>
  <c r="L4940" i="4"/>
  <c r="L4941" i="4"/>
  <c r="L4942" i="4"/>
  <c r="L4943" i="4"/>
  <c r="L4944" i="4"/>
  <c r="L4945" i="4"/>
  <c r="L4946" i="4"/>
  <c r="L4947" i="4"/>
  <c r="L4948" i="4"/>
  <c r="L4949" i="4"/>
  <c r="L4950" i="4"/>
  <c r="L4951" i="4"/>
  <c r="L4952" i="4"/>
  <c r="L4953" i="4"/>
  <c r="L4954" i="4"/>
  <c r="L4955" i="4"/>
  <c r="L4956" i="4"/>
  <c r="L4957" i="4"/>
  <c r="L4958" i="4"/>
  <c r="L4959" i="4"/>
  <c r="L8" i="4"/>
  <c r="P9" i="4"/>
  <c r="Q9" i="4" s="1"/>
  <c r="R9" i="4" s="1"/>
  <c r="P11" i="4"/>
  <c r="Q11" i="4" s="1"/>
  <c r="R11" i="4" s="1"/>
  <c r="P12" i="4"/>
  <c r="Q12" i="4" s="1"/>
  <c r="R12" i="4" s="1"/>
  <c r="P13" i="4"/>
  <c r="Q13" i="4" s="1"/>
  <c r="R13" i="4" s="1"/>
  <c r="P14" i="4"/>
  <c r="Q14" i="4" s="1"/>
  <c r="R14" i="4" s="1"/>
  <c r="P15" i="4"/>
  <c r="Q15" i="4" s="1"/>
  <c r="R15" i="4" s="1"/>
  <c r="P16" i="4"/>
  <c r="Q16" i="4" s="1"/>
  <c r="R16" i="4" s="1"/>
  <c r="P17" i="4"/>
  <c r="Q17" i="4" s="1"/>
  <c r="R17" i="4" s="1"/>
  <c r="P18" i="4"/>
  <c r="Q18" i="4" s="1"/>
  <c r="R18" i="4" s="1"/>
  <c r="P19" i="4"/>
  <c r="Q19" i="4" s="1"/>
  <c r="R19" i="4" s="1"/>
  <c r="P20" i="4"/>
  <c r="Q20" i="4" s="1"/>
  <c r="R20" i="4" s="1"/>
  <c r="P21" i="4"/>
  <c r="Q21" i="4" s="1"/>
  <c r="R21" i="4" s="1"/>
  <c r="P22" i="4"/>
  <c r="Q22" i="4" s="1"/>
  <c r="R22" i="4" s="1"/>
  <c r="P23" i="4"/>
  <c r="Q23" i="4" s="1"/>
  <c r="R23" i="4" s="1"/>
  <c r="P24" i="4"/>
  <c r="Q24" i="4" s="1"/>
  <c r="R24" i="4" s="1"/>
  <c r="P25" i="4"/>
  <c r="Q25" i="4" s="1"/>
  <c r="R25" i="4" s="1"/>
  <c r="P26" i="4"/>
  <c r="Q26" i="4" s="1"/>
  <c r="R26" i="4" s="1"/>
  <c r="P27" i="4"/>
  <c r="Q27" i="4" s="1"/>
  <c r="R27" i="4" s="1"/>
  <c r="P28" i="4"/>
  <c r="Q28" i="4" s="1"/>
  <c r="R28" i="4" s="1"/>
  <c r="P29" i="4"/>
  <c r="Q29" i="4" s="1"/>
  <c r="R29" i="4" s="1"/>
  <c r="P30" i="4"/>
  <c r="Q30" i="4" s="1"/>
  <c r="R30" i="4" s="1"/>
  <c r="P31" i="4"/>
  <c r="Q31" i="4" s="1"/>
  <c r="R31" i="4" s="1"/>
  <c r="P32" i="4"/>
  <c r="Q32" i="4" s="1"/>
  <c r="R32" i="4" s="1"/>
  <c r="P33" i="4"/>
  <c r="Q33" i="4" s="1"/>
  <c r="R33" i="4" s="1"/>
  <c r="P34" i="4"/>
  <c r="Q34" i="4" s="1"/>
  <c r="R34" i="4" s="1"/>
  <c r="P35" i="4"/>
  <c r="Q35" i="4" s="1"/>
  <c r="R35" i="4" s="1"/>
  <c r="P36" i="4"/>
  <c r="Q36" i="4" s="1"/>
  <c r="R36" i="4" s="1"/>
  <c r="P37" i="4"/>
  <c r="Q37" i="4" s="1"/>
  <c r="R37" i="4" s="1"/>
  <c r="P38" i="4"/>
  <c r="Q38" i="4" s="1"/>
  <c r="R38" i="4" s="1"/>
  <c r="P39" i="4"/>
  <c r="P40" i="4"/>
  <c r="Q40" i="4" s="1"/>
  <c r="R40" i="4" s="1"/>
  <c r="P41" i="4"/>
  <c r="Q41" i="4" s="1"/>
  <c r="R41" i="4" s="1"/>
  <c r="P42" i="4"/>
  <c r="Q42" i="4" s="1"/>
  <c r="R42" i="4" s="1"/>
  <c r="P43" i="4"/>
  <c r="Q43" i="4" s="1"/>
  <c r="R43" i="4" s="1"/>
  <c r="P44" i="4"/>
  <c r="Q44" i="4" s="1"/>
  <c r="R44" i="4" s="1"/>
  <c r="P45" i="4"/>
  <c r="Q45" i="4" s="1"/>
  <c r="R45" i="4" s="1"/>
  <c r="P46" i="4"/>
  <c r="Q46" i="4" s="1"/>
  <c r="R46" i="4" s="1"/>
  <c r="P47" i="4"/>
  <c r="Q47" i="4" s="1"/>
  <c r="R47" i="4" s="1"/>
  <c r="P48" i="4"/>
  <c r="Q48" i="4" s="1"/>
  <c r="R48" i="4" s="1"/>
  <c r="P49" i="4"/>
  <c r="Q49" i="4" s="1"/>
  <c r="R49" i="4" s="1"/>
  <c r="P50" i="4"/>
  <c r="Q50" i="4" s="1"/>
  <c r="R50" i="4" s="1"/>
  <c r="P51" i="4"/>
  <c r="Q51" i="4" s="1"/>
  <c r="R51" i="4" s="1"/>
  <c r="P52" i="4"/>
  <c r="Q52" i="4" s="1"/>
  <c r="R52" i="4" s="1"/>
  <c r="P53" i="4"/>
  <c r="Q53" i="4" s="1"/>
  <c r="R53" i="4" s="1"/>
  <c r="P54" i="4"/>
  <c r="Q54" i="4" s="1"/>
  <c r="R54" i="4" s="1"/>
  <c r="P55" i="4"/>
  <c r="Q55" i="4" s="1"/>
  <c r="R55" i="4" s="1"/>
  <c r="P56" i="4"/>
  <c r="Q56" i="4" s="1"/>
  <c r="R56" i="4" s="1"/>
  <c r="P57" i="4"/>
  <c r="Q57" i="4" s="1"/>
  <c r="R57" i="4" s="1"/>
  <c r="P58" i="4"/>
  <c r="Q58" i="4" s="1"/>
  <c r="R58" i="4" s="1"/>
  <c r="P59" i="4"/>
  <c r="Q59" i="4" s="1"/>
  <c r="R59" i="4" s="1"/>
  <c r="P60" i="4"/>
  <c r="Q60" i="4" s="1"/>
  <c r="R60" i="4" s="1"/>
  <c r="P61" i="4"/>
  <c r="Q61" i="4" s="1"/>
  <c r="R61" i="4" s="1"/>
  <c r="P62" i="4"/>
  <c r="Q62" i="4" s="1"/>
  <c r="R62" i="4" s="1"/>
  <c r="P63" i="4"/>
  <c r="Q63" i="4" s="1"/>
  <c r="R63" i="4" s="1"/>
  <c r="P64" i="4"/>
  <c r="Q64" i="4" s="1"/>
  <c r="R64" i="4" s="1"/>
  <c r="P65" i="4"/>
  <c r="Q65" i="4" s="1"/>
  <c r="R65" i="4" s="1"/>
  <c r="P66" i="4"/>
  <c r="Q66" i="4" s="1"/>
  <c r="R66" i="4" s="1"/>
  <c r="P67" i="4"/>
  <c r="Q67" i="4" s="1"/>
  <c r="R67" i="4" s="1"/>
  <c r="P68" i="4"/>
  <c r="Q68" i="4" s="1"/>
  <c r="R68" i="4" s="1"/>
  <c r="P69" i="4"/>
  <c r="Q69" i="4" s="1"/>
  <c r="R69" i="4" s="1"/>
  <c r="P70" i="4"/>
  <c r="Q70" i="4" s="1"/>
  <c r="R70" i="4" s="1"/>
  <c r="P71" i="4"/>
  <c r="Q71" i="4" s="1"/>
  <c r="R71" i="4" s="1"/>
  <c r="P72" i="4"/>
  <c r="Q72" i="4" s="1"/>
  <c r="R72" i="4" s="1"/>
  <c r="P73" i="4"/>
  <c r="Q73" i="4" s="1"/>
  <c r="R73" i="4" s="1"/>
  <c r="P74" i="4"/>
  <c r="Q74" i="4" s="1"/>
  <c r="R74" i="4" s="1"/>
  <c r="P75" i="4"/>
  <c r="Q75" i="4" s="1"/>
  <c r="R75" i="4" s="1"/>
  <c r="P76" i="4"/>
  <c r="Q76" i="4" s="1"/>
  <c r="R76" i="4" s="1"/>
  <c r="P77" i="4"/>
  <c r="Q77" i="4" s="1"/>
  <c r="R77" i="4" s="1"/>
  <c r="P78" i="4"/>
  <c r="Q78" i="4" s="1"/>
  <c r="R78" i="4" s="1"/>
  <c r="P79" i="4"/>
  <c r="Q79" i="4" s="1"/>
  <c r="R79" i="4" s="1"/>
  <c r="P80" i="4"/>
  <c r="Q80" i="4" s="1"/>
  <c r="R80" i="4" s="1"/>
  <c r="P81" i="4"/>
  <c r="Q81" i="4" s="1"/>
  <c r="R81" i="4" s="1"/>
  <c r="P82" i="4"/>
  <c r="Q82" i="4" s="1"/>
  <c r="R82" i="4" s="1"/>
  <c r="P83" i="4"/>
  <c r="Q83" i="4" s="1"/>
  <c r="R83" i="4" s="1"/>
  <c r="P84" i="4"/>
  <c r="Q84" i="4" s="1"/>
  <c r="R84" i="4" s="1"/>
  <c r="P85" i="4"/>
  <c r="Q85" i="4" s="1"/>
  <c r="R85" i="4" s="1"/>
  <c r="P86" i="4"/>
  <c r="Q86" i="4" s="1"/>
  <c r="R86" i="4" s="1"/>
  <c r="P87" i="4"/>
  <c r="Q87" i="4" s="1"/>
  <c r="R87" i="4" s="1"/>
  <c r="P88" i="4"/>
  <c r="Q88" i="4" s="1"/>
  <c r="R88" i="4" s="1"/>
  <c r="P89" i="4"/>
  <c r="Q89" i="4" s="1"/>
  <c r="R89" i="4" s="1"/>
  <c r="P90" i="4"/>
  <c r="Q90" i="4" s="1"/>
  <c r="R90" i="4" s="1"/>
  <c r="P91" i="4"/>
  <c r="Q91" i="4" s="1"/>
  <c r="R91" i="4" s="1"/>
  <c r="P92" i="4"/>
  <c r="Q92" i="4" s="1"/>
  <c r="R92" i="4" s="1"/>
  <c r="P93" i="4"/>
  <c r="Q93" i="4" s="1"/>
  <c r="R93" i="4" s="1"/>
  <c r="P94" i="4"/>
  <c r="Q94" i="4" s="1"/>
  <c r="R94" i="4" s="1"/>
  <c r="P95" i="4"/>
  <c r="Q95" i="4" s="1"/>
  <c r="R95" i="4" s="1"/>
  <c r="P96" i="4"/>
  <c r="Q96" i="4" s="1"/>
  <c r="R96" i="4" s="1"/>
  <c r="P97" i="4"/>
  <c r="Q97" i="4" s="1"/>
  <c r="R97" i="4" s="1"/>
  <c r="P98" i="4"/>
  <c r="Q98" i="4" s="1"/>
  <c r="R98" i="4" s="1"/>
  <c r="P99" i="4"/>
  <c r="Q99" i="4" s="1"/>
  <c r="R99" i="4" s="1"/>
  <c r="P100" i="4"/>
  <c r="Q100" i="4" s="1"/>
  <c r="R100" i="4" s="1"/>
  <c r="P101" i="4"/>
  <c r="Q101" i="4" s="1"/>
  <c r="R101" i="4" s="1"/>
  <c r="P102" i="4"/>
  <c r="Q102" i="4" s="1"/>
  <c r="R102" i="4" s="1"/>
  <c r="P103" i="4"/>
  <c r="Q103" i="4" s="1"/>
  <c r="R103" i="4" s="1"/>
  <c r="P104" i="4"/>
  <c r="Q104" i="4" s="1"/>
  <c r="R104" i="4" s="1"/>
  <c r="P105" i="4"/>
  <c r="Q105" i="4" s="1"/>
  <c r="R105" i="4" s="1"/>
  <c r="P106" i="4"/>
  <c r="Q106" i="4" s="1"/>
  <c r="R106" i="4" s="1"/>
  <c r="P107" i="4"/>
  <c r="Q107" i="4" s="1"/>
  <c r="R107" i="4" s="1"/>
  <c r="P108" i="4"/>
  <c r="Q108" i="4" s="1"/>
  <c r="R108" i="4" s="1"/>
  <c r="P109" i="4"/>
  <c r="Q109" i="4" s="1"/>
  <c r="R109" i="4" s="1"/>
  <c r="P110" i="4"/>
  <c r="Q110" i="4" s="1"/>
  <c r="R110" i="4" s="1"/>
  <c r="P111" i="4"/>
  <c r="Q111" i="4" s="1"/>
  <c r="R111" i="4" s="1"/>
  <c r="P112" i="4"/>
  <c r="Q112" i="4" s="1"/>
  <c r="R112" i="4" s="1"/>
  <c r="P113" i="4"/>
  <c r="Q113" i="4" s="1"/>
  <c r="R113" i="4" s="1"/>
  <c r="P114" i="4"/>
  <c r="Q114" i="4" s="1"/>
  <c r="R114" i="4" s="1"/>
  <c r="P115" i="4"/>
  <c r="Q115" i="4" s="1"/>
  <c r="R115" i="4" s="1"/>
  <c r="P116" i="4"/>
  <c r="Q116" i="4" s="1"/>
  <c r="R116" i="4" s="1"/>
  <c r="P117" i="4"/>
  <c r="Q117" i="4" s="1"/>
  <c r="R117" i="4" s="1"/>
  <c r="P118" i="4"/>
  <c r="Q118" i="4" s="1"/>
  <c r="R118" i="4" s="1"/>
  <c r="P119" i="4"/>
  <c r="Q119" i="4" s="1"/>
  <c r="R119" i="4" s="1"/>
  <c r="P120" i="4"/>
  <c r="Q120" i="4" s="1"/>
  <c r="R120" i="4" s="1"/>
  <c r="P121" i="4"/>
  <c r="Q121" i="4" s="1"/>
  <c r="R121" i="4" s="1"/>
  <c r="P122" i="4"/>
  <c r="Q122" i="4" s="1"/>
  <c r="R122" i="4" s="1"/>
  <c r="P123" i="4"/>
  <c r="Q123" i="4" s="1"/>
  <c r="R123" i="4" s="1"/>
  <c r="P124" i="4"/>
  <c r="Q124" i="4" s="1"/>
  <c r="R124" i="4" s="1"/>
  <c r="P125" i="4"/>
  <c r="Q125" i="4" s="1"/>
  <c r="R125" i="4" s="1"/>
  <c r="P126" i="4"/>
  <c r="Q126" i="4" s="1"/>
  <c r="R126" i="4" s="1"/>
  <c r="P127" i="4"/>
  <c r="Q127" i="4" s="1"/>
  <c r="R127" i="4" s="1"/>
  <c r="P128" i="4"/>
  <c r="Q128" i="4" s="1"/>
  <c r="R128" i="4" s="1"/>
  <c r="P129" i="4"/>
  <c r="Q129" i="4" s="1"/>
  <c r="R129" i="4" s="1"/>
  <c r="P130" i="4"/>
  <c r="Q130" i="4" s="1"/>
  <c r="R130" i="4" s="1"/>
  <c r="P131" i="4"/>
  <c r="Q131" i="4" s="1"/>
  <c r="R131" i="4" s="1"/>
  <c r="P132" i="4"/>
  <c r="Q132" i="4" s="1"/>
  <c r="R132" i="4" s="1"/>
  <c r="P133" i="4"/>
  <c r="Q133" i="4" s="1"/>
  <c r="R133" i="4" s="1"/>
  <c r="P134" i="4"/>
  <c r="Q134" i="4" s="1"/>
  <c r="R134" i="4" s="1"/>
  <c r="P135" i="4"/>
  <c r="Q135" i="4" s="1"/>
  <c r="R135" i="4" s="1"/>
  <c r="P136" i="4"/>
  <c r="Q136" i="4" s="1"/>
  <c r="R136" i="4" s="1"/>
  <c r="P137" i="4"/>
  <c r="Q137" i="4" s="1"/>
  <c r="R137" i="4" s="1"/>
  <c r="P138" i="4"/>
  <c r="Q138" i="4" s="1"/>
  <c r="R138" i="4" s="1"/>
  <c r="P139" i="4"/>
  <c r="Q139" i="4" s="1"/>
  <c r="R139" i="4" s="1"/>
  <c r="P140" i="4"/>
  <c r="Q140" i="4" s="1"/>
  <c r="R140" i="4" s="1"/>
  <c r="P141" i="4"/>
  <c r="Q141" i="4" s="1"/>
  <c r="R141" i="4" s="1"/>
  <c r="P142" i="4"/>
  <c r="Q142" i="4" s="1"/>
  <c r="R142" i="4" s="1"/>
  <c r="P143" i="4"/>
  <c r="Q143" i="4" s="1"/>
  <c r="R143" i="4" s="1"/>
  <c r="P144" i="4"/>
  <c r="Q144" i="4" s="1"/>
  <c r="R144" i="4" s="1"/>
  <c r="P145" i="4"/>
  <c r="Q145" i="4" s="1"/>
  <c r="R145" i="4" s="1"/>
  <c r="P146" i="4"/>
  <c r="Q146" i="4" s="1"/>
  <c r="R146" i="4" s="1"/>
  <c r="P147" i="4"/>
  <c r="Q147" i="4" s="1"/>
  <c r="R147" i="4" s="1"/>
  <c r="P148" i="4"/>
  <c r="Q148" i="4" s="1"/>
  <c r="R148" i="4" s="1"/>
  <c r="P149" i="4"/>
  <c r="Q149" i="4" s="1"/>
  <c r="R149" i="4" s="1"/>
  <c r="P150" i="4"/>
  <c r="Q150" i="4" s="1"/>
  <c r="R150" i="4" s="1"/>
  <c r="P151" i="4"/>
  <c r="Q151" i="4" s="1"/>
  <c r="R151" i="4" s="1"/>
  <c r="P152" i="4"/>
  <c r="Q152" i="4" s="1"/>
  <c r="R152" i="4" s="1"/>
  <c r="P153" i="4"/>
  <c r="Q153" i="4" s="1"/>
  <c r="R153" i="4" s="1"/>
  <c r="P154" i="4"/>
  <c r="Q154" i="4" s="1"/>
  <c r="R154" i="4" s="1"/>
  <c r="P155" i="4"/>
  <c r="Q155" i="4" s="1"/>
  <c r="R155" i="4" s="1"/>
  <c r="P156" i="4"/>
  <c r="Q156" i="4" s="1"/>
  <c r="R156" i="4" s="1"/>
  <c r="P157" i="4"/>
  <c r="Q157" i="4" s="1"/>
  <c r="R157" i="4" s="1"/>
  <c r="P158" i="4"/>
  <c r="Q158" i="4" s="1"/>
  <c r="R158" i="4" s="1"/>
  <c r="P159" i="4"/>
  <c r="Q159" i="4" s="1"/>
  <c r="R159" i="4" s="1"/>
  <c r="P160" i="4"/>
  <c r="Q160" i="4" s="1"/>
  <c r="R160" i="4" s="1"/>
  <c r="P161" i="4"/>
  <c r="Q161" i="4" s="1"/>
  <c r="R161" i="4" s="1"/>
  <c r="P162" i="4"/>
  <c r="Q162" i="4" s="1"/>
  <c r="R162" i="4" s="1"/>
  <c r="P163" i="4"/>
  <c r="Q163" i="4" s="1"/>
  <c r="R163" i="4" s="1"/>
  <c r="P164" i="4"/>
  <c r="Q164" i="4" s="1"/>
  <c r="R164" i="4" s="1"/>
  <c r="P165" i="4"/>
  <c r="Q165" i="4" s="1"/>
  <c r="R165" i="4" s="1"/>
  <c r="P166" i="4"/>
  <c r="Q166" i="4" s="1"/>
  <c r="R166" i="4" s="1"/>
  <c r="P167" i="4"/>
  <c r="Q167" i="4" s="1"/>
  <c r="R167" i="4" s="1"/>
  <c r="P168" i="4"/>
  <c r="Q168" i="4" s="1"/>
  <c r="R168" i="4" s="1"/>
  <c r="P169" i="4"/>
  <c r="Q169" i="4" s="1"/>
  <c r="R169" i="4" s="1"/>
  <c r="P170" i="4"/>
  <c r="Q170" i="4" s="1"/>
  <c r="R170" i="4" s="1"/>
  <c r="P171" i="4"/>
  <c r="Q171" i="4" s="1"/>
  <c r="R171" i="4" s="1"/>
  <c r="P172" i="4"/>
  <c r="Q172" i="4" s="1"/>
  <c r="R172" i="4" s="1"/>
  <c r="P173" i="4"/>
  <c r="Q173" i="4" s="1"/>
  <c r="R173" i="4" s="1"/>
  <c r="P174" i="4"/>
  <c r="Q174" i="4" s="1"/>
  <c r="R174" i="4" s="1"/>
  <c r="P175" i="4"/>
  <c r="Q175" i="4" s="1"/>
  <c r="R175" i="4" s="1"/>
  <c r="P176" i="4"/>
  <c r="Q176" i="4" s="1"/>
  <c r="R176" i="4" s="1"/>
  <c r="P177" i="4"/>
  <c r="Q177" i="4" s="1"/>
  <c r="R177" i="4" s="1"/>
  <c r="P178" i="4"/>
  <c r="Q178" i="4" s="1"/>
  <c r="R178" i="4" s="1"/>
  <c r="P179" i="4"/>
  <c r="Q179" i="4" s="1"/>
  <c r="R179" i="4" s="1"/>
  <c r="P180" i="4"/>
  <c r="Q180" i="4" s="1"/>
  <c r="R180" i="4" s="1"/>
  <c r="P181" i="4"/>
  <c r="Q181" i="4" s="1"/>
  <c r="R181" i="4" s="1"/>
  <c r="P182" i="4"/>
  <c r="Q182" i="4" s="1"/>
  <c r="R182" i="4" s="1"/>
  <c r="P183" i="4"/>
  <c r="Q183" i="4" s="1"/>
  <c r="R183" i="4" s="1"/>
  <c r="P184" i="4"/>
  <c r="Q184" i="4" s="1"/>
  <c r="R184" i="4" s="1"/>
  <c r="P185" i="4"/>
  <c r="Q185" i="4" s="1"/>
  <c r="R185" i="4" s="1"/>
  <c r="P186" i="4"/>
  <c r="Q186" i="4" s="1"/>
  <c r="R186" i="4" s="1"/>
  <c r="P187" i="4"/>
  <c r="Q187" i="4" s="1"/>
  <c r="R187" i="4" s="1"/>
  <c r="P188" i="4"/>
  <c r="Q188" i="4" s="1"/>
  <c r="R188" i="4" s="1"/>
  <c r="P189" i="4"/>
  <c r="Q189" i="4" s="1"/>
  <c r="R189" i="4" s="1"/>
  <c r="P190" i="4"/>
  <c r="Q190" i="4" s="1"/>
  <c r="R190" i="4" s="1"/>
  <c r="P191" i="4"/>
  <c r="Q191" i="4" s="1"/>
  <c r="R191" i="4" s="1"/>
  <c r="P192" i="4"/>
  <c r="Q192" i="4" s="1"/>
  <c r="R192" i="4" s="1"/>
  <c r="P193" i="4"/>
  <c r="Q193" i="4" s="1"/>
  <c r="R193" i="4" s="1"/>
  <c r="P194" i="4"/>
  <c r="Q194" i="4" s="1"/>
  <c r="R194" i="4" s="1"/>
  <c r="P195" i="4"/>
  <c r="Q195" i="4" s="1"/>
  <c r="R195" i="4" s="1"/>
  <c r="P196" i="4"/>
  <c r="Q196" i="4" s="1"/>
  <c r="R196" i="4" s="1"/>
  <c r="P197" i="4"/>
  <c r="Q197" i="4" s="1"/>
  <c r="R197" i="4" s="1"/>
  <c r="P198" i="4"/>
  <c r="Q198" i="4" s="1"/>
  <c r="R198" i="4" s="1"/>
  <c r="P199" i="4"/>
  <c r="Q199" i="4" s="1"/>
  <c r="R199" i="4" s="1"/>
  <c r="P200" i="4"/>
  <c r="Q200" i="4" s="1"/>
  <c r="R200" i="4" s="1"/>
  <c r="P201" i="4"/>
  <c r="Q201" i="4" s="1"/>
  <c r="R201" i="4" s="1"/>
  <c r="P202" i="4"/>
  <c r="Q202" i="4" s="1"/>
  <c r="R202" i="4" s="1"/>
  <c r="P203" i="4"/>
  <c r="Q203" i="4" s="1"/>
  <c r="R203" i="4" s="1"/>
  <c r="P204" i="4"/>
  <c r="Q204" i="4" s="1"/>
  <c r="R204" i="4" s="1"/>
  <c r="P205" i="4"/>
  <c r="Q205" i="4" s="1"/>
  <c r="R205" i="4" s="1"/>
  <c r="P206" i="4"/>
  <c r="Q206" i="4" s="1"/>
  <c r="R206" i="4" s="1"/>
  <c r="P207" i="4"/>
  <c r="Q207" i="4" s="1"/>
  <c r="R207" i="4" s="1"/>
  <c r="P208" i="4"/>
  <c r="Q208" i="4" s="1"/>
  <c r="R208" i="4" s="1"/>
  <c r="P209" i="4"/>
  <c r="Q209" i="4" s="1"/>
  <c r="R209" i="4" s="1"/>
  <c r="P210" i="4"/>
  <c r="Q210" i="4" s="1"/>
  <c r="R210" i="4" s="1"/>
  <c r="P211" i="4"/>
  <c r="Q211" i="4" s="1"/>
  <c r="R211" i="4" s="1"/>
  <c r="P212" i="4"/>
  <c r="Q212" i="4" s="1"/>
  <c r="R212" i="4" s="1"/>
  <c r="P213" i="4"/>
  <c r="Q213" i="4" s="1"/>
  <c r="R213" i="4" s="1"/>
  <c r="P214" i="4"/>
  <c r="Q214" i="4" s="1"/>
  <c r="R214" i="4" s="1"/>
  <c r="P215" i="4"/>
  <c r="Q215" i="4" s="1"/>
  <c r="R215" i="4" s="1"/>
  <c r="P216" i="4"/>
  <c r="Q216" i="4" s="1"/>
  <c r="R216" i="4" s="1"/>
  <c r="P217" i="4"/>
  <c r="Q217" i="4" s="1"/>
  <c r="R217" i="4" s="1"/>
  <c r="P218" i="4"/>
  <c r="Q218" i="4" s="1"/>
  <c r="R218" i="4" s="1"/>
  <c r="P219" i="4"/>
  <c r="Q219" i="4" s="1"/>
  <c r="R219" i="4" s="1"/>
  <c r="P220" i="4"/>
  <c r="Q220" i="4" s="1"/>
  <c r="R220" i="4" s="1"/>
  <c r="P221" i="4"/>
  <c r="Q221" i="4" s="1"/>
  <c r="R221" i="4" s="1"/>
  <c r="P222" i="4"/>
  <c r="Q222" i="4" s="1"/>
  <c r="R222" i="4" s="1"/>
  <c r="P223" i="4"/>
  <c r="Q223" i="4" s="1"/>
  <c r="R223" i="4" s="1"/>
  <c r="P224" i="4"/>
  <c r="Q224" i="4" s="1"/>
  <c r="R224" i="4" s="1"/>
  <c r="P225" i="4"/>
  <c r="Q225" i="4" s="1"/>
  <c r="R225" i="4" s="1"/>
  <c r="P226" i="4"/>
  <c r="Q226" i="4" s="1"/>
  <c r="R226" i="4" s="1"/>
  <c r="P227" i="4"/>
  <c r="Q227" i="4" s="1"/>
  <c r="R227" i="4" s="1"/>
  <c r="P228" i="4"/>
  <c r="Q228" i="4" s="1"/>
  <c r="R228" i="4" s="1"/>
  <c r="P229" i="4"/>
  <c r="Q229" i="4" s="1"/>
  <c r="R229" i="4" s="1"/>
  <c r="P230" i="4"/>
  <c r="Q230" i="4" s="1"/>
  <c r="R230" i="4" s="1"/>
  <c r="P231" i="4"/>
  <c r="Q231" i="4" s="1"/>
  <c r="R231" i="4" s="1"/>
  <c r="P232" i="4"/>
  <c r="Q232" i="4" s="1"/>
  <c r="R232" i="4" s="1"/>
  <c r="P233" i="4"/>
  <c r="Q233" i="4" s="1"/>
  <c r="R233" i="4" s="1"/>
  <c r="P234" i="4"/>
  <c r="Q234" i="4" s="1"/>
  <c r="R234" i="4" s="1"/>
  <c r="P235" i="4"/>
  <c r="Q235" i="4" s="1"/>
  <c r="R235" i="4" s="1"/>
  <c r="P236" i="4"/>
  <c r="Q236" i="4" s="1"/>
  <c r="R236" i="4" s="1"/>
  <c r="P237" i="4"/>
  <c r="Q237" i="4" s="1"/>
  <c r="R237" i="4" s="1"/>
  <c r="P238" i="4"/>
  <c r="Q238" i="4" s="1"/>
  <c r="R238" i="4" s="1"/>
  <c r="P239" i="4"/>
  <c r="Q239" i="4" s="1"/>
  <c r="R239" i="4" s="1"/>
  <c r="P240" i="4"/>
  <c r="Q240" i="4" s="1"/>
  <c r="R240" i="4" s="1"/>
  <c r="P241" i="4"/>
  <c r="Q241" i="4" s="1"/>
  <c r="R241" i="4" s="1"/>
  <c r="P242" i="4"/>
  <c r="Q242" i="4" s="1"/>
  <c r="R242" i="4" s="1"/>
  <c r="P243" i="4"/>
  <c r="Q243" i="4" s="1"/>
  <c r="R243" i="4" s="1"/>
  <c r="P244" i="4"/>
  <c r="Q244" i="4" s="1"/>
  <c r="R244" i="4" s="1"/>
  <c r="P245" i="4"/>
  <c r="Q245" i="4" s="1"/>
  <c r="R245" i="4" s="1"/>
  <c r="P246" i="4"/>
  <c r="Q246" i="4" s="1"/>
  <c r="R246" i="4" s="1"/>
  <c r="P247" i="4"/>
  <c r="Q247" i="4" s="1"/>
  <c r="R247" i="4" s="1"/>
  <c r="P248" i="4"/>
  <c r="Q248" i="4" s="1"/>
  <c r="R248" i="4" s="1"/>
  <c r="P249" i="4"/>
  <c r="Q249" i="4" s="1"/>
  <c r="R249" i="4" s="1"/>
  <c r="P250" i="4"/>
  <c r="Q250" i="4" s="1"/>
  <c r="R250" i="4" s="1"/>
  <c r="P251" i="4"/>
  <c r="Q251" i="4" s="1"/>
  <c r="R251" i="4" s="1"/>
  <c r="P252" i="4"/>
  <c r="Q252" i="4" s="1"/>
  <c r="R252" i="4" s="1"/>
  <c r="P253" i="4"/>
  <c r="Q253" i="4" s="1"/>
  <c r="R253" i="4" s="1"/>
  <c r="P254" i="4"/>
  <c r="Q254" i="4" s="1"/>
  <c r="R254" i="4" s="1"/>
  <c r="P255" i="4"/>
  <c r="Q255" i="4" s="1"/>
  <c r="R255" i="4" s="1"/>
  <c r="P256" i="4"/>
  <c r="Q256" i="4" s="1"/>
  <c r="R256" i="4" s="1"/>
  <c r="P257" i="4"/>
  <c r="Q257" i="4" s="1"/>
  <c r="R257" i="4" s="1"/>
  <c r="P258" i="4"/>
  <c r="Q258" i="4" s="1"/>
  <c r="R258" i="4" s="1"/>
  <c r="P259" i="4"/>
  <c r="Q259" i="4" s="1"/>
  <c r="R259" i="4" s="1"/>
  <c r="P260" i="4"/>
  <c r="Q260" i="4" s="1"/>
  <c r="R260" i="4" s="1"/>
  <c r="P261" i="4"/>
  <c r="Q261" i="4" s="1"/>
  <c r="R261" i="4" s="1"/>
  <c r="P262" i="4"/>
  <c r="Q262" i="4" s="1"/>
  <c r="R262" i="4" s="1"/>
  <c r="P263" i="4"/>
  <c r="Q263" i="4" s="1"/>
  <c r="R263" i="4" s="1"/>
  <c r="P264" i="4"/>
  <c r="Q264" i="4" s="1"/>
  <c r="R264" i="4" s="1"/>
  <c r="P265" i="4"/>
  <c r="Q265" i="4" s="1"/>
  <c r="R265" i="4" s="1"/>
  <c r="P266" i="4"/>
  <c r="Q266" i="4" s="1"/>
  <c r="R266" i="4" s="1"/>
  <c r="P267" i="4"/>
  <c r="Q267" i="4" s="1"/>
  <c r="R267" i="4" s="1"/>
  <c r="P268" i="4"/>
  <c r="Q268" i="4" s="1"/>
  <c r="R268" i="4" s="1"/>
  <c r="P269" i="4"/>
  <c r="Q269" i="4" s="1"/>
  <c r="R269" i="4" s="1"/>
  <c r="P270" i="4"/>
  <c r="Q270" i="4" s="1"/>
  <c r="R270" i="4" s="1"/>
  <c r="P271" i="4"/>
  <c r="Q271" i="4" s="1"/>
  <c r="R271" i="4" s="1"/>
  <c r="P272" i="4"/>
  <c r="Q272" i="4" s="1"/>
  <c r="R272" i="4" s="1"/>
  <c r="P273" i="4"/>
  <c r="Q273" i="4" s="1"/>
  <c r="R273" i="4" s="1"/>
  <c r="P274" i="4"/>
  <c r="Q274" i="4" s="1"/>
  <c r="R274" i="4" s="1"/>
  <c r="P275" i="4"/>
  <c r="Q275" i="4" s="1"/>
  <c r="R275" i="4" s="1"/>
  <c r="P276" i="4"/>
  <c r="Q276" i="4" s="1"/>
  <c r="R276" i="4" s="1"/>
  <c r="P277" i="4"/>
  <c r="Q277" i="4" s="1"/>
  <c r="R277" i="4" s="1"/>
  <c r="P278" i="4"/>
  <c r="Q278" i="4" s="1"/>
  <c r="R278" i="4" s="1"/>
  <c r="P279" i="4"/>
  <c r="Q279" i="4" s="1"/>
  <c r="R279" i="4" s="1"/>
  <c r="P280" i="4"/>
  <c r="Q280" i="4" s="1"/>
  <c r="R280" i="4" s="1"/>
  <c r="P281" i="4"/>
  <c r="Q281" i="4" s="1"/>
  <c r="R281" i="4" s="1"/>
  <c r="P282" i="4"/>
  <c r="Q282" i="4" s="1"/>
  <c r="R282" i="4" s="1"/>
  <c r="P283" i="4"/>
  <c r="Q283" i="4" s="1"/>
  <c r="R283" i="4" s="1"/>
  <c r="P284" i="4"/>
  <c r="Q284" i="4" s="1"/>
  <c r="R284" i="4" s="1"/>
  <c r="P285" i="4"/>
  <c r="Q285" i="4" s="1"/>
  <c r="R285" i="4" s="1"/>
  <c r="P286" i="4"/>
  <c r="Q286" i="4" s="1"/>
  <c r="R286" i="4" s="1"/>
  <c r="P287" i="4"/>
  <c r="Q287" i="4" s="1"/>
  <c r="R287" i="4" s="1"/>
  <c r="P288" i="4"/>
  <c r="Q288" i="4" s="1"/>
  <c r="R288" i="4" s="1"/>
  <c r="P289" i="4"/>
  <c r="Q289" i="4" s="1"/>
  <c r="R289" i="4" s="1"/>
  <c r="P290" i="4"/>
  <c r="Q290" i="4" s="1"/>
  <c r="R290" i="4" s="1"/>
  <c r="P291" i="4"/>
  <c r="Q291" i="4" s="1"/>
  <c r="R291" i="4" s="1"/>
  <c r="P292" i="4"/>
  <c r="Q292" i="4" s="1"/>
  <c r="R292" i="4" s="1"/>
  <c r="P293" i="4"/>
  <c r="Q293" i="4" s="1"/>
  <c r="R293" i="4" s="1"/>
  <c r="P294" i="4"/>
  <c r="Q294" i="4" s="1"/>
  <c r="R294" i="4" s="1"/>
  <c r="P295" i="4"/>
  <c r="Q295" i="4" s="1"/>
  <c r="R295" i="4" s="1"/>
  <c r="P296" i="4"/>
  <c r="Q296" i="4" s="1"/>
  <c r="R296" i="4" s="1"/>
  <c r="P297" i="4"/>
  <c r="Q297" i="4" s="1"/>
  <c r="R297" i="4" s="1"/>
  <c r="P298" i="4"/>
  <c r="Q298" i="4" s="1"/>
  <c r="R298" i="4" s="1"/>
  <c r="P299" i="4"/>
  <c r="Q299" i="4" s="1"/>
  <c r="R299" i="4" s="1"/>
  <c r="P300" i="4"/>
  <c r="Q300" i="4" s="1"/>
  <c r="R300" i="4" s="1"/>
  <c r="P301" i="4"/>
  <c r="Q301" i="4" s="1"/>
  <c r="R301" i="4" s="1"/>
  <c r="P302" i="4"/>
  <c r="Q302" i="4" s="1"/>
  <c r="R302" i="4" s="1"/>
  <c r="P303" i="4"/>
  <c r="Q303" i="4" s="1"/>
  <c r="R303" i="4" s="1"/>
  <c r="P304" i="4"/>
  <c r="Q304" i="4" s="1"/>
  <c r="R304" i="4" s="1"/>
  <c r="P305" i="4"/>
  <c r="Q305" i="4" s="1"/>
  <c r="R305" i="4" s="1"/>
  <c r="P306" i="4"/>
  <c r="Q306" i="4" s="1"/>
  <c r="R306" i="4" s="1"/>
  <c r="P307" i="4"/>
  <c r="Q307" i="4" s="1"/>
  <c r="R307" i="4" s="1"/>
  <c r="P308" i="4"/>
  <c r="Q308" i="4" s="1"/>
  <c r="R308" i="4" s="1"/>
  <c r="P309" i="4"/>
  <c r="Q309" i="4" s="1"/>
  <c r="R309" i="4" s="1"/>
  <c r="P310" i="4"/>
  <c r="Q310" i="4" s="1"/>
  <c r="R310" i="4" s="1"/>
  <c r="P311" i="4"/>
  <c r="Q311" i="4" s="1"/>
  <c r="R311" i="4" s="1"/>
  <c r="P312" i="4"/>
  <c r="Q312" i="4" s="1"/>
  <c r="R312" i="4" s="1"/>
  <c r="P313" i="4"/>
  <c r="Q313" i="4" s="1"/>
  <c r="R313" i="4" s="1"/>
  <c r="P314" i="4"/>
  <c r="Q314" i="4" s="1"/>
  <c r="R314" i="4" s="1"/>
  <c r="P315" i="4"/>
  <c r="Q315" i="4" s="1"/>
  <c r="R315" i="4" s="1"/>
  <c r="P316" i="4"/>
  <c r="Q316" i="4" s="1"/>
  <c r="R316" i="4" s="1"/>
  <c r="P317" i="4"/>
  <c r="Q317" i="4" s="1"/>
  <c r="R317" i="4" s="1"/>
  <c r="P318" i="4"/>
  <c r="Q318" i="4" s="1"/>
  <c r="R318" i="4" s="1"/>
  <c r="P319" i="4"/>
  <c r="Q319" i="4" s="1"/>
  <c r="R319" i="4" s="1"/>
  <c r="P320" i="4"/>
  <c r="Q320" i="4" s="1"/>
  <c r="R320" i="4" s="1"/>
  <c r="P321" i="4"/>
  <c r="Q321" i="4" s="1"/>
  <c r="R321" i="4" s="1"/>
  <c r="P322" i="4"/>
  <c r="Q322" i="4" s="1"/>
  <c r="R322" i="4" s="1"/>
  <c r="P323" i="4"/>
  <c r="Q323" i="4" s="1"/>
  <c r="R323" i="4" s="1"/>
  <c r="P324" i="4"/>
  <c r="Q324" i="4" s="1"/>
  <c r="R324" i="4" s="1"/>
  <c r="P325" i="4"/>
  <c r="Q325" i="4" s="1"/>
  <c r="R325" i="4" s="1"/>
  <c r="P326" i="4"/>
  <c r="Q326" i="4" s="1"/>
  <c r="R326" i="4" s="1"/>
  <c r="P327" i="4"/>
  <c r="Q327" i="4" s="1"/>
  <c r="R327" i="4" s="1"/>
  <c r="P328" i="4"/>
  <c r="Q328" i="4" s="1"/>
  <c r="R328" i="4" s="1"/>
  <c r="P329" i="4"/>
  <c r="Q329" i="4" s="1"/>
  <c r="R329" i="4" s="1"/>
  <c r="P330" i="4"/>
  <c r="Q330" i="4" s="1"/>
  <c r="R330" i="4" s="1"/>
  <c r="P331" i="4"/>
  <c r="Q331" i="4" s="1"/>
  <c r="R331" i="4" s="1"/>
  <c r="P332" i="4"/>
  <c r="Q332" i="4" s="1"/>
  <c r="R332" i="4" s="1"/>
  <c r="P333" i="4"/>
  <c r="Q333" i="4" s="1"/>
  <c r="R333" i="4" s="1"/>
  <c r="P334" i="4"/>
  <c r="Q334" i="4" s="1"/>
  <c r="R334" i="4" s="1"/>
  <c r="P335" i="4"/>
  <c r="Q335" i="4" s="1"/>
  <c r="R335" i="4" s="1"/>
  <c r="P336" i="4"/>
  <c r="Q336" i="4" s="1"/>
  <c r="R336" i="4" s="1"/>
  <c r="P337" i="4"/>
  <c r="Q337" i="4" s="1"/>
  <c r="R337" i="4" s="1"/>
  <c r="P338" i="4"/>
  <c r="Q338" i="4" s="1"/>
  <c r="R338" i="4" s="1"/>
  <c r="P339" i="4"/>
  <c r="Q339" i="4" s="1"/>
  <c r="R339" i="4" s="1"/>
  <c r="P340" i="4"/>
  <c r="Q340" i="4" s="1"/>
  <c r="R340" i="4" s="1"/>
  <c r="P341" i="4"/>
  <c r="Q341" i="4" s="1"/>
  <c r="R341" i="4" s="1"/>
  <c r="P342" i="4"/>
  <c r="Q342" i="4" s="1"/>
  <c r="R342" i="4" s="1"/>
  <c r="P343" i="4"/>
  <c r="Q343" i="4" s="1"/>
  <c r="R343" i="4" s="1"/>
  <c r="P344" i="4"/>
  <c r="Q344" i="4" s="1"/>
  <c r="R344" i="4" s="1"/>
  <c r="P345" i="4"/>
  <c r="Q345" i="4" s="1"/>
  <c r="R345" i="4" s="1"/>
  <c r="P346" i="4"/>
  <c r="Q346" i="4" s="1"/>
  <c r="R346" i="4" s="1"/>
  <c r="P347" i="4"/>
  <c r="Q347" i="4" s="1"/>
  <c r="R347" i="4" s="1"/>
  <c r="P348" i="4"/>
  <c r="Q348" i="4" s="1"/>
  <c r="R348" i="4" s="1"/>
  <c r="P349" i="4"/>
  <c r="Q349" i="4" s="1"/>
  <c r="R349" i="4" s="1"/>
  <c r="P350" i="4"/>
  <c r="Q350" i="4" s="1"/>
  <c r="R350" i="4" s="1"/>
  <c r="P351" i="4"/>
  <c r="Q351" i="4" s="1"/>
  <c r="R351" i="4" s="1"/>
  <c r="P352" i="4"/>
  <c r="Q352" i="4" s="1"/>
  <c r="R352" i="4" s="1"/>
  <c r="P353" i="4"/>
  <c r="Q353" i="4" s="1"/>
  <c r="R353" i="4" s="1"/>
  <c r="P354" i="4"/>
  <c r="Q354" i="4" s="1"/>
  <c r="R354" i="4" s="1"/>
  <c r="P355" i="4"/>
  <c r="Q355" i="4" s="1"/>
  <c r="R355" i="4" s="1"/>
  <c r="P356" i="4"/>
  <c r="Q356" i="4" s="1"/>
  <c r="R356" i="4" s="1"/>
  <c r="P357" i="4"/>
  <c r="Q357" i="4" s="1"/>
  <c r="R357" i="4" s="1"/>
  <c r="P358" i="4"/>
  <c r="Q358" i="4" s="1"/>
  <c r="R358" i="4" s="1"/>
  <c r="P359" i="4"/>
  <c r="Q359" i="4" s="1"/>
  <c r="R359" i="4" s="1"/>
  <c r="P360" i="4"/>
  <c r="Q360" i="4" s="1"/>
  <c r="R360" i="4" s="1"/>
  <c r="P361" i="4"/>
  <c r="Q361" i="4" s="1"/>
  <c r="R361" i="4" s="1"/>
  <c r="P362" i="4"/>
  <c r="Q362" i="4" s="1"/>
  <c r="R362" i="4" s="1"/>
  <c r="P363" i="4"/>
  <c r="Q363" i="4" s="1"/>
  <c r="R363" i="4" s="1"/>
  <c r="P364" i="4"/>
  <c r="Q364" i="4" s="1"/>
  <c r="R364" i="4" s="1"/>
  <c r="P365" i="4"/>
  <c r="Q365" i="4" s="1"/>
  <c r="R365" i="4" s="1"/>
  <c r="P366" i="4"/>
  <c r="Q366" i="4" s="1"/>
  <c r="R366" i="4" s="1"/>
  <c r="P367" i="4"/>
  <c r="Q367" i="4" s="1"/>
  <c r="R367" i="4" s="1"/>
  <c r="P368" i="4"/>
  <c r="Q368" i="4" s="1"/>
  <c r="R368" i="4" s="1"/>
  <c r="P369" i="4"/>
  <c r="Q369" i="4" s="1"/>
  <c r="R369" i="4" s="1"/>
  <c r="P370" i="4"/>
  <c r="Q370" i="4" s="1"/>
  <c r="R370" i="4" s="1"/>
  <c r="P371" i="4"/>
  <c r="Q371" i="4" s="1"/>
  <c r="R371" i="4" s="1"/>
  <c r="P372" i="4"/>
  <c r="Q372" i="4" s="1"/>
  <c r="R372" i="4" s="1"/>
  <c r="P373" i="4"/>
  <c r="Q373" i="4" s="1"/>
  <c r="R373" i="4" s="1"/>
  <c r="P374" i="4"/>
  <c r="Q374" i="4" s="1"/>
  <c r="R374" i="4" s="1"/>
  <c r="P375" i="4"/>
  <c r="Q375" i="4" s="1"/>
  <c r="R375" i="4" s="1"/>
  <c r="P376" i="4"/>
  <c r="Q376" i="4" s="1"/>
  <c r="R376" i="4" s="1"/>
  <c r="P377" i="4"/>
  <c r="Q377" i="4" s="1"/>
  <c r="R377" i="4" s="1"/>
  <c r="P378" i="4"/>
  <c r="Q378" i="4" s="1"/>
  <c r="R378" i="4" s="1"/>
  <c r="P379" i="4"/>
  <c r="Q379" i="4" s="1"/>
  <c r="R379" i="4" s="1"/>
  <c r="P380" i="4"/>
  <c r="Q380" i="4" s="1"/>
  <c r="R380" i="4" s="1"/>
  <c r="P381" i="4"/>
  <c r="Q381" i="4" s="1"/>
  <c r="R381" i="4" s="1"/>
  <c r="P382" i="4"/>
  <c r="Q382" i="4" s="1"/>
  <c r="R382" i="4" s="1"/>
  <c r="P383" i="4"/>
  <c r="Q383" i="4" s="1"/>
  <c r="R383" i="4" s="1"/>
  <c r="P384" i="4"/>
  <c r="Q384" i="4" s="1"/>
  <c r="R384" i="4" s="1"/>
  <c r="P385" i="4"/>
  <c r="Q385" i="4" s="1"/>
  <c r="R385" i="4" s="1"/>
  <c r="P386" i="4"/>
  <c r="Q386" i="4" s="1"/>
  <c r="R386" i="4" s="1"/>
  <c r="P387" i="4"/>
  <c r="Q387" i="4" s="1"/>
  <c r="R387" i="4" s="1"/>
  <c r="P388" i="4"/>
  <c r="Q388" i="4" s="1"/>
  <c r="R388" i="4" s="1"/>
  <c r="P389" i="4"/>
  <c r="Q389" i="4" s="1"/>
  <c r="R389" i="4" s="1"/>
  <c r="P390" i="4"/>
  <c r="Q390" i="4" s="1"/>
  <c r="R390" i="4" s="1"/>
  <c r="P391" i="4"/>
  <c r="Q391" i="4" s="1"/>
  <c r="R391" i="4" s="1"/>
  <c r="P392" i="4"/>
  <c r="Q392" i="4" s="1"/>
  <c r="R392" i="4" s="1"/>
  <c r="P393" i="4"/>
  <c r="Q393" i="4" s="1"/>
  <c r="R393" i="4" s="1"/>
  <c r="P394" i="4"/>
  <c r="Q394" i="4" s="1"/>
  <c r="R394" i="4" s="1"/>
  <c r="P395" i="4"/>
  <c r="Q395" i="4" s="1"/>
  <c r="R395" i="4" s="1"/>
  <c r="P396" i="4"/>
  <c r="Q396" i="4" s="1"/>
  <c r="R396" i="4" s="1"/>
  <c r="P397" i="4"/>
  <c r="Q397" i="4" s="1"/>
  <c r="R397" i="4" s="1"/>
  <c r="P398" i="4"/>
  <c r="Q398" i="4" s="1"/>
  <c r="R398" i="4" s="1"/>
  <c r="P399" i="4"/>
  <c r="Q399" i="4" s="1"/>
  <c r="R399" i="4" s="1"/>
  <c r="P400" i="4"/>
  <c r="Q400" i="4" s="1"/>
  <c r="R400" i="4" s="1"/>
  <c r="P401" i="4"/>
  <c r="Q401" i="4" s="1"/>
  <c r="R401" i="4" s="1"/>
  <c r="P402" i="4"/>
  <c r="Q402" i="4" s="1"/>
  <c r="R402" i="4" s="1"/>
  <c r="P403" i="4"/>
  <c r="Q403" i="4" s="1"/>
  <c r="R403" i="4" s="1"/>
  <c r="P404" i="4"/>
  <c r="Q404" i="4" s="1"/>
  <c r="R404" i="4" s="1"/>
  <c r="P405" i="4"/>
  <c r="Q405" i="4" s="1"/>
  <c r="R405" i="4" s="1"/>
  <c r="P406" i="4"/>
  <c r="Q406" i="4" s="1"/>
  <c r="R406" i="4" s="1"/>
  <c r="P407" i="4"/>
  <c r="Q407" i="4" s="1"/>
  <c r="R407" i="4" s="1"/>
  <c r="P408" i="4"/>
  <c r="Q408" i="4" s="1"/>
  <c r="R408" i="4" s="1"/>
  <c r="P409" i="4"/>
  <c r="Q409" i="4" s="1"/>
  <c r="R409" i="4" s="1"/>
  <c r="P410" i="4"/>
  <c r="Q410" i="4" s="1"/>
  <c r="R410" i="4" s="1"/>
  <c r="P411" i="4"/>
  <c r="Q411" i="4" s="1"/>
  <c r="R411" i="4" s="1"/>
  <c r="P412" i="4"/>
  <c r="Q412" i="4" s="1"/>
  <c r="R412" i="4" s="1"/>
  <c r="P413" i="4"/>
  <c r="Q413" i="4" s="1"/>
  <c r="R413" i="4" s="1"/>
  <c r="P414" i="4"/>
  <c r="Q414" i="4" s="1"/>
  <c r="R414" i="4" s="1"/>
  <c r="P415" i="4"/>
  <c r="Q415" i="4" s="1"/>
  <c r="R415" i="4" s="1"/>
  <c r="P416" i="4"/>
  <c r="Q416" i="4" s="1"/>
  <c r="R416" i="4" s="1"/>
  <c r="P417" i="4"/>
  <c r="Q417" i="4" s="1"/>
  <c r="R417" i="4" s="1"/>
  <c r="P418" i="4"/>
  <c r="Q418" i="4" s="1"/>
  <c r="R418" i="4" s="1"/>
  <c r="P419" i="4"/>
  <c r="Q419" i="4" s="1"/>
  <c r="R419" i="4" s="1"/>
  <c r="P420" i="4"/>
  <c r="Q420" i="4" s="1"/>
  <c r="R420" i="4" s="1"/>
  <c r="P421" i="4"/>
  <c r="Q421" i="4" s="1"/>
  <c r="R421" i="4" s="1"/>
  <c r="P422" i="4"/>
  <c r="Q422" i="4" s="1"/>
  <c r="R422" i="4" s="1"/>
  <c r="P423" i="4"/>
  <c r="Q423" i="4" s="1"/>
  <c r="R423" i="4" s="1"/>
  <c r="P424" i="4"/>
  <c r="Q424" i="4" s="1"/>
  <c r="R424" i="4" s="1"/>
  <c r="P425" i="4"/>
  <c r="Q425" i="4" s="1"/>
  <c r="R425" i="4" s="1"/>
  <c r="P426" i="4"/>
  <c r="Q426" i="4" s="1"/>
  <c r="R426" i="4" s="1"/>
  <c r="P427" i="4"/>
  <c r="Q427" i="4" s="1"/>
  <c r="R427" i="4" s="1"/>
  <c r="P428" i="4"/>
  <c r="Q428" i="4" s="1"/>
  <c r="R428" i="4" s="1"/>
  <c r="P429" i="4"/>
  <c r="Q429" i="4" s="1"/>
  <c r="R429" i="4" s="1"/>
  <c r="P430" i="4"/>
  <c r="Q430" i="4" s="1"/>
  <c r="R430" i="4" s="1"/>
  <c r="P431" i="4"/>
  <c r="Q431" i="4" s="1"/>
  <c r="R431" i="4" s="1"/>
  <c r="P432" i="4"/>
  <c r="Q432" i="4" s="1"/>
  <c r="R432" i="4" s="1"/>
  <c r="P433" i="4"/>
  <c r="Q433" i="4" s="1"/>
  <c r="R433" i="4" s="1"/>
  <c r="P434" i="4"/>
  <c r="Q434" i="4" s="1"/>
  <c r="R434" i="4" s="1"/>
  <c r="P435" i="4"/>
  <c r="Q435" i="4" s="1"/>
  <c r="R435" i="4" s="1"/>
  <c r="P436" i="4"/>
  <c r="Q436" i="4" s="1"/>
  <c r="R436" i="4" s="1"/>
  <c r="P437" i="4"/>
  <c r="Q437" i="4" s="1"/>
  <c r="R437" i="4" s="1"/>
  <c r="P438" i="4"/>
  <c r="Q438" i="4" s="1"/>
  <c r="R438" i="4" s="1"/>
  <c r="P439" i="4"/>
  <c r="Q439" i="4" s="1"/>
  <c r="R439" i="4" s="1"/>
  <c r="P440" i="4"/>
  <c r="Q440" i="4" s="1"/>
  <c r="R440" i="4" s="1"/>
  <c r="P441" i="4"/>
  <c r="Q441" i="4" s="1"/>
  <c r="R441" i="4" s="1"/>
  <c r="P442" i="4"/>
  <c r="Q442" i="4" s="1"/>
  <c r="R442" i="4" s="1"/>
  <c r="P443" i="4"/>
  <c r="Q443" i="4" s="1"/>
  <c r="R443" i="4" s="1"/>
  <c r="P444" i="4"/>
  <c r="Q444" i="4" s="1"/>
  <c r="R444" i="4" s="1"/>
  <c r="P445" i="4"/>
  <c r="Q445" i="4" s="1"/>
  <c r="R445" i="4" s="1"/>
  <c r="P446" i="4"/>
  <c r="Q446" i="4" s="1"/>
  <c r="R446" i="4" s="1"/>
  <c r="P447" i="4"/>
  <c r="Q447" i="4" s="1"/>
  <c r="R447" i="4" s="1"/>
  <c r="P448" i="4"/>
  <c r="Q448" i="4" s="1"/>
  <c r="R448" i="4" s="1"/>
  <c r="P449" i="4"/>
  <c r="Q449" i="4" s="1"/>
  <c r="R449" i="4" s="1"/>
  <c r="P450" i="4"/>
  <c r="Q450" i="4" s="1"/>
  <c r="R450" i="4" s="1"/>
  <c r="P451" i="4"/>
  <c r="Q451" i="4" s="1"/>
  <c r="R451" i="4" s="1"/>
  <c r="P452" i="4"/>
  <c r="Q452" i="4" s="1"/>
  <c r="R452" i="4" s="1"/>
  <c r="P453" i="4"/>
  <c r="Q453" i="4" s="1"/>
  <c r="R453" i="4" s="1"/>
  <c r="P454" i="4"/>
  <c r="Q454" i="4" s="1"/>
  <c r="R454" i="4" s="1"/>
  <c r="P455" i="4"/>
  <c r="Q455" i="4" s="1"/>
  <c r="R455" i="4" s="1"/>
  <c r="P456" i="4"/>
  <c r="Q456" i="4" s="1"/>
  <c r="R456" i="4" s="1"/>
  <c r="P457" i="4"/>
  <c r="Q457" i="4" s="1"/>
  <c r="R457" i="4" s="1"/>
  <c r="P458" i="4"/>
  <c r="Q458" i="4" s="1"/>
  <c r="R458" i="4" s="1"/>
  <c r="P459" i="4"/>
  <c r="Q459" i="4" s="1"/>
  <c r="R459" i="4" s="1"/>
  <c r="P460" i="4"/>
  <c r="Q460" i="4" s="1"/>
  <c r="R460" i="4" s="1"/>
  <c r="P461" i="4"/>
  <c r="Q461" i="4" s="1"/>
  <c r="R461" i="4" s="1"/>
  <c r="P462" i="4"/>
  <c r="Q462" i="4" s="1"/>
  <c r="R462" i="4" s="1"/>
  <c r="P463" i="4"/>
  <c r="Q463" i="4" s="1"/>
  <c r="R463" i="4" s="1"/>
  <c r="P464" i="4"/>
  <c r="Q464" i="4" s="1"/>
  <c r="R464" i="4" s="1"/>
  <c r="P465" i="4"/>
  <c r="Q465" i="4" s="1"/>
  <c r="R465" i="4" s="1"/>
  <c r="P466" i="4"/>
  <c r="Q466" i="4" s="1"/>
  <c r="R466" i="4" s="1"/>
  <c r="P467" i="4"/>
  <c r="Q467" i="4" s="1"/>
  <c r="R467" i="4" s="1"/>
  <c r="P468" i="4"/>
  <c r="Q468" i="4" s="1"/>
  <c r="R468" i="4" s="1"/>
  <c r="P469" i="4"/>
  <c r="Q469" i="4" s="1"/>
  <c r="R469" i="4" s="1"/>
  <c r="P470" i="4"/>
  <c r="Q470" i="4" s="1"/>
  <c r="R470" i="4" s="1"/>
  <c r="P471" i="4"/>
  <c r="Q471" i="4" s="1"/>
  <c r="R471" i="4" s="1"/>
  <c r="P472" i="4"/>
  <c r="Q472" i="4" s="1"/>
  <c r="R472" i="4" s="1"/>
  <c r="P473" i="4"/>
  <c r="Q473" i="4" s="1"/>
  <c r="R473" i="4" s="1"/>
  <c r="P474" i="4"/>
  <c r="Q474" i="4" s="1"/>
  <c r="R474" i="4" s="1"/>
  <c r="P475" i="4"/>
  <c r="Q475" i="4" s="1"/>
  <c r="R475" i="4" s="1"/>
  <c r="P476" i="4"/>
  <c r="Q476" i="4" s="1"/>
  <c r="R476" i="4" s="1"/>
  <c r="P477" i="4"/>
  <c r="Q477" i="4" s="1"/>
  <c r="R477" i="4" s="1"/>
  <c r="P478" i="4"/>
  <c r="Q478" i="4" s="1"/>
  <c r="R478" i="4" s="1"/>
  <c r="P479" i="4"/>
  <c r="Q479" i="4" s="1"/>
  <c r="R479" i="4" s="1"/>
  <c r="P480" i="4"/>
  <c r="Q480" i="4" s="1"/>
  <c r="R480" i="4" s="1"/>
  <c r="P481" i="4"/>
  <c r="Q481" i="4" s="1"/>
  <c r="R481" i="4" s="1"/>
  <c r="P482" i="4"/>
  <c r="Q482" i="4" s="1"/>
  <c r="R482" i="4" s="1"/>
  <c r="P483" i="4"/>
  <c r="Q483" i="4" s="1"/>
  <c r="R483" i="4" s="1"/>
  <c r="P484" i="4"/>
  <c r="Q484" i="4" s="1"/>
  <c r="R484" i="4" s="1"/>
  <c r="P485" i="4"/>
  <c r="Q485" i="4" s="1"/>
  <c r="R485" i="4" s="1"/>
  <c r="P486" i="4"/>
  <c r="Q486" i="4" s="1"/>
  <c r="R486" i="4" s="1"/>
  <c r="P487" i="4"/>
  <c r="Q487" i="4" s="1"/>
  <c r="R487" i="4" s="1"/>
  <c r="P488" i="4"/>
  <c r="Q488" i="4" s="1"/>
  <c r="R488" i="4" s="1"/>
  <c r="P489" i="4"/>
  <c r="Q489" i="4" s="1"/>
  <c r="R489" i="4" s="1"/>
  <c r="P490" i="4"/>
  <c r="Q490" i="4" s="1"/>
  <c r="R490" i="4" s="1"/>
  <c r="P491" i="4"/>
  <c r="Q491" i="4" s="1"/>
  <c r="R491" i="4" s="1"/>
  <c r="P492" i="4"/>
  <c r="Q492" i="4" s="1"/>
  <c r="R492" i="4" s="1"/>
  <c r="P493" i="4"/>
  <c r="Q493" i="4" s="1"/>
  <c r="R493" i="4" s="1"/>
  <c r="P494" i="4"/>
  <c r="Q494" i="4" s="1"/>
  <c r="R494" i="4" s="1"/>
  <c r="P495" i="4"/>
  <c r="Q495" i="4" s="1"/>
  <c r="R495" i="4" s="1"/>
  <c r="P496" i="4"/>
  <c r="Q496" i="4" s="1"/>
  <c r="R496" i="4" s="1"/>
  <c r="P497" i="4"/>
  <c r="Q497" i="4" s="1"/>
  <c r="R497" i="4" s="1"/>
  <c r="P498" i="4"/>
  <c r="Q498" i="4" s="1"/>
  <c r="R498" i="4" s="1"/>
  <c r="P499" i="4"/>
  <c r="Q499" i="4" s="1"/>
  <c r="R499" i="4" s="1"/>
  <c r="P500" i="4"/>
  <c r="Q500" i="4" s="1"/>
  <c r="R500" i="4" s="1"/>
  <c r="P501" i="4"/>
  <c r="Q501" i="4" s="1"/>
  <c r="R501" i="4" s="1"/>
  <c r="P502" i="4"/>
  <c r="Q502" i="4" s="1"/>
  <c r="R502" i="4" s="1"/>
  <c r="P503" i="4"/>
  <c r="Q503" i="4" s="1"/>
  <c r="R503" i="4" s="1"/>
  <c r="P504" i="4"/>
  <c r="Q504" i="4" s="1"/>
  <c r="R504" i="4" s="1"/>
  <c r="P505" i="4"/>
  <c r="Q505" i="4" s="1"/>
  <c r="R505" i="4" s="1"/>
  <c r="P506" i="4"/>
  <c r="Q506" i="4" s="1"/>
  <c r="R506" i="4" s="1"/>
  <c r="P507" i="4"/>
  <c r="Q507" i="4" s="1"/>
  <c r="R507" i="4" s="1"/>
  <c r="P508" i="4"/>
  <c r="Q508" i="4" s="1"/>
  <c r="R508" i="4" s="1"/>
  <c r="P509" i="4"/>
  <c r="Q509" i="4" s="1"/>
  <c r="R509" i="4" s="1"/>
  <c r="P510" i="4"/>
  <c r="Q510" i="4" s="1"/>
  <c r="R510" i="4" s="1"/>
  <c r="P511" i="4"/>
  <c r="Q511" i="4" s="1"/>
  <c r="R511" i="4" s="1"/>
  <c r="P512" i="4"/>
  <c r="Q512" i="4" s="1"/>
  <c r="R512" i="4" s="1"/>
  <c r="P513" i="4"/>
  <c r="Q513" i="4" s="1"/>
  <c r="R513" i="4" s="1"/>
  <c r="P514" i="4"/>
  <c r="Q514" i="4" s="1"/>
  <c r="R514" i="4" s="1"/>
  <c r="P515" i="4"/>
  <c r="Q515" i="4" s="1"/>
  <c r="R515" i="4" s="1"/>
  <c r="P516" i="4"/>
  <c r="Q516" i="4" s="1"/>
  <c r="R516" i="4" s="1"/>
  <c r="P517" i="4"/>
  <c r="Q517" i="4" s="1"/>
  <c r="R517" i="4" s="1"/>
  <c r="P518" i="4"/>
  <c r="Q518" i="4" s="1"/>
  <c r="R518" i="4" s="1"/>
  <c r="P519" i="4"/>
  <c r="Q519" i="4" s="1"/>
  <c r="R519" i="4" s="1"/>
  <c r="P520" i="4"/>
  <c r="Q520" i="4" s="1"/>
  <c r="R520" i="4" s="1"/>
  <c r="P521" i="4"/>
  <c r="Q521" i="4" s="1"/>
  <c r="R521" i="4" s="1"/>
  <c r="P522" i="4"/>
  <c r="Q522" i="4" s="1"/>
  <c r="R522" i="4" s="1"/>
  <c r="P523" i="4"/>
  <c r="Q523" i="4" s="1"/>
  <c r="R523" i="4" s="1"/>
  <c r="P524" i="4"/>
  <c r="Q524" i="4" s="1"/>
  <c r="R524" i="4" s="1"/>
  <c r="P525" i="4"/>
  <c r="Q525" i="4" s="1"/>
  <c r="R525" i="4" s="1"/>
  <c r="P526" i="4"/>
  <c r="Q526" i="4" s="1"/>
  <c r="R526" i="4" s="1"/>
  <c r="P527" i="4"/>
  <c r="Q527" i="4" s="1"/>
  <c r="R527" i="4" s="1"/>
  <c r="P528" i="4"/>
  <c r="Q528" i="4" s="1"/>
  <c r="R528" i="4" s="1"/>
  <c r="P529" i="4"/>
  <c r="Q529" i="4" s="1"/>
  <c r="R529" i="4" s="1"/>
  <c r="P530" i="4"/>
  <c r="Q530" i="4" s="1"/>
  <c r="R530" i="4" s="1"/>
  <c r="P531" i="4"/>
  <c r="Q531" i="4" s="1"/>
  <c r="R531" i="4" s="1"/>
  <c r="P532" i="4"/>
  <c r="Q532" i="4" s="1"/>
  <c r="R532" i="4" s="1"/>
  <c r="P533" i="4"/>
  <c r="Q533" i="4" s="1"/>
  <c r="R533" i="4" s="1"/>
  <c r="P534" i="4"/>
  <c r="Q534" i="4" s="1"/>
  <c r="R534" i="4" s="1"/>
  <c r="P535" i="4"/>
  <c r="Q535" i="4" s="1"/>
  <c r="R535" i="4" s="1"/>
  <c r="P536" i="4"/>
  <c r="Q536" i="4" s="1"/>
  <c r="R536" i="4" s="1"/>
  <c r="P537" i="4"/>
  <c r="Q537" i="4" s="1"/>
  <c r="R537" i="4" s="1"/>
  <c r="P538" i="4"/>
  <c r="Q538" i="4" s="1"/>
  <c r="R538" i="4" s="1"/>
  <c r="P539" i="4"/>
  <c r="Q539" i="4" s="1"/>
  <c r="R539" i="4" s="1"/>
  <c r="P540" i="4"/>
  <c r="Q540" i="4" s="1"/>
  <c r="R540" i="4" s="1"/>
  <c r="P541" i="4"/>
  <c r="Q541" i="4" s="1"/>
  <c r="R541" i="4" s="1"/>
  <c r="P542" i="4"/>
  <c r="Q542" i="4" s="1"/>
  <c r="R542" i="4" s="1"/>
  <c r="P543" i="4"/>
  <c r="Q543" i="4" s="1"/>
  <c r="R543" i="4" s="1"/>
  <c r="P544" i="4"/>
  <c r="Q544" i="4" s="1"/>
  <c r="R544" i="4" s="1"/>
  <c r="P545" i="4"/>
  <c r="Q545" i="4" s="1"/>
  <c r="R545" i="4" s="1"/>
  <c r="P546" i="4"/>
  <c r="Q546" i="4" s="1"/>
  <c r="R546" i="4" s="1"/>
  <c r="P547" i="4"/>
  <c r="Q547" i="4" s="1"/>
  <c r="R547" i="4" s="1"/>
  <c r="P548" i="4"/>
  <c r="Q548" i="4" s="1"/>
  <c r="R548" i="4" s="1"/>
  <c r="P549" i="4"/>
  <c r="Q549" i="4" s="1"/>
  <c r="R549" i="4" s="1"/>
  <c r="P550" i="4"/>
  <c r="Q550" i="4" s="1"/>
  <c r="R550" i="4" s="1"/>
  <c r="P551" i="4"/>
  <c r="Q551" i="4" s="1"/>
  <c r="R551" i="4" s="1"/>
  <c r="P552" i="4"/>
  <c r="Q552" i="4" s="1"/>
  <c r="R552" i="4" s="1"/>
  <c r="P553" i="4"/>
  <c r="Q553" i="4" s="1"/>
  <c r="R553" i="4" s="1"/>
  <c r="P554" i="4"/>
  <c r="Q554" i="4" s="1"/>
  <c r="R554" i="4" s="1"/>
  <c r="P555" i="4"/>
  <c r="Q555" i="4" s="1"/>
  <c r="R555" i="4" s="1"/>
  <c r="P556" i="4"/>
  <c r="Q556" i="4" s="1"/>
  <c r="R556" i="4" s="1"/>
  <c r="P557" i="4"/>
  <c r="Q557" i="4" s="1"/>
  <c r="R557" i="4" s="1"/>
  <c r="P558" i="4"/>
  <c r="Q558" i="4" s="1"/>
  <c r="R558" i="4" s="1"/>
  <c r="P559" i="4"/>
  <c r="Q559" i="4" s="1"/>
  <c r="R559" i="4" s="1"/>
  <c r="P560" i="4"/>
  <c r="Q560" i="4" s="1"/>
  <c r="R560" i="4" s="1"/>
  <c r="P561" i="4"/>
  <c r="Q561" i="4" s="1"/>
  <c r="R561" i="4" s="1"/>
  <c r="P562" i="4"/>
  <c r="Q562" i="4" s="1"/>
  <c r="R562" i="4" s="1"/>
  <c r="P563" i="4"/>
  <c r="Q563" i="4" s="1"/>
  <c r="R563" i="4" s="1"/>
  <c r="P564" i="4"/>
  <c r="Q564" i="4" s="1"/>
  <c r="R564" i="4" s="1"/>
  <c r="P565" i="4"/>
  <c r="Q565" i="4" s="1"/>
  <c r="R565" i="4" s="1"/>
  <c r="P566" i="4"/>
  <c r="Q566" i="4" s="1"/>
  <c r="R566" i="4" s="1"/>
  <c r="P567" i="4"/>
  <c r="Q567" i="4" s="1"/>
  <c r="R567" i="4" s="1"/>
  <c r="P568" i="4"/>
  <c r="Q568" i="4" s="1"/>
  <c r="R568" i="4" s="1"/>
  <c r="P569" i="4"/>
  <c r="Q569" i="4" s="1"/>
  <c r="R569" i="4" s="1"/>
  <c r="P570" i="4"/>
  <c r="Q570" i="4" s="1"/>
  <c r="R570" i="4" s="1"/>
  <c r="P571" i="4"/>
  <c r="Q571" i="4" s="1"/>
  <c r="R571" i="4" s="1"/>
  <c r="P572" i="4"/>
  <c r="Q572" i="4" s="1"/>
  <c r="R572" i="4" s="1"/>
  <c r="P573" i="4"/>
  <c r="Q573" i="4" s="1"/>
  <c r="R573" i="4" s="1"/>
  <c r="P574" i="4"/>
  <c r="Q574" i="4" s="1"/>
  <c r="R574" i="4" s="1"/>
  <c r="P575" i="4"/>
  <c r="Q575" i="4" s="1"/>
  <c r="R575" i="4" s="1"/>
  <c r="P576" i="4"/>
  <c r="Q576" i="4" s="1"/>
  <c r="R576" i="4" s="1"/>
  <c r="P577" i="4"/>
  <c r="Q577" i="4" s="1"/>
  <c r="R577" i="4" s="1"/>
  <c r="P578" i="4"/>
  <c r="Q578" i="4" s="1"/>
  <c r="R578" i="4" s="1"/>
  <c r="P579" i="4"/>
  <c r="Q579" i="4" s="1"/>
  <c r="R579" i="4" s="1"/>
  <c r="P580" i="4"/>
  <c r="Q580" i="4" s="1"/>
  <c r="R580" i="4" s="1"/>
  <c r="P581" i="4"/>
  <c r="Q581" i="4" s="1"/>
  <c r="R581" i="4" s="1"/>
  <c r="P582" i="4"/>
  <c r="Q582" i="4" s="1"/>
  <c r="R582" i="4" s="1"/>
  <c r="P583" i="4"/>
  <c r="Q583" i="4" s="1"/>
  <c r="R583" i="4" s="1"/>
  <c r="P584" i="4"/>
  <c r="Q584" i="4" s="1"/>
  <c r="R584" i="4" s="1"/>
  <c r="P585" i="4"/>
  <c r="Q585" i="4" s="1"/>
  <c r="R585" i="4" s="1"/>
  <c r="P586" i="4"/>
  <c r="Q586" i="4" s="1"/>
  <c r="R586" i="4" s="1"/>
  <c r="P587" i="4"/>
  <c r="Q587" i="4" s="1"/>
  <c r="R587" i="4" s="1"/>
  <c r="P588" i="4"/>
  <c r="Q588" i="4" s="1"/>
  <c r="R588" i="4" s="1"/>
  <c r="P589" i="4"/>
  <c r="Q589" i="4" s="1"/>
  <c r="R589" i="4" s="1"/>
  <c r="P590" i="4"/>
  <c r="Q590" i="4" s="1"/>
  <c r="R590" i="4" s="1"/>
  <c r="P591" i="4"/>
  <c r="Q591" i="4" s="1"/>
  <c r="R591" i="4" s="1"/>
  <c r="P592" i="4"/>
  <c r="Q592" i="4" s="1"/>
  <c r="R592" i="4" s="1"/>
  <c r="P593" i="4"/>
  <c r="Q593" i="4" s="1"/>
  <c r="R593" i="4" s="1"/>
  <c r="P594" i="4"/>
  <c r="Q594" i="4" s="1"/>
  <c r="R594" i="4" s="1"/>
  <c r="P595" i="4"/>
  <c r="Q595" i="4" s="1"/>
  <c r="R595" i="4" s="1"/>
  <c r="P596" i="4"/>
  <c r="Q596" i="4" s="1"/>
  <c r="R596" i="4" s="1"/>
  <c r="P597" i="4"/>
  <c r="Q597" i="4" s="1"/>
  <c r="R597" i="4" s="1"/>
  <c r="P598" i="4"/>
  <c r="Q598" i="4" s="1"/>
  <c r="R598" i="4" s="1"/>
  <c r="P599" i="4"/>
  <c r="Q599" i="4" s="1"/>
  <c r="R599" i="4" s="1"/>
  <c r="P600" i="4"/>
  <c r="Q600" i="4" s="1"/>
  <c r="R600" i="4" s="1"/>
  <c r="P601" i="4"/>
  <c r="Q601" i="4" s="1"/>
  <c r="R601" i="4" s="1"/>
  <c r="P602" i="4"/>
  <c r="Q602" i="4" s="1"/>
  <c r="R602" i="4" s="1"/>
  <c r="P603" i="4"/>
  <c r="Q603" i="4" s="1"/>
  <c r="R603" i="4" s="1"/>
  <c r="P604" i="4"/>
  <c r="Q604" i="4" s="1"/>
  <c r="R604" i="4" s="1"/>
  <c r="P605" i="4"/>
  <c r="Q605" i="4" s="1"/>
  <c r="R605" i="4" s="1"/>
  <c r="P606" i="4"/>
  <c r="Q606" i="4" s="1"/>
  <c r="R606" i="4" s="1"/>
  <c r="P607" i="4"/>
  <c r="Q607" i="4" s="1"/>
  <c r="R607" i="4" s="1"/>
  <c r="P608" i="4"/>
  <c r="Q608" i="4" s="1"/>
  <c r="R608" i="4" s="1"/>
  <c r="P609" i="4"/>
  <c r="Q609" i="4" s="1"/>
  <c r="R609" i="4" s="1"/>
  <c r="P610" i="4"/>
  <c r="Q610" i="4" s="1"/>
  <c r="R610" i="4" s="1"/>
  <c r="P611" i="4"/>
  <c r="Q611" i="4" s="1"/>
  <c r="R611" i="4" s="1"/>
  <c r="P612" i="4"/>
  <c r="Q612" i="4" s="1"/>
  <c r="R612" i="4" s="1"/>
  <c r="P613" i="4"/>
  <c r="Q613" i="4" s="1"/>
  <c r="R613" i="4" s="1"/>
  <c r="P614" i="4"/>
  <c r="Q614" i="4" s="1"/>
  <c r="R614" i="4" s="1"/>
  <c r="P615" i="4"/>
  <c r="Q615" i="4" s="1"/>
  <c r="R615" i="4" s="1"/>
  <c r="P616" i="4"/>
  <c r="Q616" i="4" s="1"/>
  <c r="R616" i="4" s="1"/>
  <c r="P617" i="4"/>
  <c r="Q617" i="4" s="1"/>
  <c r="R617" i="4" s="1"/>
  <c r="P618" i="4"/>
  <c r="Q618" i="4" s="1"/>
  <c r="R618" i="4" s="1"/>
  <c r="P619" i="4"/>
  <c r="Q619" i="4" s="1"/>
  <c r="R619" i="4" s="1"/>
  <c r="P620" i="4"/>
  <c r="Q620" i="4" s="1"/>
  <c r="R620" i="4" s="1"/>
  <c r="P621" i="4"/>
  <c r="Q621" i="4" s="1"/>
  <c r="R621" i="4" s="1"/>
  <c r="P622" i="4"/>
  <c r="Q622" i="4" s="1"/>
  <c r="R622" i="4" s="1"/>
  <c r="P623" i="4"/>
  <c r="Q623" i="4" s="1"/>
  <c r="R623" i="4" s="1"/>
  <c r="P624" i="4"/>
  <c r="Q624" i="4" s="1"/>
  <c r="R624" i="4" s="1"/>
  <c r="P625" i="4"/>
  <c r="Q625" i="4" s="1"/>
  <c r="R625" i="4" s="1"/>
  <c r="P626" i="4"/>
  <c r="Q626" i="4" s="1"/>
  <c r="R626" i="4" s="1"/>
  <c r="P627" i="4"/>
  <c r="Q627" i="4" s="1"/>
  <c r="R627" i="4" s="1"/>
  <c r="P628" i="4"/>
  <c r="Q628" i="4" s="1"/>
  <c r="R628" i="4" s="1"/>
  <c r="P629" i="4"/>
  <c r="Q629" i="4" s="1"/>
  <c r="R629" i="4" s="1"/>
  <c r="P630" i="4"/>
  <c r="Q630" i="4" s="1"/>
  <c r="R630" i="4" s="1"/>
  <c r="P631" i="4"/>
  <c r="Q631" i="4" s="1"/>
  <c r="R631" i="4" s="1"/>
  <c r="P632" i="4"/>
  <c r="Q632" i="4" s="1"/>
  <c r="R632" i="4" s="1"/>
  <c r="P633" i="4"/>
  <c r="Q633" i="4" s="1"/>
  <c r="R633" i="4" s="1"/>
  <c r="P634" i="4"/>
  <c r="Q634" i="4" s="1"/>
  <c r="R634" i="4" s="1"/>
  <c r="P635" i="4"/>
  <c r="Q635" i="4" s="1"/>
  <c r="R635" i="4" s="1"/>
  <c r="P636" i="4"/>
  <c r="Q636" i="4" s="1"/>
  <c r="R636" i="4" s="1"/>
  <c r="P637" i="4"/>
  <c r="Q637" i="4" s="1"/>
  <c r="R637" i="4" s="1"/>
  <c r="P638" i="4"/>
  <c r="Q638" i="4" s="1"/>
  <c r="R638" i="4" s="1"/>
  <c r="P639" i="4"/>
  <c r="Q639" i="4" s="1"/>
  <c r="R639" i="4" s="1"/>
  <c r="P640" i="4"/>
  <c r="Q640" i="4" s="1"/>
  <c r="R640" i="4" s="1"/>
  <c r="P641" i="4"/>
  <c r="Q641" i="4" s="1"/>
  <c r="R641" i="4" s="1"/>
  <c r="P642" i="4"/>
  <c r="Q642" i="4" s="1"/>
  <c r="R642" i="4" s="1"/>
  <c r="P643" i="4"/>
  <c r="Q643" i="4" s="1"/>
  <c r="R643" i="4" s="1"/>
  <c r="P644" i="4"/>
  <c r="Q644" i="4" s="1"/>
  <c r="R644" i="4" s="1"/>
  <c r="P645" i="4"/>
  <c r="Q645" i="4" s="1"/>
  <c r="R645" i="4" s="1"/>
  <c r="P646" i="4"/>
  <c r="Q646" i="4" s="1"/>
  <c r="R646" i="4" s="1"/>
  <c r="P647" i="4"/>
  <c r="Q647" i="4" s="1"/>
  <c r="R647" i="4" s="1"/>
  <c r="P648" i="4"/>
  <c r="Q648" i="4" s="1"/>
  <c r="R648" i="4" s="1"/>
  <c r="P649" i="4"/>
  <c r="Q649" i="4" s="1"/>
  <c r="R649" i="4" s="1"/>
  <c r="P650" i="4"/>
  <c r="Q650" i="4" s="1"/>
  <c r="R650" i="4" s="1"/>
  <c r="P651" i="4"/>
  <c r="Q651" i="4" s="1"/>
  <c r="R651" i="4" s="1"/>
  <c r="P652" i="4"/>
  <c r="Q652" i="4" s="1"/>
  <c r="R652" i="4" s="1"/>
  <c r="P653" i="4"/>
  <c r="Q653" i="4" s="1"/>
  <c r="R653" i="4" s="1"/>
  <c r="P654" i="4"/>
  <c r="Q654" i="4" s="1"/>
  <c r="R654" i="4" s="1"/>
  <c r="P655" i="4"/>
  <c r="Q655" i="4" s="1"/>
  <c r="R655" i="4" s="1"/>
  <c r="P656" i="4"/>
  <c r="Q656" i="4" s="1"/>
  <c r="R656" i="4" s="1"/>
  <c r="P657" i="4"/>
  <c r="Q657" i="4" s="1"/>
  <c r="R657" i="4" s="1"/>
  <c r="P658" i="4"/>
  <c r="Q658" i="4" s="1"/>
  <c r="R658" i="4" s="1"/>
  <c r="P659" i="4"/>
  <c r="Q659" i="4" s="1"/>
  <c r="R659" i="4" s="1"/>
  <c r="P660" i="4"/>
  <c r="Q660" i="4" s="1"/>
  <c r="R660" i="4" s="1"/>
  <c r="P661" i="4"/>
  <c r="Q661" i="4" s="1"/>
  <c r="R661" i="4" s="1"/>
  <c r="P662" i="4"/>
  <c r="Q662" i="4" s="1"/>
  <c r="R662" i="4" s="1"/>
  <c r="P663" i="4"/>
  <c r="Q663" i="4" s="1"/>
  <c r="R663" i="4" s="1"/>
  <c r="P664" i="4"/>
  <c r="Q664" i="4" s="1"/>
  <c r="R664" i="4" s="1"/>
  <c r="P665" i="4"/>
  <c r="Q665" i="4" s="1"/>
  <c r="R665" i="4" s="1"/>
  <c r="P666" i="4"/>
  <c r="Q666" i="4" s="1"/>
  <c r="R666" i="4" s="1"/>
  <c r="P667" i="4"/>
  <c r="Q667" i="4" s="1"/>
  <c r="R667" i="4" s="1"/>
  <c r="P668" i="4"/>
  <c r="Q668" i="4" s="1"/>
  <c r="R668" i="4" s="1"/>
  <c r="P669" i="4"/>
  <c r="Q669" i="4" s="1"/>
  <c r="R669" i="4" s="1"/>
  <c r="P670" i="4"/>
  <c r="Q670" i="4" s="1"/>
  <c r="R670" i="4" s="1"/>
  <c r="P671" i="4"/>
  <c r="Q671" i="4" s="1"/>
  <c r="R671" i="4" s="1"/>
  <c r="P672" i="4"/>
  <c r="Q672" i="4" s="1"/>
  <c r="R672" i="4" s="1"/>
  <c r="P673" i="4"/>
  <c r="Q673" i="4" s="1"/>
  <c r="R673" i="4" s="1"/>
  <c r="P674" i="4"/>
  <c r="Q674" i="4" s="1"/>
  <c r="R674" i="4" s="1"/>
  <c r="P675" i="4"/>
  <c r="Q675" i="4" s="1"/>
  <c r="R675" i="4" s="1"/>
  <c r="P676" i="4"/>
  <c r="Q676" i="4" s="1"/>
  <c r="R676" i="4" s="1"/>
  <c r="P677" i="4"/>
  <c r="Q677" i="4" s="1"/>
  <c r="R677" i="4" s="1"/>
  <c r="P678" i="4"/>
  <c r="Q678" i="4" s="1"/>
  <c r="R678" i="4" s="1"/>
  <c r="P679" i="4"/>
  <c r="Q679" i="4" s="1"/>
  <c r="R679" i="4" s="1"/>
  <c r="P680" i="4"/>
  <c r="Q680" i="4" s="1"/>
  <c r="R680" i="4" s="1"/>
  <c r="P681" i="4"/>
  <c r="Q681" i="4" s="1"/>
  <c r="R681" i="4" s="1"/>
  <c r="P682" i="4"/>
  <c r="Q682" i="4" s="1"/>
  <c r="R682" i="4" s="1"/>
  <c r="P683" i="4"/>
  <c r="Q683" i="4" s="1"/>
  <c r="R683" i="4" s="1"/>
  <c r="P684" i="4"/>
  <c r="Q684" i="4" s="1"/>
  <c r="R684" i="4" s="1"/>
  <c r="P685" i="4"/>
  <c r="Q685" i="4" s="1"/>
  <c r="R685" i="4" s="1"/>
  <c r="P686" i="4"/>
  <c r="Q686" i="4" s="1"/>
  <c r="R686" i="4" s="1"/>
  <c r="P687" i="4"/>
  <c r="Q687" i="4" s="1"/>
  <c r="R687" i="4" s="1"/>
  <c r="P688" i="4"/>
  <c r="Q688" i="4" s="1"/>
  <c r="R688" i="4" s="1"/>
  <c r="P689" i="4"/>
  <c r="Q689" i="4" s="1"/>
  <c r="R689" i="4" s="1"/>
  <c r="P690" i="4"/>
  <c r="Q690" i="4" s="1"/>
  <c r="R690" i="4" s="1"/>
  <c r="P691" i="4"/>
  <c r="Q691" i="4" s="1"/>
  <c r="R691" i="4" s="1"/>
  <c r="P692" i="4"/>
  <c r="Q692" i="4" s="1"/>
  <c r="R692" i="4" s="1"/>
  <c r="P693" i="4"/>
  <c r="Q693" i="4" s="1"/>
  <c r="R693" i="4" s="1"/>
  <c r="P694" i="4"/>
  <c r="Q694" i="4" s="1"/>
  <c r="R694" i="4" s="1"/>
  <c r="P695" i="4"/>
  <c r="Q695" i="4" s="1"/>
  <c r="R695" i="4" s="1"/>
  <c r="P696" i="4"/>
  <c r="Q696" i="4" s="1"/>
  <c r="R696" i="4" s="1"/>
  <c r="P697" i="4"/>
  <c r="Q697" i="4" s="1"/>
  <c r="R697" i="4" s="1"/>
  <c r="P698" i="4"/>
  <c r="Q698" i="4" s="1"/>
  <c r="R698" i="4" s="1"/>
  <c r="P699" i="4"/>
  <c r="Q699" i="4" s="1"/>
  <c r="R699" i="4" s="1"/>
  <c r="P700" i="4"/>
  <c r="Q700" i="4" s="1"/>
  <c r="R700" i="4" s="1"/>
  <c r="P701" i="4"/>
  <c r="Q701" i="4" s="1"/>
  <c r="R701" i="4" s="1"/>
  <c r="P702" i="4"/>
  <c r="Q702" i="4" s="1"/>
  <c r="R702" i="4" s="1"/>
  <c r="P703" i="4"/>
  <c r="Q703" i="4" s="1"/>
  <c r="R703" i="4" s="1"/>
  <c r="P704" i="4"/>
  <c r="Q704" i="4" s="1"/>
  <c r="R704" i="4" s="1"/>
  <c r="P705" i="4"/>
  <c r="Q705" i="4" s="1"/>
  <c r="R705" i="4" s="1"/>
  <c r="P706" i="4"/>
  <c r="Q706" i="4" s="1"/>
  <c r="R706" i="4" s="1"/>
  <c r="P707" i="4"/>
  <c r="Q707" i="4" s="1"/>
  <c r="R707" i="4" s="1"/>
  <c r="P708" i="4"/>
  <c r="Q708" i="4" s="1"/>
  <c r="R708" i="4" s="1"/>
  <c r="P709" i="4"/>
  <c r="Q709" i="4" s="1"/>
  <c r="R709" i="4" s="1"/>
  <c r="P710" i="4"/>
  <c r="Q710" i="4" s="1"/>
  <c r="R710" i="4" s="1"/>
  <c r="P711" i="4"/>
  <c r="Q711" i="4" s="1"/>
  <c r="R711" i="4" s="1"/>
  <c r="P712" i="4"/>
  <c r="Q712" i="4" s="1"/>
  <c r="R712" i="4" s="1"/>
  <c r="P713" i="4"/>
  <c r="Q713" i="4" s="1"/>
  <c r="R713" i="4" s="1"/>
  <c r="P714" i="4"/>
  <c r="Q714" i="4" s="1"/>
  <c r="R714" i="4" s="1"/>
  <c r="P715" i="4"/>
  <c r="Q715" i="4" s="1"/>
  <c r="R715" i="4" s="1"/>
  <c r="P716" i="4"/>
  <c r="Q716" i="4" s="1"/>
  <c r="R716" i="4" s="1"/>
  <c r="P717" i="4"/>
  <c r="Q717" i="4" s="1"/>
  <c r="R717" i="4" s="1"/>
  <c r="P718" i="4"/>
  <c r="Q718" i="4" s="1"/>
  <c r="R718" i="4" s="1"/>
  <c r="P719" i="4"/>
  <c r="Q719" i="4" s="1"/>
  <c r="R719" i="4" s="1"/>
  <c r="P720" i="4"/>
  <c r="Q720" i="4" s="1"/>
  <c r="R720" i="4" s="1"/>
  <c r="P721" i="4"/>
  <c r="Q721" i="4" s="1"/>
  <c r="R721" i="4" s="1"/>
  <c r="P722" i="4"/>
  <c r="Q722" i="4" s="1"/>
  <c r="R722" i="4" s="1"/>
  <c r="P723" i="4"/>
  <c r="Q723" i="4" s="1"/>
  <c r="R723" i="4" s="1"/>
  <c r="P724" i="4"/>
  <c r="Q724" i="4" s="1"/>
  <c r="R724" i="4" s="1"/>
  <c r="P725" i="4"/>
  <c r="Q725" i="4" s="1"/>
  <c r="R725" i="4" s="1"/>
  <c r="P726" i="4"/>
  <c r="Q726" i="4" s="1"/>
  <c r="R726" i="4" s="1"/>
  <c r="P727" i="4"/>
  <c r="Q727" i="4" s="1"/>
  <c r="R727" i="4" s="1"/>
  <c r="P728" i="4"/>
  <c r="Q728" i="4" s="1"/>
  <c r="R728" i="4" s="1"/>
  <c r="P729" i="4"/>
  <c r="Q729" i="4" s="1"/>
  <c r="R729" i="4" s="1"/>
  <c r="P730" i="4"/>
  <c r="Q730" i="4" s="1"/>
  <c r="R730" i="4" s="1"/>
  <c r="P731" i="4"/>
  <c r="Q731" i="4" s="1"/>
  <c r="R731" i="4" s="1"/>
  <c r="P732" i="4"/>
  <c r="Q732" i="4" s="1"/>
  <c r="R732" i="4" s="1"/>
  <c r="P733" i="4"/>
  <c r="Q733" i="4" s="1"/>
  <c r="R733" i="4" s="1"/>
  <c r="P734" i="4"/>
  <c r="Q734" i="4" s="1"/>
  <c r="R734" i="4" s="1"/>
  <c r="P735" i="4"/>
  <c r="Q735" i="4" s="1"/>
  <c r="R735" i="4" s="1"/>
  <c r="P736" i="4"/>
  <c r="Q736" i="4" s="1"/>
  <c r="R736" i="4" s="1"/>
  <c r="P737" i="4"/>
  <c r="Q737" i="4" s="1"/>
  <c r="R737" i="4" s="1"/>
  <c r="P738" i="4"/>
  <c r="Q738" i="4" s="1"/>
  <c r="R738" i="4" s="1"/>
  <c r="P739" i="4"/>
  <c r="Q739" i="4" s="1"/>
  <c r="R739" i="4" s="1"/>
  <c r="P740" i="4"/>
  <c r="Q740" i="4" s="1"/>
  <c r="R740" i="4" s="1"/>
  <c r="P741" i="4"/>
  <c r="Q741" i="4" s="1"/>
  <c r="R741" i="4" s="1"/>
  <c r="P742" i="4"/>
  <c r="Q742" i="4" s="1"/>
  <c r="R742" i="4" s="1"/>
  <c r="P743" i="4"/>
  <c r="Q743" i="4" s="1"/>
  <c r="R743" i="4" s="1"/>
  <c r="P744" i="4"/>
  <c r="Q744" i="4" s="1"/>
  <c r="R744" i="4" s="1"/>
  <c r="P745" i="4"/>
  <c r="Q745" i="4" s="1"/>
  <c r="R745" i="4" s="1"/>
  <c r="P746" i="4"/>
  <c r="Q746" i="4" s="1"/>
  <c r="R746" i="4" s="1"/>
  <c r="P747" i="4"/>
  <c r="Q747" i="4" s="1"/>
  <c r="R747" i="4" s="1"/>
  <c r="P748" i="4"/>
  <c r="Q748" i="4" s="1"/>
  <c r="R748" i="4" s="1"/>
  <c r="P749" i="4"/>
  <c r="Q749" i="4" s="1"/>
  <c r="R749" i="4" s="1"/>
  <c r="P750" i="4"/>
  <c r="Q750" i="4" s="1"/>
  <c r="R750" i="4" s="1"/>
  <c r="P751" i="4"/>
  <c r="Q751" i="4" s="1"/>
  <c r="R751" i="4" s="1"/>
  <c r="P752" i="4"/>
  <c r="Q752" i="4" s="1"/>
  <c r="R752" i="4" s="1"/>
  <c r="P753" i="4"/>
  <c r="Q753" i="4" s="1"/>
  <c r="R753" i="4" s="1"/>
  <c r="P754" i="4"/>
  <c r="Q754" i="4" s="1"/>
  <c r="R754" i="4" s="1"/>
  <c r="P755" i="4"/>
  <c r="Q755" i="4" s="1"/>
  <c r="R755" i="4" s="1"/>
  <c r="P756" i="4"/>
  <c r="Q756" i="4" s="1"/>
  <c r="R756" i="4" s="1"/>
  <c r="P757" i="4"/>
  <c r="Q757" i="4" s="1"/>
  <c r="R757" i="4" s="1"/>
  <c r="P758" i="4"/>
  <c r="Q758" i="4" s="1"/>
  <c r="R758" i="4" s="1"/>
  <c r="P759" i="4"/>
  <c r="Q759" i="4" s="1"/>
  <c r="R759" i="4" s="1"/>
  <c r="P760" i="4"/>
  <c r="Q760" i="4" s="1"/>
  <c r="R760" i="4" s="1"/>
  <c r="P761" i="4"/>
  <c r="Q761" i="4" s="1"/>
  <c r="R761" i="4" s="1"/>
  <c r="P762" i="4"/>
  <c r="Q762" i="4" s="1"/>
  <c r="R762" i="4" s="1"/>
  <c r="P763" i="4"/>
  <c r="Q763" i="4" s="1"/>
  <c r="R763" i="4" s="1"/>
  <c r="P764" i="4"/>
  <c r="Q764" i="4" s="1"/>
  <c r="R764" i="4" s="1"/>
  <c r="P765" i="4"/>
  <c r="Q765" i="4" s="1"/>
  <c r="R765" i="4" s="1"/>
  <c r="P766" i="4"/>
  <c r="Q766" i="4" s="1"/>
  <c r="R766" i="4" s="1"/>
  <c r="P767" i="4"/>
  <c r="Q767" i="4" s="1"/>
  <c r="R767" i="4" s="1"/>
  <c r="P768" i="4"/>
  <c r="Q768" i="4" s="1"/>
  <c r="R768" i="4" s="1"/>
  <c r="P769" i="4"/>
  <c r="Q769" i="4" s="1"/>
  <c r="R769" i="4" s="1"/>
  <c r="P770" i="4"/>
  <c r="Q770" i="4" s="1"/>
  <c r="R770" i="4" s="1"/>
  <c r="P771" i="4"/>
  <c r="Q771" i="4" s="1"/>
  <c r="R771" i="4" s="1"/>
  <c r="P772" i="4"/>
  <c r="Q772" i="4" s="1"/>
  <c r="R772" i="4" s="1"/>
  <c r="P773" i="4"/>
  <c r="Q773" i="4" s="1"/>
  <c r="R773" i="4" s="1"/>
  <c r="P774" i="4"/>
  <c r="Q774" i="4" s="1"/>
  <c r="R774" i="4" s="1"/>
  <c r="P775" i="4"/>
  <c r="Q775" i="4" s="1"/>
  <c r="R775" i="4" s="1"/>
  <c r="P776" i="4"/>
  <c r="Q776" i="4" s="1"/>
  <c r="R776" i="4" s="1"/>
  <c r="P777" i="4"/>
  <c r="Q777" i="4" s="1"/>
  <c r="R777" i="4" s="1"/>
  <c r="P778" i="4"/>
  <c r="Q778" i="4" s="1"/>
  <c r="R778" i="4" s="1"/>
  <c r="P779" i="4"/>
  <c r="Q779" i="4" s="1"/>
  <c r="R779" i="4" s="1"/>
  <c r="P780" i="4"/>
  <c r="Q780" i="4" s="1"/>
  <c r="R780" i="4" s="1"/>
  <c r="P781" i="4"/>
  <c r="Q781" i="4" s="1"/>
  <c r="R781" i="4" s="1"/>
  <c r="P782" i="4"/>
  <c r="Q782" i="4" s="1"/>
  <c r="R782" i="4" s="1"/>
  <c r="P783" i="4"/>
  <c r="Q783" i="4" s="1"/>
  <c r="R783" i="4" s="1"/>
  <c r="P784" i="4"/>
  <c r="Q784" i="4" s="1"/>
  <c r="R784" i="4" s="1"/>
  <c r="P785" i="4"/>
  <c r="Q785" i="4" s="1"/>
  <c r="R785" i="4" s="1"/>
  <c r="P786" i="4"/>
  <c r="Q786" i="4" s="1"/>
  <c r="R786" i="4" s="1"/>
  <c r="P787" i="4"/>
  <c r="Q787" i="4" s="1"/>
  <c r="R787" i="4" s="1"/>
  <c r="P788" i="4"/>
  <c r="Q788" i="4" s="1"/>
  <c r="R788" i="4" s="1"/>
  <c r="P789" i="4"/>
  <c r="Q789" i="4" s="1"/>
  <c r="R789" i="4" s="1"/>
  <c r="P790" i="4"/>
  <c r="Q790" i="4" s="1"/>
  <c r="R790" i="4" s="1"/>
  <c r="P791" i="4"/>
  <c r="Q791" i="4" s="1"/>
  <c r="R791" i="4" s="1"/>
  <c r="P792" i="4"/>
  <c r="Q792" i="4" s="1"/>
  <c r="R792" i="4" s="1"/>
  <c r="P793" i="4"/>
  <c r="Q793" i="4" s="1"/>
  <c r="R793" i="4" s="1"/>
  <c r="P794" i="4"/>
  <c r="Q794" i="4" s="1"/>
  <c r="R794" i="4" s="1"/>
  <c r="P795" i="4"/>
  <c r="Q795" i="4" s="1"/>
  <c r="R795" i="4" s="1"/>
  <c r="P796" i="4"/>
  <c r="Q796" i="4" s="1"/>
  <c r="R796" i="4" s="1"/>
  <c r="P797" i="4"/>
  <c r="Q797" i="4" s="1"/>
  <c r="R797" i="4" s="1"/>
  <c r="P798" i="4"/>
  <c r="Q798" i="4" s="1"/>
  <c r="R798" i="4" s="1"/>
  <c r="P799" i="4"/>
  <c r="Q799" i="4" s="1"/>
  <c r="R799" i="4" s="1"/>
  <c r="P800" i="4"/>
  <c r="Q800" i="4" s="1"/>
  <c r="R800" i="4" s="1"/>
  <c r="P801" i="4"/>
  <c r="Q801" i="4" s="1"/>
  <c r="R801" i="4" s="1"/>
  <c r="P802" i="4"/>
  <c r="Q802" i="4" s="1"/>
  <c r="R802" i="4" s="1"/>
  <c r="P803" i="4"/>
  <c r="Q803" i="4" s="1"/>
  <c r="R803" i="4" s="1"/>
  <c r="P804" i="4"/>
  <c r="Q804" i="4" s="1"/>
  <c r="R804" i="4" s="1"/>
  <c r="P805" i="4"/>
  <c r="Q805" i="4" s="1"/>
  <c r="R805" i="4" s="1"/>
  <c r="P806" i="4"/>
  <c r="Q806" i="4" s="1"/>
  <c r="R806" i="4" s="1"/>
  <c r="P807" i="4"/>
  <c r="Q807" i="4" s="1"/>
  <c r="R807" i="4" s="1"/>
  <c r="P808" i="4"/>
  <c r="Q808" i="4" s="1"/>
  <c r="R808" i="4" s="1"/>
  <c r="P809" i="4"/>
  <c r="Q809" i="4" s="1"/>
  <c r="R809" i="4" s="1"/>
  <c r="P810" i="4"/>
  <c r="Q810" i="4" s="1"/>
  <c r="R810" i="4" s="1"/>
  <c r="P811" i="4"/>
  <c r="Q811" i="4" s="1"/>
  <c r="R811" i="4" s="1"/>
  <c r="P812" i="4"/>
  <c r="Q812" i="4" s="1"/>
  <c r="R812" i="4" s="1"/>
  <c r="P813" i="4"/>
  <c r="Q813" i="4" s="1"/>
  <c r="R813" i="4" s="1"/>
  <c r="P814" i="4"/>
  <c r="Q814" i="4" s="1"/>
  <c r="R814" i="4" s="1"/>
  <c r="P815" i="4"/>
  <c r="Q815" i="4" s="1"/>
  <c r="R815" i="4" s="1"/>
  <c r="P816" i="4"/>
  <c r="Q816" i="4" s="1"/>
  <c r="R816" i="4" s="1"/>
  <c r="P817" i="4"/>
  <c r="Q817" i="4" s="1"/>
  <c r="R817" i="4" s="1"/>
  <c r="P818" i="4"/>
  <c r="Q818" i="4" s="1"/>
  <c r="R818" i="4" s="1"/>
  <c r="P819" i="4"/>
  <c r="Q819" i="4" s="1"/>
  <c r="R819" i="4" s="1"/>
  <c r="P820" i="4"/>
  <c r="Q820" i="4" s="1"/>
  <c r="R820" i="4" s="1"/>
  <c r="P821" i="4"/>
  <c r="Q821" i="4" s="1"/>
  <c r="R821" i="4" s="1"/>
  <c r="P822" i="4"/>
  <c r="Q822" i="4" s="1"/>
  <c r="R822" i="4" s="1"/>
  <c r="P823" i="4"/>
  <c r="Q823" i="4" s="1"/>
  <c r="R823" i="4" s="1"/>
  <c r="P824" i="4"/>
  <c r="Q824" i="4" s="1"/>
  <c r="R824" i="4" s="1"/>
  <c r="P825" i="4"/>
  <c r="Q825" i="4" s="1"/>
  <c r="R825" i="4" s="1"/>
  <c r="P826" i="4"/>
  <c r="Q826" i="4" s="1"/>
  <c r="R826" i="4" s="1"/>
  <c r="P827" i="4"/>
  <c r="Q827" i="4" s="1"/>
  <c r="R827" i="4" s="1"/>
  <c r="P828" i="4"/>
  <c r="Q828" i="4" s="1"/>
  <c r="R828" i="4" s="1"/>
  <c r="P829" i="4"/>
  <c r="Q829" i="4" s="1"/>
  <c r="R829" i="4" s="1"/>
  <c r="P830" i="4"/>
  <c r="Q830" i="4" s="1"/>
  <c r="R830" i="4" s="1"/>
  <c r="P831" i="4"/>
  <c r="Q831" i="4" s="1"/>
  <c r="R831" i="4" s="1"/>
  <c r="P832" i="4"/>
  <c r="Q832" i="4" s="1"/>
  <c r="R832" i="4" s="1"/>
  <c r="P833" i="4"/>
  <c r="Q833" i="4" s="1"/>
  <c r="R833" i="4" s="1"/>
  <c r="P834" i="4"/>
  <c r="Q834" i="4" s="1"/>
  <c r="R834" i="4" s="1"/>
  <c r="P835" i="4"/>
  <c r="Q835" i="4" s="1"/>
  <c r="R835" i="4" s="1"/>
  <c r="P836" i="4"/>
  <c r="Q836" i="4" s="1"/>
  <c r="R836" i="4" s="1"/>
  <c r="P837" i="4"/>
  <c r="Q837" i="4" s="1"/>
  <c r="R837" i="4" s="1"/>
  <c r="P838" i="4"/>
  <c r="Q838" i="4" s="1"/>
  <c r="R838" i="4" s="1"/>
  <c r="P839" i="4"/>
  <c r="Q839" i="4" s="1"/>
  <c r="R839" i="4" s="1"/>
  <c r="P840" i="4"/>
  <c r="Q840" i="4" s="1"/>
  <c r="R840" i="4" s="1"/>
  <c r="P841" i="4"/>
  <c r="Q841" i="4" s="1"/>
  <c r="R841" i="4" s="1"/>
  <c r="P842" i="4"/>
  <c r="Q842" i="4" s="1"/>
  <c r="R842" i="4" s="1"/>
  <c r="P843" i="4"/>
  <c r="Q843" i="4" s="1"/>
  <c r="R843" i="4" s="1"/>
  <c r="P844" i="4"/>
  <c r="Q844" i="4" s="1"/>
  <c r="R844" i="4" s="1"/>
  <c r="P845" i="4"/>
  <c r="Q845" i="4" s="1"/>
  <c r="R845" i="4" s="1"/>
  <c r="P846" i="4"/>
  <c r="Q846" i="4" s="1"/>
  <c r="R846" i="4" s="1"/>
  <c r="P847" i="4"/>
  <c r="Q847" i="4" s="1"/>
  <c r="R847" i="4" s="1"/>
  <c r="P848" i="4"/>
  <c r="Q848" i="4" s="1"/>
  <c r="R848" i="4" s="1"/>
  <c r="P849" i="4"/>
  <c r="Q849" i="4" s="1"/>
  <c r="R849" i="4" s="1"/>
  <c r="P850" i="4"/>
  <c r="Q850" i="4" s="1"/>
  <c r="R850" i="4" s="1"/>
  <c r="P851" i="4"/>
  <c r="Q851" i="4" s="1"/>
  <c r="R851" i="4" s="1"/>
  <c r="P852" i="4"/>
  <c r="Q852" i="4" s="1"/>
  <c r="R852" i="4" s="1"/>
  <c r="P853" i="4"/>
  <c r="Q853" i="4" s="1"/>
  <c r="R853" i="4" s="1"/>
  <c r="P854" i="4"/>
  <c r="Q854" i="4" s="1"/>
  <c r="R854" i="4" s="1"/>
  <c r="P855" i="4"/>
  <c r="Q855" i="4" s="1"/>
  <c r="R855" i="4" s="1"/>
  <c r="P856" i="4"/>
  <c r="Q856" i="4" s="1"/>
  <c r="R856" i="4" s="1"/>
  <c r="P857" i="4"/>
  <c r="Q857" i="4" s="1"/>
  <c r="R857" i="4" s="1"/>
  <c r="P858" i="4"/>
  <c r="Q858" i="4" s="1"/>
  <c r="R858" i="4" s="1"/>
  <c r="P859" i="4"/>
  <c r="Q859" i="4" s="1"/>
  <c r="R859" i="4" s="1"/>
  <c r="P860" i="4"/>
  <c r="Q860" i="4" s="1"/>
  <c r="R860" i="4" s="1"/>
  <c r="P861" i="4"/>
  <c r="Q861" i="4" s="1"/>
  <c r="R861" i="4" s="1"/>
  <c r="P862" i="4"/>
  <c r="Q862" i="4" s="1"/>
  <c r="R862" i="4" s="1"/>
  <c r="P863" i="4"/>
  <c r="Q863" i="4" s="1"/>
  <c r="R863" i="4" s="1"/>
  <c r="P864" i="4"/>
  <c r="Q864" i="4" s="1"/>
  <c r="R864" i="4" s="1"/>
  <c r="P865" i="4"/>
  <c r="Q865" i="4" s="1"/>
  <c r="R865" i="4" s="1"/>
  <c r="P866" i="4"/>
  <c r="Q866" i="4" s="1"/>
  <c r="R866" i="4" s="1"/>
  <c r="P867" i="4"/>
  <c r="Q867" i="4" s="1"/>
  <c r="R867" i="4" s="1"/>
  <c r="P868" i="4"/>
  <c r="Q868" i="4" s="1"/>
  <c r="R868" i="4" s="1"/>
  <c r="P869" i="4"/>
  <c r="Q869" i="4" s="1"/>
  <c r="R869" i="4" s="1"/>
  <c r="P870" i="4"/>
  <c r="Q870" i="4" s="1"/>
  <c r="R870" i="4" s="1"/>
  <c r="P871" i="4"/>
  <c r="Q871" i="4" s="1"/>
  <c r="R871" i="4" s="1"/>
  <c r="P872" i="4"/>
  <c r="Q872" i="4" s="1"/>
  <c r="R872" i="4" s="1"/>
  <c r="P873" i="4"/>
  <c r="Q873" i="4" s="1"/>
  <c r="R873" i="4" s="1"/>
  <c r="P874" i="4"/>
  <c r="Q874" i="4" s="1"/>
  <c r="R874" i="4" s="1"/>
  <c r="P875" i="4"/>
  <c r="Q875" i="4" s="1"/>
  <c r="R875" i="4" s="1"/>
  <c r="P876" i="4"/>
  <c r="Q876" i="4" s="1"/>
  <c r="R876" i="4" s="1"/>
  <c r="P877" i="4"/>
  <c r="Q877" i="4" s="1"/>
  <c r="R877" i="4" s="1"/>
  <c r="P878" i="4"/>
  <c r="Q878" i="4" s="1"/>
  <c r="R878" i="4" s="1"/>
  <c r="P879" i="4"/>
  <c r="Q879" i="4" s="1"/>
  <c r="R879" i="4" s="1"/>
  <c r="P880" i="4"/>
  <c r="Q880" i="4" s="1"/>
  <c r="R880" i="4" s="1"/>
  <c r="P881" i="4"/>
  <c r="Q881" i="4" s="1"/>
  <c r="R881" i="4" s="1"/>
  <c r="P882" i="4"/>
  <c r="Q882" i="4" s="1"/>
  <c r="R882" i="4" s="1"/>
  <c r="P883" i="4"/>
  <c r="Q883" i="4" s="1"/>
  <c r="R883" i="4" s="1"/>
  <c r="P884" i="4"/>
  <c r="Q884" i="4" s="1"/>
  <c r="R884" i="4" s="1"/>
  <c r="P885" i="4"/>
  <c r="Q885" i="4" s="1"/>
  <c r="R885" i="4" s="1"/>
  <c r="P886" i="4"/>
  <c r="Q886" i="4" s="1"/>
  <c r="R886" i="4" s="1"/>
  <c r="P887" i="4"/>
  <c r="Q887" i="4" s="1"/>
  <c r="R887" i="4" s="1"/>
  <c r="P888" i="4"/>
  <c r="Q888" i="4" s="1"/>
  <c r="R888" i="4" s="1"/>
  <c r="P889" i="4"/>
  <c r="Q889" i="4" s="1"/>
  <c r="R889" i="4" s="1"/>
  <c r="P890" i="4"/>
  <c r="Q890" i="4" s="1"/>
  <c r="R890" i="4" s="1"/>
  <c r="P891" i="4"/>
  <c r="Q891" i="4" s="1"/>
  <c r="R891" i="4" s="1"/>
  <c r="P892" i="4"/>
  <c r="Q892" i="4" s="1"/>
  <c r="R892" i="4" s="1"/>
  <c r="P893" i="4"/>
  <c r="Q893" i="4" s="1"/>
  <c r="R893" i="4" s="1"/>
  <c r="P894" i="4"/>
  <c r="Q894" i="4" s="1"/>
  <c r="R894" i="4" s="1"/>
  <c r="P895" i="4"/>
  <c r="Q895" i="4" s="1"/>
  <c r="R895" i="4" s="1"/>
  <c r="P896" i="4"/>
  <c r="Q896" i="4" s="1"/>
  <c r="R896" i="4" s="1"/>
  <c r="P897" i="4"/>
  <c r="Q897" i="4" s="1"/>
  <c r="R897" i="4" s="1"/>
  <c r="P898" i="4"/>
  <c r="Q898" i="4" s="1"/>
  <c r="R898" i="4" s="1"/>
  <c r="P899" i="4"/>
  <c r="Q899" i="4" s="1"/>
  <c r="R899" i="4" s="1"/>
  <c r="P900" i="4"/>
  <c r="Q900" i="4" s="1"/>
  <c r="R900" i="4" s="1"/>
  <c r="P901" i="4"/>
  <c r="Q901" i="4" s="1"/>
  <c r="R901" i="4" s="1"/>
  <c r="P902" i="4"/>
  <c r="Q902" i="4" s="1"/>
  <c r="R902" i="4" s="1"/>
  <c r="P903" i="4"/>
  <c r="Q903" i="4" s="1"/>
  <c r="R903" i="4" s="1"/>
  <c r="P904" i="4"/>
  <c r="Q904" i="4" s="1"/>
  <c r="R904" i="4" s="1"/>
  <c r="P905" i="4"/>
  <c r="Q905" i="4" s="1"/>
  <c r="R905" i="4" s="1"/>
  <c r="P906" i="4"/>
  <c r="Q906" i="4" s="1"/>
  <c r="R906" i="4" s="1"/>
  <c r="P907" i="4"/>
  <c r="Q907" i="4" s="1"/>
  <c r="R907" i="4" s="1"/>
  <c r="P908" i="4"/>
  <c r="Q908" i="4" s="1"/>
  <c r="R908" i="4" s="1"/>
  <c r="P909" i="4"/>
  <c r="Q909" i="4" s="1"/>
  <c r="R909" i="4" s="1"/>
  <c r="P910" i="4"/>
  <c r="Q910" i="4" s="1"/>
  <c r="R910" i="4" s="1"/>
  <c r="P911" i="4"/>
  <c r="Q911" i="4" s="1"/>
  <c r="R911" i="4" s="1"/>
  <c r="P912" i="4"/>
  <c r="Q912" i="4" s="1"/>
  <c r="R912" i="4" s="1"/>
  <c r="P913" i="4"/>
  <c r="Q913" i="4" s="1"/>
  <c r="R913" i="4" s="1"/>
  <c r="P914" i="4"/>
  <c r="Q914" i="4" s="1"/>
  <c r="R914" i="4" s="1"/>
  <c r="P915" i="4"/>
  <c r="Q915" i="4" s="1"/>
  <c r="R915" i="4" s="1"/>
  <c r="P916" i="4"/>
  <c r="Q916" i="4" s="1"/>
  <c r="R916" i="4" s="1"/>
  <c r="P917" i="4"/>
  <c r="Q917" i="4" s="1"/>
  <c r="R917" i="4" s="1"/>
  <c r="P918" i="4"/>
  <c r="Q918" i="4" s="1"/>
  <c r="R918" i="4" s="1"/>
  <c r="P919" i="4"/>
  <c r="Q919" i="4" s="1"/>
  <c r="R919" i="4" s="1"/>
  <c r="P920" i="4"/>
  <c r="Q920" i="4" s="1"/>
  <c r="R920" i="4" s="1"/>
  <c r="P921" i="4"/>
  <c r="Q921" i="4" s="1"/>
  <c r="R921" i="4" s="1"/>
  <c r="P922" i="4"/>
  <c r="Q922" i="4" s="1"/>
  <c r="R922" i="4" s="1"/>
  <c r="P923" i="4"/>
  <c r="Q923" i="4" s="1"/>
  <c r="R923" i="4" s="1"/>
  <c r="P924" i="4"/>
  <c r="Q924" i="4" s="1"/>
  <c r="R924" i="4" s="1"/>
  <c r="P925" i="4"/>
  <c r="Q925" i="4" s="1"/>
  <c r="R925" i="4" s="1"/>
  <c r="P926" i="4"/>
  <c r="Q926" i="4" s="1"/>
  <c r="R926" i="4" s="1"/>
  <c r="P927" i="4"/>
  <c r="Q927" i="4" s="1"/>
  <c r="R927" i="4" s="1"/>
  <c r="P928" i="4"/>
  <c r="Q928" i="4" s="1"/>
  <c r="R928" i="4" s="1"/>
  <c r="P929" i="4"/>
  <c r="Q929" i="4" s="1"/>
  <c r="R929" i="4" s="1"/>
  <c r="P930" i="4"/>
  <c r="Q930" i="4" s="1"/>
  <c r="R930" i="4" s="1"/>
  <c r="P931" i="4"/>
  <c r="Q931" i="4" s="1"/>
  <c r="R931" i="4" s="1"/>
  <c r="P932" i="4"/>
  <c r="Q932" i="4" s="1"/>
  <c r="R932" i="4" s="1"/>
  <c r="P933" i="4"/>
  <c r="Q933" i="4" s="1"/>
  <c r="R933" i="4" s="1"/>
  <c r="P934" i="4"/>
  <c r="Q934" i="4" s="1"/>
  <c r="R934" i="4" s="1"/>
  <c r="P935" i="4"/>
  <c r="Q935" i="4" s="1"/>
  <c r="R935" i="4" s="1"/>
  <c r="P936" i="4"/>
  <c r="Q936" i="4" s="1"/>
  <c r="R936" i="4" s="1"/>
  <c r="P937" i="4"/>
  <c r="Q937" i="4" s="1"/>
  <c r="R937" i="4" s="1"/>
  <c r="P938" i="4"/>
  <c r="Q938" i="4" s="1"/>
  <c r="R938" i="4" s="1"/>
  <c r="P939" i="4"/>
  <c r="Q939" i="4" s="1"/>
  <c r="R939" i="4" s="1"/>
  <c r="P940" i="4"/>
  <c r="Q940" i="4" s="1"/>
  <c r="R940" i="4" s="1"/>
  <c r="P941" i="4"/>
  <c r="Q941" i="4" s="1"/>
  <c r="R941" i="4" s="1"/>
  <c r="P942" i="4"/>
  <c r="Q942" i="4" s="1"/>
  <c r="R942" i="4" s="1"/>
  <c r="P943" i="4"/>
  <c r="Q943" i="4" s="1"/>
  <c r="R943" i="4" s="1"/>
  <c r="P944" i="4"/>
  <c r="Q944" i="4" s="1"/>
  <c r="R944" i="4" s="1"/>
  <c r="P945" i="4"/>
  <c r="Q945" i="4" s="1"/>
  <c r="R945" i="4" s="1"/>
  <c r="P946" i="4"/>
  <c r="Q946" i="4" s="1"/>
  <c r="R946" i="4" s="1"/>
  <c r="P947" i="4"/>
  <c r="Q947" i="4" s="1"/>
  <c r="R947" i="4" s="1"/>
  <c r="P948" i="4"/>
  <c r="Q948" i="4" s="1"/>
  <c r="R948" i="4" s="1"/>
  <c r="P949" i="4"/>
  <c r="Q949" i="4" s="1"/>
  <c r="R949" i="4" s="1"/>
  <c r="P950" i="4"/>
  <c r="Q950" i="4" s="1"/>
  <c r="R950" i="4" s="1"/>
  <c r="P951" i="4"/>
  <c r="Q951" i="4" s="1"/>
  <c r="R951" i="4" s="1"/>
  <c r="P952" i="4"/>
  <c r="Q952" i="4" s="1"/>
  <c r="R952" i="4" s="1"/>
  <c r="P953" i="4"/>
  <c r="Q953" i="4" s="1"/>
  <c r="R953" i="4" s="1"/>
  <c r="P954" i="4"/>
  <c r="Q954" i="4" s="1"/>
  <c r="R954" i="4" s="1"/>
  <c r="P955" i="4"/>
  <c r="Q955" i="4" s="1"/>
  <c r="R955" i="4" s="1"/>
  <c r="P956" i="4"/>
  <c r="Q956" i="4" s="1"/>
  <c r="R956" i="4" s="1"/>
  <c r="P957" i="4"/>
  <c r="Q957" i="4" s="1"/>
  <c r="R957" i="4" s="1"/>
  <c r="P958" i="4"/>
  <c r="Q958" i="4" s="1"/>
  <c r="R958" i="4" s="1"/>
  <c r="P959" i="4"/>
  <c r="Q959" i="4" s="1"/>
  <c r="R959" i="4" s="1"/>
  <c r="P960" i="4"/>
  <c r="Q960" i="4" s="1"/>
  <c r="R960" i="4" s="1"/>
  <c r="P961" i="4"/>
  <c r="Q961" i="4" s="1"/>
  <c r="R961" i="4" s="1"/>
  <c r="P962" i="4"/>
  <c r="Q962" i="4" s="1"/>
  <c r="R962" i="4" s="1"/>
  <c r="P963" i="4"/>
  <c r="Q963" i="4" s="1"/>
  <c r="R963" i="4" s="1"/>
  <c r="P964" i="4"/>
  <c r="Q964" i="4" s="1"/>
  <c r="R964" i="4" s="1"/>
  <c r="P965" i="4"/>
  <c r="Q965" i="4" s="1"/>
  <c r="R965" i="4" s="1"/>
  <c r="P966" i="4"/>
  <c r="Q966" i="4" s="1"/>
  <c r="R966" i="4" s="1"/>
  <c r="P967" i="4"/>
  <c r="Q967" i="4" s="1"/>
  <c r="R967" i="4" s="1"/>
  <c r="P968" i="4"/>
  <c r="Q968" i="4" s="1"/>
  <c r="R968" i="4" s="1"/>
  <c r="P969" i="4"/>
  <c r="Q969" i="4" s="1"/>
  <c r="R969" i="4" s="1"/>
  <c r="P970" i="4"/>
  <c r="Q970" i="4" s="1"/>
  <c r="R970" i="4" s="1"/>
  <c r="P971" i="4"/>
  <c r="Q971" i="4" s="1"/>
  <c r="R971" i="4" s="1"/>
  <c r="P972" i="4"/>
  <c r="Q972" i="4" s="1"/>
  <c r="R972" i="4" s="1"/>
  <c r="P973" i="4"/>
  <c r="Q973" i="4" s="1"/>
  <c r="R973" i="4" s="1"/>
  <c r="P974" i="4"/>
  <c r="Q974" i="4" s="1"/>
  <c r="R974" i="4" s="1"/>
  <c r="P975" i="4"/>
  <c r="Q975" i="4" s="1"/>
  <c r="R975" i="4" s="1"/>
  <c r="P976" i="4"/>
  <c r="Q976" i="4" s="1"/>
  <c r="R976" i="4" s="1"/>
  <c r="P977" i="4"/>
  <c r="Q977" i="4" s="1"/>
  <c r="R977" i="4" s="1"/>
  <c r="P978" i="4"/>
  <c r="Q978" i="4" s="1"/>
  <c r="R978" i="4" s="1"/>
  <c r="P979" i="4"/>
  <c r="Q979" i="4" s="1"/>
  <c r="R979" i="4" s="1"/>
  <c r="P980" i="4"/>
  <c r="Q980" i="4" s="1"/>
  <c r="R980" i="4" s="1"/>
  <c r="P981" i="4"/>
  <c r="Q981" i="4" s="1"/>
  <c r="R981" i="4" s="1"/>
  <c r="P982" i="4"/>
  <c r="Q982" i="4" s="1"/>
  <c r="R982" i="4" s="1"/>
  <c r="P983" i="4"/>
  <c r="Q983" i="4" s="1"/>
  <c r="R983" i="4" s="1"/>
  <c r="P984" i="4"/>
  <c r="Q984" i="4" s="1"/>
  <c r="R984" i="4" s="1"/>
  <c r="P985" i="4"/>
  <c r="Q985" i="4" s="1"/>
  <c r="R985" i="4" s="1"/>
  <c r="P986" i="4"/>
  <c r="Q986" i="4" s="1"/>
  <c r="R986" i="4" s="1"/>
  <c r="P987" i="4"/>
  <c r="Q987" i="4" s="1"/>
  <c r="R987" i="4" s="1"/>
  <c r="P988" i="4"/>
  <c r="Q988" i="4" s="1"/>
  <c r="R988" i="4" s="1"/>
  <c r="P989" i="4"/>
  <c r="Q989" i="4" s="1"/>
  <c r="R989" i="4" s="1"/>
  <c r="P990" i="4"/>
  <c r="Q990" i="4" s="1"/>
  <c r="R990" i="4" s="1"/>
  <c r="P991" i="4"/>
  <c r="Q991" i="4" s="1"/>
  <c r="R991" i="4" s="1"/>
  <c r="P992" i="4"/>
  <c r="Q992" i="4" s="1"/>
  <c r="R992" i="4" s="1"/>
  <c r="P993" i="4"/>
  <c r="Q993" i="4" s="1"/>
  <c r="R993" i="4" s="1"/>
  <c r="P994" i="4"/>
  <c r="Q994" i="4" s="1"/>
  <c r="R994" i="4" s="1"/>
  <c r="P995" i="4"/>
  <c r="Q995" i="4" s="1"/>
  <c r="R995" i="4" s="1"/>
  <c r="P996" i="4"/>
  <c r="Q996" i="4" s="1"/>
  <c r="R996" i="4" s="1"/>
  <c r="P997" i="4"/>
  <c r="Q997" i="4" s="1"/>
  <c r="R997" i="4" s="1"/>
  <c r="P998" i="4"/>
  <c r="Q998" i="4" s="1"/>
  <c r="R998" i="4" s="1"/>
  <c r="P999" i="4"/>
  <c r="Q999" i="4" s="1"/>
  <c r="R999" i="4" s="1"/>
  <c r="P1000" i="4"/>
  <c r="Q1000" i="4" s="1"/>
  <c r="R1000" i="4" s="1"/>
  <c r="P1001" i="4"/>
  <c r="Q1001" i="4" s="1"/>
  <c r="R1001" i="4" s="1"/>
  <c r="P1002" i="4"/>
  <c r="Q1002" i="4" s="1"/>
  <c r="R1002" i="4" s="1"/>
  <c r="P1003" i="4"/>
  <c r="Q1003" i="4" s="1"/>
  <c r="R1003" i="4" s="1"/>
  <c r="P1004" i="4"/>
  <c r="Q1004" i="4" s="1"/>
  <c r="R1004" i="4" s="1"/>
  <c r="P1005" i="4"/>
  <c r="Q1005" i="4" s="1"/>
  <c r="R1005" i="4" s="1"/>
  <c r="P1006" i="4"/>
  <c r="Q1006" i="4" s="1"/>
  <c r="R1006" i="4" s="1"/>
  <c r="P1007" i="4"/>
  <c r="Q1007" i="4" s="1"/>
  <c r="R1007" i="4" s="1"/>
  <c r="P1008" i="4"/>
  <c r="Q1008" i="4" s="1"/>
  <c r="R1008" i="4" s="1"/>
  <c r="P1009" i="4"/>
  <c r="Q1009" i="4" s="1"/>
  <c r="R1009" i="4" s="1"/>
  <c r="P1010" i="4"/>
  <c r="Q1010" i="4" s="1"/>
  <c r="R1010" i="4" s="1"/>
  <c r="P1011" i="4"/>
  <c r="Q1011" i="4" s="1"/>
  <c r="R1011" i="4" s="1"/>
  <c r="P1012" i="4"/>
  <c r="Q1012" i="4" s="1"/>
  <c r="R1012" i="4" s="1"/>
  <c r="P1013" i="4"/>
  <c r="Q1013" i="4" s="1"/>
  <c r="R1013" i="4" s="1"/>
  <c r="P1014" i="4"/>
  <c r="Q1014" i="4" s="1"/>
  <c r="R1014" i="4" s="1"/>
  <c r="P1015" i="4"/>
  <c r="Q1015" i="4" s="1"/>
  <c r="R1015" i="4" s="1"/>
  <c r="P1016" i="4"/>
  <c r="Q1016" i="4" s="1"/>
  <c r="R1016" i="4" s="1"/>
  <c r="P1017" i="4"/>
  <c r="Q1017" i="4" s="1"/>
  <c r="R1017" i="4" s="1"/>
  <c r="P1018" i="4"/>
  <c r="Q1018" i="4" s="1"/>
  <c r="R1018" i="4" s="1"/>
  <c r="P1019" i="4"/>
  <c r="Q1019" i="4" s="1"/>
  <c r="R1019" i="4" s="1"/>
  <c r="P1020" i="4"/>
  <c r="Q1020" i="4" s="1"/>
  <c r="R1020" i="4" s="1"/>
  <c r="P1021" i="4"/>
  <c r="Q1021" i="4" s="1"/>
  <c r="R1021" i="4" s="1"/>
  <c r="P1022" i="4"/>
  <c r="Q1022" i="4" s="1"/>
  <c r="R1022" i="4" s="1"/>
  <c r="P1023" i="4"/>
  <c r="Q1023" i="4" s="1"/>
  <c r="R1023" i="4" s="1"/>
  <c r="P1024" i="4"/>
  <c r="Q1024" i="4" s="1"/>
  <c r="R1024" i="4" s="1"/>
  <c r="P1025" i="4"/>
  <c r="Q1025" i="4" s="1"/>
  <c r="R1025" i="4" s="1"/>
  <c r="P1026" i="4"/>
  <c r="Q1026" i="4" s="1"/>
  <c r="R1026" i="4" s="1"/>
  <c r="P1027" i="4"/>
  <c r="Q1027" i="4" s="1"/>
  <c r="R1027" i="4" s="1"/>
  <c r="P1028" i="4"/>
  <c r="Q1028" i="4" s="1"/>
  <c r="R1028" i="4" s="1"/>
  <c r="P1029" i="4"/>
  <c r="Q1029" i="4" s="1"/>
  <c r="R1029" i="4" s="1"/>
  <c r="P1030" i="4"/>
  <c r="Q1030" i="4" s="1"/>
  <c r="R1030" i="4" s="1"/>
  <c r="P1031" i="4"/>
  <c r="Q1031" i="4" s="1"/>
  <c r="R1031" i="4" s="1"/>
  <c r="P1032" i="4"/>
  <c r="Q1032" i="4" s="1"/>
  <c r="R1032" i="4" s="1"/>
  <c r="P1033" i="4"/>
  <c r="Q1033" i="4" s="1"/>
  <c r="R1033" i="4" s="1"/>
  <c r="P1034" i="4"/>
  <c r="Q1034" i="4" s="1"/>
  <c r="R1034" i="4" s="1"/>
  <c r="P1035" i="4"/>
  <c r="Q1035" i="4" s="1"/>
  <c r="R1035" i="4" s="1"/>
  <c r="P1036" i="4"/>
  <c r="Q1036" i="4" s="1"/>
  <c r="R1036" i="4" s="1"/>
  <c r="P1037" i="4"/>
  <c r="Q1037" i="4" s="1"/>
  <c r="R1037" i="4" s="1"/>
  <c r="P1038" i="4"/>
  <c r="Q1038" i="4" s="1"/>
  <c r="R1038" i="4" s="1"/>
  <c r="P1039" i="4"/>
  <c r="Q1039" i="4" s="1"/>
  <c r="R1039" i="4" s="1"/>
  <c r="P1040" i="4"/>
  <c r="Q1040" i="4" s="1"/>
  <c r="R1040" i="4" s="1"/>
  <c r="P1041" i="4"/>
  <c r="Q1041" i="4" s="1"/>
  <c r="R1041" i="4" s="1"/>
  <c r="P1042" i="4"/>
  <c r="Q1042" i="4" s="1"/>
  <c r="R1042" i="4" s="1"/>
  <c r="P1043" i="4"/>
  <c r="Q1043" i="4" s="1"/>
  <c r="R1043" i="4" s="1"/>
  <c r="P1044" i="4"/>
  <c r="Q1044" i="4" s="1"/>
  <c r="R1044" i="4" s="1"/>
  <c r="P1045" i="4"/>
  <c r="Q1045" i="4" s="1"/>
  <c r="R1045" i="4" s="1"/>
  <c r="P1046" i="4"/>
  <c r="Q1046" i="4" s="1"/>
  <c r="R1046" i="4" s="1"/>
  <c r="P1047" i="4"/>
  <c r="Q1047" i="4" s="1"/>
  <c r="R1047" i="4" s="1"/>
  <c r="P1048" i="4"/>
  <c r="Q1048" i="4" s="1"/>
  <c r="R1048" i="4" s="1"/>
  <c r="P1049" i="4"/>
  <c r="Q1049" i="4" s="1"/>
  <c r="R1049" i="4" s="1"/>
  <c r="P1050" i="4"/>
  <c r="Q1050" i="4" s="1"/>
  <c r="R1050" i="4" s="1"/>
  <c r="P1051" i="4"/>
  <c r="Q1051" i="4" s="1"/>
  <c r="R1051" i="4" s="1"/>
  <c r="P1052" i="4"/>
  <c r="Q1052" i="4" s="1"/>
  <c r="R1052" i="4" s="1"/>
  <c r="P1053" i="4"/>
  <c r="Q1053" i="4" s="1"/>
  <c r="R1053" i="4" s="1"/>
  <c r="P1054" i="4"/>
  <c r="Q1054" i="4" s="1"/>
  <c r="R1054" i="4" s="1"/>
  <c r="P1055" i="4"/>
  <c r="Q1055" i="4" s="1"/>
  <c r="R1055" i="4" s="1"/>
  <c r="P1056" i="4"/>
  <c r="Q1056" i="4" s="1"/>
  <c r="R1056" i="4" s="1"/>
  <c r="P1057" i="4"/>
  <c r="Q1057" i="4" s="1"/>
  <c r="R1057" i="4" s="1"/>
  <c r="P1058" i="4"/>
  <c r="Q1058" i="4" s="1"/>
  <c r="R1058" i="4" s="1"/>
  <c r="P1059" i="4"/>
  <c r="Q1059" i="4" s="1"/>
  <c r="R1059" i="4" s="1"/>
  <c r="P1060" i="4"/>
  <c r="Q1060" i="4" s="1"/>
  <c r="R1060" i="4" s="1"/>
  <c r="P1061" i="4"/>
  <c r="Q1061" i="4" s="1"/>
  <c r="R1061" i="4" s="1"/>
  <c r="P1062" i="4"/>
  <c r="Q1062" i="4" s="1"/>
  <c r="R1062" i="4" s="1"/>
  <c r="P1063" i="4"/>
  <c r="Q1063" i="4" s="1"/>
  <c r="R1063" i="4" s="1"/>
  <c r="P1064" i="4"/>
  <c r="Q1064" i="4" s="1"/>
  <c r="R1064" i="4" s="1"/>
  <c r="P1065" i="4"/>
  <c r="Q1065" i="4" s="1"/>
  <c r="R1065" i="4" s="1"/>
  <c r="P1066" i="4"/>
  <c r="Q1066" i="4" s="1"/>
  <c r="R1066" i="4" s="1"/>
  <c r="P1067" i="4"/>
  <c r="Q1067" i="4" s="1"/>
  <c r="R1067" i="4" s="1"/>
  <c r="P1068" i="4"/>
  <c r="Q1068" i="4" s="1"/>
  <c r="R1068" i="4" s="1"/>
  <c r="P1069" i="4"/>
  <c r="Q1069" i="4" s="1"/>
  <c r="R1069" i="4" s="1"/>
  <c r="P1070" i="4"/>
  <c r="Q1070" i="4" s="1"/>
  <c r="R1070" i="4" s="1"/>
  <c r="P1071" i="4"/>
  <c r="Q1071" i="4" s="1"/>
  <c r="R1071" i="4" s="1"/>
  <c r="P1072" i="4"/>
  <c r="Q1072" i="4" s="1"/>
  <c r="R1072" i="4" s="1"/>
  <c r="P1073" i="4"/>
  <c r="Q1073" i="4" s="1"/>
  <c r="R1073" i="4" s="1"/>
  <c r="P1074" i="4"/>
  <c r="Q1074" i="4" s="1"/>
  <c r="R1074" i="4" s="1"/>
  <c r="P1075" i="4"/>
  <c r="Q1075" i="4" s="1"/>
  <c r="R1075" i="4" s="1"/>
  <c r="P1076" i="4"/>
  <c r="Q1076" i="4" s="1"/>
  <c r="R1076" i="4" s="1"/>
  <c r="P1077" i="4"/>
  <c r="Q1077" i="4" s="1"/>
  <c r="R1077" i="4" s="1"/>
  <c r="P1078" i="4"/>
  <c r="Q1078" i="4" s="1"/>
  <c r="R1078" i="4" s="1"/>
  <c r="P1079" i="4"/>
  <c r="Q1079" i="4" s="1"/>
  <c r="R1079" i="4" s="1"/>
  <c r="P1080" i="4"/>
  <c r="Q1080" i="4" s="1"/>
  <c r="R1080" i="4" s="1"/>
  <c r="P1081" i="4"/>
  <c r="Q1081" i="4" s="1"/>
  <c r="R1081" i="4" s="1"/>
  <c r="P1082" i="4"/>
  <c r="Q1082" i="4" s="1"/>
  <c r="R1082" i="4" s="1"/>
  <c r="P1083" i="4"/>
  <c r="Q1083" i="4" s="1"/>
  <c r="R1083" i="4" s="1"/>
  <c r="P1084" i="4"/>
  <c r="Q1084" i="4" s="1"/>
  <c r="R1084" i="4" s="1"/>
  <c r="P1085" i="4"/>
  <c r="Q1085" i="4" s="1"/>
  <c r="R1085" i="4" s="1"/>
  <c r="P1086" i="4"/>
  <c r="Q1086" i="4" s="1"/>
  <c r="R1086" i="4" s="1"/>
  <c r="P1087" i="4"/>
  <c r="Q1087" i="4" s="1"/>
  <c r="R1087" i="4" s="1"/>
  <c r="P1088" i="4"/>
  <c r="Q1088" i="4" s="1"/>
  <c r="R1088" i="4" s="1"/>
  <c r="P1089" i="4"/>
  <c r="Q1089" i="4" s="1"/>
  <c r="R1089" i="4" s="1"/>
  <c r="P1090" i="4"/>
  <c r="Q1090" i="4" s="1"/>
  <c r="R1090" i="4" s="1"/>
  <c r="P1091" i="4"/>
  <c r="Q1091" i="4" s="1"/>
  <c r="R1091" i="4" s="1"/>
  <c r="P1092" i="4"/>
  <c r="Q1092" i="4" s="1"/>
  <c r="R1092" i="4" s="1"/>
  <c r="P1093" i="4"/>
  <c r="Q1093" i="4" s="1"/>
  <c r="R1093" i="4" s="1"/>
  <c r="P1094" i="4"/>
  <c r="Q1094" i="4" s="1"/>
  <c r="R1094" i="4" s="1"/>
  <c r="P1095" i="4"/>
  <c r="Q1095" i="4" s="1"/>
  <c r="R1095" i="4" s="1"/>
  <c r="P1096" i="4"/>
  <c r="Q1096" i="4" s="1"/>
  <c r="R1096" i="4" s="1"/>
  <c r="P1097" i="4"/>
  <c r="Q1097" i="4" s="1"/>
  <c r="R1097" i="4" s="1"/>
  <c r="P1098" i="4"/>
  <c r="Q1098" i="4" s="1"/>
  <c r="R1098" i="4" s="1"/>
  <c r="P1099" i="4"/>
  <c r="Q1099" i="4" s="1"/>
  <c r="R1099" i="4" s="1"/>
  <c r="P1100" i="4"/>
  <c r="Q1100" i="4" s="1"/>
  <c r="R1100" i="4" s="1"/>
  <c r="P1101" i="4"/>
  <c r="Q1101" i="4" s="1"/>
  <c r="R1101" i="4" s="1"/>
  <c r="P1102" i="4"/>
  <c r="Q1102" i="4" s="1"/>
  <c r="R1102" i="4" s="1"/>
  <c r="P1103" i="4"/>
  <c r="Q1103" i="4" s="1"/>
  <c r="R1103" i="4" s="1"/>
  <c r="P1104" i="4"/>
  <c r="Q1104" i="4" s="1"/>
  <c r="R1104" i="4" s="1"/>
  <c r="P1105" i="4"/>
  <c r="Q1105" i="4" s="1"/>
  <c r="R1105" i="4" s="1"/>
  <c r="P1106" i="4"/>
  <c r="Q1106" i="4" s="1"/>
  <c r="R1106" i="4" s="1"/>
  <c r="P1107" i="4"/>
  <c r="Q1107" i="4" s="1"/>
  <c r="R1107" i="4" s="1"/>
  <c r="P1108" i="4"/>
  <c r="Q1108" i="4" s="1"/>
  <c r="R1108" i="4" s="1"/>
  <c r="P1109" i="4"/>
  <c r="Q1109" i="4" s="1"/>
  <c r="R1109" i="4" s="1"/>
  <c r="P1110" i="4"/>
  <c r="Q1110" i="4" s="1"/>
  <c r="R1110" i="4" s="1"/>
  <c r="P1111" i="4"/>
  <c r="Q1111" i="4" s="1"/>
  <c r="R1111" i="4" s="1"/>
  <c r="P1112" i="4"/>
  <c r="Q1112" i="4" s="1"/>
  <c r="R1112" i="4" s="1"/>
  <c r="P1113" i="4"/>
  <c r="Q1113" i="4" s="1"/>
  <c r="R1113" i="4" s="1"/>
  <c r="P1114" i="4"/>
  <c r="Q1114" i="4" s="1"/>
  <c r="R1114" i="4" s="1"/>
  <c r="P1115" i="4"/>
  <c r="Q1115" i="4" s="1"/>
  <c r="R1115" i="4" s="1"/>
  <c r="P1116" i="4"/>
  <c r="Q1116" i="4" s="1"/>
  <c r="R1116" i="4" s="1"/>
  <c r="P1117" i="4"/>
  <c r="Q1117" i="4" s="1"/>
  <c r="R1117" i="4" s="1"/>
  <c r="P1118" i="4"/>
  <c r="Q1118" i="4" s="1"/>
  <c r="R1118" i="4" s="1"/>
  <c r="P1119" i="4"/>
  <c r="Q1119" i="4" s="1"/>
  <c r="R1119" i="4" s="1"/>
  <c r="P1120" i="4"/>
  <c r="Q1120" i="4" s="1"/>
  <c r="R1120" i="4" s="1"/>
  <c r="P1121" i="4"/>
  <c r="Q1121" i="4" s="1"/>
  <c r="R1121" i="4" s="1"/>
  <c r="P1122" i="4"/>
  <c r="Q1122" i="4" s="1"/>
  <c r="R1122" i="4" s="1"/>
  <c r="P1123" i="4"/>
  <c r="Q1123" i="4" s="1"/>
  <c r="R1123" i="4" s="1"/>
  <c r="P1124" i="4"/>
  <c r="Q1124" i="4" s="1"/>
  <c r="R1124" i="4" s="1"/>
  <c r="P1125" i="4"/>
  <c r="Q1125" i="4" s="1"/>
  <c r="R1125" i="4" s="1"/>
  <c r="P1126" i="4"/>
  <c r="Q1126" i="4" s="1"/>
  <c r="R1126" i="4" s="1"/>
  <c r="P1127" i="4"/>
  <c r="Q1127" i="4" s="1"/>
  <c r="R1127" i="4" s="1"/>
  <c r="P1128" i="4"/>
  <c r="Q1128" i="4" s="1"/>
  <c r="R1128" i="4" s="1"/>
  <c r="P1129" i="4"/>
  <c r="Q1129" i="4" s="1"/>
  <c r="R1129" i="4" s="1"/>
  <c r="P1130" i="4"/>
  <c r="Q1130" i="4" s="1"/>
  <c r="R1130" i="4" s="1"/>
  <c r="P1131" i="4"/>
  <c r="Q1131" i="4" s="1"/>
  <c r="R1131" i="4" s="1"/>
  <c r="P1132" i="4"/>
  <c r="Q1132" i="4" s="1"/>
  <c r="R1132" i="4" s="1"/>
  <c r="P1133" i="4"/>
  <c r="Q1133" i="4" s="1"/>
  <c r="R1133" i="4" s="1"/>
  <c r="P1134" i="4"/>
  <c r="Q1134" i="4" s="1"/>
  <c r="R1134" i="4" s="1"/>
  <c r="P1135" i="4"/>
  <c r="Q1135" i="4" s="1"/>
  <c r="R1135" i="4" s="1"/>
  <c r="P1136" i="4"/>
  <c r="Q1136" i="4" s="1"/>
  <c r="R1136" i="4" s="1"/>
  <c r="P1137" i="4"/>
  <c r="Q1137" i="4" s="1"/>
  <c r="R1137" i="4" s="1"/>
  <c r="P1138" i="4"/>
  <c r="Q1138" i="4" s="1"/>
  <c r="R1138" i="4" s="1"/>
  <c r="P1139" i="4"/>
  <c r="Q1139" i="4" s="1"/>
  <c r="R1139" i="4" s="1"/>
  <c r="P1140" i="4"/>
  <c r="Q1140" i="4" s="1"/>
  <c r="R1140" i="4" s="1"/>
  <c r="P1141" i="4"/>
  <c r="Q1141" i="4" s="1"/>
  <c r="R1141" i="4" s="1"/>
  <c r="P1142" i="4"/>
  <c r="Q1142" i="4" s="1"/>
  <c r="R1142" i="4" s="1"/>
  <c r="P1143" i="4"/>
  <c r="Q1143" i="4" s="1"/>
  <c r="R1143" i="4" s="1"/>
  <c r="P1144" i="4"/>
  <c r="Q1144" i="4" s="1"/>
  <c r="R1144" i="4" s="1"/>
  <c r="P1145" i="4"/>
  <c r="Q1145" i="4" s="1"/>
  <c r="R1145" i="4" s="1"/>
  <c r="P1146" i="4"/>
  <c r="Q1146" i="4" s="1"/>
  <c r="R1146" i="4" s="1"/>
  <c r="P1147" i="4"/>
  <c r="Q1147" i="4" s="1"/>
  <c r="R1147" i="4" s="1"/>
  <c r="P1148" i="4"/>
  <c r="Q1148" i="4" s="1"/>
  <c r="R1148" i="4" s="1"/>
  <c r="P1149" i="4"/>
  <c r="Q1149" i="4" s="1"/>
  <c r="R1149" i="4" s="1"/>
  <c r="P1150" i="4"/>
  <c r="Q1150" i="4" s="1"/>
  <c r="R1150" i="4" s="1"/>
  <c r="P1151" i="4"/>
  <c r="Q1151" i="4" s="1"/>
  <c r="R1151" i="4" s="1"/>
  <c r="P1152" i="4"/>
  <c r="Q1152" i="4" s="1"/>
  <c r="R1152" i="4" s="1"/>
  <c r="P1153" i="4"/>
  <c r="Q1153" i="4" s="1"/>
  <c r="R1153" i="4" s="1"/>
  <c r="P1154" i="4"/>
  <c r="Q1154" i="4" s="1"/>
  <c r="R1154" i="4" s="1"/>
  <c r="P1155" i="4"/>
  <c r="Q1155" i="4" s="1"/>
  <c r="R1155" i="4" s="1"/>
  <c r="P1156" i="4"/>
  <c r="Q1156" i="4" s="1"/>
  <c r="R1156" i="4" s="1"/>
  <c r="P1157" i="4"/>
  <c r="Q1157" i="4" s="1"/>
  <c r="R1157" i="4" s="1"/>
  <c r="P1158" i="4"/>
  <c r="Q1158" i="4" s="1"/>
  <c r="R1158" i="4" s="1"/>
  <c r="P1159" i="4"/>
  <c r="Q1159" i="4" s="1"/>
  <c r="R1159" i="4" s="1"/>
  <c r="P1160" i="4"/>
  <c r="Q1160" i="4" s="1"/>
  <c r="R1160" i="4" s="1"/>
  <c r="P1161" i="4"/>
  <c r="Q1161" i="4" s="1"/>
  <c r="R1161" i="4" s="1"/>
  <c r="P1162" i="4"/>
  <c r="Q1162" i="4" s="1"/>
  <c r="R1162" i="4" s="1"/>
  <c r="P1163" i="4"/>
  <c r="Q1163" i="4" s="1"/>
  <c r="R1163" i="4" s="1"/>
  <c r="P1164" i="4"/>
  <c r="Q1164" i="4" s="1"/>
  <c r="R1164" i="4" s="1"/>
  <c r="P1165" i="4"/>
  <c r="Q1165" i="4" s="1"/>
  <c r="R1165" i="4" s="1"/>
  <c r="P1166" i="4"/>
  <c r="Q1166" i="4" s="1"/>
  <c r="R1166" i="4" s="1"/>
  <c r="P1167" i="4"/>
  <c r="Q1167" i="4" s="1"/>
  <c r="R1167" i="4" s="1"/>
  <c r="P1168" i="4"/>
  <c r="Q1168" i="4" s="1"/>
  <c r="R1168" i="4" s="1"/>
  <c r="P1169" i="4"/>
  <c r="Q1169" i="4" s="1"/>
  <c r="R1169" i="4" s="1"/>
  <c r="P1170" i="4"/>
  <c r="Q1170" i="4" s="1"/>
  <c r="R1170" i="4" s="1"/>
  <c r="P1171" i="4"/>
  <c r="Q1171" i="4" s="1"/>
  <c r="R1171" i="4" s="1"/>
  <c r="P1172" i="4"/>
  <c r="Q1172" i="4" s="1"/>
  <c r="R1172" i="4" s="1"/>
  <c r="P1173" i="4"/>
  <c r="Q1173" i="4" s="1"/>
  <c r="R1173" i="4" s="1"/>
  <c r="P1174" i="4"/>
  <c r="Q1174" i="4" s="1"/>
  <c r="R1174" i="4" s="1"/>
  <c r="P1175" i="4"/>
  <c r="Q1175" i="4" s="1"/>
  <c r="R1175" i="4" s="1"/>
  <c r="P1176" i="4"/>
  <c r="Q1176" i="4" s="1"/>
  <c r="R1176" i="4" s="1"/>
  <c r="P1177" i="4"/>
  <c r="Q1177" i="4" s="1"/>
  <c r="R1177" i="4" s="1"/>
  <c r="P1178" i="4"/>
  <c r="Q1178" i="4" s="1"/>
  <c r="R1178" i="4" s="1"/>
  <c r="P1179" i="4"/>
  <c r="Q1179" i="4" s="1"/>
  <c r="R1179" i="4" s="1"/>
  <c r="P1180" i="4"/>
  <c r="Q1180" i="4" s="1"/>
  <c r="R1180" i="4" s="1"/>
  <c r="P1181" i="4"/>
  <c r="Q1181" i="4" s="1"/>
  <c r="R1181" i="4" s="1"/>
  <c r="P1182" i="4"/>
  <c r="Q1182" i="4" s="1"/>
  <c r="R1182" i="4" s="1"/>
  <c r="P1183" i="4"/>
  <c r="Q1183" i="4" s="1"/>
  <c r="R1183" i="4" s="1"/>
  <c r="P1184" i="4"/>
  <c r="Q1184" i="4" s="1"/>
  <c r="R1184" i="4" s="1"/>
  <c r="P1185" i="4"/>
  <c r="Q1185" i="4" s="1"/>
  <c r="R1185" i="4" s="1"/>
  <c r="P1186" i="4"/>
  <c r="Q1186" i="4" s="1"/>
  <c r="R1186" i="4" s="1"/>
  <c r="P1187" i="4"/>
  <c r="Q1187" i="4" s="1"/>
  <c r="R1187" i="4" s="1"/>
  <c r="P1188" i="4"/>
  <c r="Q1188" i="4" s="1"/>
  <c r="R1188" i="4" s="1"/>
  <c r="P1189" i="4"/>
  <c r="Q1189" i="4" s="1"/>
  <c r="R1189" i="4" s="1"/>
  <c r="P1190" i="4"/>
  <c r="Q1190" i="4" s="1"/>
  <c r="R1190" i="4" s="1"/>
  <c r="P1191" i="4"/>
  <c r="Q1191" i="4" s="1"/>
  <c r="R1191" i="4" s="1"/>
  <c r="P1192" i="4"/>
  <c r="Q1192" i="4" s="1"/>
  <c r="R1192" i="4" s="1"/>
  <c r="P1193" i="4"/>
  <c r="Q1193" i="4" s="1"/>
  <c r="R1193" i="4" s="1"/>
  <c r="P1194" i="4"/>
  <c r="Q1194" i="4" s="1"/>
  <c r="R1194" i="4" s="1"/>
  <c r="P1195" i="4"/>
  <c r="Q1195" i="4" s="1"/>
  <c r="R1195" i="4" s="1"/>
  <c r="P1196" i="4"/>
  <c r="Q1196" i="4" s="1"/>
  <c r="R1196" i="4" s="1"/>
  <c r="P1197" i="4"/>
  <c r="Q1197" i="4" s="1"/>
  <c r="R1197" i="4" s="1"/>
  <c r="P1198" i="4"/>
  <c r="Q1198" i="4" s="1"/>
  <c r="R1198" i="4" s="1"/>
  <c r="P1199" i="4"/>
  <c r="Q1199" i="4" s="1"/>
  <c r="R1199" i="4" s="1"/>
  <c r="P1200" i="4"/>
  <c r="Q1200" i="4" s="1"/>
  <c r="R1200" i="4" s="1"/>
  <c r="P1201" i="4"/>
  <c r="Q1201" i="4" s="1"/>
  <c r="R1201" i="4" s="1"/>
  <c r="P1202" i="4"/>
  <c r="Q1202" i="4" s="1"/>
  <c r="R1202" i="4" s="1"/>
  <c r="P1203" i="4"/>
  <c r="Q1203" i="4" s="1"/>
  <c r="R1203" i="4" s="1"/>
  <c r="P1204" i="4"/>
  <c r="Q1204" i="4" s="1"/>
  <c r="R1204" i="4" s="1"/>
  <c r="P1205" i="4"/>
  <c r="Q1205" i="4" s="1"/>
  <c r="R1205" i="4" s="1"/>
  <c r="P1206" i="4"/>
  <c r="Q1206" i="4" s="1"/>
  <c r="R1206" i="4" s="1"/>
  <c r="P1207" i="4"/>
  <c r="Q1207" i="4" s="1"/>
  <c r="R1207" i="4" s="1"/>
  <c r="P1208" i="4"/>
  <c r="Q1208" i="4" s="1"/>
  <c r="R1208" i="4" s="1"/>
  <c r="P1209" i="4"/>
  <c r="Q1209" i="4" s="1"/>
  <c r="R1209" i="4" s="1"/>
  <c r="P1210" i="4"/>
  <c r="Q1210" i="4" s="1"/>
  <c r="R1210" i="4" s="1"/>
  <c r="P1211" i="4"/>
  <c r="Q1211" i="4" s="1"/>
  <c r="R1211" i="4" s="1"/>
  <c r="P1212" i="4"/>
  <c r="Q1212" i="4" s="1"/>
  <c r="R1212" i="4" s="1"/>
  <c r="P1213" i="4"/>
  <c r="Q1213" i="4" s="1"/>
  <c r="R1213" i="4" s="1"/>
  <c r="P1214" i="4"/>
  <c r="Q1214" i="4" s="1"/>
  <c r="R1214" i="4" s="1"/>
  <c r="P1215" i="4"/>
  <c r="Q1215" i="4" s="1"/>
  <c r="R1215" i="4" s="1"/>
  <c r="P1216" i="4"/>
  <c r="Q1216" i="4" s="1"/>
  <c r="R1216" i="4" s="1"/>
  <c r="P1217" i="4"/>
  <c r="Q1217" i="4" s="1"/>
  <c r="R1217" i="4" s="1"/>
  <c r="P1218" i="4"/>
  <c r="Q1218" i="4" s="1"/>
  <c r="R1218" i="4" s="1"/>
  <c r="P1219" i="4"/>
  <c r="Q1219" i="4" s="1"/>
  <c r="R1219" i="4" s="1"/>
  <c r="P1220" i="4"/>
  <c r="Q1220" i="4" s="1"/>
  <c r="R1220" i="4" s="1"/>
  <c r="P1221" i="4"/>
  <c r="Q1221" i="4" s="1"/>
  <c r="R1221" i="4" s="1"/>
  <c r="P1222" i="4"/>
  <c r="Q1222" i="4" s="1"/>
  <c r="R1222" i="4" s="1"/>
  <c r="P1223" i="4"/>
  <c r="Q1223" i="4" s="1"/>
  <c r="R1223" i="4" s="1"/>
  <c r="P1224" i="4"/>
  <c r="Q1224" i="4" s="1"/>
  <c r="R1224" i="4" s="1"/>
  <c r="P1225" i="4"/>
  <c r="Q1225" i="4" s="1"/>
  <c r="R1225" i="4" s="1"/>
  <c r="P1226" i="4"/>
  <c r="Q1226" i="4" s="1"/>
  <c r="R1226" i="4" s="1"/>
  <c r="P1227" i="4"/>
  <c r="Q1227" i="4" s="1"/>
  <c r="R1227" i="4" s="1"/>
  <c r="P1228" i="4"/>
  <c r="Q1228" i="4" s="1"/>
  <c r="R1228" i="4" s="1"/>
  <c r="P1229" i="4"/>
  <c r="Q1229" i="4" s="1"/>
  <c r="R1229" i="4" s="1"/>
  <c r="P1230" i="4"/>
  <c r="Q1230" i="4" s="1"/>
  <c r="R1230" i="4" s="1"/>
  <c r="P1231" i="4"/>
  <c r="Q1231" i="4" s="1"/>
  <c r="R1231" i="4" s="1"/>
  <c r="P1232" i="4"/>
  <c r="Q1232" i="4" s="1"/>
  <c r="R1232" i="4" s="1"/>
  <c r="P1233" i="4"/>
  <c r="Q1233" i="4" s="1"/>
  <c r="R1233" i="4" s="1"/>
  <c r="P1234" i="4"/>
  <c r="Q1234" i="4" s="1"/>
  <c r="R1234" i="4" s="1"/>
  <c r="P1235" i="4"/>
  <c r="Q1235" i="4" s="1"/>
  <c r="R1235" i="4" s="1"/>
  <c r="P1236" i="4"/>
  <c r="Q1236" i="4" s="1"/>
  <c r="R1236" i="4" s="1"/>
  <c r="P1237" i="4"/>
  <c r="Q1237" i="4" s="1"/>
  <c r="R1237" i="4" s="1"/>
  <c r="P1238" i="4"/>
  <c r="Q1238" i="4" s="1"/>
  <c r="R1238" i="4" s="1"/>
  <c r="P1239" i="4"/>
  <c r="Q1239" i="4" s="1"/>
  <c r="R1239" i="4" s="1"/>
  <c r="P1240" i="4"/>
  <c r="Q1240" i="4" s="1"/>
  <c r="R1240" i="4" s="1"/>
  <c r="P1241" i="4"/>
  <c r="Q1241" i="4" s="1"/>
  <c r="R1241" i="4" s="1"/>
  <c r="P1242" i="4"/>
  <c r="Q1242" i="4" s="1"/>
  <c r="R1242" i="4" s="1"/>
  <c r="P1243" i="4"/>
  <c r="Q1243" i="4" s="1"/>
  <c r="R1243" i="4" s="1"/>
  <c r="P1244" i="4"/>
  <c r="Q1244" i="4" s="1"/>
  <c r="R1244" i="4" s="1"/>
  <c r="P1245" i="4"/>
  <c r="Q1245" i="4" s="1"/>
  <c r="R1245" i="4" s="1"/>
  <c r="P1246" i="4"/>
  <c r="Q1246" i="4" s="1"/>
  <c r="R1246" i="4" s="1"/>
  <c r="P1247" i="4"/>
  <c r="Q1247" i="4" s="1"/>
  <c r="R1247" i="4" s="1"/>
  <c r="P1248" i="4"/>
  <c r="Q1248" i="4" s="1"/>
  <c r="R1248" i="4" s="1"/>
  <c r="P1249" i="4"/>
  <c r="Q1249" i="4" s="1"/>
  <c r="R1249" i="4" s="1"/>
  <c r="P1250" i="4"/>
  <c r="Q1250" i="4" s="1"/>
  <c r="R1250" i="4" s="1"/>
  <c r="P1251" i="4"/>
  <c r="Q1251" i="4" s="1"/>
  <c r="R1251" i="4" s="1"/>
  <c r="P1252" i="4"/>
  <c r="Q1252" i="4" s="1"/>
  <c r="R1252" i="4" s="1"/>
  <c r="P1253" i="4"/>
  <c r="Q1253" i="4" s="1"/>
  <c r="R1253" i="4" s="1"/>
  <c r="P1254" i="4"/>
  <c r="Q1254" i="4" s="1"/>
  <c r="R1254" i="4" s="1"/>
  <c r="P1255" i="4"/>
  <c r="Q1255" i="4" s="1"/>
  <c r="R1255" i="4" s="1"/>
  <c r="P1256" i="4"/>
  <c r="Q1256" i="4" s="1"/>
  <c r="R1256" i="4" s="1"/>
  <c r="P1257" i="4"/>
  <c r="Q1257" i="4" s="1"/>
  <c r="R1257" i="4" s="1"/>
  <c r="P1258" i="4"/>
  <c r="Q1258" i="4" s="1"/>
  <c r="R1258" i="4" s="1"/>
  <c r="P1259" i="4"/>
  <c r="Q1259" i="4" s="1"/>
  <c r="R1259" i="4" s="1"/>
  <c r="P1260" i="4"/>
  <c r="Q1260" i="4" s="1"/>
  <c r="R1260" i="4" s="1"/>
  <c r="P1261" i="4"/>
  <c r="Q1261" i="4" s="1"/>
  <c r="R1261" i="4" s="1"/>
  <c r="P1262" i="4"/>
  <c r="Q1262" i="4" s="1"/>
  <c r="R1262" i="4" s="1"/>
  <c r="P1263" i="4"/>
  <c r="Q1263" i="4" s="1"/>
  <c r="R1263" i="4" s="1"/>
  <c r="P1264" i="4"/>
  <c r="Q1264" i="4" s="1"/>
  <c r="R1264" i="4" s="1"/>
  <c r="P1265" i="4"/>
  <c r="Q1265" i="4" s="1"/>
  <c r="R1265" i="4" s="1"/>
  <c r="P1266" i="4"/>
  <c r="Q1266" i="4" s="1"/>
  <c r="R1266" i="4" s="1"/>
  <c r="P1267" i="4"/>
  <c r="Q1267" i="4" s="1"/>
  <c r="R1267" i="4" s="1"/>
  <c r="P1268" i="4"/>
  <c r="Q1268" i="4" s="1"/>
  <c r="R1268" i="4" s="1"/>
  <c r="P1269" i="4"/>
  <c r="Q1269" i="4" s="1"/>
  <c r="R1269" i="4" s="1"/>
  <c r="P1270" i="4"/>
  <c r="Q1270" i="4" s="1"/>
  <c r="R1270" i="4" s="1"/>
  <c r="P1271" i="4"/>
  <c r="Q1271" i="4" s="1"/>
  <c r="R1271" i="4" s="1"/>
  <c r="P1272" i="4"/>
  <c r="Q1272" i="4" s="1"/>
  <c r="R1272" i="4" s="1"/>
  <c r="P1273" i="4"/>
  <c r="Q1273" i="4" s="1"/>
  <c r="R1273" i="4" s="1"/>
  <c r="P1274" i="4"/>
  <c r="Q1274" i="4" s="1"/>
  <c r="R1274" i="4" s="1"/>
  <c r="P1275" i="4"/>
  <c r="Q1275" i="4" s="1"/>
  <c r="R1275" i="4" s="1"/>
  <c r="P1276" i="4"/>
  <c r="Q1276" i="4" s="1"/>
  <c r="R1276" i="4" s="1"/>
  <c r="P1277" i="4"/>
  <c r="Q1277" i="4" s="1"/>
  <c r="R1277" i="4" s="1"/>
  <c r="P1278" i="4"/>
  <c r="Q1278" i="4" s="1"/>
  <c r="R1278" i="4" s="1"/>
  <c r="P1279" i="4"/>
  <c r="Q1279" i="4" s="1"/>
  <c r="R1279" i="4" s="1"/>
  <c r="P1280" i="4"/>
  <c r="Q1280" i="4" s="1"/>
  <c r="R1280" i="4" s="1"/>
  <c r="P1281" i="4"/>
  <c r="Q1281" i="4" s="1"/>
  <c r="R1281" i="4" s="1"/>
  <c r="P1282" i="4"/>
  <c r="Q1282" i="4" s="1"/>
  <c r="R1282" i="4" s="1"/>
  <c r="P1283" i="4"/>
  <c r="Q1283" i="4" s="1"/>
  <c r="R1283" i="4" s="1"/>
  <c r="P1284" i="4"/>
  <c r="Q1284" i="4" s="1"/>
  <c r="R1284" i="4" s="1"/>
  <c r="P1285" i="4"/>
  <c r="Q1285" i="4" s="1"/>
  <c r="R1285" i="4" s="1"/>
  <c r="P1286" i="4"/>
  <c r="Q1286" i="4" s="1"/>
  <c r="R1286" i="4" s="1"/>
  <c r="P1287" i="4"/>
  <c r="Q1287" i="4" s="1"/>
  <c r="R1287" i="4" s="1"/>
  <c r="P1288" i="4"/>
  <c r="Q1288" i="4" s="1"/>
  <c r="R1288" i="4" s="1"/>
  <c r="P1289" i="4"/>
  <c r="Q1289" i="4" s="1"/>
  <c r="R1289" i="4" s="1"/>
  <c r="P1290" i="4"/>
  <c r="Q1290" i="4" s="1"/>
  <c r="R1290" i="4" s="1"/>
  <c r="P1291" i="4"/>
  <c r="Q1291" i="4" s="1"/>
  <c r="R1291" i="4" s="1"/>
  <c r="P1292" i="4"/>
  <c r="Q1292" i="4" s="1"/>
  <c r="R1292" i="4" s="1"/>
  <c r="P1293" i="4"/>
  <c r="Q1293" i="4" s="1"/>
  <c r="R1293" i="4" s="1"/>
  <c r="P1294" i="4"/>
  <c r="Q1294" i="4" s="1"/>
  <c r="R1294" i="4" s="1"/>
  <c r="P1295" i="4"/>
  <c r="Q1295" i="4" s="1"/>
  <c r="R1295" i="4" s="1"/>
  <c r="P1296" i="4"/>
  <c r="Q1296" i="4" s="1"/>
  <c r="R1296" i="4" s="1"/>
  <c r="P1297" i="4"/>
  <c r="Q1297" i="4" s="1"/>
  <c r="R1297" i="4" s="1"/>
  <c r="P1298" i="4"/>
  <c r="Q1298" i="4" s="1"/>
  <c r="R1298" i="4" s="1"/>
  <c r="P1299" i="4"/>
  <c r="Q1299" i="4" s="1"/>
  <c r="R1299" i="4" s="1"/>
  <c r="P1300" i="4"/>
  <c r="Q1300" i="4" s="1"/>
  <c r="R1300" i="4" s="1"/>
  <c r="P1301" i="4"/>
  <c r="Q1301" i="4" s="1"/>
  <c r="R1301" i="4" s="1"/>
  <c r="P1302" i="4"/>
  <c r="Q1302" i="4" s="1"/>
  <c r="R1302" i="4" s="1"/>
  <c r="P1303" i="4"/>
  <c r="Q1303" i="4" s="1"/>
  <c r="R1303" i="4" s="1"/>
  <c r="P1304" i="4"/>
  <c r="Q1304" i="4" s="1"/>
  <c r="R1304" i="4" s="1"/>
  <c r="P1305" i="4"/>
  <c r="Q1305" i="4" s="1"/>
  <c r="R1305" i="4" s="1"/>
  <c r="P1306" i="4"/>
  <c r="Q1306" i="4" s="1"/>
  <c r="R1306" i="4" s="1"/>
  <c r="P1307" i="4"/>
  <c r="Q1307" i="4" s="1"/>
  <c r="R1307" i="4" s="1"/>
  <c r="P1308" i="4"/>
  <c r="Q1308" i="4" s="1"/>
  <c r="R1308" i="4" s="1"/>
  <c r="P1309" i="4"/>
  <c r="Q1309" i="4" s="1"/>
  <c r="R1309" i="4" s="1"/>
  <c r="P1310" i="4"/>
  <c r="Q1310" i="4" s="1"/>
  <c r="R1310" i="4" s="1"/>
  <c r="P1311" i="4"/>
  <c r="Q1311" i="4" s="1"/>
  <c r="R1311" i="4" s="1"/>
  <c r="P1312" i="4"/>
  <c r="Q1312" i="4" s="1"/>
  <c r="R1312" i="4" s="1"/>
  <c r="P1313" i="4"/>
  <c r="Q1313" i="4" s="1"/>
  <c r="R1313" i="4" s="1"/>
  <c r="P1314" i="4"/>
  <c r="Q1314" i="4" s="1"/>
  <c r="R1314" i="4" s="1"/>
  <c r="P1315" i="4"/>
  <c r="Q1315" i="4" s="1"/>
  <c r="R1315" i="4" s="1"/>
  <c r="P1316" i="4"/>
  <c r="Q1316" i="4" s="1"/>
  <c r="R1316" i="4" s="1"/>
  <c r="P1317" i="4"/>
  <c r="Q1317" i="4" s="1"/>
  <c r="R1317" i="4" s="1"/>
  <c r="P1318" i="4"/>
  <c r="Q1318" i="4" s="1"/>
  <c r="R1318" i="4" s="1"/>
  <c r="P1319" i="4"/>
  <c r="Q1319" i="4" s="1"/>
  <c r="R1319" i="4" s="1"/>
  <c r="P1320" i="4"/>
  <c r="Q1320" i="4" s="1"/>
  <c r="R1320" i="4" s="1"/>
  <c r="P1321" i="4"/>
  <c r="Q1321" i="4" s="1"/>
  <c r="R1321" i="4" s="1"/>
  <c r="P1322" i="4"/>
  <c r="Q1322" i="4" s="1"/>
  <c r="R1322" i="4" s="1"/>
  <c r="P1323" i="4"/>
  <c r="Q1323" i="4" s="1"/>
  <c r="R1323" i="4" s="1"/>
  <c r="P1324" i="4"/>
  <c r="Q1324" i="4" s="1"/>
  <c r="R1324" i="4" s="1"/>
  <c r="P1325" i="4"/>
  <c r="Q1325" i="4" s="1"/>
  <c r="R1325" i="4" s="1"/>
  <c r="P1326" i="4"/>
  <c r="Q1326" i="4" s="1"/>
  <c r="R1326" i="4" s="1"/>
  <c r="P1327" i="4"/>
  <c r="Q1327" i="4" s="1"/>
  <c r="R1327" i="4" s="1"/>
  <c r="P1328" i="4"/>
  <c r="Q1328" i="4" s="1"/>
  <c r="R1328" i="4" s="1"/>
  <c r="P1329" i="4"/>
  <c r="Q1329" i="4" s="1"/>
  <c r="R1329" i="4" s="1"/>
  <c r="P1330" i="4"/>
  <c r="Q1330" i="4" s="1"/>
  <c r="R1330" i="4" s="1"/>
  <c r="P1331" i="4"/>
  <c r="Q1331" i="4" s="1"/>
  <c r="R1331" i="4" s="1"/>
  <c r="P1332" i="4"/>
  <c r="Q1332" i="4" s="1"/>
  <c r="R1332" i="4" s="1"/>
  <c r="P1333" i="4"/>
  <c r="Q1333" i="4" s="1"/>
  <c r="R1333" i="4" s="1"/>
  <c r="P1334" i="4"/>
  <c r="Q1334" i="4" s="1"/>
  <c r="R1334" i="4" s="1"/>
  <c r="P1335" i="4"/>
  <c r="Q1335" i="4" s="1"/>
  <c r="R1335" i="4" s="1"/>
  <c r="P1336" i="4"/>
  <c r="Q1336" i="4" s="1"/>
  <c r="R1336" i="4" s="1"/>
  <c r="P1337" i="4"/>
  <c r="Q1337" i="4" s="1"/>
  <c r="R1337" i="4" s="1"/>
  <c r="P1338" i="4"/>
  <c r="Q1338" i="4" s="1"/>
  <c r="R1338" i="4" s="1"/>
  <c r="P1339" i="4"/>
  <c r="Q1339" i="4" s="1"/>
  <c r="R1339" i="4" s="1"/>
  <c r="P1340" i="4"/>
  <c r="Q1340" i="4" s="1"/>
  <c r="R1340" i="4" s="1"/>
  <c r="P1341" i="4"/>
  <c r="Q1341" i="4" s="1"/>
  <c r="R1341" i="4" s="1"/>
  <c r="P1342" i="4"/>
  <c r="Q1342" i="4" s="1"/>
  <c r="R1342" i="4" s="1"/>
  <c r="P1343" i="4"/>
  <c r="Q1343" i="4" s="1"/>
  <c r="R1343" i="4" s="1"/>
  <c r="P1344" i="4"/>
  <c r="Q1344" i="4" s="1"/>
  <c r="R1344" i="4" s="1"/>
  <c r="P1345" i="4"/>
  <c r="Q1345" i="4" s="1"/>
  <c r="R1345" i="4" s="1"/>
  <c r="P1346" i="4"/>
  <c r="Q1346" i="4" s="1"/>
  <c r="R1346" i="4" s="1"/>
  <c r="P1347" i="4"/>
  <c r="Q1347" i="4" s="1"/>
  <c r="R1347" i="4" s="1"/>
  <c r="P1348" i="4"/>
  <c r="Q1348" i="4" s="1"/>
  <c r="R1348" i="4" s="1"/>
  <c r="P1349" i="4"/>
  <c r="Q1349" i="4" s="1"/>
  <c r="R1349" i="4" s="1"/>
  <c r="P1350" i="4"/>
  <c r="Q1350" i="4" s="1"/>
  <c r="R1350" i="4" s="1"/>
  <c r="P1351" i="4"/>
  <c r="Q1351" i="4" s="1"/>
  <c r="R1351" i="4" s="1"/>
  <c r="P1352" i="4"/>
  <c r="Q1352" i="4" s="1"/>
  <c r="R1352" i="4" s="1"/>
  <c r="P1353" i="4"/>
  <c r="Q1353" i="4" s="1"/>
  <c r="R1353" i="4" s="1"/>
  <c r="P1354" i="4"/>
  <c r="Q1354" i="4" s="1"/>
  <c r="R1354" i="4" s="1"/>
  <c r="P1355" i="4"/>
  <c r="Q1355" i="4" s="1"/>
  <c r="R1355" i="4" s="1"/>
  <c r="P1356" i="4"/>
  <c r="Q1356" i="4" s="1"/>
  <c r="R1356" i="4" s="1"/>
  <c r="P1357" i="4"/>
  <c r="Q1357" i="4" s="1"/>
  <c r="R1357" i="4" s="1"/>
  <c r="P1358" i="4"/>
  <c r="Q1358" i="4" s="1"/>
  <c r="R1358" i="4" s="1"/>
  <c r="P1359" i="4"/>
  <c r="Q1359" i="4" s="1"/>
  <c r="R1359" i="4" s="1"/>
  <c r="P1360" i="4"/>
  <c r="Q1360" i="4" s="1"/>
  <c r="R1360" i="4" s="1"/>
  <c r="P1361" i="4"/>
  <c r="Q1361" i="4" s="1"/>
  <c r="R1361" i="4" s="1"/>
  <c r="P1362" i="4"/>
  <c r="Q1362" i="4" s="1"/>
  <c r="R1362" i="4" s="1"/>
  <c r="P1363" i="4"/>
  <c r="Q1363" i="4" s="1"/>
  <c r="R1363" i="4" s="1"/>
  <c r="P1364" i="4"/>
  <c r="Q1364" i="4" s="1"/>
  <c r="R1364" i="4" s="1"/>
  <c r="P1365" i="4"/>
  <c r="Q1365" i="4" s="1"/>
  <c r="R1365" i="4" s="1"/>
  <c r="P1366" i="4"/>
  <c r="Q1366" i="4" s="1"/>
  <c r="R1366" i="4" s="1"/>
  <c r="P1367" i="4"/>
  <c r="Q1367" i="4" s="1"/>
  <c r="R1367" i="4" s="1"/>
  <c r="P1368" i="4"/>
  <c r="Q1368" i="4" s="1"/>
  <c r="R1368" i="4" s="1"/>
  <c r="P1369" i="4"/>
  <c r="Q1369" i="4" s="1"/>
  <c r="R1369" i="4" s="1"/>
  <c r="P1370" i="4"/>
  <c r="Q1370" i="4" s="1"/>
  <c r="R1370" i="4" s="1"/>
  <c r="P1371" i="4"/>
  <c r="Q1371" i="4" s="1"/>
  <c r="R1371" i="4" s="1"/>
  <c r="P1372" i="4"/>
  <c r="Q1372" i="4" s="1"/>
  <c r="R1372" i="4" s="1"/>
  <c r="P1373" i="4"/>
  <c r="Q1373" i="4" s="1"/>
  <c r="R1373" i="4" s="1"/>
  <c r="P1375" i="4"/>
  <c r="Q1375" i="4" s="1"/>
  <c r="R1375" i="4" s="1"/>
  <c r="P1376" i="4"/>
  <c r="Q1376" i="4" s="1"/>
  <c r="R1376" i="4" s="1"/>
  <c r="P1377" i="4"/>
  <c r="Q1377" i="4" s="1"/>
  <c r="R1377" i="4" s="1"/>
  <c r="P1378" i="4"/>
  <c r="Q1378" i="4" s="1"/>
  <c r="R1378" i="4" s="1"/>
  <c r="P1379" i="4"/>
  <c r="Q1379" i="4" s="1"/>
  <c r="R1379" i="4" s="1"/>
  <c r="P1380" i="4"/>
  <c r="Q1380" i="4" s="1"/>
  <c r="R1380" i="4" s="1"/>
  <c r="P1381" i="4"/>
  <c r="Q1381" i="4" s="1"/>
  <c r="R1381" i="4" s="1"/>
  <c r="P1382" i="4"/>
  <c r="Q1382" i="4" s="1"/>
  <c r="R1382" i="4" s="1"/>
  <c r="P1383" i="4"/>
  <c r="Q1383" i="4" s="1"/>
  <c r="R1383" i="4" s="1"/>
  <c r="P1384" i="4"/>
  <c r="Q1384" i="4" s="1"/>
  <c r="R1384" i="4" s="1"/>
  <c r="P1385" i="4"/>
  <c r="Q1385" i="4" s="1"/>
  <c r="R1385" i="4" s="1"/>
  <c r="P1386" i="4"/>
  <c r="Q1386" i="4" s="1"/>
  <c r="R1386" i="4" s="1"/>
  <c r="P1387" i="4"/>
  <c r="Q1387" i="4" s="1"/>
  <c r="R1387" i="4" s="1"/>
  <c r="P1388" i="4"/>
  <c r="Q1388" i="4" s="1"/>
  <c r="R1388" i="4" s="1"/>
  <c r="P1389" i="4"/>
  <c r="Q1389" i="4" s="1"/>
  <c r="R1389" i="4" s="1"/>
  <c r="P1390" i="4"/>
  <c r="Q1390" i="4" s="1"/>
  <c r="R1390" i="4" s="1"/>
  <c r="P1391" i="4"/>
  <c r="Q1391" i="4" s="1"/>
  <c r="R1391" i="4" s="1"/>
  <c r="P1392" i="4"/>
  <c r="Q1392" i="4" s="1"/>
  <c r="R1392" i="4" s="1"/>
  <c r="P1393" i="4"/>
  <c r="Q1393" i="4" s="1"/>
  <c r="R1393" i="4" s="1"/>
  <c r="P1394" i="4"/>
  <c r="Q1394" i="4" s="1"/>
  <c r="R1394" i="4" s="1"/>
  <c r="P1395" i="4"/>
  <c r="Q1395" i="4" s="1"/>
  <c r="R1395" i="4" s="1"/>
  <c r="P1396" i="4"/>
  <c r="Q1396" i="4" s="1"/>
  <c r="R1396" i="4" s="1"/>
  <c r="P1397" i="4"/>
  <c r="Q1397" i="4" s="1"/>
  <c r="R1397" i="4" s="1"/>
  <c r="P1398" i="4"/>
  <c r="Q1398" i="4" s="1"/>
  <c r="R1398" i="4" s="1"/>
  <c r="P1399" i="4"/>
  <c r="Q1399" i="4" s="1"/>
  <c r="R1399" i="4" s="1"/>
  <c r="P1400" i="4"/>
  <c r="Q1400" i="4" s="1"/>
  <c r="R1400" i="4" s="1"/>
  <c r="P1401" i="4"/>
  <c r="Q1401" i="4" s="1"/>
  <c r="R1401" i="4" s="1"/>
  <c r="P1402" i="4"/>
  <c r="Q1402" i="4" s="1"/>
  <c r="R1402" i="4" s="1"/>
  <c r="P1403" i="4"/>
  <c r="Q1403" i="4" s="1"/>
  <c r="R1403" i="4" s="1"/>
  <c r="P1404" i="4"/>
  <c r="Q1404" i="4" s="1"/>
  <c r="R1404" i="4" s="1"/>
  <c r="P1405" i="4"/>
  <c r="Q1405" i="4" s="1"/>
  <c r="R1405" i="4" s="1"/>
  <c r="P1406" i="4"/>
  <c r="Q1406" i="4" s="1"/>
  <c r="R1406" i="4" s="1"/>
  <c r="P1407" i="4"/>
  <c r="Q1407" i="4" s="1"/>
  <c r="R1407" i="4" s="1"/>
  <c r="P1408" i="4"/>
  <c r="Q1408" i="4" s="1"/>
  <c r="R1408" i="4" s="1"/>
  <c r="P1409" i="4"/>
  <c r="Q1409" i="4" s="1"/>
  <c r="R1409" i="4" s="1"/>
  <c r="P1410" i="4"/>
  <c r="Q1410" i="4" s="1"/>
  <c r="R1410" i="4" s="1"/>
  <c r="P1411" i="4"/>
  <c r="Q1411" i="4" s="1"/>
  <c r="R1411" i="4" s="1"/>
  <c r="P1412" i="4"/>
  <c r="Q1412" i="4" s="1"/>
  <c r="R1412" i="4" s="1"/>
  <c r="P1413" i="4"/>
  <c r="Q1413" i="4" s="1"/>
  <c r="R1413" i="4" s="1"/>
  <c r="P1414" i="4"/>
  <c r="Q1414" i="4" s="1"/>
  <c r="R1414" i="4" s="1"/>
  <c r="P1415" i="4"/>
  <c r="Q1415" i="4" s="1"/>
  <c r="R1415" i="4" s="1"/>
  <c r="P1416" i="4"/>
  <c r="Q1416" i="4" s="1"/>
  <c r="R1416" i="4" s="1"/>
  <c r="P1417" i="4"/>
  <c r="Q1417" i="4" s="1"/>
  <c r="R1417" i="4" s="1"/>
  <c r="P1418" i="4"/>
  <c r="Q1418" i="4" s="1"/>
  <c r="R1418" i="4" s="1"/>
  <c r="P1419" i="4"/>
  <c r="Q1419" i="4" s="1"/>
  <c r="R1419" i="4" s="1"/>
  <c r="P1420" i="4"/>
  <c r="Q1420" i="4" s="1"/>
  <c r="R1420" i="4" s="1"/>
  <c r="P1421" i="4"/>
  <c r="Q1421" i="4" s="1"/>
  <c r="R1421" i="4" s="1"/>
  <c r="P1422" i="4"/>
  <c r="Q1422" i="4" s="1"/>
  <c r="R1422" i="4" s="1"/>
  <c r="P1423" i="4"/>
  <c r="Q1423" i="4" s="1"/>
  <c r="R1423" i="4" s="1"/>
  <c r="P1424" i="4"/>
  <c r="Q1424" i="4" s="1"/>
  <c r="R1424" i="4" s="1"/>
  <c r="P1425" i="4"/>
  <c r="Q1425" i="4" s="1"/>
  <c r="R1425" i="4" s="1"/>
  <c r="P1426" i="4"/>
  <c r="Q1426" i="4" s="1"/>
  <c r="R1426" i="4" s="1"/>
  <c r="P1427" i="4"/>
  <c r="Q1427" i="4" s="1"/>
  <c r="R1427" i="4" s="1"/>
  <c r="P1428" i="4"/>
  <c r="Q1428" i="4" s="1"/>
  <c r="R1428" i="4" s="1"/>
  <c r="P1429" i="4"/>
  <c r="Q1429" i="4" s="1"/>
  <c r="R1429" i="4" s="1"/>
  <c r="P1430" i="4"/>
  <c r="Q1430" i="4" s="1"/>
  <c r="R1430" i="4" s="1"/>
  <c r="P1431" i="4"/>
  <c r="Q1431" i="4" s="1"/>
  <c r="R1431" i="4" s="1"/>
  <c r="P1432" i="4"/>
  <c r="Q1432" i="4" s="1"/>
  <c r="R1432" i="4" s="1"/>
  <c r="P1433" i="4"/>
  <c r="Q1433" i="4" s="1"/>
  <c r="R1433" i="4" s="1"/>
  <c r="P1434" i="4"/>
  <c r="Q1434" i="4" s="1"/>
  <c r="R1434" i="4" s="1"/>
  <c r="P1435" i="4"/>
  <c r="Q1435" i="4" s="1"/>
  <c r="R1435" i="4" s="1"/>
  <c r="P1436" i="4"/>
  <c r="Q1436" i="4" s="1"/>
  <c r="R1436" i="4" s="1"/>
  <c r="P1437" i="4"/>
  <c r="Q1437" i="4" s="1"/>
  <c r="R1437" i="4" s="1"/>
  <c r="P1438" i="4"/>
  <c r="Q1438" i="4" s="1"/>
  <c r="R1438" i="4" s="1"/>
  <c r="P1439" i="4"/>
  <c r="Q1439" i="4" s="1"/>
  <c r="R1439" i="4" s="1"/>
  <c r="P1440" i="4"/>
  <c r="Q1440" i="4" s="1"/>
  <c r="R1440" i="4" s="1"/>
  <c r="P1441" i="4"/>
  <c r="Q1441" i="4" s="1"/>
  <c r="R1441" i="4" s="1"/>
  <c r="P1442" i="4"/>
  <c r="Q1442" i="4" s="1"/>
  <c r="R1442" i="4" s="1"/>
  <c r="P1443" i="4"/>
  <c r="Q1443" i="4" s="1"/>
  <c r="R1443" i="4" s="1"/>
  <c r="P1444" i="4"/>
  <c r="Q1444" i="4" s="1"/>
  <c r="R1444" i="4" s="1"/>
  <c r="P1445" i="4"/>
  <c r="Q1445" i="4" s="1"/>
  <c r="R1445" i="4" s="1"/>
  <c r="P1446" i="4"/>
  <c r="Q1446" i="4" s="1"/>
  <c r="R1446" i="4" s="1"/>
  <c r="P1447" i="4"/>
  <c r="Q1447" i="4" s="1"/>
  <c r="R1447" i="4" s="1"/>
  <c r="P1448" i="4"/>
  <c r="Q1448" i="4" s="1"/>
  <c r="R1448" i="4" s="1"/>
  <c r="P1449" i="4"/>
  <c r="Q1449" i="4" s="1"/>
  <c r="R1449" i="4" s="1"/>
  <c r="P1450" i="4"/>
  <c r="Q1450" i="4" s="1"/>
  <c r="R1450" i="4" s="1"/>
  <c r="P1451" i="4"/>
  <c r="Q1451" i="4" s="1"/>
  <c r="R1451" i="4" s="1"/>
  <c r="P1452" i="4"/>
  <c r="Q1452" i="4" s="1"/>
  <c r="R1452" i="4" s="1"/>
  <c r="P1453" i="4"/>
  <c r="Q1453" i="4" s="1"/>
  <c r="R1453" i="4" s="1"/>
  <c r="P1454" i="4"/>
  <c r="Q1454" i="4" s="1"/>
  <c r="R1454" i="4" s="1"/>
  <c r="P1455" i="4"/>
  <c r="Q1455" i="4" s="1"/>
  <c r="R1455" i="4" s="1"/>
  <c r="P1456" i="4"/>
  <c r="Q1456" i="4" s="1"/>
  <c r="R1456" i="4" s="1"/>
  <c r="P1457" i="4"/>
  <c r="Q1457" i="4" s="1"/>
  <c r="R1457" i="4" s="1"/>
  <c r="P1458" i="4"/>
  <c r="Q1458" i="4" s="1"/>
  <c r="R1458" i="4" s="1"/>
  <c r="P1459" i="4"/>
  <c r="Q1459" i="4" s="1"/>
  <c r="R1459" i="4" s="1"/>
  <c r="P1460" i="4"/>
  <c r="Q1460" i="4" s="1"/>
  <c r="R1460" i="4" s="1"/>
  <c r="P1461" i="4"/>
  <c r="Q1461" i="4" s="1"/>
  <c r="R1461" i="4" s="1"/>
  <c r="P1462" i="4"/>
  <c r="Q1462" i="4" s="1"/>
  <c r="R1462" i="4" s="1"/>
  <c r="P1463" i="4"/>
  <c r="Q1463" i="4" s="1"/>
  <c r="R1463" i="4" s="1"/>
  <c r="P1464" i="4"/>
  <c r="Q1464" i="4" s="1"/>
  <c r="R1464" i="4" s="1"/>
  <c r="P1465" i="4"/>
  <c r="Q1465" i="4" s="1"/>
  <c r="R1465" i="4" s="1"/>
  <c r="P1466" i="4"/>
  <c r="Q1466" i="4" s="1"/>
  <c r="R1466" i="4" s="1"/>
  <c r="P1467" i="4"/>
  <c r="Q1467" i="4" s="1"/>
  <c r="R1467" i="4" s="1"/>
  <c r="P1468" i="4"/>
  <c r="Q1468" i="4" s="1"/>
  <c r="R1468" i="4" s="1"/>
  <c r="P1469" i="4"/>
  <c r="Q1469" i="4" s="1"/>
  <c r="R1469" i="4" s="1"/>
  <c r="P1470" i="4"/>
  <c r="Q1470" i="4" s="1"/>
  <c r="R1470" i="4" s="1"/>
  <c r="P1471" i="4"/>
  <c r="Q1471" i="4" s="1"/>
  <c r="R1471" i="4" s="1"/>
  <c r="P1472" i="4"/>
  <c r="Q1472" i="4" s="1"/>
  <c r="R1472" i="4" s="1"/>
  <c r="P1473" i="4"/>
  <c r="Q1473" i="4" s="1"/>
  <c r="R1473" i="4" s="1"/>
  <c r="P1474" i="4"/>
  <c r="Q1474" i="4" s="1"/>
  <c r="R1474" i="4" s="1"/>
  <c r="P1475" i="4"/>
  <c r="Q1475" i="4" s="1"/>
  <c r="R1475" i="4" s="1"/>
  <c r="P1476" i="4"/>
  <c r="Q1476" i="4" s="1"/>
  <c r="R1476" i="4" s="1"/>
  <c r="P1477" i="4"/>
  <c r="Q1477" i="4" s="1"/>
  <c r="R1477" i="4" s="1"/>
  <c r="P1478" i="4"/>
  <c r="Q1478" i="4" s="1"/>
  <c r="R1478" i="4" s="1"/>
  <c r="P1479" i="4"/>
  <c r="Q1479" i="4" s="1"/>
  <c r="R1479" i="4" s="1"/>
  <c r="P1480" i="4"/>
  <c r="Q1480" i="4" s="1"/>
  <c r="R1480" i="4" s="1"/>
  <c r="P1481" i="4"/>
  <c r="Q1481" i="4" s="1"/>
  <c r="R1481" i="4" s="1"/>
  <c r="P1482" i="4"/>
  <c r="Q1482" i="4" s="1"/>
  <c r="R1482" i="4" s="1"/>
  <c r="P1483" i="4"/>
  <c r="Q1483" i="4" s="1"/>
  <c r="R1483" i="4" s="1"/>
  <c r="P1484" i="4"/>
  <c r="Q1484" i="4" s="1"/>
  <c r="R1484" i="4" s="1"/>
  <c r="P1485" i="4"/>
  <c r="Q1485" i="4" s="1"/>
  <c r="R1485" i="4" s="1"/>
  <c r="P1486" i="4"/>
  <c r="Q1486" i="4" s="1"/>
  <c r="R1486" i="4" s="1"/>
  <c r="P1487" i="4"/>
  <c r="Q1487" i="4" s="1"/>
  <c r="R1487" i="4" s="1"/>
  <c r="P1488" i="4"/>
  <c r="Q1488" i="4" s="1"/>
  <c r="R1488" i="4" s="1"/>
  <c r="P1489" i="4"/>
  <c r="Q1489" i="4" s="1"/>
  <c r="R1489" i="4" s="1"/>
  <c r="P1490" i="4"/>
  <c r="Q1490" i="4" s="1"/>
  <c r="R1490" i="4" s="1"/>
  <c r="P1491" i="4"/>
  <c r="Q1491" i="4" s="1"/>
  <c r="R1491" i="4" s="1"/>
  <c r="P1492" i="4"/>
  <c r="Q1492" i="4" s="1"/>
  <c r="R1492" i="4" s="1"/>
  <c r="P1493" i="4"/>
  <c r="Q1493" i="4" s="1"/>
  <c r="R1493" i="4" s="1"/>
  <c r="P1494" i="4"/>
  <c r="Q1494" i="4" s="1"/>
  <c r="R1494" i="4" s="1"/>
  <c r="P1495" i="4"/>
  <c r="Q1495" i="4" s="1"/>
  <c r="R1495" i="4" s="1"/>
  <c r="P1496" i="4"/>
  <c r="Q1496" i="4" s="1"/>
  <c r="R1496" i="4" s="1"/>
  <c r="P1497" i="4"/>
  <c r="Q1497" i="4" s="1"/>
  <c r="R1497" i="4" s="1"/>
  <c r="P1498" i="4"/>
  <c r="Q1498" i="4" s="1"/>
  <c r="R1498" i="4" s="1"/>
  <c r="P1499" i="4"/>
  <c r="Q1499" i="4" s="1"/>
  <c r="R1499" i="4" s="1"/>
  <c r="P1500" i="4"/>
  <c r="Q1500" i="4" s="1"/>
  <c r="R1500" i="4" s="1"/>
  <c r="P1501" i="4"/>
  <c r="Q1501" i="4" s="1"/>
  <c r="R1501" i="4" s="1"/>
  <c r="P1502" i="4"/>
  <c r="Q1502" i="4" s="1"/>
  <c r="R1502" i="4" s="1"/>
  <c r="P1503" i="4"/>
  <c r="Q1503" i="4" s="1"/>
  <c r="R1503" i="4" s="1"/>
  <c r="P1504" i="4"/>
  <c r="Q1504" i="4" s="1"/>
  <c r="R1504" i="4" s="1"/>
  <c r="P1505" i="4"/>
  <c r="Q1505" i="4" s="1"/>
  <c r="R1505" i="4" s="1"/>
  <c r="P1506" i="4"/>
  <c r="Q1506" i="4" s="1"/>
  <c r="R1506" i="4" s="1"/>
  <c r="P1507" i="4"/>
  <c r="Q1507" i="4" s="1"/>
  <c r="R1507" i="4" s="1"/>
  <c r="P1508" i="4"/>
  <c r="Q1508" i="4" s="1"/>
  <c r="R1508" i="4" s="1"/>
  <c r="P1509" i="4"/>
  <c r="Q1509" i="4" s="1"/>
  <c r="R1509" i="4" s="1"/>
  <c r="P1510" i="4"/>
  <c r="Q1510" i="4" s="1"/>
  <c r="R1510" i="4" s="1"/>
  <c r="P1511" i="4"/>
  <c r="Q1511" i="4" s="1"/>
  <c r="R1511" i="4" s="1"/>
  <c r="P1512" i="4"/>
  <c r="Q1512" i="4" s="1"/>
  <c r="R1512" i="4" s="1"/>
  <c r="P1513" i="4"/>
  <c r="Q1513" i="4" s="1"/>
  <c r="R1513" i="4" s="1"/>
  <c r="P1514" i="4"/>
  <c r="Q1514" i="4" s="1"/>
  <c r="R1514" i="4" s="1"/>
  <c r="P1515" i="4"/>
  <c r="Q1515" i="4" s="1"/>
  <c r="R1515" i="4" s="1"/>
  <c r="P1516" i="4"/>
  <c r="Q1516" i="4" s="1"/>
  <c r="R1516" i="4" s="1"/>
  <c r="P1517" i="4"/>
  <c r="Q1517" i="4" s="1"/>
  <c r="R1517" i="4" s="1"/>
  <c r="P1518" i="4"/>
  <c r="Q1518" i="4" s="1"/>
  <c r="R1518" i="4" s="1"/>
  <c r="P1519" i="4"/>
  <c r="Q1519" i="4" s="1"/>
  <c r="R1519" i="4" s="1"/>
  <c r="P1520" i="4"/>
  <c r="Q1520" i="4" s="1"/>
  <c r="R1520" i="4" s="1"/>
  <c r="P1521" i="4"/>
  <c r="Q1521" i="4" s="1"/>
  <c r="R1521" i="4" s="1"/>
  <c r="P1522" i="4"/>
  <c r="Q1522" i="4" s="1"/>
  <c r="R1522" i="4" s="1"/>
  <c r="P1523" i="4"/>
  <c r="Q1523" i="4" s="1"/>
  <c r="R1523" i="4" s="1"/>
  <c r="P1524" i="4"/>
  <c r="Q1524" i="4" s="1"/>
  <c r="R1524" i="4" s="1"/>
  <c r="P1525" i="4"/>
  <c r="Q1525" i="4" s="1"/>
  <c r="R1525" i="4" s="1"/>
  <c r="P1526" i="4"/>
  <c r="Q1526" i="4" s="1"/>
  <c r="R1526" i="4" s="1"/>
  <c r="P1527" i="4"/>
  <c r="Q1527" i="4" s="1"/>
  <c r="R1527" i="4" s="1"/>
  <c r="P1528" i="4"/>
  <c r="Q1528" i="4" s="1"/>
  <c r="R1528" i="4" s="1"/>
  <c r="P1529" i="4"/>
  <c r="Q1529" i="4" s="1"/>
  <c r="R1529" i="4" s="1"/>
  <c r="P1530" i="4"/>
  <c r="Q1530" i="4" s="1"/>
  <c r="R1530" i="4" s="1"/>
  <c r="P1531" i="4"/>
  <c r="Q1531" i="4" s="1"/>
  <c r="R1531" i="4" s="1"/>
  <c r="P1532" i="4"/>
  <c r="Q1532" i="4" s="1"/>
  <c r="R1532" i="4" s="1"/>
  <c r="P1533" i="4"/>
  <c r="Q1533" i="4" s="1"/>
  <c r="R1533" i="4" s="1"/>
  <c r="P1534" i="4"/>
  <c r="Q1534" i="4" s="1"/>
  <c r="R1534" i="4" s="1"/>
  <c r="P1535" i="4"/>
  <c r="Q1535" i="4" s="1"/>
  <c r="R1535" i="4" s="1"/>
  <c r="P1536" i="4"/>
  <c r="Q1536" i="4" s="1"/>
  <c r="R1536" i="4" s="1"/>
  <c r="P1537" i="4"/>
  <c r="Q1537" i="4" s="1"/>
  <c r="R1537" i="4" s="1"/>
  <c r="P1538" i="4"/>
  <c r="Q1538" i="4" s="1"/>
  <c r="R1538" i="4" s="1"/>
  <c r="P1539" i="4"/>
  <c r="Q1539" i="4" s="1"/>
  <c r="R1539" i="4" s="1"/>
  <c r="P1540" i="4"/>
  <c r="Q1540" i="4" s="1"/>
  <c r="R1540" i="4" s="1"/>
  <c r="P1541" i="4"/>
  <c r="Q1541" i="4" s="1"/>
  <c r="R1541" i="4" s="1"/>
  <c r="P1542" i="4"/>
  <c r="Q1542" i="4" s="1"/>
  <c r="R1542" i="4" s="1"/>
  <c r="P1543" i="4"/>
  <c r="Q1543" i="4" s="1"/>
  <c r="R1543" i="4" s="1"/>
  <c r="P1544" i="4"/>
  <c r="Q1544" i="4" s="1"/>
  <c r="R1544" i="4" s="1"/>
  <c r="P1545" i="4"/>
  <c r="Q1545" i="4" s="1"/>
  <c r="R1545" i="4" s="1"/>
  <c r="P1546" i="4"/>
  <c r="Q1546" i="4" s="1"/>
  <c r="R1546" i="4" s="1"/>
  <c r="P1547" i="4"/>
  <c r="Q1547" i="4" s="1"/>
  <c r="R1547" i="4" s="1"/>
  <c r="P1548" i="4"/>
  <c r="Q1548" i="4" s="1"/>
  <c r="R1548" i="4" s="1"/>
  <c r="P1549" i="4"/>
  <c r="Q1549" i="4" s="1"/>
  <c r="R1549" i="4" s="1"/>
  <c r="P1550" i="4"/>
  <c r="Q1550" i="4" s="1"/>
  <c r="R1550" i="4" s="1"/>
  <c r="P1551" i="4"/>
  <c r="Q1551" i="4" s="1"/>
  <c r="R1551" i="4" s="1"/>
  <c r="P1552" i="4"/>
  <c r="Q1552" i="4" s="1"/>
  <c r="R1552" i="4" s="1"/>
  <c r="P1553" i="4"/>
  <c r="Q1553" i="4" s="1"/>
  <c r="R1553" i="4" s="1"/>
  <c r="P1554" i="4"/>
  <c r="Q1554" i="4" s="1"/>
  <c r="R1554" i="4" s="1"/>
  <c r="P1555" i="4"/>
  <c r="Q1555" i="4" s="1"/>
  <c r="R1555" i="4" s="1"/>
  <c r="P1556" i="4"/>
  <c r="Q1556" i="4" s="1"/>
  <c r="R1556" i="4" s="1"/>
  <c r="P1557" i="4"/>
  <c r="Q1557" i="4" s="1"/>
  <c r="R1557" i="4" s="1"/>
  <c r="P1558" i="4"/>
  <c r="Q1558" i="4" s="1"/>
  <c r="R1558" i="4" s="1"/>
  <c r="P1559" i="4"/>
  <c r="Q1559" i="4" s="1"/>
  <c r="R1559" i="4" s="1"/>
  <c r="P1560" i="4"/>
  <c r="Q1560" i="4" s="1"/>
  <c r="R1560" i="4" s="1"/>
  <c r="P1561" i="4"/>
  <c r="Q1561" i="4" s="1"/>
  <c r="R1561" i="4" s="1"/>
  <c r="P1562" i="4"/>
  <c r="Q1562" i="4" s="1"/>
  <c r="R1562" i="4" s="1"/>
  <c r="P1563" i="4"/>
  <c r="Q1563" i="4" s="1"/>
  <c r="R1563" i="4" s="1"/>
  <c r="P1564" i="4"/>
  <c r="Q1564" i="4" s="1"/>
  <c r="R1564" i="4" s="1"/>
  <c r="P1565" i="4"/>
  <c r="Q1565" i="4" s="1"/>
  <c r="R1565" i="4" s="1"/>
  <c r="P1566" i="4"/>
  <c r="Q1566" i="4" s="1"/>
  <c r="R1566" i="4" s="1"/>
  <c r="P1567" i="4"/>
  <c r="Q1567" i="4" s="1"/>
  <c r="R1567" i="4" s="1"/>
  <c r="P1568" i="4"/>
  <c r="Q1568" i="4" s="1"/>
  <c r="R1568" i="4" s="1"/>
  <c r="P1569" i="4"/>
  <c r="Q1569" i="4" s="1"/>
  <c r="R1569" i="4" s="1"/>
  <c r="P1570" i="4"/>
  <c r="Q1570" i="4" s="1"/>
  <c r="R1570" i="4" s="1"/>
  <c r="P1571" i="4"/>
  <c r="Q1571" i="4" s="1"/>
  <c r="R1571" i="4" s="1"/>
  <c r="P1572" i="4"/>
  <c r="Q1572" i="4" s="1"/>
  <c r="R1572" i="4" s="1"/>
  <c r="P1573" i="4"/>
  <c r="Q1573" i="4" s="1"/>
  <c r="R1573" i="4" s="1"/>
  <c r="P1574" i="4"/>
  <c r="Q1574" i="4" s="1"/>
  <c r="R1574" i="4" s="1"/>
  <c r="P1575" i="4"/>
  <c r="Q1575" i="4" s="1"/>
  <c r="R1575" i="4" s="1"/>
  <c r="P1576" i="4"/>
  <c r="Q1576" i="4" s="1"/>
  <c r="R1576" i="4" s="1"/>
  <c r="P1577" i="4"/>
  <c r="Q1577" i="4" s="1"/>
  <c r="R1577" i="4" s="1"/>
  <c r="P1578" i="4"/>
  <c r="Q1578" i="4" s="1"/>
  <c r="R1578" i="4" s="1"/>
  <c r="P1579" i="4"/>
  <c r="Q1579" i="4" s="1"/>
  <c r="R1579" i="4" s="1"/>
  <c r="P1580" i="4"/>
  <c r="Q1580" i="4" s="1"/>
  <c r="R1580" i="4" s="1"/>
  <c r="P1581" i="4"/>
  <c r="Q1581" i="4" s="1"/>
  <c r="R1581" i="4" s="1"/>
  <c r="P1582" i="4"/>
  <c r="Q1582" i="4" s="1"/>
  <c r="R1582" i="4" s="1"/>
  <c r="P1583" i="4"/>
  <c r="Q1583" i="4" s="1"/>
  <c r="R1583" i="4" s="1"/>
  <c r="P1584" i="4"/>
  <c r="Q1584" i="4" s="1"/>
  <c r="R1584" i="4" s="1"/>
  <c r="P1585" i="4"/>
  <c r="Q1585" i="4" s="1"/>
  <c r="R1585" i="4" s="1"/>
  <c r="P1586" i="4"/>
  <c r="Q1586" i="4" s="1"/>
  <c r="R1586" i="4" s="1"/>
  <c r="P1587" i="4"/>
  <c r="Q1587" i="4" s="1"/>
  <c r="R1587" i="4" s="1"/>
  <c r="P1588" i="4"/>
  <c r="Q1588" i="4" s="1"/>
  <c r="R1588" i="4" s="1"/>
  <c r="P1589" i="4"/>
  <c r="Q1589" i="4" s="1"/>
  <c r="R1589" i="4" s="1"/>
  <c r="P1590" i="4"/>
  <c r="Q1590" i="4" s="1"/>
  <c r="R1590" i="4" s="1"/>
  <c r="P1591" i="4"/>
  <c r="Q1591" i="4" s="1"/>
  <c r="R1591" i="4" s="1"/>
  <c r="P1592" i="4"/>
  <c r="Q1592" i="4" s="1"/>
  <c r="R1592" i="4" s="1"/>
  <c r="P1593" i="4"/>
  <c r="Q1593" i="4" s="1"/>
  <c r="R1593" i="4" s="1"/>
  <c r="P1594" i="4"/>
  <c r="Q1594" i="4" s="1"/>
  <c r="R1594" i="4" s="1"/>
  <c r="P1595" i="4"/>
  <c r="Q1595" i="4" s="1"/>
  <c r="R1595" i="4" s="1"/>
  <c r="P1596" i="4"/>
  <c r="Q1596" i="4" s="1"/>
  <c r="R1596" i="4" s="1"/>
  <c r="P1597" i="4"/>
  <c r="Q1597" i="4" s="1"/>
  <c r="R1597" i="4" s="1"/>
  <c r="P1598" i="4"/>
  <c r="Q1598" i="4" s="1"/>
  <c r="R1598" i="4" s="1"/>
  <c r="P1599" i="4"/>
  <c r="Q1599" i="4" s="1"/>
  <c r="R1599" i="4" s="1"/>
  <c r="P1600" i="4"/>
  <c r="Q1600" i="4" s="1"/>
  <c r="R1600" i="4" s="1"/>
  <c r="P1601" i="4"/>
  <c r="Q1601" i="4" s="1"/>
  <c r="R1601" i="4" s="1"/>
  <c r="P1602" i="4"/>
  <c r="Q1602" i="4" s="1"/>
  <c r="R1602" i="4" s="1"/>
  <c r="P1603" i="4"/>
  <c r="Q1603" i="4" s="1"/>
  <c r="R1603" i="4" s="1"/>
  <c r="P1604" i="4"/>
  <c r="Q1604" i="4" s="1"/>
  <c r="R1604" i="4" s="1"/>
  <c r="P1605" i="4"/>
  <c r="Q1605" i="4" s="1"/>
  <c r="R1605" i="4" s="1"/>
  <c r="P1606" i="4"/>
  <c r="Q1606" i="4" s="1"/>
  <c r="R1606" i="4" s="1"/>
  <c r="P1607" i="4"/>
  <c r="Q1607" i="4" s="1"/>
  <c r="R1607" i="4" s="1"/>
  <c r="P1608" i="4"/>
  <c r="Q1608" i="4" s="1"/>
  <c r="R1608" i="4" s="1"/>
  <c r="P1609" i="4"/>
  <c r="Q1609" i="4" s="1"/>
  <c r="R1609" i="4" s="1"/>
  <c r="P1610" i="4"/>
  <c r="Q1610" i="4" s="1"/>
  <c r="R1610" i="4" s="1"/>
  <c r="P1611" i="4"/>
  <c r="Q1611" i="4" s="1"/>
  <c r="R1611" i="4" s="1"/>
  <c r="P1612" i="4"/>
  <c r="Q1612" i="4" s="1"/>
  <c r="R1612" i="4" s="1"/>
  <c r="P1613" i="4"/>
  <c r="Q1613" i="4" s="1"/>
  <c r="R1613" i="4" s="1"/>
  <c r="P1614" i="4"/>
  <c r="Q1614" i="4" s="1"/>
  <c r="R1614" i="4" s="1"/>
  <c r="P1615" i="4"/>
  <c r="Q1615" i="4" s="1"/>
  <c r="R1615" i="4" s="1"/>
  <c r="P1616" i="4"/>
  <c r="Q1616" i="4" s="1"/>
  <c r="R1616" i="4" s="1"/>
  <c r="P1617" i="4"/>
  <c r="Q1617" i="4" s="1"/>
  <c r="R1617" i="4" s="1"/>
  <c r="P1618" i="4"/>
  <c r="Q1618" i="4" s="1"/>
  <c r="R1618" i="4" s="1"/>
  <c r="P1619" i="4"/>
  <c r="Q1619" i="4" s="1"/>
  <c r="R1619" i="4" s="1"/>
  <c r="P1620" i="4"/>
  <c r="Q1620" i="4" s="1"/>
  <c r="R1620" i="4" s="1"/>
  <c r="P1621" i="4"/>
  <c r="Q1621" i="4" s="1"/>
  <c r="R1621" i="4" s="1"/>
  <c r="P1622" i="4"/>
  <c r="Q1622" i="4" s="1"/>
  <c r="R1622" i="4" s="1"/>
  <c r="P1623" i="4"/>
  <c r="Q1623" i="4" s="1"/>
  <c r="R1623" i="4" s="1"/>
  <c r="P1624" i="4"/>
  <c r="Q1624" i="4" s="1"/>
  <c r="R1624" i="4" s="1"/>
  <c r="P1625" i="4"/>
  <c r="Q1625" i="4" s="1"/>
  <c r="R1625" i="4" s="1"/>
  <c r="P1626" i="4"/>
  <c r="Q1626" i="4" s="1"/>
  <c r="R1626" i="4" s="1"/>
  <c r="P1627" i="4"/>
  <c r="Q1627" i="4" s="1"/>
  <c r="R1627" i="4" s="1"/>
  <c r="P1628" i="4"/>
  <c r="Q1628" i="4" s="1"/>
  <c r="R1628" i="4" s="1"/>
  <c r="P1629" i="4"/>
  <c r="Q1629" i="4" s="1"/>
  <c r="R1629" i="4" s="1"/>
  <c r="P1630" i="4"/>
  <c r="Q1630" i="4" s="1"/>
  <c r="R1630" i="4" s="1"/>
  <c r="P1631" i="4"/>
  <c r="Q1631" i="4" s="1"/>
  <c r="R1631" i="4" s="1"/>
  <c r="P1632" i="4"/>
  <c r="Q1632" i="4" s="1"/>
  <c r="R1632" i="4" s="1"/>
  <c r="P1633" i="4"/>
  <c r="Q1633" i="4" s="1"/>
  <c r="R1633" i="4" s="1"/>
  <c r="P1634" i="4"/>
  <c r="Q1634" i="4" s="1"/>
  <c r="R1634" i="4" s="1"/>
  <c r="P1635" i="4"/>
  <c r="Q1635" i="4" s="1"/>
  <c r="R1635" i="4" s="1"/>
  <c r="P1636" i="4"/>
  <c r="Q1636" i="4" s="1"/>
  <c r="R1636" i="4" s="1"/>
  <c r="P1637" i="4"/>
  <c r="Q1637" i="4" s="1"/>
  <c r="R1637" i="4" s="1"/>
  <c r="P1638" i="4"/>
  <c r="Q1638" i="4" s="1"/>
  <c r="R1638" i="4" s="1"/>
  <c r="P1639" i="4"/>
  <c r="Q1639" i="4" s="1"/>
  <c r="R1639" i="4" s="1"/>
  <c r="P1640" i="4"/>
  <c r="Q1640" i="4" s="1"/>
  <c r="R1640" i="4" s="1"/>
  <c r="P1641" i="4"/>
  <c r="Q1641" i="4" s="1"/>
  <c r="R1641" i="4" s="1"/>
  <c r="P1642" i="4"/>
  <c r="Q1642" i="4" s="1"/>
  <c r="R1642" i="4" s="1"/>
  <c r="P1643" i="4"/>
  <c r="Q1643" i="4" s="1"/>
  <c r="R1643" i="4" s="1"/>
  <c r="P1644" i="4"/>
  <c r="Q1644" i="4" s="1"/>
  <c r="R1644" i="4" s="1"/>
  <c r="P1645" i="4"/>
  <c r="Q1645" i="4" s="1"/>
  <c r="R1645" i="4" s="1"/>
  <c r="P1646" i="4"/>
  <c r="Q1646" i="4" s="1"/>
  <c r="R1646" i="4" s="1"/>
  <c r="P1647" i="4"/>
  <c r="Q1647" i="4" s="1"/>
  <c r="R1647" i="4" s="1"/>
  <c r="P1648" i="4"/>
  <c r="Q1648" i="4" s="1"/>
  <c r="R1648" i="4" s="1"/>
  <c r="P1649" i="4"/>
  <c r="Q1649" i="4" s="1"/>
  <c r="R1649" i="4" s="1"/>
  <c r="P1650" i="4"/>
  <c r="Q1650" i="4" s="1"/>
  <c r="R1650" i="4" s="1"/>
  <c r="P1651" i="4"/>
  <c r="Q1651" i="4" s="1"/>
  <c r="R1651" i="4" s="1"/>
  <c r="P1652" i="4"/>
  <c r="Q1652" i="4" s="1"/>
  <c r="R1652" i="4" s="1"/>
  <c r="P1653" i="4"/>
  <c r="Q1653" i="4" s="1"/>
  <c r="R1653" i="4" s="1"/>
  <c r="P1654" i="4"/>
  <c r="Q1654" i="4" s="1"/>
  <c r="R1654" i="4" s="1"/>
  <c r="P1655" i="4"/>
  <c r="Q1655" i="4" s="1"/>
  <c r="R1655" i="4" s="1"/>
  <c r="P1656" i="4"/>
  <c r="Q1656" i="4" s="1"/>
  <c r="R1656" i="4" s="1"/>
  <c r="P1657" i="4"/>
  <c r="Q1657" i="4" s="1"/>
  <c r="R1657" i="4" s="1"/>
  <c r="P1658" i="4"/>
  <c r="Q1658" i="4" s="1"/>
  <c r="R1658" i="4" s="1"/>
  <c r="P1659" i="4"/>
  <c r="Q1659" i="4" s="1"/>
  <c r="R1659" i="4" s="1"/>
  <c r="P1660" i="4"/>
  <c r="Q1660" i="4" s="1"/>
  <c r="R1660" i="4" s="1"/>
  <c r="P1661" i="4"/>
  <c r="Q1661" i="4" s="1"/>
  <c r="R1661" i="4" s="1"/>
  <c r="P1662" i="4"/>
  <c r="Q1662" i="4" s="1"/>
  <c r="R1662" i="4" s="1"/>
  <c r="P1663" i="4"/>
  <c r="Q1663" i="4" s="1"/>
  <c r="R1663" i="4" s="1"/>
  <c r="P1664" i="4"/>
  <c r="Q1664" i="4" s="1"/>
  <c r="R1664" i="4" s="1"/>
  <c r="P1665" i="4"/>
  <c r="Q1665" i="4" s="1"/>
  <c r="R1665" i="4" s="1"/>
  <c r="P1666" i="4"/>
  <c r="Q1666" i="4" s="1"/>
  <c r="R1666" i="4" s="1"/>
  <c r="P1667" i="4"/>
  <c r="Q1667" i="4" s="1"/>
  <c r="R1667" i="4" s="1"/>
  <c r="P1668" i="4"/>
  <c r="Q1668" i="4" s="1"/>
  <c r="R1668" i="4" s="1"/>
  <c r="P1669" i="4"/>
  <c r="Q1669" i="4" s="1"/>
  <c r="R1669" i="4" s="1"/>
  <c r="P1670" i="4"/>
  <c r="Q1670" i="4" s="1"/>
  <c r="R1670" i="4" s="1"/>
  <c r="P1671" i="4"/>
  <c r="Q1671" i="4" s="1"/>
  <c r="R1671" i="4" s="1"/>
  <c r="P1672" i="4"/>
  <c r="Q1672" i="4" s="1"/>
  <c r="R1672" i="4" s="1"/>
  <c r="P1673" i="4"/>
  <c r="Q1673" i="4" s="1"/>
  <c r="R1673" i="4" s="1"/>
  <c r="P1674" i="4"/>
  <c r="Q1674" i="4" s="1"/>
  <c r="R1674" i="4" s="1"/>
  <c r="P1675" i="4"/>
  <c r="Q1675" i="4" s="1"/>
  <c r="R1675" i="4" s="1"/>
  <c r="P1676" i="4"/>
  <c r="Q1676" i="4" s="1"/>
  <c r="R1676" i="4" s="1"/>
  <c r="P1677" i="4"/>
  <c r="Q1677" i="4" s="1"/>
  <c r="R1677" i="4" s="1"/>
  <c r="P1678" i="4"/>
  <c r="Q1678" i="4" s="1"/>
  <c r="R1678" i="4" s="1"/>
  <c r="P1679" i="4"/>
  <c r="Q1679" i="4" s="1"/>
  <c r="R1679" i="4" s="1"/>
  <c r="P1680" i="4"/>
  <c r="Q1680" i="4" s="1"/>
  <c r="R1680" i="4" s="1"/>
  <c r="P1681" i="4"/>
  <c r="Q1681" i="4" s="1"/>
  <c r="R1681" i="4" s="1"/>
  <c r="P1682" i="4"/>
  <c r="Q1682" i="4" s="1"/>
  <c r="R1682" i="4" s="1"/>
  <c r="P1683" i="4"/>
  <c r="Q1683" i="4" s="1"/>
  <c r="R1683" i="4" s="1"/>
  <c r="P1684" i="4"/>
  <c r="Q1684" i="4" s="1"/>
  <c r="R1684" i="4" s="1"/>
  <c r="P1685" i="4"/>
  <c r="Q1685" i="4" s="1"/>
  <c r="R1685" i="4" s="1"/>
  <c r="P1686" i="4"/>
  <c r="Q1686" i="4" s="1"/>
  <c r="R1686" i="4" s="1"/>
  <c r="P1687" i="4"/>
  <c r="Q1687" i="4" s="1"/>
  <c r="R1687" i="4" s="1"/>
  <c r="P1688" i="4"/>
  <c r="Q1688" i="4" s="1"/>
  <c r="R1688" i="4" s="1"/>
  <c r="P1689" i="4"/>
  <c r="Q1689" i="4" s="1"/>
  <c r="R1689" i="4" s="1"/>
  <c r="P1690" i="4"/>
  <c r="Q1690" i="4" s="1"/>
  <c r="R1690" i="4" s="1"/>
  <c r="P1691" i="4"/>
  <c r="Q1691" i="4" s="1"/>
  <c r="R1691" i="4" s="1"/>
  <c r="P1692" i="4"/>
  <c r="Q1692" i="4" s="1"/>
  <c r="R1692" i="4" s="1"/>
  <c r="P1693" i="4"/>
  <c r="Q1693" i="4" s="1"/>
  <c r="R1693" i="4" s="1"/>
  <c r="P1694" i="4"/>
  <c r="Q1694" i="4" s="1"/>
  <c r="R1694" i="4" s="1"/>
  <c r="P1695" i="4"/>
  <c r="Q1695" i="4" s="1"/>
  <c r="R1695" i="4" s="1"/>
  <c r="P1696" i="4"/>
  <c r="Q1696" i="4" s="1"/>
  <c r="R1696" i="4" s="1"/>
  <c r="P1697" i="4"/>
  <c r="Q1697" i="4" s="1"/>
  <c r="R1697" i="4" s="1"/>
  <c r="P1698" i="4"/>
  <c r="Q1698" i="4" s="1"/>
  <c r="R1698" i="4" s="1"/>
  <c r="P1699" i="4"/>
  <c r="Q1699" i="4" s="1"/>
  <c r="R1699" i="4" s="1"/>
  <c r="P1700" i="4"/>
  <c r="Q1700" i="4" s="1"/>
  <c r="R1700" i="4" s="1"/>
  <c r="P1701" i="4"/>
  <c r="Q1701" i="4" s="1"/>
  <c r="R1701" i="4" s="1"/>
  <c r="P1702" i="4"/>
  <c r="Q1702" i="4" s="1"/>
  <c r="R1702" i="4" s="1"/>
  <c r="P1703" i="4"/>
  <c r="Q1703" i="4" s="1"/>
  <c r="R1703" i="4" s="1"/>
  <c r="P1704" i="4"/>
  <c r="Q1704" i="4" s="1"/>
  <c r="R1704" i="4" s="1"/>
  <c r="P1705" i="4"/>
  <c r="Q1705" i="4" s="1"/>
  <c r="R1705" i="4" s="1"/>
  <c r="P1706" i="4"/>
  <c r="Q1706" i="4" s="1"/>
  <c r="R1706" i="4" s="1"/>
  <c r="P1707" i="4"/>
  <c r="Q1707" i="4" s="1"/>
  <c r="R1707" i="4" s="1"/>
  <c r="P1708" i="4"/>
  <c r="Q1708" i="4" s="1"/>
  <c r="R1708" i="4" s="1"/>
  <c r="P1709" i="4"/>
  <c r="Q1709" i="4" s="1"/>
  <c r="R1709" i="4" s="1"/>
  <c r="P1710" i="4"/>
  <c r="Q1710" i="4" s="1"/>
  <c r="R1710" i="4" s="1"/>
  <c r="P1711" i="4"/>
  <c r="Q1711" i="4" s="1"/>
  <c r="R1711" i="4" s="1"/>
  <c r="P1712" i="4"/>
  <c r="Q1712" i="4" s="1"/>
  <c r="R1712" i="4" s="1"/>
  <c r="P1713" i="4"/>
  <c r="Q1713" i="4" s="1"/>
  <c r="R1713" i="4" s="1"/>
  <c r="P1714" i="4"/>
  <c r="Q1714" i="4" s="1"/>
  <c r="R1714" i="4" s="1"/>
  <c r="P1715" i="4"/>
  <c r="Q1715" i="4" s="1"/>
  <c r="R1715" i="4" s="1"/>
  <c r="P1716" i="4"/>
  <c r="Q1716" i="4" s="1"/>
  <c r="R1716" i="4" s="1"/>
  <c r="P1717" i="4"/>
  <c r="Q1717" i="4" s="1"/>
  <c r="R1717" i="4" s="1"/>
  <c r="P1718" i="4"/>
  <c r="Q1718" i="4" s="1"/>
  <c r="R1718" i="4" s="1"/>
  <c r="P1719" i="4"/>
  <c r="Q1719" i="4" s="1"/>
  <c r="R1719" i="4" s="1"/>
  <c r="P1720" i="4"/>
  <c r="Q1720" i="4" s="1"/>
  <c r="R1720" i="4" s="1"/>
  <c r="P1721" i="4"/>
  <c r="Q1721" i="4" s="1"/>
  <c r="R1721" i="4" s="1"/>
  <c r="P1722" i="4"/>
  <c r="Q1722" i="4" s="1"/>
  <c r="R1722" i="4" s="1"/>
  <c r="P1723" i="4"/>
  <c r="Q1723" i="4" s="1"/>
  <c r="R1723" i="4" s="1"/>
  <c r="P1724" i="4"/>
  <c r="Q1724" i="4" s="1"/>
  <c r="R1724" i="4" s="1"/>
  <c r="P1725" i="4"/>
  <c r="Q1725" i="4" s="1"/>
  <c r="R1725" i="4" s="1"/>
  <c r="P1726" i="4"/>
  <c r="Q1726" i="4" s="1"/>
  <c r="R1726" i="4" s="1"/>
  <c r="P1727" i="4"/>
  <c r="Q1727" i="4" s="1"/>
  <c r="R1727" i="4" s="1"/>
  <c r="P1728" i="4"/>
  <c r="Q1728" i="4" s="1"/>
  <c r="R1728" i="4" s="1"/>
  <c r="P1729" i="4"/>
  <c r="Q1729" i="4" s="1"/>
  <c r="R1729" i="4" s="1"/>
  <c r="P1730" i="4"/>
  <c r="Q1730" i="4" s="1"/>
  <c r="R1730" i="4" s="1"/>
  <c r="P1731" i="4"/>
  <c r="Q1731" i="4" s="1"/>
  <c r="R1731" i="4" s="1"/>
  <c r="P1732" i="4"/>
  <c r="Q1732" i="4" s="1"/>
  <c r="R1732" i="4" s="1"/>
  <c r="P1733" i="4"/>
  <c r="Q1733" i="4" s="1"/>
  <c r="R1733" i="4" s="1"/>
  <c r="P1734" i="4"/>
  <c r="Q1734" i="4" s="1"/>
  <c r="R1734" i="4" s="1"/>
  <c r="P1735" i="4"/>
  <c r="Q1735" i="4" s="1"/>
  <c r="R1735" i="4" s="1"/>
  <c r="P1736" i="4"/>
  <c r="Q1736" i="4" s="1"/>
  <c r="R1736" i="4" s="1"/>
  <c r="P1737" i="4"/>
  <c r="Q1737" i="4" s="1"/>
  <c r="R1737" i="4" s="1"/>
  <c r="P1738" i="4"/>
  <c r="Q1738" i="4" s="1"/>
  <c r="R1738" i="4" s="1"/>
  <c r="P1739" i="4"/>
  <c r="Q1739" i="4" s="1"/>
  <c r="R1739" i="4" s="1"/>
  <c r="P1740" i="4"/>
  <c r="Q1740" i="4" s="1"/>
  <c r="R1740" i="4" s="1"/>
  <c r="P1741" i="4"/>
  <c r="Q1741" i="4" s="1"/>
  <c r="R1741" i="4" s="1"/>
  <c r="P1742" i="4"/>
  <c r="Q1742" i="4" s="1"/>
  <c r="R1742" i="4" s="1"/>
  <c r="P1743" i="4"/>
  <c r="Q1743" i="4" s="1"/>
  <c r="R1743" i="4" s="1"/>
  <c r="P1744" i="4"/>
  <c r="Q1744" i="4" s="1"/>
  <c r="R1744" i="4" s="1"/>
  <c r="P1745" i="4"/>
  <c r="Q1745" i="4" s="1"/>
  <c r="R1745" i="4" s="1"/>
  <c r="P1746" i="4"/>
  <c r="Q1746" i="4" s="1"/>
  <c r="R1746" i="4" s="1"/>
  <c r="P1747" i="4"/>
  <c r="Q1747" i="4" s="1"/>
  <c r="R1747" i="4" s="1"/>
  <c r="P1748" i="4"/>
  <c r="Q1748" i="4" s="1"/>
  <c r="R1748" i="4" s="1"/>
  <c r="P1749" i="4"/>
  <c r="Q1749" i="4" s="1"/>
  <c r="R1749" i="4" s="1"/>
  <c r="P1750" i="4"/>
  <c r="Q1750" i="4" s="1"/>
  <c r="R1750" i="4" s="1"/>
  <c r="P1751" i="4"/>
  <c r="Q1751" i="4" s="1"/>
  <c r="R1751" i="4" s="1"/>
  <c r="P1752" i="4"/>
  <c r="Q1752" i="4" s="1"/>
  <c r="R1752" i="4" s="1"/>
  <c r="P1753" i="4"/>
  <c r="Q1753" i="4" s="1"/>
  <c r="R1753" i="4" s="1"/>
  <c r="P1754" i="4"/>
  <c r="Q1754" i="4" s="1"/>
  <c r="R1754" i="4" s="1"/>
  <c r="P1755" i="4"/>
  <c r="Q1755" i="4" s="1"/>
  <c r="R1755" i="4" s="1"/>
  <c r="P1756" i="4"/>
  <c r="Q1756" i="4" s="1"/>
  <c r="R1756" i="4" s="1"/>
  <c r="P1757" i="4"/>
  <c r="Q1757" i="4" s="1"/>
  <c r="R1757" i="4" s="1"/>
  <c r="P1758" i="4"/>
  <c r="Q1758" i="4" s="1"/>
  <c r="R1758" i="4" s="1"/>
  <c r="P1759" i="4"/>
  <c r="Q1759" i="4" s="1"/>
  <c r="R1759" i="4" s="1"/>
  <c r="P1760" i="4"/>
  <c r="Q1760" i="4" s="1"/>
  <c r="R1760" i="4" s="1"/>
  <c r="P1761" i="4"/>
  <c r="Q1761" i="4" s="1"/>
  <c r="R1761" i="4" s="1"/>
  <c r="P1762" i="4"/>
  <c r="Q1762" i="4" s="1"/>
  <c r="R1762" i="4" s="1"/>
  <c r="P1763" i="4"/>
  <c r="Q1763" i="4" s="1"/>
  <c r="R1763" i="4" s="1"/>
  <c r="P1764" i="4"/>
  <c r="Q1764" i="4" s="1"/>
  <c r="R1764" i="4" s="1"/>
  <c r="P1765" i="4"/>
  <c r="Q1765" i="4" s="1"/>
  <c r="R1765" i="4" s="1"/>
  <c r="P1766" i="4"/>
  <c r="Q1766" i="4" s="1"/>
  <c r="R1766" i="4" s="1"/>
  <c r="P1767" i="4"/>
  <c r="Q1767" i="4" s="1"/>
  <c r="R1767" i="4" s="1"/>
  <c r="P1768" i="4"/>
  <c r="Q1768" i="4" s="1"/>
  <c r="R1768" i="4" s="1"/>
  <c r="P1769" i="4"/>
  <c r="Q1769" i="4" s="1"/>
  <c r="R1769" i="4" s="1"/>
  <c r="P1770" i="4"/>
  <c r="Q1770" i="4" s="1"/>
  <c r="R1770" i="4" s="1"/>
  <c r="P1771" i="4"/>
  <c r="Q1771" i="4" s="1"/>
  <c r="R1771" i="4" s="1"/>
  <c r="P1772" i="4"/>
  <c r="Q1772" i="4" s="1"/>
  <c r="R1772" i="4" s="1"/>
  <c r="P1773" i="4"/>
  <c r="Q1773" i="4" s="1"/>
  <c r="R1773" i="4" s="1"/>
  <c r="P1774" i="4"/>
  <c r="Q1774" i="4" s="1"/>
  <c r="R1774" i="4" s="1"/>
  <c r="P1775" i="4"/>
  <c r="Q1775" i="4" s="1"/>
  <c r="R1775" i="4" s="1"/>
  <c r="P1776" i="4"/>
  <c r="Q1776" i="4" s="1"/>
  <c r="R1776" i="4" s="1"/>
  <c r="P1777" i="4"/>
  <c r="Q1777" i="4" s="1"/>
  <c r="R1777" i="4" s="1"/>
  <c r="P1778" i="4"/>
  <c r="Q1778" i="4" s="1"/>
  <c r="R1778" i="4" s="1"/>
  <c r="P1779" i="4"/>
  <c r="Q1779" i="4" s="1"/>
  <c r="R1779" i="4" s="1"/>
  <c r="P1780" i="4"/>
  <c r="Q1780" i="4" s="1"/>
  <c r="R1780" i="4" s="1"/>
  <c r="P1781" i="4"/>
  <c r="Q1781" i="4" s="1"/>
  <c r="R1781" i="4" s="1"/>
  <c r="P1782" i="4"/>
  <c r="Q1782" i="4" s="1"/>
  <c r="R1782" i="4" s="1"/>
  <c r="P1783" i="4"/>
  <c r="Q1783" i="4" s="1"/>
  <c r="R1783" i="4" s="1"/>
  <c r="P1784" i="4"/>
  <c r="Q1784" i="4" s="1"/>
  <c r="R1784" i="4" s="1"/>
  <c r="P1785" i="4"/>
  <c r="Q1785" i="4" s="1"/>
  <c r="R1785" i="4" s="1"/>
  <c r="P1786" i="4"/>
  <c r="Q1786" i="4" s="1"/>
  <c r="R1786" i="4" s="1"/>
  <c r="P1787" i="4"/>
  <c r="Q1787" i="4" s="1"/>
  <c r="R1787" i="4" s="1"/>
  <c r="P1788" i="4"/>
  <c r="Q1788" i="4" s="1"/>
  <c r="R1788" i="4" s="1"/>
  <c r="P1789" i="4"/>
  <c r="Q1789" i="4" s="1"/>
  <c r="R1789" i="4" s="1"/>
  <c r="P1790" i="4"/>
  <c r="Q1790" i="4" s="1"/>
  <c r="R1790" i="4" s="1"/>
  <c r="P1791" i="4"/>
  <c r="Q1791" i="4" s="1"/>
  <c r="R1791" i="4" s="1"/>
  <c r="P1792" i="4"/>
  <c r="Q1792" i="4" s="1"/>
  <c r="R1792" i="4" s="1"/>
  <c r="P1793" i="4"/>
  <c r="Q1793" i="4" s="1"/>
  <c r="R1793" i="4" s="1"/>
  <c r="P1794" i="4"/>
  <c r="Q1794" i="4" s="1"/>
  <c r="R1794" i="4" s="1"/>
  <c r="P1795" i="4"/>
  <c r="Q1795" i="4" s="1"/>
  <c r="R1795" i="4" s="1"/>
  <c r="P1796" i="4"/>
  <c r="Q1796" i="4" s="1"/>
  <c r="R1796" i="4" s="1"/>
  <c r="P1797" i="4"/>
  <c r="Q1797" i="4" s="1"/>
  <c r="R1797" i="4" s="1"/>
  <c r="P1798" i="4"/>
  <c r="Q1798" i="4" s="1"/>
  <c r="R1798" i="4" s="1"/>
  <c r="P1799" i="4"/>
  <c r="Q1799" i="4" s="1"/>
  <c r="R1799" i="4" s="1"/>
  <c r="P1800" i="4"/>
  <c r="Q1800" i="4" s="1"/>
  <c r="R1800" i="4" s="1"/>
  <c r="P1801" i="4"/>
  <c r="Q1801" i="4" s="1"/>
  <c r="R1801" i="4" s="1"/>
  <c r="P1802" i="4"/>
  <c r="Q1802" i="4" s="1"/>
  <c r="R1802" i="4" s="1"/>
  <c r="P1803" i="4"/>
  <c r="Q1803" i="4" s="1"/>
  <c r="R1803" i="4" s="1"/>
  <c r="P1804" i="4"/>
  <c r="Q1804" i="4" s="1"/>
  <c r="R1804" i="4" s="1"/>
  <c r="P1805" i="4"/>
  <c r="Q1805" i="4" s="1"/>
  <c r="R1805" i="4" s="1"/>
  <c r="P1806" i="4"/>
  <c r="Q1806" i="4" s="1"/>
  <c r="R1806" i="4" s="1"/>
  <c r="P1807" i="4"/>
  <c r="Q1807" i="4" s="1"/>
  <c r="R1807" i="4" s="1"/>
  <c r="P1808" i="4"/>
  <c r="Q1808" i="4" s="1"/>
  <c r="R1808" i="4" s="1"/>
  <c r="P1809" i="4"/>
  <c r="Q1809" i="4" s="1"/>
  <c r="R1809" i="4" s="1"/>
  <c r="P1810" i="4"/>
  <c r="Q1810" i="4" s="1"/>
  <c r="R1810" i="4" s="1"/>
  <c r="P1811" i="4"/>
  <c r="Q1811" i="4" s="1"/>
  <c r="R1811" i="4" s="1"/>
  <c r="P1812" i="4"/>
  <c r="Q1812" i="4" s="1"/>
  <c r="R1812" i="4" s="1"/>
  <c r="P1813" i="4"/>
  <c r="Q1813" i="4" s="1"/>
  <c r="R1813" i="4" s="1"/>
  <c r="P1814" i="4"/>
  <c r="Q1814" i="4" s="1"/>
  <c r="R1814" i="4" s="1"/>
  <c r="P1815" i="4"/>
  <c r="Q1815" i="4" s="1"/>
  <c r="R1815" i="4" s="1"/>
  <c r="P1816" i="4"/>
  <c r="Q1816" i="4" s="1"/>
  <c r="R1816" i="4" s="1"/>
  <c r="P1817" i="4"/>
  <c r="Q1817" i="4" s="1"/>
  <c r="R1817" i="4" s="1"/>
  <c r="P1818" i="4"/>
  <c r="Q1818" i="4" s="1"/>
  <c r="R1818" i="4" s="1"/>
  <c r="P1819" i="4"/>
  <c r="Q1819" i="4" s="1"/>
  <c r="R1819" i="4" s="1"/>
  <c r="P1820" i="4"/>
  <c r="Q1820" i="4" s="1"/>
  <c r="R1820" i="4" s="1"/>
  <c r="P1821" i="4"/>
  <c r="Q1821" i="4" s="1"/>
  <c r="R1821" i="4" s="1"/>
  <c r="P1822" i="4"/>
  <c r="Q1822" i="4" s="1"/>
  <c r="R1822" i="4" s="1"/>
  <c r="P1823" i="4"/>
  <c r="Q1823" i="4" s="1"/>
  <c r="R1823" i="4" s="1"/>
  <c r="P1824" i="4"/>
  <c r="Q1824" i="4" s="1"/>
  <c r="R1824" i="4" s="1"/>
  <c r="P1825" i="4"/>
  <c r="Q1825" i="4" s="1"/>
  <c r="R1825" i="4" s="1"/>
  <c r="P1826" i="4"/>
  <c r="Q1826" i="4" s="1"/>
  <c r="R1826" i="4" s="1"/>
  <c r="P1827" i="4"/>
  <c r="Q1827" i="4" s="1"/>
  <c r="R1827" i="4" s="1"/>
  <c r="P1828" i="4"/>
  <c r="Q1828" i="4" s="1"/>
  <c r="R1828" i="4" s="1"/>
  <c r="P1829" i="4"/>
  <c r="Q1829" i="4" s="1"/>
  <c r="R1829" i="4" s="1"/>
  <c r="P1830" i="4"/>
  <c r="Q1830" i="4" s="1"/>
  <c r="R1830" i="4" s="1"/>
  <c r="P1831" i="4"/>
  <c r="Q1831" i="4" s="1"/>
  <c r="R1831" i="4" s="1"/>
  <c r="P1832" i="4"/>
  <c r="Q1832" i="4" s="1"/>
  <c r="R1832" i="4" s="1"/>
  <c r="P1833" i="4"/>
  <c r="Q1833" i="4" s="1"/>
  <c r="R1833" i="4" s="1"/>
  <c r="P1834" i="4"/>
  <c r="Q1834" i="4" s="1"/>
  <c r="R1834" i="4" s="1"/>
  <c r="P1835" i="4"/>
  <c r="Q1835" i="4" s="1"/>
  <c r="R1835" i="4" s="1"/>
  <c r="P1836" i="4"/>
  <c r="Q1836" i="4" s="1"/>
  <c r="R1836" i="4" s="1"/>
  <c r="P1837" i="4"/>
  <c r="Q1837" i="4" s="1"/>
  <c r="R1837" i="4" s="1"/>
  <c r="P1838" i="4"/>
  <c r="Q1838" i="4" s="1"/>
  <c r="R1838" i="4" s="1"/>
  <c r="P1839" i="4"/>
  <c r="Q1839" i="4" s="1"/>
  <c r="R1839" i="4" s="1"/>
  <c r="P1840" i="4"/>
  <c r="Q1840" i="4" s="1"/>
  <c r="R1840" i="4" s="1"/>
  <c r="P1841" i="4"/>
  <c r="Q1841" i="4" s="1"/>
  <c r="R1841" i="4" s="1"/>
  <c r="P1842" i="4"/>
  <c r="Q1842" i="4" s="1"/>
  <c r="R1842" i="4" s="1"/>
  <c r="P1843" i="4"/>
  <c r="Q1843" i="4" s="1"/>
  <c r="R1843" i="4" s="1"/>
  <c r="P1844" i="4"/>
  <c r="Q1844" i="4" s="1"/>
  <c r="R1844" i="4" s="1"/>
  <c r="P1845" i="4"/>
  <c r="Q1845" i="4" s="1"/>
  <c r="R1845" i="4" s="1"/>
  <c r="P1846" i="4"/>
  <c r="Q1846" i="4" s="1"/>
  <c r="R1846" i="4" s="1"/>
  <c r="P1847" i="4"/>
  <c r="Q1847" i="4" s="1"/>
  <c r="R1847" i="4" s="1"/>
  <c r="P1848" i="4"/>
  <c r="Q1848" i="4" s="1"/>
  <c r="R1848" i="4" s="1"/>
  <c r="P1849" i="4"/>
  <c r="Q1849" i="4" s="1"/>
  <c r="R1849" i="4" s="1"/>
  <c r="P1850" i="4"/>
  <c r="Q1850" i="4" s="1"/>
  <c r="R1850" i="4" s="1"/>
  <c r="P1851" i="4"/>
  <c r="Q1851" i="4" s="1"/>
  <c r="R1851" i="4" s="1"/>
  <c r="P1852" i="4"/>
  <c r="Q1852" i="4" s="1"/>
  <c r="R1852" i="4" s="1"/>
  <c r="P1853" i="4"/>
  <c r="Q1853" i="4" s="1"/>
  <c r="R1853" i="4" s="1"/>
  <c r="P1854" i="4"/>
  <c r="Q1854" i="4" s="1"/>
  <c r="R1854" i="4" s="1"/>
  <c r="P1855" i="4"/>
  <c r="Q1855" i="4" s="1"/>
  <c r="R1855" i="4" s="1"/>
  <c r="P1856" i="4"/>
  <c r="Q1856" i="4" s="1"/>
  <c r="R1856" i="4" s="1"/>
  <c r="P1857" i="4"/>
  <c r="Q1857" i="4" s="1"/>
  <c r="R1857" i="4" s="1"/>
  <c r="P1858" i="4"/>
  <c r="Q1858" i="4" s="1"/>
  <c r="R1858" i="4" s="1"/>
  <c r="P1859" i="4"/>
  <c r="Q1859" i="4" s="1"/>
  <c r="R1859" i="4" s="1"/>
  <c r="P1860" i="4"/>
  <c r="Q1860" i="4" s="1"/>
  <c r="R1860" i="4" s="1"/>
  <c r="P1861" i="4"/>
  <c r="Q1861" i="4" s="1"/>
  <c r="R1861" i="4" s="1"/>
  <c r="P1862" i="4"/>
  <c r="Q1862" i="4" s="1"/>
  <c r="R1862" i="4" s="1"/>
  <c r="P1863" i="4"/>
  <c r="Q1863" i="4" s="1"/>
  <c r="R1863" i="4" s="1"/>
  <c r="P1864" i="4"/>
  <c r="Q1864" i="4" s="1"/>
  <c r="R1864" i="4" s="1"/>
  <c r="P1865" i="4"/>
  <c r="Q1865" i="4" s="1"/>
  <c r="R1865" i="4" s="1"/>
  <c r="P1866" i="4"/>
  <c r="Q1866" i="4" s="1"/>
  <c r="R1866" i="4" s="1"/>
  <c r="P1867" i="4"/>
  <c r="Q1867" i="4" s="1"/>
  <c r="R1867" i="4" s="1"/>
  <c r="P1868" i="4"/>
  <c r="Q1868" i="4" s="1"/>
  <c r="R1868" i="4" s="1"/>
  <c r="P1869" i="4"/>
  <c r="Q1869" i="4" s="1"/>
  <c r="R1869" i="4" s="1"/>
  <c r="P1870" i="4"/>
  <c r="Q1870" i="4" s="1"/>
  <c r="R1870" i="4" s="1"/>
  <c r="P1871" i="4"/>
  <c r="Q1871" i="4" s="1"/>
  <c r="R1871" i="4" s="1"/>
  <c r="P1872" i="4"/>
  <c r="Q1872" i="4" s="1"/>
  <c r="R1872" i="4" s="1"/>
  <c r="P1873" i="4"/>
  <c r="Q1873" i="4" s="1"/>
  <c r="R1873" i="4" s="1"/>
  <c r="P1874" i="4"/>
  <c r="Q1874" i="4" s="1"/>
  <c r="R1874" i="4" s="1"/>
  <c r="P1875" i="4"/>
  <c r="Q1875" i="4" s="1"/>
  <c r="R1875" i="4" s="1"/>
  <c r="P1876" i="4"/>
  <c r="Q1876" i="4" s="1"/>
  <c r="R1876" i="4" s="1"/>
  <c r="P1877" i="4"/>
  <c r="Q1877" i="4" s="1"/>
  <c r="R1877" i="4" s="1"/>
  <c r="P1878" i="4"/>
  <c r="Q1878" i="4" s="1"/>
  <c r="R1878" i="4" s="1"/>
  <c r="P1879" i="4"/>
  <c r="Q1879" i="4" s="1"/>
  <c r="R1879" i="4" s="1"/>
  <c r="P1880" i="4"/>
  <c r="Q1880" i="4" s="1"/>
  <c r="R1880" i="4" s="1"/>
  <c r="P1881" i="4"/>
  <c r="Q1881" i="4" s="1"/>
  <c r="R1881" i="4" s="1"/>
  <c r="P1882" i="4"/>
  <c r="Q1882" i="4" s="1"/>
  <c r="R1882" i="4" s="1"/>
  <c r="P1883" i="4"/>
  <c r="Q1883" i="4" s="1"/>
  <c r="R1883" i="4" s="1"/>
  <c r="P1884" i="4"/>
  <c r="Q1884" i="4" s="1"/>
  <c r="R1884" i="4" s="1"/>
  <c r="P1885" i="4"/>
  <c r="Q1885" i="4" s="1"/>
  <c r="R1885" i="4" s="1"/>
  <c r="P1886" i="4"/>
  <c r="Q1886" i="4" s="1"/>
  <c r="R1886" i="4" s="1"/>
  <c r="P1887" i="4"/>
  <c r="Q1887" i="4" s="1"/>
  <c r="R1887" i="4" s="1"/>
  <c r="P1888" i="4"/>
  <c r="Q1888" i="4" s="1"/>
  <c r="R1888" i="4" s="1"/>
  <c r="P1889" i="4"/>
  <c r="Q1889" i="4" s="1"/>
  <c r="R1889" i="4" s="1"/>
  <c r="P1890" i="4"/>
  <c r="Q1890" i="4" s="1"/>
  <c r="R1890" i="4" s="1"/>
  <c r="P1891" i="4"/>
  <c r="Q1891" i="4" s="1"/>
  <c r="R1891" i="4" s="1"/>
  <c r="P1892" i="4"/>
  <c r="Q1892" i="4" s="1"/>
  <c r="R1892" i="4" s="1"/>
  <c r="P1893" i="4"/>
  <c r="Q1893" i="4" s="1"/>
  <c r="R1893" i="4" s="1"/>
  <c r="P1894" i="4"/>
  <c r="Q1894" i="4" s="1"/>
  <c r="R1894" i="4" s="1"/>
  <c r="P1895" i="4"/>
  <c r="Q1895" i="4" s="1"/>
  <c r="R1895" i="4" s="1"/>
  <c r="P1896" i="4"/>
  <c r="Q1896" i="4" s="1"/>
  <c r="R1896" i="4" s="1"/>
  <c r="P1897" i="4"/>
  <c r="Q1897" i="4" s="1"/>
  <c r="R1897" i="4" s="1"/>
  <c r="P1898" i="4"/>
  <c r="Q1898" i="4" s="1"/>
  <c r="R1898" i="4" s="1"/>
  <c r="P1899" i="4"/>
  <c r="Q1899" i="4" s="1"/>
  <c r="R1899" i="4" s="1"/>
  <c r="P1900" i="4"/>
  <c r="Q1900" i="4" s="1"/>
  <c r="R1900" i="4" s="1"/>
  <c r="P1901" i="4"/>
  <c r="Q1901" i="4" s="1"/>
  <c r="R1901" i="4" s="1"/>
  <c r="P1902" i="4"/>
  <c r="Q1902" i="4" s="1"/>
  <c r="R1902" i="4" s="1"/>
  <c r="P1903" i="4"/>
  <c r="Q1903" i="4" s="1"/>
  <c r="R1903" i="4" s="1"/>
  <c r="P1904" i="4"/>
  <c r="Q1904" i="4" s="1"/>
  <c r="R1904" i="4" s="1"/>
  <c r="P1905" i="4"/>
  <c r="Q1905" i="4" s="1"/>
  <c r="R1905" i="4" s="1"/>
  <c r="P1906" i="4"/>
  <c r="Q1906" i="4" s="1"/>
  <c r="R1906" i="4" s="1"/>
  <c r="P1907" i="4"/>
  <c r="Q1907" i="4" s="1"/>
  <c r="R1907" i="4" s="1"/>
  <c r="P1908" i="4"/>
  <c r="Q1908" i="4" s="1"/>
  <c r="R1908" i="4" s="1"/>
  <c r="P1909" i="4"/>
  <c r="Q1909" i="4" s="1"/>
  <c r="R1909" i="4" s="1"/>
  <c r="P1910" i="4"/>
  <c r="Q1910" i="4" s="1"/>
  <c r="R1910" i="4" s="1"/>
  <c r="P1911" i="4"/>
  <c r="Q1911" i="4" s="1"/>
  <c r="R1911" i="4" s="1"/>
  <c r="P1912" i="4"/>
  <c r="Q1912" i="4" s="1"/>
  <c r="R1912" i="4" s="1"/>
  <c r="P1913" i="4"/>
  <c r="Q1913" i="4" s="1"/>
  <c r="R1913" i="4" s="1"/>
  <c r="P1914" i="4"/>
  <c r="Q1914" i="4" s="1"/>
  <c r="R1914" i="4" s="1"/>
  <c r="P1915" i="4"/>
  <c r="Q1915" i="4" s="1"/>
  <c r="R1915" i="4" s="1"/>
  <c r="P1916" i="4"/>
  <c r="Q1916" i="4" s="1"/>
  <c r="R1916" i="4" s="1"/>
  <c r="P1917" i="4"/>
  <c r="Q1917" i="4" s="1"/>
  <c r="R1917" i="4" s="1"/>
  <c r="P1918" i="4"/>
  <c r="Q1918" i="4" s="1"/>
  <c r="R1918" i="4" s="1"/>
  <c r="P1919" i="4"/>
  <c r="Q1919" i="4" s="1"/>
  <c r="R1919" i="4" s="1"/>
  <c r="P1920" i="4"/>
  <c r="Q1920" i="4" s="1"/>
  <c r="R1920" i="4" s="1"/>
  <c r="P1921" i="4"/>
  <c r="Q1921" i="4" s="1"/>
  <c r="R1921" i="4" s="1"/>
  <c r="P1922" i="4"/>
  <c r="Q1922" i="4" s="1"/>
  <c r="R1922" i="4" s="1"/>
  <c r="P1923" i="4"/>
  <c r="Q1923" i="4" s="1"/>
  <c r="R1923" i="4" s="1"/>
  <c r="P1924" i="4"/>
  <c r="Q1924" i="4" s="1"/>
  <c r="R1924" i="4" s="1"/>
  <c r="P1925" i="4"/>
  <c r="Q1925" i="4" s="1"/>
  <c r="R1925" i="4" s="1"/>
  <c r="P1926" i="4"/>
  <c r="Q1926" i="4" s="1"/>
  <c r="R1926" i="4" s="1"/>
  <c r="P1927" i="4"/>
  <c r="Q1927" i="4" s="1"/>
  <c r="R1927" i="4" s="1"/>
  <c r="P1928" i="4"/>
  <c r="Q1928" i="4" s="1"/>
  <c r="R1928" i="4" s="1"/>
  <c r="P1929" i="4"/>
  <c r="Q1929" i="4" s="1"/>
  <c r="R1929" i="4" s="1"/>
  <c r="P1930" i="4"/>
  <c r="Q1930" i="4" s="1"/>
  <c r="R1930" i="4" s="1"/>
  <c r="P1931" i="4"/>
  <c r="Q1931" i="4" s="1"/>
  <c r="R1931" i="4" s="1"/>
  <c r="P1932" i="4"/>
  <c r="Q1932" i="4" s="1"/>
  <c r="R1932" i="4" s="1"/>
  <c r="P1933" i="4"/>
  <c r="Q1933" i="4" s="1"/>
  <c r="R1933" i="4" s="1"/>
  <c r="P1934" i="4"/>
  <c r="Q1934" i="4" s="1"/>
  <c r="R1934" i="4" s="1"/>
  <c r="P1935" i="4"/>
  <c r="Q1935" i="4" s="1"/>
  <c r="R1935" i="4" s="1"/>
  <c r="P1936" i="4"/>
  <c r="Q1936" i="4" s="1"/>
  <c r="R1936" i="4" s="1"/>
  <c r="P1937" i="4"/>
  <c r="Q1937" i="4" s="1"/>
  <c r="R1937" i="4" s="1"/>
  <c r="P1938" i="4"/>
  <c r="Q1938" i="4" s="1"/>
  <c r="R1938" i="4" s="1"/>
  <c r="P1939" i="4"/>
  <c r="Q1939" i="4" s="1"/>
  <c r="R1939" i="4" s="1"/>
  <c r="P1940" i="4"/>
  <c r="Q1940" i="4" s="1"/>
  <c r="R1940" i="4" s="1"/>
  <c r="P1941" i="4"/>
  <c r="Q1941" i="4" s="1"/>
  <c r="R1941" i="4" s="1"/>
  <c r="P1942" i="4"/>
  <c r="Q1942" i="4" s="1"/>
  <c r="R1942" i="4" s="1"/>
  <c r="P1943" i="4"/>
  <c r="Q1943" i="4" s="1"/>
  <c r="R1943" i="4" s="1"/>
  <c r="P1944" i="4"/>
  <c r="Q1944" i="4" s="1"/>
  <c r="R1944" i="4" s="1"/>
  <c r="P1945" i="4"/>
  <c r="Q1945" i="4" s="1"/>
  <c r="R1945" i="4" s="1"/>
  <c r="P1946" i="4"/>
  <c r="Q1946" i="4" s="1"/>
  <c r="R1946" i="4" s="1"/>
  <c r="P1947" i="4"/>
  <c r="Q1947" i="4" s="1"/>
  <c r="R1947" i="4" s="1"/>
  <c r="P1948" i="4"/>
  <c r="Q1948" i="4" s="1"/>
  <c r="R1948" i="4" s="1"/>
  <c r="P1949" i="4"/>
  <c r="Q1949" i="4" s="1"/>
  <c r="R1949" i="4" s="1"/>
  <c r="P1950" i="4"/>
  <c r="Q1950" i="4" s="1"/>
  <c r="R1950" i="4" s="1"/>
  <c r="P1951" i="4"/>
  <c r="Q1951" i="4" s="1"/>
  <c r="R1951" i="4" s="1"/>
  <c r="P1952" i="4"/>
  <c r="Q1952" i="4" s="1"/>
  <c r="R1952" i="4" s="1"/>
  <c r="P1953" i="4"/>
  <c r="Q1953" i="4" s="1"/>
  <c r="R1953" i="4" s="1"/>
  <c r="P1954" i="4"/>
  <c r="Q1954" i="4" s="1"/>
  <c r="R1954" i="4" s="1"/>
  <c r="P1955" i="4"/>
  <c r="Q1955" i="4" s="1"/>
  <c r="R1955" i="4" s="1"/>
  <c r="P1956" i="4"/>
  <c r="Q1956" i="4" s="1"/>
  <c r="R1956" i="4" s="1"/>
  <c r="P1957" i="4"/>
  <c r="Q1957" i="4" s="1"/>
  <c r="R1957" i="4" s="1"/>
  <c r="P1958" i="4"/>
  <c r="Q1958" i="4" s="1"/>
  <c r="R1958" i="4" s="1"/>
  <c r="P1959" i="4"/>
  <c r="Q1959" i="4" s="1"/>
  <c r="R1959" i="4" s="1"/>
  <c r="P1960" i="4"/>
  <c r="Q1960" i="4" s="1"/>
  <c r="R1960" i="4" s="1"/>
  <c r="P1961" i="4"/>
  <c r="Q1961" i="4" s="1"/>
  <c r="R1961" i="4" s="1"/>
  <c r="P1962" i="4"/>
  <c r="Q1962" i="4" s="1"/>
  <c r="R1962" i="4" s="1"/>
  <c r="P1963" i="4"/>
  <c r="Q1963" i="4" s="1"/>
  <c r="R1963" i="4" s="1"/>
  <c r="P1964" i="4"/>
  <c r="Q1964" i="4" s="1"/>
  <c r="R1964" i="4" s="1"/>
  <c r="P1965" i="4"/>
  <c r="Q1965" i="4" s="1"/>
  <c r="R1965" i="4" s="1"/>
  <c r="P1966" i="4"/>
  <c r="Q1966" i="4" s="1"/>
  <c r="R1966" i="4" s="1"/>
  <c r="P1967" i="4"/>
  <c r="Q1967" i="4" s="1"/>
  <c r="R1967" i="4" s="1"/>
  <c r="P1968" i="4"/>
  <c r="Q1968" i="4" s="1"/>
  <c r="R1968" i="4" s="1"/>
  <c r="P1969" i="4"/>
  <c r="Q1969" i="4" s="1"/>
  <c r="R1969" i="4" s="1"/>
  <c r="P1970" i="4"/>
  <c r="Q1970" i="4" s="1"/>
  <c r="R1970" i="4" s="1"/>
  <c r="P1971" i="4"/>
  <c r="Q1971" i="4" s="1"/>
  <c r="R1971" i="4" s="1"/>
  <c r="P1972" i="4"/>
  <c r="Q1972" i="4" s="1"/>
  <c r="R1972" i="4" s="1"/>
  <c r="P1973" i="4"/>
  <c r="Q1973" i="4" s="1"/>
  <c r="R1973" i="4" s="1"/>
  <c r="P1974" i="4"/>
  <c r="Q1974" i="4" s="1"/>
  <c r="R1974" i="4" s="1"/>
  <c r="P1975" i="4"/>
  <c r="Q1975" i="4" s="1"/>
  <c r="R1975" i="4" s="1"/>
  <c r="P1976" i="4"/>
  <c r="Q1976" i="4" s="1"/>
  <c r="R1976" i="4" s="1"/>
  <c r="P1977" i="4"/>
  <c r="Q1977" i="4" s="1"/>
  <c r="R1977" i="4" s="1"/>
  <c r="P1978" i="4"/>
  <c r="Q1978" i="4" s="1"/>
  <c r="R1978" i="4" s="1"/>
  <c r="P1979" i="4"/>
  <c r="Q1979" i="4" s="1"/>
  <c r="R1979" i="4" s="1"/>
  <c r="P1980" i="4"/>
  <c r="Q1980" i="4" s="1"/>
  <c r="R1980" i="4" s="1"/>
  <c r="P1981" i="4"/>
  <c r="Q1981" i="4" s="1"/>
  <c r="R1981" i="4" s="1"/>
  <c r="P1982" i="4"/>
  <c r="Q1982" i="4" s="1"/>
  <c r="R1982" i="4" s="1"/>
  <c r="P1983" i="4"/>
  <c r="Q1983" i="4" s="1"/>
  <c r="R1983" i="4" s="1"/>
  <c r="P1984" i="4"/>
  <c r="Q1984" i="4" s="1"/>
  <c r="R1984" i="4" s="1"/>
  <c r="P1985" i="4"/>
  <c r="Q1985" i="4" s="1"/>
  <c r="R1985" i="4" s="1"/>
  <c r="P1986" i="4"/>
  <c r="Q1986" i="4" s="1"/>
  <c r="R1986" i="4" s="1"/>
  <c r="P1987" i="4"/>
  <c r="Q1987" i="4" s="1"/>
  <c r="R1987" i="4" s="1"/>
  <c r="P1988" i="4"/>
  <c r="Q1988" i="4" s="1"/>
  <c r="R1988" i="4" s="1"/>
  <c r="P1989" i="4"/>
  <c r="Q1989" i="4" s="1"/>
  <c r="R1989" i="4" s="1"/>
  <c r="P1990" i="4"/>
  <c r="Q1990" i="4" s="1"/>
  <c r="R1990" i="4" s="1"/>
  <c r="P1991" i="4"/>
  <c r="Q1991" i="4" s="1"/>
  <c r="R1991" i="4" s="1"/>
  <c r="P1992" i="4"/>
  <c r="Q1992" i="4" s="1"/>
  <c r="R1992" i="4" s="1"/>
  <c r="P1993" i="4"/>
  <c r="Q1993" i="4" s="1"/>
  <c r="R1993" i="4" s="1"/>
  <c r="P1994" i="4"/>
  <c r="Q1994" i="4" s="1"/>
  <c r="R1994" i="4" s="1"/>
  <c r="P1995" i="4"/>
  <c r="Q1995" i="4" s="1"/>
  <c r="R1995" i="4" s="1"/>
  <c r="P1996" i="4"/>
  <c r="Q1996" i="4" s="1"/>
  <c r="R1996" i="4" s="1"/>
  <c r="P1997" i="4"/>
  <c r="Q1997" i="4" s="1"/>
  <c r="R1997" i="4" s="1"/>
  <c r="P1998" i="4"/>
  <c r="Q1998" i="4" s="1"/>
  <c r="R1998" i="4" s="1"/>
  <c r="P1999" i="4"/>
  <c r="Q1999" i="4" s="1"/>
  <c r="R1999" i="4" s="1"/>
  <c r="P2000" i="4"/>
  <c r="Q2000" i="4" s="1"/>
  <c r="R2000" i="4" s="1"/>
  <c r="P2001" i="4"/>
  <c r="Q2001" i="4" s="1"/>
  <c r="R2001" i="4" s="1"/>
  <c r="P2002" i="4"/>
  <c r="Q2002" i="4" s="1"/>
  <c r="R2002" i="4" s="1"/>
  <c r="P2003" i="4"/>
  <c r="Q2003" i="4" s="1"/>
  <c r="R2003" i="4" s="1"/>
  <c r="P2004" i="4"/>
  <c r="Q2004" i="4" s="1"/>
  <c r="R2004" i="4" s="1"/>
  <c r="P2005" i="4"/>
  <c r="Q2005" i="4" s="1"/>
  <c r="R2005" i="4" s="1"/>
  <c r="P2006" i="4"/>
  <c r="Q2006" i="4" s="1"/>
  <c r="R2006" i="4" s="1"/>
  <c r="P2007" i="4"/>
  <c r="Q2007" i="4" s="1"/>
  <c r="R2007" i="4" s="1"/>
  <c r="P2008" i="4"/>
  <c r="Q2008" i="4" s="1"/>
  <c r="R2008" i="4" s="1"/>
  <c r="P2009" i="4"/>
  <c r="Q2009" i="4" s="1"/>
  <c r="R2009" i="4" s="1"/>
  <c r="P2010" i="4"/>
  <c r="Q2010" i="4" s="1"/>
  <c r="R2010" i="4" s="1"/>
  <c r="P2011" i="4"/>
  <c r="Q2011" i="4" s="1"/>
  <c r="R2011" i="4" s="1"/>
  <c r="P2012" i="4"/>
  <c r="Q2012" i="4" s="1"/>
  <c r="R2012" i="4" s="1"/>
  <c r="P2013" i="4"/>
  <c r="Q2013" i="4" s="1"/>
  <c r="R2013" i="4" s="1"/>
  <c r="P2014" i="4"/>
  <c r="Q2014" i="4" s="1"/>
  <c r="R2014" i="4" s="1"/>
  <c r="P2015" i="4"/>
  <c r="Q2015" i="4" s="1"/>
  <c r="R2015" i="4" s="1"/>
  <c r="P2016" i="4"/>
  <c r="Q2016" i="4" s="1"/>
  <c r="R2016" i="4" s="1"/>
  <c r="P2017" i="4"/>
  <c r="Q2017" i="4" s="1"/>
  <c r="R2017" i="4" s="1"/>
  <c r="P2018" i="4"/>
  <c r="Q2018" i="4" s="1"/>
  <c r="R2018" i="4" s="1"/>
  <c r="P2019" i="4"/>
  <c r="Q2019" i="4" s="1"/>
  <c r="R2019" i="4" s="1"/>
  <c r="P2020" i="4"/>
  <c r="Q2020" i="4" s="1"/>
  <c r="R2020" i="4" s="1"/>
  <c r="P2021" i="4"/>
  <c r="Q2021" i="4" s="1"/>
  <c r="R2021" i="4" s="1"/>
  <c r="P2022" i="4"/>
  <c r="Q2022" i="4" s="1"/>
  <c r="R2022" i="4" s="1"/>
  <c r="P2023" i="4"/>
  <c r="Q2023" i="4" s="1"/>
  <c r="R2023" i="4" s="1"/>
  <c r="P2024" i="4"/>
  <c r="Q2024" i="4" s="1"/>
  <c r="R2024" i="4" s="1"/>
  <c r="P2025" i="4"/>
  <c r="Q2025" i="4" s="1"/>
  <c r="R2025" i="4" s="1"/>
  <c r="P2026" i="4"/>
  <c r="Q2026" i="4" s="1"/>
  <c r="R2026" i="4" s="1"/>
  <c r="P2027" i="4"/>
  <c r="Q2027" i="4" s="1"/>
  <c r="R2027" i="4" s="1"/>
  <c r="P2028" i="4"/>
  <c r="Q2028" i="4" s="1"/>
  <c r="R2028" i="4" s="1"/>
  <c r="P2029" i="4"/>
  <c r="Q2029" i="4" s="1"/>
  <c r="R2029" i="4" s="1"/>
  <c r="P2030" i="4"/>
  <c r="Q2030" i="4" s="1"/>
  <c r="R2030" i="4" s="1"/>
  <c r="P2031" i="4"/>
  <c r="Q2031" i="4" s="1"/>
  <c r="R2031" i="4" s="1"/>
  <c r="P2032" i="4"/>
  <c r="Q2032" i="4" s="1"/>
  <c r="R2032" i="4" s="1"/>
  <c r="P2033" i="4"/>
  <c r="Q2033" i="4" s="1"/>
  <c r="R2033" i="4" s="1"/>
  <c r="P2034" i="4"/>
  <c r="Q2034" i="4" s="1"/>
  <c r="R2034" i="4" s="1"/>
  <c r="P2035" i="4"/>
  <c r="Q2035" i="4" s="1"/>
  <c r="R2035" i="4" s="1"/>
  <c r="P2036" i="4"/>
  <c r="Q2036" i="4" s="1"/>
  <c r="R2036" i="4" s="1"/>
  <c r="P2037" i="4"/>
  <c r="Q2037" i="4" s="1"/>
  <c r="R2037" i="4" s="1"/>
  <c r="P2038" i="4"/>
  <c r="Q2038" i="4" s="1"/>
  <c r="R2038" i="4" s="1"/>
  <c r="P2039" i="4"/>
  <c r="Q2039" i="4" s="1"/>
  <c r="R2039" i="4" s="1"/>
  <c r="P2040" i="4"/>
  <c r="Q2040" i="4" s="1"/>
  <c r="R2040" i="4" s="1"/>
  <c r="P2041" i="4"/>
  <c r="Q2041" i="4" s="1"/>
  <c r="R2041" i="4" s="1"/>
  <c r="P2042" i="4"/>
  <c r="Q2042" i="4" s="1"/>
  <c r="R2042" i="4" s="1"/>
  <c r="P2043" i="4"/>
  <c r="Q2043" i="4" s="1"/>
  <c r="R2043" i="4" s="1"/>
  <c r="P2044" i="4"/>
  <c r="Q2044" i="4" s="1"/>
  <c r="R2044" i="4" s="1"/>
  <c r="P2045" i="4"/>
  <c r="Q2045" i="4" s="1"/>
  <c r="R2045" i="4" s="1"/>
  <c r="P2046" i="4"/>
  <c r="Q2046" i="4" s="1"/>
  <c r="R2046" i="4" s="1"/>
  <c r="P2047" i="4"/>
  <c r="Q2047" i="4" s="1"/>
  <c r="R2047" i="4" s="1"/>
  <c r="P2048" i="4"/>
  <c r="Q2048" i="4" s="1"/>
  <c r="R2048" i="4" s="1"/>
  <c r="P2049" i="4"/>
  <c r="Q2049" i="4" s="1"/>
  <c r="R2049" i="4" s="1"/>
  <c r="P2050" i="4"/>
  <c r="Q2050" i="4" s="1"/>
  <c r="R2050" i="4" s="1"/>
  <c r="P2051" i="4"/>
  <c r="Q2051" i="4" s="1"/>
  <c r="R2051" i="4" s="1"/>
  <c r="P2052" i="4"/>
  <c r="Q2052" i="4" s="1"/>
  <c r="R2052" i="4" s="1"/>
  <c r="P2053" i="4"/>
  <c r="Q2053" i="4" s="1"/>
  <c r="R2053" i="4" s="1"/>
  <c r="P2054" i="4"/>
  <c r="Q2054" i="4" s="1"/>
  <c r="R2054" i="4" s="1"/>
  <c r="P2055" i="4"/>
  <c r="Q2055" i="4" s="1"/>
  <c r="R2055" i="4" s="1"/>
  <c r="P2056" i="4"/>
  <c r="Q2056" i="4" s="1"/>
  <c r="R2056" i="4" s="1"/>
  <c r="P2057" i="4"/>
  <c r="Q2057" i="4" s="1"/>
  <c r="R2057" i="4" s="1"/>
  <c r="P2058" i="4"/>
  <c r="Q2058" i="4" s="1"/>
  <c r="R2058" i="4" s="1"/>
  <c r="P2059" i="4"/>
  <c r="Q2059" i="4" s="1"/>
  <c r="R2059" i="4" s="1"/>
  <c r="P2060" i="4"/>
  <c r="Q2060" i="4" s="1"/>
  <c r="R2060" i="4" s="1"/>
  <c r="P2061" i="4"/>
  <c r="Q2061" i="4" s="1"/>
  <c r="R2061" i="4" s="1"/>
  <c r="P2062" i="4"/>
  <c r="Q2062" i="4" s="1"/>
  <c r="R2062" i="4" s="1"/>
  <c r="P2063" i="4"/>
  <c r="Q2063" i="4" s="1"/>
  <c r="R2063" i="4" s="1"/>
  <c r="P2064" i="4"/>
  <c r="Q2064" i="4" s="1"/>
  <c r="R2064" i="4" s="1"/>
  <c r="P2065" i="4"/>
  <c r="Q2065" i="4" s="1"/>
  <c r="R2065" i="4" s="1"/>
  <c r="P2066" i="4"/>
  <c r="Q2066" i="4" s="1"/>
  <c r="R2066" i="4" s="1"/>
  <c r="P2067" i="4"/>
  <c r="Q2067" i="4" s="1"/>
  <c r="R2067" i="4" s="1"/>
  <c r="P2068" i="4"/>
  <c r="Q2068" i="4" s="1"/>
  <c r="R2068" i="4" s="1"/>
  <c r="P2069" i="4"/>
  <c r="Q2069" i="4" s="1"/>
  <c r="R2069" i="4" s="1"/>
  <c r="P2070" i="4"/>
  <c r="Q2070" i="4" s="1"/>
  <c r="R2070" i="4" s="1"/>
  <c r="P2071" i="4"/>
  <c r="Q2071" i="4" s="1"/>
  <c r="R2071" i="4" s="1"/>
  <c r="P2072" i="4"/>
  <c r="Q2072" i="4" s="1"/>
  <c r="R2072" i="4" s="1"/>
  <c r="P2073" i="4"/>
  <c r="Q2073" i="4" s="1"/>
  <c r="R2073" i="4" s="1"/>
  <c r="P2074" i="4"/>
  <c r="Q2074" i="4" s="1"/>
  <c r="R2074" i="4" s="1"/>
  <c r="P2075" i="4"/>
  <c r="Q2075" i="4" s="1"/>
  <c r="R2075" i="4" s="1"/>
  <c r="P2076" i="4"/>
  <c r="Q2076" i="4" s="1"/>
  <c r="R2076" i="4" s="1"/>
  <c r="P2077" i="4"/>
  <c r="Q2077" i="4" s="1"/>
  <c r="R2077" i="4" s="1"/>
  <c r="P2078" i="4"/>
  <c r="Q2078" i="4" s="1"/>
  <c r="R2078" i="4" s="1"/>
  <c r="P2079" i="4"/>
  <c r="Q2079" i="4" s="1"/>
  <c r="R2079" i="4" s="1"/>
  <c r="P2080" i="4"/>
  <c r="Q2080" i="4" s="1"/>
  <c r="R2080" i="4" s="1"/>
  <c r="P2081" i="4"/>
  <c r="Q2081" i="4" s="1"/>
  <c r="R2081" i="4" s="1"/>
  <c r="P2082" i="4"/>
  <c r="Q2082" i="4" s="1"/>
  <c r="R2082" i="4" s="1"/>
  <c r="P2083" i="4"/>
  <c r="Q2083" i="4" s="1"/>
  <c r="R2083" i="4" s="1"/>
  <c r="P2084" i="4"/>
  <c r="Q2084" i="4" s="1"/>
  <c r="R2084" i="4" s="1"/>
  <c r="P2085" i="4"/>
  <c r="Q2085" i="4" s="1"/>
  <c r="R2085" i="4" s="1"/>
  <c r="P2086" i="4"/>
  <c r="Q2086" i="4" s="1"/>
  <c r="R2086" i="4" s="1"/>
  <c r="P2087" i="4"/>
  <c r="Q2087" i="4" s="1"/>
  <c r="R2087" i="4" s="1"/>
  <c r="P2088" i="4"/>
  <c r="Q2088" i="4" s="1"/>
  <c r="R2088" i="4" s="1"/>
  <c r="P2089" i="4"/>
  <c r="Q2089" i="4" s="1"/>
  <c r="R2089" i="4" s="1"/>
  <c r="P2090" i="4"/>
  <c r="Q2090" i="4" s="1"/>
  <c r="R2090" i="4" s="1"/>
  <c r="P2091" i="4"/>
  <c r="Q2091" i="4" s="1"/>
  <c r="R2091" i="4" s="1"/>
  <c r="P2092" i="4"/>
  <c r="Q2092" i="4" s="1"/>
  <c r="R2092" i="4" s="1"/>
  <c r="P2093" i="4"/>
  <c r="Q2093" i="4" s="1"/>
  <c r="R2093" i="4" s="1"/>
  <c r="P2094" i="4"/>
  <c r="Q2094" i="4" s="1"/>
  <c r="R2094" i="4" s="1"/>
  <c r="P2095" i="4"/>
  <c r="Q2095" i="4" s="1"/>
  <c r="R2095" i="4" s="1"/>
  <c r="P2096" i="4"/>
  <c r="Q2096" i="4" s="1"/>
  <c r="R2096" i="4" s="1"/>
  <c r="P2097" i="4"/>
  <c r="Q2097" i="4" s="1"/>
  <c r="R2097" i="4" s="1"/>
  <c r="P2098" i="4"/>
  <c r="Q2098" i="4" s="1"/>
  <c r="R2098" i="4" s="1"/>
  <c r="P2099" i="4"/>
  <c r="Q2099" i="4" s="1"/>
  <c r="R2099" i="4" s="1"/>
  <c r="P2100" i="4"/>
  <c r="Q2100" i="4" s="1"/>
  <c r="R2100" i="4" s="1"/>
  <c r="P2101" i="4"/>
  <c r="Q2101" i="4" s="1"/>
  <c r="R2101" i="4" s="1"/>
  <c r="P2102" i="4"/>
  <c r="Q2102" i="4" s="1"/>
  <c r="R2102" i="4" s="1"/>
  <c r="P2103" i="4"/>
  <c r="Q2103" i="4" s="1"/>
  <c r="R2103" i="4" s="1"/>
  <c r="P2104" i="4"/>
  <c r="Q2104" i="4" s="1"/>
  <c r="R2104" i="4" s="1"/>
  <c r="P2105" i="4"/>
  <c r="Q2105" i="4" s="1"/>
  <c r="R2105" i="4" s="1"/>
  <c r="P2106" i="4"/>
  <c r="Q2106" i="4" s="1"/>
  <c r="R2106" i="4" s="1"/>
  <c r="P2107" i="4"/>
  <c r="Q2107" i="4" s="1"/>
  <c r="R2107" i="4" s="1"/>
  <c r="P2108" i="4"/>
  <c r="Q2108" i="4" s="1"/>
  <c r="R2108" i="4" s="1"/>
  <c r="P2109" i="4"/>
  <c r="Q2109" i="4" s="1"/>
  <c r="R2109" i="4" s="1"/>
  <c r="P2110" i="4"/>
  <c r="Q2110" i="4" s="1"/>
  <c r="R2110" i="4" s="1"/>
  <c r="P2111" i="4"/>
  <c r="Q2111" i="4" s="1"/>
  <c r="R2111" i="4" s="1"/>
  <c r="P2112" i="4"/>
  <c r="Q2112" i="4" s="1"/>
  <c r="R2112" i="4" s="1"/>
  <c r="P2113" i="4"/>
  <c r="Q2113" i="4" s="1"/>
  <c r="R2113" i="4" s="1"/>
  <c r="P2114" i="4"/>
  <c r="Q2114" i="4" s="1"/>
  <c r="R2114" i="4" s="1"/>
  <c r="P2115" i="4"/>
  <c r="Q2115" i="4" s="1"/>
  <c r="R2115" i="4" s="1"/>
  <c r="P2116" i="4"/>
  <c r="Q2116" i="4" s="1"/>
  <c r="R2116" i="4" s="1"/>
  <c r="P2117" i="4"/>
  <c r="Q2117" i="4" s="1"/>
  <c r="R2117" i="4" s="1"/>
  <c r="P2118" i="4"/>
  <c r="Q2118" i="4" s="1"/>
  <c r="R2118" i="4" s="1"/>
  <c r="P2119" i="4"/>
  <c r="Q2119" i="4" s="1"/>
  <c r="R2119" i="4" s="1"/>
  <c r="P2120" i="4"/>
  <c r="Q2120" i="4" s="1"/>
  <c r="R2120" i="4" s="1"/>
  <c r="P2121" i="4"/>
  <c r="Q2121" i="4" s="1"/>
  <c r="R2121" i="4" s="1"/>
  <c r="P2122" i="4"/>
  <c r="Q2122" i="4" s="1"/>
  <c r="R2122" i="4" s="1"/>
  <c r="P2123" i="4"/>
  <c r="Q2123" i="4" s="1"/>
  <c r="R2123" i="4" s="1"/>
  <c r="P2124" i="4"/>
  <c r="Q2124" i="4" s="1"/>
  <c r="R2124" i="4" s="1"/>
  <c r="P2125" i="4"/>
  <c r="Q2125" i="4" s="1"/>
  <c r="R2125" i="4" s="1"/>
  <c r="P2126" i="4"/>
  <c r="Q2126" i="4" s="1"/>
  <c r="R2126" i="4" s="1"/>
  <c r="P2127" i="4"/>
  <c r="Q2127" i="4" s="1"/>
  <c r="R2127" i="4" s="1"/>
  <c r="P2128" i="4"/>
  <c r="Q2128" i="4" s="1"/>
  <c r="R2128" i="4" s="1"/>
  <c r="P2129" i="4"/>
  <c r="Q2129" i="4" s="1"/>
  <c r="R2129" i="4" s="1"/>
  <c r="P2130" i="4"/>
  <c r="Q2130" i="4" s="1"/>
  <c r="R2130" i="4" s="1"/>
  <c r="P2131" i="4"/>
  <c r="Q2131" i="4" s="1"/>
  <c r="R2131" i="4" s="1"/>
  <c r="P2132" i="4"/>
  <c r="Q2132" i="4" s="1"/>
  <c r="R2132" i="4" s="1"/>
  <c r="P2133" i="4"/>
  <c r="Q2133" i="4" s="1"/>
  <c r="R2133" i="4" s="1"/>
  <c r="P2134" i="4"/>
  <c r="Q2134" i="4" s="1"/>
  <c r="R2134" i="4" s="1"/>
  <c r="P2135" i="4"/>
  <c r="Q2135" i="4" s="1"/>
  <c r="R2135" i="4" s="1"/>
  <c r="P2136" i="4"/>
  <c r="Q2136" i="4" s="1"/>
  <c r="R2136" i="4" s="1"/>
  <c r="P2137" i="4"/>
  <c r="Q2137" i="4" s="1"/>
  <c r="R2137" i="4" s="1"/>
  <c r="P2138" i="4"/>
  <c r="Q2138" i="4" s="1"/>
  <c r="R2138" i="4" s="1"/>
  <c r="P2139" i="4"/>
  <c r="Q2139" i="4" s="1"/>
  <c r="R2139" i="4" s="1"/>
  <c r="P2140" i="4"/>
  <c r="Q2140" i="4" s="1"/>
  <c r="R2140" i="4" s="1"/>
  <c r="P2141" i="4"/>
  <c r="Q2141" i="4" s="1"/>
  <c r="R2141" i="4" s="1"/>
  <c r="P2142" i="4"/>
  <c r="Q2142" i="4" s="1"/>
  <c r="R2142" i="4" s="1"/>
  <c r="P2143" i="4"/>
  <c r="Q2143" i="4" s="1"/>
  <c r="R2143" i="4" s="1"/>
  <c r="P2144" i="4"/>
  <c r="Q2144" i="4" s="1"/>
  <c r="R2144" i="4" s="1"/>
  <c r="P2145" i="4"/>
  <c r="Q2145" i="4" s="1"/>
  <c r="R2145" i="4" s="1"/>
  <c r="P2146" i="4"/>
  <c r="Q2146" i="4" s="1"/>
  <c r="R2146" i="4" s="1"/>
  <c r="P2147" i="4"/>
  <c r="Q2147" i="4" s="1"/>
  <c r="R2147" i="4" s="1"/>
  <c r="P2148" i="4"/>
  <c r="Q2148" i="4" s="1"/>
  <c r="R2148" i="4" s="1"/>
  <c r="P2149" i="4"/>
  <c r="Q2149" i="4" s="1"/>
  <c r="R2149" i="4" s="1"/>
  <c r="P2150" i="4"/>
  <c r="Q2150" i="4" s="1"/>
  <c r="R2150" i="4" s="1"/>
  <c r="P2151" i="4"/>
  <c r="Q2151" i="4" s="1"/>
  <c r="R2151" i="4" s="1"/>
  <c r="P2152" i="4"/>
  <c r="Q2152" i="4" s="1"/>
  <c r="R2152" i="4" s="1"/>
  <c r="P2153" i="4"/>
  <c r="Q2153" i="4" s="1"/>
  <c r="R2153" i="4" s="1"/>
  <c r="P2154" i="4"/>
  <c r="Q2154" i="4" s="1"/>
  <c r="R2154" i="4" s="1"/>
  <c r="P2155" i="4"/>
  <c r="Q2155" i="4" s="1"/>
  <c r="R2155" i="4" s="1"/>
  <c r="P2156" i="4"/>
  <c r="Q2156" i="4" s="1"/>
  <c r="R2156" i="4" s="1"/>
  <c r="P2157" i="4"/>
  <c r="Q2157" i="4" s="1"/>
  <c r="R2157" i="4" s="1"/>
  <c r="P2158" i="4"/>
  <c r="Q2158" i="4" s="1"/>
  <c r="R2158" i="4" s="1"/>
  <c r="P2159" i="4"/>
  <c r="Q2159" i="4" s="1"/>
  <c r="R2159" i="4" s="1"/>
  <c r="P2160" i="4"/>
  <c r="Q2160" i="4" s="1"/>
  <c r="R2160" i="4" s="1"/>
  <c r="P2161" i="4"/>
  <c r="Q2161" i="4" s="1"/>
  <c r="R2161" i="4" s="1"/>
  <c r="P2162" i="4"/>
  <c r="Q2162" i="4" s="1"/>
  <c r="R2162" i="4" s="1"/>
  <c r="P2163" i="4"/>
  <c r="Q2163" i="4" s="1"/>
  <c r="R2163" i="4" s="1"/>
  <c r="P2164" i="4"/>
  <c r="Q2164" i="4" s="1"/>
  <c r="R2164" i="4" s="1"/>
  <c r="P2165" i="4"/>
  <c r="Q2165" i="4" s="1"/>
  <c r="R2165" i="4" s="1"/>
  <c r="P2166" i="4"/>
  <c r="Q2166" i="4" s="1"/>
  <c r="R2166" i="4" s="1"/>
  <c r="P2167" i="4"/>
  <c r="Q2167" i="4" s="1"/>
  <c r="R2167" i="4" s="1"/>
  <c r="P2168" i="4"/>
  <c r="Q2168" i="4" s="1"/>
  <c r="R2168" i="4" s="1"/>
  <c r="P2169" i="4"/>
  <c r="Q2169" i="4" s="1"/>
  <c r="R2169" i="4" s="1"/>
  <c r="P2170" i="4"/>
  <c r="Q2170" i="4" s="1"/>
  <c r="R2170" i="4" s="1"/>
  <c r="P2171" i="4"/>
  <c r="Q2171" i="4" s="1"/>
  <c r="R2171" i="4" s="1"/>
  <c r="P2172" i="4"/>
  <c r="Q2172" i="4" s="1"/>
  <c r="R2172" i="4" s="1"/>
  <c r="P2173" i="4"/>
  <c r="Q2173" i="4" s="1"/>
  <c r="R2173" i="4" s="1"/>
  <c r="P2174" i="4"/>
  <c r="Q2174" i="4" s="1"/>
  <c r="R2174" i="4" s="1"/>
  <c r="P2175" i="4"/>
  <c r="Q2175" i="4" s="1"/>
  <c r="R2175" i="4" s="1"/>
  <c r="P2176" i="4"/>
  <c r="Q2176" i="4" s="1"/>
  <c r="R2176" i="4" s="1"/>
  <c r="P2177" i="4"/>
  <c r="Q2177" i="4" s="1"/>
  <c r="R2177" i="4" s="1"/>
  <c r="P2178" i="4"/>
  <c r="Q2178" i="4" s="1"/>
  <c r="R2178" i="4" s="1"/>
  <c r="P2179" i="4"/>
  <c r="Q2179" i="4" s="1"/>
  <c r="R2179" i="4" s="1"/>
  <c r="P2180" i="4"/>
  <c r="Q2180" i="4" s="1"/>
  <c r="R2180" i="4" s="1"/>
  <c r="P2181" i="4"/>
  <c r="Q2181" i="4" s="1"/>
  <c r="R2181" i="4" s="1"/>
  <c r="P2182" i="4"/>
  <c r="Q2182" i="4" s="1"/>
  <c r="R2182" i="4" s="1"/>
  <c r="P2183" i="4"/>
  <c r="Q2183" i="4" s="1"/>
  <c r="R2183" i="4" s="1"/>
  <c r="P2184" i="4"/>
  <c r="Q2184" i="4" s="1"/>
  <c r="R2184" i="4" s="1"/>
  <c r="P2185" i="4"/>
  <c r="Q2185" i="4" s="1"/>
  <c r="R2185" i="4" s="1"/>
  <c r="P2186" i="4"/>
  <c r="Q2186" i="4" s="1"/>
  <c r="R2186" i="4" s="1"/>
  <c r="P2187" i="4"/>
  <c r="Q2187" i="4" s="1"/>
  <c r="R2187" i="4" s="1"/>
  <c r="P2188" i="4"/>
  <c r="Q2188" i="4" s="1"/>
  <c r="R2188" i="4" s="1"/>
  <c r="P2189" i="4"/>
  <c r="Q2189" i="4" s="1"/>
  <c r="R2189" i="4" s="1"/>
  <c r="P2190" i="4"/>
  <c r="Q2190" i="4" s="1"/>
  <c r="R2190" i="4" s="1"/>
  <c r="P2191" i="4"/>
  <c r="Q2191" i="4" s="1"/>
  <c r="R2191" i="4" s="1"/>
  <c r="P2192" i="4"/>
  <c r="Q2192" i="4" s="1"/>
  <c r="R2192" i="4" s="1"/>
  <c r="P2193" i="4"/>
  <c r="Q2193" i="4" s="1"/>
  <c r="R2193" i="4" s="1"/>
  <c r="P2194" i="4"/>
  <c r="Q2194" i="4" s="1"/>
  <c r="R2194" i="4" s="1"/>
  <c r="P2195" i="4"/>
  <c r="Q2195" i="4" s="1"/>
  <c r="R2195" i="4" s="1"/>
  <c r="P2196" i="4"/>
  <c r="Q2196" i="4" s="1"/>
  <c r="R2196" i="4" s="1"/>
  <c r="P2197" i="4"/>
  <c r="Q2197" i="4" s="1"/>
  <c r="R2197" i="4" s="1"/>
  <c r="P2198" i="4"/>
  <c r="Q2198" i="4" s="1"/>
  <c r="R2198" i="4" s="1"/>
  <c r="P2199" i="4"/>
  <c r="Q2199" i="4" s="1"/>
  <c r="R2199" i="4" s="1"/>
  <c r="P2200" i="4"/>
  <c r="Q2200" i="4" s="1"/>
  <c r="R2200" i="4" s="1"/>
  <c r="P2201" i="4"/>
  <c r="Q2201" i="4" s="1"/>
  <c r="R2201" i="4" s="1"/>
  <c r="P2202" i="4"/>
  <c r="Q2202" i="4" s="1"/>
  <c r="R2202" i="4" s="1"/>
  <c r="P2203" i="4"/>
  <c r="Q2203" i="4" s="1"/>
  <c r="R2203" i="4" s="1"/>
  <c r="P2204" i="4"/>
  <c r="Q2204" i="4" s="1"/>
  <c r="R2204" i="4" s="1"/>
  <c r="P2205" i="4"/>
  <c r="Q2205" i="4" s="1"/>
  <c r="R2205" i="4" s="1"/>
  <c r="P2206" i="4"/>
  <c r="Q2206" i="4" s="1"/>
  <c r="R2206" i="4" s="1"/>
  <c r="P2207" i="4"/>
  <c r="Q2207" i="4" s="1"/>
  <c r="R2207" i="4" s="1"/>
  <c r="P2208" i="4"/>
  <c r="Q2208" i="4" s="1"/>
  <c r="R2208" i="4" s="1"/>
  <c r="P2209" i="4"/>
  <c r="Q2209" i="4" s="1"/>
  <c r="R2209" i="4" s="1"/>
  <c r="P2210" i="4"/>
  <c r="Q2210" i="4" s="1"/>
  <c r="R2210" i="4" s="1"/>
  <c r="P2211" i="4"/>
  <c r="Q2211" i="4" s="1"/>
  <c r="R2211" i="4" s="1"/>
  <c r="P2212" i="4"/>
  <c r="Q2212" i="4" s="1"/>
  <c r="R2212" i="4" s="1"/>
  <c r="P2213" i="4"/>
  <c r="Q2213" i="4" s="1"/>
  <c r="R2213" i="4" s="1"/>
  <c r="P2214" i="4"/>
  <c r="Q2214" i="4" s="1"/>
  <c r="R2214" i="4" s="1"/>
  <c r="P2215" i="4"/>
  <c r="Q2215" i="4" s="1"/>
  <c r="R2215" i="4" s="1"/>
  <c r="P2216" i="4"/>
  <c r="Q2216" i="4" s="1"/>
  <c r="R2216" i="4" s="1"/>
  <c r="P2217" i="4"/>
  <c r="Q2217" i="4" s="1"/>
  <c r="R2217" i="4" s="1"/>
  <c r="P2218" i="4"/>
  <c r="Q2218" i="4" s="1"/>
  <c r="R2218" i="4" s="1"/>
  <c r="P2219" i="4"/>
  <c r="Q2219" i="4" s="1"/>
  <c r="R2219" i="4" s="1"/>
  <c r="P2220" i="4"/>
  <c r="Q2220" i="4" s="1"/>
  <c r="R2220" i="4" s="1"/>
  <c r="P2221" i="4"/>
  <c r="Q2221" i="4" s="1"/>
  <c r="R2221" i="4" s="1"/>
  <c r="P2222" i="4"/>
  <c r="Q2222" i="4" s="1"/>
  <c r="R2222" i="4" s="1"/>
  <c r="P2223" i="4"/>
  <c r="Q2223" i="4" s="1"/>
  <c r="R2223" i="4" s="1"/>
  <c r="P2224" i="4"/>
  <c r="Q2224" i="4" s="1"/>
  <c r="R2224" i="4" s="1"/>
  <c r="P2225" i="4"/>
  <c r="Q2225" i="4" s="1"/>
  <c r="R2225" i="4" s="1"/>
  <c r="P2226" i="4"/>
  <c r="Q2226" i="4" s="1"/>
  <c r="R2226" i="4" s="1"/>
  <c r="P2227" i="4"/>
  <c r="Q2227" i="4" s="1"/>
  <c r="R2227" i="4" s="1"/>
  <c r="P2228" i="4"/>
  <c r="Q2228" i="4" s="1"/>
  <c r="R2228" i="4" s="1"/>
  <c r="P2229" i="4"/>
  <c r="Q2229" i="4" s="1"/>
  <c r="R2229" i="4" s="1"/>
  <c r="P2230" i="4"/>
  <c r="Q2230" i="4" s="1"/>
  <c r="R2230" i="4" s="1"/>
  <c r="P2231" i="4"/>
  <c r="Q2231" i="4" s="1"/>
  <c r="R2231" i="4" s="1"/>
  <c r="P2232" i="4"/>
  <c r="Q2232" i="4" s="1"/>
  <c r="R2232" i="4" s="1"/>
  <c r="P2233" i="4"/>
  <c r="Q2233" i="4" s="1"/>
  <c r="R2233" i="4" s="1"/>
  <c r="P2234" i="4"/>
  <c r="Q2234" i="4" s="1"/>
  <c r="R2234" i="4" s="1"/>
  <c r="P2235" i="4"/>
  <c r="Q2235" i="4" s="1"/>
  <c r="R2235" i="4" s="1"/>
  <c r="P2236" i="4"/>
  <c r="Q2236" i="4" s="1"/>
  <c r="R2236" i="4" s="1"/>
  <c r="P2237" i="4"/>
  <c r="Q2237" i="4" s="1"/>
  <c r="R2237" i="4" s="1"/>
  <c r="P2238" i="4"/>
  <c r="Q2238" i="4" s="1"/>
  <c r="R2238" i="4" s="1"/>
  <c r="P2239" i="4"/>
  <c r="Q2239" i="4" s="1"/>
  <c r="R2239" i="4" s="1"/>
  <c r="P2240" i="4"/>
  <c r="Q2240" i="4" s="1"/>
  <c r="R2240" i="4" s="1"/>
  <c r="P2241" i="4"/>
  <c r="Q2241" i="4" s="1"/>
  <c r="R2241" i="4" s="1"/>
  <c r="P2242" i="4"/>
  <c r="Q2242" i="4" s="1"/>
  <c r="R2242" i="4" s="1"/>
  <c r="P2243" i="4"/>
  <c r="Q2243" i="4" s="1"/>
  <c r="R2243" i="4" s="1"/>
  <c r="P2244" i="4"/>
  <c r="Q2244" i="4" s="1"/>
  <c r="R2244" i="4" s="1"/>
  <c r="P2245" i="4"/>
  <c r="Q2245" i="4" s="1"/>
  <c r="R2245" i="4" s="1"/>
  <c r="P2246" i="4"/>
  <c r="Q2246" i="4" s="1"/>
  <c r="R2246" i="4" s="1"/>
  <c r="P2247" i="4"/>
  <c r="Q2247" i="4" s="1"/>
  <c r="R2247" i="4" s="1"/>
  <c r="P2248" i="4"/>
  <c r="Q2248" i="4" s="1"/>
  <c r="R2248" i="4" s="1"/>
  <c r="P2249" i="4"/>
  <c r="Q2249" i="4" s="1"/>
  <c r="R2249" i="4" s="1"/>
  <c r="P2250" i="4"/>
  <c r="Q2250" i="4" s="1"/>
  <c r="R2250" i="4" s="1"/>
  <c r="P2251" i="4"/>
  <c r="Q2251" i="4" s="1"/>
  <c r="R2251" i="4" s="1"/>
  <c r="P2252" i="4"/>
  <c r="Q2252" i="4" s="1"/>
  <c r="R2252" i="4" s="1"/>
  <c r="P2253" i="4"/>
  <c r="Q2253" i="4" s="1"/>
  <c r="R2253" i="4" s="1"/>
  <c r="P2254" i="4"/>
  <c r="Q2254" i="4" s="1"/>
  <c r="R2254" i="4" s="1"/>
  <c r="P2255" i="4"/>
  <c r="Q2255" i="4" s="1"/>
  <c r="R2255" i="4" s="1"/>
  <c r="P2256" i="4"/>
  <c r="Q2256" i="4" s="1"/>
  <c r="R2256" i="4" s="1"/>
  <c r="P2257" i="4"/>
  <c r="Q2257" i="4" s="1"/>
  <c r="R2257" i="4" s="1"/>
  <c r="P2258" i="4"/>
  <c r="Q2258" i="4" s="1"/>
  <c r="R2258" i="4" s="1"/>
  <c r="P2259" i="4"/>
  <c r="Q2259" i="4" s="1"/>
  <c r="R2259" i="4" s="1"/>
  <c r="P2260" i="4"/>
  <c r="Q2260" i="4" s="1"/>
  <c r="R2260" i="4" s="1"/>
  <c r="P2261" i="4"/>
  <c r="Q2261" i="4" s="1"/>
  <c r="R2261" i="4" s="1"/>
  <c r="P2262" i="4"/>
  <c r="Q2262" i="4" s="1"/>
  <c r="R2262" i="4" s="1"/>
  <c r="P2263" i="4"/>
  <c r="Q2263" i="4" s="1"/>
  <c r="R2263" i="4" s="1"/>
  <c r="P2264" i="4"/>
  <c r="Q2264" i="4" s="1"/>
  <c r="R2264" i="4" s="1"/>
  <c r="P2265" i="4"/>
  <c r="Q2265" i="4" s="1"/>
  <c r="R2265" i="4" s="1"/>
  <c r="P2266" i="4"/>
  <c r="Q2266" i="4" s="1"/>
  <c r="R2266" i="4" s="1"/>
  <c r="P2267" i="4"/>
  <c r="Q2267" i="4" s="1"/>
  <c r="R2267" i="4" s="1"/>
  <c r="P2268" i="4"/>
  <c r="Q2268" i="4" s="1"/>
  <c r="R2268" i="4" s="1"/>
  <c r="P2269" i="4"/>
  <c r="Q2269" i="4" s="1"/>
  <c r="R2269" i="4" s="1"/>
  <c r="P2270" i="4"/>
  <c r="Q2270" i="4" s="1"/>
  <c r="R2270" i="4" s="1"/>
  <c r="P2271" i="4"/>
  <c r="Q2271" i="4" s="1"/>
  <c r="R2271" i="4" s="1"/>
  <c r="P2272" i="4"/>
  <c r="Q2272" i="4" s="1"/>
  <c r="R2272" i="4" s="1"/>
  <c r="P2273" i="4"/>
  <c r="Q2273" i="4" s="1"/>
  <c r="R2273" i="4" s="1"/>
  <c r="P2274" i="4"/>
  <c r="Q2274" i="4" s="1"/>
  <c r="R2274" i="4" s="1"/>
  <c r="P2275" i="4"/>
  <c r="Q2275" i="4" s="1"/>
  <c r="R2275" i="4" s="1"/>
  <c r="P2276" i="4"/>
  <c r="Q2276" i="4" s="1"/>
  <c r="R2276" i="4" s="1"/>
  <c r="P2277" i="4"/>
  <c r="Q2277" i="4" s="1"/>
  <c r="R2277" i="4" s="1"/>
  <c r="P2278" i="4"/>
  <c r="Q2278" i="4" s="1"/>
  <c r="R2278" i="4" s="1"/>
  <c r="P2279" i="4"/>
  <c r="Q2279" i="4" s="1"/>
  <c r="R2279" i="4" s="1"/>
  <c r="P2280" i="4"/>
  <c r="Q2280" i="4" s="1"/>
  <c r="R2280" i="4" s="1"/>
  <c r="P2281" i="4"/>
  <c r="Q2281" i="4" s="1"/>
  <c r="R2281" i="4" s="1"/>
  <c r="P2282" i="4"/>
  <c r="Q2282" i="4" s="1"/>
  <c r="R2282" i="4" s="1"/>
  <c r="P2283" i="4"/>
  <c r="Q2283" i="4" s="1"/>
  <c r="R2283" i="4" s="1"/>
  <c r="P2284" i="4"/>
  <c r="Q2284" i="4" s="1"/>
  <c r="R2284" i="4" s="1"/>
  <c r="P2285" i="4"/>
  <c r="Q2285" i="4" s="1"/>
  <c r="R2285" i="4" s="1"/>
  <c r="P2286" i="4"/>
  <c r="Q2286" i="4" s="1"/>
  <c r="R2286" i="4" s="1"/>
  <c r="P2287" i="4"/>
  <c r="Q2287" i="4" s="1"/>
  <c r="R2287" i="4" s="1"/>
  <c r="P2288" i="4"/>
  <c r="Q2288" i="4" s="1"/>
  <c r="R2288" i="4" s="1"/>
  <c r="P2289" i="4"/>
  <c r="Q2289" i="4" s="1"/>
  <c r="R2289" i="4" s="1"/>
  <c r="P2290" i="4"/>
  <c r="Q2290" i="4" s="1"/>
  <c r="R2290" i="4" s="1"/>
  <c r="P2291" i="4"/>
  <c r="Q2291" i="4" s="1"/>
  <c r="R2291" i="4" s="1"/>
  <c r="P2292" i="4"/>
  <c r="Q2292" i="4" s="1"/>
  <c r="R2292" i="4" s="1"/>
  <c r="P2293" i="4"/>
  <c r="Q2293" i="4" s="1"/>
  <c r="R2293" i="4" s="1"/>
  <c r="P2294" i="4"/>
  <c r="Q2294" i="4" s="1"/>
  <c r="R2294" i="4" s="1"/>
  <c r="P2295" i="4"/>
  <c r="Q2295" i="4" s="1"/>
  <c r="R2295" i="4" s="1"/>
  <c r="P2296" i="4"/>
  <c r="Q2296" i="4" s="1"/>
  <c r="R2296" i="4" s="1"/>
  <c r="P2297" i="4"/>
  <c r="Q2297" i="4" s="1"/>
  <c r="R2297" i="4" s="1"/>
  <c r="P2298" i="4"/>
  <c r="Q2298" i="4" s="1"/>
  <c r="R2298" i="4" s="1"/>
  <c r="P2299" i="4"/>
  <c r="Q2299" i="4" s="1"/>
  <c r="R2299" i="4" s="1"/>
  <c r="P2300" i="4"/>
  <c r="Q2300" i="4" s="1"/>
  <c r="R2300" i="4" s="1"/>
  <c r="P2301" i="4"/>
  <c r="Q2301" i="4" s="1"/>
  <c r="R2301" i="4" s="1"/>
  <c r="P2302" i="4"/>
  <c r="Q2302" i="4" s="1"/>
  <c r="R2302" i="4" s="1"/>
  <c r="P2303" i="4"/>
  <c r="Q2303" i="4" s="1"/>
  <c r="R2303" i="4" s="1"/>
  <c r="P2304" i="4"/>
  <c r="Q2304" i="4" s="1"/>
  <c r="R2304" i="4" s="1"/>
  <c r="P2305" i="4"/>
  <c r="Q2305" i="4" s="1"/>
  <c r="R2305" i="4" s="1"/>
  <c r="P2306" i="4"/>
  <c r="Q2306" i="4" s="1"/>
  <c r="R2306" i="4" s="1"/>
  <c r="P2307" i="4"/>
  <c r="Q2307" i="4" s="1"/>
  <c r="R2307" i="4" s="1"/>
  <c r="P2308" i="4"/>
  <c r="Q2308" i="4" s="1"/>
  <c r="R2308" i="4" s="1"/>
  <c r="P2309" i="4"/>
  <c r="Q2309" i="4" s="1"/>
  <c r="R2309" i="4" s="1"/>
  <c r="P2310" i="4"/>
  <c r="Q2310" i="4" s="1"/>
  <c r="R2310" i="4" s="1"/>
  <c r="P2311" i="4"/>
  <c r="Q2311" i="4" s="1"/>
  <c r="R2311" i="4" s="1"/>
  <c r="P2312" i="4"/>
  <c r="Q2312" i="4" s="1"/>
  <c r="R2312" i="4" s="1"/>
  <c r="P2313" i="4"/>
  <c r="Q2313" i="4" s="1"/>
  <c r="R2313" i="4" s="1"/>
  <c r="P2314" i="4"/>
  <c r="Q2314" i="4" s="1"/>
  <c r="R2314" i="4" s="1"/>
  <c r="P2315" i="4"/>
  <c r="Q2315" i="4" s="1"/>
  <c r="R2315" i="4" s="1"/>
  <c r="P2316" i="4"/>
  <c r="Q2316" i="4" s="1"/>
  <c r="R2316" i="4" s="1"/>
  <c r="P2317" i="4"/>
  <c r="Q2317" i="4" s="1"/>
  <c r="R2317" i="4" s="1"/>
  <c r="P2318" i="4"/>
  <c r="Q2318" i="4" s="1"/>
  <c r="R2318" i="4" s="1"/>
  <c r="P2319" i="4"/>
  <c r="Q2319" i="4" s="1"/>
  <c r="R2319" i="4" s="1"/>
  <c r="P2320" i="4"/>
  <c r="Q2320" i="4" s="1"/>
  <c r="R2320" i="4" s="1"/>
  <c r="P2321" i="4"/>
  <c r="Q2321" i="4" s="1"/>
  <c r="R2321" i="4" s="1"/>
  <c r="P2322" i="4"/>
  <c r="Q2322" i="4" s="1"/>
  <c r="R2322" i="4" s="1"/>
  <c r="P2323" i="4"/>
  <c r="Q2323" i="4" s="1"/>
  <c r="R2323" i="4" s="1"/>
  <c r="P2324" i="4"/>
  <c r="Q2324" i="4" s="1"/>
  <c r="R2324" i="4" s="1"/>
  <c r="P2325" i="4"/>
  <c r="Q2325" i="4" s="1"/>
  <c r="R2325" i="4" s="1"/>
  <c r="P2326" i="4"/>
  <c r="Q2326" i="4" s="1"/>
  <c r="R2326" i="4" s="1"/>
  <c r="P2327" i="4"/>
  <c r="Q2327" i="4" s="1"/>
  <c r="R2327" i="4" s="1"/>
  <c r="P2328" i="4"/>
  <c r="Q2328" i="4" s="1"/>
  <c r="R2328" i="4" s="1"/>
  <c r="P2329" i="4"/>
  <c r="Q2329" i="4" s="1"/>
  <c r="R2329" i="4" s="1"/>
  <c r="P2330" i="4"/>
  <c r="Q2330" i="4" s="1"/>
  <c r="R2330" i="4" s="1"/>
  <c r="P2331" i="4"/>
  <c r="Q2331" i="4" s="1"/>
  <c r="R2331" i="4" s="1"/>
  <c r="P2332" i="4"/>
  <c r="Q2332" i="4" s="1"/>
  <c r="R2332" i="4" s="1"/>
  <c r="P2333" i="4"/>
  <c r="Q2333" i="4" s="1"/>
  <c r="R2333" i="4" s="1"/>
  <c r="P2334" i="4"/>
  <c r="Q2334" i="4" s="1"/>
  <c r="R2334" i="4" s="1"/>
  <c r="P2335" i="4"/>
  <c r="Q2335" i="4" s="1"/>
  <c r="R2335" i="4" s="1"/>
  <c r="P2336" i="4"/>
  <c r="Q2336" i="4" s="1"/>
  <c r="R2336" i="4" s="1"/>
  <c r="P2337" i="4"/>
  <c r="Q2337" i="4" s="1"/>
  <c r="R2337" i="4" s="1"/>
  <c r="P2338" i="4"/>
  <c r="Q2338" i="4" s="1"/>
  <c r="R2338" i="4" s="1"/>
  <c r="P2339" i="4"/>
  <c r="Q2339" i="4" s="1"/>
  <c r="R2339" i="4" s="1"/>
  <c r="P2340" i="4"/>
  <c r="Q2340" i="4" s="1"/>
  <c r="R2340" i="4" s="1"/>
  <c r="P2341" i="4"/>
  <c r="Q2341" i="4" s="1"/>
  <c r="R2341" i="4" s="1"/>
  <c r="P2342" i="4"/>
  <c r="Q2342" i="4" s="1"/>
  <c r="R2342" i="4" s="1"/>
  <c r="P2343" i="4"/>
  <c r="Q2343" i="4" s="1"/>
  <c r="R2343" i="4" s="1"/>
  <c r="P2344" i="4"/>
  <c r="Q2344" i="4" s="1"/>
  <c r="R2344" i="4" s="1"/>
  <c r="P2345" i="4"/>
  <c r="Q2345" i="4" s="1"/>
  <c r="R2345" i="4" s="1"/>
  <c r="P2346" i="4"/>
  <c r="Q2346" i="4" s="1"/>
  <c r="R2346" i="4" s="1"/>
  <c r="P2347" i="4"/>
  <c r="Q2347" i="4" s="1"/>
  <c r="R2347" i="4" s="1"/>
  <c r="P2348" i="4"/>
  <c r="Q2348" i="4" s="1"/>
  <c r="R2348" i="4" s="1"/>
  <c r="P2349" i="4"/>
  <c r="Q2349" i="4" s="1"/>
  <c r="R2349" i="4" s="1"/>
  <c r="P2350" i="4"/>
  <c r="Q2350" i="4" s="1"/>
  <c r="R2350" i="4" s="1"/>
  <c r="P2351" i="4"/>
  <c r="Q2351" i="4" s="1"/>
  <c r="R2351" i="4" s="1"/>
  <c r="P2352" i="4"/>
  <c r="Q2352" i="4" s="1"/>
  <c r="R2352" i="4" s="1"/>
  <c r="P2353" i="4"/>
  <c r="Q2353" i="4" s="1"/>
  <c r="R2353" i="4" s="1"/>
  <c r="P2354" i="4"/>
  <c r="Q2354" i="4" s="1"/>
  <c r="R2354" i="4" s="1"/>
  <c r="P2355" i="4"/>
  <c r="Q2355" i="4" s="1"/>
  <c r="R2355" i="4" s="1"/>
  <c r="P2356" i="4"/>
  <c r="Q2356" i="4" s="1"/>
  <c r="R2356" i="4" s="1"/>
  <c r="P2357" i="4"/>
  <c r="Q2357" i="4" s="1"/>
  <c r="R2357" i="4" s="1"/>
  <c r="P2358" i="4"/>
  <c r="Q2358" i="4" s="1"/>
  <c r="R2358" i="4" s="1"/>
  <c r="P2359" i="4"/>
  <c r="Q2359" i="4" s="1"/>
  <c r="R2359" i="4" s="1"/>
  <c r="P2360" i="4"/>
  <c r="Q2360" i="4" s="1"/>
  <c r="R2360" i="4" s="1"/>
  <c r="P2361" i="4"/>
  <c r="Q2361" i="4" s="1"/>
  <c r="R2361" i="4" s="1"/>
  <c r="P2362" i="4"/>
  <c r="Q2362" i="4" s="1"/>
  <c r="R2362" i="4" s="1"/>
  <c r="P2363" i="4"/>
  <c r="Q2363" i="4" s="1"/>
  <c r="R2363" i="4" s="1"/>
  <c r="P2364" i="4"/>
  <c r="Q2364" i="4" s="1"/>
  <c r="R2364" i="4" s="1"/>
  <c r="P2365" i="4"/>
  <c r="Q2365" i="4" s="1"/>
  <c r="R2365" i="4" s="1"/>
  <c r="P2366" i="4"/>
  <c r="Q2366" i="4" s="1"/>
  <c r="R2366" i="4" s="1"/>
  <c r="P2367" i="4"/>
  <c r="Q2367" i="4" s="1"/>
  <c r="R2367" i="4" s="1"/>
  <c r="P2368" i="4"/>
  <c r="Q2368" i="4" s="1"/>
  <c r="R2368" i="4" s="1"/>
  <c r="P2369" i="4"/>
  <c r="Q2369" i="4" s="1"/>
  <c r="R2369" i="4" s="1"/>
  <c r="P2370" i="4"/>
  <c r="Q2370" i="4" s="1"/>
  <c r="R2370" i="4" s="1"/>
  <c r="P2371" i="4"/>
  <c r="Q2371" i="4" s="1"/>
  <c r="R2371" i="4" s="1"/>
  <c r="P2372" i="4"/>
  <c r="Q2372" i="4" s="1"/>
  <c r="R2372" i="4" s="1"/>
  <c r="P2373" i="4"/>
  <c r="Q2373" i="4" s="1"/>
  <c r="R2373" i="4" s="1"/>
  <c r="P2374" i="4"/>
  <c r="Q2374" i="4" s="1"/>
  <c r="R2374" i="4" s="1"/>
  <c r="P2375" i="4"/>
  <c r="Q2375" i="4" s="1"/>
  <c r="R2375" i="4" s="1"/>
  <c r="P2376" i="4"/>
  <c r="Q2376" i="4" s="1"/>
  <c r="R2376" i="4" s="1"/>
  <c r="P2377" i="4"/>
  <c r="Q2377" i="4" s="1"/>
  <c r="R2377" i="4" s="1"/>
  <c r="P2378" i="4"/>
  <c r="Q2378" i="4" s="1"/>
  <c r="R2378" i="4" s="1"/>
  <c r="P2379" i="4"/>
  <c r="Q2379" i="4" s="1"/>
  <c r="R2379" i="4" s="1"/>
  <c r="P2380" i="4"/>
  <c r="Q2380" i="4" s="1"/>
  <c r="R2380" i="4" s="1"/>
  <c r="P2381" i="4"/>
  <c r="Q2381" i="4" s="1"/>
  <c r="R2381" i="4" s="1"/>
  <c r="P2382" i="4"/>
  <c r="Q2382" i="4" s="1"/>
  <c r="R2382" i="4" s="1"/>
  <c r="P2383" i="4"/>
  <c r="Q2383" i="4" s="1"/>
  <c r="R2383" i="4" s="1"/>
  <c r="P2384" i="4"/>
  <c r="Q2384" i="4" s="1"/>
  <c r="R2384" i="4" s="1"/>
  <c r="P2385" i="4"/>
  <c r="Q2385" i="4" s="1"/>
  <c r="R2385" i="4" s="1"/>
  <c r="P2386" i="4"/>
  <c r="Q2386" i="4" s="1"/>
  <c r="R2386" i="4" s="1"/>
  <c r="P2387" i="4"/>
  <c r="Q2387" i="4" s="1"/>
  <c r="R2387" i="4" s="1"/>
  <c r="P2388" i="4"/>
  <c r="Q2388" i="4" s="1"/>
  <c r="R2388" i="4" s="1"/>
  <c r="P2389" i="4"/>
  <c r="Q2389" i="4" s="1"/>
  <c r="R2389" i="4" s="1"/>
  <c r="P2390" i="4"/>
  <c r="Q2390" i="4" s="1"/>
  <c r="R2390" i="4" s="1"/>
  <c r="P2391" i="4"/>
  <c r="Q2391" i="4" s="1"/>
  <c r="R2391" i="4" s="1"/>
  <c r="P2392" i="4"/>
  <c r="Q2392" i="4" s="1"/>
  <c r="R2392" i="4" s="1"/>
  <c r="P2393" i="4"/>
  <c r="Q2393" i="4" s="1"/>
  <c r="R2393" i="4" s="1"/>
  <c r="P2394" i="4"/>
  <c r="Q2394" i="4" s="1"/>
  <c r="R2394" i="4" s="1"/>
  <c r="P2395" i="4"/>
  <c r="Q2395" i="4" s="1"/>
  <c r="R2395" i="4" s="1"/>
  <c r="P2396" i="4"/>
  <c r="Q2396" i="4" s="1"/>
  <c r="R2396" i="4" s="1"/>
  <c r="P2397" i="4"/>
  <c r="Q2397" i="4" s="1"/>
  <c r="R2397" i="4" s="1"/>
  <c r="P2398" i="4"/>
  <c r="Q2398" i="4" s="1"/>
  <c r="R2398" i="4" s="1"/>
  <c r="P2399" i="4"/>
  <c r="Q2399" i="4" s="1"/>
  <c r="R2399" i="4" s="1"/>
  <c r="P2400" i="4"/>
  <c r="Q2400" i="4" s="1"/>
  <c r="R2400" i="4" s="1"/>
  <c r="P2401" i="4"/>
  <c r="Q2401" i="4" s="1"/>
  <c r="R2401" i="4" s="1"/>
  <c r="P2402" i="4"/>
  <c r="Q2402" i="4" s="1"/>
  <c r="R2402" i="4" s="1"/>
  <c r="P2403" i="4"/>
  <c r="Q2403" i="4" s="1"/>
  <c r="R2403" i="4" s="1"/>
  <c r="P2404" i="4"/>
  <c r="Q2404" i="4" s="1"/>
  <c r="R2404" i="4" s="1"/>
  <c r="P2405" i="4"/>
  <c r="Q2405" i="4" s="1"/>
  <c r="R2405" i="4" s="1"/>
  <c r="P2406" i="4"/>
  <c r="Q2406" i="4" s="1"/>
  <c r="R2406" i="4" s="1"/>
  <c r="P2407" i="4"/>
  <c r="Q2407" i="4" s="1"/>
  <c r="R2407" i="4" s="1"/>
  <c r="P2408" i="4"/>
  <c r="Q2408" i="4" s="1"/>
  <c r="R2408" i="4" s="1"/>
  <c r="P2409" i="4"/>
  <c r="Q2409" i="4" s="1"/>
  <c r="R2409" i="4" s="1"/>
  <c r="P2410" i="4"/>
  <c r="Q2410" i="4" s="1"/>
  <c r="R2410" i="4" s="1"/>
  <c r="P2411" i="4"/>
  <c r="Q2411" i="4" s="1"/>
  <c r="R2411" i="4" s="1"/>
  <c r="P2412" i="4"/>
  <c r="Q2412" i="4" s="1"/>
  <c r="R2412" i="4" s="1"/>
  <c r="P2413" i="4"/>
  <c r="Q2413" i="4" s="1"/>
  <c r="R2413" i="4" s="1"/>
  <c r="P2414" i="4"/>
  <c r="Q2414" i="4" s="1"/>
  <c r="R2414" i="4" s="1"/>
  <c r="P2415" i="4"/>
  <c r="Q2415" i="4" s="1"/>
  <c r="R2415" i="4" s="1"/>
  <c r="P2416" i="4"/>
  <c r="Q2416" i="4" s="1"/>
  <c r="R2416" i="4" s="1"/>
  <c r="P2417" i="4"/>
  <c r="Q2417" i="4" s="1"/>
  <c r="R2417" i="4" s="1"/>
  <c r="P2418" i="4"/>
  <c r="Q2418" i="4" s="1"/>
  <c r="R2418" i="4" s="1"/>
  <c r="P2419" i="4"/>
  <c r="Q2419" i="4" s="1"/>
  <c r="R2419" i="4" s="1"/>
  <c r="P2420" i="4"/>
  <c r="Q2420" i="4" s="1"/>
  <c r="R2420" i="4" s="1"/>
  <c r="P2421" i="4"/>
  <c r="Q2421" i="4" s="1"/>
  <c r="R2421" i="4" s="1"/>
  <c r="P2422" i="4"/>
  <c r="Q2422" i="4" s="1"/>
  <c r="R2422" i="4" s="1"/>
  <c r="P2423" i="4"/>
  <c r="Q2423" i="4" s="1"/>
  <c r="R2423" i="4" s="1"/>
  <c r="P2424" i="4"/>
  <c r="Q2424" i="4" s="1"/>
  <c r="R2424" i="4" s="1"/>
  <c r="P2425" i="4"/>
  <c r="Q2425" i="4" s="1"/>
  <c r="R2425" i="4" s="1"/>
  <c r="P2426" i="4"/>
  <c r="Q2426" i="4" s="1"/>
  <c r="R2426" i="4" s="1"/>
  <c r="P2427" i="4"/>
  <c r="Q2427" i="4" s="1"/>
  <c r="R2427" i="4" s="1"/>
  <c r="P2428" i="4"/>
  <c r="Q2428" i="4" s="1"/>
  <c r="R2428" i="4" s="1"/>
  <c r="P2429" i="4"/>
  <c r="Q2429" i="4" s="1"/>
  <c r="R2429" i="4" s="1"/>
  <c r="P2430" i="4"/>
  <c r="Q2430" i="4" s="1"/>
  <c r="R2430" i="4" s="1"/>
  <c r="P2431" i="4"/>
  <c r="Q2431" i="4" s="1"/>
  <c r="R2431" i="4" s="1"/>
  <c r="P2432" i="4"/>
  <c r="Q2432" i="4" s="1"/>
  <c r="R2432" i="4" s="1"/>
  <c r="P2433" i="4"/>
  <c r="Q2433" i="4" s="1"/>
  <c r="R2433" i="4" s="1"/>
  <c r="P2434" i="4"/>
  <c r="Q2434" i="4" s="1"/>
  <c r="R2434" i="4" s="1"/>
  <c r="P2435" i="4"/>
  <c r="Q2435" i="4" s="1"/>
  <c r="R2435" i="4" s="1"/>
  <c r="P2436" i="4"/>
  <c r="Q2436" i="4" s="1"/>
  <c r="R2436" i="4" s="1"/>
  <c r="P2437" i="4"/>
  <c r="Q2437" i="4" s="1"/>
  <c r="R2437" i="4" s="1"/>
  <c r="P2438" i="4"/>
  <c r="Q2438" i="4" s="1"/>
  <c r="R2438" i="4" s="1"/>
  <c r="P2439" i="4"/>
  <c r="Q2439" i="4" s="1"/>
  <c r="R2439" i="4" s="1"/>
  <c r="P2440" i="4"/>
  <c r="Q2440" i="4" s="1"/>
  <c r="R2440" i="4" s="1"/>
  <c r="P2441" i="4"/>
  <c r="Q2441" i="4" s="1"/>
  <c r="R2441" i="4" s="1"/>
  <c r="P2442" i="4"/>
  <c r="Q2442" i="4" s="1"/>
  <c r="R2442" i="4" s="1"/>
  <c r="P2443" i="4"/>
  <c r="Q2443" i="4" s="1"/>
  <c r="R2443" i="4" s="1"/>
  <c r="P2444" i="4"/>
  <c r="Q2444" i="4" s="1"/>
  <c r="R2444" i="4" s="1"/>
  <c r="P2445" i="4"/>
  <c r="Q2445" i="4" s="1"/>
  <c r="R2445" i="4" s="1"/>
  <c r="P2446" i="4"/>
  <c r="Q2446" i="4" s="1"/>
  <c r="R2446" i="4" s="1"/>
  <c r="P2447" i="4"/>
  <c r="Q2447" i="4" s="1"/>
  <c r="R2447" i="4" s="1"/>
  <c r="P2448" i="4"/>
  <c r="Q2448" i="4" s="1"/>
  <c r="R2448" i="4" s="1"/>
  <c r="P2449" i="4"/>
  <c r="Q2449" i="4" s="1"/>
  <c r="R2449" i="4" s="1"/>
  <c r="P2450" i="4"/>
  <c r="Q2450" i="4" s="1"/>
  <c r="R2450" i="4" s="1"/>
  <c r="P2451" i="4"/>
  <c r="Q2451" i="4" s="1"/>
  <c r="R2451" i="4" s="1"/>
  <c r="P2452" i="4"/>
  <c r="Q2452" i="4" s="1"/>
  <c r="R2452" i="4" s="1"/>
  <c r="P2453" i="4"/>
  <c r="Q2453" i="4" s="1"/>
  <c r="R2453" i="4" s="1"/>
  <c r="P2454" i="4"/>
  <c r="Q2454" i="4" s="1"/>
  <c r="R2454" i="4" s="1"/>
  <c r="P2455" i="4"/>
  <c r="Q2455" i="4" s="1"/>
  <c r="R2455" i="4" s="1"/>
  <c r="P2456" i="4"/>
  <c r="Q2456" i="4" s="1"/>
  <c r="R2456" i="4" s="1"/>
  <c r="P2457" i="4"/>
  <c r="Q2457" i="4" s="1"/>
  <c r="R2457" i="4" s="1"/>
  <c r="P2458" i="4"/>
  <c r="Q2458" i="4" s="1"/>
  <c r="R2458" i="4" s="1"/>
  <c r="P2459" i="4"/>
  <c r="Q2459" i="4" s="1"/>
  <c r="R2459" i="4" s="1"/>
  <c r="P2460" i="4"/>
  <c r="Q2460" i="4" s="1"/>
  <c r="R2460" i="4" s="1"/>
  <c r="P2461" i="4"/>
  <c r="Q2461" i="4" s="1"/>
  <c r="R2461" i="4" s="1"/>
  <c r="P2462" i="4"/>
  <c r="Q2462" i="4" s="1"/>
  <c r="R2462" i="4" s="1"/>
  <c r="P2463" i="4"/>
  <c r="Q2463" i="4" s="1"/>
  <c r="R2463" i="4" s="1"/>
  <c r="P2464" i="4"/>
  <c r="Q2464" i="4" s="1"/>
  <c r="R2464" i="4" s="1"/>
  <c r="P2465" i="4"/>
  <c r="Q2465" i="4" s="1"/>
  <c r="R2465" i="4" s="1"/>
  <c r="P2466" i="4"/>
  <c r="Q2466" i="4" s="1"/>
  <c r="R2466" i="4" s="1"/>
  <c r="P2467" i="4"/>
  <c r="Q2467" i="4" s="1"/>
  <c r="R2467" i="4" s="1"/>
  <c r="P2468" i="4"/>
  <c r="Q2468" i="4" s="1"/>
  <c r="R2468" i="4" s="1"/>
  <c r="P2469" i="4"/>
  <c r="Q2469" i="4" s="1"/>
  <c r="R2469" i="4" s="1"/>
  <c r="P2470" i="4"/>
  <c r="Q2470" i="4" s="1"/>
  <c r="R2470" i="4" s="1"/>
  <c r="P2471" i="4"/>
  <c r="Q2471" i="4" s="1"/>
  <c r="R2471" i="4" s="1"/>
  <c r="P2472" i="4"/>
  <c r="Q2472" i="4" s="1"/>
  <c r="R2472" i="4" s="1"/>
  <c r="P2473" i="4"/>
  <c r="Q2473" i="4" s="1"/>
  <c r="R2473" i="4" s="1"/>
  <c r="P2474" i="4"/>
  <c r="Q2474" i="4" s="1"/>
  <c r="R2474" i="4" s="1"/>
  <c r="P2475" i="4"/>
  <c r="Q2475" i="4" s="1"/>
  <c r="R2475" i="4" s="1"/>
  <c r="P2476" i="4"/>
  <c r="Q2476" i="4" s="1"/>
  <c r="R2476" i="4" s="1"/>
  <c r="P2477" i="4"/>
  <c r="Q2477" i="4" s="1"/>
  <c r="R2477" i="4" s="1"/>
  <c r="P2478" i="4"/>
  <c r="Q2478" i="4" s="1"/>
  <c r="R2478" i="4" s="1"/>
  <c r="P2479" i="4"/>
  <c r="Q2479" i="4" s="1"/>
  <c r="R2479" i="4" s="1"/>
  <c r="P2480" i="4"/>
  <c r="Q2480" i="4" s="1"/>
  <c r="R2480" i="4" s="1"/>
  <c r="P2481" i="4"/>
  <c r="Q2481" i="4" s="1"/>
  <c r="R2481" i="4" s="1"/>
  <c r="P2482" i="4"/>
  <c r="Q2482" i="4" s="1"/>
  <c r="R2482" i="4" s="1"/>
  <c r="P2483" i="4"/>
  <c r="Q2483" i="4" s="1"/>
  <c r="R2483" i="4" s="1"/>
  <c r="P2484" i="4"/>
  <c r="Q2484" i="4" s="1"/>
  <c r="R2484" i="4" s="1"/>
  <c r="P2485" i="4"/>
  <c r="Q2485" i="4" s="1"/>
  <c r="R2485" i="4" s="1"/>
  <c r="P2486" i="4"/>
  <c r="Q2486" i="4" s="1"/>
  <c r="R2486" i="4" s="1"/>
  <c r="P2487" i="4"/>
  <c r="Q2487" i="4" s="1"/>
  <c r="R2487" i="4" s="1"/>
  <c r="P2488" i="4"/>
  <c r="Q2488" i="4" s="1"/>
  <c r="R2488" i="4" s="1"/>
  <c r="P2489" i="4"/>
  <c r="Q2489" i="4" s="1"/>
  <c r="R2489" i="4" s="1"/>
  <c r="P2490" i="4"/>
  <c r="Q2490" i="4" s="1"/>
  <c r="R2490" i="4" s="1"/>
  <c r="P2491" i="4"/>
  <c r="Q2491" i="4" s="1"/>
  <c r="R2491" i="4" s="1"/>
  <c r="P2492" i="4"/>
  <c r="Q2492" i="4" s="1"/>
  <c r="R2492" i="4" s="1"/>
  <c r="P2493" i="4"/>
  <c r="Q2493" i="4" s="1"/>
  <c r="R2493" i="4" s="1"/>
  <c r="P2494" i="4"/>
  <c r="Q2494" i="4" s="1"/>
  <c r="R2494" i="4" s="1"/>
  <c r="P2495" i="4"/>
  <c r="Q2495" i="4" s="1"/>
  <c r="R2495" i="4" s="1"/>
  <c r="P2496" i="4"/>
  <c r="Q2496" i="4" s="1"/>
  <c r="R2496" i="4" s="1"/>
  <c r="P2497" i="4"/>
  <c r="Q2497" i="4" s="1"/>
  <c r="R2497" i="4" s="1"/>
  <c r="P2498" i="4"/>
  <c r="Q2498" i="4" s="1"/>
  <c r="R2498" i="4" s="1"/>
  <c r="P2499" i="4"/>
  <c r="Q2499" i="4" s="1"/>
  <c r="R2499" i="4" s="1"/>
  <c r="P2500" i="4"/>
  <c r="Q2500" i="4" s="1"/>
  <c r="R2500" i="4" s="1"/>
  <c r="P2501" i="4"/>
  <c r="Q2501" i="4" s="1"/>
  <c r="R2501" i="4" s="1"/>
  <c r="P2502" i="4"/>
  <c r="Q2502" i="4" s="1"/>
  <c r="R2502" i="4" s="1"/>
  <c r="P2503" i="4"/>
  <c r="Q2503" i="4" s="1"/>
  <c r="R2503" i="4" s="1"/>
  <c r="P2504" i="4"/>
  <c r="Q2504" i="4" s="1"/>
  <c r="R2504" i="4" s="1"/>
  <c r="P2505" i="4"/>
  <c r="Q2505" i="4" s="1"/>
  <c r="R2505" i="4" s="1"/>
  <c r="P2506" i="4"/>
  <c r="Q2506" i="4" s="1"/>
  <c r="R2506" i="4" s="1"/>
  <c r="P2507" i="4"/>
  <c r="Q2507" i="4" s="1"/>
  <c r="R2507" i="4" s="1"/>
  <c r="P2508" i="4"/>
  <c r="Q2508" i="4" s="1"/>
  <c r="R2508" i="4" s="1"/>
  <c r="P2509" i="4"/>
  <c r="Q2509" i="4" s="1"/>
  <c r="R2509" i="4" s="1"/>
  <c r="P2510" i="4"/>
  <c r="Q2510" i="4" s="1"/>
  <c r="R2510" i="4" s="1"/>
  <c r="P2511" i="4"/>
  <c r="Q2511" i="4" s="1"/>
  <c r="R2511" i="4" s="1"/>
  <c r="P2512" i="4"/>
  <c r="Q2512" i="4" s="1"/>
  <c r="R2512" i="4" s="1"/>
  <c r="P2513" i="4"/>
  <c r="Q2513" i="4" s="1"/>
  <c r="R2513" i="4" s="1"/>
  <c r="P2514" i="4"/>
  <c r="Q2514" i="4" s="1"/>
  <c r="R2514" i="4" s="1"/>
  <c r="P2515" i="4"/>
  <c r="Q2515" i="4" s="1"/>
  <c r="R2515" i="4" s="1"/>
  <c r="P2516" i="4"/>
  <c r="Q2516" i="4" s="1"/>
  <c r="R2516" i="4" s="1"/>
  <c r="P2517" i="4"/>
  <c r="Q2517" i="4" s="1"/>
  <c r="R2517" i="4" s="1"/>
  <c r="P2518" i="4"/>
  <c r="Q2518" i="4" s="1"/>
  <c r="R2518" i="4" s="1"/>
  <c r="P2519" i="4"/>
  <c r="Q2519" i="4" s="1"/>
  <c r="R2519" i="4" s="1"/>
  <c r="P2520" i="4"/>
  <c r="Q2520" i="4" s="1"/>
  <c r="R2520" i="4" s="1"/>
  <c r="P2521" i="4"/>
  <c r="Q2521" i="4" s="1"/>
  <c r="R2521" i="4" s="1"/>
  <c r="P2522" i="4"/>
  <c r="Q2522" i="4" s="1"/>
  <c r="R2522" i="4" s="1"/>
  <c r="P2523" i="4"/>
  <c r="Q2523" i="4" s="1"/>
  <c r="R2523" i="4" s="1"/>
  <c r="P2524" i="4"/>
  <c r="Q2524" i="4" s="1"/>
  <c r="R2524" i="4" s="1"/>
  <c r="P2525" i="4"/>
  <c r="Q2525" i="4" s="1"/>
  <c r="R2525" i="4" s="1"/>
  <c r="P2526" i="4"/>
  <c r="Q2526" i="4" s="1"/>
  <c r="R2526" i="4" s="1"/>
  <c r="P2527" i="4"/>
  <c r="Q2527" i="4" s="1"/>
  <c r="R2527" i="4" s="1"/>
  <c r="P2528" i="4"/>
  <c r="Q2528" i="4" s="1"/>
  <c r="R2528" i="4" s="1"/>
  <c r="P2529" i="4"/>
  <c r="Q2529" i="4" s="1"/>
  <c r="R2529" i="4" s="1"/>
  <c r="P2530" i="4"/>
  <c r="Q2530" i="4" s="1"/>
  <c r="R2530" i="4" s="1"/>
  <c r="P2531" i="4"/>
  <c r="Q2531" i="4" s="1"/>
  <c r="R2531" i="4" s="1"/>
  <c r="P2532" i="4"/>
  <c r="Q2532" i="4" s="1"/>
  <c r="R2532" i="4" s="1"/>
  <c r="P2533" i="4"/>
  <c r="Q2533" i="4" s="1"/>
  <c r="R2533" i="4" s="1"/>
  <c r="P2534" i="4"/>
  <c r="Q2534" i="4" s="1"/>
  <c r="R2534" i="4" s="1"/>
  <c r="P2535" i="4"/>
  <c r="Q2535" i="4" s="1"/>
  <c r="R2535" i="4" s="1"/>
  <c r="P2536" i="4"/>
  <c r="Q2536" i="4" s="1"/>
  <c r="R2536" i="4" s="1"/>
  <c r="P2537" i="4"/>
  <c r="Q2537" i="4" s="1"/>
  <c r="R2537" i="4" s="1"/>
  <c r="P2538" i="4"/>
  <c r="Q2538" i="4" s="1"/>
  <c r="R2538" i="4" s="1"/>
  <c r="P2539" i="4"/>
  <c r="Q2539" i="4" s="1"/>
  <c r="R2539" i="4" s="1"/>
  <c r="P2540" i="4"/>
  <c r="Q2540" i="4" s="1"/>
  <c r="R2540" i="4" s="1"/>
  <c r="P2541" i="4"/>
  <c r="Q2541" i="4" s="1"/>
  <c r="R2541" i="4" s="1"/>
  <c r="P2542" i="4"/>
  <c r="Q2542" i="4" s="1"/>
  <c r="R2542" i="4" s="1"/>
  <c r="P2543" i="4"/>
  <c r="Q2543" i="4" s="1"/>
  <c r="R2543" i="4" s="1"/>
  <c r="P2544" i="4"/>
  <c r="Q2544" i="4" s="1"/>
  <c r="R2544" i="4" s="1"/>
  <c r="P2545" i="4"/>
  <c r="Q2545" i="4" s="1"/>
  <c r="R2545" i="4" s="1"/>
  <c r="P2546" i="4"/>
  <c r="Q2546" i="4" s="1"/>
  <c r="R2546" i="4" s="1"/>
  <c r="P2547" i="4"/>
  <c r="Q2547" i="4" s="1"/>
  <c r="R2547" i="4" s="1"/>
  <c r="P2548" i="4"/>
  <c r="Q2548" i="4" s="1"/>
  <c r="R2548" i="4" s="1"/>
  <c r="P2549" i="4"/>
  <c r="Q2549" i="4" s="1"/>
  <c r="R2549" i="4" s="1"/>
  <c r="P2550" i="4"/>
  <c r="Q2550" i="4" s="1"/>
  <c r="R2550" i="4" s="1"/>
  <c r="P2551" i="4"/>
  <c r="Q2551" i="4" s="1"/>
  <c r="R2551" i="4" s="1"/>
  <c r="P2552" i="4"/>
  <c r="Q2552" i="4" s="1"/>
  <c r="R2552" i="4" s="1"/>
  <c r="P2553" i="4"/>
  <c r="Q2553" i="4" s="1"/>
  <c r="R2553" i="4" s="1"/>
  <c r="P2554" i="4"/>
  <c r="Q2554" i="4" s="1"/>
  <c r="R2554" i="4" s="1"/>
  <c r="P2555" i="4"/>
  <c r="Q2555" i="4" s="1"/>
  <c r="R2555" i="4" s="1"/>
  <c r="P2556" i="4"/>
  <c r="Q2556" i="4" s="1"/>
  <c r="R2556" i="4" s="1"/>
  <c r="P2557" i="4"/>
  <c r="Q2557" i="4" s="1"/>
  <c r="R2557" i="4" s="1"/>
  <c r="P2558" i="4"/>
  <c r="Q2558" i="4" s="1"/>
  <c r="R2558" i="4" s="1"/>
  <c r="P2559" i="4"/>
  <c r="Q2559" i="4" s="1"/>
  <c r="R2559" i="4" s="1"/>
  <c r="P2560" i="4"/>
  <c r="Q2560" i="4" s="1"/>
  <c r="R2560" i="4" s="1"/>
  <c r="P2561" i="4"/>
  <c r="Q2561" i="4" s="1"/>
  <c r="R2561" i="4" s="1"/>
  <c r="P2562" i="4"/>
  <c r="Q2562" i="4" s="1"/>
  <c r="R2562" i="4" s="1"/>
  <c r="P2563" i="4"/>
  <c r="Q2563" i="4" s="1"/>
  <c r="R2563" i="4" s="1"/>
  <c r="P2564" i="4"/>
  <c r="Q2564" i="4" s="1"/>
  <c r="R2564" i="4" s="1"/>
  <c r="P2565" i="4"/>
  <c r="Q2565" i="4" s="1"/>
  <c r="R2565" i="4" s="1"/>
  <c r="P2566" i="4"/>
  <c r="Q2566" i="4" s="1"/>
  <c r="R2566" i="4" s="1"/>
  <c r="P2567" i="4"/>
  <c r="Q2567" i="4" s="1"/>
  <c r="R2567" i="4" s="1"/>
  <c r="P2568" i="4"/>
  <c r="Q2568" i="4" s="1"/>
  <c r="R2568" i="4" s="1"/>
  <c r="P2569" i="4"/>
  <c r="Q2569" i="4" s="1"/>
  <c r="R2569" i="4" s="1"/>
  <c r="P2570" i="4"/>
  <c r="Q2570" i="4" s="1"/>
  <c r="R2570" i="4" s="1"/>
  <c r="P2571" i="4"/>
  <c r="Q2571" i="4" s="1"/>
  <c r="R2571" i="4" s="1"/>
  <c r="P2572" i="4"/>
  <c r="Q2572" i="4" s="1"/>
  <c r="R2572" i="4" s="1"/>
  <c r="P2573" i="4"/>
  <c r="Q2573" i="4" s="1"/>
  <c r="R2573" i="4" s="1"/>
  <c r="P2574" i="4"/>
  <c r="Q2574" i="4" s="1"/>
  <c r="R2574" i="4" s="1"/>
  <c r="P2575" i="4"/>
  <c r="Q2575" i="4" s="1"/>
  <c r="R2575" i="4" s="1"/>
  <c r="P2576" i="4"/>
  <c r="Q2576" i="4" s="1"/>
  <c r="R2576" i="4" s="1"/>
  <c r="P2577" i="4"/>
  <c r="Q2577" i="4" s="1"/>
  <c r="R2577" i="4" s="1"/>
  <c r="P2578" i="4"/>
  <c r="Q2578" i="4" s="1"/>
  <c r="R2578" i="4" s="1"/>
  <c r="P2579" i="4"/>
  <c r="Q2579" i="4" s="1"/>
  <c r="R2579" i="4" s="1"/>
  <c r="P2580" i="4"/>
  <c r="Q2580" i="4" s="1"/>
  <c r="R2580" i="4" s="1"/>
  <c r="P2581" i="4"/>
  <c r="Q2581" i="4" s="1"/>
  <c r="R2581" i="4" s="1"/>
  <c r="P2582" i="4"/>
  <c r="Q2582" i="4" s="1"/>
  <c r="R2582" i="4" s="1"/>
  <c r="P2583" i="4"/>
  <c r="Q2583" i="4" s="1"/>
  <c r="R2583" i="4" s="1"/>
  <c r="P2584" i="4"/>
  <c r="Q2584" i="4" s="1"/>
  <c r="R2584" i="4" s="1"/>
  <c r="P2585" i="4"/>
  <c r="Q2585" i="4" s="1"/>
  <c r="R2585" i="4" s="1"/>
  <c r="P2586" i="4"/>
  <c r="Q2586" i="4" s="1"/>
  <c r="R2586" i="4" s="1"/>
  <c r="P2587" i="4"/>
  <c r="Q2587" i="4" s="1"/>
  <c r="R2587" i="4" s="1"/>
  <c r="P2588" i="4"/>
  <c r="Q2588" i="4" s="1"/>
  <c r="R2588" i="4" s="1"/>
  <c r="P2589" i="4"/>
  <c r="Q2589" i="4" s="1"/>
  <c r="R2589" i="4" s="1"/>
  <c r="P2590" i="4"/>
  <c r="Q2590" i="4" s="1"/>
  <c r="R2590" i="4" s="1"/>
  <c r="P2591" i="4"/>
  <c r="Q2591" i="4" s="1"/>
  <c r="R2591" i="4" s="1"/>
  <c r="P2592" i="4"/>
  <c r="Q2592" i="4" s="1"/>
  <c r="R2592" i="4" s="1"/>
  <c r="P2593" i="4"/>
  <c r="Q2593" i="4" s="1"/>
  <c r="R2593" i="4" s="1"/>
  <c r="P2594" i="4"/>
  <c r="Q2594" i="4" s="1"/>
  <c r="R2594" i="4" s="1"/>
  <c r="P2595" i="4"/>
  <c r="Q2595" i="4" s="1"/>
  <c r="R2595" i="4" s="1"/>
  <c r="P2596" i="4"/>
  <c r="Q2596" i="4" s="1"/>
  <c r="R2596" i="4" s="1"/>
  <c r="P2597" i="4"/>
  <c r="Q2597" i="4" s="1"/>
  <c r="R2597" i="4" s="1"/>
  <c r="P2598" i="4"/>
  <c r="Q2598" i="4" s="1"/>
  <c r="R2598" i="4" s="1"/>
  <c r="P2599" i="4"/>
  <c r="Q2599" i="4" s="1"/>
  <c r="R2599" i="4" s="1"/>
  <c r="P2600" i="4"/>
  <c r="Q2600" i="4" s="1"/>
  <c r="R2600" i="4" s="1"/>
  <c r="P2601" i="4"/>
  <c r="Q2601" i="4" s="1"/>
  <c r="R2601" i="4" s="1"/>
  <c r="P2602" i="4"/>
  <c r="Q2602" i="4" s="1"/>
  <c r="R2602" i="4" s="1"/>
  <c r="P2603" i="4"/>
  <c r="Q2603" i="4" s="1"/>
  <c r="R2603" i="4" s="1"/>
  <c r="P2604" i="4"/>
  <c r="Q2604" i="4" s="1"/>
  <c r="R2604" i="4" s="1"/>
  <c r="P2605" i="4"/>
  <c r="Q2605" i="4" s="1"/>
  <c r="R2605" i="4" s="1"/>
  <c r="P2606" i="4"/>
  <c r="Q2606" i="4" s="1"/>
  <c r="R2606" i="4" s="1"/>
  <c r="P2607" i="4"/>
  <c r="Q2607" i="4" s="1"/>
  <c r="R2607" i="4" s="1"/>
  <c r="P2608" i="4"/>
  <c r="Q2608" i="4" s="1"/>
  <c r="R2608" i="4" s="1"/>
  <c r="P2609" i="4"/>
  <c r="Q2609" i="4" s="1"/>
  <c r="R2609" i="4" s="1"/>
  <c r="P2610" i="4"/>
  <c r="Q2610" i="4" s="1"/>
  <c r="R2610" i="4" s="1"/>
  <c r="P2611" i="4"/>
  <c r="Q2611" i="4" s="1"/>
  <c r="R2611" i="4" s="1"/>
  <c r="P2612" i="4"/>
  <c r="Q2612" i="4" s="1"/>
  <c r="R2612" i="4" s="1"/>
  <c r="P2613" i="4"/>
  <c r="Q2613" i="4" s="1"/>
  <c r="R2613" i="4" s="1"/>
  <c r="P2614" i="4"/>
  <c r="Q2614" i="4" s="1"/>
  <c r="R2614" i="4" s="1"/>
  <c r="P2615" i="4"/>
  <c r="Q2615" i="4" s="1"/>
  <c r="R2615" i="4" s="1"/>
  <c r="P2616" i="4"/>
  <c r="Q2616" i="4" s="1"/>
  <c r="R2616" i="4" s="1"/>
  <c r="P2617" i="4"/>
  <c r="Q2617" i="4" s="1"/>
  <c r="R2617" i="4" s="1"/>
  <c r="P2618" i="4"/>
  <c r="Q2618" i="4" s="1"/>
  <c r="R2618" i="4" s="1"/>
  <c r="P2619" i="4"/>
  <c r="Q2619" i="4" s="1"/>
  <c r="R2619" i="4" s="1"/>
  <c r="P2620" i="4"/>
  <c r="Q2620" i="4" s="1"/>
  <c r="R2620" i="4" s="1"/>
  <c r="P2621" i="4"/>
  <c r="Q2621" i="4" s="1"/>
  <c r="R2621" i="4" s="1"/>
  <c r="P2622" i="4"/>
  <c r="Q2622" i="4" s="1"/>
  <c r="R2622" i="4" s="1"/>
  <c r="P2623" i="4"/>
  <c r="Q2623" i="4" s="1"/>
  <c r="R2623" i="4" s="1"/>
  <c r="P2624" i="4"/>
  <c r="Q2624" i="4" s="1"/>
  <c r="R2624" i="4" s="1"/>
  <c r="P2625" i="4"/>
  <c r="Q2625" i="4" s="1"/>
  <c r="R2625" i="4" s="1"/>
  <c r="P2626" i="4"/>
  <c r="Q2626" i="4" s="1"/>
  <c r="R2626" i="4" s="1"/>
  <c r="P2627" i="4"/>
  <c r="Q2627" i="4" s="1"/>
  <c r="R2627" i="4" s="1"/>
  <c r="P2628" i="4"/>
  <c r="Q2628" i="4" s="1"/>
  <c r="R2628" i="4" s="1"/>
  <c r="P2629" i="4"/>
  <c r="Q2629" i="4" s="1"/>
  <c r="R2629" i="4" s="1"/>
  <c r="P2630" i="4"/>
  <c r="Q2630" i="4" s="1"/>
  <c r="R2630" i="4" s="1"/>
  <c r="P2631" i="4"/>
  <c r="Q2631" i="4" s="1"/>
  <c r="R2631" i="4" s="1"/>
  <c r="P2632" i="4"/>
  <c r="Q2632" i="4" s="1"/>
  <c r="R2632" i="4" s="1"/>
  <c r="P2633" i="4"/>
  <c r="Q2633" i="4" s="1"/>
  <c r="R2633" i="4" s="1"/>
  <c r="P2634" i="4"/>
  <c r="Q2634" i="4" s="1"/>
  <c r="R2634" i="4" s="1"/>
  <c r="P2635" i="4"/>
  <c r="Q2635" i="4" s="1"/>
  <c r="R2635" i="4" s="1"/>
  <c r="P2636" i="4"/>
  <c r="Q2636" i="4" s="1"/>
  <c r="R2636" i="4" s="1"/>
  <c r="P2637" i="4"/>
  <c r="Q2637" i="4" s="1"/>
  <c r="R2637" i="4" s="1"/>
  <c r="P2638" i="4"/>
  <c r="Q2638" i="4" s="1"/>
  <c r="R2638" i="4" s="1"/>
  <c r="P2639" i="4"/>
  <c r="Q2639" i="4" s="1"/>
  <c r="R2639" i="4" s="1"/>
  <c r="P2640" i="4"/>
  <c r="Q2640" i="4" s="1"/>
  <c r="R2640" i="4" s="1"/>
  <c r="P2641" i="4"/>
  <c r="Q2641" i="4" s="1"/>
  <c r="R2641" i="4" s="1"/>
  <c r="P2642" i="4"/>
  <c r="Q2642" i="4" s="1"/>
  <c r="R2642" i="4" s="1"/>
  <c r="P2643" i="4"/>
  <c r="Q2643" i="4" s="1"/>
  <c r="R2643" i="4" s="1"/>
  <c r="P2644" i="4"/>
  <c r="Q2644" i="4" s="1"/>
  <c r="R2644" i="4" s="1"/>
  <c r="P2645" i="4"/>
  <c r="Q2645" i="4" s="1"/>
  <c r="R2645" i="4" s="1"/>
  <c r="P2646" i="4"/>
  <c r="Q2646" i="4" s="1"/>
  <c r="R2646" i="4" s="1"/>
  <c r="P2647" i="4"/>
  <c r="Q2647" i="4" s="1"/>
  <c r="R2647" i="4" s="1"/>
  <c r="P2648" i="4"/>
  <c r="Q2648" i="4" s="1"/>
  <c r="R2648" i="4" s="1"/>
  <c r="P2649" i="4"/>
  <c r="Q2649" i="4" s="1"/>
  <c r="R2649" i="4" s="1"/>
  <c r="P2650" i="4"/>
  <c r="Q2650" i="4" s="1"/>
  <c r="R2650" i="4" s="1"/>
  <c r="P2651" i="4"/>
  <c r="Q2651" i="4" s="1"/>
  <c r="R2651" i="4" s="1"/>
  <c r="P2652" i="4"/>
  <c r="Q2652" i="4" s="1"/>
  <c r="R2652" i="4" s="1"/>
  <c r="P2653" i="4"/>
  <c r="Q2653" i="4" s="1"/>
  <c r="R2653" i="4" s="1"/>
  <c r="P2654" i="4"/>
  <c r="Q2654" i="4" s="1"/>
  <c r="R2654" i="4" s="1"/>
  <c r="P2655" i="4"/>
  <c r="Q2655" i="4" s="1"/>
  <c r="R2655" i="4" s="1"/>
  <c r="P2656" i="4"/>
  <c r="Q2656" i="4" s="1"/>
  <c r="R2656" i="4" s="1"/>
  <c r="P2657" i="4"/>
  <c r="Q2657" i="4" s="1"/>
  <c r="R2657" i="4" s="1"/>
  <c r="P2658" i="4"/>
  <c r="Q2658" i="4" s="1"/>
  <c r="R2658" i="4" s="1"/>
  <c r="P2659" i="4"/>
  <c r="Q2659" i="4" s="1"/>
  <c r="R2659" i="4" s="1"/>
  <c r="P2660" i="4"/>
  <c r="Q2660" i="4" s="1"/>
  <c r="R2660" i="4" s="1"/>
  <c r="P2661" i="4"/>
  <c r="Q2661" i="4" s="1"/>
  <c r="R2661" i="4" s="1"/>
  <c r="P2662" i="4"/>
  <c r="Q2662" i="4" s="1"/>
  <c r="R2662" i="4" s="1"/>
  <c r="P2663" i="4"/>
  <c r="Q2663" i="4" s="1"/>
  <c r="R2663" i="4" s="1"/>
  <c r="P2664" i="4"/>
  <c r="Q2664" i="4" s="1"/>
  <c r="R2664" i="4" s="1"/>
  <c r="P2665" i="4"/>
  <c r="Q2665" i="4" s="1"/>
  <c r="R2665" i="4" s="1"/>
  <c r="P2666" i="4"/>
  <c r="Q2666" i="4" s="1"/>
  <c r="R2666" i="4" s="1"/>
  <c r="P2667" i="4"/>
  <c r="Q2667" i="4" s="1"/>
  <c r="R2667" i="4" s="1"/>
  <c r="P2668" i="4"/>
  <c r="Q2668" i="4" s="1"/>
  <c r="R2668" i="4" s="1"/>
  <c r="P2669" i="4"/>
  <c r="Q2669" i="4" s="1"/>
  <c r="R2669" i="4" s="1"/>
  <c r="P2670" i="4"/>
  <c r="Q2670" i="4" s="1"/>
  <c r="R2670" i="4" s="1"/>
  <c r="P2671" i="4"/>
  <c r="Q2671" i="4" s="1"/>
  <c r="R2671" i="4" s="1"/>
  <c r="P2672" i="4"/>
  <c r="Q2672" i="4" s="1"/>
  <c r="R2672" i="4" s="1"/>
  <c r="P2673" i="4"/>
  <c r="Q2673" i="4" s="1"/>
  <c r="R2673" i="4" s="1"/>
  <c r="P2674" i="4"/>
  <c r="Q2674" i="4" s="1"/>
  <c r="R2674" i="4" s="1"/>
  <c r="P2675" i="4"/>
  <c r="Q2675" i="4" s="1"/>
  <c r="R2675" i="4" s="1"/>
  <c r="P2676" i="4"/>
  <c r="Q2676" i="4" s="1"/>
  <c r="R2676" i="4" s="1"/>
  <c r="P2677" i="4"/>
  <c r="Q2677" i="4" s="1"/>
  <c r="R2677" i="4" s="1"/>
  <c r="P2678" i="4"/>
  <c r="Q2678" i="4" s="1"/>
  <c r="R2678" i="4" s="1"/>
  <c r="P2679" i="4"/>
  <c r="Q2679" i="4" s="1"/>
  <c r="R2679" i="4" s="1"/>
  <c r="P2680" i="4"/>
  <c r="Q2680" i="4" s="1"/>
  <c r="R2680" i="4" s="1"/>
  <c r="P2681" i="4"/>
  <c r="Q2681" i="4" s="1"/>
  <c r="R2681" i="4" s="1"/>
  <c r="P2682" i="4"/>
  <c r="Q2682" i="4" s="1"/>
  <c r="R2682" i="4" s="1"/>
  <c r="P2683" i="4"/>
  <c r="Q2683" i="4" s="1"/>
  <c r="R2683" i="4" s="1"/>
  <c r="P2684" i="4"/>
  <c r="Q2684" i="4" s="1"/>
  <c r="R2684" i="4" s="1"/>
  <c r="P2685" i="4"/>
  <c r="Q2685" i="4" s="1"/>
  <c r="R2685" i="4" s="1"/>
  <c r="P2686" i="4"/>
  <c r="Q2686" i="4" s="1"/>
  <c r="R2686" i="4" s="1"/>
  <c r="P2687" i="4"/>
  <c r="Q2687" i="4" s="1"/>
  <c r="R2687" i="4" s="1"/>
  <c r="P2688" i="4"/>
  <c r="Q2688" i="4" s="1"/>
  <c r="R2688" i="4" s="1"/>
  <c r="P2689" i="4"/>
  <c r="Q2689" i="4" s="1"/>
  <c r="R2689" i="4" s="1"/>
  <c r="P2690" i="4"/>
  <c r="Q2690" i="4" s="1"/>
  <c r="R2690" i="4" s="1"/>
  <c r="P2691" i="4"/>
  <c r="Q2691" i="4" s="1"/>
  <c r="R2691" i="4" s="1"/>
  <c r="P2692" i="4"/>
  <c r="Q2692" i="4" s="1"/>
  <c r="R2692" i="4" s="1"/>
  <c r="P2693" i="4"/>
  <c r="Q2693" i="4" s="1"/>
  <c r="R2693" i="4" s="1"/>
  <c r="P2694" i="4"/>
  <c r="Q2694" i="4" s="1"/>
  <c r="R2694" i="4" s="1"/>
  <c r="P2695" i="4"/>
  <c r="Q2695" i="4" s="1"/>
  <c r="R2695" i="4" s="1"/>
  <c r="P2696" i="4"/>
  <c r="Q2696" i="4" s="1"/>
  <c r="R2696" i="4" s="1"/>
  <c r="P2697" i="4"/>
  <c r="Q2697" i="4" s="1"/>
  <c r="R2697" i="4" s="1"/>
  <c r="P2698" i="4"/>
  <c r="Q2698" i="4" s="1"/>
  <c r="R2698" i="4" s="1"/>
  <c r="P2699" i="4"/>
  <c r="Q2699" i="4" s="1"/>
  <c r="R2699" i="4" s="1"/>
  <c r="P2700" i="4"/>
  <c r="Q2700" i="4" s="1"/>
  <c r="R2700" i="4" s="1"/>
  <c r="P2701" i="4"/>
  <c r="Q2701" i="4" s="1"/>
  <c r="R2701" i="4" s="1"/>
  <c r="P2702" i="4"/>
  <c r="Q2702" i="4" s="1"/>
  <c r="R2702" i="4" s="1"/>
  <c r="P2703" i="4"/>
  <c r="Q2703" i="4" s="1"/>
  <c r="R2703" i="4" s="1"/>
  <c r="P2704" i="4"/>
  <c r="Q2704" i="4" s="1"/>
  <c r="R2704" i="4" s="1"/>
  <c r="P2705" i="4"/>
  <c r="Q2705" i="4" s="1"/>
  <c r="R2705" i="4" s="1"/>
  <c r="P2706" i="4"/>
  <c r="Q2706" i="4" s="1"/>
  <c r="R2706" i="4" s="1"/>
  <c r="P2707" i="4"/>
  <c r="Q2707" i="4" s="1"/>
  <c r="R2707" i="4" s="1"/>
  <c r="P2708" i="4"/>
  <c r="Q2708" i="4" s="1"/>
  <c r="R2708" i="4" s="1"/>
  <c r="P2709" i="4"/>
  <c r="Q2709" i="4" s="1"/>
  <c r="R2709" i="4" s="1"/>
  <c r="P2710" i="4"/>
  <c r="Q2710" i="4" s="1"/>
  <c r="R2710" i="4" s="1"/>
  <c r="P2711" i="4"/>
  <c r="Q2711" i="4" s="1"/>
  <c r="R2711" i="4" s="1"/>
  <c r="P2712" i="4"/>
  <c r="Q2712" i="4" s="1"/>
  <c r="R2712" i="4" s="1"/>
  <c r="P2713" i="4"/>
  <c r="Q2713" i="4" s="1"/>
  <c r="R2713" i="4" s="1"/>
  <c r="P2714" i="4"/>
  <c r="Q2714" i="4" s="1"/>
  <c r="R2714" i="4" s="1"/>
  <c r="P2715" i="4"/>
  <c r="Q2715" i="4" s="1"/>
  <c r="R2715" i="4" s="1"/>
  <c r="P2716" i="4"/>
  <c r="Q2716" i="4" s="1"/>
  <c r="R2716" i="4" s="1"/>
  <c r="P2717" i="4"/>
  <c r="Q2717" i="4" s="1"/>
  <c r="R2717" i="4" s="1"/>
  <c r="P2718" i="4"/>
  <c r="Q2718" i="4" s="1"/>
  <c r="R2718" i="4" s="1"/>
  <c r="P2719" i="4"/>
  <c r="Q2719" i="4" s="1"/>
  <c r="R2719" i="4" s="1"/>
  <c r="P2720" i="4"/>
  <c r="Q2720" i="4" s="1"/>
  <c r="R2720" i="4" s="1"/>
  <c r="P2721" i="4"/>
  <c r="Q2721" i="4" s="1"/>
  <c r="R2721" i="4" s="1"/>
  <c r="P2722" i="4"/>
  <c r="Q2722" i="4" s="1"/>
  <c r="R2722" i="4" s="1"/>
  <c r="P2723" i="4"/>
  <c r="Q2723" i="4" s="1"/>
  <c r="R2723" i="4" s="1"/>
  <c r="P2724" i="4"/>
  <c r="Q2724" i="4" s="1"/>
  <c r="R2724" i="4" s="1"/>
  <c r="P2725" i="4"/>
  <c r="Q2725" i="4" s="1"/>
  <c r="R2725" i="4" s="1"/>
  <c r="P2726" i="4"/>
  <c r="Q2726" i="4" s="1"/>
  <c r="R2726" i="4" s="1"/>
  <c r="P2727" i="4"/>
  <c r="Q2727" i="4" s="1"/>
  <c r="R2727" i="4" s="1"/>
  <c r="P2728" i="4"/>
  <c r="Q2728" i="4" s="1"/>
  <c r="R2728" i="4" s="1"/>
  <c r="P2729" i="4"/>
  <c r="Q2729" i="4" s="1"/>
  <c r="R2729" i="4" s="1"/>
  <c r="P2730" i="4"/>
  <c r="Q2730" i="4" s="1"/>
  <c r="R2730" i="4" s="1"/>
  <c r="P2731" i="4"/>
  <c r="Q2731" i="4" s="1"/>
  <c r="R2731" i="4" s="1"/>
  <c r="P2732" i="4"/>
  <c r="Q2732" i="4" s="1"/>
  <c r="R2732" i="4" s="1"/>
  <c r="P2733" i="4"/>
  <c r="Q2733" i="4" s="1"/>
  <c r="R2733" i="4" s="1"/>
  <c r="P2734" i="4"/>
  <c r="Q2734" i="4" s="1"/>
  <c r="R2734" i="4" s="1"/>
  <c r="P2735" i="4"/>
  <c r="Q2735" i="4" s="1"/>
  <c r="R2735" i="4" s="1"/>
  <c r="P2736" i="4"/>
  <c r="Q2736" i="4" s="1"/>
  <c r="R2736" i="4" s="1"/>
  <c r="P2737" i="4"/>
  <c r="Q2737" i="4" s="1"/>
  <c r="R2737" i="4" s="1"/>
  <c r="P2738" i="4"/>
  <c r="Q2738" i="4" s="1"/>
  <c r="R2738" i="4" s="1"/>
  <c r="P2739" i="4"/>
  <c r="Q2739" i="4" s="1"/>
  <c r="R2739" i="4" s="1"/>
  <c r="P2740" i="4"/>
  <c r="Q2740" i="4" s="1"/>
  <c r="R2740" i="4" s="1"/>
  <c r="P2741" i="4"/>
  <c r="Q2741" i="4" s="1"/>
  <c r="R2741" i="4" s="1"/>
  <c r="P2742" i="4"/>
  <c r="Q2742" i="4" s="1"/>
  <c r="R2742" i="4" s="1"/>
  <c r="P2743" i="4"/>
  <c r="Q2743" i="4" s="1"/>
  <c r="R2743" i="4" s="1"/>
  <c r="P2744" i="4"/>
  <c r="Q2744" i="4" s="1"/>
  <c r="R2744" i="4" s="1"/>
  <c r="P2745" i="4"/>
  <c r="Q2745" i="4" s="1"/>
  <c r="R2745" i="4" s="1"/>
  <c r="P2746" i="4"/>
  <c r="Q2746" i="4" s="1"/>
  <c r="R2746" i="4" s="1"/>
  <c r="P2747" i="4"/>
  <c r="Q2747" i="4" s="1"/>
  <c r="R2747" i="4" s="1"/>
  <c r="P2748" i="4"/>
  <c r="Q2748" i="4" s="1"/>
  <c r="R2748" i="4" s="1"/>
  <c r="P2749" i="4"/>
  <c r="Q2749" i="4" s="1"/>
  <c r="R2749" i="4" s="1"/>
  <c r="P2750" i="4"/>
  <c r="Q2750" i="4" s="1"/>
  <c r="R2750" i="4" s="1"/>
  <c r="P2751" i="4"/>
  <c r="Q2751" i="4" s="1"/>
  <c r="R2751" i="4" s="1"/>
  <c r="P2752" i="4"/>
  <c r="Q2752" i="4" s="1"/>
  <c r="R2752" i="4" s="1"/>
  <c r="P2753" i="4"/>
  <c r="Q2753" i="4" s="1"/>
  <c r="R2753" i="4" s="1"/>
  <c r="P2754" i="4"/>
  <c r="Q2754" i="4" s="1"/>
  <c r="R2754" i="4" s="1"/>
  <c r="P2755" i="4"/>
  <c r="Q2755" i="4" s="1"/>
  <c r="R2755" i="4" s="1"/>
  <c r="P2756" i="4"/>
  <c r="Q2756" i="4" s="1"/>
  <c r="R2756" i="4" s="1"/>
  <c r="P2757" i="4"/>
  <c r="Q2757" i="4" s="1"/>
  <c r="R2757" i="4" s="1"/>
  <c r="P2758" i="4"/>
  <c r="Q2758" i="4" s="1"/>
  <c r="R2758" i="4" s="1"/>
  <c r="P2759" i="4"/>
  <c r="Q2759" i="4" s="1"/>
  <c r="R2759" i="4" s="1"/>
  <c r="P2760" i="4"/>
  <c r="Q2760" i="4" s="1"/>
  <c r="R2760" i="4" s="1"/>
  <c r="P2761" i="4"/>
  <c r="Q2761" i="4" s="1"/>
  <c r="R2761" i="4" s="1"/>
  <c r="P2762" i="4"/>
  <c r="Q2762" i="4" s="1"/>
  <c r="R2762" i="4" s="1"/>
  <c r="P2763" i="4"/>
  <c r="Q2763" i="4" s="1"/>
  <c r="R2763" i="4" s="1"/>
  <c r="P2764" i="4"/>
  <c r="Q2764" i="4" s="1"/>
  <c r="R2764" i="4" s="1"/>
  <c r="P2765" i="4"/>
  <c r="Q2765" i="4" s="1"/>
  <c r="R2765" i="4" s="1"/>
  <c r="P2766" i="4"/>
  <c r="Q2766" i="4" s="1"/>
  <c r="R2766" i="4" s="1"/>
  <c r="P2767" i="4"/>
  <c r="Q2767" i="4" s="1"/>
  <c r="R2767" i="4" s="1"/>
  <c r="P2768" i="4"/>
  <c r="Q2768" i="4" s="1"/>
  <c r="R2768" i="4" s="1"/>
  <c r="P2769" i="4"/>
  <c r="Q2769" i="4" s="1"/>
  <c r="R2769" i="4" s="1"/>
  <c r="P2770" i="4"/>
  <c r="Q2770" i="4" s="1"/>
  <c r="R2770" i="4" s="1"/>
  <c r="P2771" i="4"/>
  <c r="Q2771" i="4" s="1"/>
  <c r="R2771" i="4" s="1"/>
  <c r="P2772" i="4"/>
  <c r="Q2772" i="4" s="1"/>
  <c r="R2772" i="4" s="1"/>
  <c r="P2773" i="4"/>
  <c r="Q2773" i="4" s="1"/>
  <c r="R2773" i="4" s="1"/>
  <c r="P2774" i="4"/>
  <c r="Q2774" i="4" s="1"/>
  <c r="R2774" i="4" s="1"/>
  <c r="P2775" i="4"/>
  <c r="Q2775" i="4" s="1"/>
  <c r="R2775" i="4" s="1"/>
  <c r="P2776" i="4"/>
  <c r="Q2776" i="4" s="1"/>
  <c r="R2776" i="4" s="1"/>
  <c r="P2777" i="4"/>
  <c r="Q2777" i="4" s="1"/>
  <c r="R2777" i="4" s="1"/>
  <c r="P2778" i="4"/>
  <c r="Q2778" i="4" s="1"/>
  <c r="R2778" i="4" s="1"/>
  <c r="P2779" i="4"/>
  <c r="Q2779" i="4" s="1"/>
  <c r="R2779" i="4" s="1"/>
  <c r="P2780" i="4"/>
  <c r="Q2780" i="4" s="1"/>
  <c r="R2780" i="4" s="1"/>
  <c r="P2781" i="4"/>
  <c r="Q2781" i="4" s="1"/>
  <c r="R2781" i="4" s="1"/>
  <c r="P2782" i="4"/>
  <c r="Q2782" i="4" s="1"/>
  <c r="R2782" i="4" s="1"/>
  <c r="P2783" i="4"/>
  <c r="Q2783" i="4" s="1"/>
  <c r="R2783" i="4" s="1"/>
  <c r="P2784" i="4"/>
  <c r="Q2784" i="4" s="1"/>
  <c r="R2784" i="4" s="1"/>
  <c r="P2785" i="4"/>
  <c r="Q2785" i="4" s="1"/>
  <c r="R2785" i="4" s="1"/>
  <c r="P2786" i="4"/>
  <c r="Q2786" i="4" s="1"/>
  <c r="R2786" i="4" s="1"/>
  <c r="P2787" i="4"/>
  <c r="Q2787" i="4" s="1"/>
  <c r="R2787" i="4" s="1"/>
  <c r="P2788" i="4"/>
  <c r="Q2788" i="4" s="1"/>
  <c r="R2788" i="4" s="1"/>
  <c r="P2789" i="4"/>
  <c r="Q2789" i="4" s="1"/>
  <c r="R2789" i="4" s="1"/>
  <c r="P2790" i="4"/>
  <c r="Q2790" i="4" s="1"/>
  <c r="R2790" i="4" s="1"/>
  <c r="P2791" i="4"/>
  <c r="Q2791" i="4" s="1"/>
  <c r="R2791" i="4" s="1"/>
  <c r="P2792" i="4"/>
  <c r="Q2792" i="4" s="1"/>
  <c r="R2792" i="4" s="1"/>
  <c r="P2793" i="4"/>
  <c r="Q2793" i="4" s="1"/>
  <c r="R2793" i="4" s="1"/>
  <c r="P2794" i="4"/>
  <c r="Q2794" i="4" s="1"/>
  <c r="R2794" i="4" s="1"/>
  <c r="P2795" i="4"/>
  <c r="Q2795" i="4" s="1"/>
  <c r="R2795" i="4" s="1"/>
  <c r="P2796" i="4"/>
  <c r="Q2796" i="4" s="1"/>
  <c r="R2796" i="4" s="1"/>
  <c r="P2797" i="4"/>
  <c r="Q2797" i="4" s="1"/>
  <c r="R2797" i="4" s="1"/>
  <c r="P2798" i="4"/>
  <c r="Q2798" i="4" s="1"/>
  <c r="R2798" i="4" s="1"/>
  <c r="P2799" i="4"/>
  <c r="Q2799" i="4" s="1"/>
  <c r="R2799" i="4" s="1"/>
  <c r="P2800" i="4"/>
  <c r="Q2800" i="4" s="1"/>
  <c r="R2800" i="4" s="1"/>
  <c r="P2801" i="4"/>
  <c r="Q2801" i="4" s="1"/>
  <c r="R2801" i="4" s="1"/>
  <c r="P2802" i="4"/>
  <c r="Q2802" i="4" s="1"/>
  <c r="R2802" i="4" s="1"/>
  <c r="P2803" i="4"/>
  <c r="Q2803" i="4" s="1"/>
  <c r="R2803" i="4" s="1"/>
  <c r="P2804" i="4"/>
  <c r="Q2804" i="4" s="1"/>
  <c r="R2804" i="4" s="1"/>
  <c r="P2805" i="4"/>
  <c r="Q2805" i="4" s="1"/>
  <c r="R2805" i="4" s="1"/>
  <c r="P2806" i="4"/>
  <c r="Q2806" i="4" s="1"/>
  <c r="R2806" i="4" s="1"/>
  <c r="P2807" i="4"/>
  <c r="Q2807" i="4" s="1"/>
  <c r="R2807" i="4" s="1"/>
  <c r="P2808" i="4"/>
  <c r="Q2808" i="4" s="1"/>
  <c r="R2808" i="4" s="1"/>
  <c r="P2809" i="4"/>
  <c r="Q2809" i="4" s="1"/>
  <c r="R2809" i="4" s="1"/>
  <c r="P2810" i="4"/>
  <c r="Q2810" i="4" s="1"/>
  <c r="R2810" i="4" s="1"/>
  <c r="P2811" i="4"/>
  <c r="Q2811" i="4" s="1"/>
  <c r="R2811" i="4" s="1"/>
  <c r="P2812" i="4"/>
  <c r="Q2812" i="4" s="1"/>
  <c r="R2812" i="4" s="1"/>
  <c r="P2813" i="4"/>
  <c r="Q2813" i="4" s="1"/>
  <c r="R2813" i="4" s="1"/>
  <c r="P2814" i="4"/>
  <c r="Q2814" i="4" s="1"/>
  <c r="R2814" i="4" s="1"/>
  <c r="P2815" i="4"/>
  <c r="Q2815" i="4" s="1"/>
  <c r="R2815" i="4" s="1"/>
  <c r="P2816" i="4"/>
  <c r="Q2816" i="4" s="1"/>
  <c r="R2816" i="4" s="1"/>
  <c r="P2817" i="4"/>
  <c r="Q2817" i="4" s="1"/>
  <c r="R2817" i="4" s="1"/>
  <c r="P2818" i="4"/>
  <c r="Q2818" i="4" s="1"/>
  <c r="R2818" i="4" s="1"/>
  <c r="P2819" i="4"/>
  <c r="Q2819" i="4" s="1"/>
  <c r="R2819" i="4" s="1"/>
  <c r="P2820" i="4"/>
  <c r="Q2820" i="4" s="1"/>
  <c r="R2820" i="4" s="1"/>
  <c r="P2821" i="4"/>
  <c r="Q2821" i="4" s="1"/>
  <c r="R2821" i="4" s="1"/>
  <c r="P2822" i="4"/>
  <c r="Q2822" i="4" s="1"/>
  <c r="R2822" i="4" s="1"/>
  <c r="P2823" i="4"/>
  <c r="Q2823" i="4" s="1"/>
  <c r="R2823" i="4" s="1"/>
  <c r="P2824" i="4"/>
  <c r="Q2824" i="4" s="1"/>
  <c r="R2824" i="4" s="1"/>
  <c r="P2825" i="4"/>
  <c r="Q2825" i="4" s="1"/>
  <c r="R2825" i="4" s="1"/>
  <c r="P2826" i="4"/>
  <c r="Q2826" i="4" s="1"/>
  <c r="R2826" i="4" s="1"/>
  <c r="P2827" i="4"/>
  <c r="Q2827" i="4" s="1"/>
  <c r="R2827" i="4" s="1"/>
  <c r="P2828" i="4"/>
  <c r="Q2828" i="4" s="1"/>
  <c r="R2828" i="4" s="1"/>
  <c r="P2829" i="4"/>
  <c r="Q2829" i="4" s="1"/>
  <c r="R2829" i="4" s="1"/>
  <c r="P2830" i="4"/>
  <c r="Q2830" i="4" s="1"/>
  <c r="R2830" i="4" s="1"/>
  <c r="P2831" i="4"/>
  <c r="Q2831" i="4" s="1"/>
  <c r="R2831" i="4" s="1"/>
  <c r="P2832" i="4"/>
  <c r="Q2832" i="4" s="1"/>
  <c r="R2832" i="4" s="1"/>
  <c r="P2833" i="4"/>
  <c r="Q2833" i="4" s="1"/>
  <c r="R2833" i="4" s="1"/>
  <c r="P2834" i="4"/>
  <c r="Q2834" i="4" s="1"/>
  <c r="R2834" i="4" s="1"/>
  <c r="P2835" i="4"/>
  <c r="Q2835" i="4" s="1"/>
  <c r="R2835" i="4" s="1"/>
  <c r="P2836" i="4"/>
  <c r="Q2836" i="4" s="1"/>
  <c r="R2836" i="4" s="1"/>
  <c r="P2837" i="4"/>
  <c r="Q2837" i="4" s="1"/>
  <c r="R2837" i="4" s="1"/>
  <c r="P2838" i="4"/>
  <c r="Q2838" i="4" s="1"/>
  <c r="R2838" i="4" s="1"/>
  <c r="P2839" i="4"/>
  <c r="Q2839" i="4" s="1"/>
  <c r="R2839" i="4" s="1"/>
  <c r="P2840" i="4"/>
  <c r="Q2840" i="4" s="1"/>
  <c r="R2840" i="4" s="1"/>
  <c r="P2841" i="4"/>
  <c r="Q2841" i="4" s="1"/>
  <c r="R2841" i="4" s="1"/>
  <c r="P2842" i="4"/>
  <c r="Q2842" i="4" s="1"/>
  <c r="R2842" i="4" s="1"/>
  <c r="P2843" i="4"/>
  <c r="Q2843" i="4" s="1"/>
  <c r="R2843" i="4" s="1"/>
  <c r="P2844" i="4"/>
  <c r="Q2844" i="4" s="1"/>
  <c r="R2844" i="4" s="1"/>
  <c r="P2845" i="4"/>
  <c r="Q2845" i="4" s="1"/>
  <c r="R2845" i="4" s="1"/>
  <c r="P2846" i="4"/>
  <c r="Q2846" i="4" s="1"/>
  <c r="R2846" i="4" s="1"/>
  <c r="P2847" i="4"/>
  <c r="Q2847" i="4" s="1"/>
  <c r="R2847" i="4" s="1"/>
  <c r="P2848" i="4"/>
  <c r="Q2848" i="4" s="1"/>
  <c r="R2848" i="4" s="1"/>
  <c r="P2849" i="4"/>
  <c r="Q2849" i="4" s="1"/>
  <c r="R2849" i="4" s="1"/>
  <c r="P2850" i="4"/>
  <c r="Q2850" i="4" s="1"/>
  <c r="R2850" i="4" s="1"/>
  <c r="P2851" i="4"/>
  <c r="Q2851" i="4" s="1"/>
  <c r="R2851" i="4" s="1"/>
  <c r="P2852" i="4"/>
  <c r="Q2852" i="4" s="1"/>
  <c r="R2852" i="4" s="1"/>
  <c r="P2853" i="4"/>
  <c r="Q2853" i="4" s="1"/>
  <c r="R2853" i="4" s="1"/>
  <c r="P2854" i="4"/>
  <c r="Q2854" i="4" s="1"/>
  <c r="R2854" i="4" s="1"/>
  <c r="P2855" i="4"/>
  <c r="Q2855" i="4" s="1"/>
  <c r="R2855" i="4" s="1"/>
  <c r="P2856" i="4"/>
  <c r="Q2856" i="4" s="1"/>
  <c r="R2856" i="4" s="1"/>
  <c r="P2857" i="4"/>
  <c r="Q2857" i="4" s="1"/>
  <c r="R2857" i="4" s="1"/>
  <c r="P2858" i="4"/>
  <c r="Q2858" i="4" s="1"/>
  <c r="R2858" i="4" s="1"/>
  <c r="P2859" i="4"/>
  <c r="Q2859" i="4" s="1"/>
  <c r="R2859" i="4" s="1"/>
  <c r="P2860" i="4"/>
  <c r="Q2860" i="4" s="1"/>
  <c r="R2860" i="4" s="1"/>
  <c r="P2861" i="4"/>
  <c r="Q2861" i="4" s="1"/>
  <c r="R2861" i="4" s="1"/>
  <c r="P2862" i="4"/>
  <c r="Q2862" i="4" s="1"/>
  <c r="R2862" i="4" s="1"/>
  <c r="P2863" i="4"/>
  <c r="Q2863" i="4" s="1"/>
  <c r="R2863" i="4" s="1"/>
  <c r="P2864" i="4"/>
  <c r="Q2864" i="4" s="1"/>
  <c r="R2864" i="4" s="1"/>
  <c r="P2865" i="4"/>
  <c r="Q2865" i="4" s="1"/>
  <c r="R2865" i="4" s="1"/>
  <c r="P2866" i="4"/>
  <c r="Q2866" i="4" s="1"/>
  <c r="R2866" i="4" s="1"/>
  <c r="P2867" i="4"/>
  <c r="Q2867" i="4" s="1"/>
  <c r="R2867" i="4" s="1"/>
  <c r="P2868" i="4"/>
  <c r="Q2868" i="4" s="1"/>
  <c r="R2868" i="4" s="1"/>
  <c r="P2869" i="4"/>
  <c r="Q2869" i="4" s="1"/>
  <c r="R2869" i="4" s="1"/>
  <c r="P2870" i="4"/>
  <c r="Q2870" i="4" s="1"/>
  <c r="R2870" i="4" s="1"/>
  <c r="P2871" i="4"/>
  <c r="Q2871" i="4" s="1"/>
  <c r="R2871" i="4" s="1"/>
  <c r="P2872" i="4"/>
  <c r="Q2872" i="4" s="1"/>
  <c r="R2872" i="4" s="1"/>
  <c r="P2873" i="4"/>
  <c r="Q2873" i="4" s="1"/>
  <c r="R2873" i="4" s="1"/>
  <c r="P2874" i="4"/>
  <c r="Q2874" i="4" s="1"/>
  <c r="R2874" i="4" s="1"/>
  <c r="P2875" i="4"/>
  <c r="Q2875" i="4" s="1"/>
  <c r="R2875" i="4" s="1"/>
  <c r="P2876" i="4"/>
  <c r="Q2876" i="4" s="1"/>
  <c r="R2876" i="4" s="1"/>
  <c r="P2877" i="4"/>
  <c r="Q2877" i="4" s="1"/>
  <c r="R2877" i="4" s="1"/>
  <c r="P2878" i="4"/>
  <c r="Q2878" i="4" s="1"/>
  <c r="R2878" i="4" s="1"/>
  <c r="P2879" i="4"/>
  <c r="Q2879" i="4" s="1"/>
  <c r="R2879" i="4" s="1"/>
  <c r="P2880" i="4"/>
  <c r="Q2880" i="4" s="1"/>
  <c r="R2880" i="4" s="1"/>
  <c r="P2881" i="4"/>
  <c r="Q2881" i="4" s="1"/>
  <c r="R2881" i="4" s="1"/>
  <c r="P2882" i="4"/>
  <c r="Q2882" i="4" s="1"/>
  <c r="R2882" i="4" s="1"/>
  <c r="P2883" i="4"/>
  <c r="Q2883" i="4" s="1"/>
  <c r="R2883" i="4" s="1"/>
  <c r="P2884" i="4"/>
  <c r="Q2884" i="4" s="1"/>
  <c r="R2884" i="4" s="1"/>
  <c r="P2885" i="4"/>
  <c r="Q2885" i="4" s="1"/>
  <c r="R2885" i="4" s="1"/>
  <c r="P2886" i="4"/>
  <c r="Q2886" i="4" s="1"/>
  <c r="R2886" i="4" s="1"/>
  <c r="P2887" i="4"/>
  <c r="Q2887" i="4" s="1"/>
  <c r="R2887" i="4" s="1"/>
  <c r="P2888" i="4"/>
  <c r="Q2888" i="4" s="1"/>
  <c r="R2888" i="4" s="1"/>
  <c r="P2889" i="4"/>
  <c r="Q2889" i="4" s="1"/>
  <c r="R2889" i="4" s="1"/>
  <c r="P2890" i="4"/>
  <c r="Q2890" i="4" s="1"/>
  <c r="R2890" i="4" s="1"/>
  <c r="P2891" i="4"/>
  <c r="Q2891" i="4" s="1"/>
  <c r="R2891" i="4" s="1"/>
  <c r="P2892" i="4"/>
  <c r="Q2892" i="4" s="1"/>
  <c r="R2892" i="4" s="1"/>
  <c r="P2893" i="4"/>
  <c r="Q2893" i="4" s="1"/>
  <c r="R2893" i="4" s="1"/>
  <c r="P2894" i="4"/>
  <c r="Q2894" i="4" s="1"/>
  <c r="R2894" i="4" s="1"/>
  <c r="P2895" i="4"/>
  <c r="Q2895" i="4" s="1"/>
  <c r="R2895" i="4" s="1"/>
  <c r="P2896" i="4"/>
  <c r="Q2896" i="4" s="1"/>
  <c r="R2896" i="4" s="1"/>
  <c r="P2897" i="4"/>
  <c r="Q2897" i="4" s="1"/>
  <c r="R2897" i="4" s="1"/>
  <c r="P2898" i="4"/>
  <c r="Q2898" i="4" s="1"/>
  <c r="R2898" i="4" s="1"/>
  <c r="P2899" i="4"/>
  <c r="Q2899" i="4" s="1"/>
  <c r="R2899" i="4" s="1"/>
  <c r="P2900" i="4"/>
  <c r="Q2900" i="4" s="1"/>
  <c r="R2900" i="4" s="1"/>
  <c r="P2901" i="4"/>
  <c r="Q2901" i="4" s="1"/>
  <c r="R2901" i="4" s="1"/>
  <c r="P2902" i="4"/>
  <c r="Q2902" i="4" s="1"/>
  <c r="R2902" i="4" s="1"/>
  <c r="P2903" i="4"/>
  <c r="Q2903" i="4" s="1"/>
  <c r="R2903" i="4" s="1"/>
  <c r="P2904" i="4"/>
  <c r="Q2904" i="4" s="1"/>
  <c r="R2904" i="4" s="1"/>
  <c r="P2905" i="4"/>
  <c r="Q2905" i="4" s="1"/>
  <c r="R2905" i="4" s="1"/>
  <c r="P2906" i="4"/>
  <c r="Q2906" i="4" s="1"/>
  <c r="R2906" i="4" s="1"/>
  <c r="P2907" i="4"/>
  <c r="Q2907" i="4" s="1"/>
  <c r="R2907" i="4" s="1"/>
  <c r="P2908" i="4"/>
  <c r="Q2908" i="4" s="1"/>
  <c r="R2908" i="4" s="1"/>
  <c r="P2909" i="4"/>
  <c r="Q2909" i="4" s="1"/>
  <c r="R2909" i="4" s="1"/>
  <c r="P2910" i="4"/>
  <c r="Q2910" i="4" s="1"/>
  <c r="R2910" i="4" s="1"/>
  <c r="P2911" i="4"/>
  <c r="Q2911" i="4" s="1"/>
  <c r="R2911" i="4" s="1"/>
  <c r="P2912" i="4"/>
  <c r="Q2912" i="4" s="1"/>
  <c r="R2912" i="4" s="1"/>
  <c r="P2913" i="4"/>
  <c r="Q2913" i="4" s="1"/>
  <c r="R2913" i="4" s="1"/>
  <c r="P2914" i="4"/>
  <c r="Q2914" i="4" s="1"/>
  <c r="R2914" i="4" s="1"/>
  <c r="P2915" i="4"/>
  <c r="Q2915" i="4" s="1"/>
  <c r="R2915" i="4" s="1"/>
  <c r="P2916" i="4"/>
  <c r="Q2916" i="4" s="1"/>
  <c r="R2916" i="4" s="1"/>
  <c r="P2917" i="4"/>
  <c r="Q2917" i="4" s="1"/>
  <c r="R2917" i="4" s="1"/>
  <c r="P2918" i="4"/>
  <c r="Q2918" i="4" s="1"/>
  <c r="R2918" i="4" s="1"/>
  <c r="P2919" i="4"/>
  <c r="Q2919" i="4" s="1"/>
  <c r="R2919" i="4" s="1"/>
  <c r="P2920" i="4"/>
  <c r="Q2920" i="4" s="1"/>
  <c r="R2920" i="4" s="1"/>
  <c r="P2921" i="4"/>
  <c r="Q2921" i="4" s="1"/>
  <c r="R2921" i="4" s="1"/>
  <c r="P2922" i="4"/>
  <c r="Q2922" i="4" s="1"/>
  <c r="R2922" i="4" s="1"/>
  <c r="P2923" i="4"/>
  <c r="Q2923" i="4" s="1"/>
  <c r="R2923" i="4" s="1"/>
  <c r="P2924" i="4"/>
  <c r="Q2924" i="4" s="1"/>
  <c r="R2924" i="4" s="1"/>
  <c r="P2925" i="4"/>
  <c r="Q2925" i="4" s="1"/>
  <c r="R2925" i="4" s="1"/>
  <c r="P2926" i="4"/>
  <c r="Q2926" i="4" s="1"/>
  <c r="R2926" i="4" s="1"/>
  <c r="P2927" i="4"/>
  <c r="Q2927" i="4" s="1"/>
  <c r="R2927" i="4" s="1"/>
  <c r="P2928" i="4"/>
  <c r="Q2928" i="4" s="1"/>
  <c r="R2928" i="4" s="1"/>
  <c r="P2929" i="4"/>
  <c r="Q2929" i="4" s="1"/>
  <c r="R2929" i="4" s="1"/>
  <c r="P2930" i="4"/>
  <c r="Q2930" i="4" s="1"/>
  <c r="R2930" i="4" s="1"/>
  <c r="P2931" i="4"/>
  <c r="Q2931" i="4" s="1"/>
  <c r="R2931" i="4" s="1"/>
  <c r="P2932" i="4"/>
  <c r="Q2932" i="4" s="1"/>
  <c r="R2932" i="4" s="1"/>
  <c r="P2933" i="4"/>
  <c r="Q2933" i="4" s="1"/>
  <c r="R2933" i="4" s="1"/>
  <c r="P2934" i="4"/>
  <c r="Q2934" i="4" s="1"/>
  <c r="R2934" i="4" s="1"/>
  <c r="P2935" i="4"/>
  <c r="Q2935" i="4" s="1"/>
  <c r="R2935" i="4" s="1"/>
  <c r="P2936" i="4"/>
  <c r="Q2936" i="4" s="1"/>
  <c r="R2936" i="4" s="1"/>
  <c r="P2937" i="4"/>
  <c r="Q2937" i="4" s="1"/>
  <c r="R2937" i="4" s="1"/>
  <c r="P2938" i="4"/>
  <c r="Q2938" i="4" s="1"/>
  <c r="R2938" i="4" s="1"/>
  <c r="P2939" i="4"/>
  <c r="Q2939" i="4" s="1"/>
  <c r="R2939" i="4" s="1"/>
  <c r="P2940" i="4"/>
  <c r="Q2940" i="4" s="1"/>
  <c r="R2940" i="4" s="1"/>
  <c r="P2941" i="4"/>
  <c r="Q2941" i="4" s="1"/>
  <c r="R2941" i="4" s="1"/>
  <c r="P2942" i="4"/>
  <c r="Q2942" i="4" s="1"/>
  <c r="R2942" i="4" s="1"/>
  <c r="P2943" i="4"/>
  <c r="Q2943" i="4" s="1"/>
  <c r="R2943" i="4" s="1"/>
  <c r="P2944" i="4"/>
  <c r="Q2944" i="4" s="1"/>
  <c r="R2944" i="4" s="1"/>
  <c r="P2945" i="4"/>
  <c r="Q2945" i="4" s="1"/>
  <c r="R2945" i="4" s="1"/>
  <c r="P2946" i="4"/>
  <c r="Q2946" i="4" s="1"/>
  <c r="R2946" i="4" s="1"/>
  <c r="P2947" i="4"/>
  <c r="Q2947" i="4" s="1"/>
  <c r="R2947" i="4" s="1"/>
  <c r="P2948" i="4"/>
  <c r="Q2948" i="4" s="1"/>
  <c r="R2948" i="4" s="1"/>
  <c r="P2949" i="4"/>
  <c r="Q2949" i="4" s="1"/>
  <c r="R2949" i="4" s="1"/>
  <c r="P2950" i="4"/>
  <c r="Q2950" i="4" s="1"/>
  <c r="R2950" i="4" s="1"/>
  <c r="P2951" i="4"/>
  <c r="Q2951" i="4" s="1"/>
  <c r="R2951" i="4" s="1"/>
  <c r="P2952" i="4"/>
  <c r="Q2952" i="4" s="1"/>
  <c r="R2952" i="4" s="1"/>
  <c r="P2953" i="4"/>
  <c r="Q2953" i="4" s="1"/>
  <c r="R2953" i="4" s="1"/>
  <c r="P2954" i="4"/>
  <c r="Q2954" i="4" s="1"/>
  <c r="R2954" i="4" s="1"/>
  <c r="P2955" i="4"/>
  <c r="Q2955" i="4" s="1"/>
  <c r="R2955" i="4" s="1"/>
  <c r="P2956" i="4"/>
  <c r="Q2956" i="4" s="1"/>
  <c r="R2956" i="4" s="1"/>
  <c r="P2957" i="4"/>
  <c r="Q2957" i="4" s="1"/>
  <c r="R2957" i="4" s="1"/>
  <c r="P2958" i="4"/>
  <c r="Q2958" i="4" s="1"/>
  <c r="R2958" i="4" s="1"/>
  <c r="P2959" i="4"/>
  <c r="Q2959" i="4" s="1"/>
  <c r="R2959" i="4" s="1"/>
  <c r="P2960" i="4"/>
  <c r="Q2960" i="4" s="1"/>
  <c r="R2960" i="4" s="1"/>
  <c r="P2961" i="4"/>
  <c r="Q2961" i="4" s="1"/>
  <c r="R2961" i="4" s="1"/>
  <c r="P2962" i="4"/>
  <c r="Q2962" i="4" s="1"/>
  <c r="R2962" i="4" s="1"/>
  <c r="P2963" i="4"/>
  <c r="Q2963" i="4" s="1"/>
  <c r="R2963" i="4" s="1"/>
  <c r="P2964" i="4"/>
  <c r="Q2964" i="4" s="1"/>
  <c r="R2964" i="4" s="1"/>
  <c r="P2965" i="4"/>
  <c r="Q2965" i="4" s="1"/>
  <c r="R2965" i="4" s="1"/>
  <c r="P2966" i="4"/>
  <c r="Q2966" i="4" s="1"/>
  <c r="R2966" i="4" s="1"/>
  <c r="P2967" i="4"/>
  <c r="Q2967" i="4" s="1"/>
  <c r="R2967" i="4" s="1"/>
  <c r="P2968" i="4"/>
  <c r="Q2968" i="4" s="1"/>
  <c r="R2968" i="4" s="1"/>
  <c r="P2969" i="4"/>
  <c r="Q2969" i="4" s="1"/>
  <c r="R2969" i="4" s="1"/>
  <c r="P2970" i="4"/>
  <c r="Q2970" i="4" s="1"/>
  <c r="R2970" i="4" s="1"/>
  <c r="P2971" i="4"/>
  <c r="Q2971" i="4" s="1"/>
  <c r="R2971" i="4" s="1"/>
  <c r="P2972" i="4"/>
  <c r="Q2972" i="4" s="1"/>
  <c r="R2972" i="4" s="1"/>
  <c r="P2973" i="4"/>
  <c r="Q2973" i="4" s="1"/>
  <c r="R2973" i="4" s="1"/>
  <c r="P2974" i="4"/>
  <c r="Q2974" i="4" s="1"/>
  <c r="R2974" i="4" s="1"/>
  <c r="P2975" i="4"/>
  <c r="Q2975" i="4" s="1"/>
  <c r="R2975" i="4" s="1"/>
  <c r="P2976" i="4"/>
  <c r="Q2976" i="4" s="1"/>
  <c r="R2976" i="4" s="1"/>
  <c r="P2977" i="4"/>
  <c r="Q2977" i="4" s="1"/>
  <c r="R2977" i="4" s="1"/>
  <c r="P2978" i="4"/>
  <c r="Q2978" i="4" s="1"/>
  <c r="R2978" i="4" s="1"/>
  <c r="P2979" i="4"/>
  <c r="Q2979" i="4" s="1"/>
  <c r="R2979" i="4" s="1"/>
  <c r="P2980" i="4"/>
  <c r="Q2980" i="4" s="1"/>
  <c r="R2980" i="4" s="1"/>
  <c r="P2981" i="4"/>
  <c r="Q2981" i="4" s="1"/>
  <c r="R2981" i="4" s="1"/>
  <c r="P2982" i="4"/>
  <c r="Q2982" i="4" s="1"/>
  <c r="R2982" i="4" s="1"/>
  <c r="P2983" i="4"/>
  <c r="Q2983" i="4" s="1"/>
  <c r="R2983" i="4" s="1"/>
  <c r="P2984" i="4"/>
  <c r="Q2984" i="4" s="1"/>
  <c r="R2984" i="4" s="1"/>
  <c r="P2985" i="4"/>
  <c r="Q2985" i="4" s="1"/>
  <c r="R2985" i="4" s="1"/>
  <c r="P2986" i="4"/>
  <c r="Q2986" i="4" s="1"/>
  <c r="R2986" i="4" s="1"/>
  <c r="P2987" i="4"/>
  <c r="Q2987" i="4" s="1"/>
  <c r="R2987" i="4" s="1"/>
  <c r="P2988" i="4"/>
  <c r="Q2988" i="4" s="1"/>
  <c r="R2988" i="4" s="1"/>
  <c r="P2989" i="4"/>
  <c r="Q2989" i="4" s="1"/>
  <c r="R2989" i="4" s="1"/>
  <c r="P2990" i="4"/>
  <c r="Q2990" i="4" s="1"/>
  <c r="R2990" i="4" s="1"/>
  <c r="P2991" i="4"/>
  <c r="Q2991" i="4" s="1"/>
  <c r="R2991" i="4" s="1"/>
  <c r="P2992" i="4"/>
  <c r="Q2992" i="4" s="1"/>
  <c r="R2992" i="4" s="1"/>
  <c r="P2993" i="4"/>
  <c r="Q2993" i="4" s="1"/>
  <c r="R2993" i="4" s="1"/>
  <c r="P2994" i="4"/>
  <c r="Q2994" i="4" s="1"/>
  <c r="R2994" i="4" s="1"/>
  <c r="P2995" i="4"/>
  <c r="Q2995" i="4" s="1"/>
  <c r="R2995" i="4" s="1"/>
  <c r="P2996" i="4"/>
  <c r="Q2996" i="4" s="1"/>
  <c r="R2996" i="4" s="1"/>
  <c r="P2997" i="4"/>
  <c r="Q2997" i="4" s="1"/>
  <c r="R2997" i="4" s="1"/>
  <c r="P2998" i="4"/>
  <c r="Q2998" i="4" s="1"/>
  <c r="R2998" i="4" s="1"/>
  <c r="P2999" i="4"/>
  <c r="Q2999" i="4" s="1"/>
  <c r="R2999" i="4" s="1"/>
  <c r="P3000" i="4"/>
  <c r="Q3000" i="4" s="1"/>
  <c r="R3000" i="4" s="1"/>
  <c r="P3001" i="4"/>
  <c r="Q3001" i="4" s="1"/>
  <c r="R3001" i="4" s="1"/>
  <c r="P3002" i="4"/>
  <c r="Q3002" i="4" s="1"/>
  <c r="R3002" i="4" s="1"/>
  <c r="P3003" i="4"/>
  <c r="Q3003" i="4" s="1"/>
  <c r="R3003" i="4" s="1"/>
  <c r="P3004" i="4"/>
  <c r="Q3004" i="4" s="1"/>
  <c r="R3004" i="4" s="1"/>
  <c r="P3005" i="4"/>
  <c r="Q3005" i="4" s="1"/>
  <c r="R3005" i="4" s="1"/>
  <c r="P3006" i="4"/>
  <c r="Q3006" i="4" s="1"/>
  <c r="R3006" i="4" s="1"/>
  <c r="P3007" i="4"/>
  <c r="Q3007" i="4" s="1"/>
  <c r="R3007" i="4" s="1"/>
  <c r="P3008" i="4"/>
  <c r="Q3008" i="4" s="1"/>
  <c r="R3008" i="4" s="1"/>
  <c r="P3009" i="4"/>
  <c r="Q3009" i="4" s="1"/>
  <c r="R3009" i="4" s="1"/>
  <c r="P3010" i="4"/>
  <c r="Q3010" i="4" s="1"/>
  <c r="R3010" i="4" s="1"/>
  <c r="P3011" i="4"/>
  <c r="Q3011" i="4" s="1"/>
  <c r="R3011" i="4" s="1"/>
  <c r="P3012" i="4"/>
  <c r="Q3012" i="4" s="1"/>
  <c r="R3012" i="4" s="1"/>
  <c r="P3013" i="4"/>
  <c r="Q3013" i="4" s="1"/>
  <c r="R3013" i="4" s="1"/>
  <c r="P3014" i="4"/>
  <c r="Q3014" i="4" s="1"/>
  <c r="R3014" i="4" s="1"/>
  <c r="P3015" i="4"/>
  <c r="Q3015" i="4" s="1"/>
  <c r="R3015" i="4" s="1"/>
  <c r="P3016" i="4"/>
  <c r="Q3016" i="4" s="1"/>
  <c r="R3016" i="4" s="1"/>
  <c r="P3017" i="4"/>
  <c r="Q3017" i="4" s="1"/>
  <c r="R3017" i="4" s="1"/>
  <c r="P3018" i="4"/>
  <c r="Q3018" i="4" s="1"/>
  <c r="R3018" i="4" s="1"/>
  <c r="P3019" i="4"/>
  <c r="Q3019" i="4" s="1"/>
  <c r="R3019" i="4" s="1"/>
  <c r="P3020" i="4"/>
  <c r="Q3020" i="4" s="1"/>
  <c r="R3020" i="4" s="1"/>
  <c r="P3021" i="4"/>
  <c r="Q3021" i="4" s="1"/>
  <c r="R3021" i="4" s="1"/>
  <c r="P3022" i="4"/>
  <c r="Q3022" i="4" s="1"/>
  <c r="R3022" i="4" s="1"/>
  <c r="P3023" i="4"/>
  <c r="Q3023" i="4" s="1"/>
  <c r="R3023" i="4" s="1"/>
  <c r="P3024" i="4"/>
  <c r="Q3024" i="4" s="1"/>
  <c r="R3024" i="4" s="1"/>
  <c r="P3025" i="4"/>
  <c r="Q3025" i="4" s="1"/>
  <c r="R3025" i="4" s="1"/>
  <c r="P3026" i="4"/>
  <c r="Q3026" i="4" s="1"/>
  <c r="R3026" i="4" s="1"/>
  <c r="P3027" i="4"/>
  <c r="Q3027" i="4" s="1"/>
  <c r="R3027" i="4" s="1"/>
  <c r="P3028" i="4"/>
  <c r="Q3028" i="4" s="1"/>
  <c r="R3028" i="4" s="1"/>
  <c r="P3029" i="4"/>
  <c r="Q3029" i="4" s="1"/>
  <c r="R3029" i="4" s="1"/>
  <c r="P3030" i="4"/>
  <c r="Q3030" i="4" s="1"/>
  <c r="R3030" i="4" s="1"/>
  <c r="P3031" i="4"/>
  <c r="Q3031" i="4" s="1"/>
  <c r="R3031" i="4" s="1"/>
  <c r="P3032" i="4"/>
  <c r="Q3032" i="4" s="1"/>
  <c r="R3032" i="4" s="1"/>
  <c r="P3033" i="4"/>
  <c r="Q3033" i="4" s="1"/>
  <c r="R3033" i="4" s="1"/>
  <c r="P3034" i="4"/>
  <c r="Q3034" i="4" s="1"/>
  <c r="R3034" i="4" s="1"/>
  <c r="P3035" i="4"/>
  <c r="Q3035" i="4" s="1"/>
  <c r="R3035" i="4" s="1"/>
  <c r="P3036" i="4"/>
  <c r="Q3036" i="4" s="1"/>
  <c r="R3036" i="4" s="1"/>
  <c r="P3037" i="4"/>
  <c r="Q3037" i="4" s="1"/>
  <c r="R3037" i="4" s="1"/>
  <c r="P3038" i="4"/>
  <c r="Q3038" i="4" s="1"/>
  <c r="R3038" i="4" s="1"/>
  <c r="P3039" i="4"/>
  <c r="Q3039" i="4" s="1"/>
  <c r="R3039" i="4" s="1"/>
  <c r="P3040" i="4"/>
  <c r="Q3040" i="4" s="1"/>
  <c r="R3040" i="4" s="1"/>
  <c r="P3041" i="4"/>
  <c r="Q3041" i="4" s="1"/>
  <c r="R3041" i="4" s="1"/>
  <c r="P3042" i="4"/>
  <c r="Q3042" i="4" s="1"/>
  <c r="R3042" i="4" s="1"/>
  <c r="P3043" i="4"/>
  <c r="Q3043" i="4" s="1"/>
  <c r="R3043" i="4" s="1"/>
  <c r="P3044" i="4"/>
  <c r="Q3044" i="4" s="1"/>
  <c r="R3044" i="4" s="1"/>
  <c r="P3045" i="4"/>
  <c r="Q3045" i="4" s="1"/>
  <c r="R3045" i="4" s="1"/>
  <c r="P3046" i="4"/>
  <c r="Q3046" i="4" s="1"/>
  <c r="R3046" i="4" s="1"/>
  <c r="P3047" i="4"/>
  <c r="Q3047" i="4" s="1"/>
  <c r="R3047" i="4" s="1"/>
  <c r="P3048" i="4"/>
  <c r="Q3048" i="4" s="1"/>
  <c r="R3048" i="4" s="1"/>
  <c r="P3049" i="4"/>
  <c r="Q3049" i="4" s="1"/>
  <c r="R3049" i="4" s="1"/>
  <c r="P3050" i="4"/>
  <c r="Q3050" i="4" s="1"/>
  <c r="R3050" i="4" s="1"/>
  <c r="P3051" i="4"/>
  <c r="Q3051" i="4" s="1"/>
  <c r="R3051" i="4" s="1"/>
  <c r="P3052" i="4"/>
  <c r="Q3052" i="4" s="1"/>
  <c r="R3052" i="4" s="1"/>
  <c r="P3053" i="4"/>
  <c r="Q3053" i="4" s="1"/>
  <c r="R3053" i="4" s="1"/>
  <c r="P3054" i="4"/>
  <c r="Q3054" i="4" s="1"/>
  <c r="R3054" i="4" s="1"/>
  <c r="P3055" i="4"/>
  <c r="Q3055" i="4" s="1"/>
  <c r="R3055" i="4" s="1"/>
  <c r="P3056" i="4"/>
  <c r="Q3056" i="4" s="1"/>
  <c r="R3056" i="4" s="1"/>
  <c r="P3057" i="4"/>
  <c r="Q3057" i="4" s="1"/>
  <c r="R3057" i="4" s="1"/>
  <c r="P3058" i="4"/>
  <c r="Q3058" i="4" s="1"/>
  <c r="R3058" i="4" s="1"/>
  <c r="P3059" i="4"/>
  <c r="Q3059" i="4" s="1"/>
  <c r="R3059" i="4" s="1"/>
  <c r="P3060" i="4"/>
  <c r="Q3060" i="4" s="1"/>
  <c r="R3060" i="4" s="1"/>
  <c r="P3061" i="4"/>
  <c r="Q3061" i="4" s="1"/>
  <c r="R3061" i="4" s="1"/>
  <c r="P3062" i="4"/>
  <c r="Q3062" i="4" s="1"/>
  <c r="R3062" i="4" s="1"/>
  <c r="P3063" i="4"/>
  <c r="Q3063" i="4" s="1"/>
  <c r="R3063" i="4" s="1"/>
  <c r="P3064" i="4"/>
  <c r="Q3064" i="4" s="1"/>
  <c r="R3064" i="4" s="1"/>
  <c r="P3065" i="4"/>
  <c r="Q3065" i="4" s="1"/>
  <c r="R3065" i="4" s="1"/>
  <c r="P3066" i="4"/>
  <c r="Q3066" i="4" s="1"/>
  <c r="R3066" i="4" s="1"/>
  <c r="P3067" i="4"/>
  <c r="Q3067" i="4" s="1"/>
  <c r="R3067" i="4" s="1"/>
  <c r="P3068" i="4"/>
  <c r="Q3068" i="4" s="1"/>
  <c r="R3068" i="4" s="1"/>
  <c r="P3069" i="4"/>
  <c r="Q3069" i="4" s="1"/>
  <c r="R3069" i="4" s="1"/>
  <c r="P3070" i="4"/>
  <c r="Q3070" i="4" s="1"/>
  <c r="R3070" i="4" s="1"/>
  <c r="P3071" i="4"/>
  <c r="Q3071" i="4" s="1"/>
  <c r="R3071" i="4" s="1"/>
  <c r="P3072" i="4"/>
  <c r="Q3072" i="4" s="1"/>
  <c r="R3072" i="4" s="1"/>
  <c r="P3073" i="4"/>
  <c r="Q3073" i="4" s="1"/>
  <c r="R3073" i="4" s="1"/>
  <c r="P3074" i="4"/>
  <c r="Q3074" i="4" s="1"/>
  <c r="R3074" i="4" s="1"/>
  <c r="P3075" i="4"/>
  <c r="Q3075" i="4" s="1"/>
  <c r="R3075" i="4" s="1"/>
  <c r="P3076" i="4"/>
  <c r="Q3076" i="4" s="1"/>
  <c r="R3076" i="4" s="1"/>
  <c r="P3077" i="4"/>
  <c r="Q3077" i="4" s="1"/>
  <c r="R3077" i="4" s="1"/>
  <c r="P3078" i="4"/>
  <c r="Q3078" i="4" s="1"/>
  <c r="R3078" i="4" s="1"/>
  <c r="P3079" i="4"/>
  <c r="Q3079" i="4" s="1"/>
  <c r="R3079" i="4" s="1"/>
  <c r="P3080" i="4"/>
  <c r="Q3080" i="4" s="1"/>
  <c r="R3080" i="4" s="1"/>
  <c r="P3081" i="4"/>
  <c r="Q3081" i="4" s="1"/>
  <c r="R3081" i="4" s="1"/>
  <c r="P3082" i="4"/>
  <c r="Q3082" i="4" s="1"/>
  <c r="R3082" i="4" s="1"/>
  <c r="P3083" i="4"/>
  <c r="Q3083" i="4" s="1"/>
  <c r="R3083" i="4" s="1"/>
  <c r="P3084" i="4"/>
  <c r="Q3084" i="4" s="1"/>
  <c r="R3084" i="4" s="1"/>
  <c r="P3085" i="4"/>
  <c r="Q3085" i="4" s="1"/>
  <c r="R3085" i="4" s="1"/>
  <c r="P3086" i="4"/>
  <c r="Q3086" i="4" s="1"/>
  <c r="R3086" i="4" s="1"/>
  <c r="P3087" i="4"/>
  <c r="Q3087" i="4" s="1"/>
  <c r="R3087" i="4" s="1"/>
  <c r="P3088" i="4"/>
  <c r="Q3088" i="4" s="1"/>
  <c r="R3088" i="4" s="1"/>
  <c r="P3089" i="4"/>
  <c r="Q3089" i="4" s="1"/>
  <c r="R3089" i="4" s="1"/>
  <c r="P3090" i="4"/>
  <c r="Q3090" i="4" s="1"/>
  <c r="R3090" i="4" s="1"/>
  <c r="P3091" i="4"/>
  <c r="Q3091" i="4" s="1"/>
  <c r="R3091" i="4" s="1"/>
  <c r="P3092" i="4"/>
  <c r="Q3092" i="4" s="1"/>
  <c r="R3092" i="4" s="1"/>
  <c r="P3093" i="4"/>
  <c r="Q3093" i="4" s="1"/>
  <c r="R3093" i="4" s="1"/>
  <c r="P3094" i="4"/>
  <c r="Q3094" i="4" s="1"/>
  <c r="R3094" i="4" s="1"/>
  <c r="P3095" i="4"/>
  <c r="Q3095" i="4" s="1"/>
  <c r="R3095" i="4" s="1"/>
  <c r="P3096" i="4"/>
  <c r="Q3096" i="4" s="1"/>
  <c r="R3096" i="4" s="1"/>
  <c r="P3097" i="4"/>
  <c r="Q3097" i="4" s="1"/>
  <c r="R3097" i="4" s="1"/>
  <c r="P3098" i="4"/>
  <c r="Q3098" i="4" s="1"/>
  <c r="R3098" i="4" s="1"/>
  <c r="P3099" i="4"/>
  <c r="Q3099" i="4" s="1"/>
  <c r="R3099" i="4" s="1"/>
  <c r="P3100" i="4"/>
  <c r="Q3100" i="4" s="1"/>
  <c r="R3100" i="4" s="1"/>
  <c r="P3101" i="4"/>
  <c r="Q3101" i="4" s="1"/>
  <c r="R3101" i="4" s="1"/>
  <c r="P3102" i="4"/>
  <c r="Q3102" i="4" s="1"/>
  <c r="R3102" i="4" s="1"/>
  <c r="P3103" i="4"/>
  <c r="Q3103" i="4" s="1"/>
  <c r="R3103" i="4" s="1"/>
  <c r="P3104" i="4"/>
  <c r="Q3104" i="4" s="1"/>
  <c r="R3104" i="4" s="1"/>
  <c r="P3105" i="4"/>
  <c r="Q3105" i="4" s="1"/>
  <c r="R3105" i="4" s="1"/>
  <c r="P3106" i="4"/>
  <c r="Q3106" i="4" s="1"/>
  <c r="R3106" i="4" s="1"/>
  <c r="P3107" i="4"/>
  <c r="Q3107" i="4" s="1"/>
  <c r="R3107" i="4" s="1"/>
  <c r="P3108" i="4"/>
  <c r="Q3108" i="4" s="1"/>
  <c r="R3108" i="4" s="1"/>
  <c r="P3109" i="4"/>
  <c r="Q3109" i="4" s="1"/>
  <c r="R3109" i="4" s="1"/>
  <c r="P3110" i="4"/>
  <c r="Q3110" i="4" s="1"/>
  <c r="R3110" i="4" s="1"/>
  <c r="P3111" i="4"/>
  <c r="Q3111" i="4" s="1"/>
  <c r="R3111" i="4" s="1"/>
  <c r="P3112" i="4"/>
  <c r="Q3112" i="4" s="1"/>
  <c r="R3112" i="4" s="1"/>
  <c r="P3113" i="4"/>
  <c r="Q3113" i="4" s="1"/>
  <c r="R3113" i="4" s="1"/>
  <c r="P3114" i="4"/>
  <c r="Q3114" i="4" s="1"/>
  <c r="R3114" i="4" s="1"/>
  <c r="P3115" i="4"/>
  <c r="Q3115" i="4" s="1"/>
  <c r="R3115" i="4" s="1"/>
  <c r="P3116" i="4"/>
  <c r="Q3116" i="4" s="1"/>
  <c r="R3116" i="4" s="1"/>
  <c r="P3117" i="4"/>
  <c r="Q3117" i="4" s="1"/>
  <c r="R3117" i="4" s="1"/>
  <c r="P3118" i="4"/>
  <c r="Q3118" i="4" s="1"/>
  <c r="R3118" i="4" s="1"/>
  <c r="P3119" i="4"/>
  <c r="Q3119" i="4" s="1"/>
  <c r="R3119" i="4" s="1"/>
  <c r="P3120" i="4"/>
  <c r="Q3120" i="4" s="1"/>
  <c r="R3120" i="4" s="1"/>
  <c r="P3121" i="4"/>
  <c r="Q3121" i="4" s="1"/>
  <c r="R3121" i="4" s="1"/>
  <c r="P3122" i="4"/>
  <c r="Q3122" i="4" s="1"/>
  <c r="R3122" i="4" s="1"/>
  <c r="P3123" i="4"/>
  <c r="Q3123" i="4" s="1"/>
  <c r="R3123" i="4" s="1"/>
  <c r="P3124" i="4"/>
  <c r="Q3124" i="4" s="1"/>
  <c r="R3124" i="4" s="1"/>
  <c r="P3125" i="4"/>
  <c r="Q3125" i="4" s="1"/>
  <c r="R3125" i="4" s="1"/>
  <c r="P3126" i="4"/>
  <c r="Q3126" i="4" s="1"/>
  <c r="R3126" i="4" s="1"/>
  <c r="P3127" i="4"/>
  <c r="Q3127" i="4" s="1"/>
  <c r="R3127" i="4" s="1"/>
  <c r="P3128" i="4"/>
  <c r="Q3128" i="4" s="1"/>
  <c r="R3128" i="4" s="1"/>
  <c r="P3129" i="4"/>
  <c r="Q3129" i="4" s="1"/>
  <c r="R3129" i="4" s="1"/>
  <c r="P3130" i="4"/>
  <c r="Q3130" i="4" s="1"/>
  <c r="R3130" i="4" s="1"/>
  <c r="P3131" i="4"/>
  <c r="Q3131" i="4" s="1"/>
  <c r="R3131" i="4" s="1"/>
  <c r="P3132" i="4"/>
  <c r="Q3132" i="4" s="1"/>
  <c r="R3132" i="4" s="1"/>
  <c r="P3133" i="4"/>
  <c r="Q3133" i="4" s="1"/>
  <c r="R3133" i="4" s="1"/>
  <c r="P3134" i="4"/>
  <c r="Q3134" i="4" s="1"/>
  <c r="R3134" i="4" s="1"/>
  <c r="P3135" i="4"/>
  <c r="Q3135" i="4" s="1"/>
  <c r="R3135" i="4" s="1"/>
  <c r="P3136" i="4"/>
  <c r="Q3136" i="4" s="1"/>
  <c r="R3136" i="4" s="1"/>
  <c r="P3137" i="4"/>
  <c r="Q3137" i="4" s="1"/>
  <c r="R3137" i="4" s="1"/>
  <c r="P3138" i="4"/>
  <c r="Q3138" i="4" s="1"/>
  <c r="R3138" i="4" s="1"/>
  <c r="P3139" i="4"/>
  <c r="Q3139" i="4" s="1"/>
  <c r="R3139" i="4" s="1"/>
  <c r="P3140" i="4"/>
  <c r="Q3140" i="4" s="1"/>
  <c r="R3140" i="4" s="1"/>
  <c r="P3141" i="4"/>
  <c r="Q3141" i="4" s="1"/>
  <c r="R3141" i="4" s="1"/>
  <c r="P3142" i="4"/>
  <c r="Q3142" i="4" s="1"/>
  <c r="R3142" i="4" s="1"/>
  <c r="P3143" i="4"/>
  <c r="Q3143" i="4" s="1"/>
  <c r="R3143" i="4" s="1"/>
  <c r="P3144" i="4"/>
  <c r="Q3144" i="4" s="1"/>
  <c r="R3144" i="4" s="1"/>
  <c r="P3145" i="4"/>
  <c r="Q3145" i="4" s="1"/>
  <c r="R3145" i="4" s="1"/>
  <c r="P3146" i="4"/>
  <c r="Q3146" i="4" s="1"/>
  <c r="R3146" i="4" s="1"/>
  <c r="P3147" i="4"/>
  <c r="Q3147" i="4" s="1"/>
  <c r="R3147" i="4" s="1"/>
  <c r="P3148" i="4"/>
  <c r="Q3148" i="4" s="1"/>
  <c r="R3148" i="4" s="1"/>
  <c r="P3149" i="4"/>
  <c r="Q3149" i="4" s="1"/>
  <c r="R3149" i="4" s="1"/>
  <c r="P3150" i="4"/>
  <c r="Q3150" i="4" s="1"/>
  <c r="R3150" i="4" s="1"/>
  <c r="P3151" i="4"/>
  <c r="Q3151" i="4" s="1"/>
  <c r="R3151" i="4" s="1"/>
  <c r="P3152" i="4"/>
  <c r="Q3152" i="4" s="1"/>
  <c r="R3152" i="4" s="1"/>
  <c r="P3153" i="4"/>
  <c r="Q3153" i="4" s="1"/>
  <c r="R3153" i="4" s="1"/>
  <c r="P3154" i="4"/>
  <c r="Q3154" i="4" s="1"/>
  <c r="R3154" i="4" s="1"/>
  <c r="P3155" i="4"/>
  <c r="Q3155" i="4" s="1"/>
  <c r="R3155" i="4" s="1"/>
  <c r="P3156" i="4"/>
  <c r="Q3156" i="4" s="1"/>
  <c r="R3156" i="4" s="1"/>
  <c r="P3157" i="4"/>
  <c r="Q3157" i="4" s="1"/>
  <c r="R3157" i="4" s="1"/>
  <c r="P3158" i="4"/>
  <c r="Q3158" i="4" s="1"/>
  <c r="R3158" i="4" s="1"/>
  <c r="P3159" i="4"/>
  <c r="Q3159" i="4" s="1"/>
  <c r="R3159" i="4" s="1"/>
  <c r="P3160" i="4"/>
  <c r="Q3160" i="4" s="1"/>
  <c r="R3160" i="4" s="1"/>
  <c r="P3161" i="4"/>
  <c r="Q3161" i="4" s="1"/>
  <c r="R3161" i="4" s="1"/>
  <c r="P3162" i="4"/>
  <c r="Q3162" i="4" s="1"/>
  <c r="R3162" i="4" s="1"/>
  <c r="P3163" i="4"/>
  <c r="Q3163" i="4" s="1"/>
  <c r="R3163" i="4" s="1"/>
  <c r="P3164" i="4"/>
  <c r="Q3164" i="4" s="1"/>
  <c r="R3164" i="4" s="1"/>
  <c r="P3165" i="4"/>
  <c r="Q3165" i="4" s="1"/>
  <c r="R3165" i="4" s="1"/>
  <c r="P3166" i="4"/>
  <c r="Q3166" i="4" s="1"/>
  <c r="R3166" i="4" s="1"/>
  <c r="P3167" i="4"/>
  <c r="Q3167" i="4" s="1"/>
  <c r="R3167" i="4" s="1"/>
  <c r="P3168" i="4"/>
  <c r="Q3168" i="4" s="1"/>
  <c r="R3168" i="4" s="1"/>
  <c r="P3169" i="4"/>
  <c r="Q3169" i="4" s="1"/>
  <c r="R3169" i="4" s="1"/>
  <c r="P3170" i="4"/>
  <c r="Q3170" i="4" s="1"/>
  <c r="R3170" i="4" s="1"/>
  <c r="P3171" i="4"/>
  <c r="Q3171" i="4" s="1"/>
  <c r="R3171" i="4" s="1"/>
  <c r="P3172" i="4"/>
  <c r="Q3172" i="4" s="1"/>
  <c r="R3172" i="4" s="1"/>
  <c r="P3173" i="4"/>
  <c r="Q3173" i="4" s="1"/>
  <c r="R3173" i="4" s="1"/>
  <c r="P3174" i="4"/>
  <c r="Q3174" i="4" s="1"/>
  <c r="R3174" i="4" s="1"/>
  <c r="P3175" i="4"/>
  <c r="Q3175" i="4" s="1"/>
  <c r="R3175" i="4" s="1"/>
  <c r="P3176" i="4"/>
  <c r="Q3176" i="4" s="1"/>
  <c r="R3176" i="4" s="1"/>
  <c r="P3177" i="4"/>
  <c r="Q3177" i="4" s="1"/>
  <c r="R3177" i="4" s="1"/>
  <c r="P3178" i="4"/>
  <c r="Q3178" i="4" s="1"/>
  <c r="R3178" i="4" s="1"/>
  <c r="P3179" i="4"/>
  <c r="Q3179" i="4" s="1"/>
  <c r="R3179" i="4" s="1"/>
  <c r="P3180" i="4"/>
  <c r="Q3180" i="4" s="1"/>
  <c r="R3180" i="4" s="1"/>
  <c r="P3181" i="4"/>
  <c r="Q3181" i="4" s="1"/>
  <c r="R3181" i="4" s="1"/>
  <c r="P3182" i="4"/>
  <c r="Q3182" i="4" s="1"/>
  <c r="R3182" i="4" s="1"/>
  <c r="P3183" i="4"/>
  <c r="Q3183" i="4" s="1"/>
  <c r="R3183" i="4" s="1"/>
  <c r="P3184" i="4"/>
  <c r="Q3184" i="4" s="1"/>
  <c r="R3184" i="4" s="1"/>
  <c r="P3185" i="4"/>
  <c r="Q3185" i="4" s="1"/>
  <c r="R3185" i="4" s="1"/>
  <c r="P3186" i="4"/>
  <c r="Q3186" i="4" s="1"/>
  <c r="R3186" i="4" s="1"/>
  <c r="P3187" i="4"/>
  <c r="Q3187" i="4" s="1"/>
  <c r="R3187" i="4" s="1"/>
  <c r="P3188" i="4"/>
  <c r="Q3188" i="4" s="1"/>
  <c r="R3188" i="4" s="1"/>
  <c r="P3189" i="4"/>
  <c r="Q3189" i="4" s="1"/>
  <c r="R3189" i="4" s="1"/>
  <c r="P3190" i="4"/>
  <c r="Q3190" i="4" s="1"/>
  <c r="R3190" i="4" s="1"/>
  <c r="P3191" i="4"/>
  <c r="Q3191" i="4" s="1"/>
  <c r="R3191" i="4" s="1"/>
  <c r="P3192" i="4"/>
  <c r="Q3192" i="4" s="1"/>
  <c r="R3192" i="4" s="1"/>
  <c r="P3193" i="4"/>
  <c r="Q3193" i="4" s="1"/>
  <c r="R3193" i="4" s="1"/>
  <c r="P3194" i="4"/>
  <c r="Q3194" i="4" s="1"/>
  <c r="R3194" i="4" s="1"/>
  <c r="P3195" i="4"/>
  <c r="Q3195" i="4" s="1"/>
  <c r="R3195" i="4" s="1"/>
  <c r="P3196" i="4"/>
  <c r="Q3196" i="4" s="1"/>
  <c r="R3196" i="4" s="1"/>
  <c r="P3197" i="4"/>
  <c r="Q3197" i="4" s="1"/>
  <c r="R3197" i="4" s="1"/>
  <c r="P3198" i="4"/>
  <c r="Q3198" i="4" s="1"/>
  <c r="R3198" i="4" s="1"/>
  <c r="P3199" i="4"/>
  <c r="Q3199" i="4" s="1"/>
  <c r="R3199" i="4" s="1"/>
  <c r="P3200" i="4"/>
  <c r="Q3200" i="4" s="1"/>
  <c r="R3200" i="4" s="1"/>
  <c r="P3201" i="4"/>
  <c r="Q3201" i="4" s="1"/>
  <c r="R3201" i="4" s="1"/>
  <c r="P3202" i="4"/>
  <c r="Q3202" i="4" s="1"/>
  <c r="R3202" i="4" s="1"/>
  <c r="P3203" i="4"/>
  <c r="Q3203" i="4" s="1"/>
  <c r="R3203" i="4" s="1"/>
  <c r="P3204" i="4"/>
  <c r="Q3204" i="4" s="1"/>
  <c r="R3204" i="4" s="1"/>
  <c r="P3205" i="4"/>
  <c r="Q3205" i="4" s="1"/>
  <c r="R3205" i="4" s="1"/>
  <c r="P3206" i="4"/>
  <c r="Q3206" i="4" s="1"/>
  <c r="R3206" i="4" s="1"/>
  <c r="P3207" i="4"/>
  <c r="Q3207" i="4" s="1"/>
  <c r="R3207" i="4" s="1"/>
  <c r="P3208" i="4"/>
  <c r="Q3208" i="4" s="1"/>
  <c r="R3208" i="4" s="1"/>
  <c r="P3209" i="4"/>
  <c r="Q3209" i="4" s="1"/>
  <c r="R3209" i="4" s="1"/>
  <c r="P3210" i="4"/>
  <c r="Q3210" i="4" s="1"/>
  <c r="R3210" i="4" s="1"/>
  <c r="P3211" i="4"/>
  <c r="Q3211" i="4" s="1"/>
  <c r="R3211" i="4" s="1"/>
  <c r="P3212" i="4"/>
  <c r="Q3212" i="4" s="1"/>
  <c r="R3212" i="4" s="1"/>
  <c r="P3213" i="4"/>
  <c r="Q3213" i="4" s="1"/>
  <c r="R3213" i="4" s="1"/>
  <c r="P3214" i="4"/>
  <c r="Q3214" i="4" s="1"/>
  <c r="R3214" i="4" s="1"/>
  <c r="P3215" i="4"/>
  <c r="Q3215" i="4" s="1"/>
  <c r="R3215" i="4" s="1"/>
  <c r="P3216" i="4"/>
  <c r="Q3216" i="4" s="1"/>
  <c r="R3216" i="4" s="1"/>
  <c r="P3217" i="4"/>
  <c r="Q3217" i="4" s="1"/>
  <c r="R3217" i="4" s="1"/>
  <c r="P3218" i="4"/>
  <c r="Q3218" i="4" s="1"/>
  <c r="R3218" i="4" s="1"/>
  <c r="P3219" i="4"/>
  <c r="Q3219" i="4" s="1"/>
  <c r="R3219" i="4" s="1"/>
  <c r="P3220" i="4"/>
  <c r="Q3220" i="4" s="1"/>
  <c r="R3220" i="4" s="1"/>
  <c r="P3221" i="4"/>
  <c r="Q3221" i="4" s="1"/>
  <c r="R3221" i="4" s="1"/>
  <c r="P3222" i="4"/>
  <c r="Q3222" i="4" s="1"/>
  <c r="R3222" i="4" s="1"/>
  <c r="P3223" i="4"/>
  <c r="Q3223" i="4" s="1"/>
  <c r="R3223" i="4" s="1"/>
  <c r="P3224" i="4"/>
  <c r="Q3224" i="4" s="1"/>
  <c r="R3224" i="4" s="1"/>
  <c r="P3225" i="4"/>
  <c r="Q3225" i="4" s="1"/>
  <c r="R3225" i="4" s="1"/>
  <c r="P3226" i="4"/>
  <c r="Q3226" i="4" s="1"/>
  <c r="R3226" i="4" s="1"/>
  <c r="P3227" i="4"/>
  <c r="Q3227" i="4" s="1"/>
  <c r="R3227" i="4" s="1"/>
  <c r="P3228" i="4"/>
  <c r="Q3228" i="4" s="1"/>
  <c r="R3228" i="4" s="1"/>
  <c r="P3229" i="4"/>
  <c r="Q3229" i="4" s="1"/>
  <c r="R3229" i="4" s="1"/>
  <c r="P3230" i="4"/>
  <c r="Q3230" i="4" s="1"/>
  <c r="R3230" i="4" s="1"/>
  <c r="P3231" i="4"/>
  <c r="Q3231" i="4" s="1"/>
  <c r="R3231" i="4" s="1"/>
  <c r="P3232" i="4"/>
  <c r="Q3232" i="4" s="1"/>
  <c r="R3232" i="4" s="1"/>
  <c r="P3233" i="4"/>
  <c r="Q3233" i="4" s="1"/>
  <c r="R3233" i="4" s="1"/>
  <c r="P3234" i="4"/>
  <c r="Q3234" i="4" s="1"/>
  <c r="R3234" i="4" s="1"/>
  <c r="P3235" i="4"/>
  <c r="Q3235" i="4" s="1"/>
  <c r="R3235" i="4" s="1"/>
  <c r="P3236" i="4"/>
  <c r="Q3236" i="4" s="1"/>
  <c r="R3236" i="4" s="1"/>
  <c r="P3237" i="4"/>
  <c r="Q3237" i="4" s="1"/>
  <c r="R3237" i="4" s="1"/>
  <c r="P3238" i="4"/>
  <c r="Q3238" i="4" s="1"/>
  <c r="R3238" i="4" s="1"/>
  <c r="P3239" i="4"/>
  <c r="Q3239" i="4" s="1"/>
  <c r="R3239" i="4" s="1"/>
  <c r="P3240" i="4"/>
  <c r="Q3240" i="4" s="1"/>
  <c r="R3240" i="4" s="1"/>
  <c r="P3241" i="4"/>
  <c r="Q3241" i="4" s="1"/>
  <c r="R3241" i="4" s="1"/>
  <c r="P3242" i="4"/>
  <c r="Q3242" i="4" s="1"/>
  <c r="R3242" i="4" s="1"/>
  <c r="P3243" i="4"/>
  <c r="Q3243" i="4" s="1"/>
  <c r="R3243" i="4" s="1"/>
  <c r="P3244" i="4"/>
  <c r="Q3244" i="4" s="1"/>
  <c r="R3244" i="4" s="1"/>
  <c r="P3245" i="4"/>
  <c r="Q3245" i="4" s="1"/>
  <c r="R3245" i="4" s="1"/>
  <c r="P3246" i="4"/>
  <c r="Q3246" i="4" s="1"/>
  <c r="R3246" i="4" s="1"/>
  <c r="P3247" i="4"/>
  <c r="Q3247" i="4" s="1"/>
  <c r="R3247" i="4" s="1"/>
  <c r="P3248" i="4"/>
  <c r="Q3248" i="4" s="1"/>
  <c r="R3248" i="4" s="1"/>
  <c r="P3249" i="4"/>
  <c r="Q3249" i="4" s="1"/>
  <c r="R3249" i="4" s="1"/>
  <c r="P3250" i="4"/>
  <c r="Q3250" i="4" s="1"/>
  <c r="R3250" i="4" s="1"/>
  <c r="P3251" i="4"/>
  <c r="Q3251" i="4" s="1"/>
  <c r="R3251" i="4" s="1"/>
  <c r="P3252" i="4"/>
  <c r="Q3252" i="4" s="1"/>
  <c r="R3252" i="4" s="1"/>
  <c r="P3253" i="4"/>
  <c r="Q3253" i="4" s="1"/>
  <c r="R3253" i="4" s="1"/>
  <c r="P3254" i="4"/>
  <c r="Q3254" i="4" s="1"/>
  <c r="R3254" i="4" s="1"/>
  <c r="P3255" i="4"/>
  <c r="Q3255" i="4" s="1"/>
  <c r="R3255" i="4" s="1"/>
  <c r="P3256" i="4"/>
  <c r="Q3256" i="4" s="1"/>
  <c r="R3256" i="4" s="1"/>
  <c r="P3257" i="4"/>
  <c r="Q3257" i="4" s="1"/>
  <c r="R3257" i="4" s="1"/>
  <c r="P3258" i="4"/>
  <c r="Q3258" i="4" s="1"/>
  <c r="R3258" i="4" s="1"/>
  <c r="P3259" i="4"/>
  <c r="Q3259" i="4" s="1"/>
  <c r="R3259" i="4" s="1"/>
  <c r="P3260" i="4"/>
  <c r="Q3260" i="4" s="1"/>
  <c r="R3260" i="4" s="1"/>
  <c r="P3261" i="4"/>
  <c r="Q3261" i="4" s="1"/>
  <c r="R3261" i="4" s="1"/>
  <c r="P3262" i="4"/>
  <c r="Q3262" i="4" s="1"/>
  <c r="R3262" i="4" s="1"/>
  <c r="P3263" i="4"/>
  <c r="Q3263" i="4" s="1"/>
  <c r="R3263" i="4" s="1"/>
  <c r="P3264" i="4"/>
  <c r="Q3264" i="4" s="1"/>
  <c r="R3264" i="4" s="1"/>
  <c r="P3265" i="4"/>
  <c r="Q3265" i="4" s="1"/>
  <c r="R3265" i="4" s="1"/>
  <c r="P3266" i="4"/>
  <c r="Q3266" i="4" s="1"/>
  <c r="R3266" i="4" s="1"/>
  <c r="P3267" i="4"/>
  <c r="Q3267" i="4" s="1"/>
  <c r="R3267" i="4" s="1"/>
  <c r="P3268" i="4"/>
  <c r="Q3268" i="4" s="1"/>
  <c r="R3268" i="4" s="1"/>
  <c r="P3269" i="4"/>
  <c r="Q3269" i="4" s="1"/>
  <c r="R3269" i="4" s="1"/>
  <c r="P3270" i="4"/>
  <c r="Q3270" i="4" s="1"/>
  <c r="R3270" i="4" s="1"/>
  <c r="P3271" i="4"/>
  <c r="Q3271" i="4" s="1"/>
  <c r="R3271" i="4" s="1"/>
  <c r="P3272" i="4"/>
  <c r="Q3272" i="4" s="1"/>
  <c r="R3272" i="4" s="1"/>
  <c r="P3273" i="4"/>
  <c r="Q3273" i="4" s="1"/>
  <c r="R3273" i="4" s="1"/>
  <c r="P3274" i="4"/>
  <c r="Q3274" i="4" s="1"/>
  <c r="R3274" i="4" s="1"/>
  <c r="P3275" i="4"/>
  <c r="Q3275" i="4" s="1"/>
  <c r="R3275" i="4" s="1"/>
  <c r="P3276" i="4"/>
  <c r="Q3276" i="4" s="1"/>
  <c r="R3276" i="4" s="1"/>
  <c r="P3277" i="4"/>
  <c r="Q3277" i="4" s="1"/>
  <c r="R3277" i="4" s="1"/>
  <c r="P3278" i="4"/>
  <c r="Q3278" i="4" s="1"/>
  <c r="R3278" i="4" s="1"/>
  <c r="P3279" i="4"/>
  <c r="Q3279" i="4" s="1"/>
  <c r="R3279" i="4" s="1"/>
  <c r="P3280" i="4"/>
  <c r="Q3280" i="4" s="1"/>
  <c r="R3280" i="4" s="1"/>
  <c r="P3281" i="4"/>
  <c r="Q3281" i="4" s="1"/>
  <c r="R3281" i="4" s="1"/>
  <c r="P3282" i="4"/>
  <c r="Q3282" i="4" s="1"/>
  <c r="R3282" i="4" s="1"/>
  <c r="P3283" i="4"/>
  <c r="Q3283" i="4" s="1"/>
  <c r="R3283" i="4" s="1"/>
  <c r="P3284" i="4"/>
  <c r="Q3284" i="4" s="1"/>
  <c r="R3284" i="4" s="1"/>
  <c r="P3285" i="4"/>
  <c r="Q3285" i="4" s="1"/>
  <c r="R3285" i="4" s="1"/>
  <c r="P3286" i="4"/>
  <c r="Q3286" i="4" s="1"/>
  <c r="R3286" i="4" s="1"/>
  <c r="P3287" i="4"/>
  <c r="Q3287" i="4" s="1"/>
  <c r="R3287" i="4" s="1"/>
  <c r="P3288" i="4"/>
  <c r="Q3288" i="4" s="1"/>
  <c r="R3288" i="4" s="1"/>
  <c r="P3289" i="4"/>
  <c r="Q3289" i="4" s="1"/>
  <c r="R3289" i="4" s="1"/>
  <c r="P3290" i="4"/>
  <c r="Q3290" i="4" s="1"/>
  <c r="R3290" i="4" s="1"/>
  <c r="P3291" i="4"/>
  <c r="Q3291" i="4" s="1"/>
  <c r="R3291" i="4" s="1"/>
  <c r="P3292" i="4"/>
  <c r="Q3292" i="4" s="1"/>
  <c r="R3292" i="4" s="1"/>
  <c r="P3293" i="4"/>
  <c r="Q3293" i="4" s="1"/>
  <c r="R3293" i="4" s="1"/>
  <c r="P3294" i="4"/>
  <c r="Q3294" i="4" s="1"/>
  <c r="R3294" i="4" s="1"/>
  <c r="P3295" i="4"/>
  <c r="Q3295" i="4" s="1"/>
  <c r="R3295" i="4" s="1"/>
  <c r="P3296" i="4"/>
  <c r="Q3296" i="4" s="1"/>
  <c r="R3296" i="4" s="1"/>
  <c r="P3297" i="4"/>
  <c r="Q3297" i="4" s="1"/>
  <c r="R3297" i="4" s="1"/>
  <c r="P3298" i="4"/>
  <c r="Q3298" i="4" s="1"/>
  <c r="R3298" i="4" s="1"/>
  <c r="P3299" i="4"/>
  <c r="Q3299" i="4" s="1"/>
  <c r="R3299" i="4" s="1"/>
  <c r="P3300" i="4"/>
  <c r="Q3300" i="4" s="1"/>
  <c r="R3300" i="4" s="1"/>
  <c r="P3301" i="4"/>
  <c r="Q3301" i="4" s="1"/>
  <c r="R3301" i="4" s="1"/>
  <c r="P3302" i="4"/>
  <c r="Q3302" i="4" s="1"/>
  <c r="R3302" i="4" s="1"/>
  <c r="P3303" i="4"/>
  <c r="Q3303" i="4" s="1"/>
  <c r="R3303" i="4" s="1"/>
  <c r="P3304" i="4"/>
  <c r="Q3304" i="4" s="1"/>
  <c r="R3304" i="4" s="1"/>
  <c r="P3305" i="4"/>
  <c r="Q3305" i="4" s="1"/>
  <c r="R3305" i="4" s="1"/>
  <c r="P3306" i="4"/>
  <c r="Q3306" i="4" s="1"/>
  <c r="R3306" i="4" s="1"/>
  <c r="P3307" i="4"/>
  <c r="Q3307" i="4" s="1"/>
  <c r="R3307" i="4" s="1"/>
  <c r="P3308" i="4"/>
  <c r="Q3308" i="4" s="1"/>
  <c r="R3308" i="4" s="1"/>
  <c r="P3309" i="4"/>
  <c r="Q3309" i="4" s="1"/>
  <c r="R3309" i="4" s="1"/>
  <c r="P3310" i="4"/>
  <c r="Q3310" i="4" s="1"/>
  <c r="R3310" i="4" s="1"/>
  <c r="P3311" i="4"/>
  <c r="Q3311" i="4" s="1"/>
  <c r="R3311" i="4" s="1"/>
  <c r="P3312" i="4"/>
  <c r="Q3312" i="4" s="1"/>
  <c r="R3312" i="4" s="1"/>
  <c r="P3313" i="4"/>
  <c r="Q3313" i="4" s="1"/>
  <c r="R3313" i="4" s="1"/>
  <c r="P3314" i="4"/>
  <c r="Q3314" i="4" s="1"/>
  <c r="R3314" i="4" s="1"/>
  <c r="P3315" i="4"/>
  <c r="Q3315" i="4" s="1"/>
  <c r="R3315" i="4" s="1"/>
  <c r="P3316" i="4"/>
  <c r="Q3316" i="4" s="1"/>
  <c r="R3316" i="4" s="1"/>
  <c r="P3317" i="4"/>
  <c r="Q3317" i="4" s="1"/>
  <c r="R3317" i="4" s="1"/>
  <c r="P3318" i="4"/>
  <c r="Q3318" i="4" s="1"/>
  <c r="R3318" i="4" s="1"/>
  <c r="P3319" i="4"/>
  <c r="Q3319" i="4" s="1"/>
  <c r="R3319" i="4" s="1"/>
  <c r="P3320" i="4"/>
  <c r="Q3320" i="4" s="1"/>
  <c r="R3320" i="4" s="1"/>
  <c r="P3321" i="4"/>
  <c r="Q3321" i="4" s="1"/>
  <c r="R3321" i="4" s="1"/>
  <c r="P3322" i="4"/>
  <c r="Q3322" i="4" s="1"/>
  <c r="R3322" i="4" s="1"/>
  <c r="P3323" i="4"/>
  <c r="Q3323" i="4" s="1"/>
  <c r="R3323" i="4" s="1"/>
  <c r="P3324" i="4"/>
  <c r="Q3324" i="4" s="1"/>
  <c r="R3324" i="4" s="1"/>
  <c r="P3325" i="4"/>
  <c r="Q3325" i="4" s="1"/>
  <c r="R3325" i="4" s="1"/>
  <c r="P3326" i="4"/>
  <c r="Q3326" i="4" s="1"/>
  <c r="R3326" i="4" s="1"/>
  <c r="P3327" i="4"/>
  <c r="Q3327" i="4" s="1"/>
  <c r="R3327" i="4" s="1"/>
  <c r="P3328" i="4"/>
  <c r="Q3328" i="4" s="1"/>
  <c r="R3328" i="4" s="1"/>
  <c r="P3329" i="4"/>
  <c r="Q3329" i="4" s="1"/>
  <c r="R3329" i="4" s="1"/>
  <c r="P3330" i="4"/>
  <c r="Q3330" i="4" s="1"/>
  <c r="R3330" i="4" s="1"/>
  <c r="P3331" i="4"/>
  <c r="Q3331" i="4" s="1"/>
  <c r="R3331" i="4" s="1"/>
  <c r="P3332" i="4"/>
  <c r="Q3332" i="4" s="1"/>
  <c r="R3332" i="4" s="1"/>
  <c r="P3333" i="4"/>
  <c r="Q3333" i="4" s="1"/>
  <c r="R3333" i="4" s="1"/>
  <c r="P3334" i="4"/>
  <c r="Q3334" i="4" s="1"/>
  <c r="R3334" i="4" s="1"/>
  <c r="P3335" i="4"/>
  <c r="Q3335" i="4" s="1"/>
  <c r="R3335" i="4" s="1"/>
  <c r="P3336" i="4"/>
  <c r="Q3336" i="4" s="1"/>
  <c r="R3336" i="4" s="1"/>
  <c r="P3337" i="4"/>
  <c r="Q3337" i="4" s="1"/>
  <c r="R3337" i="4" s="1"/>
  <c r="P3338" i="4"/>
  <c r="Q3338" i="4" s="1"/>
  <c r="R3338" i="4" s="1"/>
  <c r="P3339" i="4"/>
  <c r="Q3339" i="4" s="1"/>
  <c r="R3339" i="4" s="1"/>
  <c r="P3340" i="4"/>
  <c r="Q3340" i="4" s="1"/>
  <c r="R3340" i="4" s="1"/>
  <c r="P3341" i="4"/>
  <c r="Q3341" i="4" s="1"/>
  <c r="R3341" i="4" s="1"/>
  <c r="P3342" i="4"/>
  <c r="Q3342" i="4" s="1"/>
  <c r="R3342" i="4" s="1"/>
  <c r="P3343" i="4"/>
  <c r="Q3343" i="4" s="1"/>
  <c r="R3343" i="4" s="1"/>
  <c r="P3344" i="4"/>
  <c r="Q3344" i="4" s="1"/>
  <c r="R3344" i="4" s="1"/>
  <c r="P3345" i="4"/>
  <c r="Q3345" i="4" s="1"/>
  <c r="R3345" i="4" s="1"/>
  <c r="P3346" i="4"/>
  <c r="Q3346" i="4" s="1"/>
  <c r="R3346" i="4" s="1"/>
  <c r="P3347" i="4"/>
  <c r="Q3347" i="4" s="1"/>
  <c r="R3347" i="4" s="1"/>
  <c r="P3348" i="4"/>
  <c r="Q3348" i="4" s="1"/>
  <c r="R3348" i="4" s="1"/>
  <c r="P3349" i="4"/>
  <c r="Q3349" i="4" s="1"/>
  <c r="R3349" i="4" s="1"/>
  <c r="P3350" i="4"/>
  <c r="Q3350" i="4" s="1"/>
  <c r="R3350" i="4" s="1"/>
  <c r="P3351" i="4"/>
  <c r="Q3351" i="4" s="1"/>
  <c r="R3351" i="4" s="1"/>
  <c r="P3352" i="4"/>
  <c r="Q3352" i="4" s="1"/>
  <c r="R3352" i="4" s="1"/>
  <c r="P3353" i="4"/>
  <c r="Q3353" i="4" s="1"/>
  <c r="R3353" i="4" s="1"/>
  <c r="P3354" i="4"/>
  <c r="Q3354" i="4" s="1"/>
  <c r="R3354" i="4" s="1"/>
  <c r="P3355" i="4"/>
  <c r="Q3355" i="4" s="1"/>
  <c r="R3355" i="4" s="1"/>
  <c r="P3356" i="4"/>
  <c r="Q3356" i="4" s="1"/>
  <c r="R3356" i="4" s="1"/>
  <c r="P3357" i="4"/>
  <c r="Q3357" i="4" s="1"/>
  <c r="R3357" i="4" s="1"/>
  <c r="P3358" i="4"/>
  <c r="Q3358" i="4" s="1"/>
  <c r="R3358" i="4" s="1"/>
  <c r="P3359" i="4"/>
  <c r="Q3359" i="4" s="1"/>
  <c r="R3359" i="4" s="1"/>
  <c r="P3360" i="4"/>
  <c r="Q3360" i="4" s="1"/>
  <c r="R3360" i="4" s="1"/>
  <c r="P3361" i="4"/>
  <c r="Q3361" i="4" s="1"/>
  <c r="R3361" i="4" s="1"/>
  <c r="P3362" i="4"/>
  <c r="Q3362" i="4" s="1"/>
  <c r="R3362" i="4" s="1"/>
  <c r="P3363" i="4"/>
  <c r="Q3363" i="4" s="1"/>
  <c r="R3363" i="4" s="1"/>
  <c r="P3364" i="4"/>
  <c r="Q3364" i="4" s="1"/>
  <c r="R3364" i="4" s="1"/>
  <c r="P3365" i="4"/>
  <c r="Q3365" i="4" s="1"/>
  <c r="R3365" i="4" s="1"/>
  <c r="P3366" i="4"/>
  <c r="Q3366" i="4" s="1"/>
  <c r="R3366" i="4" s="1"/>
  <c r="P3367" i="4"/>
  <c r="Q3367" i="4" s="1"/>
  <c r="R3367" i="4" s="1"/>
  <c r="P3368" i="4"/>
  <c r="Q3368" i="4" s="1"/>
  <c r="R3368" i="4" s="1"/>
  <c r="P3369" i="4"/>
  <c r="Q3369" i="4" s="1"/>
  <c r="R3369" i="4" s="1"/>
  <c r="P3370" i="4"/>
  <c r="Q3370" i="4" s="1"/>
  <c r="R3370" i="4" s="1"/>
  <c r="P3371" i="4"/>
  <c r="Q3371" i="4" s="1"/>
  <c r="R3371" i="4" s="1"/>
  <c r="P3372" i="4"/>
  <c r="Q3372" i="4" s="1"/>
  <c r="R3372" i="4" s="1"/>
  <c r="P3373" i="4"/>
  <c r="Q3373" i="4" s="1"/>
  <c r="R3373" i="4" s="1"/>
  <c r="P3374" i="4"/>
  <c r="Q3374" i="4" s="1"/>
  <c r="R3374" i="4" s="1"/>
  <c r="P3375" i="4"/>
  <c r="Q3375" i="4" s="1"/>
  <c r="R3375" i="4" s="1"/>
  <c r="P3376" i="4"/>
  <c r="Q3376" i="4" s="1"/>
  <c r="R3376" i="4" s="1"/>
  <c r="P3377" i="4"/>
  <c r="Q3377" i="4" s="1"/>
  <c r="R3377" i="4" s="1"/>
  <c r="P3378" i="4"/>
  <c r="Q3378" i="4" s="1"/>
  <c r="R3378" i="4" s="1"/>
  <c r="P3379" i="4"/>
  <c r="Q3379" i="4" s="1"/>
  <c r="R3379" i="4" s="1"/>
  <c r="P3380" i="4"/>
  <c r="Q3380" i="4" s="1"/>
  <c r="R3380" i="4" s="1"/>
  <c r="P3381" i="4"/>
  <c r="Q3381" i="4" s="1"/>
  <c r="R3381" i="4" s="1"/>
  <c r="P3382" i="4"/>
  <c r="Q3382" i="4" s="1"/>
  <c r="R3382" i="4" s="1"/>
  <c r="P3383" i="4"/>
  <c r="Q3383" i="4" s="1"/>
  <c r="R3383" i="4" s="1"/>
  <c r="P3384" i="4"/>
  <c r="Q3384" i="4" s="1"/>
  <c r="R3384" i="4" s="1"/>
  <c r="P3385" i="4"/>
  <c r="Q3385" i="4" s="1"/>
  <c r="R3385" i="4" s="1"/>
  <c r="P3386" i="4"/>
  <c r="Q3386" i="4" s="1"/>
  <c r="R3386" i="4" s="1"/>
  <c r="P3387" i="4"/>
  <c r="Q3387" i="4" s="1"/>
  <c r="R3387" i="4" s="1"/>
  <c r="P3388" i="4"/>
  <c r="Q3388" i="4" s="1"/>
  <c r="R3388" i="4" s="1"/>
  <c r="P3389" i="4"/>
  <c r="Q3389" i="4" s="1"/>
  <c r="R3389" i="4" s="1"/>
  <c r="P3390" i="4"/>
  <c r="Q3390" i="4" s="1"/>
  <c r="R3390" i="4" s="1"/>
  <c r="P3391" i="4"/>
  <c r="Q3391" i="4" s="1"/>
  <c r="R3391" i="4" s="1"/>
  <c r="P3392" i="4"/>
  <c r="Q3392" i="4" s="1"/>
  <c r="R3392" i="4" s="1"/>
  <c r="P3393" i="4"/>
  <c r="Q3393" i="4" s="1"/>
  <c r="R3393" i="4" s="1"/>
  <c r="P3394" i="4"/>
  <c r="Q3394" i="4" s="1"/>
  <c r="R3394" i="4" s="1"/>
  <c r="P3395" i="4"/>
  <c r="Q3395" i="4" s="1"/>
  <c r="R3395" i="4" s="1"/>
  <c r="P3396" i="4"/>
  <c r="Q3396" i="4" s="1"/>
  <c r="R3396" i="4" s="1"/>
  <c r="P3397" i="4"/>
  <c r="Q3397" i="4" s="1"/>
  <c r="R3397" i="4" s="1"/>
  <c r="P3398" i="4"/>
  <c r="Q3398" i="4" s="1"/>
  <c r="R3398" i="4" s="1"/>
  <c r="P3399" i="4"/>
  <c r="Q3399" i="4" s="1"/>
  <c r="R3399" i="4" s="1"/>
  <c r="P3400" i="4"/>
  <c r="Q3400" i="4" s="1"/>
  <c r="R3400" i="4" s="1"/>
  <c r="P3401" i="4"/>
  <c r="Q3401" i="4" s="1"/>
  <c r="R3401" i="4" s="1"/>
  <c r="P3402" i="4"/>
  <c r="Q3402" i="4" s="1"/>
  <c r="R3402" i="4" s="1"/>
  <c r="P3403" i="4"/>
  <c r="Q3403" i="4" s="1"/>
  <c r="R3403" i="4" s="1"/>
  <c r="P3404" i="4"/>
  <c r="Q3404" i="4" s="1"/>
  <c r="R3404" i="4" s="1"/>
  <c r="P3405" i="4"/>
  <c r="Q3405" i="4" s="1"/>
  <c r="R3405" i="4" s="1"/>
  <c r="P3406" i="4"/>
  <c r="Q3406" i="4" s="1"/>
  <c r="R3406" i="4" s="1"/>
  <c r="P3407" i="4"/>
  <c r="Q3407" i="4" s="1"/>
  <c r="R3407" i="4" s="1"/>
  <c r="P3408" i="4"/>
  <c r="Q3408" i="4" s="1"/>
  <c r="R3408" i="4" s="1"/>
  <c r="P3409" i="4"/>
  <c r="Q3409" i="4" s="1"/>
  <c r="R3409" i="4" s="1"/>
  <c r="P3410" i="4"/>
  <c r="Q3410" i="4" s="1"/>
  <c r="R3410" i="4" s="1"/>
  <c r="P3411" i="4"/>
  <c r="Q3411" i="4" s="1"/>
  <c r="R3411" i="4" s="1"/>
  <c r="P3412" i="4"/>
  <c r="Q3412" i="4" s="1"/>
  <c r="R3412" i="4" s="1"/>
  <c r="P3413" i="4"/>
  <c r="Q3413" i="4" s="1"/>
  <c r="R3413" i="4" s="1"/>
  <c r="P3414" i="4"/>
  <c r="Q3414" i="4" s="1"/>
  <c r="R3414" i="4" s="1"/>
  <c r="P3415" i="4"/>
  <c r="Q3415" i="4" s="1"/>
  <c r="R3415" i="4" s="1"/>
  <c r="P3416" i="4"/>
  <c r="Q3416" i="4" s="1"/>
  <c r="R3416" i="4" s="1"/>
  <c r="P3417" i="4"/>
  <c r="Q3417" i="4" s="1"/>
  <c r="R3417" i="4" s="1"/>
  <c r="P3418" i="4"/>
  <c r="Q3418" i="4" s="1"/>
  <c r="R3418" i="4" s="1"/>
  <c r="P3419" i="4"/>
  <c r="Q3419" i="4" s="1"/>
  <c r="R3419" i="4" s="1"/>
  <c r="P3420" i="4"/>
  <c r="Q3420" i="4" s="1"/>
  <c r="R3420" i="4" s="1"/>
  <c r="P3421" i="4"/>
  <c r="Q3421" i="4" s="1"/>
  <c r="R3421" i="4" s="1"/>
  <c r="P3422" i="4"/>
  <c r="Q3422" i="4" s="1"/>
  <c r="R3422" i="4" s="1"/>
  <c r="P3423" i="4"/>
  <c r="Q3423" i="4" s="1"/>
  <c r="R3423" i="4" s="1"/>
  <c r="P3424" i="4"/>
  <c r="Q3424" i="4" s="1"/>
  <c r="R3424" i="4" s="1"/>
  <c r="P3425" i="4"/>
  <c r="Q3425" i="4" s="1"/>
  <c r="R3425" i="4" s="1"/>
  <c r="P3426" i="4"/>
  <c r="Q3426" i="4" s="1"/>
  <c r="R3426" i="4" s="1"/>
  <c r="P3427" i="4"/>
  <c r="Q3427" i="4" s="1"/>
  <c r="R3427" i="4" s="1"/>
  <c r="P3428" i="4"/>
  <c r="Q3428" i="4" s="1"/>
  <c r="R3428" i="4" s="1"/>
  <c r="P3429" i="4"/>
  <c r="Q3429" i="4" s="1"/>
  <c r="R3429" i="4" s="1"/>
  <c r="P3430" i="4"/>
  <c r="Q3430" i="4" s="1"/>
  <c r="R3430" i="4" s="1"/>
  <c r="P3431" i="4"/>
  <c r="Q3431" i="4" s="1"/>
  <c r="R3431" i="4" s="1"/>
  <c r="P3432" i="4"/>
  <c r="Q3432" i="4" s="1"/>
  <c r="R3432" i="4" s="1"/>
  <c r="P3433" i="4"/>
  <c r="Q3433" i="4" s="1"/>
  <c r="R3433" i="4" s="1"/>
  <c r="P3434" i="4"/>
  <c r="Q3434" i="4" s="1"/>
  <c r="R3434" i="4" s="1"/>
  <c r="P3435" i="4"/>
  <c r="Q3435" i="4" s="1"/>
  <c r="R3435" i="4" s="1"/>
  <c r="P3436" i="4"/>
  <c r="Q3436" i="4" s="1"/>
  <c r="R3436" i="4" s="1"/>
  <c r="P3437" i="4"/>
  <c r="Q3437" i="4" s="1"/>
  <c r="R3437" i="4" s="1"/>
  <c r="P3438" i="4"/>
  <c r="Q3438" i="4" s="1"/>
  <c r="R3438" i="4" s="1"/>
  <c r="P3439" i="4"/>
  <c r="Q3439" i="4" s="1"/>
  <c r="R3439" i="4" s="1"/>
  <c r="P3440" i="4"/>
  <c r="Q3440" i="4" s="1"/>
  <c r="R3440" i="4" s="1"/>
  <c r="P3441" i="4"/>
  <c r="Q3441" i="4" s="1"/>
  <c r="R3441" i="4" s="1"/>
  <c r="P3442" i="4"/>
  <c r="Q3442" i="4" s="1"/>
  <c r="R3442" i="4" s="1"/>
  <c r="P3443" i="4"/>
  <c r="Q3443" i="4" s="1"/>
  <c r="R3443" i="4" s="1"/>
  <c r="P3444" i="4"/>
  <c r="Q3444" i="4" s="1"/>
  <c r="R3444" i="4" s="1"/>
  <c r="P3445" i="4"/>
  <c r="Q3445" i="4" s="1"/>
  <c r="R3445" i="4" s="1"/>
  <c r="P3446" i="4"/>
  <c r="Q3446" i="4" s="1"/>
  <c r="R3446" i="4" s="1"/>
  <c r="P3447" i="4"/>
  <c r="Q3447" i="4" s="1"/>
  <c r="R3447" i="4" s="1"/>
  <c r="P3448" i="4"/>
  <c r="Q3448" i="4" s="1"/>
  <c r="R3448" i="4" s="1"/>
  <c r="P3449" i="4"/>
  <c r="Q3449" i="4" s="1"/>
  <c r="R3449" i="4" s="1"/>
  <c r="P3450" i="4"/>
  <c r="Q3450" i="4" s="1"/>
  <c r="R3450" i="4" s="1"/>
  <c r="P3451" i="4"/>
  <c r="Q3451" i="4" s="1"/>
  <c r="R3451" i="4" s="1"/>
  <c r="P3452" i="4"/>
  <c r="Q3452" i="4" s="1"/>
  <c r="R3452" i="4" s="1"/>
  <c r="P3453" i="4"/>
  <c r="Q3453" i="4" s="1"/>
  <c r="R3453" i="4" s="1"/>
  <c r="P3454" i="4"/>
  <c r="Q3454" i="4" s="1"/>
  <c r="R3454" i="4" s="1"/>
  <c r="P3455" i="4"/>
  <c r="Q3455" i="4" s="1"/>
  <c r="R3455" i="4" s="1"/>
  <c r="P3456" i="4"/>
  <c r="Q3456" i="4" s="1"/>
  <c r="R3456" i="4" s="1"/>
  <c r="P3457" i="4"/>
  <c r="Q3457" i="4" s="1"/>
  <c r="R3457" i="4" s="1"/>
  <c r="P3458" i="4"/>
  <c r="Q3458" i="4" s="1"/>
  <c r="R3458" i="4" s="1"/>
  <c r="P3459" i="4"/>
  <c r="Q3459" i="4" s="1"/>
  <c r="R3459" i="4" s="1"/>
  <c r="P3460" i="4"/>
  <c r="Q3460" i="4" s="1"/>
  <c r="R3460" i="4" s="1"/>
  <c r="P3461" i="4"/>
  <c r="Q3461" i="4" s="1"/>
  <c r="R3461" i="4" s="1"/>
  <c r="P3462" i="4"/>
  <c r="Q3462" i="4" s="1"/>
  <c r="R3462" i="4" s="1"/>
  <c r="P3463" i="4"/>
  <c r="Q3463" i="4" s="1"/>
  <c r="R3463" i="4" s="1"/>
  <c r="P3464" i="4"/>
  <c r="Q3464" i="4" s="1"/>
  <c r="R3464" i="4" s="1"/>
  <c r="P3465" i="4"/>
  <c r="Q3465" i="4" s="1"/>
  <c r="R3465" i="4" s="1"/>
  <c r="P3466" i="4"/>
  <c r="Q3466" i="4" s="1"/>
  <c r="R3466" i="4" s="1"/>
  <c r="P3467" i="4"/>
  <c r="Q3467" i="4" s="1"/>
  <c r="R3467" i="4" s="1"/>
  <c r="P3468" i="4"/>
  <c r="Q3468" i="4" s="1"/>
  <c r="R3468" i="4" s="1"/>
  <c r="P3469" i="4"/>
  <c r="Q3469" i="4" s="1"/>
  <c r="R3469" i="4" s="1"/>
  <c r="P3470" i="4"/>
  <c r="Q3470" i="4" s="1"/>
  <c r="R3470" i="4" s="1"/>
  <c r="P3471" i="4"/>
  <c r="Q3471" i="4" s="1"/>
  <c r="R3471" i="4" s="1"/>
  <c r="P3472" i="4"/>
  <c r="Q3472" i="4" s="1"/>
  <c r="R3472" i="4" s="1"/>
  <c r="P3473" i="4"/>
  <c r="Q3473" i="4" s="1"/>
  <c r="R3473" i="4" s="1"/>
  <c r="P3474" i="4"/>
  <c r="Q3474" i="4" s="1"/>
  <c r="R3474" i="4" s="1"/>
  <c r="P3475" i="4"/>
  <c r="Q3475" i="4" s="1"/>
  <c r="R3475" i="4" s="1"/>
  <c r="P3476" i="4"/>
  <c r="Q3476" i="4" s="1"/>
  <c r="R3476" i="4" s="1"/>
  <c r="P3477" i="4"/>
  <c r="Q3477" i="4" s="1"/>
  <c r="R3477" i="4" s="1"/>
  <c r="P3478" i="4"/>
  <c r="Q3478" i="4" s="1"/>
  <c r="R3478" i="4" s="1"/>
  <c r="P3479" i="4"/>
  <c r="Q3479" i="4" s="1"/>
  <c r="R3479" i="4" s="1"/>
  <c r="P3480" i="4"/>
  <c r="Q3480" i="4" s="1"/>
  <c r="R3480" i="4" s="1"/>
  <c r="P3481" i="4"/>
  <c r="Q3481" i="4" s="1"/>
  <c r="R3481" i="4" s="1"/>
  <c r="P3482" i="4"/>
  <c r="Q3482" i="4" s="1"/>
  <c r="R3482" i="4" s="1"/>
  <c r="P3483" i="4"/>
  <c r="Q3483" i="4" s="1"/>
  <c r="R3483" i="4" s="1"/>
  <c r="P3484" i="4"/>
  <c r="Q3484" i="4" s="1"/>
  <c r="R3484" i="4" s="1"/>
  <c r="P3485" i="4"/>
  <c r="Q3485" i="4" s="1"/>
  <c r="R3485" i="4" s="1"/>
  <c r="P3486" i="4"/>
  <c r="Q3486" i="4" s="1"/>
  <c r="R3486" i="4" s="1"/>
  <c r="P3487" i="4"/>
  <c r="Q3487" i="4" s="1"/>
  <c r="R3487" i="4" s="1"/>
  <c r="P3488" i="4"/>
  <c r="Q3488" i="4" s="1"/>
  <c r="R3488" i="4" s="1"/>
  <c r="P3489" i="4"/>
  <c r="Q3489" i="4" s="1"/>
  <c r="R3489" i="4" s="1"/>
  <c r="P3490" i="4"/>
  <c r="Q3490" i="4" s="1"/>
  <c r="R3490" i="4" s="1"/>
  <c r="P3491" i="4"/>
  <c r="Q3491" i="4" s="1"/>
  <c r="R3491" i="4" s="1"/>
  <c r="P3492" i="4"/>
  <c r="Q3492" i="4" s="1"/>
  <c r="R3492" i="4" s="1"/>
  <c r="P3493" i="4"/>
  <c r="Q3493" i="4" s="1"/>
  <c r="R3493" i="4" s="1"/>
  <c r="P3494" i="4"/>
  <c r="Q3494" i="4" s="1"/>
  <c r="R3494" i="4" s="1"/>
  <c r="P3495" i="4"/>
  <c r="Q3495" i="4" s="1"/>
  <c r="R3495" i="4" s="1"/>
  <c r="P3496" i="4"/>
  <c r="Q3496" i="4" s="1"/>
  <c r="R3496" i="4" s="1"/>
  <c r="P3497" i="4"/>
  <c r="Q3497" i="4" s="1"/>
  <c r="R3497" i="4" s="1"/>
  <c r="P3498" i="4"/>
  <c r="Q3498" i="4" s="1"/>
  <c r="R3498" i="4" s="1"/>
  <c r="P3499" i="4"/>
  <c r="Q3499" i="4" s="1"/>
  <c r="R3499" i="4" s="1"/>
  <c r="P3500" i="4"/>
  <c r="Q3500" i="4" s="1"/>
  <c r="R3500" i="4" s="1"/>
  <c r="P3501" i="4"/>
  <c r="Q3501" i="4" s="1"/>
  <c r="R3501" i="4" s="1"/>
  <c r="P3502" i="4"/>
  <c r="Q3502" i="4" s="1"/>
  <c r="R3502" i="4" s="1"/>
  <c r="P3503" i="4"/>
  <c r="Q3503" i="4" s="1"/>
  <c r="R3503" i="4" s="1"/>
  <c r="P3504" i="4"/>
  <c r="Q3504" i="4" s="1"/>
  <c r="R3504" i="4" s="1"/>
  <c r="P3505" i="4"/>
  <c r="Q3505" i="4" s="1"/>
  <c r="R3505" i="4" s="1"/>
  <c r="P3506" i="4"/>
  <c r="Q3506" i="4" s="1"/>
  <c r="R3506" i="4" s="1"/>
  <c r="P3507" i="4"/>
  <c r="Q3507" i="4" s="1"/>
  <c r="R3507" i="4" s="1"/>
  <c r="P3508" i="4"/>
  <c r="Q3508" i="4" s="1"/>
  <c r="R3508" i="4" s="1"/>
  <c r="P3509" i="4"/>
  <c r="Q3509" i="4" s="1"/>
  <c r="R3509" i="4" s="1"/>
  <c r="P3510" i="4"/>
  <c r="Q3510" i="4" s="1"/>
  <c r="R3510" i="4" s="1"/>
  <c r="P3511" i="4"/>
  <c r="Q3511" i="4" s="1"/>
  <c r="R3511" i="4" s="1"/>
  <c r="P3512" i="4"/>
  <c r="Q3512" i="4" s="1"/>
  <c r="R3512" i="4" s="1"/>
  <c r="P3513" i="4"/>
  <c r="Q3513" i="4" s="1"/>
  <c r="R3513" i="4" s="1"/>
  <c r="P3514" i="4"/>
  <c r="Q3514" i="4" s="1"/>
  <c r="R3514" i="4" s="1"/>
  <c r="P3515" i="4"/>
  <c r="Q3515" i="4" s="1"/>
  <c r="R3515" i="4" s="1"/>
  <c r="P3516" i="4"/>
  <c r="Q3516" i="4" s="1"/>
  <c r="R3516" i="4" s="1"/>
  <c r="P3517" i="4"/>
  <c r="Q3517" i="4" s="1"/>
  <c r="R3517" i="4" s="1"/>
  <c r="P3518" i="4"/>
  <c r="Q3518" i="4" s="1"/>
  <c r="R3518" i="4" s="1"/>
  <c r="P3519" i="4"/>
  <c r="Q3519" i="4" s="1"/>
  <c r="R3519" i="4" s="1"/>
  <c r="P3520" i="4"/>
  <c r="Q3520" i="4" s="1"/>
  <c r="R3520" i="4" s="1"/>
  <c r="P3521" i="4"/>
  <c r="Q3521" i="4" s="1"/>
  <c r="R3521" i="4" s="1"/>
  <c r="P3522" i="4"/>
  <c r="Q3522" i="4" s="1"/>
  <c r="R3522" i="4" s="1"/>
  <c r="P3523" i="4"/>
  <c r="Q3523" i="4" s="1"/>
  <c r="R3523" i="4" s="1"/>
  <c r="P3524" i="4"/>
  <c r="Q3524" i="4" s="1"/>
  <c r="R3524" i="4" s="1"/>
  <c r="P3525" i="4"/>
  <c r="Q3525" i="4" s="1"/>
  <c r="R3525" i="4" s="1"/>
  <c r="P3526" i="4"/>
  <c r="Q3526" i="4" s="1"/>
  <c r="R3526" i="4" s="1"/>
  <c r="P3527" i="4"/>
  <c r="Q3527" i="4" s="1"/>
  <c r="R3527" i="4" s="1"/>
  <c r="P3528" i="4"/>
  <c r="Q3528" i="4" s="1"/>
  <c r="R3528" i="4" s="1"/>
  <c r="P3529" i="4"/>
  <c r="Q3529" i="4" s="1"/>
  <c r="R3529" i="4" s="1"/>
  <c r="P3530" i="4"/>
  <c r="Q3530" i="4" s="1"/>
  <c r="R3530" i="4" s="1"/>
  <c r="P3531" i="4"/>
  <c r="Q3531" i="4" s="1"/>
  <c r="R3531" i="4" s="1"/>
  <c r="P3532" i="4"/>
  <c r="Q3532" i="4" s="1"/>
  <c r="R3532" i="4" s="1"/>
  <c r="P3533" i="4"/>
  <c r="Q3533" i="4" s="1"/>
  <c r="R3533" i="4" s="1"/>
  <c r="P3534" i="4"/>
  <c r="Q3534" i="4" s="1"/>
  <c r="R3534" i="4" s="1"/>
  <c r="P3535" i="4"/>
  <c r="Q3535" i="4" s="1"/>
  <c r="R3535" i="4" s="1"/>
  <c r="P3536" i="4"/>
  <c r="Q3536" i="4" s="1"/>
  <c r="R3536" i="4" s="1"/>
  <c r="P3537" i="4"/>
  <c r="Q3537" i="4" s="1"/>
  <c r="R3537" i="4" s="1"/>
  <c r="P3538" i="4"/>
  <c r="Q3538" i="4" s="1"/>
  <c r="R3538" i="4" s="1"/>
  <c r="P3539" i="4"/>
  <c r="Q3539" i="4" s="1"/>
  <c r="R3539" i="4" s="1"/>
  <c r="P3540" i="4"/>
  <c r="Q3540" i="4" s="1"/>
  <c r="R3540" i="4" s="1"/>
  <c r="P3541" i="4"/>
  <c r="Q3541" i="4" s="1"/>
  <c r="R3541" i="4" s="1"/>
  <c r="P3542" i="4"/>
  <c r="Q3542" i="4" s="1"/>
  <c r="R3542" i="4" s="1"/>
  <c r="P3543" i="4"/>
  <c r="Q3543" i="4" s="1"/>
  <c r="R3543" i="4" s="1"/>
  <c r="P3544" i="4"/>
  <c r="Q3544" i="4" s="1"/>
  <c r="R3544" i="4" s="1"/>
  <c r="P3545" i="4"/>
  <c r="Q3545" i="4" s="1"/>
  <c r="R3545" i="4" s="1"/>
  <c r="P3546" i="4"/>
  <c r="Q3546" i="4" s="1"/>
  <c r="R3546" i="4" s="1"/>
  <c r="P3547" i="4"/>
  <c r="Q3547" i="4" s="1"/>
  <c r="R3547" i="4" s="1"/>
  <c r="P3548" i="4"/>
  <c r="Q3548" i="4" s="1"/>
  <c r="R3548" i="4" s="1"/>
  <c r="P3549" i="4"/>
  <c r="Q3549" i="4" s="1"/>
  <c r="R3549" i="4" s="1"/>
  <c r="P3550" i="4"/>
  <c r="Q3550" i="4" s="1"/>
  <c r="R3550" i="4" s="1"/>
  <c r="P3551" i="4"/>
  <c r="Q3551" i="4" s="1"/>
  <c r="R3551" i="4" s="1"/>
  <c r="P3552" i="4"/>
  <c r="Q3552" i="4" s="1"/>
  <c r="R3552" i="4" s="1"/>
  <c r="P3553" i="4"/>
  <c r="Q3553" i="4" s="1"/>
  <c r="R3553" i="4" s="1"/>
  <c r="P3554" i="4"/>
  <c r="Q3554" i="4" s="1"/>
  <c r="R3554" i="4" s="1"/>
  <c r="P3555" i="4"/>
  <c r="Q3555" i="4" s="1"/>
  <c r="R3555" i="4" s="1"/>
  <c r="P3556" i="4"/>
  <c r="Q3556" i="4" s="1"/>
  <c r="R3556" i="4" s="1"/>
  <c r="P3557" i="4"/>
  <c r="Q3557" i="4" s="1"/>
  <c r="R3557" i="4" s="1"/>
  <c r="P3558" i="4"/>
  <c r="Q3558" i="4" s="1"/>
  <c r="R3558" i="4" s="1"/>
  <c r="P3559" i="4"/>
  <c r="Q3559" i="4" s="1"/>
  <c r="R3559" i="4" s="1"/>
  <c r="P3560" i="4"/>
  <c r="Q3560" i="4" s="1"/>
  <c r="R3560" i="4" s="1"/>
  <c r="P3561" i="4"/>
  <c r="Q3561" i="4" s="1"/>
  <c r="R3561" i="4" s="1"/>
  <c r="P3562" i="4"/>
  <c r="Q3562" i="4" s="1"/>
  <c r="R3562" i="4" s="1"/>
  <c r="P3563" i="4"/>
  <c r="Q3563" i="4" s="1"/>
  <c r="R3563" i="4" s="1"/>
  <c r="P3564" i="4"/>
  <c r="Q3564" i="4" s="1"/>
  <c r="R3564" i="4" s="1"/>
  <c r="P3565" i="4"/>
  <c r="Q3565" i="4" s="1"/>
  <c r="R3565" i="4" s="1"/>
  <c r="P3566" i="4"/>
  <c r="Q3566" i="4" s="1"/>
  <c r="R3566" i="4" s="1"/>
  <c r="P3567" i="4"/>
  <c r="Q3567" i="4" s="1"/>
  <c r="R3567" i="4" s="1"/>
  <c r="P3568" i="4"/>
  <c r="Q3568" i="4" s="1"/>
  <c r="R3568" i="4" s="1"/>
  <c r="P3569" i="4"/>
  <c r="Q3569" i="4" s="1"/>
  <c r="R3569" i="4" s="1"/>
  <c r="P3570" i="4"/>
  <c r="Q3570" i="4" s="1"/>
  <c r="R3570" i="4" s="1"/>
  <c r="P3571" i="4"/>
  <c r="Q3571" i="4" s="1"/>
  <c r="R3571" i="4" s="1"/>
  <c r="P3572" i="4"/>
  <c r="Q3572" i="4" s="1"/>
  <c r="R3572" i="4" s="1"/>
  <c r="P3573" i="4"/>
  <c r="Q3573" i="4" s="1"/>
  <c r="R3573" i="4" s="1"/>
  <c r="P3574" i="4"/>
  <c r="Q3574" i="4" s="1"/>
  <c r="R3574" i="4" s="1"/>
  <c r="P3575" i="4"/>
  <c r="Q3575" i="4" s="1"/>
  <c r="R3575" i="4" s="1"/>
  <c r="P3576" i="4"/>
  <c r="Q3576" i="4" s="1"/>
  <c r="R3576" i="4" s="1"/>
  <c r="P3577" i="4"/>
  <c r="Q3577" i="4" s="1"/>
  <c r="R3577" i="4" s="1"/>
  <c r="P3578" i="4"/>
  <c r="Q3578" i="4" s="1"/>
  <c r="R3578" i="4" s="1"/>
  <c r="P3579" i="4"/>
  <c r="Q3579" i="4" s="1"/>
  <c r="R3579" i="4" s="1"/>
  <c r="P3580" i="4"/>
  <c r="Q3580" i="4" s="1"/>
  <c r="R3580" i="4" s="1"/>
  <c r="P3581" i="4"/>
  <c r="Q3581" i="4" s="1"/>
  <c r="R3581" i="4" s="1"/>
  <c r="P3582" i="4"/>
  <c r="Q3582" i="4" s="1"/>
  <c r="R3582" i="4" s="1"/>
  <c r="P3583" i="4"/>
  <c r="Q3583" i="4" s="1"/>
  <c r="R3583" i="4" s="1"/>
  <c r="P3584" i="4"/>
  <c r="Q3584" i="4" s="1"/>
  <c r="R3584" i="4" s="1"/>
  <c r="P3585" i="4"/>
  <c r="Q3585" i="4" s="1"/>
  <c r="R3585" i="4" s="1"/>
  <c r="P3586" i="4"/>
  <c r="Q3586" i="4" s="1"/>
  <c r="R3586" i="4" s="1"/>
  <c r="P3587" i="4"/>
  <c r="Q3587" i="4" s="1"/>
  <c r="R3587" i="4" s="1"/>
  <c r="P3588" i="4"/>
  <c r="Q3588" i="4" s="1"/>
  <c r="R3588" i="4" s="1"/>
  <c r="P3589" i="4"/>
  <c r="Q3589" i="4" s="1"/>
  <c r="R3589" i="4" s="1"/>
  <c r="P3590" i="4"/>
  <c r="Q3590" i="4" s="1"/>
  <c r="R3590" i="4" s="1"/>
  <c r="P3591" i="4"/>
  <c r="Q3591" i="4" s="1"/>
  <c r="R3591" i="4" s="1"/>
  <c r="P3592" i="4"/>
  <c r="Q3592" i="4" s="1"/>
  <c r="R3592" i="4" s="1"/>
  <c r="P3593" i="4"/>
  <c r="Q3593" i="4" s="1"/>
  <c r="R3593" i="4" s="1"/>
  <c r="P3594" i="4"/>
  <c r="Q3594" i="4" s="1"/>
  <c r="R3594" i="4" s="1"/>
  <c r="P3595" i="4"/>
  <c r="Q3595" i="4" s="1"/>
  <c r="R3595" i="4" s="1"/>
  <c r="P3596" i="4"/>
  <c r="Q3596" i="4" s="1"/>
  <c r="R3596" i="4" s="1"/>
  <c r="P3597" i="4"/>
  <c r="Q3597" i="4" s="1"/>
  <c r="R3597" i="4" s="1"/>
  <c r="P3598" i="4"/>
  <c r="Q3598" i="4" s="1"/>
  <c r="R3598" i="4" s="1"/>
  <c r="P3599" i="4"/>
  <c r="Q3599" i="4" s="1"/>
  <c r="R3599" i="4" s="1"/>
  <c r="P3600" i="4"/>
  <c r="Q3600" i="4" s="1"/>
  <c r="R3600" i="4" s="1"/>
  <c r="P3601" i="4"/>
  <c r="Q3601" i="4" s="1"/>
  <c r="R3601" i="4" s="1"/>
  <c r="P3602" i="4"/>
  <c r="Q3602" i="4" s="1"/>
  <c r="R3602" i="4" s="1"/>
  <c r="P3603" i="4"/>
  <c r="Q3603" i="4" s="1"/>
  <c r="R3603" i="4" s="1"/>
  <c r="P3604" i="4"/>
  <c r="Q3604" i="4" s="1"/>
  <c r="R3604" i="4" s="1"/>
  <c r="P3605" i="4"/>
  <c r="Q3605" i="4" s="1"/>
  <c r="R3605" i="4" s="1"/>
  <c r="P3606" i="4"/>
  <c r="Q3606" i="4" s="1"/>
  <c r="R3606" i="4" s="1"/>
  <c r="P3607" i="4"/>
  <c r="Q3607" i="4" s="1"/>
  <c r="R3607" i="4" s="1"/>
  <c r="P3608" i="4"/>
  <c r="Q3608" i="4" s="1"/>
  <c r="R3608" i="4" s="1"/>
  <c r="P3609" i="4"/>
  <c r="Q3609" i="4" s="1"/>
  <c r="R3609" i="4" s="1"/>
  <c r="P3610" i="4"/>
  <c r="Q3610" i="4" s="1"/>
  <c r="R3610" i="4" s="1"/>
  <c r="P3611" i="4"/>
  <c r="Q3611" i="4" s="1"/>
  <c r="R3611" i="4" s="1"/>
  <c r="P3612" i="4"/>
  <c r="Q3612" i="4" s="1"/>
  <c r="R3612" i="4" s="1"/>
  <c r="P3613" i="4"/>
  <c r="Q3613" i="4" s="1"/>
  <c r="R3613" i="4" s="1"/>
  <c r="P3614" i="4"/>
  <c r="Q3614" i="4" s="1"/>
  <c r="R3614" i="4" s="1"/>
  <c r="P3615" i="4"/>
  <c r="Q3615" i="4" s="1"/>
  <c r="R3615" i="4" s="1"/>
  <c r="P3616" i="4"/>
  <c r="Q3616" i="4" s="1"/>
  <c r="R3616" i="4" s="1"/>
  <c r="P3617" i="4"/>
  <c r="Q3617" i="4" s="1"/>
  <c r="R3617" i="4" s="1"/>
  <c r="P3618" i="4"/>
  <c r="Q3618" i="4" s="1"/>
  <c r="R3618" i="4" s="1"/>
  <c r="P3619" i="4"/>
  <c r="Q3619" i="4" s="1"/>
  <c r="R3619" i="4" s="1"/>
  <c r="P3620" i="4"/>
  <c r="Q3620" i="4" s="1"/>
  <c r="R3620" i="4" s="1"/>
  <c r="P3621" i="4"/>
  <c r="Q3621" i="4" s="1"/>
  <c r="R3621" i="4" s="1"/>
  <c r="P3622" i="4"/>
  <c r="Q3622" i="4" s="1"/>
  <c r="R3622" i="4" s="1"/>
  <c r="P3623" i="4"/>
  <c r="Q3623" i="4" s="1"/>
  <c r="R3623" i="4" s="1"/>
  <c r="P3624" i="4"/>
  <c r="Q3624" i="4" s="1"/>
  <c r="R3624" i="4" s="1"/>
  <c r="P3625" i="4"/>
  <c r="Q3625" i="4" s="1"/>
  <c r="R3625" i="4" s="1"/>
  <c r="P3626" i="4"/>
  <c r="Q3626" i="4" s="1"/>
  <c r="R3626" i="4" s="1"/>
  <c r="P3627" i="4"/>
  <c r="Q3627" i="4" s="1"/>
  <c r="R3627" i="4" s="1"/>
  <c r="P3628" i="4"/>
  <c r="Q3628" i="4" s="1"/>
  <c r="R3628" i="4" s="1"/>
  <c r="P3629" i="4"/>
  <c r="Q3629" i="4" s="1"/>
  <c r="R3629" i="4" s="1"/>
  <c r="P3630" i="4"/>
  <c r="Q3630" i="4" s="1"/>
  <c r="R3630" i="4" s="1"/>
  <c r="P3631" i="4"/>
  <c r="Q3631" i="4" s="1"/>
  <c r="R3631" i="4" s="1"/>
  <c r="P3632" i="4"/>
  <c r="Q3632" i="4" s="1"/>
  <c r="R3632" i="4" s="1"/>
  <c r="P3633" i="4"/>
  <c r="Q3633" i="4" s="1"/>
  <c r="R3633" i="4" s="1"/>
  <c r="P3634" i="4"/>
  <c r="Q3634" i="4" s="1"/>
  <c r="R3634" i="4" s="1"/>
  <c r="P3635" i="4"/>
  <c r="Q3635" i="4" s="1"/>
  <c r="R3635" i="4" s="1"/>
  <c r="P3636" i="4"/>
  <c r="Q3636" i="4" s="1"/>
  <c r="R3636" i="4" s="1"/>
  <c r="P3637" i="4"/>
  <c r="Q3637" i="4" s="1"/>
  <c r="R3637" i="4" s="1"/>
  <c r="P3638" i="4"/>
  <c r="Q3638" i="4" s="1"/>
  <c r="R3638" i="4" s="1"/>
  <c r="P3639" i="4"/>
  <c r="Q3639" i="4" s="1"/>
  <c r="R3639" i="4" s="1"/>
  <c r="P3640" i="4"/>
  <c r="Q3640" i="4" s="1"/>
  <c r="R3640" i="4" s="1"/>
  <c r="P3641" i="4"/>
  <c r="Q3641" i="4" s="1"/>
  <c r="R3641" i="4" s="1"/>
  <c r="P3642" i="4"/>
  <c r="Q3642" i="4" s="1"/>
  <c r="R3642" i="4" s="1"/>
  <c r="P3643" i="4"/>
  <c r="Q3643" i="4" s="1"/>
  <c r="R3643" i="4" s="1"/>
  <c r="P3644" i="4"/>
  <c r="Q3644" i="4" s="1"/>
  <c r="R3644" i="4" s="1"/>
  <c r="P3645" i="4"/>
  <c r="Q3645" i="4" s="1"/>
  <c r="R3645" i="4" s="1"/>
  <c r="P3646" i="4"/>
  <c r="Q3646" i="4" s="1"/>
  <c r="R3646" i="4" s="1"/>
  <c r="P3647" i="4"/>
  <c r="Q3647" i="4" s="1"/>
  <c r="R3647" i="4" s="1"/>
  <c r="P3648" i="4"/>
  <c r="Q3648" i="4" s="1"/>
  <c r="R3648" i="4" s="1"/>
  <c r="P3649" i="4"/>
  <c r="Q3649" i="4" s="1"/>
  <c r="R3649" i="4" s="1"/>
  <c r="P3650" i="4"/>
  <c r="Q3650" i="4" s="1"/>
  <c r="R3650" i="4" s="1"/>
  <c r="P3651" i="4"/>
  <c r="Q3651" i="4" s="1"/>
  <c r="R3651" i="4" s="1"/>
  <c r="P3652" i="4"/>
  <c r="Q3652" i="4" s="1"/>
  <c r="R3652" i="4" s="1"/>
  <c r="P3653" i="4"/>
  <c r="Q3653" i="4" s="1"/>
  <c r="R3653" i="4" s="1"/>
  <c r="P3654" i="4"/>
  <c r="Q3654" i="4" s="1"/>
  <c r="R3654" i="4" s="1"/>
  <c r="P3655" i="4"/>
  <c r="Q3655" i="4" s="1"/>
  <c r="R3655" i="4" s="1"/>
  <c r="P3656" i="4"/>
  <c r="Q3656" i="4" s="1"/>
  <c r="R3656" i="4" s="1"/>
  <c r="P3657" i="4"/>
  <c r="Q3657" i="4" s="1"/>
  <c r="R3657" i="4" s="1"/>
  <c r="P3658" i="4"/>
  <c r="Q3658" i="4" s="1"/>
  <c r="R3658" i="4" s="1"/>
  <c r="P3659" i="4"/>
  <c r="Q3659" i="4" s="1"/>
  <c r="R3659" i="4" s="1"/>
  <c r="P3660" i="4"/>
  <c r="Q3660" i="4" s="1"/>
  <c r="R3660" i="4" s="1"/>
  <c r="P3661" i="4"/>
  <c r="Q3661" i="4" s="1"/>
  <c r="R3661" i="4" s="1"/>
  <c r="P3662" i="4"/>
  <c r="Q3662" i="4" s="1"/>
  <c r="R3662" i="4" s="1"/>
  <c r="P3663" i="4"/>
  <c r="Q3663" i="4" s="1"/>
  <c r="R3663" i="4" s="1"/>
  <c r="P3664" i="4"/>
  <c r="Q3664" i="4" s="1"/>
  <c r="R3664" i="4" s="1"/>
  <c r="P3665" i="4"/>
  <c r="Q3665" i="4" s="1"/>
  <c r="R3665" i="4" s="1"/>
  <c r="P3666" i="4"/>
  <c r="Q3666" i="4" s="1"/>
  <c r="R3666" i="4" s="1"/>
  <c r="P3667" i="4"/>
  <c r="Q3667" i="4" s="1"/>
  <c r="R3667" i="4" s="1"/>
  <c r="P3668" i="4"/>
  <c r="Q3668" i="4" s="1"/>
  <c r="R3668" i="4" s="1"/>
  <c r="P3669" i="4"/>
  <c r="Q3669" i="4" s="1"/>
  <c r="R3669" i="4" s="1"/>
  <c r="P3670" i="4"/>
  <c r="Q3670" i="4" s="1"/>
  <c r="R3670" i="4" s="1"/>
  <c r="P3671" i="4"/>
  <c r="Q3671" i="4" s="1"/>
  <c r="R3671" i="4" s="1"/>
  <c r="P3672" i="4"/>
  <c r="Q3672" i="4" s="1"/>
  <c r="R3672" i="4" s="1"/>
  <c r="P3673" i="4"/>
  <c r="Q3673" i="4" s="1"/>
  <c r="R3673" i="4" s="1"/>
  <c r="P3674" i="4"/>
  <c r="Q3674" i="4" s="1"/>
  <c r="R3674" i="4" s="1"/>
  <c r="P3675" i="4"/>
  <c r="Q3675" i="4" s="1"/>
  <c r="R3675" i="4" s="1"/>
  <c r="P3676" i="4"/>
  <c r="Q3676" i="4" s="1"/>
  <c r="R3676" i="4" s="1"/>
  <c r="P3677" i="4"/>
  <c r="Q3677" i="4" s="1"/>
  <c r="R3677" i="4" s="1"/>
  <c r="P3678" i="4"/>
  <c r="Q3678" i="4" s="1"/>
  <c r="R3678" i="4" s="1"/>
  <c r="P3679" i="4"/>
  <c r="Q3679" i="4" s="1"/>
  <c r="R3679" i="4" s="1"/>
  <c r="P3680" i="4"/>
  <c r="Q3680" i="4" s="1"/>
  <c r="R3680" i="4" s="1"/>
  <c r="P3681" i="4"/>
  <c r="Q3681" i="4" s="1"/>
  <c r="R3681" i="4" s="1"/>
  <c r="P3682" i="4"/>
  <c r="Q3682" i="4" s="1"/>
  <c r="R3682" i="4" s="1"/>
  <c r="P3683" i="4"/>
  <c r="Q3683" i="4" s="1"/>
  <c r="R3683" i="4" s="1"/>
  <c r="P3684" i="4"/>
  <c r="Q3684" i="4" s="1"/>
  <c r="R3684" i="4" s="1"/>
  <c r="P3685" i="4"/>
  <c r="Q3685" i="4" s="1"/>
  <c r="R3685" i="4" s="1"/>
  <c r="P3686" i="4"/>
  <c r="Q3686" i="4" s="1"/>
  <c r="R3686" i="4" s="1"/>
  <c r="P3687" i="4"/>
  <c r="Q3687" i="4" s="1"/>
  <c r="R3687" i="4" s="1"/>
  <c r="P3688" i="4"/>
  <c r="Q3688" i="4" s="1"/>
  <c r="R3688" i="4" s="1"/>
  <c r="P3689" i="4"/>
  <c r="Q3689" i="4" s="1"/>
  <c r="R3689" i="4" s="1"/>
  <c r="P3690" i="4"/>
  <c r="Q3690" i="4" s="1"/>
  <c r="R3690" i="4" s="1"/>
  <c r="P3691" i="4"/>
  <c r="Q3691" i="4" s="1"/>
  <c r="R3691" i="4" s="1"/>
  <c r="P3692" i="4"/>
  <c r="Q3692" i="4" s="1"/>
  <c r="R3692" i="4" s="1"/>
  <c r="P3693" i="4"/>
  <c r="Q3693" i="4" s="1"/>
  <c r="R3693" i="4" s="1"/>
  <c r="P3694" i="4"/>
  <c r="Q3694" i="4" s="1"/>
  <c r="R3694" i="4" s="1"/>
  <c r="P3695" i="4"/>
  <c r="Q3695" i="4" s="1"/>
  <c r="R3695" i="4" s="1"/>
  <c r="P3696" i="4"/>
  <c r="Q3696" i="4" s="1"/>
  <c r="R3696" i="4" s="1"/>
  <c r="P3697" i="4"/>
  <c r="Q3697" i="4" s="1"/>
  <c r="R3697" i="4" s="1"/>
  <c r="P3698" i="4"/>
  <c r="Q3698" i="4" s="1"/>
  <c r="R3698" i="4" s="1"/>
  <c r="P3699" i="4"/>
  <c r="Q3699" i="4" s="1"/>
  <c r="R3699" i="4" s="1"/>
  <c r="P3700" i="4"/>
  <c r="Q3700" i="4" s="1"/>
  <c r="R3700" i="4" s="1"/>
  <c r="P3701" i="4"/>
  <c r="Q3701" i="4" s="1"/>
  <c r="R3701" i="4" s="1"/>
  <c r="P3702" i="4"/>
  <c r="Q3702" i="4" s="1"/>
  <c r="R3702" i="4" s="1"/>
  <c r="P3703" i="4"/>
  <c r="Q3703" i="4" s="1"/>
  <c r="R3703" i="4" s="1"/>
  <c r="P3704" i="4"/>
  <c r="Q3704" i="4" s="1"/>
  <c r="R3704" i="4" s="1"/>
  <c r="P3705" i="4"/>
  <c r="Q3705" i="4" s="1"/>
  <c r="R3705" i="4" s="1"/>
  <c r="P3706" i="4"/>
  <c r="Q3706" i="4" s="1"/>
  <c r="R3706" i="4" s="1"/>
  <c r="P3707" i="4"/>
  <c r="Q3707" i="4" s="1"/>
  <c r="R3707" i="4" s="1"/>
  <c r="P3708" i="4"/>
  <c r="Q3708" i="4" s="1"/>
  <c r="R3708" i="4" s="1"/>
  <c r="P3709" i="4"/>
  <c r="Q3709" i="4" s="1"/>
  <c r="R3709" i="4" s="1"/>
  <c r="P3710" i="4"/>
  <c r="Q3710" i="4" s="1"/>
  <c r="R3710" i="4" s="1"/>
  <c r="P3711" i="4"/>
  <c r="Q3711" i="4" s="1"/>
  <c r="R3711" i="4" s="1"/>
  <c r="P3712" i="4"/>
  <c r="Q3712" i="4" s="1"/>
  <c r="R3712" i="4" s="1"/>
  <c r="P3713" i="4"/>
  <c r="Q3713" i="4" s="1"/>
  <c r="R3713" i="4" s="1"/>
  <c r="P3714" i="4"/>
  <c r="Q3714" i="4" s="1"/>
  <c r="R3714" i="4" s="1"/>
  <c r="P3715" i="4"/>
  <c r="Q3715" i="4" s="1"/>
  <c r="R3715" i="4" s="1"/>
  <c r="P3716" i="4"/>
  <c r="Q3716" i="4" s="1"/>
  <c r="R3716" i="4" s="1"/>
  <c r="P3717" i="4"/>
  <c r="Q3717" i="4" s="1"/>
  <c r="R3717" i="4" s="1"/>
  <c r="P3718" i="4"/>
  <c r="Q3718" i="4" s="1"/>
  <c r="R3718" i="4" s="1"/>
  <c r="P3719" i="4"/>
  <c r="Q3719" i="4" s="1"/>
  <c r="R3719" i="4" s="1"/>
  <c r="P3720" i="4"/>
  <c r="Q3720" i="4" s="1"/>
  <c r="R3720" i="4" s="1"/>
  <c r="P3721" i="4"/>
  <c r="Q3721" i="4" s="1"/>
  <c r="R3721" i="4" s="1"/>
  <c r="P3722" i="4"/>
  <c r="Q3722" i="4" s="1"/>
  <c r="R3722" i="4" s="1"/>
  <c r="P3723" i="4"/>
  <c r="Q3723" i="4" s="1"/>
  <c r="R3723" i="4" s="1"/>
  <c r="P3724" i="4"/>
  <c r="Q3724" i="4" s="1"/>
  <c r="R3724" i="4" s="1"/>
  <c r="P3725" i="4"/>
  <c r="Q3725" i="4" s="1"/>
  <c r="R3725" i="4" s="1"/>
  <c r="P3726" i="4"/>
  <c r="Q3726" i="4" s="1"/>
  <c r="R3726" i="4" s="1"/>
  <c r="P3727" i="4"/>
  <c r="Q3727" i="4" s="1"/>
  <c r="R3727" i="4" s="1"/>
  <c r="P3728" i="4"/>
  <c r="Q3728" i="4" s="1"/>
  <c r="R3728" i="4" s="1"/>
  <c r="P3729" i="4"/>
  <c r="Q3729" i="4" s="1"/>
  <c r="R3729" i="4" s="1"/>
  <c r="P3730" i="4"/>
  <c r="Q3730" i="4" s="1"/>
  <c r="R3730" i="4" s="1"/>
  <c r="P3731" i="4"/>
  <c r="Q3731" i="4" s="1"/>
  <c r="R3731" i="4" s="1"/>
  <c r="P3732" i="4"/>
  <c r="Q3732" i="4" s="1"/>
  <c r="R3732" i="4" s="1"/>
  <c r="P3733" i="4"/>
  <c r="Q3733" i="4" s="1"/>
  <c r="R3733" i="4" s="1"/>
  <c r="P3734" i="4"/>
  <c r="Q3734" i="4" s="1"/>
  <c r="R3734" i="4" s="1"/>
  <c r="P3735" i="4"/>
  <c r="Q3735" i="4" s="1"/>
  <c r="R3735" i="4" s="1"/>
  <c r="P3736" i="4"/>
  <c r="Q3736" i="4" s="1"/>
  <c r="R3736" i="4" s="1"/>
  <c r="P3737" i="4"/>
  <c r="Q3737" i="4" s="1"/>
  <c r="R3737" i="4" s="1"/>
  <c r="P3738" i="4"/>
  <c r="Q3738" i="4" s="1"/>
  <c r="R3738" i="4" s="1"/>
  <c r="P3739" i="4"/>
  <c r="Q3739" i="4" s="1"/>
  <c r="R3739" i="4" s="1"/>
  <c r="P3740" i="4"/>
  <c r="Q3740" i="4" s="1"/>
  <c r="R3740" i="4" s="1"/>
  <c r="P3741" i="4"/>
  <c r="Q3741" i="4" s="1"/>
  <c r="R3741" i="4" s="1"/>
  <c r="P3742" i="4"/>
  <c r="Q3742" i="4" s="1"/>
  <c r="R3742" i="4" s="1"/>
  <c r="P3743" i="4"/>
  <c r="Q3743" i="4" s="1"/>
  <c r="R3743" i="4" s="1"/>
  <c r="P3744" i="4"/>
  <c r="Q3744" i="4" s="1"/>
  <c r="R3744" i="4" s="1"/>
  <c r="P3745" i="4"/>
  <c r="Q3745" i="4" s="1"/>
  <c r="R3745" i="4" s="1"/>
  <c r="P3746" i="4"/>
  <c r="Q3746" i="4" s="1"/>
  <c r="R3746" i="4" s="1"/>
  <c r="P3747" i="4"/>
  <c r="Q3747" i="4" s="1"/>
  <c r="R3747" i="4" s="1"/>
  <c r="P3748" i="4"/>
  <c r="Q3748" i="4" s="1"/>
  <c r="R3748" i="4" s="1"/>
  <c r="P3749" i="4"/>
  <c r="Q3749" i="4" s="1"/>
  <c r="R3749" i="4" s="1"/>
  <c r="P3750" i="4"/>
  <c r="Q3750" i="4" s="1"/>
  <c r="R3750" i="4" s="1"/>
  <c r="P3751" i="4"/>
  <c r="Q3751" i="4" s="1"/>
  <c r="R3751" i="4" s="1"/>
  <c r="P3752" i="4"/>
  <c r="Q3752" i="4" s="1"/>
  <c r="R3752" i="4" s="1"/>
  <c r="P3753" i="4"/>
  <c r="Q3753" i="4" s="1"/>
  <c r="R3753" i="4" s="1"/>
  <c r="P3754" i="4"/>
  <c r="Q3754" i="4" s="1"/>
  <c r="R3754" i="4" s="1"/>
  <c r="P3755" i="4"/>
  <c r="Q3755" i="4" s="1"/>
  <c r="R3755" i="4" s="1"/>
  <c r="P3756" i="4"/>
  <c r="Q3756" i="4" s="1"/>
  <c r="R3756" i="4" s="1"/>
  <c r="P3757" i="4"/>
  <c r="Q3757" i="4" s="1"/>
  <c r="R3757" i="4" s="1"/>
  <c r="P3758" i="4"/>
  <c r="Q3758" i="4" s="1"/>
  <c r="R3758" i="4" s="1"/>
  <c r="P3759" i="4"/>
  <c r="Q3759" i="4" s="1"/>
  <c r="R3759" i="4" s="1"/>
  <c r="P3760" i="4"/>
  <c r="Q3760" i="4" s="1"/>
  <c r="R3760" i="4" s="1"/>
  <c r="P3761" i="4"/>
  <c r="Q3761" i="4" s="1"/>
  <c r="R3761" i="4" s="1"/>
  <c r="P3762" i="4"/>
  <c r="Q3762" i="4" s="1"/>
  <c r="R3762" i="4" s="1"/>
  <c r="P3763" i="4"/>
  <c r="Q3763" i="4" s="1"/>
  <c r="R3763" i="4" s="1"/>
  <c r="P3764" i="4"/>
  <c r="Q3764" i="4" s="1"/>
  <c r="R3764" i="4" s="1"/>
  <c r="P3765" i="4"/>
  <c r="Q3765" i="4" s="1"/>
  <c r="R3765" i="4" s="1"/>
  <c r="P3766" i="4"/>
  <c r="Q3766" i="4" s="1"/>
  <c r="R3766" i="4" s="1"/>
  <c r="P3767" i="4"/>
  <c r="Q3767" i="4" s="1"/>
  <c r="R3767" i="4" s="1"/>
  <c r="P3768" i="4"/>
  <c r="Q3768" i="4" s="1"/>
  <c r="R3768" i="4" s="1"/>
  <c r="P3769" i="4"/>
  <c r="Q3769" i="4" s="1"/>
  <c r="R3769" i="4" s="1"/>
  <c r="P3770" i="4"/>
  <c r="Q3770" i="4" s="1"/>
  <c r="R3770" i="4" s="1"/>
  <c r="P3771" i="4"/>
  <c r="Q3771" i="4" s="1"/>
  <c r="R3771" i="4" s="1"/>
  <c r="P3772" i="4"/>
  <c r="Q3772" i="4" s="1"/>
  <c r="R3772" i="4" s="1"/>
  <c r="P3773" i="4"/>
  <c r="Q3773" i="4" s="1"/>
  <c r="R3773" i="4" s="1"/>
  <c r="P3774" i="4"/>
  <c r="Q3774" i="4" s="1"/>
  <c r="R3774" i="4" s="1"/>
  <c r="P3775" i="4"/>
  <c r="Q3775" i="4" s="1"/>
  <c r="R3775" i="4" s="1"/>
  <c r="P3776" i="4"/>
  <c r="Q3776" i="4" s="1"/>
  <c r="R3776" i="4" s="1"/>
  <c r="P3777" i="4"/>
  <c r="Q3777" i="4" s="1"/>
  <c r="R3777" i="4" s="1"/>
  <c r="P3778" i="4"/>
  <c r="Q3778" i="4" s="1"/>
  <c r="R3778" i="4" s="1"/>
  <c r="P3779" i="4"/>
  <c r="Q3779" i="4" s="1"/>
  <c r="R3779" i="4" s="1"/>
  <c r="P3780" i="4"/>
  <c r="Q3780" i="4" s="1"/>
  <c r="R3780" i="4" s="1"/>
  <c r="P3781" i="4"/>
  <c r="Q3781" i="4" s="1"/>
  <c r="R3781" i="4" s="1"/>
  <c r="P3782" i="4"/>
  <c r="Q3782" i="4" s="1"/>
  <c r="R3782" i="4" s="1"/>
  <c r="P3783" i="4"/>
  <c r="Q3783" i="4" s="1"/>
  <c r="R3783" i="4" s="1"/>
  <c r="P3784" i="4"/>
  <c r="Q3784" i="4" s="1"/>
  <c r="R3784" i="4" s="1"/>
  <c r="P3785" i="4"/>
  <c r="Q3785" i="4" s="1"/>
  <c r="R3785" i="4" s="1"/>
  <c r="P3786" i="4"/>
  <c r="Q3786" i="4" s="1"/>
  <c r="R3786" i="4" s="1"/>
  <c r="P3787" i="4"/>
  <c r="Q3787" i="4" s="1"/>
  <c r="R3787" i="4" s="1"/>
  <c r="P3788" i="4"/>
  <c r="Q3788" i="4" s="1"/>
  <c r="R3788" i="4" s="1"/>
  <c r="P3789" i="4"/>
  <c r="Q3789" i="4" s="1"/>
  <c r="R3789" i="4" s="1"/>
  <c r="P3790" i="4"/>
  <c r="Q3790" i="4" s="1"/>
  <c r="R3790" i="4" s="1"/>
  <c r="P3791" i="4"/>
  <c r="Q3791" i="4" s="1"/>
  <c r="R3791" i="4" s="1"/>
  <c r="P3792" i="4"/>
  <c r="Q3792" i="4" s="1"/>
  <c r="R3792" i="4" s="1"/>
  <c r="P3793" i="4"/>
  <c r="Q3793" i="4" s="1"/>
  <c r="R3793" i="4" s="1"/>
  <c r="P3794" i="4"/>
  <c r="Q3794" i="4" s="1"/>
  <c r="R3794" i="4" s="1"/>
  <c r="P3795" i="4"/>
  <c r="Q3795" i="4" s="1"/>
  <c r="R3795" i="4" s="1"/>
  <c r="P3796" i="4"/>
  <c r="Q3796" i="4" s="1"/>
  <c r="R3796" i="4" s="1"/>
  <c r="P3797" i="4"/>
  <c r="Q3797" i="4" s="1"/>
  <c r="R3797" i="4" s="1"/>
  <c r="P3798" i="4"/>
  <c r="Q3798" i="4" s="1"/>
  <c r="R3798" i="4" s="1"/>
  <c r="P3799" i="4"/>
  <c r="Q3799" i="4" s="1"/>
  <c r="R3799" i="4" s="1"/>
  <c r="P3800" i="4"/>
  <c r="Q3800" i="4" s="1"/>
  <c r="R3800" i="4" s="1"/>
  <c r="P3801" i="4"/>
  <c r="Q3801" i="4" s="1"/>
  <c r="R3801" i="4" s="1"/>
  <c r="P3802" i="4"/>
  <c r="Q3802" i="4" s="1"/>
  <c r="R3802" i="4" s="1"/>
  <c r="P3803" i="4"/>
  <c r="Q3803" i="4" s="1"/>
  <c r="R3803" i="4" s="1"/>
  <c r="P3804" i="4"/>
  <c r="Q3804" i="4" s="1"/>
  <c r="R3804" i="4" s="1"/>
  <c r="P3805" i="4"/>
  <c r="Q3805" i="4" s="1"/>
  <c r="R3805" i="4" s="1"/>
  <c r="P3806" i="4"/>
  <c r="Q3806" i="4" s="1"/>
  <c r="R3806" i="4" s="1"/>
  <c r="P3807" i="4"/>
  <c r="Q3807" i="4" s="1"/>
  <c r="R3807" i="4" s="1"/>
  <c r="P3808" i="4"/>
  <c r="Q3808" i="4" s="1"/>
  <c r="R3808" i="4" s="1"/>
  <c r="P3809" i="4"/>
  <c r="Q3809" i="4" s="1"/>
  <c r="R3809" i="4" s="1"/>
  <c r="P3810" i="4"/>
  <c r="Q3810" i="4" s="1"/>
  <c r="R3810" i="4" s="1"/>
  <c r="P3811" i="4"/>
  <c r="Q3811" i="4" s="1"/>
  <c r="R3811" i="4" s="1"/>
  <c r="P3812" i="4"/>
  <c r="Q3812" i="4" s="1"/>
  <c r="R3812" i="4" s="1"/>
  <c r="P3813" i="4"/>
  <c r="Q3813" i="4" s="1"/>
  <c r="R3813" i="4" s="1"/>
  <c r="P3814" i="4"/>
  <c r="Q3814" i="4" s="1"/>
  <c r="R3814" i="4" s="1"/>
  <c r="P3815" i="4"/>
  <c r="Q3815" i="4" s="1"/>
  <c r="R3815" i="4" s="1"/>
  <c r="P3816" i="4"/>
  <c r="Q3816" i="4" s="1"/>
  <c r="R3816" i="4" s="1"/>
  <c r="P3817" i="4"/>
  <c r="Q3817" i="4" s="1"/>
  <c r="R3817" i="4" s="1"/>
  <c r="P3818" i="4"/>
  <c r="Q3818" i="4" s="1"/>
  <c r="R3818" i="4" s="1"/>
  <c r="P3819" i="4"/>
  <c r="Q3819" i="4" s="1"/>
  <c r="R3819" i="4" s="1"/>
  <c r="P3820" i="4"/>
  <c r="Q3820" i="4" s="1"/>
  <c r="R3820" i="4" s="1"/>
  <c r="P3821" i="4"/>
  <c r="Q3821" i="4" s="1"/>
  <c r="R3821" i="4" s="1"/>
  <c r="P3822" i="4"/>
  <c r="Q3822" i="4" s="1"/>
  <c r="R3822" i="4" s="1"/>
  <c r="P3823" i="4"/>
  <c r="Q3823" i="4" s="1"/>
  <c r="R3823" i="4" s="1"/>
  <c r="P3824" i="4"/>
  <c r="Q3824" i="4" s="1"/>
  <c r="R3824" i="4" s="1"/>
  <c r="P3825" i="4"/>
  <c r="Q3825" i="4" s="1"/>
  <c r="R3825" i="4" s="1"/>
  <c r="P3826" i="4"/>
  <c r="Q3826" i="4" s="1"/>
  <c r="R3826" i="4" s="1"/>
  <c r="P3827" i="4"/>
  <c r="Q3827" i="4" s="1"/>
  <c r="R3827" i="4" s="1"/>
  <c r="P3828" i="4"/>
  <c r="Q3828" i="4" s="1"/>
  <c r="R3828" i="4" s="1"/>
  <c r="P3829" i="4"/>
  <c r="Q3829" i="4" s="1"/>
  <c r="R3829" i="4" s="1"/>
  <c r="P3830" i="4"/>
  <c r="Q3830" i="4" s="1"/>
  <c r="R3830" i="4" s="1"/>
  <c r="P3831" i="4"/>
  <c r="Q3831" i="4" s="1"/>
  <c r="R3831" i="4" s="1"/>
  <c r="P3832" i="4"/>
  <c r="Q3832" i="4" s="1"/>
  <c r="R3832" i="4" s="1"/>
  <c r="P3833" i="4"/>
  <c r="Q3833" i="4" s="1"/>
  <c r="R3833" i="4" s="1"/>
  <c r="P3834" i="4"/>
  <c r="Q3834" i="4" s="1"/>
  <c r="R3834" i="4" s="1"/>
  <c r="P3835" i="4"/>
  <c r="Q3835" i="4" s="1"/>
  <c r="R3835" i="4" s="1"/>
  <c r="P3836" i="4"/>
  <c r="Q3836" i="4" s="1"/>
  <c r="R3836" i="4" s="1"/>
  <c r="P3837" i="4"/>
  <c r="Q3837" i="4" s="1"/>
  <c r="R3837" i="4" s="1"/>
  <c r="P3838" i="4"/>
  <c r="Q3838" i="4" s="1"/>
  <c r="R3838" i="4" s="1"/>
  <c r="P3839" i="4"/>
  <c r="Q3839" i="4" s="1"/>
  <c r="R3839" i="4" s="1"/>
  <c r="P3840" i="4"/>
  <c r="Q3840" i="4" s="1"/>
  <c r="R3840" i="4" s="1"/>
  <c r="P3841" i="4"/>
  <c r="Q3841" i="4" s="1"/>
  <c r="R3841" i="4" s="1"/>
  <c r="P3842" i="4"/>
  <c r="Q3842" i="4" s="1"/>
  <c r="R3842" i="4" s="1"/>
  <c r="P3843" i="4"/>
  <c r="Q3843" i="4" s="1"/>
  <c r="R3843" i="4" s="1"/>
  <c r="P3844" i="4"/>
  <c r="Q3844" i="4" s="1"/>
  <c r="R3844" i="4" s="1"/>
  <c r="P3845" i="4"/>
  <c r="Q3845" i="4" s="1"/>
  <c r="R3845" i="4" s="1"/>
  <c r="P3846" i="4"/>
  <c r="Q3846" i="4" s="1"/>
  <c r="R3846" i="4" s="1"/>
  <c r="P3847" i="4"/>
  <c r="Q3847" i="4" s="1"/>
  <c r="R3847" i="4" s="1"/>
  <c r="P3848" i="4"/>
  <c r="Q3848" i="4" s="1"/>
  <c r="R3848" i="4" s="1"/>
  <c r="P3849" i="4"/>
  <c r="Q3849" i="4" s="1"/>
  <c r="R3849" i="4" s="1"/>
  <c r="P3850" i="4"/>
  <c r="Q3850" i="4" s="1"/>
  <c r="R3850" i="4" s="1"/>
  <c r="P3851" i="4"/>
  <c r="Q3851" i="4" s="1"/>
  <c r="R3851" i="4" s="1"/>
  <c r="P3852" i="4"/>
  <c r="Q3852" i="4" s="1"/>
  <c r="R3852" i="4" s="1"/>
  <c r="P3853" i="4"/>
  <c r="Q3853" i="4" s="1"/>
  <c r="R3853" i="4" s="1"/>
  <c r="P3854" i="4"/>
  <c r="Q3854" i="4" s="1"/>
  <c r="R3854" i="4" s="1"/>
  <c r="P3855" i="4"/>
  <c r="Q3855" i="4" s="1"/>
  <c r="R3855" i="4" s="1"/>
  <c r="P3856" i="4"/>
  <c r="Q3856" i="4" s="1"/>
  <c r="R3856" i="4" s="1"/>
  <c r="P3857" i="4"/>
  <c r="Q3857" i="4" s="1"/>
  <c r="R3857" i="4" s="1"/>
  <c r="P3858" i="4"/>
  <c r="Q3858" i="4" s="1"/>
  <c r="R3858" i="4" s="1"/>
  <c r="P3859" i="4"/>
  <c r="Q3859" i="4" s="1"/>
  <c r="R3859" i="4" s="1"/>
  <c r="P3860" i="4"/>
  <c r="Q3860" i="4" s="1"/>
  <c r="R3860" i="4" s="1"/>
  <c r="P3861" i="4"/>
  <c r="Q3861" i="4" s="1"/>
  <c r="R3861" i="4" s="1"/>
  <c r="P3862" i="4"/>
  <c r="Q3862" i="4" s="1"/>
  <c r="R3862" i="4" s="1"/>
  <c r="P3863" i="4"/>
  <c r="Q3863" i="4" s="1"/>
  <c r="R3863" i="4" s="1"/>
  <c r="P3864" i="4"/>
  <c r="Q3864" i="4" s="1"/>
  <c r="R3864" i="4" s="1"/>
  <c r="P3865" i="4"/>
  <c r="Q3865" i="4" s="1"/>
  <c r="R3865" i="4" s="1"/>
  <c r="P3866" i="4"/>
  <c r="Q3866" i="4" s="1"/>
  <c r="R3866" i="4" s="1"/>
  <c r="P3867" i="4"/>
  <c r="Q3867" i="4" s="1"/>
  <c r="R3867" i="4" s="1"/>
  <c r="P3868" i="4"/>
  <c r="Q3868" i="4" s="1"/>
  <c r="R3868" i="4" s="1"/>
  <c r="P3869" i="4"/>
  <c r="Q3869" i="4" s="1"/>
  <c r="R3869" i="4" s="1"/>
  <c r="P3870" i="4"/>
  <c r="Q3870" i="4" s="1"/>
  <c r="R3870" i="4" s="1"/>
  <c r="P3871" i="4"/>
  <c r="Q3871" i="4" s="1"/>
  <c r="R3871" i="4" s="1"/>
  <c r="P3872" i="4"/>
  <c r="Q3872" i="4" s="1"/>
  <c r="R3872" i="4" s="1"/>
  <c r="P3873" i="4"/>
  <c r="Q3873" i="4" s="1"/>
  <c r="R3873" i="4" s="1"/>
  <c r="P3874" i="4"/>
  <c r="Q3874" i="4" s="1"/>
  <c r="R3874" i="4" s="1"/>
  <c r="P3875" i="4"/>
  <c r="Q3875" i="4" s="1"/>
  <c r="R3875" i="4" s="1"/>
  <c r="P3876" i="4"/>
  <c r="Q3876" i="4" s="1"/>
  <c r="R3876" i="4" s="1"/>
  <c r="P3877" i="4"/>
  <c r="Q3877" i="4" s="1"/>
  <c r="R3877" i="4" s="1"/>
  <c r="P3878" i="4"/>
  <c r="Q3878" i="4" s="1"/>
  <c r="R3878" i="4" s="1"/>
  <c r="P3879" i="4"/>
  <c r="Q3879" i="4" s="1"/>
  <c r="R3879" i="4" s="1"/>
  <c r="P3880" i="4"/>
  <c r="Q3880" i="4" s="1"/>
  <c r="R3880" i="4" s="1"/>
  <c r="P3881" i="4"/>
  <c r="Q3881" i="4" s="1"/>
  <c r="R3881" i="4" s="1"/>
  <c r="P3882" i="4"/>
  <c r="Q3882" i="4" s="1"/>
  <c r="R3882" i="4" s="1"/>
  <c r="P3883" i="4"/>
  <c r="Q3883" i="4" s="1"/>
  <c r="R3883" i="4" s="1"/>
  <c r="P3884" i="4"/>
  <c r="Q3884" i="4" s="1"/>
  <c r="R3884" i="4" s="1"/>
  <c r="P3885" i="4"/>
  <c r="Q3885" i="4" s="1"/>
  <c r="R3885" i="4" s="1"/>
  <c r="P3886" i="4"/>
  <c r="Q3886" i="4" s="1"/>
  <c r="R3886" i="4" s="1"/>
  <c r="P3887" i="4"/>
  <c r="Q3887" i="4" s="1"/>
  <c r="R3887" i="4" s="1"/>
  <c r="P3888" i="4"/>
  <c r="Q3888" i="4" s="1"/>
  <c r="R3888" i="4" s="1"/>
  <c r="P3889" i="4"/>
  <c r="Q3889" i="4" s="1"/>
  <c r="R3889" i="4" s="1"/>
  <c r="P3890" i="4"/>
  <c r="Q3890" i="4" s="1"/>
  <c r="R3890" i="4" s="1"/>
  <c r="P3891" i="4"/>
  <c r="Q3891" i="4" s="1"/>
  <c r="R3891" i="4" s="1"/>
  <c r="P3892" i="4"/>
  <c r="Q3892" i="4" s="1"/>
  <c r="R3892" i="4" s="1"/>
  <c r="P3893" i="4"/>
  <c r="Q3893" i="4" s="1"/>
  <c r="R3893" i="4" s="1"/>
  <c r="P3894" i="4"/>
  <c r="Q3894" i="4" s="1"/>
  <c r="R3894" i="4" s="1"/>
  <c r="P3895" i="4"/>
  <c r="Q3895" i="4" s="1"/>
  <c r="R3895" i="4" s="1"/>
  <c r="P3896" i="4"/>
  <c r="Q3896" i="4" s="1"/>
  <c r="R3896" i="4" s="1"/>
  <c r="P3897" i="4"/>
  <c r="Q3897" i="4" s="1"/>
  <c r="R3897" i="4" s="1"/>
  <c r="P3898" i="4"/>
  <c r="Q3898" i="4" s="1"/>
  <c r="R3898" i="4" s="1"/>
  <c r="P3899" i="4"/>
  <c r="Q3899" i="4" s="1"/>
  <c r="R3899" i="4" s="1"/>
  <c r="P3900" i="4"/>
  <c r="Q3900" i="4" s="1"/>
  <c r="R3900" i="4" s="1"/>
  <c r="P3901" i="4"/>
  <c r="Q3901" i="4" s="1"/>
  <c r="R3901" i="4" s="1"/>
  <c r="P3902" i="4"/>
  <c r="Q3902" i="4" s="1"/>
  <c r="R3902" i="4" s="1"/>
  <c r="P3903" i="4"/>
  <c r="Q3903" i="4" s="1"/>
  <c r="R3903" i="4" s="1"/>
  <c r="P3904" i="4"/>
  <c r="Q3904" i="4" s="1"/>
  <c r="R3904" i="4" s="1"/>
  <c r="P3905" i="4"/>
  <c r="Q3905" i="4" s="1"/>
  <c r="R3905" i="4" s="1"/>
  <c r="P3906" i="4"/>
  <c r="Q3906" i="4" s="1"/>
  <c r="R3906" i="4" s="1"/>
  <c r="P3907" i="4"/>
  <c r="Q3907" i="4" s="1"/>
  <c r="R3907" i="4" s="1"/>
  <c r="P3908" i="4"/>
  <c r="Q3908" i="4" s="1"/>
  <c r="R3908" i="4" s="1"/>
  <c r="P3909" i="4"/>
  <c r="Q3909" i="4" s="1"/>
  <c r="R3909" i="4" s="1"/>
  <c r="P3910" i="4"/>
  <c r="Q3910" i="4" s="1"/>
  <c r="R3910" i="4" s="1"/>
  <c r="P3911" i="4"/>
  <c r="Q3911" i="4" s="1"/>
  <c r="R3911" i="4" s="1"/>
  <c r="P3912" i="4"/>
  <c r="Q3912" i="4" s="1"/>
  <c r="R3912" i="4" s="1"/>
  <c r="P3913" i="4"/>
  <c r="Q3913" i="4" s="1"/>
  <c r="R3913" i="4" s="1"/>
  <c r="P3914" i="4"/>
  <c r="Q3914" i="4" s="1"/>
  <c r="R3914" i="4" s="1"/>
  <c r="P3915" i="4"/>
  <c r="Q3915" i="4" s="1"/>
  <c r="R3915" i="4" s="1"/>
  <c r="P3916" i="4"/>
  <c r="Q3916" i="4" s="1"/>
  <c r="R3916" i="4" s="1"/>
  <c r="P3917" i="4"/>
  <c r="Q3917" i="4" s="1"/>
  <c r="R3917" i="4" s="1"/>
  <c r="P3918" i="4"/>
  <c r="Q3918" i="4" s="1"/>
  <c r="R3918" i="4" s="1"/>
  <c r="P3919" i="4"/>
  <c r="Q3919" i="4" s="1"/>
  <c r="R3919" i="4" s="1"/>
  <c r="P3920" i="4"/>
  <c r="Q3920" i="4" s="1"/>
  <c r="R3920" i="4" s="1"/>
  <c r="P3921" i="4"/>
  <c r="Q3921" i="4" s="1"/>
  <c r="R3921" i="4" s="1"/>
  <c r="P3922" i="4"/>
  <c r="Q3922" i="4" s="1"/>
  <c r="R3922" i="4" s="1"/>
  <c r="P3923" i="4"/>
  <c r="Q3923" i="4" s="1"/>
  <c r="R3923" i="4" s="1"/>
  <c r="P3924" i="4"/>
  <c r="Q3924" i="4" s="1"/>
  <c r="R3924" i="4" s="1"/>
  <c r="P3925" i="4"/>
  <c r="Q3925" i="4" s="1"/>
  <c r="R3925" i="4" s="1"/>
  <c r="P3926" i="4"/>
  <c r="Q3926" i="4" s="1"/>
  <c r="R3926" i="4" s="1"/>
  <c r="P3927" i="4"/>
  <c r="Q3927" i="4" s="1"/>
  <c r="R3927" i="4" s="1"/>
  <c r="P3928" i="4"/>
  <c r="Q3928" i="4" s="1"/>
  <c r="R3928" i="4" s="1"/>
  <c r="P3929" i="4"/>
  <c r="Q3929" i="4" s="1"/>
  <c r="R3929" i="4" s="1"/>
  <c r="P3930" i="4"/>
  <c r="Q3930" i="4" s="1"/>
  <c r="R3930" i="4" s="1"/>
  <c r="P3931" i="4"/>
  <c r="Q3931" i="4" s="1"/>
  <c r="R3931" i="4" s="1"/>
  <c r="P3932" i="4"/>
  <c r="Q3932" i="4" s="1"/>
  <c r="R3932" i="4" s="1"/>
  <c r="P3933" i="4"/>
  <c r="Q3933" i="4" s="1"/>
  <c r="R3933" i="4" s="1"/>
  <c r="P3934" i="4"/>
  <c r="Q3934" i="4" s="1"/>
  <c r="R3934" i="4" s="1"/>
  <c r="P3935" i="4"/>
  <c r="Q3935" i="4" s="1"/>
  <c r="R3935" i="4" s="1"/>
  <c r="P3936" i="4"/>
  <c r="Q3936" i="4" s="1"/>
  <c r="R3936" i="4" s="1"/>
  <c r="P3937" i="4"/>
  <c r="Q3937" i="4" s="1"/>
  <c r="R3937" i="4" s="1"/>
  <c r="P3938" i="4"/>
  <c r="Q3938" i="4" s="1"/>
  <c r="R3938" i="4" s="1"/>
  <c r="P3939" i="4"/>
  <c r="Q3939" i="4" s="1"/>
  <c r="R3939" i="4" s="1"/>
  <c r="P3940" i="4"/>
  <c r="Q3940" i="4" s="1"/>
  <c r="R3940" i="4" s="1"/>
  <c r="P3941" i="4"/>
  <c r="Q3941" i="4" s="1"/>
  <c r="R3941" i="4" s="1"/>
  <c r="P3942" i="4"/>
  <c r="Q3942" i="4" s="1"/>
  <c r="R3942" i="4" s="1"/>
  <c r="P3943" i="4"/>
  <c r="Q3943" i="4" s="1"/>
  <c r="R3943" i="4" s="1"/>
  <c r="P3944" i="4"/>
  <c r="Q3944" i="4" s="1"/>
  <c r="R3944" i="4" s="1"/>
  <c r="P3945" i="4"/>
  <c r="Q3945" i="4" s="1"/>
  <c r="R3945" i="4" s="1"/>
  <c r="P3946" i="4"/>
  <c r="Q3946" i="4" s="1"/>
  <c r="R3946" i="4" s="1"/>
  <c r="P3947" i="4"/>
  <c r="Q3947" i="4" s="1"/>
  <c r="R3947" i="4" s="1"/>
  <c r="P3948" i="4"/>
  <c r="Q3948" i="4" s="1"/>
  <c r="R3948" i="4" s="1"/>
  <c r="P3949" i="4"/>
  <c r="Q3949" i="4" s="1"/>
  <c r="R3949" i="4" s="1"/>
  <c r="P3950" i="4"/>
  <c r="Q3950" i="4" s="1"/>
  <c r="R3950" i="4" s="1"/>
  <c r="P3951" i="4"/>
  <c r="Q3951" i="4" s="1"/>
  <c r="R3951" i="4" s="1"/>
  <c r="P3952" i="4"/>
  <c r="Q3952" i="4" s="1"/>
  <c r="R3952" i="4" s="1"/>
  <c r="P3953" i="4"/>
  <c r="Q3953" i="4" s="1"/>
  <c r="R3953" i="4" s="1"/>
  <c r="P3954" i="4"/>
  <c r="Q3954" i="4" s="1"/>
  <c r="R3954" i="4" s="1"/>
  <c r="P3955" i="4"/>
  <c r="Q3955" i="4" s="1"/>
  <c r="R3955" i="4" s="1"/>
  <c r="P3956" i="4"/>
  <c r="Q3956" i="4" s="1"/>
  <c r="R3956" i="4" s="1"/>
  <c r="P3957" i="4"/>
  <c r="Q3957" i="4" s="1"/>
  <c r="R3957" i="4" s="1"/>
  <c r="P3958" i="4"/>
  <c r="Q3958" i="4" s="1"/>
  <c r="R3958" i="4" s="1"/>
  <c r="P3959" i="4"/>
  <c r="Q3959" i="4" s="1"/>
  <c r="R3959" i="4" s="1"/>
  <c r="P3960" i="4"/>
  <c r="Q3960" i="4" s="1"/>
  <c r="R3960" i="4" s="1"/>
  <c r="P3961" i="4"/>
  <c r="Q3961" i="4" s="1"/>
  <c r="R3961" i="4" s="1"/>
  <c r="P3962" i="4"/>
  <c r="Q3962" i="4" s="1"/>
  <c r="R3962" i="4" s="1"/>
  <c r="P3963" i="4"/>
  <c r="Q3963" i="4" s="1"/>
  <c r="R3963" i="4" s="1"/>
  <c r="P3964" i="4"/>
  <c r="Q3964" i="4" s="1"/>
  <c r="R3964" i="4" s="1"/>
  <c r="P3965" i="4"/>
  <c r="Q3965" i="4" s="1"/>
  <c r="R3965" i="4" s="1"/>
  <c r="P3966" i="4"/>
  <c r="Q3966" i="4" s="1"/>
  <c r="R3966" i="4" s="1"/>
  <c r="P3967" i="4"/>
  <c r="Q3967" i="4" s="1"/>
  <c r="R3967" i="4" s="1"/>
  <c r="P3968" i="4"/>
  <c r="Q3968" i="4" s="1"/>
  <c r="R3968" i="4" s="1"/>
  <c r="P3969" i="4"/>
  <c r="Q3969" i="4" s="1"/>
  <c r="R3969" i="4" s="1"/>
  <c r="P3970" i="4"/>
  <c r="Q3970" i="4" s="1"/>
  <c r="R3970" i="4" s="1"/>
  <c r="P3971" i="4"/>
  <c r="Q3971" i="4" s="1"/>
  <c r="R3971" i="4" s="1"/>
  <c r="P3972" i="4"/>
  <c r="Q3972" i="4" s="1"/>
  <c r="R3972" i="4" s="1"/>
  <c r="P3973" i="4"/>
  <c r="Q3973" i="4" s="1"/>
  <c r="R3973" i="4" s="1"/>
  <c r="P3974" i="4"/>
  <c r="Q3974" i="4" s="1"/>
  <c r="R3974" i="4" s="1"/>
  <c r="P3975" i="4"/>
  <c r="Q3975" i="4" s="1"/>
  <c r="R3975" i="4" s="1"/>
  <c r="P3976" i="4"/>
  <c r="Q3976" i="4" s="1"/>
  <c r="R3976" i="4" s="1"/>
  <c r="P3977" i="4"/>
  <c r="Q3977" i="4" s="1"/>
  <c r="R3977" i="4" s="1"/>
  <c r="P3978" i="4"/>
  <c r="Q3978" i="4" s="1"/>
  <c r="R3978" i="4" s="1"/>
  <c r="P3979" i="4"/>
  <c r="Q3979" i="4" s="1"/>
  <c r="R3979" i="4" s="1"/>
  <c r="P3980" i="4"/>
  <c r="Q3980" i="4" s="1"/>
  <c r="R3980" i="4" s="1"/>
  <c r="P3981" i="4"/>
  <c r="Q3981" i="4" s="1"/>
  <c r="R3981" i="4" s="1"/>
  <c r="P3982" i="4"/>
  <c r="Q3982" i="4" s="1"/>
  <c r="R3982" i="4" s="1"/>
  <c r="P3983" i="4"/>
  <c r="Q3983" i="4" s="1"/>
  <c r="R3983" i="4" s="1"/>
  <c r="P3984" i="4"/>
  <c r="Q3984" i="4" s="1"/>
  <c r="R3984" i="4" s="1"/>
  <c r="P3985" i="4"/>
  <c r="Q3985" i="4" s="1"/>
  <c r="R3985" i="4" s="1"/>
  <c r="P3986" i="4"/>
  <c r="Q3986" i="4" s="1"/>
  <c r="R3986" i="4" s="1"/>
  <c r="P3987" i="4"/>
  <c r="Q3987" i="4" s="1"/>
  <c r="R3987" i="4" s="1"/>
  <c r="P3988" i="4"/>
  <c r="Q3988" i="4" s="1"/>
  <c r="R3988" i="4" s="1"/>
  <c r="P3989" i="4"/>
  <c r="Q3989" i="4" s="1"/>
  <c r="R3989" i="4" s="1"/>
  <c r="P3990" i="4"/>
  <c r="Q3990" i="4" s="1"/>
  <c r="R3990" i="4" s="1"/>
  <c r="P3991" i="4"/>
  <c r="Q3991" i="4" s="1"/>
  <c r="R3991" i="4" s="1"/>
  <c r="P3992" i="4"/>
  <c r="Q3992" i="4" s="1"/>
  <c r="R3992" i="4" s="1"/>
  <c r="P3993" i="4"/>
  <c r="Q3993" i="4" s="1"/>
  <c r="R3993" i="4" s="1"/>
  <c r="P3994" i="4"/>
  <c r="Q3994" i="4" s="1"/>
  <c r="R3994" i="4" s="1"/>
  <c r="P3995" i="4"/>
  <c r="Q3995" i="4" s="1"/>
  <c r="R3995" i="4" s="1"/>
  <c r="P3996" i="4"/>
  <c r="Q3996" i="4" s="1"/>
  <c r="R3996" i="4" s="1"/>
  <c r="P3997" i="4"/>
  <c r="Q3997" i="4" s="1"/>
  <c r="R3997" i="4" s="1"/>
  <c r="P3998" i="4"/>
  <c r="Q3998" i="4" s="1"/>
  <c r="R3998" i="4" s="1"/>
  <c r="P3999" i="4"/>
  <c r="Q3999" i="4" s="1"/>
  <c r="R3999" i="4" s="1"/>
  <c r="P4000" i="4"/>
  <c r="Q4000" i="4" s="1"/>
  <c r="R4000" i="4" s="1"/>
  <c r="P4001" i="4"/>
  <c r="Q4001" i="4" s="1"/>
  <c r="R4001" i="4" s="1"/>
  <c r="P4002" i="4"/>
  <c r="Q4002" i="4" s="1"/>
  <c r="R4002" i="4" s="1"/>
  <c r="P4003" i="4"/>
  <c r="Q4003" i="4" s="1"/>
  <c r="R4003" i="4" s="1"/>
  <c r="P4004" i="4"/>
  <c r="Q4004" i="4" s="1"/>
  <c r="R4004" i="4" s="1"/>
  <c r="P4005" i="4"/>
  <c r="Q4005" i="4" s="1"/>
  <c r="R4005" i="4" s="1"/>
  <c r="P4006" i="4"/>
  <c r="Q4006" i="4" s="1"/>
  <c r="R4006" i="4" s="1"/>
  <c r="P4007" i="4"/>
  <c r="Q4007" i="4" s="1"/>
  <c r="R4007" i="4" s="1"/>
  <c r="P4008" i="4"/>
  <c r="Q4008" i="4" s="1"/>
  <c r="R4008" i="4" s="1"/>
  <c r="P4009" i="4"/>
  <c r="Q4009" i="4" s="1"/>
  <c r="R4009" i="4" s="1"/>
  <c r="P4010" i="4"/>
  <c r="Q4010" i="4" s="1"/>
  <c r="R4010" i="4" s="1"/>
  <c r="P4011" i="4"/>
  <c r="Q4011" i="4" s="1"/>
  <c r="R4011" i="4" s="1"/>
  <c r="P4012" i="4"/>
  <c r="Q4012" i="4" s="1"/>
  <c r="R4012" i="4" s="1"/>
  <c r="P4013" i="4"/>
  <c r="Q4013" i="4" s="1"/>
  <c r="R4013" i="4" s="1"/>
  <c r="P4014" i="4"/>
  <c r="Q4014" i="4" s="1"/>
  <c r="R4014" i="4" s="1"/>
  <c r="P4015" i="4"/>
  <c r="Q4015" i="4" s="1"/>
  <c r="R4015" i="4" s="1"/>
  <c r="P4016" i="4"/>
  <c r="Q4016" i="4" s="1"/>
  <c r="R4016" i="4" s="1"/>
  <c r="P4017" i="4"/>
  <c r="Q4017" i="4" s="1"/>
  <c r="R4017" i="4" s="1"/>
  <c r="P4018" i="4"/>
  <c r="Q4018" i="4" s="1"/>
  <c r="R4018" i="4" s="1"/>
  <c r="P4019" i="4"/>
  <c r="Q4019" i="4" s="1"/>
  <c r="R4019" i="4" s="1"/>
  <c r="P4020" i="4"/>
  <c r="Q4020" i="4" s="1"/>
  <c r="R4020" i="4" s="1"/>
  <c r="P4021" i="4"/>
  <c r="Q4021" i="4" s="1"/>
  <c r="R4021" i="4" s="1"/>
  <c r="P4022" i="4"/>
  <c r="Q4022" i="4" s="1"/>
  <c r="R4022" i="4" s="1"/>
  <c r="P4023" i="4"/>
  <c r="Q4023" i="4" s="1"/>
  <c r="R4023" i="4" s="1"/>
  <c r="P4024" i="4"/>
  <c r="Q4024" i="4" s="1"/>
  <c r="R4024" i="4" s="1"/>
  <c r="P4025" i="4"/>
  <c r="Q4025" i="4" s="1"/>
  <c r="R4025" i="4" s="1"/>
  <c r="P4026" i="4"/>
  <c r="Q4026" i="4" s="1"/>
  <c r="R4026" i="4" s="1"/>
  <c r="P4027" i="4"/>
  <c r="Q4027" i="4" s="1"/>
  <c r="R4027" i="4" s="1"/>
  <c r="P4028" i="4"/>
  <c r="Q4028" i="4" s="1"/>
  <c r="R4028" i="4" s="1"/>
  <c r="P4029" i="4"/>
  <c r="Q4029" i="4" s="1"/>
  <c r="R4029" i="4" s="1"/>
  <c r="P4030" i="4"/>
  <c r="Q4030" i="4" s="1"/>
  <c r="R4030" i="4" s="1"/>
  <c r="P4031" i="4"/>
  <c r="Q4031" i="4" s="1"/>
  <c r="R4031" i="4" s="1"/>
  <c r="P4032" i="4"/>
  <c r="Q4032" i="4" s="1"/>
  <c r="R4032" i="4" s="1"/>
  <c r="P4033" i="4"/>
  <c r="Q4033" i="4" s="1"/>
  <c r="R4033" i="4" s="1"/>
  <c r="P4034" i="4"/>
  <c r="Q4034" i="4" s="1"/>
  <c r="R4034" i="4" s="1"/>
  <c r="P4035" i="4"/>
  <c r="Q4035" i="4" s="1"/>
  <c r="R4035" i="4" s="1"/>
  <c r="P4036" i="4"/>
  <c r="Q4036" i="4" s="1"/>
  <c r="R4036" i="4" s="1"/>
  <c r="P4037" i="4"/>
  <c r="Q4037" i="4" s="1"/>
  <c r="R4037" i="4" s="1"/>
  <c r="P4038" i="4"/>
  <c r="Q4038" i="4" s="1"/>
  <c r="R4038" i="4" s="1"/>
  <c r="P4039" i="4"/>
  <c r="Q4039" i="4" s="1"/>
  <c r="R4039" i="4" s="1"/>
  <c r="P4040" i="4"/>
  <c r="Q4040" i="4" s="1"/>
  <c r="R4040" i="4" s="1"/>
  <c r="P4041" i="4"/>
  <c r="Q4041" i="4" s="1"/>
  <c r="R4041" i="4" s="1"/>
  <c r="P4042" i="4"/>
  <c r="Q4042" i="4" s="1"/>
  <c r="R4042" i="4" s="1"/>
  <c r="P4043" i="4"/>
  <c r="Q4043" i="4" s="1"/>
  <c r="R4043" i="4" s="1"/>
  <c r="P4044" i="4"/>
  <c r="Q4044" i="4" s="1"/>
  <c r="R4044" i="4" s="1"/>
  <c r="P4045" i="4"/>
  <c r="Q4045" i="4" s="1"/>
  <c r="R4045" i="4" s="1"/>
  <c r="P4046" i="4"/>
  <c r="Q4046" i="4" s="1"/>
  <c r="R4046" i="4" s="1"/>
  <c r="P4047" i="4"/>
  <c r="Q4047" i="4" s="1"/>
  <c r="R4047" i="4" s="1"/>
  <c r="P4048" i="4"/>
  <c r="Q4048" i="4" s="1"/>
  <c r="R4048" i="4" s="1"/>
  <c r="P4049" i="4"/>
  <c r="Q4049" i="4" s="1"/>
  <c r="R4049" i="4" s="1"/>
  <c r="P4050" i="4"/>
  <c r="Q4050" i="4" s="1"/>
  <c r="R4050" i="4" s="1"/>
  <c r="P4051" i="4"/>
  <c r="Q4051" i="4" s="1"/>
  <c r="R4051" i="4" s="1"/>
  <c r="P4052" i="4"/>
  <c r="Q4052" i="4" s="1"/>
  <c r="R4052" i="4" s="1"/>
  <c r="P4053" i="4"/>
  <c r="Q4053" i="4" s="1"/>
  <c r="R4053" i="4" s="1"/>
  <c r="P4054" i="4"/>
  <c r="Q4054" i="4" s="1"/>
  <c r="R4054" i="4" s="1"/>
  <c r="P4055" i="4"/>
  <c r="Q4055" i="4" s="1"/>
  <c r="R4055" i="4" s="1"/>
  <c r="P4056" i="4"/>
  <c r="Q4056" i="4" s="1"/>
  <c r="R4056" i="4" s="1"/>
  <c r="P4057" i="4"/>
  <c r="Q4057" i="4" s="1"/>
  <c r="R4057" i="4" s="1"/>
  <c r="P4058" i="4"/>
  <c r="Q4058" i="4" s="1"/>
  <c r="R4058" i="4" s="1"/>
  <c r="P4059" i="4"/>
  <c r="Q4059" i="4" s="1"/>
  <c r="R4059" i="4" s="1"/>
  <c r="P4060" i="4"/>
  <c r="Q4060" i="4" s="1"/>
  <c r="R4060" i="4" s="1"/>
  <c r="P4061" i="4"/>
  <c r="Q4061" i="4" s="1"/>
  <c r="R4061" i="4" s="1"/>
  <c r="P4062" i="4"/>
  <c r="Q4062" i="4" s="1"/>
  <c r="R4062" i="4" s="1"/>
  <c r="P4063" i="4"/>
  <c r="Q4063" i="4" s="1"/>
  <c r="R4063" i="4" s="1"/>
  <c r="P4064" i="4"/>
  <c r="Q4064" i="4" s="1"/>
  <c r="R4064" i="4" s="1"/>
  <c r="P4065" i="4"/>
  <c r="Q4065" i="4" s="1"/>
  <c r="R4065" i="4" s="1"/>
  <c r="P4066" i="4"/>
  <c r="Q4066" i="4" s="1"/>
  <c r="R4066" i="4" s="1"/>
  <c r="P4067" i="4"/>
  <c r="Q4067" i="4" s="1"/>
  <c r="R4067" i="4" s="1"/>
  <c r="P4068" i="4"/>
  <c r="Q4068" i="4" s="1"/>
  <c r="R4068" i="4" s="1"/>
  <c r="P4069" i="4"/>
  <c r="Q4069" i="4" s="1"/>
  <c r="R4069" i="4" s="1"/>
  <c r="P4070" i="4"/>
  <c r="Q4070" i="4" s="1"/>
  <c r="R4070" i="4" s="1"/>
  <c r="P4071" i="4"/>
  <c r="Q4071" i="4" s="1"/>
  <c r="R4071" i="4" s="1"/>
  <c r="P4072" i="4"/>
  <c r="Q4072" i="4" s="1"/>
  <c r="R4072" i="4" s="1"/>
  <c r="P4073" i="4"/>
  <c r="Q4073" i="4" s="1"/>
  <c r="R4073" i="4" s="1"/>
  <c r="P4074" i="4"/>
  <c r="Q4074" i="4" s="1"/>
  <c r="R4074" i="4" s="1"/>
  <c r="P4075" i="4"/>
  <c r="Q4075" i="4" s="1"/>
  <c r="R4075" i="4" s="1"/>
  <c r="P4076" i="4"/>
  <c r="Q4076" i="4" s="1"/>
  <c r="R4076" i="4" s="1"/>
  <c r="P4077" i="4"/>
  <c r="Q4077" i="4" s="1"/>
  <c r="R4077" i="4" s="1"/>
  <c r="P4078" i="4"/>
  <c r="Q4078" i="4" s="1"/>
  <c r="R4078" i="4" s="1"/>
  <c r="P4079" i="4"/>
  <c r="Q4079" i="4" s="1"/>
  <c r="R4079" i="4" s="1"/>
  <c r="P4080" i="4"/>
  <c r="Q4080" i="4" s="1"/>
  <c r="R4080" i="4" s="1"/>
  <c r="P4081" i="4"/>
  <c r="Q4081" i="4" s="1"/>
  <c r="R4081" i="4" s="1"/>
  <c r="P4082" i="4"/>
  <c r="Q4082" i="4" s="1"/>
  <c r="R4082" i="4" s="1"/>
  <c r="P4083" i="4"/>
  <c r="Q4083" i="4" s="1"/>
  <c r="R4083" i="4" s="1"/>
  <c r="P4084" i="4"/>
  <c r="Q4084" i="4" s="1"/>
  <c r="R4084" i="4" s="1"/>
  <c r="P4085" i="4"/>
  <c r="Q4085" i="4" s="1"/>
  <c r="R4085" i="4" s="1"/>
  <c r="P4086" i="4"/>
  <c r="Q4086" i="4" s="1"/>
  <c r="R4086" i="4" s="1"/>
  <c r="P4087" i="4"/>
  <c r="Q4087" i="4" s="1"/>
  <c r="R4087" i="4" s="1"/>
  <c r="P4088" i="4"/>
  <c r="Q4088" i="4" s="1"/>
  <c r="R4088" i="4" s="1"/>
  <c r="P4089" i="4"/>
  <c r="Q4089" i="4" s="1"/>
  <c r="R4089" i="4" s="1"/>
  <c r="P4090" i="4"/>
  <c r="Q4090" i="4" s="1"/>
  <c r="R4090" i="4" s="1"/>
  <c r="P4091" i="4"/>
  <c r="Q4091" i="4" s="1"/>
  <c r="R4091" i="4" s="1"/>
  <c r="P4092" i="4"/>
  <c r="Q4092" i="4" s="1"/>
  <c r="R4092" i="4" s="1"/>
  <c r="P4093" i="4"/>
  <c r="Q4093" i="4" s="1"/>
  <c r="R4093" i="4" s="1"/>
  <c r="P4094" i="4"/>
  <c r="Q4094" i="4" s="1"/>
  <c r="R4094" i="4" s="1"/>
  <c r="P4095" i="4"/>
  <c r="Q4095" i="4" s="1"/>
  <c r="R4095" i="4" s="1"/>
  <c r="P4096" i="4"/>
  <c r="Q4096" i="4" s="1"/>
  <c r="R4096" i="4" s="1"/>
  <c r="P4097" i="4"/>
  <c r="Q4097" i="4" s="1"/>
  <c r="R4097" i="4" s="1"/>
  <c r="P4098" i="4"/>
  <c r="Q4098" i="4" s="1"/>
  <c r="R4098" i="4" s="1"/>
  <c r="P4099" i="4"/>
  <c r="Q4099" i="4" s="1"/>
  <c r="R4099" i="4" s="1"/>
  <c r="P4100" i="4"/>
  <c r="Q4100" i="4" s="1"/>
  <c r="R4100" i="4" s="1"/>
  <c r="P4101" i="4"/>
  <c r="Q4101" i="4" s="1"/>
  <c r="R4101" i="4" s="1"/>
  <c r="P4102" i="4"/>
  <c r="Q4102" i="4" s="1"/>
  <c r="R4102" i="4" s="1"/>
  <c r="P4103" i="4"/>
  <c r="Q4103" i="4" s="1"/>
  <c r="R4103" i="4" s="1"/>
  <c r="P4104" i="4"/>
  <c r="Q4104" i="4" s="1"/>
  <c r="R4104" i="4" s="1"/>
  <c r="P4105" i="4"/>
  <c r="Q4105" i="4" s="1"/>
  <c r="R4105" i="4" s="1"/>
  <c r="P4106" i="4"/>
  <c r="Q4106" i="4" s="1"/>
  <c r="R4106" i="4" s="1"/>
  <c r="P4107" i="4"/>
  <c r="Q4107" i="4" s="1"/>
  <c r="R4107" i="4" s="1"/>
  <c r="P4108" i="4"/>
  <c r="Q4108" i="4" s="1"/>
  <c r="R4108" i="4" s="1"/>
  <c r="P4109" i="4"/>
  <c r="Q4109" i="4" s="1"/>
  <c r="R4109" i="4" s="1"/>
  <c r="P4110" i="4"/>
  <c r="Q4110" i="4" s="1"/>
  <c r="R4110" i="4" s="1"/>
  <c r="P4111" i="4"/>
  <c r="Q4111" i="4" s="1"/>
  <c r="R4111" i="4" s="1"/>
  <c r="P4112" i="4"/>
  <c r="Q4112" i="4" s="1"/>
  <c r="R4112" i="4" s="1"/>
  <c r="P4113" i="4"/>
  <c r="Q4113" i="4" s="1"/>
  <c r="R4113" i="4" s="1"/>
  <c r="P4114" i="4"/>
  <c r="Q4114" i="4" s="1"/>
  <c r="R4114" i="4" s="1"/>
  <c r="P4115" i="4"/>
  <c r="Q4115" i="4" s="1"/>
  <c r="R4115" i="4" s="1"/>
  <c r="P4116" i="4"/>
  <c r="Q4116" i="4" s="1"/>
  <c r="R4116" i="4" s="1"/>
  <c r="P4117" i="4"/>
  <c r="Q4117" i="4" s="1"/>
  <c r="R4117" i="4" s="1"/>
  <c r="P4118" i="4"/>
  <c r="Q4118" i="4" s="1"/>
  <c r="R4118" i="4" s="1"/>
  <c r="P4119" i="4"/>
  <c r="Q4119" i="4" s="1"/>
  <c r="R4119" i="4" s="1"/>
  <c r="P4120" i="4"/>
  <c r="Q4120" i="4" s="1"/>
  <c r="R4120" i="4" s="1"/>
  <c r="P4121" i="4"/>
  <c r="Q4121" i="4" s="1"/>
  <c r="R4121" i="4" s="1"/>
  <c r="P4122" i="4"/>
  <c r="Q4122" i="4" s="1"/>
  <c r="R4122" i="4" s="1"/>
  <c r="P4123" i="4"/>
  <c r="Q4123" i="4" s="1"/>
  <c r="R4123" i="4" s="1"/>
  <c r="P4124" i="4"/>
  <c r="Q4124" i="4" s="1"/>
  <c r="R4124" i="4" s="1"/>
  <c r="P4125" i="4"/>
  <c r="Q4125" i="4" s="1"/>
  <c r="R4125" i="4" s="1"/>
  <c r="P4126" i="4"/>
  <c r="Q4126" i="4" s="1"/>
  <c r="R4126" i="4" s="1"/>
  <c r="P4127" i="4"/>
  <c r="Q4127" i="4" s="1"/>
  <c r="R4127" i="4" s="1"/>
  <c r="P4128" i="4"/>
  <c r="Q4128" i="4" s="1"/>
  <c r="R4128" i="4" s="1"/>
  <c r="P4129" i="4"/>
  <c r="Q4129" i="4" s="1"/>
  <c r="R4129" i="4" s="1"/>
  <c r="P4130" i="4"/>
  <c r="Q4130" i="4" s="1"/>
  <c r="R4130" i="4" s="1"/>
  <c r="P4131" i="4"/>
  <c r="Q4131" i="4" s="1"/>
  <c r="R4131" i="4" s="1"/>
  <c r="P4132" i="4"/>
  <c r="Q4132" i="4" s="1"/>
  <c r="R4132" i="4" s="1"/>
  <c r="P4133" i="4"/>
  <c r="Q4133" i="4" s="1"/>
  <c r="R4133" i="4" s="1"/>
  <c r="P4134" i="4"/>
  <c r="Q4134" i="4" s="1"/>
  <c r="R4134" i="4" s="1"/>
  <c r="P4135" i="4"/>
  <c r="Q4135" i="4" s="1"/>
  <c r="R4135" i="4" s="1"/>
  <c r="P4136" i="4"/>
  <c r="Q4136" i="4" s="1"/>
  <c r="R4136" i="4" s="1"/>
  <c r="P4137" i="4"/>
  <c r="Q4137" i="4" s="1"/>
  <c r="R4137" i="4" s="1"/>
  <c r="P4138" i="4"/>
  <c r="Q4138" i="4" s="1"/>
  <c r="R4138" i="4" s="1"/>
  <c r="P4139" i="4"/>
  <c r="Q4139" i="4" s="1"/>
  <c r="R4139" i="4" s="1"/>
  <c r="P4140" i="4"/>
  <c r="Q4140" i="4" s="1"/>
  <c r="R4140" i="4" s="1"/>
  <c r="P4141" i="4"/>
  <c r="Q4141" i="4" s="1"/>
  <c r="R4141" i="4" s="1"/>
  <c r="P4142" i="4"/>
  <c r="Q4142" i="4" s="1"/>
  <c r="R4142" i="4" s="1"/>
  <c r="P4143" i="4"/>
  <c r="Q4143" i="4" s="1"/>
  <c r="R4143" i="4" s="1"/>
  <c r="P4144" i="4"/>
  <c r="Q4144" i="4" s="1"/>
  <c r="R4144" i="4" s="1"/>
  <c r="P4145" i="4"/>
  <c r="Q4145" i="4" s="1"/>
  <c r="R4145" i="4" s="1"/>
  <c r="P4146" i="4"/>
  <c r="Q4146" i="4" s="1"/>
  <c r="R4146" i="4" s="1"/>
  <c r="P4147" i="4"/>
  <c r="Q4147" i="4" s="1"/>
  <c r="R4147" i="4" s="1"/>
  <c r="P4148" i="4"/>
  <c r="Q4148" i="4" s="1"/>
  <c r="R4148" i="4" s="1"/>
  <c r="P4149" i="4"/>
  <c r="Q4149" i="4" s="1"/>
  <c r="R4149" i="4" s="1"/>
  <c r="P4150" i="4"/>
  <c r="Q4150" i="4" s="1"/>
  <c r="R4150" i="4" s="1"/>
  <c r="P4151" i="4"/>
  <c r="Q4151" i="4" s="1"/>
  <c r="R4151" i="4" s="1"/>
  <c r="P4152" i="4"/>
  <c r="Q4152" i="4" s="1"/>
  <c r="R4152" i="4" s="1"/>
  <c r="P4153" i="4"/>
  <c r="Q4153" i="4" s="1"/>
  <c r="R4153" i="4" s="1"/>
  <c r="P4154" i="4"/>
  <c r="Q4154" i="4" s="1"/>
  <c r="R4154" i="4" s="1"/>
  <c r="P4155" i="4"/>
  <c r="Q4155" i="4" s="1"/>
  <c r="R4155" i="4" s="1"/>
  <c r="P4156" i="4"/>
  <c r="Q4156" i="4" s="1"/>
  <c r="R4156" i="4" s="1"/>
  <c r="P4157" i="4"/>
  <c r="Q4157" i="4" s="1"/>
  <c r="R4157" i="4" s="1"/>
  <c r="P4158" i="4"/>
  <c r="Q4158" i="4" s="1"/>
  <c r="R4158" i="4" s="1"/>
  <c r="P4159" i="4"/>
  <c r="Q4159" i="4" s="1"/>
  <c r="R4159" i="4" s="1"/>
  <c r="P4160" i="4"/>
  <c r="Q4160" i="4" s="1"/>
  <c r="R4160" i="4" s="1"/>
  <c r="P4161" i="4"/>
  <c r="Q4161" i="4" s="1"/>
  <c r="R4161" i="4" s="1"/>
  <c r="P4162" i="4"/>
  <c r="Q4162" i="4" s="1"/>
  <c r="R4162" i="4" s="1"/>
  <c r="P4163" i="4"/>
  <c r="Q4163" i="4" s="1"/>
  <c r="R4163" i="4" s="1"/>
  <c r="P4164" i="4"/>
  <c r="Q4164" i="4" s="1"/>
  <c r="R4164" i="4" s="1"/>
  <c r="P4165" i="4"/>
  <c r="Q4165" i="4" s="1"/>
  <c r="R4165" i="4" s="1"/>
  <c r="P4166" i="4"/>
  <c r="Q4166" i="4" s="1"/>
  <c r="R4166" i="4" s="1"/>
  <c r="P4167" i="4"/>
  <c r="Q4167" i="4" s="1"/>
  <c r="R4167" i="4" s="1"/>
  <c r="P4168" i="4"/>
  <c r="Q4168" i="4" s="1"/>
  <c r="R4168" i="4" s="1"/>
  <c r="P4169" i="4"/>
  <c r="Q4169" i="4" s="1"/>
  <c r="R4169" i="4" s="1"/>
  <c r="P4170" i="4"/>
  <c r="Q4170" i="4" s="1"/>
  <c r="R4170" i="4" s="1"/>
  <c r="P4171" i="4"/>
  <c r="Q4171" i="4" s="1"/>
  <c r="R4171" i="4" s="1"/>
  <c r="P4172" i="4"/>
  <c r="Q4172" i="4" s="1"/>
  <c r="R4172" i="4" s="1"/>
  <c r="P4173" i="4"/>
  <c r="Q4173" i="4" s="1"/>
  <c r="R4173" i="4" s="1"/>
  <c r="P4174" i="4"/>
  <c r="Q4174" i="4" s="1"/>
  <c r="R4174" i="4" s="1"/>
  <c r="P4175" i="4"/>
  <c r="Q4175" i="4" s="1"/>
  <c r="R4175" i="4" s="1"/>
  <c r="P4176" i="4"/>
  <c r="Q4176" i="4" s="1"/>
  <c r="R4176" i="4" s="1"/>
  <c r="P4177" i="4"/>
  <c r="Q4177" i="4" s="1"/>
  <c r="R4177" i="4" s="1"/>
  <c r="P4178" i="4"/>
  <c r="Q4178" i="4" s="1"/>
  <c r="R4178" i="4" s="1"/>
  <c r="P4179" i="4"/>
  <c r="Q4179" i="4" s="1"/>
  <c r="R4179" i="4" s="1"/>
  <c r="P4180" i="4"/>
  <c r="Q4180" i="4" s="1"/>
  <c r="R4180" i="4" s="1"/>
  <c r="P4181" i="4"/>
  <c r="Q4181" i="4" s="1"/>
  <c r="R4181" i="4" s="1"/>
  <c r="P4182" i="4"/>
  <c r="Q4182" i="4" s="1"/>
  <c r="R4182" i="4" s="1"/>
  <c r="P4183" i="4"/>
  <c r="Q4183" i="4" s="1"/>
  <c r="R4183" i="4" s="1"/>
  <c r="P4184" i="4"/>
  <c r="Q4184" i="4" s="1"/>
  <c r="R4184" i="4" s="1"/>
  <c r="P4185" i="4"/>
  <c r="Q4185" i="4" s="1"/>
  <c r="R4185" i="4" s="1"/>
  <c r="P4186" i="4"/>
  <c r="Q4186" i="4" s="1"/>
  <c r="R4186" i="4" s="1"/>
  <c r="P4187" i="4"/>
  <c r="Q4187" i="4" s="1"/>
  <c r="R4187" i="4" s="1"/>
  <c r="P4188" i="4"/>
  <c r="Q4188" i="4" s="1"/>
  <c r="R4188" i="4" s="1"/>
  <c r="P4189" i="4"/>
  <c r="Q4189" i="4" s="1"/>
  <c r="R4189" i="4" s="1"/>
  <c r="P4190" i="4"/>
  <c r="Q4190" i="4" s="1"/>
  <c r="R4190" i="4" s="1"/>
  <c r="P4191" i="4"/>
  <c r="Q4191" i="4" s="1"/>
  <c r="R4191" i="4" s="1"/>
  <c r="P4192" i="4"/>
  <c r="Q4192" i="4" s="1"/>
  <c r="R4192" i="4" s="1"/>
  <c r="P4193" i="4"/>
  <c r="Q4193" i="4" s="1"/>
  <c r="R4193" i="4" s="1"/>
  <c r="P4194" i="4"/>
  <c r="Q4194" i="4" s="1"/>
  <c r="R4194" i="4" s="1"/>
  <c r="P4195" i="4"/>
  <c r="Q4195" i="4" s="1"/>
  <c r="R4195" i="4" s="1"/>
  <c r="P4196" i="4"/>
  <c r="Q4196" i="4" s="1"/>
  <c r="R4196" i="4" s="1"/>
  <c r="P4197" i="4"/>
  <c r="Q4197" i="4" s="1"/>
  <c r="R4197" i="4" s="1"/>
  <c r="P4198" i="4"/>
  <c r="Q4198" i="4" s="1"/>
  <c r="R4198" i="4" s="1"/>
  <c r="P4199" i="4"/>
  <c r="Q4199" i="4" s="1"/>
  <c r="R4199" i="4" s="1"/>
  <c r="P4200" i="4"/>
  <c r="Q4200" i="4" s="1"/>
  <c r="R4200" i="4" s="1"/>
  <c r="P4201" i="4"/>
  <c r="Q4201" i="4" s="1"/>
  <c r="R4201" i="4" s="1"/>
  <c r="P4202" i="4"/>
  <c r="Q4202" i="4" s="1"/>
  <c r="R4202" i="4" s="1"/>
  <c r="P4203" i="4"/>
  <c r="Q4203" i="4" s="1"/>
  <c r="R4203" i="4" s="1"/>
  <c r="P4204" i="4"/>
  <c r="Q4204" i="4" s="1"/>
  <c r="R4204" i="4" s="1"/>
  <c r="P4205" i="4"/>
  <c r="Q4205" i="4" s="1"/>
  <c r="R4205" i="4" s="1"/>
  <c r="P4206" i="4"/>
  <c r="Q4206" i="4" s="1"/>
  <c r="R4206" i="4" s="1"/>
  <c r="P4207" i="4"/>
  <c r="Q4207" i="4" s="1"/>
  <c r="R4207" i="4" s="1"/>
  <c r="P4208" i="4"/>
  <c r="Q4208" i="4" s="1"/>
  <c r="R4208" i="4" s="1"/>
  <c r="P4209" i="4"/>
  <c r="Q4209" i="4" s="1"/>
  <c r="R4209" i="4" s="1"/>
  <c r="P4210" i="4"/>
  <c r="Q4210" i="4" s="1"/>
  <c r="R4210" i="4" s="1"/>
  <c r="P4211" i="4"/>
  <c r="Q4211" i="4" s="1"/>
  <c r="R4211" i="4" s="1"/>
  <c r="P4212" i="4"/>
  <c r="Q4212" i="4" s="1"/>
  <c r="R4212" i="4" s="1"/>
  <c r="P4213" i="4"/>
  <c r="Q4213" i="4" s="1"/>
  <c r="R4213" i="4" s="1"/>
  <c r="P4214" i="4"/>
  <c r="Q4214" i="4" s="1"/>
  <c r="R4214" i="4" s="1"/>
  <c r="P4215" i="4"/>
  <c r="Q4215" i="4" s="1"/>
  <c r="R4215" i="4" s="1"/>
  <c r="P4216" i="4"/>
  <c r="Q4216" i="4" s="1"/>
  <c r="R4216" i="4" s="1"/>
  <c r="P4217" i="4"/>
  <c r="Q4217" i="4" s="1"/>
  <c r="R4217" i="4" s="1"/>
  <c r="P4218" i="4"/>
  <c r="Q4218" i="4" s="1"/>
  <c r="R4218" i="4" s="1"/>
  <c r="P4219" i="4"/>
  <c r="Q4219" i="4" s="1"/>
  <c r="R4219" i="4" s="1"/>
  <c r="P4220" i="4"/>
  <c r="Q4220" i="4" s="1"/>
  <c r="R4220" i="4" s="1"/>
  <c r="P4221" i="4"/>
  <c r="Q4221" i="4" s="1"/>
  <c r="R4221" i="4" s="1"/>
  <c r="P4222" i="4"/>
  <c r="Q4222" i="4" s="1"/>
  <c r="R4222" i="4" s="1"/>
  <c r="P4223" i="4"/>
  <c r="Q4223" i="4" s="1"/>
  <c r="R4223" i="4" s="1"/>
  <c r="P4224" i="4"/>
  <c r="Q4224" i="4" s="1"/>
  <c r="R4224" i="4" s="1"/>
  <c r="P4225" i="4"/>
  <c r="Q4225" i="4" s="1"/>
  <c r="R4225" i="4" s="1"/>
  <c r="P4226" i="4"/>
  <c r="Q4226" i="4" s="1"/>
  <c r="R4226" i="4" s="1"/>
  <c r="P4227" i="4"/>
  <c r="Q4227" i="4" s="1"/>
  <c r="R4227" i="4" s="1"/>
  <c r="P4228" i="4"/>
  <c r="Q4228" i="4" s="1"/>
  <c r="R4228" i="4" s="1"/>
  <c r="P4229" i="4"/>
  <c r="Q4229" i="4" s="1"/>
  <c r="R4229" i="4" s="1"/>
  <c r="P4230" i="4"/>
  <c r="Q4230" i="4" s="1"/>
  <c r="R4230" i="4" s="1"/>
  <c r="P4231" i="4"/>
  <c r="Q4231" i="4" s="1"/>
  <c r="R4231" i="4" s="1"/>
  <c r="P4232" i="4"/>
  <c r="Q4232" i="4" s="1"/>
  <c r="R4232" i="4" s="1"/>
  <c r="P4233" i="4"/>
  <c r="Q4233" i="4" s="1"/>
  <c r="R4233" i="4" s="1"/>
  <c r="P4234" i="4"/>
  <c r="Q4234" i="4" s="1"/>
  <c r="R4234" i="4" s="1"/>
  <c r="P4235" i="4"/>
  <c r="Q4235" i="4" s="1"/>
  <c r="R4235" i="4" s="1"/>
  <c r="P4236" i="4"/>
  <c r="Q4236" i="4" s="1"/>
  <c r="R4236" i="4" s="1"/>
  <c r="P4237" i="4"/>
  <c r="Q4237" i="4" s="1"/>
  <c r="R4237" i="4" s="1"/>
  <c r="P4238" i="4"/>
  <c r="Q4238" i="4" s="1"/>
  <c r="R4238" i="4" s="1"/>
  <c r="P4239" i="4"/>
  <c r="Q4239" i="4" s="1"/>
  <c r="R4239" i="4" s="1"/>
  <c r="P4240" i="4"/>
  <c r="Q4240" i="4" s="1"/>
  <c r="R4240" i="4" s="1"/>
  <c r="P4241" i="4"/>
  <c r="Q4241" i="4" s="1"/>
  <c r="R4241" i="4" s="1"/>
  <c r="P4242" i="4"/>
  <c r="Q4242" i="4" s="1"/>
  <c r="R4242" i="4" s="1"/>
  <c r="P4243" i="4"/>
  <c r="Q4243" i="4" s="1"/>
  <c r="R4243" i="4" s="1"/>
  <c r="P4244" i="4"/>
  <c r="Q4244" i="4" s="1"/>
  <c r="R4244" i="4" s="1"/>
  <c r="P4245" i="4"/>
  <c r="Q4245" i="4" s="1"/>
  <c r="R4245" i="4" s="1"/>
  <c r="P4246" i="4"/>
  <c r="Q4246" i="4" s="1"/>
  <c r="R4246" i="4" s="1"/>
  <c r="P4247" i="4"/>
  <c r="Q4247" i="4" s="1"/>
  <c r="R4247" i="4" s="1"/>
  <c r="P4248" i="4"/>
  <c r="Q4248" i="4" s="1"/>
  <c r="R4248" i="4" s="1"/>
  <c r="P4249" i="4"/>
  <c r="Q4249" i="4" s="1"/>
  <c r="R4249" i="4" s="1"/>
  <c r="P4250" i="4"/>
  <c r="Q4250" i="4" s="1"/>
  <c r="R4250" i="4" s="1"/>
  <c r="P4251" i="4"/>
  <c r="Q4251" i="4" s="1"/>
  <c r="R4251" i="4" s="1"/>
  <c r="P4252" i="4"/>
  <c r="Q4252" i="4" s="1"/>
  <c r="R4252" i="4" s="1"/>
  <c r="P4253" i="4"/>
  <c r="Q4253" i="4" s="1"/>
  <c r="R4253" i="4" s="1"/>
  <c r="P4254" i="4"/>
  <c r="Q4254" i="4" s="1"/>
  <c r="R4254" i="4" s="1"/>
  <c r="P4255" i="4"/>
  <c r="Q4255" i="4" s="1"/>
  <c r="R4255" i="4" s="1"/>
  <c r="P4256" i="4"/>
  <c r="Q4256" i="4" s="1"/>
  <c r="R4256" i="4" s="1"/>
  <c r="P4257" i="4"/>
  <c r="Q4257" i="4" s="1"/>
  <c r="R4257" i="4" s="1"/>
  <c r="P4258" i="4"/>
  <c r="Q4258" i="4" s="1"/>
  <c r="R4258" i="4" s="1"/>
  <c r="P4259" i="4"/>
  <c r="Q4259" i="4" s="1"/>
  <c r="R4259" i="4" s="1"/>
  <c r="P4260" i="4"/>
  <c r="Q4260" i="4" s="1"/>
  <c r="R4260" i="4" s="1"/>
  <c r="P4261" i="4"/>
  <c r="Q4261" i="4" s="1"/>
  <c r="R4261" i="4" s="1"/>
  <c r="P4262" i="4"/>
  <c r="Q4262" i="4" s="1"/>
  <c r="R4262" i="4" s="1"/>
  <c r="P4263" i="4"/>
  <c r="Q4263" i="4" s="1"/>
  <c r="R4263" i="4" s="1"/>
  <c r="P4264" i="4"/>
  <c r="Q4264" i="4" s="1"/>
  <c r="R4264" i="4" s="1"/>
  <c r="P4265" i="4"/>
  <c r="Q4265" i="4" s="1"/>
  <c r="R4265" i="4" s="1"/>
  <c r="P4266" i="4"/>
  <c r="Q4266" i="4" s="1"/>
  <c r="R4266" i="4" s="1"/>
  <c r="P4267" i="4"/>
  <c r="Q4267" i="4" s="1"/>
  <c r="R4267" i="4" s="1"/>
  <c r="P4268" i="4"/>
  <c r="Q4268" i="4" s="1"/>
  <c r="R4268" i="4" s="1"/>
  <c r="P4269" i="4"/>
  <c r="Q4269" i="4" s="1"/>
  <c r="R4269" i="4" s="1"/>
  <c r="P4270" i="4"/>
  <c r="Q4270" i="4" s="1"/>
  <c r="R4270" i="4" s="1"/>
  <c r="P4271" i="4"/>
  <c r="Q4271" i="4" s="1"/>
  <c r="R4271" i="4" s="1"/>
  <c r="P4272" i="4"/>
  <c r="Q4272" i="4" s="1"/>
  <c r="R4272" i="4" s="1"/>
  <c r="P4273" i="4"/>
  <c r="Q4273" i="4" s="1"/>
  <c r="R4273" i="4" s="1"/>
  <c r="P4274" i="4"/>
  <c r="Q4274" i="4" s="1"/>
  <c r="R4274" i="4" s="1"/>
  <c r="P4275" i="4"/>
  <c r="Q4275" i="4" s="1"/>
  <c r="R4275" i="4" s="1"/>
  <c r="P4276" i="4"/>
  <c r="Q4276" i="4" s="1"/>
  <c r="R4276" i="4" s="1"/>
  <c r="P4277" i="4"/>
  <c r="Q4277" i="4" s="1"/>
  <c r="R4277" i="4" s="1"/>
  <c r="P4278" i="4"/>
  <c r="Q4278" i="4" s="1"/>
  <c r="R4278" i="4" s="1"/>
  <c r="P4279" i="4"/>
  <c r="Q4279" i="4" s="1"/>
  <c r="R4279" i="4" s="1"/>
  <c r="P4280" i="4"/>
  <c r="Q4280" i="4" s="1"/>
  <c r="R4280" i="4" s="1"/>
  <c r="P4281" i="4"/>
  <c r="Q4281" i="4" s="1"/>
  <c r="R4281" i="4" s="1"/>
  <c r="P4282" i="4"/>
  <c r="Q4282" i="4" s="1"/>
  <c r="R4282" i="4" s="1"/>
  <c r="P4283" i="4"/>
  <c r="Q4283" i="4" s="1"/>
  <c r="R4283" i="4" s="1"/>
  <c r="P4284" i="4"/>
  <c r="Q4284" i="4" s="1"/>
  <c r="R4284" i="4" s="1"/>
  <c r="P4285" i="4"/>
  <c r="Q4285" i="4" s="1"/>
  <c r="R4285" i="4" s="1"/>
  <c r="P4286" i="4"/>
  <c r="Q4286" i="4" s="1"/>
  <c r="R4286" i="4" s="1"/>
  <c r="P4287" i="4"/>
  <c r="Q4287" i="4" s="1"/>
  <c r="R4287" i="4" s="1"/>
  <c r="P4288" i="4"/>
  <c r="Q4288" i="4" s="1"/>
  <c r="R4288" i="4" s="1"/>
  <c r="P4289" i="4"/>
  <c r="Q4289" i="4" s="1"/>
  <c r="R4289" i="4" s="1"/>
  <c r="P4290" i="4"/>
  <c r="Q4290" i="4" s="1"/>
  <c r="R4290" i="4" s="1"/>
  <c r="P4291" i="4"/>
  <c r="Q4291" i="4" s="1"/>
  <c r="R4291" i="4" s="1"/>
  <c r="P4292" i="4"/>
  <c r="Q4292" i="4" s="1"/>
  <c r="R4292" i="4" s="1"/>
  <c r="P4293" i="4"/>
  <c r="Q4293" i="4" s="1"/>
  <c r="R4293" i="4" s="1"/>
  <c r="P4294" i="4"/>
  <c r="Q4294" i="4" s="1"/>
  <c r="R4294" i="4" s="1"/>
  <c r="P4295" i="4"/>
  <c r="Q4295" i="4" s="1"/>
  <c r="R4295" i="4" s="1"/>
  <c r="P4296" i="4"/>
  <c r="Q4296" i="4" s="1"/>
  <c r="R4296" i="4" s="1"/>
  <c r="P4297" i="4"/>
  <c r="Q4297" i="4" s="1"/>
  <c r="R4297" i="4" s="1"/>
  <c r="P4298" i="4"/>
  <c r="Q4298" i="4" s="1"/>
  <c r="R4298" i="4" s="1"/>
  <c r="P4299" i="4"/>
  <c r="Q4299" i="4" s="1"/>
  <c r="R4299" i="4" s="1"/>
  <c r="P4300" i="4"/>
  <c r="Q4300" i="4" s="1"/>
  <c r="R4300" i="4" s="1"/>
  <c r="P4301" i="4"/>
  <c r="Q4301" i="4" s="1"/>
  <c r="R4301" i="4" s="1"/>
  <c r="P4302" i="4"/>
  <c r="Q4302" i="4" s="1"/>
  <c r="R4302" i="4" s="1"/>
  <c r="P4303" i="4"/>
  <c r="Q4303" i="4" s="1"/>
  <c r="R4303" i="4" s="1"/>
  <c r="P4304" i="4"/>
  <c r="Q4304" i="4" s="1"/>
  <c r="R4304" i="4" s="1"/>
  <c r="P4305" i="4"/>
  <c r="Q4305" i="4" s="1"/>
  <c r="R4305" i="4" s="1"/>
  <c r="P4306" i="4"/>
  <c r="Q4306" i="4" s="1"/>
  <c r="R4306" i="4" s="1"/>
  <c r="P4307" i="4"/>
  <c r="Q4307" i="4" s="1"/>
  <c r="R4307" i="4" s="1"/>
  <c r="P4308" i="4"/>
  <c r="Q4308" i="4" s="1"/>
  <c r="R4308" i="4" s="1"/>
  <c r="P4309" i="4"/>
  <c r="Q4309" i="4" s="1"/>
  <c r="R4309" i="4" s="1"/>
  <c r="P4310" i="4"/>
  <c r="Q4310" i="4" s="1"/>
  <c r="R4310" i="4" s="1"/>
  <c r="P4311" i="4"/>
  <c r="Q4311" i="4" s="1"/>
  <c r="R4311" i="4" s="1"/>
  <c r="P4312" i="4"/>
  <c r="Q4312" i="4" s="1"/>
  <c r="R4312" i="4" s="1"/>
  <c r="P4313" i="4"/>
  <c r="Q4313" i="4" s="1"/>
  <c r="R4313" i="4" s="1"/>
  <c r="P4314" i="4"/>
  <c r="Q4314" i="4" s="1"/>
  <c r="R4314" i="4" s="1"/>
  <c r="P4315" i="4"/>
  <c r="Q4315" i="4" s="1"/>
  <c r="R4315" i="4" s="1"/>
  <c r="P4316" i="4"/>
  <c r="Q4316" i="4" s="1"/>
  <c r="R4316" i="4" s="1"/>
  <c r="P4317" i="4"/>
  <c r="Q4317" i="4" s="1"/>
  <c r="R4317" i="4" s="1"/>
  <c r="P4318" i="4"/>
  <c r="Q4318" i="4" s="1"/>
  <c r="R4318" i="4" s="1"/>
  <c r="P4319" i="4"/>
  <c r="Q4319" i="4" s="1"/>
  <c r="R4319" i="4" s="1"/>
  <c r="P4320" i="4"/>
  <c r="Q4320" i="4" s="1"/>
  <c r="R4320" i="4" s="1"/>
  <c r="P4321" i="4"/>
  <c r="Q4321" i="4" s="1"/>
  <c r="R4321" i="4" s="1"/>
  <c r="P4322" i="4"/>
  <c r="Q4322" i="4" s="1"/>
  <c r="R4322" i="4" s="1"/>
  <c r="P4323" i="4"/>
  <c r="Q4323" i="4" s="1"/>
  <c r="R4323" i="4" s="1"/>
  <c r="P4324" i="4"/>
  <c r="Q4324" i="4" s="1"/>
  <c r="R4324" i="4" s="1"/>
  <c r="P4325" i="4"/>
  <c r="Q4325" i="4" s="1"/>
  <c r="R4325" i="4" s="1"/>
  <c r="P4326" i="4"/>
  <c r="Q4326" i="4" s="1"/>
  <c r="R4326" i="4" s="1"/>
  <c r="P4327" i="4"/>
  <c r="Q4327" i="4" s="1"/>
  <c r="R4327" i="4" s="1"/>
  <c r="P4328" i="4"/>
  <c r="Q4328" i="4" s="1"/>
  <c r="R4328" i="4" s="1"/>
  <c r="P4329" i="4"/>
  <c r="Q4329" i="4" s="1"/>
  <c r="R4329" i="4" s="1"/>
  <c r="P4330" i="4"/>
  <c r="Q4330" i="4" s="1"/>
  <c r="R4330" i="4" s="1"/>
  <c r="P4331" i="4"/>
  <c r="Q4331" i="4" s="1"/>
  <c r="R4331" i="4" s="1"/>
  <c r="P4332" i="4"/>
  <c r="Q4332" i="4" s="1"/>
  <c r="R4332" i="4" s="1"/>
  <c r="P4333" i="4"/>
  <c r="Q4333" i="4" s="1"/>
  <c r="R4333" i="4" s="1"/>
  <c r="P4334" i="4"/>
  <c r="Q4334" i="4" s="1"/>
  <c r="R4334" i="4" s="1"/>
  <c r="P4335" i="4"/>
  <c r="Q4335" i="4" s="1"/>
  <c r="R4335" i="4" s="1"/>
  <c r="P4336" i="4"/>
  <c r="Q4336" i="4" s="1"/>
  <c r="R4336" i="4" s="1"/>
  <c r="P4337" i="4"/>
  <c r="Q4337" i="4" s="1"/>
  <c r="R4337" i="4" s="1"/>
  <c r="P4338" i="4"/>
  <c r="Q4338" i="4" s="1"/>
  <c r="R4338" i="4" s="1"/>
  <c r="P4339" i="4"/>
  <c r="Q4339" i="4" s="1"/>
  <c r="R4339" i="4" s="1"/>
  <c r="P4340" i="4"/>
  <c r="Q4340" i="4" s="1"/>
  <c r="R4340" i="4" s="1"/>
  <c r="P4341" i="4"/>
  <c r="Q4341" i="4" s="1"/>
  <c r="R4341" i="4" s="1"/>
  <c r="P4342" i="4"/>
  <c r="Q4342" i="4" s="1"/>
  <c r="R4342" i="4" s="1"/>
  <c r="P4343" i="4"/>
  <c r="Q4343" i="4" s="1"/>
  <c r="R4343" i="4" s="1"/>
  <c r="P4344" i="4"/>
  <c r="Q4344" i="4" s="1"/>
  <c r="R4344" i="4" s="1"/>
  <c r="P4345" i="4"/>
  <c r="Q4345" i="4" s="1"/>
  <c r="R4345" i="4" s="1"/>
  <c r="P4346" i="4"/>
  <c r="Q4346" i="4" s="1"/>
  <c r="R4346" i="4" s="1"/>
  <c r="P4347" i="4"/>
  <c r="Q4347" i="4" s="1"/>
  <c r="R4347" i="4" s="1"/>
  <c r="P4348" i="4"/>
  <c r="Q4348" i="4" s="1"/>
  <c r="R4348" i="4" s="1"/>
  <c r="P4349" i="4"/>
  <c r="Q4349" i="4" s="1"/>
  <c r="R4349" i="4" s="1"/>
  <c r="P4350" i="4"/>
  <c r="Q4350" i="4" s="1"/>
  <c r="R4350" i="4" s="1"/>
  <c r="P4351" i="4"/>
  <c r="Q4351" i="4" s="1"/>
  <c r="R4351" i="4" s="1"/>
  <c r="P4352" i="4"/>
  <c r="Q4352" i="4" s="1"/>
  <c r="R4352" i="4" s="1"/>
  <c r="P4353" i="4"/>
  <c r="Q4353" i="4" s="1"/>
  <c r="R4353" i="4" s="1"/>
  <c r="P4354" i="4"/>
  <c r="Q4354" i="4" s="1"/>
  <c r="R4354" i="4" s="1"/>
  <c r="P4355" i="4"/>
  <c r="Q4355" i="4" s="1"/>
  <c r="R4355" i="4" s="1"/>
  <c r="P4356" i="4"/>
  <c r="Q4356" i="4" s="1"/>
  <c r="R4356" i="4" s="1"/>
  <c r="P4357" i="4"/>
  <c r="Q4357" i="4" s="1"/>
  <c r="R4357" i="4" s="1"/>
  <c r="P4358" i="4"/>
  <c r="Q4358" i="4" s="1"/>
  <c r="R4358" i="4" s="1"/>
  <c r="P4359" i="4"/>
  <c r="Q4359" i="4" s="1"/>
  <c r="R4359" i="4" s="1"/>
  <c r="P4360" i="4"/>
  <c r="Q4360" i="4" s="1"/>
  <c r="R4360" i="4" s="1"/>
  <c r="P4361" i="4"/>
  <c r="Q4361" i="4" s="1"/>
  <c r="R4361" i="4" s="1"/>
  <c r="P4362" i="4"/>
  <c r="Q4362" i="4" s="1"/>
  <c r="R4362" i="4" s="1"/>
  <c r="P4363" i="4"/>
  <c r="Q4363" i="4" s="1"/>
  <c r="R4363" i="4" s="1"/>
  <c r="P4364" i="4"/>
  <c r="Q4364" i="4" s="1"/>
  <c r="R4364" i="4" s="1"/>
  <c r="P4365" i="4"/>
  <c r="Q4365" i="4" s="1"/>
  <c r="R4365" i="4" s="1"/>
  <c r="P4366" i="4"/>
  <c r="Q4366" i="4" s="1"/>
  <c r="R4366" i="4" s="1"/>
  <c r="P4367" i="4"/>
  <c r="Q4367" i="4" s="1"/>
  <c r="R4367" i="4" s="1"/>
  <c r="P4368" i="4"/>
  <c r="Q4368" i="4" s="1"/>
  <c r="R4368" i="4" s="1"/>
  <c r="P4369" i="4"/>
  <c r="Q4369" i="4" s="1"/>
  <c r="R4369" i="4" s="1"/>
  <c r="P4370" i="4"/>
  <c r="Q4370" i="4" s="1"/>
  <c r="R4370" i="4" s="1"/>
  <c r="P4371" i="4"/>
  <c r="Q4371" i="4" s="1"/>
  <c r="R4371" i="4" s="1"/>
  <c r="P4372" i="4"/>
  <c r="Q4372" i="4" s="1"/>
  <c r="R4372" i="4" s="1"/>
  <c r="P4373" i="4"/>
  <c r="Q4373" i="4" s="1"/>
  <c r="R4373" i="4" s="1"/>
  <c r="P4374" i="4"/>
  <c r="Q4374" i="4" s="1"/>
  <c r="R4374" i="4" s="1"/>
  <c r="P4375" i="4"/>
  <c r="Q4375" i="4" s="1"/>
  <c r="R4375" i="4" s="1"/>
  <c r="P4376" i="4"/>
  <c r="Q4376" i="4" s="1"/>
  <c r="R4376" i="4" s="1"/>
  <c r="P4377" i="4"/>
  <c r="Q4377" i="4" s="1"/>
  <c r="R4377" i="4" s="1"/>
  <c r="P4378" i="4"/>
  <c r="Q4378" i="4" s="1"/>
  <c r="R4378" i="4" s="1"/>
  <c r="P4379" i="4"/>
  <c r="Q4379" i="4" s="1"/>
  <c r="R4379" i="4" s="1"/>
  <c r="P4380" i="4"/>
  <c r="Q4380" i="4" s="1"/>
  <c r="R4380" i="4" s="1"/>
  <c r="P4381" i="4"/>
  <c r="Q4381" i="4" s="1"/>
  <c r="R4381" i="4" s="1"/>
  <c r="P4382" i="4"/>
  <c r="Q4382" i="4" s="1"/>
  <c r="R4382" i="4" s="1"/>
  <c r="P4383" i="4"/>
  <c r="Q4383" i="4" s="1"/>
  <c r="R4383" i="4" s="1"/>
  <c r="P4384" i="4"/>
  <c r="Q4384" i="4" s="1"/>
  <c r="R4384" i="4" s="1"/>
  <c r="P4385" i="4"/>
  <c r="Q4385" i="4" s="1"/>
  <c r="R4385" i="4" s="1"/>
  <c r="P4386" i="4"/>
  <c r="Q4386" i="4" s="1"/>
  <c r="R4386" i="4" s="1"/>
  <c r="P4387" i="4"/>
  <c r="Q4387" i="4" s="1"/>
  <c r="R4387" i="4" s="1"/>
  <c r="P4388" i="4"/>
  <c r="Q4388" i="4" s="1"/>
  <c r="R4388" i="4" s="1"/>
  <c r="P4389" i="4"/>
  <c r="Q4389" i="4" s="1"/>
  <c r="R4389" i="4" s="1"/>
  <c r="P4390" i="4"/>
  <c r="Q4390" i="4" s="1"/>
  <c r="R4390" i="4" s="1"/>
  <c r="P4391" i="4"/>
  <c r="Q4391" i="4" s="1"/>
  <c r="R4391" i="4" s="1"/>
  <c r="P4392" i="4"/>
  <c r="Q4392" i="4" s="1"/>
  <c r="R4392" i="4" s="1"/>
  <c r="P4393" i="4"/>
  <c r="Q4393" i="4" s="1"/>
  <c r="R4393" i="4" s="1"/>
  <c r="P4394" i="4"/>
  <c r="Q4394" i="4" s="1"/>
  <c r="R4394" i="4" s="1"/>
  <c r="P4395" i="4"/>
  <c r="Q4395" i="4" s="1"/>
  <c r="R4395" i="4" s="1"/>
  <c r="P4396" i="4"/>
  <c r="Q4396" i="4" s="1"/>
  <c r="R4396" i="4" s="1"/>
  <c r="P4397" i="4"/>
  <c r="Q4397" i="4" s="1"/>
  <c r="R4397" i="4" s="1"/>
  <c r="P4398" i="4"/>
  <c r="Q4398" i="4" s="1"/>
  <c r="R4398" i="4" s="1"/>
  <c r="P4399" i="4"/>
  <c r="Q4399" i="4" s="1"/>
  <c r="R4399" i="4" s="1"/>
  <c r="P4400" i="4"/>
  <c r="Q4400" i="4" s="1"/>
  <c r="R4400" i="4" s="1"/>
  <c r="P4401" i="4"/>
  <c r="Q4401" i="4" s="1"/>
  <c r="R4401" i="4" s="1"/>
  <c r="P4402" i="4"/>
  <c r="Q4402" i="4" s="1"/>
  <c r="R4402" i="4" s="1"/>
  <c r="P4403" i="4"/>
  <c r="Q4403" i="4" s="1"/>
  <c r="R4403" i="4" s="1"/>
  <c r="P4404" i="4"/>
  <c r="Q4404" i="4" s="1"/>
  <c r="R4404" i="4" s="1"/>
  <c r="P4405" i="4"/>
  <c r="Q4405" i="4" s="1"/>
  <c r="R4405" i="4" s="1"/>
  <c r="P4406" i="4"/>
  <c r="Q4406" i="4" s="1"/>
  <c r="R4406" i="4" s="1"/>
  <c r="P4407" i="4"/>
  <c r="Q4407" i="4" s="1"/>
  <c r="R4407" i="4" s="1"/>
  <c r="P4408" i="4"/>
  <c r="Q4408" i="4" s="1"/>
  <c r="R4408" i="4" s="1"/>
  <c r="P4409" i="4"/>
  <c r="Q4409" i="4" s="1"/>
  <c r="R4409" i="4" s="1"/>
  <c r="P4410" i="4"/>
  <c r="Q4410" i="4" s="1"/>
  <c r="R4410" i="4" s="1"/>
  <c r="P4411" i="4"/>
  <c r="Q4411" i="4" s="1"/>
  <c r="R4411" i="4" s="1"/>
  <c r="P4412" i="4"/>
  <c r="Q4412" i="4" s="1"/>
  <c r="R4412" i="4" s="1"/>
  <c r="P4413" i="4"/>
  <c r="Q4413" i="4" s="1"/>
  <c r="R4413" i="4" s="1"/>
  <c r="P4414" i="4"/>
  <c r="Q4414" i="4" s="1"/>
  <c r="R4414" i="4" s="1"/>
  <c r="P4415" i="4"/>
  <c r="Q4415" i="4" s="1"/>
  <c r="R4415" i="4" s="1"/>
  <c r="P4416" i="4"/>
  <c r="Q4416" i="4" s="1"/>
  <c r="R4416" i="4" s="1"/>
  <c r="P4417" i="4"/>
  <c r="Q4417" i="4" s="1"/>
  <c r="R4417" i="4" s="1"/>
  <c r="P4418" i="4"/>
  <c r="Q4418" i="4" s="1"/>
  <c r="R4418" i="4" s="1"/>
  <c r="P4419" i="4"/>
  <c r="Q4419" i="4" s="1"/>
  <c r="R4419" i="4" s="1"/>
  <c r="P4420" i="4"/>
  <c r="Q4420" i="4" s="1"/>
  <c r="R4420" i="4" s="1"/>
  <c r="P4421" i="4"/>
  <c r="Q4421" i="4" s="1"/>
  <c r="R4421" i="4" s="1"/>
  <c r="P4422" i="4"/>
  <c r="Q4422" i="4" s="1"/>
  <c r="R4422" i="4" s="1"/>
  <c r="P4423" i="4"/>
  <c r="Q4423" i="4" s="1"/>
  <c r="R4423" i="4" s="1"/>
  <c r="P4424" i="4"/>
  <c r="Q4424" i="4" s="1"/>
  <c r="R4424" i="4" s="1"/>
  <c r="P4425" i="4"/>
  <c r="Q4425" i="4" s="1"/>
  <c r="R4425" i="4" s="1"/>
  <c r="P4426" i="4"/>
  <c r="Q4426" i="4" s="1"/>
  <c r="R4426" i="4" s="1"/>
  <c r="P4427" i="4"/>
  <c r="Q4427" i="4" s="1"/>
  <c r="R4427" i="4" s="1"/>
  <c r="P4428" i="4"/>
  <c r="Q4428" i="4" s="1"/>
  <c r="R4428" i="4" s="1"/>
  <c r="P4429" i="4"/>
  <c r="Q4429" i="4" s="1"/>
  <c r="R4429" i="4" s="1"/>
  <c r="P4430" i="4"/>
  <c r="Q4430" i="4" s="1"/>
  <c r="R4430" i="4" s="1"/>
  <c r="P4431" i="4"/>
  <c r="Q4431" i="4" s="1"/>
  <c r="R4431" i="4" s="1"/>
  <c r="P4432" i="4"/>
  <c r="Q4432" i="4" s="1"/>
  <c r="R4432" i="4" s="1"/>
  <c r="P4433" i="4"/>
  <c r="Q4433" i="4" s="1"/>
  <c r="R4433" i="4" s="1"/>
  <c r="P4434" i="4"/>
  <c r="Q4434" i="4" s="1"/>
  <c r="R4434" i="4" s="1"/>
  <c r="P4435" i="4"/>
  <c r="Q4435" i="4" s="1"/>
  <c r="R4435" i="4" s="1"/>
  <c r="P4436" i="4"/>
  <c r="Q4436" i="4" s="1"/>
  <c r="R4436" i="4" s="1"/>
  <c r="P4437" i="4"/>
  <c r="Q4437" i="4" s="1"/>
  <c r="R4437" i="4" s="1"/>
  <c r="P4438" i="4"/>
  <c r="Q4438" i="4" s="1"/>
  <c r="R4438" i="4" s="1"/>
  <c r="P4439" i="4"/>
  <c r="Q4439" i="4" s="1"/>
  <c r="R4439" i="4" s="1"/>
  <c r="P4440" i="4"/>
  <c r="Q4440" i="4" s="1"/>
  <c r="R4440" i="4" s="1"/>
  <c r="P4441" i="4"/>
  <c r="Q4441" i="4" s="1"/>
  <c r="R4441" i="4" s="1"/>
  <c r="P4442" i="4"/>
  <c r="Q4442" i="4" s="1"/>
  <c r="R4442" i="4" s="1"/>
  <c r="P4443" i="4"/>
  <c r="Q4443" i="4" s="1"/>
  <c r="R4443" i="4" s="1"/>
  <c r="P4444" i="4"/>
  <c r="Q4444" i="4" s="1"/>
  <c r="R4444" i="4" s="1"/>
  <c r="P4445" i="4"/>
  <c r="Q4445" i="4" s="1"/>
  <c r="R4445" i="4" s="1"/>
  <c r="P4446" i="4"/>
  <c r="Q4446" i="4" s="1"/>
  <c r="R4446" i="4" s="1"/>
  <c r="P4447" i="4"/>
  <c r="Q4447" i="4" s="1"/>
  <c r="R4447" i="4" s="1"/>
  <c r="P4448" i="4"/>
  <c r="Q4448" i="4" s="1"/>
  <c r="R4448" i="4" s="1"/>
  <c r="P4449" i="4"/>
  <c r="Q4449" i="4" s="1"/>
  <c r="R4449" i="4" s="1"/>
  <c r="P4450" i="4"/>
  <c r="Q4450" i="4" s="1"/>
  <c r="R4450" i="4" s="1"/>
  <c r="P4451" i="4"/>
  <c r="Q4451" i="4" s="1"/>
  <c r="R4451" i="4" s="1"/>
  <c r="P4452" i="4"/>
  <c r="Q4452" i="4" s="1"/>
  <c r="R4452" i="4" s="1"/>
  <c r="P4453" i="4"/>
  <c r="Q4453" i="4" s="1"/>
  <c r="R4453" i="4" s="1"/>
  <c r="P4454" i="4"/>
  <c r="Q4454" i="4" s="1"/>
  <c r="R4454" i="4" s="1"/>
  <c r="P4455" i="4"/>
  <c r="Q4455" i="4" s="1"/>
  <c r="R4455" i="4" s="1"/>
  <c r="P4456" i="4"/>
  <c r="Q4456" i="4" s="1"/>
  <c r="R4456" i="4" s="1"/>
  <c r="P4457" i="4"/>
  <c r="Q4457" i="4" s="1"/>
  <c r="R4457" i="4" s="1"/>
  <c r="P4458" i="4"/>
  <c r="Q4458" i="4" s="1"/>
  <c r="R4458" i="4" s="1"/>
  <c r="P4459" i="4"/>
  <c r="Q4459" i="4" s="1"/>
  <c r="R4459" i="4" s="1"/>
  <c r="P4460" i="4"/>
  <c r="Q4460" i="4" s="1"/>
  <c r="R4460" i="4" s="1"/>
  <c r="P4461" i="4"/>
  <c r="Q4461" i="4" s="1"/>
  <c r="R4461" i="4" s="1"/>
  <c r="P4462" i="4"/>
  <c r="Q4462" i="4" s="1"/>
  <c r="R4462" i="4" s="1"/>
  <c r="P4463" i="4"/>
  <c r="Q4463" i="4" s="1"/>
  <c r="R4463" i="4" s="1"/>
  <c r="P4464" i="4"/>
  <c r="Q4464" i="4" s="1"/>
  <c r="R4464" i="4" s="1"/>
  <c r="P4465" i="4"/>
  <c r="Q4465" i="4" s="1"/>
  <c r="R4465" i="4" s="1"/>
  <c r="P4466" i="4"/>
  <c r="Q4466" i="4" s="1"/>
  <c r="R4466" i="4" s="1"/>
  <c r="P4467" i="4"/>
  <c r="Q4467" i="4" s="1"/>
  <c r="R4467" i="4" s="1"/>
  <c r="P4468" i="4"/>
  <c r="Q4468" i="4" s="1"/>
  <c r="R4468" i="4" s="1"/>
  <c r="P4469" i="4"/>
  <c r="Q4469" i="4" s="1"/>
  <c r="R4469" i="4" s="1"/>
  <c r="P4470" i="4"/>
  <c r="Q4470" i="4" s="1"/>
  <c r="R4470" i="4" s="1"/>
  <c r="P4471" i="4"/>
  <c r="Q4471" i="4" s="1"/>
  <c r="R4471" i="4" s="1"/>
  <c r="P4472" i="4"/>
  <c r="Q4472" i="4" s="1"/>
  <c r="R4472" i="4" s="1"/>
  <c r="P4473" i="4"/>
  <c r="Q4473" i="4" s="1"/>
  <c r="R4473" i="4" s="1"/>
  <c r="P4474" i="4"/>
  <c r="Q4474" i="4" s="1"/>
  <c r="R4474" i="4" s="1"/>
  <c r="P4475" i="4"/>
  <c r="Q4475" i="4" s="1"/>
  <c r="R4475" i="4" s="1"/>
  <c r="P4476" i="4"/>
  <c r="Q4476" i="4" s="1"/>
  <c r="R4476" i="4" s="1"/>
  <c r="P4477" i="4"/>
  <c r="Q4477" i="4" s="1"/>
  <c r="R4477" i="4" s="1"/>
  <c r="P4478" i="4"/>
  <c r="Q4478" i="4" s="1"/>
  <c r="R4478" i="4" s="1"/>
  <c r="P4479" i="4"/>
  <c r="Q4479" i="4" s="1"/>
  <c r="R4479" i="4" s="1"/>
  <c r="P4480" i="4"/>
  <c r="Q4480" i="4" s="1"/>
  <c r="R4480" i="4" s="1"/>
  <c r="P4481" i="4"/>
  <c r="Q4481" i="4" s="1"/>
  <c r="R4481" i="4" s="1"/>
  <c r="P4482" i="4"/>
  <c r="Q4482" i="4" s="1"/>
  <c r="R4482" i="4" s="1"/>
  <c r="P4483" i="4"/>
  <c r="Q4483" i="4" s="1"/>
  <c r="R4483" i="4" s="1"/>
  <c r="P4484" i="4"/>
  <c r="Q4484" i="4" s="1"/>
  <c r="R4484" i="4" s="1"/>
  <c r="P4485" i="4"/>
  <c r="Q4485" i="4" s="1"/>
  <c r="R4485" i="4" s="1"/>
  <c r="P4486" i="4"/>
  <c r="Q4486" i="4" s="1"/>
  <c r="R4486" i="4" s="1"/>
  <c r="P4487" i="4"/>
  <c r="Q4487" i="4" s="1"/>
  <c r="R4487" i="4" s="1"/>
  <c r="P4488" i="4"/>
  <c r="Q4488" i="4" s="1"/>
  <c r="R4488" i="4" s="1"/>
  <c r="P4489" i="4"/>
  <c r="Q4489" i="4" s="1"/>
  <c r="R4489" i="4" s="1"/>
  <c r="P4490" i="4"/>
  <c r="Q4490" i="4" s="1"/>
  <c r="R4490" i="4" s="1"/>
  <c r="P4491" i="4"/>
  <c r="Q4491" i="4" s="1"/>
  <c r="R4491" i="4" s="1"/>
  <c r="P4492" i="4"/>
  <c r="Q4492" i="4" s="1"/>
  <c r="R4492" i="4" s="1"/>
  <c r="P4493" i="4"/>
  <c r="Q4493" i="4" s="1"/>
  <c r="R4493" i="4" s="1"/>
  <c r="P4494" i="4"/>
  <c r="Q4494" i="4" s="1"/>
  <c r="R4494" i="4" s="1"/>
  <c r="P4495" i="4"/>
  <c r="Q4495" i="4" s="1"/>
  <c r="R4495" i="4" s="1"/>
  <c r="P4496" i="4"/>
  <c r="Q4496" i="4" s="1"/>
  <c r="R4496" i="4" s="1"/>
  <c r="P4497" i="4"/>
  <c r="Q4497" i="4" s="1"/>
  <c r="R4497" i="4" s="1"/>
  <c r="P4498" i="4"/>
  <c r="Q4498" i="4" s="1"/>
  <c r="R4498" i="4" s="1"/>
  <c r="P4499" i="4"/>
  <c r="Q4499" i="4" s="1"/>
  <c r="R4499" i="4" s="1"/>
  <c r="P4500" i="4"/>
  <c r="Q4500" i="4" s="1"/>
  <c r="R4500" i="4" s="1"/>
  <c r="P4501" i="4"/>
  <c r="Q4501" i="4" s="1"/>
  <c r="R4501" i="4" s="1"/>
  <c r="P4502" i="4"/>
  <c r="Q4502" i="4" s="1"/>
  <c r="R4502" i="4" s="1"/>
  <c r="P4503" i="4"/>
  <c r="Q4503" i="4" s="1"/>
  <c r="R4503" i="4" s="1"/>
  <c r="P4504" i="4"/>
  <c r="Q4504" i="4" s="1"/>
  <c r="R4504" i="4" s="1"/>
  <c r="P4505" i="4"/>
  <c r="Q4505" i="4" s="1"/>
  <c r="R4505" i="4" s="1"/>
  <c r="P4506" i="4"/>
  <c r="Q4506" i="4" s="1"/>
  <c r="R4506" i="4" s="1"/>
  <c r="P4507" i="4"/>
  <c r="Q4507" i="4" s="1"/>
  <c r="R4507" i="4" s="1"/>
  <c r="P4508" i="4"/>
  <c r="Q4508" i="4" s="1"/>
  <c r="R4508" i="4" s="1"/>
  <c r="P4509" i="4"/>
  <c r="Q4509" i="4" s="1"/>
  <c r="R4509" i="4" s="1"/>
  <c r="P4510" i="4"/>
  <c r="Q4510" i="4" s="1"/>
  <c r="R4510" i="4" s="1"/>
  <c r="P4511" i="4"/>
  <c r="Q4511" i="4" s="1"/>
  <c r="R4511" i="4" s="1"/>
  <c r="P4512" i="4"/>
  <c r="Q4512" i="4" s="1"/>
  <c r="R4512" i="4" s="1"/>
  <c r="P4513" i="4"/>
  <c r="Q4513" i="4" s="1"/>
  <c r="R4513" i="4" s="1"/>
  <c r="P4514" i="4"/>
  <c r="Q4514" i="4" s="1"/>
  <c r="R4514" i="4" s="1"/>
  <c r="P4515" i="4"/>
  <c r="Q4515" i="4" s="1"/>
  <c r="R4515" i="4" s="1"/>
  <c r="P4516" i="4"/>
  <c r="Q4516" i="4" s="1"/>
  <c r="R4516" i="4" s="1"/>
  <c r="P4517" i="4"/>
  <c r="Q4517" i="4" s="1"/>
  <c r="R4517" i="4" s="1"/>
  <c r="P4518" i="4"/>
  <c r="Q4518" i="4" s="1"/>
  <c r="R4518" i="4" s="1"/>
  <c r="P4519" i="4"/>
  <c r="Q4519" i="4" s="1"/>
  <c r="R4519" i="4" s="1"/>
  <c r="P4520" i="4"/>
  <c r="Q4520" i="4" s="1"/>
  <c r="R4520" i="4" s="1"/>
  <c r="P4521" i="4"/>
  <c r="Q4521" i="4" s="1"/>
  <c r="R4521" i="4" s="1"/>
  <c r="P4522" i="4"/>
  <c r="Q4522" i="4" s="1"/>
  <c r="R4522" i="4" s="1"/>
  <c r="P4523" i="4"/>
  <c r="Q4523" i="4" s="1"/>
  <c r="R4523" i="4" s="1"/>
  <c r="P4524" i="4"/>
  <c r="Q4524" i="4" s="1"/>
  <c r="R4524" i="4" s="1"/>
  <c r="P4525" i="4"/>
  <c r="Q4525" i="4" s="1"/>
  <c r="R4525" i="4" s="1"/>
  <c r="P4526" i="4"/>
  <c r="Q4526" i="4" s="1"/>
  <c r="R4526" i="4" s="1"/>
  <c r="P4527" i="4"/>
  <c r="Q4527" i="4" s="1"/>
  <c r="R4527" i="4" s="1"/>
  <c r="P4528" i="4"/>
  <c r="Q4528" i="4" s="1"/>
  <c r="R4528" i="4" s="1"/>
  <c r="P4529" i="4"/>
  <c r="Q4529" i="4" s="1"/>
  <c r="R4529" i="4" s="1"/>
  <c r="P4530" i="4"/>
  <c r="Q4530" i="4" s="1"/>
  <c r="R4530" i="4" s="1"/>
  <c r="P4531" i="4"/>
  <c r="Q4531" i="4" s="1"/>
  <c r="R4531" i="4" s="1"/>
  <c r="P4532" i="4"/>
  <c r="Q4532" i="4" s="1"/>
  <c r="R4532" i="4" s="1"/>
  <c r="P4533" i="4"/>
  <c r="Q4533" i="4" s="1"/>
  <c r="R4533" i="4" s="1"/>
  <c r="P4534" i="4"/>
  <c r="Q4534" i="4" s="1"/>
  <c r="R4534" i="4" s="1"/>
  <c r="P4535" i="4"/>
  <c r="Q4535" i="4" s="1"/>
  <c r="R4535" i="4" s="1"/>
  <c r="P4536" i="4"/>
  <c r="Q4536" i="4" s="1"/>
  <c r="R4536" i="4" s="1"/>
  <c r="P4537" i="4"/>
  <c r="Q4537" i="4" s="1"/>
  <c r="R4537" i="4" s="1"/>
  <c r="P4538" i="4"/>
  <c r="Q4538" i="4" s="1"/>
  <c r="R4538" i="4" s="1"/>
  <c r="P4539" i="4"/>
  <c r="Q4539" i="4" s="1"/>
  <c r="R4539" i="4" s="1"/>
  <c r="P4540" i="4"/>
  <c r="Q4540" i="4" s="1"/>
  <c r="R4540" i="4" s="1"/>
  <c r="P4541" i="4"/>
  <c r="Q4541" i="4" s="1"/>
  <c r="R4541" i="4" s="1"/>
  <c r="P4542" i="4"/>
  <c r="Q4542" i="4" s="1"/>
  <c r="R4542" i="4" s="1"/>
  <c r="P4543" i="4"/>
  <c r="Q4543" i="4" s="1"/>
  <c r="R4543" i="4" s="1"/>
  <c r="P4544" i="4"/>
  <c r="Q4544" i="4" s="1"/>
  <c r="R4544" i="4" s="1"/>
  <c r="P4545" i="4"/>
  <c r="Q4545" i="4" s="1"/>
  <c r="R4545" i="4" s="1"/>
  <c r="P4546" i="4"/>
  <c r="Q4546" i="4" s="1"/>
  <c r="R4546" i="4" s="1"/>
  <c r="P4547" i="4"/>
  <c r="Q4547" i="4" s="1"/>
  <c r="R4547" i="4" s="1"/>
  <c r="P4548" i="4"/>
  <c r="Q4548" i="4" s="1"/>
  <c r="R4548" i="4" s="1"/>
  <c r="P4549" i="4"/>
  <c r="Q4549" i="4" s="1"/>
  <c r="R4549" i="4" s="1"/>
  <c r="P4550" i="4"/>
  <c r="Q4550" i="4" s="1"/>
  <c r="R4550" i="4" s="1"/>
  <c r="P4551" i="4"/>
  <c r="Q4551" i="4" s="1"/>
  <c r="R4551" i="4" s="1"/>
  <c r="P4552" i="4"/>
  <c r="Q4552" i="4" s="1"/>
  <c r="R4552" i="4" s="1"/>
  <c r="P4553" i="4"/>
  <c r="Q4553" i="4" s="1"/>
  <c r="R4553" i="4" s="1"/>
  <c r="P4554" i="4"/>
  <c r="Q4554" i="4" s="1"/>
  <c r="R4554" i="4" s="1"/>
  <c r="P4555" i="4"/>
  <c r="Q4555" i="4" s="1"/>
  <c r="R4555" i="4" s="1"/>
  <c r="P4556" i="4"/>
  <c r="Q4556" i="4" s="1"/>
  <c r="R4556" i="4" s="1"/>
  <c r="P4557" i="4"/>
  <c r="Q4557" i="4" s="1"/>
  <c r="R4557" i="4" s="1"/>
  <c r="P4558" i="4"/>
  <c r="Q4558" i="4" s="1"/>
  <c r="R4558" i="4" s="1"/>
  <c r="P4559" i="4"/>
  <c r="Q4559" i="4" s="1"/>
  <c r="R4559" i="4" s="1"/>
  <c r="P4560" i="4"/>
  <c r="Q4560" i="4" s="1"/>
  <c r="R4560" i="4" s="1"/>
  <c r="P4561" i="4"/>
  <c r="Q4561" i="4" s="1"/>
  <c r="R4561" i="4" s="1"/>
  <c r="P4562" i="4"/>
  <c r="Q4562" i="4" s="1"/>
  <c r="R4562" i="4" s="1"/>
  <c r="P4563" i="4"/>
  <c r="Q4563" i="4" s="1"/>
  <c r="R4563" i="4" s="1"/>
  <c r="P4564" i="4"/>
  <c r="Q4564" i="4" s="1"/>
  <c r="R4564" i="4" s="1"/>
  <c r="P4565" i="4"/>
  <c r="Q4565" i="4" s="1"/>
  <c r="R4565" i="4" s="1"/>
  <c r="P4566" i="4"/>
  <c r="Q4566" i="4" s="1"/>
  <c r="R4566" i="4" s="1"/>
  <c r="P4567" i="4"/>
  <c r="Q4567" i="4" s="1"/>
  <c r="R4567" i="4" s="1"/>
  <c r="P4568" i="4"/>
  <c r="Q4568" i="4" s="1"/>
  <c r="R4568" i="4" s="1"/>
  <c r="P4569" i="4"/>
  <c r="Q4569" i="4" s="1"/>
  <c r="R4569" i="4" s="1"/>
  <c r="P4570" i="4"/>
  <c r="Q4570" i="4" s="1"/>
  <c r="R4570" i="4" s="1"/>
  <c r="P4571" i="4"/>
  <c r="Q4571" i="4" s="1"/>
  <c r="R4571" i="4" s="1"/>
  <c r="P4572" i="4"/>
  <c r="Q4572" i="4" s="1"/>
  <c r="R4572" i="4" s="1"/>
  <c r="P4573" i="4"/>
  <c r="Q4573" i="4" s="1"/>
  <c r="R4573" i="4" s="1"/>
  <c r="P4574" i="4"/>
  <c r="Q4574" i="4" s="1"/>
  <c r="R4574" i="4" s="1"/>
  <c r="P4575" i="4"/>
  <c r="Q4575" i="4" s="1"/>
  <c r="R4575" i="4" s="1"/>
  <c r="P4576" i="4"/>
  <c r="Q4576" i="4" s="1"/>
  <c r="R4576" i="4" s="1"/>
  <c r="P4577" i="4"/>
  <c r="Q4577" i="4" s="1"/>
  <c r="R4577" i="4" s="1"/>
  <c r="P4578" i="4"/>
  <c r="Q4578" i="4" s="1"/>
  <c r="R4578" i="4" s="1"/>
  <c r="P4579" i="4"/>
  <c r="Q4579" i="4" s="1"/>
  <c r="R4579" i="4" s="1"/>
  <c r="P4580" i="4"/>
  <c r="Q4580" i="4" s="1"/>
  <c r="R4580" i="4" s="1"/>
  <c r="P4581" i="4"/>
  <c r="Q4581" i="4" s="1"/>
  <c r="R4581" i="4" s="1"/>
  <c r="P4582" i="4"/>
  <c r="Q4582" i="4" s="1"/>
  <c r="R4582" i="4" s="1"/>
  <c r="P4583" i="4"/>
  <c r="Q4583" i="4" s="1"/>
  <c r="R4583" i="4" s="1"/>
  <c r="P4584" i="4"/>
  <c r="Q4584" i="4" s="1"/>
  <c r="R4584" i="4" s="1"/>
  <c r="P4585" i="4"/>
  <c r="Q4585" i="4" s="1"/>
  <c r="R4585" i="4" s="1"/>
  <c r="P4586" i="4"/>
  <c r="Q4586" i="4" s="1"/>
  <c r="R4586" i="4" s="1"/>
  <c r="P4587" i="4"/>
  <c r="Q4587" i="4" s="1"/>
  <c r="R4587" i="4" s="1"/>
  <c r="P4588" i="4"/>
  <c r="Q4588" i="4" s="1"/>
  <c r="R4588" i="4" s="1"/>
  <c r="P4589" i="4"/>
  <c r="Q4589" i="4" s="1"/>
  <c r="R4589" i="4" s="1"/>
  <c r="P4590" i="4"/>
  <c r="Q4590" i="4" s="1"/>
  <c r="R4590" i="4" s="1"/>
  <c r="P4591" i="4"/>
  <c r="Q4591" i="4" s="1"/>
  <c r="R4591" i="4" s="1"/>
  <c r="P4592" i="4"/>
  <c r="Q4592" i="4" s="1"/>
  <c r="R4592" i="4" s="1"/>
  <c r="P4593" i="4"/>
  <c r="Q4593" i="4" s="1"/>
  <c r="R4593" i="4" s="1"/>
  <c r="P4594" i="4"/>
  <c r="Q4594" i="4" s="1"/>
  <c r="R4594" i="4" s="1"/>
  <c r="P4595" i="4"/>
  <c r="Q4595" i="4" s="1"/>
  <c r="R4595" i="4" s="1"/>
  <c r="P4596" i="4"/>
  <c r="Q4596" i="4" s="1"/>
  <c r="R4596" i="4" s="1"/>
  <c r="P4597" i="4"/>
  <c r="Q4597" i="4" s="1"/>
  <c r="R4597" i="4" s="1"/>
  <c r="P4598" i="4"/>
  <c r="Q4598" i="4" s="1"/>
  <c r="R4598" i="4" s="1"/>
  <c r="P4599" i="4"/>
  <c r="Q4599" i="4" s="1"/>
  <c r="R4599" i="4" s="1"/>
  <c r="P4600" i="4"/>
  <c r="Q4600" i="4" s="1"/>
  <c r="R4600" i="4" s="1"/>
  <c r="P4601" i="4"/>
  <c r="Q4601" i="4" s="1"/>
  <c r="R4601" i="4" s="1"/>
  <c r="P4602" i="4"/>
  <c r="Q4602" i="4" s="1"/>
  <c r="R4602" i="4" s="1"/>
  <c r="P4603" i="4"/>
  <c r="Q4603" i="4" s="1"/>
  <c r="R4603" i="4" s="1"/>
  <c r="P4604" i="4"/>
  <c r="Q4604" i="4" s="1"/>
  <c r="R4604" i="4" s="1"/>
  <c r="P4605" i="4"/>
  <c r="Q4605" i="4" s="1"/>
  <c r="R4605" i="4" s="1"/>
  <c r="P4606" i="4"/>
  <c r="Q4606" i="4" s="1"/>
  <c r="R4606" i="4" s="1"/>
  <c r="P4607" i="4"/>
  <c r="Q4607" i="4" s="1"/>
  <c r="R4607" i="4" s="1"/>
  <c r="P4608" i="4"/>
  <c r="Q4608" i="4" s="1"/>
  <c r="R4608" i="4" s="1"/>
  <c r="P4609" i="4"/>
  <c r="Q4609" i="4" s="1"/>
  <c r="R4609" i="4" s="1"/>
  <c r="P4610" i="4"/>
  <c r="Q4610" i="4" s="1"/>
  <c r="R4610" i="4" s="1"/>
  <c r="P4611" i="4"/>
  <c r="Q4611" i="4" s="1"/>
  <c r="R4611" i="4" s="1"/>
  <c r="P4612" i="4"/>
  <c r="Q4612" i="4" s="1"/>
  <c r="R4612" i="4" s="1"/>
  <c r="P4613" i="4"/>
  <c r="Q4613" i="4" s="1"/>
  <c r="R4613" i="4" s="1"/>
  <c r="P4614" i="4"/>
  <c r="Q4614" i="4" s="1"/>
  <c r="R4614" i="4" s="1"/>
  <c r="P4615" i="4"/>
  <c r="Q4615" i="4" s="1"/>
  <c r="R4615" i="4" s="1"/>
  <c r="P4616" i="4"/>
  <c r="Q4616" i="4" s="1"/>
  <c r="R4616" i="4" s="1"/>
  <c r="P4617" i="4"/>
  <c r="Q4617" i="4" s="1"/>
  <c r="R4617" i="4" s="1"/>
  <c r="P4618" i="4"/>
  <c r="Q4618" i="4" s="1"/>
  <c r="R4618" i="4" s="1"/>
  <c r="P4619" i="4"/>
  <c r="Q4619" i="4" s="1"/>
  <c r="R4619" i="4" s="1"/>
  <c r="P4620" i="4"/>
  <c r="Q4620" i="4" s="1"/>
  <c r="R4620" i="4" s="1"/>
  <c r="P4621" i="4"/>
  <c r="Q4621" i="4" s="1"/>
  <c r="R4621" i="4" s="1"/>
  <c r="P4622" i="4"/>
  <c r="Q4622" i="4" s="1"/>
  <c r="R4622" i="4" s="1"/>
  <c r="P4623" i="4"/>
  <c r="Q4623" i="4" s="1"/>
  <c r="R4623" i="4" s="1"/>
  <c r="P4624" i="4"/>
  <c r="Q4624" i="4" s="1"/>
  <c r="R4624" i="4" s="1"/>
  <c r="P4625" i="4"/>
  <c r="Q4625" i="4" s="1"/>
  <c r="R4625" i="4" s="1"/>
  <c r="P4626" i="4"/>
  <c r="Q4626" i="4" s="1"/>
  <c r="R4626" i="4" s="1"/>
  <c r="P4627" i="4"/>
  <c r="Q4627" i="4" s="1"/>
  <c r="R4627" i="4" s="1"/>
  <c r="P4628" i="4"/>
  <c r="Q4628" i="4" s="1"/>
  <c r="R4628" i="4" s="1"/>
  <c r="P4629" i="4"/>
  <c r="Q4629" i="4" s="1"/>
  <c r="R4629" i="4" s="1"/>
  <c r="P4630" i="4"/>
  <c r="Q4630" i="4" s="1"/>
  <c r="R4630" i="4" s="1"/>
  <c r="P4631" i="4"/>
  <c r="Q4631" i="4" s="1"/>
  <c r="R4631" i="4" s="1"/>
  <c r="P4632" i="4"/>
  <c r="Q4632" i="4" s="1"/>
  <c r="R4632" i="4" s="1"/>
  <c r="P4633" i="4"/>
  <c r="Q4633" i="4" s="1"/>
  <c r="R4633" i="4" s="1"/>
  <c r="P4634" i="4"/>
  <c r="Q4634" i="4" s="1"/>
  <c r="R4634" i="4" s="1"/>
  <c r="P4635" i="4"/>
  <c r="Q4635" i="4" s="1"/>
  <c r="R4635" i="4" s="1"/>
  <c r="P4636" i="4"/>
  <c r="Q4636" i="4" s="1"/>
  <c r="R4636" i="4" s="1"/>
  <c r="P4637" i="4"/>
  <c r="Q4637" i="4" s="1"/>
  <c r="R4637" i="4" s="1"/>
  <c r="P4638" i="4"/>
  <c r="Q4638" i="4" s="1"/>
  <c r="R4638" i="4" s="1"/>
  <c r="P4639" i="4"/>
  <c r="Q4639" i="4" s="1"/>
  <c r="R4639" i="4" s="1"/>
  <c r="P4640" i="4"/>
  <c r="Q4640" i="4" s="1"/>
  <c r="R4640" i="4" s="1"/>
  <c r="P4641" i="4"/>
  <c r="Q4641" i="4" s="1"/>
  <c r="R4641" i="4" s="1"/>
  <c r="P4642" i="4"/>
  <c r="Q4642" i="4" s="1"/>
  <c r="R4642" i="4" s="1"/>
  <c r="P4643" i="4"/>
  <c r="Q4643" i="4" s="1"/>
  <c r="R4643" i="4" s="1"/>
  <c r="P4644" i="4"/>
  <c r="Q4644" i="4" s="1"/>
  <c r="R4644" i="4" s="1"/>
  <c r="P4645" i="4"/>
  <c r="Q4645" i="4" s="1"/>
  <c r="R4645" i="4" s="1"/>
  <c r="P4646" i="4"/>
  <c r="Q4646" i="4" s="1"/>
  <c r="R4646" i="4" s="1"/>
  <c r="P4647" i="4"/>
  <c r="Q4647" i="4" s="1"/>
  <c r="R4647" i="4" s="1"/>
  <c r="P4648" i="4"/>
  <c r="Q4648" i="4" s="1"/>
  <c r="R4648" i="4" s="1"/>
  <c r="P4649" i="4"/>
  <c r="Q4649" i="4" s="1"/>
  <c r="R4649" i="4" s="1"/>
  <c r="P4650" i="4"/>
  <c r="Q4650" i="4" s="1"/>
  <c r="R4650" i="4" s="1"/>
  <c r="P4651" i="4"/>
  <c r="Q4651" i="4" s="1"/>
  <c r="R4651" i="4" s="1"/>
  <c r="P4652" i="4"/>
  <c r="Q4652" i="4" s="1"/>
  <c r="R4652" i="4" s="1"/>
  <c r="P4653" i="4"/>
  <c r="Q4653" i="4" s="1"/>
  <c r="R4653" i="4" s="1"/>
  <c r="P4654" i="4"/>
  <c r="Q4654" i="4" s="1"/>
  <c r="R4654" i="4" s="1"/>
  <c r="P4655" i="4"/>
  <c r="Q4655" i="4" s="1"/>
  <c r="R4655" i="4" s="1"/>
  <c r="P4656" i="4"/>
  <c r="Q4656" i="4" s="1"/>
  <c r="R4656" i="4" s="1"/>
  <c r="P4657" i="4"/>
  <c r="Q4657" i="4" s="1"/>
  <c r="R4657" i="4" s="1"/>
  <c r="P4658" i="4"/>
  <c r="Q4658" i="4" s="1"/>
  <c r="R4658" i="4" s="1"/>
  <c r="P4659" i="4"/>
  <c r="Q4659" i="4" s="1"/>
  <c r="R4659" i="4" s="1"/>
  <c r="P4660" i="4"/>
  <c r="Q4660" i="4" s="1"/>
  <c r="R4660" i="4" s="1"/>
  <c r="P4661" i="4"/>
  <c r="Q4661" i="4" s="1"/>
  <c r="R4661" i="4" s="1"/>
  <c r="P4662" i="4"/>
  <c r="Q4662" i="4" s="1"/>
  <c r="R4662" i="4" s="1"/>
  <c r="P4663" i="4"/>
  <c r="Q4663" i="4" s="1"/>
  <c r="R4663" i="4" s="1"/>
  <c r="P4664" i="4"/>
  <c r="Q4664" i="4" s="1"/>
  <c r="R4664" i="4" s="1"/>
  <c r="P4665" i="4"/>
  <c r="Q4665" i="4" s="1"/>
  <c r="R4665" i="4" s="1"/>
  <c r="P4666" i="4"/>
  <c r="Q4666" i="4" s="1"/>
  <c r="R4666" i="4" s="1"/>
  <c r="P4667" i="4"/>
  <c r="Q4667" i="4" s="1"/>
  <c r="R4667" i="4" s="1"/>
  <c r="P4668" i="4"/>
  <c r="Q4668" i="4" s="1"/>
  <c r="R4668" i="4" s="1"/>
  <c r="P4669" i="4"/>
  <c r="Q4669" i="4" s="1"/>
  <c r="R4669" i="4" s="1"/>
  <c r="P4670" i="4"/>
  <c r="Q4670" i="4" s="1"/>
  <c r="R4670" i="4" s="1"/>
  <c r="P4671" i="4"/>
  <c r="Q4671" i="4" s="1"/>
  <c r="R4671" i="4" s="1"/>
  <c r="P4672" i="4"/>
  <c r="Q4672" i="4" s="1"/>
  <c r="R4672" i="4" s="1"/>
  <c r="P4673" i="4"/>
  <c r="Q4673" i="4" s="1"/>
  <c r="R4673" i="4" s="1"/>
  <c r="P4674" i="4"/>
  <c r="Q4674" i="4" s="1"/>
  <c r="R4674" i="4" s="1"/>
  <c r="P4675" i="4"/>
  <c r="Q4675" i="4" s="1"/>
  <c r="R4675" i="4" s="1"/>
  <c r="P4676" i="4"/>
  <c r="Q4676" i="4" s="1"/>
  <c r="R4676" i="4" s="1"/>
  <c r="P4677" i="4"/>
  <c r="Q4677" i="4" s="1"/>
  <c r="R4677" i="4" s="1"/>
  <c r="P4678" i="4"/>
  <c r="Q4678" i="4" s="1"/>
  <c r="R4678" i="4" s="1"/>
  <c r="P4679" i="4"/>
  <c r="Q4679" i="4" s="1"/>
  <c r="R4679" i="4" s="1"/>
  <c r="P4680" i="4"/>
  <c r="Q4680" i="4" s="1"/>
  <c r="R4680" i="4" s="1"/>
  <c r="P4681" i="4"/>
  <c r="Q4681" i="4" s="1"/>
  <c r="R4681" i="4" s="1"/>
  <c r="P4682" i="4"/>
  <c r="Q4682" i="4" s="1"/>
  <c r="R4682" i="4" s="1"/>
  <c r="P4683" i="4"/>
  <c r="Q4683" i="4" s="1"/>
  <c r="R4683" i="4" s="1"/>
  <c r="P4684" i="4"/>
  <c r="Q4684" i="4" s="1"/>
  <c r="R4684" i="4" s="1"/>
  <c r="P4685" i="4"/>
  <c r="Q4685" i="4" s="1"/>
  <c r="R4685" i="4" s="1"/>
  <c r="P4686" i="4"/>
  <c r="Q4686" i="4" s="1"/>
  <c r="R4686" i="4" s="1"/>
  <c r="P4687" i="4"/>
  <c r="Q4687" i="4" s="1"/>
  <c r="R4687" i="4" s="1"/>
  <c r="P4688" i="4"/>
  <c r="Q4688" i="4" s="1"/>
  <c r="R4688" i="4" s="1"/>
  <c r="P4689" i="4"/>
  <c r="Q4689" i="4" s="1"/>
  <c r="R4689" i="4" s="1"/>
  <c r="P4690" i="4"/>
  <c r="Q4690" i="4" s="1"/>
  <c r="R4690" i="4" s="1"/>
  <c r="P4691" i="4"/>
  <c r="Q4691" i="4" s="1"/>
  <c r="R4691" i="4" s="1"/>
  <c r="P4692" i="4"/>
  <c r="Q4692" i="4" s="1"/>
  <c r="R4692" i="4" s="1"/>
  <c r="P4693" i="4"/>
  <c r="Q4693" i="4" s="1"/>
  <c r="R4693" i="4" s="1"/>
  <c r="P4694" i="4"/>
  <c r="Q4694" i="4" s="1"/>
  <c r="R4694" i="4" s="1"/>
  <c r="P4695" i="4"/>
  <c r="Q4695" i="4" s="1"/>
  <c r="R4695" i="4" s="1"/>
  <c r="P4696" i="4"/>
  <c r="Q4696" i="4" s="1"/>
  <c r="R4696" i="4" s="1"/>
  <c r="P4697" i="4"/>
  <c r="Q4697" i="4" s="1"/>
  <c r="R4697" i="4" s="1"/>
  <c r="P4698" i="4"/>
  <c r="Q4698" i="4" s="1"/>
  <c r="R4698" i="4" s="1"/>
  <c r="P4699" i="4"/>
  <c r="Q4699" i="4" s="1"/>
  <c r="R4699" i="4" s="1"/>
  <c r="P4700" i="4"/>
  <c r="Q4700" i="4" s="1"/>
  <c r="R4700" i="4" s="1"/>
  <c r="P4701" i="4"/>
  <c r="Q4701" i="4" s="1"/>
  <c r="R4701" i="4" s="1"/>
  <c r="P4702" i="4"/>
  <c r="Q4702" i="4" s="1"/>
  <c r="R4702" i="4" s="1"/>
  <c r="P4703" i="4"/>
  <c r="Q4703" i="4" s="1"/>
  <c r="R4703" i="4" s="1"/>
  <c r="P4704" i="4"/>
  <c r="Q4704" i="4" s="1"/>
  <c r="R4704" i="4" s="1"/>
  <c r="P4705" i="4"/>
  <c r="Q4705" i="4" s="1"/>
  <c r="R4705" i="4" s="1"/>
  <c r="P4706" i="4"/>
  <c r="Q4706" i="4" s="1"/>
  <c r="R4706" i="4" s="1"/>
  <c r="P4707" i="4"/>
  <c r="Q4707" i="4" s="1"/>
  <c r="R4707" i="4" s="1"/>
  <c r="P4708" i="4"/>
  <c r="Q4708" i="4" s="1"/>
  <c r="R4708" i="4" s="1"/>
  <c r="P4709" i="4"/>
  <c r="Q4709" i="4" s="1"/>
  <c r="R4709" i="4" s="1"/>
  <c r="P4710" i="4"/>
  <c r="Q4710" i="4" s="1"/>
  <c r="R4710" i="4" s="1"/>
  <c r="P4711" i="4"/>
  <c r="Q4711" i="4" s="1"/>
  <c r="R4711" i="4" s="1"/>
  <c r="P4712" i="4"/>
  <c r="Q4712" i="4" s="1"/>
  <c r="R4712" i="4" s="1"/>
  <c r="P4713" i="4"/>
  <c r="Q4713" i="4" s="1"/>
  <c r="R4713" i="4" s="1"/>
  <c r="P4714" i="4"/>
  <c r="Q4714" i="4" s="1"/>
  <c r="R4714" i="4" s="1"/>
  <c r="P4715" i="4"/>
  <c r="Q4715" i="4" s="1"/>
  <c r="R4715" i="4" s="1"/>
  <c r="P4716" i="4"/>
  <c r="Q4716" i="4" s="1"/>
  <c r="R4716" i="4" s="1"/>
  <c r="P4717" i="4"/>
  <c r="Q4717" i="4" s="1"/>
  <c r="R4717" i="4" s="1"/>
  <c r="P4718" i="4"/>
  <c r="Q4718" i="4" s="1"/>
  <c r="R4718" i="4" s="1"/>
  <c r="P4719" i="4"/>
  <c r="Q4719" i="4" s="1"/>
  <c r="R4719" i="4" s="1"/>
  <c r="P4720" i="4"/>
  <c r="Q4720" i="4" s="1"/>
  <c r="R4720" i="4" s="1"/>
  <c r="P4721" i="4"/>
  <c r="Q4721" i="4" s="1"/>
  <c r="R4721" i="4" s="1"/>
  <c r="P4722" i="4"/>
  <c r="Q4722" i="4" s="1"/>
  <c r="R4722" i="4" s="1"/>
  <c r="P4723" i="4"/>
  <c r="Q4723" i="4" s="1"/>
  <c r="R4723" i="4" s="1"/>
  <c r="P4724" i="4"/>
  <c r="Q4724" i="4" s="1"/>
  <c r="R4724" i="4" s="1"/>
  <c r="P4725" i="4"/>
  <c r="Q4725" i="4" s="1"/>
  <c r="R4725" i="4" s="1"/>
  <c r="P4726" i="4"/>
  <c r="Q4726" i="4" s="1"/>
  <c r="R4726" i="4" s="1"/>
  <c r="P4727" i="4"/>
  <c r="Q4727" i="4" s="1"/>
  <c r="R4727" i="4" s="1"/>
  <c r="P4728" i="4"/>
  <c r="Q4728" i="4" s="1"/>
  <c r="R4728" i="4" s="1"/>
  <c r="P4729" i="4"/>
  <c r="Q4729" i="4" s="1"/>
  <c r="R4729" i="4" s="1"/>
  <c r="P4730" i="4"/>
  <c r="Q4730" i="4" s="1"/>
  <c r="R4730" i="4" s="1"/>
  <c r="P4731" i="4"/>
  <c r="Q4731" i="4" s="1"/>
  <c r="R4731" i="4" s="1"/>
  <c r="P4732" i="4"/>
  <c r="Q4732" i="4" s="1"/>
  <c r="R4732" i="4" s="1"/>
  <c r="P4733" i="4"/>
  <c r="Q4733" i="4" s="1"/>
  <c r="R4733" i="4" s="1"/>
  <c r="P4734" i="4"/>
  <c r="Q4734" i="4" s="1"/>
  <c r="R4734" i="4" s="1"/>
  <c r="P4735" i="4"/>
  <c r="Q4735" i="4" s="1"/>
  <c r="R4735" i="4" s="1"/>
  <c r="P4736" i="4"/>
  <c r="Q4736" i="4" s="1"/>
  <c r="R4736" i="4" s="1"/>
  <c r="P4737" i="4"/>
  <c r="Q4737" i="4" s="1"/>
  <c r="R4737" i="4" s="1"/>
  <c r="P4738" i="4"/>
  <c r="Q4738" i="4" s="1"/>
  <c r="R4738" i="4" s="1"/>
  <c r="P4739" i="4"/>
  <c r="Q4739" i="4" s="1"/>
  <c r="R4739" i="4" s="1"/>
  <c r="P4740" i="4"/>
  <c r="Q4740" i="4" s="1"/>
  <c r="R4740" i="4" s="1"/>
  <c r="P4741" i="4"/>
  <c r="Q4741" i="4" s="1"/>
  <c r="R4741" i="4" s="1"/>
  <c r="P4742" i="4"/>
  <c r="Q4742" i="4" s="1"/>
  <c r="R4742" i="4" s="1"/>
  <c r="P4743" i="4"/>
  <c r="Q4743" i="4" s="1"/>
  <c r="R4743" i="4" s="1"/>
  <c r="P4744" i="4"/>
  <c r="Q4744" i="4" s="1"/>
  <c r="R4744" i="4" s="1"/>
  <c r="P4745" i="4"/>
  <c r="Q4745" i="4" s="1"/>
  <c r="R4745" i="4" s="1"/>
  <c r="P4746" i="4"/>
  <c r="Q4746" i="4" s="1"/>
  <c r="R4746" i="4" s="1"/>
  <c r="P4747" i="4"/>
  <c r="Q4747" i="4" s="1"/>
  <c r="R4747" i="4" s="1"/>
  <c r="P4748" i="4"/>
  <c r="Q4748" i="4" s="1"/>
  <c r="R4748" i="4" s="1"/>
  <c r="P4749" i="4"/>
  <c r="Q4749" i="4" s="1"/>
  <c r="R4749" i="4" s="1"/>
  <c r="P4750" i="4"/>
  <c r="Q4750" i="4" s="1"/>
  <c r="R4750" i="4" s="1"/>
  <c r="P4751" i="4"/>
  <c r="Q4751" i="4" s="1"/>
  <c r="R4751" i="4" s="1"/>
  <c r="P4752" i="4"/>
  <c r="Q4752" i="4" s="1"/>
  <c r="R4752" i="4" s="1"/>
  <c r="P4753" i="4"/>
  <c r="Q4753" i="4" s="1"/>
  <c r="R4753" i="4" s="1"/>
  <c r="P4754" i="4"/>
  <c r="Q4754" i="4" s="1"/>
  <c r="R4754" i="4" s="1"/>
  <c r="P4755" i="4"/>
  <c r="Q4755" i="4" s="1"/>
  <c r="R4755" i="4" s="1"/>
  <c r="P4756" i="4"/>
  <c r="Q4756" i="4" s="1"/>
  <c r="R4756" i="4" s="1"/>
  <c r="P4757" i="4"/>
  <c r="Q4757" i="4" s="1"/>
  <c r="R4757" i="4" s="1"/>
  <c r="P4758" i="4"/>
  <c r="Q4758" i="4" s="1"/>
  <c r="R4758" i="4" s="1"/>
  <c r="P4759" i="4"/>
  <c r="Q4759" i="4" s="1"/>
  <c r="R4759" i="4" s="1"/>
  <c r="P4760" i="4"/>
  <c r="Q4760" i="4" s="1"/>
  <c r="R4760" i="4" s="1"/>
  <c r="P4761" i="4"/>
  <c r="Q4761" i="4" s="1"/>
  <c r="R4761" i="4" s="1"/>
  <c r="P4762" i="4"/>
  <c r="Q4762" i="4" s="1"/>
  <c r="R4762" i="4" s="1"/>
  <c r="P4763" i="4"/>
  <c r="Q4763" i="4" s="1"/>
  <c r="R4763" i="4" s="1"/>
  <c r="P4764" i="4"/>
  <c r="Q4764" i="4" s="1"/>
  <c r="R4764" i="4" s="1"/>
  <c r="P4765" i="4"/>
  <c r="Q4765" i="4" s="1"/>
  <c r="R4765" i="4" s="1"/>
  <c r="P4766" i="4"/>
  <c r="Q4766" i="4" s="1"/>
  <c r="R4766" i="4" s="1"/>
  <c r="P4767" i="4"/>
  <c r="Q4767" i="4" s="1"/>
  <c r="R4767" i="4" s="1"/>
  <c r="P4768" i="4"/>
  <c r="Q4768" i="4" s="1"/>
  <c r="R4768" i="4" s="1"/>
  <c r="P4769" i="4"/>
  <c r="Q4769" i="4" s="1"/>
  <c r="R4769" i="4" s="1"/>
  <c r="P4770" i="4"/>
  <c r="Q4770" i="4" s="1"/>
  <c r="R4770" i="4" s="1"/>
  <c r="P4771" i="4"/>
  <c r="Q4771" i="4" s="1"/>
  <c r="R4771" i="4" s="1"/>
  <c r="P4772" i="4"/>
  <c r="Q4772" i="4" s="1"/>
  <c r="R4772" i="4" s="1"/>
  <c r="P4773" i="4"/>
  <c r="Q4773" i="4" s="1"/>
  <c r="R4773" i="4" s="1"/>
  <c r="P4774" i="4"/>
  <c r="Q4774" i="4" s="1"/>
  <c r="R4774" i="4" s="1"/>
  <c r="P4775" i="4"/>
  <c r="Q4775" i="4" s="1"/>
  <c r="R4775" i="4" s="1"/>
  <c r="P4776" i="4"/>
  <c r="Q4776" i="4" s="1"/>
  <c r="R4776" i="4" s="1"/>
  <c r="P4777" i="4"/>
  <c r="Q4777" i="4" s="1"/>
  <c r="R4777" i="4" s="1"/>
  <c r="P4778" i="4"/>
  <c r="Q4778" i="4" s="1"/>
  <c r="R4778" i="4" s="1"/>
  <c r="P4779" i="4"/>
  <c r="Q4779" i="4" s="1"/>
  <c r="R4779" i="4" s="1"/>
  <c r="P4780" i="4"/>
  <c r="Q4780" i="4" s="1"/>
  <c r="R4780" i="4" s="1"/>
  <c r="P4781" i="4"/>
  <c r="Q4781" i="4" s="1"/>
  <c r="R4781" i="4" s="1"/>
  <c r="P4782" i="4"/>
  <c r="Q4782" i="4" s="1"/>
  <c r="R4782" i="4" s="1"/>
  <c r="P4783" i="4"/>
  <c r="Q4783" i="4" s="1"/>
  <c r="R4783" i="4" s="1"/>
  <c r="P4784" i="4"/>
  <c r="Q4784" i="4" s="1"/>
  <c r="R4784" i="4" s="1"/>
  <c r="P4785" i="4"/>
  <c r="Q4785" i="4" s="1"/>
  <c r="R4785" i="4" s="1"/>
  <c r="P4786" i="4"/>
  <c r="Q4786" i="4" s="1"/>
  <c r="R4786" i="4" s="1"/>
  <c r="P4787" i="4"/>
  <c r="Q4787" i="4" s="1"/>
  <c r="R4787" i="4" s="1"/>
  <c r="P4788" i="4"/>
  <c r="Q4788" i="4" s="1"/>
  <c r="R4788" i="4" s="1"/>
  <c r="P4789" i="4"/>
  <c r="Q4789" i="4" s="1"/>
  <c r="R4789" i="4" s="1"/>
  <c r="P4790" i="4"/>
  <c r="Q4790" i="4" s="1"/>
  <c r="R4790" i="4" s="1"/>
  <c r="P4791" i="4"/>
  <c r="Q4791" i="4" s="1"/>
  <c r="R4791" i="4" s="1"/>
  <c r="P4792" i="4"/>
  <c r="Q4792" i="4" s="1"/>
  <c r="R4792" i="4" s="1"/>
  <c r="P4793" i="4"/>
  <c r="Q4793" i="4" s="1"/>
  <c r="R4793" i="4" s="1"/>
  <c r="P4794" i="4"/>
  <c r="Q4794" i="4" s="1"/>
  <c r="R4794" i="4" s="1"/>
  <c r="P4795" i="4"/>
  <c r="Q4795" i="4" s="1"/>
  <c r="R4795" i="4" s="1"/>
  <c r="P4796" i="4"/>
  <c r="Q4796" i="4" s="1"/>
  <c r="R4796" i="4" s="1"/>
  <c r="P4797" i="4"/>
  <c r="Q4797" i="4" s="1"/>
  <c r="R4797" i="4" s="1"/>
  <c r="P4798" i="4"/>
  <c r="Q4798" i="4" s="1"/>
  <c r="R4798" i="4" s="1"/>
  <c r="P4799" i="4"/>
  <c r="Q4799" i="4" s="1"/>
  <c r="R4799" i="4" s="1"/>
  <c r="P4800" i="4"/>
  <c r="Q4800" i="4" s="1"/>
  <c r="R4800" i="4" s="1"/>
  <c r="P4801" i="4"/>
  <c r="Q4801" i="4" s="1"/>
  <c r="R4801" i="4" s="1"/>
  <c r="P4802" i="4"/>
  <c r="Q4802" i="4" s="1"/>
  <c r="R4802" i="4" s="1"/>
  <c r="P4803" i="4"/>
  <c r="Q4803" i="4" s="1"/>
  <c r="R4803" i="4" s="1"/>
  <c r="P4804" i="4"/>
  <c r="Q4804" i="4" s="1"/>
  <c r="R4804" i="4" s="1"/>
  <c r="P4805" i="4"/>
  <c r="Q4805" i="4" s="1"/>
  <c r="R4805" i="4" s="1"/>
  <c r="P4806" i="4"/>
  <c r="Q4806" i="4" s="1"/>
  <c r="R4806" i="4" s="1"/>
  <c r="P4807" i="4"/>
  <c r="Q4807" i="4" s="1"/>
  <c r="R4807" i="4" s="1"/>
  <c r="P4808" i="4"/>
  <c r="Q4808" i="4" s="1"/>
  <c r="R4808" i="4" s="1"/>
  <c r="P4809" i="4"/>
  <c r="Q4809" i="4" s="1"/>
  <c r="R4809" i="4" s="1"/>
  <c r="P4810" i="4"/>
  <c r="Q4810" i="4" s="1"/>
  <c r="R4810" i="4" s="1"/>
  <c r="P4811" i="4"/>
  <c r="Q4811" i="4" s="1"/>
  <c r="R4811" i="4" s="1"/>
  <c r="P4812" i="4"/>
  <c r="Q4812" i="4" s="1"/>
  <c r="R4812" i="4" s="1"/>
  <c r="P4813" i="4"/>
  <c r="Q4813" i="4" s="1"/>
  <c r="R4813" i="4" s="1"/>
  <c r="P4814" i="4"/>
  <c r="Q4814" i="4" s="1"/>
  <c r="R4814" i="4" s="1"/>
  <c r="P4815" i="4"/>
  <c r="Q4815" i="4" s="1"/>
  <c r="R4815" i="4" s="1"/>
  <c r="P4816" i="4"/>
  <c r="Q4816" i="4" s="1"/>
  <c r="R4816" i="4" s="1"/>
  <c r="P4817" i="4"/>
  <c r="Q4817" i="4" s="1"/>
  <c r="R4817" i="4" s="1"/>
  <c r="P4818" i="4"/>
  <c r="Q4818" i="4" s="1"/>
  <c r="R4818" i="4" s="1"/>
  <c r="P4819" i="4"/>
  <c r="Q4819" i="4" s="1"/>
  <c r="R4819" i="4" s="1"/>
  <c r="P4820" i="4"/>
  <c r="Q4820" i="4" s="1"/>
  <c r="R4820" i="4" s="1"/>
  <c r="P4821" i="4"/>
  <c r="Q4821" i="4" s="1"/>
  <c r="R4821" i="4" s="1"/>
  <c r="P4822" i="4"/>
  <c r="Q4822" i="4" s="1"/>
  <c r="R4822" i="4" s="1"/>
  <c r="P4823" i="4"/>
  <c r="Q4823" i="4" s="1"/>
  <c r="R4823" i="4" s="1"/>
  <c r="P4824" i="4"/>
  <c r="Q4824" i="4" s="1"/>
  <c r="R4824" i="4" s="1"/>
  <c r="P4825" i="4"/>
  <c r="Q4825" i="4" s="1"/>
  <c r="R4825" i="4" s="1"/>
  <c r="P4826" i="4"/>
  <c r="Q4826" i="4" s="1"/>
  <c r="R4826" i="4" s="1"/>
  <c r="P4827" i="4"/>
  <c r="Q4827" i="4" s="1"/>
  <c r="R4827" i="4" s="1"/>
  <c r="P4828" i="4"/>
  <c r="Q4828" i="4" s="1"/>
  <c r="R4828" i="4" s="1"/>
  <c r="P4829" i="4"/>
  <c r="Q4829" i="4" s="1"/>
  <c r="R4829" i="4" s="1"/>
  <c r="P4830" i="4"/>
  <c r="Q4830" i="4" s="1"/>
  <c r="R4830" i="4" s="1"/>
  <c r="P4831" i="4"/>
  <c r="Q4831" i="4" s="1"/>
  <c r="R4831" i="4" s="1"/>
  <c r="P4832" i="4"/>
  <c r="Q4832" i="4" s="1"/>
  <c r="R4832" i="4" s="1"/>
  <c r="P4833" i="4"/>
  <c r="Q4833" i="4" s="1"/>
  <c r="R4833" i="4" s="1"/>
  <c r="P4834" i="4"/>
  <c r="Q4834" i="4" s="1"/>
  <c r="R4834" i="4" s="1"/>
  <c r="P4835" i="4"/>
  <c r="Q4835" i="4" s="1"/>
  <c r="R4835" i="4" s="1"/>
  <c r="P4836" i="4"/>
  <c r="Q4836" i="4" s="1"/>
  <c r="R4836" i="4" s="1"/>
  <c r="P4837" i="4"/>
  <c r="Q4837" i="4" s="1"/>
  <c r="R4837" i="4" s="1"/>
  <c r="P4838" i="4"/>
  <c r="Q4838" i="4" s="1"/>
  <c r="R4838" i="4" s="1"/>
  <c r="P4839" i="4"/>
  <c r="Q4839" i="4" s="1"/>
  <c r="R4839" i="4" s="1"/>
  <c r="P4840" i="4"/>
  <c r="Q4840" i="4" s="1"/>
  <c r="R4840" i="4" s="1"/>
  <c r="P4841" i="4"/>
  <c r="Q4841" i="4" s="1"/>
  <c r="R4841" i="4" s="1"/>
  <c r="P4842" i="4"/>
  <c r="Q4842" i="4" s="1"/>
  <c r="R4842" i="4" s="1"/>
  <c r="P4843" i="4"/>
  <c r="Q4843" i="4" s="1"/>
  <c r="R4843" i="4" s="1"/>
  <c r="P4844" i="4"/>
  <c r="Q4844" i="4" s="1"/>
  <c r="R4844" i="4" s="1"/>
  <c r="P4845" i="4"/>
  <c r="Q4845" i="4" s="1"/>
  <c r="R4845" i="4" s="1"/>
  <c r="P4846" i="4"/>
  <c r="Q4846" i="4" s="1"/>
  <c r="R4846" i="4" s="1"/>
  <c r="P4847" i="4"/>
  <c r="Q4847" i="4" s="1"/>
  <c r="R4847" i="4" s="1"/>
  <c r="P4848" i="4"/>
  <c r="Q4848" i="4" s="1"/>
  <c r="R4848" i="4" s="1"/>
  <c r="P4849" i="4"/>
  <c r="Q4849" i="4" s="1"/>
  <c r="R4849" i="4" s="1"/>
  <c r="P4850" i="4"/>
  <c r="Q4850" i="4" s="1"/>
  <c r="R4850" i="4" s="1"/>
  <c r="P4851" i="4"/>
  <c r="Q4851" i="4" s="1"/>
  <c r="R4851" i="4" s="1"/>
  <c r="P4852" i="4"/>
  <c r="Q4852" i="4" s="1"/>
  <c r="R4852" i="4" s="1"/>
  <c r="P4853" i="4"/>
  <c r="Q4853" i="4" s="1"/>
  <c r="R4853" i="4" s="1"/>
  <c r="P4854" i="4"/>
  <c r="Q4854" i="4" s="1"/>
  <c r="R4854" i="4" s="1"/>
  <c r="P4855" i="4"/>
  <c r="Q4855" i="4" s="1"/>
  <c r="R4855" i="4" s="1"/>
  <c r="P4856" i="4"/>
  <c r="Q4856" i="4" s="1"/>
  <c r="R4856" i="4" s="1"/>
  <c r="P4857" i="4"/>
  <c r="Q4857" i="4" s="1"/>
  <c r="R4857" i="4" s="1"/>
  <c r="P4858" i="4"/>
  <c r="Q4858" i="4" s="1"/>
  <c r="R4858" i="4" s="1"/>
  <c r="P4859" i="4"/>
  <c r="Q4859" i="4" s="1"/>
  <c r="R4859" i="4" s="1"/>
  <c r="P4860" i="4"/>
  <c r="Q4860" i="4" s="1"/>
  <c r="R4860" i="4" s="1"/>
  <c r="P4861" i="4"/>
  <c r="Q4861" i="4" s="1"/>
  <c r="R4861" i="4" s="1"/>
  <c r="P4862" i="4"/>
  <c r="Q4862" i="4" s="1"/>
  <c r="R4862" i="4" s="1"/>
  <c r="P4863" i="4"/>
  <c r="Q4863" i="4" s="1"/>
  <c r="R4863" i="4" s="1"/>
  <c r="P4864" i="4"/>
  <c r="Q4864" i="4" s="1"/>
  <c r="R4864" i="4" s="1"/>
  <c r="P4865" i="4"/>
  <c r="Q4865" i="4" s="1"/>
  <c r="R4865" i="4" s="1"/>
  <c r="P4866" i="4"/>
  <c r="Q4866" i="4" s="1"/>
  <c r="R4866" i="4" s="1"/>
  <c r="P4867" i="4"/>
  <c r="Q4867" i="4" s="1"/>
  <c r="R4867" i="4" s="1"/>
  <c r="P4868" i="4"/>
  <c r="Q4868" i="4" s="1"/>
  <c r="R4868" i="4" s="1"/>
  <c r="P4869" i="4"/>
  <c r="Q4869" i="4" s="1"/>
  <c r="R4869" i="4" s="1"/>
  <c r="P4870" i="4"/>
  <c r="Q4870" i="4" s="1"/>
  <c r="R4870" i="4" s="1"/>
  <c r="P4871" i="4"/>
  <c r="Q4871" i="4" s="1"/>
  <c r="R4871" i="4" s="1"/>
  <c r="P4872" i="4"/>
  <c r="Q4872" i="4" s="1"/>
  <c r="R4872" i="4" s="1"/>
  <c r="P4873" i="4"/>
  <c r="Q4873" i="4" s="1"/>
  <c r="R4873" i="4" s="1"/>
  <c r="P4874" i="4"/>
  <c r="Q4874" i="4" s="1"/>
  <c r="R4874" i="4" s="1"/>
  <c r="P4875" i="4"/>
  <c r="Q4875" i="4" s="1"/>
  <c r="R4875" i="4" s="1"/>
  <c r="P4876" i="4"/>
  <c r="Q4876" i="4" s="1"/>
  <c r="R4876" i="4" s="1"/>
  <c r="P4877" i="4"/>
  <c r="Q4877" i="4" s="1"/>
  <c r="R4877" i="4" s="1"/>
  <c r="P4878" i="4"/>
  <c r="Q4878" i="4" s="1"/>
  <c r="R4878" i="4" s="1"/>
  <c r="P4879" i="4"/>
  <c r="Q4879" i="4" s="1"/>
  <c r="R4879" i="4" s="1"/>
  <c r="P4880" i="4"/>
  <c r="Q4880" i="4" s="1"/>
  <c r="R4880" i="4" s="1"/>
  <c r="P4881" i="4"/>
  <c r="Q4881" i="4" s="1"/>
  <c r="R4881" i="4" s="1"/>
  <c r="P4882" i="4"/>
  <c r="Q4882" i="4" s="1"/>
  <c r="R4882" i="4" s="1"/>
  <c r="P4883" i="4"/>
  <c r="Q4883" i="4" s="1"/>
  <c r="R4883" i="4" s="1"/>
  <c r="P4884" i="4"/>
  <c r="Q4884" i="4" s="1"/>
  <c r="R4884" i="4" s="1"/>
  <c r="P4885" i="4"/>
  <c r="Q4885" i="4" s="1"/>
  <c r="R4885" i="4" s="1"/>
  <c r="P4886" i="4"/>
  <c r="Q4886" i="4" s="1"/>
  <c r="R4886" i="4" s="1"/>
  <c r="P4887" i="4"/>
  <c r="Q4887" i="4" s="1"/>
  <c r="R4887" i="4" s="1"/>
  <c r="P4888" i="4"/>
  <c r="Q4888" i="4" s="1"/>
  <c r="R4888" i="4" s="1"/>
  <c r="P4889" i="4"/>
  <c r="Q4889" i="4" s="1"/>
  <c r="R4889" i="4" s="1"/>
  <c r="P4890" i="4"/>
  <c r="Q4890" i="4" s="1"/>
  <c r="R4890" i="4" s="1"/>
  <c r="P4891" i="4"/>
  <c r="Q4891" i="4" s="1"/>
  <c r="R4891" i="4" s="1"/>
  <c r="P4892" i="4"/>
  <c r="Q4892" i="4" s="1"/>
  <c r="R4892" i="4" s="1"/>
  <c r="P4893" i="4"/>
  <c r="Q4893" i="4" s="1"/>
  <c r="R4893" i="4" s="1"/>
  <c r="P4894" i="4"/>
  <c r="Q4894" i="4" s="1"/>
  <c r="R4894" i="4" s="1"/>
  <c r="P4895" i="4"/>
  <c r="Q4895" i="4" s="1"/>
  <c r="R4895" i="4" s="1"/>
  <c r="P4896" i="4"/>
  <c r="Q4896" i="4" s="1"/>
  <c r="R4896" i="4" s="1"/>
  <c r="P4897" i="4"/>
  <c r="Q4897" i="4" s="1"/>
  <c r="R4897" i="4" s="1"/>
  <c r="P4898" i="4"/>
  <c r="Q4898" i="4" s="1"/>
  <c r="R4898" i="4" s="1"/>
  <c r="P4899" i="4"/>
  <c r="Q4899" i="4" s="1"/>
  <c r="R4899" i="4" s="1"/>
  <c r="P4900" i="4"/>
  <c r="Q4900" i="4" s="1"/>
  <c r="R4900" i="4" s="1"/>
  <c r="P4901" i="4"/>
  <c r="Q4901" i="4" s="1"/>
  <c r="R4901" i="4" s="1"/>
  <c r="P4902" i="4"/>
  <c r="Q4902" i="4" s="1"/>
  <c r="R4902" i="4" s="1"/>
  <c r="P4903" i="4"/>
  <c r="Q4903" i="4" s="1"/>
  <c r="R4903" i="4" s="1"/>
  <c r="P4904" i="4"/>
  <c r="Q4904" i="4" s="1"/>
  <c r="R4904" i="4" s="1"/>
  <c r="P4905" i="4"/>
  <c r="Q4905" i="4" s="1"/>
  <c r="R4905" i="4" s="1"/>
  <c r="P4906" i="4"/>
  <c r="Q4906" i="4" s="1"/>
  <c r="R4906" i="4" s="1"/>
  <c r="P4907" i="4"/>
  <c r="Q4907" i="4" s="1"/>
  <c r="R4907" i="4" s="1"/>
  <c r="P4908" i="4"/>
  <c r="Q4908" i="4" s="1"/>
  <c r="R4908" i="4" s="1"/>
  <c r="P4909" i="4"/>
  <c r="Q4909" i="4" s="1"/>
  <c r="R4909" i="4" s="1"/>
  <c r="P4910" i="4"/>
  <c r="Q4910" i="4" s="1"/>
  <c r="R4910" i="4" s="1"/>
  <c r="P4911" i="4"/>
  <c r="Q4911" i="4" s="1"/>
  <c r="R4911" i="4" s="1"/>
  <c r="P4912" i="4"/>
  <c r="Q4912" i="4" s="1"/>
  <c r="R4912" i="4" s="1"/>
  <c r="P4913" i="4"/>
  <c r="Q4913" i="4" s="1"/>
  <c r="R4913" i="4" s="1"/>
  <c r="P4914" i="4"/>
  <c r="Q4914" i="4" s="1"/>
  <c r="R4914" i="4" s="1"/>
  <c r="P4915" i="4"/>
  <c r="Q4915" i="4" s="1"/>
  <c r="R4915" i="4" s="1"/>
  <c r="P4916" i="4"/>
  <c r="Q4916" i="4" s="1"/>
  <c r="R4916" i="4" s="1"/>
  <c r="P4917" i="4"/>
  <c r="Q4917" i="4" s="1"/>
  <c r="R4917" i="4" s="1"/>
  <c r="P4918" i="4"/>
  <c r="Q4918" i="4" s="1"/>
  <c r="R4918" i="4" s="1"/>
  <c r="P4919" i="4"/>
  <c r="Q4919" i="4" s="1"/>
  <c r="R4919" i="4" s="1"/>
  <c r="P4920" i="4"/>
  <c r="Q4920" i="4" s="1"/>
  <c r="R4920" i="4" s="1"/>
  <c r="P4921" i="4"/>
  <c r="Q4921" i="4" s="1"/>
  <c r="R4921" i="4" s="1"/>
  <c r="P4922" i="4"/>
  <c r="Q4922" i="4" s="1"/>
  <c r="R4922" i="4" s="1"/>
  <c r="P4923" i="4"/>
  <c r="Q4923" i="4" s="1"/>
  <c r="R4923" i="4" s="1"/>
  <c r="P4924" i="4"/>
  <c r="Q4924" i="4" s="1"/>
  <c r="R4924" i="4" s="1"/>
  <c r="P4925" i="4"/>
  <c r="Q4925" i="4" s="1"/>
  <c r="R4925" i="4" s="1"/>
  <c r="P4926" i="4"/>
  <c r="Q4926" i="4" s="1"/>
  <c r="R4926" i="4" s="1"/>
  <c r="P4927" i="4"/>
  <c r="Q4927" i="4" s="1"/>
  <c r="R4927" i="4" s="1"/>
  <c r="P4928" i="4"/>
  <c r="Q4928" i="4" s="1"/>
  <c r="R4928" i="4" s="1"/>
  <c r="P4929" i="4"/>
  <c r="Q4929" i="4" s="1"/>
  <c r="R4929" i="4" s="1"/>
  <c r="P4930" i="4"/>
  <c r="Q4930" i="4" s="1"/>
  <c r="R4930" i="4" s="1"/>
  <c r="P4931" i="4"/>
  <c r="Q4931" i="4" s="1"/>
  <c r="R4931" i="4" s="1"/>
  <c r="P4932" i="4"/>
  <c r="Q4932" i="4" s="1"/>
  <c r="R4932" i="4" s="1"/>
  <c r="P4933" i="4"/>
  <c r="Q4933" i="4" s="1"/>
  <c r="R4933" i="4" s="1"/>
  <c r="P4934" i="4"/>
  <c r="Q4934" i="4" s="1"/>
  <c r="R4934" i="4" s="1"/>
  <c r="P4935" i="4"/>
  <c r="Q4935" i="4" s="1"/>
  <c r="R4935" i="4" s="1"/>
  <c r="P4936" i="4"/>
  <c r="Q4936" i="4" s="1"/>
  <c r="R4936" i="4" s="1"/>
  <c r="P4937" i="4"/>
  <c r="Q4937" i="4" s="1"/>
  <c r="R4937" i="4" s="1"/>
  <c r="P4938" i="4"/>
  <c r="Q4938" i="4" s="1"/>
  <c r="R4938" i="4" s="1"/>
  <c r="P4939" i="4"/>
  <c r="Q4939" i="4" s="1"/>
  <c r="R4939" i="4" s="1"/>
  <c r="P4940" i="4"/>
  <c r="Q4940" i="4" s="1"/>
  <c r="R4940" i="4" s="1"/>
  <c r="P4941" i="4"/>
  <c r="Q4941" i="4" s="1"/>
  <c r="R4941" i="4" s="1"/>
  <c r="P4942" i="4"/>
  <c r="Q4942" i="4" s="1"/>
  <c r="R4942" i="4" s="1"/>
  <c r="P4943" i="4"/>
  <c r="Q4943" i="4" s="1"/>
  <c r="R4943" i="4" s="1"/>
  <c r="P4944" i="4"/>
  <c r="Q4944" i="4" s="1"/>
  <c r="R4944" i="4" s="1"/>
  <c r="P4945" i="4"/>
  <c r="Q4945" i="4" s="1"/>
  <c r="R4945" i="4" s="1"/>
  <c r="P4946" i="4"/>
  <c r="Q4946" i="4" s="1"/>
  <c r="R4946" i="4" s="1"/>
  <c r="P4947" i="4"/>
  <c r="Q4947" i="4" s="1"/>
  <c r="R4947" i="4" s="1"/>
  <c r="P4948" i="4"/>
  <c r="Q4948" i="4" s="1"/>
  <c r="R4948" i="4" s="1"/>
  <c r="P4949" i="4"/>
  <c r="Q4949" i="4" s="1"/>
  <c r="R4949" i="4" s="1"/>
  <c r="P4950" i="4"/>
  <c r="Q4950" i="4" s="1"/>
  <c r="R4950" i="4" s="1"/>
  <c r="P4951" i="4"/>
  <c r="Q4951" i="4" s="1"/>
  <c r="R4951" i="4" s="1"/>
  <c r="P4952" i="4"/>
  <c r="Q4952" i="4" s="1"/>
  <c r="R4952" i="4" s="1"/>
  <c r="P4953" i="4"/>
  <c r="Q4953" i="4" s="1"/>
  <c r="R4953" i="4" s="1"/>
  <c r="P4954" i="4"/>
  <c r="Q4954" i="4" s="1"/>
  <c r="R4954" i="4" s="1"/>
  <c r="P4955" i="4"/>
  <c r="Q4955" i="4" s="1"/>
  <c r="R4955" i="4" s="1"/>
  <c r="P4956" i="4"/>
  <c r="Q4956" i="4" s="1"/>
  <c r="R4956" i="4" s="1"/>
  <c r="P4957" i="4"/>
  <c r="Q4957" i="4" s="1"/>
  <c r="R4957" i="4" s="1"/>
  <c r="P4958" i="4"/>
  <c r="Q4958" i="4" s="1"/>
  <c r="R4958" i="4" s="1"/>
  <c r="P4959" i="4"/>
  <c r="Q4959" i="4" s="1"/>
  <c r="R4959" i="4" s="1"/>
  <c r="P8" i="4"/>
  <c r="Q8" i="4" s="1"/>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485" i="4"/>
  <c r="O1486" i="4"/>
  <c r="O1487" i="4"/>
  <c r="O1488" i="4"/>
  <c r="O1489" i="4"/>
  <c r="O1490" i="4"/>
  <c r="O1491" i="4"/>
  <c r="O1492" i="4"/>
  <c r="O1493" i="4"/>
  <c r="O1494" i="4"/>
  <c r="O1495" i="4"/>
  <c r="O1496" i="4"/>
  <c r="O1497" i="4"/>
  <c r="O1498" i="4"/>
  <c r="O1499" i="4"/>
  <c r="O1500" i="4"/>
  <c r="O1501" i="4"/>
  <c r="O1502" i="4"/>
  <c r="O1503" i="4"/>
  <c r="O1504" i="4"/>
  <c r="O1505" i="4"/>
  <c r="O1506" i="4"/>
  <c r="O1507" i="4"/>
  <c r="O1508" i="4"/>
  <c r="O1509" i="4"/>
  <c r="O1510" i="4"/>
  <c r="O1511" i="4"/>
  <c r="O1512" i="4"/>
  <c r="O1513" i="4"/>
  <c r="O1514" i="4"/>
  <c r="O1515" i="4"/>
  <c r="O1516" i="4"/>
  <c r="O1517" i="4"/>
  <c r="O1518" i="4"/>
  <c r="O1519" i="4"/>
  <c r="O1520" i="4"/>
  <c r="O1521" i="4"/>
  <c r="O1522" i="4"/>
  <c r="O1523" i="4"/>
  <c r="O1524" i="4"/>
  <c r="O1525" i="4"/>
  <c r="O1526" i="4"/>
  <c r="O1527" i="4"/>
  <c r="O1528" i="4"/>
  <c r="O1529" i="4"/>
  <c r="O1530" i="4"/>
  <c r="O1531" i="4"/>
  <c r="O1532" i="4"/>
  <c r="O1533" i="4"/>
  <c r="O1534" i="4"/>
  <c r="O1535" i="4"/>
  <c r="O1536" i="4"/>
  <c r="O1537" i="4"/>
  <c r="O1538" i="4"/>
  <c r="O1539" i="4"/>
  <c r="O1540" i="4"/>
  <c r="O1541" i="4"/>
  <c r="O1542" i="4"/>
  <c r="O1543" i="4"/>
  <c r="O1544" i="4"/>
  <c r="O1545" i="4"/>
  <c r="O1546" i="4"/>
  <c r="O1547" i="4"/>
  <c r="O1548" i="4"/>
  <c r="O1549" i="4"/>
  <c r="O1550" i="4"/>
  <c r="O1551" i="4"/>
  <c r="O1552" i="4"/>
  <c r="O1553" i="4"/>
  <c r="O1554" i="4"/>
  <c r="O1555" i="4"/>
  <c r="O1556" i="4"/>
  <c r="O1557" i="4"/>
  <c r="O1558" i="4"/>
  <c r="O1559" i="4"/>
  <c r="O1560" i="4"/>
  <c r="O1561" i="4"/>
  <c r="O1562" i="4"/>
  <c r="O1563" i="4"/>
  <c r="O1564" i="4"/>
  <c r="O1565" i="4"/>
  <c r="O1566" i="4"/>
  <c r="O1567" i="4"/>
  <c r="O1568" i="4"/>
  <c r="O1569" i="4"/>
  <c r="O1570" i="4"/>
  <c r="O1571" i="4"/>
  <c r="O1572" i="4"/>
  <c r="O1573" i="4"/>
  <c r="O1574" i="4"/>
  <c r="O1575" i="4"/>
  <c r="O1576" i="4"/>
  <c r="O1577" i="4"/>
  <c r="O1578" i="4"/>
  <c r="O1579" i="4"/>
  <c r="O1580" i="4"/>
  <c r="O1581" i="4"/>
  <c r="O1582" i="4"/>
  <c r="O1583" i="4"/>
  <c r="O1584" i="4"/>
  <c r="O1585" i="4"/>
  <c r="O1586" i="4"/>
  <c r="O1587" i="4"/>
  <c r="O1588" i="4"/>
  <c r="O1589" i="4"/>
  <c r="O1590" i="4"/>
  <c r="O1591" i="4"/>
  <c r="O1592" i="4"/>
  <c r="O1593" i="4"/>
  <c r="O1594" i="4"/>
  <c r="O1595" i="4"/>
  <c r="O1596" i="4"/>
  <c r="O1597" i="4"/>
  <c r="O1598" i="4"/>
  <c r="O1599" i="4"/>
  <c r="O1600" i="4"/>
  <c r="O1601" i="4"/>
  <c r="O1602" i="4"/>
  <c r="O1603" i="4"/>
  <c r="O1604" i="4"/>
  <c r="O1605" i="4"/>
  <c r="O1606" i="4"/>
  <c r="O1607" i="4"/>
  <c r="O1608" i="4"/>
  <c r="O1609" i="4"/>
  <c r="O1610" i="4"/>
  <c r="O1611" i="4"/>
  <c r="O1612" i="4"/>
  <c r="O1613" i="4"/>
  <c r="O1614" i="4"/>
  <c r="O1615" i="4"/>
  <c r="O1616" i="4"/>
  <c r="O1617" i="4"/>
  <c r="O1618" i="4"/>
  <c r="O1619" i="4"/>
  <c r="O1620" i="4"/>
  <c r="O1621" i="4"/>
  <c r="O1622" i="4"/>
  <c r="O1623" i="4"/>
  <c r="O1624" i="4"/>
  <c r="O1625" i="4"/>
  <c r="O1626" i="4"/>
  <c r="O1627" i="4"/>
  <c r="O1628" i="4"/>
  <c r="O1629" i="4"/>
  <c r="O1630" i="4"/>
  <c r="O1631" i="4"/>
  <c r="O1632" i="4"/>
  <c r="O1633" i="4"/>
  <c r="O1634" i="4"/>
  <c r="O1635" i="4"/>
  <c r="O1636" i="4"/>
  <c r="O1637" i="4"/>
  <c r="O1638" i="4"/>
  <c r="O1639" i="4"/>
  <c r="O1640" i="4"/>
  <c r="O1641" i="4"/>
  <c r="O1642" i="4"/>
  <c r="O1643" i="4"/>
  <c r="O1644" i="4"/>
  <c r="O1645" i="4"/>
  <c r="O1646" i="4"/>
  <c r="O1647" i="4"/>
  <c r="O1648" i="4"/>
  <c r="O1649" i="4"/>
  <c r="O1650" i="4"/>
  <c r="O1651" i="4"/>
  <c r="O1652" i="4"/>
  <c r="O1653" i="4"/>
  <c r="O1654" i="4"/>
  <c r="O1655" i="4"/>
  <c r="O1656" i="4"/>
  <c r="O1657" i="4"/>
  <c r="O1658" i="4"/>
  <c r="O1659" i="4"/>
  <c r="O1660" i="4"/>
  <c r="O1661" i="4"/>
  <c r="O1662" i="4"/>
  <c r="O1663" i="4"/>
  <c r="O1664" i="4"/>
  <c r="O1665" i="4"/>
  <c r="O1666" i="4"/>
  <c r="O1667" i="4"/>
  <c r="O1668" i="4"/>
  <c r="O1669" i="4"/>
  <c r="O1670" i="4"/>
  <c r="O1671" i="4"/>
  <c r="O1672" i="4"/>
  <c r="O1673" i="4"/>
  <c r="O1674" i="4"/>
  <c r="O1675" i="4"/>
  <c r="O1676" i="4"/>
  <c r="O1677" i="4"/>
  <c r="O1678" i="4"/>
  <c r="O1679" i="4"/>
  <c r="O1680" i="4"/>
  <c r="O1681" i="4"/>
  <c r="O1682" i="4"/>
  <c r="O1683" i="4"/>
  <c r="O1684" i="4"/>
  <c r="O1685" i="4"/>
  <c r="O1686" i="4"/>
  <c r="O1687" i="4"/>
  <c r="O1688" i="4"/>
  <c r="O1689" i="4"/>
  <c r="O1690" i="4"/>
  <c r="O1691" i="4"/>
  <c r="O1692" i="4"/>
  <c r="O1693" i="4"/>
  <c r="O1694" i="4"/>
  <c r="O1695" i="4"/>
  <c r="O1696" i="4"/>
  <c r="O1697" i="4"/>
  <c r="O1698" i="4"/>
  <c r="O1699" i="4"/>
  <c r="O1700" i="4"/>
  <c r="O1701" i="4"/>
  <c r="O1702" i="4"/>
  <c r="O1703" i="4"/>
  <c r="O1704" i="4"/>
  <c r="O1705" i="4"/>
  <c r="O1706" i="4"/>
  <c r="O1707" i="4"/>
  <c r="O1708" i="4"/>
  <c r="O1709" i="4"/>
  <c r="O1710" i="4"/>
  <c r="O1711" i="4"/>
  <c r="O1712" i="4"/>
  <c r="O1713" i="4"/>
  <c r="O1714" i="4"/>
  <c r="O1715" i="4"/>
  <c r="O1716" i="4"/>
  <c r="O1717" i="4"/>
  <c r="O1718" i="4"/>
  <c r="O1719" i="4"/>
  <c r="O1720" i="4"/>
  <c r="O1721" i="4"/>
  <c r="O1722" i="4"/>
  <c r="O1723" i="4"/>
  <c r="O1724" i="4"/>
  <c r="O1725" i="4"/>
  <c r="O1726" i="4"/>
  <c r="O1727" i="4"/>
  <c r="O1728" i="4"/>
  <c r="O1729" i="4"/>
  <c r="O1730" i="4"/>
  <c r="O1731" i="4"/>
  <c r="O1732" i="4"/>
  <c r="O1733" i="4"/>
  <c r="O1734" i="4"/>
  <c r="O1735" i="4"/>
  <c r="O1736" i="4"/>
  <c r="O1737" i="4"/>
  <c r="O1738" i="4"/>
  <c r="O1739" i="4"/>
  <c r="O1740" i="4"/>
  <c r="O1741" i="4"/>
  <c r="O1742" i="4"/>
  <c r="O1743" i="4"/>
  <c r="O1744" i="4"/>
  <c r="O1745" i="4"/>
  <c r="O1746" i="4"/>
  <c r="O1747" i="4"/>
  <c r="O1748" i="4"/>
  <c r="O1749" i="4"/>
  <c r="O1750" i="4"/>
  <c r="O1751" i="4"/>
  <c r="O1752" i="4"/>
  <c r="O1753" i="4"/>
  <c r="O1754" i="4"/>
  <c r="O1755" i="4"/>
  <c r="O1756" i="4"/>
  <c r="O1757" i="4"/>
  <c r="O1758" i="4"/>
  <c r="O1759" i="4"/>
  <c r="O1760" i="4"/>
  <c r="O1761" i="4"/>
  <c r="O1762" i="4"/>
  <c r="O1763" i="4"/>
  <c r="O1764" i="4"/>
  <c r="O1765" i="4"/>
  <c r="O1766" i="4"/>
  <c r="O1767" i="4"/>
  <c r="O1768" i="4"/>
  <c r="O1769" i="4"/>
  <c r="O1770" i="4"/>
  <c r="O1771" i="4"/>
  <c r="O1772" i="4"/>
  <c r="O1773" i="4"/>
  <c r="O1774" i="4"/>
  <c r="O1775" i="4"/>
  <c r="O1776" i="4"/>
  <c r="O1777" i="4"/>
  <c r="O1778" i="4"/>
  <c r="O1779" i="4"/>
  <c r="O1780" i="4"/>
  <c r="O1781" i="4"/>
  <c r="O1782" i="4"/>
  <c r="O1783" i="4"/>
  <c r="O1784" i="4"/>
  <c r="O1785" i="4"/>
  <c r="O1786" i="4"/>
  <c r="O1787" i="4"/>
  <c r="O1788" i="4"/>
  <c r="O1789" i="4"/>
  <c r="O1790" i="4"/>
  <c r="O1791" i="4"/>
  <c r="O1792" i="4"/>
  <c r="O1793" i="4"/>
  <c r="O1794" i="4"/>
  <c r="O1795" i="4"/>
  <c r="O1796" i="4"/>
  <c r="O1797" i="4"/>
  <c r="O1798" i="4"/>
  <c r="O1799" i="4"/>
  <c r="O1800" i="4"/>
  <c r="O1801" i="4"/>
  <c r="O1802" i="4"/>
  <c r="O1803" i="4"/>
  <c r="O1804" i="4"/>
  <c r="O1805" i="4"/>
  <c r="O1806" i="4"/>
  <c r="O1807" i="4"/>
  <c r="O1808" i="4"/>
  <c r="O1809" i="4"/>
  <c r="O1810" i="4"/>
  <c r="O1811" i="4"/>
  <c r="O1812" i="4"/>
  <c r="O1813" i="4"/>
  <c r="O1814" i="4"/>
  <c r="O1815" i="4"/>
  <c r="O1816" i="4"/>
  <c r="O1817" i="4"/>
  <c r="O1818" i="4"/>
  <c r="O1819" i="4"/>
  <c r="O1820" i="4"/>
  <c r="O1821" i="4"/>
  <c r="O1822" i="4"/>
  <c r="O1823" i="4"/>
  <c r="O1824" i="4"/>
  <c r="O1825" i="4"/>
  <c r="O1826" i="4"/>
  <c r="O1827" i="4"/>
  <c r="O1828" i="4"/>
  <c r="O1829" i="4"/>
  <c r="O1830" i="4"/>
  <c r="O1831" i="4"/>
  <c r="O1832" i="4"/>
  <c r="O1833" i="4"/>
  <c r="O1834" i="4"/>
  <c r="O1835" i="4"/>
  <c r="O1836" i="4"/>
  <c r="O1837" i="4"/>
  <c r="O1838" i="4"/>
  <c r="O1839" i="4"/>
  <c r="O1840" i="4"/>
  <c r="O1841" i="4"/>
  <c r="O1842" i="4"/>
  <c r="O1843" i="4"/>
  <c r="O1844" i="4"/>
  <c r="O1845" i="4"/>
  <c r="O1846" i="4"/>
  <c r="O1847" i="4"/>
  <c r="O1848" i="4"/>
  <c r="O1849" i="4"/>
  <c r="O1850" i="4"/>
  <c r="O1851" i="4"/>
  <c r="O1852" i="4"/>
  <c r="O1853" i="4"/>
  <c r="O1854" i="4"/>
  <c r="O1855" i="4"/>
  <c r="O1856" i="4"/>
  <c r="O1857" i="4"/>
  <c r="O1858" i="4"/>
  <c r="O1859" i="4"/>
  <c r="O1860" i="4"/>
  <c r="O1861" i="4"/>
  <c r="O1862" i="4"/>
  <c r="O1863" i="4"/>
  <c r="O1864" i="4"/>
  <c r="O1865" i="4"/>
  <c r="O1866" i="4"/>
  <c r="O1867" i="4"/>
  <c r="O1868" i="4"/>
  <c r="O1869" i="4"/>
  <c r="O1870" i="4"/>
  <c r="O1871" i="4"/>
  <c r="O1872" i="4"/>
  <c r="O1873" i="4"/>
  <c r="O1874" i="4"/>
  <c r="O1875" i="4"/>
  <c r="O1876" i="4"/>
  <c r="O1877" i="4"/>
  <c r="O1878" i="4"/>
  <c r="O1879" i="4"/>
  <c r="O1880" i="4"/>
  <c r="O1881" i="4"/>
  <c r="O1882" i="4"/>
  <c r="O1883" i="4"/>
  <c r="O1884" i="4"/>
  <c r="O1885" i="4"/>
  <c r="O1886" i="4"/>
  <c r="O1887" i="4"/>
  <c r="O1888" i="4"/>
  <c r="O1889" i="4"/>
  <c r="O1890" i="4"/>
  <c r="O1891" i="4"/>
  <c r="O1892" i="4"/>
  <c r="O1893" i="4"/>
  <c r="O1894" i="4"/>
  <c r="O1895" i="4"/>
  <c r="O1896" i="4"/>
  <c r="O1897" i="4"/>
  <c r="O1898" i="4"/>
  <c r="O1899" i="4"/>
  <c r="O1900" i="4"/>
  <c r="O1901" i="4"/>
  <c r="O1902" i="4"/>
  <c r="O1903" i="4"/>
  <c r="O1904" i="4"/>
  <c r="O1905" i="4"/>
  <c r="O1906" i="4"/>
  <c r="O1907" i="4"/>
  <c r="O1908" i="4"/>
  <c r="O1909" i="4"/>
  <c r="O1910" i="4"/>
  <c r="O1911" i="4"/>
  <c r="O1912" i="4"/>
  <c r="O1913" i="4"/>
  <c r="O1914" i="4"/>
  <c r="O1915" i="4"/>
  <c r="O1916" i="4"/>
  <c r="O1917" i="4"/>
  <c r="O1918" i="4"/>
  <c r="O1919" i="4"/>
  <c r="O1920" i="4"/>
  <c r="O1921" i="4"/>
  <c r="O1922" i="4"/>
  <c r="O1923" i="4"/>
  <c r="O1924" i="4"/>
  <c r="O1925" i="4"/>
  <c r="O1926" i="4"/>
  <c r="O1927" i="4"/>
  <c r="O1928" i="4"/>
  <c r="O1929" i="4"/>
  <c r="O1930" i="4"/>
  <c r="O1931" i="4"/>
  <c r="O1932" i="4"/>
  <c r="O1933" i="4"/>
  <c r="O1934" i="4"/>
  <c r="O1935" i="4"/>
  <c r="O1936" i="4"/>
  <c r="O1937" i="4"/>
  <c r="O1938" i="4"/>
  <c r="O1939" i="4"/>
  <c r="O1940" i="4"/>
  <c r="O1941" i="4"/>
  <c r="O1942" i="4"/>
  <c r="O1943" i="4"/>
  <c r="O1944" i="4"/>
  <c r="O1945" i="4"/>
  <c r="O1946" i="4"/>
  <c r="O1947" i="4"/>
  <c r="O1948" i="4"/>
  <c r="O1949" i="4"/>
  <c r="O1950" i="4"/>
  <c r="O1951" i="4"/>
  <c r="O1952" i="4"/>
  <c r="O1953" i="4"/>
  <c r="O1954" i="4"/>
  <c r="O1955" i="4"/>
  <c r="O1956" i="4"/>
  <c r="O1957" i="4"/>
  <c r="O1958" i="4"/>
  <c r="O1959" i="4"/>
  <c r="O1960" i="4"/>
  <c r="O1961" i="4"/>
  <c r="O1962" i="4"/>
  <c r="O1963" i="4"/>
  <c r="O1964" i="4"/>
  <c r="O1965" i="4"/>
  <c r="O1966" i="4"/>
  <c r="O1967" i="4"/>
  <c r="O1968" i="4"/>
  <c r="O1969" i="4"/>
  <c r="O1970" i="4"/>
  <c r="O1971" i="4"/>
  <c r="O1972" i="4"/>
  <c r="O1973" i="4"/>
  <c r="O1974" i="4"/>
  <c r="O1975" i="4"/>
  <c r="O1976" i="4"/>
  <c r="O1977" i="4"/>
  <c r="O1978" i="4"/>
  <c r="O1979" i="4"/>
  <c r="O1980" i="4"/>
  <c r="O1981" i="4"/>
  <c r="O1982" i="4"/>
  <c r="O1983" i="4"/>
  <c r="O1984" i="4"/>
  <c r="O1985" i="4"/>
  <c r="O1986" i="4"/>
  <c r="O1987" i="4"/>
  <c r="O1988" i="4"/>
  <c r="O1989" i="4"/>
  <c r="O1990" i="4"/>
  <c r="O1991" i="4"/>
  <c r="O1992" i="4"/>
  <c r="O1993" i="4"/>
  <c r="O1994" i="4"/>
  <c r="O1995" i="4"/>
  <c r="O1996" i="4"/>
  <c r="O1997" i="4"/>
  <c r="O1998" i="4"/>
  <c r="O1999" i="4"/>
  <c r="O2000" i="4"/>
  <c r="O2001" i="4"/>
  <c r="O2002" i="4"/>
  <c r="O2003" i="4"/>
  <c r="O2004" i="4"/>
  <c r="O2005" i="4"/>
  <c r="O2006" i="4"/>
  <c r="O2007" i="4"/>
  <c r="O2008" i="4"/>
  <c r="O2009" i="4"/>
  <c r="O2010" i="4"/>
  <c r="O2011" i="4"/>
  <c r="O2012" i="4"/>
  <c r="O2013" i="4"/>
  <c r="O2014" i="4"/>
  <c r="O2015" i="4"/>
  <c r="O2016" i="4"/>
  <c r="O2017" i="4"/>
  <c r="O2018" i="4"/>
  <c r="O2019" i="4"/>
  <c r="O2020" i="4"/>
  <c r="O2021" i="4"/>
  <c r="O2022" i="4"/>
  <c r="O2023" i="4"/>
  <c r="O2024" i="4"/>
  <c r="O2025" i="4"/>
  <c r="O2026" i="4"/>
  <c r="O2027" i="4"/>
  <c r="O2028" i="4"/>
  <c r="O2029" i="4"/>
  <c r="O2030" i="4"/>
  <c r="O2031" i="4"/>
  <c r="O2032" i="4"/>
  <c r="O2033" i="4"/>
  <c r="O2034" i="4"/>
  <c r="O2035" i="4"/>
  <c r="O2036" i="4"/>
  <c r="O2037" i="4"/>
  <c r="O2038" i="4"/>
  <c r="O2039" i="4"/>
  <c r="O2040" i="4"/>
  <c r="O2041" i="4"/>
  <c r="O2042" i="4"/>
  <c r="O2043" i="4"/>
  <c r="O2044" i="4"/>
  <c r="O2045" i="4"/>
  <c r="O2046" i="4"/>
  <c r="O2047" i="4"/>
  <c r="O2048" i="4"/>
  <c r="O2049" i="4"/>
  <c r="O2050" i="4"/>
  <c r="O2051" i="4"/>
  <c r="O2052" i="4"/>
  <c r="O2053" i="4"/>
  <c r="O2054" i="4"/>
  <c r="O2055" i="4"/>
  <c r="O2056" i="4"/>
  <c r="O2057" i="4"/>
  <c r="O2058" i="4"/>
  <c r="O2059" i="4"/>
  <c r="O2060" i="4"/>
  <c r="O2061" i="4"/>
  <c r="O2062" i="4"/>
  <c r="O2063" i="4"/>
  <c r="O2064" i="4"/>
  <c r="O2065" i="4"/>
  <c r="O2066" i="4"/>
  <c r="O2067" i="4"/>
  <c r="O2068" i="4"/>
  <c r="O2069" i="4"/>
  <c r="O2070" i="4"/>
  <c r="O2071" i="4"/>
  <c r="O2072" i="4"/>
  <c r="O2073" i="4"/>
  <c r="O2074" i="4"/>
  <c r="O2075" i="4"/>
  <c r="O2076" i="4"/>
  <c r="O2077" i="4"/>
  <c r="O2078" i="4"/>
  <c r="O2079" i="4"/>
  <c r="O2080" i="4"/>
  <c r="O2081" i="4"/>
  <c r="O2082" i="4"/>
  <c r="O2083" i="4"/>
  <c r="O2084" i="4"/>
  <c r="O2085" i="4"/>
  <c r="O2086" i="4"/>
  <c r="O2087" i="4"/>
  <c r="O2088" i="4"/>
  <c r="O2089" i="4"/>
  <c r="O2090" i="4"/>
  <c r="O2091" i="4"/>
  <c r="O2092" i="4"/>
  <c r="O2093" i="4"/>
  <c r="O2094" i="4"/>
  <c r="O2095" i="4"/>
  <c r="O2096" i="4"/>
  <c r="O2097" i="4"/>
  <c r="O2098" i="4"/>
  <c r="O2099" i="4"/>
  <c r="O2100" i="4"/>
  <c r="O2101" i="4"/>
  <c r="O2102" i="4"/>
  <c r="O2103" i="4"/>
  <c r="O2104" i="4"/>
  <c r="O2105" i="4"/>
  <c r="O2106" i="4"/>
  <c r="O2107" i="4"/>
  <c r="O2108" i="4"/>
  <c r="O2109" i="4"/>
  <c r="O2110" i="4"/>
  <c r="O2111" i="4"/>
  <c r="O2112" i="4"/>
  <c r="O2113" i="4"/>
  <c r="O2114" i="4"/>
  <c r="O2115" i="4"/>
  <c r="O2116" i="4"/>
  <c r="O2117" i="4"/>
  <c r="O2118" i="4"/>
  <c r="O2119" i="4"/>
  <c r="O2120" i="4"/>
  <c r="O2121" i="4"/>
  <c r="O2122" i="4"/>
  <c r="O2123" i="4"/>
  <c r="O2124" i="4"/>
  <c r="O2125" i="4"/>
  <c r="O2126" i="4"/>
  <c r="O2127" i="4"/>
  <c r="O2128" i="4"/>
  <c r="O2129" i="4"/>
  <c r="O2130" i="4"/>
  <c r="O2131" i="4"/>
  <c r="O2132" i="4"/>
  <c r="O2133" i="4"/>
  <c r="O2134" i="4"/>
  <c r="O2135" i="4"/>
  <c r="O2136" i="4"/>
  <c r="O2137" i="4"/>
  <c r="O2138" i="4"/>
  <c r="O2139" i="4"/>
  <c r="O2140" i="4"/>
  <c r="O2141" i="4"/>
  <c r="O2142" i="4"/>
  <c r="O2143" i="4"/>
  <c r="O2144" i="4"/>
  <c r="O2145" i="4"/>
  <c r="O2146" i="4"/>
  <c r="O2147" i="4"/>
  <c r="O2148" i="4"/>
  <c r="O2149" i="4"/>
  <c r="O2150" i="4"/>
  <c r="O2151" i="4"/>
  <c r="O2152" i="4"/>
  <c r="O2153" i="4"/>
  <c r="O2154" i="4"/>
  <c r="O2155" i="4"/>
  <c r="O2156" i="4"/>
  <c r="O2157" i="4"/>
  <c r="O2158" i="4"/>
  <c r="O2159" i="4"/>
  <c r="O2160" i="4"/>
  <c r="O2161" i="4"/>
  <c r="O2162" i="4"/>
  <c r="O2163" i="4"/>
  <c r="O2164" i="4"/>
  <c r="O2165" i="4"/>
  <c r="O2166" i="4"/>
  <c r="O2167" i="4"/>
  <c r="O2168" i="4"/>
  <c r="O2169" i="4"/>
  <c r="O2170" i="4"/>
  <c r="O2171" i="4"/>
  <c r="O2172" i="4"/>
  <c r="O2173" i="4"/>
  <c r="O2174" i="4"/>
  <c r="O2175" i="4"/>
  <c r="O2176" i="4"/>
  <c r="O2177" i="4"/>
  <c r="O2178" i="4"/>
  <c r="O2179" i="4"/>
  <c r="O2180" i="4"/>
  <c r="O2181" i="4"/>
  <c r="O2182" i="4"/>
  <c r="O2183" i="4"/>
  <c r="O2184" i="4"/>
  <c r="O2185" i="4"/>
  <c r="O2186" i="4"/>
  <c r="O2187" i="4"/>
  <c r="O2188" i="4"/>
  <c r="O2189" i="4"/>
  <c r="O2190" i="4"/>
  <c r="O2191" i="4"/>
  <c r="O2192" i="4"/>
  <c r="O2193" i="4"/>
  <c r="O2194" i="4"/>
  <c r="O2195" i="4"/>
  <c r="O2196" i="4"/>
  <c r="O2197" i="4"/>
  <c r="O2198" i="4"/>
  <c r="O2199" i="4"/>
  <c r="O2200" i="4"/>
  <c r="O2201" i="4"/>
  <c r="O2202" i="4"/>
  <c r="O2203" i="4"/>
  <c r="O2204" i="4"/>
  <c r="O2205" i="4"/>
  <c r="O2206" i="4"/>
  <c r="O2207" i="4"/>
  <c r="O2208" i="4"/>
  <c r="O2209" i="4"/>
  <c r="O2210" i="4"/>
  <c r="O2211" i="4"/>
  <c r="O2212" i="4"/>
  <c r="O2213" i="4"/>
  <c r="O2214" i="4"/>
  <c r="O2215" i="4"/>
  <c r="O2216" i="4"/>
  <c r="O2217" i="4"/>
  <c r="O2218" i="4"/>
  <c r="O2219" i="4"/>
  <c r="O2220" i="4"/>
  <c r="O2221" i="4"/>
  <c r="O2222" i="4"/>
  <c r="O2223" i="4"/>
  <c r="O2224" i="4"/>
  <c r="O2225" i="4"/>
  <c r="O2226" i="4"/>
  <c r="O2227" i="4"/>
  <c r="O2228" i="4"/>
  <c r="O2229" i="4"/>
  <c r="O2230" i="4"/>
  <c r="O2231" i="4"/>
  <c r="O2232" i="4"/>
  <c r="O2233" i="4"/>
  <c r="O2234" i="4"/>
  <c r="O2235" i="4"/>
  <c r="O2236" i="4"/>
  <c r="O2237" i="4"/>
  <c r="O2238" i="4"/>
  <c r="O2239" i="4"/>
  <c r="O2240" i="4"/>
  <c r="O2241" i="4"/>
  <c r="O2242" i="4"/>
  <c r="O2243" i="4"/>
  <c r="O2244" i="4"/>
  <c r="O2245" i="4"/>
  <c r="O2246" i="4"/>
  <c r="O2247" i="4"/>
  <c r="O2248" i="4"/>
  <c r="O2249" i="4"/>
  <c r="O2250" i="4"/>
  <c r="O2251" i="4"/>
  <c r="O2252" i="4"/>
  <c r="O2253" i="4"/>
  <c r="O2254" i="4"/>
  <c r="O2255" i="4"/>
  <c r="O2256" i="4"/>
  <c r="O2257" i="4"/>
  <c r="O2258" i="4"/>
  <c r="O2259" i="4"/>
  <c r="O2260" i="4"/>
  <c r="O2261" i="4"/>
  <c r="O2262" i="4"/>
  <c r="O2263" i="4"/>
  <c r="O2264" i="4"/>
  <c r="O2265" i="4"/>
  <c r="O2266" i="4"/>
  <c r="O2267" i="4"/>
  <c r="O2268" i="4"/>
  <c r="O2269" i="4"/>
  <c r="O2270" i="4"/>
  <c r="O2271" i="4"/>
  <c r="O2272" i="4"/>
  <c r="O2273" i="4"/>
  <c r="O2274" i="4"/>
  <c r="O2275" i="4"/>
  <c r="O2276" i="4"/>
  <c r="O2277" i="4"/>
  <c r="O2278" i="4"/>
  <c r="O2279" i="4"/>
  <c r="O2280" i="4"/>
  <c r="O2281" i="4"/>
  <c r="O2282" i="4"/>
  <c r="O2283" i="4"/>
  <c r="O2284" i="4"/>
  <c r="O2285" i="4"/>
  <c r="O2286" i="4"/>
  <c r="O2287" i="4"/>
  <c r="O2288" i="4"/>
  <c r="O2289" i="4"/>
  <c r="O2290" i="4"/>
  <c r="O2291" i="4"/>
  <c r="O2292" i="4"/>
  <c r="O2293" i="4"/>
  <c r="O2294" i="4"/>
  <c r="O2295" i="4"/>
  <c r="O2296" i="4"/>
  <c r="O2297" i="4"/>
  <c r="O2298" i="4"/>
  <c r="O2299" i="4"/>
  <c r="O2300" i="4"/>
  <c r="O2301" i="4"/>
  <c r="O2302" i="4"/>
  <c r="O2303" i="4"/>
  <c r="O2304" i="4"/>
  <c r="O2305" i="4"/>
  <c r="O2306" i="4"/>
  <c r="O2307" i="4"/>
  <c r="O2308" i="4"/>
  <c r="O2309" i="4"/>
  <c r="O2310" i="4"/>
  <c r="O2311" i="4"/>
  <c r="O2312" i="4"/>
  <c r="O2313" i="4"/>
  <c r="O2314" i="4"/>
  <c r="O2315" i="4"/>
  <c r="O2316" i="4"/>
  <c r="O2317" i="4"/>
  <c r="O2318" i="4"/>
  <c r="O2319" i="4"/>
  <c r="O2320" i="4"/>
  <c r="O2321" i="4"/>
  <c r="O2322" i="4"/>
  <c r="O2323" i="4"/>
  <c r="O2324" i="4"/>
  <c r="O2325" i="4"/>
  <c r="O2326" i="4"/>
  <c r="O2327" i="4"/>
  <c r="O2328" i="4"/>
  <c r="O2329" i="4"/>
  <c r="O2330" i="4"/>
  <c r="O2331" i="4"/>
  <c r="O2332" i="4"/>
  <c r="O2333" i="4"/>
  <c r="O2334" i="4"/>
  <c r="O2335" i="4"/>
  <c r="O2336" i="4"/>
  <c r="O2337" i="4"/>
  <c r="O2338" i="4"/>
  <c r="O2339" i="4"/>
  <c r="O2340" i="4"/>
  <c r="O2341" i="4"/>
  <c r="O2342" i="4"/>
  <c r="O2343" i="4"/>
  <c r="O2344" i="4"/>
  <c r="O2345" i="4"/>
  <c r="O2346" i="4"/>
  <c r="O2347" i="4"/>
  <c r="O2348" i="4"/>
  <c r="O2349" i="4"/>
  <c r="O2350" i="4"/>
  <c r="O2351" i="4"/>
  <c r="O2352" i="4"/>
  <c r="O2353" i="4"/>
  <c r="O2354" i="4"/>
  <c r="O2355" i="4"/>
  <c r="O2356" i="4"/>
  <c r="O2357" i="4"/>
  <c r="O2358" i="4"/>
  <c r="O2359" i="4"/>
  <c r="O2360" i="4"/>
  <c r="O2361" i="4"/>
  <c r="O2362" i="4"/>
  <c r="O2363" i="4"/>
  <c r="O2364" i="4"/>
  <c r="O2365" i="4"/>
  <c r="O2366" i="4"/>
  <c r="O2367" i="4"/>
  <c r="O2368" i="4"/>
  <c r="O2369" i="4"/>
  <c r="O2370" i="4"/>
  <c r="O2371" i="4"/>
  <c r="O2372" i="4"/>
  <c r="O2373" i="4"/>
  <c r="O2374" i="4"/>
  <c r="O2375" i="4"/>
  <c r="O2376" i="4"/>
  <c r="O2377" i="4"/>
  <c r="O2378" i="4"/>
  <c r="O2379" i="4"/>
  <c r="O2380" i="4"/>
  <c r="O2381" i="4"/>
  <c r="O2382" i="4"/>
  <c r="O2383" i="4"/>
  <c r="O2384" i="4"/>
  <c r="O2385" i="4"/>
  <c r="O2386" i="4"/>
  <c r="O2387" i="4"/>
  <c r="O2388" i="4"/>
  <c r="O2389" i="4"/>
  <c r="O2390" i="4"/>
  <c r="O2391" i="4"/>
  <c r="O2392" i="4"/>
  <c r="O2393" i="4"/>
  <c r="O2394" i="4"/>
  <c r="O2395" i="4"/>
  <c r="O2396" i="4"/>
  <c r="O2397" i="4"/>
  <c r="O2398" i="4"/>
  <c r="O2399" i="4"/>
  <c r="O2400" i="4"/>
  <c r="O2401" i="4"/>
  <c r="O2402" i="4"/>
  <c r="O2403" i="4"/>
  <c r="O2404" i="4"/>
  <c r="O2405" i="4"/>
  <c r="O2406" i="4"/>
  <c r="O2407" i="4"/>
  <c r="O2408" i="4"/>
  <c r="O2409" i="4"/>
  <c r="O2410" i="4"/>
  <c r="O2411" i="4"/>
  <c r="O2412" i="4"/>
  <c r="O2413" i="4"/>
  <c r="O2414" i="4"/>
  <c r="O2415" i="4"/>
  <c r="O2416" i="4"/>
  <c r="O2417" i="4"/>
  <c r="O2418" i="4"/>
  <c r="O2419" i="4"/>
  <c r="O2420" i="4"/>
  <c r="O2421" i="4"/>
  <c r="O2422" i="4"/>
  <c r="O2423" i="4"/>
  <c r="O2424" i="4"/>
  <c r="O2425" i="4"/>
  <c r="O2426" i="4"/>
  <c r="O2427" i="4"/>
  <c r="O2428" i="4"/>
  <c r="O2429" i="4"/>
  <c r="O2430" i="4"/>
  <c r="O2431" i="4"/>
  <c r="O2432" i="4"/>
  <c r="O2433" i="4"/>
  <c r="O2434" i="4"/>
  <c r="O2435" i="4"/>
  <c r="O2436" i="4"/>
  <c r="O2437" i="4"/>
  <c r="O2438" i="4"/>
  <c r="O2439" i="4"/>
  <c r="O2440" i="4"/>
  <c r="O2441" i="4"/>
  <c r="O2442" i="4"/>
  <c r="O2443" i="4"/>
  <c r="O2444" i="4"/>
  <c r="O2445" i="4"/>
  <c r="O2446" i="4"/>
  <c r="O2447" i="4"/>
  <c r="O2448" i="4"/>
  <c r="O2449" i="4"/>
  <c r="O2450" i="4"/>
  <c r="O2451" i="4"/>
  <c r="O2452" i="4"/>
  <c r="O2453" i="4"/>
  <c r="O2454" i="4"/>
  <c r="O2455" i="4"/>
  <c r="O2456" i="4"/>
  <c r="O2457" i="4"/>
  <c r="O2458" i="4"/>
  <c r="O2459" i="4"/>
  <c r="O2460" i="4"/>
  <c r="O2461" i="4"/>
  <c r="O2462" i="4"/>
  <c r="O2463" i="4"/>
  <c r="O2464" i="4"/>
  <c r="O2465" i="4"/>
  <c r="O2466" i="4"/>
  <c r="O2467" i="4"/>
  <c r="O2468" i="4"/>
  <c r="O2469" i="4"/>
  <c r="O2470" i="4"/>
  <c r="O2471" i="4"/>
  <c r="O2472" i="4"/>
  <c r="O2473" i="4"/>
  <c r="O2474" i="4"/>
  <c r="O2475" i="4"/>
  <c r="O2476" i="4"/>
  <c r="O2477" i="4"/>
  <c r="O2478" i="4"/>
  <c r="O2479" i="4"/>
  <c r="O2480" i="4"/>
  <c r="O2481" i="4"/>
  <c r="O2482" i="4"/>
  <c r="O2483" i="4"/>
  <c r="O2484" i="4"/>
  <c r="O2485" i="4"/>
  <c r="O2486" i="4"/>
  <c r="O2487" i="4"/>
  <c r="O2488" i="4"/>
  <c r="O2489" i="4"/>
  <c r="O2490" i="4"/>
  <c r="O2491" i="4"/>
  <c r="O2492" i="4"/>
  <c r="O2493" i="4"/>
  <c r="O2494" i="4"/>
  <c r="O2495" i="4"/>
  <c r="O2496" i="4"/>
  <c r="O2497" i="4"/>
  <c r="O2498" i="4"/>
  <c r="O2499" i="4"/>
  <c r="O2500" i="4"/>
  <c r="O2501" i="4"/>
  <c r="O2502" i="4"/>
  <c r="O2503" i="4"/>
  <c r="O2504" i="4"/>
  <c r="O2505" i="4"/>
  <c r="O2506" i="4"/>
  <c r="O2507" i="4"/>
  <c r="O2508" i="4"/>
  <c r="O2509" i="4"/>
  <c r="O2510" i="4"/>
  <c r="O2511" i="4"/>
  <c r="O2512" i="4"/>
  <c r="O2513" i="4"/>
  <c r="O2514" i="4"/>
  <c r="O2515" i="4"/>
  <c r="O2516" i="4"/>
  <c r="O2517" i="4"/>
  <c r="O2518" i="4"/>
  <c r="O2519" i="4"/>
  <c r="O2520" i="4"/>
  <c r="O2521" i="4"/>
  <c r="O2522" i="4"/>
  <c r="O2523" i="4"/>
  <c r="O2524" i="4"/>
  <c r="O2525" i="4"/>
  <c r="O2526" i="4"/>
  <c r="O2527" i="4"/>
  <c r="O2528" i="4"/>
  <c r="O2529" i="4"/>
  <c r="O2530" i="4"/>
  <c r="O2531" i="4"/>
  <c r="O2532" i="4"/>
  <c r="O2533" i="4"/>
  <c r="O2534" i="4"/>
  <c r="O2535" i="4"/>
  <c r="O2536" i="4"/>
  <c r="O2537" i="4"/>
  <c r="O2538" i="4"/>
  <c r="O2539" i="4"/>
  <c r="O2540" i="4"/>
  <c r="O2541" i="4"/>
  <c r="O2542" i="4"/>
  <c r="O2543" i="4"/>
  <c r="O2544" i="4"/>
  <c r="O2545" i="4"/>
  <c r="O2546" i="4"/>
  <c r="O2547" i="4"/>
  <c r="O2548" i="4"/>
  <c r="O2549" i="4"/>
  <c r="O2550" i="4"/>
  <c r="O2551" i="4"/>
  <c r="O2552" i="4"/>
  <c r="O2553" i="4"/>
  <c r="O2554" i="4"/>
  <c r="O2555" i="4"/>
  <c r="O2556" i="4"/>
  <c r="O2557" i="4"/>
  <c r="O2558" i="4"/>
  <c r="O2559" i="4"/>
  <c r="O2560" i="4"/>
  <c r="O2561" i="4"/>
  <c r="O2562" i="4"/>
  <c r="O2563" i="4"/>
  <c r="O2564" i="4"/>
  <c r="O2565" i="4"/>
  <c r="O2566" i="4"/>
  <c r="O2567" i="4"/>
  <c r="O2568" i="4"/>
  <c r="O2569" i="4"/>
  <c r="O2570" i="4"/>
  <c r="O2571" i="4"/>
  <c r="O2572" i="4"/>
  <c r="O2573" i="4"/>
  <c r="O2574" i="4"/>
  <c r="O2575" i="4"/>
  <c r="O2576" i="4"/>
  <c r="O2577" i="4"/>
  <c r="O2578" i="4"/>
  <c r="O2579" i="4"/>
  <c r="O2580" i="4"/>
  <c r="O2581" i="4"/>
  <c r="O2582" i="4"/>
  <c r="O2583" i="4"/>
  <c r="O2584" i="4"/>
  <c r="O2585" i="4"/>
  <c r="O2586" i="4"/>
  <c r="O2587" i="4"/>
  <c r="O2588" i="4"/>
  <c r="O2589" i="4"/>
  <c r="O2590" i="4"/>
  <c r="O2591" i="4"/>
  <c r="O2592" i="4"/>
  <c r="O2593" i="4"/>
  <c r="O2594" i="4"/>
  <c r="O2595" i="4"/>
  <c r="O2596" i="4"/>
  <c r="O2597" i="4"/>
  <c r="O2598" i="4"/>
  <c r="O2599" i="4"/>
  <c r="O2600" i="4"/>
  <c r="O2601" i="4"/>
  <c r="O2602" i="4"/>
  <c r="O2603" i="4"/>
  <c r="O2604" i="4"/>
  <c r="O2605" i="4"/>
  <c r="O2606" i="4"/>
  <c r="O2607" i="4"/>
  <c r="O2608" i="4"/>
  <c r="O2609" i="4"/>
  <c r="O2610" i="4"/>
  <c r="O2611" i="4"/>
  <c r="O2612" i="4"/>
  <c r="O2613" i="4"/>
  <c r="O2614" i="4"/>
  <c r="O2615" i="4"/>
  <c r="O2616" i="4"/>
  <c r="O2617" i="4"/>
  <c r="O2618" i="4"/>
  <c r="O2619" i="4"/>
  <c r="O2620" i="4"/>
  <c r="O2621" i="4"/>
  <c r="O2622" i="4"/>
  <c r="O2623" i="4"/>
  <c r="O2624" i="4"/>
  <c r="O2625" i="4"/>
  <c r="O2626" i="4"/>
  <c r="O2627" i="4"/>
  <c r="O2628" i="4"/>
  <c r="O2629" i="4"/>
  <c r="O2630" i="4"/>
  <c r="O2631" i="4"/>
  <c r="O2632" i="4"/>
  <c r="O2633" i="4"/>
  <c r="O2634" i="4"/>
  <c r="O2635" i="4"/>
  <c r="O2636" i="4"/>
  <c r="O2637" i="4"/>
  <c r="O2638" i="4"/>
  <c r="O2639" i="4"/>
  <c r="O2640" i="4"/>
  <c r="O2641" i="4"/>
  <c r="O2642" i="4"/>
  <c r="O2643" i="4"/>
  <c r="O2644" i="4"/>
  <c r="O2645" i="4"/>
  <c r="O2646" i="4"/>
  <c r="O2647" i="4"/>
  <c r="O2648" i="4"/>
  <c r="O2649" i="4"/>
  <c r="O2650" i="4"/>
  <c r="O2651" i="4"/>
  <c r="O2652" i="4"/>
  <c r="O2653" i="4"/>
  <c r="O2654" i="4"/>
  <c r="O2655" i="4"/>
  <c r="O2656" i="4"/>
  <c r="O2657" i="4"/>
  <c r="O2658" i="4"/>
  <c r="O2659" i="4"/>
  <c r="O2660" i="4"/>
  <c r="O2661" i="4"/>
  <c r="O2662" i="4"/>
  <c r="O2663" i="4"/>
  <c r="O2664" i="4"/>
  <c r="O2665" i="4"/>
  <c r="O2666" i="4"/>
  <c r="O2667" i="4"/>
  <c r="O2668" i="4"/>
  <c r="O2669" i="4"/>
  <c r="O2670" i="4"/>
  <c r="O2671" i="4"/>
  <c r="O2672" i="4"/>
  <c r="O2673" i="4"/>
  <c r="O2674" i="4"/>
  <c r="O2675" i="4"/>
  <c r="O2676" i="4"/>
  <c r="O2677" i="4"/>
  <c r="O2678" i="4"/>
  <c r="O2679" i="4"/>
  <c r="O2680" i="4"/>
  <c r="O2681" i="4"/>
  <c r="O2682" i="4"/>
  <c r="O2683" i="4"/>
  <c r="O2684" i="4"/>
  <c r="O2685" i="4"/>
  <c r="O2686" i="4"/>
  <c r="O2687" i="4"/>
  <c r="O2688" i="4"/>
  <c r="O2689" i="4"/>
  <c r="O2690" i="4"/>
  <c r="O2691" i="4"/>
  <c r="O2692" i="4"/>
  <c r="O2693" i="4"/>
  <c r="O2694" i="4"/>
  <c r="O2695" i="4"/>
  <c r="O2696" i="4"/>
  <c r="O2697" i="4"/>
  <c r="O2698" i="4"/>
  <c r="O2699" i="4"/>
  <c r="O2700" i="4"/>
  <c r="O2701" i="4"/>
  <c r="O2702" i="4"/>
  <c r="O2703" i="4"/>
  <c r="O2704" i="4"/>
  <c r="O2705" i="4"/>
  <c r="O2706" i="4"/>
  <c r="O2707" i="4"/>
  <c r="O2708" i="4"/>
  <c r="O2709" i="4"/>
  <c r="O2710" i="4"/>
  <c r="O2711" i="4"/>
  <c r="O2712" i="4"/>
  <c r="O2713" i="4"/>
  <c r="O2714" i="4"/>
  <c r="O2715" i="4"/>
  <c r="O2716" i="4"/>
  <c r="O2717" i="4"/>
  <c r="O2718" i="4"/>
  <c r="O2719" i="4"/>
  <c r="O2720" i="4"/>
  <c r="O2721" i="4"/>
  <c r="O2722" i="4"/>
  <c r="O2723" i="4"/>
  <c r="O2724" i="4"/>
  <c r="O2725" i="4"/>
  <c r="O2726" i="4"/>
  <c r="O2727" i="4"/>
  <c r="O2728" i="4"/>
  <c r="O2729" i="4"/>
  <c r="O2730" i="4"/>
  <c r="O2731" i="4"/>
  <c r="O2732" i="4"/>
  <c r="O2733" i="4"/>
  <c r="O2734" i="4"/>
  <c r="O2735" i="4"/>
  <c r="O2736" i="4"/>
  <c r="O2737" i="4"/>
  <c r="O2738" i="4"/>
  <c r="O2739" i="4"/>
  <c r="O2740" i="4"/>
  <c r="O2741" i="4"/>
  <c r="O2742" i="4"/>
  <c r="O2743" i="4"/>
  <c r="O2744" i="4"/>
  <c r="O2745" i="4"/>
  <c r="O2746" i="4"/>
  <c r="O2747" i="4"/>
  <c r="O2748" i="4"/>
  <c r="O2749" i="4"/>
  <c r="O2750" i="4"/>
  <c r="O2751" i="4"/>
  <c r="O2752" i="4"/>
  <c r="O2753" i="4"/>
  <c r="O2754" i="4"/>
  <c r="O2755" i="4"/>
  <c r="O2756" i="4"/>
  <c r="O2757" i="4"/>
  <c r="O2758" i="4"/>
  <c r="O2759" i="4"/>
  <c r="O2760" i="4"/>
  <c r="O2761" i="4"/>
  <c r="O2762" i="4"/>
  <c r="O2763" i="4"/>
  <c r="O2764" i="4"/>
  <c r="O2765" i="4"/>
  <c r="O2766" i="4"/>
  <c r="O2767" i="4"/>
  <c r="O2768" i="4"/>
  <c r="O2769" i="4"/>
  <c r="O2770" i="4"/>
  <c r="O2771" i="4"/>
  <c r="O2772" i="4"/>
  <c r="O2773" i="4"/>
  <c r="O2774" i="4"/>
  <c r="O2775" i="4"/>
  <c r="O2776" i="4"/>
  <c r="O2777" i="4"/>
  <c r="O2778" i="4"/>
  <c r="O2779" i="4"/>
  <c r="O2780" i="4"/>
  <c r="O2781" i="4"/>
  <c r="O2782" i="4"/>
  <c r="O2783" i="4"/>
  <c r="O2784" i="4"/>
  <c r="O2785" i="4"/>
  <c r="O2786" i="4"/>
  <c r="O2787" i="4"/>
  <c r="O2788" i="4"/>
  <c r="O2789" i="4"/>
  <c r="O2790" i="4"/>
  <c r="O2791" i="4"/>
  <c r="O2792" i="4"/>
  <c r="O2793" i="4"/>
  <c r="O2794" i="4"/>
  <c r="O2795" i="4"/>
  <c r="O2796" i="4"/>
  <c r="O2797" i="4"/>
  <c r="O2798" i="4"/>
  <c r="O2799" i="4"/>
  <c r="O2800" i="4"/>
  <c r="O2801" i="4"/>
  <c r="O2802" i="4"/>
  <c r="O2803" i="4"/>
  <c r="O2804" i="4"/>
  <c r="O2805" i="4"/>
  <c r="O2806" i="4"/>
  <c r="O2807" i="4"/>
  <c r="O2808" i="4"/>
  <c r="O2809" i="4"/>
  <c r="O2810" i="4"/>
  <c r="O2811" i="4"/>
  <c r="O2812" i="4"/>
  <c r="O2813" i="4"/>
  <c r="O2814" i="4"/>
  <c r="O2815" i="4"/>
  <c r="O2816" i="4"/>
  <c r="O2817" i="4"/>
  <c r="O2818" i="4"/>
  <c r="O2819" i="4"/>
  <c r="O2820" i="4"/>
  <c r="O2821" i="4"/>
  <c r="O2822" i="4"/>
  <c r="O2823" i="4"/>
  <c r="O2824" i="4"/>
  <c r="O2825" i="4"/>
  <c r="O2826" i="4"/>
  <c r="O2827" i="4"/>
  <c r="O2828" i="4"/>
  <c r="O2829" i="4"/>
  <c r="O2830" i="4"/>
  <c r="O2831" i="4"/>
  <c r="O2832" i="4"/>
  <c r="O2833" i="4"/>
  <c r="O2834" i="4"/>
  <c r="O2835" i="4"/>
  <c r="O2836" i="4"/>
  <c r="O2837" i="4"/>
  <c r="O2838" i="4"/>
  <c r="O2839" i="4"/>
  <c r="O2840" i="4"/>
  <c r="O2841" i="4"/>
  <c r="O2842" i="4"/>
  <c r="O2843" i="4"/>
  <c r="O2844" i="4"/>
  <c r="O2845" i="4"/>
  <c r="O2846" i="4"/>
  <c r="O2847" i="4"/>
  <c r="O2848" i="4"/>
  <c r="O2849" i="4"/>
  <c r="O2850" i="4"/>
  <c r="O2851" i="4"/>
  <c r="O2852" i="4"/>
  <c r="O2853" i="4"/>
  <c r="O2854" i="4"/>
  <c r="O2855" i="4"/>
  <c r="O2856" i="4"/>
  <c r="O2857" i="4"/>
  <c r="O2858" i="4"/>
  <c r="O2859" i="4"/>
  <c r="O2860" i="4"/>
  <c r="O2861" i="4"/>
  <c r="O2862" i="4"/>
  <c r="O2863" i="4"/>
  <c r="O2864" i="4"/>
  <c r="O2865" i="4"/>
  <c r="O2866" i="4"/>
  <c r="O2867" i="4"/>
  <c r="O2868" i="4"/>
  <c r="O2869" i="4"/>
  <c r="O2870" i="4"/>
  <c r="O2871" i="4"/>
  <c r="O2872" i="4"/>
  <c r="O2873" i="4"/>
  <c r="O2874" i="4"/>
  <c r="O2875" i="4"/>
  <c r="O2876" i="4"/>
  <c r="O2877" i="4"/>
  <c r="O2878" i="4"/>
  <c r="O2879" i="4"/>
  <c r="O2880" i="4"/>
  <c r="O2881" i="4"/>
  <c r="O2882" i="4"/>
  <c r="O2883" i="4"/>
  <c r="O2884" i="4"/>
  <c r="O2885" i="4"/>
  <c r="O2886" i="4"/>
  <c r="O2887" i="4"/>
  <c r="O2888" i="4"/>
  <c r="O2889" i="4"/>
  <c r="O2890" i="4"/>
  <c r="O2891" i="4"/>
  <c r="O2892" i="4"/>
  <c r="O2893" i="4"/>
  <c r="O2894" i="4"/>
  <c r="O2895" i="4"/>
  <c r="O2896" i="4"/>
  <c r="O2897" i="4"/>
  <c r="O2898" i="4"/>
  <c r="O2899" i="4"/>
  <c r="O2900" i="4"/>
  <c r="O2901" i="4"/>
  <c r="O2902" i="4"/>
  <c r="O2903" i="4"/>
  <c r="O2904" i="4"/>
  <c r="O2905" i="4"/>
  <c r="O2906" i="4"/>
  <c r="O2907" i="4"/>
  <c r="O2908" i="4"/>
  <c r="O2909" i="4"/>
  <c r="O2910" i="4"/>
  <c r="O2911" i="4"/>
  <c r="O2912" i="4"/>
  <c r="O2913" i="4"/>
  <c r="O2914" i="4"/>
  <c r="O2915" i="4"/>
  <c r="O2916" i="4"/>
  <c r="O2917" i="4"/>
  <c r="O2918" i="4"/>
  <c r="O2919" i="4"/>
  <c r="O2920" i="4"/>
  <c r="O2921" i="4"/>
  <c r="O2922" i="4"/>
  <c r="O2923" i="4"/>
  <c r="O2924" i="4"/>
  <c r="O2925" i="4"/>
  <c r="O2926" i="4"/>
  <c r="O2927" i="4"/>
  <c r="O2928" i="4"/>
  <c r="O2929" i="4"/>
  <c r="O2930" i="4"/>
  <c r="O2931" i="4"/>
  <c r="O2932" i="4"/>
  <c r="O2933" i="4"/>
  <c r="O2934" i="4"/>
  <c r="O2935" i="4"/>
  <c r="O2936" i="4"/>
  <c r="O2937" i="4"/>
  <c r="O2938" i="4"/>
  <c r="O2939" i="4"/>
  <c r="O2940" i="4"/>
  <c r="O2941" i="4"/>
  <c r="O2942" i="4"/>
  <c r="O2943" i="4"/>
  <c r="O2944" i="4"/>
  <c r="O2945" i="4"/>
  <c r="O2946" i="4"/>
  <c r="O2947" i="4"/>
  <c r="O2948" i="4"/>
  <c r="O2949" i="4"/>
  <c r="O2950" i="4"/>
  <c r="O2951" i="4"/>
  <c r="O2952" i="4"/>
  <c r="O2953" i="4"/>
  <c r="O2954" i="4"/>
  <c r="O2955" i="4"/>
  <c r="O2956" i="4"/>
  <c r="O2957" i="4"/>
  <c r="O2958" i="4"/>
  <c r="O2959" i="4"/>
  <c r="O2960" i="4"/>
  <c r="O2961" i="4"/>
  <c r="O2962" i="4"/>
  <c r="O2963" i="4"/>
  <c r="O2964" i="4"/>
  <c r="O2965" i="4"/>
  <c r="O2966" i="4"/>
  <c r="O2967" i="4"/>
  <c r="O2968" i="4"/>
  <c r="O2969" i="4"/>
  <c r="O2970" i="4"/>
  <c r="O2971" i="4"/>
  <c r="O2972" i="4"/>
  <c r="O2973" i="4"/>
  <c r="O2974" i="4"/>
  <c r="O2975" i="4"/>
  <c r="O2976" i="4"/>
  <c r="O2977" i="4"/>
  <c r="O2978" i="4"/>
  <c r="O2979" i="4"/>
  <c r="O2980" i="4"/>
  <c r="O2981" i="4"/>
  <c r="O2982" i="4"/>
  <c r="O2983" i="4"/>
  <c r="O2984" i="4"/>
  <c r="O2985" i="4"/>
  <c r="O2986" i="4"/>
  <c r="O2987" i="4"/>
  <c r="O2988" i="4"/>
  <c r="O2989" i="4"/>
  <c r="O2990" i="4"/>
  <c r="O2991" i="4"/>
  <c r="O2992" i="4"/>
  <c r="O2993" i="4"/>
  <c r="O2994" i="4"/>
  <c r="O2995" i="4"/>
  <c r="O2996" i="4"/>
  <c r="O2997" i="4"/>
  <c r="O2998" i="4"/>
  <c r="O2999" i="4"/>
  <c r="O3000" i="4"/>
  <c r="O3001" i="4"/>
  <c r="O3002" i="4"/>
  <c r="O3003" i="4"/>
  <c r="O3004" i="4"/>
  <c r="O3005" i="4"/>
  <c r="O3006" i="4"/>
  <c r="O3007" i="4"/>
  <c r="O3008" i="4"/>
  <c r="O3009" i="4"/>
  <c r="O3010" i="4"/>
  <c r="O3011" i="4"/>
  <c r="O3012" i="4"/>
  <c r="O3013" i="4"/>
  <c r="O3014" i="4"/>
  <c r="O3015" i="4"/>
  <c r="O3016" i="4"/>
  <c r="O3017" i="4"/>
  <c r="O3018" i="4"/>
  <c r="O3019" i="4"/>
  <c r="O3020" i="4"/>
  <c r="O3021" i="4"/>
  <c r="O3022" i="4"/>
  <c r="O3023" i="4"/>
  <c r="O3024" i="4"/>
  <c r="O3025" i="4"/>
  <c r="O3026" i="4"/>
  <c r="O3027" i="4"/>
  <c r="O3028" i="4"/>
  <c r="O3029" i="4"/>
  <c r="O3030" i="4"/>
  <c r="O3031" i="4"/>
  <c r="O3032" i="4"/>
  <c r="O3033" i="4"/>
  <c r="O3034" i="4"/>
  <c r="O3035" i="4"/>
  <c r="O3036" i="4"/>
  <c r="O3037" i="4"/>
  <c r="O3038" i="4"/>
  <c r="O3039" i="4"/>
  <c r="O3040" i="4"/>
  <c r="O3041" i="4"/>
  <c r="O3042" i="4"/>
  <c r="O3043" i="4"/>
  <c r="O3044" i="4"/>
  <c r="O3045" i="4"/>
  <c r="O3046" i="4"/>
  <c r="O3047" i="4"/>
  <c r="O3048" i="4"/>
  <c r="O3049" i="4"/>
  <c r="O3050" i="4"/>
  <c r="O3051" i="4"/>
  <c r="O3052" i="4"/>
  <c r="O3053" i="4"/>
  <c r="O3054" i="4"/>
  <c r="O3055" i="4"/>
  <c r="O3056" i="4"/>
  <c r="O3057" i="4"/>
  <c r="O3058" i="4"/>
  <c r="O3059" i="4"/>
  <c r="O3060" i="4"/>
  <c r="O3061" i="4"/>
  <c r="O3062" i="4"/>
  <c r="O3063" i="4"/>
  <c r="O3064" i="4"/>
  <c r="O3065" i="4"/>
  <c r="O3066" i="4"/>
  <c r="O3067" i="4"/>
  <c r="O3068" i="4"/>
  <c r="O3069" i="4"/>
  <c r="O3070" i="4"/>
  <c r="O3071" i="4"/>
  <c r="O3072" i="4"/>
  <c r="O3073" i="4"/>
  <c r="O3074" i="4"/>
  <c r="O3075" i="4"/>
  <c r="O3076" i="4"/>
  <c r="O3077" i="4"/>
  <c r="O3078" i="4"/>
  <c r="O3079" i="4"/>
  <c r="O3080" i="4"/>
  <c r="O3081" i="4"/>
  <c r="O3082" i="4"/>
  <c r="O3083" i="4"/>
  <c r="O3084" i="4"/>
  <c r="O3085" i="4"/>
  <c r="O3086" i="4"/>
  <c r="O3087" i="4"/>
  <c r="O3088" i="4"/>
  <c r="O3089" i="4"/>
  <c r="O3090" i="4"/>
  <c r="O3091" i="4"/>
  <c r="O3092" i="4"/>
  <c r="O3093" i="4"/>
  <c r="O3094" i="4"/>
  <c r="O3095" i="4"/>
  <c r="O3096" i="4"/>
  <c r="O3097" i="4"/>
  <c r="O3098" i="4"/>
  <c r="O3099" i="4"/>
  <c r="O3100" i="4"/>
  <c r="O3101" i="4"/>
  <c r="O3102" i="4"/>
  <c r="O3103" i="4"/>
  <c r="O3104" i="4"/>
  <c r="O3105" i="4"/>
  <c r="O3106" i="4"/>
  <c r="O3107" i="4"/>
  <c r="O3108" i="4"/>
  <c r="O3109" i="4"/>
  <c r="O3110" i="4"/>
  <c r="O3111" i="4"/>
  <c r="O3112" i="4"/>
  <c r="O3113" i="4"/>
  <c r="O3114" i="4"/>
  <c r="O3115" i="4"/>
  <c r="O3116" i="4"/>
  <c r="O3117" i="4"/>
  <c r="O3118" i="4"/>
  <c r="O3119" i="4"/>
  <c r="O3120" i="4"/>
  <c r="O3121" i="4"/>
  <c r="O3122" i="4"/>
  <c r="O3123" i="4"/>
  <c r="O3124" i="4"/>
  <c r="O3125" i="4"/>
  <c r="O3126" i="4"/>
  <c r="O3127" i="4"/>
  <c r="O3128" i="4"/>
  <c r="O3129" i="4"/>
  <c r="O3130" i="4"/>
  <c r="O3131" i="4"/>
  <c r="O3132" i="4"/>
  <c r="O3133" i="4"/>
  <c r="O3134" i="4"/>
  <c r="O3135" i="4"/>
  <c r="O3136" i="4"/>
  <c r="O3137" i="4"/>
  <c r="O3138" i="4"/>
  <c r="O3139" i="4"/>
  <c r="O3140" i="4"/>
  <c r="O3141" i="4"/>
  <c r="O3142" i="4"/>
  <c r="O3143" i="4"/>
  <c r="O3144" i="4"/>
  <c r="O3145" i="4"/>
  <c r="O3146" i="4"/>
  <c r="O3147" i="4"/>
  <c r="O3148" i="4"/>
  <c r="O3149" i="4"/>
  <c r="O3150" i="4"/>
  <c r="O3151" i="4"/>
  <c r="O3152" i="4"/>
  <c r="O3153" i="4"/>
  <c r="O3154" i="4"/>
  <c r="O3155" i="4"/>
  <c r="O3156" i="4"/>
  <c r="O3157" i="4"/>
  <c r="O3158" i="4"/>
  <c r="O3159" i="4"/>
  <c r="O3160" i="4"/>
  <c r="O3161" i="4"/>
  <c r="O3162" i="4"/>
  <c r="O3163" i="4"/>
  <c r="O3164" i="4"/>
  <c r="O3165" i="4"/>
  <c r="O3166" i="4"/>
  <c r="O3167" i="4"/>
  <c r="O3168" i="4"/>
  <c r="O3169" i="4"/>
  <c r="O3170" i="4"/>
  <c r="O3171" i="4"/>
  <c r="O3172" i="4"/>
  <c r="O3173" i="4"/>
  <c r="O3174" i="4"/>
  <c r="O3175" i="4"/>
  <c r="O3176" i="4"/>
  <c r="O3177" i="4"/>
  <c r="O3178" i="4"/>
  <c r="O3179" i="4"/>
  <c r="O3180" i="4"/>
  <c r="O3181" i="4"/>
  <c r="O3182" i="4"/>
  <c r="O3183" i="4"/>
  <c r="O3184" i="4"/>
  <c r="O3185" i="4"/>
  <c r="O3186" i="4"/>
  <c r="O3187" i="4"/>
  <c r="O3188" i="4"/>
  <c r="O3189" i="4"/>
  <c r="O3190" i="4"/>
  <c r="O3191" i="4"/>
  <c r="O3192" i="4"/>
  <c r="O3193" i="4"/>
  <c r="O3194" i="4"/>
  <c r="O3195" i="4"/>
  <c r="O3196" i="4"/>
  <c r="O3197" i="4"/>
  <c r="O3198" i="4"/>
  <c r="O3199" i="4"/>
  <c r="O3200" i="4"/>
  <c r="O3201" i="4"/>
  <c r="O3202" i="4"/>
  <c r="O3203" i="4"/>
  <c r="O3204" i="4"/>
  <c r="O3205" i="4"/>
  <c r="O3206" i="4"/>
  <c r="O3207" i="4"/>
  <c r="O3208" i="4"/>
  <c r="O3209" i="4"/>
  <c r="O3210" i="4"/>
  <c r="O3211" i="4"/>
  <c r="O3212" i="4"/>
  <c r="O3213" i="4"/>
  <c r="O3214" i="4"/>
  <c r="O3215" i="4"/>
  <c r="O3216" i="4"/>
  <c r="O3217" i="4"/>
  <c r="O3218" i="4"/>
  <c r="O3219" i="4"/>
  <c r="O3220" i="4"/>
  <c r="O3221" i="4"/>
  <c r="O3222" i="4"/>
  <c r="O3223" i="4"/>
  <c r="O3224" i="4"/>
  <c r="O3225" i="4"/>
  <c r="O3226" i="4"/>
  <c r="O3227" i="4"/>
  <c r="O3228" i="4"/>
  <c r="O3229" i="4"/>
  <c r="O3230" i="4"/>
  <c r="O3231" i="4"/>
  <c r="O3232" i="4"/>
  <c r="O3233" i="4"/>
  <c r="O3234" i="4"/>
  <c r="O3235" i="4"/>
  <c r="O3236" i="4"/>
  <c r="O3237" i="4"/>
  <c r="O3238" i="4"/>
  <c r="O3239" i="4"/>
  <c r="O3240" i="4"/>
  <c r="O3241" i="4"/>
  <c r="O3242" i="4"/>
  <c r="O3243" i="4"/>
  <c r="O3244" i="4"/>
  <c r="O3245" i="4"/>
  <c r="O3246" i="4"/>
  <c r="O3247" i="4"/>
  <c r="O3248" i="4"/>
  <c r="O3249" i="4"/>
  <c r="O3250" i="4"/>
  <c r="O3251" i="4"/>
  <c r="O3252" i="4"/>
  <c r="O3253" i="4"/>
  <c r="O3254" i="4"/>
  <c r="O3255" i="4"/>
  <c r="O3256" i="4"/>
  <c r="O3257" i="4"/>
  <c r="O3258" i="4"/>
  <c r="O3259" i="4"/>
  <c r="O3260" i="4"/>
  <c r="O3261" i="4"/>
  <c r="O3262" i="4"/>
  <c r="O3263" i="4"/>
  <c r="O3264" i="4"/>
  <c r="O3265" i="4"/>
  <c r="O3266" i="4"/>
  <c r="O3267" i="4"/>
  <c r="O3268" i="4"/>
  <c r="O3269" i="4"/>
  <c r="O3270" i="4"/>
  <c r="O3271" i="4"/>
  <c r="O3272" i="4"/>
  <c r="O3273" i="4"/>
  <c r="O3274" i="4"/>
  <c r="O3275" i="4"/>
  <c r="O3276" i="4"/>
  <c r="O3277" i="4"/>
  <c r="O3278" i="4"/>
  <c r="O3279" i="4"/>
  <c r="O3280" i="4"/>
  <c r="O3281" i="4"/>
  <c r="O3282" i="4"/>
  <c r="O3283" i="4"/>
  <c r="O3284" i="4"/>
  <c r="O3285" i="4"/>
  <c r="O3286" i="4"/>
  <c r="O3287" i="4"/>
  <c r="O3288" i="4"/>
  <c r="O3289" i="4"/>
  <c r="O3290" i="4"/>
  <c r="O3291" i="4"/>
  <c r="O3292" i="4"/>
  <c r="O3293" i="4"/>
  <c r="O3294" i="4"/>
  <c r="O3295" i="4"/>
  <c r="O3296" i="4"/>
  <c r="O3297" i="4"/>
  <c r="O3298" i="4"/>
  <c r="O3299" i="4"/>
  <c r="O3300" i="4"/>
  <c r="O3301" i="4"/>
  <c r="O3302" i="4"/>
  <c r="O3303" i="4"/>
  <c r="O3304" i="4"/>
  <c r="O3305" i="4"/>
  <c r="O3306" i="4"/>
  <c r="O3307" i="4"/>
  <c r="O3308" i="4"/>
  <c r="O3309" i="4"/>
  <c r="O3310" i="4"/>
  <c r="O3311" i="4"/>
  <c r="O3312" i="4"/>
  <c r="O3313" i="4"/>
  <c r="O3314" i="4"/>
  <c r="O3315" i="4"/>
  <c r="O3316" i="4"/>
  <c r="O3317" i="4"/>
  <c r="O3318" i="4"/>
  <c r="O3319" i="4"/>
  <c r="O3320" i="4"/>
  <c r="O3321" i="4"/>
  <c r="O3322" i="4"/>
  <c r="O3323" i="4"/>
  <c r="O3324" i="4"/>
  <c r="O3325" i="4"/>
  <c r="O3326" i="4"/>
  <c r="O3327" i="4"/>
  <c r="O3328" i="4"/>
  <c r="O3329" i="4"/>
  <c r="O3330" i="4"/>
  <c r="O3331" i="4"/>
  <c r="O3332" i="4"/>
  <c r="O3333" i="4"/>
  <c r="O3334" i="4"/>
  <c r="O3335" i="4"/>
  <c r="O3336" i="4"/>
  <c r="O3337" i="4"/>
  <c r="O3338" i="4"/>
  <c r="O3339" i="4"/>
  <c r="O3340" i="4"/>
  <c r="O3341" i="4"/>
  <c r="O3342" i="4"/>
  <c r="O3343" i="4"/>
  <c r="O3344" i="4"/>
  <c r="O3345" i="4"/>
  <c r="O3346" i="4"/>
  <c r="O3347" i="4"/>
  <c r="O3348" i="4"/>
  <c r="O3349" i="4"/>
  <c r="O3350" i="4"/>
  <c r="O3351" i="4"/>
  <c r="O3352" i="4"/>
  <c r="O3353" i="4"/>
  <c r="O3354" i="4"/>
  <c r="O3355" i="4"/>
  <c r="O3356" i="4"/>
  <c r="O3357" i="4"/>
  <c r="O3358" i="4"/>
  <c r="O3359" i="4"/>
  <c r="O3360" i="4"/>
  <c r="O3361" i="4"/>
  <c r="O3362" i="4"/>
  <c r="O3363" i="4"/>
  <c r="O3364" i="4"/>
  <c r="O3365" i="4"/>
  <c r="O3366" i="4"/>
  <c r="O3367" i="4"/>
  <c r="O3368" i="4"/>
  <c r="O3369" i="4"/>
  <c r="O3370" i="4"/>
  <c r="O3371" i="4"/>
  <c r="O3372" i="4"/>
  <c r="O3373" i="4"/>
  <c r="O3374" i="4"/>
  <c r="O3375" i="4"/>
  <c r="O3376" i="4"/>
  <c r="O3377" i="4"/>
  <c r="O3378" i="4"/>
  <c r="O3379" i="4"/>
  <c r="O3380" i="4"/>
  <c r="O3381" i="4"/>
  <c r="O3382" i="4"/>
  <c r="O3383" i="4"/>
  <c r="O3384" i="4"/>
  <c r="O3385" i="4"/>
  <c r="O3386" i="4"/>
  <c r="O3387" i="4"/>
  <c r="O3388" i="4"/>
  <c r="O3389" i="4"/>
  <c r="O3390" i="4"/>
  <c r="O3391" i="4"/>
  <c r="O3392" i="4"/>
  <c r="O3393" i="4"/>
  <c r="O3394" i="4"/>
  <c r="O3395" i="4"/>
  <c r="O3396" i="4"/>
  <c r="O3397" i="4"/>
  <c r="O3398" i="4"/>
  <c r="O3399" i="4"/>
  <c r="O3400" i="4"/>
  <c r="O3401" i="4"/>
  <c r="O3402" i="4"/>
  <c r="O3403" i="4"/>
  <c r="O3404" i="4"/>
  <c r="O3405" i="4"/>
  <c r="O3406" i="4"/>
  <c r="O3407" i="4"/>
  <c r="O3408" i="4"/>
  <c r="O3409" i="4"/>
  <c r="O3410" i="4"/>
  <c r="O3411" i="4"/>
  <c r="O3412" i="4"/>
  <c r="O3413" i="4"/>
  <c r="O3414" i="4"/>
  <c r="O3415" i="4"/>
  <c r="O3416" i="4"/>
  <c r="O3417" i="4"/>
  <c r="O3418" i="4"/>
  <c r="O3419" i="4"/>
  <c r="O3420" i="4"/>
  <c r="O3421" i="4"/>
  <c r="O3422" i="4"/>
  <c r="O3423" i="4"/>
  <c r="O3424" i="4"/>
  <c r="O3425" i="4"/>
  <c r="O3426" i="4"/>
  <c r="O3427" i="4"/>
  <c r="O3428" i="4"/>
  <c r="O3429" i="4"/>
  <c r="O3430" i="4"/>
  <c r="O3431" i="4"/>
  <c r="O3432" i="4"/>
  <c r="O3433" i="4"/>
  <c r="O3434" i="4"/>
  <c r="O3435" i="4"/>
  <c r="O3436" i="4"/>
  <c r="O3437" i="4"/>
  <c r="O3438" i="4"/>
  <c r="O3439" i="4"/>
  <c r="O3440" i="4"/>
  <c r="O3441" i="4"/>
  <c r="O3442" i="4"/>
  <c r="O3443" i="4"/>
  <c r="O3444" i="4"/>
  <c r="O3445" i="4"/>
  <c r="O3446" i="4"/>
  <c r="O3447" i="4"/>
  <c r="O3448" i="4"/>
  <c r="O3449" i="4"/>
  <c r="O3450" i="4"/>
  <c r="O3451" i="4"/>
  <c r="O3452" i="4"/>
  <c r="O3453" i="4"/>
  <c r="O3454" i="4"/>
  <c r="O3455" i="4"/>
  <c r="O3456" i="4"/>
  <c r="O3457" i="4"/>
  <c r="O3458" i="4"/>
  <c r="O3459" i="4"/>
  <c r="O3460" i="4"/>
  <c r="O3461" i="4"/>
  <c r="O3462" i="4"/>
  <c r="O3463" i="4"/>
  <c r="O3464" i="4"/>
  <c r="O3465" i="4"/>
  <c r="O3466" i="4"/>
  <c r="O3467" i="4"/>
  <c r="O3468" i="4"/>
  <c r="O3469" i="4"/>
  <c r="O3470" i="4"/>
  <c r="O3471" i="4"/>
  <c r="O3472" i="4"/>
  <c r="O3473" i="4"/>
  <c r="O3474" i="4"/>
  <c r="O3475" i="4"/>
  <c r="O3476" i="4"/>
  <c r="O3477" i="4"/>
  <c r="O3478" i="4"/>
  <c r="O3479" i="4"/>
  <c r="O3480" i="4"/>
  <c r="O3481" i="4"/>
  <c r="O3482" i="4"/>
  <c r="O3483" i="4"/>
  <c r="O3484" i="4"/>
  <c r="O3485" i="4"/>
  <c r="O3486" i="4"/>
  <c r="O3487" i="4"/>
  <c r="O3488" i="4"/>
  <c r="O3489" i="4"/>
  <c r="O3490" i="4"/>
  <c r="O3491" i="4"/>
  <c r="O3492" i="4"/>
  <c r="O3493" i="4"/>
  <c r="O3494" i="4"/>
  <c r="O3495" i="4"/>
  <c r="O3496" i="4"/>
  <c r="O3497" i="4"/>
  <c r="O3498" i="4"/>
  <c r="O3499" i="4"/>
  <c r="O3500" i="4"/>
  <c r="O3501" i="4"/>
  <c r="O3502" i="4"/>
  <c r="O3503" i="4"/>
  <c r="O3504" i="4"/>
  <c r="O3505" i="4"/>
  <c r="O3506" i="4"/>
  <c r="O3507" i="4"/>
  <c r="O3508" i="4"/>
  <c r="O3509" i="4"/>
  <c r="O3510" i="4"/>
  <c r="O3511" i="4"/>
  <c r="O3512" i="4"/>
  <c r="O3513" i="4"/>
  <c r="O3514" i="4"/>
  <c r="O3515" i="4"/>
  <c r="O3516" i="4"/>
  <c r="O3517" i="4"/>
  <c r="O3518" i="4"/>
  <c r="O3519" i="4"/>
  <c r="O3520" i="4"/>
  <c r="O3521" i="4"/>
  <c r="O3522" i="4"/>
  <c r="O3523" i="4"/>
  <c r="O3524" i="4"/>
  <c r="O3525" i="4"/>
  <c r="O3526" i="4"/>
  <c r="O3527" i="4"/>
  <c r="O3528" i="4"/>
  <c r="O3529" i="4"/>
  <c r="O3530" i="4"/>
  <c r="O3531" i="4"/>
  <c r="O3532" i="4"/>
  <c r="O3533" i="4"/>
  <c r="O3534" i="4"/>
  <c r="O3535" i="4"/>
  <c r="O3536" i="4"/>
  <c r="O3537" i="4"/>
  <c r="O3538" i="4"/>
  <c r="O3539" i="4"/>
  <c r="O3540" i="4"/>
  <c r="O3541" i="4"/>
  <c r="O3542" i="4"/>
  <c r="O3543" i="4"/>
  <c r="O3544" i="4"/>
  <c r="O3545" i="4"/>
  <c r="O3546" i="4"/>
  <c r="O3547" i="4"/>
  <c r="O3548" i="4"/>
  <c r="O3549" i="4"/>
  <c r="O3550" i="4"/>
  <c r="O3551" i="4"/>
  <c r="O3552" i="4"/>
  <c r="O3553" i="4"/>
  <c r="O3554" i="4"/>
  <c r="O3555" i="4"/>
  <c r="O3556" i="4"/>
  <c r="O3557" i="4"/>
  <c r="O3558" i="4"/>
  <c r="O3559" i="4"/>
  <c r="O3560" i="4"/>
  <c r="O3561" i="4"/>
  <c r="O3562" i="4"/>
  <c r="O3563" i="4"/>
  <c r="O3564" i="4"/>
  <c r="O3565" i="4"/>
  <c r="O3566" i="4"/>
  <c r="O3567" i="4"/>
  <c r="O3568" i="4"/>
  <c r="O3569" i="4"/>
  <c r="O3570" i="4"/>
  <c r="O3571" i="4"/>
  <c r="O3572" i="4"/>
  <c r="O3573" i="4"/>
  <c r="O3574" i="4"/>
  <c r="O3575" i="4"/>
  <c r="O3576" i="4"/>
  <c r="O3577" i="4"/>
  <c r="O3578" i="4"/>
  <c r="O3579" i="4"/>
  <c r="O3580" i="4"/>
  <c r="O3581" i="4"/>
  <c r="O3582" i="4"/>
  <c r="O3583" i="4"/>
  <c r="O3584" i="4"/>
  <c r="O3585" i="4"/>
  <c r="O3586" i="4"/>
  <c r="O3587" i="4"/>
  <c r="O3588" i="4"/>
  <c r="O3589" i="4"/>
  <c r="O3590" i="4"/>
  <c r="O3591" i="4"/>
  <c r="O3592" i="4"/>
  <c r="O3593" i="4"/>
  <c r="O3594" i="4"/>
  <c r="O3595" i="4"/>
  <c r="O3596" i="4"/>
  <c r="O3597" i="4"/>
  <c r="O3598" i="4"/>
  <c r="O3599" i="4"/>
  <c r="O3600" i="4"/>
  <c r="O3601" i="4"/>
  <c r="O3602" i="4"/>
  <c r="O3603" i="4"/>
  <c r="O3604" i="4"/>
  <c r="O3605" i="4"/>
  <c r="O3606" i="4"/>
  <c r="O3607" i="4"/>
  <c r="O3608" i="4"/>
  <c r="O3609" i="4"/>
  <c r="O3610" i="4"/>
  <c r="O3611" i="4"/>
  <c r="O3612" i="4"/>
  <c r="O3613" i="4"/>
  <c r="O3614" i="4"/>
  <c r="O3615" i="4"/>
  <c r="O3616" i="4"/>
  <c r="O3617" i="4"/>
  <c r="O3618" i="4"/>
  <c r="O3619" i="4"/>
  <c r="O3620" i="4"/>
  <c r="O3621" i="4"/>
  <c r="O3622" i="4"/>
  <c r="O3623" i="4"/>
  <c r="O3624" i="4"/>
  <c r="O3625" i="4"/>
  <c r="O3626" i="4"/>
  <c r="O3627" i="4"/>
  <c r="O3628" i="4"/>
  <c r="O3629" i="4"/>
  <c r="O3630" i="4"/>
  <c r="O3631" i="4"/>
  <c r="O3632" i="4"/>
  <c r="O3633" i="4"/>
  <c r="O3634" i="4"/>
  <c r="O3635" i="4"/>
  <c r="O3636" i="4"/>
  <c r="O3637" i="4"/>
  <c r="O3638" i="4"/>
  <c r="O3639" i="4"/>
  <c r="O3640" i="4"/>
  <c r="O3641" i="4"/>
  <c r="O3642" i="4"/>
  <c r="O3643" i="4"/>
  <c r="O3644" i="4"/>
  <c r="O3645" i="4"/>
  <c r="O3646" i="4"/>
  <c r="O3647" i="4"/>
  <c r="O3648" i="4"/>
  <c r="O3649" i="4"/>
  <c r="O3650" i="4"/>
  <c r="O3651" i="4"/>
  <c r="O3652" i="4"/>
  <c r="O3653" i="4"/>
  <c r="O3654" i="4"/>
  <c r="O3655" i="4"/>
  <c r="O3656" i="4"/>
  <c r="O3657" i="4"/>
  <c r="O3658" i="4"/>
  <c r="O3659" i="4"/>
  <c r="O3660" i="4"/>
  <c r="O3661" i="4"/>
  <c r="O3662" i="4"/>
  <c r="O3663" i="4"/>
  <c r="O3664" i="4"/>
  <c r="O3665" i="4"/>
  <c r="O3666" i="4"/>
  <c r="O3667" i="4"/>
  <c r="O3668" i="4"/>
  <c r="O3669" i="4"/>
  <c r="O3670" i="4"/>
  <c r="O3671" i="4"/>
  <c r="O3672" i="4"/>
  <c r="O3673" i="4"/>
  <c r="O3674" i="4"/>
  <c r="O3675" i="4"/>
  <c r="O3676" i="4"/>
  <c r="O3677" i="4"/>
  <c r="O3678" i="4"/>
  <c r="O3679" i="4"/>
  <c r="O3680" i="4"/>
  <c r="O3681" i="4"/>
  <c r="O3682" i="4"/>
  <c r="O3683" i="4"/>
  <c r="O3684" i="4"/>
  <c r="O3685" i="4"/>
  <c r="O3686" i="4"/>
  <c r="O3687" i="4"/>
  <c r="O3688" i="4"/>
  <c r="O3689" i="4"/>
  <c r="O3690" i="4"/>
  <c r="O3691" i="4"/>
  <c r="O3692" i="4"/>
  <c r="O3693" i="4"/>
  <c r="O3694" i="4"/>
  <c r="O3695" i="4"/>
  <c r="O3696" i="4"/>
  <c r="O3697" i="4"/>
  <c r="O3698" i="4"/>
  <c r="O3699" i="4"/>
  <c r="O3700" i="4"/>
  <c r="O3701" i="4"/>
  <c r="O3702" i="4"/>
  <c r="O3703" i="4"/>
  <c r="O3704" i="4"/>
  <c r="O3705" i="4"/>
  <c r="O3706" i="4"/>
  <c r="O3707" i="4"/>
  <c r="O3708" i="4"/>
  <c r="O3709" i="4"/>
  <c r="O3710" i="4"/>
  <c r="O3711" i="4"/>
  <c r="O3712" i="4"/>
  <c r="O3713" i="4"/>
  <c r="O3714" i="4"/>
  <c r="O3715" i="4"/>
  <c r="O3716" i="4"/>
  <c r="O3717" i="4"/>
  <c r="O3718" i="4"/>
  <c r="O3719" i="4"/>
  <c r="O3720" i="4"/>
  <c r="O3721" i="4"/>
  <c r="O3722" i="4"/>
  <c r="O3723" i="4"/>
  <c r="O3724" i="4"/>
  <c r="O3725" i="4"/>
  <c r="O3726" i="4"/>
  <c r="O3727" i="4"/>
  <c r="O3728" i="4"/>
  <c r="O3729" i="4"/>
  <c r="O3730" i="4"/>
  <c r="O3731" i="4"/>
  <c r="O3732" i="4"/>
  <c r="O3733" i="4"/>
  <c r="O3734" i="4"/>
  <c r="O3735" i="4"/>
  <c r="O3736" i="4"/>
  <c r="O3737" i="4"/>
  <c r="O3738" i="4"/>
  <c r="O3739" i="4"/>
  <c r="O3740" i="4"/>
  <c r="O3741" i="4"/>
  <c r="O3742" i="4"/>
  <c r="O3743" i="4"/>
  <c r="O3744" i="4"/>
  <c r="O3745" i="4"/>
  <c r="O3746" i="4"/>
  <c r="O3747" i="4"/>
  <c r="O3748" i="4"/>
  <c r="O3749" i="4"/>
  <c r="O3750" i="4"/>
  <c r="O3751" i="4"/>
  <c r="O3752" i="4"/>
  <c r="O3753" i="4"/>
  <c r="O3754" i="4"/>
  <c r="O3755" i="4"/>
  <c r="O3756" i="4"/>
  <c r="O3757" i="4"/>
  <c r="O3758" i="4"/>
  <c r="O3759" i="4"/>
  <c r="O3760" i="4"/>
  <c r="O3761" i="4"/>
  <c r="O3762" i="4"/>
  <c r="O3763" i="4"/>
  <c r="O3764" i="4"/>
  <c r="O3765" i="4"/>
  <c r="O3766" i="4"/>
  <c r="O3767" i="4"/>
  <c r="O3768" i="4"/>
  <c r="O3769" i="4"/>
  <c r="O3770" i="4"/>
  <c r="O3771" i="4"/>
  <c r="O3772" i="4"/>
  <c r="O3773" i="4"/>
  <c r="O3774" i="4"/>
  <c r="O3775" i="4"/>
  <c r="O3776" i="4"/>
  <c r="O3777" i="4"/>
  <c r="O3778" i="4"/>
  <c r="O3779" i="4"/>
  <c r="O3780" i="4"/>
  <c r="O3781" i="4"/>
  <c r="O3782" i="4"/>
  <c r="O3783" i="4"/>
  <c r="O3784" i="4"/>
  <c r="O3785" i="4"/>
  <c r="O3786" i="4"/>
  <c r="O3787" i="4"/>
  <c r="O3788" i="4"/>
  <c r="O3789" i="4"/>
  <c r="O3790" i="4"/>
  <c r="O3791" i="4"/>
  <c r="O3792" i="4"/>
  <c r="O3793" i="4"/>
  <c r="O3794" i="4"/>
  <c r="O3795" i="4"/>
  <c r="O3796" i="4"/>
  <c r="O3797" i="4"/>
  <c r="O3798" i="4"/>
  <c r="O3799" i="4"/>
  <c r="O3800" i="4"/>
  <c r="O3801" i="4"/>
  <c r="O3802" i="4"/>
  <c r="O3803" i="4"/>
  <c r="O3804" i="4"/>
  <c r="O3805" i="4"/>
  <c r="O3806" i="4"/>
  <c r="O3807" i="4"/>
  <c r="O3808" i="4"/>
  <c r="O3809" i="4"/>
  <c r="O3810" i="4"/>
  <c r="O3811" i="4"/>
  <c r="O3812" i="4"/>
  <c r="O3813" i="4"/>
  <c r="O3814" i="4"/>
  <c r="O3815" i="4"/>
  <c r="O3816" i="4"/>
  <c r="O3817" i="4"/>
  <c r="O3818" i="4"/>
  <c r="O3819" i="4"/>
  <c r="O3820" i="4"/>
  <c r="O3821" i="4"/>
  <c r="O3822" i="4"/>
  <c r="O3823" i="4"/>
  <c r="O3824" i="4"/>
  <c r="O3825" i="4"/>
  <c r="O3826" i="4"/>
  <c r="O3827" i="4"/>
  <c r="O3828" i="4"/>
  <c r="O3829" i="4"/>
  <c r="O3830" i="4"/>
  <c r="O3831" i="4"/>
  <c r="O3832" i="4"/>
  <c r="O3833" i="4"/>
  <c r="O3834" i="4"/>
  <c r="O3835" i="4"/>
  <c r="O3836" i="4"/>
  <c r="O3837" i="4"/>
  <c r="O3838" i="4"/>
  <c r="O3839" i="4"/>
  <c r="O3840" i="4"/>
  <c r="O3841" i="4"/>
  <c r="O3842" i="4"/>
  <c r="O3843" i="4"/>
  <c r="O3844" i="4"/>
  <c r="O3845" i="4"/>
  <c r="O3846" i="4"/>
  <c r="O3847" i="4"/>
  <c r="O3848" i="4"/>
  <c r="O3849" i="4"/>
  <c r="O3850" i="4"/>
  <c r="O3851" i="4"/>
  <c r="O3852" i="4"/>
  <c r="O3853" i="4"/>
  <c r="O3854" i="4"/>
  <c r="O3855" i="4"/>
  <c r="O3856" i="4"/>
  <c r="O3857" i="4"/>
  <c r="O3858" i="4"/>
  <c r="O3859" i="4"/>
  <c r="O3860" i="4"/>
  <c r="O3861" i="4"/>
  <c r="O3862" i="4"/>
  <c r="O3863" i="4"/>
  <c r="O3864" i="4"/>
  <c r="O3865" i="4"/>
  <c r="O3866" i="4"/>
  <c r="O3867" i="4"/>
  <c r="O3868" i="4"/>
  <c r="O3869" i="4"/>
  <c r="O3870" i="4"/>
  <c r="O3871" i="4"/>
  <c r="O3872" i="4"/>
  <c r="O3873" i="4"/>
  <c r="O3874" i="4"/>
  <c r="O3875" i="4"/>
  <c r="O3876" i="4"/>
  <c r="O3877" i="4"/>
  <c r="O3878" i="4"/>
  <c r="O3879" i="4"/>
  <c r="O3880" i="4"/>
  <c r="O3881" i="4"/>
  <c r="O3882" i="4"/>
  <c r="O3883" i="4"/>
  <c r="O3884" i="4"/>
  <c r="O3885" i="4"/>
  <c r="O3886" i="4"/>
  <c r="O3887" i="4"/>
  <c r="O3888" i="4"/>
  <c r="O3889" i="4"/>
  <c r="O3890" i="4"/>
  <c r="O3891" i="4"/>
  <c r="O3892" i="4"/>
  <c r="O3893" i="4"/>
  <c r="O3894" i="4"/>
  <c r="O3895" i="4"/>
  <c r="O3896" i="4"/>
  <c r="O3897" i="4"/>
  <c r="O3898" i="4"/>
  <c r="O3899" i="4"/>
  <c r="O3900" i="4"/>
  <c r="O3901" i="4"/>
  <c r="O3902" i="4"/>
  <c r="O3903" i="4"/>
  <c r="O3904" i="4"/>
  <c r="O3905" i="4"/>
  <c r="O3906" i="4"/>
  <c r="O3907" i="4"/>
  <c r="O3908" i="4"/>
  <c r="O3909" i="4"/>
  <c r="O3910" i="4"/>
  <c r="O3911" i="4"/>
  <c r="O3912" i="4"/>
  <c r="O3913" i="4"/>
  <c r="O3914" i="4"/>
  <c r="O3915" i="4"/>
  <c r="O3916" i="4"/>
  <c r="O3917" i="4"/>
  <c r="O3918" i="4"/>
  <c r="O3919" i="4"/>
  <c r="O3920" i="4"/>
  <c r="O3921" i="4"/>
  <c r="O3922" i="4"/>
  <c r="O3923" i="4"/>
  <c r="O3924" i="4"/>
  <c r="O3925" i="4"/>
  <c r="O3926" i="4"/>
  <c r="O3927" i="4"/>
  <c r="O3928" i="4"/>
  <c r="O3929" i="4"/>
  <c r="O3930" i="4"/>
  <c r="O3931" i="4"/>
  <c r="O3932" i="4"/>
  <c r="O3933" i="4"/>
  <c r="O3934" i="4"/>
  <c r="O3935" i="4"/>
  <c r="O3936" i="4"/>
  <c r="O3937" i="4"/>
  <c r="O3938" i="4"/>
  <c r="O3939" i="4"/>
  <c r="O3940" i="4"/>
  <c r="O3941" i="4"/>
  <c r="O3942" i="4"/>
  <c r="O3943" i="4"/>
  <c r="O3944" i="4"/>
  <c r="O3945" i="4"/>
  <c r="O3946" i="4"/>
  <c r="O3947" i="4"/>
  <c r="O3948" i="4"/>
  <c r="O3949" i="4"/>
  <c r="O3950" i="4"/>
  <c r="O3951" i="4"/>
  <c r="O3952" i="4"/>
  <c r="O3953" i="4"/>
  <c r="O3954" i="4"/>
  <c r="O3955" i="4"/>
  <c r="O3956" i="4"/>
  <c r="O3957" i="4"/>
  <c r="O3958" i="4"/>
  <c r="O3959" i="4"/>
  <c r="O3960" i="4"/>
  <c r="O3961" i="4"/>
  <c r="O3962" i="4"/>
  <c r="O3963" i="4"/>
  <c r="O3964" i="4"/>
  <c r="O3965" i="4"/>
  <c r="O3966" i="4"/>
  <c r="O3967" i="4"/>
  <c r="O3968" i="4"/>
  <c r="O3969" i="4"/>
  <c r="O3970" i="4"/>
  <c r="O3971" i="4"/>
  <c r="O3972" i="4"/>
  <c r="O3973" i="4"/>
  <c r="O3974" i="4"/>
  <c r="O3975" i="4"/>
  <c r="O3976" i="4"/>
  <c r="O3977" i="4"/>
  <c r="O3978" i="4"/>
  <c r="O3979" i="4"/>
  <c r="O3980" i="4"/>
  <c r="O3981" i="4"/>
  <c r="O3982" i="4"/>
  <c r="O3983" i="4"/>
  <c r="O3984" i="4"/>
  <c r="O3985" i="4"/>
  <c r="O3986" i="4"/>
  <c r="O3987" i="4"/>
  <c r="O3988" i="4"/>
  <c r="O3989" i="4"/>
  <c r="O3990" i="4"/>
  <c r="O3991" i="4"/>
  <c r="O3992" i="4"/>
  <c r="O3993" i="4"/>
  <c r="O3994" i="4"/>
  <c r="O3995" i="4"/>
  <c r="O3996" i="4"/>
  <c r="O3997" i="4"/>
  <c r="O3998" i="4"/>
  <c r="O3999" i="4"/>
  <c r="O4000" i="4"/>
  <c r="O4001" i="4"/>
  <c r="O4002" i="4"/>
  <c r="O4003" i="4"/>
  <c r="O4004" i="4"/>
  <c r="O4005" i="4"/>
  <c r="O4006" i="4"/>
  <c r="O4007" i="4"/>
  <c r="O4008" i="4"/>
  <c r="O4009" i="4"/>
  <c r="O4010" i="4"/>
  <c r="O4011" i="4"/>
  <c r="O4012" i="4"/>
  <c r="O4013" i="4"/>
  <c r="O4014" i="4"/>
  <c r="O4015" i="4"/>
  <c r="O4016" i="4"/>
  <c r="O4017" i="4"/>
  <c r="O4018" i="4"/>
  <c r="O4019" i="4"/>
  <c r="O4020" i="4"/>
  <c r="O4021" i="4"/>
  <c r="O4022" i="4"/>
  <c r="O4023" i="4"/>
  <c r="O4024" i="4"/>
  <c r="O4025" i="4"/>
  <c r="O4026" i="4"/>
  <c r="O4027" i="4"/>
  <c r="O4028" i="4"/>
  <c r="O4029" i="4"/>
  <c r="O4030" i="4"/>
  <c r="O4031" i="4"/>
  <c r="O4032" i="4"/>
  <c r="O4033" i="4"/>
  <c r="O4034" i="4"/>
  <c r="O4035" i="4"/>
  <c r="O4036" i="4"/>
  <c r="O4037" i="4"/>
  <c r="O4038" i="4"/>
  <c r="O4039" i="4"/>
  <c r="O4040" i="4"/>
  <c r="O4041" i="4"/>
  <c r="O4042" i="4"/>
  <c r="O4043" i="4"/>
  <c r="O4044" i="4"/>
  <c r="O4045" i="4"/>
  <c r="O4046" i="4"/>
  <c r="O4047" i="4"/>
  <c r="O4048" i="4"/>
  <c r="O4049" i="4"/>
  <c r="O4050" i="4"/>
  <c r="O4051" i="4"/>
  <c r="O4052" i="4"/>
  <c r="O4053" i="4"/>
  <c r="O4054" i="4"/>
  <c r="O4055" i="4"/>
  <c r="O4056" i="4"/>
  <c r="O4057" i="4"/>
  <c r="O4058" i="4"/>
  <c r="O4059" i="4"/>
  <c r="O4060" i="4"/>
  <c r="O4061" i="4"/>
  <c r="O4062" i="4"/>
  <c r="O4063" i="4"/>
  <c r="O4064" i="4"/>
  <c r="O4065" i="4"/>
  <c r="O4066" i="4"/>
  <c r="O4067" i="4"/>
  <c r="O4068" i="4"/>
  <c r="O4069" i="4"/>
  <c r="O4070" i="4"/>
  <c r="O4071" i="4"/>
  <c r="O4072" i="4"/>
  <c r="O4073" i="4"/>
  <c r="O4074" i="4"/>
  <c r="O4075" i="4"/>
  <c r="O4076" i="4"/>
  <c r="O4077" i="4"/>
  <c r="O4078" i="4"/>
  <c r="O4079" i="4"/>
  <c r="O4080" i="4"/>
  <c r="O4081" i="4"/>
  <c r="O4082" i="4"/>
  <c r="O4083" i="4"/>
  <c r="O4084" i="4"/>
  <c r="O4085" i="4"/>
  <c r="O4086" i="4"/>
  <c r="O4087" i="4"/>
  <c r="O4088" i="4"/>
  <c r="O4089" i="4"/>
  <c r="O4090" i="4"/>
  <c r="O4091" i="4"/>
  <c r="O4092" i="4"/>
  <c r="O4093" i="4"/>
  <c r="O4094" i="4"/>
  <c r="O4095" i="4"/>
  <c r="O4096" i="4"/>
  <c r="O4097" i="4"/>
  <c r="O4098" i="4"/>
  <c r="O4099" i="4"/>
  <c r="O4100" i="4"/>
  <c r="O4101" i="4"/>
  <c r="O4102" i="4"/>
  <c r="O4103" i="4"/>
  <c r="O4104" i="4"/>
  <c r="O4105" i="4"/>
  <c r="O4106" i="4"/>
  <c r="O4107" i="4"/>
  <c r="O4108" i="4"/>
  <c r="O4109" i="4"/>
  <c r="O4110" i="4"/>
  <c r="O4111" i="4"/>
  <c r="O4112" i="4"/>
  <c r="O4113" i="4"/>
  <c r="O4114" i="4"/>
  <c r="O4115" i="4"/>
  <c r="O4116" i="4"/>
  <c r="O4117" i="4"/>
  <c r="O4118" i="4"/>
  <c r="O4119" i="4"/>
  <c r="O4120" i="4"/>
  <c r="O4121" i="4"/>
  <c r="O4122" i="4"/>
  <c r="O4123" i="4"/>
  <c r="O4124" i="4"/>
  <c r="O4125" i="4"/>
  <c r="O4126" i="4"/>
  <c r="O4127" i="4"/>
  <c r="O4128" i="4"/>
  <c r="O4129" i="4"/>
  <c r="O4130" i="4"/>
  <c r="O4131" i="4"/>
  <c r="O4132" i="4"/>
  <c r="O4133" i="4"/>
  <c r="O4134" i="4"/>
  <c r="O4135" i="4"/>
  <c r="O4136" i="4"/>
  <c r="O4137" i="4"/>
  <c r="O4138" i="4"/>
  <c r="O4139" i="4"/>
  <c r="O4140" i="4"/>
  <c r="O4141" i="4"/>
  <c r="O4142" i="4"/>
  <c r="O4143" i="4"/>
  <c r="O4144" i="4"/>
  <c r="O4145" i="4"/>
  <c r="O4146" i="4"/>
  <c r="O4147" i="4"/>
  <c r="O4148" i="4"/>
  <c r="O4149" i="4"/>
  <c r="O4150" i="4"/>
  <c r="O4151" i="4"/>
  <c r="O4152" i="4"/>
  <c r="O4153" i="4"/>
  <c r="O4154" i="4"/>
  <c r="O4155" i="4"/>
  <c r="O4156" i="4"/>
  <c r="O4157" i="4"/>
  <c r="O4158" i="4"/>
  <c r="O4159" i="4"/>
  <c r="O4160" i="4"/>
  <c r="O4161" i="4"/>
  <c r="O4162" i="4"/>
  <c r="O4163" i="4"/>
  <c r="O4164" i="4"/>
  <c r="O4165" i="4"/>
  <c r="O4166" i="4"/>
  <c r="O4167" i="4"/>
  <c r="O4168" i="4"/>
  <c r="O4169" i="4"/>
  <c r="O4170" i="4"/>
  <c r="O4171" i="4"/>
  <c r="O4172" i="4"/>
  <c r="O4173" i="4"/>
  <c r="O4174" i="4"/>
  <c r="O4175" i="4"/>
  <c r="O4176" i="4"/>
  <c r="O4177" i="4"/>
  <c r="O4178" i="4"/>
  <c r="O4179" i="4"/>
  <c r="O4180" i="4"/>
  <c r="O4181" i="4"/>
  <c r="O4182" i="4"/>
  <c r="O4183" i="4"/>
  <c r="O4184" i="4"/>
  <c r="O4185" i="4"/>
  <c r="O4186" i="4"/>
  <c r="O4187" i="4"/>
  <c r="O4188" i="4"/>
  <c r="O4189" i="4"/>
  <c r="O4190" i="4"/>
  <c r="O4191" i="4"/>
  <c r="O4192" i="4"/>
  <c r="O4193" i="4"/>
  <c r="O4194" i="4"/>
  <c r="O4195" i="4"/>
  <c r="O4196" i="4"/>
  <c r="O4197" i="4"/>
  <c r="O4198" i="4"/>
  <c r="O4199" i="4"/>
  <c r="O4200" i="4"/>
  <c r="O4201" i="4"/>
  <c r="O4202" i="4"/>
  <c r="O4203" i="4"/>
  <c r="O4204" i="4"/>
  <c r="O4205" i="4"/>
  <c r="O4206" i="4"/>
  <c r="O4207" i="4"/>
  <c r="O4208" i="4"/>
  <c r="O4209" i="4"/>
  <c r="O4210" i="4"/>
  <c r="O4211" i="4"/>
  <c r="O4212" i="4"/>
  <c r="O4213" i="4"/>
  <c r="O4214" i="4"/>
  <c r="O4215" i="4"/>
  <c r="O4216" i="4"/>
  <c r="O4217" i="4"/>
  <c r="O4218" i="4"/>
  <c r="O4219" i="4"/>
  <c r="O4220" i="4"/>
  <c r="O4221" i="4"/>
  <c r="O4222" i="4"/>
  <c r="O4223" i="4"/>
  <c r="O4224" i="4"/>
  <c r="O4225" i="4"/>
  <c r="O4226" i="4"/>
  <c r="O4227" i="4"/>
  <c r="O4228" i="4"/>
  <c r="O4229" i="4"/>
  <c r="O4230" i="4"/>
  <c r="O4231" i="4"/>
  <c r="O4232" i="4"/>
  <c r="O4233" i="4"/>
  <c r="O4234" i="4"/>
  <c r="O4235" i="4"/>
  <c r="O4236" i="4"/>
  <c r="O4237" i="4"/>
  <c r="O4238" i="4"/>
  <c r="O4239" i="4"/>
  <c r="O4240" i="4"/>
  <c r="O4241" i="4"/>
  <c r="O4242" i="4"/>
  <c r="O4243" i="4"/>
  <c r="O4244" i="4"/>
  <c r="O4245" i="4"/>
  <c r="O4246" i="4"/>
  <c r="O4247" i="4"/>
  <c r="O4248" i="4"/>
  <c r="O4249" i="4"/>
  <c r="O4250" i="4"/>
  <c r="O4251" i="4"/>
  <c r="O4252" i="4"/>
  <c r="O4253" i="4"/>
  <c r="O4254" i="4"/>
  <c r="O4255" i="4"/>
  <c r="O4256" i="4"/>
  <c r="O4257" i="4"/>
  <c r="O4258" i="4"/>
  <c r="O4259" i="4"/>
  <c r="O4260" i="4"/>
  <c r="O4261" i="4"/>
  <c r="O4262" i="4"/>
  <c r="O4263" i="4"/>
  <c r="O4264" i="4"/>
  <c r="O4265" i="4"/>
  <c r="O4266" i="4"/>
  <c r="O4267" i="4"/>
  <c r="O4268" i="4"/>
  <c r="O4269" i="4"/>
  <c r="O4270" i="4"/>
  <c r="O4271" i="4"/>
  <c r="O4272" i="4"/>
  <c r="O4273" i="4"/>
  <c r="O4274" i="4"/>
  <c r="O4275" i="4"/>
  <c r="O4276" i="4"/>
  <c r="O4277" i="4"/>
  <c r="O4278" i="4"/>
  <c r="O4279" i="4"/>
  <c r="O4280" i="4"/>
  <c r="O4281" i="4"/>
  <c r="O4282" i="4"/>
  <c r="O4283" i="4"/>
  <c r="O4284" i="4"/>
  <c r="O4285" i="4"/>
  <c r="O4286" i="4"/>
  <c r="O4287" i="4"/>
  <c r="O4288" i="4"/>
  <c r="O4289" i="4"/>
  <c r="O4290" i="4"/>
  <c r="O4291" i="4"/>
  <c r="O4292" i="4"/>
  <c r="O4293" i="4"/>
  <c r="O4294" i="4"/>
  <c r="O4295" i="4"/>
  <c r="O4296" i="4"/>
  <c r="O4297" i="4"/>
  <c r="O4298" i="4"/>
  <c r="O4299" i="4"/>
  <c r="O4300" i="4"/>
  <c r="O4301" i="4"/>
  <c r="O4302" i="4"/>
  <c r="O4303" i="4"/>
  <c r="O4304" i="4"/>
  <c r="O4305" i="4"/>
  <c r="O4306" i="4"/>
  <c r="O4307" i="4"/>
  <c r="O4308" i="4"/>
  <c r="O4309" i="4"/>
  <c r="O4310" i="4"/>
  <c r="O4311" i="4"/>
  <c r="O4312" i="4"/>
  <c r="O4313" i="4"/>
  <c r="O4314" i="4"/>
  <c r="O4315" i="4"/>
  <c r="O4316" i="4"/>
  <c r="O4317" i="4"/>
  <c r="O4318" i="4"/>
  <c r="O4319" i="4"/>
  <c r="O4320" i="4"/>
  <c r="O4321" i="4"/>
  <c r="O4322" i="4"/>
  <c r="O4323" i="4"/>
  <c r="O4324" i="4"/>
  <c r="O4325" i="4"/>
  <c r="O4326" i="4"/>
  <c r="O4327" i="4"/>
  <c r="O4328" i="4"/>
  <c r="O4329" i="4"/>
  <c r="O4330" i="4"/>
  <c r="O4331" i="4"/>
  <c r="O4332" i="4"/>
  <c r="O4333" i="4"/>
  <c r="O4334" i="4"/>
  <c r="O4335" i="4"/>
  <c r="O4336" i="4"/>
  <c r="O4337" i="4"/>
  <c r="O4338" i="4"/>
  <c r="O4339" i="4"/>
  <c r="O4340" i="4"/>
  <c r="O4341" i="4"/>
  <c r="O4342" i="4"/>
  <c r="O4343" i="4"/>
  <c r="O4344" i="4"/>
  <c r="O4345" i="4"/>
  <c r="O4346" i="4"/>
  <c r="O4347" i="4"/>
  <c r="O4348" i="4"/>
  <c r="O4349" i="4"/>
  <c r="O4350" i="4"/>
  <c r="O4351" i="4"/>
  <c r="O4352" i="4"/>
  <c r="O4353" i="4"/>
  <c r="O4354" i="4"/>
  <c r="O4355" i="4"/>
  <c r="O4356" i="4"/>
  <c r="O4357" i="4"/>
  <c r="O4358" i="4"/>
  <c r="O4359" i="4"/>
  <c r="O4360" i="4"/>
  <c r="O4361" i="4"/>
  <c r="O4362" i="4"/>
  <c r="O4363" i="4"/>
  <c r="O4364" i="4"/>
  <c r="O4365" i="4"/>
  <c r="O4366" i="4"/>
  <c r="O4367" i="4"/>
  <c r="O4368" i="4"/>
  <c r="O4369" i="4"/>
  <c r="O4370" i="4"/>
  <c r="O4371" i="4"/>
  <c r="O4372" i="4"/>
  <c r="O4373" i="4"/>
  <c r="O4374" i="4"/>
  <c r="O4375" i="4"/>
  <c r="O4376" i="4"/>
  <c r="O4377" i="4"/>
  <c r="O4378" i="4"/>
  <c r="O4379" i="4"/>
  <c r="O4380" i="4"/>
  <c r="O4381" i="4"/>
  <c r="O4382" i="4"/>
  <c r="O4383" i="4"/>
  <c r="O4384" i="4"/>
  <c r="O4385" i="4"/>
  <c r="O4386" i="4"/>
  <c r="O4387" i="4"/>
  <c r="O4388" i="4"/>
  <c r="O4389" i="4"/>
  <c r="O4390" i="4"/>
  <c r="O4391" i="4"/>
  <c r="O4392" i="4"/>
  <c r="O4393" i="4"/>
  <c r="O4394" i="4"/>
  <c r="O4395" i="4"/>
  <c r="O4396" i="4"/>
  <c r="O4397" i="4"/>
  <c r="O4398" i="4"/>
  <c r="O4399" i="4"/>
  <c r="O4400" i="4"/>
  <c r="O4401" i="4"/>
  <c r="O4402" i="4"/>
  <c r="O4403" i="4"/>
  <c r="O4404" i="4"/>
  <c r="O4405" i="4"/>
  <c r="O4406" i="4"/>
  <c r="O4407" i="4"/>
  <c r="O4408" i="4"/>
  <c r="O4409" i="4"/>
  <c r="O4410" i="4"/>
  <c r="O4411" i="4"/>
  <c r="O4412" i="4"/>
  <c r="O4413" i="4"/>
  <c r="O4414" i="4"/>
  <c r="O4415" i="4"/>
  <c r="O4416" i="4"/>
  <c r="O4417" i="4"/>
  <c r="O4418" i="4"/>
  <c r="O4419" i="4"/>
  <c r="O4420" i="4"/>
  <c r="O4421" i="4"/>
  <c r="O4422" i="4"/>
  <c r="O4423" i="4"/>
  <c r="O4424" i="4"/>
  <c r="O4425" i="4"/>
  <c r="O4426" i="4"/>
  <c r="O4427" i="4"/>
  <c r="O4428" i="4"/>
  <c r="O4429" i="4"/>
  <c r="O4430" i="4"/>
  <c r="O4431" i="4"/>
  <c r="O4432" i="4"/>
  <c r="O4433" i="4"/>
  <c r="O4434" i="4"/>
  <c r="O4435" i="4"/>
  <c r="O4436" i="4"/>
  <c r="O4437" i="4"/>
  <c r="O4438" i="4"/>
  <c r="O4439" i="4"/>
  <c r="O4440" i="4"/>
  <c r="O4441" i="4"/>
  <c r="O4442" i="4"/>
  <c r="O4443" i="4"/>
  <c r="O4444" i="4"/>
  <c r="O4445" i="4"/>
  <c r="O4446" i="4"/>
  <c r="O4447" i="4"/>
  <c r="O4448" i="4"/>
  <c r="O4449" i="4"/>
  <c r="O4450" i="4"/>
  <c r="O4451" i="4"/>
  <c r="O4452" i="4"/>
  <c r="O4453" i="4"/>
  <c r="O4454" i="4"/>
  <c r="O4455" i="4"/>
  <c r="O4456" i="4"/>
  <c r="O4457" i="4"/>
  <c r="O4458" i="4"/>
  <c r="O4459" i="4"/>
  <c r="O4460" i="4"/>
  <c r="O4461" i="4"/>
  <c r="O4462" i="4"/>
  <c r="O4463" i="4"/>
  <c r="O4464" i="4"/>
  <c r="O4465" i="4"/>
  <c r="O4466" i="4"/>
  <c r="O4467" i="4"/>
  <c r="O4468" i="4"/>
  <c r="O4469" i="4"/>
  <c r="O4470" i="4"/>
  <c r="O4471" i="4"/>
  <c r="O4472" i="4"/>
  <c r="O4473" i="4"/>
  <c r="O4474" i="4"/>
  <c r="O4475" i="4"/>
  <c r="O4476" i="4"/>
  <c r="O4477" i="4"/>
  <c r="O4478" i="4"/>
  <c r="O4479" i="4"/>
  <c r="O4480" i="4"/>
  <c r="O4481" i="4"/>
  <c r="O4482" i="4"/>
  <c r="O4483" i="4"/>
  <c r="O4484" i="4"/>
  <c r="O4485" i="4"/>
  <c r="O4486" i="4"/>
  <c r="O4487" i="4"/>
  <c r="O4488" i="4"/>
  <c r="O4489" i="4"/>
  <c r="O4490" i="4"/>
  <c r="O4491" i="4"/>
  <c r="O4492" i="4"/>
  <c r="O4493" i="4"/>
  <c r="O4494" i="4"/>
  <c r="O4495" i="4"/>
  <c r="O4496" i="4"/>
  <c r="O4497" i="4"/>
  <c r="O4498" i="4"/>
  <c r="O4499" i="4"/>
  <c r="O4500" i="4"/>
  <c r="O4501" i="4"/>
  <c r="O4502" i="4"/>
  <c r="O4503" i="4"/>
  <c r="O4504" i="4"/>
  <c r="O4505" i="4"/>
  <c r="O4506" i="4"/>
  <c r="O4507" i="4"/>
  <c r="O4508" i="4"/>
  <c r="O4509" i="4"/>
  <c r="O4510" i="4"/>
  <c r="O4511" i="4"/>
  <c r="O4512" i="4"/>
  <c r="O4513" i="4"/>
  <c r="O4514" i="4"/>
  <c r="O4515" i="4"/>
  <c r="O4516" i="4"/>
  <c r="O4517" i="4"/>
  <c r="O4518" i="4"/>
  <c r="O4519" i="4"/>
  <c r="O4520" i="4"/>
  <c r="O4521" i="4"/>
  <c r="O4522" i="4"/>
  <c r="O4523" i="4"/>
  <c r="O4524" i="4"/>
  <c r="O4525" i="4"/>
  <c r="O4526" i="4"/>
  <c r="O4527" i="4"/>
  <c r="O4528" i="4"/>
  <c r="O4529" i="4"/>
  <c r="O4530" i="4"/>
  <c r="O4531" i="4"/>
  <c r="O4532" i="4"/>
  <c r="O4533" i="4"/>
  <c r="O4534" i="4"/>
  <c r="O4535" i="4"/>
  <c r="O4536" i="4"/>
  <c r="O4537" i="4"/>
  <c r="O4538" i="4"/>
  <c r="O4539" i="4"/>
  <c r="O4540" i="4"/>
  <c r="O4541" i="4"/>
  <c r="O4542" i="4"/>
  <c r="O4543" i="4"/>
  <c r="O4544" i="4"/>
  <c r="O4545" i="4"/>
  <c r="O4546" i="4"/>
  <c r="O4547" i="4"/>
  <c r="O4548" i="4"/>
  <c r="O4549" i="4"/>
  <c r="O4550" i="4"/>
  <c r="O4551" i="4"/>
  <c r="O4552" i="4"/>
  <c r="O4553" i="4"/>
  <c r="O4554" i="4"/>
  <c r="O4555" i="4"/>
  <c r="O4556" i="4"/>
  <c r="O4557" i="4"/>
  <c r="O4558" i="4"/>
  <c r="O4559" i="4"/>
  <c r="O4560" i="4"/>
  <c r="O4561" i="4"/>
  <c r="O4562" i="4"/>
  <c r="O4563" i="4"/>
  <c r="O4564" i="4"/>
  <c r="O4565" i="4"/>
  <c r="O4566" i="4"/>
  <c r="O4567" i="4"/>
  <c r="O4568" i="4"/>
  <c r="O4569" i="4"/>
  <c r="O4570" i="4"/>
  <c r="O4571" i="4"/>
  <c r="O4572" i="4"/>
  <c r="O4573" i="4"/>
  <c r="O4574" i="4"/>
  <c r="O4575" i="4"/>
  <c r="O4576" i="4"/>
  <c r="O4577" i="4"/>
  <c r="O4578" i="4"/>
  <c r="O4579" i="4"/>
  <c r="O4580" i="4"/>
  <c r="O4581" i="4"/>
  <c r="O4582" i="4"/>
  <c r="O4583" i="4"/>
  <c r="O4584" i="4"/>
  <c r="O4585" i="4"/>
  <c r="O4586" i="4"/>
  <c r="O4587" i="4"/>
  <c r="O4588" i="4"/>
  <c r="O4589" i="4"/>
  <c r="O4590" i="4"/>
  <c r="O4591" i="4"/>
  <c r="O4592" i="4"/>
  <c r="O4593" i="4"/>
  <c r="O4594" i="4"/>
  <c r="O4595" i="4"/>
  <c r="O4596" i="4"/>
  <c r="O4597" i="4"/>
  <c r="O4598" i="4"/>
  <c r="O4599" i="4"/>
  <c r="O4600" i="4"/>
  <c r="O4601" i="4"/>
  <c r="O4602" i="4"/>
  <c r="O4603" i="4"/>
  <c r="O4604" i="4"/>
  <c r="O4605" i="4"/>
  <c r="O4606" i="4"/>
  <c r="O4607" i="4"/>
  <c r="O4608" i="4"/>
  <c r="O4609" i="4"/>
  <c r="O4610" i="4"/>
  <c r="O4611" i="4"/>
  <c r="O4612" i="4"/>
  <c r="O4613" i="4"/>
  <c r="O4614" i="4"/>
  <c r="O4615" i="4"/>
  <c r="O4616" i="4"/>
  <c r="O4617" i="4"/>
  <c r="O4618" i="4"/>
  <c r="O4619" i="4"/>
  <c r="O4620" i="4"/>
  <c r="O4621" i="4"/>
  <c r="O4622" i="4"/>
  <c r="O4623" i="4"/>
  <c r="O4624" i="4"/>
  <c r="O4625" i="4"/>
  <c r="O4626" i="4"/>
  <c r="O4627" i="4"/>
  <c r="O4628" i="4"/>
  <c r="O4629" i="4"/>
  <c r="O4630" i="4"/>
  <c r="O4631" i="4"/>
  <c r="O4632" i="4"/>
  <c r="O4633" i="4"/>
  <c r="O4634" i="4"/>
  <c r="O4635" i="4"/>
  <c r="O4636" i="4"/>
  <c r="O4637" i="4"/>
  <c r="O4638" i="4"/>
  <c r="O4639" i="4"/>
  <c r="O4640" i="4"/>
  <c r="O4641" i="4"/>
  <c r="O4642" i="4"/>
  <c r="O4643" i="4"/>
  <c r="O4644" i="4"/>
  <c r="O4645" i="4"/>
  <c r="O4646" i="4"/>
  <c r="O4647" i="4"/>
  <c r="O4648" i="4"/>
  <c r="O4649" i="4"/>
  <c r="O4650" i="4"/>
  <c r="O4651" i="4"/>
  <c r="O4652" i="4"/>
  <c r="O4653" i="4"/>
  <c r="O4654" i="4"/>
  <c r="O4655" i="4"/>
  <c r="O4656" i="4"/>
  <c r="O4657" i="4"/>
  <c r="O4658" i="4"/>
  <c r="O4659" i="4"/>
  <c r="O4660" i="4"/>
  <c r="O4661" i="4"/>
  <c r="O4662" i="4"/>
  <c r="O4663" i="4"/>
  <c r="O4664" i="4"/>
  <c r="O4665" i="4"/>
  <c r="O4666" i="4"/>
  <c r="O4667" i="4"/>
  <c r="O4668" i="4"/>
  <c r="O4669" i="4"/>
  <c r="O4670" i="4"/>
  <c r="O4671" i="4"/>
  <c r="O4672" i="4"/>
  <c r="O4673" i="4"/>
  <c r="O4674" i="4"/>
  <c r="O4675" i="4"/>
  <c r="O4676" i="4"/>
  <c r="O4677" i="4"/>
  <c r="O4678" i="4"/>
  <c r="O4679" i="4"/>
  <c r="O4680" i="4"/>
  <c r="O4681" i="4"/>
  <c r="O4682" i="4"/>
  <c r="O4683" i="4"/>
  <c r="O4684" i="4"/>
  <c r="O4685" i="4"/>
  <c r="O4686" i="4"/>
  <c r="O4687" i="4"/>
  <c r="O4688" i="4"/>
  <c r="O4689" i="4"/>
  <c r="O4690" i="4"/>
  <c r="O4691" i="4"/>
  <c r="O4692" i="4"/>
  <c r="O4693" i="4"/>
  <c r="O4694" i="4"/>
  <c r="O4695" i="4"/>
  <c r="O4696" i="4"/>
  <c r="O4697" i="4"/>
  <c r="O4698" i="4"/>
  <c r="O4699" i="4"/>
  <c r="O4700" i="4"/>
  <c r="O4701" i="4"/>
  <c r="O4702" i="4"/>
  <c r="O4703" i="4"/>
  <c r="O4704" i="4"/>
  <c r="O4705" i="4"/>
  <c r="O4706" i="4"/>
  <c r="O4707" i="4"/>
  <c r="O4708" i="4"/>
  <c r="O4709" i="4"/>
  <c r="O4710" i="4"/>
  <c r="O4711" i="4"/>
  <c r="O4712" i="4"/>
  <c r="O4713" i="4"/>
  <c r="O4714" i="4"/>
  <c r="O4715" i="4"/>
  <c r="O4716" i="4"/>
  <c r="O4717" i="4"/>
  <c r="O4718" i="4"/>
  <c r="O4719" i="4"/>
  <c r="O4720" i="4"/>
  <c r="O4721" i="4"/>
  <c r="O4722" i="4"/>
  <c r="O4723" i="4"/>
  <c r="O4724" i="4"/>
  <c r="O4725" i="4"/>
  <c r="O4726" i="4"/>
  <c r="O4727" i="4"/>
  <c r="O4728" i="4"/>
  <c r="O4729" i="4"/>
  <c r="O4730" i="4"/>
  <c r="O4731" i="4"/>
  <c r="O4732" i="4"/>
  <c r="O4733" i="4"/>
  <c r="O4734" i="4"/>
  <c r="O4735" i="4"/>
  <c r="O4736" i="4"/>
  <c r="O4737" i="4"/>
  <c r="O4738" i="4"/>
  <c r="O4739" i="4"/>
  <c r="O4740" i="4"/>
  <c r="O4741" i="4"/>
  <c r="O4742" i="4"/>
  <c r="O4743" i="4"/>
  <c r="O4744" i="4"/>
  <c r="O4745" i="4"/>
  <c r="O4746" i="4"/>
  <c r="O4747" i="4"/>
  <c r="O4748" i="4"/>
  <c r="O4749" i="4"/>
  <c r="O4750" i="4"/>
  <c r="O4751" i="4"/>
  <c r="O4752" i="4"/>
  <c r="O4753" i="4"/>
  <c r="O4754" i="4"/>
  <c r="O4755" i="4"/>
  <c r="O4756" i="4"/>
  <c r="O4757" i="4"/>
  <c r="O4758" i="4"/>
  <c r="O4759" i="4"/>
  <c r="O4760" i="4"/>
  <c r="O4761" i="4"/>
  <c r="O4762" i="4"/>
  <c r="O4763" i="4"/>
  <c r="O4764" i="4"/>
  <c r="O4765" i="4"/>
  <c r="O4766" i="4"/>
  <c r="O4767" i="4"/>
  <c r="O4768" i="4"/>
  <c r="O4769" i="4"/>
  <c r="O4770" i="4"/>
  <c r="O4771" i="4"/>
  <c r="O4772" i="4"/>
  <c r="O4773" i="4"/>
  <c r="O4774" i="4"/>
  <c r="O4775" i="4"/>
  <c r="O4776" i="4"/>
  <c r="O4777" i="4"/>
  <c r="O4778" i="4"/>
  <c r="O4779" i="4"/>
  <c r="O4780" i="4"/>
  <c r="O4781" i="4"/>
  <c r="O4782" i="4"/>
  <c r="O4783" i="4"/>
  <c r="O4784" i="4"/>
  <c r="O4785" i="4"/>
  <c r="O4786" i="4"/>
  <c r="O4787" i="4"/>
  <c r="O4788" i="4"/>
  <c r="O4789" i="4"/>
  <c r="O4790" i="4"/>
  <c r="O4791" i="4"/>
  <c r="O4792" i="4"/>
  <c r="O4793" i="4"/>
  <c r="O4794" i="4"/>
  <c r="O4795" i="4"/>
  <c r="O4796" i="4"/>
  <c r="O4797" i="4"/>
  <c r="O4798" i="4"/>
  <c r="O4799" i="4"/>
  <c r="O4800" i="4"/>
  <c r="O4801" i="4"/>
  <c r="O4802" i="4"/>
  <c r="O4803" i="4"/>
  <c r="O4804" i="4"/>
  <c r="O4805" i="4"/>
  <c r="O4806" i="4"/>
  <c r="O4807" i="4"/>
  <c r="O4808" i="4"/>
  <c r="O4809" i="4"/>
  <c r="O4810" i="4"/>
  <c r="O4811" i="4"/>
  <c r="O4812" i="4"/>
  <c r="O4813" i="4"/>
  <c r="O4814" i="4"/>
  <c r="O4815" i="4"/>
  <c r="O4816" i="4"/>
  <c r="O4817" i="4"/>
  <c r="O4818" i="4"/>
  <c r="O4819" i="4"/>
  <c r="O4820" i="4"/>
  <c r="O4821" i="4"/>
  <c r="O4822" i="4"/>
  <c r="O4823" i="4"/>
  <c r="O4824" i="4"/>
  <c r="O4825" i="4"/>
  <c r="O4826" i="4"/>
  <c r="O4827" i="4"/>
  <c r="O4828" i="4"/>
  <c r="O4829" i="4"/>
  <c r="O4830" i="4"/>
  <c r="O4831" i="4"/>
  <c r="O4832" i="4"/>
  <c r="O4833" i="4"/>
  <c r="O4834" i="4"/>
  <c r="O4835" i="4"/>
  <c r="O4836" i="4"/>
  <c r="O4837" i="4"/>
  <c r="O4838" i="4"/>
  <c r="O4839" i="4"/>
  <c r="O4840" i="4"/>
  <c r="O4841" i="4"/>
  <c r="O4842" i="4"/>
  <c r="O4843" i="4"/>
  <c r="O4844" i="4"/>
  <c r="O4845" i="4"/>
  <c r="O4846" i="4"/>
  <c r="O4847" i="4"/>
  <c r="O4848" i="4"/>
  <c r="O4849" i="4"/>
  <c r="O4850" i="4"/>
  <c r="O4851" i="4"/>
  <c r="O4852" i="4"/>
  <c r="O4853" i="4"/>
  <c r="O4854" i="4"/>
  <c r="O4855" i="4"/>
  <c r="O4856" i="4"/>
  <c r="O4857" i="4"/>
  <c r="O4858" i="4"/>
  <c r="O4859" i="4"/>
  <c r="O4860" i="4"/>
  <c r="O4861" i="4"/>
  <c r="O4862" i="4"/>
  <c r="O4863" i="4"/>
  <c r="O4864" i="4"/>
  <c r="O4865" i="4"/>
  <c r="O4866" i="4"/>
  <c r="O4867" i="4"/>
  <c r="O4868" i="4"/>
  <c r="O4869" i="4"/>
  <c r="O4870" i="4"/>
  <c r="O4871" i="4"/>
  <c r="O4872" i="4"/>
  <c r="O4873" i="4"/>
  <c r="O4874" i="4"/>
  <c r="O4875" i="4"/>
  <c r="O4876" i="4"/>
  <c r="O4877" i="4"/>
  <c r="O4878" i="4"/>
  <c r="O4879" i="4"/>
  <c r="O4880" i="4"/>
  <c r="O4881" i="4"/>
  <c r="O4882" i="4"/>
  <c r="O4883" i="4"/>
  <c r="O4884" i="4"/>
  <c r="O4885" i="4"/>
  <c r="O4886" i="4"/>
  <c r="O4887" i="4"/>
  <c r="O4888" i="4"/>
  <c r="O4889" i="4"/>
  <c r="O4890" i="4"/>
  <c r="O4891" i="4"/>
  <c r="O4892" i="4"/>
  <c r="O4893" i="4"/>
  <c r="O4894" i="4"/>
  <c r="O4895" i="4"/>
  <c r="O4896" i="4"/>
  <c r="O4897" i="4"/>
  <c r="O4898" i="4"/>
  <c r="O4899" i="4"/>
  <c r="O4900" i="4"/>
  <c r="O4901" i="4"/>
  <c r="O4902" i="4"/>
  <c r="O4903" i="4"/>
  <c r="O4904" i="4"/>
  <c r="O4905" i="4"/>
  <c r="O4906" i="4"/>
  <c r="O4907" i="4"/>
  <c r="O4908" i="4"/>
  <c r="O4909" i="4"/>
  <c r="O4910" i="4"/>
  <c r="O4911" i="4"/>
  <c r="O4912" i="4"/>
  <c r="O4913" i="4"/>
  <c r="O4914" i="4"/>
  <c r="O4915" i="4"/>
  <c r="O4916" i="4"/>
  <c r="O4917" i="4"/>
  <c r="O4918" i="4"/>
  <c r="O4919" i="4"/>
  <c r="O4920" i="4"/>
  <c r="O4921" i="4"/>
  <c r="O4922" i="4"/>
  <c r="O4923" i="4"/>
  <c r="O4924" i="4"/>
  <c r="O4925" i="4"/>
  <c r="O4926" i="4"/>
  <c r="O4927" i="4"/>
  <c r="O4928" i="4"/>
  <c r="O4929" i="4"/>
  <c r="O4930" i="4"/>
  <c r="O4931" i="4"/>
  <c r="O4932" i="4"/>
  <c r="O4933" i="4"/>
  <c r="O4934" i="4"/>
  <c r="O4935" i="4"/>
  <c r="O4936" i="4"/>
  <c r="O4937" i="4"/>
  <c r="O4938" i="4"/>
  <c r="O4939" i="4"/>
  <c r="O4940" i="4"/>
  <c r="O4941" i="4"/>
  <c r="O4942" i="4"/>
  <c r="O4943" i="4"/>
  <c r="O4944" i="4"/>
  <c r="O4945" i="4"/>
  <c r="O4946" i="4"/>
  <c r="O4947" i="4"/>
  <c r="O4948" i="4"/>
  <c r="O4949" i="4"/>
  <c r="O4950" i="4"/>
  <c r="O4951" i="4"/>
  <c r="O4952" i="4"/>
  <c r="O4953" i="4"/>
  <c r="O4954" i="4"/>
  <c r="O4955" i="4"/>
  <c r="O4956" i="4"/>
  <c r="O4957" i="4"/>
  <c r="O4958" i="4"/>
  <c r="O4959" i="4"/>
  <c r="O8" i="4"/>
  <c r="B35" i="6" l="1"/>
  <c r="B36" i="6" s="1"/>
  <c r="B37" i="6" s="1"/>
  <c r="B38" i="6" s="1"/>
  <c r="B39" i="6" s="1"/>
  <c r="B40" i="6" s="1"/>
  <c r="B41" i="6" s="1"/>
  <c r="B42" i="6" s="1"/>
  <c r="B43" i="6" s="1"/>
  <c r="B44" i="6" s="1"/>
  <c r="B45" i="6" s="1"/>
  <c r="B46" i="6" s="1"/>
  <c r="B47" i="6" s="1"/>
  <c r="M16" i="14"/>
  <c r="E16" i="10"/>
  <c r="L16" i="10"/>
  <c r="H17" i="8"/>
  <c r="D18" i="11"/>
  <c r="F18" i="11"/>
  <c r="D17" i="8"/>
  <c r="M18" i="11"/>
  <c r="C17" i="8"/>
  <c r="E16" i="14"/>
  <c r="I25" i="9"/>
  <c r="L55" i="9"/>
  <c r="M16" i="10"/>
  <c r="C16" i="14"/>
  <c r="D25" i="9"/>
  <c r="M55" i="9"/>
  <c r="C18" i="11"/>
  <c r="D16" i="14"/>
  <c r="C55" i="9"/>
  <c r="D16" i="10"/>
  <c r="E18" i="11"/>
  <c r="F16" i="14"/>
  <c r="D55" i="9"/>
  <c r="G16" i="14"/>
  <c r="I17" i="8"/>
  <c r="E55" i="9"/>
  <c r="F16" i="10"/>
  <c r="G18" i="11"/>
  <c r="H16" i="14"/>
  <c r="F55" i="9"/>
  <c r="G16" i="10"/>
  <c r="H18" i="11"/>
  <c r="I16" i="14"/>
  <c r="G17" i="8"/>
  <c r="C25" i="9"/>
  <c r="G55" i="9"/>
  <c r="H16" i="10"/>
  <c r="I18" i="11"/>
  <c r="J16" i="14"/>
  <c r="F17" i="8"/>
  <c r="M25" i="9"/>
  <c r="H55" i="9"/>
  <c r="I16" i="10"/>
  <c r="J18" i="11"/>
  <c r="K16" i="14"/>
  <c r="F7" i="6"/>
  <c r="L25" i="9"/>
  <c r="I55" i="9"/>
  <c r="J16" i="10"/>
  <c r="K18" i="11"/>
  <c r="L16" i="14"/>
  <c r="K25" i="9"/>
  <c r="J55" i="9"/>
  <c r="K16" i="10"/>
  <c r="L18" i="11"/>
  <c r="J25" i="9"/>
  <c r="K55" i="9"/>
  <c r="R8" i="4"/>
  <c r="H25" i="9"/>
  <c r="G25" i="9"/>
  <c r="F25" i="9"/>
  <c r="L17" i="8"/>
  <c r="F5" i="6"/>
  <c r="G10" i="6"/>
  <c r="F10" i="6" s="1"/>
  <c r="Q39" i="4"/>
  <c r="R39" i="4" s="1"/>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K1001" i="4"/>
  <c r="K1002" i="4"/>
  <c r="K1003" i="4"/>
  <c r="K1004" i="4"/>
  <c r="K1005" i="4"/>
  <c r="K1006" i="4"/>
  <c r="K1007" i="4"/>
  <c r="K1008" i="4"/>
  <c r="K1009" i="4"/>
  <c r="K1010" i="4"/>
  <c r="K1011" i="4"/>
  <c r="K1012" i="4"/>
  <c r="K1013" i="4"/>
  <c r="K1014" i="4"/>
  <c r="K1015" i="4"/>
  <c r="K1016" i="4"/>
  <c r="K1017" i="4"/>
  <c r="K1018" i="4"/>
  <c r="K1019" i="4"/>
  <c r="K1020" i="4"/>
  <c r="K1021" i="4"/>
  <c r="K1022" i="4"/>
  <c r="K1023" i="4"/>
  <c r="K1024" i="4"/>
  <c r="K1025" i="4"/>
  <c r="K1026" i="4"/>
  <c r="K1027" i="4"/>
  <c r="K1028" i="4"/>
  <c r="K1029" i="4"/>
  <c r="K1030" i="4"/>
  <c r="K1031" i="4"/>
  <c r="K1032" i="4"/>
  <c r="K1033" i="4"/>
  <c r="K1034" i="4"/>
  <c r="K1035" i="4"/>
  <c r="K1036" i="4"/>
  <c r="K1037" i="4"/>
  <c r="K1038" i="4"/>
  <c r="K1039" i="4"/>
  <c r="K1040" i="4"/>
  <c r="K1041" i="4"/>
  <c r="K1042" i="4"/>
  <c r="K1043" i="4"/>
  <c r="K1044" i="4"/>
  <c r="K1045" i="4"/>
  <c r="K1046" i="4"/>
  <c r="K1047" i="4"/>
  <c r="K1048" i="4"/>
  <c r="K1049" i="4"/>
  <c r="K1050" i="4"/>
  <c r="K1051" i="4"/>
  <c r="K1052" i="4"/>
  <c r="K1053" i="4"/>
  <c r="K1054" i="4"/>
  <c r="K1055" i="4"/>
  <c r="K1056" i="4"/>
  <c r="K1057" i="4"/>
  <c r="K1058" i="4"/>
  <c r="K1059" i="4"/>
  <c r="K1060" i="4"/>
  <c r="K1061" i="4"/>
  <c r="K1062" i="4"/>
  <c r="K1063" i="4"/>
  <c r="K1064" i="4"/>
  <c r="K1065" i="4"/>
  <c r="K1066" i="4"/>
  <c r="K1067" i="4"/>
  <c r="K1068" i="4"/>
  <c r="K1069" i="4"/>
  <c r="K1070" i="4"/>
  <c r="K1071" i="4"/>
  <c r="K1072" i="4"/>
  <c r="K1073" i="4"/>
  <c r="K1074" i="4"/>
  <c r="K1075" i="4"/>
  <c r="K1076" i="4"/>
  <c r="K1077" i="4"/>
  <c r="K1078" i="4"/>
  <c r="K1079" i="4"/>
  <c r="K1080" i="4"/>
  <c r="K1081" i="4"/>
  <c r="K1082" i="4"/>
  <c r="K1083" i="4"/>
  <c r="K1084" i="4"/>
  <c r="K1085" i="4"/>
  <c r="K1086" i="4"/>
  <c r="K1087" i="4"/>
  <c r="K1088" i="4"/>
  <c r="K1089" i="4"/>
  <c r="K1090" i="4"/>
  <c r="K1091" i="4"/>
  <c r="K1092" i="4"/>
  <c r="K1093" i="4"/>
  <c r="K1094" i="4"/>
  <c r="K1095" i="4"/>
  <c r="K1096" i="4"/>
  <c r="K1097" i="4"/>
  <c r="K1098" i="4"/>
  <c r="K1099" i="4"/>
  <c r="K1100" i="4"/>
  <c r="K1101" i="4"/>
  <c r="K1102" i="4"/>
  <c r="K1103" i="4"/>
  <c r="K1104" i="4"/>
  <c r="K1105" i="4"/>
  <c r="K1106" i="4"/>
  <c r="K1107" i="4"/>
  <c r="K1108" i="4"/>
  <c r="K1109" i="4"/>
  <c r="K1110" i="4"/>
  <c r="K1111" i="4"/>
  <c r="K1112" i="4"/>
  <c r="K1113" i="4"/>
  <c r="K1114" i="4"/>
  <c r="K1115" i="4"/>
  <c r="K1116" i="4"/>
  <c r="K1117" i="4"/>
  <c r="K1118" i="4"/>
  <c r="K1119" i="4"/>
  <c r="K1120" i="4"/>
  <c r="K1121" i="4"/>
  <c r="K1122" i="4"/>
  <c r="K1123" i="4"/>
  <c r="K1124" i="4"/>
  <c r="K1125" i="4"/>
  <c r="K1126" i="4"/>
  <c r="K1127" i="4"/>
  <c r="K1128" i="4"/>
  <c r="K1129" i="4"/>
  <c r="K1130" i="4"/>
  <c r="K1131" i="4"/>
  <c r="K1132" i="4"/>
  <c r="K1133" i="4"/>
  <c r="K1134" i="4"/>
  <c r="K1135" i="4"/>
  <c r="K1136" i="4"/>
  <c r="K1137" i="4"/>
  <c r="K1138" i="4"/>
  <c r="K1139" i="4"/>
  <c r="K1140" i="4"/>
  <c r="K1141" i="4"/>
  <c r="K1142" i="4"/>
  <c r="K1143" i="4"/>
  <c r="K1144" i="4"/>
  <c r="K1145" i="4"/>
  <c r="K1146" i="4"/>
  <c r="K1147" i="4"/>
  <c r="K1148" i="4"/>
  <c r="K1149" i="4"/>
  <c r="K1150" i="4"/>
  <c r="K1151" i="4"/>
  <c r="K1152" i="4"/>
  <c r="K1153" i="4"/>
  <c r="K1154" i="4"/>
  <c r="K1155" i="4"/>
  <c r="K1156" i="4"/>
  <c r="K1157" i="4"/>
  <c r="K1158" i="4"/>
  <c r="K1159" i="4"/>
  <c r="K1160" i="4"/>
  <c r="K1161" i="4"/>
  <c r="K1162" i="4"/>
  <c r="K1163" i="4"/>
  <c r="K1164" i="4"/>
  <c r="K1165" i="4"/>
  <c r="K1166" i="4"/>
  <c r="K1167" i="4"/>
  <c r="K1168" i="4"/>
  <c r="K1169" i="4"/>
  <c r="K1170" i="4"/>
  <c r="K1171" i="4"/>
  <c r="K1172" i="4"/>
  <c r="K1173" i="4"/>
  <c r="K1174" i="4"/>
  <c r="K1175" i="4"/>
  <c r="K1176" i="4"/>
  <c r="K1177" i="4"/>
  <c r="K1178" i="4"/>
  <c r="K1179" i="4"/>
  <c r="K1180" i="4"/>
  <c r="K1181" i="4"/>
  <c r="K1182" i="4"/>
  <c r="K1183" i="4"/>
  <c r="K1184" i="4"/>
  <c r="K1185" i="4"/>
  <c r="K1186" i="4"/>
  <c r="K1187" i="4"/>
  <c r="K1188" i="4"/>
  <c r="K1189" i="4"/>
  <c r="K1190" i="4"/>
  <c r="K1191" i="4"/>
  <c r="K1192" i="4"/>
  <c r="K1193" i="4"/>
  <c r="K1194" i="4"/>
  <c r="K1195" i="4"/>
  <c r="K1196" i="4"/>
  <c r="K1197" i="4"/>
  <c r="K1198" i="4"/>
  <c r="K1199" i="4"/>
  <c r="K1200" i="4"/>
  <c r="K1201" i="4"/>
  <c r="K1202" i="4"/>
  <c r="K1203" i="4"/>
  <c r="K1204" i="4"/>
  <c r="K1205" i="4"/>
  <c r="K1206" i="4"/>
  <c r="K1207" i="4"/>
  <c r="K1208" i="4"/>
  <c r="K1209" i="4"/>
  <c r="K1210" i="4"/>
  <c r="K1211" i="4"/>
  <c r="K1212" i="4"/>
  <c r="K1213" i="4"/>
  <c r="K1214" i="4"/>
  <c r="K1215" i="4"/>
  <c r="K1216" i="4"/>
  <c r="K1217" i="4"/>
  <c r="K1218" i="4"/>
  <c r="K1219" i="4"/>
  <c r="K1220" i="4"/>
  <c r="K1221" i="4"/>
  <c r="K1222" i="4"/>
  <c r="K1223" i="4"/>
  <c r="K1224" i="4"/>
  <c r="K1225" i="4"/>
  <c r="K1226" i="4"/>
  <c r="K1227" i="4"/>
  <c r="K1228" i="4"/>
  <c r="K1229" i="4"/>
  <c r="K1230" i="4"/>
  <c r="K1231" i="4"/>
  <c r="K1232" i="4"/>
  <c r="K1233" i="4"/>
  <c r="K1234" i="4"/>
  <c r="K1235" i="4"/>
  <c r="K1236" i="4"/>
  <c r="K1237" i="4"/>
  <c r="K1238" i="4"/>
  <c r="K1239" i="4"/>
  <c r="K1240" i="4"/>
  <c r="K1241" i="4"/>
  <c r="K1242" i="4"/>
  <c r="K1243" i="4"/>
  <c r="K1244" i="4"/>
  <c r="K1245" i="4"/>
  <c r="K1246" i="4"/>
  <c r="K1247" i="4"/>
  <c r="K1248" i="4"/>
  <c r="K1249" i="4"/>
  <c r="K1250" i="4"/>
  <c r="K1251" i="4"/>
  <c r="K1252" i="4"/>
  <c r="K1253" i="4"/>
  <c r="K1254" i="4"/>
  <c r="K1255" i="4"/>
  <c r="K1256" i="4"/>
  <c r="K1257" i="4"/>
  <c r="K1258" i="4"/>
  <c r="K1259" i="4"/>
  <c r="K1260" i="4"/>
  <c r="K1261" i="4"/>
  <c r="K1262" i="4"/>
  <c r="K1263" i="4"/>
  <c r="K1264" i="4"/>
  <c r="K1265" i="4"/>
  <c r="K1266" i="4"/>
  <c r="K1267" i="4"/>
  <c r="K1268" i="4"/>
  <c r="K1269" i="4"/>
  <c r="K1270" i="4"/>
  <c r="K1271" i="4"/>
  <c r="K1272" i="4"/>
  <c r="K1273" i="4"/>
  <c r="K1274" i="4"/>
  <c r="K1275" i="4"/>
  <c r="K1276" i="4"/>
  <c r="K1277" i="4"/>
  <c r="K1278" i="4"/>
  <c r="K1279" i="4"/>
  <c r="K1280" i="4"/>
  <c r="K1281" i="4"/>
  <c r="K1282" i="4"/>
  <c r="K1283" i="4"/>
  <c r="K1284" i="4"/>
  <c r="K1285" i="4"/>
  <c r="K1286" i="4"/>
  <c r="K1287" i="4"/>
  <c r="K1288" i="4"/>
  <c r="K1289" i="4"/>
  <c r="K1290" i="4"/>
  <c r="K1291" i="4"/>
  <c r="K1292" i="4"/>
  <c r="K1293" i="4"/>
  <c r="K1294" i="4"/>
  <c r="K1295" i="4"/>
  <c r="K1296" i="4"/>
  <c r="K1297" i="4"/>
  <c r="K1298" i="4"/>
  <c r="K1299" i="4"/>
  <c r="K1300" i="4"/>
  <c r="K1301" i="4"/>
  <c r="K1302" i="4"/>
  <c r="K1303" i="4"/>
  <c r="K1304" i="4"/>
  <c r="K1305" i="4"/>
  <c r="K1306" i="4"/>
  <c r="K1307" i="4"/>
  <c r="K1308" i="4"/>
  <c r="K1309" i="4"/>
  <c r="K1310" i="4"/>
  <c r="K1311" i="4"/>
  <c r="K1312" i="4"/>
  <c r="K1313" i="4"/>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K1369" i="4"/>
  <c r="K1370" i="4"/>
  <c r="K1371" i="4"/>
  <c r="K1372" i="4"/>
  <c r="K1373" i="4"/>
  <c r="K1374" i="4"/>
  <c r="K1375" i="4"/>
  <c r="K1376" i="4"/>
  <c r="K1377" i="4"/>
  <c r="K1378" i="4"/>
  <c r="K1379" i="4"/>
  <c r="K1380" i="4"/>
  <c r="K1381" i="4"/>
  <c r="K1382" i="4"/>
  <c r="K1383" i="4"/>
  <c r="K1384" i="4"/>
  <c r="K1385" i="4"/>
  <c r="K1386" i="4"/>
  <c r="K1387" i="4"/>
  <c r="K1388" i="4"/>
  <c r="K1389" i="4"/>
  <c r="K1390" i="4"/>
  <c r="K1391" i="4"/>
  <c r="K1392" i="4"/>
  <c r="K1393" i="4"/>
  <c r="K1394" i="4"/>
  <c r="K1395" i="4"/>
  <c r="K1396" i="4"/>
  <c r="K1397" i="4"/>
  <c r="K1398" i="4"/>
  <c r="K1399" i="4"/>
  <c r="K1400" i="4"/>
  <c r="K1401" i="4"/>
  <c r="K1402" i="4"/>
  <c r="K1403" i="4"/>
  <c r="K1404" i="4"/>
  <c r="K1405" i="4"/>
  <c r="K1406" i="4"/>
  <c r="K1407" i="4"/>
  <c r="K1408" i="4"/>
  <c r="K1409" i="4"/>
  <c r="K1410" i="4"/>
  <c r="K1411" i="4"/>
  <c r="K1412" i="4"/>
  <c r="K1413" i="4"/>
  <c r="K1414" i="4"/>
  <c r="K1415" i="4"/>
  <c r="K1416" i="4"/>
  <c r="K1417" i="4"/>
  <c r="K1418" i="4"/>
  <c r="K1419" i="4"/>
  <c r="K1420" i="4"/>
  <c r="K1421" i="4"/>
  <c r="K1422" i="4"/>
  <c r="K1423" i="4"/>
  <c r="K1424" i="4"/>
  <c r="K1425" i="4"/>
  <c r="K1426" i="4"/>
  <c r="K1427" i="4"/>
  <c r="K1428" i="4"/>
  <c r="K1429" i="4"/>
  <c r="K1430" i="4"/>
  <c r="K1431" i="4"/>
  <c r="K1432" i="4"/>
  <c r="K1433" i="4"/>
  <c r="K1434" i="4"/>
  <c r="K1435" i="4"/>
  <c r="K1436" i="4"/>
  <c r="K1437" i="4"/>
  <c r="K1438" i="4"/>
  <c r="K1439" i="4"/>
  <c r="K1440" i="4"/>
  <c r="K1441" i="4"/>
  <c r="K1442" i="4"/>
  <c r="K1443" i="4"/>
  <c r="K1444" i="4"/>
  <c r="K1445" i="4"/>
  <c r="K1446" i="4"/>
  <c r="K1447" i="4"/>
  <c r="K1448" i="4"/>
  <c r="K1449" i="4"/>
  <c r="K1450" i="4"/>
  <c r="K1451" i="4"/>
  <c r="K1452" i="4"/>
  <c r="K1453" i="4"/>
  <c r="K1454" i="4"/>
  <c r="K1455" i="4"/>
  <c r="K1456" i="4"/>
  <c r="K1457" i="4"/>
  <c r="K1458" i="4"/>
  <c r="K1459" i="4"/>
  <c r="K1460" i="4"/>
  <c r="K1461" i="4"/>
  <c r="K1462" i="4"/>
  <c r="K1463" i="4"/>
  <c r="K1464" i="4"/>
  <c r="K1465" i="4"/>
  <c r="K1466" i="4"/>
  <c r="K1467" i="4"/>
  <c r="K1468" i="4"/>
  <c r="K1469" i="4"/>
  <c r="K1470" i="4"/>
  <c r="K1471" i="4"/>
  <c r="K1472" i="4"/>
  <c r="K1473" i="4"/>
  <c r="K1474" i="4"/>
  <c r="K1475" i="4"/>
  <c r="K1476" i="4"/>
  <c r="K1477" i="4"/>
  <c r="K1478" i="4"/>
  <c r="K1479" i="4"/>
  <c r="K1480" i="4"/>
  <c r="K1481" i="4"/>
  <c r="K1482" i="4"/>
  <c r="K1483" i="4"/>
  <c r="K1484" i="4"/>
  <c r="K1485" i="4"/>
  <c r="K1486" i="4"/>
  <c r="K1487" i="4"/>
  <c r="K1488" i="4"/>
  <c r="K1489" i="4"/>
  <c r="K1490" i="4"/>
  <c r="K1491" i="4"/>
  <c r="K1492" i="4"/>
  <c r="K1493" i="4"/>
  <c r="K1494" i="4"/>
  <c r="K1495" i="4"/>
  <c r="K1496" i="4"/>
  <c r="K1497" i="4"/>
  <c r="K1498" i="4"/>
  <c r="K1499" i="4"/>
  <c r="K1500" i="4"/>
  <c r="K1501" i="4"/>
  <c r="K1502" i="4"/>
  <c r="K1503" i="4"/>
  <c r="K1504" i="4"/>
  <c r="K1505" i="4"/>
  <c r="K1506" i="4"/>
  <c r="K1507" i="4"/>
  <c r="K1508" i="4"/>
  <c r="K1509" i="4"/>
  <c r="K1510" i="4"/>
  <c r="K1511" i="4"/>
  <c r="K1512" i="4"/>
  <c r="K1513" i="4"/>
  <c r="K1514" i="4"/>
  <c r="K1515" i="4"/>
  <c r="K1516" i="4"/>
  <c r="K1517" i="4"/>
  <c r="K1518" i="4"/>
  <c r="K1519" i="4"/>
  <c r="K1520" i="4"/>
  <c r="K1521" i="4"/>
  <c r="K1522" i="4"/>
  <c r="K1523" i="4"/>
  <c r="K1524" i="4"/>
  <c r="K1525" i="4"/>
  <c r="K1526" i="4"/>
  <c r="K1527" i="4"/>
  <c r="K1528" i="4"/>
  <c r="K1529" i="4"/>
  <c r="K1530" i="4"/>
  <c r="K1531" i="4"/>
  <c r="K1532" i="4"/>
  <c r="K1533" i="4"/>
  <c r="K1534" i="4"/>
  <c r="K1535" i="4"/>
  <c r="K1536" i="4"/>
  <c r="K1537" i="4"/>
  <c r="K1538" i="4"/>
  <c r="K1539" i="4"/>
  <c r="K1540" i="4"/>
  <c r="K1541" i="4"/>
  <c r="K1542" i="4"/>
  <c r="K1543" i="4"/>
  <c r="K1544" i="4"/>
  <c r="K1545" i="4"/>
  <c r="K1546" i="4"/>
  <c r="K1547" i="4"/>
  <c r="K1548" i="4"/>
  <c r="K1549" i="4"/>
  <c r="K1550" i="4"/>
  <c r="K1551" i="4"/>
  <c r="K1552" i="4"/>
  <c r="K1553" i="4"/>
  <c r="K1554" i="4"/>
  <c r="K1555" i="4"/>
  <c r="K1556" i="4"/>
  <c r="K1557" i="4"/>
  <c r="K1558" i="4"/>
  <c r="K1559" i="4"/>
  <c r="K1560" i="4"/>
  <c r="K1561" i="4"/>
  <c r="K1562" i="4"/>
  <c r="K1563" i="4"/>
  <c r="K1564" i="4"/>
  <c r="K1565" i="4"/>
  <c r="K1566" i="4"/>
  <c r="K1567" i="4"/>
  <c r="K1568" i="4"/>
  <c r="K1569" i="4"/>
  <c r="K1570" i="4"/>
  <c r="K1571" i="4"/>
  <c r="K1572" i="4"/>
  <c r="K1573" i="4"/>
  <c r="K1574" i="4"/>
  <c r="K1575" i="4"/>
  <c r="K1576" i="4"/>
  <c r="K1577" i="4"/>
  <c r="K1578" i="4"/>
  <c r="K1579" i="4"/>
  <c r="K1580" i="4"/>
  <c r="K1581" i="4"/>
  <c r="K1582" i="4"/>
  <c r="K1583" i="4"/>
  <c r="K1584" i="4"/>
  <c r="K1585" i="4"/>
  <c r="K1586" i="4"/>
  <c r="K1587" i="4"/>
  <c r="K1588" i="4"/>
  <c r="K1589" i="4"/>
  <c r="K1590" i="4"/>
  <c r="K1591" i="4"/>
  <c r="K1592" i="4"/>
  <c r="K1593" i="4"/>
  <c r="K1594" i="4"/>
  <c r="K1595" i="4"/>
  <c r="K1596" i="4"/>
  <c r="K1597" i="4"/>
  <c r="K1598" i="4"/>
  <c r="K1599" i="4"/>
  <c r="K1600" i="4"/>
  <c r="K1601" i="4"/>
  <c r="K1602" i="4"/>
  <c r="K1603" i="4"/>
  <c r="K1604" i="4"/>
  <c r="K1605" i="4"/>
  <c r="K1606" i="4"/>
  <c r="K1607" i="4"/>
  <c r="K1608" i="4"/>
  <c r="K1609" i="4"/>
  <c r="K1610" i="4"/>
  <c r="K1611" i="4"/>
  <c r="K1612" i="4"/>
  <c r="K1613" i="4"/>
  <c r="K1614" i="4"/>
  <c r="K1615" i="4"/>
  <c r="K1616" i="4"/>
  <c r="K1617" i="4"/>
  <c r="K1618" i="4"/>
  <c r="K1619" i="4"/>
  <c r="K1620" i="4"/>
  <c r="K1621" i="4"/>
  <c r="K1622" i="4"/>
  <c r="K1623" i="4"/>
  <c r="K1624" i="4"/>
  <c r="K1625" i="4"/>
  <c r="K1626" i="4"/>
  <c r="K1627" i="4"/>
  <c r="K1628" i="4"/>
  <c r="K1629" i="4"/>
  <c r="K1630" i="4"/>
  <c r="K1631" i="4"/>
  <c r="K1632" i="4"/>
  <c r="K1633" i="4"/>
  <c r="K1634" i="4"/>
  <c r="K1635" i="4"/>
  <c r="K1636" i="4"/>
  <c r="K1637" i="4"/>
  <c r="K1638" i="4"/>
  <c r="K1639" i="4"/>
  <c r="K1640" i="4"/>
  <c r="K1641" i="4"/>
  <c r="K1642" i="4"/>
  <c r="K1643" i="4"/>
  <c r="K1644" i="4"/>
  <c r="K1645" i="4"/>
  <c r="K1646" i="4"/>
  <c r="K1647" i="4"/>
  <c r="K1648" i="4"/>
  <c r="K1649" i="4"/>
  <c r="K1650" i="4"/>
  <c r="K1651" i="4"/>
  <c r="K1652" i="4"/>
  <c r="K1653" i="4"/>
  <c r="K1654" i="4"/>
  <c r="K1655" i="4"/>
  <c r="K1656" i="4"/>
  <c r="K1657" i="4"/>
  <c r="K1658" i="4"/>
  <c r="K1659" i="4"/>
  <c r="K1660" i="4"/>
  <c r="K1661" i="4"/>
  <c r="K1662" i="4"/>
  <c r="K1663" i="4"/>
  <c r="K1664" i="4"/>
  <c r="K1665" i="4"/>
  <c r="K1666" i="4"/>
  <c r="K1667" i="4"/>
  <c r="K1668" i="4"/>
  <c r="K1669" i="4"/>
  <c r="K1670" i="4"/>
  <c r="K1671" i="4"/>
  <c r="K1672" i="4"/>
  <c r="K1673" i="4"/>
  <c r="K1674" i="4"/>
  <c r="K1675" i="4"/>
  <c r="K1676" i="4"/>
  <c r="K1677" i="4"/>
  <c r="K1678" i="4"/>
  <c r="K1679" i="4"/>
  <c r="K1680" i="4"/>
  <c r="K1681" i="4"/>
  <c r="K1682" i="4"/>
  <c r="K1683" i="4"/>
  <c r="K1684" i="4"/>
  <c r="K1685" i="4"/>
  <c r="K1686" i="4"/>
  <c r="K1687" i="4"/>
  <c r="K1688" i="4"/>
  <c r="K1689" i="4"/>
  <c r="K1690" i="4"/>
  <c r="K1691" i="4"/>
  <c r="K1692" i="4"/>
  <c r="K1693" i="4"/>
  <c r="K1694" i="4"/>
  <c r="K1695" i="4"/>
  <c r="K1696" i="4"/>
  <c r="K1697" i="4"/>
  <c r="K1698" i="4"/>
  <c r="K1699" i="4"/>
  <c r="K1700" i="4"/>
  <c r="K1701" i="4"/>
  <c r="K1702" i="4"/>
  <c r="K1703" i="4"/>
  <c r="K1704" i="4"/>
  <c r="K1705" i="4"/>
  <c r="K1706" i="4"/>
  <c r="K1707" i="4"/>
  <c r="K1708" i="4"/>
  <c r="K1709" i="4"/>
  <c r="K1710" i="4"/>
  <c r="K1711" i="4"/>
  <c r="K1712" i="4"/>
  <c r="K1713" i="4"/>
  <c r="K1714" i="4"/>
  <c r="K1715" i="4"/>
  <c r="K1716" i="4"/>
  <c r="K1717" i="4"/>
  <c r="K1718" i="4"/>
  <c r="K1719" i="4"/>
  <c r="K1720" i="4"/>
  <c r="K1721" i="4"/>
  <c r="K1722" i="4"/>
  <c r="K1723" i="4"/>
  <c r="K1724" i="4"/>
  <c r="K1725" i="4"/>
  <c r="K1726" i="4"/>
  <c r="K1727" i="4"/>
  <c r="K1728" i="4"/>
  <c r="K1729" i="4"/>
  <c r="K1730" i="4"/>
  <c r="K1731" i="4"/>
  <c r="K1732" i="4"/>
  <c r="K1733" i="4"/>
  <c r="K1734" i="4"/>
  <c r="K1735" i="4"/>
  <c r="K1736" i="4"/>
  <c r="K1737" i="4"/>
  <c r="K1738" i="4"/>
  <c r="K1739" i="4"/>
  <c r="K1740" i="4"/>
  <c r="K1741" i="4"/>
  <c r="K1742" i="4"/>
  <c r="K1743" i="4"/>
  <c r="K1744" i="4"/>
  <c r="K1745" i="4"/>
  <c r="K1746" i="4"/>
  <c r="K1747" i="4"/>
  <c r="K1748" i="4"/>
  <c r="K1749" i="4"/>
  <c r="K1750" i="4"/>
  <c r="K1751" i="4"/>
  <c r="K1752" i="4"/>
  <c r="K1753" i="4"/>
  <c r="K1754" i="4"/>
  <c r="K1755" i="4"/>
  <c r="K1756" i="4"/>
  <c r="K1757" i="4"/>
  <c r="K1758" i="4"/>
  <c r="K1759" i="4"/>
  <c r="K1760" i="4"/>
  <c r="K1761" i="4"/>
  <c r="K1762" i="4"/>
  <c r="K1763" i="4"/>
  <c r="K1764" i="4"/>
  <c r="K1765" i="4"/>
  <c r="K1766" i="4"/>
  <c r="K1767" i="4"/>
  <c r="K1768" i="4"/>
  <c r="K1769" i="4"/>
  <c r="K1770" i="4"/>
  <c r="K1771" i="4"/>
  <c r="K1772" i="4"/>
  <c r="K1773" i="4"/>
  <c r="K1774" i="4"/>
  <c r="K1775" i="4"/>
  <c r="K1776" i="4"/>
  <c r="K1777" i="4"/>
  <c r="K1778" i="4"/>
  <c r="K1779" i="4"/>
  <c r="K1780" i="4"/>
  <c r="K1781" i="4"/>
  <c r="K1782" i="4"/>
  <c r="K1783" i="4"/>
  <c r="K1784" i="4"/>
  <c r="K1785" i="4"/>
  <c r="K1786" i="4"/>
  <c r="K1787" i="4"/>
  <c r="K1788" i="4"/>
  <c r="K1789" i="4"/>
  <c r="K1790" i="4"/>
  <c r="K1791" i="4"/>
  <c r="K1792" i="4"/>
  <c r="K1793" i="4"/>
  <c r="K1794" i="4"/>
  <c r="K1795" i="4"/>
  <c r="K1796" i="4"/>
  <c r="K1797" i="4"/>
  <c r="K1798" i="4"/>
  <c r="K1799" i="4"/>
  <c r="K1800" i="4"/>
  <c r="K1801" i="4"/>
  <c r="K1802" i="4"/>
  <c r="K1803" i="4"/>
  <c r="K1804" i="4"/>
  <c r="K1805" i="4"/>
  <c r="K1806" i="4"/>
  <c r="K1807" i="4"/>
  <c r="K1808" i="4"/>
  <c r="K1809" i="4"/>
  <c r="K1810" i="4"/>
  <c r="K1811" i="4"/>
  <c r="K1812" i="4"/>
  <c r="K1813" i="4"/>
  <c r="K1814" i="4"/>
  <c r="K1815" i="4"/>
  <c r="K1816" i="4"/>
  <c r="K1817" i="4"/>
  <c r="K1818" i="4"/>
  <c r="K1819" i="4"/>
  <c r="K1820" i="4"/>
  <c r="K1821" i="4"/>
  <c r="K1822" i="4"/>
  <c r="K1823" i="4"/>
  <c r="K1824" i="4"/>
  <c r="K1825" i="4"/>
  <c r="K1826" i="4"/>
  <c r="K1827" i="4"/>
  <c r="K1828" i="4"/>
  <c r="K1829" i="4"/>
  <c r="K1830" i="4"/>
  <c r="K1831" i="4"/>
  <c r="K1832" i="4"/>
  <c r="K1833" i="4"/>
  <c r="K1834" i="4"/>
  <c r="K1835" i="4"/>
  <c r="K1836" i="4"/>
  <c r="K1837" i="4"/>
  <c r="K1838" i="4"/>
  <c r="K1839" i="4"/>
  <c r="K1840" i="4"/>
  <c r="K1841" i="4"/>
  <c r="K1842" i="4"/>
  <c r="K1843" i="4"/>
  <c r="K1844" i="4"/>
  <c r="K1845" i="4"/>
  <c r="K1846" i="4"/>
  <c r="K1847" i="4"/>
  <c r="K1848" i="4"/>
  <c r="K1849" i="4"/>
  <c r="K1850" i="4"/>
  <c r="K1851" i="4"/>
  <c r="K1852" i="4"/>
  <c r="K1853" i="4"/>
  <c r="K1854" i="4"/>
  <c r="K1855" i="4"/>
  <c r="K1856" i="4"/>
  <c r="K1857" i="4"/>
  <c r="K1858" i="4"/>
  <c r="K1859" i="4"/>
  <c r="K1860" i="4"/>
  <c r="K1861" i="4"/>
  <c r="K1862" i="4"/>
  <c r="K1863" i="4"/>
  <c r="K1864" i="4"/>
  <c r="K1865" i="4"/>
  <c r="K1866" i="4"/>
  <c r="K1867" i="4"/>
  <c r="K1868" i="4"/>
  <c r="K1869" i="4"/>
  <c r="K1870" i="4"/>
  <c r="K1871" i="4"/>
  <c r="K1872" i="4"/>
  <c r="K1873" i="4"/>
  <c r="K1874" i="4"/>
  <c r="K1875" i="4"/>
  <c r="K1876" i="4"/>
  <c r="K1877" i="4"/>
  <c r="K1878" i="4"/>
  <c r="K1879" i="4"/>
  <c r="K1880" i="4"/>
  <c r="K1881" i="4"/>
  <c r="K1882" i="4"/>
  <c r="K1883" i="4"/>
  <c r="K1884" i="4"/>
  <c r="K1885" i="4"/>
  <c r="K1886" i="4"/>
  <c r="K1887" i="4"/>
  <c r="K1888" i="4"/>
  <c r="K1889" i="4"/>
  <c r="K1890" i="4"/>
  <c r="K1891" i="4"/>
  <c r="K1892" i="4"/>
  <c r="K1893" i="4"/>
  <c r="K1894" i="4"/>
  <c r="K1895" i="4"/>
  <c r="K1896" i="4"/>
  <c r="K1897" i="4"/>
  <c r="K1898" i="4"/>
  <c r="K1899" i="4"/>
  <c r="K1900" i="4"/>
  <c r="K1901" i="4"/>
  <c r="K1902" i="4"/>
  <c r="K1903" i="4"/>
  <c r="K1904" i="4"/>
  <c r="K1905" i="4"/>
  <c r="K1906" i="4"/>
  <c r="K1907" i="4"/>
  <c r="K1908" i="4"/>
  <c r="K1909" i="4"/>
  <c r="K1910" i="4"/>
  <c r="K1911" i="4"/>
  <c r="K1912" i="4"/>
  <c r="K1913" i="4"/>
  <c r="K1914" i="4"/>
  <c r="K1915" i="4"/>
  <c r="K1916" i="4"/>
  <c r="K1917" i="4"/>
  <c r="K1918" i="4"/>
  <c r="K1919" i="4"/>
  <c r="K1920" i="4"/>
  <c r="K1921" i="4"/>
  <c r="K1922" i="4"/>
  <c r="K1923" i="4"/>
  <c r="K1924" i="4"/>
  <c r="K1925" i="4"/>
  <c r="K1926" i="4"/>
  <c r="K1927" i="4"/>
  <c r="K1928" i="4"/>
  <c r="K1929" i="4"/>
  <c r="K1930" i="4"/>
  <c r="K1931" i="4"/>
  <c r="K1932" i="4"/>
  <c r="K1933" i="4"/>
  <c r="K1934" i="4"/>
  <c r="K1935" i="4"/>
  <c r="K1936" i="4"/>
  <c r="K1937" i="4"/>
  <c r="K1938" i="4"/>
  <c r="K1939" i="4"/>
  <c r="K1940" i="4"/>
  <c r="K1941" i="4"/>
  <c r="K1942" i="4"/>
  <c r="K1943" i="4"/>
  <c r="K1944" i="4"/>
  <c r="K1945" i="4"/>
  <c r="K1946" i="4"/>
  <c r="K1947" i="4"/>
  <c r="K1948" i="4"/>
  <c r="K1949" i="4"/>
  <c r="K1950" i="4"/>
  <c r="K1951" i="4"/>
  <c r="K1952" i="4"/>
  <c r="K1953" i="4"/>
  <c r="K1954" i="4"/>
  <c r="K1955" i="4"/>
  <c r="K1956" i="4"/>
  <c r="K1957" i="4"/>
  <c r="K1958" i="4"/>
  <c r="K1959" i="4"/>
  <c r="K1960" i="4"/>
  <c r="K1961" i="4"/>
  <c r="K1962" i="4"/>
  <c r="K1963" i="4"/>
  <c r="K1964" i="4"/>
  <c r="K1965" i="4"/>
  <c r="K1966" i="4"/>
  <c r="K1967" i="4"/>
  <c r="K1968" i="4"/>
  <c r="K1969" i="4"/>
  <c r="K1970" i="4"/>
  <c r="K1971" i="4"/>
  <c r="K1972" i="4"/>
  <c r="K1973" i="4"/>
  <c r="K1974" i="4"/>
  <c r="K1975" i="4"/>
  <c r="K1976" i="4"/>
  <c r="K1977" i="4"/>
  <c r="K1978" i="4"/>
  <c r="K1979" i="4"/>
  <c r="K1980" i="4"/>
  <c r="K1981" i="4"/>
  <c r="K1982" i="4"/>
  <c r="K1983" i="4"/>
  <c r="K1984" i="4"/>
  <c r="K1985" i="4"/>
  <c r="K1986" i="4"/>
  <c r="K1987" i="4"/>
  <c r="K1988" i="4"/>
  <c r="K1989" i="4"/>
  <c r="K1990" i="4"/>
  <c r="K1991" i="4"/>
  <c r="K1992" i="4"/>
  <c r="K1993" i="4"/>
  <c r="K1994" i="4"/>
  <c r="K1995" i="4"/>
  <c r="K1996" i="4"/>
  <c r="K1997" i="4"/>
  <c r="K1998" i="4"/>
  <c r="K1999" i="4"/>
  <c r="K2000" i="4"/>
  <c r="K2001" i="4"/>
  <c r="K2002" i="4"/>
  <c r="K2003" i="4"/>
  <c r="K2004" i="4"/>
  <c r="K2005" i="4"/>
  <c r="K2006" i="4"/>
  <c r="K2007" i="4"/>
  <c r="K2008" i="4"/>
  <c r="K2009" i="4"/>
  <c r="K2010" i="4"/>
  <c r="K2011" i="4"/>
  <c r="K2012" i="4"/>
  <c r="K2013" i="4"/>
  <c r="K2014" i="4"/>
  <c r="K2015" i="4"/>
  <c r="K2016" i="4"/>
  <c r="K2017" i="4"/>
  <c r="K2018" i="4"/>
  <c r="K2019" i="4"/>
  <c r="K2020" i="4"/>
  <c r="K2021" i="4"/>
  <c r="K2022" i="4"/>
  <c r="K2023" i="4"/>
  <c r="K2024" i="4"/>
  <c r="K2025" i="4"/>
  <c r="K2026" i="4"/>
  <c r="K2027" i="4"/>
  <c r="K2028" i="4"/>
  <c r="K2029" i="4"/>
  <c r="K2030" i="4"/>
  <c r="K2031" i="4"/>
  <c r="K2032" i="4"/>
  <c r="K2033" i="4"/>
  <c r="K2034" i="4"/>
  <c r="K2035" i="4"/>
  <c r="K2036" i="4"/>
  <c r="K2037" i="4"/>
  <c r="K2038" i="4"/>
  <c r="K2039" i="4"/>
  <c r="K2040" i="4"/>
  <c r="K2041" i="4"/>
  <c r="K2042" i="4"/>
  <c r="K2043" i="4"/>
  <c r="K2044" i="4"/>
  <c r="K2045" i="4"/>
  <c r="K2046" i="4"/>
  <c r="K2047" i="4"/>
  <c r="K2048" i="4"/>
  <c r="K2049" i="4"/>
  <c r="K2050" i="4"/>
  <c r="K2051" i="4"/>
  <c r="K2052" i="4"/>
  <c r="K2053" i="4"/>
  <c r="K2054" i="4"/>
  <c r="K2055" i="4"/>
  <c r="K2056" i="4"/>
  <c r="K2057" i="4"/>
  <c r="K2058" i="4"/>
  <c r="K2059" i="4"/>
  <c r="K2060" i="4"/>
  <c r="K2061" i="4"/>
  <c r="K2062" i="4"/>
  <c r="K2063" i="4"/>
  <c r="K2064" i="4"/>
  <c r="K2065" i="4"/>
  <c r="K2066" i="4"/>
  <c r="K2067" i="4"/>
  <c r="K2068" i="4"/>
  <c r="K2069" i="4"/>
  <c r="K2070" i="4"/>
  <c r="K2071" i="4"/>
  <c r="K2072" i="4"/>
  <c r="K2073" i="4"/>
  <c r="K2074" i="4"/>
  <c r="K2075" i="4"/>
  <c r="K2076" i="4"/>
  <c r="K2077" i="4"/>
  <c r="K2078" i="4"/>
  <c r="K2079" i="4"/>
  <c r="K2080" i="4"/>
  <c r="K2081" i="4"/>
  <c r="K2082" i="4"/>
  <c r="K2083" i="4"/>
  <c r="K2084" i="4"/>
  <c r="K2085" i="4"/>
  <c r="K2086" i="4"/>
  <c r="K2087" i="4"/>
  <c r="K2088" i="4"/>
  <c r="K2089" i="4"/>
  <c r="K2090" i="4"/>
  <c r="K2091" i="4"/>
  <c r="K2092" i="4"/>
  <c r="K2093" i="4"/>
  <c r="K2094" i="4"/>
  <c r="K2095" i="4"/>
  <c r="K2096" i="4"/>
  <c r="K2097" i="4"/>
  <c r="K2098" i="4"/>
  <c r="K2099" i="4"/>
  <c r="K2100" i="4"/>
  <c r="K2101" i="4"/>
  <c r="K2102" i="4"/>
  <c r="K2103" i="4"/>
  <c r="K2104" i="4"/>
  <c r="K2105" i="4"/>
  <c r="K2106" i="4"/>
  <c r="K2107" i="4"/>
  <c r="K2108" i="4"/>
  <c r="K2109" i="4"/>
  <c r="K2110" i="4"/>
  <c r="K2111" i="4"/>
  <c r="K2112" i="4"/>
  <c r="K2113" i="4"/>
  <c r="K2114" i="4"/>
  <c r="K2115" i="4"/>
  <c r="K2116" i="4"/>
  <c r="K2117" i="4"/>
  <c r="K2118" i="4"/>
  <c r="K2119" i="4"/>
  <c r="K2120" i="4"/>
  <c r="K2121" i="4"/>
  <c r="K2122" i="4"/>
  <c r="K2123" i="4"/>
  <c r="K2124" i="4"/>
  <c r="K2125" i="4"/>
  <c r="K2126" i="4"/>
  <c r="K2127" i="4"/>
  <c r="K2128" i="4"/>
  <c r="K2129" i="4"/>
  <c r="K2130" i="4"/>
  <c r="K2131" i="4"/>
  <c r="K2132" i="4"/>
  <c r="K2133" i="4"/>
  <c r="K2134" i="4"/>
  <c r="K2135" i="4"/>
  <c r="K2136" i="4"/>
  <c r="K2137" i="4"/>
  <c r="K2138" i="4"/>
  <c r="K2139" i="4"/>
  <c r="K2140" i="4"/>
  <c r="K2141" i="4"/>
  <c r="K2142" i="4"/>
  <c r="K2143" i="4"/>
  <c r="K2144" i="4"/>
  <c r="K2145" i="4"/>
  <c r="K2146" i="4"/>
  <c r="K2147" i="4"/>
  <c r="K2148" i="4"/>
  <c r="K2149" i="4"/>
  <c r="K2150" i="4"/>
  <c r="K2151" i="4"/>
  <c r="K2152" i="4"/>
  <c r="K2153" i="4"/>
  <c r="K2154" i="4"/>
  <c r="K2155" i="4"/>
  <c r="K2156" i="4"/>
  <c r="K2157" i="4"/>
  <c r="K2158" i="4"/>
  <c r="K2159" i="4"/>
  <c r="K2160" i="4"/>
  <c r="K2161" i="4"/>
  <c r="K2162" i="4"/>
  <c r="K2163" i="4"/>
  <c r="K2164" i="4"/>
  <c r="K2165" i="4"/>
  <c r="K2166" i="4"/>
  <c r="K2167" i="4"/>
  <c r="K2168" i="4"/>
  <c r="K2169" i="4"/>
  <c r="K2170" i="4"/>
  <c r="K2171" i="4"/>
  <c r="K2172" i="4"/>
  <c r="K2173" i="4"/>
  <c r="K2174" i="4"/>
  <c r="K2175" i="4"/>
  <c r="K2176" i="4"/>
  <c r="K2177" i="4"/>
  <c r="K2178" i="4"/>
  <c r="K2179" i="4"/>
  <c r="K2180" i="4"/>
  <c r="K2181" i="4"/>
  <c r="K2182" i="4"/>
  <c r="K2183" i="4"/>
  <c r="K2184" i="4"/>
  <c r="K2185" i="4"/>
  <c r="K2186" i="4"/>
  <c r="K2187" i="4"/>
  <c r="K2188" i="4"/>
  <c r="K2189" i="4"/>
  <c r="K2190" i="4"/>
  <c r="K2191" i="4"/>
  <c r="K2192" i="4"/>
  <c r="K2193" i="4"/>
  <c r="K2194" i="4"/>
  <c r="K2195" i="4"/>
  <c r="K2196" i="4"/>
  <c r="K2197" i="4"/>
  <c r="K2198" i="4"/>
  <c r="K2199" i="4"/>
  <c r="K2200" i="4"/>
  <c r="K2201" i="4"/>
  <c r="K2202" i="4"/>
  <c r="K2203" i="4"/>
  <c r="K2204" i="4"/>
  <c r="K2205" i="4"/>
  <c r="K2206" i="4"/>
  <c r="K2207" i="4"/>
  <c r="K2208" i="4"/>
  <c r="K2209" i="4"/>
  <c r="K2210" i="4"/>
  <c r="K2211" i="4"/>
  <c r="K2212" i="4"/>
  <c r="K2213" i="4"/>
  <c r="K2214" i="4"/>
  <c r="K2215" i="4"/>
  <c r="K2216" i="4"/>
  <c r="K2217" i="4"/>
  <c r="K2218" i="4"/>
  <c r="K2219" i="4"/>
  <c r="K2220" i="4"/>
  <c r="K2221" i="4"/>
  <c r="K2222" i="4"/>
  <c r="K2223" i="4"/>
  <c r="K2224" i="4"/>
  <c r="K2225" i="4"/>
  <c r="K2226" i="4"/>
  <c r="K2227" i="4"/>
  <c r="K2228" i="4"/>
  <c r="K2229" i="4"/>
  <c r="K2230" i="4"/>
  <c r="K2231" i="4"/>
  <c r="K2232" i="4"/>
  <c r="K2233" i="4"/>
  <c r="K2234" i="4"/>
  <c r="K2235" i="4"/>
  <c r="K2236" i="4"/>
  <c r="K2237" i="4"/>
  <c r="K2238" i="4"/>
  <c r="K2239" i="4"/>
  <c r="K2240" i="4"/>
  <c r="K2241" i="4"/>
  <c r="K2242" i="4"/>
  <c r="K2243" i="4"/>
  <c r="K2244" i="4"/>
  <c r="K2245" i="4"/>
  <c r="K2246" i="4"/>
  <c r="K2247" i="4"/>
  <c r="K2248" i="4"/>
  <c r="K2249" i="4"/>
  <c r="K2250" i="4"/>
  <c r="K2251" i="4"/>
  <c r="K2252" i="4"/>
  <c r="K2253" i="4"/>
  <c r="K2254" i="4"/>
  <c r="K2255" i="4"/>
  <c r="K2256" i="4"/>
  <c r="K2257" i="4"/>
  <c r="K2258" i="4"/>
  <c r="K2259" i="4"/>
  <c r="K2260" i="4"/>
  <c r="K2261" i="4"/>
  <c r="K2262" i="4"/>
  <c r="K2263" i="4"/>
  <c r="K2264" i="4"/>
  <c r="K2265" i="4"/>
  <c r="K2266" i="4"/>
  <c r="K2267" i="4"/>
  <c r="K2268" i="4"/>
  <c r="K2269" i="4"/>
  <c r="K2270" i="4"/>
  <c r="K2271" i="4"/>
  <c r="K2272" i="4"/>
  <c r="K2273" i="4"/>
  <c r="K2274" i="4"/>
  <c r="K2275" i="4"/>
  <c r="K2276" i="4"/>
  <c r="K2277" i="4"/>
  <c r="K2278" i="4"/>
  <c r="K2279" i="4"/>
  <c r="K2280" i="4"/>
  <c r="K2281" i="4"/>
  <c r="K2282" i="4"/>
  <c r="K2283" i="4"/>
  <c r="K2284" i="4"/>
  <c r="K2285" i="4"/>
  <c r="K2286" i="4"/>
  <c r="K2287" i="4"/>
  <c r="K2288" i="4"/>
  <c r="K2289" i="4"/>
  <c r="K2290" i="4"/>
  <c r="K2291" i="4"/>
  <c r="K2292" i="4"/>
  <c r="K2293" i="4"/>
  <c r="K2294" i="4"/>
  <c r="K2295" i="4"/>
  <c r="K2296" i="4"/>
  <c r="K2297" i="4"/>
  <c r="K2298" i="4"/>
  <c r="K2299" i="4"/>
  <c r="K2300" i="4"/>
  <c r="K2301" i="4"/>
  <c r="K2302" i="4"/>
  <c r="K2303" i="4"/>
  <c r="K2304" i="4"/>
  <c r="K2305" i="4"/>
  <c r="K2306" i="4"/>
  <c r="K2307" i="4"/>
  <c r="K2308" i="4"/>
  <c r="K2309" i="4"/>
  <c r="K2310" i="4"/>
  <c r="K2311" i="4"/>
  <c r="K2312" i="4"/>
  <c r="K2313" i="4"/>
  <c r="K2314" i="4"/>
  <c r="K2315" i="4"/>
  <c r="K2316" i="4"/>
  <c r="K2317" i="4"/>
  <c r="K2318" i="4"/>
  <c r="K2319" i="4"/>
  <c r="K2320" i="4"/>
  <c r="K2321" i="4"/>
  <c r="K2322" i="4"/>
  <c r="K2323" i="4"/>
  <c r="K2324" i="4"/>
  <c r="K2325" i="4"/>
  <c r="K2326" i="4"/>
  <c r="K2327" i="4"/>
  <c r="K2328" i="4"/>
  <c r="K2329" i="4"/>
  <c r="K2330" i="4"/>
  <c r="K2331" i="4"/>
  <c r="K2332" i="4"/>
  <c r="K2333" i="4"/>
  <c r="K2334" i="4"/>
  <c r="K2335" i="4"/>
  <c r="K2336" i="4"/>
  <c r="K2337" i="4"/>
  <c r="K2338" i="4"/>
  <c r="K2339" i="4"/>
  <c r="K2340" i="4"/>
  <c r="K2341" i="4"/>
  <c r="K2342" i="4"/>
  <c r="K2343" i="4"/>
  <c r="K2344" i="4"/>
  <c r="K2345" i="4"/>
  <c r="K2346" i="4"/>
  <c r="K2347" i="4"/>
  <c r="K2348" i="4"/>
  <c r="K2349" i="4"/>
  <c r="K2350" i="4"/>
  <c r="K2351" i="4"/>
  <c r="K2352" i="4"/>
  <c r="K2353" i="4"/>
  <c r="K2354" i="4"/>
  <c r="K2355" i="4"/>
  <c r="K2356" i="4"/>
  <c r="K2357" i="4"/>
  <c r="K2358" i="4"/>
  <c r="K2359" i="4"/>
  <c r="K2360" i="4"/>
  <c r="K2361" i="4"/>
  <c r="K2362" i="4"/>
  <c r="K2363" i="4"/>
  <c r="K2364" i="4"/>
  <c r="K2365" i="4"/>
  <c r="K2366" i="4"/>
  <c r="K2367" i="4"/>
  <c r="K2368" i="4"/>
  <c r="K2369" i="4"/>
  <c r="K2370" i="4"/>
  <c r="K2371" i="4"/>
  <c r="K2372" i="4"/>
  <c r="K2373" i="4"/>
  <c r="K2374" i="4"/>
  <c r="K2375" i="4"/>
  <c r="K2376" i="4"/>
  <c r="K2377" i="4"/>
  <c r="K2378" i="4"/>
  <c r="K2379" i="4"/>
  <c r="K2380" i="4"/>
  <c r="K2381" i="4"/>
  <c r="K2382" i="4"/>
  <c r="K2383" i="4"/>
  <c r="K2384" i="4"/>
  <c r="K2385" i="4"/>
  <c r="K2386" i="4"/>
  <c r="K2387" i="4"/>
  <c r="K2388" i="4"/>
  <c r="K2389" i="4"/>
  <c r="K2390" i="4"/>
  <c r="K2391" i="4"/>
  <c r="K2392" i="4"/>
  <c r="K2393" i="4"/>
  <c r="K2394" i="4"/>
  <c r="K2395" i="4"/>
  <c r="K2396" i="4"/>
  <c r="K2397" i="4"/>
  <c r="K2398" i="4"/>
  <c r="K2399" i="4"/>
  <c r="K2400" i="4"/>
  <c r="K2401" i="4"/>
  <c r="K2402" i="4"/>
  <c r="K2403" i="4"/>
  <c r="K2404" i="4"/>
  <c r="K2405" i="4"/>
  <c r="K2406" i="4"/>
  <c r="K2407" i="4"/>
  <c r="K2408" i="4"/>
  <c r="K2409" i="4"/>
  <c r="K2410" i="4"/>
  <c r="K2411" i="4"/>
  <c r="K2412" i="4"/>
  <c r="K2413" i="4"/>
  <c r="K2414" i="4"/>
  <c r="K2415" i="4"/>
  <c r="K2416" i="4"/>
  <c r="K2417" i="4"/>
  <c r="K2418" i="4"/>
  <c r="K2419" i="4"/>
  <c r="K2420" i="4"/>
  <c r="K2421" i="4"/>
  <c r="K2422" i="4"/>
  <c r="K2423" i="4"/>
  <c r="K2424" i="4"/>
  <c r="K2425" i="4"/>
  <c r="K2426" i="4"/>
  <c r="K2427" i="4"/>
  <c r="K2428" i="4"/>
  <c r="K2429" i="4"/>
  <c r="K2430" i="4"/>
  <c r="K2431" i="4"/>
  <c r="K2432" i="4"/>
  <c r="K2433" i="4"/>
  <c r="K2434" i="4"/>
  <c r="K2435" i="4"/>
  <c r="K2436" i="4"/>
  <c r="K2437" i="4"/>
  <c r="K2438" i="4"/>
  <c r="K2439" i="4"/>
  <c r="K2440" i="4"/>
  <c r="K2441" i="4"/>
  <c r="K2442" i="4"/>
  <c r="K2443" i="4"/>
  <c r="K2444" i="4"/>
  <c r="K2445" i="4"/>
  <c r="K2446" i="4"/>
  <c r="K2447" i="4"/>
  <c r="K2448" i="4"/>
  <c r="K2449" i="4"/>
  <c r="K2450" i="4"/>
  <c r="K2451" i="4"/>
  <c r="K2452" i="4"/>
  <c r="K2453" i="4"/>
  <c r="K2454" i="4"/>
  <c r="K2455" i="4"/>
  <c r="K2456" i="4"/>
  <c r="K2457" i="4"/>
  <c r="K2458" i="4"/>
  <c r="K2459" i="4"/>
  <c r="K2460" i="4"/>
  <c r="K2461" i="4"/>
  <c r="K2462" i="4"/>
  <c r="K2463" i="4"/>
  <c r="K2464" i="4"/>
  <c r="K2465" i="4"/>
  <c r="K2466" i="4"/>
  <c r="K2467" i="4"/>
  <c r="K2468" i="4"/>
  <c r="K2469" i="4"/>
  <c r="K2470" i="4"/>
  <c r="K2471" i="4"/>
  <c r="K2472" i="4"/>
  <c r="K2473" i="4"/>
  <c r="K2474" i="4"/>
  <c r="K2475" i="4"/>
  <c r="K2476" i="4"/>
  <c r="K2477" i="4"/>
  <c r="K2478" i="4"/>
  <c r="K2479" i="4"/>
  <c r="K2480" i="4"/>
  <c r="K2481" i="4"/>
  <c r="K2482" i="4"/>
  <c r="K2483" i="4"/>
  <c r="K2484" i="4"/>
  <c r="K2485" i="4"/>
  <c r="K2486" i="4"/>
  <c r="K2487" i="4"/>
  <c r="K2488" i="4"/>
  <c r="K2489" i="4"/>
  <c r="K2490" i="4"/>
  <c r="K2491" i="4"/>
  <c r="K2492" i="4"/>
  <c r="K2493" i="4"/>
  <c r="K2494" i="4"/>
  <c r="K2495" i="4"/>
  <c r="K2496" i="4"/>
  <c r="K2497" i="4"/>
  <c r="K2498" i="4"/>
  <c r="K2499" i="4"/>
  <c r="K2500" i="4"/>
  <c r="K2501" i="4"/>
  <c r="K2502" i="4"/>
  <c r="K2503" i="4"/>
  <c r="K2504" i="4"/>
  <c r="K2505" i="4"/>
  <c r="K2506" i="4"/>
  <c r="K2507" i="4"/>
  <c r="K2508" i="4"/>
  <c r="K2509" i="4"/>
  <c r="K2510" i="4"/>
  <c r="K2511" i="4"/>
  <c r="K2512" i="4"/>
  <c r="K2513" i="4"/>
  <c r="K2514" i="4"/>
  <c r="K2515" i="4"/>
  <c r="K2516" i="4"/>
  <c r="K2517" i="4"/>
  <c r="K2518" i="4"/>
  <c r="K2519" i="4"/>
  <c r="K2520" i="4"/>
  <c r="K2521" i="4"/>
  <c r="K2522" i="4"/>
  <c r="K2523" i="4"/>
  <c r="K2524" i="4"/>
  <c r="K2525" i="4"/>
  <c r="K2526" i="4"/>
  <c r="K2527" i="4"/>
  <c r="K2528" i="4"/>
  <c r="K2529" i="4"/>
  <c r="K2530" i="4"/>
  <c r="K2531" i="4"/>
  <c r="K2532" i="4"/>
  <c r="K2533" i="4"/>
  <c r="K2534" i="4"/>
  <c r="K2535" i="4"/>
  <c r="K2536" i="4"/>
  <c r="K2537" i="4"/>
  <c r="K2538" i="4"/>
  <c r="K2539" i="4"/>
  <c r="K2540" i="4"/>
  <c r="K2541" i="4"/>
  <c r="K2542" i="4"/>
  <c r="K2543" i="4"/>
  <c r="K2544" i="4"/>
  <c r="K2545" i="4"/>
  <c r="K2546" i="4"/>
  <c r="K2547" i="4"/>
  <c r="K2548" i="4"/>
  <c r="K2549" i="4"/>
  <c r="K2550" i="4"/>
  <c r="K2551" i="4"/>
  <c r="K2552" i="4"/>
  <c r="K2553" i="4"/>
  <c r="K2554" i="4"/>
  <c r="K2555" i="4"/>
  <c r="K2556" i="4"/>
  <c r="K2557" i="4"/>
  <c r="K2558" i="4"/>
  <c r="K2559" i="4"/>
  <c r="K2560" i="4"/>
  <c r="K2561" i="4"/>
  <c r="K2562" i="4"/>
  <c r="K2563" i="4"/>
  <c r="K2564" i="4"/>
  <c r="K2565" i="4"/>
  <c r="K2566" i="4"/>
  <c r="K2567" i="4"/>
  <c r="K2568" i="4"/>
  <c r="K2569" i="4"/>
  <c r="K2570" i="4"/>
  <c r="K2571" i="4"/>
  <c r="K2572" i="4"/>
  <c r="K2573" i="4"/>
  <c r="K2574" i="4"/>
  <c r="K2575" i="4"/>
  <c r="K2576" i="4"/>
  <c r="K2577" i="4"/>
  <c r="K2578" i="4"/>
  <c r="K2579" i="4"/>
  <c r="K2580" i="4"/>
  <c r="K2581" i="4"/>
  <c r="K2582" i="4"/>
  <c r="K2583" i="4"/>
  <c r="K2584" i="4"/>
  <c r="K2585" i="4"/>
  <c r="K2586" i="4"/>
  <c r="K2587" i="4"/>
  <c r="K2588" i="4"/>
  <c r="K2589" i="4"/>
  <c r="K2590" i="4"/>
  <c r="K2591" i="4"/>
  <c r="K2592" i="4"/>
  <c r="K2593" i="4"/>
  <c r="K2594" i="4"/>
  <c r="K2595" i="4"/>
  <c r="K2596" i="4"/>
  <c r="K2597" i="4"/>
  <c r="K2598" i="4"/>
  <c r="K2599" i="4"/>
  <c r="K2600" i="4"/>
  <c r="K2601" i="4"/>
  <c r="K2602" i="4"/>
  <c r="K2603" i="4"/>
  <c r="K2604" i="4"/>
  <c r="K2605" i="4"/>
  <c r="K2606" i="4"/>
  <c r="K2607" i="4"/>
  <c r="K2608" i="4"/>
  <c r="K2609" i="4"/>
  <c r="K2610" i="4"/>
  <c r="K2611" i="4"/>
  <c r="K2612" i="4"/>
  <c r="K2613" i="4"/>
  <c r="K2614" i="4"/>
  <c r="K2615" i="4"/>
  <c r="K2616" i="4"/>
  <c r="K2617" i="4"/>
  <c r="K2618" i="4"/>
  <c r="K2619" i="4"/>
  <c r="K2620" i="4"/>
  <c r="K2621" i="4"/>
  <c r="K2622" i="4"/>
  <c r="K2623" i="4"/>
  <c r="K2624" i="4"/>
  <c r="K2625" i="4"/>
  <c r="K2626" i="4"/>
  <c r="K2627" i="4"/>
  <c r="K2628" i="4"/>
  <c r="K2629" i="4"/>
  <c r="K2630" i="4"/>
  <c r="K2631" i="4"/>
  <c r="K2632" i="4"/>
  <c r="K2633" i="4"/>
  <c r="K2634" i="4"/>
  <c r="K2635" i="4"/>
  <c r="K2636" i="4"/>
  <c r="K2637" i="4"/>
  <c r="K2638" i="4"/>
  <c r="K2639" i="4"/>
  <c r="K2640" i="4"/>
  <c r="K2641" i="4"/>
  <c r="K2642" i="4"/>
  <c r="K2643" i="4"/>
  <c r="K2644" i="4"/>
  <c r="K2645" i="4"/>
  <c r="K2646" i="4"/>
  <c r="K2647" i="4"/>
  <c r="K2648" i="4"/>
  <c r="K2649" i="4"/>
  <c r="K2650" i="4"/>
  <c r="K2651" i="4"/>
  <c r="K2652" i="4"/>
  <c r="K2653" i="4"/>
  <c r="K2654" i="4"/>
  <c r="K2655" i="4"/>
  <c r="K2656" i="4"/>
  <c r="K2657" i="4"/>
  <c r="K2658" i="4"/>
  <c r="K2659" i="4"/>
  <c r="K2660" i="4"/>
  <c r="K2661" i="4"/>
  <c r="K2662" i="4"/>
  <c r="K2663" i="4"/>
  <c r="K2664" i="4"/>
  <c r="K2665" i="4"/>
  <c r="K2666" i="4"/>
  <c r="K2667" i="4"/>
  <c r="K2668" i="4"/>
  <c r="K2669" i="4"/>
  <c r="K2670" i="4"/>
  <c r="K2671" i="4"/>
  <c r="K2672" i="4"/>
  <c r="K2673" i="4"/>
  <c r="K2674" i="4"/>
  <c r="K2675" i="4"/>
  <c r="K2676" i="4"/>
  <c r="K2677" i="4"/>
  <c r="K2678" i="4"/>
  <c r="K2679" i="4"/>
  <c r="K2680" i="4"/>
  <c r="K2681" i="4"/>
  <c r="K2682" i="4"/>
  <c r="K2683" i="4"/>
  <c r="K2684" i="4"/>
  <c r="K2685" i="4"/>
  <c r="K2686" i="4"/>
  <c r="K2687" i="4"/>
  <c r="K2688" i="4"/>
  <c r="K2689" i="4"/>
  <c r="K2690" i="4"/>
  <c r="K2691" i="4"/>
  <c r="K2692" i="4"/>
  <c r="K2693" i="4"/>
  <c r="K2694" i="4"/>
  <c r="K2695" i="4"/>
  <c r="K2696" i="4"/>
  <c r="K2697" i="4"/>
  <c r="K2698" i="4"/>
  <c r="K2699" i="4"/>
  <c r="K2700" i="4"/>
  <c r="K2701" i="4"/>
  <c r="K2702" i="4"/>
  <c r="K2703" i="4"/>
  <c r="K2704" i="4"/>
  <c r="K2705" i="4"/>
  <c r="K2706" i="4"/>
  <c r="K2707" i="4"/>
  <c r="K2708" i="4"/>
  <c r="K2709" i="4"/>
  <c r="K2710" i="4"/>
  <c r="K2711" i="4"/>
  <c r="K2712" i="4"/>
  <c r="K2713" i="4"/>
  <c r="K2714" i="4"/>
  <c r="K2715" i="4"/>
  <c r="K2716" i="4"/>
  <c r="K2717" i="4"/>
  <c r="K2718" i="4"/>
  <c r="K2719" i="4"/>
  <c r="K2720" i="4"/>
  <c r="K2721" i="4"/>
  <c r="K2722" i="4"/>
  <c r="K2723" i="4"/>
  <c r="K2724" i="4"/>
  <c r="K2725" i="4"/>
  <c r="K2726" i="4"/>
  <c r="K2727" i="4"/>
  <c r="K2728" i="4"/>
  <c r="K2729" i="4"/>
  <c r="K2730" i="4"/>
  <c r="K2731" i="4"/>
  <c r="K2732" i="4"/>
  <c r="K2733" i="4"/>
  <c r="K2734" i="4"/>
  <c r="K2735" i="4"/>
  <c r="K2736" i="4"/>
  <c r="K2737" i="4"/>
  <c r="K2738" i="4"/>
  <c r="K2739" i="4"/>
  <c r="K2740" i="4"/>
  <c r="K2741" i="4"/>
  <c r="K2742" i="4"/>
  <c r="K2743" i="4"/>
  <c r="K2744" i="4"/>
  <c r="K2745" i="4"/>
  <c r="K2746" i="4"/>
  <c r="K2747" i="4"/>
  <c r="K2748" i="4"/>
  <c r="K2749" i="4"/>
  <c r="K2750" i="4"/>
  <c r="K2751" i="4"/>
  <c r="K2752" i="4"/>
  <c r="K2753" i="4"/>
  <c r="K2754" i="4"/>
  <c r="K2755" i="4"/>
  <c r="K2756" i="4"/>
  <c r="K2757" i="4"/>
  <c r="K2758" i="4"/>
  <c r="K2759" i="4"/>
  <c r="K2760" i="4"/>
  <c r="K2761" i="4"/>
  <c r="K2762" i="4"/>
  <c r="K2763" i="4"/>
  <c r="K2764" i="4"/>
  <c r="K2765" i="4"/>
  <c r="K2766" i="4"/>
  <c r="K2767" i="4"/>
  <c r="K2768" i="4"/>
  <c r="K2769" i="4"/>
  <c r="K2770" i="4"/>
  <c r="K2771" i="4"/>
  <c r="K2772" i="4"/>
  <c r="K2773" i="4"/>
  <c r="K2774" i="4"/>
  <c r="K2775" i="4"/>
  <c r="K2776" i="4"/>
  <c r="K2777" i="4"/>
  <c r="K2778" i="4"/>
  <c r="K2779" i="4"/>
  <c r="K2780" i="4"/>
  <c r="K2781" i="4"/>
  <c r="K2782" i="4"/>
  <c r="K2783" i="4"/>
  <c r="K2784" i="4"/>
  <c r="K2785" i="4"/>
  <c r="K2786" i="4"/>
  <c r="K2787" i="4"/>
  <c r="K2788" i="4"/>
  <c r="K2789" i="4"/>
  <c r="K2790" i="4"/>
  <c r="K2791" i="4"/>
  <c r="K2792" i="4"/>
  <c r="K2793" i="4"/>
  <c r="K2794" i="4"/>
  <c r="K2795" i="4"/>
  <c r="K2796" i="4"/>
  <c r="K2797" i="4"/>
  <c r="K2798" i="4"/>
  <c r="K2799" i="4"/>
  <c r="K2800" i="4"/>
  <c r="K2801" i="4"/>
  <c r="K2802" i="4"/>
  <c r="K2803" i="4"/>
  <c r="K2804" i="4"/>
  <c r="K2805" i="4"/>
  <c r="K2806" i="4"/>
  <c r="K2807" i="4"/>
  <c r="K2808" i="4"/>
  <c r="K2809" i="4"/>
  <c r="K2810" i="4"/>
  <c r="K2811" i="4"/>
  <c r="K2812" i="4"/>
  <c r="K2813" i="4"/>
  <c r="K2814" i="4"/>
  <c r="K2815" i="4"/>
  <c r="K2816" i="4"/>
  <c r="K2817" i="4"/>
  <c r="K2818" i="4"/>
  <c r="K2819" i="4"/>
  <c r="K2820" i="4"/>
  <c r="K2821" i="4"/>
  <c r="K2822" i="4"/>
  <c r="K2823" i="4"/>
  <c r="K2824" i="4"/>
  <c r="K2825" i="4"/>
  <c r="K2826" i="4"/>
  <c r="K2827" i="4"/>
  <c r="K2828" i="4"/>
  <c r="K2829" i="4"/>
  <c r="K2830" i="4"/>
  <c r="K2831" i="4"/>
  <c r="K2832" i="4"/>
  <c r="K2833" i="4"/>
  <c r="K2834" i="4"/>
  <c r="K2835" i="4"/>
  <c r="K2836" i="4"/>
  <c r="K2837" i="4"/>
  <c r="K2838" i="4"/>
  <c r="K2839" i="4"/>
  <c r="K2840" i="4"/>
  <c r="K2841" i="4"/>
  <c r="K2842" i="4"/>
  <c r="K2843" i="4"/>
  <c r="K2844" i="4"/>
  <c r="K2845" i="4"/>
  <c r="K2846" i="4"/>
  <c r="K2847" i="4"/>
  <c r="K2848" i="4"/>
  <c r="K2849" i="4"/>
  <c r="K2850" i="4"/>
  <c r="K2851" i="4"/>
  <c r="K2852" i="4"/>
  <c r="K2853" i="4"/>
  <c r="K2854" i="4"/>
  <c r="K2855" i="4"/>
  <c r="K2856" i="4"/>
  <c r="K2857" i="4"/>
  <c r="K2858" i="4"/>
  <c r="K2859" i="4"/>
  <c r="K2860" i="4"/>
  <c r="K2861" i="4"/>
  <c r="K2862" i="4"/>
  <c r="K2863" i="4"/>
  <c r="K2864" i="4"/>
  <c r="K2865" i="4"/>
  <c r="K2866" i="4"/>
  <c r="K2867" i="4"/>
  <c r="K2868" i="4"/>
  <c r="K2869" i="4"/>
  <c r="K2870" i="4"/>
  <c r="K2871" i="4"/>
  <c r="K2872" i="4"/>
  <c r="K2873" i="4"/>
  <c r="K2874" i="4"/>
  <c r="K2875" i="4"/>
  <c r="K2876" i="4"/>
  <c r="K2877" i="4"/>
  <c r="K2878" i="4"/>
  <c r="K2879" i="4"/>
  <c r="K2880" i="4"/>
  <c r="K2881" i="4"/>
  <c r="K2882" i="4"/>
  <c r="K2883" i="4"/>
  <c r="K2884" i="4"/>
  <c r="K2885" i="4"/>
  <c r="K2886" i="4"/>
  <c r="K2887" i="4"/>
  <c r="K2888" i="4"/>
  <c r="K2889" i="4"/>
  <c r="K2890" i="4"/>
  <c r="K2891" i="4"/>
  <c r="K2892" i="4"/>
  <c r="K2893" i="4"/>
  <c r="K2894" i="4"/>
  <c r="K2895" i="4"/>
  <c r="K2896" i="4"/>
  <c r="K2897" i="4"/>
  <c r="K2898" i="4"/>
  <c r="K2899" i="4"/>
  <c r="K2900" i="4"/>
  <c r="K2901" i="4"/>
  <c r="K2902" i="4"/>
  <c r="K2903" i="4"/>
  <c r="K2904" i="4"/>
  <c r="K2905" i="4"/>
  <c r="K2906" i="4"/>
  <c r="K2907" i="4"/>
  <c r="K2908" i="4"/>
  <c r="K2909" i="4"/>
  <c r="K2910" i="4"/>
  <c r="K2911" i="4"/>
  <c r="K2912" i="4"/>
  <c r="K2913" i="4"/>
  <c r="K2914" i="4"/>
  <c r="K2915" i="4"/>
  <c r="K2916" i="4"/>
  <c r="K2917" i="4"/>
  <c r="K2918" i="4"/>
  <c r="K2919" i="4"/>
  <c r="K2920" i="4"/>
  <c r="K2921" i="4"/>
  <c r="K2922" i="4"/>
  <c r="K2923" i="4"/>
  <c r="K2924" i="4"/>
  <c r="K2925" i="4"/>
  <c r="K2926" i="4"/>
  <c r="K2927" i="4"/>
  <c r="K2928" i="4"/>
  <c r="K2929" i="4"/>
  <c r="K2930" i="4"/>
  <c r="K2931" i="4"/>
  <c r="K2932" i="4"/>
  <c r="K2933" i="4"/>
  <c r="K2934" i="4"/>
  <c r="K2935" i="4"/>
  <c r="K2936" i="4"/>
  <c r="K2937" i="4"/>
  <c r="K2938" i="4"/>
  <c r="K2939" i="4"/>
  <c r="K2940" i="4"/>
  <c r="K2941" i="4"/>
  <c r="K2942" i="4"/>
  <c r="K2943" i="4"/>
  <c r="K2944" i="4"/>
  <c r="K2945" i="4"/>
  <c r="K2946" i="4"/>
  <c r="K2947" i="4"/>
  <c r="K2948" i="4"/>
  <c r="K2949" i="4"/>
  <c r="K2950" i="4"/>
  <c r="K2951" i="4"/>
  <c r="K2952" i="4"/>
  <c r="K2953" i="4"/>
  <c r="K2954" i="4"/>
  <c r="K2955" i="4"/>
  <c r="K2956" i="4"/>
  <c r="K2957" i="4"/>
  <c r="K2958" i="4"/>
  <c r="K2959" i="4"/>
  <c r="K2960" i="4"/>
  <c r="K2961" i="4"/>
  <c r="K2962" i="4"/>
  <c r="K2963" i="4"/>
  <c r="K2964" i="4"/>
  <c r="K2965" i="4"/>
  <c r="K2966" i="4"/>
  <c r="K2967" i="4"/>
  <c r="K2968" i="4"/>
  <c r="K2969" i="4"/>
  <c r="K2970" i="4"/>
  <c r="K2971" i="4"/>
  <c r="K2972" i="4"/>
  <c r="K2973" i="4"/>
  <c r="K2974" i="4"/>
  <c r="K2975" i="4"/>
  <c r="K2976" i="4"/>
  <c r="K2977" i="4"/>
  <c r="K2978" i="4"/>
  <c r="K2979" i="4"/>
  <c r="K2980" i="4"/>
  <c r="K2981" i="4"/>
  <c r="K2982" i="4"/>
  <c r="K2983" i="4"/>
  <c r="K2984" i="4"/>
  <c r="K2985" i="4"/>
  <c r="K2986" i="4"/>
  <c r="K2987" i="4"/>
  <c r="K2988" i="4"/>
  <c r="K2989" i="4"/>
  <c r="K2990" i="4"/>
  <c r="K2991" i="4"/>
  <c r="K2992" i="4"/>
  <c r="K2993" i="4"/>
  <c r="K2994" i="4"/>
  <c r="K2995" i="4"/>
  <c r="K2996" i="4"/>
  <c r="K2997" i="4"/>
  <c r="K2998" i="4"/>
  <c r="K2999" i="4"/>
  <c r="K3000" i="4"/>
  <c r="K3001" i="4"/>
  <c r="K3002" i="4"/>
  <c r="K3003" i="4"/>
  <c r="K3004" i="4"/>
  <c r="K3005" i="4"/>
  <c r="K3006" i="4"/>
  <c r="K3007" i="4"/>
  <c r="K3008" i="4"/>
  <c r="K3009" i="4"/>
  <c r="K3010" i="4"/>
  <c r="K3011" i="4"/>
  <c r="K3012" i="4"/>
  <c r="K3013" i="4"/>
  <c r="K3014" i="4"/>
  <c r="K3015" i="4"/>
  <c r="K3016" i="4"/>
  <c r="K3017" i="4"/>
  <c r="K3018" i="4"/>
  <c r="K3019" i="4"/>
  <c r="K3020" i="4"/>
  <c r="K3021" i="4"/>
  <c r="K3022" i="4"/>
  <c r="K3023" i="4"/>
  <c r="K3024" i="4"/>
  <c r="K3025" i="4"/>
  <c r="K3026" i="4"/>
  <c r="K3027" i="4"/>
  <c r="K3028" i="4"/>
  <c r="K3029" i="4"/>
  <c r="K3030" i="4"/>
  <c r="K3031" i="4"/>
  <c r="K3032" i="4"/>
  <c r="K3033" i="4"/>
  <c r="K3034" i="4"/>
  <c r="K3035" i="4"/>
  <c r="K3036" i="4"/>
  <c r="K3037" i="4"/>
  <c r="K3038" i="4"/>
  <c r="K3039" i="4"/>
  <c r="K3040" i="4"/>
  <c r="K3041" i="4"/>
  <c r="K3042" i="4"/>
  <c r="K3043" i="4"/>
  <c r="K3044" i="4"/>
  <c r="K3045" i="4"/>
  <c r="K3046" i="4"/>
  <c r="K3047" i="4"/>
  <c r="K3048" i="4"/>
  <c r="K3049" i="4"/>
  <c r="K3050" i="4"/>
  <c r="K3051" i="4"/>
  <c r="K3052" i="4"/>
  <c r="K3053" i="4"/>
  <c r="K3054" i="4"/>
  <c r="K3055" i="4"/>
  <c r="K3056" i="4"/>
  <c r="K3057" i="4"/>
  <c r="K3058" i="4"/>
  <c r="K3059" i="4"/>
  <c r="K3060" i="4"/>
  <c r="K3061" i="4"/>
  <c r="K3062" i="4"/>
  <c r="K3063" i="4"/>
  <c r="K3064" i="4"/>
  <c r="K3065" i="4"/>
  <c r="K3066" i="4"/>
  <c r="K3067" i="4"/>
  <c r="K3068" i="4"/>
  <c r="K3069" i="4"/>
  <c r="K3070" i="4"/>
  <c r="K3071" i="4"/>
  <c r="K3072" i="4"/>
  <c r="K3073" i="4"/>
  <c r="K3074" i="4"/>
  <c r="K3075" i="4"/>
  <c r="K3076" i="4"/>
  <c r="K3077" i="4"/>
  <c r="K3078" i="4"/>
  <c r="K3079" i="4"/>
  <c r="K3080" i="4"/>
  <c r="K3081" i="4"/>
  <c r="K3082" i="4"/>
  <c r="K3083" i="4"/>
  <c r="K3084" i="4"/>
  <c r="K3085" i="4"/>
  <c r="K3086" i="4"/>
  <c r="K3087" i="4"/>
  <c r="K3088" i="4"/>
  <c r="K3089" i="4"/>
  <c r="K3090" i="4"/>
  <c r="K3091" i="4"/>
  <c r="K3092" i="4"/>
  <c r="K3093" i="4"/>
  <c r="K3094" i="4"/>
  <c r="K3095" i="4"/>
  <c r="K3096" i="4"/>
  <c r="K3097" i="4"/>
  <c r="K3098" i="4"/>
  <c r="K3099" i="4"/>
  <c r="K3100" i="4"/>
  <c r="K3101" i="4"/>
  <c r="K3102" i="4"/>
  <c r="K3103" i="4"/>
  <c r="K3104" i="4"/>
  <c r="K3105" i="4"/>
  <c r="K3106" i="4"/>
  <c r="K3107" i="4"/>
  <c r="K3108" i="4"/>
  <c r="K3109" i="4"/>
  <c r="K3110" i="4"/>
  <c r="K3111" i="4"/>
  <c r="K3112" i="4"/>
  <c r="K3113" i="4"/>
  <c r="K3114" i="4"/>
  <c r="K3115" i="4"/>
  <c r="K3116" i="4"/>
  <c r="K3117" i="4"/>
  <c r="K3118" i="4"/>
  <c r="K3119" i="4"/>
  <c r="K3120" i="4"/>
  <c r="K3121" i="4"/>
  <c r="K3122" i="4"/>
  <c r="K3123" i="4"/>
  <c r="K3124" i="4"/>
  <c r="K3125" i="4"/>
  <c r="K3126" i="4"/>
  <c r="K3127" i="4"/>
  <c r="K3128" i="4"/>
  <c r="K3129" i="4"/>
  <c r="K3130" i="4"/>
  <c r="K3131" i="4"/>
  <c r="K3132" i="4"/>
  <c r="K3133" i="4"/>
  <c r="K3134" i="4"/>
  <c r="K3135" i="4"/>
  <c r="K3136" i="4"/>
  <c r="K3137" i="4"/>
  <c r="K3138" i="4"/>
  <c r="K3139" i="4"/>
  <c r="K3140" i="4"/>
  <c r="K3141" i="4"/>
  <c r="K3142" i="4"/>
  <c r="K3143" i="4"/>
  <c r="K3144" i="4"/>
  <c r="K3145" i="4"/>
  <c r="K3146" i="4"/>
  <c r="K3147" i="4"/>
  <c r="K3148" i="4"/>
  <c r="K3149" i="4"/>
  <c r="K3150" i="4"/>
  <c r="K3151" i="4"/>
  <c r="K3152" i="4"/>
  <c r="K3153" i="4"/>
  <c r="K3154" i="4"/>
  <c r="K3155" i="4"/>
  <c r="K3156" i="4"/>
  <c r="K3157" i="4"/>
  <c r="K3158" i="4"/>
  <c r="K3159" i="4"/>
  <c r="K3160" i="4"/>
  <c r="K3161" i="4"/>
  <c r="K3162" i="4"/>
  <c r="K3163" i="4"/>
  <c r="K3164" i="4"/>
  <c r="K3165" i="4"/>
  <c r="K3166" i="4"/>
  <c r="K3167" i="4"/>
  <c r="K3168" i="4"/>
  <c r="K3169" i="4"/>
  <c r="K3170" i="4"/>
  <c r="K3171" i="4"/>
  <c r="K3172" i="4"/>
  <c r="K3173" i="4"/>
  <c r="K3174" i="4"/>
  <c r="K3175" i="4"/>
  <c r="K3176" i="4"/>
  <c r="K3177" i="4"/>
  <c r="K3178" i="4"/>
  <c r="K3179" i="4"/>
  <c r="K3180" i="4"/>
  <c r="K3181" i="4"/>
  <c r="K3182" i="4"/>
  <c r="K3183" i="4"/>
  <c r="K3184" i="4"/>
  <c r="K3185" i="4"/>
  <c r="K3186" i="4"/>
  <c r="K3187" i="4"/>
  <c r="K3188" i="4"/>
  <c r="K3189" i="4"/>
  <c r="K3190" i="4"/>
  <c r="K3191" i="4"/>
  <c r="K3192" i="4"/>
  <c r="K3193" i="4"/>
  <c r="K3194" i="4"/>
  <c r="K3195" i="4"/>
  <c r="K3196" i="4"/>
  <c r="K3197" i="4"/>
  <c r="K3198" i="4"/>
  <c r="K3199" i="4"/>
  <c r="K3200" i="4"/>
  <c r="K3201" i="4"/>
  <c r="K3202" i="4"/>
  <c r="K3203" i="4"/>
  <c r="K3204" i="4"/>
  <c r="K3205" i="4"/>
  <c r="K3206" i="4"/>
  <c r="K3207" i="4"/>
  <c r="K3208" i="4"/>
  <c r="K3209" i="4"/>
  <c r="K3210" i="4"/>
  <c r="K3211" i="4"/>
  <c r="K3212" i="4"/>
  <c r="K3213" i="4"/>
  <c r="K3214" i="4"/>
  <c r="K3215" i="4"/>
  <c r="K3216" i="4"/>
  <c r="K3217" i="4"/>
  <c r="K3218" i="4"/>
  <c r="K3219" i="4"/>
  <c r="K3220" i="4"/>
  <c r="K3221" i="4"/>
  <c r="K3222" i="4"/>
  <c r="K3223" i="4"/>
  <c r="K3224" i="4"/>
  <c r="K3225" i="4"/>
  <c r="K3226" i="4"/>
  <c r="K3227" i="4"/>
  <c r="K3228" i="4"/>
  <c r="K3229" i="4"/>
  <c r="K3230" i="4"/>
  <c r="K3231" i="4"/>
  <c r="K3232" i="4"/>
  <c r="K3233" i="4"/>
  <c r="K3234" i="4"/>
  <c r="K3235" i="4"/>
  <c r="K3236" i="4"/>
  <c r="K3237" i="4"/>
  <c r="K3238" i="4"/>
  <c r="K3239" i="4"/>
  <c r="K3240" i="4"/>
  <c r="K3241" i="4"/>
  <c r="K3242" i="4"/>
  <c r="K3243" i="4"/>
  <c r="K3244" i="4"/>
  <c r="K3245" i="4"/>
  <c r="K3246" i="4"/>
  <c r="K3247" i="4"/>
  <c r="K3248" i="4"/>
  <c r="K3249" i="4"/>
  <c r="K3250" i="4"/>
  <c r="K3251" i="4"/>
  <c r="K3252" i="4"/>
  <c r="K3253" i="4"/>
  <c r="K3254" i="4"/>
  <c r="K3255" i="4"/>
  <c r="K3256" i="4"/>
  <c r="K3257" i="4"/>
  <c r="K3258" i="4"/>
  <c r="K3259" i="4"/>
  <c r="K3260" i="4"/>
  <c r="K3261" i="4"/>
  <c r="K3262" i="4"/>
  <c r="K3263" i="4"/>
  <c r="K3264" i="4"/>
  <c r="K3265" i="4"/>
  <c r="K3266" i="4"/>
  <c r="K3267" i="4"/>
  <c r="K3268" i="4"/>
  <c r="K3269" i="4"/>
  <c r="K3270" i="4"/>
  <c r="K3271" i="4"/>
  <c r="K3272" i="4"/>
  <c r="K3273" i="4"/>
  <c r="K3274" i="4"/>
  <c r="K3275" i="4"/>
  <c r="K3276" i="4"/>
  <c r="K3277" i="4"/>
  <c r="K3278" i="4"/>
  <c r="K3279" i="4"/>
  <c r="K3280" i="4"/>
  <c r="K3281" i="4"/>
  <c r="K3282" i="4"/>
  <c r="K3283" i="4"/>
  <c r="K3284" i="4"/>
  <c r="K3285" i="4"/>
  <c r="K3286" i="4"/>
  <c r="K3287" i="4"/>
  <c r="K3288" i="4"/>
  <c r="K3289" i="4"/>
  <c r="K3290" i="4"/>
  <c r="K3291" i="4"/>
  <c r="K3292" i="4"/>
  <c r="K3293" i="4"/>
  <c r="K3294" i="4"/>
  <c r="K3295" i="4"/>
  <c r="K3296" i="4"/>
  <c r="K3297" i="4"/>
  <c r="K3298" i="4"/>
  <c r="K3299" i="4"/>
  <c r="K3300" i="4"/>
  <c r="K3301" i="4"/>
  <c r="K3302" i="4"/>
  <c r="K3303" i="4"/>
  <c r="K3304" i="4"/>
  <c r="K3305" i="4"/>
  <c r="K3306" i="4"/>
  <c r="K3307" i="4"/>
  <c r="K3308" i="4"/>
  <c r="K3309" i="4"/>
  <c r="K3310" i="4"/>
  <c r="K3311" i="4"/>
  <c r="K3312" i="4"/>
  <c r="K3313" i="4"/>
  <c r="K3314" i="4"/>
  <c r="K3315" i="4"/>
  <c r="K3316" i="4"/>
  <c r="K3317" i="4"/>
  <c r="K3318" i="4"/>
  <c r="K3319" i="4"/>
  <c r="K3320" i="4"/>
  <c r="K3321" i="4"/>
  <c r="K3322" i="4"/>
  <c r="K3323" i="4"/>
  <c r="K3324" i="4"/>
  <c r="K3325" i="4"/>
  <c r="K3326" i="4"/>
  <c r="K3327" i="4"/>
  <c r="K3328" i="4"/>
  <c r="K3329" i="4"/>
  <c r="K3330" i="4"/>
  <c r="K3331" i="4"/>
  <c r="K3332" i="4"/>
  <c r="K3333" i="4"/>
  <c r="K3334" i="4"/>
  <c r="K3335" i="4"/>
  <c r="K3336" i="4"/>
  <c r="K3337" i="4"/>
  <c r="K3338" i="4"/>
  <c r="K3339" i="4"/>
  <c r="K3340" i="4"/>
  <c r="K3341" i="4"/>
  <c r="K3342" i="4"/>
  <c r="K3343" i="4"/>
  <c r="K3344" i="4"/>
  <c r="K3345" i="4"/>
  <c r="K3346" i="4"/>
  <c r="K3347" i="4"/>
  <c r="K3348" i="4"/>
  <c r="K3349" i="4"/>
  <c r="K3350" i="4"/>
  <c r="K3351" i="4"/>
  <c r="K3352" i="4"/>
  <c r="K3353" i="4"/>
  <c r="K3354" i="4"/>
  <c r="K3355" i="4"/>
  <c r="K3356" i="4"/>
  <c r="K3357" i="4"/>
  <c r="K3358" i="4"/>
  <c r="K3359" i="4"/>
  <c r="K3360" i="4"/>
  <c r="K3361" i="4"/>
  <c r="K3362" i="4"/>
  <c r="K3363" i="4"/>
  <c r="K3364" i="4"/>
  <c r="K3365" i="4"/>
  <c r="K3366" i="4"/>
  <c r="K3367" i="4"/>
  <c r="K3368" i="4"/>
  <c r="K3369" i="4"/>
  <c r="K3370" i="4"/>
  <c r="K3371" i="4"/>
  <c r="K3372" i="4"/>
  <c r="K3373" i="4"/>
  <c r="K3374" i="4"/>
  <c r="K3375" i="4"/>
  <c r="K3376" i="4"/>
  <c r="K3377" i="4"/>
  <c r="K3378" i="4"/>
  <c r="K3379" i="4"/>
  <c r="K3380" i="4"/>
  <c r="K3381" i="4"/>
  <c r="K3382" i="4"/>
  <c r="K3383" i="4"/>
  <c r="K3384" i="4"/>
  <c r="K3385" i="4"/>
  <c r="K3386" i="4"/>
  <c r="K3387" i="4"/>
  <c r="K3388" i="4"/>
  <c r="K3389" i="4"/>
  <c r="K3390" i="4"/>
  <c r="K3391" i="4"/>
  <c r="K3392" i="4"/>
  <c r="K3393" i="4"/>
  <c r="K3394" i="4"/>
  <c r="K3395" i="4"/>
  <c r="K3396" i="4"/>
  <c r="K3397" i="4"/>
  <c r="K3398" i="4"/>
  <c r="K3399" i="4"/>
  <c r="K3400" i="4"/>
  <c r="K3401" i="4"/>
  <c r="K3402" i="4"/>
  <c r="K3403" i="4"/>
  <c r="K3404" i="4"/>
  <c r="K3405" i="4"/>
  <c r="K3406" i="4"/>
  <c r="K3407" i="4"/>
  <c r="K3408" i="4"/>
  <c r="K3409" i="4"/>
  <c r="K3410" i="4"/>
  <c r="K3411" i="4"/>
  <c r="K3412" i="4"/>
  <c r="K3413" i="4"/>
  <c r="K3414" i="4"/>
  <c r="K3415" i="4"/>
  <c r="K3416" i="4"/>
  <c r="K3417" i="4"/>
  <c r="K3418" i="4"/>
  <c r="K3419" i="4"/>
  <c r="K3420" i="4"/>
  <c r="K3421" i="4"/>
  <c r="K3422" i="4"/>
  <c r="K3423" i="4"/>
  <c r="K3424" i="4"/>
  <c r="K3425" i="4"/>
  <c r="K3426" i="4"/>
  <c r="K3427" i="4"/>
  <c r="K3428" i="4"/>
  <c r="K3429" i="4"/>
  <c r="K3430" i="4"/>
  <c r="K3431" i="4"/>
  <c r="K3432" i="4"/>
  <c r="K3433" i="4"/>
  <c r="K3434" i="4"/>
  <c r="K3435" i="4"/>
  <c r="K3436" i="4"/>
  <c r="K3437" i="4"/>
  <c r="K3438" i="4"/>
  <c r="K3439" i="4"/>
  <c r="K3440" i="4"/>
  <c r="K3441" i="4"/>
  <c r="K3442" i="4"/>
  <c r="K3443" i="4"/>
  <c r="K3444" i="4"/>
  <c r="K3445" i="4"/>
  <c r="K3446" i="4"/>
  <c r="K3447" i="4"/>
  <c r="K3448" i="4"/>
  <c r="K3449" i="4"/>
  <c r="K3450" i="4"/>
  <c r="K3451" i="4"/>
  <c r="K3452" i="4"/>
  <c r="K3453" i="4"/>
  <c r="K3454" i="4"/>
  <c r="K3455" i="4"/>
  <c r="K3456" i="4"/>
  <c r="K3457" i="4"/>
  <c r="K3458" i="4"/>
  <c r="K3459" i="4"/>
  <c r="K3460" i="4"/>
  <c r="K3461" i="4"/>
  <c r="K3462" i="4"/>
  <c r="K3463" i="4"/>
  <c r="K3464" i="4"/>
  <c r="K3465" i="4"/>
  <c r="K3466" i="4"/>
  <c r="K3467" i="4"/>
  <c r="K3468" i="4"/>
  <c r="K3469" i="4"/>
  <c r="K3470" i="4"/>
  <c r="K3471" i="4"/>
  <c r="K3472" i="4"/>
  <c r="K3473" i="4"/>
  <c r="K3474" i="4"/>
  <c r="K3475" i="4"/>
  <c r="K3476" i="4"/>
  <c r="K3477" i="4"/>
  <c r="K3478" i="4"/>
  <c r="K3479" i="4"/>
  <c r="K3480" i="4"/>
  <c r="K3481" i="4"/>
  <c r="K3482" i="4"/>
  <c r="K3483" i="4"/>
  <c r="K3484" i="4"/>
  <c r="K3485" i="4"/>
  <c r="K3486" i="4"/>
  <c r="K3487" i="4"/>
  <c r="K3488" i="4"/>
  <c r="K3489" i="4"/>
  <c r="K3490" i="4"/>
  <c r="K3491" i="4"/>
  <c r="K3492" i="4"/>
  <c r="K3493" i="4"/>
  <c r="K3494" i="4"/>
  <c r="K3495" i="4"/>
  <c r="K3496" i="4"/>
  <c r="K3497" i="4"/>
  <c r="K3498" i="4"/>
  <c r="K3499" i="4"/>
  <c r="K3500" i="4"/>
  <c r="K3501" i="4"/>
  <c r="K3502" i="4"/>
  <c r="K3503" i="4"/>
  <c r="K3504" i="4"/>
  <c r="K3505" i="4"/>
  <c r="K3506" i="4"/>
  <c r="K3507" i="4"/>
  <c r="K3508" i="4"/>
  <c r="K3509" i="4"/>
  <c r="K3510" i="4"/>
  <c r="K3511" i="4"/>
  <c r="K3512" i="4"/>
  <c r="K3513" i="4"/>
  <c r="K3514" i="4"/>
  <c r="K3515" i="4"/>
  <c r="K3516" i="4"/>
  <c r="K3517" i="4"/>
  <c r="K3518" i="4"/>
  <c r="K3519" i="4"/>
  <c r="K3520" i="4"/>
  <c r="K3521" i="4"/>
  <c r="K3522" i="4"/>
  <c r="K3523" i="4"/>
  <c r="K3524" i="4"/>
  <c r="K3525" i="4"/>
  <c r="K3526" i="4"/>
  <c r="K3527" i="4"/>
  <c r="K3528" i="4"/>
  <c r="K3529" i="4"/>
  <c r="K3530" i="4"/>
  <c r="K3531" i="4"/>
  <c r="K3532" i="4"/>
  <c r="K3533" i="4"/>
  <c r="K3534" i="4"/>
  <c r="K3535" i="4"/>
  <c r="K3536" i="4"/>
  <c r="K3537" i="4"/>
  <c r="K3538" i="4"/>
  <c r="K3539" i="4"/>
  <c r="K3540" i="4"/>
  <c r="K3541" i="4"/>
  <c r="K3542" i="4"/>
  <c r="K3543" i="4"/>
  <c r="K3544" i="4"/>
  <c r="K3545" i="4"/>
  <c r="K3546" i="4"/>
  <c r="K3547" i="4"/>
  <c r="K3548" i="4"/>
  <c r="K3549" i="4"/>
  <c r="K3550" i="4"/>
  <c r="K3551" i="4"/>
  <c r="K3552" i="4"/>
  <c r="K3553" i="4"/>
  <c r="K3554" i="4"/>
  <c r="K3555" i="4"/>
  <c r="K3556" i="4"/>
  <c r="K3557" i="4"/>
  <c r="K3558" i="4"/>
  <c r="K3559" i="4"/>
  <c r="K3560" i="4"/>
  <c r="K3561" i="4"/>
  <c r="K3562" i="4"/>
  <c r="K3563" i="4"/>
  <c r="K3564" i="4"/>
  <c r="K3565" i="4"/>
  <c r="K3566" i="4"/>
  <c r="K3567" i="4"/>
  <c r="K3568" i="4"/>
  <c r="K3569" i="4"/>
  <c r="K3570" i="4"/>
  <c r="K3571" i="4"/>
  <c r="K3572" i="4"/>
  <c r="K3573" i="4"/>
  <c r="K3574" i="4"/>
  <c r="K3575" i="4"/>
  <c r="K3576" i="4"/>
  <c r="K3577" i="4"/>
  <c r="K3578" i="4"/>
  <c r="K3579" i="4"/>
  <c r="K3580" i="4"/>
  <c r="K3581" i="4"/>
  <c r="K3582" i="4"/>
  <c r="K3583" i="4"/>
  <c r="K3584" i="4"/>
  <c r="K3585" i="4"/>
  <c r="K3586" i="4"/>
  <c r="K3587" i="4"/>
  <c r="K3588" i="4"/>
  <c r="K3589" i="4"/>
  <c r="K3590" i="4"/>
  <c r="K3591" i="4"/>
  <c r="K3592" i="4"/>
  <c r="K3593" i="4"/>
  <c r="K3594" i="4"/>
  <c r="K3595" i="4"/>
  <c r="K3596" i="4"/>
  <c r="K3597" i="4"/>
  <c r="K3598" i="4"/>
  <c r="K3599" i="4"/>
  <c r="K3600" i="4"/>
  <c r="K3601" i="4"/>
  <c r="K3602" i="4"/>
  <c r="K3603" i="4"/>
  <c r="K3604" i="4"/>
  <c r="K3605" i="4"/>
  <c r="K3606" i="4"/>
  <c r="K3607" i="4"/>
  <c r="K3608" i="4"/>
  <c r="K3609" i="4"/>
  <c r="K3610" i="4"/>
  <c r="K3611" i="4"/>
  <c r="K3612" i="4"/>
  <c r="K3613" i="4"/>
  <c r="K3614" i="4"/>
  <c r="K3615" i="4"/>
  <c r="K3616" i="4"/>
  <c r="K3617" i="4"/>
  <c r="K3618" i="4"/>
  <c r="K3619" i="4"/>
  <c r="K3620" i="4"/>
  <c r="K3621" i="4"/>
  <c r="K3622" i="4"/>
  <c r="K3623" i="4"/>
  <c r="K3624" i="4"/>
  <c r="K3625" i="4"/>
  <c r="K3626" i="4"/>
  <c r="K3627" i="4"/>
  <c r="K3628" i="4"/>
  <c r="K3629" i="4"/>
  <c r="K3630" i="4"/>
  <c r="K3631" i="4"/>
  <c r="K3632" i="4"/>
  <c r="K3633" i="4"/>
  <c r="K3634" i="4"/>
  <c r="K3635" i="4"/>
  <c r="K3636" i="4"/>
  <c r="K3637" i="4"/>
  <c r="K3638" i="4"/>
  <c r="K3639" i="4"/>
  <c r="K3640" i="4"/>
  <c r="K3641" i="4"/>
  <c r="K3642" i="4"/>
  <c r="K3643" i="4"/>
  <c r="K3644" i="4"/>
  <c r="K3645" i="4"/>
  <c r="K3646" i="4"/>
  <c r="K3647" i="4"/>
  <c r="K3648" i="4"/>
  <c r="K3649" i="4"/>
  <c r="K3650" i="4"/>
  <c r="K3651" i="4"/>
  <c r="K3652" i="4"/>
  <c r="K3653" i="4"/>
  <c r="K3654" i="4"/>
  <c r="K3655" i="4"/>
  <c r="K3656" i="4"/>
  <c r="K3657" i="4"/>
  <c r="K3658" i="4"/>
  <c r="K3659" i="4"/>
  <c r="K3660" i="4"/>
  <c r="K3661" i="4"/>
  <c r="K3662" i="4"/>
  <c r="K3663" i="4"/>
  <c r="K3664" i="4"/>
  <c r="K3665" i="4"/>
  <c r="K3666" i="4"/>
  <c r="K3667" i="4"/>
  <c r="K3668" i="4"/>
  <c r="K3669" i="4"/>
  <c r="K3670" i="4"/>
  <c r="K3671" i="4"/>
  <c r="K3672" i="4"/>
  <c r="K3673" i="4"/>
  <c r="K3674" i="4"/>
  <c r="K3675" i="4"/>
  <c r="K3676" i="4"/>
  <c r="K3677" i="4"/>
  <c r="K3678" i="4"/>
  <c r="K3679" i="4"/>
  <c r="K3680" i="4"/>
  <c r="K3681" i="4"/>
  <c r="K3682" i="4"/>
  <c r="K3683" i="4"/>
  <c r="K3684" i="4"/>
  <c r="K3685" i="4"/>
  <c r="K3686" i="4"/>
  <c r="K3687" i="4"/>
  <c r="K3688" i="4"/>
  <c r="K3689" i="4"/>
  <c r="K3690" i="4"/>
  <c r="K3691" i="4"/>
  <c r="K3692" i="4"/>
  <c r="K3693" i="4"/>
  <c r="K3694" i="4"/>
  <c r="K3695" i="4"/>
  <c r="K3696" i="4"/>
  <c r="K3697" i="4"/>
  <c r="K3698" i="4"/>
  <c r="K3699" i="4"/>
  <c r="K3700" i="4"/>
  <c r="K3701" i="4"/>
  <c r="K3702" i="4"/>
  <c r="K3703" i="4"/>
  <c r="K3704" i="4"/>
  <c r="K3705" i="4"/>
  <c r="K3706" i="4"/>
  <c r="K3707" i="4"/>
  <c r="K3708" i="4"/>
  <c r="K3709" i="4"/>
  <c r="K3710" i="4"/>
  <c r="K3711" i="4"/>
  <c r="K3712" i="4"/>
  <c r="K3713" i="4"/>
  <c r="K3714" i="4"/>
  <c r="K3715" i="4"/>
  <c r="K3716" i="4"/>
  <c r="K3717" i="4"/>
  <c r="K3718" i="4"/>
  <c r="K3719" i="4"/>
  <c r="K3720" i="4"/>
  <c r="K3721" i="4"/>
  <c r="K3722" i="4"/>
  <c r="K3723" i="4"/>
  <c r="K3724" i="4"/>
  <c r="K3725" i="4"/>
  <c r="K3726" i="4"/>
  <c r="K3727" i="4"/>
  <c r="K3728" i="4"/>
  <c r="K3729" i="4"/>
  <c r="K3730" i="4"/>
  <c r="K3731" i="4"/>
  <c r="K3732" i="4"/>
  <c r="K3733" i="4"/>
  <c r="K3734" i="4"/>
  <c r="K3735" i="4"/>
  <c r="K3736" i="4"/>
  <c r="K3737" i="4"/>
  <c r="K3738" i="4"/>
  <c r="K3739" i="4"/>
  <c r="K3740" i="4"/>
  <c r="K3741" i="4"/>
  <c r="K3742" i="4"/>
  <c r="K3743" i="4"/>
  <c r="K3744" i="4"/>
  <c r="K3745" i="4"/>
  <c r="K3746" i="4"/>
  <c r="K3747" i="4"/>
  <c r="K3748" i="4"/>
  <c r="K3749" i="4"/>
  <c r="K3750" i="4"/>
  <c r="K3751" i="4"/>
  <c r="K3752" i="4"/>
  <c r="K3753" i="4"/>
  <c r="K3754" i="4"/>
  <c r="K3755" i="4"/>
  <c r="K3756" i="4"/>
  <c r="K3757" i="4"/>
  <c r="K3758" i="4"/>
  <c r="K3759" i="4"/>
  <c r="K3760" i="4"/>
  <c r="K3761" i="4"/>
  <c r="K3762" i="4"/>
  <c r="K3763" i="4"/>
  <c r="K3764" i="4"/>
  <c r="K3765" i="4"/>
  <c r="K3766" i="4"/>
  <c r="K3767" i="4"/>
  <c r="K3768" i="4"/>
  <c r="K3769" i="4"/>
  <c r="K3770" i="4"/>
  <c r="K3771" i="4"/>
  <c r="K3772" i="4"/>
  <c r="K3773" i="4"/>
  <c r="K3774" i="4"/>
  <c r="K3775" i="4"/>
  <c r="K3776" i="4"/>
  <c r="K3777" i="4"/>
  <c r="K3778" i="4"/>
  <c r="K3779" i="4"/>
  <c r="K3780" i="4"/>
  <c r="K3781" i="4"/>
  <c r="K3782" i="4"/>
  <c r="K3783" i="4"/>
  <c r="K3784" i="4"/>
  <c r="K3785" i="4"/>
  <c r="K3786" i="4"/>
  <c r="K3787" i="4"/>
  <c r="K3788" i="4"/>
  <c r="K3789" i="4"/>
  <c r="K3790" i="4"/>
  <c r="K3791" i="4"/>
  <c r="K3792" i="4"/>
  <c r="K3793" i="4"/>
  <c r="K3794" i="4"/>
  <c r="K3795" i="4"/>
  <c r="K3796" i="4"/>
  <c r="K3797" i="4"/>
  <c r="K3798" i="4"/>
  <c r="K3799" i="4"/>
  <c r="K3800" i="4"/>
  <c r="K3801" i="4"/>
  <c r="K3802" i="4"/>
  <c r="K3803" i="4"/>
  <c r="K3804" i="4"/>
  <c r="K3805" i="4"/>
  <c r="K3806" i="4"/>
  <c r="K3807" i="4"/>
  <c r="K3808" i="4"/>
  <c r="K3809" i="4"/>
  <c r="K3810" i="4"/>
  <c r="K3811" i="4"/>
  <c r="K3812" i="4"/>
  <c r="K3813" i="4"/>
  <c r="K3814" i="4"/>
  <c r="K3815" i="4"/>
  <c r="K3816" i="4"/>
  <c r="K3817" i="4"/>
  <c r="K3818" i="4"/>
  <c r="K3819" i="4"/>
  <c r="K3820" i="4"/>
  <c r="K3821" i="4"/>
  <c r="K3822" i="4"/>
  <c r="K3823" i="4"/>
  <c r="K3824" i="4"/>
  <c r="K3825" i="4"/>
  <c r="K3826" i="4"/>
  <c r="K3827" i="4"/>
  <c r="K3828" i="4"/>
  <c r="K3829" i="4"/>
  <c r="K3830" i="4"/>
  <c r="K3831" i="4"/>
  <c r="K3832" i="4"/>
  <c r="K3833" i="4"/>
  <c r="K3834" i="4"/>
  <c r="K3835" i="4"/>
  <c r="K3836" i="4"/>
  <c r="K3837" i="4"/>
  <c r="K3838" i="4"/>
  <c r="K3839" i="4"/>
  <c r="K3840" i="4"/>
  <c r="K3841" i="4"/>
  <c r="K3842" i="4"/>
  <c r="K3843" i="4"/>
  <c r="K3844" i="4"/>
  <c r="K3845" i="4"/>
  <c r="K3846" i="4"/>
  <c r="K3847" i="4"/>
  <c r="K3848" i="4"/>
  <c r="K3849" i="4"/>
  <c r="K3850" i="4"/>
  <c r="K3851" i="4"/>
  <c r="K3852" i="4"/>
  <c r="K3853" i="4"/>
  <c r="K3854" i="4"/>
  <c r="K3855" i="4"/>
  <c r="K3856" i="4"/>
  <c r="K3857" i="4"/>
  <c r="K3858" i="4"/>
  <c r="K3859" i="4"/>
  <c r="K3860" i="4"/>
  <c r="K3861" i="4"/>
  <c r="K3862" i="4"/>
  <c r="K3863" i="4"/>
  <c r="K3864" i="4"/>
  <c r="K3865" i="4"/>
  <c r="K3866" i="4"/>
  <c r="K3867" i="4"/>
  <c r="K3868" i="4"/>
  <c r="K3869" i="4"/>
  <c r="K3870" i="4"/>
  <c r="K3871" i="4"/>
  <c r="K3872" i="4"/>
  <c r="K3873" i="4"/>
  <c r="K3874" i="4"/>
  <c r="K3875" i="4"/>
  <c r="K3876" i="4"/>
  <c r="K3877" i="4"/>
  <c r="K3878" i="4"/>
  <c r="K3879" i="4"/>
  <c r="K3880" i="4"/>
  <c r="K3881" i="4"/>
  <c r="K3882" i="4"/>
  <c r="K3883" i="4"/>
  <c r="K3884" i="4"/>
  <c r="K3885" i="4"/>
  <c r="K3886" i="4"/>
  <c r="K3887" i="4"/>
  <c r="K3888" i="4"/>
  <c r="K3889" i="4"/>
  <c r="K3890" i="4"/>
  <c r="K3891" i="4"/>
  <c r="K3892" i="4"/>
  <c r="K3893" i="4"/>
  <c r="K3894" i="4"/>
  <c r="K3895" i="4"/>
  <c r="K3896" i="4"/>
  <c r="K3897" i="4"/>
  <c r="K3898" i="4"/>
  <c r="K3899" i="4"/>
  <c r="K3900" i="4"/>
  <c r="K3901" i="4"/>
  <c r="K3902" i="4"/>
  <c r="K3903" i="4"/>
  <c r="K3904" i="4"/>
  <c r="K3905" i="4"/>
  <c r="K3906" i="4"/>
  <c r="K3907" i="4"/>
  <c r="K3908" i="4"/>
  <c r="K3909" i="4"/>
  <c r="K3910" i="4"/>
  <c r="K3911" i="4"/>
  <c r="K3912" i="4"/>
  <c r="K3913" i="4"/>
  <c r="K3914" i="4"/>
  <c r="K3915" i="4"/>
  <c r="K3916" i="4"/>
  <c r="K3917" i="4"/>
  <c r="K3918" i="4"/>
  <c r="K3919" i="4"/>
  <c r="K3920" i="4"/>
  <c r="K3921" i="4"/>
  <c r="K3922" i="4"/>
  <c r="K3923" i="4"/>
  <c r="K3924" i="4"/>
  <c r="K3925" i="4"/>
  <c r="K3926" i="4"/>
  <c r="K3927" i="4"/>
  <c r="K3928" i="4"/>
  <c r="K3929" i="4"/>
  <c r="K3930" i="4"/>
  <c r="K3931" i="4"/>
  <c r="K3932" i="4"/>
  <c r="K3933" i="4"/>
  <c r="K3934" i="4"/>
  <c r="K3935" i="4"/>
  <c r="K3936" i="4"/>
  <c r="K3937" i="4"/>
  <c r="K3938" i="4"/>
  <c r="K3939" i="4"/>
  <c r="K3940" i="4"/>
  <c r="K3941" i="4"/>
  <c r="K3942" i="4"/>
  <c r="K3943" i="4"/>
  <c r="K3944" i="4"/>
  <c r="K3945" i="4"/>
  <c r="K3946" i="4"/>
  <c r="K3947" i="4"/>
  <c r="K3948" i="4"/>
  <c r="K3949" i="4"/>
  <c r="K3950" i="4"/>
  <c r="K3951" i="4"/>
  <c r="K3952" i="4"/>
  <c r="K3953" i="4"/>
  <c r="K3954" i="4"/>
  <c r="K3955" i="4"/>
  <c r="K3956" i="4"/>
  <c r="K3957" i="4"/>
  <c r="K3958" i="4"/>
  <c r="K3959" i="4"/>
  <c r="K3960" i="4"/>
  <c r="K3961" i="4"/>
  <c r="K3962" i="4"/>
  <c r="K3963" i="4"/>
  <c r="K3964" i="4"/>
  <c r="K3965" i="4"/>
  <c r="K3966" i="4"/>
  <c r="K3967" i="4"/>
  <c r="K3968" i="4"/>
  <c r="K3969" i="4"/>
  <c r="K3970" i="4"/>
  <c r="K3971" i="4"/>
  <c r="K3972" i="4"/>
  <c r="K3973" i="4"/>
  <c r="K3974" i="4"/>
  <c r="K3975" i="4"/>
  <c r="K3976" i="4"/>
  <c r="K3977" i="4"/>
  <c r="K3978" i="4"/>
  <c r="K3979" i="4"/>
  <c r="K3980" i="4"/>
  <c r="K3981" i="4"/>
  <c r="K3982" i="4"/>
  <c r="K3983" i="4"/>
  <c r="K3984" i="4"/>
  <c r="K3985" i="4"/>
  <c r="K3986" i="4"/>
  <c r="K3987" i="4"/>
  <c r="K3988" i="4"/>
  <c r="K3989" i="4"/>
  <c r="K3990" i="4"/>
  <c r="K3991" i="4"/>
  <c r="K3992" i="4"/>
  <c r="K3993" i="4"/>
  <c r="K3994" i="4"/>
  <c r="K3995" i="4"/>
  <c r="K3996" i="4"/>
  <c r="K3997" i="4"/>
  <c r="K3998" i="4"/>
  <c r="K3999" i="4"/>
  <c r="K4000" i="4"/>
  <c r="K4001" i="4"/>
  <c r="K4002" i="4"/>
  <c r="K4003" i="4"/>
  <c r="K4004" i="4"/>
  <c r="K4005" i="4"/>
  <c r="K4006" i="4"/>
  <c r="K4007" i="4"/>
  <c r="K4008" i="4"/>
  <c r="K4009" i="4"/>
  <c r="K4010" i="4"/>
  <c r="K4011" i="4"/>
  <c r="K4012" i="4"/>
  <c r="K4013" i="4"/>
  <c r="K4014" i="4"/>
  <c r="K4015" i="4"/>
  <c r="K4016" i="4"/>
  <c r="K4017" i="4"/>
  <c r="K4018" i="4"/>
  <c r="K4019" i="4"/>
  <c r="K4020" i="4"/>
  <c r="K4021" i="4"/>
  <c r="K4022" i="4"/>
  <c r="K4023" i="4"/>
  <c r="K4024" i="4"/>
  <c r="K4025" i="4"/>
  <c r="K4026" i="4"/>
  <c r="K4027" i="4"/>
  <c r="K4028" i="4"/>
  <c r="K4029" i="4"/>
  <c r="K4030" i="4"/>
  <c r="K4031" i="4"/>
  <c r="K4032" i="4"/>
  <c r="K4033" i="4"/>
  <c r="K4034" i="4"/>
  <c r="K4035" i="4"/>
  <c r="K4036" i="4"/>
  <c r="K4037" i="4"/>
  <c r="K4038" i="4"/>
  <c r="K4039" i="4"/>
  <c r="K4040" i="4"/>
  <c r="K4041" i="4"/>
  <c r="K4042" i="4"/>
  <c r="K4043" i="4"/>
  <c r="K4044" i="4"/>
  <c r="K4045" i="4"/>
  <c r="K4046" i="4"/>
  <c r="K4047" i="4"/>
  <c r="K4048" i="4"/>
  <c r="K4049" i="4"/>
  <c r="K4050" i="4"/>
  <c r="K4051" i="4"/>
  <c r="K4052" i="4"/>
  <c r="K4053" i="4"/>
  <c r="K4054" i="4"/>
  <c r="K4055" i="4"/>
  <c r="K4056" i="4"/>
  <c r="K4057" i="4"/>
  <c r="K4058" i="4"/>
  <c r="K4059" i="4"/>
  <c r="K4060" i="4"/>
  <c r="K4061" i="4"/>
  <c r="K4062" i="4"/>
  <c r="K4063" i="4"/>
  <c r="K4064" i="4"/>
  <c r="K4065" i="4"/>
  <c r="K4066" i="4"/>
  <c r="K4067" i="4"/>
  <c r="K4068" i="4"/>
  <c r="K4069" i="4"/>
  <c r="K4070" i="4"/>
  <c r="K4071" i="4"/>
  <c r="K4072" i="4"/>
  <c r="K4073" i="4"/>
  <c r="K4074" i="4"/>
  <c r="K4075" i="4"/>
  <c r="K4076" i="4"/>
  <c r="K4077" i="4"/>
  <c r="K4078" i="4"/>
  <c r="K4079" i="4"/>
  <c r="K4080" i="4"/>
  <c r="K4081" i="4"/>
  <c r="K4082" i="4"/>
  <c r="K4083" i="4"/>
  <c r="K4084" i="4"/>
  <c r="K4085" i="4"/>
  <c r="K4086" i="4"/>
  <c r="K4087" i="4"/>
  <c r="K4088" i="4"/>
  <c r="K4089" i="4"/>
  <c r="K4090" i="4"/>
  <c r="K4091" i="4"/>
  <c r="K4092" i="4"/>
  <c r="K4093" i="4"/>
  <c r="K4094" i="4"/>
  <c r="K4095" i="4"/>
  <c r="K4096" i="4"/>
  <c r="K4097" i="4"/>
  <c r="K4098" i="4"/>
  <c r="K4099" i="4"/>
  <c r="K4100" i="4"/>
  <c r="K4101" i="4"/>
  <c r="K4102" i="4"/>
  <c r="K4103" i="4"/>
  <c r="K4104" i="4"/>
  <c r="K4105" i="4"/>
  <c r="K4106" i="4"/>
  <c r="K4107" i="4"/>
  <c r="K4108" i="4"/>
  <c r="K4109" i="4"/>
  <c r="K4110" i="4"/>
  <c r="K4111" i="4"/>
  <c r="K4112" i="4"/>
  <c r="K4113" i="4"/>
  <c r="K4114" i="4"/>
  <c r="K4115" i="4"/>
  <c r="K4116" i="4"/>
  <c r="K4117" i="4"/>
  <c r="K4118" i="4"/>
  <c r="K4119" i="4"/>
  <c r="K4120" i="4"/>
  <c r="K4121" i="4"/>
  <c r="K4122" i="4"/>
  <c r="K4123" i="4"/>
  <c r="K4124" i="4"/>
  <c r="K4125" i="4"/>
  <c r="K4126" i="4"/>
  <c r="K4127" i="4"/>
  <c r="K4128" i="4"/>
  <c r="K4129" i="4"/>
  <c r="K4130" i="4"/>
  <c r="K4131" i="4"/>
  <c r="K4132" i="4"/>
  <c r="K4133" i="4"/>
  <c r="K4134" i="4"/>
  <c r="K4135" i="4"/>
  <c r="K4136" i="4"/>
  <c r="K4137" i="4"/>
  <c r="K4138" i="4"/>
  <c r="K4139" i="4"/>
  <c r="K4140" i="4"/>
  <c r="K4141" i="4"/>
  <c r="K4142" i="4"/>
  <c r="K4143" i="4"/>
  <c r="K4144" i="4"/>
  <c r="K4145" i="4"/>
  <c r="K4146" i="4"/>
  <c r="K4147" i="4"/>
  <c r="K4148" i="4"/>
  <c r="K4149" i="4"/>
  <c r="K4150" i="4"/>
  <c r="K4151" i="4"/>
  <c r="K4152" i="4"/>
  <c r="K4153" i="4"/>
  <c r="K4154" i="4"/>
  <c r="K4155" i="4"/>
  <c r="K4156" i="4"/>
  <c r="K4157" i="4"/>
  <c r="K4158" i="4"/>
  <c r="K4159" i="4"/>
  <c r="K4160" i="4"/>
  <c r="K4161" i="4"/>
  <c r="K4162" i="4"/>
  <c r="K4163" i="4"/>
  <c r="K4164" i="4"/>
  <c r="K4165" i="4"/>
  <c r="K4166" i="4"/>
  <c r="K4167" i="4"/>
  <c r="K4168" i="4"/>
  <c r="K4169" i="4"/>
  <c r="K4170" i="4"/>
  <c r="K4171" i="4"/>
  <c r="K4172" i="4"/>
  <c r="K4173" i="4"/>
  <c r="K4174" i="4"/>
  <c r="K4175" i="4"/>
  <c r="K4176" i="4"/>
  <c r="K4177" i="4"/>
  <c r="K4178" i="4"/>
  <c r="K4179" i="4"/>
  <c r="K4180" i="4"/>
  <c r="K4181" i="4"/>
  <c r="K4182" i="4"/>
  <c r="K4183" i="4"/>
  <c r="K4184" i="4"/>
  <c r="K4185" i="4"/>
  <c r="K4186" i="4"/>
  <c r="K4187" i="4"/>
  <c r="K4188" i="4"/>
  <c r="K4189" i="4"/>
  <c r="K4190" i="4"/>
  <c r="K4191" i="4"/>
  <c r="K4192" i="4"/>
  <c r="K4193" i="4"/>
  <c r="K4194" i="4"/>
  <c r="K4195" i="4"/>
  <c r="K4196" i="4"/>
  <c r="K4197" i="4"/>
  <c r="K4198" i="4"/>
  <c r="K4199" i="4"/>
  <c r="K4200" i="4"/>
  <c r="K4201" i="4"/>
  <c r="K4202" i="4"/>
  <c r="K4203" i="4"/>
  <c r="K4204" i="4"/>
  <c r="K4205" i="4"/>
  <c r="K4206" i="4"/>
  <c r="K4207" i="4"/>
  <c r="K4208" i="4"/>
  <c r="K4209" i="4"/>
  <c r="K4210" i="4"/>
  <c r="K4211" i="4"/>
  <c r="K4212" i="4"/>
  <c r="K4213" i="4"/>
  <c r="K4214" i="4"/>
  <c r="K4215" i="4"/>
  <c r="K4216" i="4"/>
  <c r="K4217" i="4"/>
  <c r="K4218" i="4"/>
  <c r="K4219" i="4"/>
  <c r="K4220" i="4"/>
  <c r="K4221" i="4"/>
  <c r="K4222" i="4"/>
  <c r="K4223" i="4"/>
  <c r="K4224" i="4"/>
  <c r="K4225" i="4"/>
  <c r="K4226" i="4"/>
  <c r="K4227" i="4"/>
  <c r="K4228" i="4"/>
  <c r="K4229" i="4"/>
  <c r="K4230" i="4"/>
  <c r="K4231" i="4"/>
  <c r="K4232" i="4"/>
  <c r="K4233" i="4"/>
  <c r="K4234" i="4"/>
  <c r="K4235" i="4"/>
  <c r="K4236" i="4"/>
  <c r="K4237" i="4"/>
  <c r="K4238" i="4"/>
  <c r="K4239" i="4"/>
  <c r="K4240" i="4"/>
  <c r="K4241" i="4"/>
  <c r="K4242" i="4"/>
  <c r="K4243" i="4"/>
  <c r="K4244" i="4"/>
  <c r="K4245" i="4"/>
  <c r="K4246" i="4"/>
  <c r="K4247" i="4"/>
  <c r="K4248" i="4"/>
  <c r="K4249" i="4"/>
  <c r="K4250" i="4"/>
  <c r="K4251" i="4"/>
  <c r="K4252" i="4"/>
  <c r="K4253" i="4"/>
  <c r="K4254" i="4"/>
  <c r="K4255" i="4"/>
  <c r="K4256" i="4"/>
  <c r="K4257" i="4"/>
  <c r="K4258" i="4"/>
  <c r="K4259" i="4"/>
  <c r="K4260" i="4"/>
  <c r="K4261" i="4"/>
  <c r="K4262" i="4"/>
  <c r="K4263" i="4"/>
  <c r="K4264" i="4"/>
  <c r="K4265" i="4"/>
  <c r="K4266" i="4"/>
  <c r="K4267" i="4"/>
  <c r="K4268" i="4"/>
  <c r="K4269" i="4"/>
  <c r="K4270" i="4"/>
  <c r="K4271" i="4"/>
  <c r="K4272" i="4"/>
  <c r="K4273" i="4"/>
  <c r="K4274" i="4"/>
  <c r="K4275" i="4"/>
  <c r="K4276" i="4"/>
  <c r="K4277" i="4"/>
  <c r="K4278" i="4"/>
  <c r="K4279" i="4"/>
  <c r="K4280" i="4"/>
  <c r="K4281" i="4"/>
  <c r="K4282" i="4"/>
  <c r="K4283" i="4"/>
  <c r="K4284" i="4"/>
  <c r="K4285" i="4"/>
  <c r="K4286" i="4"/>
  <c r="K4287" i="4"/>
  <c r="K4288" i="4"/>
  <c r="K4289" i="4"/>
  <c r="K4290" i="4"/>
  <c r="K4291" i="4"/>
  <c r="K4292" i="4"/>
  <c r="K4293" i="4"/>
  <c r="K4294" i="4"/>
  <c r="K4295" i="4"/>
  <c r="K4296" i="4"/>
  <c r="K4297" i="4"/>
  <c r="K4298" i="4"/>
  <c r="K4299" i="4"/>
  <c r="K4300" i="4"/>
  <c r="K4301" i="4"/>
  <c r="K4302" i="4"/>
  <c r="K4303" i="4"/>
  <c r="K4304" i="4"/>
  <c r="K4305" i="4"/>
  <c r="K4306" i="4"/>
  <c r="K4307" i="4"/>
  <c r="K4308" i="4"/>
  <c r="K4309" i="4"/>
  <c r="K4310" i="4"/>
  <c r="K4311" i="4"/>
  <c r="K4312" i="4"/>
  <c r="K4313" i="4"/>
  <c r="K4314" i="4"/>
  <c r="K4315" i="4"/>
  <c r="K4316" i="4"/>
  <c r="K4317" i="4"/>
  <c r="K4318" i="4"/>
  <c r="K4319" i="4"/>
  <c r="K4320" i="4"/>
  <c r="K4321" i="4"/>
  <c r="K4322" i="4"/>
  <c r="K4323" i="4"/>
  <c r="K4324" i="4"/>
  <c r="K4325" i="4"/>
  <c r="K4326" i="4"/>
  <c r="K4327" i="4"/>
  <c r="K4328" i="4"/>
  <c r="K4329" i="4"/>
  <c r="K4330" i="4"/>
  <c r="K4331" i="4"/>
  <c r="K4332" i="4"/>
  <c r="K4333" i="4"/>
  <c r="K4334" i="4"/>
  <c r="K4335" i="4"/>
  <c r="K4336" i="4"/>
  <c r="K4337" i="4"/>
  <c r="K4338" i="4"/>
  <c r="K4339" i="4"/>
  <c r="K4340" i="4"/>
  <c r="K4341" i="4"/>
  <c r="K4342" i="4"/>
  <c r="K4343" i="4"/>
  <c r="K4344" i="4"/>
  <c r="K4345" i="4"/>
  <c r="K4346" i="4"/>
  <c r="K4347" i="4"/>
  <c r="K4348" i="4"/>
  <c r="K4349" i="4"/>
  <c r="K4350" i="4"/>
  <c r="K4351" i="4"/>
  <c r="K4352" i="4"/>
  <c r="K4353" i="4"/>
  <c r="K4354" i="4"/>
  <c r="K4355" i="4"/>
  <c r="K4356" i="4"/>
  <c r="K4357" i="4"/>
  <c r="K4358" i="4"/>
  <c r="K4359" i="4"/>
  <c r="K4360" i="4"/>
  <c r="K4361" i="4"/>
  <c r="K4362" i="4"/>
  <c r="K4363" i="4"/>
  <c r="K4364" i="4"/>
  <c r="K4365" i="4"/>
  <c r="K4366" i="4"/>
  <c r="K4367" i="4"/>
  <c r="K4368" i="4"/>
  <c r="K4369" i="4"/>
  <c r="K4370" i="4"/>
  <c r="K4371" i="4"/>
  <c r="K4372" i="4"/>
  <c r="K4373" i="4"/>
  <c r="K4374" i="4"/>
  <c r="K4375" i="4"/>
  <c r="K4376" i="4"/>
  <c r="K4377" i="4"/>
  <c r="K4378" i="4"/>
  <c r="K4379" i="4"/>
  <c r="K4380" i="4"/>
  <c r="K4381" i="4"/>
  <c r="K4382" i="4"/>
  <c r="K4383" i="4"/>
  <c r="K4384" i="4"/>
  <c r="K4385" i="4"/>
  <c r="K4386" i="4"/>
  <c r="K4387" i="4"/>
  <c r="K4388" i="4"/>
  <c r="K4389" i="4"/>
  <c r="K4390" i="4"/>
  <c r="K4391" i="4"/>
  <c r="K4392" i="4"/>
  <c r="K4393" i="4"/>
  <c r="K4394" i="4"/>
  <c r="K4395" i="4"/>
  <c r="K4396" i="4"/>
  <c r="K4397" i="4"/>
  <c r="K4398" i="4"/>
  <c r="K4399" i="4"/>
  <c r="K4400" i="4"/>
  <c r="K4401" i="4"/>
  <c r="K4402" i="4"/>
  <c r="K4403" i="4"/>
  <c r="K4404" i="4"/>
  <c r="K4405" i="4"/>
  <c r="K4406" i="4"/>
  <c r="K4407" i="4"/>
  <c r="K4408" i="4"/>
  <c r="K4409" i="4"/>
  <c r="K4410" i="4"/>
  <c r="K4411" i="4"/>
  <c r="K4412" i="4"/>
  <c r="K4413" i="4"/>
  <c r="K4414" i="4"/>
  <c r="K4415" i="4"/>
  <c r="K4416" i="4"/>
  <c r="K4417" i="4"/>
  <c r="K4418" i="4"/>
  <c r="K4419" i="4"/>
  <c r="K4420" i="4"/>
  <c r="K4421" i="4"/>
  <c r="K4422" i="4"/>
  <c r="K4423" i="4"/>
  <c r="K4424" i="4"/>
  <c r="K4425" i="4"/>
  <c r="K4426" i="4"/>
  <c r="K4427" i="4"/>
  <c r="K4428" i="4"/>
  <c r="K4429" i="4"/>
  <c r="K4430" i="4"/>
  <c r="K4431" i="4"/>
  <c r="K4432" i="4"/>
  <c r="K4433" i="4"/>
  <c r="K4434" i="4"/>
  <c r="K4435" i="4"/>
  <c r="K4436" i="4"/>
  <c r="K4437" i="4"/>
  <c r="K4438" i="4"/>
  <c r="K4439" i="4"/>
  <c r="K4440" i="4"/>
  <c r="K4441" i="4"/>
  <c r="K4442" i="4"/>
  <c r="K4443" i="4"/>
  <c r="K4444" i="4"/>
  <c r="K4445" i="4"/>
  <c r="K4446" i="4"/>
  <c r="K4447" i="4"/>
  <c r="K4448" i="4"/>
  <c r="K4449" i="4"/>
  <c r="K4450" i="4"/>
  <c r="K4451" i="4"/>
  <c r="K4452" i="4"/>
  <c r="K4453" i="4"/>
  <c r="K4454" i="4"/>
  <c r="K4455" i="4"/>
  <c r="K4456" i="4"/>
  <c r="K4457" i="4"/>
  <c r="K4458" i="4"/>
  <c r="K4459" i="4"/>
  <c r="K4460" i="4"/>
  <c r="K4461" i="4"/>
  <c r="K4462" i="4"/>
  <c r="K4463" i="4"/>
  <c r="K4464" i="4"/>
  <c r="K4465" i="4"/>
  <c r="K4466" i="4"/>
  <c r="K4467" i="4"/>
  <c r="K4468" i="4"/>
  <c r="K4469" i="4"/>
  <c r="K4470" i="4"/>
  <c r="K4471" i="4"/>
  <c r="K4472" i="4"/>
  <c r="K4473" i="4"/>
  <c r="K4474" i="4"/>
  <c r="K4475" i="4"/>
  <c r="K4476" i="4"/>
  <c r="K4477" i="4"/>
  <c r="K4478" i="4"/>
  <c r="K4479" i="4"/>
  <c r="K4480" i="4"/>
  <c r="K4481" i="4"/>
  <c r="K4482" i="4"/>
  <c r="K4483" i="4"/>
  <c r="K4484" i="4"/>
  <c r="K4485" i="4"/>
  <c r="K4486" i="4"/>
  <c r="K4487" i="4"/>
  <c r="K4488" i="4"/>
  <c r="K4489" i="4"/>
  <c r="K4490" i="4"/>
  <c r="K4491" i="4"/>
  <c r="K4492" i="4"/>
  <c r="K4493" i="4"/>
  <c r="K4494" i="4"/>
  <c r="K4495" i="4"/>
  <c r="K4496" i="4"/>
  <c r="K4497" i="4"/>
  <c r="K4498" i="4"/>
  <c r="K4499" i="4"/>
  <c r="K4500" i="4"/>
  <c r="K4501" i="4"/>
  <c r="K4502" i="4"/>
  <c r="K4503" i="4"/>
  <c r="K4504" i="4"/>
  <c r="K4505" i="4"/>
  <c r="K4506" i="4"/>
  <c r="K4507" i="4"/>
  <c r="K4508" i="4"/>
  <c r="K4509" i="4"/>
  <c r="K4510" i="4"/>
  <c r="K4511" i="4"/>
  <c r="K4512" i="4"/>
  <c r="K4513" i="4"/>
  <c r="K4514" i="4"/>
  <c r="K4515" i="4"/>
  <c r="K4516" i="4"/>
  <c r="K4517" i="4"/>
  <c r="K4518" i="4"/>
  <c r="K4519" i="4"/>
  <c r="K4520" i="4"/>
  <c r="K4521" i="4"/>
  <c r="K4522" i="4"/>
  <c r="K4523" i="4"/>
  <c r="K4524" i="4"/>
  <c r="K4525" i="4"/>
  <c r="K4526" i="4"/>
  <c r="K4527" i="4"/>
  <c r="K4528" i="4"/>
  <c r="K4529" i="4"/>
  <c r="K4530" i="4"/>
  <c r="K4531" i="4"/>
  <c r="K4532" i="4"/>
  <c r="K4533" i="4"/>
  <c r="K4534" i="4"/>
  <c r="K4535" i="4"/>
  <c r="K4536" i="4"/>
  <c r="K4537" i="4"/>
  <c r="K4538" i="4"/>
  <c r="K4539" i="4"/>
  <c r="K4540" i="4"/>
  <c r="K4541" i="4"/>
  <c r="K4542" i="4"/>
  <c r="K4543" i="4"/>
  <c r="K4544" i="4"/>
  <c r="K4545" i="4"/>
  <c r="K4546" i="4"/>
  <c r="K4547" i="4"/>
  <c r="K4548" i="4"/>
  <c r="K4549" i="4"/>
  <c r="K4550" i="4"/>
  <c r="K4551" i="4"/>
  <c r="K4552" i="4"/>
  <c r="K4553" i="4"/>
  <c r="K4554" i="4"/>
  <c r="K4555" i="4"/>
  <c r="K4556" i="4"/>
  <c r="K4557" i="4"/>
  <c r="K4558" i="4"/>
  <c r="K4559" i="4"/>
  <c r="K4560" i="4"/>
  <c r="K4561" i="4"/>
  <c r="K4562" i="4"/>
  <c r="K4563" i="4"/>
  <c r="K4564" i="4"/>
  <c r="K4565" i="4"/>
  <c r="K4566" i="4"/>
  <c r="K4567" i="4"/>
  <c r="K4568" i="4"/>
  <c r="K4569" i="4"/>
  <c r="K4570" i="4"/>
  <c r="K4571" i="4"/>
  <c r="K4572" i="4"/>
  <c r="K4573" i="4"/>
  <c r="K4574" i="4"/>
  <c r="K4575" i="4"/>
  <c r="K4576" i="4"/>
  <c r="K4577" i="4"/>
  <c r="K4578" i="4"/>
  <c r="K4579" i="4"/>
  <c r="K4580" i="4"/>
  <c r="K4581" i="4"/>
  <c r="K4582" i="4"/>
  <c r="K4583" i="4"/>
  <c r="K4584" i="4"/>
  <c r="K4585" i="4"/>
  <c r="K4586" i="4"/>
  <c r="K4587" i="4"/>
  <c r="K4588" i="4"/>
  <c r="K4589" i="4"/>
  <c r="K4590" i="4"/>
  <c r="K4591" i="4"/>
  <c r="K4592" i="4"/>
  <c r="K4593" i="4"/>
  <c r="K4594" i="4"/>
  <c r="K4595" i="4"/>
  <c r="K4596" i="4"/>
  <c r="K4597" i="4"/>
  <c r="K4598" i="4"/>
  <c r="K4599" i="4"/>
  <c r="K4600" i="4"/>
  <c r="K4601" i="4"/>
  <c r="K4602" i="4"/>
  <c r="K4603" i="4"/>
  <c r="K4604" i="4"/>
  <c r="K4605" i="4"/>
  <c r="K4606" i="4"/>
  <c r="K4607" i="4"/>
  <c r="K4608" i="4"/>
  <c r="K4609" i="4"/>
  <c r="K4610" i="4"/>
  <c r="K4611" i="4"/>
  <c r="K4612" i="4"/>
  <c r="K4613" i="4"/>
  <c r="K4614" i="4"/>
  <c r="K4615" i="4"/>
  <c r="K4616" i="4"/>
  <c r="K4617" i="4"/>
  <c r="K4618" i="4"/>
  <c r="K4619" i="4"/>
  <c r="K4620" i="4"/>
  <c r="K4621" i="4"/>
  <c r="K4622" i="4"/>
  <c r="K4623" i="4"/>
  <c r="K4624" i="4"/>
  <c r="K4625" i="4"/>
  <c r="K4626" i="4"/>
  <c r="K4627" i="4"/>
  <c r="K4628" i="4"/>
  <c r="K4629" i="4"/>
  <c r="K4630" i="4"/>
  <c r="K4631" i="4"/>
  <c r="K4632" i="4"/>
  <c r="K4633" i="4"/>
  <c r="K4634" i="4"/>
  <c r="K4635" i="4"/>
  <c r="K4636" i="4"/>
  <c r="K4637" i="4"/>
  <c r="K4638" i="4"/>
  <c r="K4639" i="4"/>
  <c r="K4640" i="4"/>
  <c r="K4641" i="4"/>
  <c r="K4642" i="4"/>
  <c r="K4643" i="4"/>
  <c r="K4644" i="4"/>
  <c r="K4645" i="4"/>
  <c r="K4646" i="4"/>
  <c r="K4647" i="4"/>
  <c r="K4648" i="4"/>
  <c r="K4649" i="4"/>
  <c r="K4650" i="4"/>
  <c r="K4651" i="4"/>
  <c r="K4652" i="4"/>
  <c r="K4653" i="4"/>
  <c r="K4654" i="4"/>
  <c r="K4655" i="4"/>
  <c r="K4656" i="4"/>
  <c r="K4657" i="4"/>
  <c r="K4658" i="4"/>
  <c r="K4659" i="4"/>
  <c r="K4660" i="4"/>
  <c r="K4661" i="4"/>
  <c r="K4662" i="4"/>
  <c r="K4663" i="4"/>
  <c r="K4664" i="4"/>
  <c r="K4665" i="4"/>
  <c r="K4666" i="4"/>
  <c r="K4667" i="4"/>
  <c r="K4668" i="4"/>
  <c r="K4669" i="4"/>
  <c r="K4670" i="4"/>
  <c r="K4671" i="4"/>
  <c r="K4672" i="4"/>
  <c r="K4673" i="4"/>
  <c r="K4674" i="4"/>
  <c r="K4675" i="4"/>
  <c r="K4676" i="4"/>
  <c r="K4677" i="4"/>
  <c r="K4678" i="4"/>
  <c r="K4679" i="4"/>
  <c r="K4680" i="4"/>
  <c r="K4681" i="4"/>
  <c r="K4682" i="4"/>
  <c r="K4683" i="4"/>
  <c r="K4684" i="4"/>
  <c r="K4685" i="4"/>
  <c r="K4686" i="4"/>
  <c r="K4687" i="4"/>
  <c r="K4688" i="4"/>
  <c r="K4689" i="4"/>
  <c r="K4690" i="4"/>
  <c r="K4691" i="4"/>
  <c r="K4692" i="4"/>
  <c r="K4693" i="4"/>
  <c r="K4694" i="4"/>
  <c r="K4695" i="4"/>
  <c r="K4696" i="4"/>
  <c r="K4697" i="4"/>
  <c r="K4698" i="4"/>
  <c r="K4699" i="4"/>
  <c r="K4700" i="4"/>
  <c r="K4701" i="4"/>
  <c r="K4702" i="4"/>
  <c r="K4703" i="4"/>
  <c r="K4704" i="4"/>
  <c r="K4705" i="4"/>
  <c r="K4706" i="4"/>
  <c r="K4707" i="4"/>
  <c r="K4708" i="4"/>
  <c r="K4709" i="4"/>
  <c r="K4710" i="4"/>
  <c r="K4711" i="4"/>
  <c r="K4712" i="4"/>
  <c r="K4713" i="4"/>
  <c r="K4714" i="4"/>
  <c r="K4715" i="4"/>
  <c r="K4716" i="4"/>
  <c r="K4717" i="4"/>
  <c r="K4718" i="4"/>
  <c r="K4719" i="4"/>
  <c r="K4720" i="4"/>
  <c r="K4721" i="4"/>
  <c r="K4722" i="4"/>
  <c r="K4723" i="4"/>
  <c r="K4724" i="4"/>
  <c r="K4725" i="4"/>
  <c r="K4726" i="4"/>
  <c r="K4727" i="4"/>
  <c r="K4728" i="4"/>
  <c r="K4729" i="4"/>
  <c r="K4730" i="4"/>
  <c r="K4731" i="4"/>
  <c r="K4732" i="4"/>
  <c r="K4733" i="4"/>
  <c r="K4734" i="4"/>
  <c r="K4735" i="4"/>
  <c r="K4736" i="4"/>
  <c r="K4737" i="4"/>
  <c r="K4738" i="4"/>
  <c r="K4739" i="4"/>
  <c r="K4740" i="4"/>
  <c r="K4741" i="4"/>
  <c r="K4742" i="4"/>
  <c r="K4743" i="4"/>
  <c r="K4744" i="4"/>
  <c r="K4745" i="4"/>
  <c r="K4746" i="4"/>
  <c r="K4747" i="4"/>
  <c r="K4748" i="4"/>
  <c r="K4749" i="4"/>
  <c r="K4750" i="4"/>
  <c r="K4751" i="4"/>
  <c r="K4752" i="4"/>
  <c r="K4753" i="4"/>
  <c r="K4754" i="4"/>
  <c r="K4755" i="4"/>
  <c r="K4756" i="4"/>
  <c r="K4757" i="4"/>
  <c r="K4758" i="4"/>
  <c r="K4759" i="4"/>
  <c r="K4760" i="4"/>
  <c r="K4761" i="4"/>
  <c r="K4762" i="4"/>
  <c r="K4763" i="4"/>
  <c r="K4764" i="4"/>
  <c r="K4765" i="4"/>
  <c r="K4766" i="4"/>
  <c r="K4767" i="4"/>
  <c r="K4768" i="4"/>
  <c r="K4769" i="4"/>
  <c r="K4770" i="4"/>
  <c r="K4771" i="4"/>
  <c r="K4772" i="4"/>
  <c r="K4773" i="4"/>
  <c r="K4774" i="4"/>
  <c r="K4775" i="4"/>
  <c r="K4776" i="4"/>
  <c r="K4777" i="4"/>
  <c r="K4778" i="4"/>
  <c r="K4779" i="4"/>
  <c r="K4780" i="4"/>
  <c r="K4781" i="4"/>
  <c r="K4782" i="4"/>
  <c r="K4783" i="4"/>
  <c r="K4784" i="4"/>
  <c r="K4785" i="4"/>
  <c r="K4786" i="4"/>
  <c r="K4787" i="4"/>
  <c r="K4788" i="4"/>
  <c r="K4789" i="4"/>
  <c r="K4790" i="4"/>
  <c r="K4791" i="4"/>
  <c r="K4792" i="4"/>
  <c r="K4793" i="4"/>
  <c r="K4794" i="4"/>
  <c r="K4795" i="4"/>
  <c r="K4796" i="4"/>
  <c r="K4797" i="4"/>
  <c r="K4798" i="4"/>
  <c r="K4799" i="4"/>
  <c r="K4800" i="4"/>
  <c r="K4801" i="4"/>
  <c r="K4802" i="4"/>
  <c r="K4803" i="4"/>
  <c r="K4804" i="4"/>
  <c r="K4805" i="4"/>
  <c r="K4806" i="4"/>
  <c r="K4807" i="4"/>
  <c r="K4808" i="4"/>
  <c r="K4809" i="4"/>
  <c r="K4810" i="4"/>
  <c r="K4811" i="4"/>
  <c r="K4812" i="4"/>
  <c r="K4813" i="4"/>
  <c r="K4814" i="4"/>
  <c r="K4815" i="4"/>
  <c r="K4816" i="4"/>
  <c r="K4817" i="4"/>
  <c r="K4818" i="4"/>
  <c r="K4819" i="4"/>
  <c r="K4820" i="4"/>
  <c r="K4821" i="4"/>
  <c r="K4822" i="4"/>
  <c r="K4823" i="4"/>
  <c r="K4824" i="4"/>
  <c r="K4825" i="4"/>
  <c r="K4826" i="4"/>
  <c r="K4827" i="4"/>
  <c r="K4828" i="4"/>
  <c r="K4829" i="4"/>
  <c r="K4830" i="4"/>
  <c r="K4831" i="4"/>
  <c r="K4832" i="4"/>
  <c r="K4833" i="4"/>
  <c r="K4834" i="4"/>
  <c r="K4835" i="4"/>
  <c r="K4836" i="4"/>
  <c r="K4837" i="4"/>
  <c r="K4838" i="4"/>
  <c r="K4839" i="4"/>
  <c r="K4840" i="4"/>
  <c r="K4841" i="4"/>
  <c r="K4842" i="4"/>
  <c r="K4843" i="4"/>
  <c r="K4844" i="4"/>
  <c r="K4845" i="4"/>
  <c r="K4846" i="4"/>
  <c r="K4847" i="4"/>
  <c r="K4848" i="4"/>
  <c r="K4849" i="4"/>
  <c r="K4850" i="4"/>
  <c r="K4851" i="4"/>
  <c r="K4852" i="4"/>
  <c r="K4853" i="4"/>
  <c r="K4854" i="4"/>
  <c r="K4855" i="4"/>
  <c r="K4856" i="4"/>
  <c r="K4857" i="4"/>
  <c r="K4858" i="4"/>
  <c r="K4859" i="4"/>
  <c r="K4860" i="4"/>
  <c r="K4861" i="4"/>
  <c r="K4862" i="4"/>
  <c r="K4863" i="4"/>
  <c r="K4864" i="4"/>
  <c r="K4865" i="4"/>
  <c r="K4866" i="4"/>
  <c r="K4867" i="4"/>
  <c r="K4868" i="4"/>
  <c r="K4869" i="4"/>
  <c r="K4870" i="4"/>
  <c r="K4871" i="4"/>
  <c r="K4872" i="4"/>
  <c r="K4873" i="4"/>
  <c r="K4874" i="4"/>
  <c r="K4875" i="4"/>
  <c r="K4876" i="4"/>
  <c r="K4877" i="4"/>
  <c r="K4878" i="4"/>
  <c r="K4879" i="4"/>
  <c r="K4880" i="4"/>
  <c r="K4881" i="4"/>
  <c r="K4882" i="4"/>
  <c r="K4883" i="4"/>
  <c r="K4884" i="4"/>
  <c r="K4885" i="4"/>
  <c r="K4886" i="4"/>
  <c r="K4887" i="4"/>
  <c r="K4888" i="4"/>
  <c r="K4889" i="4"/>
  <c r="K4890" i="4"/>
  <c r="K4891" i="4"/>
  <c r="K4892" i="4"/>
  <c r="K4893" i="4"/>
  <c r="K4894" i="4"/>
  <c r="K4895" i="4"/>
  <c r="K4896" i="4"/>
  <c r="K4897" i="4"/>
  <c r="K4898" i="4"/>
  <c r="K4899" i="4"/>
  <c r="K4900" i="4"/>
  <c r="K4901" i="4"/>
  <c r="K4902" i="4"/>
  <c r="K4903" i="4"/>
  <c r="K4904" i="4"/>
  <c r="K4905" i="4"/>
  <c r="K4906" i="4"/>
  <c r="K4907" i="4"/>
  <c r="K4908" i="4"/>
  <c r="K4909" i="4"/>
  <c r="K4910" i="4"/>
  <c r="K4911" i="4"/>
  <c r="K4912" i="4"/>
  <c r="K4913" i="4"/>
  <c r="K4914" i="4"/>
  <c r="K4915" i="4"/>
  <c r="K4916" i="4"/>
  <c r="K4917" i="4"/>
  <c r="K4918" i="4"/>
  <c r="K4919" i="4"/>
  <c r="K4920" i="4"/>
  <c r="K4921" i="4"/>
  <c r="K4922" i="4"/>
  <c r="K4923" i="4"/>
  <c r="K4924" i="4"/>
  <c r="K4925" i="4"/>
  <c r="K4926" i="4"/>
  <c r="K4927" i="4"/>
  <c r="K4928" i="4"/>
  <c r="K4929" i="4"/>
  <c r="K4930" i="4"/>
  <c r="K4931" i="4"/>
  <c r="K4932" i="4"/>
  <c r="K4933" i="4"/>
  <c r="K4934" i="4"/>
  <c r="K4935" i="4"/>
  <c r="K4936" i="4"/>
  <c r="K4937" i="4"/>
  <c r="K4938" i="4"/>
  <c r="K4939" i="4"/>
  <c r="K4940" i="4"/>
  <c r="K4941" i="4"/>
  <c r="K4942" i="4"/>
  <c r="K4943" i="4"/>
  <c r="K4944" i="4"/>
  <c r="K4945" i="4"/>
  <c r="K4946" i="4"/>
  <c r="K4947" i="4"/>
  <c r="K4948" i="4"/>
  <c r="K4949" i="4"/>
  <c r="K4950" i="4"/>
  <c r="K4951" i="4"/>
  <c r="K4952" i="4"/>
  <c r="K4953" i="4"/>
  <c r="K4954" i="4"/>
  <c r="K4955" i="4"/>
  <c r="K4956" i="4"/>
  <c r="K4957" i="4"/>
  <c r="K4958" i="4"/>
  <c r="K4959" i="4"/>
  <c r="K8" i="4"/>
  <c r="D23" i="14" s="1"/>
  <c r="U2" i="2"/>
  <c r="C6" i="23" l="1"/>
  <c r="C7" i="23" s="1"/>
  <c r="F6" i="23"/>
  <c r="F7" i="23" s="1"/>
  <c r="E6" i="23"/>
  <c r="E7" i="23" s="1"/>
  <c r="E8" i="23" s="1"/>
  <c r="D6" i="23"/>
  <c r="D7" i="23" s="1"/>
  <c r="G6" i="23"/>
  <c r="G7" i="23" s="1"/>
  <c r="G8" i="23" s="1"/>
  <c r="B6" i="23"/>
  <c r="B7" i="23" s="1"/>
  <c r="B17" i="26"/>
  <c r="F4" i="23"/>
  <c r="B8" i="14"/>
  <c r="C8" i="14" s="1"/>
  <c r="D8" i="14" s="1"/>
  <c r="E8" i="14" s="1"/>
  <c r="F8" i="14" s="1"/>
  <c r="G8" i="14" s="1"/>
  <c r="H8" i="14" s="1"/>
  <c r="I8" i="14" s="1"/>
  <c r="J8" i="14" s="1"/>
  <c r="K8" i="14" s="1"/>
  <c r="L8" i="14" s="1"/>
  <c r="M8" i="14" s="1"/>
  <c r="B10" i="14"/>
  <c r="C10" i="14" s="1"/>
  <c r="D10" i="14" s="1"/>
  <c r="E10" i="14" s="1"/>
  <c r="F10" i="14" s="1"/>
  <c r="G10" i="14" s="1"/>
  <c r="H10" i="14" s="1"/>
  <c r="I10" i="14" s="1"/>
  <c r="J10" i="14" s="1"/>
  <c r="K10" i="14" s="1"/>
  <c r="L10" i="14" s="1"/>
  <c r="M10" i="14" s="1"/>
  <c r="B9" i="14"/>
  <c r="C9" i="14" s="1"/>
  <c r="D9" i="14" s="1"/>
  <c r="E9" i="14" s="1"/>
  <c r="F9" i="14" s="1"/>
  <c r="G9" i="14" s="1"/>
  <c r="H9" i="14" s="1"/>
  <c r="I9" i="14" s="1"/>
  <c r="J9" i="14" s="1"/>
  <c r="K9" i="14" s="1"/>
  <c r="L9" i="14" s="1"/>
  <c r="M9" i="14" s="1"/>
  <c r="E10" i="11"/>
  <c r="B24" i="14"/>
  <c r="F20" i="14"/>
  <c r="L12" i="11"/>
  <c r="K22" i="14"/>
  <c r="D24" i="14"/>
  <c r="K20" i="14"/>
  <c r="C18" i="14"/>
  <c r="J19" i="14"/>
  <c r="J22" i="14"/>
  <c r="M24" i="14"/>
  <c r="K11" i="11"/>
  <c r="M19" i="14"/>
  <c r="F12" i="11"/>
  <c r="E20" i="14"/>
  <c r="I12" i="11"/>
  <c r="G10" i="11"/>
  <c r="L18" i="14"/>
  <c r="K18" i="14"/>
  <c r="C23" i="14"/>
  <c r="L23" i="14"/>
  <c r="K12" i="11"/>
  <c r="F22" i="14"/>
  <c r="J12" i="11"/>
  <c r="G18" i="14"/>
  <c r="D12" i="11"/>
  <c r="M10" i="11"/>
  <c r="L11" i="11"/>
  <c r="K10" i="11"/>
  <c r="G11" i="11"/>
  <c r="M20" i="14"/>
  <c r="C22" i="14"/>
  <c r="C12" i="11"/>
  <c r="L10" i="11"/>
  <c r="F23" i="14"/>
  <c r="H12" i="11"/>
  <c r="E11" i="11"/>
  <c r="B18" i="14"/>
  <c r="M11" i="11"/>
  <c r="B22" i="14"/>
  <c r="H10" i="11"/>
  <c r="J11" i="11"/>
  <c r="B23" i="14"/>
  <c r="J23" i="14"/>
  <c r="L22" i="14"/>
  <c r="L20" i="14"/>
  <c r="G24" i="14"/>
  <c r="I10" i="11"/>
  <c r="K23" i="14"/>
  <c r="E18" i="14"/>
  <c r="D22" i="14"/>
  <c r="E22" i="14"/>
  <c r="D10" i="11"/>
  <c r="C10" i="11"/>
  <c r="D18" i="14"/>
  <c r="M23" i="14"/>
  <c r="L24" i="14"/>
  <c r="K24" i="14"/>
  <c r="J10" i="11"/>
  <c r="I11" i="11"/>
  <c r="H11" i="11"/>
  <c r="F19" i="14"/>
  <c r="C20" i="14"/>
  <c r="B20" i="14"/>
  <c r="M22" i="14"/>
  <c r="J24" i="14"/>
  <c r="G12" i="11"/>
  <c r="F18" i="14"/>
  <c r="C19" i="14"/>
  <c r="B19" i="14"/>
  <c r="M18" i="14"/>
  <c r="L19" i="14"/>
  <c r="K19" i="14"/>
  <c r="J20" i="14"/>
  <c r="I22" i="14"/>
  <c r="H24" i="14"/>
  <c r="D20" i="14"/>
  <c r="F11" i="11"/>
  <c r="H23" i="14"/>
  <c r="E12" i="11"/>
  <c r="J18" i="14"/>
  <c r="I19" i="14"/>
  <c r="H22" i="14"/>
  <c r="G23" i="14"/>
  <c r="E24" i="14"/>
  <c r="B12" i="11"/>
  <c r="M12" i="11"/>
  <c r="I23" i="14"/>
  <c r="I20" i="14"/>
  <c r="F10" i="11"/>
  <c r="I18" i="14"/>
  <c r="H20" i="14"/>
  <c r="G22" i="14"/>
  <c r="B11" i="11"/>
  <c r="I24" i="14"/>
  <c r="H19" i="14"/>
  <c r="G20" i="14"/>
  <c r="F24" i="14"/>
  <c r="B10" i="11"/>
  <c r="H18" i="14"/>
  <c r="G19" i="14"/>
  <c r="C24" i="14"/>
  <c r="E19" i="14"/>
  <c r="C11" i="11"/>
  <c r="E23" i="14"/>
  <c r="D11" i="11"/>
  <c r="D19" i="14"/>
  <c r="E24" i="11"/>
  <c r="I24" i="11"/>
  <c r="B21" i="11"/>
  <c r="I25" i="11"/>
  <c r="D24" i="11"/>
  <c r="E21" i="11"/>
  <c r="I26" i="11"/>
  <c r="F24" i="11"/>
  <c r="K20" i="11"/>
  <c r="C21" i="11"/>
  <c r="B25" i="11"/>
  <c r="J26" i="11"/>
  <c r="K22" i="11"/>
  <c r="F21" i="11"/>
  <c r="M25" i="11"/>
  <c r="M24" i="11"/>
  <c r="E26" i="11"/>
  <c r="K21" i="11"/>
  <c r="B24" i="11"/>
  <c r="G26" i="11"/>
  <c r="L24" i="11"/>
  <c r="I20" i="11"/>
  <c r="M26" i="11"/>
  <c r="H26" i="11"/>
  <c r="K24" i="11"/>
  <c r="F20" i="11"/>
  <c r="D21" i="11"/>
  <c r="G25" i="11"/>
  <c r="G20" i="11"/>
  <c r="G22" i="11"/>
  <c r="D22" i="11"/>
  <c r="H24" i="11"/>
  <c r="H25" i="11"/>
  <c r="C20" i="11"/>
  <c r="C22" i="11"/>
  <c r="L20" i="11"/>
  <c r="E25" i="11"/>
  <c r="B20" i="11"/>
  <c r="H22" i="11"/>
  <c r="L25" i="11"/>
  <c r="H20" i="11"/>
  <c r="H21" i="11"/>
  <c r="C26" i="11"/>
  <c r="J24" i="11"/>
  <c r="E22" i="11"/>
  <c r="D20" i="11"/>
  <c r="B26" i="11"/>
  <c r="B22" i="11"/>
  <c r="J20" i="11"/>
  <c r="F26" i="11"/>
  <c r="F25" i="11"/>
  <c r="E20" i="11"/>
  <c r="J22" i="11"/>
  <c r="G24" i="11"/>
  <c r="C25" i="11"/>
  <c r="M21" i="11"/>
  <c r="L21" i="11"/>
  <c r="D26" i="11"/>
  <c r="C24" i="11"/>
  <c r="L26" i="11"/>
  <c r="I21" i="11"/>
  <c r="J21" i="11"/>
  <c r="L22" i="11"/>
  <c r="M20" i="11"/>
  <c r="K26" i="11"/>
  <c r="G21" i="11"/>
  <c r="D25" i="11"/>
  <c r="I22" i="11"/>
  <c r="F22" i="11"/>
  <c r="M22" i="11"/>
  <c r="J25" i="11"/>
  <c r="K25" i="11"/>
  <c r="M24" i="10"/>
  <c r="D22" i="10"/>
  <c r="B24" i="10"/>
  <c r="F24" i="10"/>
  <c r="J22" i="10"/>
  <c r="E22" i="10"/>
  <c r="I24" i="10"/>
  <c r="C23" i="10"/>
  <c r="K23" i="10"/>
  <c r="K24" i="10"/>
  <c r="F22" i="10"/>
  <c r="J24" i="10"/>
  <c r="G23" i="10"/>
  <c r="G22" i="10"/>
  <c r="G24" i="10"/>
  <c r="D24" i="10"/>
  <c r="M22" i="10"/>
  <c r="I22" i="10"/>
  <c r="H22" i="10"/>
  <c r="L24" i="10"/>
  <c r="L23" i="10"/>
  <c r="K22" i="10"/>
  <c r="B22" i="10"/>
  <c r="C22" i="10"/>
  <c r="C24" i="10"/>
  <c r="L22" i="10"/>
  <c r="F23" i="10"/>
  <c r="H24" i="10"/>
  <c r="E23" i="10"/>
  <c r="H23" i="10"/>
  <c r="D23" i="10"/>
  <c r="M23" i="10"/>
  <c r="J23" i="10"/>
  <c r="B23" i="10"/>
  <c r="M18" i="10"/>
  <c r="E20" i="10"/>
  <c r="I19" i="10"/>
  <c r="E24" i="10"/>
  <c r="I23" i="10"/>
  <c r="B61" i="9"/>
  <c r="I19" i="9"/>
  <c r="L49" i="9"/>
  <c r="G18" i="9"/>
  <c r="G57" i="9"/>
  <c r="G19" i="9"/>
  <c r="D25" i="8"/>
  <c r="M8" i="10"/>
  <c r="I47" i="9"/>
  <c r="H18" i="10"/>
  <c r="K58" i="9"/>
  <c r="D24" i="8"/>
  <c r="L10" i="10"/>
  <c r="L28" i="9"/>
  <c r="K57" i="9"/>
  <c r="L18" i="10"/>
  <c r="H19" i="10"/>
  <c r="C18" i="10"/>
  <c r="C19" i="9"/>
  <c r="F9" i="10"/>
  <c r="H59" i="9"/>
  <c r="E48" i="9"/>
  <c r="C18" i="9"/>
  <c r="L47" i="9"/>
  <c r="F8" i="10"/>
  <c r="H28" i="9"/>
  <c r="M20" i="10"/>
  <c r="J33" i="9"/>
  <c r="L63" i="9"/>
  <c r="H27" i="9"/>
  <c r="J9" i="10"/>
  <c r="B58" i="9"/>
  <c r="K29" i="9"/>
  <c r="J19" i="9"/>
  <c r="K9" i="10"/>
  <c r="K17" i="9"/>
  <c r="D23" i="8"/>
  <c r="E47" i="9"/>
  <c r="B59" i="9"/>
  <c r="J8" i="10"/>
  <c r="L61" i="9"/>
  <c r="K10" i="10"/>
  <c r="G17" i="9"/>
  <c r="I49" i="9"/>
  <c r="I31" i="9"/>
  <c r="I63" i="9"/>
  <c r="H23" i="8"/>
  <c r="I18" i="10"/>
  <c r="H58" i="9"/>
  <c r="D27" i="9"/>
  <c r="G10" i="10"/>
  <c r="C17" i="9"/>
  <c r="F48" i="9"/>
  <c r="E25" i="8"/>
  <c r="E63" i="9"/>
  <c r="E19" i="10"/>
  <c r="D59" i="9"/>
  <c r="L27" i="9"/>
  <c r="C10" i="10"/>
  <c r="B57" i="9"/>
  <c r="J18" i="9"/>
  <c r="M48" i="9"/>
  <c r="L59" i="9"/>
  <c r="J48" i="9"/>
  <c r="I25" i="8"/>
  <c r="I62" i="9"/>
  <c r="E29" i="9"/>
  <c r="H57" i="9"/>
  <c r="D19" i="9"/>
  <c r="G9" i="10"/>
  <c r="F33" i="9"/>
  <c r="K18" i="9"/>
  <c r="F47" i="9"/>
  <c r="E24" i="8"/>
  <c r="E62" i="9"/>
  <c r="M29" i="9"/>
  <c r="E18" i="10"/>
  <c r="D58" i="9"/>
  <c r="L19" i="9"/>
  <c r="C9" i="10"/>
  <c r="B33" i="9"/>
  <c r="B10" i="10"/>
  <c r="M33" i="9"/>
  <c r="J17" i="9"/>
  <c r="M47" i="9"/>
  <c r="I17" i="9"/>
  <c r="L23" i="8"/>
  <c r="B23" i="8"/>
  <c r="I27" i="9"/>
  <c r="L31" i="9"/>
  <c r="M19" i="10"/>
  <c r="L58" i="9"/>
  <c r="H19" i="9"/>
  <c r="K8" i="10"/>
  <c r="J32" i="9"/>
  <c r="J47" i="9"/>
  <c r="I24" i="8"/>
  <c r="J20" i="10"/>
  <c r="I61" i="9"/>
  <c r="E28" i="9"/>
  <c r="H10" i="10"/>
  <c r="D18" i="9"/>
  <c r="G8" i="10"/>
  <c r="F32" i="9"/>
  <c r="F63" i="9"/>
  <c r="E23" i="8"/>
  <c r="F20" i="10"/>
  <c r="E61" i="9"/>
  <c r="M28" i="9"/>
  <c r="D57" i="9"/>
  <c r="L18" i="9"/>
  <c r="C8" i="10"/>
  <c r="B32" i="9"/>
  <c r="B9" i="10"/>
  <c r="M32" i="9"/>
  <c r="M63" i="9"/>
  <c r="L57" i="9"/>
  <c r="H18" i="9"/>
  <c r="J49" i="9"/>
  <c r="J31" i="9"/>
  <c r="J63" i="9"/>
  <c r="I23" i="8"/>
  <c r="J19" i="10"/>
  <c r="I59" i="9"/>
  <c r="E27" i="9"/>
  <c r="H9" i="10"/>
  <c r="G33" i="9"/>
  <c r="D17" i="9"/>
  <c r="F49" i="9"/>
  <c r="F31" i="9"/>
  <c r="F62" i="9"/>
  <c r="B29" i="9"/>
  <c r="F19" i="10"/>
  <c r="E59" i="9"/>
  <c r="M27" i="9"/>
  <c r="D10" i="10"/>
  <c r="L17" i="9"/>
  <c r="B49" i="9"/>
  <c r="B31" i="9"/>
  <c r="B8" i="10"/>
  <c r="M31" i="9"/>
  <c r="M62" i="9"/>
  <c r="H17" i="9"/>
  <c r="K48" i="9"/>
  <c r="J25" i="8"/>
  <c r="J62" i="9"/>
  <c r="F29" i="9"/>
  <c r="J18" i="10"/>
  <c r="I58" i="9"/>
  <c r="E19" i="9"/>
  <c r="H8" i="10"/>
  <c r="G32" i="9"/>
  <c r="K19" i="9"/>
  <c r="G48" i="9"/>
  <c r="F25" i="8"/>
  <c r="F61" i="9"/>
  <c r="B28" i="9"/>
  <c r="F18" i="10"/>
  <c r="E58" i="9"/>
  <c r="M19" i="9"/>
  <c r="D9" i="10"/>
  <c r="C33" i="9"/>
  <c r="I29" i="9"/>
  <c r="C48" i="9"/>
  <c r="B25" i="8"/>
  <c r="M49" i="9"/>
  <c r="M25" i="8"/>
  <c r="M61" i="9"/>
  <c r="L9" i="10"/>
  <c r="K33" i="9"/>
  <c r="K47" i="9"/>
  <c r="J24" i="8"/>
  <c r="K20" i="10"/>
  <c r="J61" i="9"/>
  <c r="F28" i="9"/>
  <c r="I57" i="9"/>
  <c r="E18" i="9"/>
  <c r="G49" i="9"/>
  <c r="G31" i="9"/>
  <c r="G47" i="9"/>
  <c r="F24" i="8"/>
  <c r="G20" i="10"/>
  <c r="F59" i="9"/>
  <c r="B27" i="9"/>
  <c r="E57" i="9"/>
  <c r="M18" i="9"/>
  <c r="D8" i="10"/>
  <c r="C32" i="9"/>
  <c r="C47" i="9"/>
  <c r="B24" i="8"/>
  <c r="B48" i="9"/>
  <c r="M24" i="8"/>
  <c r="B20" i="10"/>
  <c r="M59" i="9"/>
  <c r="L8" i="10"/>
  <c r="K32" i="9"/>
  <c r="K63" i="9"/>
  <c r="J23" i="8"/>
  <c r="K19" i="10"/>
  <c r="J59" i="9"/>
  <c r="F27" i="9"/>
  <c r="I10" i="10"/>
  <c r="E17" i="9"/>
  <c r="H48" i="9"/>
  <c r="G25" i="8"/>
  <c r="G63" i="9"/>
  <c r="F23" i="8"/>
  <c r="G19" i="10"/>
  <c r="F58" i="9"/>
  <c r="B19" i="9"/>
  <c r="E10" i="10"/>
  <c r="M17" i="9"/>
  <c r="C49" i="9"/>
  <c r="C31" i="9"/>
  <c r="C63" i="9"/>
  <c r="B47" i="9"/>
  <c r="M23" i="8"/>
  <c r="B19" i="10"/>
  <c r="M58" i="9"/>
  <c r="K49" i="9"/>
  <c r="K31" i="9"/>
  <c r="K62" i="9"/>
  <c r="G29" i="9"/>
  <c r="K18" i="10"/>
  <c r="J58" i="9"/>
  <c r="F19" i="9"/>
  <c r="I9" i="10"/>
  <c r="H33" i="9"/>
  <c r="H47" i="9"/>
  <c r="G24" i="8"/>
  <c r="G62" i="9"/>
  <c r="C29" i="9"/>
  <c r="G18" i="10"/>
  <c r="F57" i="9"/>
  <c r="B18" i="9"/>
  <c r="E9" i="10"/>
  <c r="D33" i="9"/>
  <c r="K27" i="9"/>
  <c r="D48" i="9"/>
  <c r="C25" i="8"/>
  <c r="C62" i="9"/>
  <c r="B63" i="9"/>
  <c r="B18" i="10"/>
  <c r="M57" i="9"/>
  <c r="L48" i="9"/>
  <c r="K25" i="8"/>
  <c r="L20" i="10"/>
  <c r="K61" i="9"/>
  <c r="G28" i="9"/>
  <c r="J57" i="9"/>
  <c r="F18" i="9"/>
  <c r="I8" i="10"/>
  <c r="H32" i="9"/>
  <c r="H63" i="9"/>
  <c r="G23" i="8"/>
  <c r="H20" i="10"/>
  <c r="G61" i="9"/>
  <c r="C28" i="9"/>
  <c r="F10" i="10"/>
  <c r="B17" i="9"/>
  <c r="E8" i="10"/>
  <c r="D32" i="9"/>
  <c r="D47" i="9"/>
  <c r="C24" i="8"/>
  <c r="D20" i="10"/>
  <c r="C61" i="9"/>
  <c r="B62" i="9"/>
  <c r="J29" i="9"/>
  <c r="M10" i="10"/>
  <c r="K24" i="8"/>
  <c r="L19" i="10"/>
  <c r="K59" i="9"/>
  <c r="G27" i="9"/>
  <c r="J10" i="10"/>
  <c r="F17" i="9"/>
  <c r="H49" i="9"/>
  <c r="H31" i="9"/>
  <c r="H62" i="9"/>
  <c r="G59" i="9"/>
  <c r="C27" i="9"/>
  <c r="E33" i="9"/>
  <c r="K28" i="9"/>
  <c r="D49" i="9"/>
  <c r="D31" i="9"/>
  <c r="D63" i="9"/>
  <c r="C23" i="8"/>
  <c r="D19" i="10"/>
  <c r="C59" i="9"/>
  <c r="C20" i="10"/>
  <c r="J28" i="9"/>
  <c r="M9" i="10"/>
  <c r="L33" i="9"/>
  <c r="K23" i="8"/>
  <c r="I33" i="9"/>
  <c r="I48" i="9"/>
  <c r="H25" i="8"/>
  <c r="I20" i="10"/>
  <c r="H61" i="9"/>
  <c r="D29" i="9"/>
  <c r="G58" i="9"/>
  <c r="E32" i="9"/>
  <c r="L25" i="8"/>
  <c r="D62" i="9"/>
  <c r="L29" i="9"/>
  <c r="D18" i="10"/>
  <c r="C58" i="9"/>
  <c r="C19" i="10"/>
  <c r="J27" i="9"/>
  <c r="I28" i="9"/>
  <c r="I18" i="9"/>
  <c r="L24" i="8"/>
  <c r="L32" i="9"/>
  <c r="L62" i="9"/>
  <c r="H29" i="9"/>
  <c r="I32" i="9"/>
  <c r="H24" i="8"/>
  <c r="D28" i="9"/>
  <c r="E49" i="9"/>
  <c r="E31" i="9"/>
  <c r="D61" i="9"/>
  <c r="C57" i="9"/>
  <c r="K21" i="8"/>
  <c r="I21" i="8"/>
  <c r="M21" i="8"/>
  <c r="G20" i="8"/>
  <c r="E20" i="8"/>
  <c r="E19" i="8"/>
  <c r="B19" i="8"/>
  <c r="M19" i="8"/>
  <c r="J20" i="8"/>
  <c r="B20" i="8"/>
  <c r="I19" i="8"/>
  <c r="G19" i="8"/>
  <c r="D19" i="8"/>
  <c r="B21" i="8"/>
  <c r="J19" i="8"/>
  <c r="F19" i="8"/>
  <c r="D20" i="8"/>
  <c r="H19" i="8"/>
  <c r="I20" i="8"/>
  <c r="G21" i="8"/>
  <c r="C21" i="8"/>
  <c r="E21" i="8"/>
  <c r="C20" i="8"/>
  <c r="K20" i="8"/>
  <c r="L20" i="8"/>
  <c r="H20" i="8"/>
  <c r="L19" i="8"/>
  <c r="F20" i="8"/>
  <c r="M20" i="8"/>
  <c r="C19" i="8"/>
  <c r="K19" i="8"/>
  <c r="D21" i="8"/>
  <c r="L21" i="8"/>
  <c r="J21" i="8"/>
  <c r="H21" i="8"/>
  <c r="F21" i="8"/>
  <c r="E11" i="8"/>
  <c r="M10" i="8"/>
  <c r="D10" i="8"/>
  <c r="G10" i="8"/>
  <c r="G9" i="8"/>
  <c r="G11" i="8"/>
  <c r="I10" i="8"/>
  <c r="F11" i="8"/>
  <c r="D11" i="8"/>
  <c r="M9" i="8"/>
  <c r="H9" i="8"/>
  <c r="F10" i="8"/>
  <c r="J9" i="8"/>
  <c r="E9" i="8"/>
  <c r="E10" i="8"/>
  <c r="J10" i="8"/>
  <c r="B10" i="8"/>
  <c r="K9" i="8"/>
  <c r="C9" i="8"/>
  <c r="C11" i="8"/>
  <c r="D9" i="8"/>
  <c r="H11" i="8"/>
  <c r="L10" i="8"/>
  <c r="F9" i="8"/>
  <c r="I11" i="8"/>
  <c r="L9" i="8"/>
  <c r="B11" i="8"/>
  <c r="L11" i="8"/>
  <c r="H10" i="8"/>
  <c r="C10" i="8"/>
  <c r="M11" i="8"/>
  <c r="K10" i="8"/>
  <c r="I9" i="8"/>
  <c r="K11" i="8"/>
  <c r="J11" i="8"/>
  <c r="B9" i="8"/>
  <c r="F8" i="23" l="1"/>
  <c r="B6" i="26"/>
  <c r="B10" i="26"/>
  <c r="F26" i="8"/>
  <c r="M13" i="14"/>
  <c r="C14" i="8"/>
  <c r="C4" i="23"/>
  <c r="C8" i="23" s="1"/>
  <c r="D4" i="23"/>
  <c r="D8" i="23" s="1"/>
  <c r="H13" i="14"/>
  <c r="I13" i="14"/>
  <c r="K13" i="14"/>
  <c r="L25" i="14"/>
  <c r="G25" i="14"/>
  <c r="G13" i="14"/>
  <c r="F13" i="14"/>
  <c r="K25" i="14"/>
  <c r="B25" i="14"/>
  <c r="H25" i="14"/>
  <c r="C25" i="14"/>
  <c r="E13" i="14"/>
  <c r="F25" i="14"/>
  <c r="J13" i="14"/>
  <c r="L13" i="14"/>
  <c r="M25" i="14"/>
  <c r="C13" i="14"/>
  <c r="E25" i="14"/>
  <c r="I25" i="14"/>
  <c r="J25" i="14"/>
  <c r="D13" i="14"/>
  <c r="D25" i="14"/>
  <c r="B13" i="14"/>
  <c r="J15" i="11"/>
  <c r="E13" i="10"/>
  <c r="G15" i="11"/>
  <c r="L15" i="11"/>
  <c r="I27" i="11"/>
  <c r="B27" i="11"/>
  <c r="L22" i="9"/>
  <c r="L27" i="11"/>
  <c r="H27" i="11"/>
  <c r="D15" i="11"/>
  <c r="K15" i="11"/>
  <c r="M15" i="11"/>
  <c r="F15" i="11"/>
  <c r="F27" i="11"/>
  <c r="I15" i="11"/>
  <c r="C15" i="11"/>
  <c r="C27" i="11"/>
  <c r="E15" i="11"/>
  <c r="G27" i="11"/>
  <c r="E27" i="11"/>
  <c r="J13" i="10"/>
  <c r="K27" i="11"/>
  <c r="H34" i="9"/>
  <c r="B15" i="11"/>
  <c r="K13" i="10"/>
  <c r="J27" i="11"/>
  <c r="K64" i="9"/>
  <c r="K25" i="10"/>
  <c r="M22" i="9"/>
  <c r="I64" i="9"/>
  <c r="I52" i="9"/>
  <c r="L25" i="10"/>
  <c r="F13" i="10"/>
  <c r="H13" i="10"/>
  <c r="G22" i="9"/>
  <c r="M27" i="11"/>
  <c r="E52" i="9"/>
  <c r="D27" i="11"/>
  <c r="L52" i="9"/>
  <c r="H25" i="10"/>
  <c r="C22" i="9"/>
  <c r="G64" i="9"/>
  <c r="H15" i="11"/>
  <c r="C13" i="10"/>
  <c r="M13" i="10"/>
  <c r="F34" i="9"/>
  <c r="B13" i="10"/>
  <c r="C34" i="9"/>
  <c r="B29" i="10"/>
  <c r="F22" i="9"/>
  <c r="B28" i="10"/>
  <c r="L13" i="10"/>
  <c r="E22" i="9"/>
  <c r="D22" i="9"/>
  <c r="B34" i="9"/>
  <c r="B25" i="10"/>
  <c r="G25" i="10"/>
  <c r="G52" i="9"/>
  <c r="J25" i="10"/>
  <c r="K22" i="9"/>
  <c r="D34" i="9"/>
  <c r="F25" i="10"/>
  <c r="C25" i="10"/>
  <c r="G13" i="10"/>
  <c r="M25" i="10"/>
  <c r="J64" i="9"/>
  <c r="D13" i="10"/>
  <c r="B22" i="9"/>
  <c r="H22" i="9"/>
  <c r="J34" i="9"/>
  <c r="B64" i="9"/>
  <c r="D52" i="9"/>
  <c r="C52" i="9"/>
  <c r="E34" i="9"/>
  <c r="I25" i="10"/>
  <c r="G34" i="9"/>
  <c r="I13" i="10"/>
  <c r="M34" i="9"/>
  <c r="L34" i="9"/>
  <c r="D25" i="10"/>
  <c r="H64" i="9"/>
  <c r="H52" i="9"/>
  <c r="I34" i="9"/>
  <c r="E25" i="10"/>
  <c r="K34" i="9"/>
  <c r="B52" i="9"/>
  <c r="E64" i="9"/>
  <c r="D64" i="9"/>
  <c r="I22" i="9"/>
  <c r="K52" i="9"/>
  <c r="J52" i="9"/>
  <c r="M52" i="9"/>
  <c r="C64" i="9"/>
  <c r="M64" i="9"/>
  <c r="F64" i="9"/>
  <c r="L64" i="9"/>
  <c r="J22" i="9"/>
  <c r="F52" i="9"/>
  <c r="H14" i="8"/>
  <c r="B14" i="8"/>
  <c r="M14" i="8"/>
  <c r="F14" i="8"/>
  <c r="D14" i="8"/>
  <c r="C26" i="8"/>
  <c r="G26" i="8"/>
  <c r="K14" i="8"/>
  <c r="E26" i="8"/>
  <c r="M26" i="8"/>
  <c r="K26" i="8"/>
  <c r="I14" i="8"/>
  <c r="H26" i="8"/>
  <c r="B26" i="8"/>
  <c r="G14" i="8"/>
  <c r="D26" i="8"/>
  <c r="L14" i="8"/>
  <c r="E14" i="8"/>
  <c r="J26" i="8"/>
  <c r="L26" i="8"/>
  <c r="J14" i="8"/>
  <c r="I26" i="8"/>
  <c r="I3" i="26" l="1"/>
  <c r="O3" i="26"/>
  <c r="L3" i="26"/>
  <c r="F3" i="26"/>
  <c r="B27" i="8"/>
  <c r="B28" i="14" s="1"/>
  <c r="B4" i="23"/>
  <c r="B8" i="23" s="1"/>
  <c r="G10" i="23" s="1"/>
  <c r="N3" i="23" s="1"/>
  <c r="B26" i="14"/>
  <c r="B28" i="11"/>
  <c r="B30" i="10"/>
  <c r="B35" i="9"/>
  <c r="C14" i="9" s="1"/>
  <c r="C35" i="9" s="1"/>
  <c r="D14" i="9" s="1"/>
  <c r="D35" i="9" s="1"/>
  <c r="E14" i="9" s="1"/>
  <c r="E35" i="9" s="1"/>
  <c r="F14" i="9" s="1"/>
  <c r="F35" i="9" s="1"/>
  <c r="G14" i="9" s="1"/>
  <c r="G35" i="9" s="1"/>
  <c r="H14" i="9" s="1"/>
  <c r="H35" i="9" s="1"/>
  <c r="I14" i="9" s="1"/>
  <c r="I35" i="9" s="1"/>
  <c r="J14" i="9" s="1"/>
  <c r="J35" i="9" s="1"/>
  <c r="K14" i="9" s="1"/>
  <c r="K35" i="9" s="1"/>
  <c r="L14" i="9" s="1"/>
  <c r="L35" i="9" s="1"/>
  <c r="M14" i="9" s="1"/>
  <c r="M35" i="9" s="1"/>
  <c r="B26" i="10"/>
  <c r="C5" i="10" s="1"/>
  <c r="C26" i="10" s="1"/>
  <c r="D5" i="10" s="1"/>
  <c r="D26" i="10" s="1"/>
  <c r="E5" i="10" s="1"/>
  <c r="E26" i="10" s="1"/>
  <c r="F5" i="10" s="1"/>
  <c r="F26" i="10" s="1"/>
  <c r="G5" i="10" s="1"/>
  <c r="G26" i="10" s="1"/>
  <c r="H5" i="10" s="1"/>
  <c r="H26" i="10" s="1"/>
  <c r="I5" i="10" s="1"/>
  <c r="I26" i="10" s="1"/>
  <c r="J5" i="10" s="1"/>
  <c r="J26" i="10" s="1"/>
  <c r="K5" i="10" s="1"/>
  <c r="K26" i="10" s="1"/>
  <c r="L5" i="10" s="1"/>
  <c r="L26" i="10" s="1"/>
  <c r="M5" i="10" s="1"/>
  <c r="M26" i="10" s="1"/>
  <c r="B65" i="9"/>
  <c r="C44" i="9" s="1"/>
  <c r="C65" i="9" s="1"/>
  <c r="D44" i="9" s="1"/>
  <c r="D65" i="9" s="1"/>
  <c r="E44" i="9" s="1"/>
  <c r="E65" i="9" s="1"/>
  <c r="F44" i="9" s="1"/>
  <c r="F65" i="9" s="1"/>
  <c r="G44" i="9" s="1"/>
  <c r="G65" i="9" s="1"/>
  <c r="H44" i="9" s="1"/>
  <c r="H65" i="9" s="1"/>
  <c r="I44" i="9" s="1"/>
  <c r="I65" i="9" s="1"/>
  <c r="J44" i="9" s="1"/>
  <c r="J65" i="9" s="1"/>
  <c r="K44" i="9" s="1"/>
  <c r="K65" i="9" s="1"/>
  <c r="L44" i="9" s="1"/>
  <c r="L65" i="9" s="1"/>
  <c r="M44" i="9" s="1"/>
  <c r="M65" i="9" s="1"/>
  <c r="B14" i="23" l="1"/>
  <c r="B16" i="23"/>
  <c r="B15" i="23"/>
  <c r="B17" i="23"/>
  <c r="C5" i="14"/>
  <c r="C26" i="14" s="1"/>
  <c r="B29" i="14"/>
  <c r="C6" i="8"/>
  <c r="B30" i="11"/>
  <c r="B31" i="11" s="1"/>
  <c r="C7" i="11"/>
  <c r="C28" i="11" s="1"/>
  <c r="C27" i="8" l="1"/>
  <c r="C28" i="14" s="1"/>
  <c r="C29" i="14" s="1"/>
  <c r="D5" i="14"/>
  <c r="D26" i="14" s="1"/>
  <c r="D7" i="11"/>
  <c r="D28" i="11" s="1"/>
  <c r="C30" i="11" l="1"/>
  <c r="C31" i="11" s="1"/>
  <c r="D6" i="8"/>
  <c r="D27" i="8" s="1"/>
  <c r="D28" i="14" s="1"/>
  <c r="D29" i="14" s="1"/>
  <c r="E5" i="14"/>
  <c r="E26" i="14" s="1"/>
  <c r="E7" i="11"/>
  <c r="E28" i="11" s="1"/>
  <c r="D30" i="11" l="1"/>
  <c r="D31" i="11" s="1"/>
  <c r="E6" i="8"/>
  <c r="E27" i="8" s="1"/>
  <c r="E28" i="14" s="1"/>
  <c r="E29" i="14" s="1"/>
  <c r="F5" i="14"/>
  <c r="F26" i="14" s="1"/>
  <c r="F7" i="11"/>
  <c r="F28" i="11" s="1"/>
  <c r="E30" i="11" l="1"/>
  <c r="E31" i="11" s="1"/>
  <c r="F6" i="8"/>
  <c r="F27" i="8" s="1"/>
  <c r="F28" i="14" s="1"/>
  <c r="F29" i="14" s="1"/>
  <c r="G5" i="14"/>
  <c r="G26" i="14" s="1"/>
  <c r="G7" i="11"/>
  <c r="G28" i="11" s="1"/>
  <c r="F30" i="11" l="1"/>
  <c r="F31" i="11" s="1"/>
  <c r="G6" i="8"/>
  <c r="G27" i="8" s="1"/>
  <c r="G28" i="14" s="1"/>
  <c r="G29" i="14" s="1"/>
  <c r="H5" i="14"/>
  <c r="H26" i="14" s="1"/>
  <c r="H7" i="11"/>
  <c r="H28" i="11" s="1"/>
  <c r="H6" i="8" l="1"/>
  <c r="H27" i="8" s="1"/>
  <c r="H28" i="14" s="1"/>
  <c r="H29" i="14" s="1"/>
  <c r="G30" i="11"/>
  <c r="G31" i="11" s="1"/>
  <c r="I5" i="14"/>
  <c r="I26" i="14" s="1"/>
  <c r="I7" i="11"/>
  <c r="I28" i="11" s="1"/>
  <c r="H30" i="11" l="1"/>
  <c r="H31" i="11" s="1"/>
  <c r="I6" i="8"/>
  <c r="I27" i="8" s="1"/>
  <c r="I28" i="14" s="1"/>
  <c r="I29" i="14" s="1"/>
  <c r="J5" i="14"/>
  <c r="J26" i="14" s="1"/>
  <c r="J7" i="11"/>
  <c r="J28" i="11" s="1"/>
  <c r="J6" i="8" l="1"/>
  <c r="J27" i="8" s="1"/>
  <c r="J28" i="14" s="1"/>
  <c r="J29" i="14" s="1"/>
  <c r="I30" i="11"/>
  <c r="I31" i="11" s="1"/>
  <c r="K5" i="14"/>
  <c r="K26" i="14" s="1"/>
  <c r="K7" i="11"/>
  <c r="K28" i="11" s="1"/>
  <c r="J30" i="11" l="1"/>
  <c r="J31" i="11" s="1"/>
  <c r="K6" i="8"/>
  <c r="K27" i="8" s="1"/>
  <c r="K28" i="14" s="1"/>
  <c r="K29" i="14" s="1"/>
  <c r="L5" i="14"/>
  <c r="L26" i="14" s="1"/>
  <c r="L7" i="11"/>
  <c r="L28" i="11" s="1"/>
  <c r="K30" i="11" l="1"/>
  <c r="K31" i="11" s="1"/>
  <c r="L6" i="8"/>
  <c r="L27" i="8" s="1"/>
  <c r="L28" i="14" s="1"/>
  <c r="L29" i="14" s="1"/>
  <c r="M5" i="14"/>
  <c r="M26" i="14" s="1"/>
  <c r="M7" i="11"/>
  <c r="M28" i="11" s="1"/>
  <c r="M6" i="8" l="1"/>
  <c r="M27" i="8" s="1"/>
  <c r="R3" i="26" s="1"/>
  <c r="L30" i="11"/>
  <c r="L31" i="11" s="1"/>
  <c r="M30" i="11"/>
  <c r="M31" i="11" s="1"/>
  <c r="M28" i="14"/>
  <c r="M29" i="1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684D3E-358F-405A-9BE0-4DDAC9CA971E}" keepAlive="1" name="Query - AssignmentData" description="Connection to the 'AssignmentData' query in the workbook." type="5" refreshedVersion="8" background="1" saveData="1">
    <dbPr connection="Provider=Microsoft.Mashup.OleDb.1;Data Source=$Workbook$;Location=AssignmentData;Extended Properties=&quot;&quot;" command="SELECT * FROM [AssignmentData]"/>
  </connection>
  <connection id="2" xr16:uid="{816F84ED-1DDE-4D41-B25C-3C16253D023A}" keepAlive="1" name="Query - AssignmentData (2)" description="Connection to the 'AssignmentData (2)' query in the workbook." type="5" refreshedVersion="8" background="1" saveData="1">
    <dbPr connection="Provider=Microsoft.Mashup.OleDb.1;Data Source=$Workbook$;Location=&quot;AssignmentData (2)&quot;;Extended Properties=&quot;&quot;" command="SELECT * FROM [AssignmentData (2)]"/>
  </connection>
  <connection id="3" xr16:uid="{FFB2525B-9F0B-43BA-AD06-6A8AD124561D}" keepAlive="1" name="Query - AssignmentData (3)" description="Connection to the 'AssignmentData (3)' query in the workbook." type="5" refreshedVersion="8" background="1" saveData="1">
    <dbPr connection="Provider=Microsoft.Mashup.OleDb.1;Data Source=$Workbook$;Location=&quot;AssignmentData (3)&quot;;Extended Properties=&quot;&quot;" command="SELECT * FROM [AssignmentData (3)]"/>
  </connection>
  <connection id="4" xr16:uid="{6BA35244-BAE6-4951-94CB-4D034A1F9CB0}" keepAlive="1" name="Query - AssignmentData (4)" description="Connection to the 'AssignmentData (4)' query in the workbook." type="5" refreshedVersion="8" background="1" saveData="1">
    <dbPr connection="Provider=Microsoft.Mashup.OleDb.1;Data Source=$Workbook$;Location=&quot;AssignmentData (4)&quot;;Extended Properties=&quot;&quot;" command="SELECT * FROM [AssignmentData (4)]"/>
  </connection>
  <connection id="5" xr16:uid="{438B744F-1903-42BA-91D3-DBC7271E2821}" keepAlive="1" name="Query - AssignmentData (5)" description="Connection to the 'AssignmentData (5)' query in the workbook." type="5" refreshedVersion="8" background="1" saveData="1">
    <dbPr connection="Provider=Microsoft.Mashup.OleDb.1;Data Source=$Workbook$;Location=&quot;AssignmentData (5)&quot;;Extended Properties=&quot;&quot;" command="SELECT * FROM [AssignmentData (5)]"/>
  </connection>
  <connection id="6" xr16:uid="{68EF121D-048A-4BC2-8142-F2163ADDC1D6}" keepAlive="1" name="Query - AssignmentData (6)" description="Connection to the 'AssignmentData (6)' query in the workbook." type="5" refreshedVersion="8" background="1" saveData="1">
    <dbPr connection="Provider=Microsoft.Mashup.OleDb.1;Data Source=$Workbook$;Location=&quot;AssignmentData (6)&quot;;Extended Properties=&quot;&quot;" command="SELECT * FROM [AssignmentData (6)]"/>
  </connection>
  <connection id="7" xr16:uid="{763FA13E-3B35-49DD-B725-F44EC3ED442A}" keepAlive="1" name="Query - AssignmentData (7)" description="Connection to the 'AssignmentData (7)' query in the workbook." type="5" refreshedVersion="8" background="1" saveData="1">
    <dbPr connection="Provider=Microsoft.Mashup.OleDb.1;Data Source=$Workbook$;Location=&quot;AssignmentData (7)&quot;;Extended Properties=&quot;&quot;" command="SELECT * FROM [AssignmentData (7)]"/>
  </connection>
</connections>
</file>

<file path=xl/sharedStrings.xml><?xml version="1.0" encoding="utf-8"?>
<sst xmlns="http://schemas.openxmlformats.org/spreadsheetml/2006/main" count="120546" uniqueCount="10811">
  <si>
    <t>ID</t>
  </si>
  <si>
    <t>First Name</t>
  </si>
  <si>
    <t>Last Name</t>
  </si>
  <si>
    <t>Title</t>
  </si>
  <si>
    <t>Gender</t>
  </si>
  <si>
    <t>Credit</t>
  </si>
  <si>
    <t>Street</t>
  </si>
  <si>
    <t>Town</t>
  </si>
  <si>
    <t>Post Code Area</t>
  </si>
  <si>
    <t>Order Date</t>
  </si>
  <si>
    <t>Quantity</t>
  </si>
  <si>
    <t>Product</t>
  </si>
  <si>
    <t>Date</t>
  </si>
  <si>
    <t>Gabriele</t>
  </si>
  <si>
    <t>Baxter</t>
  </si>
  <si>
    <t>Mrs</t>
  </si>
  <si>
    <t>F</t>
  </si>
  <si>
    <t>Abbotsbury Mews</t>
  </si>
  <si>
    <t>Ballyclare</t>
  </si>
  <si>
    <t>CH</t>
  </si>
  <si>
    <t>B</t>
  </si>
  <si>
    <t>Dann</t>
  </si>
  <si>
    <t>Huffman</t>
  </si>
  <si>
    <t>Adams Close</t>
  </si>
  <si>
    <t>Hoddesdon</t>
  </si>
  <si>
    <t>HG</t>
  </si>
  <si>
    <t>Cameron</t>
  </si>
  <si>
    <t>Vickers</t>
  </si>
  <si>
    <t>Mr</t>
  </si>
  <si>
    <t>M</t>
  </si>
  <si>
    <t>Beechwood Close</t>
  </si>
  <si>
    <t>Ross-On-Wye</t>
  </si>
  <si>
    <t>WC</t>
  </si>
  <si>
    <t>A3</t>
  </si>
  <si>
    <t>Barry</t>
  </si>
  <si>
    <t>Rangel</t>
  </si>
  <si>
    <t>Bergen Square</t>
  </si>
  <si>
    <t>Derbyshire</t>
  </si>
  <si>
    <t>RM</t>
  </si>
  <si>
    <t>C1</t>
  </si>
  <si>
    <t>Misti</t>
  </si>
  <si>
    <t>Ms</t>
  </si>
  <si>
    <t>Bob Marley</t>
  </si>
  <si>
    <t>Appleby-In-Westmorland</t>
  </si>
  <si>
    <t>KY</t>
  </si>
  <si>
    <t>D</t>
  </si>
  <si>
    <t>Lamont</t>
  </si>
  <si>
    <t>Hereward Gardens</t>
  </si>
  <si>
    <t>Ilfracombe</t>
  </si>
  <si>
    <t>Tammi</t>
  </si>
  <si>
    <t>Meade</t>
  </si>
  <si>
    <t>Miss</t>
  </si>
  <si>
    <t>Monson Road</t>
  </si>
  <si>
    <t>Tadworth</t>
  </si>
  <si>
    <t>A1</t>
  </si>
  <si>
    <t>Benito</t>
  </si>
  <si>
    <t>Holman</t>
  </si>
  <si>
    <t>Naoroji Street</t>
  </si>
  <si>
    <t>Ammanford</t>
  </si>
  <si>
    <t>HP</t>
  </si>
  <si>
    <t>Francene</t>
  </si>
  <si>
    <t>Vincent</t>
  </si>
  <si>
    <t>Newdigate</t>
  </si>
  <si>
    <t>Lynmouth</t>
  </si>
  <si>
    <t>C4</t>
  </si>
  <si>
    <t>Gaynelle</t>
  </si>
  <si>
    <t>Naquin</t>
  </si>
  <si>
    <t>Shamrock Way</t>
  </si>
  <si>
    <t>Alexandria</t>
  </si>
  <si>
    <t>GU</t>
  </si>
  <si>
    <t>A2</t>
  </si>
  <si>
    <t>Earlie</t>
  </si>
  <si>
    <t>Clark</t>
  </si>
  <si>
    <t>The Loning</t>
  </si>
  <si>
    <t>Peterhead</t>
  </si>
  <si>
    <t>Omer</t>
  </si>
  <si>
    <t>Link</t>
  </si>
  <si>
    <t>Tildesley Road</t>
  </si>
  <si>
    <t>Airdrie</t>
  </si>
  <si>
    <t>KT</t>
  </si>
  <si>
    <t>C2</t>
  </si>
  <si>
    <t>Bertie</t>
  </si>
  <si>
    <t>Willis</t>
  </si>
  <si>
    <t>Trafalgar Buildings</t>
  </si>
  <si>
    <t>Peebles</t>
  </si>
  <si>
    <t>Daron</t>
  </si>
  <si>
    <t>Bell</t>
  </si>
  <si>
    <t>Truscott Court</t>
  </si>
  <si>
    <t>Blandford Forum</t>
  </si>
  <si>
    <t>FY</t>
  </si>
  <si>
    <t>Cecil</t>
  </si>
  <si>
    <t>Givens</t>
  </si>
  <si>
    <t>Dr</t>
  </si>
  <si>
    <t>Arnold Estate</t>
  </si>
  <si>
    <t>Builth Wells</t>
  </si>
  <si>
    <t>TF</t>
  </si>
  <si>
    <t>Erik</t>
  </si>
  <si>
    <t>Velasquez</t>
  </si>
  <si>
    <t>Basing Court</t>
  </si>
  <si>
    <t>Bonnybridge</t>
  </si>
  <si>
    <t>BL</t>
  </si>
  <si>
    <t>E</t>
  </si>
  <si>
    <t>Cleo</t>
  </si>
  <si>
    <t>Carr</t>
  </si>
  <si>
    <t>Eclipse Road</t>
  </si>
  <si>
    <t>Wooler</t>
  </si>
  <si>
    <t>Bernard</t>
  </si>
  <si>
    <t>Eaton</t>
  </si>
  <si>
    <t>Greenbank Crescent</t>
  </si>
  <si>
    <t>Caterham</t>
  </si>
  <si>
    <t>CB</t>
  </si>
  <si>
    <t>Felix</t>
  </si>
  <si>
    <t>Sinclair</t>
  </si>
  <si>
    <t>Hamer Place</t>
  </si>
  <si>
    <t>Dalwhinnie</t>
  </si>
  <si>
    <t>Marcelino</t>
  </si>
  <si>
    <t>Kirby</t>
  </si>
  <si>
    <t>Prof</t>
  </si>
  <si>
    <t>Kepler Road</t>
  </si>
  <si>
    <t>Wishaw</t>
  </si>
  <si>
    <t>Janice</t>
  </si>
  <si>
    <t>Mann</t>
  </si>
  <si>
    <t>Lions Close</t>
  </si>
  <si>
    <t>Llanymynech</t>
  </si>
  <si>
    <t>WN</t>
  </si>
  <si>
    <t>Jody</t>
  </si>
  <si>
    <t>Baca</t>
  </si>
  <si>
    <t>Merlin</t>
  </si>
  <si>
    <t>Caersws</t>
  </si>
  <si>
    <t>WS</t>
  </si>
  <si>
    <t>Sam</t>
  </si>
  <si>
    <t>Rubio</t>
  </si>
  <si>
    <t>Myddelton Passage</t>
  </si>
  <si>
    <t>Letchworth Garden City</t>
  </si>
  <si>
    <t>Anderson</t>
  </si>
  <si>
    <t>Gomes</t>
  </si>
  <si>
    <t>West Arbour</t>
  </si>
  <si>
    <t>West Yorkshire</t>
  </si>
  <si>
    <t>Kyle</t>
  </si>
  <si>
    <t>Alston</t>
  </si>
  <si>
    <t>Wilds Place</t>
  </si>
  <si>
    <t>Somerton</t>
  </si>
  <si>
    <t>Erma</t>
  </si>
  <si>
    <t>Bruner</t>
  </si>
  <si>
    <t>Calmers Rents</t>
  </si>
  <si>
    <t>Halesworth</t>
  </si>
  <si>
    <t>UB</t>
  </si>
  <si>
    <t>Oleta</t>
  </si>
  <si>
    <t>Coley</t>
  </si>
  <si>
    <t>Eversley Park</t>
  </si>
  <si>
    <t>Carnforth</t>
  </si>
  <si>
    <t>Cinda</t>
  </si>
  <si>
    <t>Durham</t>
  </si>
  <si>
    <t>Wells Way</t>
  </si>
  <si>
    <t>Hertfordshire</t>
  </si>
  <si>
    <t>Enrique</t>
  </si>
  <si>
    <t>Godwin</t>
  </si>
  <si>
    <t>Abbey Gardens</t>
  </si>
  <si>
    <t>Windermere</t>
  </si>
  <si>
    <t>C3</t>
  </si>
  <si>
    <t>Domingo</t>
  </si>
  <si>
    <t>Sylvester</t>
  </si>
  <si>
    <t>Abbey Lane</t>
  </si>
  <si>
    <t>Alresford</t>
  </si>
  <si>
    <t>FK</t>
  </si>
  <si>
    <t>Brandee</t>
  </si>
  <si>
    <t>Gamble</t>
  </si>
  <si>
    <t>Abbotsbury Close</t>
  </si>
  <si>
    <t>Sandown</t>
  </si>
  <si>
    <t>Daysi</t>
  </si>
  <si>
    <t>Schneider</t>
  </si>
  <si>
    <t>Abbotts Close</t>
  </si>
  <si>
    <t>Cleator Moor</t>
  </si>
  <si>
    <t>PR</t>
  </si>
  <si>
    <t>Shanel</t>
  </si>
  <si>
    <t>Hendrickson</t>
  </si>
  <si>
    <t>Abercorn Court</t>
  </si>
  <si>
    <t>Cramlington</t>
  </si>
  <si>
    <t>CW</t>
  </si>
  <si>
    <t>Nicky</t>
  </si>
  <si>
    <t>Connolly</t>
  </si>
  <si>
    <t>Aberdeen Parade</t>
  </si>
  <si>
    <t>Londonderry</t>
  </si>
  <si>
    <t>Sammy</t>
  </si>
  <si>
    <t>Darnell</t>
  </si>
  <si>
    <t>Aberdeen Terrace</t>
  </si>
  <si>
    <t>Ferndale</t>
  </si>
  <si>
    <t>HX</t>
  </si>
  <si>
    <t>Lewis</t>
  </si>
  <si>
    <t>Christiansen</t>
  </si>
  <si>
    <t>Abingdon Buildings</t>
  </si>
  <si>
    <t>Blackwood</t>
  </si>
  <si>
    <t>Fran</t>
  </si>
  <si>
    <t>Caudill</t>
  </si>
  <si>
    <t>Abingdon Villas</t>
  </si>
  <si>
    <t>Farnborough</t>
  </si>
  <si>
    <t>Hoyt</t>
  </si>
  <si>
    <t>Key</t>
  </si>
  <si>
    <t>Abingdon Yard</t>
  </si>
  <si>
    <t>Porth</t>
  </si>
  <si>
    <t>Arleen</t>
  </si>
  <si>
    <t>Huggins</t>
  </si>
  <si>
    <t>Abinger Road</t>
  </si>
  <si>
    <t>Rowley Regis</t>
  </si>
  <si>
    <t>Fredric</t>
  </si>
  <si>
    <t>Pierce</t>
  </si>
  <si>
    <t>Absolom Place</t>
  </si>
  <si>
    <t>Chorley</t>
  </si>
  <si>
    <t>DH</t>
  </si>
  <si>
    <t>Terrance</t>
  </si>
  <si>
    <t>Hawkins</t>
  </si>
  <si>
    <t>Acacia Avenue</t>
  </si>
  <si>
    <t>Ashtead</t>
  </si>
  <si>
    <t>TW</t>
  </si>
  <si>
    <t>Emile</t>
  </si>
  <si>
    <t>Mcghee</t>
  </si>
  <si>
    <t>Acacia Gardens</t>
  </si>
  <si>
    <t>Lightwater</t>
  </si>
  <si>
    <t>Harold</t>
  </si>
  <si>
    <t>Mcnamara</t>
  </si>
  <si>
    <t>Acacia Road</t>
  </si>
  <si>
    <t>Ystrad Meurig</t>
  </si>
  <si>
    <t>Otto</t>
  </si>
  <si>
    <t>Acacia Terrace</t>
  </si>
  <si>
    <t>Llanrwst</t>
  </si>
  <si>
    <t>Ruffin</t>
  </si>
  <si>
    <t>Accacia Grove</t>
  </si>
  <si>
    <t>Corwen</t>
  </si>
  <si>
    <t>Hyman</t>
  </si>
  <si>
    <t>Rodriquez</t>
  </si>
  <si>
    <t>Accommodation Road</t>
  </si>
  <si>
    <t>Craven Arms</t>
  </si>
  <si>
    <t>Cody</t>
  </si>
  <si>
    <t>Vogt</t>
  </si>
  <si>
    <t>Achilles Road</t>
  </si>
  <si>
    <t>Harpenden</t>
  </si>
  <si>
    <t>Nakia</t>
  </si>
  <si>
    <t>Quinn</t>
  </si>
  <si>
    <t>Ackwarth Street</t>
  </si>
  <si>
    <t>Cemaes Bay</t>
  </si>
  <si>
    <t>CR</t>
  </si>
  <si>
    <t>Danica</t>
  </si>
  <si>
    <t>Merritt</t>
  </si>
  <si>
    <t>Acland Crescent</t>
  </si>
  <si>
    <t>Cheltenham</t>
  </si>
  <si>
    <t>Kenneth</t>
  </si>
  <si>
    <t>Tidwell</t>
  </si>
  <si>
    <t>Acton Park</t>
  </si>
  <si>
    <t>Crianlarich</t>
  </si>
  <si>
    <t>Jason</t>
  </si>
  <si>
    <t>Adam Eve</t>
  </si>
  <si>
    <t>Greenock</t>
  </si>
  <si>
    <t>Ailene</t>
  </si>
  <si>
    <t>Self</t>
  </si>
  <si>
    <t>Adam Road</t>
  </si>
  <si>
    <t>Portsmouth</t>
  </si>
  <si>
    <t>Odell</t>
  </si>
  <si>
    <t>Montano</t>
  </si>
  <si>
    <t>Wells</t>
  </si>
  <si>
    <t>Ray</t>
  </si>
  <si>
    <t>Navarro</t>
  </si>
  <si>
    <t>Adam Street</t>
  </si>
  <si>
    <t>Camelford</t>
  </si>
  <si>
    <t>Mee</t>
  </si>
  <si>
    <t>Daniels</t>
  </si>
  <si>
    <t>Addington Basin</t>
  </si>
  <si>
    <t>Pinner</t>
  </si>
  <si>
    <t>Martin</t>
  </si>
  <si>
    <t>Walsh</t>
  </si>
  <si>
    <t>Addison Avenue</t>
  </si>
  <si>
    <t>Glenfinnan</t>
  </si>
  <si>
    <t>Mika</t>
  </si>
  <si>
    <t>Belanger</t>
  </si>
  <si>
    <t>fem</t>
  </si>
  <si>
    <t>Addison Terrace</t>
  </si>
  <si>
    <t>Peterculter</t>
  </si>
  <si>
    <t>Faye</t>
  </si>
  <si>
    <t>Honeycutt</t>
  </si>
  <si>
    <t>Adelaide Chambers</t>
  </si>
  <si>
    <t>Ashington</t>
  </si>
  <si>
    <t>Emmy</t>
  </si>
  <si>
    <t>Bartlett</t>
  </si>
  <si>
    <t>FEM</t>
  </si>
  <si>
    <t>Adelaide Cottages</t>
  </si>
  <si>
    <t>Halesowen</t>
  </si>
  <si>
    <t>Elsie</t>
  </si>
  <si>
    <t>Gilmore</t>
  </si>
  <si>
    <t>Adelaide Wharf</t>
  </si>
  <si>
    <t>Staffordshire</t>
  </si>
  <si>
    <t>Shara</t>
  </si>
  <si>
    <t>Jernigan</t>
  </si>
  <si>
    <t>f</t>
  </si>
  <si>
    <t>Adelphi Terrace</t>
  </si>
  <si>
    <t>Kirknewton</t>
  </si>
  <si>
    <t>HS</t>
  </si>
  <si>
    <t>Kirk</t>
  </si>
  <si>
    <t>Poe</t>
  </si>
  <si>
    <t>Admiral Square</t>
  </si>
  <si>
    <t>Holywell</t>
  </si>
  <si>
    <t>Tammie</t>
  </si>
  <si>
    <t>Gates</t>
  </si>
  <si>
    <t>Admirals Way</t>
  </si>
  <si>
    <t>Barking</t>
  </si>
  <si>
    <t>SM</t>
  </si>
  <si>
    <t>Dale</t>
  </si>
  <si>
    <t>Sanford</t>
  </si>
  <si>
    <t>Ado Place</t>
  </si>
  <si>
    <t>Rowlands Gill</t>
  </si>
  <si>
    <t>Temeka</t>
  </si>
  <si>
    <t>Joseph</t>
  </si>
  <si>
    <t>Aegis Grove</t>
  </si>
  <si>
    <t>Lydbury North</t>
  </si>
  <si>
    <t>Willodean</t>
  </si>
  <si>
    <t>Davis</t>
  </si>
  <si>
    <t>Agar Place</t>
  </si>
  <si>
    <t>South Croydon</t>
  </si>
  <si>
    <t>Ivonne</t>
  </si>
  <si>
    <t>Pickens</t>
  </si>
  <si>
    <t>Ainsdale Drive</t>
  </si>
  <si>
    <t>Chislehurst</t>
  </si>
  <si>
    <t>Melodi</t>
  </si>
  <si>
    <t>Colvin</t>
  </si>
  <si>
    <t>Oban</t>
  </si>
  <si>
    <t>Waylon</t>
  </si>
  <si>
    <t>Downs</t>
  </si>
  <si>
    <t>Aintree Estate</t>
  </si>
  <si>
    <t>Hope Valley</t>
  </si>
  <si>
    <t>Annett</t>
  </si>
  <si>
    <t>Browne</t>
  </si>
  <si>
    <t>Alabama Street</t>
  </si>
  <si>
    <t>Westhill</t>
  </si>
  <si>
    <t>Azucena</t>
  </si>
  <si>
    <t>Mcbride</t>
  </si>
  <si>
    <t>Alacross Road</t>
  </si>
  <si>
    <t>Llanarth</t>
  </si>
  <si>
    <t>Miles</t>
  </si>
  <si>
    <t>Baez</t>
  </si>
  <si>
    <t>Alba Gardens</t>
  </si>
  <si>
    <t>Cinderford</t>
  </si>
  <si>
    <t>Trinidad</t>
  </si>
  <si>
    <t>Soto</t>
  </si>
  <si>
    <t>Alba Place</t>
  </si>
  <si>
    <t>Herne Bay</t>
  </si>
  <si>
    <t>Adolph</t>
  </si>
  <si>
    <t>Stringer</t>
  </si>
  <si>
    <t>Albany Courtyard</t>
  </si>
  <si>
    <t>Shropshire</t>
  </si>
  <si>
    <t>Dagmar</t>
  </si>
  <si>
    <t>Hooks</t>
  </si>
  <si>
    <t>Albany Terrace</t>
  </si>
  <si>
    <t>Haywards Heath</t>
  </si>
  <si>
    <t>Waltraud</t>
  </si>
  <si>
    <t>Ledbetter</t>
  </si>
  <si>
    <t>Albert Cottage</t>
  </si>
  <si>
    <t>Stapleton</t>
  </si>
  <si>
    <t>Albert Court</t>
  </si>
  <si>
    <t>County Fermanagh</t>
  </si>
  <si>
    <t>Ashley</t>
  </si>
  <si>
    <t>Gleason</t>
  </si>
  <si>
    <t>Albert Crescent</t>
  </si>
  <si>
    <t>Highbridge</t>
  </si>
  <si>
    <t>Hyde</t>
  </si>
  <si>
    <t>Albert Villas</t>
  </si>
  <si>
    <t>Castlederg</t>
  </si>
  <si>
    <t>Franchesca</t>
  </si>
  <si>
    <t>Carver</t>
  </si>
  <si>
    <t>#N/A</t>
  </si>
  <si>
    <t>Leslie</t>
  </si>
  <si>
    <t>Allred</t>
  </si>
  <si>
    <t>Albion Avenue</t>
  </si>
  <si>
    <t>Watlington</t>
  </si>
  <si>
    <t>Royal</t>
  </si>
  <si>
    <t>Ramsey</t>
  </si>
  <si>
    <t>Albion Buildings</t>
  </si>
  <si>
    <t>Heanor</t>
  </si>
  <si>
    <t>Boyce</t>
  </si>
  <si>
    <t>Case</t>
  </si>
  <si>
    <t>Albion Terrace</t>
  </si>
  <si>
    <t>Halifax</t>
  </si>
  <si>
    <t>Myung</t>
  </si>
  <si>
    <t>Gabriel</t>
  </si>
  <si>
    <t>Albury Mews</t>
  </si>
  <si>
    <t>Tranent</t>
  </si>
  <si>
    <t>Lovetta</t>
  </si>
  <si>
    <t>Green</t>
  </si>
  <si>
    <t>Alcott Avenue</t>
  </si>
  <si>
    <t>Leatherhead</t>
  </si>
  <si>
    <t>Zenia</t>
  </si>
  <si>
    <t>Boudreaux</t>
  </si>
  <si>
    <t>South Yorkshire</t>
  </si>
  <si>
    <t>Mason</t>
  </si>
  <si>
    <t>Hurst</t>
  </si>
  <si>
    <t>Alcott Close</t>
  </si>
  <si>
    <t>Scunthorpe</t>
  </si>
  <si>
    <t>Newton</t>
  </si>
  <si>
    <t>Aldbury Mews</t>
  </si>
  <si>
    <t>Westgate-On-Sea</t>
  </si>
  <si>
    <t>Rubye</t>
  </si>
  <si>
    <t>Mcpherson</t>
  </si>
  <si>
    <t>Alden Avenue</t>
  </si>
  <si>
    <t>Aldershot</t>
  </si>
  <si>
    <t>SK</t>
  </si>
  <si>
    <t>Cherish</t>
  </si>
  <si>
    <t>Tripp</t>
  </si>
  <si>
    <t>Alder Close</t>
  </si>
  <si>
    <t>March</t>
  </si>
  <si>
    <t>Martinez</t>
  </si>
  <si>
    <t>Aldermanbury</t>
  </si>
  <si>
    <t>Hassocks</t>
  </si>
  <si>
    <t>Tama</t>
  </si>
  <si>
    <t>Best</t>
  </si>
  <si>
    <t>Aldermans Hill</t>
  </si>
  <si>
    <t>Essex</t>
  </si>
  <si>
    <t>Afton</t>
  </si>
  <si>
    <t>Owens</t>
  </si>
  <si>
    <t>Aldermans Walk</t>
  </si>
  <si>
    <t>Teignmouth</t>
  </si>
  <si>
    <t>Jodie</t>
  </si>
  <si>
    <t>Beatty</t>
  </si>
  <si>
    <t>Alderminster Road</t>
  </si>
  <si>
    <t>Manningtree</t>
  </si>
  <si>
    <t>Jodee</t>
  </si>
  <si>
    <t>Hargrove</t>
  </si>
  <si>
    <t>Aldersgrove Avenue</t>
  </si>
  <si>
    <t>Auchterarder</t>
  </si>
  <si>
    <t>NR</t>
  </si>
  <si>
    <t>Karrie</t>
  </si>
  <si>
    <t>Vega</t>
  </si>
  <si>
    <t>Aldine Chambers</t>
  </si>
  <si>
    <t>Ripley</t>
  </si>
  <si>
    <t>Neal</t>
  </si>
  <si>
    <t>Aldis Mews</t>
  </si>
  <si>
    <t>Southwell</t>
  </si>
  <si>
    <t>Micah</t>
  </si>
  <si>
    <t>Yoder</t>
  </si>
  <si>
    <t>Aldsworth Close</t>
  </si>
  <si>
    <t>Penrhyndeudraeth</t>
  </si>
  <si>
    <t>Carley</t>
  </si>
  <si>
    <t>Hannah</t>
  </si>
  <si>
    <t>Alexander Evans</t>
  </si>
  <si>
    <t>Horncastle</t>
  </si>
  <si>
    <t>Kelley</t>
  </si>
  <si>
    <t>Alexander Place</t>
  </si>
  <si>
    <t>Isle Of Cumbrae</t>
  </si>
  <si>
    <t>Barbara</t>
  </si>
  <si>
    <t>Russo</t>
  </si>
  <si>
    <t>Alexandra Mews</t>
  </si>
  <si>
    <t>Warwickshire</t>
  </si>
  <si>
    <t>Karie</t>
  </si>
  <si>
    <t>Stephenson</t>
  </si>
  <si>
    <t>Alexandra Road</t>
  </si>
  <si>
    <t>Lanarkshire</t>
  </si>
  <si>
    <t>Alfredo</t>
  </si>
  <si>
    <t>Lake</t>
  </si>
  <si>
    <t>Alexandria Road</t>
  </si>
  <si>
    <t>Fleet</t>
  </si>
  <si>
    <t>Tatyana</t>
  </si>
  <si>
    <t>Harding</t>
  </si>
  <si>
    <t>Kirkliston</t>
  </si>
  <si>
    <t>Lekisha</t>
  </si>
  <si>
    <t>Mckinley</t>
  </si>
  <si>
    <t>Alexandria Terrace</t>
  </si>
  <si>
    <t>Tregaron</t>
  </si>
  <si>
    <t>Melani</t>
  </si>
  <si>
    <t>Hare</t>
  </si>
  <si>
    <t>Alexis Road</t>
  </si>
  <si>
    <t>Esher</t>
  </si>
  <si>
    <t>Jenae</t>
  </si>
  <si>
    <t>Sadler</t>
  </si>
  <si>
    <t>Alford Terrace</t>
  </si>
  <si>
    <t>Ryde</t>
  </si>
  <si>
    <t>Raphael</t>
  </si>
  <si>
    <t>Andrade</t>
  </si>
  <si>
    <t>Alfred Place</t>
  </si>
  <si>
    <t>Ascot</t>
  </si>
  <si>
    <t>BN</t>
  </si>
  <si>
    <t>Garry</t>
  </si>
  <si>
    <t>Hanks</t>
  </si>
  <si>
    <t>Alfred Villas</t>
  </si>
  <si>
    <t>Banwell</t>
  </si>
  <si>
    <t>Leilani</t>
  </si>
  <si>
    <t>Krause</t>
  </si>
  <si>
    <t>Alfreda Street</t>
  </si>
  <si>
    <t>Skelmorlie</t>
  </si>
  <si>
    <t>Francisco</t>
  </si>
  <si>
    <t>Everett</t>
  </si>
  <si>
    <t>Alfreton Close</t>
  </si>
  <si>
    <t>Rhyl</t>
  </si>
  <si>
    <t>Jackie</t>
  </si>
  <si>
    <t>Espinosa</t>
  </si>
  <si>
    <t>Alfreton Villas</t>
  </si>
  <si>
    <t>West Kilbride</t>
  </si>
  <si>
    <t>James</t>
  </si>
  <si>
    <t>Lutz</t>
  </si>
  <si>
    <t>Algarve Road</t>
  </si>
  <si>
    <t>Coleraine</t>
  </si>
  <si>
    <t>Kevin</t>
  </si>
  <si>
    <t>Alice Cottages</t>
  </si>
  <si>
    <t>Whitehaven</t>
  </si>
  <si>
    <t>Gay</t>
  </si>
  <si>
    <t>Espinoza</t>
  </si>
  <si>
    <t>Alice Terrace</t>
  </si>
  <si>
    <t>Isle Of South Uist</t>
  </si>
  <si>
    <t>Adam</t>
  </si>
  <si>
    <t>Roy</t>
  </si>
  <si>
    <t>Allen Road</t>
  </si>
  <si>
    <t>Rugby</t>
  </si>
  <si>
    <t>Maynard</t>
  </si>
  <si>
    <t>Burr</t>
  </si>
  <si>
    <t>Allen Street</t>
  </si>
  <si>
    <t>Ramsgate</t>
  </si>
  <si>
    <t>Kerry</t>
  </si>
  <si>
    <t>Goddard</t>
  </si>
  <si>
    <t>Allestree Villas</t>
  </si>
  <si>
    <t>Ballachulish</t>
  </si>
  <si>
    <t>Adriane</t>
  </si>
  <si>
    <t>Haywood</t>
  </si>
  <si>
    <t>Alleyn Court</t>
  </si>
  <si>
    <t>Tadcaster</t>
  </si>
  <si>
    <t>Carita</t>
  </si>
  <si>
    <t>Kaufman</t>
  </si>
  <si>
    <t>Alleyne Road</t>
  </si>
  <si>
    <t>St. Andrews</t>
  </si>
  <si>
    <t>Noemi</t>
  </si>
  <si>
    <t>Faulkner</t>
  </si>
  <si>
    <t>Allison Close</t>
  </si>
  <si>
    <t>West Sussex</t>
  </si>
  <si>
    <t>Rickey</t>
  </si>
  <si>
    <t>Morales</t>
  </si>
  <si>
    <t>Allison Road</t>
  </si>
  <si>
    <t>Llandudno</t>
  </si>
  <si>
    <t>Gillian</t>
  </si>
  <si>
    <t>Carlson</t>
  </si>
  <si>
    <t>Allleyn Crescent</t>
  </si>
  <si>
    <t>Moelfre</t>
  </si>
  <si>
    <t>Darrell</t>
  </si>
  <si>
    <t>Fournier</t>
  </si>
  <si>
    <t>Allnutt Way</t>
  </si>
  <si>
    <t>Stornoway</t>
  </si>
  <si>
    <t>Apryl</t>
  </si>
  <si>
    <t>Tyson</t>
  </si>
  <si>
    <t>Allsop Mews</t>
  </si>
  <si>
    <t>Romelia</t>
  </si>
  <si>
    <t>Woodward</t>
  </si>
  <si>
    <t>Allsop Place</t>
  </si>
  <si>
    <t>Coalville</t>
  </si>
  <si>
    <t>Natisha</t>
  </si>
  <si>
    <t>Betts</t>
  </si>
  <si>
    <t>Alma Cottage</t>
  </si>
  <si>
    <t>Axbridge</t>
  </si>
  <si>
    <t>Frances</t>
  </si>
  <si>
    <t>Winter</t>
  </si>
  <si>
    <t>Alma Hill</t>
  </si>
  <si>
    <t>Bexley</t>
  </si>
  <si>
    <t>DY</t>
  </si>
  <si>
    <t>Len</t>
  </si>
  <si>
    <t>Frye</t>
  </si>
  <si>
    <t>Alma Rd</t>
  </si>
  <si>
    <t>Paignton</t>
  </si>
  <si>
    <t>Dorene</t>
  </si>
  <si>
    <t>Mcclendon</t>
  </si>
  <si>
    <t>Alma Sq</t>
  </si>
  <si>
    <t>Faringdon</t>
  </si>
  <si>
    <t>Bernie</t>
  </si>
  <si>
    <t>Browning</t>
  </si>
  <si>
    <t>Alnwick Road</t>
  </si>
  <si>
    <t>Carshalton</t>
  </si>
  <si>
    <t>Sydney</t>
  </si>
  <si>
    <t>Brandon</t>
  </si>
  <si>
    <t>Alpha Cottages</t>
  </si>
  <si>
    <t>Falmouth</t>
  </si>
  <si>
    <t>Treena</t>
  </si>
  <si>
    <t>Graves</t>
  </si>
  <si>
    <t>Alpha Terrace</t>
  </si>
  <si>
    <t>Aberlour</t>
  </si>
  <si>
    <t>NP</t>
  </si>
  <si>
    <t>Gil</t>
  </si>
  <si>
    <t>Becker</t>
  </si>
  <si>
    <t>Alphabet Court</t>
  </si>
  <si>
    <t>Stranraer</t>
  </si>
  <si>
    <t>Drew</t>
  </si>
  <si>
    <t>Ayala</t>
  </si>
  <si>
    <t>Alpine Road</t>
  </si>
  <si>
    <t>Prestatyn</t>
  </si>
  <si>
    <t>Eliana</t>
  </si>
  <si>
    <t>Rosa</t>
  </si>
  <si>
    <t>Alscot Way</t>
  </si>
  <si>
    <t>Huntingdon</t>
  </si>
  <si>
    <t>Tracy</t>
  </si>
  <si>
    <t>Salas</t>
  </si>
  <si>
    <t>Althorp Road</t>
  </si>
  <si>
    <t>Rossendale</t>
  </si>
  <si>
    <t>Wilfred</t>
  </si>
  <si>
    <t>Shipman</t>
  </si>
  <si>
    <t>Althorpe Road</t>
  </si>
  <si>
    <t>Llangollen</t>
  </si>
  <si>
    <t>Cyrus</t>
  </si>
  <si>
    <t>Gonzalez</t>
  </si>
  <si>
    <t>Alverstone Road</t>
  </si>
  <si>
    <t>Mallaig</t>
  </si>
  <si>
    <t>Avelina</t>
  </si>
  <si>
    <t>Valdez</t>
  </si>
  <si>
    <t>Alverton Street</t>
  </si>
  <si>
    <t>Goole</t>
  </si>
  <si>
    <t>Criselda</t>
  </si>
  <si>
    <t>Rosado</t>
  </si>
  <si>
    <t>Alwyne Villas</t>
  </si>
  <si>
    <t>Newcastle</t>
  </si>
  <si>
    <t>France</t>
  </si>
  <si>
    <t>Cowan</t>
  </si>
  <si>
    <t>Ambassador Square</t>
  </si>
  <si>
    <t>Shotts</t>
  </si>
  <si>
    <t>Joey</t>
  </si>
  <si>
    <t>Salgado</t>
  </si>
  <si>
    <t>Amberden Avenue</t>
  </si>
  <si>
    <t>Seahouses</t>
  </si>
  <si>
    <t>Sol</t>
  </si>
  <si>
    <t>Staples</t>
  </si>
  <si>
    <t>Amberley Road</t>
  </si>
  <si>
    <t>Gourock</t>
  </si>
  <si>
    <t>Russell</t>
  </si>
  <si>
    <t>Rev</t>
  </si>
  <si>
    <t>Ambleside Close</t>
  </si>
  <si>
    <t>Market Harborough</t>
  </si>
  <si>
    <t>Bob</t>
  </si>
  <si>
    <t>Newell</t>
  </si>
  <si>
    <t>Ambrose Close</t>
  </si>
  <si>
    <t>Launceston</t>
  </si>
  <si>
    <t>Isabella</t>
  </si>
  <si>
    <t>Lanier</t>
  </si>
  <si>
    <t>Amelia Cottages</t>
  </si>
  <si>
    <t>Bobbye</t>
  </si>
  <si>
    <t>Britton</t>
  </si>
  <si>
    <t>Amelia Place</t>
  </si>
  <si>
    <t>Prescot</t>
  </si>
  <si>
    <t>Chambers</t>
  </si>
  <si>
    <t>Amen Court</t>
  </si>
  <si>
    <t>Witney</t>
  </si>
  <si>
    <t>Loretta</t>
  </si>
  <si>
    <t>Leary</t>
  </si>
  <si>
    <t>Amerland Road</t>
  </si>
  <si>
    <t>Kent</t>
  </si>
  <si>
    <t>Courtney</t>
  </si>
  <si>
    <t>Amherst Road</t>
  </si>
  <si>
    <t>Boston</t>
  </si>
  <si>
    <t>L</t>
  </si>
  <si>
    <t>Quentin</t>
  </si>
  <si>
    <t>Hensley</t>
  </si>
  <si>
    <t>Amroth Green</t>
  </si>
  <si>
    <t>Chertsey</t>
  </si>
  <si>
    <t>Valerie</t>
  </si>
  <si>
    <t>Gibbs</t>
  </si>
  <si>
    <t>Winkleigh</t>
  </si>
  <si>
    <t>Barton</t>
  </si>
  <si>
    <t>Anchor Mill</t>
  </si>
  <si>
    <t>London</t>
  </si>
  <si>
    <t>Lynell</t>
  </si>
  <si>
    <t>Foster</t>
  </si>
  <si>
    <t>Anderson Street</t>
  </si>
  <si>
    <t>Tighnabruaich</t>
  </si>
  <si>
    <t>Rudolf</t>
  </si>
  <si>
    <t>Spicer</t>
  </si>
  <si>
    <t>Andover Terrace</t>
  </si>
  <si>
    <t>Middlewich</t>
  </si>
  <si>
    <t>Alesia</t>
  </si>
  <si>
    <t>King</t>
  </si>
  <si>
    <t>Andrews Walk</t>
  </si>
  <si>
    <t>Hinton St. George</t>
  </si>
  <si>
    <t>Wes</t>
  </si>
  <si>
    <t>Bird</t>
  </si>
  <si>
    <t>Anerley Road</t>
  </si>
  <si>
    <t>Lynette</t>
  </si>
  <si>
    <t>Barrett</t>
  </si>
  <si>
    <t>Anerley Station</t>
  </si>
  <si>
    <t>Tillicoultry</t>
  </si>
  <si>
    <t>Neil</t>
  </si>
  <si>
    <t>Bateman</t>
  </si>
  <si>
    <t>Anerley Street</t>
  </si>
  <si>
    <t>Wells-Next-The-Sea</t>
  </si>
  <si>
    <t>Maria</t>
  </si>
  <si>
    <t>Culver</t>
  </si>
  <si>
    <t>Angel Close</t>
  </si>
  <si>
    <t>Marazion</t>
  </si>
  <si>
    <t>Gaston</t>
  </si>
  <si>
    <t>Angel Park</t>
  </si>
  <si>
    <t>Berkshire</t>
  </si>
  <si>
    <t>DA</t>
  </si>
  <si>
    <t>Sharda</t>
  </si>
  <si>
    <t>Odom</t>
  </si>
  <si>
    <t>Angel Yard</t>
  </si>
  <si>
    <t>Shipston-On-Stour</t>
  </si>
  <si>
    <t>Ronald</t>
  </si>
  <si>
    <t>Daniel</t>
  </si>
  <si>
    <t>Angell Road</t>
  </si>
  <si>
    <t>Nethy Bridge</t>
  </si>
  <si>
    <t>Vennie</t>
  </si>
  <si>
    <t>Voss</t>
  </si>
  <si>
    <t>Angell Town</t>
  </si>
  <si>
    <t>Ashton-Under-Lyne</t>
  </si>
  <si>
    <t>Art</t>
  </si>
  <si>
    <t>Mcmanus</t>
  </si>
  <si>
    <t>Angus Street</t>
  </si>
  <si>
    <t>Billingham</t>
  </si>
  <si>
    <t>CM</t>
  </si>
  <si>
    <t>Tyra</t>
  </si>
  <si>
    <t>Henry</t>
  </si>
  <si>
    <t>Anley Road</t>
  </si>
  <si>
    <t>Trevor</t>
  </si>
  <si>
    <t>Lancaster</t>
  </si>
  <si>
    <t>Annetts Crescent</t>
  </si>
  <si>
    <t>Gloucestershire</t>
  </si>
  <si>
    <t>Fernando</t>
  </si>
  <si>
    <t>Annie Besant</t>
  </si>
  <si>
    <t>Guernsey</t>
  </si>
  <si>
    <t>Devon</t>
  </si>
  <si>
    <t>Gutierrez</t>
  </si>
  <si>
    <t>Seascale</t>
  </si>
  <si>
    <t>Odette</t>
  </si>
  <si>
    <t>Tompkins</t>
  </si>
  <si>
    <t>Ann's Avenue</t>
  </si>
  <si>
    <t>Benfleet</t>
  </si>
  <si>
    <t>Moshe</t>
  </si>
  <si>
    <t>Kessler</t>
  </si>
  <si>
    <t>Anns Street</t>
  </si>
  <si>
    <t>Chard</t>
  </si>
  <si>
    <t>Noe</t>
  </si>
  <si>
    <t>Tintagel</t>
  </si>
  <si>
    <t>Keenan</t>
  </si>
  <si>
    <t>Mcguire</t>
  </si>
  <si>
    <t>Ann's Terrace</t>
  </si>
  <si>
    <t>Eye</t>
  </si>
  <si>
    <t>Joshua</t>
  </si>
  <si>
    <t>Burks</t>
  </si>
  <si>
    <t>Ann's Villaw</t>
  </si>
  <si>
    <t>Lynton</t>
  </si>
  <si>
    <t>Bradly</t>
  </si>
  <si>
    <t>Childers</t>
  </si>
  <si>
    <t>Ansdell Road</t>
  </si>
  <si>
    <t>Dolgellau</t>
  </si>
  <si>
    <t>Mandy</t>
  </si>
  <si>
    <t>Peck</t>
  </si>
  <si>
    <t>Ansdell Terrace</t>
  </si>
  <si>
    <t>Llandinam</t>
  </si>
  <si>
    <t>Jerrell</t>
  </si>
  <si>
    <t>Jaramillo</t>
  </si>
  <si>
    <t>Anthony Terrace</t>
  </si>
  <si>
    <t>Neath</t>
  </si>
  <si>
    <t>Cary</t>
  </si>
  <si>
    <t>Fleming</t>
  </si>
  <si>
    <t>Antill Terrace</t>
  </si>
  <si>
    <t>Ilkeston</t>
  </si>
  <si>
    <t>Aurelio</t>
  </si>
  <si>
    <t>Harrison</t>
  </si>
  <si>
    <t>Antrim Road</t>
  </si>
  <si>
    <t>Havant</t>
  </si>
  <si>
    <t>Cole</t>
  </si>
  <si>
    <t>Wolf</t>
  </si>
  <si>
    <t>Anvil Close</t>
  </si>
  <si>
    <t>Rubi</t>
  </si>
  <si>
    <t>Moreno</t>
  </si>
  <si>
    <t>Appach Road</t>
  </si>
  <si>
    <t>Mitzi</t>
  </si>
  <si>
    <t>Quinones</t>
  </si>
  <si>
    <t>Apple Yard</t>
  </si>
  <si>
    <t>Southwold</t>
  </si>
  <si>
    <t>Sean</t>
  </si>
  <si>
    <t>Mayes</t>
  </si>
  <si>
    <t>Applegarth Road</t>
  </si>
  <si>
    <t>Lochgilphead</t>
  </si>
  <si>
    <t>Sherell</t>
  </si>
  <si>
    <t>Clinton</t>
  </si>
  <si>
    <t>Apprentice Way</t>
  </si>
  <si>
    <t>Lutterworth</t>
  </si>
  <si>
    <t>Rusty</t>
  </si>
  <si>
    <t>Albert</t>
  </si>
  <si>
    <t>Approach Road</t>
  </si>
  <si>
    <t>Beaconsfield</t>
  </si>
  <si>
    <t>WF</t>
  </si>
  <si>
    <t>Thad</t>
  </si>
  <si>
    <t>Colbert</t>
  </si>
  <si>
    <t>Aprey Gardens</t>
  </si>
  <si>
    <t>Isle Of Canna</t>
  </si>
  <si>
    <t>Nora</t>
  </si>
  <si>
    <t>Macias</t>
  </si>
  <si>
    <t>Arabella Row</t>
  </si>
  <si>
    <t>Julian</t>
  </si>
  <si>
    <t>Arabia Close</t>
  </si>
  <si>
    <t>Calvin</t>
  </si>
  <si>
    <t>Costello</t>
  </si>
  <si>
    <t>Arbour Square</t>
  </si>
  <si>
    <t>Paulette</t>
  </si>
  <si>
    <t>Weir</t>
  </si>
  <si>
    <t>Arbuthnot Road</t>
  </si>
  <si>
    <t>Consett</t>
  </si>
  <si>
    <t>Roselee</t>
  </si>
  <si>
    <t>Farley</t>
  </si>
  <si>
    <t>Arch Street</t>
  </si>
  <si>
    <t>Elenora</t>
  </si>
  <si>
    <t>Bradley</t>
  </si>
  <si>
    <t>Archel Road</t>
  </si>
  <si>
    <t>Thurman</t>
  </si>
  <si>
    <t>Archer Square</t>
  </si>
  <si>
    <t>Lanark</t>
  </si>
  <si>
    <t>Eric</t>
  </si>
  <si>
    <t>Whitehead</t>
  </si>
  <si>
    <t>Arden Estate</t>
  </si>
  <si>
    <t>Crowborough</t>
  </si>
  <si>
    <t>Damian</t>
  </si>
  <si>
    <t>Hayes</t>
  </si>
  <si>
    <t>Ardfillan Road</t>
  </si>
  <si>
    <t>Whitstable</t>
  </si>
  <si>
    <t>Arturo</t>
  </si>
  <si>
    <t>Field</t>
  </si>
  <si>
    <t>Ardleigh Terrace</t>
  </si>
  <si>
    <t>Littlehampton</t>
  </si>
  <si>
    <t>Hillary</t>
  </si>
  <si>
    <t>Shook</t>
  </si>
  <si>
    <t>Ardmere Cottages</t>
  </si>
  <si>
    <t>Bromsgrove</t>
  </si>
  <si>
    <t>WR</t>
  </si>
  <si>
    <t>Demetrius</t>
  </si>
  <si>
    <t>Goodson</t>
  </si>
  <si>
    <t>Ardwick Road</t>
  </si>
  <si>
    <t>Gillingham</t>
  </si>
  <si>
    <t>Del</t>
  </si>
  <si>
    <t>Mccain</t>
  </si>
  <si>
    <t>Arena Estate</t>
  </si>
  <si>
    <t>Llanrhystud</t>
  </si>
  <si>
    <t>Loren</t>
  </si>
  <si>
    <t>Downing</t>
  </si>
  <si>
    <t>Argent Street</t>
  </si>
  <si>
    <t>Johnnie</t>
  </si>
  <si>
    <t>Calhoun</t>
  </si>
  <si>
    <t>Argon Mews</t>
  </si>
  <si>
    <t>Maldon</t>
  </si>
  <si>
    <t>Clair</t>
  </si>
  <si>
    <t>Wilkes</t>
  </si>
  <si>
    <t>Ariel Road</t>
  </si>
  <si>
    <t>Arundel</t>
  </si>
  <si>
    <t>SG</t>
  </si>
  <si>
    <t>Burt</t>
  </si>
  <si>
    <t>Haskins</t>
  </si>
  <si>
    <t>Margate</t>
  </si>
  <si>
    <t>Gloria</t>
  </si>
  <si>
    <t>Mcclain</t>
  </si>
  <si>
    <t>Arkley Crescent</t>
  </si>
  <si>
    <t>Trenton</t>
  </si>
  <si>
    <t>Bassett</t>
  </si>
  <si>
    <t>Arlesford Road</t>
  </si>
  <si>
    <t>Llanidloes</t>
  </si>
  <si>
    <t>Madonna</t>
  </si>
  <si>
    <t>Engel</t>
  </si>
  <si>
    <t>Arlington Place</t>
  </si>
  <si>
    <t>Ty Croes</t>
  </si>
  <si>
    <t>Kena</t>
  </si>
  <si>
    <t>Gonzales</t>
  </si>
  <si>
    <t>Arlington Villas</t>
  </si>
  <si>
    <t>Lottie</t>
  </si>
  <si>
    <t>Mccormick</t>
  </si>
  <si>
    <t>Arlington Way</t>
  </si>
  <si>
    <t>Birchington</t>
  </si>
  <si>
    <t>BD</t>
  </si>
  <si>
    <t>Kimberli</t>
  </si>
  <si>
    <t>Armada Street</t>
  </si>
  <si>
    <t>Bamburgh</t>
  </si>
  <si>
    <t>Desmond</t>
  </si>
  <si>
    <t>Means</t>
  </si>
  <si>
    <t>Armadale Road</t>
  </si>
  <si>
    <t>Spean Bridge</t>
  </si>
  <si>
    <t>Otis</t>
  </si>
  <si>
    <t>Kennedy</t>
  </si>
  <si>
    <t>Armory</t>
  </si>
  <si>
    <t>Franklin</t>
  </si>
  <si>
    <t>Copeland</t>
  </si>
  <si>
    <t>Armory Yard</t>
  </si>
  <si>
    <t>Frome</t>
  </si>
  <si>
    <t>Armstrong Place</t>
  </si>
  <si>
    <t>Motherwell</t>
  </si>
  <si>
    <t>Austin</t>
  </si>
  <si>
    <t>Jean</t>
  </si>
  <si>
    <t>Arneway Street</t>
  </si>
  <si>
    <t>Coniston</t>
  </si>
  <si>
    <t>Man</t>
  </si>
  <si>
    <t>Lopez</t>
  </si>
  <si>
    <t>Arnolds Cottages</t>
  </si>
  <si>
    <t>Invergarry</t>
  </si>
  <si>
    <t>LS</t>
  </si>
  <si>
    <t>Ron</t>
  </si>
  <si>
    <t>Acevedo</t>
  </si>
  <si>
    <t>Arnolds Paragon</t>
  </si>
  <si>
    <t>Crewkerne</t>
  </si>
  <si>
    <t>Timmy</t>
  </si>
  <si>
    <t>Aldrich</t>
  </si>
  <si>
    <t>Arnott Street</t>
  </si>
  <si>
    <t>Dalmally</t>
  </si>
  <si>
    <t>Stephnie</t>
  </si>
  <si>
    <t>Vaughan</t>
  </si>
  <si>
    <t>Arragon Gardens</t>
  </si>
  <si>
    <t>Sanquhar</t>
  </si>
  <si>
    <t>Hal</t>
  </si>
  <si>
    <t>Artesian Walk</t>
  </si>
  <si>
    <t>Gretna</t>
  </si>
  <si>
    <t>Britt</t>
  </si>
  <si>
    <t>Artichoke Place</t>
  </si>
  <si>
    <t>Strome Ferry</t>
  </si>
  <si>
    <t>Pasquale</t>
  </si>
  <si>
    <t>Akers</t>
  </si>
  <si>
    <t>Artisans Dwellings</t>
  </si>
  <si>
    <t>Abertillery</t>
  </si>
  <si>
    <t>Willa</t>
  </si>
  <si>
    <t>Kaiser</t>
  </si>
  <si>
    <t>Arundel Square</t>
  </si>
  <si>
    <t>Abergavenny</t>
  </si>
  <si>
    <t>AB</t>
  </si>
  <si>
    <t>Jorge</t>
  </si>
  <si>
    <t>Haines</t>
  </si>
  <si>
    <t>Ash Villa</t>
  </si>
  <si>
    <t>Norfolk</t>
  </si>
  <si>
    <t>Olene</t>
  </si>
  <si>
    <t>Ashbourne Terrace</t>
  </si>
  <si>
    <t>County Durham</t>
  </si>
  <si>
    <t>Bryan</t>
  </si>
  <si>
    <t>Garland</t>
  </si>
  <si>
    <t>Ashburnham Road</t>
  </si>
  <si>
    <t>Rye</t>
  </si>
  <si>
    <t>Blanton</t>
  </si>
  <si>
    <t>Ashburton Green</t>
  </si>
  <si>
    <t>Burry Port</t>
  </si>
  <si>
    <t>Dudley</t>
  </si>
  <si>
    <t>Benton</t>
  </si>
  <si>
    <t>Ashburton Road</t>
  </si>
  <si>
    <t>Higgins</t>
  </si>
  <si>
    <t>Ashcombe Street</t>
  </si>
  <si>
    <t>Beverley</t>
  </si>
  <si>
    <t>RH</t>
  </si>
  <si>
    <t>Dwain</t>
  </si>
  <si>
    <t>Justice</t>
  </si>
  <si>
    <t>Ashdown Way</t>
  </si>
  <si>
    <t>Hawes</t>
  </si>
  <si>
    <t>Irena</t>
  </si>
  <si>
    <t>Fontenot</t>
  </si>
  <si>
    <t>Ashen Villas</t>
  </si>
  <si>
    <t>Market Drayton</t>
  </si>
  <si>
    <t>Diego</t>
  </si>
  <si>
    <t>Hartman</t>
  </si>
  <si>
    <t>Ashford Close</t>
  </si>
  <si>
    <t>Alford</t>
  </si>
  <si>
    <t>G</t>
  </si>
  <si>
    <t>Sheldon</t>
  </si>
  <si>
    <t>Booth</t>
  </si>
  <si>
    <t>Ashingdon Close</t>
  </si>
  <si>
    <t>Buntingford</t>
  </si>
  <si>
    <t>Linnea</t>
  </si>
  <si>
    <t>Eastman</t>
  </si>
  <si>
    <t>Ashland Place</t>
  </si>
  <si>
    <t>Gallagher</t>
  </si>
  <si>
    <t>Ashley Crescent</t>
  </si>
  <si>
    <t>Buckinghamshire</t>
  </si>
  <si>
    <t>Vi</t>
  </si>
  <si>
    <t>Ashridge Crescent</t>
  </si>
  <si>
    <t>Reggie</t>
  </si>
  <si>
    <t>Messer</t>
  </si>
  <si>
    <t>Ashridge Gardens</t>
  </si>
  <si>
    <t>Hengoed</t>
  </si>
  <si>
    <t>Willian</t>
  </si>
  <si>
    <t>Astor Court</t>
  </si>
  <si>
    <t>Epsom</t>
  </si>
  <si>
    <t>Otha</t>
  </si>
  <si>
    <t>Shaffer</t>
  </si>
  <si>
    <t>Atherton Road</t>
  </si>
  <si>
    <t>Frinton-On-Sea</t>
  </si>
  <si>
    <t>Renata</t>
  </si>
  <si>
    <t>Michael</t>
  </si>
  <si>
    <t>Atherton St</t>
  </si>
  <si>
    <t>Warlingham</t>
  </si>
  <si>
    <t>Bud</t>
  </si>
  <si>
    <t>Rowland</t>
  </si>
  <si>
    <t>Atlas Street</t>
  </si>
  <si>
    <t>Isle Of Eigg</t>
  </si>
  <si>
    <t>Claud</t>
  </si>
  <si>
    <t>Attfield Close</t>
  </si>
  <si>
    <t>Shaftesbury</t>
  </si>
  <si>
    <t>Richie</t>
  </si>
  <si>
    <t>Olsen</t>
  </si>
  <si>
    <t>Atwell Street</t>
  </si>
  <si>
    <t>Dalkeith</t>
  </si>
  <si>
    <t>Robt</t>
  </si>
  <si>
    <t>Reyes</t>
  </si>
  <si>
    <t>Atwood Road</t>
  </si>
  <si>
    <t>Lewes</t>
  </si>
  <si>
    <t>Mitch</t>
  </si>
  <si>
    <t>Polk</t>
  </si>
  <si>
    <t>Aubert Road</t>
  </si>
  <si>
    <t>Prudhoe</t>
  </si>
  <si>
    <t>Benny</t>
  </si>
  <si>
    <t>Pritchett</t>
  </si>
  <si>
    <t>Augusta Street</t>
  </si>
  <si>
    <t>Cardigan</t>
  </si>
  <si>
    <t>Miguelina</t>
  </si>
  <si>
    <t>Ballard</t>
  </si>
  <si>
    <t>Augustus Square</t>
  </si>
  <si>
    <t>Oswestry</t>
  </si>
  <si>
    <t>Sterling</t>
  </si>
  <si>
    <t>Petty</t>
  </si>
  <si>
    <t>Austin Street</t>
  </si>
  <si>
    <t>County Antrim</t>
  </si>
  <si>
    <t>Liberty</t>
  </si>
  <si>
    <t>Avarn Road</t>
  </si>
  <si>
    <t>Markfield</t>
  </si>
  <si>
    <t>Chong</t>
  </si>
  <si>
    <t>Myles</t>
  </si>
  <si>
    <t>Thetford</t>
  </si>
  <si>
    <t>Ester</t>
  </si>
  <si>
    <t>Spivey</t>
  </si>
  <si>
    <t>Ave Maria</t>
  </si>
  <si>
    <t>German</t>
  </si>
  <si>
    <t>Miranda</t>
  </si>
  <si>
    <t>Avebury Street</t>
  </si>
  <si>
    <t>Kidlington</t>
  </si>
  <si>
    <t>Arnoldo</t>
  </si>
  <si>
    <t>Aguilar</t>
  </si>
  <si>
    <t>Avenue</t>
  </si>
  <si>
    <t>Alnwick</t>
  </si>
  <si>
    <t>Buck</t>
  </si>
  <si>
    <t>Rowe</t>
  </si>
  <si>
    <t>Avenue Gardens</t>
  </si>
  <si>
    <t>Whitchurch</t>
  </si>
  <si>
    <t>Cesar</t>
  </si>
  <si>
    <t>Avenue Place</t>
  </si>
  <si>
    <t>Corinne</t>
  </si>
  <si>
    <t>Felton</t>
  </si>
  <si>
    <t>Bo</t>
  </si>
  <si>
    <t>Roper</t>
  </si>
  <si>
    <t>Avery Farm</t>
  </si>
  <si>
    <t>Beckenham</t>
  </si>
  <si>
    <t>DT</t>
  </si>
  <si>
    <t>Lyman</t>
  </si>
  <si>
    <t>Miner</t>
  </si>
  <si>
    <t>Aviary Close</t>
  </si>
  <si>
    <t>Hayling Island</t>
  </si>
  <si>
    <t>Michele</t>
  </si>
  <si>
    <t>Winters</t>
  </si>
  <si>
    <t>Merriott</t>
  </si>
  <si>
    <t>Chasity</t>
  </si>
  <si>
    <t>Pratt</t>
  </si>
  <si>
    <t>Avonley Road</t>
  </si>
  <si>
    <t>Nicolette</t>
  </si>
  <si>
    <t>Stout</t>
  </si>
  <si>
    <t>Ax Yard</t>
  </si>
  <si>
    <t>Fabian</t>
  </si>
  <si>
    <t>Mccracken</t>
  </si>
  <si>
    <t>Aylesham Close</t>
  </si>
  <si>
    <t>Talybont</t>
  </si>
  <si>
    <t>Marylynn</t>
  </si>
  <si>
    <t>Estes</t>
  </si>
  <si>
    <t>Azenby Square</t>
  </si>
  <si>
    <t>Caernarfon</t>
  </si>
  <si>
    <t>Vernia</t>
  </si>
  <si>
    <t>Benjamin</t>
  </si>
  <si>
    <t>Bachelor's Hall</t>
  </si>
  <si>
    <t>Dartmouth</t>
  </si>
  <si>
    <t>Aurelia</t>
  </si>
  <si>
    <t>Welch</t>
  </si>
  <si>
    <t>Back Church</t>
  </si>
  <si>
    <t>Inveraray</t>
  </si>
  <si>
    <t>Jarrod</t>
  </si>
  <si>
    <t>Crenshaw</t>
  </si>
  <si>
    <t>Bacons Lane</t>
  </si>
  <si>
    <t>Debora</t>
  </si>
  <si>
    <t>Bacton Street</t>
  </si>
  <si>
    <t>North Ferriby</t>
  </si>
  <si>
    <t>Shirleen</t>
  </si>
  <si>
    <t>Rushing</t>
  </si>
  <si>
    <t>Bailey Place</t>
  </si>
  <si>
    <t>Jayna</t>
  </si>
  <si>
    <t>Plummer</t>
  </si>
  <si>
    <t>Baird Gardens</t>
  </si>
  <si>
    <t>Bacup</t>
  </si>
  <si>
    <t>ME</t>
  </si>
  <si>
    <t>Lakiesha</t>
  </si>
  <si>
    <t>Connell</t>
  </si>
  <si>
    <t>Baker Terrace</t>
  </si>
  <si>
    <t>Brentwood</t>
  </si>
  <si>
    <t>LD</t>
  </si>
  <si>
    <t>Marilu</t>
  </si>
  <si>
    <t>Dodge</t>
  </si>
  <si>
    <t>Bakers Mews</t>
  </si>
  <si>
    <t>Billericay</t>
  </si>
  <si>
    <t>Teisha</t>
  </si>
  <si>
    <t>Thornton</t>
  </si>
  <si>
    <t>Baldwyn Gardens</t>
  </si>
  <si>
    <t>Potters Bar</t>
  </si>
  <si>
    <t>Joanie</t>
  </si>
  <si>
    <t>Elmore</t>
  </si>
  <si>
    <t>Balgonie Road</t>
  </si>
  <si>
    <t>Criccieth</t>
  </si>
  <si>
    <t>Kennith</t>
  </si>
  <si>
    <t>Witt</t>
  </si>
  <si>
    <t>Balham New</t>
  </si>
  <si>
    <t>Humbie</t>
  </si>
  <si>
    <t>Claudine</t>
  </si>
  <si>
    <t>Dennison</t>
  </si>
  <si>
    <t>Balham Place</t>
  </si>
  <si>
    <t>Heathfield</t>
  </si>
  <si>
    <t>Hong</t>
  </si>
  <si>
    <t>Butler</t>
  </si>
  <si>
    <t>Balham Station</t>
  </si>
  <si>
    <t>Stamford</t>
  </si>
  <si>
    <t>Hung</t>
  </si>
  <si>
    <t>Bauer</t>
  </si>
  <si>
    <t>Ball Court</t>
  </si>
  <si>
    <t>Mountain Ash</t>
  </si>
  <si>
    <t>Tajuana</t>
  </si>
  <si>
    <t>Saldana</t>
  </si>
  <si>
    <t>Ballards Lane</t>
  </si>
  <si>
    <t>St. Agnes</t>
  </si>
  <si>
    <t>Walker</t>
  </si>
  <si>
    <t>Pruitt</t>
  </si>
  <si>
    <t>Balliol Road</t>
  </si>
  <si>
    <t>Chepstow</t>
  </si>
  <si>
    <t>Dane</t>
  </si>
  <si>
    <t>Hilliard</t>
  </si>
  <si>
    <t>Ball's Buildings</t>
  </si>
  <si>
    <t>Meri</t>
  </si>
  <si>
    <t>Balmoral Grove</t>
  </si>
  <si>
    <t>Broadstairs</t>
  </si>
  <si>
    <t>TQ</t>
  </si>
  <si>
    <t>Balnacraig Avenue</t>
  </si>
  <si>
    <t>Mary</t>
  </si>
  <si>
    <t>Scott</t>
  </si>
  <si>
    <t>Balvaird Place</t>
  </si>
  <si>
    <t>Poole</t>
  </si>
  <si>
    <t>Frederick</t>
  </si>
  <si>
    <t>Branch</t>
  </si>
  <si>
    <t>Balvernie Villas</t>
  </si>
  <si>
    <t>Darlington</t>
  </si>
  <si>
    <t>Carolee</t>
  </si>
  <si>
    <t>Whitley</t>
  </si>
  <si>
    <t>Llandeilo</t>
  </si>
  <si>
    <t>Palmira</t>
  </si>
  <si>
    <t>Christopher</t>
  </si>
  <si>
    <t>Banbury Place</t>
  </si>
  <si>
    <t>Devizes</t>
  </si>
  <si>
    <t>Banchory Road</t>
  </si>
  <si>
    <t>Katia</t>
  </si>
  <si>
    <t>Simpson</t>
  </si>
  <si>
    <t>Bank Buildings</t>
  </si>
  <si>
    <t>Fred</t>
  </si>
  <si>
    <t>Kerr</t>
  </si>
  <si>
    <t>Banner Square</t>
  </si>
  <si>
    <t>Wedmore</t>
  </si>
  <si>
    <t>Magaly</t>
  </si>
  <si>
    <t>Echols</t>
  </si>
  <si>
    <t>Banning Street</t>
  </si>
  <si>
    <t>Morris</t>
  </si>
  <si>
    <t>Banstead Street</t>
  </si>
  <si>
    <t>Bedford</t>
  </si>
  <si>
    <t>BR</t>
  </si>
  <si>
    <t>Matthew</t>
  </si>
  <si>
    <t>John</t>
  </si>
  <si>
    <t>Henfield</t>
  </si>
  <si>
    <t>Elana</t>
  </si>
  <si>
    <t>Lam</t>
  </si>
  <si>
    <t>Barbel Street</t>
  </si>
  <si>
    <t>Blakeney</t>
  </si>
  <si>
    <t>Lean</t>
  </si>
  <si>
    <t>Maloney</t>
  </si>
  <si>
    <t>Barclay Close</t>
  </si>
  <si>
    <t>Newport</t>
  </si>
  <si>
    <t>Brice</t>
  </si>
  <si>
    <t>Houston</t>
  </si>
  <si>
    <t>Barclay Street</t>
  </si>
  <si>
    <t>Hale</t>
  </si>
  <si>
    <t>Sutton Coldfield</t>
  </si>
  <si>
    <t>Katrina</t>
  </si>
  <si>
    <t>Boggs</t>
  </si>
  <si>
    <t>Barford Street</t>
  </si>
  <si>
    <t>Marlborough</t>
  </si>
  <si>
    <t>Reiko</t>
  </si>
  <si>
    <t>Greenberg</t>
  </si>
  <si>
    <t>Barge House</t>
  </si>
  <si>
    <t>Laurinda</t>
  </si>
  <si>
    <t>Jimenez</t>
  </si>
  <si>
    <t>Bargery Road</t>
  </si>
  <si>
    <t>Inverurie</t>
  </si>
  <si>
    <t>Barili(?) Lodge</t>
  </si>
  <si>
    <t>Yarm</t>
  </si>
  <si>
    <t>Danny</t>
  </si>
  <si>
    <t>Sheehan</t>
  </si>
  <si>
    <t>Barkham Road</t>
  </si>
  <si>
    <t>Coatbridge</t>
  </si>
  <si>
    <t>Johnson</t>
  </si>
  <si>
    <t>Parsons</t>
  </si>
  <si>
    <t>Barlby Gardens</t>
  </si>
  <si>
    <t>Dalbeattie</t>
  </si>
  <si>
    <t>Shanita</t>
  </si>
  <si>
    <t>Hardin</t>
  </si>
  <si>
    <t>Barley Mow</t>
  </si>
  <si>
    <t>Dursley</t>
  </si>
  <si>
    <t>LU</t>
  </si>
  <si>
    <t>Gerald</t>
  </si>
  <si>
    <t>Barnardo Gdns</t>
  </si>
  <si>
    <t>West Linton</t>
  </si>
  <si>
    <t>Kyla</t>
  </si>
  <si>
    <t>Reeder</t>
  </si>
  <si>
    <t>Barnardo Street</t>
  </si>
  <si>
    <t>Lancashire</t>
  </si>
  <si>
    <t>Thaddeus</t>
  </si>
  <si>
    <t>Stuart</t>
  </si>
  <si>
    <t>Barnby Square</t>
  </si>
  <si>
    <t>Isle Of Mannot</t>
  </si>
  <si>
    <t>Forrest</t>
  </si>
  <si>
    <t>Ritchie</t>
  </si>
  <si>
    <t>Barnes Alley</t>
  </si>
  <si>
    <t>Stone</t>
  </si>
  <si>
    <t>Valencia</t>
  </si>
  <si>
    <t>Kinney</t>
  </si>
  <si>
    <t>Barnet Lane</t>
  </si>
  <si>
    <t>Jedburgh</t>
  </si>
  <si>
    <t>Feldman</t>
  </si>
  <si>
    <t>Barnet Street</t>
  </si>
  <si>
    <t>Llanwrtyd Wells</t>
  </si>
  <si>
    <t>Short</t>
  </si>
  <si>
    <t>Barnston Walk</t>
  </si>
  <si>
    <t>Hornchurch</t>
  </si>
  <si>
    <t>Ernest</t>
  </si>
  <si>
    <t>Young</t>
  </si>
  <si>
    <t>Barraud's Wharf</t>
  </si>
  <si>
    <t>Hinckley</t>
  </si>
  <si>
    <t>Oren</t>
  </si>
  <si>
    <t>Funk</t>
  </si>
  <si>
    <t>Barriedale</t>
  </si>
  <si>
    <t>Elgin</t>
  </si>
  <si>
    <t>HA</t>
  </si>
  <si>
    <t>Virgil</t>
  </si>
  <si>
    <t>Barrowgate Road</t>
  </si>
  <si>
    <t>Danita</t>
  </si>
  <si>
    <t>Mcqueen</t>
  </si>
  <si>
    <t>Barrows Place</t>
  </si>
  <si>
    <t>Olin</t>
  </si>
  <si>
    <t>Abraham</t>
  </si>
  <si>
    <t>Barrydene</t>
  </si>
  <si>
    <t>Dundee</t>
  </si>
  <si>
    <t>Clayton</t>
  </si>
  <si>
    <t>Marks</t>
  </si>
  <si>
    <t>Barry's Buildings</t>
  </si>
  <si>
    <t>Rene</t>
  </si>
  <si>
    <t>Westbrook</t>
  </si>
  <si>
    <t>Barson Close</t>
  </si>
  <si>
    <t>Harlech</t>
  </si>
  <si>
    <t>Julissa</t>
  </si>
  <si>
    <t>Mccann</t>
  </si>
  <si>
    <t>Barth Road</t>
  </si>
  <si>
    <t>Marianglas</t>
  </si>
  <si>
    <t>Coral</t>
  </si>
  <si>
    <t>Bartholomew Close</t>
  </si>
  <si>
    <t>Longniddry</t>
  </si>
  <si>
    <t>Bartholomew Lane</t>
  </si>
  <si>
    <t>South Shields</t>
  </si>
  <si>
    <t>Mcfadden</t>
  </si>
  <si>
    <t>Bartholomew Villas</t>
  </si>
  <si>
    <t>Sleaford</t>
  </si>
  <si>
    <t>Lesley</t>
  </si>
  <si>
    <t>Smith</t>
  </si>
  <si>
    <t>Barton Road</t>
  </si>
  <si>
    <t>Princes Risborough</t>
  </si>
  <si>
    <t>Renetta</t>
  </si>
  <si>
    <t>Gaines</t>
  </si>
  <si>
    <t>Barton Street</t>
  </si>
  <si>
    <t>Goodwick</t>
  </si>
  <si>
    <t>Dailey</t>
  </si>
  <si>
    <t>Barwick Road</t>
  </si>
  <si>
    <t>Andover</t>
  </si>
  <si>
    <t>Wyatt</t>
  </si>
  <si>
    <t>Engle</t>
  </si>
  <si>
    <t>Basil Street</t>
  </si>
  <si>
    <t>Wigston</t>
  </si>
  <si>
    <t>Myrta</t>
  </si>
  <si>
    <t>Payne</t>
  </si>
  <si>
    <t>Basing House</t>
  </si>
  <si>
    <t>Bude</t>
  </si>
  <si>
    <t>Dion</t>
  </si>
  <si>
    <t>Shields</t>
  </si>
  <si>
    <t>Basinghall Street</t>
  </si>
  <si>
    <t>Tadley</t>
  </si>
  <si>
    <t>Tarra</t>
  </si>
  <si>
    <t>Moyer</t>
  </si>
  <si>
    <t>Basketmakers' (no</t>
  </si>
  <si>
    <t>Alyce</t>
  </si>
  <si>
    <t>Bassingham Road</t>
  </si>
  <si>
    <t>Vallie</t>
  </si>
  <si>
    <t>Basswood Close</t>
  </si>
  <si>
    <t>Menai Bridge</t>
  </si>
  <si>
    <t>Dimple</t>
  </si>
  <si>
    <t>Batcup Terrace</t>
  </si>
  <si>
    <t>Wickford</t>
  </si>
  <si>
    <t>Alexander</t>
  </si>
  <si>
    <t>Cain</t>
  </si>
  <si>
    <t>Bath Close</t>
  </si>
  <si>
    <t>Dymock</t>
  </si>
  <si>
    <t>Brent</t>
  </si>
  <si>
    <t>Berg</t>
  </si>
  <si>
    <t>Bath Court</t>
  </si>
  <si>
    <t>Jaye</t>
  </si>
  <si>
    <t>Lynn</t>
  </si>
  <si>
    <t>Bath Dairy</t>
  </si>
  <si>
    <t>Ulverston</t>
  </si>
  <si>
    <t>Rubin</t>
  </si>
  <si>
    <t>Peters</t>
  </si>
  <si>
    <t>Bath Row</t>
  </si>
  <si>
    <t>Burnham-On-Crouch</t>
  </si>
  <si>
    <t>CO</t>
  </si>
  <si>
    <t>Willy</t>
  </si>
  <si>
    <t>Morgan</t>
  </si>
  <si>
    <t>Batten Cottages</t>
  </si>
  <si>
    <t>Nuneaton</t>
  </si>
  <si>
    <t>Tyree</t>
  </si>
  <si>
    <t>Holbrook</t>
  </si>
  <si>
    <t>Settle</t>
  </si>
  <si>
    <t>Catina</t>
  </si>
  <si>
    <t>Mccollum</t>
  </si>
  <si>
    <t>Battersea Church</t>
  </si>
  <si>
    <t>Olivia</t>
  </si>
  <si>
    <t>Bingham</t>
  </si>
  <si>
    <t>Bayford Mews</t>
  </si>
  <si>
    <t>Exmouth</t>
  </si>
  <si>
    <t>Brock</t>
  </si>
  <si>
    <t>Jordan</t>
  </si>
  <si>
    <t>Baynes Row</t>
  </si>
  <si>
    <t>Bures</t>
  </si>
  <si>
    <t>Mcallister</t>
  </si>
  <si>
    <t>Beanacre Close</t>
  </si>
  <si>
    <t>Worcester Park</t>
  </si>
  <si>
    <t>Keith</t>
  </si>
  <si>
    <t>Dunbar</t>
  </si>
  <si>
    <t>Bearbinder Lane</t>
  </si>
  <si>
    <t>Callington</t>
  </si>
  <si>
    <t>Keven</t>
  </si>
  <si>
    <t>Keen</t>
  </si>
  <si>
    <t>Bearstead Rise</t>
  </si>
  <si>
    <t>Joyce</t>
  </si>
  <si>
    <t>Williams</t>
  </si>
  <si>
    <t>Beatrice Road</t>
  </si>
  <si>
    <t>Isle Of Colonsay</t>
  </si>
  <si>
    <t>Dulcie</t>
  </si>
  <si>
    <t>Schafer</t>
  </si>
  <si>
    <t>Beauchamp Close</t>
  </si>
  <si>
    <t>Saundersfoot</t>
  </si>
  <si>
    <t>Stafford</t>
  </si>
  <si>
    <t>Beaufort</t>
  </si>
  <si>
    <t>Torpoint</t>
  </si>
  <si>
    <t>Edison</t>
  </si>
  <si>
    <t>Blake</t>
  </si>
  <si>
    <t>Beaufort Drive</t>
  </si>
  <si>
    <t>Keswick</t>
  </si>
  <si>
    <t>Karima</t>
  </si>
  <si>
    <t>Parker</t>
  </si>
  <si>
    <t>Beaufort Gardens</t>
  </si>
  <si>
    <t>Anstruther</t>
  </si>
  <si>
    <t>DG</t>
  </si>
  <si>
    <t>Mimi</t>
  </si>
  <si>
    <t>Dove</t>
  </si>
  <si>
    <t>Cumnock</t>
  </si>
  <si>
    <t>Palmer</t>
  </si>
  <si>
    <t>Nicholson</t>
  </si>
  <si>
    <t>Beaufort Wharf</t>
  </si>
  <si>
    <t>Arlesey</t>
  </si>
  <si>
    <t>KA</t>
  </si>
  <si>
    <t>Jadwiga</t>
  </si>
  <si>
    <t>Beaumaris Green</t>
  </si>
  <si>
    <t>Seaford</t>
  </si>
  <si>
    <t>Alonzo</t>
  </si>
  <si>
    <t>Lockett</t>
  </si>
  <si>
    <t>Beaumont Avenue</t>
  </si>
  <si>
    <t>Isle Of Iona</t>
  </si>
  <si>
    <t>Dong</t>
  </si>
  <si>
    <t>Irving</t>
  </si>
  <si>
    <t>Beauvoir Terrace</t>
  </si>
  <si>
    <t>Woking</t>
  </si>
  <si>
    <t>Dave</t>
  </si>
  <si>
    <t>Coates</t>
  </si>
  <si>
    <t>Beaver Close</t>
  </si>
  <si>
    <t>Stowmarket</t>
  </si>
  <si>
    <t>Lenny</t>
  </si>
  <si>
    <t>Tipton</t>
  </si>
  <si>
    <t>Beckenham Place</t>
  </si>
  <si>
    <t>Burnette</t>
  </si>
  <si>
    <t>Becket Close</t>
  </si>
  <si>
    <t>Sevenoaks</t>
  </si>
  <si>
    <t>Eugenie</t>
  </si>
  <si>
    <t>Duran</t>
  </si>
  <si>
    <t>St. Austell</t>
  </si>
  <si>
    <t>Santos</t>
  </si>
  <si>
    <t>Beckway Street</t>
  </si>
  <si>
    <t>East Molesey</t>
  </si>
  <si>
    <t>Nella</t>
  </si>
  <si>
    <t>Kiser</t>
  </si>
  <si>
    <t>Beclands Road</t>
  </si>
  <si>
    <t>Janelle</t>
  </si>
  <si>
    <t>Carlton</t>
  </si>
  <si>
    <t>Bedford Hill</t>
  </si>
  <si>
    <t>Broseley</t>
  </si>
  <si>
    <t>HR</t>
  </si>
  <si>
    <t>Dante</t>
  </si>
  <si>
    <t>Bedford Place</t>
  </si>
  <si>
    <t>Connie</t>
  </si>
  <si>
    <t>Golden</t>
  </si>
  <si>
    <t>Bedford Row</t>
  </si>
  <si>
    <t>Bridge Of Orchy</t>
  </si>
  <si>
    <t>Taylor</t>
  </si>
  <si>
    <t>Tobin</t>
  </si>
  <si>
    <t>Beech Hall</t>
  </si>
  <si>
    <t>Brighouse</t>
  </si>
  <si>
    <t>YO</t>
  </si>
  <si>
    <t>Abel</t>
  </si>
  <si>
    <t>Cordova</t>
  </si>
  <si>
    <t>Beechcroft Road</t>
  </si>
  <si>
    <t>Winchester</t>
  </si>
  <si>
    <t>Lunsford</t>
  </si>
  <si>
    <t>Beechvale Close</t>
  </si>
  <si>
    <t>Angelia</t>
  </si>
  <si>
    <t>Beecroft Road</t>
  </si>
  <si>
    <t>Abergele</t>
  </si>
  <si>
    <t>Vita</t>
  </si>
  <si>
    <t>Kenny</t>
  </si>
  <si>
    <t>Belgrave Cottages</t>
  </si>
  <si>
    <t>Minehead</t>
  </si>
  <si>
    <t>Graig</t>
  </si>
  <si>
    <t>Silva</t>
  </si>
  <si>
    <t>Belgrave Gardens</t>
  </si>
  <si>
    <t>Sidcup</t>
  </si>
  <si>
    <t>Nicole</t>
  </si>
  <si>
    <t>Bunch</t>
  </si>
  <si>
    <t>Belgrave Road</t>
  </si>
  <si>
    <t>Harrogate</t>
  </si>
  <si>
    <t>AL</t>
  </si>
  <si>
    <t>Salvatore</t>
  </si>
  <si>
    <t>Belgrove Houses</t>
  </si>
  <si>
    <t>Hae</t>
  </si>
  <si>
    <t>Merrill</t>
  </si>
  <si>
    <t>Belinda Road</t>
  </si>
  <si>
    <t>Annabel</t>
  </si>
  <si>
    <t>Helms</t>
  </si>
  <si>
    <t>Bell Gardens</t>
  </si>
  <si>
    <t>Edgware</t>
  </si>
  <si>
    <t>Kip</t>
  </si>
  <si>
    <t>Jensen</t>
  </si>
  <si>
    <t>Bell Wharf</t>
  </si>
  <si>
    <t>Askam-In-Furness</t>
  </si>
  <si>
    <t>OL</t>
  </si>
  <si>
    <t>Ellena</t>
  </si>
  <si>
    <t>Mckenna</t>
  </si>
  <si>
    <t>Bell Yard</t>
  </si>
  <si>
    <t>Barrow-Upon-Humber</t>
  </si>
  <si>
    <t>S</t>
  </si>
  <si>
    <t>Jada</t>
  </si>
  <si>
    <t>Bellair</t>
  </si>
  <si>
    <t>Forest Row</t>
  </si>
  <si>
    <t>Dannie</t>
  </si>
  <si>
    <t>Tuttle</t>
  </si>
  <si>
    <t>Bellendon Road</t>
  </si>
  <si>
    <t>Lovell</t>
  </si>
  <si>
    <t>Bellendon Villas</t>
  </si>
  <si>
    <t>Banff</t>
  </si>
  <si>
    <t>Santo</t>
  </si>
  <si>
    <t>Goodrich</t>
  </si>
  <si>
    <t>Bellevue Mews</t>
  </si>
  <si>
    <t>Teddy</t>
  </si>
  <si>
    <t>Ambrose</t>
  </si>
  <si>
    <t>Bellevue Road</t>
  </si>
  <si>
    <t>Sherman</t>
  </si>
  <si>
    <t>Duffy</t>
  </si>
  <si>
    <t>Bellgate Mews</t>
  </si>
  <si>
    <t>Didcot</t>
  </si>
  <si>
    <t>Bebe</t>
  </si>
  <si>
    <t>Edwards</t>
  </si>
  <si>
    <t>Bellina Mews</t>
  </si>
  <si>
    <t>Acharacle</t>
  </si>
  <si>
    <t>BB</t>
  </si>
  <si>
    <t>Remona</t>
  </si>
  <si>
    <t>Munson</t>
  </si>
  <si>
    <t>Belltrees Grove</t>
  </si>
  <si>
    <t>Camborne</t>
  </si>
  <si>
    <t>SN</t>
  </si>
  <si>
    <t>Summer</t>
  </si>
  <si>
    <t>Faulk</t>
  </si>
  <si>
    <t>Wrexham</t>
  </si>
  <si>
    <t>Bunny</t>
  </si>
  <si>
    <t>Nguyen</t>
  </si>
  <si>
    <t>Belmont Grove</t>
  </si>
  <si>
    <t>Kilbirnie</t>
  </si>
  <si>
    <t>Una</t>
  </si>
  <si>
    <t>Crowe</t>
  </si>
  <si>
    <t>Belmore Lane</t>
  </si>
  <si>
    <t>Witham</t>
  </si>
  <si>
    <t>Jonelle</t>
  </si>
  <si>
    <t>Dahl</t>
  </si>
  <si>
    <t>Belsize Crescent</t>
  </si>
  <si>
    <t>Isaias</t>
  </si>
  <si>
    <t>Belvedere Court</t>
  </si>
  <si>
    <t>Ernie</t>
  </si>
  <si>
    <t>Burris</t>
  </si>
  <si>
    <t>Belvedere Grove</t>
  </si>
  <si>
    <t>Jarrett</t>
  </si>
  <si>
    <t>Belvedere Rd</t>
  </si>
  <si>
    <t>New Tredegar</t>
  </si>
  <si>
    <t>Ivelisse</t>
  </si>
  <si>
    <t>Belvidere Pl</t>
  </si>
  <si>
    <t>Queenborough</t>
  </si>
  <si>
    <t>Domenic</t>
  </si>
  <si>
    <t>Pace</t>
  </si>
  <si>
    <t>Bemerton Terrace</t>
  </si>
  <si>
    <t>Henley-On-Thames</t>
  </si>
  <si>
    <t>Molly</t>
  </si>
  <si>
    <t>Ben Jonson</t>
  </si>
  <si>
    <t>Lisburn</t>
  </si>
  <si>
    <t>Peg</t>
  </si>
  <si>
    <t>Brewster</t>
  </si>
  <si>
    <t>Bendmore Avenue</t>
  </si>
  <si>
    <t>Merseyside</t>
  </si>
  <si>
    <t>Yuk</t>
  </si>
  <si>
    <t>Potts</t>
  </si>
  <si>
    <t>Benhams Place</t>
  </si>
  <si>
    <t>Milnthorpe</t>
  </si>
  <si>
    <t>Julieta</t>
  </si>
  <si>
    <t>Benhill Road</t>
  </si>
  <si>
    <t>Clacton-On-Sea</t>
  </si>
  <si>
    <t>Ranae</t>
  </si>
  <si>
    <t>Maddox</t>
  </si>
  <si>
    <t>Benjamin Close</t>
  </si>
  <si>
    <t>Wembley</t>
  </si>
  <si>
    <t>Diedre</t>
  </si>
  <si>
    <t>Curran</t>
  </si>
  <si>
    <t>Bennets Court</t>
  </si>
  <si>
    <t>Treorchy</t>
  </si>
  <si>
    <t>Smallwood</t>
  </si>
  <si>
    <t>Bennets Place</t>
  </si>
  <si>
    <t>Kirkwall</t>
  </si>
  <si>
    <t>Yahaira</t>
  </si>
  <si>
    <t>Deleon</t>
  </si>
  <si>
    <t>Bennett Park</t>
  </si>
  <si>
    <t>Stevenston</t>
  </si>
  <si>
    <t>Astrid</t>
  </si>
  <si>
    <t>Beltran</t>
  </si>
  <si>
    <t>Bennett Road</t>
  </si>
  <si>
    <t>Phyliss</t>
  </si>
  <si>
    <t>Bland</t>
  </si>
  <si>
    <t>Bentinck Mews</t>
  </si>
  <si>
    <t>Bewdley</t>
  </si>
  <si>
    <t>HU</t>
  </si>
  <si>
    <t>Minh</t>
  </si>
  <si>
    <t>Carpenter</t>
  </si>
  <si>
    <t>Bentons Lane</t>
  </si>
  <si>
    <t>Pablo</t>
  </si>
  <si>
    <t>Stanley</t>
  </si>
  <si>
    <t>Benworth Street</t>
  </si>
  <si>
    <t>Burntisland</t>
  </si>
  <si>
    <t>Margurite</t>
  </si>
  <si>
    <t>Lyles</t>
  </si>
  <si>
    <t>Beresford Terrace</t>
  </si>
  <si>
    <t>Drucilla</t>
  </si>
  <si>
    <t>Beck</t>
  </si>
  <si>
    <t>Berkley Square</t>
  </si>
  <si>
    <t>Toby</t>
  </si>
  <si>
    <t>Coon</t>
  </si>
  <si>
    <t>Bermans Way</t>
  </si>
  <si>
    <t>Tapia</t>
  </si>
  <si>
    <t>Bermondsey Buildings</t>
  </si>
  <si>
    <t>Shanklin</t>
  </si>
  <si>
    <t>Charita</t>
  </si>
  <si>
    <t>Bermondsey Trading</t>
  </si>
  <si>
    <t>Carrickfergus</t>
  </si>
  <si>
    <t>Nathaniel</t>
  </si>
  <si>
    <t>Arrington</t>
  </si>
  <si>
    <t>Bermuda Street</t>
  </si>
  <si>
    <t>Gravesend</t>
  </si>
  <si>
    <t>NG</t>
  </si>
  <si>
    <t>Shiela</t>
  </si>
  <si>
    <t>Paulson</t>
  </si>
  <si>
    <t>Bernard Street</t>
  </si>
  <si>
    <t>Latonia</t>
  </si>
  <si>
    <t>Jacob</t>
  </si>
  <si>
    <t>Berners Mews</t>
  </si>
  <si>
    <t>Cornhill-On-Tweed</t>
  </si>
  <si>
    <t>Sophie</t>
  </si>
  <si>
    <t>Leblanc</t>
  </si>
  <si>
    <t>Berners Place</t>
  </si>
  <si>
    <t>Retford</t>
  </si>
  <si>
    <t>Hatfield</t>
  </si>
  <si>
    <t>Berry Place</t>
  </si>
  <si>
    <t>St. Ives</t>
  </si>
  <si>
    <t>Chris</t>
  </si>
  <si>
    <t>Crawford</t>
  </si>
  <si>
    <t>Berthon Street</t>
  </si>
  <si>
    <t>Cupar</t>
  </si>
  <si>
    <t>Maira</t>
  </si>
  <si>
    <t>Snider</t>
  </si>
  <si>
    <t>Berthons Gdns</t>
  </si>
  <si>
    <t>Maryport</t>
  </si>
  <si>
    <t>Griggs</t>
  </si>
  <si>
    <t>Bertram Street</t>
  </si>
  <si>
    <t>Romford</t>
  </si>
  <si>
    <t>Yong</t>
  </si>
  <si>
    <t>Singleton</t>
  </si>
  <si>
    <t>Beryl Road</t>
  </si>
  <si>
    <t>Montacute</t>
  </si>
  <si>
    <t>Brendan</t>
  </si>
  <si>
    <t>Jacobs</t>
  </si>
  <si>
    <t>Besant Road</t>
  </si>
  <si>
    <t>Pembroke Dock</t>
  </si>
  <si>
    <t>Wilburn</t>
  </si>
  <si>
    <t>Besant Way</t>
  </si>
  <si>
    <t>Chester Le Street</t>
  </si>
  <si>
    <t>Elijah</t>
  </si>
  <si>
    <t>Salinas</t>
  </si>
  <si>
    <t>Penarth</t>
  </si>
  <si>
    <t>Jesusita</t>
  </si>
  <si>
    <t>Sutherland</t>
  </si>
  <si>
    <t>Besley Street</t>
  </si>
  <si>
    <t>Arbroath</t>
  </si>
  <si>
    <t>Bessborough Gardens</t>
  </si>
  <si>
    <t>Haltwhistle</t>
  </si>
  <si>
    <t>Roger</t>
  </si>
  <si>
    <t>Seymour</t>
  </si>
  <si>
    <t>Beswick Mews</t>
  </si>
  <si>
    <t>Matlock</t>
  </si>
  <si>
    <t>Eleonore</t>
  </si>
  <si>
    <t>Small</t>
  </si>
  <si>
    <t>Betstyle Road</t>
  </si>
  <si>
    <t>Sturminster Newton</t>
  </si>
  <si>
    <t>Warner</t>
  </si>
  <si>
    <t>Bettridge Road</t>
  </si>
  <si>
    <t>Munlochy</t>
  </si>
  <si>
    <t>Beulah Hill</t>
  </si>
  <si>
    <t>Edward</t>
  </si>
  <si>
    <t>Contreras</t>
  </si>
  <si>
    <t>Beulah Place</t>
  </si>
  <si>
    <t>Terrell</t>
  </si>
  <si>
    <t>Triplett</t>
  </si>
  <si>
    <t>Bevan Road</t>
  </si>
  <si>
    <t>Shalanda</t>
  </si>
  <si>
    <t>Donahue</t>
  </si>
  <si>
    <t>Bevan Street</t>
  </si>
  <si>
    <t>Llanerchymedd</t>
  </si>
  <si>
    <t>Alleen</t>
  </si>
  <si>
    <t>Lim</t>
  </si>
  <si>
    <t>Beverley Gardens</t>
  </si>
  <si>
    <t>Bicester</t>
  </si>
  <si>
    <t>Gena</t>
  </si>
  <si>
    <t>Pena</t>
  </si>
  <si>
    <t>Bevin Close</t>
  </si>
  <si>
    <t>Aberdare</t>
  </si>
  <si>
    <t>WD</t>
  </si>
  <si>
    <t>Xuan</t>
  </si>
  <si>
    <t>Tatum</t>
  </si>
  <si>
    <t>Bevis Marks</t>
  </si>
  <si>
    <t>Gordon</t>
  </si>
  <si>
    <t>Maurice</t>
  </si>
  <si>
    <t>Winston</t>
  </si>
  <si>
    <t>Bewdley Street</t>
  </si>
  <si>
    <t>Surrey</t>
  </si>
  <si>
    <t>Geraldo</t>
  </si>
  <si>
    <t>Barrow</t>
  </si>
  <si>
    <t>Bianca Road</t>
  </si>
  <si>
    <t>Lorenza</t>
  </si>
  <si>
    <t>House</t>
  </si>
  <si>
    <t>Bickley Road</t>
  </si>
  <si>
    <t>North Humberside</t>
  </si>
  <si>
    <t>Athena</t>
  </si>
  <si>
    <t>Watkins</t>
  </si>
  <si>
    <t>Bickley Row</t>
  </si>
  <si>
    <t>Wallace</t>
  </si>
  <si>
    <t>Wade</t>
  </si>
  <si>
    <t>Biggin Hill</t>
  </si>
  <si>
    <t>Huntly</t>
  </si>
  <si>
    <t>Cherryl</t>
  </si>
  <si>
    <t>Bignold Road</t>
  </si>
  <si>
    <t>Norman</t>
  </si>
  <si>
    <t>Moses</t>
  </si>
  <si>
    <t>Bingham Street</t>
  </si>
  <si>
    <t>Bampton</t>
  </si>
  <si>
    <t>Virgina</t>
  </si>
  <si>
    <t>Clay</t>
  </si>
  <si>
    <t>Bircham Path</t>
  </si>
  <si>
    <t>Byron</t>
  </si>
  <si>
    <t>Molina</t>
  </si>
  <si>
    <t>Birchen Close</t>
  </si>
  <si>
    <t>Adalberto</t>
  </si>
  <si>
    <t>Blevins</t>
  </si>
  <si>
    <t>Birches</t>
  </si>
  <si>
    <t>Chinnor</t>
  </si>
  <si>
    <t>Katheleen</t>
  </si>
  <si>
    <t>Franks</t>
  </si>
  <si>
    <t>Birchfield Terrace</t>
  </si>
  <si>
    <t>Pontyclun</t>
  </si>
  <si>
    <t>Muoi</t>
  </si>
  <si>
    <t>Jeffries</t>
  </si>
  <si>
    <t>Birkbeck Place</t>
  </si>
  <si>
    <t>Fuller</t>
  </si>
  <si>
    <t>Dirk</t>
  </si>
  <si>
    <t>Dorsey</t>
  </si>
  <si>
    <t>Birkbeck Terrace</t>
  </si>
  <si>
    <t>Nakita</t>
  </si>
  <si>
    <t>Willard</t>
  </si>
  <si>
    <t>Birkenhead Street</t>
  </si>
  <si>
    <t>Kayleigh</t>
  </si>
  <si>
    <t>Stevens</t>
  </si>
  <si>
    <t>Birse Crescent</t>
  </si>
  <si>
    <t>Llanelli</t>
  </si>
  <si>
    <t>Lashay</t>
  </si>
  <si>
    <t>Whaley</t>
  </si>
  <si>
    <t>Bisham Gardens</t>
  </si>
  <si>
    <t>Ferndown</t>
  </si>
  <si>
    <t>Lona</t>
  </si>
  <si>
    <t>Chavez</t>
  </si>
  <si>
    <t>Bishops Court</t>
  </si>
  <si>
    <t>Avon</t>
  </si>
  <si>
    <t>Fenton</t>
  </si>
  <si>
    <t>Bishops Head</t>
  </si>
  <si>
    <t>Dumbarton</t>
  </si>
  <si>
    <t>Tammara</t>
  </si>
  <si>
    <t>Graham</t>
  </si>
  <si>
    <t>Bishops Mews</t>
  </si>
  <si>
    <t>Clevedon</t>
  </si>
  <si>
    <t>Verdell</t>
  </si>
  <si>
    <t>Bishopsgate Buildings</t>
  </si>
  <si>
    <t>Fatima</t>
  </si>
  <si>
    <t>Sargent</t>
  </si>
  <si>
    <t>Bittacy Road</t>
  </si>
  <si>
    <t>Saxmundham</t>
  </si>
  <si>
    <t>Bowen</t>
  </si>
  <si>
    <t>Bittern Place</t>
  </si>
  <si>
    <t>Amersham</t>
  </si>
  <si>
    <t>LA</t>
  </si>
  <si>
    <t>Carmelo</t>
  </si>
  <si>
    <t>Bix Court</t>
  </si>
  <si>
    <t>Madalene</t>
  </si>
  <si>
    <t>Villalobos</t>
  </si>
  <si>
    <t>Black Eagle</t>
  </si>
  <si>
    <t>Mexborough</t>
  </si>
  <si>
    <t>Michelina</t>
  </si>
  <si>
    <t>Cleveland</t>
  </si>
  <si>
    <t>Black Moor</t>
  </si>
  <si>
    <t>Annan</t>
  </si>
  <si>
    <t>SP</t>
  </si>
  <si>
    <t>Cristie</t>
  </si>
  <si>
    <t>Rodriguez</t>
  </si>
  <si>
    <t>Keighley</t>
  </si>
  <si>
    <t>Craig</t>
  </si>
  <si>
    <t>Kirkpatrick</t>
  </si>
  <si>
    <t>Black Prince</t>
  </si>
  <si>
    <t>Warwick</t>
  </si>
  <si>
    <t>Jimmie</t>
  </si>
  <si>
    <t>Blackheath Rise</t>
  </si>
  <si>
    <t>Hebden Bridge</t>
  </si>
  <si>
    <t>Danilo</t>
  </si>
  <si>
    <t>Biggs</t>
  </si>
  <si>
    <t>Leek</t>
  </si>
  <si>
    <t>Refugio</t>
  </si>
  <si>
    <t>Waldron</t>
  </si>
  <si>
    <t>Blackhorse Place</t>
  </si>
  <si>
    <t>Dunstable</t>
  </si>
  <si>
    <t>Mendez</t>
  </si>
  <si>
    <t>Blackhorse Road</t>
  </si>
  <si>
    <t>Llanfairfechan</t>
  </si>
  <si>
    <t>Numbers</t>
  </si>
  <si>
    <t>Giles</t>
  </si>
  <si>
    <t>Blackhorse Square</t>
  </si>
  <si>
    <t>Newton Aycliffe</t>
  </si>
  <si>
    <t>Raymundo</t>
  </si>
  <si>
    <t>Purvis</t>
  </si>
  <si>
    <t>Blackmans Court</t>
  </si>
  <si>
    <t>Cromarty</t>
  </si>
  <si>
    <t>William</t>
  </si>
  <si>
    <t>Sims</t>
  </si>
  <si>
    <t>Blackman's CRT</t>
  </si>
  <si>
    <t>Gregory</t>
  </si>
  <si>
    <t>Blackpool Road</t>
  </si>
  <si>
    <t>Yael</t>
  </si>
  <si>
    <t>Bright</t>
  </si>
  <si>
    <t>Blackstone Villas</t>
  </si>
  <si>
    <t>West Glamorgan</t>
  </si>
  <si>
    <t>Faustino</t>
  </si>
  <si>
    <t>Perkins</t>
  </si>
  <si>
    <t>Blackwall Way</t>
  </si>
  <si>
    <t>Morecambe</t>
  </si>
  <si>
    <t>Childs</t>
  </si>
  <si>
    <t>Blade Mews</t>
  </si>
  <si>
    <t>Wiley</t>
  </si>
  <si>
    <t>Hyatt</t>
  </si>
  <si>
    <t>Blagdens Close</t>
  </si>
  <si>
    <t>Poulton-Le-Fylde</t>
  </si>
  <si>
    <t>Chadwick</t>
  </si>
  <si>
    <t>Hilton</t>
  </si>
  <si>
    <t>MAL;E</t>
  </si>
  <si>
    <t>Blair Street</t>
  </si>
  <si>
    <t>Corby</t>
  </si>
  <si>
    <t>Eladia</t>
  </si>
  <si>
    <t>Addison</t>
  </si>
  <si>
    <t>Blake Close</t>
  </si>
  <si>
    <t>Weston-Super-Mare</t>
  </si>
  <si>
    <t>Lorilee</t>
  </si>
  <si>
    <t>Mcintyre</t>
  </si>
  <si>
    <t>Blake Hall</t>
  </si>
  <si>
    <t>Okehampton</t>
  </si>
  <si>
    <t>Nickolas</t>
  </si>
  <si>
    <t>Goss</t>
  </si>
  <si>
    <t>Blake Road</t>
  </si>
  <si>
    <t>Leighton Buzzard</t>
  </si>
  <si>
    <t>Darryl</t>
  </si>
  <si>
    <t>Cervantes</t>
  </si>
  <si>
    <t>Blakeney Close</t>
  </si>
  <si>
    <t>Perry</t>
  </si>
  <si>
    <t>Ash</t>
  </si>
  <si>
    <t>Blanchard Close</t>
  </si>
  <si>
    <t>Southsea</t>
  </si>
  <si>
    <t>Eunice</t>
  </si>
  <si>
    <t>Rhodes</t>
  </si>
  <si>
    <t>Bland Avenue</t>
  </si>
  <si>
    <t>Blyth</t>
  </si>
  <si>
    <t>Russ</t>
  </si>
  <si>
    <t>Skinner</t>
  </si>
  <si>
    <t>Blandford Close</t>
  </si>
  <si>
    <t>Bognor Regis</t>
  </si>
  <si>
    <t>PL</t>
  </si>
  <si>
    <t>Sue</t>
  </si>
  <si>
    <t>Banks</t>
  </si>
  <si>
    <t>Hawick</t>
  </si>
  <si>
    <t>Jed</t>
  </si>
  <si>
    <t>Friedman</t>
  </si>
  <si>
    <t>Northwood</t>
  </si>
  <si>
    <t>Gale</t>
  </si>
  <si>
    <t>Cardenas</t>
  </si>
  <si>
    <t>Blantyre Street</t>
  </si>
  <si>
    <t>Troon</t>
  </si>
  <si>
    <t>Bliss</t>
  </si>
  <si>
    <t>Blenheim Grove</t>
  </si>
  <si>
    <t>Colne</t>
  </si>
  <si>
    <t>Ruben</t>
  </si>
  <si>
    <t>Delsie</t>
  </si>
  <si>
    <t>Rosales</t>
  </si>
  <si>
    <t>Blenheim Mews</t>
  </si>
  <si>
    <t>Alexis</t>
  </si>
  <si>
    <t>Velez</t>
  </si>
  <si>
    <t>Blenheim Passage</t>
  </si>
  <si>
    <t>Kinbrace</t>
  </si>
  <si>
    <t>Diggs</t>
  </si>
  <si>
    <t>Blenheim Shopping</t>
  </si>
  <si>
    <t>Arrochar</t>
  </si>
  <si>
    <t>Patricia</t>
  </si>
  <si>
    <t>Lazaro</t>
  </si>
  <si>
    <t>Lee</t>
  </si>
  <si>
    <t>Blenhiem Lodge</t>
  </si>
  <si>
    <t>Fischer</t>
  </si>
  <si>
    <t>Blenhiem Villas</t>
  </si>
  <si>
    <t>Henley-In-Arden</t>
  </si>
  <si>
    <t>Dakota</t>
  </si>
  <si>
    <t>Cabrera</t>
  </si>
  <si>
    <t>Bloomfield Road</t>
  </si>
  <si>
    <t>Blaenau Ffestiniog</t>
  </si>
  <si>
    <t>Vince</t>
  </si>
  <si>
    <t>Bledsoe</t>
  </si>
  <si>
    <t>Forfar</t>
  </si>
  <si>
    <t>Pool</t>
  </si>
  <si>
    <t>Larkhall</t>
  </si>
  <si>
    <t>Lexie</t>
  </si>
  <si>
    <t>Holder</t>
  </si>
  <si>
    <t>Blossom ClOSE</t>
  </si>
  <si>
    <t>Aboyne</t>
  </si>
  <si>
    <t>OX</t>
  </si>
  <si>
    <t>Lord</t>
  </si>
  <si>
    <t>Blossom Inn</t>
  </si>
  <si>
    <t>Llanbrynmair</t>
  </si>
  <si>
    <t>January</t>
  </si>
  <si>
    <t>Lassiter</t>
  </si>
  <si>
    <t>Bloxam Gardens</t>
  </si>
  <si>
    <t>Sawbridgeworth</t>
  </si>
  <si>
    <t>Carey</t>
  </si>
  <si>
    <t>Mayer</t>
  </si>
  <si>
    <t>Blucher Street</t>
  </si>
  <si>
    <t>Thurso</t>
  </si>
  <si>
    <t>Lanny</t>
  </si>
  <si>
    <t>Stephens</t>
  </si>
  <si>
    <t>Blue Anchor</t>
  </si>
  <si>
    <t>Ashby-De-La-Zouch</t>
  </si>
  <si>
    <t>SL</t>
  </si>
  <si>
    <t>Delores</t>
  </si>
  <si>
    <t>Blue Cross</t>
  </si>
  <si>
    <t>Bishop Auckland</t>
  </si>
  <si>
    <t>CT</t>
  </si>
  <si>
    <t>Keila</t>
  </si>
  <si>
    <t>Correa</t>
  </si>
  <si>
    <t>Blue Lion</t>
  </si>
  <si>
    <t>Kingsbridge</t>
  </si>
  <si>
    <t>Chase</t>
  </si>
  <si>
    <t>Bluecross Street</t>
  </si>
  <si>
    <t>Isle Of Jura</t>
  </si>
  <si>
    <t>Katy</t>
  </si>
  <si>
    <t>Stratton</t>
  </si>
  <si>
    <t>Blythe Hill</t>
  </si>
  <si>
    <t>Carly</t>
  </si>
  <si>
    <t>Currie</t>
  </si>
  <si>
    <t>Blythe Road</t>
  </si>
  <si>
    <t>Arletta</t>
  </si>
  <si>
    <t>Blythell Cottages</t>
  </si>
  <si>
    <t>Glastonbury</t>
  </si>
  <si>
    <t>Angeline</t>
  </si>
  <si>
    <t>Magee</t>
  </si>
  <si>
    <t>Bodley Manor</t>
  </si>
  <si>
    <t>Osvaldo</t>
  </si>
  <si>
    <t>Bodmin Street</t>
  </si>
  <si>
    <t>Roslin</t>
  </si>
  <si>
    <t>Trinity</t>
  </si>
  <si>
    <t>Pacheco</t>
  </si>
  <si>
    <t>Bolan Street</t>
  </si>
  <si>
    <t>Ballymoney</t>
  </si>
  <si>
    <t>Bold Place</t>
  </si>
  <si>
    <t>Natasha</t>
  </si>
  <si>
    <t>Bray</t>
  </si>
  <si>
    <t>Bolina Road</t>
  </si>
  <si>
    <t>Alderley Edge</t>
  </si>
  <si>
    <t>IP</t>
  </si>
  <si>
    <t>Myrna</t>
  </si>
  <si>
    <t>Spencer</t>
  </si>
  <si>
    <t>Bollo Lane</t>
  </si>
  <si>
    <t>Ima</t>
  </si>
  <si>
    <t>Bolney Gate</t>
  </si>
  <si>
    <t>Boncath</t>
  </si>
  <si>
    <t>Aaron</t>
  </si>
  <si>
    <t>Lehman</t>
  </si>
  <si>
    <t>Bolt Court</t>
  </si>
  <si>
    <t>Marlow</t>
  </si>
  <si>
    <t>Laird</t>
  </si>
  <si>
    <t>Bolton Cl</t>
  </si>
  <si>
    <t>Tricia</t>
  </si>
  <si>
    <t>Maxwell</t>
  </si>
  <si>
    <t>Bolwell Street</t>
  </si>
  <si>
    <t>Ilkley</t>
  </si>
  <si>
    <t>Elin</t>
  </si>
  <si>
    <t>Bon March</t>
  </si>
  <si>
    <t>Isle Of Rum</t>
  </si>
  <si>
    <t>Thomson</t>
  </si>
  <si>
    <t>Bonany Street</t>
  </si>
  <si>
    <t>Lilli</t>
  </si>
  <si>
    <t>Bond Place</t>
  </si>
  <si>
    <t>Royston</t>
  </si>
  <si>
    <t>Harley</t>
  </si>
  <si>
    <t>Bonding Yard</t>
  </si>
  <si>
    <t>Henlow</t>
  </si>
  <si>
    <t>Kathe</t>
  </si>
  <si>
    <t>Hatcher</t>
  </si>
  <si>
    <t>Bondway</t>
  </si>
  <si>
    <t>Rochford</t>
  </si>
  <si>
    <t>Madeleine</t>
  </si>
  <si>
    <t>Inman</t>
  </si>
  <si>
    <t>Bonsall Terrace</t>
  </si>
  <si>
    <t>Sowerby Bridge</t>
  </si>
  <si>
    <t>Pina</t>
  </si>
  <si>
    <t>Boot Street</t>
  </si>
  <si>
    <t>Arlyne</t>
  </si>
  <si>
    <t>Boothby Road</t>
  </si>
  <si>
    <t>Nu</t>
  </si>
  <si>
    <t>Latrina</t>
  </si>
  <si>
    <t>Simons</t>
  </si>
  <si>
    <t>Boreham Road</t>
  </si>
  <si>
    <t>Umberleigh</t>
  </si>
  <si>
    <t>Chara</t>
  </si>
  <si>
    <t>Coffman</t>
  </si>
  <si>
    <t>Borland Road</t>
  </si>
  <si>
    <t>Sheringham</t>
  </si>
  <si>
    <t>Ayako</t>
  </si>
  <si>
    <t>Quintero</t>
  </si>
  <si>
    <t>Bosbury Road</t>
  </si>
  <si>
    <t>Castle Cary</t>
  </si>
  <si>
    <t>Dreama</t>
  </si>
  <si>
    <t>Boss STREET</t>
  </si>
  <si>
    <t>Bostal Hill</t>
  </si>
  <si>
    <t>Lingfield</t>
  </si>
  <si>
    <t>Leighann</t>
  </si>
  <si>
    <t>Carson</t>
  </si>
  <si>
    <t>Bostock Street</t>
  </si>
  <si>
    <t>Godalming</t>
  </si>
  <si>
    <t>Neville</t>
  </si>
  <si>
    <t>Boston Gardens</t>
  </si>
  <si>
    <t>Elsy</t>
  </si>
  <si>
    <t>Brooks</t>
  </si>
  <si>
    <t>Boston Street</t>
  </si>
  <si>
    <t>Bangor</t>
  </si>
  <si>
    <t>Zada</t>
  </si>
  <si>
    <t>Enriquez</t>
  </si>
  <si>
    <t>Bostonthorpe Road</t>
  </si>
  <si>
    <t>Donald</t>
  </si>
  <si>
    <t>Wingate</t>
  </si>
  <si>
    <t>Iva</t>
  </si>
  <si>
    <t>Wright</t>
  </si>
  <si>
    <t>Boswell Street</t>
  </si>
  <si>
    <t>Chesterfield</t>
  </si>
  <si>
    <t>Isaac</t>
  </si>
  <si>
    <t>Darren</t>
  </si>
  <si>
    <t>Mercado</t>
  </si>
  <si>
    <t>Bosworth Road</t>
  </si>
  <si>
    <t>Charlie</t>
  </si>
  <si>
    <t>Bothwell Close</t>
  </si>
  <si>
    <t>Shirlee</t>
  </si>
  <si>
    <t>Bourdon Street</t>
  </si>
  <si>
    <t>Leisha</t>
  </si>
  <si>
    <t>Dugan</t>
  </si>
  <si>
    <t>Bourds Buildings</t>
  </si>
  <si>
    <t>Caldicot</t>
  </si>
  <si>
    <t>Orval</t>
  </si>
  <si>
    <t>Dick</t>
  </si>
  <si>
    <t>Bourne Estate</t>
  </si>
  <si>
    <t>West Molesey</t>
  </si>
  <si>
    <t>Octavia</t>
  </si>
  <si>
    <t>Hughes</t>
  </si>
  <si>
    <t>Bourne Place</t>
  </si>
  <si>
    <t>Annelle</t>
  </si>
  <si>
    <t>Campos</t>
  </si>
  <si>
    <t>Sammie</t>
  </si>
  <si>
    <t>Burch</t>
  </si>
  <si>
    <t>Bourne Terrace</t>
  </si>
  <si>
    <t>Brecon</t>
  </si>
  <si>
    <t>NN</t>
  </si>
  <si>
    <t>Amber</t>
  </si>
  <si>
    <t>Joyner</t>
  </si>
  <si>
    <t>Bournemouth Road</t>
  </si>
  <si>
    <t>Badminton</t>
  </si>
  <si>
    <t>Mario</t>
  </si>
  <si>
    <t>Segura</t>
  </si>
  <si>
    <t>Boutique Hall</t>
  </si>
  <si>
    <t>Eubanks</t>
  </si>
  <si>
    <t>Bow Common</t>
  </si>
  <si>
    <t>Cockermouth</t>
  </si>
  <si>
    <t>Weston</t>
  </si>
  <si>
    <t>Bow Court</t>
  </si>
  <si>
    <t>Loughborough</t>
  </si>
  <si>
    <t>Alishia</t>
  </si>
  <si>
    <t>Adams</t>
  </si>
  <si>
    <t>Bowater Place</t>
  </si>
  <si>
    <t>East Boldon</t>
  </si>
  <si>
    <t>Maggie</t>
  </si>
  <si>
    <t>Hinton</t>
  </si>
  <si>
    <t>Bowen Street</t>
  </si>
  <si>
    <t>Noble</t>
  </si>
  <si>
    <t>Bowl Court</t>
  </si>
  <si>
    <t>Dungannon</t>
  </si>
  <si>
    <t>Angel</t>
  </si>
  <si>
    <t>Moseley</t>
  </si>
  <si>
    <t>Bowyer Street</t>
  </si>
  <si>
    <t>Warminster</t>
  </si>
  <si>
    <t>Jon</t>
  </si>
  <si>
    <t>Louis</t>
  </si>
  <si>
    <t>Bowyers Street</t>
  </si>
  <si>
    <t>Ferryside</t>
  </si>
  <si>
    <t>Lilly</t>
  </si>
  <si>
    <t>Boxall Row</t>
  </si>
  <si>
    <t>Lyme Regis</t>
  </si>
  <si>
    <t>Margot</t>
  </si>
  <si>
    <t>Boxley Street</t>
  </si>
  <si>
    <t>Halstead</t>
  </si>
  <si>
    <t>Wen</t>
  </si>
  <si>
    <t>Boyce Way</t>
  </si>
  <si>
    <t>Ferryhill</t>
  </si>
  <si>
    <t>Keneth</t>
  </si>
  <si>
    <t>Mayo</t>
  </si>
  <si>
    <t>Boys Industrial</t>
  </si>
  <si>
    <t>Isle Of Coll</t>
  </si>
  <si>
    <t>Tanna</t>
  </si>
  <si>
    <t>Boys Refuge</t>
  </si>
  <si>
    <t>Beaumaris</t>
  </si>
  <si>
    <t>Fredia</t>
  </si>
  <si>
    <t>Owen</t>
  </si>
  <si>
    <t>Sherborne</t>
  </si>
  <si>
    <t>Reuben</t>
  </si>
  <si>
    <t>Mooney</t>
  </si>
  <si>
    <t>Brabant Road</t>
  </si>
  <si>
    <t>Bath</t>
  </si>
  <si>
    <t>RG</t>
  </si>
  <si>
    <t>Dallas</t>
  </si>
  <si>
    <t>Brabazon Street</t>
  </si>
  <si>
    <t>Leven</t>
  </si>
  <si>
    <t>Jennifer</t>
  </si>
  <si>
    <t>Gilliam</t>
  </si>
  <si>
    <t>Brabourne Grove</t>
  </si>
  <si>
    <t>Isle Of Skye</t>
  </si>
  <si>
    <t>Bracken Avenue</t>
  </si>
  <si>
    <t>Harland</t>
  </si>
  <si>
    <t>Brackendale</t>
  </si>
  <si>
    <t>Ira</t>
  </si>
  <si>
    <t>Souza</t>
  </si>
  <si>
    <t>Bradford Villas</t>
  </si>
  <si>
    <t>Duarte</t>
  </si>
  <si>
    <t>Brading Crescent</t>
  </si>
  <si>
    <t>Riding Mill</t>
  </si>
  <si>
    <t>Fumiko</t>
  </si>
  <si>
    <t>Dumas</t>
  </si>
  <si>
    <t>Bradmore Park</t>
  </si>
  <si>
    <t>Corbridge</t>
  </si>
  <si>
    <t>Homer</t>
  </si>
  <si>
    <t>Bradstock Road</t>
  </si>
  <si>
    <t>Bromyard</t>
  </si>
  <si>
    <t>Bruno</t>
  </si>
  <si>
    <t>Braeside Road</t>
  </si>
  <si>
    <t>Na</t>
  </si>
  <si>
    <t>Braid Avenue</t>
  </si>
  <si>
    <t>Canterbury</t>
  </si>
  <si>
    <t>Pat</t>
  </si>
  <si>
    <t>Pettit</t>
  </si>
  <si>
    <t>Brailsford Road</t>
  </si>
  <si>
    <t>Moffat</t>
  </si>
  <si>
    <t>Kraig</t>
  </si>
  <si>
    <t>Bramah Green</t>
  </si>
  <si>
    <t>Wilda</t>
  </si>
  <si>
    <t>Winkler</t>
  </si>
  <si>
    <t>Bramfield Road</t>
  </si>
  <si>
    <t>Olen</t>
  </si>
  <si>
    <t>Bramlands Close</t>
  </si>
  <si>
    <t>Insch</t>
  </si>
  <si>
    <t>Columbus</t>
  </si>
  <si>
    <t>Hogue</t>
  </si>
  <si>
    <t>Bramley Court</t>
  </si>
  <si>
    <t>Dronfield</t>
  </si>
  <si>
    <t>Bramley Terrace</t>
  </si>
  <si>
    <t>Forres</t>
  </si>
  <si>
    <t>Inocencia</t>
  </si>
  <si>
    <t>Johns</t>
  </si>
  <si>
    <t>Bramshot Ave</t>
  </si>
  <si>
    <t>Montgomery</t>
  </si>
  <si>
    <t>Vicente</t>
  </si>
  <si>
    <t>Branch Hill</t>
  </si>
  <si>
    <t>Ripon</t>
  </si>
  <si>
    <t>Nelda</t>
  </si>
  <si>
    <t>Medina</t>
  </si>
  <si>
    <t>Yarmouth</t>
  </si>
  <si>
    <t>Laureen</t>
  </si>
  <si>
    <t>Nichols</t>
  </si>
  <si>
    <t>Brandon Row</t>
  </si>
  <si>
    <t>Fairford</t>
  </si>
  <si>
    <t>Landon</t>
  </si>
  <si>
    <t>Estrada</t>
  </si>
  <si>
    <t>Branksome Road</t>
  </si>
  <si>
    <t>Ayr</t>
  </si>
  <si>
    <t>Ronnie</t>
  </si>
  <si>
    <t>Savage</t>
  </si>
  <si>
    <t>Brantwood Close</t>
  </si>
  <si>
    <t>Daugherty</t>
  </si>
  <si>
    <t>Brassey Road</t>
  </si>
  <si>
    <t>Leonardo</t>
  </si>
  <si>
    <t>Groves</t>
  </si>
  <si>
    <t>Brassey Square</t>
  </si>
  <si>
    <t>Lizabeth</t>
  </si>
  <si>
    <t>Brathway Road</t>
  </si>
  <si>
    <t>Oxfordshire</t>
  </si>
  <si>
    <t>Eldon</t>
  </si>
  <si>
    <t>Livingston</t>
  </si>
  <si>
    <t>Bray Drive</t>
  </si>
  <si>
    <t>Newbridge</t>
  </si>
  <si>
    <t>Sade</t>
  </si>
  <si>
    <t>Aragon</t>
  </si>
  <si>
    <t>Brayard Road</t>
  </si>
  <si>
    <t>Rosena</t>
  </si>
  <si>
    <t>Burgos</t>
  </si>
  <si>
    <t>Bream Close</t>
  </si>
  <si>
    <t>Bodorgan</t>
  </si>
  <si>
    <t>Cecilia</t>
  </si>
  <si>
    <t>Brechin Plc+F1570</t>
  </si>
  <si>
    <t>Rob</t>
  </si>
  <si>
    <t>Erickson</t>
  </si>
  <si>
    <t>Brecknock Street</t>
  </si>
  <si>
    <t>Rayleigh</t>
  </si>
  <si>
    <t>Francie</t>
  </si>
  <si>
    <t>Brent Terrace</t>
  </si>
  <si>
    <t>Stevenage</t>
  </si>
  <si>
    <t>Adelaida</t>
  </si>
  <si>
    <t>Walter</t>
  </si>
  <si>
    <t>Brent Way</t>
  </si>
  <si>
    <t>Masako</t>
  </si>
  <si>
    <t>Vera</t>
  </si>
  <si>
    <t>Brenthouse Road</t>
  </si>
  <si>
    <t>Leamington Spa</t>
  </si>
  <si>
    <t>Brande</t>
  </si>
  <si>
    <t>Doherty</t>
  </si>
  <si>
    <t>Brett Villas</t>
  </si>
  <si>
    <t>Llandrindod Wells</t>
  </si>
  <si>
    <t>Darron</t>
  </si>
  <si>
    <t>Brettenham Road</t>
  </si>
  <si>
    <t>Ellon</t>
  </si>
  <si>
    <t>Onita</t>
  </si>
  <si>
    <t>Sewell</t>
  </si>
  <si>
    <t>Brewers Lane</t>
  </si>
  <si>
    <t>West Calder</t>
  </si>
  <si>
    <t>Hayden</t>
  </si>
  <si>
    <t>Brewer's Quay</t>
  </si>
  <si>
    <t>Brewers Street</t>
  </si>
  <si>
    <t>Pulborough</t>
  </si>
  <si>
    <t>Levine</t>
  </si>
  <si>
    <t>Brewhouse Road</t>
  </si>
  <si>
    <t>Elliott</t>
  </si>
  <si>
    <t>Jenkins</t>
  </si>
  <si>
    <t>Wadebridge</t>
  </si>
  <si>
    <t>Jake</t>
  </si>
  <si>
    <t>Brewhouse Walk</t>
  </si>
  <si>
    <t>Bethanie</t>
  </si>
  <si>
    <t>Travis</t>
  </si>
  <si>
    <t>Brewhouse Yard</t>
  </si>
  <si>
    <t>Merry</t>
  </si>
  <si>
    <t>Rodney</t>
  </si>
  <si>
    <t>Rogers</t>
  </si>
  <si>
    <t>Brewster Road</t>
  </si>
  <si>
    <t>Lamar</t>
  </si>
  <si>
    <t>Pendleton</t>
  </si>
  <si>
    <t>Briary Close</t>
  </si>
  <si>
    <t>Portland</t>
  </si>
  <si>
    <t>Myron</t>
  </si>
  <si>
    <t>Briary Lane</t>
  </si>
  <si>
    <t>Bridge Close</t>
  </si>
  <si>
    <t>Lusk</t>
  </si>
  <si>
    <t>Bridge Lane</t>
  </si>
  <si>
    <t>Colchester</t>
  </si>
  <si>
    <t>Kathie</t>
  </si>
  <si>
    <t>Blackburn</t>
  </si>
  <si>
    <t>Bridge Place</t>
  </si>
  <si>
    <t>Maude</t>
  </si>
  <si>
    <t>Jefferson</t>
  </si>
  <si>
    <t>Bridgwater Road</t>
  </si>
  <si>
    <t>Bong</t>
  </si>
  <si>
    <t>Bridport Street</t>
  </si>
  <si>
    <t>Doune</t>
  </si>
  <si>
    <t>Wilkins</t>
  </si>
  <si>
    <t>Brierley Street</t>
  </si>
  <si>
    <t>Radstock</t>
  </si>
  <si>
    <t>Jordon</t>
  </si>
  <si>
    <t>Bright Terrace</t>
  </si>
  <si>
    <t>Fareham</t>
  </si>
  <si>
    <t>Sina</t>
  </si>
  <si>
    <t>Brightlingsea Place</t>
  </si>
  <si>
    <t>Brackley</t>
  </si>
  <si>
    <t>BH</t>
  </si>
  <si>
    <t>Carli</t>
  </si>
  <si>
    <t>Brightman Road</t>
  </si>
  <si>
    <t>Thames Ditton</t>
  </si>
  <si>
    <t>Christene</t>
  </si>
  <si>
    <t>Brighton Place</t>
  </si>
  <si>
    <t>Newhaven</t>
  </si>
  <si>
    <t>Theodore</t>
  </si>
  <si>
    <t>Brights Buildings</t>
  </si>
  <si>
    <t>Doyle</t>
  </si>
  <si>
    <t>Law</t>
  </si>
  <si>
    <t>Brill Crescent</t>
  </si>
  <si>
    <t>Chester</t>
  </si>
  <si>
    <t>Gorebridge</t>
  </si>
  <si>
    <t>Ty</t>
  </si>
  <si>
    <t>Rose</t>
  </si>
  <si>
    <t>Jarred</t>
  </si>
  <si>
    <t>Bean</t>
  </si>
  <si>
    <t>Brill Terrace</t>
  </si>
  <si>
    <t>Kristopher</t>
  </si>
  <si>
    <t>Richter</t>
  </si>
  <si>
    <t>Brinkburn Close</t>
  </si>
  <si>
    <t>Rolf</t>
  </si>
  <si>
    <t>Britannia Cottages</t>
  </si>
  <si>
    <t>Towcester</t>
  </si>
  <si>
    <t>Trula</t>
  </si>
  <si>
    <t>Lindsey</t>
  </si>
  <si>
    <t>Britannia Gardens</t>
  </si>
  <si>
    <t>Bridge Of Weir</t>
  </si>
  <si>
    <t>Connors</t>
  </si>
  <si>
    <t>Lincoln</t>
  </si>
  <si>
    <t>Deeanna</t>
  </si>
  <si>
    <t>Cross</t>
  </si>
  <si>
    <t>Britannia Walk</t>
  </si>
  <si>
    <t>Chippenham</t>
  </si>
  <si>
    <t>Melanie</t>
  </si>
  <si>
    <t>Leach</t>
  </si>
  <si>
    <t>Brixton Road</t>
  </si>
  <si>
    <t>Augustine</t>
  </si>
  <si>
    <t>Pitts</t>
  </si>
  <si>
    <t>Broadgates Road</t>
  </si>
  <si>
    <t>Fidel</t>
  </si>
  <si>
    <t>Crews</t>
  </si>
  <si>
    <t>Broadhead Strand</t>
  </si>
  <si>
    <t>Emery</t>
  </si>
  <si>
    <t>Land</t>
  </si>
  <si>
    <t>Broadlands Close</t>
  </si>
  <si>
    <t>Milltimber</t>
  </si>
  <si>
    <t>Kayleen</t>
  </si>
  <si>
    <t>Mueller</t>
  </si>
  <si>
    <t>Broadley Street</t>
  </si>
  <si>
    <t>New Quay</t>
  </si>
  <si>
    <t>Tony</t>
  </si>
  <si>
    <t>Broadwater Road</t>
  </si>
  <si>
    <t>Hexham</t>
  </si>
  <si>
    <t>Boris</t>
  </si>
  <si>
    <t>Vela</t>
  </si>
  <si>
    <t>Tavistock</t>
  </si>
  <si>
    <t>Rosalyn</t>
  </si>
  <si>
    <t>Oneill</t>
  </si>
  <si>
    <t>Broadway Court</t>
  </si>
  <si>
    <t>Rosario</t>
  </si>
  <si>
    <t>Broadwick Street</t>
  </si>
  <si>
    <t>Willie</t>
  </si>
  <si>
    <t>Maher</t>
  </si>
  <si>
    <t>Brockley Cottages</t>
  </si>
  <si>
    <t>Jacinto</t>
  </si>
  <si>
    <t>Brockley Cross</t>
  </si>
  <si>
    <t>Huddersfield</t>
  </si>
  <si>
    <t>Lucero</t>
  </si>
  <si>
    <t>Brockley Mews</t>
  </si>
  <si>
    <t>Helga</t>
  </si>
  <si>
    <t>Manning</t>
  </si>
  <si>
    <t>Brockwell Terrace</t>
  </si>
  <si>
    <t>Tarbert</t>
  </si>
  <si>
    <t>Carmine</t>
  </si>
  <si>
    <t>Broderick Road</t>
  </si>
  <si>
    <t>Henrietta</t>
  </si>
  <si>
    <t>Broker's Alley</t>
  </si>
  <si>
    <t>Leena</t>
  </si>
  <si>
    <t>Denton</t>
  </si>
  <si>
    <t>Brompton Arcade</t>
  </si>
  <si>
    <t>Warren</t>
  </si>
  <si>
    <t>Brompton Square</t>
  </si>
  <si>
    <t>Calne</t>
  </si>
  <si>
    <t>Violette</t>
  </si>
  <si>
    <t>Bullock</t>
  </si>
  <si>
    <t>Brompton Terrace</t>
  </si>
  <si>
    <t>Cleethorpes</t>
  </si>
  <si>
    <t>Meredith</t>
  </si>
  <si>
    <t>Dunham</t>
  </si>
  <si>
    <t>Brondesbury Mews</t>
  </si>
  <si>
    <t>Ardrossan</t>
  </si>
  <si>
    <t>DD</t>
  </si>
  <si>
    <t>Gilma</t>
  </si>
  <si>
    <t>Mckinnon</t>
  </si>
  <si>
    <t>Bronhill Terrace</t>
  </si>
  <si>
    <t>Petersfield</t>
  </si>
  <si>
    <t>Brad</t>
  </si>
  <si>
    <t>Richmond</t>
  </si>
  <si>
    <t>Bronti Close</t>
  </si>
  <si>
    <t>Chessington</t>
  </si>
  <si>
    <t>Cooley</t>
  </si>
  <si>
    <t>Brook Crescent</t>
  </si>
  <si>
    <t>Barnsley</t>
  </si>
  <si>
    <t>DN</t>
  </si>
  <si>
    <t>Iona</t>
  </si>
  <si>
    <t>Weaver</t>
  </si>
  <si>
    <t>Brookdale Road</t>
  </si>
  <si>
    <t>Lorenzo</t>
  </si>
  <si>
    <t>Brooke Road</t>
  </si>
  <si>
    <t>Redhill</t>
  </si>
  <si>
    <t>Oleary</t>
  </si>
  <si>
    <t>Brookland Garth</t>
  </si>
  <si>
    <t>Melrose</t>
  </si>
  <si>
    <t>Marsha</t>
  </si>
  <si>
    <t>Brookland Rise</t>
  </si>
  <si>
    <t>Cumbria</t>
  </si>
  <si>
    <t>Hill</t>
  </si>
  <si>
    <t>Brookland Villas</t>
  </si>
  <si>
    <t>Shefford</t>
  </si>
  <si>
    <t>Erin</t>
  </si>
  <si>
    <t>Bowles</t>
  </si>
  <si>
    <t>Brooklyn Avenue</t>
  </si>
  <si>
    <t>Canvey Island</t>
  </si>
  <si>
    <t>Greer</t>
  </si>
  <si>
    <t>Brooklyn Villas</t>
  </si>
  <si>
    <t>Reid</t>
  </si>
  <si>
    <t>Montoya</t>
  </si>
  <si>
    <t>Arisaig</t>
  </si>
  <si>
    <t>Herbert</t>
  </si>
  <si>
    <t>Pryor</t>
  </si>
  <si>
    <t>Brook's Mews</t>
  </si>
  <si>
    <t>Brittny</t>
  </si>
  <si>
    <t>Whitney</t>
  </si>
  <si>
    <t>Brook's Yard</t>
  </si>
  <si>
    <t>Mindrum</t>
  </si>
  <si>
    <t>Celestine</t>
  </si>
  <si>
    <t>Brookscroft Road</t>
  </si>
  <si>
    <t>South Molton</t>
  </si>
  <si>
    <t>Sheryll</t>
  </si>
  <si>
    <t>Wheeler</t>
  </si>
  <si>
    <t>Broomfield</t>
  </si>
  <si>
    <t>Cleator</t>
  </si>
  <si>
    <t>Florentino</t>
  </si>
  <si>
    <t>Woodson</t>
  </si>
  <si>
    <t>Broomsleigh Street</t>
  </si>
  <si>
    <t>Rupert</t>
  </si>
  <si>
    <t>Braun</t>
  </si>
  <si>
    <t>Broughton Road</t>
  </si>
  <si>
    <t>Hampshire</t>
  </si>
  <si>
    <t>Rufus</t>
  </si>
  <si>
    <t>Landry</t>
  </si>
  <si>
    <t>Brownfield Street</t>
  </si>
  <si>
    <t>Jerlene</t>
  </si>
  <si>
    <t>Haas</t>
  </si>
  <si>
    <t>Atherstone</t>
  </si>
  <si>
    <t>Jasmine</t>
  </si>
  <si>
    <t>Barron</t>
  </si>
  <si>
    <t>Browning Place</t>
  </si>
  <si>
    <t>Fleetwood</t>
  </si>
  <si>
    <t>Avery</t>
  </si>
  <si>
    <t>Carroll</t>
  </si>
  <si>
    <t>Browns Lane</t>
  </si>
  <si>
    <t>Crowthorne</t>
  </si>
  <si>
    <t>Donovan</t>
  </si>
  <si>
    <t>Browns Road</t>
  </si>
  <si>
    <t>Irvine</t>
  </si>
  <si>
    <t>Orlando</t>
  </si>
  <si>
    <t>Shelton</t>
  </si>
  <si>
    <t>Brunel Rd</t>
  </si>
  <si>
    <t>Gatwick</t>
  </si>
  <si>
    <t>Hunter</t>
  </si>
  <si>
    <t>Hubbard</t>
  </si>
  <si>
    <t>Hayle</t>
  </si>
  <si>
    <t>Donnie</t>
  </si>
  <si>
    <t>Langston</t>
  </si>
  <si>
    <t>Brunel Walk</t>
  </si>
  <si>
    <t>Milford</t>
  </si>
  <si>
    <t>Couch</t>
  </si>
  <si>
    <t>Brunner Close</t>
  </si>
  <si>
    <t>Orpington</t>
  </si>
  <si>
    <t>Renae</t>
  </si>
  <si>
    <t>Brunswick Crescent</t>
  </si>
  <si>
    <t>Dinah</t>
  </si>
  <si>
    <t>Dunlap</t>
  </si>
  <si>
    <t>Brunton Place</t>
  </si>
  <si>
    <t>Tyrone</t>
  </si>
  <si>
    <t>Brunton's Place</t>
  </si>
  <si>
    <t>Brian</t>
  </si>
  <si>
    <t>Lott</t>
  </si>
  <si>
    <t>Vogel</t>
  </si>
  <si>
    <t>Bruton Way</t>
  </si>
  <si>
    <t>Devin</t>
  </si>
  <si>
    <t>Forbes</t>
  </si>
  <si>
    <t>Bryant Street</t>
  </si>
  <si>
    <t>Carolyn</t>
  </si>
  <si>
    <t>Medrano</t>
  </si>
  <si>
    <t>Brycedale Crescent</t>
  </si>
  <si>
    <t>Lampeter</t>
  </si>
  <si>
    <t>Wilber</t>
  </si>
  <si>
    <t>Bower</t>
  </si>
  <si>
    <t>Leandra</t>
  </si>
  <si>
    <t>Bryn Towy</t>
  </si>
  <si>
    <t>Earlston</t>
  </si>
  <si>
    <t>Cathey</t>
  </si>
  <si>
    <t>Brynmaer Road</t>
  </si>
  <si>
    <t>Westbury-On-Severn</t>
  </si>
  <si>
    <t>Renaldo</t>
  </si>
  <si>
    <t>Bryony Road</t>
  </si>
  <si>
    <t>Accrington</t>
  </si>
  <si>
    <t>Carter</t>
  </si>
  <si>
    <t>Yeager</t>
  </si>
  <si>
    <t>Buccleugh Road</t>
  </si>
  <si>
    <t>Dickey</t>
  </si>
  <si>
    <t>Dorothea</t>
  </si>
  <si>
    <t>Sheridan</t>
  </si>
  <si>
    <t>Buckingham Avenue</t>
  </si>
  <si>
    <t>Angella</t>
  </si>
  <si>
    <t>Buckingham Market</t>
  </si>
  <si>
    <t>Shana</t>
  </si>
  <si>
    <t>Day</t>
  </si>
  <si>
    <t>Buckingham Palace</t>
  </si>
  <si>
    <t>Niesha</t>
  </si>
  <si>
    <t>Holliday</t>
  </si>
  <si>
    <t>Buckleigh Avenue</t>
  </si>
  <si>
    <t>Johana</t>
  </si>
  <si>
    <t>Buckley Road</t>
  </si>
  <si>
    <t>Laurene</t>
  </si>
  <si>
    <t>Buckton Street</t>
  </si>
  <si>
    <t>Knapp</t>
  </si>
  <si>
    <t>Budge Row</t>
  </si>
  <si>
    <t>Midlothian</t>
  </si>
  <si>
    <t>Vito</t>
  </si>
  <si>
    <t>Gomez</t>
  </si>
  <si>
    <t>Bulinga Street</t>
  </si>
  <si>
    <t>April</t>
  </si>
  <si>
    <t>Hunt</t>
  </si>
  <si>
    <t>Bull Inn</t>
  </si>
  <si>
    <t>Dromore</t>
  </si>
  <si>
    <t>Allen</t>
  </si>
  <si>
    <t>Bullens Road</t>
  </si>
  <si>
    <t>Elland</t>
  </si>
  <si>
    <t>Gary</t>
  </si>
  <si>
    <t>Debrah</t>
  </si>
  <si>
    <t>Bulling Court</t>
  </si>
  <si>
    <t>Edenbridge</t>
  </si>
  <si>
    <t>Jeannette</t>
  </si>
  <si>
    <t>Armstrong</t>
  </si>
  <si>
    <t>Bull's Head</t>
  </si>
  <si>
    <t>Hermina</t>
  </si>
  <si>
    <t>Vann</t>
  </si>
  <si>
    <t>Bulstrode Street</t>
  </si>
  <si>
    <t>Monmouth</t>
  </si>
  <si>
    <t>Bennie</t>
  </si>
  <si>
    <t>Dodd</t>
  </si>
  <si>
    <t>Burcham Street</t>
  </si>
  <si>
    <t>Hessle</t>
  </si>
  <si>
    <t>Chance</t>
  </si>
  <si>
    <t>Le</t>
  </si>
  <si>
    <t>Burden Street</t>
  </si>
  <si>
    <t>Aberdeenshire</t>
  </si>
  <si>
    <t>Turner</t>
  </si>
  <si>
    <t>Burdett Mews</t>
  </si>
  <si>
    <t>Dylan</t>
  </si>
  <si>
    <t>Burdett Place</t>
  </si>
  <si>
    <t>Emsworth</t>
  </si>
  <si>
    <t>Junko</t>
  </si>
  <si>
    <t>Bond</t>
  </si>
  <si>
    <t>Pathhead</t>
  </si>
  <si>
    <t>Castro</t>
  </si>
  <si>
    <t>Burford Gardens</t>
  </si>
  <si>
    <t>Stroud</t>
  </si>
  <si>
    <t>Theo</t>
  </si>
  <si>
    <t>Burford Walk</t>
  </si>
  <si>
    <t>Sudbury</t>
  </si>
  <si>
    <t>Dorian</t>
  </si>
  <si>
    <t>Burgers Place</t>
  </si>
  <si>
    <t>Keene</t>
  </si>
  <si>
    <t>Sandringham</t>
  </si>
  <si>
    <t>Kenisha</t>
  </si>
  <si>
    <t>Reeves</t>
  </si>
  <si>
    <t>Burghley Terrace</t>
  </si>
  <si>
    <t>Grover</t>
  </si>
  <si>
    <t>Corley</t>
  </si>
  <si>
    <t>Burland Road</t>
  </si>
  <si>
    <t>Danial</t>
  </si>
  <si>
    <t>Howell</t>
  </si>
  <si>
    <t>Burleigh Court</t>
  </si>
  <si>
    <t>Budleigh Salterton</t>
  </si>
  <si>
    <t>Joesph</t>
  </si>
  <si>
    <t>Childress</t>
  </si>
  <si>
    <t>Burleigh Parade</t>
  </si>
  <si>
    <t>Malpas</t>
  </si>
  <si>
    <t>Berenice</t>
  </si>
  <si>
    <t>Burlington Buildings</t>
  </si>
  <si>
    <t>Billingshurst</t>
  </si>
  <si>
    <t>TS</t>
  </si>
  <si>
    <t>Burlington Place</t>
  </si>
  <si>
    <t>Llangefni</t>
  </si>
  <si>
    <t>Delma</t>
  </si>
  <si>
    <t>Burnell Walk</t>
  </si>
  <si>
    <t>Crieff</t>
  </si>
  <si>
    <t>Rudy</t>
  </si>
  <si>
    <t>Burntwood Terrace</t>
  </si>
  <si>
    <t>Belford</t>
  </si>
  <si>
    <t>MK</t>
  </si>
  <si>
    <t>Marry</t>
  </si>
  <si>
    <t>Burrells Wharf</t>
  </si>
  <si>
    <t>Micki</t>
  </si>
  <si>
    <t>Mcginnis</t>
  </si>
  <si>
    <t>Burslem Street</t>
  </si>
  <si>
    <t>Lashaun</t>
  </si>
  <si>
    <t>Looney</t>
  </si>
  <si>
    <t>Burtts Wharf</t>
  </si>
  <si>
    <t>Northallerton</t>
  </si>
  <si>
    <t>Easley</t>
  </si>
  <si>
    <t>Bushey Down</t>
  </si>
  <si>
    <t>South Petherton</t>
  </si>
  <si>
    <t>Duane</t>
  </si>
  <si>
    <t>Vigil</t>
  </si>
  <si>
    <t>Bushey Hill</t>
  </si>
  <si>
    <t>Llanfairpwllgwyngyll</t>
  </si>
  <si>
    <t>Kristen</t>
  </si>
  <si>
    <t>Sweet</t>
  </si>
  <si>
    <t>Jame</t>
  </si>
  <si>
    <t>Gee</t>
  </si>
  <si>
    <t>Bushy Square</t>
  </si>
  <si>
    <t>Alberto</t>
  </si>
  <si>
    <t>George</t>
  </si>
  <si>
    <t>Butcher Road</t>
  </si>
  <si>
    <t>Deandra</t>
  </si>
  <si>
    <t>Butchers Lane</t>
  </si>
  <si>
    <t>Sandhurst</t>
  </si>
  <si>
    <t>Alex</t>
  </si>
  <si>
    <t>Flores</t>
  </si>
  <si>
    <t>Butchers Road</t>
  </si>
  <si>
    <t>Octavio</t>
  </si>
  <si>
    <t>Collins</t>
  </si>
  <si>
    <t>Butchers Row</t>
  </si>
  <si>
    <t>Bordon</t>
  </si>
  <si>
    <t>Butler Terrace</t>
  </si>
  <si>
    <t>Aughnacloy</t>
  </si>
  <si>
    <t>Mable</t>
  </si>
  <si>
    <t>Rankin</t>
  </si>
  <si>
    <t>Buttermere Close</t>
  </si>
  <si>
    <t>Walkerburn</t>
  </si>
  <si>
    <t>Ferdinand</t>
  </si>
  <si>
    <t>Crabtree</t>
  </si>
  <si>
    <t>Buxton Street</t>
  </si>
  <si>
    <t>Lochwinnoch</t>
  </si>
  <si>
    <t>Vannessa</t>
  </si>
  <si>
    <t>Mathis</t>
  </si>
  <si>
    <t>Byam Street</t>
  </si>
  <si>
    <t>Dollar</t>
  </si>
  <si>
    <t>Bywell Place</t>
  </si>
  <si>
    <t>SO</t>
  </si>
  <si>
    <t>Wagner</t>
  </si>
  <si>
    <t>Caddington Road</t>
  </si>
  <si>
    <t>Andera</t>
  </si>
  <si>
    <t>Barber</t>
  </si>
  <si>
    <t>Cage Lane</t>
  </si>
  <si>
    <t>Holywood</t>
  </si>
  <si>
    <t>Maya</t>
  </si>
  <si>
    <t>Randolph</t>
  </si>
  <si>
    <t>Cairn Avenue</t>
  </si>
  <si>
    <t>Alton</t>
  </si>
  <si>
    <t>CA</t>
  </si>
  <si>
    <t>Marshall</t>
  </si>
  <si>
    <t>Hackett</t>
  </si>
  <si>
    <t>Cairns Road</t>
  </si>
  <si>
    <t>Dunoon</t>
  </si>
  <si>
    <t>Caistor Park</t>
  </si>
  <si>
    <t>Caithness Road</t>
  </si>
  <si>
    <t>Mcneill</t>
  </si>
  <si>
    <t>Caldecot Road</t>
  </si>
  <si>
    <t>Ullapool</t>
  </si>
  <si>
    <t>Shaunna</t>
  </si>
  <si>
    <t>Caldwell Terrace</t>
  </si>
  <si>
    <t>Isle Of Barra</t>
  </si>
  <si>
    <t>Nathan</t>
  </si>
  <si>
    <t>Cates</t>
  </si>
  <si>
    <t>Caletock Way</t>
  </si>
  <si>
    <t>Callcott Street</t>
  </si>
  <si>
    <t>Calvin Street</t>
  </si>
  <si>
    <t>Iver</t>
  </si>
  <si>
    <t>Sonja</t>
  </si>
  <si>
    <t>Ventnor</t>
  </si>
  <si>
    <t>Gail</t>
  </si>
  <si>
    <t>Camberwell Arms</t>
  </si>
  <si>
    <t>Niki</t>
  </si>
  <si>
    <t>Camberwell Grammar</t>
  </si>
  <si>
    <t>Bucknell</t>
  </si>
  <si>
    <t>Anitra</t>
  </si>
  <si>
    <t>Singh</t>
  </si>
  <si>
    <t>Camberwell House</t>
  </si>
  <si>
    <t>Nottinghamshire</t>
  </si>
  <si>
    <t>Penelope</t>
  </si>
  <si>
    <t>Steele</t>
  </si>
  <si>
    <t>Cambrian Green</t>
  </si>
  <si>
    <t>Gardner</t>
  </si>
  <si>
    <t>Cambridge Green</t>
  </si>
  <si>
    <t>Donnell</t>
  </si>
  <si>
    <t>Horn</t>
  </si>
  <si>
    <t>Cambridge Place</t>
  </si>
  <si>
    <t>Lavern</t>
  </si>
  <si>
    <t>West</t>
  </si>
  <si>
    <t>Camden Alms</t>
  </si>
  <si>
    <t>Stanford-Le-Hope</t>
  </si>
  <si>
    <t>Viki</t>
  </si>
  <si>
    <t>Leon</t>
  </si>
  <si>
    <t>Camden Almshouse</t>
  </si>
  <si>
    <t>Magherafelt</t>
  </si>
  <si>
    <t>Cornelius</t>
  </si>
  <si>
    <t>Camden Avenue</t>
  </si>
  <si>
    <t>Tyron</t>
  </si>
  <si>
    <t>Katz</t>
  </si>
  <si>
    <t>Camden Court</t>
  </si>
  <si>
    <t>Bridgend</t>
  </si>
  <si>
    <t>Sharron</t>
  </si>
  <si>
    <t>Camden Gardens</t>
  </si>
  <si>
    <t>Cobham</t>
  </si>
  <si>
    <t>Shaunte</t>
  </si>
  <si>
    <t>Camden Girls</t>
  </si>
  <si>
    <t>Glogue</t>
  </si>
  <si>
    <t>Camden High</t>
  </si>
  <si>
    <t>Cannon</t>
  </si>
  <si>
    <t>Newmarket</t>
  </si>
  <si>
    <t>Steven</t>
  </si>
  <si>
    <t>Camden Park</t>
  </si>
  <si>
    <t>Fort Augustus</t>
  </si>
  <si>
    <t>Kerstin</t>
  </si>
  <si>
    <t>Sharp</t>
  </si>
  <si>
    <t>Campion Place</t>
  </si>
  <si>
    <t>Beckermet</t>
  </si>
  <si>
    <t>Campshill PlACE</t>
  </si>
  <si>
    <t>Ballynahinch</t>
  </si>
  <si>
    <t>Paulita</t>
  </si>
  <si>
    <t>Canada Road</t>
  </si>
  <si>
    <t>Ludlow</t>
  </si>
  <si>
    <t>Greenwood</t>
  </si>
  <si>
    <t>Shifnal</t>
  </si>
  <si>
    <t>Cedric</t>
  </si>
  <si>
    <t>Canadian Avenue</t>
  </si>
  <si>
    <t>Berriedale</t>
  </si>
  <si>
    <t>Edgar</t>
  </si>
  <si>
    <t>Holley</t>
  </si>
  <si>
    <t>Canal Place</t>
  </si>
  <si>
    <t>Perthshire</t>
  </si>
  <si>
    <t>Weiss</t>
  </si>
  <si>
    <t>Canal Street</t>
  </si>
  <si>
    <t>Ebbw Vale</t>
  </si>
  <si>
    <t>Alberta</t>
  </si>
  <si>
    <t>Dewitt</t>
  </si>
  <si>
    <t>Canal Walk</t>
  </si>
  <si>
    <t>Robbins</t>
  </si>
  <si>
    <t>Candahar Road</t>
  </si>
  <si>
    <t>Dorthea</t>
  </si>
  <si>
    <t>Masters</t>
  </si>
  <si>
    <t>Brynteg</t>
  </si>
  <si>
    <t>Pollock</t>
  </si>
  <si>
    <t>Cann Hall</t>
  </si>
  <si>
    <t>Wilmer</t>
  </si>
  <si>
    <t>Canning Cross</t>
  </si>
  <si>
    <t>Theron</t>
  </si>
  <si>
    <t>Canning Pass</t>
  </si>
  <si>
    <t>Withernsea</t>
  </si>
  <si>
    <t>Claire</t>
  </si>
  <si>
    <t>Canningham Place</t>
  </si>
  <si>
    <t>Kinlochleven</t>
  </si>
  <si>
    <t>Chery</t>
  </si>
  <si>
    <t>Swenson</t>
  </si>
  <si>
    <t>Cannon Close</t>
  </si>
  <si>
    <t>Larne</t>
  </si>
  <si>
    <t>Brigitte</t>
  </si>
  <si>
    <t>Cannon Road</t>
  </si>
  <si>
    <t>Dalry</t>
  </si>
  <si>
    <t>Ivette</t>
  </si>
  <si>
    <t>Belcher</t>
  </si>
  <si>
    <t>Cannon Street</t>
  </si>
  <si>
    <t>Bishopton</t>
  </si>
  <si>
    <t>Marvel</t>
  </si>
  <si>
    <t>Shearer</t>
  </si>
  <si>
    <t>Thornton-Cleveleys</t>
  </si>
  <si>
    <t>Ramiro</t>
  </si>
  <si>
    <t>Starr</t>
  </si>
  <si>
    <t>Cannons Place</t>
  </si>
  <si>
    <t>Spalding</t>
  </si>
  <si>
    <t>Canon Alley</t>
  </si>
  <si>
    <t>Canonbury Crescent</t>
  </si>
  <si>
    <t>Ardgay</t>
  </si>
  <si>
    <t>Colton</t>
  </si>
  <si>
    <t>Canonbury Terrace</t>
  </si>
  <si>
    <t>Felice</t>
  </si>
  <si>
    <t>Valentine</t>
  </si>
  <si>
    <t>Canonbury Villas</t>
  </si>
  <si>
    <t>Hertford</t>
  </si>
  <si>
    <t>Terese</t>
  </si>
  <si>
    <t>Hadley</t>
  </si>
  <si>
    <t>Canterbury Crescent</t>
  </si>
  <si>
    <t>Sandwich</t>
  </si>
  <si>
    <t>Hickey</t>
  </si>
  <si>
    <t>Canterbury Grove</t>
  </si>
  <si>
    <t>Monty</t>
  </si>
  <si>
    <t>Canterbury Place</t>
  </si>
  <si>
    <t>Llanon</t>
  </si>
  <si>
    <t>Damion</t>
  </si>
  <si>
    <t>Canterbury Row</t>
  </si>
  <si>
    <t>Moreton-In-Marsh</t>
  </si>
  <si>
    <t>Bernice</t>
  </si>
  <si>
    <t>Gorman</t>
  </si>
  <si>
    <t>Canute Gardens</t>
  </si>
  <si>
    <t>Galston</t>
  </si>
  <si>
    <t>Ali</t>
  </si>
  <si>
    <t>Gill</t>
  </si>
  <si>
    <t>Capeners Close</t>
  </si>
  <si>
    <t>Llanfyrnach</t>
  </si>
  <si>
    <t>Vanessa</t>
  </si>
  <si>
    <t>Caple Road</t>
  </si>
  <si>
    <t>Rutha</t>
  </si>
  <si>
    <t>Dickens</t>
  </si>
  <si>
    <t>Capstan Way</t>
  </si>
  <si>
    <t>Reigate</t>
  </si>
  <si>
    <t>Jessenia</t>
  </si>
  <si>
    <t>Hand</t>
  </si>
  <si>
    <t>Caravel Mews</t>
  </si>
  <si>
    <t>Langport</t>
  </si>
  <si>
    <t>Lilia</t>
  </si>
  <si>
    <t>Carbery Avenue</t>
  </si>
  <si>
    <t>Knaresborough</t>
  </si>
  <si>
    <t>Cardale Street</t>
  </si>
  <si>
    <t>Biggleswade</t>
  </si>
  <si>
    <t>Tanya</t>
  </si>
  <si>
    <t>Archer</t>
  </si>
  <si>
    <t>Cardiff Street</t>
  </si>
  <si>
    <t>Much Wenlock</t>
  </si>
  <si>
    <t>Hairston</t>
  </si>
  <si>
    <t>Cargill Road</t>
  </si>
  <si>
    <t>Mellisa</t>
  </si>
  <si>
    <t>Beasley</t>
  </si>
  <si>
    <t>Carleton Gdns</t>
  </si>
  <si>
    <t>Carleton Road</t>
  </si>
  <si>
    <t>Booker</t>
  </si>
  <si>
    <t>Carlile Close</t>
  </si>
  <si>
    <t>Callander</t>
  </si>
  <si>
    <t>Thanh</t>
  </si>
  <si>
    <t>Carline Court</t>
  </si>
  <si>
    <t>Shad</t>
  </si>
  <si>
    <t>Hathaway</t>
  </si>
  <si>
    <t>Carling's Row</t>
  </si>
  <si>
    <t>Lossiemouth</t>
  </si>
  <si>
    <t>Levi</t>
  </si>
  <si>
    <t>Ransom</t>
  </si>
  <si>
    <t>Carlisle Way</t>
  </si>
  <si>
    <t>Corrour</t>
  </si>
  <si>
    <t>China</t>
  </si>
  <si>
    <t>Bowers</t>
  </si>
  <si>
    <t>Carlton Vale</t>
  </si>
  <si>
    <t>Deal</t>
  </si>
  <si>
    <t>Jules</t>
  </si>
  <si>
    <t>Morrow</t>
  </si>
  <si>
    <t>Carlton Villas</t>
  </si>
  <si>
    <t>Newquay</t>
  </si>
  <si>
    <t>Tiffaney</t>
  </si>
  <si>
    <t>Carlyle Pl</t>
  </si>
  <si>
    <t>Reda</t>
  </si>
  <si>
    <t>Carlyle Road</t>
  </si>
  <si>
    <t>Llandysul</t>
  </si>
  <si>
    <t>Brendon</t>
  </si>
  <si>
    <t>Roach</t>
  </si>
  <si>
    <t>Carmichael Road</t>
  </si>
  <si>
    <t>Ellie</t>
  </si>
  <si>
    <t>Ames</t>
  </si>
  <si>
    <t>Carnaby Market</t>
  </si>
  <si>
    <t>Prestwick</t>
  </si>
  <si>
    <t>Ursula</t>
  </si>
  <si>
    <t>Donnelly</t>
  </si>
  <si>
    <t>Carnac Street</t>
  </si>
  <si>
    <t>Patrick</t>
  </si>
  <si>
    <t>Ouellette</t>
  </si>
  <si>
    <t>Caroline Close</t>
  </si>
  <si>
    <t>Seaton</t>
  </si>
  <si>
    <t>Jonathon</t>
  </si>
  <si>
    <t>Watts</t>
  </si>
  <si>
    <t>Carr Road</t>
  </si>
  <si>
    <t>Woodbridge</t>
  </si>
  <si>
    <t>Chung</t>
  </si>
  <si>
    <t>Keller</t>
  </si>
  <si>
    <t>Carrick Gardens</t>
  </si>
  <si>
    <t>Clement</t>
  </si>
  <si>
    <t>Carrington Place</t>
  </si>
  <si>
    <t>Eugene</t>
  </si>
  <si>
    <t>Hollis</t>
  </si>
  <si>
    <t>Carron CLOsE</t>
  </si>
  <si>
    <t>Newcastle Emlyn</t>
  </si>
  <si>
    <t>Helton</t>
  </si>
  <si>
    <t>Carroun Road</t>
  </si>
  <si>
    <t>Balerno</t>
  </si>
  <si>
    <t>Mel</t>
  </si>
  <si>
    <t>Carthew Road</t>
  </si>
  <si>
    <t>Lonnie</t>
  </si>
  <si>
    <t>Mcknight</t>
  </si>
  <si>
    <t>Cartwright Way</t>
  </si>
  <si>
    <t>Ethan</t>
  </si>
  <si>
    <t>Maldonado</t>
  </si>
  <si>
    <t>Carver Road</t>
  </si>
  <si>
    <t>Somer</t>
  </si>
  <si>
    <t>Lockwood</t>
  </si>
  <si>
    <t>Caryle Terrace</t>
  </si>
  <si>
    <t>Morpeth</t>
  </si>
  <si>
    <t>Cashers Grounds</t>
  </si>
  <si>
    <t>Bury</t>
  </si>
  <si>
    <t>Huey</t>
  </si>
  <si>
    <t>Casimir Road</t>
  </si>
  <si>
    <t>Saltash</t>
  </si>
  <si>
    <t>Heide</t>
  </si>
  <si>
    <t>Simon</t>
  </si>
  <si>
    <t>Casslee Road</t>
  </si>
  <si>
    <t>Castle Douglas</t>
  </si>
  <si>
    <t>Cook</t>
  </si>
  <si>
    <t>Castalia Street</t>
  </si>
  <si>
    <t>Varner</t>
  </si>
  <si>
    <t>Castello Avenue</t>
  </si>
  <si>
    <t>Steyning</t>
  </si>
  <si>
    <t>Cindi</t>
  </si>
  <si>
    <t>Hanson</t>
  </si>
  <si>
    <t>Castelnau Mansions</t>
  </si>
  <si>
    <t>Fort William</t>
  </si>
  <si>
    <t>Donella</t>
  </si>
  <si>
    <t>Nelson</t>
  </si>
  <si>
    <t>Caster Street</t>
  </si>
  <si>
    <t>Jenette</t>
  </si>
  <si>
    <t>Castle Court</t>
  </si>
  <si>
    <t>Tiana</t>
  </si>
  <si>
    <t>Castle Mews</t>
  </si>
  <si>
    <t>Isle Of North Uist</t>
  </si>
  <si>
    <t>Agnus</t>
  </si>
  <si>
    <t>Thorpe</t>
  </si>
  <si>
    <t>Tyne And Wear</t>
  </si>
  <si>
    <t>Castlebar Park</t>
  </si>
  <si>
    <t>Bourne</t>
  </si>
  <si>
    <t>PE</t>
  </si>
  <si>
    <t>Eulah</t>
  </si>
  <si>
    <t>Kauffman</t>
  </si>
  <si>
    <t>Castles Buildings</t>
  </si>
  <si>
    <t>Lesia</t>
  </si>
  <si>
    <t>Marin</t>
  </si>
  <si>
    <t>Castlewood Drive</t>
  </si>
  <si>
    <t>Francis</t>
  </si>
  <si>
    <t>Caterham Road</t>
  </si>
  <si>
    <t>Leroy</t>
  </si>
  <si>
    <t>Ramos</t>
  </si>
  <si>
    <t>Cathcart Road</t>
  </si>
  <si>
    <t>Oakham</t>
  </si>
  <si>
    <t>Abe</t>
  </si>
  <si>
    <t>Catherine Court</t>
  </si>
  <si>
    <t>Taunton</t>
  </si>
  <si>
    <t>Roseline</t>
  </si>
  <si>
    <t>Cathles Road</t>
  </si>
  <si>
    <t>Carterton</t>
  </si>
  <si>
    <t>Bessie</t>
  </si>
  <si>
    <t>Porter</t>
  </si>
  <si>
    <t>Cato Road</t>
  </si>
  <si>
    <t>Hester</t>
  </si>
  <si>
    <t>Cator Road</t>
  </si>
  <si>
    <t>Sandbach</t>
  </si>
  <si>
    <t>Daly</t>
  </si>
  <si>
    <t>Cattle Market</t>
  </si>
  <si>
    <t>Hobbs</t>
  </si>
  <si>
    <t>Rocky</t>
  </si>
  <si>
    <t>Catton Street</t>
  </si>
  <si>
    <t>Holyhead</t>
  </si>
  <si>
    <t>Jorgensen</t>
  </si>
  <si>
    <t>Caudwell Terrace</t>
  </si>
  <si>
    <t>Shawanda</t>
  </si>
  <si>
    <t>Nix</t>
  </si>
  <si>
    <t>Beccles</t>
  </si>
  <si>
    <t>Junior</t>
  </si>
  <si>
    <t>Solomon</t>
  </si>
  <si>
    <t>Cavendish Retreat</t>
  </si>
  <si>
    <t>Buckie</t>
  </si>
  <si>
    <t>Caversham Avenue</t>
  </si>
  <si>
    <t>Malcolm</t>
  </si>
  <si>
    <t>Obrien</t>
  </si>
  <si>
    <t>Caxton Street</t>
  </si>
  <si>
    <t>Yu</t>
  </si>
  <si>
    <t>Novak</t>
  </si>
  <si>
    <t>Cecil Court</t>
  </si>
  <si>
    <t>Winsford</t>
  </si>
  <si>
    <t>Cassey</t>
  </si>
  <si>
    <t>Cecile Park</t>
  </si>
  <si>
    <t>Mcclellan</t>
  </si>
  <si>
    <t>Cedarhurst Drive</t>
  </si>
  <si>
    <t>Cedarne Road</t>
  </si>
  <si>
    <t>Welwyn</t>
  </si>
  <si>
    <t>Lenard</t>
  </si>
  <si>
    <t>Cedars Row</t>
  </si>
  <si>
    <t>Wareham</t>
  </si>
  <si>
    <t>Seema</t>
  </si>
  <si>
    <t>Goldsmith</t>
  </si>
  <si>
    <t>Cedars Terrace</t>
  </si>
  <si>
    <t>Chu</t>
  </si>
  <si>
    <t>Tate</t>
  </si>
  <si>
    <t>Celandine Way</t>
  </si>
  <si>
    <t>Harris</t>
  </si>
  <si>
    <t>Patton</t>
  </si>
  <si>
    <t>Celbridge Mews</t>
  </si>
  <si>
    <t>Vickie</t>
  </si>
  <si>
    <t>Flint</t>
  </si>
  <si>
    <t>Cenacle Close</t>
  </si>
  <si>
    <t>Sonny</t>
  </si>
  <si>
    <t>Mclain</t>
  </si>
  <si>
    <t>Centurion Close</t>
  </si>
  <si>
    <t>Dunblane</t>
  </si>
  <si>
    <t>Shannon</t>
  </si>
  <si>
    <t>Ceylon Street</t>
  </si>
  <si>
    <t>Loanhead</t>
  </si>
  <si>
    <t>Deedra</t>
  </si>
  <si>
    <t>Snow</t>
  </si>
  <si>
    <t>Chaddesdon Villas</t>
  </si>
  <si>
    <t>Chadwick Street</t>
  </si>
  <si>
    <t>Lakia</t>
  </si>
  <si>
    <t>Chalet</t>
  </si>
  <si>
    <t>Zackary</t>
  </si>
  <si>
    <t>Chalet Estate</t>
  </si>
  <si>
    <t>Jere</t>
  </si>
  <si>
    <t>Prescott</t>
  </si>
  <si>
    <t>Chalford Road</t>
  </si>
  <si>
    <t>Hythe</t>
  </si>
  <si>
    <t>Madie</t>
  </si>
  <si>
    <t>Chalgrove Gardens</t>
  </si>
  <si>
    <t>Challissfield</t>
  </si>
  <si>
    <t>Kymberly</t>
  </si>
  <si>
    <t>Neff</t>
  </si>
  <si>
    <t>Challoner Street</t>
  </si>
  <si>
    <t>Melton Constable</t>
  </si>
  <si>
    <t>Monica</t>
  </si>
  <si>
    <t>Chalsey Road</t>
  </si>
  <si>
    <t>Gullane</t>
  </si>
  <si>
    <t>Jamie</t>
  </si>
  <si>
    <t>Sprague</t>
  </si>
  <si>
    <t>Chamber St</t>
  </si>
  <si>
    <t>Delisa</t>
  </si>
  <si>
    <t>Burton</t>
  </si>
  <si>
    <t>Chamber Street</t>
  </si>
  <si>
    <t>Ambleside</t>
  </si>
  <si>
    <t>WA</t>
  </si>
  <si>
    <t>Alfonzo</t>
  </si>
  <si>
    <t>Singer</t>
  </si>
  <si>
    <t>Chamberlens Garages</t>
  </si>
  <si>
    <t>Plockton</t>
  </si>
  <si>
    <t>Makeda</t>
  </si>
  <si>
    <t>Chambers Street</t>
  </si>
  <si>
    <t>Daventry</t>
  </si>
  <si>
    <t>Drake</t>
  </si>
  <si>
    <t>Chambord Street</t>
  </si>
  <si>
    <t>Wotton-Under-Edge</t>
  </si>
  <si>
    <t>Chang</t>
  </si>
  <si>
    <t>Dwyer</t>
  </si>
  <si>
    <t>Champion Street</t>
  </si>
  <si>
    <t>North Berwick</t>
  </si>
  <si>
    <t>Gibbons</t>
  </si>
  <si>
    <t>Chancellor Place</t>
  </si>
  <si>
    <t>Alesha</t>
  </si>
  <si>
    <t>Chancellors Wharf</t>
  </si>
  <si>
    <t>Ravenglass</t>
  </si>
  <si>
    <t>Aurora</t>
  </si>
  <si>
    <t>Chandos Street</t>
  </si>
  <si>
    <t>Kenton</t>
  </si>
  <si>
    <t>Chandos Way</t>
  </si>
  <si>
    <t>Biggar</t>
  </si>
  <si>
    <t>Mathew</t>
  </si>
  <si>
    <t>Daley</t>
  </si>
  <si>
    <t>Glenrothes</t>
  </si>
  <si>
    <t>Dickerson</t>
  </si>
  <si>
    <t>Chantrey Road</t>
  </si>
  <si>
    <t>Kaila</t>
  </si>
  <si>
    <t>Woodruff</t>
  </si>
  <si>
    <t>Chapel Alley</t>
  </si>
  <si>
    <t>Ladd</t>
  </si>
  <si>
    <t>mal</t>
  </si>
  <si>
    <t>Chapel House</t>
  </si>
  <si>
    <t>Steiner</t>
  </si>
  <si>
    <t>Chapel Row</t>
  </si>
  <si>
    <t>Jewell</t>
  </si>
  <si>
    <t>Kurtz</t>
  </si>
  <si>
    <t>Chapel Walk</t>
  </si>
  <si>
    <t>Ulceby</t>
  </si>
  <si>
    <t>Ava</t>
  </si>
  <si>
    <t>Dye</t>
  </si>
  <si>
    <t>Chapman Road</t>
  </si>
  <si>
    <t>Ora</t>
  </si>
  <si>
    <t>Whalen</t>
  </si>
  <si>
    <t>Chapterhouse Court</t>
  </si>
  <si>
    <t>Bambi</t>
  </si>
  <si>
    <t>Charldane Road</t>
  </si>
  <si>
    <t>Torrington</t>
  </si>
  <si>
    <t>Lawanna</t>
  </si>
  <si>
    <t>Charlecote Grove</t>
  </si>
  <si>
    <t>Tidworth</t>
  </si>
  <si>
    <t>Avila</t>
  </si>
  <si>
    <t>Charles Dickens</t>
  </si>
  <si>
    <t>Gwenn</t>
  </si>
  <si>
    <t>Charles Grinling</t>
  </si>
  <si>
    <t>Llanbedrgoch</t>
  </si>
  <si>
    <t>Kylee</t>
  </si>
  <si>
    <t>Charles Ii</t>
  </si>
  <si>
    <t>Bridport</t>
  </si>
  <si>
    <t>Gertude</t>
  </si>
  <si>
    <t>Phelps</t>
  </si>
  <si>
    <t>Charleswood Terrace</t>
  </si>
  <si>
    <t>Kasi</t>
  </si>
  <si>
    <t>Charlesworth Villas</t>
  </si>
  <si>
    <t>Joe</t>
  </si>
  <si>
    <t>Johnston</t>
  </si>
  <si>
    <t>Charlmont Road</t>
  </si>
  <si>
    <t>Waterlooville</t>
  </si>
  <si>
    <t>Ilse</t>
  </si>
  <si>
    <t>Charlotte Street</t>
  </si>
  <si>
    <t>Gaerwen</t>
  </si>
  <si>
    <t>Youngblood</t>
  </si>
  <si>
    <t>Charlwood Street</t>
  </si>
  <si>
    <t>Eyemouth</t>
  </si>
  <si>
    <t>Nielsen</t>
  </si>
  <si>
    <t>Charminster Road</t>
  </si>
  <si>
    <t>Branden</t>
  </si>
  <si>
    <t>Charnwood Drive</t>
  </si>
  <si>
    <t>Newtownards</t>
  </si>
  <si>
    <t>Wayne</t>
  </si>
  <si>
    <t>Malone</t>
  </si>
  <si>
    <t>Chatsworth Avenue</t>
  </si>
  <si>
    <t>Lilian</t>
  </si>
  <si>
    <t>Chelmsford Road</t>
  </si>
  <si>
    <t>Aberystwyth</t>
  </si>
  <si>
    <t>Webb</t>
  </si>
  <si>
    <t>Chelsea Cloisters</t>
  </si>
  <si>
    <t>Tod</t>
  </si>
  <si>
    <t>Farris</t>
  </si>
  <si>
    <t>Chelsea Harbour</t>
  </si>
  <si>
    <t>Concha</t>
  </si>
  <si>
    <t>Sorensen</t>
  </si>
  <si>
    <t>Chelsfield Green</t>
  </si>
  <si>
    <t>Michel</t>
  </si>
  <si>
    <t>Cheltenham Road</t>
  </si>
  <si>
    <t>Rebbeca</t>
  </si>
  <si>
    <t>Cheney Street</t>
  </si>
  <si>
    <t>Nigel</t>
  </si>
  <si>
    <t>Landers</t>
  </si>
  <si>
    <t>MALE</t>
  </si>
  <si>
    <t>Chenies Mews</t>
  </si>
  <si>
    <t>Mays</t>
  </si>
  <si>
    <t>Cheniston Gardens</t>
  </si>
  <si>
    <t>Lane</t>
  </si>
  <si>
    <t>Talbot</t>
  </si>
  <si>
    <t>Chequer Street</t>
  </si>
  <si>
    <t>Inverkeithing</t>
  </si>
  <si>
    <t>Chequer Yard</t>
  </si>
  <si>
    <t>Janise</t>
  </si>
  <si>
    <t>Mclean</t>
  </si>
  <si>
    <t>Cheries Villas</t>
  </si>
  <si>
    <t>Gavin</t>
  </si>
  <si>
    <t>Conway</t>
  </si>
  <si>
    <t>Cheriton Square</t>
  </si>
  <si>
    <t>Wallingford</t>
  </si>
  <si>
    <t>Horacio</t>
  </si>
  <si>
    <t>Mims</t>
  </si>
  <si>
    <t>Letitia</t>
  </si>
  <si>
    <t>Cherrylands Close</t>
  </si>
  <si>
    <t>Luba</t>
  </si>
  <si>
    <t>Hanna</t>
  </si>
  <si>
    <t>Cherrywood Close</t>
  </si>
  <si>
    <t>Rosella</t>
  </si>
  <si>
    <t>Kemp</t>
  </si>
  <si>
    <t>Chertsey Road</t>
  </si>
  <si>
    <t>Irvin</t>
  </si>
  <si>
    <t>Cherwood Street</t>
  </si>
  <si>
    <t>Tory</t>
  </si>
  <si>
    <t>Judd</t>
  </si>
  <si>
    <t>Chesham Close</t>
  </si>
  <si>
    <t>Paisley</t>
  </si>
  <si>
    <t>Edwardo</t>
  </si>
  <si>
    <t>Camacho</t>
  </si>
  <si>
    <t>Chesnut Terrace</t>
  </si>
  <si>
    <t>Peoples</t>
  </si>
  <si>
    <t>Chesson Road</t>
  </si>
  <si>
    <t>Beaworthy</t>
  </si>
  <si>
    <t>Chester Cottages</t>
  </si>
  <si>
    <t>Roderick</t>
  </si>
  <si>
    <t>Chester Terrace</t>
  </si>
  <si>
    <t>Lyndhurst</t>
  </si>
  <si>
    <t>Lowe</t>
  </si>
  <si>
    <t>Chesterfield Grove</t>
  </si>
  <si>
    <t>Mindy</t>
  </si>
  <si>
    <t>Shultz</t>
  </si>
  <si>
    <t>Chestnut Rise</t>
  </si>
  <si>
    <t>Elaina</t>
  </si>
  <si>
    <t>Chetwynd Rd</t>
  </si>
  <si>
    <t>Lasswade</t>
  </si>
  <si>
    <t>Cheval Pl</t>
  </si>
  <si>
    <t>Katelin</t>
  </si>
  <si>
    <t>Ferreira</t>
  </si>
  <si>
    <t>Cheyne Gardens</t>
  </si>
  <si>
    <t>Cheyne Mews</t>
  </si>
  <si>
    <t>Logan</t>
  </si>
  <si>
    <t>Milligan</t>
  </si>
  <si>
    <t>Cheyne Place</t>
  </si>
  <si>
    <t>Whitlock</t>
  </si>
  <si>
    <t>Chichester Rents</t>
  </si>
  <si>
    <t>Catherin</t>
  </si>
  <si>
    <t>Bradshaw</t>
  </si>
  <si>
    <t>Chigwell Hill</t>
  </si>
  <si>
    <t>Halkirk</t>
  </si>
  <si>
    <t>Luther</t>
  </si>
  <si>
    <t>Childebert Road</t>
  </si>
  <si>
    <t>Truro</t>
  </si>
  <si>
    <t>Susannah</t>
  </si>
  <si>
    <t>Childeric Road</t>
  </si>
  <si>
    <t>Yuko</t>
  </si>
  <si>
    <t>Overton</t>
  </si>
  <si>
    <t>Childers Street</t>
  </si>
  <si>
    <t>Usk</t>
  </si>
  <si>
    <t>Broderick</t>
  </si>
  <si>
    <t>Cortez</t>
  </si>
  <si>
    <t>Childs Way</t>
  </si>
  <si>
    <t>Snodland</t>
  </si>
  <si>
    <t>Buckner</t>
  </si>
  <si>
    <t>Chillerton Road</t>
  </si>
  <si>
    <t>Shipley</t>
  </si>
  <si>
    <t>Ryton</t>
  </si>
  <si>
    <t>Edmundo</t>
  </si>
  <si>
    <t>Crowder</t>
  </si>
  <si>
    <t>Chiltern Court</t>
  </si>
  <si>
    <t>Cambridgeshire</t>
  </si>
  <si>
    <t>Mike</t>
  </si>
  <si>
    <t>Herring</t>
  </si>
  <si>
    <t>Chilton Avenue</t>
  </si>
  <si>
    <t>Parra</t>
  </si>
  <si>
    <t>Chilworth Mews</t>
  </si>
  <si>
    <t>Egremont</t>
  </si>
  <si>
    <t>Alonso</t>
  </si>
  <si>
    <t>Waddell</t>
  </si>
  <si>
    <t>China Hall</t>
  </si>
  <si>
    <t>Ely</t>
  </si>
  <si>
    <t>Aubrey</t>
  </si>
  <si>
    <t>Bishop</t>
  </si>
  <si>
    <t>Chingford Avenue</t>
  </si>
  <si>
    <t>Tunbridge Wells</t>
  </si>
  <si>
    <t>Chingford Road</t>
  </si>
  <si>
    <t>Lucille</t>
  </si>
  <si>
    <t>Brennan</t>
  </si>
  <si>
    <t>Chip Street</t>
  </si>
  <si>
    <t>Alecia</t>
  </si>
  <si>
    <t>Kimble</t>
  </si>
  <si>
    <t>Chippendale STREET</t>
  </si>
  <si>
    <t>Dawna</t>
  </si>
  <si>
    <t>Jacobsen</t>
  </si>
  <si>
    <t>Chippenham Mews</t>
  </si>
  <si>
    <t>Brockenhurst</t>
  </si>
  <si>
    <t>Cherri</t>
  </si>
  <si>
    <t>Chiswell Street</t>
  </si>
  <si>
    <t>Pencader</t>
  </si>
  <si>
    <t>Melvin</t>
  </si>
  <si>
    <t>Chiswick Quay</t>
  </si>
  <si>
    <t>Sedbergh</t>
  </si>
  <si>
    <t>Snyder</t>
  </si>
  <si>
    <t>Chiswick Staithe</t>
  </si>
  <si>
    <t>Longfield</t>
  </si>
  <si>
    <t>Terrence</t>
  </si>
  <si>
    <t>Chivers Road</t>
  </si>
  <si>
    <t>East Sussex</t>
  </si>
  <si>
    <t>Cholmeley Close</t>
  </si>
  <si>
    <t>Taynuilt</t>
  </si>
  <si>
    <t>Shandi</t>
  </si>
  <si>
    <t>Houser</t>
  </si>
  <si>
    <t>Cholmley Gardens</t>
  </si>
  <si>
    <t>Heriot</t>
  </si>
  <si>
    <t>Rhoda</t>
  </si>
  <si>
    <t>Chrisp Street</t>
  </si>
  <si>
    <t>Portrush</t>
  </si>
  <si>
    <t>Andres</t>
  </si>
  <si>
    <t>Torres</t>
  </si>
  <si>
    <t>Christ Church</t>
  </si>
  <si>
    <t>Barnetby</t>
  </si>
  <si>
    <t>EN</t>
  </si>
  <si>
    <t>Zula</t>
  </si>
  <si>
    <t>Park</t>
  </si>
  <si>
    <t>Christchurch Villas</t>
  </si>
  <si>
    <t>Braunton</t>
  </si>
  <si>
    <t>Aisha</t>
  </si>
  <si>
    <t>Sheppard</t>
  </si>
  <si>
    <t>Christian Street</t>
  </si>
  <si>
    <t>Kilgetty</t>
  </si>
  <si>
    <t>Christina Street</t>
  </si>
  <si>
    <t>Antonina</t>
  </si>
  <si>
    <t>Chryssel Road</t>
  </si>
  <si>
    <t>Rex</t>
  </si>
  <si>
    <t>Chryssoll Road</t>
  </si>
  <si>
    <t>Haslemere</t>
  </si>
  <si>
    <t>Hermila</t>
  </si>
  <si>
    <t>Telford</t>
  </si>
  <si>
    <t>Church</t>
  </si>
  <si>
    <t>Clarbeston Road</t>
  </si>
  <si>
    <t>Church Place</t>
  </si>
  <si>
    <t>Forsinard</t>
  </si>
  <si>
    <t>Churchbury Road</t>
  </si>
  <si>
    <t>Montrose</t>
  </si>
  <si>
    <t>Eddy</t>
  </si>
  <si>
    <t>Churchcroft Close</t>
  </si>
  <si>
    <t>Macduff</t>
  </si>
  <si>
    <t>Titus</t>
  </si>
  <si>
    <t>Cicada Road</t>
  </si>
  <si>
    <t>Dinas Powys</t>
  </si>
  <si>
    <t>Cicely Road</t>
  </si>
  <si>
    <t>Ongar</t>
  </si>
  <si>
    <t>Perez</t>
  </si>
  <si>
    <t>Cintra Park</t>
  </si>
  <si>
    <t>Corona</t>
  </si>
  <si>
    <t>Circus Road</t>
  </si>
  <si>
    <t>Cirencester Street</t>
  </si>
  <si>
    <t>Raleigh</t>
  </si>
  <si>
    <t>City Barracks</t>
  </si>
  <si>
    <t>Egan</t>
  </si>
  <si>
    <t>Clack Street</t>
  </si>
  <si>
    <t>Clapham Manor</t>
  </si>
  <si>
    <t>Linlithgow</t>
  </si>
  <si>
    <t>David</t>
  </si>
  <si>
    <t>Southport</t>
  </si>
  <si>
    <t>Nobuko</t>
  </si>
  <si>
    <t>Cantu</t>
  </si>
  <si>
    <t>Clapham Road</t>
  </si>
  <si>
    <t>Llanybydder</t>
  </si>
  <si>
    <t>Maryln</t>
  </si>
  <si>
    <t>Bellamy</t>
  </si>
  <si>
    <t>Clapham Terrace</t>
  </si>
  <si>
    <t>Chulmleigh</t>
  </si>
  <si>
    <t>Goldie</t>
  </si>
  <si>
    <t>Woodall</t>
  </si>
  <si>
    <t>Wisbech</t>
  </si>
  <si>
    <t>Garza</t>
  </si>
  <si>
    <t>male</t>
  </si>
  <si>
    <t>Claps Gate</t>
  </si>
  <si>
    <t>Francisca</t>
  </si>
  <si>
    <t>Knight</t>
  </si>
  <si>
    <t>Clapton Common</t>
  </si>
  <si>
    <t>Brenna</t>
  </si>
  <si>
    <t>Richey</t>
  </si>
  <si>
    <t>Clapton Sq</t>
  </si>
  <si>
    <t>Tyn-Y-Gongl</t>
  </si>
  <si>
    <t>Marjory</t>
  </si>
  <si>
    <t>Ibarra</t>
  </si>
  <si>
    <t>Clapton Square</t>
  </si>
  <si>
    <t>Salcombe</t>
  </si>
  <si>
    <t>Jerrold</t>
  </si>
  <si>
    <t>Clarelawn Avenue</t>
  </si>
  <si>
    <t>Llanfechain</t>
  </si>
  <si>
    <t>Earle</t>
  </si>
  <si>
    <t>Claremont Square</t>
  </si>
  <si>
    <t>Griffin</t>
  </si>
  <si>
    <t>Claremont Street</t>
  </si>
  <si>
    <t>Thornton Heath</t>
  </si>
  <si>
    <t>Redmond</t>
  </si>
  <si>
    <t>Clarence Farm</t>
  </si>
  <si>
    <t>Westerham</t>
  </si>
  <si>
    <t>Earl</t>
  </si>
  <si>
    <t>Benoit</t>
  </si>
  <si>
    <t>Clarence Road</t>
  </si>
  <si>
    <t>Jarrow</t>
  </si>
  <si>
    <t>Val</t>
  </si>
  <si>
    <t>Clarence Street</t>
  </si>
  <si>
    <t>Clarence Yard</t>
  </si>
  <si>
    <t>Newtown</t>
  </si>
  <si>
    <t>Jacquiline</t>
  </si>
  <si>
    <t>Clarendon Place</t>
  </si>
  <si>
    <t>Isaiah</t>
  </si>
  <si>
    <t>Brunson</t>
  </si>
  <si>
    <t>Clarendon Road</t>
  </si>
  <si>
    <t>Lyndon</t>
  </si>
  <si>
    <t>Hammond</t>
  </si>
  <si>
    <t>Clarkson Road</t>
  </si>
  <si>
    <t>Skegness</t>
  </si>
  <si>
    <t>Claude Street</t>
  </si>
  <si>
    <t>Alita</t>
  </si>
  <si>
    <t>Clave Street</t>
  </si>
  <si>
    <t>Loughton</t>
  </si>
  <si>
    <t>Madelaine</t>
  </si>
  <si>
    <t>Cummings</t>
  </si>
  <si>
    <t>Claybrook Rd</t>
  </si>
  <si>
    <t>Midhurst</t>
  </si>
  <si>
    <t>Monroe</t>
  </si>
  <si>
    <t>Claylands Road</t>
  </si>
  <si>
    <t>Katina</t>
  </si>
  <si>
    <t>Clayton Close</t>
  </si>
  <si>
    <t>Loyd</t>
  </si>
  <si>
    <t>Stubbs</t>
  </si>
  <si>
    <t>Clayton Street</t>
  </si>
  <si>
    <t>Mercedez</t>
  </si>
  <si>
    <t>Clearwater Terrace</t>
  </si>
  <si>
    <t>Sale</t>
  </si>
  <si>
    <t>Caleb</t>
  </si>
  <si>
    <t>Moore</t>
  </si>
  <si>
    <t>Clement's Inn</t>
  </si>
  <si>
    <t>Coffey</t>
  </si>
  <si>
    <t>Clements Yard</t>
  </si>
  <si>
    <t>Rory</t>
  </si>
  <si>
    <t>Thompson</t>
  </si>
  <si>
    <t>Clermont Place</t>
  </si>
  <si>
    <t>East Cowes</t>
  </si>
  <si>
    <t>Clevedon Row</t>
  </si>
  <si>
    <t>Anthony</t>
  </si>
  <si>
    <t>Bonner</t>
  </si>
  <si>
    <t>Cleveland Road</t>
  </si>
  <si>
    <t>Crandall</t>
  </si>
  <si>
    <t>Cleveley Close</t>
  </si>
  <si>
    <t>Swartz</t>
  </si>
  <si>
    <t>Port Talbot</t>
  </si>
  <si>
    <t>Herrera</t>
  </si>
  <si>
    <t>Clide Villas</t>
  </si>
  <si>
    <t>Mead</t>
  </si>
  <si>
    <t>Cliff Terrace</t>
  </si>
  <si>
    <t>Newnham</t>
  </si>
  <si>
    <t>Guerra</t>
  </si>
  <si>
    <t>Cliff Walk</t>
  </si>
  <si>
    <t>Schaefer</t>
  </si>
  <si>
    <t>Clifford Gardens</t>
  </si>
  <si>
    <t>Broughton-In-Furness</t>
  </si>
  <si>
    <t>Casey</t>
  </si>
  <si>
    <t>Campbell</t>
  </si>
  <si>
    <t>Clift Street</t>
  </si>
  <si>
    <t>Hamilton</t>
  </si>
  <si>
    <t>Vance</t>
  </si>
  <si>
    <t>Clifton Court</t>
  </si>
  <si>
    <t>Lasandra</t>
  </si>
  <si>
    <t>Grove</t>
  </si>
  <si>
    <t>Lemuel</t>
  </si>
  <si>
    <t>Pike</t>
  </si>
  <si>
    <t>Cline Road</t>
  </si>
  <si>
    <t>Stoke-Sub-Hamdon</t>
  </si>
  <si>
    <t>Bok</t>
  </si>
  <si>
    <t>Simms</t>
  </si>
  <si>
    <t>Clinton Road</t>
  </si>
  <si>
    <t>Narberth</t>
  </si>
  <si>
    <t>Florentina</t>
  </si>
  <si>
    <t>Workman</t>
  </si>
  <si>
    <t>Clissold Park</t>
  </si>
  <si>
    <t>Genna</t>
  </si>
  <si>
    <t>Vazquez</t>
  </si>
  <si>
    <t>Cloak Lane</t>
  </si>
  <si>
    <t>Wick</t>
  </si>
  <si>
    <t>Mcmahon</t>
  </si>
  <si>
    <t>Clockhouse Close</t>
  </si>
  <si>
    <t>Bourne End</t>
  </si>
  <si>
    <t>Shanae</t>
  </si>
  <si>
    <t>Vick</t>
  </si>
  <si>
    <t>Cloister Gardens</t>
  </si>
  <si>
    <t>Betchworth</t>
  </si>
  <si>
    <t>TD</t>
  </si>
  <si>
    <t>Estelle</t>
  </si>
  <si>
    <t>Mcgill</t>
  </si>
  <si>
    <t>Clonmell Road</t>
  </si>
  <si>
    <t>North Walsham</t>
  </si>
  <si>
    <t>Jamel</t>
  </si>
  <si>
    <t>Clorane Gardens</t>
  </si>
  <si>
    <t>Llangammarch Wells</t>
  </si>
  <si>
    <t>Haydee</t>
  </si>
  <si>
    <t>Clove Crescent</t>
  </si>
  <si>
    <t>Y Felinheli</t>
  </si>
  <si>
    <t>Elnora</t>
  </si>
  <si>
    <t>Clovelly Gardens</t>
  </si>
  <si>
    <t>Swanage</t>
  </si>
  <si>
    <t>Charline</t>
  </si>
  <si>
    <t>Saenz</t>
  </si>
  <si>
    <t>Clowders Road</t>
  </si>
  <si>
    <t>Buckfastleigh</t>
  </si>
  <si>
    <t>Rolland</t>
  </si>
  <si>
    <t>Clyde Place</t>
  </si>
  <si>
    <t>Nancy</t>
  </si>
  <si>
    <t>Riddle</t>
  </si>
  <si>
    <t>Clyde Terrace</t>
  </si>
  <si>
    <t>Janetta</t>
  </si>
  <si>
    <t>Greene</t>
  </si>
  <si>
    <t>Coats Cottages</t>
  </si>
  <si>
    <t>Redditch</t>
  </si>
  <si>
    <t>Valle</t>
  </si>
  <si>
    <t>Cobbetts Lane</t>
  </si>
  <si>
    <t>Ilford</t>
  </si>
  <si>
    <t>Leal</t>
  </si>
  <si>
    <t>Cobbold Road</t>
  </si>
  <si>
    <t>Todmorden</t>
  </si>
  <si>
    <t>Annamaria</t>
  </si>
  <si>
    <t>Williamson</t>
  </si>
  <si>
    <t>Cobden Street</t>
  </si>
  <si>
    <t>Downpatrick</t>
  </si>
  <si>
    <t>Rudolph</t>
  </si>
  <si>
    <t>Worley</t>
  </si>
  <si>
    <t>Cobham Place</t>
  </si>
  <si>
    <t>Cobham Row</t>
  </si>
  <si>
    <t>Eastleigh</t>
  </si>
  <si>
    <t>Sarah</t>
  </si>
  <si>
    <t>Oneal</t>
  </si>
  <si>
    <t>Coborn New</t>
  </si>
  <si>
    <t>Bonnyrigg</t>
  </si>
  <si>
    <t>Jimmy</t>
  </si>
  <si>
    <t>Darling</t>
  </si>
  <si>
    <t>Coborn Road</t>
  </si>
  <si>
    <t>Jonathan</t>
  </si>
  <si>
    <t>Coburg Close</t>
  </si>
  <si>
    <t>Alphonso</t>
  </si>
  <si>
    <t>Preston</t>
  </si>
  <si>
    <t>Coburg Court</t>
  </si>
  <si>
    <t>Tredegar</t>
  </si>
  <si>
    <t>Pittman</t>
  </si>
  <si>
    <t>Coburg Dwellings</t>
  </si>
  <si>
    <t>Fortrose</t>
  </si>
  <si>
    <t>Yolanda</t>
  </si>
  <si>
    <t>Noma</t>
  </si>
  <si>
    <t>Coburg Road</t>
  </si>
  <si>
    <t>Merri</t>
  </si>
  <si>
    <t>Geiger</t>
  </si>
  <si>
    <t>Coburg Terrace</t>
  </si>
  <si>
    <t>Blanch</t>
  </si>
  <si>
    <t>Flowers</t>
  </si>
  <si>
    <t>Cock and</t>
  </si>
  <si>
    <t>Cowbridge</t>
  </si>
  <si>
    <t>Freeman</t>
  </si>
  <si>
    <t>Cock Public</t>
  </si>
  <si>
    <t>Lymington</t>
  </si>
  <si>
    <t>Guillermo</t>
  </si>
  <si>
    <t>Dobson</t>
  </si>
  <si>
    <t>Cockerell Road</t>
  </si>
  <si>
    <t>Newton Abbot</t>
  </si>
  <si>
    <t>Goodwin</t>
  </si>
  <si>
    <t>Codling Close</t>
  </si>
  <si>
    <t>Paul</t>
  </si>
  <si>
    <t>Codrington Mews</t>
  </si>
  <si>
    <t>Valeri</t>
  </si>
  <si>
    <t>Cody Road</t>
  </si>
  <si>
    <t>East Linton</t>
  </si>
  <si>
    <t>Cisneros</t>
  </si>
  <si>
    <t>Coe Avenue</t>
  </si>
  <si>
    <t>Kanisha</t>
  </si>
  <si>
    <t>Coes Cottage</t>
  </si>
  <si>
    <t>Cyril</t>
  </si>
  <si>
    <t>Coity Road</t>
  </si>
  <si>
    <t>Gosport</t>
  </si>
  <si>
    <t>Cokers Lane</t>
  </si>
  <si>
    <t>Hockley</t>
  </si>
  <si>
    <t>Chuck</t>
  </si>
  <si>
    <t>Colas Mews</t>
  </si>
  <si>
    <t>Teague</t>
  </si>
  <si>
    <t>Colby Terrace</t>
  </si>
  <si>
    <t>Ivybridge</t>
  </si>
  <si>
    <t>Elder</t>
  </si>
  <si>
    <t>Colchester Street</t>
  </si>
  <si>
    <t>Gerda</t>
  </si>
  <si>
    <t>Coldbath Square</t>
  </si>
  <si>
    <t>Belkis</t>
  </si>
  <si>
    <t>Hopper</t>
  </si>
  <si>
    <t>Colegrove Road</t>
  </si>
  <si>
    <t>Bridgwater</t>
  </si>
  <si>
    <t>Stanton</t>
  </si>
  <si>
    <t>Coleherne Mews</t>
  </si>
  <si>
    <t>South Glamorgan</t>
  </si>
  <si>
    <t>Colehill Gdns</t>
  </si>
  <si>
    <t>Hastings</t>
  </si>
  <si>
    <t>Ted</t>
  </si>
  <si>
    <t>Coleraine Road</t>
  </si>
  <si>
    <t>Juliana</t>
  </si>
  <si>
    <t>Alvarado</t>
  </si>
  <si>
    <t>Coleridge Square</t>
  </si>
  <si>
    <t>Liskeard</t>
  </si>
  <si>
    <t>Rosanne</t>
  </si>
  <si>
    <t>Coles Terrace</t>
  </si>
  <si>
    <t>Kane</t>
  </si>
  <si>
    <t>Colestown Street</t>
  </si>
  <si>
    <t>Maybole</t>
  </si>
  <si>
    <t>Jocelyn</t>
  </si>
  <si>
    <t>Ponce</t>
  </si>
  <si>
    <t>Colina Road</t>
  </si>
  <si>
    <t>Christian</t>
  </si>
  <si>
    <t>Colindeep Gardens</t>
  </si>
  <si>
    <t>Bedlington</t>
  </si>
  <si>
    <t>Raguel</t>
  </si>
  <si>
    <t>Vernon</t>
  </si>
  <si>
    <t>Collamore Avenue</t>
  </si>
  <si>
    <t>Jenifer</t>
  </si>
  <si>
    <t>Atwood</t>
  </si>
  <si>
    <t>Collards Almshouses</t>
  </si>
  <si>
    <t>College Road</t>
  </si>
  <si>
    <t>Enola</t>
  </si>
  <si>
    <t>Collington St</t>
  </si>
  <si>
    <t>Parson</t>
  </si>
  <si>
    <t>Collington Street</t>
  </si>
  <si>
    <t>Sharpe</t>
  </si>
  <si>
    <t>Collingtree Road</t>
  </si>
  <si>
    <t>Stratford-Upon-Avon</t>
  </si>
  <si>
    <t>Tommie</t>
  </si>
  <si>
    <t>Collingwood Plc+F4393</t>
  </si>
  <si>
    <t>Baldock</t>
  </si>
  <si>
    <t>Wall</t>
  </si>
  <si>
    <t>Collins Road</t>
  </si>
  <si>
    <t>Shayne</t>
  </si>
  <si>
    <t>Devine</t>
  </si>
  <si>
    <t>Collins Square</t>
  </si>
  <si>
    <t>Jeff</t>
  </si>
  <si>
    <t>Ruardean</t>
  </si>
  <si>
    <t>Jeffers</t>
  </si>
  <si>
    <t>Collinson Street</t>
  </si>
  <si>
    <t>Maximo</t>
  </si>
  <si>
    <t>Sutton-In-Ashfield</t>
  </si>
  <si>
    <t>Gold</t>
  </si>
  <si>
    <t>Collyer Cottages</t>
  </si>
  <si>
    <t>Joaquin</t>
  </si>
  <si>
    <t>Mendoza</t>
  </si>
  <si>
    <t>Colmore Mews</t>
  </si>
  <si>
    <t>West Midlands</t>
  </si>
  <si>
    <t>Cline</t>
  </si>
  <si>
    <t>Colonial Chambers</t>
  </si>
  <si>
    <t>Thame</t>
  </si>
  <si>
    <t>Cecelia</t>
  </si>
  <si>
    <t>Walden</t>
  </si>
  <si>
    <t>Colonial House</t>
  </si>
  <si>
    <t>Wantage</t>
  </si>
  <si>
    <t>Marci</t>
  </si>
  <si>
    <t>Starks</t>
  </si>
  <si>
    <t>Colquhoun Place</t>
  </si>
  <si>
    <t>Colsterworth Road</t>
  </si>
  <si>
    <t>Herb</t>
  </si>
  <si>
    <t>Lyons</t>
  </si>
  <si>
    <t>m</t>
  </si>
  <si>
    <t>Colston Road</t>
  </si>
  <si>
    <t>Lupe</t>
  </si>
  <si>
    <t>Colvill Place</t>
  </si>
  <si>
    <t>Lowry</t>
  </si>
  <si>
    <t>Colville Place</t>
  </si>
  <si>
    <t>Ross-Shire</t>
  </si>
  <si>
    <t>Long</t>
  </si>
  <si>
    <t>Colville Road</t>
  </si>
  <si>
    <t>Johnsie</t>
  </si>
  <si>
    <t>Clements</t>
  </si>
  <si>
    <t>Colville Villas</t>
  </si>
  <si>
    <t>Lostwithiel</t>
  </si>
  <si>
    <t>Colvin Close</t>
  </si>
  <si>
    <t>Great Missenden</t>
  </si>
  <si>
    <t>Ashleigh</t>
  </si>
  <si>
    <t>Bentley</t>
  </si>
  <si>
    <t>Colvin Gardens</t>
  </si>
  <si>
    <t>Sung</t>
  </si>
  <si>
    <t>Amos</t>
  </si>
  <si>
    <t>Colvin Road</t>
  </si>
  <si>
    <t>Ara</t>
  </si>
  <si>
    <t>Colworth Road</t>
  </si>
  <si>
    <t>Erwin</t>
  </si>
  <si>
    <t>Glover</t>
  </si>
  <si>
    <t>Combe Mews</t>
  </si>
  <si>
    <t>Nadeau</t>
  </si>
  <si>
    <t>Comber Grove</t>
  </si>
  <si>
    <t>Llangadog</t>
  </si>
  <si>
    <t>Hopkins</t>
  </si>
  <si>
    <t>Commerce Place</t>
  </si>
  <si>
    <t>South Ockendon</t>
  </si>
  <si>
    <t>Antonio</t>
  </si>
  <si>
    <t>Commerell Street</t>
  </si>
  <si>
    <t>Wendell</t>
  </si>
  <si>
    <t>Sanchez</t>
  </si>
  <si>
    <t>Commodore Terrace</t>
  </si>
  <si>
    <t>Moss</t>
  </si>
  <si>
    <t>Common South</t>
  </si>
  <si>
    <t>Sid</t>
  </si>
  <si>
    <t>Wang</t>
  </si>
  <si>
    <t>Commondale</t>
  </si>
  <si>
    <t>Larry</t>
  </si>
  <si>
    <t>Anaya</t>
  </si>
  <si>
    <t>Compton Crescent</t>
  </si>
  <si>
    <t>Macclesfield</t>
  </si>
  <si>
    <t>Peter</t>
  </si>
  <si>
    <t>Ziegler</t>
  </si>
  <si>
    <t>Compton Road</t>
  </si>
  <si>
    <t>Salazar</t>
  </si>
  <si>
    <t>Conduit Court</t>
  </si>
  <si>
    <t>Frankie</t>
  </si>
  <si>
    <t>Mccarthy</t>
  </si>
  <si>
    <t>Coney Way</t>
  </si>
  <si>
    <t>Abingdon</t>
  </si>
  <si>
    <t>Ellan</t>
  </si>
  <si>
    <t>Marrero</t>
  </si>
  <si>
    <t>Conington Road</t>
  </si>
  <si>
    <t>Nathanial</t>
  </si>
  <si>
    <t>Fish</t>
  </si>
  <si>
    <t>Connaught Avenue</t>
  </si>
  <si>
    <t>Esmeralda</t>
  </si>
  <si>
    <t>Connaught Mews</t>
  </si>
  <si>
    <t>Rochdale</t>
  </si>
  <si>
    <t>Mark</t>
  </si>
  <si>
    <t>Arias</t>
  </si>
  <si>
    <t>Constable Crescent</t>
  </si>
  <si>
    <t>Yateley</t>
  </si>
  <si>
    <t>Lela</t>
  </si>
  <si>
    <t>Content Street</t>
  </si>
  <si>
    <t>Bedale</t>
  </si>
  <si>
    <t>Cook &amp;</t>
  </si>
  <si>
    <t>Dawlish</t>
  </si>
  <si>
    <t>Blythe</t>
  </si>
  <si>
    <t>Cooks Cottages</t>
  </si>
  <si>
    <t>Falkirk</t>
  </si>
  <si>
    <t>Kenda</t>
  </si>
  <si>
    <t>Cooks Ground</t>
  </si>
  <si>
    <t>Coolgardie Avenue</t>
  </si>
  <si>
    <t>Hobert</t>
  </si>
  <si>
    <t>Coomassie Road</t>
  </si>
  <si>
    <t>New Milton</t>
  </si>
  <si>
    <t>Corcoran</t>
  </si>
  <si>
    <t>Coombe Lane</t>
  </si>
  <si>
    <t>Lanell</t>
  </si>
  <si>
    <t>Cope Street</t>
  </si>
  <si>
    <t>Isle Of Tiree</t>
  </si>
  <si>
    <t>Pierson</t>
  </si>
  <si>
    <t>Copleston Mews</t>
  </si>
  <si>
    <t>Copnor Way</t>
  </si>
  <si>
    <t>Armand</t>
  </si>
  <si>
    <t>Coppelia Road</t>
  </si>
  <si>
    <t>Keston</t>
  </si>
  <si>
    <t>Copper Close</t>
  </si>
  <si>
    <t>Ashford</t>
  </si>
  <si>
    <t>LE</t>
  </si>
  <si>
    <t>Copper Mead</t>
  </si>
  <si>
    <t>Cuevas</t>
  </si>
  <si>
    <t>Copperbeech Close</t>
  </si>
  <si>
    <t>Hoskins</t>
  </si>
  <si>
    <t>Copperfield Street</t>
  </si>
  <si>
    <t>Calstock</t>
  </si>
  <si>
    <t>Luciano</t>
  </si>
  <si>
    <t>Guidry</t>
  </si>
  <si>
    <t>Coppice Row</t>
  </si>
  <si>
    <t>Alloa</t>
  </si>
  <si>
    <t>DE</t>
  </si>
  <si>
    <t>Rafael</t>
  </si>
  <si>
    <t>Battle</t>
  </si>
  <si>
    <t>Antonietta</t>
  </si>
  <si>
    <t>Coppies Grove</t>
  </si>
  <si>
    <t>Prater</t>
  </si>
  <si>
    <t>Copthall Buildings</t>
  </si>
  <si>
    <t>Wilmslow</t>
  </si>
  <si>
    <t>Willette</t>
  </si>
  <si>
    <t>Mcintosh</t>
  </si>
  <si>
    <t>Copthall Chambers</t>
  </si>
  <si>
    <t>Crook</t>
  </si>
  <si>
    <t>Coran Close</t>
  </si>
  <si>
    <t>Lorri</t>
  </si>
  <si>
    <t>Corbicum</t>
  </si>
  <si>
    <t>Bravo</t>
  </si>
  <si>
    <t>Cordelia Close</t>
  </si>
  <si>
    <t>Teodoro</t>
  </si>
  <si>
    <t>Barlow</t>
  </si>
  <si>
    <t>Araceli</t>
  </si>
  <si>
    <t>Cordova Road</t>
  </si>
  <si>
    <t>Conchita</t>
  </si>
  <si>
    <t>Corliss Place</t>
  </si>
  <si>
    <t>Corn Way</t>
  </si>
  <si>
    <t>Coldstream</t>
  </si>
  <si>
    <t>Dawn</t>
  </si>
  <si>
    <t>Cornelius Place</t>
  </si>
  <si>
    <t>Isle Of Scalpay</t>
  </si>
  <si>
    <t>Alva</t>
  </si>
  <si>
    <t>Foley</t>
  </si>
  <si>
    <t>Cornford Grove</t>
  </si>
  <si>
    <t>Hartfield</t>
  </si>
  <si>
    <t>Cornick Street</t>
  </si>
  <si>
    <t>Deedee</t>
  </si>
  <si>
    <t>Cornwall Street</t>
  </si>
  <si>
    <t>Stanford</t>
  </si>
  <si>
    <t>Bacon</t>
  </si>
  <si>
    <t>Cornwallis Avenue</t>
  </si>
  <si>
    <t>Vonnie</t>
  </si>
  <si>
    <t>Cornwell Terrace</t>
  </si>
  <si>
    <t>Gene</t>
  </si>
  <si>
    <t>Boykin</t>
  </si>
  <si>
    <t>Yeovil</t>
  </si>
  <si>
    <t>Ricardo</t>
  </si>
  <si>
    <t>Corrance Road</t>
  </si>
  <si>
    <t>Alfreda</t>
  </si>
  <si>
    <t>Whitfield</t>
  </si>
  <si>
    <t>Corri Avenue</t>
  </si>
  <si>
    <t>Beaver</t>
  </si>
  <si>
    <t>Corringway</t>
  </si>
  <si>
    <t>Denita</t>
  </si>
  <si>
    <t>Doty</t>
  </si>
  <si>
    <t>Corsham Street</t>
  </si>
  <si>
    <t>Ayrshire</t>
  </si>
  <si>
    <t>Coryton Path</t>
  </si>
  <si>
    <t>Jenna</t>
  </si>
  <si>
    <t>Galloway</t>
  </si>
  <si>
    <t>Cosgrove Close</t>
  </si>
  <si>
    <t>Cossall Walk</t>
  </si>
  <si>
    <t>Newcastleton</t>
  </si>
  <si>
    <t>Roosevelt</t>
  </si>
  <si>
    <t>Byrd</t>
  </si>
  <si>
    <t>Cotall St</t>
  </si>
  <si>
    <t>Cotford Place</t>
  </si>
  <si>
    <t>Flynn</t>
  </si>
  <si>
    <t>Cotherstone Road</t>
  </si>
  <si>
    <t>Enriqueta</t>
  </si>
  <si>
    <t>Serrano</t>
  </si>
  <si>
    <t>Cotswold Gate</t>
  </si>
  <si>
    <t>Carolin</t>
  </si>
  <si>
    <t>Cotswold Street</t>
  </si>
  <si>
    <t>Erasmo</t>
  </si>
  <si>
    <t>Cottage Court</t>
  </si>
  <si>
    <t>Flood</t>
  </si>
  <si>
    <t>Cottage Down</t>
  </si>
  <si>
    <t>Newent</t>
  </si>
  <si>
    <t>Sheron</t>
  </si>
  <si>
    <t>Riggs</t>
  </si>
  <si>
    <t>Zita</t>
  </si>
  <si>
    <t>Albright</t>
  </si>
  <si>
    <t>Cottage Hospital</t>
  </si>
  <si>
    <t>Cottage Row</t>
  </si>
  <si>
    <t>Cottington Street</t>
  </si>
  <si>
    <t>Llanwrda</t>
  </si>
  <si>
    <t>Cotton Row</t>
  </si>
  <si>
    <t>Cookstown</t>
  </si>
  <si>
    <t>Albertha</t>
  </si>
  <si>
    <t>Cotton Street</t>
  </si>
  <si>
    <t>Barnet</t>
  </si>
  <si>
    <t>DL</t>
  </si>
  <si>
    <t>Willow</t>
  </si>
  <si>
    <t>Cotts Close</t>
  </si>
  <si>
    <t>Hurd</t>
  </si>
  <si>
    <t>Stourbridge</t>
  </si>
  <si>
    <t>Tina</t>
  </si>
  <si>
    <t>Counagmara</t>
  </si>
  <si>
    <t>Stinson</t>
  </si>
  <si>
    <t>Counter Street</t>
  </si>
  <si>
    <t>Counting House</t>
  </si>
  <si>
    <t>Turriff</t>
  </si>
  <si>
    <t>County Court</t>
  </si>
  <si>
    <t>Sana</t>
  </si>
  <si>
    <t>Coupland Place</t>
  </si>
  <si>
    <t>Gerrards Cross</t>
  </si>
  <si>
    <t>Shavonne</t>
  </si>
  <si>
    <t>Knowles</t>
  </si>
  <si>
    <t>Coupland Terrace</t>
  </si>
  <si>
    <t>Cherrie</t>
  </si>
  <si>
    <t>Staley</t>
  </si>
  <si>
    <t>Court</t>
  </si>
  <si>
    <t>Orpha</t>
  </si>
  <si>
    <t>Court View</t>
  </si>
  <si>
    <t>Leiston</t>
  </si>
  <si>
    <t>Akiko</t>
  </si>
  <si>
    <t>Huddleston</t>
  </si>
  <si>
    <t>Court Way</t>
  </si>
  <si>
    <t>Darell</t>
  </si>
  <si>
    <t>Court Yard</t>
  </si>
  <si>
    <t>Courtauld Close</t>
  </si>
  <si>
    <t>South Brent</t>
  </si>
  <si>
    <t>Arlen</t>
  </si>
  <si>
    <t>Courtenay Street</t>
  </si>
  <si>
    <t>Clackmannan</t>
  </si>
  <si>
    <t>Emmett</t>
  </si>
  <si>
    <t>Courtfield Mews</t>
  </si>
  <si>
    <t>Janyce</t>
  </si>
  <si>
    <t>Lacey</t>
  </si>
  <si>
    <t>Courthope Road</t>
  </si>
  <si>
    <t>Mayfield</t>
  </si>
  <si>
    <t>Albina</t>
  </si>
  <si>
    <t>Courtland Avenue</t>
  </si>
  <si>
    <t>Elida</t>
  </si>
  <si>
    <t>Lujan</t>
  </si>
  <si>
    <t>Courtland Villas</t>
  </si>
  <si>
    <t>Bobbie</t>
  </si>
  <si>
    <t>Ham</t>
  </si>
  <si>
    <t>Courtlands Avenue</t>
  </si>
  <si>
    <t>Rivas</t>
  </si>
  <si>
    <t>Courtney Road</t>
  </si>
  <si>
    <t>Welshpool</t>
  </si>
  <si>
    <t>Bert</t>
  </si>
  <si>
    <t>Velazquez</t>
  </si>
  <si>
    <t>Coverdale Road</t>
  </si>
  <si>
    <t>Oxted</t>
  </si>
  <si>
    <t>Thomasina</t>
  </si>
  <si>
    <t>Cow Yard</t>
  </si>
  <si>
    <t>Stonehaven</t>
  </si>
  <si>
    <t>Min</t>
  </si>
  <si>
    <t>Cowper Avenue</t>
  </si>
  <si>
    <t>Riva</t>
  </si>
  <si>
    <t>Cowslip Villa</t>
  </si>
  <si>
    <t>Barton-Upon-Humber</t>
  </si>
  <si>
    <t>Kimberlie</t>
  </si>
  <si>
    <t>Burroughs</t>
  </si>
  <si>
    <t>Cox's Quay</t>
  </si>
  <si>
    <t>Aldeburgh</t>
  </si>
  <si>
    <t>Sherril</t>
  </si>
  <si>
    <t>Coxson Way</t>
  </si>
  <si>
    <t>Cornett</t>
  </si>
  <si>
    <t>Crace Street</t>
  </si>
  <si>
    <t>Finley</t>
  </si>
  <si>
    <t>Retta</t>
  </si>
  <si>
    <t>Crafton Place</t>
  </si>
  <si>
    <t>Pentre</t>
  </si>
  <si>
    <t>Dana</t>
  </si>
  <si>
    <t>Mcwilliams</t>
  </si>
  <si>
    <t>Craig Park</t>
  </si>
  <si>
    <t>Eleanore</t>
  </si>
  <si>
    <t>Mcmullen</t>
  </si>
  <si>
    <t>Cranberry Lane</t>
  </si>
  <si>
    <t>Justin</t>
  </si>
  <si>
    <t>Cranbourn Alley</t>
  </si>
  <si>
    <t>Blanchard</t>
  </si>
  <si>
    <t>Ulrike</t>
  </si>
  <si>
    <t>Dodson</t>
  </si>
  <si>
    <t>Crane Grove</t>
  </si>
  <si>
    <t>Klara</t>
  </si>
  <si>
    <t>Timmons</t>
  </si>
  <si>
    <t>Crane Mead</t>
  </si>
  <si>
    <t>Cranford Close</t>
  </si>
  <si>
    <t>Westbury</t>
  </si>
  <si>
    <t>Selene</t>
  </si>
  <si>
    <t>Cranham Road</t>
  </si>
  <si>
    <t>Dumfries</t>
  </si>
  <si>
    <t>Gilberto</t>
  </si>
  <si>
    <t>Cranworth Crescent</t>
  </si>
  <si>
    <t>Christiane</t>
  </si>
  <si>
    <t>Cranworth Gardens</t>
  </si>
  <si>
    <t>Littleborough</t>
  </si>
  <si>
    <t>Tova</t>
  </si>
  <si>
    <t>Craven Avenue</t>
  </si>
  <si>
    <t>Belper</t>
  </si>
  <si>
    <t>Helaine</t>
  </si>
  <si>
    <t>Crane</t>
  </si>
  <si>
    <t>Craven Mews</t>
  </si>
  <si>
    <t>Middlesbrough</t>
  </si>
  <si>
    <t>Nicolas</t>
  </si>
  <si>
    <t>Craven Terrace</t>
  </si>
  <si>
    <t>Craven's Buildings</t>
  </si>
  <si>
    <t>Liss</t>
  </si>
  <si>
    <t>Carlos</t>
  </si>
  <si>
    <t>Meyers</t>
  </si>
  <si>
    <t>Crawford Place</t>
  </si>
  <si>
    <t>Yasuko</t>
  </si>
  <si>
    <t>Crawley Wharf</t>
  </si>
  <si>
    <t>Looe</t>
  </si>
  <si>
    <t>Margarita</t>
  </si>
  <si>
    <t>Crebor Street</t>
  </si>
  <si>
    <t>Crebos Street</t>
  </si>
  <si>
    <t>Rick</t>
  </si>
  <si>
    <t>Creek Bridge</t>
  </si>
  <si>
    <t>Denbigh</t>
  </si>
  <si>
    <t>Isis</t>
  </si>
  <si>
    <t>Douglas</t>
  </si>
  <si>
    <t>Crescent Way</t>
  </si>
  <si>
    <t>Belia</t>
  </si>
  <si>
    <t>Ho</t>
  </si>
  <si>
    <t>Creswick Road</t>
  </si>
  <si>
    <t>Luella</t>
  </si>
  <si>
    <t>Crewe Place</t>
  </si>
  <si>
    <t>Leyburn</t>
  </si>
  <si>
    <t>Herndon</t>
  </si>
  <si>
    <t>Cricket Row</t>
  </si>
  <si>
    <t>Carmarthen</t>
  </si>
  <si>
    <t>Hiroko</t>
  </si>
  <si>
    <t>Cricketers Court</t>
  </si>
  <si>
    <t>Lee-On-The-Solent</t>
  </si>
  <si>
    <t>ST</t>
  </si>
  <si>
    <t>Vonda</t>
  </si>
  <si>
    <t>Fraser</t>
  </si>
  <si>
    <t>Cricketer's Court</t>
  </si>
  <si>
    <t>Hiram</t>
  </si>
  <si>
    <t>Cricklade Avenue</t>
  </si>
  <si>
    <t>Petrina</t>
  </si>
  <si>
    <t>Keys</t>
  </si>
  <si>
    <t>Cringle Street</t>
  </si>
  <si>
    <t>Wise</t>
  </si>
  <si>
    <t>Crisps Terrace</t>
  </si>
  <si>
    <t>Pudsey</t>
  </si>
  <si>
    <t>Gino</t>
  </si>
  <si>
    <t>Ruiz</t>
  </si>
  <si>
    <t>Croft Close</t>
  </si>
  <si>
    <t>Horne</t>
  </si>
  <si>
    <t>Crofton Road</t>
  </si>
  <si>
    <t>Colwyn Bay</t>
  </si>
  <si>
    <t>Ellen</t>
  </si>
  <si>
    <t>Champagne</t>
  </si>
  <si>
    <t>Crogsland Road</t>
  </si>
  <si>
    <t>Hanh</t>
  </si>
  <si>
    <t>Connor</t>
  </si>
  <si>
    <t>Cromwell Grove</t>
  </si>
  <si>
    <t>Ware</t>
  </si>
  <si>
    <t>Crondall Street</t>
  </si>
  <si>
    <t>Ozella</t>
  </si>
  <si>
    <t>Crooked Passage</t>
  </si>
  <si>
    <t>Crooms Hill</t>
  </si>
  <si>
    <t>Grady</t>
  </si>
  <si>
    <t>Howe</t>
  </si>
  <si>
    <t>Crosby Square</t>
  </si>
  <si>
    <t>Parr</t>
  </si>
  <si>
    <t>Cross Close</t>
  </si>
  <si>
    <t>Tayport</t>
  </si>
  <si>
    <t>Garrison</t>
  </si>
  <si>
    <t>Crossmead</t>
  </si>
  <si>
    <t>Herrington</t>
  </si>
  <si>
    <t>Crossness Lane</t>
  </si>
  <si>
    <t>Autumn</t>
  </si>
  <si>
    <t>Paige</t>
  </si>
  <si>
    <t>Crossthwaite Avenue</t>
  </si>
  <si>
    <t>Lester</t>
  </si>
  <si>
    <t>Wolfe</t>
  </si>
  <si>
    <t>Kirkby-In-Furness</t>
  </si>
  <si>
    <t>Chas</t>
  </si>
  <si>
    <t>Hendricks</t>
  </si>
  <si>
    <t>Crosswall</t>
  </si>
  <si>
    <t>Orville</t>
  </si>
  <si>
    <t>Nolan</t>
  </si>
  <si>
    <t>Crouch Road</t>
  </si>
  <si>
    <t>Alyse</t>
  </si>
  <si>
    <t>Crowden Way</t>
  </si>
  <si>
    <t>Grantown-On-Spey</t>
  </si>
  <si>
    <t>Quintin</t>
  </si>
  <si>
    <t>Marcus</t>
  </si>
  <si>
    <t>Crowland Road</t>
  </si>
  <si>
    <t>Carmelia</t>
  </si>
  <si>
    <t>Womack</t>
  </si>
  <si>
    <t>Crown Square</t>
  </si>
  <si>
    <t>Penmaenmawr</t>
  </si>
  <si>
    <t>Jonas</t>
  </si>
  <si>
    <t>Crown Terrace</t>
  </si>
  <si>
    <t>Crows Court</t>
  </si>
  <si>
    <t>Norberto</t>
  </si>
  <si>
    <t>Taryn</t>
  </si>
  <si>
    <t>Crows Road</t>
  </si>
  <si>
    <t>Tran</t>
  </si>
  <si>
    <t>Crowthorne Road</t>
  </si>
  <si>
    <t>Lynwood</t>
  </si>
  <si>
    <t>Ramirez</t>
  </si>
  <si>
    <t>Croxford Gardens</t>
  </si>
  <si>
    <t>Miesha</t>
  </si>
  <si>
    <t>Marino</t>
  </si>
  <si>
    <t>Croxted Lane</t>
  </si>
  <si>
    <t>Leland</t>
  </si>
  <si>
    <t>Croydon Road</t>
  </si>
  <si>
    <t>Cruikshank Street</t>
  </si>
  <si>
    <t>Coleford</t>
  </si>
  <si>
    <t>Katelynn</t>
  </si>
  <si>
    <t>Cuba Cottages</t>
  </si>
  <si>
    <t>Kyoko</t>
  </si>
  <si>
    <t>Cuckoo Lane</t>
  </si>
  <si>
    <t>Sanora</t>
  </si>
  <si>
    <t>Cullum Street</t>
  </si>
  <si>
    <t>Culmore Terrace</t>
  </si>
  <si>
    <t>Rhayader</t>
  </si>
  <si>
    <t>Gussie</t>
  </si>
  <si>
    <t>Culverden Road</t>
  </si>
  <si>
    <t>Bideford</t>
  </si>
  <si>
    <t>Xochitl</t>
  </si>
  <si>
    <t>Barnett</t>
  </si>
  <si>
    <t>Cumberland Buildings</t>
  </si>
  <si>
    <t>Merthyr Tydfil</t>
  </si>
  <si>
    <t>Deon</t>
  </si>
  <si>
    <t>Cumberland Park</t>
  </si>
  <si>
    <t>Marline</t>
  </si>
  <si>
    <t>Cumberland Row</t>
  </si>
  <si>
    <t>Latheron</t>
  </si>
  <si>
    <t>Smiley</t>
  </si>
  <si>
    <t>Cundell's Place</t>
  </si>
  <si>
    <t>Reinaldo</t>
  </si>
  <si>
    <t>Weeks</t>
  </si>
  <si>
    <t>Cunliffe Street</t>
  </si>
  <si>
    <t>Donya</t>
  </si>
  <si>
    <t>Cunningham Road</t>
  </si>
  <si>
    <t>Marcellus</t>
  </si>
  <si>
    <t>Newman</t>
  </si>
  <si>
    <t>Curtain Place</t>
  </si>
  <si>
    <t>Langholm</t>
  </si>
  <si>
    <t>Seth</t>
  </si>
  <si>
    <t>Billings</t>
  </si>
  <si>
    <t>Curtis Street</t>
  </si>
  <si>
    <t>Nantwich</t>
  </si>
  <si>
    <t>Cutler Street</t>
  </si>
  <si>
    <t>Gayle</t>
  </si>
  <si>
    <t>Haley</t>
  </si>
  <si>
    <t>Cutlers' Yard</t>
  </si>
  <si>
    <t>Jayson</t>
  </si>
  <si>
    <t>Cyril Street</t>
  </si>
  <si>
    <t>Blair</t>
  </si>
  <si>
    <t>Cyrus Street</t>
  </si>
  <si>
    <t>Clogher</t>
  </si>
  <si>
    <t>Maile</t>
  </si>
  <si>
    <t>Dacre Gdns</t>
  </si>
  <si>
    <t>Shon</t>
  </si>
  <si>
    <t>Dacre Square</t>
  </si>
  <si>
    <t>Kaleigh</t>
  </si>
  <si>
    <t>Sykes</t>
  </si>
  <si>
    <t>Dagenham Road</t>
  </si>
  <si>
    <t>Ringwood</t>
  </si>
  <si>
    <t>Thomas</t>
  </si>
  <si>
    <t>Whyteleafe</t>
  </si>
  <si>
    <t>Wilfredo</t>
  </si>
  <si>
    <t>Peterson</t>
  </si>
  <si>
    <t>Dagmar Terrace</t>
  </si>
  <si>
    <t>Cranbrook</t>
  </si>
  <si>
    <t>Early</t>
  </si>
  <si>
    <t>Dagmar Villas</t>
  </si>
  <si>
    <t>Vasquez</t>
  </si>
  <si>
    <t>Daisy Lane</t>
  </si>
  <si>
    <t>Swadlincote</t>
  </si>
  <si>
    <t>Dale Close</t>
  </si>
  <si>
    <t>Chelsea</t>
  </si>
  <si>
    <t>Mcmillan</t>
  </si>
  <si>
    <t>Dale Green</t>
  </si>
  <si>
    <t>Loralee</t>
  </si>
  <si>
    <t>Romano</t>
  </si>
  <si>
    <t>Colyton</t>
  </si>
  <si>
    <t>Ackerman</t>
  </si>
  <si>
    <t>Dale Road</t>
  </si>
  <si>
    <t>Wigton</t>
  </si>
  <si>
    <t>Solis</t>
  </si>
  <si>
    <t>Dale View</t>
  </si>
  <si>
    <t>Elmo</t>
  </si>
  <si>
    <t>Dalebury Road</t>
  </si>
  <si>
    <t>Classie</t>
  </si>
  <si>
    <t>Daling Way</t>
  </si>
  <si>
    <t>Leominster</t>
  </si>
  <si>
    <t>Dallinger Rd</t>
  </si>
  <si>
    <t>Anissa</t>
  </si>
  <si>
    <t>Galindo</t>
  </si>
  <si>
    <t>Dalmain Road</t>
  </si>
  <si>
    <t>Oralia</t>
  </si>
  <si>
    <t>Hettie</t>
  </si>
  <si>
    <t>Dalston Green</t>
  </si>
  <si>
    <t>Alvera</t>
  </si>
  <si>
    <t>Dalwood Street</t>
  </si>
  <si>
    <t>Berwick-Upon-Tweed</t>
  </si>
  <si>
    <t>KW</t>
  </si>
  <si>
    <t>Renato</t>
  </si>
  <si>
    <t>Comer</t>
  </si>
  <si>
    <t>Damascene Walk</t>
  </si>
  <si>
    <t>Inverness-Shire</t>
  </si>
  <si>
    <t>Carol</t>
  </si>
  <si>
    <t>Damask Crescent</t>
  </si>
  <si>
    <t>Banchory</t>
  </si>
  <si>
    <t>Santiago</t>
  </si>
  <si>
    <t>Dames Road</t>
  </si>
  <si>
    <t>Bexleyheath</t>
  </si>
  <si>
    <t>Gus</t>
  </si>
  <si>
    <t>Brandt</t>
  </si>
  <si>
    <t>Damon Place</t>
  </si>
  <si>
    <t>Trowbridge</t>
  </si>
  <si>
    <t>Starla</t>
  </si>
  <si>
    <t>Wu</t>
  </si>
  <si>
    <t>Dane Hill</t>
  </si>
  <si>
    <t>Cheadle</t>
  </si>
  <si>
    <t>Danemere Street</t>
  </si>
  <si>
    <t>Melany</t>
  </si>
  <si>
    <t>Xiong</t>
  </si>
  <si>
    <t>Danescroft Avenue</t>
  </si>
  <si>
    <t>Uckfield</t>
  </si>
  <si>
    <t>Nathanael</t>
  </si>
  <si>
    <t>Raymond</t>
  </si>
  <si>
    <t>Daniel Road</t>
  </si>
  <si>
    <t>Jerome</t>
  </si>
  <si>
    <t>Mcgee</t>
  </si>
  <si>
    <t>Dansey Place</t>
  </si>
  <si>
    <t>Darling Row</t>
  </si>
  <si>
    <t>Bishop'S Stortford</t>
  </si>
  <si>
    <t>Kasey</t>
  </si>
  <si>
    <t>Kirkby Stephen</t>
  </si>
  <si>
    <t>Carrol</t>
  </si>
  <si>
    <t>Ferguson</t>
  </si>
  <si>
    <t>Darrell Street</t>
  </si>
  <si>
    <t>Gricelda</t>
  </si>
  <si>
    <t>Dartford Street</t>
  </si>
  <si>
    <t>Dartmouth Chambers</t>
  </si>
  <si>
    <t>Dartmouth Hill</t>
  </si>
  <si>
    <t>Barnstaple</t>
  </si>
  <si>
    <t>Eveline</t>
  </si>
  <si>
    <t>Dartmouth Place</t>
  </si>
  <si>
    <t>Bruton</t>
  </si>
  <si>
    <t>Pedro</t>
  </si>
  <si>
    <t>Fritz</t>
  </si>
  <si>
    <t>Dartmouth Road</t>
  </si>
  <si>
    <t>Gonzalo</t>
  </si>
  <si>
    <t>Sumner</t>
  </si>
  <si>
    <t>Dartrey Terrace</t>
  </si>
  <si>
    <t>Jay</t>
  </si>
  <si>
    <t>Daubeney Road</t>
  </si>
  <si>
    <t>Adelia</t>
  </si>
  <si>
    <t>Rosen</t>
  </si>
  <si>
    <t>Dault Road</t>
  </si>
  <si>
    <t>Gainsborough</t>
  </si>
  <si>
    <t>Ngan</t>
  </si>
  <si>
    <t>Daveys Buildings</t>
  </si>
  <si>
    <t>Marquis</t>
  </si>
  <si>
    <t>Dawer Lane</t>
  </si>
  <si>
    <t>Delfina</t>
  </si>
  <si>
    <t>Dawson Place</t>
  </si>
  <si>
    <t>Lia</t>
  </si>
  <si>
    <t>Conklin</t>
  </si>
  <si>
    <t>Dawsons Terrace</t>
  </si>
  <si>
    <t>Renfrew</t>
  </si>
  <si>
    <t>Eusebio</t>
  </si>
  <si>
    <t>Burnett</t>
  </si>
  <si>
    <t>De Lucy</t>
  </si>
  <si>
    <t>Temple</t>
  </si>
  <si>
    <t>De Quincey</t>
  </si>
  <si>
    <t>Shayla</t>
  </si>
  <si>
    <t>De Vierville</t>
  </si>
  <si>
    <t>Deacon Rd</t>
  </si>
  <si>
    <t>Zulema</t>
  </si>
  <si>
    <t>Baird</t>
  </si>
  <si>
    <t>Deacon Road</t>
  </si>
  <si>
    <t>Northamptonshire</t>
  </si>
  <si>
    <t>Particia</t>
  </si>
  <si>
    <t>Deal Street</t>
  </si>
  <si>
    <t>Lora</t>
  </si>
  <si>
    <t>Schaffer</t>
  </si>
  <si>
    <t>Dealtry Road</t>
  </si>
  <si>
    <t>Audrie</t>
  </si>
  <si>
    <t>Dean Close</t>
  </si>
  <si>
    <t>Wilson</t>
  </si>
  <si>
    <t>Dean Gardens</t>
  </si>
  <si>
    <t>Beau</t>
  </si>
  <si>
    <t>Guerrero</t>
  </si>
  <si>
    <t>Dean Stanley</t>
  </si>
  <si>
    <t>Stonehouse</t>
  </si>
  <si>
    <t>Georgeanna</t>
  </si>
  <si>
    <t>Dean Trench</t>
  </si>
  <si>
    <t>Strathpeffer</t>
  </si>
  <si>
    <t>Deane Street</t>
  </si>
  <si>
    <t>Marcella</t>
  </si>
  <si>
    <t>Deans Close</t>
  </si>
  <si>
    <t>Gage</t>
  </si>
  <si>
    <t>Dean's Place</t>
  </si>
  <si>
    <t>Laverne</t>
  </si>
  <si>
    <t>Crowley</t>
  </si>
  <si>
    <t>Deburgh Road</t>
  </si>
  <si>
    <t>Stevie</t>
  </si>
  <si>
    <t>Decima Street</t>
  </si>
  <si>
    <t>Tawnya</t>
  </si>
  <si>
    <t>Chin</t>
  </si>
  <si>
    <t>Deer Park</t>
  </si>
  <si>
    <t>Helmsdale</t>
  </si>
  <si>
    <t>Lianne</t>
  </si>
  <si>
    <t>Deerhurst Road</t>
  </si>
  <si>
    <t>Olive</t>
  </si>
  <si>
    <t>Defoe Close</t>
  </si>
  <si>
    <t>Fordingbridge</t>
  </si>
  <si>
    <t>Shea</t>
  </si>
  <si>
    <t>Seaham</t>
  </si>
  <si>
    <t>Samella</t>
  </si>
  <si>
    <t>Defoe Road</t>
  </si>
  <si>
    <t>Ricky</t>
  </si>
  <si>
    <t>Delgado</t>
  </si>
  <si>
    <t>Delaford Street</t>
  </si>
  <si>
    <t>Arianna</t>
  </si>
  <si>
    <t>Delancey Street</t>
  </si>
  <si>
    <t>Aimee</t>
  </si>
  <si>
    <t>Pugh</t>
  </si>
  <si>
    <t>Delays Yard</t>
  </si>
  <si>
    <t>Cordell</t>
  </si>
  <si>
    <t>Wolff</t>
  </si>
  <si>
    <t>Delius Grove</t>
  </si>
  <si>
    <t>Chalfont St. Giles</t>
  </si>
  <si>
    <t>Bridgett</t>
  </si>
  <si>
    <t>Dellow Street</t>
  </si>
  <si>
    <t>Dells Close</t>
  </si>
  <si>
    <t>Sherrie</t>
  </si>
  <si>
    <t>Delorme Street</t>
  </si>
  <si>
    <t>Dempsey Street</t>
  </si>
  <si>
    <t>Chipping Norton</t>
  </si>
  <si>
    <t>Denbigh Mews</t>
  </si>
  <si>
    <t>Hall</t>
  </si>
  <si>
    <t>Denbigh Terrace</t>
  </si>
  <si>
    <t>Denewood Road</t>
  </si>
  <si>
    <t>Appin</t>
  </si>
  <si>
    <t>Denison Close</t>
  </si>
  <si>
    <t>Jenniffer</t>
  </si>
  <si>
    <t>Denman Arms</t>
  </si>
  <si>
    <t>Katharyn</t>
  </si>
  <si>
    <t>Denman Road</t>
  </si>
  <si>
    <t>Garndolbenmaen</t>
  </si>
  <si>
    <t>Yolonda</t>
  </si>
  <si>
    <t>Stallings</t>
  </si>
  <si>
    <t>Dennis Way</t>
  </si>
  <si>
    <t>Murray</t>
  </si>
  <si>
    <t>Denvers Buildings</t>
  </si>
  <si>
    <t>Bedworth</t>
  </si>
  <si>
    <t>Mirta</t>
  </si>
  <si>
    <t>Trotter</t>
  </si>
  <si>
    <t>Deodara Close</t>
  </si>
  <si>
    <t>Howard</t>
  </si>
  <si>
    <t>Deptford Bridge</t>
  </si>
  <si>
    <t>Townsend</t>
  </si>
  <si>
    <t>Deptford Green</t>
  </si>
  <si>
    <t>Deptford Lower</t>
  </si>
  <si>
    <t>Joni</t>
  </si>
  <si>
    <t>Deptford Wharf</t>
  </si>
  <si>
    <t>Marla</t>
  </si>
  <si>
    <t>Derby Road</t>
  </si>
  <si>
    <t>Everette</t>
  </si>
  <si>
    <t>Choi</t>
  </si>
  <si>
    <t>Derek Walcott</t>
  </si>
  <si>
    <t>Missy</t>
  </si>
  <si>
    <t>Mora</t>
  </si>
  <si>
    <t>Derinton Road</t>
  </si>
  <si>
    <t>Jan</t>
  </si>
  <si>
    <t>Derwent Avenue</t>
  </si>
  <si>
    <t>Michiko</t>
  </si>
  <si>
    <t>Boone</t>
  </si>
  <si>
    <t>Derwent Crescent</t>
  </si>
  <si>
    <t>Siu</t>
  </si>
  <si>
    <t>Derwent Grove</t>
  </si>
  <si>
    <t>Nichol</t>
  </si>
  <si>
    <t>Cleotilde</t>
  </si>
  <si>
    <t>Desenfans Road</t>
  </si>
  <si>
    <t>Devon Cottages</t>
  </si>
  <si>
    <t>Joan</t>
  </si>
  <si>
    <t>Kendrick</t>
  </si>
  <si>
    <t>Devon Place</t>
  </si>
  <si>
    <t>Madelyn</t>
  </si>
  <si>
    <t>Cooke</t>
  </si>
  <si>
    <t>Devonhurst Place</t>
  </si>
  <si>
    <t>Basildon</t>
  </si>
  <si>
    <t>Wilbert</t>
  </si>
  <si>
    <t>Lynch</t>
  </si>
  <si>
    <t>Devonshire Drive</t>
  </si>
  <si>
    <t>Valentin</t>
  </si>
  <si>
    <t>Seay</t>
  </si>
  <si>
    <t>Devonshire Street</t>
  </si>
  <si>
    <t>Genny</t>
  </si>
  <si>
    <t>Swan</t>
  </si>
  <si>
    <t>Dewhurst Road</t>
  </si>
  <si>
    <t>Hook</t>
  </si>
  <si>
    <t>Dewsbury Road</t>
  </si>
  <si>
    <t>Gennie</t>
  </si>
  <si>
    <t>Burrell</t>
  </si>
  <si>
    <t>Deynecourt Gardens</t>
  </si>
  <si>
    <t>Diana Place</t>
  </si>
  <si>
    <t>Aberaeron</t>
  </si>
  <si>
    <t>Kincaid</t>
  </si>
  <si>
    <t>Dianthus Close</t>
  </si>
  <si>
    <t>Carlita</t>
  </si>
  <si>
    <t>Dickens Estate</t>
  </si>
  <si>
    <t>Woodhall Spa</t>
  </si>
  <si>
    <t>Daren</t>
  </si>
  <si>
    <t>Digby Road</t>
  </si>
  <si>
    <t>Bernadine</t>
  </si>
  <si>
    <t>Matthews</t>
  </si>
  <si>
    <t>Digby Walk</t>
  </si>
  <si>
    <t>Cwmbran</t>
  </si>
  <si>
    <t>Dilston Grove</t>
  </si>
  <si>
    <t>Llwyngwril</t>
  </si>
  <si>
    <t>Bruce</t>
  </si>
  <si>
    <t>Farrell</t>
  </si>
  <si>
    <t>Dimond Close</t>
  </si>
  <si>
    <t>Seaview</t>
  </si>
  <si>
    <t>Shizue</t>
  </si>
  <si>
    <t>Hurley</t>
  </si>
  <si>
    <t>Dimsdale Walk</t>
  </si>
  <si>
    <t>Duns</t>
  </si>
  <si>
    <t>Darlena</t>
  </si>
  <si>
    <t>Dingle Gardens</t>
  </si>
  <si>
    <t>Royce</t>
  </si>
  <si>
    <t>Beard</t>
  </si>
  <si>
    <t>Dinsdale Gardens</t>
  </si>
  <si>
    <t>St. Bees</t>
  </si>
  <si>
    <t>Dirty Lane</t>
  </si>
  <si>
    <t>Robert</t>
  </si>
  <si>
    <t>Distin Street</t>
  </si>
  <si>
    <t>Lannie</t>
  </si>
  <si>
    <t>Dllwyn Road</t>
  </si>
  <si>
    <t>Dobell Road</t>
  </si>
  <si>
    <t>Jackson</t>
  </si>
  <si>
    <t>Christie</t>
  </si>
  <si>
    <t>Dockland Street</t>
  </si>
  <si>
    <t>Malorie</t>
  </si>
  <si>
    <t>Doctor Johnson</t>
  </si>
  <si>
    <t>Weymouth</t>
  </si>
  <si>
    <t>Dodds Place</t>
  </si>
  <si>
    <t>Dayna</t>
  </si>
  <si>
    <t>Farmer</t>
  </si>
  <si>
    <t>Kieth</t>
  </si>
  <si>
    <t>Alvarez</t>
  </si>
  <si>
    <t>Sandy</t>
  </si>
  <si>
    <t>Lloyd</t>
  </si>
  <si>
    <t>Dog and</t>
  </si>
  <si>
    <t>Chesham</t>
  </si>
  <si>
    <t>Lakeshia</t>
  </si>
  <si>
    <t>Stern</t>
  </si>
  <si>
    <t>Dog Lane</t>
  </si>
  <si>
    <t>Mackey</t>
  </si>
  <si>
    <t>Dolland Street</t>
  </si>
  <si>
    <t>Bagillt</t>
  </si>
  <si>
    <t>Salley</t>
  </si>
  <si>
    <t>Dollings Place</t>
  </si>
  <si>
    <t>Marty</t>
  </si>
  <si>
    <t>Frizington</t>
  </si>
  <si>
    <t>Annabell</t>
  </si>
  <si>
    <t>Dollis Mews</t>
  </si>
  <si>
    <t>Dome Hill</t>
  </si>
  <si>
    <t>East Grinstead</t>
  </si>
  <si>
    <t>Justa</t>
  </si>
  <si>
    <t>Domett Close</t>
  </si>
  <si>
    <t>Hungerford</t>
  </si>
  <si>
    <t>Donald Road</t>
  </si>
  <si>
    <t>Olimpia</t>
  </si>
  <si>
    <t>Hankins</t>
  </si>
  <si>
    <t>Donnington Road</t>
  </si>
  <si>
    <t>Olson</t>
  </si>
  <si>
    <t>Donovan Avenue</t>
  </si>
  <si>
    <t>Dorchester Parade</t>
  </si>
  <si>
    <t>Veola</t>
  </si>
  <si>
    <t>Doris Place</t>
  </si>
  <si>
    <t>Juanita</t>
  </si>
  <si>
    <t>Dorman Way</t>
  </si>
  <si>
    <t>Evelynn</t>
  </si>
  <si>
    <t>Dormays Cottages</t>
  </si>
  <si>
    <t>Lida</t>
  </si>
  <si>
    <t>Mohr</t>
  </si>
  <si>
    <t>Dornberg CLS+F687</t>
  </si>
  <si>
    <t>Cristal</t>
  </si>
  <si>
    <t>Dorncliffe Road</t>
  </si>
  <si>
    <t>Platt</t>
  </si>
  <si>
    <t>Dorset Court</t>
  </si>
  <si>
    <t>Guildford</t>
  </si>
  <si>
    <t>Norbert</t>
  </si>
  <si>
    <t>Dorset Mews</t>
  </si>
  <si>
    <t>Axminster</t>
  </si>
  <si>
    <t>BS</t>
  </si>
  <si>
    <t>Abdul</t>
  </si>
  <si>
    <t>Dorset Villas</t>
  </si>
  <si>
    <t>Chauncey</t>
  </si>
  <si>
    <t>Hawk</t>
  </si>
  <si>
    <t>Douglas Mews</t>
  </si>
  <si>
    <t>Darwin</t>
  </si>
  <si>
    <t>Douglas Road</t>
  </si>
  <si>
    <t>Lura</t>
  </si>
  <si>
    <t>Dovercourt Road</t>
  </si>
  <si>
    <t>Zane</t>
  </si>
  <si>
    <t>Lawson</t>
  </si>
  <si>
    <t>Doverfield Road</t>
  </si>
  <si>
    <t>Phil</t>
  </si>
  <si>
    <t>Cartwright</t>
  </si>
  <si>
    <t>Dowgate Dock</t>
  </si>
  <si>
    <t>Mohammad</t>
  </si>
  <si>
    <t>Thorne</t>
  </si>
  <si>
    <t>Downes ST</t>
  </si>
  <si>
    <t>Invergordon</t>
  </si>
  <si>
    <t>Teofila</t>
  </si>
  <si>
    <t>Downings</t>
  </si>
  <si>
    <t>Stokes</t>
  </si>
  <si>
    <t>Downland Close</t>
  </si>
  <si>
    <t>Port Glasgow</t>
  </si>
  <si>
    <t>Coker</t>
  </si>
  <si>
    <t>Downton Avenue</t>
  </si>
  <si>
    <t>Ruislip</t>
  </si>
  <si>
    <t>Donn</t>
  </si>
  <si>
    <t>Doyle Gardens</t>
  </si>
  <si>
    <t>Robbie</t>
  </si>
  <si>
    <t>Madden</t>
  </si>
  <si>
    <t>Doyle Road</t>
  </si>
  <si>
    <t>Filiberto</t>
  </si>
  <si>
    <t>Atkinson</t>
  </si>
  <si>
    <t>Dr Johnson's</t>
  </si>
  <si>
    <t>Drakes Walk</t>
  </si>
  <si>
    <t>Sierra</t>
  </si>
  <si>
    <t>Draper's Court</t>
  </si>
  <si>
    <t>Hosea</t>
  </si>
  <si>
    <t>Delarosa</t>
  </si>
  <si>
    <t>Drapers Road</t>
  </si>
  <si>
    <t>Lydney</t>
  </si>
  <si>
    <t>Antoinette</t>
  </si>
  <si>
    <t>Dray Gardens</t>
  </si>
  <si>
    <t>Rosita</t>
  </si>
  <si>
    <t>Drayton Court</t>
  </si>
  <si>
    <t>Kilmacolm</t>
  </si>
  <si>
    <t>Schultz</t>
  </si>
  <si>
    <t>Jess</t>
  </si>
  <si>
    <t>Dressington Avenue</t>
  </si>
  <si>
    <t>Lydbrook</t>
  </si>
  <si>
    <t>Jaime</t>
  </si>
  <si>
    <t>Sidmouth</t>
  </si>
  <si>
    <t>Fitzgerald</t>
  </si>
  <si>
    <t>Drewstead Road</t>
  </si>
  <si>
    <t>Coreen</t>
  </si>
  <si>
    <t>Marlin</t>
  </si>
  <si>
    <t>Samuels</t>
  </si>
  <si>
    <t>Drifield Road</t>
  </si>
  <si>
    <t>Prather</t>
  </si>
  <si>
    <t>Drovers Place</t>
  </si>
  <si>
    <t>Holt</t>
  </si>
  <si>
    <t>Mcdonough</t>
  </si>
  <si>
    <t>Drum Alley</t>
  </si>
  <si>
    <t>Lashanda</t>
  </si>
  <si>
    <t>Drum Yard</t>
  </si>
  <si>
    <t>Drummond Place</t>
  </si>
  <si>
    <t>Blaine</t>
  </si>
  <si>
    <t>Drylands Road</t>
  </si>
  <si>
    <t>Luton</t>
  </si>
  <si>
    <t>Duchy Street</t>
  </si>
  <si>
    <t>Trujillo</t>
  </si>
  <si>
    <t>Duchy Wharf</t>
  </si>
  <si>
    <t>Daina</t>
  </si>
  <si>
    <t>Duck Place</t>
  </si>
  <si>
    <t>Elisha</t>
  </si>
  <si>
    <t>Roark</t>
  </si>
  <si>
    <t>Dudmaston Mews</t>
  </si>
  <si>
    <t>Haddington</t>
  </si>
  <si>
    <t>Duffield Drive</t>
  </si>
  <si>
    <t>Duke Street</t>
  </si>
  <si>
    <t>Chandler</t>
  </si>
  <si>
    <t>Dukes Gate</t>
  </si>
  <si>
    <t>Leo</t>
  </si>
  <si>
    <t>Dukes Head</t>
  </si>
  <si>
    <t>Limavady</t>
  </si>
  <si>
    <t>Dukes Lane</t>
  </si>
  <si>
    <t>Leonora</t>
  </si>
  <si>
    <t>Tilbury</t>
  </si>
  <si>
    <t>Jeremy</t>
  </si>
  <si>
    <t>Dulcet Street</t>
  </si>
  <si>
    <t>Dulwich Lawn</t>
  </si>
  <si>
    <t>Angela</t>
  </si>
  <si>
    <t>Bowden</t>
  </si>
  <si>
    <t>Dumbreck Road</t>
  </si>
  <si>
    <t>Scottie</t>
  </si>
  <si>
    <t>Dumpton Place</t>
  </si>
  <si>
    <t>Curt</t>
  </si>
  <si>
    <t>Foreman</t>
  </si>
  <si>
    <t>Dunbridge Street</t>
  </si>
  <si>
    <t>Mold</t>
  </si>
  <si>
    <t>Busby</t>
  </si>
  <si>
    <t>Duncombe Hill</t>
  </si>
  <si>
    <t>Corliss</t>
  </si>
  <si>
    <t>Duncrievie Road</t>
  </si>
  <si>
    <t>Dundonald Close</t>
  </si>
  <si>
    <t>Stacy</t>
  </si>
  <si>
    <t>Dunkeld Road</t>
  </si>
  <si>
    <t>Keren</t>
  </si>
  <si>
    <t>Dunmow ROAD</t>
  </si>
  <si>
    <t>Mata</t>
  </si>
  <si>
    <t>Dunnock Close</t>
  </si>
  <si>
    <t>Jama</t>
  </si>
  <si>
    <t>Gore</t>
  </si>
  <si>
    <t>Dunoon Road</t>
  </si>
  <si>
    <t>Beaminster</t>
  </si>
  <si>
    <t>Padstow</t>
  </si>
  <si>
    <t>Yung</t>
  </si>
  <si>
    <t>Wiggins</t>
  </si>
  <si>
    <t>Dunstall Road</t>
  </si>
  <si>
    <t>Dunton Road</t>
  </si>
  <si>
    <t>Wiltshire</t>
  </si>
  <si>
    <t>Posey</t>
  </si>
  <si>
    <t>Dunts Hill</t>
  </si>
  <si>
    <t>Margene</t>
  </si>
  <si>
    <t>Durham Farm</t>
  </si>
  <si>
    <t>Noel</t>
  </si>
  <si>
    <t>Ingram</t>
  </si>
  <si>
    <t>Durham Rise</t>
  </si>
  <si>
    <t>Durrell Road</t>
  </si>
  <si>
    <t>Tring</t>
  </si>
  <si>
    <t>Bart</t>
  </si>
  <si>
    <t>Schmitt</t>
  </si>
  <si>
    <t>Dursley Close</t>
  </si>
  <si>
    <t>Lynsey</t>
  </si>
  <si>
    <t>Dursley Gardens</t>
  </si>
  <si>
    <t>Lino</t>
  </si>
  <si>
    <t>Durward Street</t>
  </si>
  <si>
    <t>Langford</t>
  </si>
  <si>
    <t>Dyers Buildings</t>
  </si>
  <si>
    <t>Avoch</t>
  </si>
  <si>
    <t>Ball</t>
  </si>
  <si>
    <t>Eaden Place</t>
  </si>
  <si>
    <t>Etta</t>
  </si>
  <si>
    <t>Eagle Court</t>
  </si>
  <si>
    <t>St. Albans</t>
  </si>
  <si>
    <t>Elvis</t>
  </si>
  <si>
    <t>Eagle Drive</t>
  </si>
  <si>
    <t>Eagle Street</t>
  </si>
  <si>
    <t>Kruse</t>
  </si>
  <si>
    <t>Eagles Street</t>
  </si>
  <si>
    <t>Ealing Park</t>
  </si>
  <si>
    <t>Earl Rise</t>
  </si>
  <si>
    <t>Earl Road</t>
  </si>
  <si>
    <t>Clitheroe</t>
  </si>
  <si>
    <t>Colon</t>
  </si>
  <si>
    <t>Earlham Grove</t>
  </si>
  <si>
    <t>Par</t>
  </si>
  <si>
    <t>Sharri</t>
  </si>
  <si>
    <t>Dubois</t>
  </si>
  <si>
    <t>Earlham Street</t>
  </si>
  <si>
    <t>Roxanne</t>
  </si>
  <si>
    <t>Earl's Place</t>
  </si>
  <si>
    <t>Earlsferry Way</t>
  </si>
  <si>
    <t>New Romney</t>
  </si>
  <si>
    <t>Woody</t>
  </si>
  <si>
    <t>Earsby Street</t>
  </si>
  <si>
    <t>Easington Buildings</t>
  </si>
  <si>
    <t>Ashby</t>
  </si>
  <si>
    <t>East Coombe</t>
  </si>
  <si>
    <t>Candyce</t>
  </si>
  <si>
    <t>Welsh</t>
  </si>
  <si>
    <t>East Cross</t>
  </si>
  <si>
    <t>Fredrick</t>
  </si>
  <si>
    <t>Harrell</t>
  </si>
  <si>
    <t>East India</t>
  </si>
  <si>
    <t>Mckee</t>
  </si>
  <si>
    <t>East Market</t>
  </si>
  <si>
    <t>Blaydon-On-Tyne</t>
  </si>
  <si>
    <t>Eastbourne Gardens</t>
  </si>
  <si>
    <t>Cleckheaton</t>
  </si>
  <si>
    <t>Eastbourne Terrace</t>
  </si>
  <si>
    <t>Doretha</t>
  </si>
  <si>
    <t>Eastbrook Road</t>
  </si>
  <si>
    <t>Cornelia</t>
  </si>
  <si>
    <t>Mcdowell</t>
  </si>
  <si>
    <t>Eastgate Close</t>
  </si>
  <si>
    <t>Lionel</t>
  </si>
  <si>
    <t>Eastlake Road</t>
  </si>
  <si>
    <t>Downham Market</t>
  </si>
  <si>
    <t>Eastlea Mews</t>
  </si>
  <si>
    <t>Mallie</t>
  </si>
  <si>
    <t>Eastway Commercial</t>
  </si>
  <si>
    <t>Ginette</t>
  </si>
  <si>
    <t>Eaton Square</t>
  </si>
  <si>
    <t>Mullins</t>
  </si>
  <si>
    <t>Eatons Mead</t>
  </si>
  <si>
    <t>Samara</t>
  </si>
  <si>
    <t>Cote</t>
  </si>
  <si>
    <t>Eburne Road</t>
  </si>
  <si>
    <t>Boldon Colliery</t>
  </si>
  <si>
    <t>Asha</t>
  </si>
  <si>
    <t>Ebury Street</t>
  </si>
  <si>
    <t>Echo Heights</t>
  </si>
  <si>
    <t>Darvel</t>
  </si>
  <si>
    <t>Eckstein Road</t>
  </si>
  <si>
    <t>Reynaldo</t>
  </si>
  <si>
    <t>Calloway</t>
  </si>
  <si>
    <t>Edbrooke Road</t>
  </si>
  <si>
    <t>Alvaro</t>
  </si>
  <si>
    <t>Edgar Kail</t>
  </si>
  <si>
    <t>Ellison</t>
  </si>
  <si>
    <t>Edgar Road</t>
  </si>
  <si>
    <t>Annmarie</t>
  </si>
  <si>
    <t>Robison</t>
  </si>
  <si>
    <t>Edge Terrace</t>
  </si>
  <si>
    <t>Geri</t>
  </si>
  <si>
    <t>Horner</t>
  </si>
  <si>
    <t>Edington Road</t>
  </si>
  <si>
    <t>Edison Road</t>
  </si>
  <si>
    <t>Petersen</t>
  </si>
  <si>
    <t>Edith Terrace</t>
  </si>
  <si>
    <t>Helensburgh</t>
  </si>
  <si>
    <t>Edith Villas</t>
  </si>
  <si>
    <t>West Bromwich</t>
  </si>
  <si>
    <t>Taina</t>
  </si>
  <si>
    <t>Edwin'S Mead</t>
  </si>
  <si>
    <t>Ellamae</t>
  </si>
  <si>
    <t>Eldridge</t>
  </si>
  <si>
    <t>Effort Street</t>
  </si>
  <si>
    <t>Effra Road</t>
  </si>
  <si>
    <t>Dulverton</t>
  </si>
  <si>
    <t>Eglantine Road</t>
  </si>
  <si>
    <t>Pierre</t>
  </si>
  <si>
    <t>Egliston Road</t>
  </si>
  <si>
    <t>Grangemouth</t>
  </si>
  <si>
    <t>Timothy</t>
  </si>
  <si>
    <t>Smart</t>
  </si>
  <si>
    <t>Eider Close</t>
  </si>
  <si>
    <t>Domitila</t>
  </si>
  <si>
    <t>Kilgore</t>
  </si>
  <si>
    <t>Elborough Road</t>
  </si>
  <si>
    <t>Bobby</t>
  </si>
  <si>
    <t>Elborough Street</t>
  </si>
  <si>
    <t>Harwich</t>
  </si>
  <si>
    <t>Layla</t>
  </si>
  <si>
    <t>Randle</t>
  </si>
  <si>
    <t>Elbow Lane</t>
  </si>
  <si>
    <t>Dorchester</t>
  </si>
  <si>
    <t>Rima</t>
  </si>
  <si>
    <t>Elder Cottages</t>
  </si>
  <si>
    <t>Anastacia</t>
  </si>
  <si>
    <t>Raines</t>
  </si>
  <si>
    <t>Elder Walk</t>
  </si>
  <si>
    <t>Eldon House</t>
  </si>
  <si>
    <t>Benedict</t>
  </si>
  <si>
    <t>Bridges</t>
  </si>
  <si>
    <t>Elem Street</t>
  </si>
  <si>
    <t>Coventry</t>
  </si>
  <si>
    <t>Mui</t>
  </si>
  <si>
    <t>Callahan</t>
  </si>
  <si>
    <t>Elf Row</t>
  </si>
  <si>
    <t>Leigh</t>
  </si>
  <si>
    <t>Proctor</t>
  </si>
  <si>
    <t>Elford Close</t>
  </si>
  <si>
    <t>Isreal</t>
  </si>
  <si>
    <t>Ratliff</t>
  </si>
  <si>
    <t>Elfwine Road</t>
  </si>
  <si>
    <t>Gairloch</t>
  </si>
  <si>
    <t>Kraft</t>
  </si>
  <si>
    <t>Elgin Chambers</t>
  </si>
  <si>
    <t>Gerri</t>
  </si>
  <si>
    <t>Madison</t>
  </si>
  <si>
    <t>Elias Place</t>
  </si>
  <si>
    <t>Driver</t>
  </si>
  <si>
    <t>Elim Street</t>
  </si>
  <si>
    <t>Denae</t>
  </si>
  <si>
    <t>Bradford</t>
  </si>
  <si>
    <t>Elizabeth Avenue</t>
  </si>
  <si>
    <t>Jacalyn</t>
  </si>
  <si>
    <t>Elizabeth Clyde</t>
  </si>
  <si>
    <t>Randall</t>
  </si>
  <si>
    <t>Elizabeth Place</t>
  </si>
  <si>
    <t>Elizabeth Row</t>
  </si>
  <si>
    <t>Corey</t>
  </si>
  <si>
    <t>Ellanby Crescent</t>
  </si>
  <si>
    <t>Cory</t>
  </si>
  <si>
    <t>Ellerby Street</t>
  </si>
  <si>
    <t>Saltburn-By-The-Sea</t>
  </si>
  <si>
    <t>Margarito</t>
  </si>
  <si>
    <t>Cash</t>
  </si>
  <si>
    <t>Ellesmere Terrace</t>
  </si>
  <si>
    <t>Penrith</t>
  </si>
  <si>
    <t>Tracee</t>
  </si>
  <si>
    <t>Elliots Row</t>
  </si>
  <si>
    <t>Despina</t>
  </si>
  <si>
    <t>Ellis Close</t>
  </si>
  <si>
    <t>Kimberly</t>
  </si>
  <si>
    <t>Ellis Street</t>
  </si>
  <si>
    <t>Thatcham</t>
  </si>
  <si>
    <t>Bryce</t>
  </si>
  <si>
    <t>Dill</t>
  </si>
  <si>
    <t>Elliscombe Mount</t>
  </si>
  <si>
    <t>Elm House</t>
  </si>
  <si>
    <t>Alfreton</t>
  </si>
  <si>
    <t>LN</t>
  </si>
  <si>
    <t>Grantham</t>
  </si>
  <si>
    <t>Luke</t>
  </si>
  <si>
    <t>Osborne</t>
  </si>
  <si>
    <t>Elm Walk</t>
  </si>
  <si>
    <t>Knebworth</t>
  </si>
  <si>
    <t>Elms</t>
  </si>
  <si>
    <t>Crumlin</t>
  </si>
  <si>
    <t>Rubie</t>
  </si>
  <si>
    <t>Elmshurst Crescent</t>
  </si>
  <si>
    <t>Innerleithen</t>
  </si>
  <si>
    <t>Kirkland</t>
  </si>
  <si>
    <t>Deena</t>
  </si>
  <si>
    <t>Griffith</t>
  </si>
  <si>
    <t>Elmstead Lane</t>
  </si>
  <si>
    <t>Crymych</t>
  </si>
  <si>
    <t>Grimes</t>
  </si>
  <si>
    <t>Elrington Rd</t>
  </si>
  <si>
    <t>Shari</t>
  </si>
  <si>
    <t>Elsbone Terrace</t>
  </si>
  <si>
    <t>Trisha</t>
  </si>
  <si>
    <t>Elscott House</t>
  </si>
  <si>
    <t>Asa</t>
  </si>
  <si>
    <t>Elsham Road</t>
  </si>
  <si>
    <t>Elsinore Gardens</t>
  </si>
  <si>
    <t>Hyon</t>
  </si>
  <si>
    <t>Ronni</t>
  </si>
  <si>
    <t>Hooper</t>
  </si>
  <si>
    <t>Elstree Street</t>
  </si>
  <si>
    <t>Granville</t>
  </si>
  <si>
    <t>Elsworthy Rise</t>
  </si>
  <si>
    <t>Musselburgh</t>
  </si>
  <si>
    <t>Elveden Place</t>
  </si>
  <si>
    <t>Ranee</t>
  </si>
  <si>
    <t>Ely Terrace</t>
  </si>
  <si>
    <t>Kurtis</t>
  </si>
  <si>
    <t>Elystan Place</t>
  </si>
  <si>
    <t>Fay</t>
  </si>
  <si>
    <t>Nieves</t>
  </si>
  <si>
    <t>Elystan PlC</t>
  </si>
  <si>
    <t>Susy</t>
  </si>
  <si>
    <t>Emanuel Avenue</t>
  </si>
  <si>
    <t>Bulah</t>
  </si>
  <si>
    <t>Embankment Gardens</t>
  </si>
  <si>
    <t>Emma Cottages</t>
  </si>
  <si>
    <t>Kingston Upon Thames</t>
  </si>
  <si>
    <t>Eva</t>
  </si>
  <si>
    <t>Emma Rd</t>
  </si>
  <si>
    <t>Kia</t>
  </si>
  <si>
    <t>Emmanuel Church</t>
  </si>
  <si>
    <t>Templecombe</t>
  </si>
  <si>
    <t>Amiee</t>
  </si>
  <si>
    <t>Emmanuel Schoolhouse</t>
  </si>
  <si>
    <t>Brett</t>
  </si>
  <si>
    <t>Parks</t>
  </si>
  <si>
    <t>Emmetts Buildings</t>
  </si>
  <si>
    <t>Leif</t>
  </si>
  <si>
    <t>Trevino</t>
  </si>
  <si>
    <t>Ana</t>
  </si>
  <si>
    <t>Conrad</t>
  </si>
  <si>
    <t>Emmetts Yard</t>
  </si>
  <si>
    <t>Romney Marsh</t>
  </si>
  <si>
    <t>Gilberte</t>
  </si>
  <si>
    <t>Empire Ave</t>
  </si>
  <si>
    <t>Begay</t>
  </si>
  <si>
    <t>Empress STReet</t>
  </si>
  <si>
    <t>Vernita</t>
  </si>
  <si>
    <t>Emsworth Close</t>
  </si>
  <si>
    <t>Endsleigh Gardens</t>
  </si>
  <si>
    <t>Stacey</t>
  </si>
  <si>
    <t>Engineer Road</t>
  </si>
  <si>
    <t>Amlwch</t>
  </si>
  <si>
    <t>Drusilla</t>
  </si>
  <si>
    <t>Enid Street</t>
  </si>
  <si>
    <t>Lavone</t>
  </si>
  <si>
    <t>Skaggs</t>
  </si>
  <si>
    <t>Enmore Avenue</t>
  </si>
  <si>
    <t>Enmore Road</t>
  </si>
  <si>
    <t>Enslin Road</t>
  </si>
  <si>
    <t>Ensor Mews</t>
  </si>
  <si>
    <t>Malmesbury</t>
  </si>
  <si>
    <t>Emily</t>
  </si>
  <si>
    <t>Morton</t>
  </si>
  <si>
    <t>Epirus Road</t>
  </si>
  <si>
    <t>Vesta</t>
  </si>
  <si>
    <t>Mcclure</t>
  </si>
  <si>
    <t>Epping Place</t>
  </si>
  <si>
    <t>Ramey</t>
  </si>
  <si>
    <t>Epsom Road</t>
  </si>
  <si>
    <t>Jeffrey</t>
  </si>
  <si>
    <t>Equity Buildings</t>
  </si>
  <si>
    <t>Jade</t>
  </si>
  <si>
    <t>Welling</t>
  </si>
  <si>
    <t>Ethelene</t>
  </si>
  <si>
    <t>Manley</t>
  </si>
  <si>
    <t>Erbury Place</t>
  </si>
  <si>
    <t>Eresby Place</t>
  </si>
  <si>
    <t>Amie</t>
  </si>
  <si>
    <t>Hess</t>
  </si>
  <si>
    <t>Erindale Terrace</t>
  </si>
  <si>
    <t>Oscar</t>
  </si>
  <si>
    <t>Erlam Road</t>
  </si>
  <si>
    <t>Kendal</t>
  </si>
  <si>
    <t>Kristofer</t>
  </si>
  <si>
    <t>Erinn</t>
  </si>
  <si>
    <t>Erlich Cottages</t>
  </si>
  <si>
    <t>Ermine Road</t>
  </si>
  <si>
    <t>Felipe</t>
  </si>
  <si>
    <t>Erskine Hill</t>
  </si>
  <si>
    <t>Nance</t>
  </si>
  <si>
    <t>Erwood Road</t>
  </si>
  <si>
    <t>Berkeley</t>
  </si>
  <si>
    <t>Jae</t>
  </si>
  <si>
    <t>Eskdale Villas</t>
  </si>
  <si>
    <t>Peacock</t>
  </si>
  <si>
    <t>Esmeralda Road</t>
  </si>
  <si>
    <t>Esmerelda Road</t>
  </si>
  <si>
    <t>Essendine Road</t>
  </si>
  <si>
    <t>Hatch</t>
  </si>
  <si>
    <t>Ester Cottages</t>
  </si>
  <si>
    <t>Esterbrooke Street</t>
  </si>
  <si>
    <t>Sherika</t>
  </si>
  <si>
    <t>Hull</t>
  </si>
  <si>
    <t>Etham St</t>
  </si>
  <si>
    <t>Sapp</t>
  </si>
  <si>
    <t>Ethelden Road</t>
  </si>
  <si>
    <t>Waltham Abbey</t>
  </si>
  <si>
    <t>Pagan</t>
  </si>
  <si>
    <t>Etloe Road</t>
  </si>
  <si>
    <t>Gould</t>
  </si>
  <si>
    <t>Eton Close</t>
  </si>
  <si>
    <t>Helston</t>
  </si>
  <si>
    <t>Agripina</t>
  </si>
  <si>
    <t>Eton Grove</t>
  </si>
  <si>
    <t>Harriett</t>
  </si>
  <si>
    <t>Cruz</t>
  </si>
  <si>
    <t>Eton Manor</t>
  </si>
  <si>
    <t>Billie</t>
  </si>
  <si>
    <t>Euston Road</t>
  </si>
  <si>
    <t>Presteigne</t>
  </si>
  <si>
    <t>Sook</t>
  </si>
  <si>
    <t>Delois</t>
  </si>
  <si>
    <t>Euston Station</t>
  </si>
  <si>
    <t>Langley</t>
  </si>
  <si>
    <t>Everest Road</t>
  </si>
  <si>
    <t>Chappell</t>
  </si>
  <si>
    <t>Evershall Street</t>
  </si>
  <si>
    <t>Lucius</t>
  </si>
  <si>
    <t>Everthorpe Road</t>
  </si>
  <si>
    <t>Venita</t>
  </si>
  <si>
    <t>Eve's Place</t>
  </si>
  <si>
    <t>Page</t>
  </si>
  <si>
    <t>Ewe Close</t>
  </si>
  <si>
    <t>Emmie</t>
  </si>
  <si>
    <t>Excelsior Gardens</t>
  </si>
  <si>
    <t>Katherin</t>
  </si>
  <si>
    <t>Excelsior Terrace</t>
  </si>
  <si>
    <t>Skipton</t>
  </si>
  <si>
    <t>Wava</t>
  </si>
  <si>
    <t>Exchange Arcade</t>
  </si>
  <si>
    <t>Lawrence</t>
  </si>
  <si>
    <t>Henderson</t>
  </si>
  <si>
    <t>Exeter Street</t>
  </si>
  <si>
    <t>Exeter Villas</t>
  </si>
  <si>
    <t>Exeter Way</t>
  </si>
  <si>
    <t>Julie</t>
  </si>
  <si>
    <t>Exford Road</t>
  </si>
  <si>
    <t>Selkirk</t>
  </si>
  <si>
    <t>Jones</t>
  </si>
  <si>
    <t>Exmoor Street</t>
  </si>
  <si>
    <t>Eyhurst Close</t>
  </si>
  <si>
    <t>Rosalva</t>
  </si>
  <si>
    <t>Eynella Road</t>
  </si>
  <si>
    <t>Eynsham Drive</t>
  </si>
  <si>
    <t>Dean</t>
  </si>
  <si>
    <t>Eyot Gardens</t>
  </si>
  <si>
    <t>Ed</t>
  </si>
  <si>
    <t>Rasmussen</t>
  </si>
  <si>
    <t>Eyot Green</t>
  </si>
  <si>
    <t>Mccauley</t>
  </si>
  <si>
    <t>Eythorn Road</t>
  </si>
  <si>
    <t>Kinross</t>
  </si>
  <si>
    <t>Eythorne Road</t>
  </si>
  <si>
    <t>Beith</t>
  </si>
  <si>
    <t>Ezra Street</t>
  </si>
  <si>
    <t>Cornwall</t>
  </si>
  <si>
    <t>Factory Lane</t>
  </si>
  <si>
    <t>Mammie</t>
  </si>
  <si>
    <t>Fairbairn Green</t>
  </si>
  <si>
    <t>Lilliam</t>
  </si>
  <si>
    <t>Oliver</t>
  </si>
  <si>
    <t>Fairchild Close</t>
  </si>
  <si>
    <t>Westcliff-On-Sea</t>
  </si>
  <si>
    <t>Orr</t>
  </si>
  <si>
    <t>Faireys Buildings</t>
  </si>
  <si>
    <t>Salisbury</t>
  </si>
  <si>
    <t>Kera</t>
  </si>
  <si>
    <t>Wynn</t>
  </si>
  <si>
    <t>Fairholme Road</t>
  </si>
  <si>
    <t>Laurencekirk</t>
  </si>
  <si>
    <t>Camila</t>
  </si>
  <si>
    <t>Fairlawn Avenue</t>
  </si>
  <si>
    <t>Hailsham</t>
  </si>
  <si>
    <t>Debbra</t>
  </si>
  <si>
    <t>Fairlea Place</t>
  </si>
  <si>
    <t>Fairlie Gardens</t>
  </si>
  <si>
    <t>South Humberside</t>
  </si>
  <si>
    <t>Edgardo</t>
  </si>
  <si>
    <t>Akins</t>
  </si>
  <si>
    <t>Fairlight Terrace</t>
  </si>
  <si>
    <t>Girvan</t>
  </si>
  <si>
    <t>Susanna</t>
  </si>
  <si>
    <t>Whitaker</t>
  </si>
  <si>
    <t>Fairway Close</t>
  </si>
  <si>
    <t>Gunnislake</t>
  </si>
  <si>
    <t>Falcon Road</t>
  </si>
  <si>
    <t>Delaine</t>
  </si>
  <si>
    <t>Falcon Yard</t>
  </si>
  <si>
    <t>Northwich</t>
  </si>
  <si>
    <t>Falkland Avenue</t>
  </si>
  <si>
    <t>Fallowfields Drive</t>
  </si>
  <si>
    <t>Campbeltown</t>
  </si>
  <si>
    <t>Fallows Close</t>
  </si>
  <si>
    <t>Van</t>
  </si>
  <si>
    <t>Humphrey</t>
  </si>
  <si>
    <t>Falmouth Avenue</t>
  </si>
  <si>
    <t>Marjorie</t>
  </si>
  <si>
    <t>Fandon Row</t>
  </si>
  <si>
    <t>Faraday Street</t>
  </si>
  <si>
    <t>Weldon</t>
  </si>
  <si>
    <t>Fardon Row</t>
  </si>
  <si>
    <t>Bo'Ness</t>
  </si>
  <si>
    <t>Faringford Road</t>
  </si>
  <si>
    <t>Moor Row</t>
  </si>
  <si>
    <t>Sabina</t>
  </si>
  <si>
    <t>Arellano</t>
  </si>
  <si>
    <t>Farleigh Place</t>
  </si>
  <si>
    <t>Hipolito</t>
  </si>
  <si>
    <t>Deeann</t>
  </si>
  <si>
    <t>Farlington Place</t>
  </si>
  <si>
    <t>Farm Avenue</t>
  </si>
  <si>
    <t>Thora</t>
  </si>
  <si>
    <t>Farm Walk</t>
  </si>
  <si>
    <t>Broxburn</t>
  </si>
  <si>
    <t>Tamesha</t>
  </si>
  <si>
    <t>Grayson</t>
  </si>
  <si>
    <t>Farmdale Road</t>
  </si>
  <si>
    <t>Olney</t>
  </si>
  <si>
    <t>Leandro</t>
  </si>
  <si>
    <t>Pickett</t>
  </si>
  <si>
    <t>Farmer'S Road</t>
  </si>
  <si>
    <t>Bargoed</t>
  </si>
  <si>
    <t>Julia</t>
  </si>
  <si>
    <t>Farnaby Road</t>
  </si>
  <si>
    <t>Kandy</t>
  </si>
  <si>
    <t>Farnham Close</t>
  </si>
  <si>
    <t>Sutton</t>
  </si>
  <si>
    <t>Farningham Road</t>
  </si>
  <si>
    <t>Ashlie</t>
  </si>
  <si>
    <t>Covington</t>
  </si>
  <si>
    <t>Farquhar Terrace</t>
  </si>
  <si>
    <t>Shawana</t>
  </si>
  <si>
    <t>Farrance STREET</t>
  </si>
  <si>
    <t>Farrant Avenue</t>
  </si>
  <si>
    <t>Dalton-In-Furness</t>
  </si>
  <si>
    <t>Clemons</t>
  </si>
  <si>
    <t>Farthing Alley</t>
  </si>
  <si>
    <t>Llandudno Junction</t>
  </si>
  <si>
    <t>Dustin</t>
  </si>
  <si>
    <t>Farthingale Walk</t>
  </si>
  <si>
    <t>Penysarn</t>
  </si>
  <si>
    <t>Raymon</t>
  </si>
  <si>
    <t>Fauconberg Road</t>
  </si>
  <si>
    <t>Robertsbridge</t>
  </si>
  <si>
    <t>Rosalia</t>
  </si>
  <si>
    <t>Faulkner Street</t>
  </si>
  <si>
    <t>Armagh</t>
  </si>
  <si>
    <t>Faulkners Alley</t>
  </si>
  <si>
    <t>Coleman</t>
  </si>
  <si>
    <t>Menstrie</t>
  </si>
  <si>
    <t>Meda</t>
  </si>
  <si>
    <t>Cassidy</t>
  </si>
  <si>
    <t>Fawcett Estate</t>
  </si>
  <si>
    <t>Hue</t>
  </si>
  <si>
    <t>Fawcett Road</t>
  </si>
  <si>
    <t>Maida</t>
  </si>
  <si>
    <t>Fawley Road</t>
  </si>
  <si>
    <t>Boscastle</t>
  </si>
  <si>
    <t>Portia</t>
  </si>
  <si>
    <t>Fayland Avenue</t>
  </si>
  <si>
    <t>Broxbourne</t>
  </si>
  <si>
    <t>Fearegg</t>
  </si>
  <si>
    <t>Robinson</t>
  </si>
  <si>
    <t>Feathers Court</t>
  </si>
  <si>
    <t>Clifford</t>
  </si>
  <si>
    <t>Orozco</t>
  </si>
  <si>
    <t>Featherstone Court</t>
  </si>
  <si>
    <t>Gerard</t>
  </si>
  <si>
    <t>Featley Road</t>
  </si>
  <si>
    <t>Porthcawl</t>
  </si>
  <si>
    <t>Felbridge Close</t>
  </si>
  <si>
    <t>Felix Place</t>
  </si>
  <si>
    <t>Kelli</t>
  </si>
  <si>
    <t>Ogden</t>
  </si>
  <si>
    <t>Felix Street</t>
  </si>
  <si>
    <t>Josiah</t>
  </si>
  <si>
    <t>Hines</t>
  </si>
  <si>
    <t>Felix Terrace</t>
  </si>
  <si>
    <t>Fenchurch Place</t>
  </si>
  <si>
    <t>Denisse</t>
  </si>
  <si>
    <t>Fentons Avenue</t>
  </si>
  <si>
    <t>Kidderminster</t>
  </si>
  <si>
    <t>Nicolasa</t>
  </si>
  <si>
    <t>Fenwick Street</t>
  </si>
  <si>
    <t>Trudie</t>
  </si>
  <si>
    <t>Fergus Road</t>
  </si>
  <si>
    <t>Elmer</t>
  </si>
  <si>
    <t>Fern Close</t>
  </si>
  <si>
    <t>Stephen</t>
  </si>
  <si>
    <t>Fernhurst Road</t>
  </si>
  <si>
    <t>Gregoria</t>
  </si>
  <si>
    <t>Wilder</t>
  </si>
  <si>
    <t>Ferns Road</t>
  </si>
  <si>
    <t>Blue</t>
  </si>
  <si>
    <t>Larbert</t>
  </si>
  <si>
    <t>Oretha</t>
  </si>
  <si>
    <t>Pope</t>
  </si>
  <si>
    <t>Fernsbury Street</t>
  </si>
  <si>
    <t>Tiverton</t>
  </si>
  <si>
    <t>Collin</t>
  </si>
  <si>
    <t>Gross</t>
  </si>
  <si>
    <t>Fernside Road</t>
  </si>
  <si>
    <t>Millom</t>
  </si>
  <si>
    <t>Curtis</t>
  </si>
  <si>
    <t>Duncan</t>
  </si>
  <si>
    <t>Fernwood Crescent</t>
  </si>
  <si>
    <t>Sharmaine</t>
  </si>
  <si>
    <t>Ferrand St</t>
  </si>
  <si>
    <t>Ferrand Street</t>
  </si>
  <si>
    <t>Boat Of Garten</t>
  </si>
  <si>
    <t>Sibyl</t>
  </si>
  <si>
    <t>Field Lane</t>
  </si>
  <si>
    <t>Stanmore</t>
  </si>
  <si>
    <t>Myra</t>
  </si>
  <si>
    <t>Roman</t>
  </si>
  <si>
    <t>Fieldfare Road</t>
  </si>
  <si>
    <t>Mariana</t>
  </si>
  <si>
    <t>Bennett</t>
  </si>
  <si>
    <t>Fielding Mews</t>
  </si>
  <si>
    <t>Fielding Street</t>
  </si>
  <si>
    <t>Lizzie</t>
  </si>
  <si>
    <t>Fife Court</t>
  </si>
  <si>
    <t>Yulanda</t>
  </si>
  <si>
    <t>Wiseman</t>
  </si>
  <si>
    <t>Finchley Road</t>
  </si>
  <si>
    <t>Joane</t>
  </si>
  <si>
    <t>Finchley Villas</t>
  </si>
  <si>
    <t>Romsey</t>
  </si>
  <si>
    <t>Finchley Way</t>
  </si>
  <si>
    <t>Findon Road</t>
  </si>
  <si>
    <t>Darrick</t>
  </si>
  <si>
    <t>Carmichael</t>
  </si>
  <si>
    <t>Finsbury Market</t>
  </si>
  <si>
    <t>Lacy</t>
  </si>
  <si>
    <t>Cooper</t>
  </si>
  <si>
    <t>Bellshill</t>
  </si>
  <si>
    <t>Rodolfo</t>
  </si>
  <si>
    <t>Finsbury Pavement</t>
  </si>
  <si>
    <t>Shoreham-By-Sea</t>
  </si>
  <si>
    <t>Finch</t>
  </si>
  <si>
    <t>Finsbury Road</t>
  </si>
  <si>
    <t>Pembroke</t>
  </si>
  <si>
    <t>Moon</t>
  </si>
  <si>
    <t>Finsbury Square</t>
  </si>
  <si>
    <t>Christoper</t>
  </si>
  <si>
    <t>Adkins</t>
  </si>
  <si>
    <t>Firecrest Drive</t>
  </si>
  <si>
    <t>Dorthy</t>
  </si>
  <si>
    <t>Firhill Road</t>
  </si>
  <si>
    <t>Cowes</t>
  </si>
  <si>
    <t>Asia</t>
  </si>
  <si>
    <t>Firs Close</t>
  </si>
  <si>
    <t>Lochailort</t>
  </si>
  <si>
    <t>Delta</t>
  </si>
  <si>
    <t>Schmitz</t>
  </si>
  <si>
    <t>First Avenue</t>
  </si>
  <si>
    <t>Underwood</t>
  </si>
  <si>
    <t>Fish Street</t>
  </si>
  <si>
    <t>Fishermans Walk</t>
  </si>
  <si>
    <t>Tyrell</t>
  </si>
  <si>
    <t>Fishers Rents</t>
  </si>
  <si>
    <t>Kidwelly</t>
  </si>
  <si>
    <t>Coy</t>
  </si>
  <si>
    <t>Fitzroy Street</t>
  </si>
  <si>
    <t>Ezra</t>
  </si>
  <si>
    <t>Five Acre</t>
  </si>
  <si>
    <t>Flanders Crescent</t>
  </si>
  <si>
    <t>Ha</t>
  </si>
  <si>
    <t>Fleet Road</t>
  </si>
  <si>
    <t>Chen</t>
  </si>
  <si>
    <t>Fleming Drive</t>
  </si>
  <si>
    <t>Tewkesbury</t>
  </si>
  <si>
    <t>Jessie</t>
  </si>
  <si>
    <t>Fleming Walk</t>
  </si>
  <si>
    <t>Bryant</t>
  </si>
  <si>
    <t>Fleming Way</t>
  </si>
  <si>
    <t>Saturnina</t>
  </si>
  <si>
    <t>Fletcher Row</t>
  </si>
  <si>
    <t>Torri</t>
  </si>
  <si>
    <t>Calvert</t>
  </si>
  <si>
    <t>Fletton Road</t>
  </si>
  <si>
    <t>Kington</t>
  </si>
  <si>
    <t>Fleur-de-Lie Street</t>
  </si>
  <si>
    <t>Woodard</t>
  </si>
  <si>
    <t>Flexmere Road</t>
  </si>
  <si>
    <t>Robby</t>
  </si>
  <si>
    <t>Fink</t>
  </si>
  <si>
    <t>Flockton Street</t>
  </si>
  <si>
    <t>Ronny</t>
  </si>
  <si>
    <t>Florence Terrace</t>
  </si>
  <si>
    <t>Marlon</t>
  </si>
  <si>
    <t>Flower &amp;</t>
  </si>
  <si>
    <t>Rutherford</t>
  </si>
  <si>
    <t>Flower And</t>
  </si>
  <si>
    <t>Hinson</t>
  </si>
  <si>
    <t>Flowers Mews</t>
  </si>
  <si>
    <t>Folgate Street</t>
  </si>
  <si>
    <t>Valarie</t>
  </si>
  <si>
    <t>Talley</t>
  </si>
  <si>
    <t>Foliot Street</t>
  </si>
  <si>
    <t>Folkington Corner</t>
  </si>
  <si>
    <t>Purley</t>
  </si>
  <si>
    <t>White</t>
  </si>
  <si>
    <t>Fontarabia Road</t>
  </si>
  <si>
    <t>Marylee</t>
  </si>
  <si>
    <t>Ford Close</t>
  </si>
  <si>
    <t>Fordhook AVE</t>
  </si>
  <si>
    <t>Lala</t>
  </si>
  <si>
    <t>Wills</t>
  </si>
  <si>
    <t>Fordwych Road</t>
  </si>
  <si>
    <t>Delabole</t>
  </si>
  <si>
    <t>Forest Approach</t>
  </si>
  <si>
    <t>Nam</t>
  </si>
  <si>
    <t>Morin</t>
  </si>
  <si>
    <t>Forest Court</t>
  </si>
  <si>
    <t>Friend</t>
  </si>
  <si>
    <t>Forest Grove</t>
  </si>
  <si>
    <t>Gustavo</t>
  </si>
  <si>
    <t>Forest Hill</t>
  </si>
  <si>
    <t>Forest Lane</t>
  </si>
  <si>
    <t>Cassandra</t>
  </si>
  <si>
    <t>Forston Street</t>
  </si>
  <si>
    <t>Ines</t>
  </si>
  <si>
    <t>Forsyte Crescent</t>
  </si>
  <si>
    <t>Hemel Hempstead</t>
  </si>
  <si>
    <t>Neoma</t>
  </si>
  <si>
    <t>Fortescue Avenue</t>
  </si>
  <si>
    <t>Donny</t>
  </si>
  <si>
    <t>Fortess Road</t>
  </si>
  <si>
    <t>Mina</t>
  </si>
  <si>
    <t>Emerson</t>
  </si>
  <si>
    <t>Fortune Street</t>
  </si>
  <si>
    <t>Ayers</t>
  </si>
  <si>
    <t>Foskett Rd</t>
  </si>
  <si>
    <t>Tetbury</t>
  </si>
  <si>
    <t>Foss Buildings</t>
  </si>
  <si>
    <t>Newtonmore</t>
  </si>
  <si>
    <t>Fosse Way</t>
  </si>
  <si>
    <t>Foston Villas</t>
  </si>
  <si>
    <t>Graciela</t>
  </si>
  <si>
    <t>Connelly</t>
  </si>
  <si>
    <t>Fothergill Drive</t>
  </si>
  <si>
    <t>Foulis Terrace</t>
  </si>
  <si>
    <t>Archie</t>
  </si>
  <si>
    <t>Phillips</t>
  </si>
  <si>
    <t>Founder Close</t>
  </si>
  <si>
    <t>Verlene</t>
  </si>
  <si>
    <t>Blackman</t>
  </si>
  <si>
    <t>Founders' Court</t>
  </si>
  <si>
    <t>Steve</t>
  </si>
  <si>
    <t>Worksop</t>
  </si>
  <si>
    <t>Han</t>
  </si>
  <si>
    <t>Fountain Green</t>
  </si>
  <si>
    <t>Roxy</t>
  </si>
  <si>
    <t>Fountain Mews</t>
  </si>
  <si>
    <t>Fabiola</t>
  </si>
  <si>
    <t>Fourth Avenue</t>
  </si>
  <si>
    <t>Fowler Street</t>
  </si>
  <si>
    <t>Ryan</t>
  </si>
  <si>
    <t>Fox Tavern</t>
  </si>
  <si>
    <t>Bathgate</t>
  </si>
  <si>
    <t>BA</t>
  </si>
  <si>
    <t>Kimber</t>
  </si>
  <si>
    <t>Glenn</t>
  </si>
  <si>
    <t>Foxberry Grove</t>
  </si>
  <si>
    <t>Russel</t>
  </si>
  <si>
    <t>Lyon</t>
  </si>
  <si>
    <t>Foxes Buildnijs</t>
  </si>
  <si>
    <t>Foxhole Road</t>
  </si>
  <si>
    <t>Strabane</t>
  </si>
  <si>
    <t>Irwin</t>
  </si>
  <si>
    <t>Foxley Close</t>
  </si>
  <si>
    <t>Isle Of Mull</t>
  </si>
  <si>
    <t>Sherlene</t>
  </si>
  <si>
    <t>Foxley Road</t>
  </si>
  <si>
    <t>Berkhamsted</t>
  </si>
  <si>
    <t>Holland</t>
  </si>
  <si>
    <t>Foxwood Close</t>
  </si>
  <si>
    <t>Shanna</t>
  </si>
  <si>
    <t>Fran Place</t>
  </si>
  <si>
    <t>Hereford</t>
  </si>
  <si>
    <t>Estella</t>
  </si>
  <si>
    <t>Herman</t>
  </si>
  <si>
    <t>Franconia Road</t>
  </si>
  <si>
    <t>Frankfurt Road</t>
  </si>
  <si>
    <t>Dorris</t>
  </si>
  <si>
    <t>Cedrick</t>
  </si>
  <si>
    <t>Franklin Road</t>
  </si>
  <si>
    <t>Franlaw Crescent</t>
  </si>
  <si>
    <t>Ghislaine</t>
  </si>
  <si>
    <t>Fraser Close</t>
  </si>
  <si>
    <t>Suffolk</t>
  </si>
  <si>
    <t>Lucrecia</t>
  </si>
  <si>
    <t>Whitman</t>
  </si>
  <si>
    <t>Fraser Road</t>
  </si>
  <si>
    <t>Briggs</t>
  </si>
  <si>
    <t>Frederick Close</t>
  </si>
  <si>
    <t>Toney</t>
  </si>
  <si>
    <t>Pollard</t>
  </si>
  <si>
    <t>Frederick Cottages</t>
  </si>
  <si>
    <t>Marg</t>
  </si>
  <si>
    <t>Luna</t>
  </si>
  <si>
    <t>Frederick Place</t>
  </si>
  <si>
    <t>Freeling Street</t>
  </si>
  <si>
    <t>Fremont Street</t>
  </si>
  <si>
    <t>Crow</t>
  </si>
  <si>
    <t>French School</t>
  </si>
  <si>
    <t>Ardath</t>
  </si>
  <si>
    <t>Frensham Drive</t>
  </si>
  <si>
    <t>Donaghadee</t>
  </si>
  <si>
    <t>Buford</t>
  </si>
  <si>
    <t>Freshwater Road</t>
  </si>
  <si>
    <t>Bernita</t>
  </si>
  <si>
    <t>Napier</t>
  </si>
  <si>
    <t>Freston Road</t>
  </si>
  <si>
    <t>Jenise</t>
  </si>
  <si>
    <t>Buckley</t>
  </si>
  <si>
    <t>Ortega</t>
  </si>
  <si>
    <t>Frewin Road</t>
  </si>
  <si>
    <t>Horton</t>
  </si>
  <si>
    <t>Friary Way</t>
  </si>
  <si>
    <t>Belen</t>
  </si>
  <si>
    <t>Frigate Mews</t>
  </si>
  <si>
    <t>Frimley Way</t>
  </si>
  <si>
    <t>Treharris</t>
  </si>
  <si>
    <t>Earlene</t>
  </si>
  <si>
    <t>Frithville Gardens</t>
  </si>
  <si>
    <t>Richardson</t>
  </si>
  <si>
    <t>Fritton PLACE</t>
  </si>
  <si>
    <t>Fermin</t>
  </si>
  <si>
    <t>Frognal</t>
  </si>
  <si>
    <t>Frognal Parade</t>
  </si>
  <si>
    <t>Shenna</t>
  </si>
  <si>
    <t>Frogs Island</t>
  </si>
  <si>
    <t>Harleston</t>
  </si>
  <si>
    <t>Adela</t>
  </si>
  <si>
    <t>Frostic Place</t>
  </si>
  <si>
    <t>Ada</t>
  </si>
  <si>
    <t>Fulham Palace</t>
  </si>
  <si>
    <t>Demarcus</t>
  </si>
  <si>
    <t>Fulham's Green</t>
  </si>
  <si>
    <t>Nicola</t>
  </si>
  <si>
    <t>Fulmer Road</t>
  </si>
  <si>
    <t>Whitley Bay</t>
  </si>
  <si>
    <t>Fulwood's Rents</t>
  </si>
  <si>
    <t>Haverfordwest</t>
  </si>
  <si>
    <t>Furlong Road</t>
  </si>
  <si>
    <t>Furnivals Inn</t>
  </si>
  <si>
    <t>Dede</t>
  </si>
  <si>
    <t>Furrow Lane</t>
  </si>
  <si>
    <t>Lybster</t>
  </si>
  <si>
    <t>Lorina</t>
  </si>
  <si>
    <t>Spears</t>
  </si>
  <si>
    <t>Further Green</t>
  </si>
  <si>
    <t>Furze Down</t>
  </si>
  <si>
    <t>Mireya</t>
  </si>
  <si>
    <t>Castillo</t>
  </si>
  <si>
    <t>Furzefield Road</t>
  </si>
  <si>
    <t>Fyfield Road</t>
  </si>
  <si>
    <t>Joycelyn</t>
  </si>
  <si>
    <t>Thacker</t>
  </si>
  <si>
    <t>Zonia</t>
  </si>
  <si>
    <t>Presley</t>
  </si>
  <si>
    <t>Gad Close</t>
  </si>
  <si>
    <t>Heath</t>
  </si>
  <si>
    <t>Gage Road</t>
  </si>
  <si>
    <t>Gainsborough Avenue</t>
  </si>
  <si>
    <t>Gainsborough Gardens</t>
  </si>
  <si>
    <t>Name</t>
  </si>
  <si>
    <t>Bolden</t>
  </si>
  <si>
    <t>Galleon Close</t>
  </si>
  <si>
    <t>Florence</t>
  </si>
  <si>
    <t>Galleywall Road</t>
  </si>
  <si>
    <t>Fife</t>
  </si>
  <si>
    <t>Erick</t>
  </si>
  <si>
    <t>Ricks</t>
  </si>
  <si>
    <t>Gambia Street</t>
  </si>
  <si>
    <t>Dianne</t>
  </si>
  <si>
    <t>Garden Court</t>
  </si>
  <si>
    <t>Strathcarron</t>
  </si>
  <si>
    <t>Precious</t>
  </si>
  <si>
    <t>Barnard</t>
  </si>
  <si>
    <t>Garden Walk</t>
  </si>
  <si>
    <t>Laraine</t>
  </si>
  <si>
    <t>Gardeners Yard</t>
  </si>
  <si>
    <t>Ruthin</t>
  </si>
  <si>
    <t>Gardner Close</t>
  </si>
  <si>
    <t>Francesco</t>
  </si>
  <si>
    <t>Gardner's Lane</t>
  </si>
  <si>
    <t>Maye</t>
  </si>
  <si>
    <t>Garfield RD</t>
  </si>
  <si>
    <t>Felecia</t>
  </si>
  <si>
    <t>Huerta</t>
  </si>
  <si>
    <t>Garlinge Road</t>
  </si>
  <si>
    <t>Jamaal</t>
  </si>
  <si>
    <t>Garner Street</t>
  </si>
  <si>
    <t>Diann</t>
  </si>
  <si>
    <t>Rowell</t>
  </si>
  <si>
    <t>Garnett Close</t>
  </si>
  <si>
    <t>Winscombe</t>
  </si>
  <si>
    <t>Garrick Way</t>
  </si>
  <si>
    <t>Medeiros</t>
  </si>
  <si>
    <t>Garter Way</t>
  </si>
  <si>
    <t>Colintraive</t>
  </si>
  <si>
    <t>Garth Road</t>
  </si>
  <si>
    <t>Elaine</t>
  </si>
  <si>
    <t>Gas Works</t>
  </si>
  <si>
    <t>Les</t>
  </si>
  <si>
    <t>Finn</t>
  </si>
  <si>
    <t>Gaspar Close</t>
  </si>
  <si>
    <t>Gassiot Road</t>
  </si>
  <si>
    <t>Pauletta</t>
  </si>
  <si>
    <t>Tovar</t>
  </si>
  <si>
    <t>Gatcombe Villas</t>
  </si>
  <si>
    <t>Rona</t>
  </si>
  <si>
    <t>Gateway Mews</t>
  </si>
  <si>
    <t>Cristobal</t>
  </si>
  <si>
    <t>Hood</t>
  </si>
  <si>
    <t>Hunstanton</t>
  </si>
  <si>
    <t>Erline</t>
  </si>
  <si>
    <t>Hudson</t>
  </si>
  <si>
    <t>Gatton Road</t>
  </si>
  <si>
    <t>Reta</t>
  </si>
  <si>
    <t>Zapata</t>
  </si>
  <si>
    <t>Gatward Green</t>
  </si>
  <si>
    <t>Bush</t>
  </si>
  <si>
    <t>Gautrey Road</t>
  </si>
  <si>
    <t>Hemphill</t>
  </si>
  <si>
    <t>Gautrey Square</t>
  </si>
  <si>
    <t>Fraserburgh</t>
  </si>
  <si>
    <t>Buchanan</t>
  </si>
  <si>
    <t>Gaverick Street</t>
  </si>
  <si>
    <t>Oakley</t>
  </si>
  <si>
    <t>Delphia</t>
  </si>
  <si>
    <t>Collier</t>
  </si>
  <si>
    <t>Gaynesford Road</t>
  </si>
  <si>
    <t>Leonel</t>
  </si>
  <si>
    <t>Gayton Road</t>
  </si>
  <si>
    <t>Tonypandy</t>
  </si>
  <si>
    <t>Drema</t>
  </si>
  <si>
    <t>Carrillo</t>
  </si>
  <si>
    <t>Gayville Road</t>
  </si>
  <si>
    <t>Wymondham</t>
  </si>
  <si>
    <t>Annis</t>
  </si>
  <si>
    <t>Gaywood Road</t>
  </si>
  <si>
    <t>Melisa</t>
  </si>
  <si>
    <t>Gedling Street</t>
  </si>
  <si>
    <t>Linnie</t>
  </si>
  <si>
    <t>Corbin</t>
  </si>
  <si>
    <t>Gee's Court</t>
  </si>
  <si>
    <t>Silas</t>
  </si>
  <si>
    <t>Geldeston Road</t>
  </si>
  <si>
    <t>Shawn</t>
  </si>
  <si>
    <t>Genista Road</t>
  </si>
  <si>
    <t>George Lane</t>
  </si>
  <si>
    <t>Kassandra</t>
  </si>
  <si>
    <t>Mcdonald</t>
  </si>
  <si>
    <t>George Road</t>
  </si>
  <si>
    <t>Liz</t>
  </si>
  <si>
    <t>George Square</t>
  </si>
  <si>
    <t>Wally</t>
  </si>
  <si>
    <t>Hogan</t>
  </si>
  <si>
    <t>George's Row</t>
  </si>
  <si>
    <t>Hisako</t>
  </si>
  <si>
    <t>Sanderson</t>
  </si>
  <si>
    <t>Georges Terrace</t>
  </si>
  <si>
    <t>Rueben</t>
  </si>
  <si>
    <t>Georgette Place</t>
  </si>
  <si>
    <t>Benitez</t>
  </si>
  <si>
    <t>Germander Way</t>
  </si>
  <si>
    <t>Keena</t>
  </si>
  <si>
    <t>Gibbins Road</t>
  </si>
  <si>
    <t>Fox</t>
  </si>
  <si>
    <t>Gibbs Avenue</t>
  </si>
  <si>
    <t>Gibbs Close</t>
  </si>
  <si>
    <t>Nannette</t>
  </si>
  <si>
    <t>Goldstein</t>
  </si>
  <si>
    <t>Gibraltar Gardens</t>
  </si>
  <si>
    <t>Mitcheldean</t>
  </si>
  <si>
    <t>Vivian</t>
  </si>
  <si>
    <t>Gilbert Close</t>
  </si>
  <si>
    <t>Dyffryn Ardudwy</t>
  </si>
  <si>
    <t>Jamey</t>
  </si>
  <si>
    <t>Odonnell</t>
  </si>
  <si>
    <t>Gilbeys Yard</t>
  </si>
  <si>
    <t>Negron</t>
  </si>
  <si>
    <t>Gilham's Court</t>
  </si>
  <si>
    <t>Mathews</t>
  </si>
  <si>
    <t>Gillam's Yard</t>
  </si>
  <si>
    <t>Toshia</t>
  </si>
  <si>
    <t>Gillards Mews</t>
  </si>
  <si>
    <t>Christensen</t>
  </si>
  <si>
    <t>Gillender Street</t>
  </si>
  <si>
    <t>Knutson</t>
  </si>
  <si>
    <t>Gillingham Row</t>
  </si>
  <si>
    <t>Felipa</t>
  </si>
  <si>
    <t>Gillingham Street</t>
  </si>
  <si>
    <t>Fowler</t>
  </si>
  <si>
    <t>Gilstead Road</t>
  </si>
  <si>
    <t>Minerva</t>
  </si>
  <si>
    <t>Gimber's Rents</t>
  </si>
  <si>
    <t>Prestonpans</t>
  </si>
  <si>
    <t>Caroline</t>
  </si>
  <si>
    <t>Gin Alley</t>
  </si>
  <si>
    <t>Gipsy Road</t>
  </si>
  <si>
    <t>Attleborough</t>
  </si>
  <si>
    <t>CV</t>
  </si>
  <si>
    <t>Roseann</t>
  </si>
  <si>
    <t>Wokingham</t>
  </si>
  <si>
    <t>Suzie</t>
  </si>
  <si>
    <t>Lay</t>
  </si>
  <si>
    <t>Girdler or</t>
  </si>
  <si>
    <t>Anabel</t>
  </si>
  <si>
    <t>Girdwood Road</t>
  </si>
  <si>
    <t>Gladstone Avenue</t>
  </si>
  <si>
    <t>Franco</t>
  </si>
  <si>
    <t>Gladstone House</t>
  </si>
  <si>
    <t>Hilda</t>
  </si>
  <si>
    <t>Glanton House</t>
  </si>
  <si>
    <t>Askew</t>
  </si>
  <si>
    <t>Glanywerene Lodge</t>
  </si>
  <si>
    <t>Maryrose</t>
  </si>
  <si>
    <t>West Byfleet</t>
  </si>
  <si>
    <t>Garth</t>
  </si>
  <si>
    <t>Glaserton Road</t>
  </si>
  <si>
    <t>Blankenship</t>
  </si>
  <si>
    <t>Glasgow Road</t>
  </si>
  <si>
    <t>Tamekia</t>
  </si>
  <si>
    <t>Glaskin Street</t>
  </si>
  <si>
    <t>Watchet</t>
  </si>
  <si>
    <t>Light</t>
  </si>
  <si>
    <t>Glasshouse Buildings</t>
  </si>
  <si>
    <t>Geneva</t>
  </si>
  <si>
    <t>Shepherd</t>
  </si>
  <si>
    <t>Glasshouse Street</t>
  </si>
  <si>
    <t>Tuan</t>
  </si>
  <si>
    <t>Glasshouse Yard</t>
  </si>
  <si>
    <t>Roxie</t>
  </si>
  <si>
    <t>Glebelands</t>
  </si>
  <si>
    <t>Merilyn</t>
  </si>
  <si>
    <t>Garcia</t>
  </si>
  <si>
    <t>Glendale Close</t>
  </si>
  <si>
    <t>Glendale Drive</t>
  </si>
  <si>
    <t>Cowdenbeath</t>
  </si>
  <si>
    <t>Bowling</t>
  </si>
  <si>
    <t>Glendall Street</t>
  </si>
  <si>
    <t>Shelby</t>
  </si>
  <si>
    <t>Lovett</t>
  </si>
  <si>
    <t>Glenfarg Road</t>
  </si>
  <si>
    <t>Bettyann</t>
  </si>
  <si>
    <t>Glengarry Road</t>
  </si>
  <si>
    <t>Tarporley</t>
  </si>
  <si>
    <t>Glenhill Close</t>
  </si>
  <si>
    <t>Market Rasen</t>
  </si>
  <si>
    <t>Pack</t>
  </si>
  <si>
    <t>Glenhurst House</t>
  </si>
  <si>
    <t>Janita</t>
  </si>
  <si>
    <t>Glenloch Road</t>
  </si>
  <si>
    <t>Glentanner Way</t>
  </si>
  <si>
    <t>Jesse</t>
  </si>
  <si>
    <t>Glenthorne</t>
  </si>
  <si>
    <t>Addlestone</t>
  </si>
  <si>
    <t>Harry</t>
  </si>
  <si>
    <t>Kay</t>
  </si>
  <si>
    <t>Glenview</t>
  </si>
  <si>
    <t>Glenville Cottages</t>
  </si>
  <si>
    <t>Lochearnhead</t>
  </si>
  <si>
    <t>Glenwood Avenue</t>
  </si>
  <si>
    <t>Buckingham</t>
  </si>
  <si>
    <t>Gloster Villas</t>
  </si>
  <si>
    <t>Tobias</t>
  </si>
  <si>
    <t>Gloucester Buildings</t>
  </si>
  <si>
    <t>Ventura</t>
  </si>
  <si>
    <t>Gloucester Drive</t>
  </si>
  <si>
    <t>Gloucester Gardens</t>
  </si>
  <si>
    <t>Cheshire</t>
  </si>
  <si>
    <t>Raven</t>
  </si>
  <si>
    <t>Rainey</t>
  </si>
  <si>
    <t>Gloucester House</t>
  </si>
  <si>
    <t>Fishguard</t>
  </si>
  <si>
    <t>Gloucester Mews</t>
  </si>
  <si>
    <t>Jarod</t>
  </si>
  <si>
    <t>Brown</t>
  </si>
  <si>
    <t>Gloucestershire Place</t>
  </si>
  <si>
    <t>Rosanna</t>
  </si>
  <si>
    <t>Byrne</t>
  </si>
  <si>
    <t>Glover Close</t>
  </si>
  <si>
    <t>Doug</t>
  </si>
  <si>
    <t>Glovers' Hall</t>
  </si>
  <si>
    <t>Healy</t>
  </si>
  <si>
    <t>Glovers Place</t>
  </si>
  <si>
    <t>Glyn Close</t>
  </si>
  <si>
    <t>Rivers</t>
  </si>
  <si>
    <t>Glyndon Street</t>
  </si>
  <si>
    <t>Goad's Place</t>
  </si>
  <si>
    <t>Savannah</t>
  </si>
  <si>
    <t>Godfrey Place</t>
  </si>
  <si>
    <t>Madeline</t>
  </si>
  <si>
    <t>Godfrey Street</t>
  </si>
  <si>
    <t>Garfield</t>
  </si>
  <si>
    <t>Godman Road</t>
  </si>
  <si>
    <t>Virginia Water</t>
  </si>
  <si>
    <t>Dominic</t>
  </si>
  <si>
    <t>Godolphin Close</t>
  </si>
  <si>
    <t>Prince</t>
  </si>
  <si>
    <t>Golborne Road</t>
  </si>
  <si>
    <t>Golden Cottage</t>
  </si>
  <si>
    <t>Catterick Garrison</t>
  </si>
  <si>
    <t>Adan</t>
  </si>
  <si>
    <t>Golden Manor</t>
  </si>
  <si>
    <t>Floy</t>
  </si>
  <si>
    <t>Golden Parade</t>
  </si>
  <si>
    <t>Kathrine</t>
  </si>
  <si>
    <t>Post</t>
  </si>
  <si>
    <t>Golders Hill</t>
  </si>
  <si>
    <t>Lashunda</t>
  </si>
  <si>
    <t>Golders Rise</t>
  </si>
  <si>
    <t>Saul</t>
  </si>
  <si>
    <t>Goldhawk Road</t>
  </si>
  <si>
    <t>Goldhurst Terrace</t>
  </si>
  <si>
    <t>Paris</t>
  </si>
  <si>
    <t>Henley</t>
  </si>
  <si>
    <t>Golding Street</t>
  </si>
  <si>
    <t>Hillsborough</t>
  </si>
  <si>
    <t>Tonia</t>
  </si>
  <si>
    <t>Goldington Street</t>
  </si>
  <si>
    <t>Goldsmith Lane</t>
  </si>
  <si>
    <t>Margarette</t>
  </si>
  <si>
    <t>Zamora</t>
  </si>
  <si>
    <t>Goldsmith Place</t>
  </si>
  <si>
    <t>Goldsmiths Green</t>
  </si>
  <si>
    <t>Vaughn</t>
  </si>
  <si>
    <t>Dennise</t>
  </si>
  <si>
    <t>Goldsmiths Plc</t>
  </si>
  <si>
    <t>Gomm Road</t>
  </si>
  <si>
    <t>Gonsalva Road</t>
  </si>
  <si>
    <t>Snell</t>
  </si>
  <si>
    <t>Gonston Close</t>
  </si>
  <si>
    <t>Isle Of Arran</t>
  </si>
  <si>
    <t>Kimi</t>
  </si>
  <si>
    <t>Goodenough Road</t>
  </si>
  <si>
    <t>Otilia</t>
  </si>
  <si>
    <t>Goode's Court</t>
  </si>
  <si>
    <t>Putnam</t>
  </si>
  <si>
    <t>Rosamaria</t>
  </si>
  <si>
    <t>Davidson</t>
  </si>
  <si>
    <t>Goodge Place</t>
  </si>
  <si>
    <t>Yuki</t>
  </si>
  <si>
    <t>Villegas</t>
  </si>
  <si>
    <t>Goodliffe Street</t>
  </si>
  <si>
    <t>Pia</t>
  </si>
  <si>
    <t>Goodman Crescent</t>
  </si>
  <si>
    <t>Carry</t>
  </si>
  <si>
    <t>Acosta</t>
  </si>
  <si>
    <t>Goodwyns Vale</t>
  </si>
  <si>
    <t>Brianna</t>
  </si>
  <si>
    <t>Painter</t>
  </si>
  <si>
    <t>Goodyers Gardens</t>
  </si>
  <si>
    <t>Nadia</t>
  </si>
  <si>
    <t>Gorden Grove</t>
  </si>
  <si>
    <t>Gordon Close</t>
  </si>
  <si>
    <t>Johnie</t>
  </si>
  <si>
    <t>Gordon Terraces</t>
  </si>
  <si>
    <t>Charise</t>
  </si>
  <si>
    <t>Gore Terrace</t>
  </si>
  <si>
    <t>Goschen Street</t>
  </si>
  <si>
    <t>Miki</t>
  </si>
  <si>
    <t>Burkett</t>
  </si>
  <si>
    <t>Goslin's Yard</t>
  </si>
  <si>
    <t>Lowell</t>
  </si>
  <si>
    <t>Calderon</t>
  </si>
  <si>
    <t>Gossett Street</t>
  </si>
  <si>
    <t>Gothic House</t>
  </si>
  <si>
    <t>Pearl</t>
  </si>
  <si>
    <t>Goulston Square</t>
  </si>
  <si>
    <t>Bernadette</t>
  </si>
  <si>
    <t>Gourley Street</t>
  </si>
  <si>
    <t>Mckenzie</t>
  </si>
  <si>
    <t>Goveys Place</t>
  </si>
  <si>
    <t>Sallie</t>
  </si>
  <si>
    <t>Govier Close</t>
  </si>
  <si>
    <t>Chan</t>
  </si>
  <si>
    <t>Gowan Road</t>
  </si>
  <si>
    <t>Fairbourne</t>
  </si>
  <si>
    <t>Rheba</t>
  </si>
  <si>
    <t>Duvall</t>
  </si>
  <si>
    <t>Graces Mews</t>
  </si>
  <si>
    <t>Cathrine</t>
  </si>
  <si>
    <t>Glass</t>
  </si>
  <si>
    <t>Grace's Road</t>
  </si>
  <si>
    <t>Arlena</t>
  </si>
  <si>
    <t>Grafton Crescent</t>
  </si>
  <si>
    <t>Myers</t>
  </si>
  <si>
    <t>Grafton House</t>
  </si>
  <si>
    <t>Celina</t>
  </si>
  <si>
    <t>Grainger Street</t>
  </si>
  <si>
    <t>Clarence</t>
  </si>
  <si>
    <t>Granby Cottages</t>
  </si>
  <si>
    <t>Peterlee</t>
  </si>
  <si>
    <t>Granby Road</t>
  </si>
  <si>
    <t>Escobar</t>
  </si>
  <si>
    <t>Granby Terrace</t>
  </si>
  <si>
    <t>Grand Junction</t>
  </si>
  <si>
    <t>Elbert</t>
  </si>
  <si>
    <t>Granden Road</t>
  </si>
  <si>
    <t>Wylam</t>
  </si>
  <si>
    <t>Harvey</t>
  </si>
  <si>
    <t>Grange Cottages</t>
  </si>
  <si>
    <t>Grange Grove</t>
  </si>
  <si>
    <t>Alia</t>
  </si>
  <si>
    <t>Grange Park</t>
  </si>
  <si>
    <t>Banstead</t>
  </si>
  <si>
    <t>Grange Terrace</t>
  </si>
  <si>
    <t>Newport-On-Tay</t>
  </si>
  <si>
    <t>Shanelle</t>
  </si>
  <si>
    <t>Grange View</t>
  </si>
  <si>
    <t>Rodrick</t>
  </si>
  <si>
    <t>Grangehill Road</t>
  </si>
  <si>
    <t>Grangewood Terrace</t>
  </si>
  <si>
    <t>Katharina</t>
  </si>
  <si>
    <t>Granley Gardens</t>
  </si>
  <si>
    <t>Perranporth</t>
  </si>
  <si>
    <t>Grantham Place</t>
  </si>
  <si>
    <t>Maurita</t>
  </si>
  <si>
    <t>Grants Close</t>
  </si>
  <si>
    <t>Millard</t>
  </si>
  <si>
    <t>Washington</t>
  </si>
  <si>
    <t>Grantully Road</t>
  </si>
  <si>
    <t>Lundy</t>
  </si>
  <si>
    <t>Granville Gardens</t>
  </si>
  <si>
    <t>Martock</t>
  </si>
  <si>
    <t>Sharen</t>
  </si>
  <si>
    <t>Granville House</t>
  </si>
  <si>
    <t>Buxton</t>
  </si>
  <si>
    <t>Jodi</t>
  </si>
  <si>
    <t>Grape Vine</t>
  </si>
  <si>
    <t>Pewsey</t>
  </si>
  <si>
    <t>Jesica</t>
  </si>
  <si>
    <t>Graphite Square</t>
  </si>
  <si>
    <t>Woolacombe</t>
  </si>
  <si>
    <t>Muller</t>
  </si>
  <si>
    <t>Graves Place</t>
  </si>
  <si>
    <t>Gravesend Road</t>
  </si>
  <si>
    <t>Tommye</t>
  </si>
  <si>
    <t>Great Arthur</t>
  </si>
  <si>
    <t>Immingham</t>
  </si>
  <si>
    <t>Arron</t>
  </si>
  <si>
    <t>English</t>
  </si>
  <si>
    <t>Great Brownings</t>
  </si>
  <si>
    <t>Dunkeld</t>
  </si>
  <si>
    <t>Shirly</t>
  </si>
  <si>
    <t>Norton</t>
  </si>
  <si>
    <t>Great Chapel</t>
  </si>
  <si>
    <t>Great Chertsey</t>
  </si>
  <si>
    <t>Renfrewshire</t>
  </si>
  <si>
    <t>Dowdy</t>
  </si>
  <si>
    <t>Great Church</t>
  </si>
  <si>
    <t>Great Marlboro</t>
  </si>
  <si>
    <t>Amal</t>
  </si>
  <si>
    <t>Great Pearl</t>
  </si>
  <si>
    <t>Annita</t>
  </si>
  <si>
    <t>Allison</t>
  </si>
  <si>
    <t>Great Rider</t>
  </si>
  <si>
    <t>Great Sanctuary</t>
  </si>
  <si>
    <t>Alden</t>
  </si>
  <si>
    <t>Great Strand</t>
  </si>
  <si>
    <t>Grange-Over-Sands</t>
  </si>
  <si>
    <t>Dougherty</t>
  </si>
  <si>
    <t>Great Warner</t>
  </si>
  <si>
    <t>Rhosneigr</t>
  </si>
  <si>
    <t>Clarke</t>
  </si>
  <si>
    <t>Great York</t>
  </si>
  <si>
    <t>Lucas</t>
  </si>
  <si>
    <t>Goins</t>
  </si>
  <si>
    <t>Greatdown Road</t>
  </si>
  <si>
    <t>Zoraida</t>
  </si>
  <si>
    <t>Sweeney</t>
  </si>
  <si>
    <t>Greatfield Avenue</t>
  </si>
  <si>
    <t>Leonia</t>
  </si>
  <si>
    <t>Mccall</t>
  </si>
  <si>
    <t>Greaves Place</t>
  </si>
  <si>
    <t>Grebe Close</t>
  </si>
  <si>
    <t>Aron</t>
  </si>
  <si>
    <t>Greeg's Street</t>
  </si>
  <si>
    <t>Cirencester</t>
  </si>
  <si>
    <t>Greek Street</t>
  </si>
  <si>
    <t>Markita</t>
  </si>
  <si>
    <t>Green Avenue</t>
  </si>
  <si>
    <t>Surbiton</t>
  </si>
  <si>
    <t>Shelia</t>
  </si>
  <si>
    <t>Green Close</t>
  </si>
  <si>
    <t>Gallegos</t>
  </si>
  <si>
    <t>Green Lanes</t>
  </si>
  <si>
    <t>Green Yard</t>
  </si>
  <si>
    <t>Greenacre Gardens</t>
  </si>
  <si>
    <t>Clint</t>
  </si>
  <si>
    <t>Greenacre Square</t>
  </si>
  <si>
    <t>Kareem</t>
  </si>
  <si>
    <t>Greenhill</t>
  </si>
  <si>
    <t>Greenmans Lane</t>
  </si>
  <si>
    <t>Richelle</t>
  </si>
  <si>
    <t>Grace</t>
  </si>
  <si>
    <t>Greenoak Way</t>
  </si>
  <si>
    <t>Green's Alley</t>
  </si>
  <si>
    <t>Dennis</t>
  </si>
  <si>
    <t>Parrish</t>
  </si>
  <si>
    <t>Greens Court</t>
  </si>
  <si>
    <t>Greenshield Industrial</t>
  </si>
  <si>
    <t>Torquay</t>
  </si>
  <si>
    <t>Greenside Close</t>
  </si>
  <si>
    <t>Cortney</t>
  </si>
  <si>
    <t>Greenway</t>
  </si>
  <si>
    <t>Greenwell Street</t>
  </si>
  <si>
    <t>Holmrook</t>
  </si>
  <si>
    <t>Queen</t>
  </si>
  <si>
    <t>Greenwich Park</t>
  </si>
  <si>
    <t>Ellesmere</t>
  </si>
  <si>
    <t>Michal</t>
  </si>
  <si>
    <t>Diaz</t>
  </si>
  <si>
    <t>Greenwich Street</t>
  </si>
  <si>
    <t>Isle Of Bute</t>
  </si>
  <si>
    <t>Elyse</t>
  </si>
  <si>
    <t>Greenwood Road</t>
  </si>
  <si>
    <t>Maryjo</t>
  </si>
  <si>
    <t>Greig Terrace</t>
  </si>
  <si>
    <t>Golspie</t>
  </si>
  <si>
    <t>Grenada Road</t>
  </si>
  <si>
    <t>Korey</t>
  </si>
  <si>
    <t>Grenada Terrace</t>
  </si>
  <si>
    <t>Thayer</t>
  </si>
  <si>
    <t>Grenade Street</t>
  </si>
  <si>
    <t>Wetherby</t>
  </si>
  <si>
    <t>Armanda</t>
  </si>
  <si>
    <t>Grenville Place</t>
  </si>
  <si>
    <t>Gresham Street</t>
  </si>
  <si>
    <t>Grevine Place</t>
  </si>
  <si>
    <t>Kline</t>
  </si>
  <si>
    <t>Greys Place</t>
  </si>
  <si>
    <t>Brough</t>
  </si>
  <si>
    <t>Israel</t>
  </si>
  <si>
    <t>Greystead Road</t>
  </si>
  <si>
    <t>Lydia</t>
  </si>
  <si>
    <t>Greystone Passage</t>
  </si>
  <si>
    <t>Alise</t>
  </si>
  <si>
    <t>Eason</t>
  </si>
  <si>
    <t>Grilse Close</t>
  </si>
  <si>
    <t>Grindal Street</t>
  </si>
  <si>
    <t>Grocers Hall</t>
  </si>
  <si>
    <t>Kenyetta</t>
  </si>
  <si>
    <t>Groomfield Close</t>
  </si>
  <si>
    <t>Leigh-On-Sea</t>
  </si>
  <si>
    <t>Walton</t>
  </si>
  <si>
    <t>Grosse Way</t>
  </si>
  <si>
    <t>County Down</t>
  </si>
  <si>
    <t>Leah</t>
  </si>
  <si>
    <t>Grosvenor Hill</t>
  </si>
  <si>
    <t>Grosvenor House</t>
  </si>
  <si>
    <t>Dee</t>
  </si>
  <si>
    <t>Tackett</t>
  </si>
  <si>
    <t>Grosvenor Park</t>
  </si>
  <si>
    <t>Wincanton</t>
  </si>
  <si>
    <t>Leida</t>
  </si>
  <si>
    <t>Grosvenor Terrace</t>
  </si>
  <si>
    <t>Grosvenor Way</t>
  </si>
  <si>
    <t>Corinna</t>
  </si>
  <si>
    <t>Ground St</t>
  </si>
  <si>
    <t>Garrett</t>
  </si>
  <si>
    <t>Grove Crescent</t>
  </si>
  <si>
    <t>Jacques</t>
  </si>
  <si>
    <t>Grove Hall</t>
  </si>
  <si>
    <t>Verdie</t>
  </si>
  <si>
    <t>Grove House</t>
  </si>
  <si>
    <t>Grove Passage</t>
  </si>
  <si>
    <t>Grovehall Terrace</t>
  </si>
  <si>
    <t>Kendall</t>
  </si>
  <si>
    <t>Grovesnor St</t>
  </si>
  <si>
    <t>Joel</t>
  </si>
  <si>
    <t>Gruens Terrace</t>
  </si>
  <si>
    <t>Guerin Square</t>
  </si>
  <si>
    <t>Guernsey Grove</t>
  </si>
  <si>
    <t>Burford</t>
  </si>
  <si>
    <t>Guild Road</t>
  </si>
  <si>
    <t>Guildford Cottages</t>
  </si>
  <si>
    <t>Pentraeth</t>
  </si>
  <si>
    <t>Petra</t>
  </si>
  <si>
    <t>Guildford Grove</t>
  </si>
  <si>
    <t>Guinness Square</t>
  </si>
  <si>
    <t>Jesus</t>
  </si>
  <si>
    <t>Spaulding</t>
  </si>
  <si>
    <t>Gulston Walk</t>
  </si>
  <si>
    <t>Blackmon</t>
  </si>
  <si>
    <t>Chet</t>
  </si>
  <si>
    <t>Gunnersbury Close</t>
  </si>
  <si>
    <t>Gunnersbury Drive</t>
  </si>
  <si>
    <t>Walls</t>
  </si>
  <si>
    <t>Gunnersbury Lane</t>
  </si>
  <si>
    <t>Juniper Green</t>
  </si>
  <si>
    <t>Berna</t>
  </si>
  <si>
    <t>Gunstor Road</t>
  </si>
  <si>
    <t>Charles</t>
  </si>
  <si>
    <t>Gurney Drive</t>
  </si>
  <si>
    <t>Sunday</t>
  </si>
  <si>
    <t>Gutter Buildings</t>
  </si>
  <si>
    <t>Elvina</t>
  </si>
  <si>
    <t>Guy Court</t>
  </si>
  <si>
    <t>Kilmarnock</t>
  </si>
  <si>
    <t>Tara</t>
  </si>
  <si>
    <t>Guy of</t>
  </si>
  <si>
    <t>Gwendolen Close</t>
  </si>
  <si>
    <t>Guthrie</t>
  </si>
  <si>
    <t>Gwudon Lodge</t>
  </si>
  <si>
    <t>Tarsha</t>
  </si>
  <si>
    <t>Gwynnes Place</t>
  </si>
  <si>
    <t>Lairg</t>
  </si>
  <si>
    <t>Brittany</t>
  </si>
  <si>
    <t>Haarlem Road</t>
  </si>
  <si>
    <t>Annamarie</t>
  </si>
  <si>
    <t>Haddington Terrace</t>
  </si>
  <si>
    <t>Dominque</t>
  </si>
  <si>
    <t>Haddo Villas</t>
  </si>
  <si>
    <t>Hadleigh Road</t>
  </si>
  <si>
    <t>Barnard Castle</t>
  </si>
  <si>
    <t>IG</t>
  </si>
  <si>
    <t>female</t>
  </si>
  <si>
    <t>Hadleigh Walk</t>
  </si>
  <si>
    <t>Canonbie</t>
  </si>
  <si>
    <t>Knox</t>
  </si>
  <si>
    <t>Hadley Close</t>
  </si>
  <si>
    <t>St. Asaph</t>
  </si>
  <si>
    <t>Evia</t>
  </si>
  <si>
    <t>Hague Place</t>
  </si>
  <si>
    <t>Haig Road</t>
  </si>
  <si>
    <t>Hainault Road</t>
  </si>
  <si>
    <t>Jacquelyne</t>
  </si>
  <si>
    <t>Drummond</t>
  </si>
  <si>
    <t>Haldane Place</t>
  </si>
  <si>
    <t>Marceline</t>
  </si>
  <si>
    <t>Decker</t>
  </si>
  <si>
    <t>Hale Gardens</t>
  </si>
  <si>
    <t>Rich</t>
  </si>
  <si>
    <t>Slater</t>
  </si>
  <si>
    <t>Hale Grove</t>
  </si>
  <si>
    <t>Mariel</t>
  </si>
  <si>
    <t>Halkin Place</t>
  </si>
  <si>
    <t>Hall Lane</t>
  </si>
  <si>
    <t>Hartlepool</t>
  </si>
  <si>
    <t>Halliford Terrace</t>
  </si>
  <si>
    <t>Hallswelle Road</t>
  </si>
  <si>
    <t>Halpin Place</t>
  </si>
  <si>
    <t>Heather</t>
  </si>
  <si>
    <t>Halton Cross</t>
  </si>
  <si>
    <t>Dario</t>
  </si>
  <si>
    <t>Shafer</t>
  </si>
  <si>
    <t>Hambledon Court</t>
  </si>
  <si>
    <t>Illa</t>
  </si>
  <si>
    <t>Bates</t>
  </si>
  <si>
    <t>Hambledon Gardens</t>
  </si>
  <si>
    <t>Hambridge Way</t>
  </si>
  <si>
    <t>Marc</t>
  </si>
  <si>
    <t>Hambro Road</t>
  </si>
  <si>
    <t>Bowman</t>
  </si>
  <si>
    <t>Hamilton Gardens</t>
  </si>
  <si>
    <t>Hamilton Park</t>
  </si>
  <si>
    <t>Barbra</t>
  </si>
  <si>
    <t>Nixon</t>
  </si>
  <si>
    <t>Hamilton Road</t>
  </si>
  <si>
    <t>Dino</t>
  </si>
  <si>
    <t>Hammond Court</t>
  </si>
  <si>
    <t>Hamors Court</t>
  </si>
  <si>
    <t>Roy Bridge</t>
  </si>
  <si>
    <t>Ott</t>
  </si>
  <si>
    <t>Hampshire Cottages</t>
  </si>
  <si>
    <t>Patterson</t>
  </si>
  <si>
    <t>Hampson Way</t>
  </si>
  <si>
    <t>Hampstead Square</t>
  </si>
  <si>
    <t>Hampstead Walk</t>
  </si>
  <si>
    <t>Arthog</t>
  </si>
  <si>
    <t>Deb</t>
  </si>
  <si>
    <t>Dickinson</t>
  </si>
  <si>
    <t>Hanbury Drive</t>
  </si>
  <si>
    <t>Elroy</t>
  </si>
  <si>
    <t>Hancock Road</t>
  </si>
  <si>
    <t>Hand Court</t>
  </si>
  <si>
    <t>Hanlon Street</t>
  </si>
  <si>
    <t>Redcar</t>
  </si>
  <si>
    <t>Wray</t>
  </si>
  <si>
    <t>Hanmer Walk</t>
  </si>
  <si>
    <t>Hannah Place</t>
  </si>
  <si>
    <t>Epping</t>
  </si>
  <si>
    <t>Antony</t>
  </si>
  <si>
    <t>Hanover Court</t>
  </si>
  <si>
    <t>Hanover Flats</t>
  </si>
  <si>
    <t>Kellye</t>
  </si>
  <si>
    <t>Ferrell</t>
  </si>
  <si>
    <t>Hanover Street</t>
  </si>
  <si>
    <t>Richards</t>
  </si>
  <si>
    <t>Hanway Place</t>
  </si>
  <si>
    <t>Stourport-On-Severn</t>
  </si>
  <si>
    <t>Hanway Road</t>
  </si>
  <si>
    <t>Harberson Road</t>
  </si>
  <si>
    <t>Hardens Manorway</t>
  </si>
  <si>
    <t>Harder's Place</t>
  </si>
  <si>
    <t>Andrew</t>
  </si>
  <si>
    <t>Hardie Close</t>
  </si>
  <si>
    <t>Hardinge Terrace</t>
  </si>
  <si>
    <t>Maryjane</t>
  </si>
  <si>
    <t>Hardwick Place</t>
  </si>
  <si>
    <t>Adina</t>
  </si>
  <si>
    <t>Hare Court</t>
  </si>
  <si>
    <t>Arthur</t>
  </si>
  <si>
    <t>Hare Walk</t>
  </si>
  <si>
    <t>Harford Road</t>
  </si>
  <si>
    <t>Sandoval</t>
  </si>
  <si>
    <t>Hargreave Square</t>
  </si>
  <si>
    <t>Harlesden Lane</t>
  </si>
  <si>
    <t>Tillman</t>
  </si>
  <si>
    <t>Harley Road</t>
  </si>
  <si>
    <t>Lytham St. Annes</t>
  </si>
  <si>
    <t>Hugh</t>
  </si>
  <si>
    <t>Harley street</t>
  </si>
  <si>
    <t>Nicholas</t>
  </si>
  <si>
    <t>Harley Villas</t>
  </si>
  <si>
    <t>Shaun</t>
  </si>
  <si>
    <t>Harold Terrace</t>
  </si>
  <si>
    <t>Wan</t>
  </si>
  <si>
    <t>Ivey</t>
  </si>
  <si>
    <t>Harolds Place</t>
  </si>
  <si>
    <t>Krystina</t>
  </si>
  <si>
    <t>Wilkerson</t>
  </si>
  <si>
    <t>Harp Alley</t>
  </si>
  <si>
    <t>Jarvis</t>
  </si>
  <si>
    <t>Harp Island</t>
  </si>
  <si>
    <t>Chamberlain</t>
  </si>
  <si>
    <t>Harper Mews</t>
  </si>
  <si>
    <t>Cotton</t>
  </si>
  <si>
    <t>Harper Street</t>
  </si>
  <si>
    <t>Church Stretton</t>
  </si>
  <si>
    <t>Dolores</t>
  </si>
  <si>
    <t>Harpur Street</t>
  </si>
  <si>
    <t>Marchelle</t>
  </si>
  <si>
    <t>Harriet Lane</t>
  </si>
  <si>
    <t>Hutchins</t>
  </si>
  <si>
    <t>Harringay Gardens</t>
  </si>
  <si>
    <t>Harrington Hill</t>
  </si>
  <si>
    <t>Antwan</t>
  </si>
  <si>
    <t>Jennine</t>
  </si>
  <si>
    <t>Pate</t>
  </si>
  <si>
    <t>Harrington Square</t>
  </si>
  <si>
    <t>Kareen</t>
  </si>
  <si>
    <t>Harrington Street</t>
  </si>
  <si>
    <t>Kimiko</t>
  </si>
  <si>
    <t>Harrison Street</t>
  </si>
  <si>
    <t>Cathryn</t>
  </si>
  <si>
    <t>Harrold Street</t>
  </si>
  <si>
    <t>Milford Haven</t>
  </si>
  <si>
    <t>Harrop Villas</t>
  </si>
  <si>
    <t>Winfred</t>
  </si>
  <si>
    <t>Waller</t>
  </si>
  <si>
    <t>Harrow Green</t>
  </si>
  <si>
    <t>Fakenham</t>
  </si>
  <si>
    <t>Gerardo</t>
  </si>
  <si>
    <t>Harrow Street</t>
  </si>
  <si>
    <t>Elton</t>
  </si>
  <si>
    <t>Harroway Road</t>
  </si>
  <si>
    <t>Strathdon</t>
  </si>
  <si>
    <t>Kizzie</t>
  </si>
  <si>
    <t>Harrowgate Road</t>
  </si>
  <si>
    <t>Maricela</t>
  </si>
  <si>
    <t>Boucher</t>
  </si>
  <si>
    <t>Hart Street</t>
  </si>
  <si>
    <t>Donaldson</t>
  </si>
  <si>
    <t>Hartford Place</t>
  </si>
  <si>
    <t>Corbett</t>
  </si>
  <si>
    <t>Hartham Close</t>
  </si>
  <si>
    <t>Sherwood</t>
  </si>
  <si>
    <t>Hartland Close</t>
  </si>
  <si>
    <t>Bakewell</t>
  </si>
  <si>
    <t>Brenton</t>
  </si>
  <si>
    <t>Hartley Close</t>
  </si>
  <si>
    <t>Raymonde</t>
  </si>
  <si>
    <t>Jillian</t>
  </si>
  <si>
    <t>Villa</t>
  </si>
  <si>
    <t>Hart's Court</t>
  </si>
  <si>
    <t>Sharonda</t>
  </si>
  <si>
    <t>Hartsborn Lane</t>
  </si>
  <si>
    <t>Hartswood Gdns</t>
  </si>
  <si>
    <t>Darcie</t>
  </si>
  <si>
    <t>Hartwell Drv</t>
  </si>
  <si>
    <t>Yukiko</t>
  </si>
  <si>
    <t>Harvard Court</t>
  </si>
  <si>
    <t>Odis</t>
  </si>
  <si>
    <t>Harveys Cottages</t>
  </si>
  <si>
    <t>Clifton</t>
  </si>
  <si>
    <t>Harwood Place</t>
  </si>
  <si>
    <t>Horsham</t>
  </si>
  <si>
    <t>Gilbert</t>
  </si>
  <si>
    <t>Haseltine Road</t>
  </si>
  <si>
    <t>Fivemiletown</t>
  </si>
  <si>
    <t>Madrid</t>
  </si>
  <si>
    <t>Haslam Close</t>
  </si>
  <si>
    <t>Rocha</t>
  </si>
  <si>
    <t>Haslemere Gardens</t>
  </si>
  <si>
    <t>Crediton</t>
  </si>
  <si>
    <t>Ossie</t>
  </si>
  <si>
    <t>Hassop Road</t>
  </si>
  <si>
    <t>Tyler</t>
  </si>
  <si>
    <t>Longoria</t>
  </si>
  <si>
    <t>Hastings Road</t>
  </si>
  <si>
    <t>Hatcham Soap</t>
  </si>
  <si>
    <t>Hatchard Road</t>
  </si>
  <si>
    <t>Hatherley Street</t>
  </si>
  <si>
    <t>Katharine</t>
  </si>
  <si>
    <t>Haths Buildings</t>
  </si>
  <si>
    <t>ma</t>
  </si>
  <si>
    <t>Hatton Yard</t>
  </si>
  <si>
    <t>Farah</t>
  </si>
  <si>
    <t>Hauchmond</t>
  </si>
  <si>
    <t>Charissa</t>
  </si>
  <si>
    <t>Kidd</t>
  </si>
  <si>
    <t>Havelock Cottages</t>
  </si>
  <si>
    <t>Havelock Place</t>
  </si>
  <si>
    <t>Setsuko</t>
  </si>
  <si>
    <t>Haverstock Hill</t>
  </si>
  <si>
    <t>Strong</t>
  </si>
  <si>
    <t>Havil Place</t>
  </si>
  <si>
    <t>Port Isaac</t>
  </si>
  <si>
    <t>Joi</t>
  </si>
  <si>
    <t>Conley</t>
  </si>
  <si>
    <t>Hawarden Hill</t>
  </si>
  <si>
    <t>Kathey</t>
  </si>
  <si>
    <t>Hawarden Road</t>
  </si>
  <si>
    <t>Hawbridge Road</t>
  </si>
  <si>
    <t>Valda</t>
  </si>
  <si>
    <t>Neely</t>
  </si>
  <si>
    <t>Hawes Lane</t>
  </si>
  <si>
    <t>Newbiggin-By-The-Sea</t>
  </si>
  <si>
    <t>Helena</t>
  </si>
  <si>
    <t>Hawkins Street</t>
  </si>
  <si>
    <t>Peacehaven</t>
  </si>
  <si>
    <t>Hawkley Gardens</t>
  </si>
  <si>
    <t>Ballymena</t>
  </si>
  <si>
    <t>Cris</t>
  </si>
  <si>
    <t>Stovall</t>
  </si>
  <si>
    <t>Hawkshaw Close</t>
  </si>
  <si>
    <t>Beach</t>
  </si>
  <si>
    <t>Hawkwell Walk</t>
  </si>
  <si>
    <t>Ross</t>
  </si>
  <si>
    <t>Hawkwood Crescent</t>
  </si>
  <si>
    <t>Lynna</t>
  </si>
  <si>
    <t>Hawkwood Mount</t>
  </si>
  <si>
    <t>Milan</t>
  </si>
  <si>
    <t>Hawthorn Crescent</t>
  </si>
  <si>
    <t>Eastbourne</t>
  </si>
  <si>
    <t>An</t>
  </si>
  <si>
    <t>Hawthorn Mews</t>
  </si>
  <si>
    <t>Hawthorne Close</t>
  </si>
  <si>
    <t>Elmira</t>
  </si>
  <si>
    <t>Morrison</t>
  </si>
  <si>
    <t>Hawtrey Road</t>
  </si>
  <si>
    <t>Omar</t>
  </si>
  <si>
    <t>Hay Street</t>
  </si>
  <si>
    <t>Southminster</t>
  </si>
  <si>
    <t>Haydon Park</t>
  </si>
  <si>
    <t>Hayes Cottages</t>
  </si>
  <si>
    <t>Schmidt</t>
  </si>
  <si>
    <t>Hayles Terrace</t>
  </si>
  <si>
    <t>Verlie</t>
  </si>
  <si>
    <t>Byers</t>
  </si>
  <si>
    <t>Haymerle Road</t>
  </si>
  <si>
    <t>Clementina</t>
  </si>
  <si>
    <t>Haynes Court</t>
  </si>
  <si>
    <t>Isle Of Lewis</t>
  </si>
  <si>
    <t>Ladonna</t>
  </si>
  <si>
    <t>Hays Court</t>
  </si>
  <si>
    <t>Jerry</t>
  </si>
  <si>
    <t>Foote</t>
  </si>
  <si>
    <t>Haysleigh Gardens</t>
  </si>
  <si>
    <t>Jerald</t>
  </si>
  <si>
    <t>Vang</t>
  </si>
  <si>
    <t>Haywards Yard</t>
  </si>
  <si>
    <t>Shoemaker</t>
  </si>
  <si>
    <t>Hazel Court</t>
  </si>
  <si>
    <t>Solihull</t>
  </si>
  <si>
    <t>Audie</t>
  </si>
  <si>
    <t>Boyd</t>
  </si>
  <si>
    <t>Hazeldean Road</t>
  </si>
  <si>
    <t>Shanika</t>
  </si>
  <si>
    <t>Fletcher</t>
  </si>
  <si>
    <t>Hazellville Road</t>
  </si>
  <si>
    <t>Llanbedr</t>
  </si>
  <si>
    <t>Quincy</t>
  </si>
  <si>
    <t>Haney</t>
  </si>
  <si>
    <t>Hazlitt Mews</t>
  </si>
  <si>
    <t>Jina</t>
  </si>
  <si>
    <t>Hearns or</t>
  </si>
  <si>
    <t>Reynolds</t>
  </si>
  <si>
    <t>Hearns Place</t>
  </si>
  <si>
    <t>Hearsey Place</t>
  </si>
  <si>
    <t>Milton</t>
  </si>
  <si>
    <t>Heath Hurst</t>
  </si>
  <si>
    <t>Heathcote Street</t>
  </si>
  <si>
    <t>Lang</t>
  </si>
  <si>
    <t>Heatherbank</t>
  </si>
  <si>
    <t>Penicuik</t>
  </si>
  <si>
    <t>Heathpoool Street</t>
  </si>
  <si>
    <t>Aileen</t>
  </si>
  <si>
    <t>Heathview Gardens</t>
  </si>
  <si>
    <t>North Tawton</t>
  </si>
  <si>
    <t>Heathwood Gardens</t>
  </si>
  <si>
    <t>Hebden Terrace</t>
  </si>
  <si>
    <t>Hebron Road</t>
  </si>
  <si>
    <t>Darci</t>
  </si>
  <si>
    <t>Heddington Grove</t>
  </si>
  <si>
    <t>Lillia</t>
  </si>
  <si>
    <t>Heddon Court</t>
  </si>
  <si>
    <t>Heiron Street</t>
  </si>
  <si>
    <t>Paulina</t>
  </si>
  <si>
    <t>Heliport Industrial</t>
  </si>
  <si>
    <t>Irmgard</t>
  </si>
  <si>
    <t>Helmet Court</t>
  </si>
  <si>
    <t>Helmsley Place</t>
  </si>
  <si>
    <t>Hemings Row</t>
  </si>
  <si>
    <t>Hemus Terrace</t>
  </si>
  <si>
    <t>Hen &amp;</t>
  </si>
  <si>
    <t>Haverhill</t>
  </si>
  <si>
    <t>Hendham Road</t>
  </si>
  <si>
    <t>Hendon Wood</t>
  </si>
  <si>
    <t>Henerietta Cottages</t>
  </si>
  <si>
    <t>Mac</t>
  </si>
  <si>
    <t>Erica</t>
  </si>
  <si>
    <t>Atkins</t>
  </si>
  <si>
    <t>Hengrave Road</t>
  </si>
  <si>
    <t>Debra</t>
  </si>
  <si>
    <t>Hobson</t>
  </si>
  <si>
    <t>Henniker Gardens</t>
  </si>
  <si>
    <t>Gaylord</t>
  </si>
  <si>
    <t>Rosas</t>
  </si>
  <si>
    <t>Henning Street</t>
  </si>
  <si>
    <t>Sunshine</t>
  </si>
  <si>
    <t>Henrietta Place</t>
  </si>
  <si>
    <t>Rita</t>
  </si>
  <si>
    <t>Mullen</t>
  </si>
  <si>
    <t>Henry Street</t>
  </si>
  <si>
    <t>Suzi</t>
  </si>
  <si>
    <t>Harper</t>
  </si>
  <si>
    <t>Hensford Gardens</t>
  </si>
  <si>
    <t>Rayford</t>
  </si>
  <si>
    <t>Henton Court</t>
  </si>
  <si>
    <t>Arroyo</t>
  </si>
  <si>
    <t>Henty Walk</t>
  </si>
  <si>
    <t>Carrbridge</t>
  </si>
  <si>
    <t>Deandre</t>
  </si>
  <si>
    <t>Henwick RD</t>
  </si>
  <si>
    <t>Julio</t>
  </si>
  <si>
    <t>Henwick Road</t>
  </si>
  <si>
    <t>Henwood ROAD</t>
  </si>
  <si>
    <t>Deeside</t>
  </si>
  <si>
    <t>Hepworth Road</t>
  </si>
  <si>
    <t>Herbert Cottages</t>
  </si>
  <si>
    <t>Herbert Place</t>
  </si>
  <si>
    <t>Wanda</t>
  </si>
  <si>
    <t>Herchell Road</t>
  </si>
  <si>
    <t>Hercules Terrace</t>
  </si>
  <si>
    <t>Lai</t>
  </si>
  <si>
    <t>Hereford Street</t>
  </si>
  <si>
    <t>Heriot Avenue</t>
  </si>
  <si>
    <t>Herlwyn Gdns</t>
  </si>
  <si>
    <t>Shamika</t>
  </si>
  <si>
    <t>Johnny</t>
  </si>
  <si>
    <t>Herne Grove</t>
  </si>
  <si>
    <t>Kelso</t>
  </si>
  <si>
    <t>Gentry</t>
  </si>
  <si>
    <t>Arden</t>
  </si>
  <si>
    <t>Herne Place</t>
  </si>
  <si>
    <t>Stephan</t>
  </si>
  <si>
    <t>Herrip Street</t>
  </si>
  <si>
    <t>Hertford Road</t>
  </si>
  <si>
    <t>Hertsmere Road</t>
  </si>
  <si>
    <t>August</t>
  </si>
  <si>
    <t>Hesketh Place</t>
  </si>
  <si>
    <t>Heslop Road</t>
  </si>
  <si>
    <t>Hesperus Crescent</t>
  </si>
  <si>
    <t>Hessel Street</t>
  </si>
  <si>
    <t>Melksham</t>
  </si>
  <si>
    <t>Heston Street</t>
  </si>
  <si>
    <t>Piedad</t>
  </si>
  <si>
    <t>Hetley Rd</t>
  </si>
  <si>
    <t>Hewit's Corner</t>
  </si>
  <si>
    <t>Javier</t>
  </si>
  <si>
    <t>Hewitt's Court</t>
  </si>
  <si>
    <t>Kathline</t>
  </si>
  <si>
    <t>Hexal Road</t>
  </si>
  <si>
    <t>Mitchell</t>
  </si>
  <si>
    <t>Heyford Avenue</t>
  </si>
  <si>
    <t>Andre</t>
  </si>
  <si>
    <t>Hickly Road</t>
  </si>
  <si>
    <t>Margeret</t>
  </si>
  <si>
    <t>Hickman Close</t>
  </si>
  <si>
    <t>Monserrate</t>
  </si>
  <si>
    <t>Hickman's Folly</t>
  </si>
  <si>
    <t>Malik</t>
  </si>
  <si>
    <t>Hidcote Gardens</t>
  </si>
  <si>
    <t>Hutton</t>
  </si>
  <si>
    <t>Hides Street</t>
  </si>
  <si>
    <t>Kirkcaldy</t>
  </si>
  <si>
    <t>Elliot</t>
  </si>
  <si>
    <t>Staton</t>
  </si>
  <si>
    <t>High Lane</t>
  </si>
  <si>
    <t>High Meadow</t>
  </si>
  <si>
    <t>Carletta</t>
  </si>
  <si>
    <t>Higham Hill</t>
  </si>
  <si>
    <t>Jenell</t>
  </si>
  <si>
    <t>Higham Station</t>
  </si>
  <si>
    <t>Chere</t>
  </si>
  <si>
    <t>Cahill</t>
  </si>
  <si>
    <t>Highfield Avenue</t>
  </si>
  <si>
    <t>Highfield Road</t>
  </si>
  <si>
    <t>Yen</t>
  </si>
  <si>
    <t>Gagnon</t>
  </si>
  <si>
    <t>Highgate Hill</t>
  </si>
  <si>
    <t>Era</t>
  </si>
  <si>
    <t>Highgate Road</t>
  </si>
  <si>
    <t>Li</t>
  </si>
  <si>
    <t>Mansfield</t>
  </si>
  <si>
    <t>Highgate Walk</t>
  </si>
  <si>
    <t>Librada</t>
  </si>
  <si>
    <t>Isle Of Benbecula</t>
  </si>
  <si>
    <t>Highlands Close</t>
  </si>
  <si>
    <t>Miller</t>
  </si>
  <si>
    <t>Highlea Close</t>
  </si>
  <si>
    <t>Erskine</t>
  </si>
  <si>
    <t>Marybeth</t>
  </si>
  <si>
    <t>Highwood Grove</t>
  </si>
  <si>
    <t>Aleida</t>
  </si>
  <si>
    <t>Crowell</t>
  </si>
  <si>
    <t>Highwood Road</t>
  </si>
  <si>
    <t>Penryn</t>
  </si>
  <si>
    <t>Lael</t>
  </si>
  <si>
    <t>Hildreth Street</t>
  </si>
  <si>
    <t>Mccord</t>
  </si>
  <si>
    <t>Hill Close</t>
  </si>
  <si>
    <t>Hill Drive</t>
  </si>
  <si>
    <t>Hortencia</t>
  </si>
  <si>
    <t>Hill Farm</t>
  </si>
  <si>
    <t>Tish</t>
  </si>
  <si>
    <t>Hill Top</t>
  </si>
  <si>
    <t>Hillbrook Road</t>
  </si>
  <si>
    <t>Glennis</t>
  </si>
  <si>
    <t>Hillbury Road</t>
  </si>
  <si>
    <t>Michaud</t>
  </si>
  <si>
    <t>Hillcourt Road</t>
  </si>
  <si>
    <t>Denny</t>
  </si>
  <si>
    <t>Hilldrop Crescent</t>
  </si>
  <si>
    <t>Kristin</t>
  </si>
  <si>
    <t>Hillery Close</t>
  </si>
  <si>
    <t>Jared</t>
  </si>
  <si>
    <t>Hillfield Avenue</t>
  </si>
  <si>
    <t>Costa</t>
  </si>
  <si>
    <t>Hillman Street</t>
  </si>
  <si>
    <t>Hillmore Grove</t>
  </si>
  <si>
    <t>Hillway</t>
  </si>
  <si>
    <t>Basingstoke</t>
  </si>
  <si>
    <t>SS</t>
  </si>
  <si>
    <t>Bolton</t>
  </si>
  <si>
    <t>Hillyfield</t>
  </si>
  <si>
    <t>Hind Court</t>
  </si>
  <si>
    <t>Stan</t>
  </si>
  <si>
    <t>Hind Street</t>
  </si>
  <si>
    <t>Hindes Mews</t>
  </si>
  <si>
    <t>Karl</t>
  </si>
  <si>
    <t>Hiver Street</t>
  </si>
  <si>
    <t>Hocroft Avenue</t>
  </si>
  <si>
    <t>Hodgkin Close</t>
  </si>
  <si>
    <t>Deanna</t>
  </si>
  <si>
    <t>Darby</t>
  </si>
  <si>
    <t>Hog Yard</t>
  </si>
  <si>
    <t>Ben</t>
  </si>
  <si>
    <t>Stark</t>
  </si>
  <si>
    <t>Hogarth Lane</t>
  </si>
  <si>
    <t>Hogarth Place</t>
  </si>
  <si>
    <t>Holbeach Mews</t>
  </si>
  <si>
    <t>Montes</t>
  </si>
  <si>
    <t>Holborn</t>
  </si>
  <si>
    <t>Angeles</t>
  </si>
  <si>
    <t>Holborn Buildings</t>
  </si>
  <si>
    <t>Tenterden</t>
  </si>
  <si>
    <t>Holborn Hill</t>
  </si>
  <si>
    <t>Holbrook Close</t>
  </si>
  <si>
    <t>Delorse</t>
  </si>
  <si>
    <t>Holburne Road</t>
  </si>
  <si>
    <t>Margherita</t>
  </si>
  <si>
    <t>Holcombe Buildings</t>
  </si>
  <si>
    <t>Racheal</t>
  </si>
  <si>
    <t>Goldman</t>
  </si>
  <si>
    <t>Holdenhurst AV+F1402</t>
  </si>
  <si>
    <t>Walton On The Naze</t>
  </si>
  <si>
    <t>Holland Grove</t>
  </si>
  <si>
    <t>Roland</t>
  </si>
  <si>
    <t>Ybarra</t>
  </si>
  <si>
    <t>Holland Passage</t>
  </si>
  <si>
    <t>Gillis</t>
  </si>
  <si>
    <t>Holland Villas</t>
  </si>
  <si>
    <t>Leesa</t>
  </si>
  <si>
    <t>Holliday Square</t>
  </si>
  <si>
    <t>Hollies</t>
  </si>
  <si>
    <t>Shawanna</t>
  </si>
  <si>
    <t>Hollies Close</t>
  </si>
  <si>
    <t>Pevensey</t>
  </si>
  <si>
    <t>Modesto</t>
  </si>
  <si>
    <t>Murphy</t>
  </si>
  <si>
    <t>Holly Bush</t>
  </si>
  <si>
    <t>Holly Terrace</t>
  </si>
  <si>
    <t>Issac</t>
  </si>
  <si>
    <t>Love</t>
  </si>
  <si>
    <t>Clydebank</t>
  </si>
  <si>
    <t>Holly Villas</t>
  </si>
  <si>
    <t>Stevenson</t>
  </si>
  <si>
    <t>Holly Walk</t>
  </si>
  <si>
    <t>Estell</t>
  </si>
  <si>
    <t>Becki</t>
  </si>
  <si>
    <t>Hollybush Gardens</t>
  </si>
  <si>
    <t>Polegate</t>
  </si>
  <si>
    <t>Hollybush Hill</t>
  </si>
  <si>
    <t>Hollyhedge Terrace</t>
  </si>
  <si>
    <t>Guy</t>
  </si>
  <si>
    <t>Hollywood Villas</t>
  </si>
  <si>
    <t>Ma</t>
  </si>
  <si>
    <t>Holmside Road</t>
  </si>
  <si>
    <t>Jinny</t>
  </si>
  <si>
    <t>Holwood Place</t>
  </si>
  <si>
    <t>Reginald</t>
  </si>
  <si>
    <t>Holyrood Street</t>
  </si>
  <si>
    <t>Buster</t>
  </si>
  <si>
    <t>Mock</t>
  </si>
  <si>
    <t>Homefield</t>
  </si>
  <si>
    <t>Rachael</t>
  </si>
  <si>
    <t>Homelands</t>
  </si>
  <si>
    <t>Homer Row</t>
  </si>
  <si>
    <t>Patria</t>
  </si>
  <si>
    <t>Homer Street</t>
  </si>
  <si>
    <t>Ivana</t>
  </si>
  <si>
    <t>Homestead Paddock</t>
  </si>
  <si>
    <t>Homestead Park</t>
  </si>
  <si>
    <t>Homestead Terrace</t>
  </si>
  <si>
    <t>Homestead Villas</t>
  </si>
  <si>
    <t>Ottery St. Mary</t>
  </si>
  <si>
    <t>Nilda</t>
  </si>
  <si>
    <t>Ladner</t>
  </si>
  <si>
    <t>Homewillow Close</t>
  </si>
  <si>
    <t>Honiton Gdns</t>
  </si>
  <si>
    <t>Sheerness</t>
  </si>
  <si>
    <t>Sexton</t>
  </si>
  <si>
    <t>Hookers Road</t>
  </si>
  <si>
    <t>Mcfarland</t>
  </si>
  <si>
    <t>Hooks Road</t>
  </si>
  <si>
    <t>Mauchline</t>
  </si>
  <si>
    <t>Hook's Road</t>
  </si>
  <si>
    <t>Hart</t>
  </si>
  <si>
    <t>Hoopers Terrace</t>
  </si>
  <si>
    <t>Hop Gardens</t>
  </si>
  <si>
    <t>Randy</t>
  </si>
  <si>
    <t>Hoa</t>
  </si>
  <si>
    <t>Bouchard</t>
  </si>
  <si>
    <t>Hopedale Road</t>
  </si>
  <si>
    <t>Aviemore</t>
  </si>
  <si>
    <t>Meier</t>
  </si>
  <si>
    <t>Hopefield Avenue</t>
  </si>
  <si>
    <t>Andrea</t>
  </si>
  <si>
    <t>Hopetown Street</t>
  </si>
  <si>
    <t>Tamika</t>
  </si>
  <si>
    <t>Ming</t>
  </si>
  <si>
    <t>Hopkins Street</t>
  </si>
  <si>
    <t>Hoppers Road</t>
  </si>
  <si>
    <t>Ernestina</t>
  </si>
  <si>
    <t>Hopperton's Cottages</t>
  </si>
  <si>
    <t>Hopwood Walk</t>
  </si>
  <si>
    <t>Monika</t>
  </si>
  <si>
    <t>Hordle Promenade</t>
  </si>
  <si>
    <t>Hornbeams Rise</t>
  </si>
  <si>
    <t>Alness</t>
  </si>
  <si>
    <t>Elden</t>
  </si>
  <si>
    <t>Hornblower Close</t>
  </si>
  <si>
    <t>Polly</t>
  </si>
  <si>
    <t>Hornleigh Villas</t>
  </si>
  <si>
    <t>Horse And</t>
  </si>
  <si>
    <t>Agustina</t>
  </si>
  <si>
    <t>Horse Guards</t>
  </si>
  <si>
    <t>Elfriede</t>
  </si>
  <si>
    <t>Horse Yard</t>
  </si>
  <si>
    <t>Newmilns</t>
  </si>
  <si>
    <t>Horseferry</t>
  </si>
  <si>
    <t>Horseferry Wharf</t>
  </si>
  <si>
    <t>Richard</t>
  </si>
  <si>
    <t>Horselydown Place</t>
  </si>
  <si>
    <t>Erika</t>
  </si>
  <si>
    <t>Horseshoe Lane</t>
  </si>
  <si>
    <t>Lorean</t>
  </si>
  <si>
    <t>Horsfeld Road</t>
  </si>
  <si>
    <t>Ferne</t>
  </si>
  <si>
    <t>Horsley Road</t>
  </si>
  <si>
    <t>Horsley Street</t>
  </si>
  <si>
    <t>Horsleydown Lane</t>
  </si>
  <si>
    <t>Horticultural Place</t>
  </si>
  <si>
    <t>Leonard</t>
  </si>
  <si>
    <t>Hosier Street</t>
  </si>
  <si>
    <t>Hotham Street</t>
  </si>
  <si>
    <t>Hove Street</t>
  </si>
  <si>
    <t>Hoveton Road</t>
  </si>
  <si>
    <t>Howard Buildings</t>
  </si>
  <si>
    <t>Queenie</t>
  </si>
  <si>
    <t>Howey Terrace</t>
  </si>
  <si>
    <t>Howgate R+F1024d</t>
  </si>
  <si>
    <t>Saltcoats</t>
  </si>
  <si>
    <t>Kurt</t>
  </si>
  <si>
    <t>Howie Street</t>
  </si>
  <si>
    <t>Milo</t>
  </si>
  <si>
    <t>Howitt Road</t>
  </si>
  <si>
    <t>Ermelinda</t>
  </si>
  <si>
    <t>Robles</t>
  </si>
  <si>
    <t>Hoylake Road</t>
  </si>
  <si>
    <t>Chatteris</t>
  </si>
  <si>
    <t>Carl</t>
  </si>
  <si>
    <t>Ochoa</t>
  </si>
  <si>
    <t>Huddart Street</t>
  </si>
  <si>
    <t>Hudsons Court</t>
  </si>
  <si>
    <t>Jacquetta</t>
  </si>
  <si>
    <t>Hudsons Place</t>
  </si>
  <si>
    <t>Mckay</t>
  </si>
  <si>
    <t>Huets Corner</t>
  </si>
  <si>
    <t>Hughes Mews</t>
  </si>
  <si>
    <t>Mariann</t>
  </si>
  <si>
    <t>Hughes Place</t>
  </si>
  <si>
    <t>Newton Stewart</t>
  </si>
  <si>
    <t>Hughes Terrace</t>
  </si>
  <si>
    <t>Alessandra</t>
  </si>
  <si>
    <t>Hull Place</t>
  </si>
  <si>
    <t>Bonnie</t>
  </si>
  <si>
    <t>Hullbridge Mews</t>
  </si>
  <si>
    <t>Abrams</t>
  </si>
  <si>
    <t>Humber Trading</t>
  </si>
  <si>
    <t>Earleen</t>
  </si>
  <si>
    <t>Manuel</t>
  </si>
  <si>
    <t>Hunt Street</t>
  </si>
  <si>
    <t>Hunter Street</t>
  </si>
  <si>
    <t>Isles Of Scilly</t>
  </si>
  <si>
    <t>Huntingdon Street</t>
  </si>
  <si>
    <t>Cathern</t>
  </si>
  <si>
    <t>Huntley Way</t>
  </si>
  <si>
    <t>Claude</t>
  </si>
  <si>
    <t>Baldwin</t>
  </si>
  <si>
    <t>Huntspill Street</t>
  </si>
  <si>
    <t>Pearson</t>
  </si>
  <si>
    <t>Huntsworth Mews</t>
  </si>
  <si>
    <t>Ginger</t>
  </si>
  <si>
    <t>Blackwell</t>
  </si>
  <si>
    <t>Huntsworth Terrace</t>
  </si>
  <si>
    <t>Sellers</t>
  </si>
  <si>
    <t>Hurlingham Business</t>
  </si>
  <si>
    <t>Hurst Road</t>
  </si>
  <si>
    <t>Huxley Place</t>
  </si>
  <si>
    <t>Hyde Grove</t>
  </si>
  <si>
    <t>Jamison</t>
  </si>
  <si>
    <t>Hyde Vale</t>
  </si>
  <si>
    <t>Karyl</t>
  </si>
  <si>
    <t>Hyde Way</t>
  </si>
  <si>
    <t>Hyderabad House</t>
  </si>
  <si>
    <t>Hyndman Green</t>
  </si>
  <si>
    <t>Lara</t>
  </si>
  <si>
    <t>Ickleton Road</t>
  </si>
  <si>
    <t>Idonia Street</t>
  </si>
  <si>
    <t>Cora</t>
  </si>
  <si>
    <t>Joiner</t>
  </si>
  <si>
    <t>Iliffe Street</t>
  </si>
  <si>
    <t>Ilkley Close</t>
  </si>
  <si>
    <t>Rosaria</t>
  </si>
  <si>
    <t>Ilminster Gardens</t>
  </si>
  <si>
    <t>Imperial Av</t>
  </si>
  <si>
    <t>Inca Drive</t>
  </si>
  <si>
    <t>Tim</t>
  </si>
  <si>
    <t>Witherspoon</t>
  </si>
  <si>
    <t>Independents Road</t>
  </si>
  <si>
    <t>Godstone</t>
  </si>
  <si>
    <t>Jacquelynn</t>
  </si>
  <si>
    <t>India House</t>
  </si>
  <si>
    <t>India Street</t>
  </si>
  <si>
    <t>India Terrace</t>
  </si>
  <si>
    <t>Isiah</t>
  </si>
  <si>
    <t>Ingleton Street</t>
  </si>
  <si>
    <t>Christchurch</t>
  </si>
  <si>
    <t>Kalyn</t>
  </si>
  <si>
    <t>Ingleway</t>
  </si>
  <si>
    <t>Tennille</t>
  </si>
  <si>
    <t>Ingram Lodge</t>
  </si>
  <si>
    <t>Ingram Place</t>
  </si>
  <si>
    <t>Edwin</t>
  </si>
  <si>
    <t>Inkerman Road</t>
  </si>
  <si>
    <t>Inn Passage</t>
  </si>
  <si>
    <t>Inverforth Close</t>
  </si>
  <si>
    <t>Invermore Place</t>
  </si>
  <si>
    <t>Inverness Street</t>
  </si>
  <si>
    <t>Leyland</t>
  </si>
  <si>
    <t>Inverton Road</t>
  </si>
  <si>
    <t>Letisha</t>
  </si>
  <si>
    <t>Ipswich Road</t>
  </si>
  <si>
    <t>Irish Court</t>
  </si>
  <si>
    <t>Wilton</t>
  </si>
  <si>
    <t>Ironmonger Row</t>
  </si>
  <si>
    <t>Malka</t>
  </si>
  <si>
    <t>Ironmongers Place</t>
  </si>
  <si>
    <t>Faversham</t>
  </si>
  <si>
    <t>Armida</t>
  </si>
  <si>
    <t>Abbott</t>
  </si>
  <si>
    <t>Irving Road</t>
  </si>
  <si>
    <t>Fausto</t>
  </si>
  <si>
    <t>Irwell Place</t>
  </si>
  <si>
    <t>Waters</t>
  </si>
  <si>
    <t>Isabella Place</t>
  </si>
  <si>
    <t>Lan</t>
  </si>
  <si>
    <t>Rosewell</t>
  </si>
  <si>
    <t>Laurena</t>
  </si>
  <si>
    <t>Isel Way</t>
  </si>
  <si>
    <t>Cherelle</t>
  </si>
  <si>
    <t>Isis Close</t>
  </si>
  <si>
    <t>Islington Place</t>
  </si>
  <si>
    <t>Charley</t>
  </si>
  <si>
    <t>Kerns</t>
  </si>
  <si>
    <t>Ismailia Road</t>
  </si>
  <si>
    <t>Iveagh Avenue</t>
  </si>
  <si>
    <t>Fe</t>
  </si>
  <si>
    <t>Conn</t>
  </si>
  <si>
    <t>Mauricio</t>
  </si>
  <si>
    <t>Iverson Road</t>
  </si>
  <si>
    <t>Ivimey Street</t>
  </si>
  <si>
    <t>Ivor Street</t>
  </si>
  <si>
    <t>Xavier</t>
  </si>
  <si>
    <t>Ivory Square</t>
  </si>
  <si>
    <t>North</t>
  </si>
  <si>
    <t>Ivydale Road</t>
  </si>
  <si>
    <t>Jack Clow</t>
  </si>
  <si>
    <t>Lashell</t>
  </si>
  <si>
    <t>Cho</t>
  </si>
  <si>
    <t>Jackman Street</t>
  </si>
  <si>
    <t>Rey</t>
  </si>
  <si>
    <t>Hooker</t>
  </si>
  <si>
    <t>Jackson's Alley</t>
  </si>
  <si>
    <t>Jacqueline Villas</t>
  </si>
  <si>
    <t>Rushden</t>
  </si>
  <si>
    <t>Jago Close</t>
  </si>
  <si>
    <t>Belvedere</t>
  </si>
  <si>
    <t>Grant</t>
  </si>
  <si>
    <t>Jamaica Place</t>
  </si>
  <si>
    <t>Teresita</t>
  </si>
  <si>
    <t>Jamaica Row</t>
  </si>
  <si>
    <t>Cradley Heath</t>
  </si>
  <si>
    <t>Megan</t>
  </si>
  <si>
    <t>James Avenue</t>
  </si>
  <si>
    <t>James Collins</t>
  </si>
  <si>
    <t>Rodgers</t>
  </si>
  <si>
    <t>James' Street</t>
  </si>
  <si>
    <t>Salvador</t>
  </si>
  <si>
    <t>Jane Street</t>
  </si>
  <si>
    <t>Jacinda</t>
  </si>
  <si>
    <t>Janeway Place</t>
  </si>
  <si>
    <t>Wallsend</t>
  </si>
  <si>
    <t>Roberson</t>
  </si>
  <si>
    <t>Jansen Walk</t>
  </si>
  <si>
    <t>Kristeen</t>
  </si>
  <si>
    <t>Jarretts Place</t>
  </si>
  <si>
    <t>Miyoko</t>
  </si>
  <si>
    <t>Jassemine Cottages</t>
  </si>
  <si>
    <t>Terrie</t>
  </si>
  <si>
    <t>Jefferson Walk</t>
  </si>
  <si>
    <t>Cythia</t>
  </si>
  <si>
    <t>Jenner Place</t>
  </si>
  <si>
    <t>Jennings Buildings</t>
  </si>
  <si>
    <t>Darleen</t>
  </si>
  <si>
    <t>Crockett</t>
  </si>
  <si>
    <t>Jenny Hammond</t>
  </si>
  <si>
    <t>Cayla</t>
  </si>
  <si>
    <t>Jerman Street</t>
  </si>
  <si>
    <t>Freddy</t>
  </si>
  <si>
    <t>Jerusalem Passage</t>
  </si>
  <si>
    <t>Raul</t>
  </si>
  <si>
    <t>Jewel Road</t>
  </si>
  <si>
    <t>Jeymer Avenue</t>
  </si>
  <si>
    <t>Jimpsons Villas</t>
  </si>
  <si>
    <t>Joan Street</t>
  </si>
  <si>
    <t>John Roll</t>
  </si>
  <si>
    <t>Sharice</t>
  </si>
  <si>
    <t>Bergeron</t>
  </si>
  <si>
    <t>John Ruskin</t>
  </si>
  <si>
    <t>John Terrace</t>
  </si>
  <si>
    <t>Llandovery</t>
  </si>
  <si>
    <t>Delbert</t>
  </si>
  <si>
    <t>Johns Place</t>
  </si>
  <si>
    <t>Dan</t>
  </si>
  <si>
    <t>Saunders</t>
  </si>
  <si>
    <t>Johns Street</t>
  </si>
  <si>
    <t>Sonia</t>
  </si>
  <si>
    <t>Johns Terrace</t>
  </si>
  <si>
    <t>Reagan</t>
  </si>
  <si>
    <t>Johnson Close</t>
  </si>
  <si>
    <t>Rickie</t>
  </si>
  <si>
    <t>Johnson's Court</t>
  </si>
  <si>
    <t>Wemyss Bay</t>
  </si>
  <si>
    <t>Ardis</t>
  </si>
  <si>
    <t>Joiner Arms</t>
  </si>
  <si>
    <t>Antione</t>
  </si>
  <si>
    <t>Joiners Street</t>
  </si>
  <si>
    <t>Wadhurst</t>
  </si>
  <si>
    <t>Augusta</t>
  </si>
  <si>
    <t>Joseph Powell</t>
  </si>
  <si>
    <t>Susann</t>
  </si>
  <si>
    <t>Joshua Street</t>
  </si>
  <si>
    <t>High Peak</t>
  </si>
  <si>
    <t>Joubert Street</t>
  </si>
  <si>
    <t>Justina</t>
  </si>
  <si>
    <t>Jubilee Cottages</t>
  </si>
  <si>
    <t>Kasie</t>
  </si>
  <si>
    <t>Jubilee Gdns</t>
  </si>
  <si>
    <t>Southam</t>
  </si>
  <si>
    <t>Brandi</t>
  </si>
  <si>
    <t>Jubilee Market</t>
  </si>
  <si>
    <t>Dorking</t>
  </si>
  <si>
    <t>Jubilee Place</t>
  </si>
  <si>
    <t>Jubilee Plate</t>
  </si>
  <si>
    <t>Claudia</t>
  </si>
  <si>
    <t>Jubilee Way</t>
  </si>
  <si>
    <t>Marisa</t>
  </si>
  <si>
    <t>Judd Street</t>
  </si>
  <si>
    <t>Joette</t>
  </si>
  <si>
    <t>Juliana Close</t>
  </si>
  <si>
    <t>Adah</t>
  </si>
  <si>
    <t>Juliette Road</t>
  </si>
  <si>
    <t>Chantell</t>
  </si>
  <si>
    <t>Demetrice</t>
  </si>
  <si>
    <t>Junction Villas</t>
  </si>
  <si>
    <t>Beal</t>
  </si>
  <si>
    <t>Juniper Gardens</t>
  </si>
  <si>
    <t>Milda</t>
  </si>
  <si>
    <t>Sheffield</t>
  </si>
  <si>
    <t>Juno Way</t>
  </si>
  <si>
    <t>Swanscombe</t>
  </si>
  <si>
    <t>Riley</t>
  </si>
  <si>
    <t>Jupiter Way</t>
  </si>
  <si>
    <t>Karla</t>
  </si>
  <si>
    <t>Justice Walk</t>
  </si>
  <si>
    <t>Karl Place</t>
  </si>
  <si>
    <t>Janiece</t>
  </si>
  <si>
    <t>Karslake Terrace</t>
  </si>
  <si>
    <t>Keitha</t>
  </si>
  <si>
    <t>Kashmir Road</t>
  </si>
  <si>
    <t>Rosio</t>
  </si>
  <si>
    <t>Cochran</t>
  </si>
  <si>
    <t>Kean Street</t>
  </si>
  <si>
    <t>Tresa</t>
  </si>
  <si>
    <t>Kedleston Walk</t>
  </si>
  <si>
    <t>Dacia</t>
  </si>
  <si>
    <t>Keeling Road</t>
  </si>
  <si>
    <t>Steward</t>
  </si>
  <si>
    <t>Kelland Road</t>
  </si>
  <si>
    <t>Chigwell</t>
  </si>
  <si>
    <t>Manual</t>
  </si>
  <si>
    <t>Sanders</t>
  </si>
  <si>
    <t>Kellett Road</t>
  </si>
  <si>
    <t>Mcgrath</t>
  </si>
  <si>
    <t>Kiesha</t>
  </si>
  <si>
    <t>Rosenda</t>
  </si>
  <si>
    <t>Kelmscott Gardens</t>
  </si>
  <si>
    <t>Kempson Road</t>
  </si>
  <si>
    <t>Ivan</t>
  </si>
  <si>
    <t>Morse</t>
  </si>
  <si>
    <t>Neva</t>
  </si>
  <si>
    <t>Kendal Place</t>
  </si>
  <si>
    <t>Kender Place</t>
  </si>
  <si>
    <t>Kender Street</t>
  </si>
  <si>
    <t>Kendoa Road</t>
  </si>
  <si>
    <t>Wimborne</t>
  </si>
  <si>
    <t>Ofelia</t>
  </si>
  <si>
    <t>Kendrick Mews</t>
  </si>
  <si>
    <t>Kennard Street</t>
  </si>
  <si>
    <t>Kennedy Close</t>
  </si>
  <si>
    <t>Kennedy Path</t>
  </si>
  <si>
    <t>Kenneth Crescent</t>
  </si>
  <si>
    <t>Elidia</t>
  </si>
  <si>
    <t>Norwood</t>
  </si>
  <si>
    <t>Kenning Place</t>
  </si>
  <si>
    <t>Rollins</t>
  </si>
  <si>
    <t>Kennington Place</t>
  </si>
  <si>
    <t>Melton Mowbray</t>
  </si>
  <si>
    <t>Kennington Road</t>
  </si>
  <si>
    <t>Kenny Rd</t>
  </si>
  <si>
    <t>Kettering</t>
  </si>
  <si>
    <t>Kenrick Place</t>
  </si>
  <si>
    <t>Kensal Road</t>
  </si>
  <si>
    <t>Heywood</t>
  </si>
  <si>
    <t>Kensington</t>
  </si>
  <si>
    <t>America</t>
  </si>
  <si>
    <t>Kensington Buildings</t>
  </si>
  <si>
    <t>Kent Walk</t>
  </si>
  <si>
    <t>Kentish ?</t>
  </si>
  <si>
    <t>Emory</t>
  </si>
  <si>
    <t>Kenwood Close</t>
  </si>
  <si>
    <t>Locke</t>
  </si>
  <si>
    <t>Kenya Road</t>
  </si>
  <si>
    <t>Florrie</t>
  </si>
  <si>
    <t>Mccoy</t>
  </si>
  <si>
    <t>Kerbela Street</t>
  </si>
  <si>
    <t>Kersfield Road</t>
  </si>
  <si>
    <t>Kershaw Close</t>
  </si>
  <si>
    <t>Latham</t>
  </si>
  <si>
    <t>Kersley Street</t>
  </si>
  <si>
    <t>Stansted</t>
  </si>
  <si>
    <t>Marva</t>
  </si>
  <si>
    <t>Sawyer</t>
  </si>
  <si>
    <t>Keswick Broadway</t>
  </si>
  <si>
    <t>Caledon</t>
  </si>
  <si>
    <t>Arnulfo</t>
  </si>
  <si>
    <t>Keynsham Road</t>
  </si>
  <si>
    <t>Roseanna</t>
  </si>
  <si>
    <t>Keystone Crescent</t>
  </si>
  <si>
    <t>Diamond</t>
  </si>
  <si>
    <t>Kezia Street</t>
  </si>
  <si>
    <t>Jessika</t>
  </si>
  <si>
    <t>Webster</t>
  </si>
  <si>
    <t>Kidbrook Lane</t>
  </si>
  <si>
    <t>Kidron Way</t>
  </si>
  <si>
    <t>Killowen Road</t>
  </si>
  <si>
    <t>Kilton Street</t>
  </si>
  <si>
    <t>Watson</t>
  </si>
  <si>
    <t>Kimberly RD</t>
  </si>
  <si>
    <t>Flavia</t>
  </si>
  <si>
    <t>Cano</t>
  </si>
  <si>
    <t>Kimberly Road</t>
  </si>
  <si>
    <t>Strathaven</t>
  </si>
  <si>
    <t>Kincaid Road</t>
  </si>
  <si>
    <t>Beulah</t>
  </si>
  <si>
    <t>King David's</t>
  </si>
  <si>
    <t>Rogart</t>
  </si>
  <si>
    <t>Tammy</t>
  </si>
  <si>
    <t>King Henry</t>
  </si>
  <si>
    <t>Tiny</t>
  </si>
  <si>
    <t>King Johns</t>
  </si>
  <si>
    <t>Nickerson</t>
  </si>
  <si>
    <t>King Stables</t>
  </si>
  <si>
    <t>Candi</t>
  </si>
  <si>
    <t>King Stairs</t>
  </si>
  <si>
    <t>Kayla</t>
  </si>
  <si>
    <t>Kings Avenue</t>
  </si>
  <si>
    <t>Andy</t>
  </si>
  <si>
    <t>Pritchard</t>
  </si>
  <si>
    <t>King'S Avenue</t>
  </si>
  <si>
    <t>Kings Cottages</t>
  </si>
  <si>
    <t>Kings Passage</t>
  </si>
  <si>
    <t>Berry</t>
  </si>
  <si>
    <t>Kings Place</t>
  </si>
  <si>
    <t>Redruth</t>
  </si>
  <si>
    <t>Clemmie</t>
  </si>
  <si>
    <t>Kings Row</t>
  </si>
  <si>
    <t>Kings Square</t>
  </si>
  <si>
    <t>Kingsdown Close</t>
  </si>
  <si>
    <t>Mathilda</t>
  </si>
  <si>
    <t>Kingsdown Villas</t>
  </si>
  <si>
    <t>Olympia</t>
  </si>
  <si>
    <t>Henson</t>
  </si>
  <si>
    <t>Kingsford Street</t>
  </si>
  <si>
    <t>Philip</t>
  </si>
  <si>
    <t>Kingsland Green</t>
  </si>
  <si>
    <t>Kingsland High</t>
  </si>
  <si>
    <t>Kingsley Avenue</t>
  </si>
  <si>
    <t>Kingsley Place</t>
  </si>
  <si>
    <t>Kingsley Wood</t>
  </si>
  <si>
    <t>Lifton</t>
  </si>
  <si>
    <t>Kingslyn Crescent</t>
  </si>
  <si>
    <t>Wallington</t>
  </si>
  <si>
    <t>Venessa</t>
  </si>
  <si>
    <t>Kingsmead Road</t>
  </si>
  <si>
    <t>Horley</t>
  </si>
  <si>
    <t>England</t>
  </si>
  <si>
    <t>Kingston Place</t>
  </si>
  <si>
    <t>Dunbeath</t>
  </si>
  <si>
    <t>Aja</t>
  </si>
  <si>
    <t>Carrier</t>
  </si>
  <si>
    <t>Kingsway Parade</t>
  </si>
  <si>
    <t>Shepton Mallet</t>
  </si>
  <si>
    <t>Rodrigues</t>
  </si>
  <si>
    <t>Kingthorpe Terrace</t>
  </si>
  <si>
    <t>Mercer</t>
  </si>
  <si>
    <t>Kinnoul Road</t>
  </si>
  <si>
    <t>Beauly</t>
  </si>
  <si>
    <t>Dovie</t>
  </si>
  <si>
    <t>Yates</t>
  </si>
  <si>
    <t>Garret</t>
  </si>
  <si>
    <t>Kinsale Road</t>
  </si>
  <si>
    <t>Lavinia</t>
  </si>
  <si>
    <t>Metcalf</t>
  </si>
  <si>
    <t>Kintore Street</t>
  </si>
  <si>
    <t>Greenhithe</t>
  </si>
  <si>
    <t>Wilbur</t>
  </si>
  <si>
    <t>Kirby Grove</t>
  </si>
  <si>
    <t>Burke</t>
  </si>
  <si>
    <t>Kirchen Road</t>
  </si>
  <si>
    <t>Arla</t>
  </si>
  <si>
    <t>Kirkland Walk</t>
  </si>
  <si>
    <t>Gifford</t>
  </si>
  <si>
    <t>Kirkside Road</t>
  </si>
  <si>
    <t>Shirley</t>
  </si>
  <si>
    <t>Kirkton Road</t>
  </si>
  <si>
    <t>Knighton Road</t>
  </si>
  <si>
    <t>Rashida</t>
  </si>
  <si>
    <t>Knockholt Road</t>
  </si>
  <si>
    <t>Shena</t>
  </si>
  <si>
    <t>Pelletier</t>
  </si>
  <si>
    <t>Knotts Buildings</t>
  </si>
  <si>
    <t>Werner</t>
  </si>
  <si>
    <t>Knowsley Cottages</t>
  </si>
  <si>
    <t>Barnes</t>
  </si>
  <si>
    <t>Kynaston Road</t>
  </si>
  <si>
    <t>Labgley Street</t>
  </si>
  <si>
    <t>Dyer</t>
  </si>
  <si>
    <t>Laburnam Villas</t>
  </si>
  <si>
    <t>Laburnum Avenue</t>
  </si>
  <si>
    <t>Kilwinning</t>
  </si>
  <si>
    <t>Elkins</t>
  </si>
  <si>
    <t>Laburnum Street</t>
  </si>
  <si>
    <t>Violet</t>
  </si>
  <si>
    <t>Mayberry</t>
  </si>
  <si>
    <t>Laburnum Villas</t>
  </si>
  <si>
    <t>Smethwick</t>
  </si>
  <si>
    <t>Ladbroke Crescent</t>
  </si>
  <si>
    <t>Sams</t>
  </si>
  <si>
    <t>Ladbroke Walk</t>
  </si>
  <si>
    <t>Ladderswood Way</t>
  </si>
  <si>
    <t>Ladds Court</t>
  </si>
  <si>
    <t>Ladywell Park</t>
  </si>
  <si>
    <t>Kristal</t>
  </si>
  <si>
    <t>Laidlaw Drive</t>
  </si>
  <si>
    <t>Rashad</t>
  </si>
  <si>
    <t>Lairdale Close</t>
  </si>
  <si>
    <t>Tad</t>
  </si>
  <si>
    <t>Lakeside Road</t>
  </si>
  <si>
    <t>Enfield</t>
  </si>
  <si>
    <t>Lambert Court</t>
  </si>
  <si>
    <t>Douglass</t>
  </si>
  <si>
    <t>Lambert Street</t>
  </si>
  <si>
    <t>Loria</t>
  </si>
  <si>
    <t>Lambeth High</t>
  </si>
  <si>
    <t>May</t>
  </si>
  <si>
    <t>Lambeth Pier</t>
  </si>
  <si>
    <t>Agatha</t>
  </si>
  <si>
    <t>Lambeth Square</t>
  </si>
  <si>
    <t>Morden</t>
  </si>
  <si>
    <t>Lambeth Street</t>
  </si>
  <si>
    <t>Lambourn Road</t>
  </si>
  <si>
    <t>Brewer</t>
  </si>
  <si>
    <t>Lambourne Place</t>
  </si>
  <si>
    <t>Lambourne Road</t>
  </si>
  <si>
    <t>Lambrook Terrace</t>
  </si>
  <si>
    <t>Lambs Mews</t>
  </si>
  <si>
    <t>Lambs Terrace</t>
  </si>
  <si>
    <t>Floyd</t>
  </si>
  <si>
    <t>Lamford Close</t>
  </si>
  <si>
    <t>Armandina</t>
  </si>
  <si>
    <t>Lammas Road</t>
  </si>
  <si>
    <t>Ilona</t>
  </si>
  <si>
    <t>Lanark Close</t>
  </si>
  <si>
    <t>Billye</t>
  </si>
  <si>
    <t>Mcneal</t>
  </si>
  <si>
    <t>Lanbury Road</t>
  </si>
  <si>
    <t>Lancaster Cottages</t>
  </si>
  <si>
    <t>Lancaster Drive</t>
  </si>
  <si>
    <t>Shawnta</t>
  </si>
  <si>
    <t>Kristyn</t>
  </si>
  <si>
    <t>Lancaster Grove</t>
  </si>
  <si>
    <t>Landels Road</t>
  </si>
  <si>
    <t>Landgrove Road</t>
  </si>
  <si>
    <t>Ka</t>
  </si>
  <si>
    <t>Landons Close</t>
  </si>
  <si>
    <t>Landsdowne Mews</t>
  </si>
  <si>
    <t>Shameka</t>
  </si>
  <si>
    <t>Lane Road</t>
  </si>
  <si>
    <t>Lanercost Gardens</t>
  </si>
  <si>
    <t>Purfleet</t>
  </si>
  <si>
    <t>Langdale Road</t>
  </si>
  <si>
    <t>Ian</t>
  </si>
  <si>
    <t>Langdale Villas</t>
  </si>
  <si>
    <t>Karen</t>
  </si>
  <si>
    <t>Langdon Road</t>
  </si>
  <si>
    <t>Langham Road</t>
  </si>
  <si>
    <t>Langhedge Lane</t>
  </si>
  <si>
    <t>Roth</t>
  </si>
  <si>
    <t>Rebeca</t>
  </si>
  <si>
    <t>Evans</t>
  </si>
  <si>
    <t>Langley Road</t>
  </si>
  <si>
    <t>Janey</t>
  </si>
  <si>
    <t>Langton Rise</t>
  </si>
  <si>
    <t>Kayce</t>
  </si>
  <si>
    <t>Langton Way</t>
  </si>
  <si>
    <t>Shavon</t>
  </si>
  <si>
    <t>Lansbury Gardens</t>
  </si>
  <si>
    <t>Lanscombe Walk</t>
  </si>
  <si>
    <t>Troy</t>
  </si>
  <si>
    <t>Lansdale Villas</t>
  </si>
  <si>
    <t>Lansdowne Gardens</t>
  </si>
  <si>
    <t>Asley</t>
  </si>
  <si>
    <t>Lansfield Terrace</t>
  </si>
  <si>
    <t>Lant Place</t>
  </si>
  <si>
    <t>Lant Street</t>
  </si>
  <si>
    <t>Juan</t>
  </si>
  <si>
    <t>Studley</t>
  </si>
  <si>
    <t>Christal</t>
  </si>
  <si>
    <t>Lapford Place</t>
  </si>
  <si>
    <t>Rosie</t>
  </si>
  <si>
    <t>Larch Road</t>
  </si>
  <si>
    <t>Clarita</t>
  </si>
  <si>
    <t>Larkfield Villas</t>
  </si>
  <si>
    <t>Larkhill Terrace</t>
  </si>
  <si>
    <t>Jeffry</t>
  </si>
  <si>
    <t>Lascelles Place</t>
  </si>
  <si>
    <t>Carney</t>
  </si>
  <si>
    <t>Latchmere Grove</t>
  </si>
  <si>
    <t>Latchmere Lane</t>
  </si>
  <si>
    <t>Laud Street</t>
  </si>
  <si>
    <t>Shaneka</t>
  </si>
  <si>
    <t>Castaneda</t>
  </si>
  <si>
    <t>Laura Close</t>
  </si>
  <si>
    <t>Mcrae</t>
  </si>
  <si>
    <t>Laurel Drive</t>
  </si>
  <si>
    <t>Laurel Gardens</t>
  </si>
  <si>
    <t>Marcum</t>
  </si>
  <si>
    <t>Laurel Grove</t>
  </si>
  <si>
    <t>Laurel Road</t>
  </si>
  <si>
    <t>Laurel Villas</t>
  </si>
  <si>
    <t>Lauriston Road</t>
  </si>
  <si>
    <t>Rico</t>
  </si>
  <si>
    <t>Aguirre</t>
  </si>
  <si>
    <t>Lausanne Terrace</t>
  </si>
  <si>
    <t>Mikel</t>
  </si>
  <si>
    <t>Lausanne Villas</t>
  </si>
  <si>
    <t>Lavell Street</t>
  </si>
  <si>
    <t>Lavender Gardens</t>
  </si>
  <si>
    <t>Nell</t>
  </si>
  <si>
    <t>Lavender Sweep</t>
  </si>
  <si>
    <t>Lavengro Road</t>
  </si>
  <si>
    <t>Tanner</t>
  </si>
  <si>
    <t>Lavers Road</t>
  </si>
  <si>
    <t>Laverton Mews</t>
  </si>
  <si>
    <t>Kathryn</t>
  </si>
  <si>
    <t>Lavington Road</t>
  </si>
  <si>
    <t>Adaline</t>
  </si>
  <si>
    <t>Lawford Road</t>
  </si>
  <si>
    <t>Golda</t>
  </si>
  <si>
    <t>Lawn</t>
  </si>
  <si>
    <t>Dolwyddelan</t>
  </si>
  <si>
    <t>Dina</t>
  </si>
  <si>
    <t>Lawn House</t>
  </si>
  <si>
    <t>Lawrence Campe</t>
  </si>
  <si>
    <t>Marta</t>
  </si>
  <si>
    <t>Lawrie Grove</t>
  </si>
  <si>
    <t>Esther</t>
  </si>
  <si>
    <t>Lea Valley</t>
  </si>
  <si>
    <t>Lea Villas</t>
  </si>
  <si>
    <t>Lea Works</t>
  </si>
  <si>
    <t>Leabank Square</t>
  </si>
  <si>
    <t>Leadenhall Street</t>
  </si>
  <si>
    <t>Leading Street</t>
  </si>
  <si>
    <t>Tana</t>
  </si>
  <si>
    <t>Norris</t>
  </si>
  <si>
    <t>Lealand Road</t>
  </si>
  <si>
    <t>Tashia</t>
  </si>
  <si>
    <t>Leamington Villas</t>
  </si>
  <si>
    <t>Lebanon Terrace</t>
  </si>
  <si>
    <t>Abbie</t>
  </si>
  <si>
    <t>Hodges</t>
  </si>
  <si>
    <t>Leda Road</t>
  </si>
  <si>
    <t>Kai</t>
  </si>
  <si>
    <t>Ledrington Road</t>
  </si>
  <si>
    <t>Edris</t>
  </si>
  <si>
    <t>Lee Place</t>
  </si>
  <si>
    <t>Sandie</t>
  </si>
  <si>
    <t>Kuhn</t>
  </si>
  <si>
    <t>Lee Road</t>
  </si>
  <si>
    <t>Samuel</t>
  </si>
  <si>
    <t>Leeland Terrace</t>
  </si>
  <si>
    <t>Bailey</t>
  </si>
  <si>
    <t>Leerdam Drive</t>
  </si>
  <si>
    <t>Lance</t>
  </si>
  <si>
    <t>Lees Mews</t>
  </si>
  <si>
    <t>Leeside Road</t>
  </si>
  <si>
    <t>Darla</t>
  </si>
  <si>
    <t>Leeward Gardens</t>
  </si>
  <si>
    <t>Leeway</t>
  </si>
  <si>
    <t>Bette</t>
  </si>
  <si>
    <t>Legge Street</t>
  </si>
  <si>
    <t>Legion Way</t>
  </si>
  <si>
    <t>Leigham Court</t>
  </si>
  <si>
    <t>Latasha</t>
  </si>
  <si>
    <t>Leigham Lane</t>
  </si>
  <si>
    <t>Leith Close</t>
  </si>
  <si>
    <t>Aldridge</t>
  </si>
  <si>
    <t>Lemon Valley</t>
  </si>
  <si>
    <t>Brittanie</t>
  </si>
  <si>
    <t>Mack</t>
  </si>
  <si>
    <t>Totland Bay</t>
  </si>
  <si>
    <t>Lendal Terrace</t>
  </si>
  <si>
    <t>Lenthorp Road</t>
  </si>
  <si>
    <t>Choppington</t>
  </si>
  <si>
    <t>Leo Street</t>
  </si>
  <si>
    <t>Ramon</t>
  </si>
  <si>
    <t>Leopold Street</t>
  </si>
  <si>
    <t>High Wycombe</t>
  </si>
  <si>
    <t>Cliff</t>
  </si>
  <si>
    <t>Leroy Street</t>
  </si>
  <si>
    <t>Torrie</t>
  </si>
  <si>
    <t>Lessada Street</t>
  </si>
  <si>
    <t>Leswin Place</t>
  </si>
  <si>
    <t>Heard</t>
  </si>
  <si>
    <t>Lettison Street</t>
  </si>
  <si>
    <t>Rouse</t>
  </si>
  <si>
    <t>Lever Street</t>
  </si>
  <si>
    <t>Renita</t>
  </si>
  <si>
    <t>Leverson Street</t>
  </si>
  <si>
    <t>Rainham</t>
  </si>
  <si>
    <t>Lewes Road</t>
  </si>
  <si>
    <t>Kari</t>
  </si>
  <si>
    <t>Lewis Close</t>
  </si>
  <si>
    <t>Crickhowell</t>
  </si>
  <si>
    <t>Lewis Street</t>
  </si>
  <si>
    <t>Lewisham Hill</t>
  </si>
  <si>
    <t>Clynderwen</t>
  </si>
  <si>
    <t>Lewisham Union</t>
  </si>
  <si>
    <t>Elwood</t>
  </si>
  <si>
    <t>Leyburn Close</t>
  </si>
  <si>
    <t>Kingswinford</t>
  </si>
  <si>
    <t>Tilley</t>
  </si>
  <si>
    <t>Leyel Terrace</t>
  </si>
  <si>
    <t>Johnathon</t>
  </si>
  <si>
    <t>Rosenberg</t>
  </si>
  <si>
    <t>Leylang Road</t>
  </si>
  <si>
    <t>Lindsay</t>
  </si>
  <si>
    <t>Leysfield Road</t>
  </si>
  <si>
    <t>Conception</t>
  </si>
  <si>
    <t>Leyton Industrial</t>
  </si>
  <si>
    <t>Libella Road</t>
  </si>
  <si>
    <t>Ashbourne</t>
  </si>
  <si>
    <t>Dunn</t>
  </si>
  <si>
    <t>Liddon Road</t>
  </si>
  <si>
    <t>Lidgate Road</t>
  </si>
  <si>
    <t>Karren</t>
  </si>
  <si>
    <t>Lidiard Road</t>
  </si>
  <si>
    <t>Lidyard Road</t>
  </si>
  <si>
    <t>Northampton</t>
  </si>
  <si>
    <t>Lilburne Road</t>
  </si>
  <si>
    <t>Isabell</t>
  </si>
  <si>
    <t>Lilian Barker</t>
  </si>
  <si>
    <t>Verda</t>
  </si>
  <si>
    <t>Lillian Road</t>
  </si>
  <si>
    <t>Lily Road</t>
  </si>
  <si>
    <t>Bungay</t>
  </si>
  <si>
    <t>Limeharbour</t>
  </si>
  <si>
    <t>Vernice</t>
  </si>
  <si>
    <t>Lincoln Mews</t>
  </si>
  <si>
    <t>Lincoln Villas</t>
  </si>
  <si>
    <t>Eduardo</t>
  </si>
  <si>
    <t>Dawkins</t>
  </si>
  <si>
    <t>Linda Street</t>
  </si>
  <si>
    <t>Evalyn</t>
  </si>
  <si>
    <t>Linden Place</t>
  </si>
  <si>
    <t>Letha</t>
  </si>
  <si>
    <t>Linden Terrace</t>
  </si>
  <si>
    <t>Lindfield Street</t>
  </si>
  <si>
    <t>Terry</t>
  </si>
  <si>
    <t>Lugo</t>
  </si>
  <si>
    <t>Lindley Street</t>
  </si>
  <si>
    <t>Linds Street</t>
  </si>
  <si>
    <t>Rice</t>
  </si>
  <si>
    <t>Lindsell Street</t>
  </si>
  <si>
    <t>Lingards Road</t>
  </si>
  <si>
    <t>Jewel</t>
  </si>
  <si>
    <t>Lingfield Crescent</t>
  </si>
  <si>
    <t>Oneil</t>
  </si>
  <si>
    <t>Linhope Street</t>
  </si>
  <si>
    <t>Lue</t>
  </si>
  <si>
    <t>Link Road</t>
  </si>
  <si>
    <t>Links Yard</t>
  </si>
  <si>
    <t>Jersey</t>
  </si>
  <si>
    <t>Linnell Drive</t>
  </si>
  <si>
    <t>Karyn</t>
  </si>
  <si>
    <t>Middleton</t>
  </si>
  <si>
    <t>Linsey ROAD</t>
  </si>
  <si>
    <t>Linton Place</t>
  </si>
  <si>
    <t>Moira</t>
  </si>
  <si>
    <t>Lionel Gardens</t>
  </si>
  <si>
    <t>Liphook Crescent</t>
  </si>
  <si>
    <t>Uttoxeter</t>
  </si>
  <si>
    <t>Lipton Road</t>
  </si>
  <si>
    <t>Lisban Street</t>
  </si>
  <si>
    <t>Porfirio</t>
  </si>
  <si>
    <t>Lisle Street</t>
  </si>
  <si>
    <t>Lismore Road</t>
  </si>
  <si>
    <t>Sarina</t>
  </si>
  <si>
    <t>Spence</t>
  </si>
  <si>
    <t>Little Alie</t>
  </si>
  <si>
    <t>Britney</t>
  </si>
  <si>
    <t>Little Bacon</t>
  </si>
  <si>
    <t>Little Belgrave</t>
  </si>
  <si>
    <t>Marion</t>
  </si>
  <si>
    <t>Little Bolton</t>
  </si>
  <si>
    <t>Carisa</t>
  </si>
  <si>
    <t>Little Cambridge</t>
  </si>
  <si>
    <t>Roscoe</t>
  </si>
  <si>
    <t>Little Century</t>
  </si>
  <si>
    <t>Little Clarence</t>
  </si>
  <si>
    <t>Broussard</t>
  </si>
  <si>
    <t>Little Collingwood</t>
  </si>
  <si>
    <t>Little Coram</t>
  </si>
  <si>
    <t>Kermit</t>
  </si>
  <si>
    <t>Little Dimocks</t>
  </si>
  <si>
    <t>Kerri</t>
  </si>
  <si>
    <t>Little Drummond</t>
  </si>
  <si>
    <t>Brampton</t>
  </si>
  <si>
    <t>Little Ealing</t>
  </si>
  <si>
    <t>Ledbury</t>
  </si>
  <si>
    <t>Will</t>
  </si>
  <si>
    <t>Little Grosvenor</t>
  </si>
  <si>
    <t>Sosa</t>
  </si>
  <si>
    <t>Nancie</t>
  </si>
  <si>
    <t>Little Lant</t>
  </si>
  <si>
    <t>Little Marlborough</t>
  </si>
  <si>
    <t>Robbyn</t>
  </si>
  <si>
    <t>Little Middlesex</t>
  </si>
  <si>
    <t>Louetta</t>
  </si>
  <si>
    <t>Little Monro</t>
  </si>
  <si>
    <t>Wanetta</t>
  </si>
  <si>
    <t>Little Moorfields</t>
  </si>
  <si>
    <t>Little Newport</t>
  </si>
  <si>
    <t>Chandra</t>
  </si>
  <si>
    <t>Little Norris</t>
  </si>
  <si>
    <t>Ela</t>
  </si>
  <si>
    <t>Little Park</t>
  </si>
  <si>
    <t>Hinkle</t>
  </si>
  <si>
    <t>Little Portland</t>
  </si>
  <si>
    <t>Isle Of Islay</t>
  </si>
  <si>
    <t>Felicia</t>
  </si>
  <si>
    <t>Little Randolph</t>
  </si>
  <si>
    <t>Fernanda</t>
  </si>
  <si>
    <t>Harden</t>
  </si>
  <si>
    <t>Little Somerset</t>
  </si>
  <si>
    <t>Jc</t>
  </si>
  <si>
    <t>Little Tongue</t>
  </si>
  <si>
    <t>Cheree</t>
  </si>
  <si>
    <t>Purcell</t>
  </si>
  <si>
    <t>Littlecombe</t>
  </si>
  <si>
    <t>Dover</t>
  </si>
  <si>
    <t>Meza</t>
  </si>
  <si>
    <t>Littleton Street</t>
  </si>
  <si>
    <t>Rowland'S Castle</t>
  </si>
  <si>
    <t>Littleton Villas</t>
  </si>
  <si>
    <t>Littlewood Close</t>
  </si>
  <si>
    <t>Domonique</t>
  </si>
  <si>
    <t>Livermere Road</t>
  </si>
  <si>
    <t>Liverpool Street</t>
  </si>
  <si>
    <t>Liverpool Terrace</t>
  </si>
  <si>
    <t>West Wickham</t>
  </si>
  <si>
    <t>Lizard Street</t>
  </si>
  <si>
    <t>Mickey</t>
  </si>
  <si>
    <t>Lloyd Mews</t>
  </si>
  <si>
    <t>Dulce</t>
  </si>
  <si>
    <t>Lloyd's Place</t>
  </si>
  <si>
    <t>Lakisha</t>
  </si>
  <si>
    <t>Pereira</t>
  </si>
  <si>
    <t>Lock Chase</t>
  </si>
  <si>
    <t>Ferris</t>
  </si>
  <si>
    <t>Lock Square</t>
  </si>
  <si>
    <t>Larae</t>
  </si>
  <si>
    <t>Lockhart Street</t>
  </si>
  <si>
    <t>Lockwoods Cottages</t>
  </si>
  <si>
    <t>Porthmadog</t>
  </si>
  <si>
    <t>Markus</t>
  </si>
  <si>
    <t>Mobley</t>
  </si>
  <si>
    <t>Loddiges Road</t>
  </si>
  <si>
    <t>Loder Street</t>
  </si>
  <si>
    <t>Arnold</t>
  </si>
  <si>
    <t>Lodge</t>
  </si>
  <si>
    <t>Kirkcudbright</t>
  </si>
  <si>
    <t>Cordie</t>
  </si>
  <si>
    <t>Lofting Road</t>
  </si>
  <si>
    <t>Davenport</t>
  </si>
  <si>
    <t>Loman Villas</t>
  </si>
  <si>
    <t>Major</t>
  </si>
  <si>
    <t>Lomas Buildings</t>
  </si>
  <si>
    <t>Lombardy Place</t>
  </si>
  <si>
    <t>Londesborough Road</t>
  </si>
  <si>
    <t>Erlene</t>
  </si>
  <si>
    <t>London Passage</t>
  </si>
  <si>
    <t>Darcy</t>
  </si>
  <si>
    <t>London Place</t>
  </si>
  <si>
    <t>Colby</t>
  </si>
  <si>
    <t>London Terrace</t>
  </si>
  <si>
    <t>Ezequiel</t>
  </si>
  <si>
    <t>Read</t>
  </si>
  <si>
    <t>Long Lane</t>
  </si>
  <si>
    <t>Abram</t>
  </si>
  <si>
    <t>Long Leys</t>
  </si>
  <si>
    <t>Allan</t>
  </si>
  <si>
    <t>Maesteg</t>
  </si>
  <si>
    <t>Trent</t>
  </si>
  <si>
    <t>Longfield Estate</t>
  </si>
  <si>
    <t>Gipson</t>
  </si>
  <si>
    <t>Longford Villas</t>
  </si>
  <si>
    <t>Son</t>
  </si>
  <si>
    <t>Longly road</t>
  </si>
  <si>
    <t>Longmead Road</t>
  </si>
  <si>
    <t>Agustin</t>
  </si>
  <si>
    <t>Longmead Square</t>
  </si>
  <si>
    <t>Longmoore Street</t>
  </si>
  <si>
    <t>Barr</t>
  </si>
  <si>
    <t>Longton Houses</t>
  </si>
  <si>
    <t>Lonsdale Square</t>
  </si>
  <si>
    <t>Loraine Cottages</t>
  </si>
  <si>
    <t>Cristopher</t>
  </si>
  <si>
    <t>Lord Nelson</t>
  </si>
  <si>
    <t>Lordship Road</t>
  </si>
  <si>
    <t>Evangelina</t>
  </si>
  <si>
    <t>Lordship Terrace</t>
  </si>
  <si>
    <t>Lorraine Place</t>
  </si>
  <si>
    <t>Lorrimore Street</t>
  </si>
  <si>
    <t>Genesis</t>
  </si>
  <si>
    <t>Davies</t>
  </si>
  <si>
    <t>Loughborough Estate</t>
  </si>
  <si>
    <t>Mardell</t>
  </si>
  <si>
    <t>Louisa Gardens</t>
  </si>
  <si>
    <t>Louise Aumonier</t>
  </si>
  <si>
    <t>Suarez</t>
  </si>
  <si>
    <t>Love Walk</t>
  </si>
  <si>
    <t>Stromness</t>
  </si>
  <si>
    <t>Angle</t>
  </si>
  <si>
    <t>Lovelace Green</t>
  </si>
  <si>
    <t>Lovers Walk</t>
  </si>
  <si>
    <t>Low Hall</t>
  </si>
  <si>
    <t>Lower Agnes</t>
  </si>
  <si>
    <t>Rhett</t>
  </si>
  <si>
    <t>Lower Belgrave</t>
  </si>
  <si>
    <t>Lower Chapman</t>
  </si>
  <si>
    <t>Lower Chester</t>
  </si>
  <si>
    <t>Guillermina</t>
  </si>
  <si>
    <t>Lower Cornwall</t>
  </si>
  <si>
    <t>Louella</t>
  </si>
  <si>
    <t>Lower Eglinton</t>
  </si>
  <si>
    <t>Cherly</t>
  </si>
  <si>
    <t>Weber</t>
  </si>
  <si>
    <t>Lower Hall</t>
  </si>
  <si>
    <t>Augustina</t>
  </si>
  <si>
    <t>Wooten</t>
  </si>
  <si>
    <t>Lower Kennington</t>
  </si>
  <si>
    <t>Cordero</t>
  </si>
  <si>
    <t>Lower Mansfield</t>
  </si>
  <si>
    <t>Tameika</t>
  </si>
  <si>
    <t>Lower Place</t>
  </si>
  <si>
    <t>Lower Shadwell</t>
  </si>
  <si>
    <t>Cope</t>
  </si>
  <si>
    <t>Lowman Road</t>
  </si>
  <si>
    <t>Lowther Gardens</t>
  </si>
  <si>
    <t>Longhope</t>
  </si>
  <si>
    <t>Lowther Hill</t>
  </si>
  <si>
    <t>Lucey Way</t>
  </si>
  <si>
    <t>Carlyn</t>
  </si>
  <si>
    <t>Ludgate Circus</t>
  </si>
  <si>
    <t>Bartley</t>
  </si>
  <si>
    <t>Lukin Crescent</t>
  </si>
  <si>
    <t>Lulworth Road</t>
  </si>
  <si>
    <t>Fowey</t>
  </si>
  <si>
    <t>Ledford</t>
  </si>
  <si>
    <t>Lundy Walk</t>
  </si>
  <si>
    <t>Lutheran Place</t>
  </si>
  <si>
    <t>Lutomer House</t>
  </si>
  <si>
    <t>Luton House</t>
  </si>
  <si>
    <t>Luxemburg Gardens</t>
  </si>
  <si>
    <t>Kazuko</t>
  </si>
  <si>
    <t>Luxford Street</t>
  </si>
  <si>
    <t>Swift</t>
  </si>
  <si>
    <t>Lyall Avenue</t>
  </si>
  <si>
    <t>Lydden Road</t>
  </si>
  <si>
    <t>Honiton</t>
  </si>
  <si>
    <t>Lydia's Cottages</t>
  </si>
  <si>
    <t>Deneen</t>
  </si>
  <si>
    <t>Lydney Cls</t>
  </si>
  <si>
    <t>Lympstone Gardens</t>
  </si>
  <si>
    <t>Lyn Mews</t>
  </si>
  <si>
    <t>Lynbrook Close</t>
  </si>
  <si>
    <t>Lyndhurst Gardens</t>
  </si>
  <si>
    <t>Lulu</t>
  </si>
  <si>
    <t>Gibson</t>
  </si>
  <si>
    <t>Lyndhurst Road</t>
  </si>
  <si>
    <t>Hammer</t>
  </si>
  <si>
    <t>Lynford Terrace</t>
  </si>
  <si>
    <t>Aletha</t>
  </si>
  <si>
    <t>Lynton Estate</t>
  </si>
  <si>
    <t>Lynton Road</t>
  </si>
  <si>
    <t>Cullompton</t>
  </si>
  <si>
    <t>Jefferey</t>
  </si>
  <si>
    <t>Lynton Terrace</t>
  </si>
  <si>
    <t>Lyon Road</t>
  </si>
  <si>
    <t>Alana</t>
  </si>
  <si>
    <t>Lyons Terrace</t>
  </si>
  <si>
    <t>Zachery</t>
  </si>
  <si>
    <t>Lyons Yard</t>
  </si>
  <si>
    <t>Cammie</t>
  </si>
  <si>
    <t>Lysia Street</t>
  </si>
  <si>
    <t>Harrow</t>
  </si>
  <si>
    <t>Lytton Strachey</t>
  </si>
  <si>
    <t>Macartney House</t>
  </si>
  <si>
    <t>Virginia</t>
  </si>
  <si>
    <t>Jeana</t>
  </si>
  <si>
    <t>Neta</t>
  </si>
  <si>
    <t>Macaulay Way</t>
  </si>
  <si>
    <t>Hugo</t>
  </si>
  <si>
    <t>Todd</t>
  </si>
  <si>
    <t>Macclesfield Road</t>
  </si>
  <si>
    <t>Macduff Road</t>
  </si>
  <si>
    <t>Stalybridge</t>
  </si>
  <si>
    <t>Maple</t>
  </si>
  <si>
    <t>Macduff Terrace</t>
  </si>
  <si>
    <t>Mackintosh Lane</t>
  </si>
  <si>
    <t>Jerrie</t>
  </si>
  <si>
    <t>Maconochies Road</t>
  </si>
  <si>
    <t>Magdalen Passage</t>
  </si>
  <si>
    <t>Sanjuana</t>
  </si>
  <si>
    <t>Magnolia Place</t>
  </si>
  <si>
    <t>Maguire Street</t>
  </si>
  <si>
    <t>Maidenhead Court</t>
  </si>
  <si>
    <t>Maismore Cottages</t>
  </si>
  <si>
    <t>Barmouth</t>
  </si>
  <si>
    <t>Rossana</t>
  </si>
  <si>
    <t>Maitland Close</t>
  </si>
  <si>
    <t>Maize Row</t>
  </si>
  <si>
    <t>Dewayne</t>
  </si>
  <si>
    <t>Maizel Street</t>
  </si>
  <si>
    <t>Makepeace Road</t>
  </si>
  <si>
    <t>Lorrie</t>
  </si>
  <si>
    <t>Malbrook Road</t>
  </si>
  <si>
    <t>Malcolm Crescent</t>
  </si>
  <si>
    <t>Antonia</t>
  </si>
  <si>
    <t>Maldon Road</t>
  </si>
  <si>
    <t>Malet Place</t>
  </si>
  <si>
    <t>Broadstone</t>
  </si>
  <si>
    <t>Sarai</t>
  </si>
  <si>
    <t>Dolan</t>
  </si>
  <si>
    <t>Maley Avenue</t>
  </si>
  <si>
    <t>Malford Court</t>
  </si>
  <si>
    <t>Mallams Mews</t>
  </si>
  <si>
    <t>Dwight</t>
  </si>
  <si>
    <t>Mallard Way</t>
  </si>
  <si>
    <t>Deandrea</t>
  </si>
  <si>
    <t>Mallet Road</t>
  </si>
  <si>
    <t>Ballindalloch</t>
  </si>
  <si>
    <t>Samira</t>
  </si>
  <si>
    <t>Mallord Street</t>
  </si>
  <si>
    <t>Latonya</t>
  </si>
  <si>
    <t>Malton St</t>
  </si>
  <si>
    <t>Ashlyn</t>
  </si>
  <si>
    <t>Blount</t>
  </si>
  <si>
    <t>Maltravers Street</t>
  </si>
  <si>
    <t>Christeen</t>
  </si>
  <si>
    <t>Manbey Road</t>
  </si>
  <si>
    <t>Kallie</t>
  </si>
  <si>
    <t>Manchester Place</t>
  </si>
  <si>
    <t>Rachelle</t>
  </si>
  <si>
    <t>Manciple Street</t>
  </si>
  <si>
    <t>Pamella</t>
  </si>
  <si>
    <t>Mandela Way</t>
  </si>
  <si>
    <t>Lamb</t>
  </si>
  <si>
    <t>Manette Street</t>
  </si>
  <si>
    <t>Maisie</t>
  </si>
  <si>
    <t>Anya</t>
  </si>
  <si>
    <t>Hearn</t>
  </si>
  <si>
    <t>Manks Place</t>
  </si>
  <si>
    <t>Manor Mews</t>
  </si>
  <si>
    <t>Manor Place</t>
  </si>
  <si>
    <t>Manor Rise</t>
  </si>
  <si>
    <t>Coulsdon</t>
  </si>
  <si>
    <t>Haynes</t>
  </si>
  <si>
    <t>Manor Row</t>
  </si>
  <si>
    <t>Antoine</t>
  </si>
  <si>
    <t>Manor Terrace</t>
  </si>
  <si>
    <t>Castlewellan</t>
  </si>
  <si>
    <t>Rosalinda</t>
  </si>
  <si>
    <t>Manorbrook</t>
  </si>
  <si>
    <t>Manorside Close</t>
  </si>
  <si>
    <t>Manresa House</t>
  </si>
  <si>
    <t>Mans Buildings</t>
  </si>
  <si>
    <t>Barbar</t>
  </si>
  <si>
    <t>Josephina</t>
  </si>
  <si>
    <t>Lackey</t>
  </si>
  <si>
    <t>Mans Court</t>
  </si>
  <si>
    <t>Mansell Road</t>
  </si>
  <si>
    <t>Trey</t>
  </si>
  <si>
    <t>Mansion Villas</t>
  </si>
  <si>
    <t>Mantle Road</t>
  </si>
  <si>
    <t>Manvers Terrace</t>
  </si>
  <si>
    <t>Sands</t>
  </si>
  <si>
    <t>Maple Road</t>
  </si>
  <si>
    <t>Craigavon</t>
  </si>
  <si>
    <t>Marcon Place</t>
  </si>
  <si>
    <t>Marconi Road</t>
  </si>
  <si>
    <t>Pineda</t>
  </si>
  <si>
    <t>Marcus Garvey</t>
  </si>
  <si>
    <t>Nana</t>
  </si>
  <si>
    <t>Marden Road</t>
  </si>
  <si>
    <t>Margaret Gardner</t>
  </si>
  <si>
    <t>Margery Terrace</t>
  </si>
  <si>
    <t>Lashandra</t>
  </si>
  <si>
    <t>Margravine Road</t>
  </si>
  <si>
    <t>Sheryl</t>
  </si>
  <si>
    <t>Ellis</t>
  </si>
  <si>
    <t>Marian Way</t>
  </si>
  <si>
    <t>Mariner's Buildings</t>
  </si>
  <si>
    <t>Barbie</t>
  </si>
  <si>
    <t>Fry</t>
  </si>
  <si>
    <t>Marius Road</t>
  </si>
  <si>
    <t>Alvin</t>
  </si>
  <si>
    <t>Mark Place</t>
  </si>
  <si>
    <t>Eleonora</t>
  </si>
  <si>
    <t>Markfield Gardens</t>
  </si>
  <si>
    <t>Wilford</t>
  </si>
  <si>
    <t>Guzman</t>
  </si>
  <si>
    <t>Markham Square</t>
  </si>
  <si>
    <t>Dusty</t>
  </si>
  <si>
    <t>Markwell Close</t>
  </si>
  <si>
    <t>Angelika</t>
  </si>
  <si>
    <t>Marlborough Parade</t>
  </si>
  <si>
    <t>Effie</t>
  </si>
  <si>
    <t>Marlborough Rd</t>
  </si>
  <si>
    <t>Pontypool</t>
  </si>
  <si>
    <t>Cleopatra</t>
  </si>
  <si>
    <t>Marquez</t>
  </si>
  <si>
    <t>Marlborough Terrace</t>
  </si>
  <si>
    <t>Cramer</t>
  </si>
  <si>
    <t>Marleys Yard</t>
  </si>
  <si>
    <t>Deangelo</t>
  </si>
  <si>
    <t>Marmion Mews</t>
  </si>
  <si>
    <t>Pham</t>
  </si>
  <si>
    <t>Marmion Road</t>
  </si>
  <si>
    <t>Upminster</t>
  </si>
  <si>
    <t>Normand</t>
  </si>
  <si>
    <t>Wesley</t>
  </si>
  <si>
    <t>Maroons Way</t>
  </si>
  <si>
    <t>Dara</t>
  </si>
  <si>
    <t>Marriots Close</t>
  </si>
  <si>
    <t>Marsala Road</t>
  </si>
  <si>
    <t>Mcgraw</t>
  </si>
  <si>
    <t>Marsh</t>
  </si>
  <si>
    <t>Vincenzo</t>
  </si>
  <si>
    <t>Marsh Road</t>
  </si>
  <si>
    <t>Deonna</t>
  </si>
  <si>
    <t>Marshall Estate</t>
  </si>
  <si>
    <t>Edna</t>
  </si>
  <si>
    <t>Marshalsea</t>
  </si>
  <si>
    <t>Adrian</t>
  </si>
  <si>
    <t>Marshalsea Road</t>
  </si>
  <si>
    <t>Lochgelly</t>
  </si>
  <si>
    <t>Marshbrook Close</t>
  </si>
  <si>
    <t>Marshgate Lane</t>
  </si>
  <si>
    <t>Barajas</t>
  </si>
  <si>
    <t>Marsland Road</t>
  </si>
  <si>
    <t>Hector</t>
  </si>
  <si>
    <t>Martha Terrace</t>
  </si>
  <si>
    <t>Clemente</t>
  </si>
  <si>
    <t>Martin Way</t>
  </si>
  <si>
    <t>Martineau Road</t>
  </si>
  <si>
    <t>Eugena</t>
  </si>
  <si>
    <t>Martins Brickfield</t>
  </si>
  <si>
    <t>Chelsie</t>
  </si>
  <si>
    <t>Marville Road</t>
  </si>
  <si>
    <t>Dotson</t>
  </si>
  <si>
    <t>Mary Datchelor</t>
  </si>
  <si>
    <t>Mary Rose</t>
  </si>
  <si>
    <t>Bev</t>
  </si>
  <si>
    <t>Mary Terrace</t>
  </si>
  <si>
    <t>Maryland Road</t>
  </si>
  <si>
    <t>Marys Cottages</t>
  </si>
  <si>
    <t>Mascotts Close</t>
  </si>
  <si>
    <t>Cairndow</t>
  </si>
  <si>
    <t>Masham's Court</t>
  </si>
  <si>
    <t>Granger</t>
  </si>
  <si>
    <t>Maskani Walk</t>
  </si>
  <si>
    <t>Griselda</t>
  </si>
  <si>
    <t>Kramer</t>
  </si>
  <si>
    <t>Maskelyne Close</t>
  </si>
  <si>
    <t>Suzy</t>
  </si>
  <si>
    <t>Mason Close</t>
  </si>
  <si>
    <t>Mccarty</t>
  </si>
  <si>
    <t>Masons Avenue</t>
  </si>
  <si>
    <t>Lockerbie</t>
  </si>
  <si>
    <t>Carlo</t>
  </si>
  <si>
    <t>Mason's Avenue</t>
  </si>
  <si>
    <t>Denese</t>
  </si>
  <si>
    <t>Masons Court</t>
  </si>
  <si>
    <t>Carmen</t>
  </si>
  <si>
    <t>Masons Grove</t>
  </si>
  <si>
    <t>Lucio</t>
  </si>
  <si>
    <t>Mason's Grove</t>
  </si>
  <si>
    <t>Masons Place</t>
  </si>
  <si>
    <t>Gemma</t>
  </si>
  <si>
    <t>Mason's Place</t>
  </si>
  <si>
    <t>Vannesa</t>
  </si>
  <si>
    <t>Mathew Court</t>
  </si>
  <si>
    <t>Bret</t>
  </si>
  <si>
    <t>Matlock Villas</t>
  </si>
  <si>
    <t>Matsin Street</t>
  </si>
  <si>
    <t>Cheddar</t>
  </si>
  <si>
    <t>Springer</t>
  </si>
  <si>
    <t>Gerry</t>
  </si>
  <si>
    <t>Matthews Buildings</t>
  </si>
  <si>
    <t>Mattison Road</t>
  </si>
  <si>
    <t>Maude Villas</t>
  </si>
  <si>
    <t>Romana</t>
  </si>
  <si>
    <t>Maudlins Green</t>
  </si>
  <si>
    <t>Maudsville Cottages</t>
  </si>
  <si>
    <t>Delacruz</t>
  </si>
  <si>
    <t>Maurice Street</t>
  </si>
  <si>
    <t>Mauritius Road</t>
  </si>
  <si>
    <t>Sullivan</t>
  </si>
  <si>
    <t>Mavis Walk</t>
  </si>
  <si>
    <t>Maxim Road</t>
  </si>
  <si>
    <t>Sheena</t>
  </si>
  <si>
    <t>Maxwell Road</t>
  </si>
  <si>
    <t>Mari</t>
  </si>
  <si>
    <t>Maghera</t>
  </si>
  <si>
    <t>Cortes</t>
  </si>
  <si>
    <t>Maybury Cottages</t>
  </si>
  <si>
    <t>Sherill</t>
  </si>
  <si>
    <t>Delaney</t>
  </si>
  <si>
    <t>Mayeswood Road</t>
  </si>
  <si>
    <t>Mayfair Gardens</t>
  </si>
  <si>
    <t>Josue</t>
  </si>
  <si>
    <t>Mayfield Close</t>
  </si>
  <si>
    <t>Loyce</t>
  </si>
  <si>
    <t>Mayfield Road</t>
  </si>
  <si>
    <t>Chi</t>
  </si>
  <si>
    <t>Maygood StrEEt</t>
  </si>
  <si>
    <t>Maynards Quay</t>
  </si>
  <si>
    <t>Jim</t>
  </si>
  <si>
    <t>Mays &amp;</t>
  </si>
  <si>
    <t>Maytree Walk</t>
  </si>
  <si>
    <t>Salter</t>
  </si>
  <si>
    <t>Mayville Estate</t>
  </si>
  <si>
    <t>Maze Hill</t>
  </si>
  <si>
    <t>Exeter</t>
  </si>
  <si>
    <t>Mazow Rd</t>
  </si>
  <si>
    <t>Mccall Crescent</t>
  </si>
  <si>
    <t>Meadow Garth</t>
  </si>
  <si>
    <t>Ladawn</t>
  </si>
  <si>
    <t>Meadway</t>
  </si>
  <si>
    <t>Meards Court</t>
  </si>
  <si>
    <t>Meard's Court</t>
  </si>
  <si>
    <t>Meards Street</t>
  </si>
  <si>
    <t>Bushmills</t>
  </si>
  <si>
    <t>Sparks</t>
  </si>
  <si>
    <t>Tom</t>
  </si>
  <si>
    <t>Mecklenburg Square</t>
  </si>
  <si>
    <t>Medcalf Place</t>
  </si>
  <si>
    <t>Medfield Street</t>
  </si>
  <si>
    <t>Marcel</t>
  </si>
  <si>
    <t>Melbourne Place</t>
  </si>
  <si>
    <t>Melcombe Place</t>
  </si>
  <si>
    <t>Melford lallas</t>
  </si>
  <si>
    <t>Melford Road</t>
  </si>
  <si>
    <t>Derick</t>
  </si>
  <si>
    <t>Melina Place</t>
  </si>
  <si>
    <t>Mellick's Place</t>
  </si>
  <si>
    <t>Mellison Road</t>
  </si>
  <si>
    <t>Mells Crescent</t>
  </si>
  <si>
    <t>Melon Ground</t>
  </si>
  <si>
    <t>Ingatestone</t>
  </si>
  <si>
    <t>Shanti</t>
  </si>
  <si>
    <t>Melrose Avenue</t>
  </si>
  <si>
    <t>Melton House</t>
  </si>
  <si>
    <t>Melton Street</t>
  </si>
  <si>
    <t>Esparza</t>
  </si>
  <si>
    <t>Melville Gardens</t>
  </si>
  <si>
    <t>Melville Terrace</t>
  </si>
  <si>
    <t>Katherine</t>
  </si>
  <si>
    <t>Melyn Close</t>
  </si>
  <si>
    <t>Reed</t>
  </si>
  <si>
    <t>Memorial Avenue</t>
  </si>
  <si>
    <t>Woodford Green</t>
  </si>
  <si>
    <t>Maxie</t>
  </si>
  <si>
    <t>Mendora Road</t>
  </si>
  <si>
    <t>Adrianne</t>
  </si>
  <si>
    <t>Fair</t>
  </si>
  <si>
    <t>Menelik Road</t>
  </si>
  <si>
    <t>Merbury Close</t>
  </si>
  <si>
    <t>Merceron Houses</t>
  </si>
  <si>
    <t>Meg</t>
  </si>
  <si>
    <t>Shaw</t>
  </si>
  <si>
    <t>Mercers Terrace</t>
  </si>
  <si>
    <t>Alfonso</t>
  </si>
  <si>
    <t>Mercury Houses</t>
  </si>
  <si>
    <t>Mere Close</t>
  </si>
  <si>
    <t>Felixstowe</t>
  </si>
  <si>
    <t>Meredith Mews</t>
  </si>
  <si>
    <t>Meretone Close</t>
  </si>
  <si>
    <t>Merganser Gardens</t>
  </si>
  <si>
    <t>Merrington Road</t>
  </si>
  <si>
    <t>Mersey Road</t>
  </si>
  <si>
    <t>Merton Villas</t>
  </si>
  <si>
    <t>Messaline Avenue</t>
  </si>
  <si>
    <t>Yan</t>
  </si>
  <si>
    <t>Delong</t>
  </si>
  <si>
    <t>Messeter Place</t>
  </si>
  <si>
    <t>Meteor Street</t>
  </si>
  <si>
    <t>Methodist Free</t>
  </si>
  <si>
    <t>Norine</t>
  </si>
  <si>
    <t>Ricarda</t>
  </si>
  <si>
    <t>Middle Lane</t>
  </si>
  <si>
    <t>Nicholle</t>
  </si>
  <si>
    <t>Middle Rd</t>
  </si>
  <si>
    <t>Middle Row</t>
  </si>
  <si>
    <t>Middle Walk</t>
  </si>
  <si>
    <t>Khan</t>
  </si>
  <si>
    <t>Middlesex Street</t>
  </si>
  <si>
    <t>Middleton Grove</t>
  </si>
  <si>
    <t>Middleton Mews</t>
  </si>
  <si>
    <t>Gustafson</t>
  </si>
  <si>
    <t>Midland Parade</t>
  </si>
  <si>
    <t>Alline</t>
  </si>
  <si>
    <t>Midland Road</t>
  </si>
  <si>
    <t>Florencio</t>
  </si>
  <si>
    <t>Gagne</t>
  </si>
  <si>
    <t>Might?? Bridge</t>
  </si>
  <si>
    <t>Fitch</t>
  </si>
  <si>
    <t>Milan Place</t>
  </si>
  <si>
    <t>Milburn Terrace</t>
  </si>
  <si>
    <t>Gunter</t>
  </si>
  <si>
    <t>Mildmay Road</t>
  </si>
  <si>
    <t>Sheri</t>
  </si>
  <si>
    <t>Miles Terrace</t>
  </si>
  <si>
    <t>St. Columb</t>
  </si>
  <si>
    <t>Junita</t>
  </si>
  <si>
    <t>Milfoil Street</t>
  </si>
  <si>
    <t>FEMALE</t>
  </si>
  <si>
    <t>Milford Lane</t>
  </si>
  <si>
    <t>Mill House</t>
  </si>
  <si>
    <t>Windlesham</t>
  </si>
  <si>
    <t>Rigoberto</t>
  </si>
  <si>
    <t>Mill Street</t>
  </si>
  <si>
    <t>Bynum</t>
  </si>
  <si>
    <t>Millbank</t>
  </si>
  <si>
    <t>Millbank Cottage</t>
  </si>
  <si>
    <t>Millbank Penitentiary</t>
  </si>
  <si>
    <t>Laurel</t>
  </si>
  <si>
    <t>Milledge Street</t>
  </si>
  <si>
    <t>Millennium Place</t>
  </si>
  <si>
    <t>Hancock</t>
  </si>
  <si>
    <t>Miller Street</t>
  </si>
  <si>
    <t>Meifod</t>
  </si>
  <si>
    <t>Millers Terrace</t>
  </si>
  <si>
    <t>Millfield Lane</t>
  </si>
  <si>
    <t>Denis</t>
  </si>
  <si>
    <t>Millfield Place</t>
  </si>
  <si>
    <t>Mills Grove</t>
  </si>
  <si>
    <t>Anne</t>
  </si>
  <si>
    <t>Mills Row</t>
  </si>
  <si>
    <t>Milman Road</t>
  </si>
  <si>
    <t>Britni</t>
  </si>
  <si>
    <t>Milmans Street</t>
  </si>
  <si>
    <t>Brixham</t>
  </si>
  <si>
    <t>HD</t>
  </si>
  <si>
    <t>Liane</t>
  </si>
  <si>
    <t>Milner Walk</t>
  </si>
  <si>
    <t>Milo Road</t>
  </si>
  <si>
    <t>Jesusa</t>
  </si>
  <si>
    <t>Mincing Lane</t>
  </si>
  <si>
    <t>Alena</t>
  </si>
  <si>
    <t>Minehead Road</t>
  </si>
  <si>
    <t>Minor</t>
  </si>
  <si>
    <t>Estefana</t>
  </si>
  <si>
    <t>Minera Street</t>
  </si>
  <si>
    <t>Minerva Terrace</t>
  </si>
  <si>
    <t>Daryl</t>
  </si>
  <si>
    <t>Conner</t>
  </si>
  <si>
    <t>Minnow Street</t>
  </si>
  <si>
    <t>Minnow Walk</t>
  </si>
  <si>
    <t>Minories</t>
  </si>
  <si>
    <t>Malcom</t>
  </si>
  <si>
    <t>Sloan</t>
  </si>
  <si>
    <t>Minosa Vale</t>
  </si>
  <si>
    <t>Regine</t>
  </si>
  <si>
    <t>Santana</t>
  </si>
  <si>
    <t>Mintern Close</t>
  </si>
  <si>
    <t>Dunmow</t>
  </si>
  <si>
    <t>Josh</t>
  </si>
  <si>
    <t>Head</t>
  </si>
  <si>
    <t>Minton Mews</t>
  </si>
  <si>
    <t>Mitcham Lane</t>
  </si>
  <si>
    <t>Mitchison Road</t>
  </si>
  <si>
    <t>Marianna</t>
  </si>
  <si>
    <t>Mitre Court</t>
  </si>
  <si>
    <t>Mitre Street</t>
  </si>
  <si>
    <t>Fidela</t>
  </si>
  <si>
    <t>Moat Drive</t>
  </si>
  <si>
    <t>St. Leonards-On-Sea</t>
  </si>
  <si>
    <t>Moat Place</t>
  </si>
  <si>
    <t>Moberley Road</t>
  </si>
  <si>
    <t>Good</t>
  </si>
  <si>
    <t>Molton Lane</t>
  </si>
  <si>
    <t>Monk Drive</t>
  </si>
  <si>
    <t>Louie</t>
  </si>
  <si>
    <t>Monkfrith Way</t>
  </si>
  <si>
    <t>Bembridge</t>
  </si>
  <si>
    <t>Greg</t>
  </si>
  <si>
    <t>Monks Close</t>
  </si>
  <si>
    <t>Amado</t>
  </si>
  <si>
    <t>Monmouth Close</t>
  </si>
  <si>
    <t>Monster Place</t>
  </si>
  <si>
    <t>Montagu Mews</t>
  </si>
  <si>
    <t>Montague House</t>
  </si>
  <si>
    <t>Barker</t>
  </si>
  <si>
    <t>Montague Place</t>
  </si>
  <si>
    <t>Montague Terrace</t>
  </si>
  <si>
    <t>Montefiore Street</t>
  </si>
  <si>
    <t>Drybrook</t>
  </si>
  <si>
    <t>Goldberg</t>
  </si>
  <si>
    <t>Montego Close</t>
  </si>
  <si>
    <t>Dutton</t>
  </si>
  <si>
    <t>Montpeleir Road</t>
  </si>
  <si>
    <t>Montpelier Avenue</t>
  </si>
  <si>
    <t>Kum</t>
  </si>
  <si>
    <t>Montpelier Row</t>
  </si>
  <si>
    <t>Goff</t>
  </si>
  <si>
    <t>Montpelier Square</t>
  </si>
  <si>
    <t>Miguel</t>
  </si>
  <si>
    <t>Montserrat Close</t>
  </si>
  <si>
    <t>Moor Lane</t>
  </si>
  <si>
    <t>Moorhouse Road</t>
  </si>
  <si>
    <t>Angelo</t>
  </si>
  <si>
    <t>Moorland Road</t>
  </si>
  <si>
    <t>Blackpool</t>
  </si>
  <si>
    <t>Andria</t>
  </si>
  <si>
    <t>Moors Alley</t>
  </si>
  <si>
    <t>Guisborough</t>
  </si>
  <si>
    <t>Morkyns Walk</t>
  </si>
  <si>
    <t>Rosendo</t>
  </si>
  <si>
    <t>Dominguez</t>
  </si>
  <si>
    <t>Morning Place</t>
  </si>
  <si>
    <t>Morpeth Road</t>
  </si>
  <si>
    <t>Trina</t>
  </si>
  <si>
    <t>Morris Avenue</t>
  </si>
  <si>
    <t>Morris Bishop</t>
  </si>
  <si>
    <t>Morris Buildings</t>
  </si>
  <si>
    <t>Suk</t>
  </si>
  <si>
    <t>Morrison Buildings</t>
  </si>
  <si>
    <t>Morston Gardens</t>
  </si>
  <si>
    <t>Muir Of Ord</t>
  </si>
  <si>
    <t>Anton</t>
  </si>
  <si>
    <t>Morten Place</t>
  </si>
  <si>
    <t>Vena</t>
  </si>
  <si>
    <t>Mortham Street</t>
  </si>
  <si>
    <t>Mortimer Terrace</t>
  </si>
  <si>
    <t>Bromley</t>
  </si>
  <si>
    <t>Mortion Villas</t>
  </si>
  <si>
    <t>Morton Place</t>
  </si>
  <si>
    <t>Gunn</t>
  </si>
  <si>
    <t>Morton Terrace</t>
  </si>
  <si>
    <t>Burton-On-Trent</t>
  </si>
  <si>
    <t>Georgina</t>
  </si>
  <si>
    <t>Mortons Place</t>
  </si>
  <si>
    <t>Hutchinson</t>
  </si>
  <si>
    <t>Moscow Terrace</t>
  </si>
  <si>
    <t>Bala</t>
  </si>
  <si>
    <t>Tressie</t>
  </si>
  <si>
    <t>Moselle Close</t>
  </si>
  <si>
    <t>Moselle Place</t>
  </si>
  <si>
    <t>Shakita</t>
  </si>
  <si>
    <t>Mossington Gardens</t>
  </si>
  <si>
    <t>Crouch</t>
  </si>
  <si>
    <t>Moss's Buildings</t>
  </si>
  <si>
    <t>Mostyn Grove</t>
  </si>
  <si>
    <t>Portstewart</t>
  </si>
  <si>
    <t>Mother Kate</t>
  </si>
  <si>
    <t>Holden</t>
  </si>
  <si>
    <t>Mount</t>
  </si>
  <si>
    <t>Mount Angelus</t>
  </si>
  <si>
    <t>Winifred</t>
  </si>
  <si>
    <t>Mount Ash</t>
  </si>
  <si>
    <t>Mount Avenue</t>
  </si>
  <si>
    <t>Tamworth</t>
  </si>
  <si>
    <t>Mount Close</t>
  </si>
  <si>
    <t>Tori</t>
  </si>
  <si>
    <t>Mount Ephraim</t>
  </si>
  <si>
    <t>Ohara</t>
  </si>
  <si>
    <t>Mount Row</t>
  </si>
  <si>
    <t>Horace</t>
  </si>
  <si>
    <t>Moyers Road</t>
  </si>
  <si>
    <t>Moyna Road</t>
  </si>
  <si>
    <t>Newport Pagnell</t>
  </si>
  <si>
    <t>Sergio</t>
  </si>
  <si>
    <t>Mozart Terrace</t>
  </si>
  <si>
    <t>Margarett</t>
  </si>
  <si>
    <t>Mulberry Business</t>
  </si>
  <si>
    <t>Cockburnspath</t>
  </si>
  <si>
    <t>Leoma</t>
  </si>
  <si>
    <t>Chacon</t>
  </si>
  <si>
    <t>Eartha</t>
  </si>
  <si>
    <t>Mulnath</t>
  </si>
  <si>
    <t>Percy</t>
  </si>
  <si>
    <t>Mulvaney Way</t>
  </si>
  <si>
    <t>Lauder</t>
  </si>
  <si>
    <t>Muncies Mews</t>
  </si>
  <si>
    <t>Mundys Place</t>
  </si>
  <si>
    <t>Elease</t>
  </si>
  <si>
    <t>Munster Place</t>
  </si>
  <si>
    <t>Sharleen</t>
  </si>
  <si>
    <t>Munster Road</t>
  </si>
  <si>
    <t>Munster Square</t>
  </si>
  <si>
    <t>Murdock Street</t>
  </si>
  <si>
    <t>Murray Mews</t>
  </si>
  <si>
    <t>Musbury Street</t>
  </si>
  <si>
    <t>Musk CRT</t>
  </si>
  <si>
    <t>Burgess Hill</t>
  </si>
  <si>
    <t>Reaves</t>
  </si>
  <si>
    <t>Mutrix Road</t>
  </si>
  <si>
    <t>Cinderella</t>
  </si>
  <si>
    <t>Myatt Road</t>
  </si>
  <si>
    <t>Cox</t>
  </si>
  <si>
    <t>Myddelton Street</t>
  </si>
  <si>
    <t>Bullard</t>
  </si>
  <si>
    <t>Myers Lane</t>
  </si>
  <si>
    <t>Candis</t>
  </si>
  <si>
    <t>Myrtle Lodge</t>
  </si>
  <si>
    <t>Betws-Y-Coed</t>
  </si>
  <si>
    <t>Herma</t>
  </si>
  <si>
    <t>Myrtle Walk</t>
  </si>
  <si>
    <t>Myrtleberry Cls</t>
  </si>
  <si>
    <t>Nailour Street</t>
  </si>
  <si>
    <t>Zavala</t>
  </si>
  <si>
    <t>Nairn St</t>
  </si>
  <si>
    <t>Namur Terrace</t>
  </si>
  <si>
    <t>Nansen Road</t>
  </si>
  <si>
    <t>Derek</t>
  </si>
  <si>
    <t>Narigold Place</t>
  </si>
  <si>
    <t>Nascot Street</t>
  </si>
  <si>
    <t>Nasmyth Street</t>
  </si>
  <si>
    <t>Jerold</t>
  </si>
  <si>
    <t>Natal Road</t>
  </si>
  <si>
    <t>Llanfyllin</t>
  </si>
  <si>
    <t>Nathaniel Close</t>
  </si>
  <si>
    <t>Michelle</t>
  </si>
  <si>
    <t>Naval Row</t>
  </si>
  <si>
    <t>Yessenia</t>
  </si>
  <si>
    <t>Hightower</t>
  </si>
  <si>
    <t>Navestock Close</t>
  </si>
  <si>
    <t>Karry</t>
  </si>
  <si>
    <t>Navy Street</t>
  </si>
  <si>
    <t>Neal Terrace</t>
  </si>
  <si>
    <t>Neals Dock</t>
  </si>
  <si>
    <t>Near Acre</t>
  </si>
  <si>
    <t>Jone</t>
  </si>
  <si>
    <t>Neckinger Estate</t>
  </si>
  <si>
    <t>Nelldale Road</t>
  </si>
  <si>
    <t>Lashon</t>
  </si>
  <si>
    <t>Hampton</t>
  </si>
  <si>
    <t>Nesbit Road</t>
  </si>
  <si>
    <t>Nethercourt Avenue</t>
  </si>
  <si>
    <t>Windsor</t>
  </si>
  <si>
    <t>Arletha</t>
  </si>
  <si>
    <t>Netherwood Road</t>
  </si>
  <si>
    <t>Nettleton Court</t>
  </si>
  <si>
    <t>Imogene</t>
  </si>
  <si>
    <t>Neville Close</t>
  </si>
  <si>
    <t>Sears</t>
  </si>
  <si>
    <t>Nevis Road</t>
  </si>
  <si>
    <t>New Campden</t>
  </si>
  <si>
    <t>Pearly</t>
  </si>
  <si>
    <t>New Church</t>
  </si>
  <si>
    <t>New Compton</t>
  </si>
  <si>
    <t>New Corn</t>
  </si>
  <si>
    <t>Garve</t>
  </si>
  <si>
    <t>Barney</t>
  </si>
  <si>
    <t>New Crane</t>
  </si>
  <si>
    <t>New Cross</t>
  </si>
  <si>
    <t>New Croxted</t>
  </si>
  <si>
    <t>Mandie</t>
  </si>
  <si>
    <t>New Exchange</t>
  </si>
  <si>
    <t>Michell</t>
  </si>
  <si>
    <t>Nichole</t>
  </si>
  <si>
    <t>New Mitre</t>
  </si>
  <si>
    <t>Humberto</t>
  </si>
  <si>
    <t>New Quebec</t>
  </si>
  <si>
    <t>Tomi</t>
  </si>
  <si>
    <t>Meeks</t>
  </si>
  <si>
    <t>New River</t>
  </si>
  <si>
    <t>Danyel</t>
  </si>
  <si>
    <t>New Round</t>
  </si>
  <si>
    <t>Hilario</t>
  </si>
  <si>
    <t>New Terrace</t>
  </si>
  <si>
    <t>Holmfirth</t>
  </si>
  <si>
    <t>Kyong</t>
  </si>
  <si>
    <t>New Tothill</t>
  </si>
  <si>
    <t>Augher</t>
  </si>
  <si>
    <t>New Turville</t>
  </si>
  <si>
    <t>Jack</t>
  </si>
  <si>
    <t>New Union</t>
  </si>
  <si>
    <t>Jeanna</t>
  </si>
  <si>
    <t>New Wanstead</t>
  </si>
  <si>
    <t>Jin</t>
  </si>
  <si>
    <t>Newark Street</t>
  </si>
  <si>
    <t>Newburgh Street</t>
  </si>
  <si>
    <t>Tisa</t>
  </si>
  <si>
    <t>Ward</t>
  </si>
  <si>
    <t>Newent Close</t>
  </si>
  <si>
    <t>Thea</t>
  </si>
  <si>
    <t>Newhall Street</t>
  </si>
  <si>
    <t>Newhaven Road</t>
  </si>
  <si>
    <t>Mohammed</t>
  </si>
  <si>
    <t>Newington Grove</t>
  </si>
  <si>
    <t>Trista</t>
  </si>
  <si>
    <t>Newington Road</t>
  </si>
  <si>
    <t>Newland Street</t>
  </si>
  <si>
    <t>Machelle</t>
  </si>
  <si>
    <t>Newman Court</t>
  </si>
  <si>
    <t>Randi</t>
  </si>
  <si>
    <t>Newman's Mews</t>
  </si>
  <si>
    <t>Newton Road</t>
  </si>
  <si>
    <t>Mindi</t>
  </si>
  <si>
    <t>Neylors Cottages</t>
  </si>
  <si>
    <t>Nicholas Gardens</t>
  </si>
  <si>
    <t>Zina</t>
  </si>
  <si>
    <t>Nicholas Terrace</t>
  </si>
  <si>
    <t>Nichols Green</t>
  </si>
  <si>
    <t>Minnie</t>
  </si>
  <si>
    <t>Nicoll's Row</t>
  </si>
  <si>
    <t>Herta</t>
  </si>
  <si>
    <t>Nigeria Road</t>
  </si>
  <si>
    <t>Nightingale Road</t>
  </si>
  <si>
    <t>Lizette</t>
  </si>
  <si>
    <t>Nightingale Street</t>
  </si>
  <si>
    <t>Stirling</t>
  </si>
  <si>
    <t>Yajaira</t>
  </si>
  <si>
    <t>Nightingale Vale</t>
  </si>
  <si>
    <t>Melony</t>
  </si>
  <si>
    <t>Nile Path</t>
  </si>
  <si>
    <t>Nile Street</t>
  </si>
  <si>
    <t>Noel Road</t>
  </si>
  <si>
    <t>Nora Gardens</t>
  </si>
  <si>
    <t>Merle</t>
  </si>
  <si>
    <t>Norbreck Gardens</t>
  </si>
  <si>
    <t>Saffron Walden</t>
  </si>
  <si>
    <t>Murdock</t>
  </si>
  <si>
    <t>Norfolk Cottages</t>
  </si>
  <si>
    <t>Norfolk Crescent</t>
  </si>
  <si>
    <t>Norfolk Green</t>
  </si>
  <si>
    <t>Norfolk Terrace</t>
  </si>
  <si>
    <t>Mae</t>
  </si>
  <si>
    <t>Hope</t>
  </si>
  <si>
    <t>Norgrove Street</t>
  </si>
  <si>
    <t>Frank</t>
  </si>
  <si>
    <t>Norman Road</t>
  </si>
  <si>
    <t>Normand Mews</t>
  </si>
  <si>
    <t>Gregorio</t>
  </si>
  <si>
    <t>Normandy Place</t>
  </si>
  <si>
    <t>Marina</t>
  </si>
  <si>
    <t>Normans Close</t>
  </si>
  <si>
    <t>Mccabe</t>
  </si>
  <si>
    <t>Daniell</t>
  </si>
  <si>
    <t>Norris Rents</t>
  </si>
  <si>
    <t>Dornoch</t>
  </si>
  <si>
    <t>North Buildings</t>
  </si>
  <si>
    <t>North Elder</t>
  </si>
  <si>
    <t>North End</t>
  </si>
  <si>
    <t>North Mews</t>
  </si>
  <si>
    <t>Malisa</t>
  </si>
  <si>
    <t>North Park</t>
  </si>
  <si>
    <t>Victoria</t>
  </si>
  <si>
    <t>Romero</t>
  </si>
  <si>
    <t>North Road</t>
  </si>
  <si>
    <t>Northampton Place</t>
  </si>
  <si>
    <t>Frederic</t>
  </si>
  <si>
    <t>Northampton Terrace</t>
  </si>
  <si>
    <t>Northcote Road</t>
  </si>
  <si>
    <t>Northcroft Terrace</t>
  </si>
  <si>
    <t>Zuniga</t>
  </si>
  <si>
    <t>Northern Outfall</t>
  </si>
  <si>
    <t>Micheline</t>
  </si>
  <si>
    <t>Norths Buildings</t>
  </si>
  <si>
    <t>Northumberland Avenue</t>
  </si>
  <si>
    <t>Northview Crescent</t>
  </si>
  <si>
    <t>Mariette</t>
  </si>
  <si>
    <t>Northwood Gardens</t>
  </si>
  <si>
    <t>Alan</t>
  </si>
  <si>
    <t>Norton Cottages</t>
  </si>
  <si>
    <t>Linette</t>
  </si>
  <si>
    <t>Norton Street</t>
  </si>
  <si>
    <t>Samual</t>
  </si>
  <si>
    <t>Norval Green</t>
  </si>
  <si>
    <t>Notley Street</t>
  </si>
  <si>
    <t>Maragret</t>
  </si>
  <si>
    <t>Nottige Place</t>
  </si>
  <si>
    <t>Borth</t>
  </si>
  <si>
    <t>Notting Barn</t>
  </si>
  <si>
    <t>Nottingham Avenue</t>
  </si>
  <si>
    <t>South Queensferry</t>
  </si>
  <si>
    <t>Nottingham Mews</t>
  </si>
  <si>
    <t>Nottingham Terrace</t>
  </si>
  <si>
    <t>Judson</t>
  </si>
  <si>
    <t>Nuding Road</t>
  </si>
  <si>
    <t>Beth</t>
  </si>
  <si>
    <t>Grubbs</t>
  </si>
  <si>
    <t>Nun Court</t>
  </si>
  <si>
    <t>Alphonse</t>
  </si>
  <si>
    <t>Nunhead Cottages</t>
  </si>
  <si>
    <t>Nuns Head</t>
  </si>
  <si>
    <t>Mertie</t>
  </si>
  <si>
    <t>Nursery Rd</t>
  </si>
  <si>
    <t>Theola</t>
  </si>
  <si>
    <t>Nye Bevan</t>
  </si>
  <si>
    <t>Oak Crescent</t>
  </si>
  <si>
    <t>Oak Lane</t>
  </si>
  <si>
    <t>Oak Street</t>
  </si>
  <si>
    <t>Oakbrook Villas</t>
  </si>
  <si>
    <t>Louth</t>
  </si>
  <si>
    <t>Addie</t>
  </si>
  <si>
    <t>Oakdale Gardens</t>
  </si>
  <si>
    <t>Isle Of Harris</t>
  </si>
  <si>
    <t>Alison</t>
  </si>
  <si>
    <t>Oakey Street</t>
  </si>
  <si>
    <t>Oakfield Villas</t>
  </si>
  <si>
    <t>Holmes</t>
  </si>
  <si>
    <t>Oakhall Place</t>
  </si>
  <si>
    <t>Kelty</t>
  </si>
  <si>
    <t>Oakham Street</t>
  </si>
  <si>
    <t>Yelverton</t>
  </si>
  <si>
    <t>Cindy</t>
  </si>
  <si>
    <t>Oakhurst Close</t>
  </si>
  <si>
    <t>Oldbury</t>
  </si>
  <si>
    <t>Chanel</t>
  </si>
  <si>
    <t>Lambert</t>
  </si>
  <si>
    <t>Oakleaf Cottages</t>
  </si>
  <si>
    <t>Stephenie</t>
  </si>
  <si>
    <t>Oakley Avenue</t>
  </si>
  <si>
    <t>Oakley Crescent</t>
  </si>
  <si>
    <t>Oakley Place</t>
  </si>
  <si>
    <t>Oakley Street</t>
  </si>
  <si>
    <t>Liphook</t>
  </si>
  <si>
    <t>Oakley Terrace</t>
  </si>
  <si>
    <t>Tomika</t>
  </si>
  <si>
    <t>Oakly Place</t>
  </si>
  <si>
    <t>Macdonald</t>
  </si>
  <si>
    <t>Oakshaw Road</t>
  </si>
  <si>
    <t>Blairgowrie</t>
  </si>
  <si>
    <t>Janessa</t>
  </si>
  <si>
    <t>Oakway</t>
  </si>
  <si>
    <t>Oban Close</t>
  </si>
  <si>
    <t>Obelisk Yard</t>
  </si>
  <si>
    <t>Hilma</t>
  </si>
  <si>
    <t>Occupation Lane</t>
  </si>
  <si>
    <t>Isidro</t>
  </si>
  <si>
    <t>Schroeder</t>
  </si>
  <si>
    <t>Occupation Road</t>
  </si>
  <si>
    <t>Ocean Street</t>
  </si>
  <si>
    <t>Ockendon Road</t>
  </si>
  <si>
    <t>Talsarnau</t>
  </si>
  <si>
    <t>Old Change</t>
  </si>
  <si>
    <t>Lisa</t>
  </si>
  <si>
    <t>Old Chapel</t>
  </si>
  <si>
    <t>Stein</t>
  </si>
  <si>
    <t>MAL</t>
  </si>
  <si>
    <t>Old College</t>
  </si>
  <si>
    <t>Old King</t>
  </si>
  <si>
    <t>Arlette</t>
  </si>
  <si>
    <t>Old Mitre</t>
  </si>
  <si>
    <t>Ida</t>
  </si>
  <si>
    <t>Old Montague</t>
  </si>
  <si>
    <t>Old Place</t>
  </si>
  <si>
    <t>Crystal</t>
  </si>
  <si>
    <t>Oconnor</t>
  </si>
  <si>
    <t>Old South</t>
  </si>
  <si>
    <t>Conwy</t>
  </si>
  <si>
    <t>Old Swan</t>
  </si>
  <si>
    <t>Oldacre Mews</t>
  </si>
  <si>
    <t>Oldbury Place</t>
  </si>
  <si>
    <t>Oldhill Street</t>
  </si>
  <si>
    <t>Andra</t>
  </si>
  <si>
    <t>O'Leary Square</t>
  </si>
  <si>
    <t>Margarete</t>
  </si>
  <si>
    <t>Ollgar Cl</t>
  </si>
  <si>
    <t>Olmar Street</t>
  </si>
  <si>
    <t>Shakia</t>
  </si>
  <si>
    <t>Olney St</t>
  </si>
  <si>
    <t>Olney Street</t>
  </si>
  <si>
    <t>Angelena</t>
  </si>
  <si>
    <t>Olney Villa</t>
  </si>
  <si>
    <t>Beckie</t>
  </si>
  <si>
    <t>Keli</t>
  </si>
  <si>
    <t>Fountain</t>
  </si>
  <si>
    <t>Olympia Mews</t>
  </si>
  <si>
    <t>Darwen</t>
  </si>
  <si>
    <t>Viva</t>
  </si>
  <si>
    <t>Omega Close</t>
  </si>
  <si>
    <t>Omega Villas</t>
  </si>
  <si>
    <t>One Tree</t>
  </si>
  <si>
    <t>Leia</t>
  </si>
  <si>
    <t>Onega Gate</t>
  </si>
  <si>
    <t>Onslow Square</t>
  </si>
  <si>
    <t>Orchard Hill</t>
  </si>
  <si>
    <t>Milagros</t>
  </si>
  <si>
    <t>Ordnance Crescent</t>
  </si>
  <si>
    <t>Laurette</t>
  </si>
  <si>
    <t>Orford Road</t>
  </si>
  <si>
    <t>Derrick</t>
  </si>
  <si>
    <t>Orient Way</t>
  </si>
  <si>
    <t>Congleton</t>
  </si>
  <si>
    <t>Orlando Road</t>
  </si>
  <si>
    <t>Ngoc</t>
  </si>
  <si>
    <t>Bernal</t>
  </si>
  <si>
    <t>Orleans Road</t>
  </si>
  <si>
    <t>Rosalind</t>
  </si>
  <si>
    <t>Orleston Mews</t>
  </si>
  <si>
    <t>Valenzuela</t>
  </si>
  <si>
    <t>Orleston Road</t>
  </si>
  <si>
    <t>Emmanuel</t>
  </si>
  <si>
    <t>Ormand Passage</t>
  </si>
  <si>
    <t>Antrim</t>
  </si>
  <si>
    <t>Florinda</t>
  </si>
  <si>
    <t>Ormanton rd</t>
  </si>
  <si>
    <t>Jude</t>
  </si>
  <si>
    <t>Ormesby Close</t>
  </si>
  <si>
    <t>Kearney</t>
  </si>
  <si>
    <t>Ormsby Lodge</t>
  </si>
  <si>
    <t>Roe</t>
  </si>
  <si>
    <t>Ormside Strect</t>
  </si>
  <si>
    <t>Orpen Walk</t>
  </si>
  <si>
    <t>Orpington Road</t>
  </si>
  <si>
    <t>Orsett Place</t>
  </si>
  <si>
    <t>Osberton Road</t>
  </si>
  <si>
    <t>Benson</t>
  </si>
  <si>
    <t>Osborn Gardens</t>
  </si>
  <si>
    <t>Piper</t>
  </si>
  <si>
    <t>Osborn Lane</t>
  </si>
  <si>
    <t>Cari</t>
  </si>
  <si>
    <t>Osborne Mews</t>
  </si>
  <si>
    <t>MALWE</t>
  </si>
  <si>
    <t>Osidge Lane</t>
  </si>
  <si>
    <t>Cinthia</t>
  </si>
  <si>
    <t>Osiers Road</t>
  </si>
  <si>
    <t>Boyle</t>
  </si>
  <si>
    <t>Ossington Street</t>
  </si>
  <si>
    <t>Shelly</t>
  </si>
  <si>
    <t>Myrick</t>
  </si>
  <si>
    <t>Ossulton Way</t>
  </si>
  <si>
    <t>Glen</t>
  </si>
  <si>
    <t>Ostend Place</t>
  </si>
  <si>
    <t>Sang</t>
  </si>
  <si>
    <t>Otterbourne RoAD</t>
  </si>
  <si>
    <t>Marcela</t>
  </si>
  <si>
    <t>Otterburn Street</t>
  </si>
  <si>
    <t>Omagh</t>
  </si>
  <si>
    <t>Huynh</t>
  </si>
  <si>
    <t>Oulton Road</t>
  </si>
  <si>
    <t>Danae</t>
  </si>
  <si>
    <t>Outer Circle</t>
  </si>
  <si>
    <t>Oval Place</t>
  </si>
  <si>
    <t>Over Place</t>
  </si>
  <si>
    <t>Jonah</t>
  </si>
  <si>
    <t>Overlea Road</t>
  </si>
  <si>
    <t>Overton Road</t>
  </si>
  <si>
    <t>Owen Street</t>
  </si>
  <si>
    <t>Owens Way</t>
  </si>
  <si>
    <t>Oxford &amp;</t>
  </si>
  <si>
    <t>Jeraldine</t>
  </si>
  <si>
    <t>Oxford Cottages</t>
  </si>
  <si>
    <t>Oxford Mews</t>
  </si>
  <si>
    <t>Carin</t>
  </si>
  <si>
    <t>Oxleas</t>
  </si>
  <si>
    <t>Ibstock</t>
  </si>
  <si>
    <t>Arvilla</t>
  </si>
  <si>
    <t>Oxley Close</t>
  </si>
  <si>
    <t>Oxley Place</t>
  </si>
  <si>
    <t>Judith</t>
  </si>
  <si>
    <t>Ozolins Way</t>
  </si>
  <si>
    <t>Jena</t>
  </si>
  <si>
    <t>Paddington Street</t>
  </si>
  <si>
    <t>Pagden Street</t>
  </si>
  <si>
    <t>Kyung</t>
  </si>
  <si>
    <t>Pagents Sluice</t>
  </si>
  <si>
    <t>Elsa</t>
  </si>
  <si>
    <t>Paget Street</t>
  </si>
  <si>
    <t>Pagnell Street</t>
  </si>
  <si>
    <t>Jospeh</t>
  </si>
  <si>
    <t>Paids Square</t>
  </si>
  <si>
    <t>Ina</t>
  </si>
  <si>
    <t>Pakenham Close</t>
  </si>
  <si>
    <t>Ilminster</t>
  </si>
  <si>
    <t>Palace View</t>
  </si>
  <si>
    <t>Palestine Grove</t>
  </si>
  <si>
    <t>Palewell Common</t>
  </si>
  <si>
    <t>Waltham Cross</t>
  </si>
  <si>
    <t>Brady</t>
  </si>
  <si>
    <t>Palm Close</t>
  </si>
  <si>
    <t>Zola</t>
  </si>
  <si>
    <t>Palm St</t>
  </si>
  <si>
    <t>Palmer Place</t>
  </si>
  <si>
    <t>Palmer PLACE</t>
  </si>
  <si>
    <t>Palmers Rents</t>
  </si>
  <si>
    <t>Dominique</t>
  </si>
  <si>
    <t>Palmerston Way</t>
  </si>
  <si>
    <t>Hitchin</t>
  </si>
  <si>
    <t>Pancras ST</t>
  </si>
  <si>
    <t>Panfield Road</t>
  </si>
  <si>
    <t>Delilah</t>
  </si>
  <si>
    <t>Driscoll</t>
  </si>
  <si>
    <t>Panmure Close</t>
  </si>
  <si>
    <t>Delmar</t>
  </si>
  <si>
    <t>Pansy Place</t>
  </si>
  <si>
    <t>Pappys Place</t>
  </si>
  <si>
    <t>Renee</t>
  </si>
  <si>
    <t>Papworth Gardens</t>
  </si>
  <si>
    <t>Maranda</t>
  </si>
  <si>
    <t>Parade</t>
  </si>
  <si>
    <t>Parade Terrace</t>
  </si>
  <si>
    <t>Dorie</t>
  </si>
  <si>
    <t>Paradise Court</t>
  </si>
  <si>
    <t>Celinda</t>
  </si>
  <si>
    <t>Paradise Place</t>
  </si>
  <si>
    <t>Paradise Terrace</t>
  </si>
  <si>
    <t>Paradise Walk</t>
  </si>
  <si>
    <t>Paragon Place</t>
  </si>
  <si>
    <t>Wenona</t>
  </si>
  <si>
    <t>Strickland</t>
  </si>
  <si>
    <t>Parbury Road</t>
  </si>
  <si>
    <t>Marquerite</t>
  </si>
  <si>
    <t>Pardana Place</t>
  </si>
  <si>
    <t>Parfitt Close</t>
  </si>
  <si>
    <t>Dayle</t>
  </si>
  <si>
    <t>Parfitt Road</t>
  </si>
  <si>
    <t>Parish Stone</t>
  </si>
  <si>
    <t>Parish Yard</t>
  </si>
  <si>
    <t>Swanson</t>
  </si>
  <si>
    <t>Park Close</t>
  </si>
  <si>
    <t>Ike</t>
  </si>
  <si>
    <t>Park Dairy</t>
  </si>
  <si>
    <t>Beata</t>
  </si>
  <si>
    <t>Park Dwellings</t>
  </si>
  <si>
    <t>Shalonda</t>
  </si>
  <si>
    <t>Park Or</t>
  </si>
  <si>
    <t>Park Place</t>
  </si>
  <si>
    <t>Dominga</t>
  </si>
  <si>
    <t>Park Road</t>
  </si>
  <si>
    <t>Park Vista</t>
  </si>
  <si>
    <t>Park West</t>
  </si>
  <si>
    <t>Ballater</t>
  </si>
  <si>
    <t>Charmain</t>
  </si>
  <si>
    <t>Suellen</t>
  </si>
  <si>
    <t>Parkfield Terrace</t>
  </si>
  <si>
    <t>Romeo</t>
  </si>
  <si>
    <t>Parkville Road</t>
  </si>
  <si>
    <t>Parmiter Industrial</t>
  </si>
  <si>
    <t>Marth</t>
  </si>
  <si>
    <t>Parmiter Street</t>
  </si>
  <si>
    <t>Parrs Place</t>
  </si>
  <si>
    <t>Ariane</t>
  </si>
  <si>
    <t>Parsonage</t>
  </si>
  <si>
    <t>Robin</t>
  </si>
  <si>
    <t>Parsons Court</t>
  </si>
  <si>
    <t>Jazmine</t>
  </si>
  <si>
    <t>Parterstia Place</t>
  </si>
  <si>
    <t>Roseanne</t>
  </si>
  <si>
    <t>Partingdale Lane</t>
  </si>
  <si>
    <t>Sima</t>
  </si>
  <si>
    <t>Partridge Close</t>
  </si>
  <si>
    <t>Gwent</t>
  </si>
  <si>
    <t>Marcelo</t>
  </si>
  <si>
    <t>Pascal Street</t>
  </si>
  <si>
    <t>Pasley Road</t>
  </si>
  <si>
    <t>Nelida</t>
  </si>
  <si>
    <t>Pasquier Road</t>
  </si>
  <si>
    <t>Deana</t>
  </si>
  <si>
    <t>Passfield Cottages</t>
  </si>
  <si>
    <t>Passfields Rents</t>
  </si>
  <si>
    <t>Paterson Street</t>
  </si>
  <si>
    <t>Shasta</t>
  </si>
  <si>
    <t>Jule</t>
  </si>
  <si>
    <t>Patio Close</t>
  </si>
  <si>
    <t>Dona</t>
  </si>
  <si>
    <t>Patriot Square</t>
  </si>
  <si>
    <t>Alexia</t>
  </si>
  <si>
    <t>Patriot Street</t>
  </si>
  <si>
    <t>Vanesa</t>
  </si>
  <si>
    <t>Paulin Place</t>
  </si>
  <si>
    <t>Lyle</t>
  </si>
  <si>
    <t>Paul's Bakehouse</t>
  </si>
  <si>
    <t>Hyun</t>
  </si>
  <si>
    <t>Sampson</t>
  </si>
  <si>
    <t>Paul's Chain</t>
  </si>
  <si>
    <t>Toya</t>
  </si>
  <si>
    <t>Burger</t>
  </si>
  <si>
    <t>Pauls Square</t>
  </si>
  <si>
    <t>Pauls Yard</t>
  </si>
  <si>
    <t>Pavilion Street</t>
  </si>
  <si>
    <t>Janis</t>
  </si>
  <si>
    <t>Paxtons Alley</t>
  </si>
  <si>
    <t>Paynes Farm</t>
  </si>
  <si>
    <t>Wilhelmina</t>
  </si>
  <si>
    <t>Paynes Walk</t>
  </si>
  <si>
    <t>Paynton Terrace</t>
  </si>
  <si>
    <t>Noella</t>
  </si>
  <si>
    <t>Peaches Wharf</t>
  </si>
  <si>
    <t>Holloway</t>
  </si>
  <si>
    <t>Peacock Place</t>
  </si>
  <si>
    <t>Audrea</t>
  </si>
  <si>
    <t>Peacock Walk</t>
  </si>
  <si>
    <t>Peacock Yard</t>
  </si>
  <si>
    <t>Pearcefield Av</t>
  </si>
  <si>
    <t>Person</t>
  </si>
  <si>
    <t>Pearcroft Road</t>
  </si>
  <si>
    <t>Pearden Street</t>
  </si>
  <si>
    <t>Mi</t>
  </si>
  <si>
    <t>Pearl Close</t>
  </si>
  <si>
    <t>Billy</t>
  </si>
  <si>
    <t>Pearsons Terrace</t>
  </si>
  <si>
    <t>Ricki</t>
  </si>
  <si>
    <t>Peckett Square</t>
  </si>
  <si>
    <t>Peckford Place</t>
  </si>
  <si>
    <t>Trudi</t>
  </si>
  <si>
    <t>Peckham Green</t>
  </si>
  <si>
    <t>Peckham High</t>
  </si>
  <si>
    <t>Angelique</t>
  </si>
  <si>
    <t>Peckham House</t>
  </si>
  <si>
    <t>Orkney</t>
  </si>
  <si>
    <t>Peckham Road</t>
  </si>
  <si>
    <t>Peckham Rye</t>
  </si>
  <si>
    <t>Pedlars Walk</t>
  </si>
  <si>
    <t>Trefriw</t>
  </si>
  <si>
    <t>Peel Alley</t>
  </si>
  <si>
    <t>Pelham Villas</t>
  </si>
  <si>
    <t>Pellatt Grove</t>
  </si>
  <si>
    <t>Pellerin Road</t>
  </si>
  <si>
    <t>Pellipar Close</t>
  </si>
  <si>
    <t>Pellipar Road</t>
  </si>
  <si>
    <t>Janene</t>
  </si>
  <si>
    <t>Huff</t>
  </si>
  <si>
    <t>Pelly Road</t>
  </si>
  <si>
    <t>Pemberton Terrace</t>
  </si>
  <si>
    <t>Pembridge Square</t>
  </si>
  <si>
    <t>Pembroke Close</t>
  </si>
  <si>
    <t>Pembroke Square</t>
  </si>
  <si>
    <t>Cherlyn</t>
  </si>
  <si>
    <t>Pembroke Villas</t>
  </si>
  <si>
    <t>Rojas</t>
  </si>
  <si>
    <t>Pembroke Walk</t>
  </si>
  <si>
    <t>Cleora</t>
  </si>
  <si>
    <t>Pembury Close</t>
  </si>
  <si>
    <t>Pendle Road</t>
  </si>
  <si>
    <t>Pendlestone Road</t>
  </si>
  <si>
    <t>Pendrell St</t>
  </si>
  <si>
    <t>Pendrell Street</t>
  </si>
  <si>
    <t>Joanna</t>
  </si>
  <si>
    <t>Kesha</t>
  </si>
  <si>
    <t>Mcdermott</t>
  </si>
  <si>
    <t>"fe</t>
  </si>
  <si>
    <t>90</t>
  </si>
  <si>
    <t>Pendulum Mews</t>
  </si>
  <si>
    <t>44</t>
  </si>
  <si>
    <t>Penfolds Cottages</t>
  </si>
  <si>
    <t>Penmartin Road</t>
  </si>
  <si>
    <t>Pennell's Court</t>
  </si>
  <si>
    <t>Chantay</t>
  </si>
  <si>
    <t>Pennethorne Close</t>
  </si>
  <si>
    <t>Pennifields</t>
  </si>
  <si>
    <t>Pennington Cottages</t>
  </si>
  <si>
    <t>Julianne</t>
  </si>
  <si>
    <t>Pennington Way</t>
  </si>
  <si>
    <t>Maryam</t>
  </si>
  <si>
    <t>Penrhyn Grove</t>
  </si>
  <si>
    <t>Pensbury Avenue</t>
  </si>
  <si>
    <t>Pensbury Terrace</t>
  </si>
  <si>
    <t>Penshurst Road</t>
  </si>
  <si>
    <t>Hildred</t>
  </si>
  <si>
    <t>Frey</t>
  </si>
  <si>
    <t>Pentland Gardens</t>
  </si>
  <si>
    <t>Karisa</t>
  </si>
  <si>
    <t>Penton Green</t>
  </si>
  <si>
    <t>Penton Rise</t>
  </si>
  <si>
    <t>Penton Villas</t>
  </si>
  <si>
    <t>Penwortham Road</t>
  </si>
  <si>
    <t>Penynance Place</t>
  </si>
  <si>
    <t>Crump</t>
  </si>
  <si>
    <t>Penywern Road</t>
  </si>
  <si>
    <t>Peregrine Way</t>
  </si>
  <si>
    <t>Eddie</t>
  </si>
  <si>
    <t>Perrymead Street</t>
  </si>
  <si>
    <t>Peterborough Road</t>
  </si>
  <si>
    <t>Petherton Road</t>
  </si>
  <si>
    <t>Pontypridd</t>
  </si>
  <si>
    <t>Brinda</t>
  </si>
  <si>
    <t>Tintern Avenue</t>
  </si>
  <si>
    <t>Tisbury Court</t>
  </si>
  <si>
    <t>Tithe Court</t>
  </si>
  <si>
    <t>Tifany</t>
  </si>
  <si>
    <t>Toby Lane</t>
  </si>
  <si>
    <t>Tolhurst Street</t>
  </si>
  <si>
    <t>Edmund</t>
  </si>
  <si>
    <t>Tollbridge Close</t>
  </si>
  <si>
    <t>Tollgate Drive</t>
  </si>
  <si>
    <t>Eneida</t>
  </si>
  <si>
    <t>Tollington Villas</t>
  </si>
  <si>
    <t>Janette</t>
  </si>
  <si>
    <t>Tom Smith</t>
  </si>
  <si>
    <t>Victor</t>
  </si>
  <si>
    <t>Tomlins Grove</t>
  </si>
  <si>
    <t>Top House</t>
  </si>
  <si>
    <t>Vasiliki</t>
  </si>
  <si>
    <t>Topaz Street</t>
  </si>
  <si>
    <t>Hickman</t>
  </si>
  <si>
    <t>Topp Walk</t>
  </si>
  <si>
    <t>Topsfield Parade</t>
  </si>
  <si>
    <t>Veta</t>
  </si>
  <si>
    <t>Torriano Terrace</t>
  </si>
  <si>
    <t>Torridge Gdns</t>
  </si>
  <si>
    <t>Ralph</t>
  </si>
  <si>
    <t>Hollingsworth</t>
  </si>
  <si>
    <t>Torrington Square</t>
  </si>
  <si>
    <t>Taisha</t>
  </si>
  <si>
    <t>Winchelsea</t>
  </si>
  <si>
    <t>Torrs Terrace</t>
  </si>
  <si>
    <t>Torwood Road</t>
  </si>
  <si>
    <t>Veronique</t>
  </si>
  <si>
    <t>Sizemore</t>
  </si>
  <si>
    <t>Totbill Side</t>
  </si>
  <si>
    <t>Kristine</t>
  </si>
  <si>
    <t>Tottenham Street</t>
  </si>
  <si>
    <t>Totty Street</t>
  </si>
  <si>
    <t>Tower Mews</t>
  </si>
  <si>
    <t>Tomiko</t>
  </si>
  <si>
    <t>Tower Road</t>
  </si>
  <si>
    <t>Town Court</t>
  </si>
  <si>
    <t>Townley Court</t>
  </si>
  <si>
    <t>Townsend Avenue</t>
  </si>
  <si>
    <t>Townshend Estate</t>
  </si>
  <si>
    <t>Audra</t>
  </si>
  <si>
    <t>Townshend Road</t>
  </si>
  <si>
    <t>Toyne Way</t>
  </si>
  <si>
    <t>Sherryl</t>
  </si>
  <si>
    <t>Trading Estate</t>
  </si>
  <si>
    <t>Trafalgar Close</t>
  </si>
  <si>
    <t>Trafalgar Square</t>
  </si>
  <si>
    <t>Transwell Street</t>
  </si>
  <si>
    <t>Travers Road</t>
  </si>
  <si>
    <t>Tredeqar Square</t>
  </si>
  <si>
    <t>Trederwen Road</t>
  </si>
  <si>
    <t>Tregenna Close</t>
  </si>
  <si>
    <t>Trelawn Road</t>
  </si>
  <si>
    <t>Roxana</t>
  </si>
  <si>
    <t>Trelieck Place</t>
  </si>
  <si>
    <t>Maddie</t>
  </si>
  <si>
    <t>Trellick Place</t>
  </si>
  <si>
    <t>Windy</t>
  </si>
  <si>
    <t>Trellis Square</t>
  </si>
  <si>
    <t>Tremaine Road</t>
  </si>
  <si>
    <t>Nettie</t>
  </si>
  <si>
    <t>Trematon Place</t>
  </si>
  <si>
    <t>Banbridge</t>
  </si>
  <si>
    <t>Tamatha</t>
  </si>
  <si>
    <t>Tremlett Grove</t>
  </si>
  <si>
    <t>Trenholme Close</t>
  </si>
  <si>
    <t>Shizuko</t>
  </si>
  <si>
    <t>Trenmar Gardens</t>
  </si>
  <si>
    <t>Etsuko</t>
  </si>
  <si>
    <t>Curry</t>
  </si>
  <si>
    <t>Tretawn Park</t>
  </si>
  <si>
    <t>Trevelyan Gardens</t>
  </si>
  <si>
    <t>Trevelyan Terrace</t>
  </si>
  <si>
    <t>Trident Place</t>
  </si>
  <si>
    <t>Jasper</t>
  </si>
  <si>
    <t>Trigon Terrace</t>
  </si>
  <si>
    <t>Dionna</t>
  </si>
  <si>
    <t>Trinder Road</t>
  </si>
  <si>
    <t>Trinity Mews</t>
  </si>
  <si>
    <t>Shela</t>
  </si>
  <si>
    <t>Trinity Place</t>
  </si>
  <si>
    <t>Latarsha</t>
  </si>
  <si>
    <t>Trinity Street</t>
  </si>
  <si>
    <t>Karmen</t>
  </si>
  <si>
    <t>Trott Street</t>
  </si>
  <si>
    <t>Walton-On-Thames</t>
  </si>
  <si>
    <t>Doreatha</t>
  </si>
  <si>
    <t>Trowes Court</t>
  </si>
  <si>
    <t>Renna</t>
  </si>
  <si>
    <t>Burns</t>
  </si>
  <si>
    <t>Trumans Fields</t>
  </si>
  <si>
    <t>Emanuel</t>
  </si>
  <si>
    <t>Hutchison</t>
  </si>
  <si>
    <t>Trundle Street</t>
  </si>
  <si>
    <t>Mackenzie</t>
  </si>
  <si>
    <t>Parham</t>
  </si>
  <si>
    <t>Truro Street</t>
  </si>
  <si>
    <t>Tryon Street</t>
  </si>
  <si>
    <t>Rossi</t>
  </si>
  <si>
    <t>Tryons Place</t>
  </si>
  <si>
    <t>Galen</t>
  </si>
  <si>
    <t>Tudor House</t>
  </si>
  <si>
    <t>Tufton Street</t>
  </si>
  <si>
    <t>Tugboat Street</t>
  </si>
  <si>
    <t>Veronika</t>
  </si>
  <si>
    <t>Tulletts Yard</t>
  </si>
  <si>
    <t>Katie</t>
  </si>
  <si>
    <t>Turk Place</t>
  </si>
  <si>
    <t>Turk Street</t>
  </si>
  <si>
    <t>Inez</t>
  </si>
  <si>
    <t>Turley Close</t>
  </si>
  <si>
    <t>Turner Road</t>
  </si>
  <si>
    <t>Turners Buildings</t>
  </si>
  <si>
    <t>Turners Court</t>
  </si>
  <si>
    <t>Mitcham</t>
  </si>
  <si>
    <t>Sherly</t>
  </si>
  <si>
    <t>Nash</t>
  </si>
  <si>
    <t>Turrett Grove</t>
  </si>
  <si>
    <t>Turville Buildings</t>
  </si>
  <si>
    <t>Tusons Court</t>
  </si>
  <si>
    <t>Tweed Cottages</t>
  </si>
  <si>
    <t>Twickenham Road</t>
  </si>
  <si>
    <t>Twilley Street</t>
  </si>
  <si>
    <t>Dianna</t>
  </si>
  <si>
    <t>Twineham Green</t>
  </si>
  <si>
    <t>Twisters Alley</t>
  </si>
  <si>
    <t>Twyford Crescent</t>
  </si>
  <si>
    <t>Tyburn Road</t>
  </si>
  <si>
    <t>Tyers Estate</t>
  </si>
  <si>
    <t>Tyler Close</t>
  </si>
  <si>
    <t>Yetta</t>
  </si>
  <si>
    <t>Tyneham Road</t>
  </si>
  <si>
    <t>Tynemouth Road</t>
  </si>
  <si>
    <t>Emil</t>
  </si>
  <si>
    <t>Tyrone Road</t>
  </si>
  <si>
    <t>Tyrwhitt Rd</t>
  </si>
  <si>
    <t>Knighton</t>
  </si>
  <si>
    <t>Tyrwhitt Road</t>
  </si>
  <si>
    <t>Petley Road</t>
  </si>
  <si>
    <t>Pevensey Road</t>
  </si>
  <si>
    <t>Pewsey Close</t>
  </si>
  <si>
    <t>Natosha</t>
  </si>
  <si>
    <t>Phene Street</t>
  </si>
  <si>
    <t>Pheonix Place</t>
  </si>
  <si>
    <t>Alicia</t>
  </si>
  <si>
    <t>Philip Terrace</t>
  </si>
  <si>
    <t>Brand</t>
  </si>
  <si>
    <t>Philip Walk</t>
  </si>
  <si>
    <t>Philipot Path</t>
  </si>
  <si>
    <t>Swaffham</t>
  </si>
  <si>
    <t>Ervin</t>
  </si>
  <si>
    <t>Phillimore Gardens</t>
  </si>
  <si>
    <t>Phillimore Place</t>
  </si>
  <si>
    <t>Bourgeois</t>
  </si>
  <si>
    <t>Phillips Buildings</t>
  </si>
  <si>
    <t>Leone</t>
  </si>
  <si>
    <t>Matos</t>
  </si>
  <si>
    <t>Phillips Court</t>
  </si>
  <si>
    <t>Phillips Place</t>
  </si>
  <si>
    <t>Phoenix Close</t>
  </si>
  <si>
    <t>Physic Place</t>
  </si>
  <si>
    <t>Piazza</t>
  </si>
  <si>
    <t>Shirely</t>
  </si>
  <si>
    <t>Sheets</t>
  </si>
  <si>
    <t>Pickering Mews</t>
  </si>
  <si>
    <t>Draper</t>
  </si>
  <si>
    <t>Pickering Place</t>
  </si>
  <si>
    <t>Compton</t>
  </si>
  <si>
    <t>Pickets Street</t>
  </si>
  <si>
    <t>Jeanie</t>
  </si>
  <si>
    <t>Pickfords Yard</t>
  </si>
  <si>
    <t>Pier Parade</t>
  </si>
  <si>
    <t>Piermont Green</t>
  </si>
  <si>
    <t>Nakesha</t>
  </si>
  <si>
    <t>Pillar Box</t>
  </si>
  <si>
    <t>Margarite</t>
  </si>
  <si>
    <t>Pipemaker's Alley</t>
  </si>
  <si>
    <t>Babb</t>
  </si>
  <si>
    <t>Pirie Street</t>
  </si>
  <si>
    <t>Call</t>
  </si>
  <si>
    <t>Pitfield Crescent</t>
  </si>
  <si>
    <t>Pitshanger Park</t>
  </si>
  <si>
    <t>Plant Terrace</t>
  </si>
  <si>
    <t>Harmon</t>
  </si>
  <si>
    <t>Plantain Place</t>
  </si>
  <si>
    <t>Plashet Grove</t>
  </si>
  <si>
    <t>Hien</t>
  </si>
  <si>
    <t>Playfield Crescent</t>
  </si>
  <si>
    <t>Luis</t>
  </si>
  <si>
    <t>Playford Road</t>
  </si>
  <si>
    <t>Britany</t>
  </si>
  <si>
    <t>Gisela</t>
  </si>
  <si>
    <t>Pleasant Passage</t>
  </si>
  <si>
    <t>Kaylee</t>
  </si>
  <si>
    <t>Plevna Road</t>
  </si>
  <si>
    <t>Don</t>
  </si>
  <si>
    <t>Plough Bridge</t>
  </si>
  <si>
    <t>Joya</t>
  </si>
  <si>
    <t>Plummers Cottages</t>
  </si>
  <si>
    <t>Plumstead High</t>
  </si>
  <si>
    <t>Ismael</t>
  </si>
  <si>
    <t>Plymouth Road</t>
  </si>
  <si>
    <t>Plympton Avenue</t>
  </si>
  <si>
    <t>Poets Road</t>
  </si>
  <si>
    <t>Point View</t>
  </si>
  <si>
    <t>Kelsie</t>
  </si>
  <si>
    <t>Chapman</t>
  </si>
  <si>
    <t>Pole Hill</t>
  </si>
  <si>
    <t>Rodrigo</t>
  </si>
  <si>
    <t>Polesden Gardens</t>
  </si>
  <si>
    <t>Colene</t>
  </si>
  <si>
    <t>Pollard Houses</t>
  </si>
  <si>
    <t>Pollard Street</t>
  </si>
  <si>
    <t>Polworth Road</t>
  </si>
  <si>
    <t>Jaymie</t>
  </si>
  <si>
    <t>Polygon Row</t>
  </si>
  <si>
    <t>Pomell Way</t>
  </si>
  <si>
    <t>Darline</t>
  </si>
  <si>
    <t>Pond Farm</t>
  </si>
  <si>
    <t>Liana</t>
  </si>
  <si>
    <t>Pond Terrace</t>
  </si>
  <si>
    <t>Nerissa</t>
  </si>
  <si>
    <t>Pond Yard</t>
  </si>
  <si>
    <t>Ponsard Road</t>
  </si>
  <si>
    <t>Pont Street</t>
  </si>
  <si>
    <t>Damon</t>
  </si>
  <si>
    <t>Pooah Road</t>
  </si>
  <si>
    <t>Concepcion</t>
  </si>
  <si>
    <t>Pooles Lane</t>
  </si>
  <si>
    <t>Shaver</t>
  </si>
  <si>
    <t>Popes Head</t>
  </si>
  <si>
    <t>Poplar Close</t>
  </si>
  <si>
    <t>Lu</t>
  </si>
  <si>
    <t>Poplar Mews</t>
  </si>
  <si>
    <t>Kimball</t>
  </si>
  <si>
    <t>Poppin's Court</t>
  </si>
  <si>
    <t>Swanley</t>
  </si>
  <si>
    <t>Port Street</t>
  </si>
  <si>
    <t>Ona</t>
  </si>
  <si>
    <t>Porters Place</t>
  </si>
  <si>
    <t>Portland Street</t>
  </si>
  <si>
    <t>Portobello Court</t>
  </si>
  <si>
    <t>Anjelica</t>
  </si>
  <si>
    <t>Portobello Mews</t>
  </si>
  <si>
    <t>Isle Of Gigha</t>
  </si>
  <si>
    <t>Rutledge</t>
  </si>
  <si>
    <t>Portree Close</t>
  </si>
  <si>
    <t>Portree Street</t>
  </si>
  <si>
    <t>Portsdown Road</t>
  </si>
  <si>
    <t>Tracey</t>
  </si>
  <si>
    <t>Portsmouth Road</t>
  </si>
  <si>
    <t>Alene</t>
  </si>
  <si>
    <t>Rush</t>
  </si>
  <si>
    <t>Potier Street</t>
  </si>
  <si>
    <t>Potters Court</t>
  </si>
  <si>
    <t>Potters Fields</t>
  </si>
  <si>
    <t>Spangler</t>
  </si>
  <si>
    <t>Potters Place</t>
  </si>
  <si>
    <t>Pottery Cottage</t>
  </si>
  <si>
    <t>Dwayne</t>
  </si>
  <si>
    <t>Hagen</t>
  </si>
  <si>
    <t>Pound Park</t>
  </si>
  <si>
    <t>Beatriz</t>
  </si>
  <si>
    <t>Povidence Cottages</t>
  </si>
  <si>
    <t>Powes Place</t>
  </si>
  <si>
    <t>Powis Mews</t>
  </si>
  <si>
    <t>Yon</t>
  </si>
  <si>
    <t>Pragnell Road</t>
  </si>
  <si>
    <t>Kandace</t>
  </si>
  <si>
    <t>Pratt Walk</t>
  </si>
  <si>
    <t>Jennings</t>
  </si>
  <si>
    <t>Casie</t>
  </si>
  <si>
    <t>Precinct of</t>
  </si>
  <si>
    <t>Cristy</t>
  </si>
  <si>
    <t>Preston Road</t>
  </si>
  <si>
    <t>Giuseppe</t>
  </si>
  <si>
    <t>Price's Street</t>
  </si>
  <si>
    <t>Priestley Close</t>
  </si>
  <si>
    <t>Brain</t>
  </si>
  <si>
    <t>Priest's Bridge</t>
  </si>
  <si>
    <t>Mcnally</t>
  </si>
  <si>
    <t>Primrose Cottages</t>
  </si>
  <si>
    <t>Adrianna</t>
  </si>
  <si>
    <t>Prince Road</t>
  </si>
  <si>
    <t>Prince Street</t>
  </si>
  <si>
    <t>Prince's Mews</t>
  </si>
  <si>
    <t>Prince's Street</t>
  </si>
  <si>
    <t>Schulz</t>
  </si>
  <si>
    <t>Princess May</t>
  </si>
  <si>
    <t>Bender</t>
  </si>
  <si>
    <t>Printers Place</t>
  </si>
  <si>
    <t>Annalee</t>
  </si>
  <si>
    <t>Printinghouse Lane</t>
  </si>
  <si>
    <t>Prior Street</t>
  </si>
  <si>
    <t>Priors Dean</t>
  </si>
  <si>
    <t>Priory Avenue</t>
  </si>
  <si>
    <t>Priory Drive</t>
  </si>
  <si>
    <t>Lonny</t>
  </si>
  <si>
    <t>Priory Green</t>
  </si>
  <si>
    <t>Priory Lodge</t>
  </si>
  <si>
    <t>Lesa</t>
  </si>
  <si>
    <t>Elouise</t>
  </si>
  <si>
    <t>Priscilla Street</t>
  </si>
  <si>
    <t>Pritchard's Road</t>
  </si>
  <si>
    <t>Ok</t>
  </si>
  <si>
    <t>Prospect Vale</t>
  </si>
  <si>
    <t>Marna</t>
  </si>
  <si>
    <t>Prujean Square</t>
  </si>
  <si>
    <t>Prusom Street</t>
  </si>
  <si>
    <t>Pulham Avenue</t>
  </si>
  <si>
    <t>Randa</t>
  </si>
  <si>
    <t>Purelake Mews</t>
  </si>
  <si>
    <t>Pursewardens CLOSE</t>
  </si>
  <si>
    <t>Putney High</t>
  </si>
  <si>
    <t>Koenig</t>
  </si>
  <si>
    <t>Pycroft Way</t>
  </si>
  <si>
    <t>Bernetta</t>
  </si>
  <si>
    <t>Pyrland Road</t>
  </si>
  <si>
    <t>Quaggy Walk</t>
  </si>
  <si>
    <t>Quainton Street</t>
  </si>
  <si>
    <t>Quakers Walk</t>
  </si>
  <si>
    <t>Quebec Way</t>
  </si>
  <si>
    <t>Alica</t>
  </si>
  <si>
    <t>Bautista</t>
  </si>
  <si>
    <t>Queen Ann</t>
  </si>
  <si>
    <t>Ewing</t>
  </si>
  <si>
    <t>Queen Street</t>
  </si>
  <si>
    <t>Marco</t>
  </si>
  <si>
    <t>Queens Arms</t>
  </si>
  <si>
    <t>Queens Crescent</t>
  </si>
  <si>
    <t>Queen's Place</t>
  </si>
  <si>
    <t>Queens Way</t>
  </si>
  <si>
    <t>Genaro</t>
  </si>
  <si>
    <t>Queensferry Walk</t>
  </si>
  <si>
    <t>Chad</t>
  </si>
  <si>
    <t>Queensmere Road</t>
  </si>
  <si>
    <t>Queensway</t>
  </si>
  <si>
    <t>Louisa</t>
  </si>
  <si>
    <t>Quentin Place</t>
  </si>
  <si>
    <t>Shantay</t>
  </si>
  <si>
    <t>Quilter Street</t>
  </si>
  <si>
    <t>Radbourne Road</t>
  </si>
  <si>
    <t>Aberdovey</t>
  </si>
  <si>
    <t>Radlet Avenue</t>
  </si>
  <si>
    <t>Radnor Pl</t>
  </si>
  <si>
    <t>Dotty</t>
  </si>
  <si>
    <t>Raglan Cottage</t>
  </si>
  <si>
    <t>Aleta</t>
  </si>
  <si>
    <t>Hicks</t>
  </si>
  <si>
    <t>Raglan Villas</t>
  </si>
  <si>
    <t>Hendrix</t>
  </si>
  <si>
    <t>Rahere STREET</t>
  </si>
  <si>
    <t>Railway Arcade</t>
  </si>
  <si>
    <t>Railway Grove</t>
  </si>
  <si>
    <t>Railway Terrace</t>
  </si>
  <si>
    <t>Vergie</t>
  </si>
  <si>
    <t>Raindeer Court</t>
  </si>
  <si>
    <t>Zack</t>
  </si>
  <si>
    <t>Ralph STREET</t>
  </si>
  <si>
    <t>Ram Square</t>
  </si>
  <si>
    <t>Cromer</t>
  </si>
  <si>
    <t>Ulysses</t>
  </si>
  <si>
    <t>Hartley</t>
  </si>
  <si>
    <t>Ramillies Street</t>
  </si>
  <si>
    <t>Rampton Close</t>
  </si>
  <si>
    <t>Tien</t>
  </si>
  <si>
    <t>Ramsay Road</t>
  </si>
  <si>
    <t>Ramsey Walk</t>
  </si>
  <si>
    <t>Shane</t>
  </si>
  <si>
    <t>Randall Avenue</t>
  </si>
  <si>
    <t>Caroll</t>
  </si>
  <si>
    <t>Randall Close</t>
  </si>
  <si>
    <t>Randall Place</t>
  </si>
  <si>
    <t>Brantley</t>
  </si>
  <si>
    <t>Randells Road</t>
  </si>
  <si>
    <t>Iraida</t>
  </si>
  <si>
    <t>Randisbourne Gdns</t>
  </si>
  <si>
    <t>Randlesdown Road</t>
  </si>
  <si>
    <t>Ranelagh Mews</t>
  </si>
  <si>
    <t>Kenilworth</t>
  </si>
  <si>
    <t>Rankin Close</t>
  </si>
  <si>
    <t>Rannell Street</t>
  </si>
  <si>
    <t>St. Neots</t>
  </si>
  <si>
    <t>Quinton</t>
  </si>
  <si>
    <t>Ratcliffe Square</t>
  </si>
  <si>
    <t>Lashawn</t>
  </si>
  <si>
    <t>Rathgar Road</t>
  </si>
  <si>
    <t>Flor</t>
  </si>
  <si>
    <t>Raven Road</t>
  </si>
  <si>
    <t>Ravensbourne Street</t>
  </si>
  <si>
    <t>Linwood</t>
  </si>
  <si>
    <t>Ravensdale Road</t>
  </si>
  <si>
    <t>Keshia</t>
  </si>
  <si>
    <t>Ravenswood Industrial</t>
  </si>
  <si>
    <t>Rawlings St</t>
  </si>
  <si>
    <t>Ray Street</t>
  </si>
  <si>
    <t>Winn</t>
  </si>
  <si>
    <t>Raymond Avenue</t>
  </si>
  <si>
    <t>Janina</t>
  </si>
  <si>
    <t>Raymond Buildings</t>
  </si>
  <si>
    <t>Ludivina</t>
  </si>
  <si>
    <t>Raymouth Road</t>
  </si>
  <si>
    <t>Rays Avenue</t>
  </si>
  <si>
    <t>Rhosgoch</t>
  </si>
  <si>
    <t>Reachview Close</t>
  </si>
  <si>
    <t>Freshwater</t>
  </si>
  <si>
    <t>Rear Of</t>
  </si>
  <si>
    <t>Rebecca's Place</t>
  </si>
  <si>
    <t>Redcliffe Close</t>
  </si>
  <si>
    <t>Redcliffe Mews</t>
  </si>
  <si>
    <t>Redcliffe Road</t>
  </si>
  <si>
    <t>Redcross Street</t>
  </si>
  <si>
    <t>Redhall Terrace</t>
  </si>
  <si>
    <t>Mccray</t>
  </si>
  <si>
    <t>Redmans Road</t>
  </si>
  <si>
    <t>Tamie</t>
  </si>
  <si>
    <t>Redmead Lane</t>
  </si>
  <si>
    <t>Redvers Road</t>
  </si>
  <si>
    <t>Mandi</t>
  </si>
  <si>
    <t>Ellsworth</t>
  </si>
  <si>
    <t>Redwood Close</t>
  </si>
  <si>
    <t>Reece Mews</t>
  </si>
  <si>
    <t>Reedworth Street</t>
  </si>
  <si>
    <t>Rees Row</t>
  </si>
  <si>
    <t>Aline</t>
  </si>
  <si>
    <t>Regal Row</t>
  </si>
  <si>
    <t>Leicestershire</t>
  </si>
  <si>
    <t>Carolina</t>
  </si>
  <si>
    <t>Regan Way</t>
  </si>
  <si>
    <t>Nyla</t>
  </si>
  <si>
    <t>Regency Terrace</t>
  </si>
  <si>
    <t>Regent Square</t>
  </si>
  <si>
    <t>Regents Avenue</t>
  </si>
  <si>
    <t>Paz</t>
  </si>
  <si>
    <t>Regents Mews</t>
  </si>
  <si>
    <t>Regents Row</t>
  </si>
  <si>
    <t>Nelle</t>
  </si>
  <si>
    <t>Regents Wharf</t>
  </si>
  <si>
    <t>Nava</t>
  </si>
  <si>
    <t>Regina Road</t>
  </si>
  <si>
    <t>Regina Terrace</t>
  </si>
  <si>
    <t>Reighton Road</t>
  </si>
  <si>
    <t>Rendlesham Road</t>
  </si>
  <si>
    <t>Arminda</t>
  </si>
  <si>
    <t>Simona</t>
  </si>
  <si>
    <t>Renters Avenue</t>
  </si>
  <si>
    <t>Rephidim Street</t>
  </si>
  <si>
    <t>Fredericka</t>
  </si>
  <si>
    <t>Restons Crescent</t>
  </si>
  <si>
    <t>Karlene</t>
  </si>
  <si>
    <t>Dillard</t>
  </si>
  <si>
    <t>Reynard Drive</t>
  </si>
  <si>
    <t>Tam</t>
  </si>
  <si>
    <t>Reynolds Place</t>
  </si>
  <si>
    <t>Hodge</t>
  </si>
  <si>
    <t>Reynolds Road</t>
  </si>
  <si>
    <t>Rezia Place</t>
  </si>
  <si>
    <t>Shemika</t>
  </si>
  <si>
    <t>Rhodes Well</t>
  </si>
  <si>
    <t>Edra</t>
  </si>
  <si>
    <t>Webber</t>
  </si>
  <si>
    <t>Rhondda Grove</t>
  </si>
  <si>
    <t>Rosalina</t>
  </si>
  <si>
    <t>Ricardo Street</t>
  </si>
  <si>
    <t>Galashiels</t>
  </si>
  <si>
    <t>Manuela</t>
  </si>
  <si>
    <t>Richard Street</t>
  </si>
  <si>
    <t>Portree</t>
  </si>
  <si>
    <t>Richmond Grove</t>
  </si>
  <si>
    <t>Lenita</t>
  </si>
  <si>
    <t>Richmond House</t>
  </si>
  <si>
    <t>Edmonds</t>
  </si>
  <si>
    <t>Julienne</t>
  </si>
  <si>
    <t>Richmond Villas</t>
  </si>
  <si>
    <t>Sari</t>
  </si>
  <si>
    <t>Richmond Way</t>
  </si>
  <si>
    <t>Otley</t>
  </si>
  <si>
    <t>Eloy</t>
  </si>
  <si>
    <t>Rickard Close</t>
  </si>
  <si>
    <t>Rickyard Path</t>
  </si>
  <si>
    <t>Much Hadham</t>
  </si>
  <si>
    <t>Hubert</t>
  </si>
  <si>
    <t>Riddell Street</t>
  </si>
  <si>
    <t>Rider Street</t>
  </si>
  <si>
    <t>Ridgdale Street</t>
  </si>
  <si>
    <t>Ridgemount Close</t>
  </si>
  <si>
    <t>Ridings Close</t>
  </si>
  <si>
    <t>Ridler Place</t>
  </si>
  <si>
    <t>Burnley</t>
  </si>
  <si>
    <t>Bermudez</t>
  </si>
  <si>
    <t>Riffel Road</t>
  </si>
  <si>
    <t>Rigault Road</t>
  </si>
  <si>
    <t>Rigg Approach</t>
  </si>
  <si>
    <t>Laquita</t>
  </si>
  <si>
    <t>Rigge Place</t>
  </si>
  <si>
    <t>Ring Crescent</t>
  </si>
  <si>
    <t>Ringmer Avenue</t>
  </si>
  <si>
    <t>Ringmer Gardens</t>
  </si>
  <si>
    <t>Pearce</t>
  </si>
  <si>
    <t>Ringwood Gardens</t>
  </si>
  <si>
    <t>Ripley Villas</t>
  </si>
  <si>
    <t>Natashia</t>
  </si>
  <si>
    <t>Ripplevale Grove</t>
  </si>
  <si>
    <t>Ritson Road</t>
  </si>
  <si>
    <t>River Close</t>
  </si>
  <si>
    <t>Riverside</t>
  </si>
  <si>
    <t>Riverside Business</t>
  </si>
  <si>
    <t>Rlsdon Street</t>
  </si>
  <si>
    <t>Chatham</t>
  </si>
  <si>
    <t>Roberts Place</t>
  </si>
  <si>
    <t>Zaida</t>
  </si>
  <si>
    <t>Roberts Terrace</t>
  </si>
  <si>
    <t>Agnes</t>
  </si>
  <si>
    <t>Federico</t>
  </si>
  <si>
    <t>Robertson Cottages</t>
  </si>
  <si>
    <t>Chatman</t>
  </si>
  <si>
    <t>Tonya</t>
  </si>
  <si>
    <t>Dupree</t>
  </si>
  <si>
    <t>Robertsons Place</t>
  </si>
  <si>
    <t>French</t>
  </si>
  <si>
    <t>Robsart Street</t>
  </si>
  <si>
    <t>Sun</t>
  </si>
  <si>
    <t>Robson Road</t>
  </si>
  <si>
    <t>Rock and</t>
  </si>
  <si>
    <t>Rock Hill</t>
  </si>
  <si>
    <t>Lashonda</t>
  </si>
  <si>
    <t>Rock Street</t>
  </si>
  <si>
    <t>Rockbourne Road</t>
  </si>
  <si>
    <t>Marica</t>
  </si>
  <si>
    <t>Rockhall Road</t>
  </si>
  <si>
    <t>Rockingham Close</t>
  </si>
  <si>
    <t>Janna</t>
  </si>
  <si>
    <t>Rockland Road</t>
  </si>
  <si>
    <t>Rocks Lane</t>
  </si>
  <si>
    <t>Leeanne</t>
  </si>
  <si>
    <t>Rocliffe Street</t>
  </si>
  <si>
    <t>Lamonica</t>
  </si>
  <si>
    <t>Roding Mews</t>
  </si>
  <si>
    <t>Fannie</t>
  </si>
  <si>
    <t>Rodway Road</t>
  </si>
  <si>
    <t>Roehampton Vale</t>
  </si>
  <si>
    <t>Cathleen</t>
  </si>
  <si>
    <t>Roger Street</t>
  </si>
  <si>
    <t>Rogers Court</t>
  </si>
  <si>
    <t>Deshawn</t>
  </si>
  <si>
    <t>Roland Grove</t>
  </si>
  <si>
    <t>Lynne</t>
  </si>
  <si>
    <t>Roland Road</t>
  </si>
  <si>
    <t>Buckhurst Hill</t>
  </si>
  <si>
    <t>Rolleston Terrace</t>
  </si>
  <si>
    <t>Rollscourt Avenue</t>
  </si>
  <si>
    <t>Claretha</t>
  </si>
  <si>
    <t>Colin</t>
  </si>
  <si>
    <t>Roman Catholic</t>
  </si>
  <si>
    <t>Roman Close</t>
  </si>
  <si>
    <t>Roman Rise</t>
  </si>
  <si>
    <t>Dow</t>
  </si>
  <si>
    <t>Roman Way</t>
  </si>
  <si>
    <t>Romney Mews</t>
  </si>
  <si>
    <t>Romola Road</t>
  </si>
  <si>
    <t>Ron Leighton</t>
  </si>
  <si>
    <t>Maxine</t>
  </si>
  <si>
    <t>Rookery Close</t>
  </si>
  <si>
    <t>Rope Walk</t>
  </si>
  <si>
    <t>Ropery Street</t>
  </si>
  <si>
    <t>Rose Cottages</t>
  </si>
  <si>
    <t>Jen</t>
  </si>
  <si>
    <t>Rose Court</t>
  </si>
  <si>
    <t>Lowery</t>
  </si>
  <si>
    <t>Rose Terrace</t>
  </si>
  <si>
    <t>Rosebank Road</t>
  </si>
  <si>
    <t>Rosebank Walk</t>
  </si>
  <si>
    <t>Wilcox</t>
  </si>
  <si>
    <t>Roseberry Villas</t>
  </si>
  <si>
    <t>Rosebery Court</t>
  </si>
  <si>
    <t>Rosebery Mews</t>
  </si>
  <si>
    <t>Rosehill Road</t>
  </si>
  <si>
    <t>Stasia</t>
  </si>
  <si>
    <t>Roseleigh Avenue</t>
  </si>
  <si>
    <t>Roseleys Terrace</t>
  </si>
  <si>
    <t>Rosemary Court</t>
  </si>
  <si>
    <t>New Malden</t>
  </si>
  <si>
    <t>Rosemead</t>
  </si>
  <si>
    <t>Rosemont Avenue</t>
  </si>
  <si>
    <t>Rosemount Road</t>
  </si>
  <si>
    <t>Rosewood Gardens</t>
  </si>
  <si>
    <t>Roslyn Terrace</t>
  </si>
  <si>
    <t>Mikaela</t>
  </si>
  <si>
    <t>Rossitter Terrace</t>
  </si>
  <si>
    <t>Nia</t>
  </si>
  <si>
    <t>Roupell Road</t>
  </si>
  <si>
    <t>Roupell Street</t>
  </si>
  <si>
    <t>Jaleesa</t>
  </si>
  <si>
    <t>Routh Street</t>
  </si>
  <si>
    <t>Rowan Close</t>
  </si>
  <si>
    <t>Rowland Grove</t>
  </si>
  <si>
    <t>Rowland Row</t>
  </si>
  <si>
    <t>Rowley Street</t>
  </si>
  <si>
    <t>Rowley Way</t>
  </si>
  <si>
    <t>Rowton Road</t>
  </si>
  <si>
    <t>Gala</t>
  </si>
  <si>
    <t>Roxburgh Terrace</t>
  </si>
  <si>
    <t>Roxby Place</t>
  </si>
  <si>
    <t>Roxley Road</t>
  </si>
  <si>
    <t>Roxwell Road</t>
  </si>
  <si>
    <t>Meyer</t>
  </si>
  <si>
    <t>Roxwell Trading</t>
  </si>
  <si>
    <t>Roy Square</t>
  </si>
  <si>
    <t>Royal College</t>
  </si>
  <si>
    <t>Royal Mews</t>
  </si>
  <si>
    <t>Spilsby</t>
  </si>
  <si>
    <t>Lillie</t>
  </si>
  <si>
    <t>Royal Naval</t>
  </si>
  <si>
    <t>Royal Opera</t>
  </si>
  <si>
    <t>Lund</t>
  </si>
  <si>
    <t>Royal Road</t>
  </si>
  <si>
    <t>Shala</t>
  </si>
  <si>
    <t>Royal Victor</t>
  </si>
  <si>
    <t>Yoshiko</t>
  </si>
  <si>
    <t>Royalty Mews</t>
  </si>
  <si>
    <t>Misha</t>
  </si>
  <si>
    <t>Royle Crescent</t>
  </si>
  <si>
    <t>Rowena</t>
  </si>
  <si>
    <t>Royston Street</t>
  </si>
  <si>
    <t>Etchingham</t>
  </si>
  <si>
    <t>Ruckholt Close</t>
  </si>
  <si>
    <t>Phillip</t>
  </si>
  <si>
    <t>Ruckholt Road</t>
  </si>
  <si>
    <t>Rugby Chambers</t>
  </si>
  <si>
    <t>Rumsey Mews</t>
  </si>
  <si>
    <t>Flanagan</t>
  </si>
  <si>
    <t>Rupert Road</t>
  </si>
  <si>
    <t>Cassie</t>
  </si>
  <si>
    <t>Rush Hill</t>
  </si>
  <si>
    <t>Rusham Road</t>
  </si>
  <si>
    <t>Rushdene</t>
  </si>
  <si>
    <t>Rushey Green</t>
  </si>
  <si>
    <t>Rushmead</t>
  </si>
  <si>
    <t>Robyn</t>
  </si>
  <si>
    <t>Rushy Green</t>
  </si>
  <si>
    <t>Mayra</t>
  </si>
  <si>
    <t>Ruskin Road</t>
  </si>
  <si>
    <t>Ruskin Street</t>
  </si>
  <si>
    <t>Nona</t>
  </si>
  <si>
    <t>Russel Court</t>
  </si>
  <si>
    <t>Russel Street</t>
  </si>
  <si>
    <t>Russell Avenue</t>
  </si>
  <si>
    <t>Russell Garderns</t>
  </si>
  <si>
    <t>Emilio</t>
  </si>
  <si>
    <t>Russell Lane</t>
  </si>
  <si>
    <t>Russia Court</t>
  </si>
  <si>
    <t>Russia Row</t>
  </si>
  <si>
    <t>Sunderland</t>
  </si>
  <si>
    <t>Laine</t>
  </si>
  <si>
    <t>Rustic Walk</t>
  </si>
  <si>
    <t>Ruston Street</t>
  </si>
  <si>
    <t>Eloise</t>
  </si>
  <si>
    <t>Mcgowan</t>
  </si>
  <si>
    <t>Rutland Road</t>
  </si>
  <si>
    <t>Rutland Villas</t>
  </si>
  <si>
    <t>Albertina</t>
  </si>
  <si>
    <t>Rutland Walk</t>
  </si>
  <si>
    <t>Anisa</t>
  </si>
  <si>
    <t>Rutland Wharf</t>
  </si>
  <si>
    <t>Roma</t>
  </si>
  <si>
    <t>Rutley Gardens</t>
  </si>
  <si>
    <t>Bernardo</t>
  </si>
  <si>
    <t>Rydal Lodge</t>
  </si>
  <si>
    <t>Gallo</t>
  </si>
  <si>
    <t>Ryde Terrace</t>
  </si>
  <si>
    <t>Ryder Street</t>
  </si>
  <si>
    <t>Ryders Terrace</t>
  </si>
  <si>
    <t>Rydon St</t>
  </si>
  <si>
    <t>Ryfold Road</t>
  </si>
  <si>
    <t>Mauro</t>
  </si>
  <si>
    <t>Rylett Crescent</t>
  </si>
  <si>
    <t>Lilla</t>
  </si>
  <si>
    <t>Rylett Road</t>
  </si>
  <si>
    <t>Rymer Street</t>
  </si>
  <si>
    <t>Alona</t>
  </si>
  <si>
    <t>Saddlers Mews</t>
  </si>
  <si>
    <t>Salem Road</t>
  </si>
  <si>
    <t>Salisbury Crescent</t>
  </si>
  <si>
    <t>Julius</t>
  </si>
  <si>
    <t>Salisbury Promenade</t>
  </si>
  <si>
    <t>Salisbury Road</t>
  </si>
  <si>
    <t>Salisbury Terrace</t>
  </si>
  <si>
    <t>Cathy</t>
  </si>
  <si>
    <t>Salmon Street</t>
  </si>
  <si>
    <t>Judi</t>
  </si>
  <si>
    <t>Saltwood Grove</t>
  </si>
  <si>
    <t>Salusbury Road</t>
  </si>
  <si>
    <t>Salutation Alley</t>
  </si>
  <si>
    <t>Samantha Close</t>
  </si>
  <si>
    <t>Samuel Johnson</t>
  </si>
  <si>
    <t>Allena</t>
  </si>
  <si>
    <t>Sanctuary Buildings</t>
  </si>
  <si>
    <t>Nairn</t>
  </si>
  <si>
    <t>Pauline</t>
  </si>
  <si>
    <t>Sandbrook Road</t>
  </si>
  <si>
    <t>Dorset</t>
  </si>
  <si>
    <t>Bloom</t>
  </si>
  <si>
    <t>Sandell Street</t>
  </si>
  <si>
    <t>Sanders Terrace</t>
  </si>
  <si>
    <t>Leopoldo</t>
  </si>
  <si>
    <t>Sandfield Terrace</t>
  </si>
  <si>
    <t>Deadra</t>
  </si>
  <si>
    <t>Sandgate Street</t>
  </si>
  <si>
    <t>Sandhurst Parade</t>
  </si>
  <si>
    <t>Merissa</t>
  </si>
  <si>
    <t>Sandhurst Road</t>
  </si>
  <si>
    <t>Elise</t>
  </si>
  <si>
    <t>Little</t>
  </si>
  <si>
    <t>Sandringham Avenue</t>
  </si>
  <si>
    <t>Sandstone Road</t>
  </si>
  <si>
    <t>Parthenia</t>
  </si>
  <si>
    <t>King'S Lynn</t>
  </si>
  <si>
    <t>Sandycroft</t>
  </si>
  <si>
    <t>Clotilde</t>
  </si>
  <si>
    <t>Sangora Road</t>
  </si>
  <si>
    <t>Sansom Street</t>
  </si>
  <si>
    <t>Jill</t>
  </si>
  <si>
    <t>Santos Road</t>
  </si>
  <si>
    <t>Delphine</t>
  </si>
  <si>
    <t>Sarah Street</t>
  </si>
  <si>
    <t>Sarah Terrace</t>
  </si>
  <si>
    <t>Sarah's Place</t>
  </si>
  <si>
    <t>Mathilde</t>
  </si>
  <si>
    <t>Sardinia Street</t>
  </si>
  <si>
    <t>Sark Walk</t>
  </si>
  <si>
    <t>Necole</t>
  </si>
  <si>
    <t>Sarnell's Court</t>
  </si>
  <si>
    <t>Saunders Ness</t>
  </si>
  <si>
    <t>Emilia</t>
  </si>
  <si>
    <t>Rudd</t>
  </si>
  <si>
    <t>Saunders Place</t>
  </si>
  <si>
    <t>Rivera</t>
  </si>
  <si>
    <t>Saville Place</t>
  </si>
  <si>
    <t>Fredricka</t>
  </si>
  <si>
    <t>Holcomb</t>
  </si>
  <si>
    <t>Savoy Street</t>
  </si>
  <si>
    <t>Sawley Road</t>
  </si>
  <si>
    <t>Saxfield Street</t>
  </si>
  <si>
    <t>Junie</t>
  </si>
  <si>
    <t>Sayer Street</t>
  </si>
  <si>
    <t>Sindy</t>
  </si>
  <si>
    <t>Sayes Street</t>
  </si>
  <si>
    <t>Marti</t>
  </si>
  <si>
    <t>Scala Street</t>
  </si>
  <si>
    <t>Josie</t>
  </si>
  <si>
    <t>Scarborough Street</t>
  </si>
  <si>
    <t>Zelda</t>
  </si>
  <si>
    <t>Scawen Road</t>
  </si>
  <si>
    <t>Scerapis</t>
  </si>
  <si>
    <t>Guevara</t>
  </si>
  <si>
    <t>School: William</t>
  </si>
  <si>
    <t>Quiana</t>
  </si>
  <si>
    <t>Scotch Court</t>
  </si>
  <si>
    <t>Scotland Green</t>
  </si>
  <si>
    <t>Scottwell Drive</t>
  </si>
  <si>
    <t>Scrubs Lane</t>
  </si>
  <si>
    <t>Sea Witch</t>
  </si>
  <si>
    <t>Searle Place</t>
  </si>
  <si>
    <t>Schwartz</t>
  </si>
  <si>
    <t>Searls Terrace</t>
  </si>
  <si>
    <t>Sebert Road</t>
  </si>
  <si>
    <t>Seeley Drive</t>
  </si>
  <si>
    <t>Seeley Drv</t>
  </si>
  <si>
    <t>Spennymoor</t>
  </si>
  <si>
    <t>Sefton Street</t>
  </si>
  <si>
    <t>Selbie Avenue</t>
  </si>
  <si>
    <t>Selborne Gardens</t>
  </si>
  <si>
    <t>Bonilla</t>
  </si>
  <si>
    <t>Selborne Walk</t>
  </si>
  <si>
    <t>Hewitt</t>
  </si>
  <si>
    <t>Selby Close</t>
  </si>
  <si>
    <t>Donita</t>
  </si>
  <si>
    <t>Selby Mews</t>
  </si>
  <si>
    <t>Shaunta</t>
  </si>
  <si>
    <t>Seldons Street</t>
  </si>
  <si>
    <t>Selhurst Close</t>
  </si>
  <si>
    <t>Selina Place</t>
  </si>
  <si>
    <t>Selkirk Road</t>
  </si>
  <si>
    <t>Sennen Walk</t>
  </si>
  <si>
    <t>Serbin Close</t>
  </si>
  <si>
    <t>Milagro</t>
  </si>
  <si>
    <t>Setchell Road</t>
  </si>
  <si>
    <t>Sewardstone Road</t>
  </si>
  <si>
    <t>Seyer Road</t>
  </si>
  <si>
    <t>Lorita</t>
  </si>
  <si>
    <t>Shacklewell Green</t>
  </si>
  <si>
    <t>Scot</t>
  </si>
  <si>
    <t>Patel</t>
  </si>
  <si>
    <t>Shacklewell Lane</t>
  </si>
  <si>
    <t>Shad Thames</t>
  </si>
  <si>
    <t>Hai</t>
  </si>
  <si>
    <t>Shadwell Gardens</t>
  </si>
  <si>
    <t>Neomi</t>
  </si>
  <si>
    <t>Shakespeare road</t>
  </si>
  <si>
    <t>Shakespeare Road</t>
  </si>
  <si>
    <t>Roslyn</t>
  </si>
  <si>
    <t>Shalfleet Drive</t>
  </si>
  <si>
    <t>Shand Street</t>
  </si>
  <si>
    <t>Shannon Close</t>
  </si>
  <si>
    <t>Shannon Place</t>
  </si>
  <si>
    <t>Sharon Road</t>
  </si>
  <si>
    <t>Sharsted Street</t>
  </si>
  <si>
    <t>Latricia</t>
  </si>
  <si>
    <t>Sharsted Villas</t>
  </si>
  <si>
    <t>Sheen Common</t>
  </si>
  <si>
    <t>Sheen Grove</t>
  </si>
  <si>
    <t>Woodstock</t>
  </si>
  <si>
    <t>Sheldon Road</t>
  </si>
  <si>
    <t>Sheldrake Place</t>
  </si>
  <si>
    <t>Shenlay Road</t>
  </si>
  <si>
    <t>Sunni</t>
  </si>
  <si>
    <t>Tristan</t>
  </si>
  <si>
    <t>Shenley Road</t>
  </si>
  <si>
    <t>Shepherdess Place</t>
  </si>
  <si>
    <t>Shepherd'S Leas</t>
  </si>
  <si>
    <t>Cohen</t>
  </si>
  <si>
    <t>Shepperton Place</t>
  </si>
  <si>
    <t>Sherrard Road</t>
  </si>
  <si>
    <t>Sherriff Road</t>
  </si>
  <si>
    <t>Vinson</t>
  </si>
  <si>
    <t>Sherry Square</t>
  </si>
  <si>
    <t>Shetland Road</t>
  </si>
  <si>
    <t>Caron</t>
  </si>
  <si>
    <t>Shillingford Street</t>
  </si>
  <si>
    <t>Shantel</t>
  </si>
  <si>
    <t>Ship Court</t>
  </si>
  <si>
    <t>Shirehall Lane</t>
  </si>
  <si>
    <t>Shirland Mews</t>
  </si>
  <si>
    <t>Shirland Villas</t>
  </si>
  <si>
    <t>Shirley Gardens</t>
  </si>
  <si>
    <t>Stocksfield</t>
  </si>
  <si>
    <t>Shirley Villas</t>
  </si>
  <si>
    <t>Shirlock Road</t>
  </si>
  <si>
    <t>Shore Road</t>
  </si>
  <si>
    <t>Elene</t>
  </si>
  <si>
    <t>Shorrolds Road</t>
  </si>
  <si>
    <t>Shorter's Court</t>
  </si>
  <si>
    <t>Patty</t>
  </si>
  <si>
    <t>Shrapnel Road</t>
  </si>
  <si>
    <t>Shrewsbury Villas</t>
  </si>
  <si>
    <t>Gillespie</t>
  </si>
  <si>
    <t>Shroton Street</t>
  </si>
  <si>
    <t>Shrubbery Close</t>
  </si>
  <si>
    <t>Shrublands Close</t>
  </si>
  <si>
    <t>Sibella Road</t>
  </si>
  <si>
    <t>Sidcup ROAD</t>
  </si>
  <si>
    <t>Sidney Grove</t>
  </si>
  <si>
    <t>Sidney Miller</t>
  </si>
  <si>
    <t>Silk Street</t>
  </si>
  <si>
    <t>Gertha</t>
  </si>
  <si>
    <t>Dukes</t>
  </si>
  <si>
    <t>Silver Birch</t>
  </si>
  <si>
    <t>Kaycee</t>
  </si>
  <si>
    <t>Simpson Place</t>
  </si>
  <si>
    <t>Simpson Street</t>
  </si>
  <si>
    <t>Gabriela</t>
  </si>
  <si>
    <t>Sims Walk</t>
  </si>
  <si>
    <t>Ellyn</t>
  </si>
  <si>
    <t>Single Place</t>
  </si>
  <si>
    <t>Singleton Street</t>
  </si>
  <si>
    <t>Cecile</t>
  </si>
  <si>
    <t>Sinnott Road</t>
  </si>
  <si>
    <t>Sir Alexander</t>
  </si>
  <si>
    <t>Theda</t>
  </si>
  <si>
    <t>Sispara Gardens</t>
  </si>
  <si>
    <t>Hiedi</t>
  </si>
  <si>
    <t>Six Acres</t>
  </si>
  <si>
    <t>Sandra</t>
  </si>
  <si>
    <t>Skeena Hill</t>
  </si>
  <si>
    <t>Skelton Court</t>
  </si>
  <si>
    <t>Camellia</t>
  </si>
  <si>
    <t>Sketchley Gardens</t>
  </si>
  <si>
    <t>Melina</t>
  </si>
  <si>
    <t>Skiffington Close</t>
  </si>
  <si>
    <t>Roselyn</t>
  </si>
  <si>
    <t>Godfrey</t>
  </si>
  <si>
    <t>Petworth</t>
  </si>
  <si>
    <t>Camp</t>
  </si>
  <si>
    <t>Skipsey Avenue</t>
  </si>
  <si>
    <t>Munoz</t>
  </si>
  <si>
    <t>Skipworth Road</t>
  </si>
  <si>
    <t>Carluke</t>
  </si>
  <si>
    <t>Slade Gardens</t>
  </si>
  <si>
    <t>Cranleigh</t>
  </si>
  <si>
    <t>Sladedale ROAD</t>
  </si>
  <si>
    <t>Slades Passage</t>
  </si>
  <si>
    <t>Slaughterhouse Lane</t>
  </si>
  <si>
    <t>Slough Court</t>
  </si>
  <si>
    <t>Slough Lane</t>
  </si>
  <si>
    <t>Smart Street</t>
  </si>
  <si>
    <t>Laci</t>
  </si>
  <si>
    <t>Smeaton Street</t>
  </si>
  <si>
    <t>Smith Close</t>
  </si>
  <si>
    <t>Smithfield Market</t>
  </si>
  <si>
    <t>Hershel</t>
  </si>
  <si>
    <t>Smithies Road</t>
  </si>
  <si>
    <t>Larson</t>
  </si>
  <si>
    <t>Smith's Square</t>
  </si>
  <si>
    <t>Snead Street</t>
  </si>
  <si>
    <t>Snells Park</t>
  </si>
  <si>
    <t>Snowdon Place</t>
  </si>
  <si>
    <t>Dung</t>
  </si>
  <si>
    <t>Snowdown Close</t>
  </si>
  <si>
    <t>Deetta</t>
  </si>
  <si>
    <t>Snowsfields</t>
  </si>
  <si>
    <t>Socrates Place</t>
  </si>
  <si>
    <t>Solent Road</t>
  </si>
  <si>
    <t>Soley Terrace</t>
  </si>
  <si>
    <t>Solomon Avenue</t>
  </si>
  <si>
    <t>Coulter</t>
  </si>
  <si>
    <t>Solomons Buildings</t>
  </si>
  <si>
    <t>Somerford Street</t>
  </si>
  <si>
    <t>Rayna</t>
  </si>
  <si>
    <t>Somers Villas</t>
  </si>
  <si>
    <t>Somerset Cottages</t>
  </si>
  <si>
    <t>Somerset Estate</t>
  </si>
  <si>
    <t>Somerset Road</t>
  </si>
  <si>
    <t>Lin</t>
  </si>
  <si>
    <t>Somerset Street</t>
  </si>
  <si>
    <t>Nohemi</t>
  </si>
  <si>
    <t>Somerville Road</t>
  </si>
  <si>
    <t>Sounding Alley</t>
  </si>
  <si>
    <t>South Africa</t>
  </si>
  <si>
    <t>Kaplan</t>
  </si>
  <si>
    <t>South Close</t>
  </si>
  <si>
    <t>Izetta</t>
  </si>
  <si>
    <t>South Crescent</t>
  </si>
  <si>
    <t>South Elder</t>
  </si>
  <si>
    <t>South Hill</t>
  </si>
  <si>
    <t>Moises</t>
  </si>
  <si>
    <t>South Place</t>
  </si>
  <si>
    <t>South Road</t>
  </si>
  <si>
    <t>Treasa</t>
  </si>
  <si>
    <t>South Tenter</t>
  </si>
  <si>
    <t>South Terrace</t>
  </si>
  <si>
    <t>Shaquana</t>
  </si>
  <si>
    <t>Southampton Mews</t>
  </si>
  <si>
    <t>Southampton Place</t>
  </si>
  <si>
    <t>Southborough Terrace</t>
  </si>
  <si>
    <t>Donnetta</t>
  </si>
  <si>
    <t>Southbrook Road</t>
  </si>
  <si>
    <t>Southdown Drive</t>
  </si>
  <si>
    <t>Southern Road</t>
  </si>
  <si>
    <t>Southern Row</t>
  </si>
  <si>
    <t>Southmoor Way</t>
  </si>
  <si>
    <t>Southover</t>
  </si>
  <si>
    <t>Armando</t>
  </si>
  <si>
    <t>Southridge Place</t>
  </si>
  <si>
    <t>Koch</t>
  </si>
  <si>
    <t>Southwick Yard</t>
  </si>
  <si>
    <t>Inger</t>
  </si>
  <si>
    <t>Southwold Road</t>
  </si>
  <si>
    <t>Spa Terrace</t>
  </si>
  <si>
    <t>Galina</t>
  </si>
  <si>
    <t>Spalding Road</t>
  </si>
  <si>
    <t>Spaniards Close</t>
  </si>
  <si>
    <t>Spanish Close</t>
  </si>
  <si>
    <t>Sparrows Row</t>
  </si>
  <si>
    <t>Sparta Street</t>
  </si>
  <si>
    <t>Spence Close</t>
  </si>
  <si>
    <t>Spezia Road</t>
  </si>
  <si>
    <t>Spindrift Avenue</t>
  </si>
  <si>
    <t>Spirit Quay</t>
  </si>
  <si>
    <t>Anja</t>
  </si>
  <si>
    <t>Splendour Walk</t>
  </si>
  <si>
    <t>Spondon Villas</t>
  </si>
  <si>
    <t>Spring Row</t>
  </si>
  <si>
    <t>Lavona</t>
  </si>
  <si>
    <t>Spring Street</t>
  </si>
  <si>
    <t>Spring Tide</t>
  </si>
  <si>
    <t>Springfield Road</t>
  </si>
  <si>
    <t>Marvella</t>
  </si>
  <si>
    <t>Springfield Walk</t>
  </si>
  <si>
    <t>Kacy</t>
  </si>
  <si>
    <t>Quintana</t>
  </si>
  <si>
    <t>Spur Road</t>
  </si>
  <si>
    <t>Raina</t>
  </si>
  <si>
    <t>Squirrels Close</t>
  </si>
  <si>
    <t>St Albans</t>
  </si>
  <si>
    <t>Annice</t>
  </si>
  <si>
    <t>St Albans's</t>
  </si>
  <si>
    <t>St Alphege</t>
  </si>
  <si>
    <t>St Antonys</t>
  </si>
  <si>
    <t>St Austell</t>
  </si>
  <si>
    <t>St Benet</t>
  </si>
  <si>
    <t>St Ermins</t>
  </si>
  <si>
    <t>Totnes</t>
  </si>
  <si>
    <t>Shona</t>
  </si>
  <si>
    <t>St Ewen's</t>
  </si>
  <si>
    <t>St Fillan's</t>
  </si>
  <si>
    <t>St Gabriels</t>
  </si>
  <si>
    <t>Zachary</t>
  </si>
  <si>
    <t>St Goar</t>
  </si>
  <si>
    <t>Carlisle</t>
  </si>
  <si>
    <t>St James'</t>
  </si>
  <si>
    <t>Ignacio</t>
  </si>
  <si>
    <t>St John</t>
  </si>
  <si>
    <t>St Louis</t>
  </si>
  <si>
    <t>St Loys</t>
  </si>
  <si>
    <t>St Marks</t>
  </si>
  <si>
    <t>Macy</t>
  </si>
  <si>
    <t>St Martin</t>
  </si>
  <si>
    <t>St Nicholas</t>
  </si>
  <si>
    <t>St Olives</t>
  </si>
  <si>
    <t>Tameka</t>
  </si>
  <si>
    <t>St Oswalds</t>
  </si>
  <si>
    <t>Monet</t>
  </si>
  <si>
    <t>St Paul's</t>
  </si>
  <si>
    <t>St Silas</t>
  </si>
  <si>
    <t>St Thomas'S</t>
  </si>
  <si>
    <t>Heidy</t>
  </si>
  <si>
    <t>Stables</t>
  </si>
  <si>
    <t>Mablethorpe</t>
  </si>
  <si>
    <t>Staces Terrace</t>
  </si>
  <si>
    <t>Stafford Street</t>
  </si>
  <si>
    <t>Bishops Castle</t>
  </si>
  <si>
    <t>Stamford Grove</t>
  </si>
  <si>
    <t>Tamera</t>
  </si>
  <si>
    <t>Stamp Place</t>
  </si>
  <si>
    <t>Devorah</t>
  </si>
  <si>
    <t>Stanard Close</t>
  </si>
  <si>
    <t>Black</t>
  </si>
  <si>
    <t>Stanbridge Road</t>
  </si>
  <si>
    <t>Stanhope Row</t>
  </si>
  <si>
    <t>Stanhope Villas</t>
  </si>
  <si>
    <t>Dessie</t>
  </si>
  <si>
    <t>Cormier</t>
  </si>
  <si>
    <t>Stanlake Villas</t>
  </si>
  <si>
    <t>Stannard Road</t>
  </si>
  <si>
    <t>Cori</t>
  </si>
  <si>
    <t>Stanstead Grove</t>
  </si>
  <si>
    <t>Staple Court</t>
  </si>
  <si>
    <t>Camilla</t>
  </si>
  <si>
    <t>Staple Inn</t>
  </si>
  <si>
    <t>Geoffrey</t>
  </si>
  <si>
    <t>Staple Street</t>
  </si>
  <si>
    <t>Staplehurst Rd</t>
  </si>
  <si>
    <t>Staples Corner</t>
  </si>
  <si>
    <t>Reatha</t>
  </si>
  <si>
    <t>Star Alley</t>
  </si>
  <si>
    <t>Star of</t>
  </si>
  <si>
    <t>Barrow-In-Furness</t>
  </si>
  <si>
    <t>Joeann</t>
  </si>
  <si>
    <t>Star Yard</t>
  </si>
  <si>
    <t>Genie</t>
  </si>
  <si>
    <t>Starfield Road</t>
  </si>
  <si>
    <t>Basilia</t>
  </si>
  <si>
    <t>States(?) Court</t>
  </si>
  <si>
    <t>Station Chambers</t>
  </si>
  <si>
    <t>Station Estate</t>
  </si>
  <si>
    <t>Stover</t>
  </si>
  <si>
    <t>Station Garage</t>
  </si>
  <si>
    <t>Leila</t>
  </si>
  <si>
    <t>Station Parade</t>
  </si>
  <si>
    <t>Station Passage</t>
  </si>
  <si>
    <t>Jacqui</t>
  </si>
  <si>
    <t>Station Place</t>
  </si>
  <si>
    <t>Robertson</t>
  </si>
  <si>
    <t>Station Rise</t>
  </si>
  <si>
    <t>Hoover</t>
  </si>
  <si>
    <t>Station Street</t>
  </si>
  <si>
    <t>Leatha</t>
  </si>
  <si>
    <t>Station Way</t>
  </si>
  <si>
    <t>Malia</t>
  </si>
  <si>
    <t>Jacinta</t>
  </si>
  <si>
    <t>Steeds Road</t>
  </si>
  <si>
    <t>Eboni</t>
  </si>
  <si>
    <t>Fulton</t>
  </si>
  <si>
    <t>Steeles Road</t>
  </si>
  <si>
    <t>Steer Cottages</t>
  </si>
  <si>
    <t>Price</t>
  </si>
  <si>
    <t>Stephen Court</t>
  </si>
  <si>
    <t>Koehler</t>
  </si>
  <si>
    <t>Sterndale Place</t>
  </si>
  <si>
    <t>Sternhill Lane</t>
  </si>
  <si>
    <t>Stevedore Street</t>
  </si>
  <si>
    <t>Stevenson Crescent</t>
  </si>
  <si>
    <t>Steventon Road</t>
  </si>
  <si>
    <t>Steward Road</t>
  </si>
  <si>
    <t>Hager</t>
  </si>
  <si>
    <t>Stewards Place</t>
  </si>
  <si>
    <t>Stewart Green</t>
  </si>
  <si>
    <t>Stewarts Buildings</t>
  </si>
  <si>
    <t>Alethea</t>
  </si>
  <si>
    <t>Stewartsby Close</t>
  </si>
  <si>
    <t>Murillo</t>
  </si>
  <si>
    <t>Stockfield Road</t>
  </si>
  <si>
    <t>Stockwell Lane</t>
  </si>
  <si>
    <t>Wellington</t>
  </si>
  <si>
    <t>Stokes Road</t>
  </si>
  <si>
    <t>Stone Hall</t>
  </si>
  <si>
    <t>Tonja</t>
  </si>
  <si>
    <t>Stonechat Square</t>
  </si>
  <si>
    <t>Burl</t>
  </si>
  <si>
    <t>Stonells Road</t>
  </si>
  <si>
    <t>Solange</t>
  </si>
  <si>
    <t>Storer STREET</t>
  </si>
  <si>
    <t>Dalila</t>
  </si>
  <si>
    <t>Stork Road</t>
  </si>
  <si>
    <t>Adeline</t>
  </si>
  <si>
    <t>Stoughton Close</t>
  </si>
  <si>
    <t>Karissa</t>
  </si>
  <si>
    <t>Stowe Road</t>
  </si>
  <si>
    <t>Sybil</t>
  </si>
  <si>
    <t>Stradbroke Road</t>
  </si>
  <si>
    <t>Ammie</t>
  </si>
  <si>
    <t>Stradella Road</t>
  </si>
  <si>
    <t>Straightsmouth</t>
  </si>
  <si>
    <t>Marcy</t>
  </si>
  <si>
    <t>Strand On</t>
  </si>
  <si>
    <t>Strand West</t>
  </si>
  <si>
    <t>Lorriane</t>
  </si>
  <si>
    <t>Strangways Terrace</t>
  </si>
  <si>
    <t>Rolando</t>
  </si>
  <si>
    <t>Stratford Road</t>
  </si>
  <si>
    <t>Charlena</t>
  </si>
  <si>
    <t>Strathearn Cottages</t>
  </si>
  <si>
    <t>Stratheden House</t>
  </si>
  <si>
    <t>Stratheden Villas</t>
  </si>
  <si>
    <t>Mitsuko</t>
  </si>
  <si>
    <t>Strathmore Terrace</t>
  </si>
  <si>
    <t>Strathnairn Street</t>
  </si>
  <si>
    <t>Tena</t>
  </si>
  <si>
    <t>Stratton Street</t>
  </si>
  <si>
    <t>Streatfield Ave</t>
  </si>
  <si>
    <t>Phoebe</t>
  </si>
  <si>
    <t>Streatham Park</t>
  </si>
  <si>
    <t>Streatham Place</t>
  </si>
  <si>
    <t>Lore</t>
  </si>
  <si>
    <t>Streetfield Mews</t>
  </si>
  <si>
    <t>Strode Close</t>
  </si>
  <si>
    <t>Zimmerman</t>
  </si>
  <si>
    <t>Strode Road</t>
  </si>
  <si>
    <t>Tywyn</t>
  </si>
  <si>
    <t>Un</t>
  </si>
  <si>
    <t>Strone Road</t>
  </si>
  <si>
    <t>Stroud Road</t>
  </si>
  <si>
    <t>Antionette</t>
  </si>
  <si>
    <t>Stuart Avenue</t>
  </si>
  <si>
    <t>Melba</t>
  </si>
  <si>
    <t>Stucley Place</t>
  </si>
  <si>
    <t>Studio Place</t>
  </si>
  <si>
    <t>Studley Avenue</t>
  </si>
  <si>
    <t>Sturdy Road</t>
  </si>
  <si>
    <t>Sturge Street</t>
  </si>
  <si>
    <t>Sturry Street</t>
  </si>
  <si>
    <t>Sudbourne Road</t>
  </si>
  <si>
    <t>Thresa</t>
  </si>
  <si>
    <t>Suez Terrace</t>
  </si>
  <si>
    <t>Ezekiel</t>
  </si>
  <si>
    <t>Suffolk Park</t>
  </si>
  <si>
    <t>Mozell</t>
  </si>
  <si>
    <t>Suffolk Road</t>
  </si>
  <si>
    <t>Sugar Loaf</t>
  </si>
  <si>
    <t>Sultan Road</t>
  </si>
  <si>
    <t>Sumatra Road</t>
  </si>
  <si>
    <t>Summerfield Street</t>
  </si>
  <si>
    <t>Summers Row</t>
  </si>
  <si>
    <t>Aberfeldy</t>
  </si>
  <si>
    <t>Summers Town</t>
  </si>
  <si>
    <t>Rena</t>
  </si>
  <si>
    <t>Summerstown</t>
  </si>
  <si>
    <t>Woodrow</t>
  </si>
  <si>
    <t>Sumner Avenue</t>
  </si>
  <si>
    <t>Sumner Estate</t>
  </si>
  <si>
    <t>Sumner Street</t>
  </si>
  <si>
    <t>Evie</t>
  </si>
  <si>
    <t>Sun Cottages</t>
  </si>
  <si>
    <t>Bonds</t>
  </si>
  <si>
    <t>Sun Lane</t>
  </si>
  <si>
    <t>Jeanmarie</t>
  </si>
  <si>
    <t>Sun Road</t>
  </si>
  <si>
    <t>Sun Tavern</t>
  </si>
  <si>
    <t>Wonda</t>
  </si>
  <si>
    <t>Sun Terrace</t>
  </si>
  <si>
    <t>Sunbury Avenue</t>
  </si>
  <si>
    <t>Pete</t>
  </si>
  <si>
    <t>Sunbury Workshops</t>
  </si>
  <si>
    <t>Sundew AVE</t>
  </si>
  <si>
    <t>Sunfield Cottages</t>
  </si>
  <si>
    <t>Sunny Crescent</t>
  </si>
  <si>
    <t>Sunnycroft</t>
  </si>
  <si>
    <t>Sunnycroft RD</t>
  </si>
  <si>
    <t>Zella</t>
  </si>
  <si>
    <t>Sunnydene Street</t>
  </si>
  <si>
    <t>Sunnyhill Road</t>
  </si>
  <si>
    <t>Sunnyside</t>
  </si>
  <si>
    <t>Pearlene</t>
  </si>
  <si>
    <t>Sunnyside Cottages</t>
  </si>
  <si>
    <t>Sunset Road</t>
  </si>
  <si>
    <t>Surrey Commercial</t>
  </si>
  <si>
    <t>Mariano</t>
  </si>
  <si>
    <t>Surrey Cottage</t>
  </si>
  <si>
    <t>Surrey Mews</t>
  </si>
  <si>
    <t>Larissa</t>
  </si>
  <si>
    <t>Surrey Villa</t>
  </si>
  <si>
    <t>Sussex Gardens</t>
  </si>
  <si>
    <t>Ragland</t>
  </si>
  <si>
    <t>Sussex Terrace</t>
  </si>
  <si>
    <t>Sutherland Gardens</t>
  </si>
  <si>
    <t>Weybridge</t>
  </si>
  <si>
    <t>Alycia</t>
  </si>
  <si>
    <t>Sutherland Street</t>
  </si>
  <si>
    <t>Sutton C+F931rt</t>
  </si>
  <si>
    <t>Sutton Estate</t>
  </si>
  <si>
    <t>Sutton Row</t>
  </si>
  <si>
    <t>Ballycastle</t>
  </si>
  <si>
    <t>Swady Hill</t>
  </si>
  <si>
    <t>Jennell</t>
  </si>
  <si>
    <t>Swains Road</t>
  </si>
  <si>
    <t>Swallow Close</t>
  </si>
  <si>
    <t>Kenley</t>
  </si>
  <si>
    <t>Swallow Drive</t>
  </si>
  <si>
    <t>Swallow Gardens</t>
  </si>
  <si>
    <t>Swan Alley</t>
  </si>
  <si>
    <t>Swan Lane</t>
  </si>
  <si>
    <t>Mclaughlin</t>
  </si>
  <si>
    <t>Swan Yard</t>
  </si>
  <si>
    <t>Ja</t>
  </si>
  <si>
    <t>Swansland Gardens</t>
  </si>
  <si>
    <t>Regina</t>
  </si>
  <si>
    <t>Scruggs</t>
  </si>
  <si>
    <t>Sweden Gate</t>
  </si>
  <si>
    <t>Zelma</t>
  </si>
  <si>
    <t>Sweedland Court</t>
  </si>
  <si>
    <t>Swiss Villas</t>
  </si>
  <si>
    <t>Sycamore Close</t>
  </si>
  <si>
    <t>Sydney Cottages</t>
  </si>
  <si>
    <t>Sydney Street</t>
  </si>
  <si>
    <t>Symons Street</t>
  </si>
  <si>
    <t>Synagogue</t>
  </si>
  <si>
    <t>Tabernacle Square</t>
  </si>
  <si>
    <t>Mcnair</t>
  </si>
  <si>
    <t>Tachbrook Mews</t>
  </si>
  <si>
    <t>Eura</t>
  </si>
  <si>
    <t>Tailworth Street</t>
  </si>
  <si>
    <t>Talfour Road</t>
  </si>
  <si>
    <t>Tamar Street</t>
  </si>
  <si>
    <t>Tanfield Court</t>
  </si>
  <si>
    <t>Tangle Tree</t>
  </si>
  <si>
    <t>Daphne</t>
  </si>
  <si>
    <t>Tanhurst Walk</t>
  </si>
  <si>
    <t>Harrington</t>
  </si>
  <si>
    <t>Tankerton Houses</t>
  </si>
  <si>
    <t>Yee</t>
  </si>
  <si>
    <t>Tankerville Road</t>
  </si>
  <si>
    <t>Delmer</t>
  </si>
  <si>
    <t>Tant Avenue</t>
  </si>
  <si>
    <t>Tariff Road</t>
  </si>
  <si>
    <t>Tarnwood Park</t>
  </si>
  <si>
    <t>Tarragon Close</t>
  </si>
  <si>
    <t>Ashanti</t>
  </si>
  <si>
    <t>Tarver Road</t>
  </si>
  <si>
    <t>Belinda</t>
  </si>
  <si>
    <t>Tash Street</t>
  </si>
  <si>
    <t>Tatnell Rd</t>
  </si>
  <si>
    <t>Tatnell Road</t>
  </si>
  <si>
    <t>Lorena</t>
  </si>
  <si>
    <t>Tattersall Close</t>
  </si>
  <si>
    <t>Jenni</t>
  </si>
  <si>
    <t>Tattle Court</t>
  </si>
  <si>
    <t>Hamm</t>
  </si>
  <si>
    <t>Taunton Avenue</t>
  </si>
  <si>
    <t>Taunton Place</t>
  </si>
  <si>
    <t>Taverners Way</t>
  </si>
  <si>
    <t>Corsham</t>
  </si>
  <si>
    <t>Taybridge Road</t>
  </si>
  <si>
    <t>Latia</t>
  </si>
  <si>
    <t>Taylor ClS</t>
  </si>
  <si>
    <t>Kelvin</t>
  </si>
  <si>
    <t>Taylors Buildings</t>
  </si>
  <si>
    <t>Taylors Cottages</t>
  </si>
  <si>
    <t>Lashawnda</t>
  </si>
  <si>
    <t>Tayport Close</t>
  </si>
  <si>
    <t>Vivien</t>
  </si>
  <si>
    <t>Teale Street</t>
  </si>
  <si>
    <t>Debbie</t>
  </si>
  <si>
    <t>Tehidy Villas</t>
  </si>
  <si>
    <t>Racquel</t>
  </si>
  <si>
    <t>Teignmouth Close</t>
  </si>
  <si>
    <t>Linsey</t>
  </si>
  <si>
    <t>Telfer Close</t>
  </si>
  <si>
    <t>Jung</t>
  </si>
  <si>
    <t>Templar Street</t>
  </si>
  <si>
    <t>Hardy</t>
  </si>
  <si>
    <t>Temple Buildings</t>
  </si>
  <si>
    <t>Shonda</t>
  </si>
  <si>
    <t>Temple Place</t>
  </si>
  <si>
    <t>Verwood</t>
  </si>
  <si>
    <t>Temple Villas</t>
  </si>
  <si>
    <t>Lisandra</t>
  </si>
  <si>
    <t>Templeman Road</t>
  </si>
  <si>
    <t>Mckinney</t>
  </si>
  <si>
    <t>Tenby Close</t>
  </si>
  <si>
    <t>Tenby Road</t>
  </si>
  <si>
    <t>Tench Street</t>
  </si>
  <si>
    <t>Tenison Court</t>
  </si>
  <si>
    <t>Sabrina</t>
  </si>
  <si>
    <t>Tenter Ground</t>
  </si>
  <si>
    <t>Tenterden Gardens</t>
  </si>
  <si>
    <t>Teresa Walk</t>
  </si>
  <si>
    <t>Terrace Houses</t>
  </si>
  <si>
    <t>Moser</t>
  </si>
  <si>
    <t>Terrace Villas</t>
  </si>
  <si>
    <t>Terrapin Road</t>
  </si>
  <si>
    <t>Tewkesbury Road</t>
  </si>
  <si>
    <t>Tewkesbury Terrace</t>
  </si>
  <si>
    <t>Laura</t>
  </si>
  <si>
    <t>Thackeray Avenue</t>
  </si>
  <si>
    <t>Tomoko</t>
  </si>
  <si>
    <t>Thackeray Close</t>
  </si>
  <si>
    <t>Thames Street</t>
  </si>
  <si>
    <t>Cummins</t>
  </si>
  <si>
    <t>Thameside Industrial</t>
  </si>
  <si>
    <t>Thane Villas</t>
  </si>
  <si>
    <t>Washburn</t>
  </si>
  <si>
    <t>Thanet Cottages</t>
  </si>
  <si>
    <t>Minta</t>
  </si>
  <si>
    <t>Thanet Street</t>
  </si>
  <si>
    <t>Margart</t>
  </si>
  <si>
    <t>Summers</t>
  </si>
  <si>
    <t>Thatchouse Court</t>
  </si>
  <si>
    <t>Thaxted Road</t>
  </si>
  <si>
    <t>Thayer Street</t>
  </si>
  <si>
    <t>Machynlleth</t>
  </si>
  <si>
    <t>The Alders</t>
  </si>
  <si>
    <t>The Brookdales</t>
  </si>
  <si>
    <t>The Byeway</t>
  </si>
  <si>
    <t>The Castle</t>
  </si>
  <si>
    <t>Glayds</t>
  </si>
  <si>
    <t>The Causeway</t>
  </si>
  <si>
    <t>Heller</t>
  </si>
  <si>
    <t>The City</t>
  </si>
  <si>
    <t>The Concourse</t>
  </si>
  <si>
    <t>Vargas</t>
  </si>
  <si>
    <t>The Curiosities</t>
  </si>
  <si>
    <t>The Dell</t>
  </si>
  <si>
    <t>The Galleries</t>
  </si>
  <si>
    <t>Nereida</t>
  </si>
  <si>
    <t>The Grangeway</t>
  </si>
  <si>
    <t>The Hale</t>
  </si>
  <si>
    <t>Glossop</t>
  </si>
  <si>
    <t>Freddie</t>
  </si>
  <si>
    <t>The Hawthorns</t>
  </si>
  <si>
    <t>The Homesteads</t>
  </si>
  <si>
    <t>The Keep</t>
  </si>
  <si>
    <t>Dulas</t>
  </si>
  <si>
    <t>The Larches</t>
  </si>
  <si>
    <t>The Laurels</t>
  </si>
  <si>
    <t>Reese</t>
  </si>
  <si>
    <t>The Lincolns</t>
  </si>
  <si>
    <t>The London</t>
  </si>
  <si>
    <t>The Moorings</t>
  </si>
  <si>
    <t>Chae</t>
  </si>
  <si>
    <t>Elizabeth</t>
  </si>
  <si>
    <t>The Opening</t>
  </si>
  <si>
    <t>The Oval</t>
  </si>
  <si>
    <t>Georgetta</t>
  </si>
  <si>
    <t>The Pavement</t>
  </si>
  <si>
    <t>The Platt</t>
  </si>
  <si>
    <t>The Royal</t>
  </si>
  <si>
    <t>The Sanctuary</t>
  </si>
  <si>
    <t>The Sandlings</t>
  </si>
  <si>
    <t>The View</t>
  </si>
  <si>
    <t>The Vineries</t>
  </si>
  <si>
    <t>Sherie</t>
  </si>
  <si>
    <t>Hagan</t>
  </si>
  <si>
    <t>The Wells</t>
  </si>
  <si>
    <t>Hernandez</t>
  </si>
  <si>
    <t>Theobald Road</t>
  </si>
  <si>
    <t>Grisel</t>
  </si>
  <si>
    <t>Theobalds Cottages</t>
  </si>
  <si>
    <t>Mose</t>
  </si>
  <si>
    <t>Theodore Road</t>
  </si>
  <si>
    <t>Nestor</t>
  </si>
  <si>
    <t>Theresa Road</t>
  </si>
  <si>
    <t>Wood</t>
  </si>
  <si>
    <t>Thetford Cottages</t>
  </si>
  <si>
    <t>Carlota</t>
  </si>
  <si>
    <t>Thirlmere Road</t>
  </si>
  <si>
    <t>Thirza Place</t>
  </si>
  <si>
    <t>Thistlebrook</t>
  </si>
  <si>
    <t>Caitlyn</t>
  </si>
  <si>
    <t>Thistlewaite Road</t>
  </si>
  <si>
    <t>Cecille</t>
  </si>
  <si>
    <t>Thomas Cottages</t>
  </si>
  <si>
    <t>Thomas's Passage</t>
  </si>
  <si>
    <t>Dani</t>
  </si>
  <si>
    <t>Thornbury</t>
  </si>
  <si>
    <t>Jeanne</t>
  </si>
  <si>
    <t>Benavides</t>
  </si>
  <si>
    <t>Thornbury Close</t>
  </si>
  <si>
    <t>Thorndike Close</t>
  </si>
  <si>
    <t>Thorngate Road</t>
  </si>
  <si>
    <t>Thorngrove Road</t>
  </si>
  <si>
    <t>Thornhill Street</t>
  </si>
  <si>
    <t>Thornley Place</t>
  </si>
  <si>
    <t>Thornwood Close</t>
  </si>
  <si>
    <t>Alease</t>
  </si>
  <si>
    <t>Thoydon Road</t>
  </si>
  <si>
    <t>Elayne</t>
  </si>
  <si>
    <t>Thrale Street</t>
  </si>
  <si>
    <t>Thrawl Street</t>
  </si>
  <si>
    <t>Three Crane</t>
  </si>
  <si>
    <t>Rivka</t>
  </si>
  <si>
    <t>Three Cups</t>
  </si>
  <si>
    <t>Three Tuns</t>
  </si>
  <si>
    <t>Alice</t>
  </si>
  <si>
    <t>Three Turks</t>
  </si>
  <si>
    <t>Chantel</t>
  </si>
  <si>
    <t>Throgmorton Chambers</t>
  </si>
  <si>
    <t>Throwley Close</t>
  </si>
  <si>
    <t>Melida</t>
  </si>
  <si>
    <t>Thurliegh Road</t>
  </si>
  <si>
    <t>Phylis</t>
  </si>
  <si>
    <t>Elanor</t>
  </si>
  <si>
    <t>Thurloe Place</t>
  </si>
  <si>
    <t>Thursa Terrace</t>
  </si>
  <si>
    <t>Thurso Street</t>
  </si>
  <si>
    <t>Thyra Grove</t>
  </si>
  <si>
    <t>Tichborne Street</t>
  </si>
  <si>
    <t>Tidbury Street</t>
  </si>
  <si>
    <t>Tiger Public</t>
  </si>
  <si>
    <t>Tilbury Close</t>
  </si>
  <si>
    <t>Tilia Walk</t>
  </si>
  <si>
    <t>Tilice Road</t>
  </si>
  <si>
    <t>Tillett Close</t>
  </si>
  <si>
    <t>Tilling Road</t>
  </si>
  <si>
    <t>Brooke</t>
  </si>
  <si>
    <t>Tilney Gardens</t>
  </si>
  <si>
    <t>Esposito</t>
  </si>
  <si>
    <t>Tilney Street</t>
  </si>
  <si>
    <t>Tilson Road</t>
  </si>
  <si>
    <t>Tilston Close</t>
  </si>
  <si>
    <t>Timber Pond</t>
  </si>
  <si>
    <t>Time Square</t>
  </si>
  <si>
    <t>Micaela</t>
  </si>
  <si>
    <t>Timothy Road</t>
  </si>
  <si>
    <t>Emilee</t>
  </si>
  <si>
    <t>Tysons Yard</t>
  </si>
  <si>
    <t>Ethelyn</t>
  </si>
  <si>
    <t>Cherry</t>
  </si>
  <si>
    <t>Tysson Cottages</t>
  </si>
  <si>
    <t>Tyville Road</t>
  </si>
  <si>
    <t>Uamvar Street</t>
  </si>
  <si>
    <t>Roxann</t>
  </si>
  <si>
    <t>Udall Street</t>
  </si>
  <si>
    <t>Trena</t>
  </si>
  <si>
    <t>Uffington Road</t>
  </si>
  <si>
    <t>Ulster Place</t>
  </si>
  <si>
    <t>Yazzie</t>
  </si>
  <si>
    <t>Ulverston Road</t>
  </si>
  <si>
    <t>Umbria Street</t>
  </si>
  <si>
    <t>Underhill Passage</t>
  </si>
  <si>
    <t>Josefine</t>
  </si>
  <si>
    <t>Undine Street</t>
  </si>
  <si>
    <t>Unicorn Court</t>
  </si>
  <si>
    <t>Dukinfield</t>
  </si>
  <si>
    <t>Tabetha</t>
  </si>
  <si>
    <t>Union Cottages</t>
  </si>
  <si>
    <t>Union Workhouse</t>
  </si>
  <si>
    <t>Upchurch Close</t>
  </si>
  <si>
    <t>Maricruz</t>
  </si>
  <si>
    <t>Upcott Street</t>
  </si>
  <si>
    <t>Caren</t>
  </si>
  <si>
    <t>Upgrove Manor</t>
  </si>
  <si>
    <t>Jayne</t>
  </si>
  <si>
    <t>Upper Albany</t>
  </si>
  <si>
    <t>Moreland</t>
  </si>
  <si>
    <t>Upper Avenue</t>
  </si>
  <si>
    <t>Nenita</t>
  </si>
  <si>
    <t>Upper Berkeley</t>
  </si>
  <si>
    <t>Upper Boston</t>
  </si>
  <si>
    <t>Upper Chenies</t>
  </si>
  <si>
    <t>Lowestoft</t>
  </si>
  <si>
    <t>Ludie</t>
  </si>
  <si>
    <t>Upper Coleshill</t>
  </si>
  <si>
    <t>Guadalupe</t>
  </si>
  <si>
    <t>Block</t>
  </si>
  <si>
    <t>Upper College</t>
  </si>
  <si>
    <t>Upper Corrington</t>
  </si>
  <si>
    <t>Hang</t>
  </si>
  <si>
    <t>Upper Craven</t>
  </si>
  <si>
    <t>Upper Gloucester</t>
  </si>
  <si>
    <t>Upper Grange</t>
  </si>
  <si>
    <t>Cobb</t>
  </si>
  <si>
    <t>Upper Grosvenor</t>
  </si>
  <si>
    <t>Upper Hartland</t>
  </si>
  <si>
    <t>Stockbridge</t>
  </si>
  <si>
    <t>Upper Holland</t>
  </si>
  <si>
    <t>Upper Islington</t>
  </si>
  <si>
    <t>Upper Lismore</t>
  </si>
  <si>
    <t>Kenney</t>
  </si>
  <si>
    <t>Upper Market</t>
  </si>
  <si>
    <t>Upper Montagu</t>
  </si>
  <si>
    <t>Upper Montague</t>
  </si>
  <si>
    <t>Upper Mount</t>
  </si>
  <si>
    <t>Upper Ogle</t>
  </si>
  <si>
    <t>Upper Randall</t>
  </si>
  <si>
    <t>Myrtle</t>
  </si>
  <si>
    <t>Upper Rathbone</t>
  </si>
  <si>
    <t>Holsworthy</t>
  </si>
  <si>
    <t>Upper Smith</t>
  </si>
  <si>
    <t>Upper Storer</t>
  </si>
  <si>
    <t>Upper Street</t>
  </si>
  <si>
    <t>Upper Terrace</t>
  </si>
  <si>
    <t>Upper Walthamstow</t>
  </si>
  <si>
    <t>Darius</t>
  </si>
  <si>
    <t>Upper Whistler</t>
  </si>
  <si>
    <t>Phyllis</t>
  </si>
  <si>
    <t>Upper Woodland</t>
  </si>
  <si>
    <t>Tamar</t>
  </si>
  <si>
    <t>Uverdale Road</t>
  </si>
  <si>
    <t>Shalon</t>
  </si>
  <si>
    <t>Champion</t>
  </si>
  <si>
    <t>Vale Lane</t>
  </si>
  <si>
    <t>Nedra</t>
  </si>
  <si>
    <t>Vale Parade</t>
  </si>
  <si>
    <t>Valmar Road</t>
  </si>
  <si>
    <t>Vant Road</t>
  </si>
  <si>
    <t>Velia</t>
  </si>
  <si>
    <t>Varden Close</t>
  </si>
  <si>
    <t>Lise</t>
  </si>
  <si>
    <t>Vardens Road</t>
  </si>
  <si>
    <t>Nunez</t>
  </si>
  <si>
    <t>Varley Parade</t>
  </si>
  <si>
    <t>Varley Road</t>
  </si>
  <si>
    <t>Varna Road</t>
  </si>
  <si>
    <t>Vauban Street</t>
  </si>
  <si>
    <t>Vikki</t>
  </si>
  <si>
    <t>Vaughan Estate</t>
  </si>
  <si>
    <t>Liliana</t>
  </si>
  <si>
    <t>Vaughan Road</t>
  </si>
  <si>
    <t>Venue Street</t>
  </si>
  <si>
    <t>Melodie</t>
  </si>
  <si>
    <t>Vernon Mews</t>
  </si>
  <si>
    <t>Ahmad</t>
  </si>
  <si>
    <t>Verulam Buildings</t>
  </si>
  <si>
    <t>Kellie</t>
  </si>
  <si>
    <t>Verulam Terrace</t>
  </si>
  <si>
    <t>Shantae</t>
  </si>
  <si>
    <t>Vibart Gardens</t>
  </si>
  <si>
    <t>Vicarage</t>
  </si>
  <si>
    <t>Story</t>
  </si>
  <si>
    <t>Vicarage Lane</t>
  </si>
  <si>
    <t>Vicarage Parade</t>
  </si>
  <si>
    <t>Crain</t>
  </si>
  <si>
    <t>Vicarage Street</t>
  </si>
  <si>
    <t>Crista</t>
  </si>
  <si>
    <t>Vicarage Way</t>
  </si>
  <si>
    <t>Dawson</t>
  </si>
  <si>
    <t>Viceroy Close</t>
  </si>
  <si>
    <t>Lashaunda</t>
  </si>
  <si>
    <t>Viceroy Road</t>
  </si>
  <si>
    <t>Keira</t>
  </si>
  <si>
    <t>Victoria Gardens</t>
  </si>
  <si>
    <t>Victoria Green</t>
  </si>
  <si>
    <t>Victoria Park</t>
  </si>
  <si>
    <t>Elisa</t>
  </si>
  <si>
    <t>Victoria Rise</t>
  </si>
  <si>
    <t>Victoxla Road</t>
  </si>
  <si>
    <t>Slyvia</t>
  </si>
  <si>
    <t>Vie Villas</t>
  </si>
  <si>
    <t>Vigo Lane</t>
  </si>
  <si>
    <t>Galvan</t>
  </si>
  <si>
    <t>Village Mount</t>
  </si>
  <si>
    <t>Villas</t>
  </si>
  <si>
    <t>Vince Street</t>
  </si>
  <si>
    <t>Tyesha</t>
  </si>
  <si>
    <t>Vincent Mews</t>
  </si>
  <si>
    <t>Idalia</t>
  </si>
  <si>
    <t>Vincent Road</t>
  </si>
  <si>
    <t>Vincent Row</t>
  </si>
  <si>
    <t>Vine Street</t>
  </si>
  <si>
    <t>Blanco</t>
  </si>
  <si>
    <t>Vinegar Street</t>
  </si>
  <si>
    <t>Vineries Bank</t>
  </si>
  <si>
    <t>Vineyard Close</t>
  </si>
  <si>
    <t>Violet Road</t>
  </si>
  <si>
    <t>Violet Villa</t>
  </si>
  <si>
    <t>Vivian Way</t>
  </si>
  <si>
    <t>Vyner Road</t>
  </si>
  <si>
    <t>Waddington Street</t>
  </si>
  <si>
    <t>Waddington Way</t>
  </si>
  <si>
    <t>Killin</t>
  </si>
  <si>
    <t>Wade House</t>
  </si>
  <si>
    <t>Wadham Avenue</t>
  </si>
  <si>
    <t>Rosann</t>
  </si>
  <si>
    <t>Craft</t>
  </si>
  <si>
    <t>Efren</t>
  </si>
  <si>
    <t>Wagners Buildings</t>
  </si>
  <si>
    <t>Wagstaff Buildings</t>
  </si>
  <si>
    <t>Villarreal</t>
  </si>
  <si>
    <t>Wake Street</t>
  </si>
  <si>
    <t>Lucinda</t>
  </si>
  <si>
    <t>Wakefield Place</t>
  </si>
  <si>
    <t>Efrain</t>
  </si>
  <si>
    <t>Wakeham Street</t>
  </si>
  <si>
    <t>Kristi</t>
  </si>
  <si>
    <t>Wakley Street</t>
  </si>
  <si>
    <t>Walberswick Street</t>
  </si>
  <si>
    <t>Walbutton Road</t>
  </si>
  <si>
    <t>Melania</t>
  </si>
  <si>
    <t>Walcombe Avenue</t>
  </si>
  <si>
    <t>Lucila</t>
  </si>
  <si>
    <t>Waldeck Grove</t>
  </si>
  <si>
    <t>Sadie</t>
  </si>
  <si>
    <t>Walden Way</t>
  </si>
  <si>
    <t>Waldram Crescent</t>
  </si>
  <si>
    <t>Walham Rise</t>
  </si>
  <si>
    <t>Wallaces Yard</t>
  </si>
  <si>
    <t>Wallgrave Terrace</t>
  </si>
  <si>
    <t>Walls Terrace</t>
  </si>
  <si>
    <t>Wallside</t>
  </si>
  <si>
    <t>Camille</t>
  </si>
  <si>
    <t>Walmer Gardens</t>
  </si>
  <si>
    <t>Walmer Place</t>
  </si>
  <si>
    <t>Walnut Court</t>
  </si>
  <si>
    <t>Kami</t>
  </si>
  <si>
    <t>Walnut Gardens</t>
  </si>
  <si>
    <t>Jayme</t>
  </si>
  <si>
    <t>Walnut Tree</t>
  </si>
  <si>
    <t>Shaina</t>
  </si>
  <si>
    <t>Walpole Mews</t>
  </si>
  <si>
    <t>Walters Way</t>
  </si>
  <si>
    <t>Waltham Park</t>
  </si>
  <si>
    <t>Walton Villas</t>
  </si>
  <si>
    <t>Saran</t>
  </si>
  <si>
    <t>Walworth Villas</t>
  </si>
  <si>
    <t>Wandsworth Enterprise</t>
  </si>
  <si>
    <t>Wandsworth Road</t>
  </si>
  <si>
    <t>Warberry Road</t>
  </si>
  <si>
    <t>Warburton Close</t>
  </si>
  <si>
    <t>Kim</t>
  </si>
  <si>
    <t>Ward Hall</t>
  </si>
  <si>
    <t>Maybell</t>
  </si>
  <si>
    <t>Hebert</t>
  </si>
  <si>
    <t>Ward Road</t>
  </si>
  <si>
    <t>Wardalls Gr</t>
  </si>
  <si>
    <t>Wardley Street</t>
  </si>
  <si>
    <t>Wards Cottages</t>
  </si>
  <si>
    <t>Warley Road</t>
  </si>
  <si>
    <t>Warley Street</t>
  </si>
  <si>
    <t>Warner Road</t>
  </si>
  <si>
    <t>Lizbeth</t>
  </si>
  <si>
    <t>Warwick Grove</t>
  </si>
  <si>
    <t>Warwick House</t>
  </si>
  <si>
    <t>Warwick Villas</t>
  </si>
  <si>
    <t>Mcleod</t>
  </si>
  <si>
    <t>Washington Street</t>
  </si>
  <si>
    <t>Gita</t>
  </si>
  <si>
    <t>Water Mews</t>
  </si>
  <si>
    <t>Water Street</t>
  </si>
  <si>
    <t>Von</t>
  </si>
  <si>
    <t>Waterden ROAD</t>
  </si>
  <si>
    <t>female]</t>
  </si>
  <si>
    <t>Watergate Street</t>
  </si>
  <si>
    <t>Waterlow Road</t>
  </si>
  <si>
    <t>Waterlow Terrace</t>
  </si>
  <si>
    <t>Brunilda</t>
  </si>
  <si>
    <t>Watermint Quay</t>
  </si>
  <si>
    <t>Waterside</t>
  </si>
  <si>
    <t>Lauren</t>
  </si>
  <si>
    <t>Watford Way</t>
  </si>
  <si>
    <t>Watling Gardens</t>
  </si>
  <si>
    <t>Watlins Terrace</t>
  </si>
  <si>
    <t>Rochester</t>
  </si>
  <si>
    <t>Watson Mews</t>
  </si>
  <si>
    <t>Bethany</t>
  </si>
  <si>
    <t>Wattisfield Road</t>
  </si>
  <si>
    <t>Waveney Avenue</t>
  </si>
  <si>
    <t>Waverley Terrace</t>
  </si>
  <si>
    <t>Serena</t>
  </si>
  <si>
    <t>Waverton Road</t>
  </si>
  <si>
    <t>Judy</t>
  </si>
  <si>
    <t>Wayfield Link</t>
  </si>
  <si>
    <t>Teena</t>
  </si>
  <si>
    <t>Webbs Lane</t>
  </si>
  <si>
    <t>Webbs Yard</t>
  </si>
  <si>
    <t>Wedgwood Walk</t>
  </si>
  <si>
    <t>Weedon Terrace</t>
  </si>
  <si>
    <t>Weekley Square</t>
  </si>
  <si>
    <t>Weimar Street</t>
  </si>
  <si>
    <t>Weir Hall</t>
  </si>
  <si>
    <t>Welbeck Way</t>
  </si>
  <si>
    <t>Georgine</t>
  </si>
  <si>
    <t>Welford Close</t>
  </si>
  <si>
    <t>Mickie</t>
  </si>
  <si>
    <t>Maurer</t>
  </si>
  <si>
    <t>Welham Terrace</t>
  </si>
  <si>
    <t>Wellesley Street</t>
  </si>
  <si>
    <t>Wellfield Road</t>
  </si>
  <si>
    <t>Alethia</t>
  </si>
  <si>
    <t>Welling Place</t>
  </si>
  <si>
    <t>Juliette</t>
  </si>
  <si>
    <t>Francina</t>
  </si>
  <si>
    <t>Wellington Cottages</t>
  </si>
  <si>
    <t>Wellington Place</t>
  </si>
  <si>
    <t>Wenlock Road</t>
  </si>
  <si>
    <t>Wentbrook House</t>
  </si>
  <si>
    <t>Wentland Close</t>
  </si>
  <si>
    <t>Carylon</t>
  </si>
  <si>
    <t>Wentworth Close</t>
  </si>
  <si>
    <t>Nidia</t>
  </si>
  <si>
    <t>Wernbrook Street</t>
  </si>
  <si>
    <t>Celestina</t>
  </si>
  <si>
    <t>West Cromwell</t>
  </si>
  <si>
    <t>West Ella</t>
  </si>
  <si>
    <t>Brook</t>
  </si>
  <si>
    <t>Rhoades</t>
  </si>
  <si>
    <t>West Grove</t>
  </si>
  <si>
    <t>West House</t>
  </si>
  <si>
    <t>Jestine</t>
  </si>
  <si>
    <t>West Lane</t>
  </si>
  <si>
    <t>Lavonda</t>
  </si>
  <si>
    <t>West Mews</t>
  </si>
  <si>
    <t>West Smithfield</t>
  </si>
  <si>
    <t>Sumiko</t>
  </si>
  <si>
    <t>West Temple</t>
  </si>
  <si>
    <t>West View</t>
  </si>
  <si>
    <t>Earnest</t>
  </si>
  <si>
    <t>West Warwick</t>
  </si>
  <si>
    <t>Westbere Road</t>
  </si>
  <si>
    <t>Westbourne Park</t>
  </si>
  <si>
    <t>Westbury Road</t>
  </si>
  <si>
    <t>Dwana</t>
  </si>
  <si>
    <t>Westcombe Park</t>
  </si>
  <si>
    <t>Westcroft Square</t>
  </si>
  <si>
    <t>Westdown Road</t>
  </si>
  <si>
    <t>Kirriemuir</t>
  </si>
  <si>
    <t>Westferry Road</t>
  </si>
  <si>
    <t>Westminster Street</t>
  </si>
  <si>
    <t>Westmount Road</t>
  </si>
  <si>
    <t>Yuriko</t>
  </si>
  <si>
    <t>Weston Yard</t>
  </si>
  <si>
    <t>Ahmed</t>
  </si>
  <si>
    <t>Westport Street</t>
  </si>
  <si>
    <t>Pennington</t>
  </si>
  <si>
    <t>Westrow</t>
  </si>
  <si>
    <t>Eusebia</t>
  </si>
  <si>
    <t>Westway Close</t>
  </si>
  <si>
    <t>Ilana</t>
  </si>
  <si>
    <t>Weymouth Avenue</t>
  </si>
  <si>
    <t>Weymouth Terrace</t>
  </si>
  <si>
    <t>Wharncliffe Gardens</t>
  </si>
  <si>
    <t>Wharncliffe Street</t>
  </si>
  <si>
    <t>Wheatsheaf Alley</t>
  </si>
  <si>
    <t>Lady</t>
  </si>
  <si>
    <t>Wheatsheaf Wharf</t>
  </si>
  <si>
    <t>Whetstone CLOSE</t>
  </si>
  <si>
    <t>Whinchat Road</t>
  </si>
  <si>
    <t>Whinyates Road</t>
  </si>
  <si>
    <t>Tomeka</t>
  </si>
  <si>
    <t>Whitby Road</t>
  </si>
  <si>
    <t>Kenya</t>
  </si>
  <si>
    <t>White Boys</t>
  </si>
  <si>
    <t>Jaunita</t>
  </si>
  <si>
    <t>Powers</t>
  </si>
  <si>
    <t>White Cottage</t>
  </si>
  <si>
    <t>White Hart</t>
  </si>
  <si>
    <t>White Kennet</t>
  </si>
  <si>
    <t>Roberto</t>
  </si>
  <si>
    <t>White Post</t>
  </si>
  <si>
    <t>Whitebeam Close</t>
  </si>
  <si>
    <t>Hamlin</t>
  </si>
  <si>
    <t>Whitechapel Union</t>
  </si>
  <si>
    <t>Whitecombe Court</t>
  </si>
  <si>
    <t>Tennie</t>
  </si>
  <si>
    <t>Whitefriars Wharf</t>
  </si>
  <si>
    <t>Whitehall Yard</t>
  </si>
  <si>
    <t>Marisela</t>
  </si>
  <si>
    <t>Whiteheads Grove</t>
  </si>
  <si>
    <t>Whitehorse Street</t>
  </si>
  <si>
    <t>Whitehorse Yard</t>
  </si>
  <si>
    <t>Noah</t>
  </si>
  <si>
    <t>Whitehouse Way</t>
  </si>
  <si>
    <t>Hollie</t>
  </si>
  <si>
    <t>Whitelegg Road</t>
  </si>
  <si>
    <t>White's Row</t>
  </si>
  <si>
    <t>Whitfield Place</t>
  </si>
  <si>
    <t>Whitley Villas</t>
  </si>
  <si>
    <t>Whittaker Way</t>
  </si>
  <si>
    <t>Whitwell Road</t>
  </si>
  <si>
    <t>Wickam Street</t>
  </si>
  <si>
    <t>Susana</t>
  </si>
  <si>
    <t>Wickford Way</t>
  </si>
  <si>
    <t>Vinnie</t>
  </si>
  <si>
    <t>Wickham Court</t>
  </si>
  <si>
    <t>Anita</t>
  </si>
  <si>
    <t>Feliciano</t>
  </si>
  <si>
    <t>Wickham Gardens</t>
  </si>
  <si>
    <t>Tequila</t>
  </si>
  <si>
    <t>Wickham Lane</t>
  </si>
  <si>
    <t>Wickham Mews</t>
  </si>
  <si>
    <t>Pamala</t>
  </si>
  <si>
    <t>Wickham Place</t>
  </si>
  <si>
    <t>Wickham Street</t>
  </si>
  <si>
    <t>Wicks Rents</t>
  </si>
  <si>
    <t>Widdenham Rd</t>
  </si>
  <si>
    <t>Jerri</t>
  </si>
  <si>
    <t>Widecombe Way</t>
  </si>
  <si>
    <t>Amy</t>
  </si>
  <si>
    <t>Wightman Road</t>
  </si>
  <si>
    <t>Wigton Place</t>
  </si>
  <si>
    <t>Wild Court</t>
  </si>
  <si>
    <t>Louann</t>
  </si>
  <si>
    <t>Wildcroft Road</t>
  </si>
  <si>
    <t>Wilderness Lane</t>
  </si>
  <si>
    <t>Wilds Buildings</t>
  </si>
  <si>
    <t>Wilfrid Street</t>
  </si>
  <si>
    <t>Luanna</t>
  </si>
  <si>
    <t>Willcott Road</t>
  </si>
  <si>
    <t>Fuentes</t>
  </si>
  <si>
    <t>William Bonney</t>
  </si>
  <si>
    <t>William Booth</t>
  </si>
  <si>
    <t>William Mews</t>
  </si>
  <si>
    <t>William Morley</t>
  </si>
  <si>
    <t>Velda</t>
  </si>
  <si>
    <t>William Road</t>
  </si>
  <si>
    <t>Williams Alley</t>
  </si>
  <si>
    <t>Carolynn</t>
  </si>
  <si>
    <t>Dillon</t>
  </si>
  <si>
    <t>Williams Place</t>
  </si>
  <si>
    <t>Willingdon ROAD</t>
  </si>
  <si>
    <t>Susan</t>
  </si>
  <si>
    <t>Willington Villas</t>
  </si>
  <si>
    <t>Willman Green</t>
  </si>
  <si>
    <t>Willow Court</t>
  </si>
  <si>
    <t>Winnie</t>
  </si>
  <si>
    <t>Willow Farm</t>
  </si>
  <si>
    <t>Laurence</t>
  </si>
  <si>
    <t>Willow Terrace</t>
  </si>
  <si>
    <t>Willow View</t>
  </si>
  <si>
    <t>Caterina</t>
  </si>
  <si>
    <t>Willow Walk</t>
  </si>
  <si>
    <t>Rogelio</t>
  </si>
  <si>
    <t>Willow Wood</t>
  </si>
  <si>
    <t>Maud</t>
  </si>
  <si>
    <t>Willowbrook Lodge</t>
  </si>
  <si>
    <t>Willson Place</t>
  </si>
  <si>
    <t>Wilmer Lea</t>
  </si>
  <si>
    <t>Ariana</t>
  </si>
  <si>
    <t>Wilmer Place</t>
  </si>
  <si>
    <t>Wilmot House</t>
  </si>
  <si>
    <t>Wilmot Street</t>
  </si>
  <si>
    <t>Wilmott's Buildings</t>
  </si>
  <si>
    <t>Samantha</t>
  </si>
  <si>
    <t>Synthia</t>
  </si>
  <si>
    <t>Wilmount Street</t>
  </si>
  <si>
    <t>Wilson Place</t>
  </si>
  <si>
    <t>Wilson Terrace</t>
  </si>
  <si>
    <t>Lauretta</t>
  </si>
  <si>
    <t>Wilton Crescent</t>
  </si>
  <si>
    <t>Wilton Row</t>
  </si>
  <si>
    <t>Wimbolt Street</t>
  </si>
  <si>
    <t>Dortha</t>
  </si>
  <si>
    <t>Wimborne Drive</t>
  </si>
  <si>
    <t>Bill</t>
  </si>
  <si>
    <t>Winchfield Road</t>
  </si>
  <si>
    <t>Windermere Road</t>
  </si>
  <si>
    <t>Windmill Lane</t>
  </si>
  <si>
    <t>Windsor Cottages</t>
  </si>
  <si>
    <t>Linh</t>
  </si>
  <si>
    <t>Windsor Court</t>
  </si>
  <si>
    <t>Windsor Mews</t>
  </si>
  <si>
    <t>Casandra</t>
  </si>
  <si>
    <t>Windsor Road</t>
  </si>
  <si>
    <t>Magen</t>
  </si>
  <si>
    <t>Windsor Villas</t>
  </si>
  <si>
    <t>Waldo</t>
  </si>
  <si>
    <t>Windsor Way</t>
  </si>
  <si>
    <t>Vina</t>
  </si>
  <si>
    <t>Windyridge Close</t>
  </si>
  <si>
    <t>Wingford ROAD</t>
  </si>
  <si>
    <t>Dejesus</t>
  </si>
  <si>
    <t>Wingrave Road</t>
  </si>
  <si>
    <t>Ophelia</t>
  </si>
  <si>
    <t>Gwen</t>
  </si>
  <si>
    <t>Winnington Road</t>
  </si>
  <si>
    <t>Winslow Road</t>
  </si>
  <si>
    <t>Winterwell Road</t>
  </si>
  <si>
    <t>Oconnell</t>
  </si>
  <si>
    <t>Witcombe Street</t>
  </si>
  <si>
    <t>Lennie</t>
  </si>
  <si>
    <t>Withycombe Road</t>
  </si>
  <si>
    <t>Claretta</t>
  </si>
  <si>
    <t>Witney Path</t>
  </si>
  <si>
    <t>Stewart</t>
  </si>
  <si>
    <t>Woburn</t>
  </si>
  <si>
    <t>Woburn Close</t>
  </si>
  <si>
    <t>Wolsey Road</t>
  </si>
  <si>
    <t>Wontner Close</t>
  </si>
  <si>
    <t>Karon</t>
  </si>
  <si>
    <t>Wood Lane</t>
  </si>
  <si>
    <t>Frost</t>
  </si>
  <si>
    <t>Wood Lawn</t>
  </si>
  <si>
    <t>Wood Vale</t>
  </si>
  <si>
    <t>Woodberry Avenue</t>
  </si>
  <si>
    <t>Woodbine Villas</t>
  </si>
  <si>
    <t>Woodbourne Avenue</t>
  </si>
  <si>
    <t>Woodbourne Close</t>
  </si>
  <si>
    <t>Woodbridge Close</t>
  </si>
  <si>
    <t>Janine</t>
  </si>
  <si>
    <t>Woodend</t>
  </si>
  <si>
    <t>Woodfall Road</t>
  </si>
  <si>
    <t>Woodfarrs</t>
  </si>
  <si>
    <t>Woodfield Crescent</t>
  </si>
  <si>
    <t>Cristine</t>
  </si>
  <si>
    <t>Payton</t>
  </si>
  <si>
    <t>Woodgrange Avenue</t>
  </si>
  <si>
    <t>Llansantffraid</t>
  </si>
  <si>
    <t>Woodham Court</t>
  </si>
  <si>
    <t>Woodheyes Road</t>
  </si>
  <si>
    <t>Woodhurst Road</t>
  </si>
  <si>
    <t>Deane</t>
  </si>
  <si>
    <t>Woodland Close</t>
  </si>
  <si>
    <t>Bradford-On-Avon</t>
  </si>
  <si>
    <t>Woodmans Mews</t>
  </si>
  <si>
    <t>Cher</t>
  </si>
  <si>
    <t>Woodman's Place</t>
  </si>
  <si>
    <t>Woods Court</t>
  </si>
  <si>
    <t>Woodside Grange</t>
  </si>
  <si>
    <t>Caldwell</t>
  </si>
  <si>
    <t>Woodside Grove</t>
  </si>
  <si>
    <t>Woodville House</t>
  </si>
  <si>
    <t>Mendy</t>
  </si>
  <si>
    <t>Woodville Road</t>
  </si>
  <si>
    <t>Woodville Street</t>
  </si>
  <si>
    <t>Woodward Terrace</t>
  </si>
  <si>
    <t>Woolf Close</t>
  </si>
  <si>
    <t>Woolneigh Street</t>
  </si>
  <si>
    <t>Woolridge Way</t>
  </si>
  <si>
    <t>Loma</t>
  </si>
  <si>
    <t>Woolstaplers Way</t>
  </si>
  <si>
    <t>Woolwich Manor</t>
  </si>
  <si>
    <t>Worcester Cottages</t>
  </si>
  <si>
    <t>Worcester Street</t>
  </si>
  <si>
    <t>Wordsworth Avenue</t>
  </si>
  <si>
    <t>Wordsworth Walk</t>
  </si>
  <si>
    <t>Worland Road</t>
  </si>
  <si>
    <t>Evan</t>
  </si>
  <si>
    <t>Worley's Court</t>
  </si>
  <si>
    <t>Worsley Bridge</t>
  </si>
  <si>
    <t>Worsley Road</t>
  </si>
  <si>
    <t>Worsopp Drive</t>
  </si>
  <si>
    <t>Thao</t>
  </si>
  <si>
    <t>Wrekin Road</t>
  </si>
  <si>
    <t>Wren Avenue</t>
  </si>
  <si>
    <t>Tesha</t>
  </si>
  <si>
    <t>Wren Cottages</t>
  </si>
  <si>
    <t>Rae</t>
  </si>
  <si>
    <t>Wren Path</t>
  </si>
  <si>
    <t>Wren Street</t>
  </si>
  <si>
    <t>Thomason</t>
  </si>
  <si>
    <t>Wrestlers Crt</t>
  </si>
  <si>
    <t>Wrigglesworth Street</t>
  </si>
  <si>
    <t>Lien</t>
  </si>
  <si>
    <t>Wrights Buildings</t>
  </si>
  <si>
    <t>Angila</t>
  </si>
  <si>
    <t>Wright's Buildings</t>
  </si>
  <si>
    <t>Eula</t>
  </si>
  <si>
    <t>Wrights Cottages</t>
  </si>
  <si>
    <t>Wrights Place</t>
  </si>
  <si>
    <t>Wroughton Road</t>
  </si>
  <si>
    <t>Anh</t>
  </si>
  <si>
    <t>Wroxton Road</t>
  </si>
  <si>
    <t>Wycombe Gardens</t>
  </si>
  <si>
    <t>Edmond</t>
  </si>
  <si>
    <t>Wyld's Rents</t>
  </si>
  <si>
    <t>Wymans Cottages</t>
  </si>
  <si>
    <t>Wymond Street</t>
  </si>
  <si>
    <t>Season</t>
  </si>
  <si>
    <t>Wymondham Court</t>
  </si>
  <si>
    <t>Wyndham Road</t>
  </si>
  <si>
    <t>Grimm</t>
  </si>
  <si>
    <t>Wyneham Road</t>
  </si>
  <si>
    <t>Wynford Way</t>
  </si>
  <si>
    <t>Wynne Road</t>
  </si>
  <si>
    <t>Alysia</t>
  </si>
  <si>
    <t>Wynyard Terrace</t>
  </si>
  <si>
    <t>Wythburn Place</t>
  </si>
  <si>
    <t>Wythens Walk</t>
  </si>
  <si>
    <t>Ressie</t>
  </si>
  <si>
    <t>Wythfield Road</t>
  </si>
  <si>
    <t>Darcey</t>
  </si>
  <si>
    <t>Wyvil Street</t>
  </si>
  <si>
    <t>Wyvis Street</t>
  </si>
  <si>
    <t>Kenia</t>
  </si>
  <si>
    <t>Xaverier Street</t>
  </si>
  <si>
    <t>Nida</t>
  </si>
  <si>
    <t>Yarmouth Place</t>
  </si>
  <si>
    <t>Yeldham Road</t>
  </si>
  <si>
    <t>Metz</t>
  </si>
  <si>
    <t>Yeomans Row</t>
  </si>
  <si>
    <t>Scotty</t>
  </si>
  <si>
    <t>Yew</t>
  </si>
  <si>
    <t>York Gate</t>
  </si>
  <si>
    <t>Claris</t>
  </si>
  <si>
    <t>York Hill</t>
  </si>
  <si>
    <t>Goode</t>
  </si>
  <si>
    <t>York Place</t>
  </si>
  <si>
    <t>York Row</t>
  </si>
  <si>
    <t>York Street</t>
  </si>
  <si>
    <t>York Terrace</t>
  </si>
  <si>
    <t>Yorke Crescent</t>
  </si>
  <si>
    <t>Youngs Cottages</t>
  </si>
  <si>
    <t>Youngs Passage</t>
  </si>
  <si>
    <t>Yukon Road</t>
  </si>
  <si>
    <t>Zoffany Street</t>
  </si>
  <si>
    <t>Rachel</t>
  </si>
  <si>
    <t>Carole</t>
  </si>
  <si>
    <t>Alma Road</t>
  </si>
  <si>
    <t>Alma Square</t>
  </si>
  <si>
    <t>Atherton Street</t>
  </si>
  <si>
    <t>Barnardo Gardens</t>
  </si>
  <si>
    <t>Belvedere Road</t>
  </si>
  <si>
    <t>Berthons Gardens</t>
  </si>
  <si>
    <t>Bramshot Avenue</t>
  </si>
  <si>
    <t>Brunel Road</t>
  </si>
  <si>
    <t>Carleton Gardens</t>
  </si>
  <si>
    <t>Chetwynd Road</t>
  </si>
  <si>
    <t>Claybrook Road</t>
  </si>
  <si>
    <t>Colehill Gardens</t>
  </si>
  <si>
    <t>Cotall Street</t>
  </si>
  <si>
    <t>Dacre Gardens</t>
  </si>
  <si>
    <t>Dallinger Road</t>
  </si>
  <si>
    <t>Elrington Road</t>
  </si>
  <si>
    <t>Emma Road</t>
  </si>
  <si>
    <t>Empire Avenue</t>
  </si>
  <si>
    <t>Etham Street</t>
  </si>
  <si>
    <t>Foskett Road</t>
  </si>
  <si>
    <t>Ground Street</t>
  </si>
  <si>
    <t>Grovesnor Street</t>
  </si>
  <si>
    <t>Hartswood Gardens</t>
  </si>
  <si>
    <t>Hartwell Drive</t>
  </si>
  <si>
    <t>Herlwyn Gardens</t>
  </si>
  <si>
    <t>Hetley Road</t>
  </si>
  <si>
    <t>Honiton Gardens</t>
  </si>
  <si>
    <t>Jubilee Gardens</t>
  </si>
  <si>
    <t>Kenny Road</t>
  </si>
  <si>
    <t>Malton Street</t>
  </si>
  <si>
    <t>Marlborough Road</t>
  </si>
  <si>
    <t>Mazow Road</t>
  </si>
  <si>
    <t>Middle Road</t>
  </si>
  <si>
    <t>Nairn Street</t>
  </si>
  <si>
    <t>Nursery Road</t>
  </si>
  <si>
    <t>Palm Street</t>
  </si>
  <si>
    <t>Torridge Gardens</t>
  </si>
  <si>
    <t>Randisbourne Gardens</t>
  </si>
  <si>
    <t>Rawlings Street</t>
  </si>
  <si>
    <t>Rydon Street</t>
  </si>
  <si>
    <t>Staplehurst Road</t>
  </si>
  <si>
    <t>Streatfield Avenue</t>
  </si>
  <si>
    <t>Widdenham Road</t>
  </si>
  <si>
    <t>Barili Lodge</t>
  </si>
  <si>
    <t xml:space="preserve">Basketmakers' </t>
  </si>
  <si>
    <t>Ann'S Avenue</t>
  </si>
  <si>
    <t>Ann'S Terrace</t>
  </si>
  <si>
    <t>Ann'S Villaw</t>
  </si>
  <si>
    <t>Bachelor'S Hall</t>
  </si>
  <si>
    <t>Ball'S Buildings</t>
  </si>
  <si>
    <t>Barraud'S Wharf</t>
  </si>
  <si>
    <t>Barry'S Buildings</t>
  </si>
  <si>
    <t>Blackman'S Crt</t>
  </si>
  <si>
    <t>Blossom Close</t>
  </si>
  <si>
    <t>Boss Street</t>
  </si>
  <si>
    <t>Brewer'S Quay</t>
  </si>
  <si>
    <t>Broker'S Alley</t>
  </si>
  <si>
    <t>Brook'S Mews</t>
  </si>
  <si>
    <t>Brook'S Yard</t>
  </si>
  <si>
    <t>Brunton'S Place</t>
  </si>
  <si>
    <t>Bull'S Head</t>
  </si>
  <si>
    <t>Campshill Place</t>
  </si>
  <si>
    <t>Carling'S Row</t>
  </si>
  <si>
    <t>Carron Close</t>
  </si>
  <si>
    <t>Chippendale Street</t>
  </si>
  <si>
    <t>Clement'S Inn</t>
  </si>
  <si>
    <t>Cock And</t>
  </si>
  <si>
    <t>Cox'S Quay</t>
  </si>
  <si>
    <t>Craven'S Buildings</t>
  </si>
  <si>
    <t>Cricketer'S Court</t>
  </si>
  <si>
    <t>Cundell'S Place</t>
  </si>
  <si>
    <t>Dean'S Place</t>
  </si>
  <si>
    <t>Dog And</t>
  </si>
  <si>
    <t>Dornberg Cls+F687</t>
  </si>
  <si>
    <t>Downes St</t>
  </si>
  <si>
    <t>Dr Johnson'S</t>
  </si>
  <si>
    <t>Draper'S Court</t>
  </si>
  <si>
    <t>Dunmow Road</t>
  </si>
  <si>
    <t>Earl'S Place</t>
  </si>
  <si>
    <t>Elystan Plc</t>
  </si>
  <si>
    <t>Empress Street</t>
  </si>
  <si>
    <t>Eve'S Place</t>
  </si>
  <si>
    <t>Farrance Street</t>
  </si>
  <si>
    <t>Fordhook Ave</t>
  </si>
  <si>
    <t>Fritton Place</t>
  </si>
  <si>
    <t>Fulham'S Green</t>
  </si>
  <si>
    <t>Fulwood'S Rents</t>
  </si>
  <si>
    <t>Gardner'S Lane</t>
  </si>
  <si>
    <t>Garfield Rd</t>
  </si>
  <si>
    <t>Gee'S Court</t>
  </si>
  <si>
    <t>George'S Row</t>
  </si>
  <si>
    <t>Gilham'S Court</t>
  </si>
  <si>
    <t>Gillam'S Yard</t>
  </si>
  <si>
    <t>Gimber'S Rents</t>
  </si>
  <si>
    <t>Girdler Or</t>
  </si>
  <si>
    <t>Goad'S Place</t>
  </si>
  <si>
    <t>Goode'S Court</t>
  </si>
  <si>
    <t>Goslin'S Yard</t>
  </si>
  <si>
    <t>Grace'S Road</t>
  </si>
  <si>
    <t>Greeg'S Street</t>
  </si>
  <si>
    <t>Green'S Alley</t>
  </si>
  <si>
    <t>Guy Of</t>
  </si>
  <si>
    <t>Harder'S Place</t>
  </si>
  <si>
    <t>Harley Street</t>
  </si>
  <si>
    <t>Hart'S Court</t>
  </si>
  <si>
    <t>Hearns Or</t>
  </si>
  <si>
    <t>Henwick Rd</t>
  </si>
  <si>
    <t>Henwood Road</t>
  </si>
  <si>
    <t>Hewit'S Corner</t>
  </si>
  <si>
    <t>Hewitt'S Court</t>
  </si>
  <si>
    <t>Hickman'S Folly</t>
  </si>
  <si>
    <t>Holdenhurst Av+F1402</t>
  </si>
  <si>
    <t>Hook'S Road</t>
  </si>
  <si>
    <t>Hopperton'S Cottages</t>
  </si>
  <si>
    <t>Howgate R+F1024D</t>
  </si>
  <si>
    <t>Jackson'S Alley</t>
  </si>
  <si>
    <t>Johnson'S Court</t>
  </si>
  <si>
    <t>Kimberly Rd</t>
  </si>
  <si>
    <t>King David'S</t>
  </si>
  <si>
    <t>Linsey Road</t>
  </si>
  <si>
    <t>Lloyd'S Place</t>
  </si>
  <si>
    <t>Longly Road</t>
  </si>
  <si>
    <t>Lydia'S Cottages</t>
  </si>
  <si>
    <t>Mariner'S Buildings</t>
  </si>
  <si>
    <t>Mason'S Avenue</t>
  </si>
  <si>
    <t>Mason'S Grove</t>
  </si>
  <si>
    <t>Mason'S Place</t>
  </si>
  <si>
    <t>Maygood Street</t>
  </si>
  <si>
    <t>Meard'S Court</t>
  </si>
  <si>
    <t>Melford Lallas</t>
  </si>
  <si>
    <t>Mellick'S Place</t>
  </si>
  <si>
    <t>Moss'S Buildings</t>
  </si>
  <si>
    <t>Musk Crt</t>
  </si>
  <si>
    <t>Newman'S Mews</t>
  </si>
  <si>
    <t>Nicoll'S Row</t>
  </si>
  <si>
    <t>Ormanton Rd</t>
  </si>
  <si>
    <t>Otterbourne Road</t>
  </si>
  <si>
    <t>Pancras St</t>
  </si>
  <si>
    <t>Paul'S Bakehouse</t>
  </si>
  <si>
    <t>Paul'S Chain</t>
  </si>
  <si>
    <t>Pennell'S Court</t>
  </si>
  <si>
    <t>Pipemaker'S Alley</t>
  </si>
  <si>
    <t>Poppin'S Court</t>
  </si>
  <si>
    <t>Precinct Of</t>
  </si>
  <si>
    <t>Price'S Street</t>
  </si>
  <si>
    <t>Priest'S Bridge</t>
  </si>
  <si>
    <t>Prince'S Mews</t>
  </si>
  <si>
    <t>Prince'S Street</t>
  </si>
  <si>
    <t>Pritchard'S Road</t>
  </si>
  <si>
    <t>Pursewardens Close</t>
  </si>
  <si>
    <t>Queen'S Place</t>
  </si>
  <si>
    <t>Rahere Street</t>
  </si>
  <si>
    <t>Ralph Street</t>
  </si>
  <si>
    <t>Rebecca'S Place</t>
  </si>
  <si>
    <t>Rock And</t>
  </si>
  <si>
    <t>Sarah'S Place</t>
  </si>
  <si>
    <t>Sarnell'S Court</t>
  </si>
  <si>
    <t>Shorter'S Court</t>
  </si>
  <si>
    <t>Sidcup Road</t>
  </si>
  <si>
    <t>Sladedale Road</t>
  </si>
  <si>
    <t>Smith'S Square</t>
  </si>
  <si>
    <t>St Albans'S</t>
  </si>
  <si>
    <t>St Ewen'S</t>
  </si>
  <si>
    <t>St Fillan'S</t>
  </si>
  <si>
    <t>St Paul'S</t>
  </si>
  <si>
    <t>Star Of</t>
  </si>
  <si>
    <t>Sundew Ave</t>
  </si>
  <si>
    <t>Sunnycroft Rd</t>
  </si>
  <si>
    <t>Sutton C+F931Rt</t>
  </si>
  <si>
    <t>Taylor Cls</t>
  </si>
  <si>
    <t>Thomas'S Passage</t>
  </si>
  <si>
    <t>Waterden Road</t>
  </si>
  <si>
    <t>Whetstone Close</t>
  </si>
  <si>
    <t>White'S Row</t>
  </si>
  <si>
    <t>Willingdon Road</t>
  </si>
  <si>
    <t>Wilmott'S Buildings</t>
  </si>
  <si>
    <t>Wingford Road</t>
  </si>
  <si>
    <t>Woodman'S Place</t>
  </si>
  <si>
    <t>Worley'S Court</t>
  </si>
  <si>
    <t>Wright'S Buildings</t>
  </si>
  <si>
    <t>Wyld'S Rents</t>
  </si>
  <si>
    <t>Order Year</t>
  </si>
  <si>
    <t>Order Month</t>
  </si>
  <si>
    <t>Product Data</t>
  </si>
  <si>
    <t>Code</t>
  </si>
  <si>
    <t>Item</t>
  </si>
  <si>
    <t>Cost</t>
  </si>
  <si>
    <t>Case Size</t>
  </si>
  <si>
    <t>Megawidget S</t>
  </si>
  <si>
    <t>Megawidget M</t>
  </si>
  <si>
    <t>Megawidget L</t>
  </si>
  <si>
    <t>Hyperwotsit</t>
  </si>
  <si>
    <t>Ultrathing V1</t>
  </si>
  <si>
    <t>Ultrathing V2</t>
  </si>
  <si>
    <t>Ultrathing V3</t>
  </si>
  <si>
    <t>Ultrathing V4</t>
  </si>
  <si>
    <t>Gigastuff</t>
  </si>
  <si>
    <t>Superwossname</t>
  </si>
  <si>
    <t>Product Name</t>
  </si>
  <si>
    <t>Total Items Ordered</t>
  </si>
  <si>
    <t>Total Order Value</t>
  </si>
  <si>
    <t>Product Code</t>
  </si>
  <si>
    <t>Row Labels</t>
  </si>
  <si>
    <t>Grand Total</t>
  </si>
  <si>
    <t>Column Labels</t>
  </si>
  <si>
    <t>(Multiple Items)</t>
  </si>
  <si>
    <t>Feb</t>
  </si>
  <si>
    <t>Mar</t>
  </si>
  <si>
    <t>Apr</t>
  </si>
  <si>
    <t>Jun</t>
  </si>
  <si>
    <t>Jul</t>
  </si>
  <si>
    <t>Aug</t>
  </si>
  <si>
    <t>Sep</t>
  </si>
  <si>
    <t>Oct</t>
  </si>
  <si>
    <t>Nov</t>
  </si>
  <si>
    <t>Dec</t>
  </si>
  <si>
    <t>Sum of Total Order Value</t>
  </si>
  <si>
    <t>Sales by Month and Year</t>
  </si>
  <si>
    <t>Sales by Region</t>
  </si>
  <si>
    <t>Product Codes: B, D and E</t>
  </si>
  <si>
    <t xml:space="preserve">Postal Codes: WC, WS, HS and CW </t>
  </si>
  <si>
    <t>- Last column containing the date is deleted as there was only one value in the entire column</t>
  </si>
  <si>
    <t>- Blank fields and rows containing zero values have been deleted</t>
  </si>
  <si>
    <t>- Double, leading and trailing spaces have been removed</t>
  </si>
  <si>
    <t>- Abbreviations in the street column have been convered into full form</t>
  </si>
  <si>
    <t>- Values in the gender column have been corrected</t>
  </si>
  <si>
    <t>- Entries in the "First Name", "Last Name", "Street" and "Town" columns have been converted into proper case</t>
  </si>
  <si>
    <t>- Duplicate rows have been deleted</t>
  </si>
  <si>
    <t>Basketmakers'</t>
  </si>
  <si>
    <t>Downes Street</t>
  </si>
  <si>
    <t>Fordhook Avenue</t>
  </si>
  <si>
    <t>Garfield Road</t>
  </si>
  <si>
    <t>Ormanton Road</t>
  </si>
  <si>
    <t>Pancras Street</t>
  </si>
  <si>
    <t>Sundew Avenue</t>
  </si>
  <si>
    <t>Sunnycroft Road</t>
  </si>
  <si>
    <t>Notes:</t>
  </si>
  <si>
    <t xml:space="preserve"> Data has been cleaned using VBA. Following techniques have been applied:</t>
  </si>
  <si>
    <t>Data has been organized as follows:</t>
  </si>
  <si>
    <t xml:space="preserve"> - Month and year have been extracted from the date column</t>
  </si>
  <si>
    <t xml:space="preserve"> - Product name column has been added</t>
  </si>
  <si>
    <t xml:space="preserve"> - Total items ordered and total order value has been calculated</t>
  </si>
  <si>
    <t>Income</t>
  </si>
  <si>
    <t>Sales</t>
  </si>
  <si>
    <t>Expenses</t>
  </si>
  <si>
    <t>Cash Flow Forecast</t>
  </si>
  <si>
    <t>Total Income</t>
  </si>
  <si>
    <t>Total Expenses</t>
  </si>
  <si>
    <t>Production Cost</t>
  </si>
  <si>
    <t>Delivery Cost</t>
  </si>
  <si>
    <t>Closing Balance</t>
  </si>
  <si>
    <t>Loan Period (months)</t>
  </si>
  <si>
    <t>Loan Interest Rate</t>
  </si>
  <si>
    <t>Starting Cash Balance</t>
  </si>
  <si>
    <t>Operations</t>
  </si>
  <si>
    <t xml:space="preserve">     Gigastuff (D)</t>
  </si>
  <si>
    <t xml:space="preserve">     Hyperwotsit (B)</t>
  </si>
  <si>
    <t xml:space="preserve">     Superwossname (E)</t>
  </si>
  <si>
    <t xml:space="preserve">     Government Grant</t>
  </si>
  <si>
    <t xml:space="preserve">     Loan Taken</t>
  </si>
  <si>
    <t xml:space="preserve">     Advertising</t>
  </si>
  <si>
    <t xml:space="preserve">     Loan Repayment</t>
  </si>
  <si>
    <t>Retail Price</t>
  </si>
  <si>
    <t>Cost Price</t>
  </si>
  <si>
    <t>Profit Margin</t>
  </si>
  <si>
    <t>Profit</t>
  </si>
  <si>
    <t>Based on the cash flow forecast, the new facility is not financially viable due to the following reasons:</t>
  </si>
  <si>
    <t xml:space="preserve"> - The starting cash balance is gradually decreasing every month which indicates that MegaWidget International is utilizing its funds. However, the closing balance is consistently declining which shows that the Company is not generating enough income to cover its expenses as well as maintain/increase its cash reserves.</t>
  </si>
  <si>
    <t>Financial viability of the new facility</t>
  </si>
  <si>
    <t xml:space="preserve"> - The total income for all of the months (except October) is less than the total expenses which are consistently increasing leading to a decrease in cash reserves.</t>
  </si>
  <si>
    <t xml:space="preserve"> - MegaWidget International took a significant loan which may lead to financial strain in the long term.</t>
  </si>
  <si>
    <t>Proposed</t>
  </si>
  <si>
    <t>In order to make the project worthwhile, the following options are assessed:</t>
  </si>
  <si>
    <t>As per the above cash flow forecast, enhancing the loan term from 10 to 25 years makes a minor difference in the cash flows. The cash balance is consistently decreasing and the total income of most of the months is still less than the total expenses. Therefore, this is not a feasible option.</t>
  </si>
  <si>
    <t>Option A: Enhancing the Business Loan Term to 25 years</t>
  </si>
  <si>
    <t>Option B: Enhancing the Price by 10%</t>
  </si>
  <si>
    <t>As per the above cash flow forecast, enhancing the retail price by 10% will have a significant positive impact on the total sales thereby, increasing the cash flows. Therefore, this is a feasible option for the Company and can make the project worthwhile.</t>
  </si>
  <si>
    <t>Price Enhancement (10%)</t>
  </si>
  <si>
    <t xml:space="preserve">Flat-Rate Delivery Charge </t>
  </si>
  <si>
    <t>Flat-Rate Delivery Charge: £14.95 per order</t>
  </si>
  <si>
    <t>Previous delivery cost</t>
  </si>
  <si>
    <t>Revised delivery cost</t>
  </si>
  <si>
    <t>Change Impact</t>
  </si>
  <si>
    <t>As per the above cash flow forecast, introducing a flat rate delivery charge of £14.95 per order will benefit the Company as it reduces the total delivery cost by £6,007.90 and increases the overall cash flow. The Company should go ahead with this option.</t>
  </si>
  <si>
    <t>Discount Scheme</t>
  </si>
  <si>
    <t>Discount</t>
  </si>
  <si>
    <t>Discounted Price</t>
  </si>
  <si>
    <t>Closing Balance w/o Discount Scheme</t>
  </si>
  <si>
    <t>Difference</t>
  </si>
  <si>
    <t>As per the above cash flow forecast, the discount scheme will negatively affect the Company's profits as the closing balance decreases with the discount scheme implemented. Therefore, the Company should not implement the discount.</t>
  </si>
  <si>
    <r>
      <rPr>
        <b/>
        <u/>
        <sz val="11"/>
        <color rgb="FF3B3D42"/>
        <rFont val="Calibri"/>
        <family val="2"/>
      </rPr>
      <t>Note:</t>
    </r>
    <r>
      <rPr>
        <sz val="11"/>
        <color rgb="FF3B3D42"/>
        <rFont val="Calibri"/>
        <family val="2"/>
      </rPr>
      <t xml:space="preserve"> </t>
    </r>
    <r>
      <rPr>
        <i/>
        <sz val="11"/>
        <color rgb="FF3B3D42"/>
        <rFont val="Calibri"/>
        <family val="2"/>
      </rPr>
      <t>Orders above 20 cases, 3% discount, orders above 50 cases, 5% discount and orders above 100 cases, 7% discount.</t>
    </r>
  </si>
  <si>
    <t>5% Increase in Sales</t>
  </si>
  <si>
    <t>Sales Enhancement (5%)</t>
  </si>
  <si>
    <t>Closing Balance with 2022 sales</t>
  </si>
  <si>
    <t>As per the above cash flow forecast, the 5% increase in monthly sales will reduce the Company's profits as well as the cash flows. Therefore, the Company should not go ahead with this option.</t>
  </si>
  <si>
    <t>Random Number</t>
  </si>
  <si>
    <t>Cumulative</t>
  </si>
  <si>
    <t>Effect (%)</t>
  </si>
  <si>
    <t>No Sales</t>
  </si>
  <si>
    <t>Sales Stable</t>
  </si>
  <si>
    <t>+10%</t>
  </si>
  <si>
    <t>+25%</t>
  </si>
  <si>
    <t>+50%</t>
  </si>
  <si>
    <t>+75%</t>
  </si>
  <si>
    <t>+90%</t>
  </si>
  <si>
    <t>Double sales</t>
  </si>
  <si>
    <t>Monte Carlo Simulation</t>
  </si>
  <si>
    <t>Standard Deviation</t>
  </si>
  <si>
    <t>Percent</t>
  </si>
  <si>
    <t>Loan Repayment</t>
  </si>
  <si>
    <t>Growth/Fall</t>
  </si>
  <si>
    <t>New Value</t>
  </si>
  <si>
    <t>Mean</t>
  </si>
  <si>
    <t>Cash Flow</t>
  </si>
  <si>
    <t>Minimum</t>
  </si>
  <si>
    <t>Maximum</t>
  </si>
  <si>
    <t>% Change</t>
  </si>
  <si>
    <t>Cash Flow Statistics</t>
  </si>
  <si>
    <t>Simulation</t>
  </si>
  <si>
    <t>Average</t>
  </si>
  <si>
    <t>Effect on Cash Flow</t>
  </si>
  <si>
    <t>Probability Table</t>
  </si>
  <si>
    <t>(All)</t>
  </si>
  <si>
    <t>DASHBOARD</t>
  </si>
  <si>
    <t>Average Production Cost</t>
  </si>
  <si>
    <t xml:space="preserve">     Advertising and Promotion</t>
  </si>
  <si>
    <t>Advertising and Promotion</t>
  </si>
  <si>
    <t>Government Grant</t>
  </si>
  <si>
    <t>Loan Details</t>
  </si>
  <si>
    <t>Amount</t>
  </si>
  <si>
    <t>Period (months)</t>
  </si>
  <si>
    <t xml:space="preserve">Monthly Repayment </t>
  </si>
  <si>
    <t>Delivery Details</t>
  </si>
  <si>
    <t>Average Cost</t>
  </si>
  <si>
    <t>Cost per Case</t>
  </si>
  <si>
    <t>Lump sum</t>
  </si>
  <si>
    <t>Monthly</t>
  </si>
  <si>
    <t>TOTAL
INCOME</t>
  </si>
  <si>
    <t>TOTAL
EXPENSES</t>
  </si>
  <si>
    <t>AVERAGE
INCOME</t>
  </si>
  <si>
    <t>AVERAGE
EXPENSES</t>
  </si>
  <si>
    <t>CLOSING
BALANCE</t>
  </si>
  <si>
    <r>
      <t xml:space="preserve">TOTAL SALES 
</t>
    </r>
    <r>
      <rPr>
        <i/>
        <sz val="8"/>
        <color theme="4"/>
        <rFont val="Aptos Display"/>
        <family val="2"/>
        <scheme val="major"/>
      </rPr>
      <t>(2020 - 2022)</t>
    </r>
  </si>
  <si>
    <t>Test Plan</t>
  </si>
  <si>
    <t xml:space="preserve">Test </t>
  </si>
  <si>
    <t>Objective</t>
  </si>
  <si>
    <t>Steps</t>
  </si>
  <si>
    <t>Expected Result</t>
  </si>
  <si>
    <t>Actual Result</t>
  </si>
  <si>
    <t>Data Cleaning</t>
  </si>
  <si>
    <t>To ensure that the visual basic codes successfully run and clean the dataset according to criteria specified criteria</t>
  </si>
  <si>
    <t>The dataset should be cleaned according to the specified criteria</t>
  </si>
  <si>
    <t>After executing the VBA codes, the dataset is cleaned as per the specified criteria</t>
  </si>
  <si>
    <t>Pass/Fail</t>
  </si>
  <si>
    <t>Pass</t>
  </si>
  <si>
    <t>1. Execute the VBA codes to clean the dataset
2. Check that the date column with missing values is deleted
3. Check that the blank fields and rows and cells containing zero values are deleted
4. Check that double, leading and trailing spaces are removed from all rows
5. Check that the abbreviations in the street column are converted into full forms
6. Check that the values in the gender column are corrected
7. Check that the entries in the "First Name", "Last Name", "Street" and "Town" columns are converted into proper case
8. Check all duplicate rows are deleted</t>
  </si>
  <si>
    <t>Pivot Table - Sales by Month and Year</t>
  </si>
  <si>
    <t>To ensure that the pivot table accurately summarizes sales data by month and year for products B, D and E</t>
  </si>
  <si>
    <t>The pivot table should accurately summarize sales data by month and year for products B, D and E</t>
  </si>
  <si>
    <t>1. Check that the pivot table displays the sales for the product codes B, D and E 
2. Check that the pivot table includes sales for all months and years present in the dataset
3. Check that the pivot table calculates the sales and overall totals accurately</t>
  </si>
  <si>
    <t>After creating the pivot table, the sales values match the corresponding values in the dataset for each month and year</t>
  </si>
  <si>
    <t>Macro Button Functionality</t>
  </si>
  <si>
    <t>To ensure that the macro buttons labeled "Go to Cash Flow Forecast," "Go to Monthly and Yearly Sales," "Go to Regional Sales," and "Go to Monte Carlo Simulation" on the dashboard sheet correctly function</t>
  </si>
  <si>
    <t>1. Click on each macro button
 - For "Go to Cash Flow Forecast" button, check that the user is taken to the Cash Flow Forecast sheet
 - For "Go to Monthly and Yearly Sales" button, check that the user is taken to the Sales by Month and Year sheet 
 - For "Go to Regional Sales" button, check that the user is taken to the Sales by Region sheet 
 - For "Go to Monte Carlo Simulation" button, check that the user is taken to the Monte Carlo Simulation sheet
2. Ensure that each button is functioning smoothly without any errors or delays in navigation
3. Ensure that clicking the buttons does not lead to incorrect sheets</t>
  </si>
  <si>
    <t>After clicking on each button, the user is directed to the correct sheet without encountering any errors</t>
  </si>
  <si>
    <t>Clicking on each button should take the user to the corresponding sheet</t>
  </si>
  <si>
    <t>Number of Cases (Range)</t>
  </si>
  <si>
    <t>Actual</t>
  </si>
  <si>
    <t>This financial worksheet has been designed for MegaWidget International to facilitate informed financial decision-making. It encompasses a comprehensive dashboard, cash flow forecast, future projections and various scenarios to evaluate the potential impact of adjustments across various components.</t>
  </si>
  <si>
    <t>Dashboard</t>
  </si>
  <si>
    <t>Sales by Month, Year and Region</t>
  </si>
  <si>
    <t>The Sales by Month and Year Sales by Region tabs contain pivot tables that provide detailed insights into MegaWidget International's sales performance. The Sales by Month and Year table focuses on the sales of products B, D, and E from 2020 to 2022 across all months. The Sales by Region table gives a breakdown of sales for the same period, categorizing them by postal code areas; WC, WS, HS and CW</t>
  </si>
  <si>
    <t>The Cash Flow Forecast sheet gives an overview of the projected inflows and outflows for MegaWidget International's plan to build a new facility to manufacture more products. It includes detailed income and expense breakdowns taking into account sales figures for Gigastuff (D), Hyperwotsit (B), Superwossname (E), government grants, loan amounts, advertising, loan repayments, production costs and delivery costs as well as starting and closing cash balances. An interactive button is present on the top right of the sheet that allows for the updating of parameters such as loan period, interest rate, profit margin and delivery cost to simulate different scenarios and assess their impact on the cash flow</t>
  </si>
  <si>
    <t>Proposed Options</t>
  </si>
  <si>
    <t>Cash Flow Flat Rate Delivery</t>
  </si>
  <si>
    <t>In the Cash Flow Flat Rate Delivery tab, a flat-rate delivery charge of £14.95 per order has been applied. The results show that implementing the flat-rate will be advantageous for the Company as it reduces the delivery cost leading to an overall improvement in cash flow. Therefore, MegaWidget International should proceed with this option</t>
  </si>
  <si>
    <t>Cash Flow Discount Scheme</t>
  </si>
  <si>
    <t>In the Cash Flow Discount Scheme tab, discount schemes have been introduced for orders exceeding certain levels. 3% discount for orders above 20 cases, 5% for orders above 50 cases and 7% for orders above 100 cases. On assessing the cash flow, the discount scheme is projected to adversely affect the Company's cash flows. It is therefore, recommended not to proceed with the implementation of the discount scheme</t>
  </si>
  <si>
    <t>Cash Flow Sales Increase</t>
  </si>
  <si>
    <t>The Cash Flow Sales Increase sheet shows that by increasing sales by 5% each month, the Company's profits and monthly cash flows decline according to the cash flow forecast. Therefore, it is advisable for the Company not to proceed with this option.</t>
  </si>
  <si>
    <t>In the Monte Carlo Simulation sheet average income and expenses were considered as benchmarks to calculate projected cash flows. Based on the simulations, in the best-case scenario, MegaWidget International will double its cash flows, whereas in the worst-case scenario, it can encounter negative cash flows</t>
  </si>
  <si>
    <t>The above simulation has been done by taking the average income and expenses, generating a random number between 0 and 100 and then calculating the percentage by which these numbers would increase or decrease. Projected cash flows are calculated by subtracting the expenses from the income. Based on the results of 1,000 simulations, the average cash flows would be approximately, £710,000 with the maximum cash flow being approximately £1,600,000 and the minimum being approximately -£230,000 which means that in the best case scenario the Company will double its cash flows and in the worst case scenario the Company will have to deal with negative cash flows.</t>
  </si>
  <si>
    <t>MEGAWIDGET INTERNATIONAL</t>
  </si>
  <si>
    <t>BRIEF SUMMARY</t>
  </si>
  <si>
    <t>WORKBOOK INSTRUCTIONS</t>
  </si>
  <si>
    <r>
      <rPr>
        <b/>
        <sz val="12"/>
        <color theme="0"/>
        <rFont val="Calibri"/>
        <family val="2"/>
      </rPr>
      <t>Step 2: Inputting and Analyzing Data</t>
    </r>
    <r>
      <rPr>
        <sz val="11"/>
        <color theme="0"/>
        <rFont val="Calibri"/>
        <family val="2"/>
      </rPr>
      <t xml:space="preserve"> - You can input relevant data to assess the impact on the Company's finances to identify trends and patterns enabling the analysis of potential scenarios</t>
    </r>
  </si>
  <si>
    <r>
      <rPr>
        <b/>
        <sz val="12"/>
        <color theme="0"/>
        <rFont val="Calibri"/>
        <family val="2"/>
      </rPr>
      <t>Step 3: Interpreting Results and making Decisions</t>
    </r>
    <r>
      <rPr>
        <b/>
        <sz val="11"/>
        <color theme="0"/>
        <rFont val="Calibri"/>
        <family val="2"/>
      </rPr>
      <t xml:space="preserve"> </t>
    </r>
    <r>
      <rPr>
        <sz val="11"/>
        <color theme="0"/>
        <rFont val="Calibri"/>
        <family val="2"/>
      </rPr>
      <t>- After going through the workbook, interpret the results by looking for strengths, weaknesses, risks and opportunities. Based on the insights, you will be better equipped to make strategic decisions for MegaWidget International.</t>
    </r>
  </si>
  <si>
    <t>TAB DESCRIPTIONS</t>
  </si>
  <si>
    <t>Supplier of precision metal components</t>
  </si>
  <si>
    <t>User Form</t>
  </si>
  <si>
    <t>To ensure the functionality and integration of the user form for modifying parameters with the Cash Flow Forecast sheet</t>
  </si>
  <si>
    <t>1. Click on "Click to update values" button on the Cash Flow Forecast sheet
2. Check that the user form opens correctly without any errors
3. Ensure that the form contains the following input fields: Loan Period, Loan Interest Rate, Profit Margin and Delivery Cost
4. Check if the input fields are initially empty
5. Enter the new values in the input fields
6. Ensure that the entered values are displayed correctly
7. Click on the "Save" button to save the changes
8. Check that the form closes properly without any errors
9. Check that that the changes made in the form are saved and reflected in the Cash Flow Forecast sheet
10. Check that the values are updated in the Reference sheet</t>
  </si>
  <si>
    <t>1. The user form should open without any errors and display input fields
2. Input fields should allow entering values
1. The form should close properly without any errors after saving the changes
2. The changes made in the form should be accurately reflected in the Cash Flow Forecast sheet</t>
  </si>
  <si>
    <t>After clicking on the form, the form opens without any error, values can be changed in the fields and upon clicking the save button the changes are accurately reflected in the Cash Flow Forecast sheet</t>
  </si>
  <si>
    <r>
      <rPr>
        <b/>
        <sz val="12"/>
        <color theme="0"/>
        <rFont val="Calibri"/>
        <family val="2"/>
      </rPr>
      <t>Step 1: Understanding Sections</t>
    </r>
    <r>
      <rPr>
        <sz val="11"/>
        <color theme="0"/>
        <rFont val="Calibri"/>
        <family val="2"/>
      </rPr>
      <t xml:space="preserve"> - There are different sections inside this workbook and each serves a specific purpose to aid your financial analysis. The dashboard offers a summarised view of the entire workbook, followed by monthly, yearly and regional sales. Additionally, there is a detailed cash flow forecast, various scenarios for analysis and future projections present in the workbook.</t>
    </r>
  </si>
  <si>
    <t>The Dashboard tab provides a detailed summary of MegaWidget International's financial performance and key performance indicators. It includes total sales from 2020 to 2022, 2022 figures related to income, expenses, closing balance, production and delivery costs, loan details and government grant. The graphs illustrate sales trends by month, year and region, cash flow forecast and cash flow projections and the slicer feature present in the sheet enables the user to adjust sales charts based on regional data. Additionally, interactive buttons are added to aid in navigation to different sheets in the workbook</t>
  </si>
  <si>
    <t>The Proposed Options sheet analyzes the financial viability of MegaWidget International's new facility based on the cash flow forecast present in the previous sheet. As per the forecast, the cash flows are consistently declining, income is inadequate to cover expenses and the Company has taken a significant loan. Two potential options are evaluated: A) Extending the loan term. This option shows minimal improvement B) Increasing retail prices. this option shows a significant positive impact on sales and cash flows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</si>
</sst>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quot;£&quot;#,##0.00"/>
  </numFmts>
  <fonts count="35" x14ac:knownFonts="1">
    <font>
      <sz val="11"/>
      <color theme="1"/>
      <name val="Aptos Narrow"/>
      <family val="2"/>
      <scheme val="minor"/>
    </font>
    <font>
      <sz val="11"/>
      <color theme="1"/>
      <name val="Aptos Narrow"/>
      <family val="2"/>
      <scheme val="minor"/>
    </font>
    <font>
      <i/>
      <u/>
      <sz val="11"/>
      <color theme="1"/>
      <name val="Calibri"/>
      <family val="2"/>
    </font>
    <font>
      <sz val="11"/>
      <color theme="1"/>
      <name val="Calibri"/>
      <family val="2"/>
    </font>
    <font>
      <b/>
      <u/>
      <sz val="11"/>
      <color theme="1"/>
      <name val="Calibri"/>
      <family val="2"/>
    </font>
    <font>
      <i/>
      <sz val="11"/>
      <color theme="1"/>
      <name val="Calibri"/>
      <family val="2"/>
    </font>
    <font>
      <b/>
      <i/>
      <sz val="11"/>
      <color theme="1"/>
      <name val="Calibri"/>
      <family val="2"/>
    </font>
    <font>
      <b/>
      <sz val="11"/>
      <color theme="1"/>
      <name val="Calibri"/>
      <family val="2"/>
    </font>
    <font>
      <sz val="8"/>
      <name val="Aptos Narrow"/>
      <family val="2"/>
      <scheme val="minor"/>
    </font>
    <font>
      <b/>
      <u/>
      <sz val="15"/>
      <color theme="1"/>
      <name val="Calibri"/>
      <family val="2"/>
    </font>
    <font>
      <b/>
      <u/>
      <sz val="12"/>
      <color theme="1"/>
      <name val="Calibri"/>
      <family val="2"/>
    </font>
    <font>
      <u/>
      <sz val="11"/>
      <color rgb="FF3B3D42"/>
      <name val="Calibri"/>
      <family val="2"/>
    </font>
    <font>
      <sz val="11"/>
      <color rgb="FF3B3D42"/>
      <name val="Calibri"/>
      <family val="2"/>
    </font>
    <font>
      <i/>
      <sz val="11"/>
      <color rgb="FF3B3D42"/>
      <name val="Calibri"/>
      <family val="2"/>
    </font>
    <font>
      <b/>
      <u/>
      <sz val="11"/>
      <color rgb="FF3B3D42"/>
      <name val="Calibri"/>
      <family val="2"/>
    </font>
    <font>
      <b/>
      <sz val="11"/>
      <color theme="0"/>
      <name val="Calibri"/>
      <family val="2"/>
    </font>
    <font>
      <b/>
      <u/>
      <sz val="20"/>
      <color theme="1"/>
      <name val="Aptos Display"/>
      <family val="2"/>
      <scheme val="major"/>
    </font>
    <font>
      <sz val="11"/>
      <color theme="1"/>
      <name val="Aptos Display"/>
      <family val="2"/>
      <scheme val="major"/>
    </font>
    <font>
      <sz val="11"/>
      <color theme="0"/>
      <name val="Aptos Display"/>
      <family val="2"/>
      <scheme val="major"/>
    </font>
    <font>
      <b/>
      <sz val="11"/>
      <color theme="0"/>
      <name val="Aptos Display"/>
      <family val="2"/>
      <scheme val="major"/>
    </font>
    <font>
      <i/>
      <sz val="8"/>
      <color theme="4"/>
      <name val="Aptos Display"/>
      <family val="2"/>
      <scheme val="major"/>
    </font>
    <font>
      <sz val="12"/>
      <color theme="4"/>
      <name val="Aptos Display"/>
      <family val="2"/>
      <scheme val="major"/>
    </font>
    <font>
      <u/>
      <sz val="20"/>
      <color theme="4"/>
      <name val="Aptos Display"/>
      <family val="2"/>
      <scheme val="major"/>
    </font>
    <font>
      <b/>
      <sz val="12"/>
      <color theme="0"/>
      <name val="Aptos Display"/>
      <family val="2"/>
      <scheme val="major"/>
    </font>
    <font>
      <sz val="15"/>
      <color theme="4"/>
      <name val="Aptos Display"/>
      <family val="2"/>
      <scheme val="major"/>
    </font>
    <font>
      <sz val="10"/>
      <color rgb="FF0D0D0D"/>
      <name val="Calibri"/>
      <family val="2"/>
    </font>
    <font>
      <sz val="11"/>
      <color theme="0"/>
      <name val="Calibri"/>
      <family val="2"/>
    </font>
    <font>
      <i/>
      <sz val="11"/>
      <color theme="0"/>
      <name val="Calibri"/>
      <family val="2"/>
    </font>
    <font>
      <b/>
      <i/>
      <sz val="11"/>
      <color theme="0"/>
      <name val="Calibri"/>
      <family val="2"/>
    </font>
    <font>
      <sz val="11"/>
      <color rgb="FF000080"/>
      <name val="Aptos Narrow"/>
      <family val="2"/>
    </font>
    <font>
      <sz val="11"/>
      <color rgb="FF000000"/>
      <name val="Calibri"/>
      <family val="2"/>
    </font>
    <font>
      <b/>
      <sz val="12"/>
      <color theme="0"/>
      <name val="Calibri"/>
      <family val="2"/>
    </font>
    <font>
      <i/>
      <sz val="10"/>
      <color theme="1"/>
      <name val="Calibri"/>
      <family val="2"/>
    </font>
    <font>
      <b/>
      <sz val="18"/>
      <color theme="3" tint="9.9978637043366805E-2"/>
      <name val="Calibri"/>
      <family val="2"/>
    </font>
    <font>
      <b/>
      <sz val="12"/>
      <color theme="3" tint="9.9978637043366805E-2"/>
      <name val="Calibri"/>
      <family val="2"/>
    </font>
  </fonts>
  <fills count="1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4"/>
        <bgColor indexed="64"/>
      </patternFill>
    </fill>
    <fill>
      <patternFill patternType="solid">
        <fgColor rgb="FFCCFFFF"/>
        <bgColor indexed="64"/>
      </patternFill>
    </fill>
    <fill>
      <patternFill patternType="solid">
        <fgColor theme="3" tint="0.89999084444715716"/>
        <bgColor indexed="64"/>
      </patternFill>
    </fill>
    <fill>
      <patternFill patternType="solid">
        <fgColor theme="3" tint="0.49998474074526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bgColor indexed="64"/>
      </patternFill>
    </fill>
    <fill>
      <patternFill patternType="solid">
        <fgColor theme="2"/>
        <bgColor indexed="64"/>
      </patternFill>
    </fill>
    <fill>
      <patternFill patternType="solid">
        <fgColor theme="0" tint="-0.14999847407452621"/>
        <bgColor theme="7" tint="0.79998168889431442"/>
      </patternFill>
    </fill>
  </fills>
  <borders count="6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
      <left style="medium">
        <color theme="4"/>
      </left>
      <right/>
      <top/>
      <bottom/>
      <diagonal/>
    </border>
    <border>
      <left style="medium">
        <color theme="4"/>
      </left>
      <right/>
      <top style="dashed">
        <color theme="4"/>
      </top>
      <bottom/>
      <diagonal/>
    </border>
    <border>
      <left style="medium">
        <color theme="4"/>
      </left>
      <right/>
      <top/>
      <bottom style="dashed">
        <color theme="4"/>
      </bottom>
      <diagonal/>
    </border>
    <border>
      <left style="dashed">
        <color theme="4"/>
      </left>
      <right/>
      <top/>
      <bottom/>
      <diagonal/>
    </border>
    <border>
      <left/>
      <right/>
      <top style="dashed">
        <color theme="4"/>
      </top>
      <bottom style="dashed">
        <color theme="4"/>
      </bottom>
      <diagonal/>
    </border>
    <border>
      <left/>
      <right style="dashed">
        <color theme="4"/>
      </right>
      <top/>
      <bottom style="dashed">
        <color theme="4"/>
      </bottom>
      <diagonal/>
    </border>
    <border>
      <left/>
      <right style="dashed">
        <color theme="4"/>
      </right>
      <top style="dashed">
        <color theme="4"/>
      </top>
      <bottom/>
      <diagonal/>
    </border>
    <border>
      <left/>
      <right style="dashed">
        <color theme="4"/>
      </right>
      <top/>
      <bottom/>
      <diagonal/>
    </border>
    <border>
      <left style="dashed">
        <color theme="4"/>
      </left>
      <right/>
      <top style="medium">
        <color theme="4"/>
      </top>
      <bottom/>
      <diagonal/>
    </border>
    <border>
      <left style="dashed">
        <color theme="4"/>
      </left>
      <right/>
      <top/>
      <bottom style="medium">
        <color theme="4"/>
      </bottom>
      <diagonal/>
    </border>
    <border>
      <left style="dashed">
        <color theme="4"/>
      </left>
      <right style="dashed">
        <color theme="4"/>
      </right>
      <top style="medium">
        <color theme="4"/>
      </top>
      <bottom/>
      <diagonal/>
    </border>
    <border>
      <left style="dashed">
        <color theme="4"/>
      </left>
      <right style="dashed">
        <color theme="4"/>
      </right>
      <top/>
      <bottom style="medium">
        <color theme="4"/>
      </bottom>
      <diagonal/>
    </border>
    <border>
      <left/>
      <right/>
      <top/>
      <bottom style="dashed">
        <color theme="4"/>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theme="1"/>
      </left>
      <right/>
      <top style="thin">
        <color theme="1"/>
      </top>
      <bottom/>
      <diagonal/>
    </border>
    <border>
      <left/>
      <right style="thin">
        <color theme="1"/>
      </right>
      <top style="thin">
        <color theme="1"/>
      </top>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thin">
        <color theme="1"/>
      </left>
      <right style="thin">
        <color theme="1"/>
      </right>
      <top style="thin">
        <color theme="1"/>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95">
    <xf numFmtId="0" fontId="0" fillId="0" borderId="0" xfId="0"/>
    <xf numFmtId="1" fontId="2" fillId="0" borderId="0" xfId="0" applyNumberFormat="1" applyFont="1"/>
    <xf numFmtId="0" fontId="3" fillId="0" borderId="0" xfId="0" applyFont="1"/>
    <xf numFmtId="22" fontId="3" fillId="0" borderId="0" xfId="0" applyNumberFormat="1" applyFont="1"/>
    <xf numFmtId="164" fontId="3" fillId="0" borderId="0" xfId="1" applyNumberFormat="1" applyFont="1"/>
    <xf numFmtId="1" fontId="3" fillId="0" borderId="0" xfId="0" applyNumberFormat="1" applyFont="1"/>
    <xf numFmtId="44" fontId="3" fillId="0" borderId="0" xfId="0" applyNumberFormat="1" applyFont="1"/>
    <xf numFmtId="0" fontId="3" fillId="0" borderId="0" xfId="0" applyFont="1" applyAlignment="1">
      <alignment horizontal="right"/>
    </xf>
    <xf numFmtId="0" fontId="3" fillId="0" borderId="1" xfId="0" applyFont="1" applyBorder="1" applyAlignment="1">
      <alignment horizontal="left" indent="1"/>
    </xf>
    <xf numFmtId="44" fontId="3" fillId="0" borderId="1" xfId="0" applyNumberFormat="1" applyFont="1" applyBorder="1"/>
    <xf numFmtId="0" fontId="4" fillId="0" borderId="0" xfId="0" applyFont="1"/>
    <xf numFmtId="0" fontId="3" fillId="0" borderId="1" xfId="0" applyFont="1" applyBorder="1"/>
    <xf numFmtId="0" fontId="10" fillId="0" borderId="0" xfId="0" applyFont="1" applyAlignment="1">
      <alignment horizontal="center"/>
    </xf>
    <xf numFmtId="0" fontId="4" fillId="0" borderId="0" xfId="0" applyFont="1" applyAlignment="1">
      <alignment horizontal="center"/>
    </xf>
    <xf numFmtId="0" fontId="11" fillId="0" borderId="0" xfId="0" applyFont="1"/>
    <xf numFmtId="0" fontId="3" fillId="0" borderId="0" xfId="0" applyFont="1" applyAlignment="1">
      <alignment vertical="center" wrapText="1"/>
    </xf>
    <xf numFmtId="9" fontId="3" fillId="0" borderId="0" xfId="2" applyFont="1" applyBorder="1"/>
    <xf numFmtId="0" fontId="3" fillId="0" borderId="0" xfId="0" applyFont="1" applyAlignment="1">
      <alignment horizontal="center"/>
    </xf>
    <xf numFmtId="9" fontId="3" fillId="0" borderId="1" xfId="2" applyFont="1" applyBorder="1"/>
    <xf numFmtId="3" fontId="3" fillId="0" borderId="1" xfId="0" applyNumberFormat="1" applyFont="1" applyBorder="1"/>
    <xf numFmtId="2" fontId="3" fillId="0" borderId="1" xfId="0" applyNumberFormat="1" applyFont="1" applyBorder="1" applyAlignment="1">
      <alignment horizontal="left"/>
    </xf>
    <xf numFmtId="0" fontId="3" fillId="0" borderId="1" xfId="0" pivotButton="1" applyFont="1" applyBorder="1"/>
    <xf numFmtId="0" fontId="16" fillId="0" borderId="0" xfId="0" applyFont="1"/>
    <xf numFmtId="0" fontId="17" fillId="0" borderId="0" xfId="0" applyFont="1"/>
    <xf numFmtId="44" fontId="17" fillId="0" borderId="0" xfId="0" applyNumberFormat="1" applyFont="1"/>
    <xf numFmtId="0" fontId="17" fillId="0" borderId="33" xfId="0" applyFont="1" applyBorder="1"/>
    <xf numFmtId="0" fontId="19" fillId="4" borderId="30" xfId="0" applyFont="1" applyFill="1" applyBorder="1"/>
    <xf numFmtId="0" fontId="19" fillId="4" borderId="31" xfId="0" applyFont="1" applyFill="1" applyBorder="1"/>
    <xf numFmtId="0" fontId="19" fillId="4" borderId="36" xfId="0" applyFont="1" applyFill="1" applyBorder="1"/>
    <xf numFmtId="165" fontId="19" fillId="4" borderId="34" xfId="0" applyNumberFormat="1" applyFont="1" applyFill="1" applyBorder="1"/>
    <xf numFmtId="165" fontId="18" fillId="4" borderId="30" xfId="0" applyNumberFormat="1" applyFont="1" applyFill="1" applyBorder="1"/>
    <xf numFmtId="165" fontId="18" fillId="4" borderId="37" xfId="0" applyNumberFormat="1" applyFont="1" applyFill="1" applyBorder="1"/>
    <xf numFmtId="165" fontId="19" fillId="4" borderId="30" xfId="0" applyNumberFormat="1" applyFont="1" applyFill="1" applyBorder="1"/>
    <xf numFmtId="165" fontId="19" fillId="4" borderId="37" xfId="0" applyNumberFormat="1" applyFont="1" applyFill="1" applyBorder="1"/>
    <xf numFmtId="165" fontId="19" fillId="4" borderId="36" xfId="0" applyNumberFormat="1" applyFont="1" applyFill="1" applyBorder="1"/>
    <xf numFmtId="165" fontId="19" fillId="4" borderId="32" xfId="0" applyNumberFormat="1" applyFont="1" applyFill="1" applyBorder="1"/>
    <xf numFmtId="165" fontId="19" fillId="4" borderId="35" xfId="0" applyNumberFormat="1" applyFont="1" applyFill="1" applyBorder="1"/>
    <xf numFmtId="165" fontId="18" fillId="4" borderId="32" xfId="0" applyNumberFormat="1" applyFont="1" applyFill="1" applyBorder="1"/>
    <xf numFmtId="165" fontId="18" fillId="4" borderId="35" xfId="0" applyNumberFormat="1" applyFont="1" applyFill="1" applyBorder="1"/>
    <xf numFmtId="0" fontId="17" fillId="0" borderId="42" xfId="0" applyFont="1" applyBorder="1"/>
    <xf numFmtId="0" fontId="25" fillId="0" borderId="0" xfId="0" applyFont="1" applyAlignment="1">
      <alignment horizontal="left" vertical="center" indent="1"/>
    </xf>
    <xf numFmtId="0" fontId="25" fillId="0" borderId="0" xfId="0" applyFont="1" applyAlignment="1">
      <alignment horizontal="left" vertical="center" indent="2"/>
    </xf>
    <xf numFmtId="0" fontId="3" fillId="0" borderId="43" xfId="0" applyFont="1" applyBorder="1" applyAlignment="1">
      <alignment vertical="center"/>
    </xf>
    <xf numFmtId="0" fontId="3" fillId="0" borderId="43" xfId="0" applyFont="1" applyBorder="1" applyAlignment="1">
      <alignment vertical="center" wrapText="1"/>
    </xf>
    <xf numFmtId="0" fontId="3" fillId="0" borderId="44" xfId="0" applyFont="1" applyBorder="1" applyAlignment="1">
      <alignment vertical="center"/>
    </xf>
    <xf numFmtId="0" fontId="3" fillId="0" borderId="45" xfId="0" applyFont="1" applyBorder="1" applyAlignment="1">
      <alignment vertical="center"/>
    </xf>
    <xf numFmtId="0" fontId="3" fillId="0" borderId="46" xfId="0" applyFont="1" applyBorder="1"/>
    <xf numFmtId="0" fontId="3" fillId="0" borderId="47" xfId="0" applyFont="1" applyBorder="1"/>
    <xf numFmtId="0" fontId="3" fillId="0" borderId="48" xfId="0" applyFont="1" applyBorder="1"/>
    <xf numFmtId="0" fontId="4" fillId="0" borderId="0" xfId="0" applyFont="1" applyProtection="1">
      <protection locked="0"/>
    </xf>
    <xf numFmtId="0" fontId="3" fillId="0" borderId="0" xfId="0" applyFont="1" applyProtection="1">
      <protection locked="0"/>
    </xf>
    <xf numFmtId="0" fontId="7" fillId="0" borderId="2" xfId="0" applyFont="1" applyBorder="1" applyAlignment="1" applyProtection="1">
      <alignment vertical="center" wrapText="1"/>
      <protection locked="0"/>
    </xf>
    <xf numFmtId="0" fontId="7" fillId="0" borderId="3" xfId="0" applyFont="1" applyBorder="1" applyAlignment="1" applyProtection="1">
      <alignment vertical="center" wrapText="1"/>
      <protection locked="0"/>
    </xf>
    <xf numFmtId="0" fontId="7" fillId="0" borderId="4" xfId="0" applyFont="1" applyBorder="1" applyAlignment="1" applyProtection="1">
      <alignment vertical="center" wrapText="1"/>
      <protection locked="0"/>
    </xf>
    <xf numFmtId="0" fontId="3" fillId="0" borderId="5" xfId="0" applyFont="1" applyBorder="1" applyAlignment="1" applyProtection="1">
      <alignment vertical="center" wrapText="1"/>
      <protection locked="0"/>
    </xf>
    <xf numFmtId="0" fontId="3" fillId="0" borderId="1" xfId="0" applyFont="1" applyBorder="1" applyAlignment="1" applyProtection="1">
      <alignment vertical="center" wrapText="1"/>
      <protection locked="0"/>
    </xf>
    <xf numFmtId="44" fontId="3" fillId="0" borderId="1" xfId="0" applyNumberFormat="1" applyFont="1" applyBorder="1" applyAlignment="1" applyProtection="1">
      <alignment horizontal="right" vertical="center"/>
      <protection locked="0"/>
    </xf>
    <xf numFmtId="44" fontId="3" fillId="0" borderId="0" xfId="0" applyNumberFormat="1" applyFont="1" applyProtection="1">
      <protection locked="0"/>
    </xf>
    <xf numFmtId="0" fontId="3" fillId="0" borderId="7" xfId="0" applyFont="1" applyBorder="1" applyAlignment="1" applyProtection="1">
      <alignment vertical="center" wrapText="1"/>
      <protection locked="0"/>
    </xf>
    <xf numFmtId="0" fontId="3" fillId="0" borderId="8" xfId="0" applyFont="1" applyBorder="1" applyAlignment="1" applyProtection="1">
      <alignment vertical="center" wrapText="1"/>
      <protection locked="0"/>
    </xf>
    <xf numFmtId="44" fontId="3" fillId="0" borderId="8" xfId="0" applyNumberFormat="1" applyFont="1" applyBorder="1" applyAlignment="1" applyProtection="1">
      <alignment horizontal="right" vertical="center"/>
      <protection locked="0"/>
    </xf>
    <xf numFmtId="0" fontId="3" fillId="0" borderId="1" xfId="0" applyFont="1" applyBorder="1" applyProtection="1">
      <protection locked="0"/>
    </xf>
    <xf numFmtId="10" fontId="3" fillId="0" borderId="1" xfId="0" applyNumberFormat="1" applyFont="1" applyBorder="1" applyProtection="1">
      <protection locked="0"/>
    </xf>
    <xf numFmtId="44" fontId="3" fillId="0" borderId="1" xfId="0" applyNumberFormat="1" applyFont="1" applyBorder="1" applyProtection="1">
      <protection locked="0"/>
    </xf>
    <xf numFmtId="2" fontId="3" fillId="0" borderId="1" xfId="0" applyNumberFormat="1" applyFont="1" applyBorder="1" applyProtection="1">
      <protection locked="0"/>
    </xf>
    <xf numFmtId="0" fontId="3" fillId="0" borderId="1" xfId="0" applyFont="1" applyBorder="1" applyAlignment="1" applyProtection="1">
      <alignment horizontal="left"/>
      <protection locked="0"/>
    </xf>
    <xf numFmtId="9" fontId="3" fillId="0" borderId="1" xfId="0" applyNumberFormat="1" applyFont="1" applyBorder="1" applyAlignment="1" applyProtection="1">
      <alignment horizontal="left"/>
      <protection locked="0"/>
    </xf>
    <xf numFmtId="10" fontId="3" fillId="0" borderId="1" xfId="0" applyNumberFormat="1" applyFont="1" applyBorder="1" applyAlignment="1" applyProtection="1">
      <alignment horizontal="left"/>
      <protection locked="0"/>
    </xf>
    <xf numFmtId="10" fontId="3" fillId="0" borderId="1" xfId="0" applyNumberFormat="1" applyFont="1" applyBorder="1"/>
    <xf numFmtId="0" fontId="26" fillId="7" borderId="1" xfId="0" applyFont="1" applyFill="1" applyBorder="1"/>
    <xf numFmtId="0" fontId="26" fillId="7" borderId="1" xfId="0" applyFont="1" applyFill="1" applyBorder="1" applyAlignment="1">
      <alignment horizontal="center"/>
    </xf>
    <xf numFmtId="1" fontId="27" fillId="7" borderId="1" xfId="0" applyNumberFormat="1" applyFont="1" applyFill="1" applyBorder="1" applyAlignment="1">
      <alignment horizontal="left"/>
    </xf>
    <xf numFmtId="44" fontId="27" fillId="7" borderId="1" xfId="0" applyNumberFormat="1" applyFont="1" applyFill="1" applyBorder="1"/>
    <xf numFmtId="1" fontId="5" fillId="3" borderId="1" xfId="0" applyNumberFormat="1" applyFont="1" applyFill="1" applyBorder="1" applyAlignment="1">
      <alignment horizontal="left"/>
    </xf>
    <xf numFmtId="44" fontId="5" fillId="3" borderId="1" xfId="0" applyNumberFormat="1" applyFont="1" applyFill="1" applyBorder="1"/>
    <xf numFmtId="0" fontId="15" fillId="4" borderId="10" xfId="0" applyFont="1" applyFill="1" applyBorder="1"/>
    <xf numFmtId="0" fontId="15" fillId="4" borderId="11" xfId="0" applyFont="1" applyFill="1" applyBorder="1" applyAlignment="1">
      <alignment horizontal="center"/>
    </xf>
    <xf numFmtId="0" fontId="15" fillId="4" borderId="12" xfId="0" applyFont="1" applyFill="1" applyBorder="1" applyAlignment="1">
      <alignment horizontal="center"/>
    </xf>
    <xf numFmtId="0" fontId="28" fillId="4" borderId="2" xfId="0" applyFont="1" applyFill="1" applyBorder="1"/>
    <xf numFmtId="44" fontId="26" fillId="4" borderId="3" xfId="0" applyNumberFormat="1" applyFont="1" applyFill="1" applyBorder="1"/>
    <xf numFmtId="44" fontId="26" fillId="4" borderId="4" xfId="0" applyNumberFormat="1" applyFont="1" applyFill="1" applyBorder="1"/>
    <xf numFmtId="44" fontId="6" fillId="5" borderId="11" xfId="0" applyNumberFormat="1" applyFont="1" applyFill="1" applyBorder="1"/>
    <xf numFmtId="44" fontId="6" fillId="5" borderId="12" xfId="0" applyNumberFormat="1" applyFont="1" applyFill="1" applyBorder="1"/>
    <xf numFmtId="44" fontId="6" fillId="6" borderId="11" xfId="0" applyNumberFormat="1" applyFont="1" applyFill="1" applyBorder="1"/>
    <xf numFmtId="44" fontId="6" fillId="6" borderId="12" xfId="0" applyNumberFormat="1" applyFont="1" applyFill="1" applyBorder="1"/>
    <xf numFmtId="0" fontId="28" fillId="4" borderId="10" xfId="0" applyFont="1" applyFill="1" applyBorder="1"/>
    <xf numFmtId="44" fontId="28" fillId="4" borderId="11" xfId="0" applyNumberFormat="1" applyFont="1" applyFill="1" applyBorder="1"/>
    <xf numFmtId="44" fontId="28" fillId="4" borderId="12" xfId="0" applyNumberFormat="1" applyFont="1" applyFill="1" applyBorder="1"/>
    <xf numFmtId="0" fontId="6" fillId="8" borderId="0" xfId="0" applyFont="1" applyFill="1"/>
    <xf numFmtId="44" fontId="3" fillId="8" borderId="0" xfId="0" applyNumberFormat="1" applyFont="1" applyFill="1"/>
    <xf numFmtId="0" fontId="7" fillId="8" borderId="5" xfId="0" applyFont="1" applyFill="1" applyBorder="1"/>
    <xf numFmtId="44" fontId="3" fillId="8" borderId="1" xfId="0" applyNumberFormat="1" applyFont="1" applyFill="1" applyBorder="1"/>
    <xf numFmtId="44" fontId="3" fillId="8" borderId="6" xfId="0" applyNumberFormat="1" applyFont="1" applyFill="1" applyBorder="1"/>
    <xf numFmtId="0" fontId="6" fillId="8" borderId="5" xfId="0" applyFont="1" applyFill="1" applyBorder="1"/>
    <xf numFmtId="0" fontId="7" fillId="8" borderId="7" xfId="0" applyFont="1" applyFill="1" applyBorder="1"/>
    <xf numFmtId="44" fontId="3" fillId="8" borderId="8" xfId="0" applyNumberFormat="1" applyFont="1" applyFill="1" applyBorder="1"/>
    <xf numFmtId="44" fontId="3" fillId="8" borderId="9" xfId="0" applyNumberFormat="1" applyFont="1" applyFill="1" applyBorder="1"/>
    <xf numFmtId="0" fontId="6" fillId="9" borderId="0" xfId="0" applyFont="1" applyFill="1"/>
    <xf numFmtId="0" fontId="3" fillId="9" borderId="0" xfId="0" applyFont="1" applyFill="1"/>
    <xf numFmtId="0" fontId="7" fillId="9" borderId="5" xfId="0" applyFont="1" applyFill="1" applyBorder="1"/>
    <xf numFmtId="44" fontId="3" fillId="9" borderId="1" xfId="0" applyNumberFormat="1" applyFont="1" applyFill="1" applyBorder="1"/>
    <xf numFmtId="44" fontId="3" fillId="9" borderId="6" xfId="0" applyNumberFormat="1" applyFont="1" applyFill="1" applyBorder="1"/>
    <xf numFmtId="0" fontId="7" fillId="9" borderId="7" xfId="0" applyFont="1" applyFill="1" applyBorder="1"/>
    <xf numFmtId="44" fontId="3" fillId="9" borderId="8" xfId="0" applyNumberFormat="1" applyFont="1" applyFill="1" applyBorder="1"/>
    <xf numFmtId="44" fontId="3" fillId="9" borderId="9" xfId="0" applyNumberFormat="1" applyFont="1" applyFill="1" applyBorder="1"/>
    <xf numFmtId="0" fontId="6" fillId="9" borderId="10" xfId="0" applyFont="1" applyFill="1" applyBorder="1"/>
    <xf numFmtId="0" fontId="6" fillId="8" borderId="10" xfId="0" applyFont="1" applyFill="1" applyBorder="1"/>
    <xf numFmtId="44" fontId="6" fillId="9" borderId="11" xfId="0" applyNumberFormat="1" applyFont="1" applyFill="1" applyBorder="1"/>
    <xf numFmtId="44" fontId="6" fillId="9" borderId="12" xfId="0" applyNumberFormat="1" applyFont="1" applyFill="1" applyBorder="1"/>
    <xf numFmtId="44" fontId="6" fillId="8" borderId="11" xfId="0" applyNumberFormat="1" applyFont="1" applyFill="1" applyBorder="1"/>
    <xf numFmtId="44" fontId="6" fillId="8" borderId="12" xfId="0" applyNumberFormat="1" applyFont="1" applyFill="1" applyBorder="1"/>
    <xf numFmtId="0" fontId="6" fillId="6" borderId="1" xfId="0" applyFont="1" applyFill="1" applyBorder="1"/>
    <xf numFmtId="44" fontId="6" fillId="6" borderId="1" xfId="0" applyNumberFormat="1" applyFont="1" applyFill="1" applyBorder="1"/>
    <xf numFmtId="0" fontId="7" fillId="6" borderId="1" xfId="0" applyFont="1" applyFill="1" applyBorder="1"/>
    <xf numFmtId="0" fontId="7" fillId="6" borderId="1" xfId="0" applyFont="1" applyFill="1" applyBorder="1" applyAlignment="1">
      <alignment horizontal="center"/>
    </xf>
    <xf numFmtId="0" fontId="7" fillId="6" borderId="21" xfId="0" applyFont="1" applyFill="1" applyBorder="1"/>
    <xf numFmtId="0" fontId="7" fillId="6" borderId="22" xfId="0" applyFont="1" applyFill="1" applyBorder="1"/>
    <xf numFmtId="0" fontId="3" fillId="6" borderId="22" xfId="0" applyFont="1" applyFill="1" applyBorder="1"/>
    <xf numFmtId="44" fontId="7" fillId="6" borderId="23" xfId="0" applyNumberFormat="1" applyFont="1" applyFill="1" applyBorder="1"/>
    <xf numFmtId="0" fontId="7" fillId="6" borderId="1" xfId="0" applyFont="1" applyFill="1" applyBorder="1" applyProtection="1">
      <protection locked="0"/>
    </xf>
    <xf numFmtId="0" fontId="7" fillId="6" borderId="1" xfId="0" applyFont="1" applyFill="1" applyBorder="1" applyAlignment="1" applyProtection="1">
      <alignment horizontal="center"/>
      <protection locked="0"/>
    </xf>
    <xf numFmtId="0" fontId="3" fillId="6" borderId="0" xfId="0" applyFont="1" applyFill="1"/>
    <xf numFmtId="0" fontId="26" fillId="10" borderId="0" xfId="0" applyFont="1" applyFill="1"/>
    <xf numFmtId="0" fontId="26" fillId="10" borderId="52" xfId="0" applyFont="1" applyFill="1" applyBorder="1"/>
    <xf numFmtId="0" fontId="26" fillId="10" borderId="57" xfId="0" applyFont="1" applyFill="1" applyBorder="1"/>
    <xf numFmtId="0" fontId="3" fillId="11" borderId="0" xfId="0" applyFont="1" applyFill="1"/>
    <xf numFmtId="0" fontId="3" fillId="11" borderId="0" xfId="0" applyFont="1" applyFill="1" applyAlignment="1">
      <alignment horizontal="left" wrapText="1"/>
    </xf>
    <xf numFmtId="0" fontId="3" fillId="11" borderId="0" xfId="0" applyFont="1" applyFill="1" applyAlignment="1">
      <alignment wrapText="1"/>
    </xf>
    <xf numFmtId="0" fontId="3" fillId="11" borderId="0" xfId="0" applyFont="1" applyFill="1" applyAlignment="1">
      <alignment horizontal="left" vertical="center" wrapText="1"/>
    </xf>
    <xf numFmtId="0" fontId="3" fillId="11" borderId="0" xfId="0" applyFont="1" applyFill="1" applyAlignment="1">
      <alignment horizontal="left"/>
    </xf>
    <xf numFmtId="0" fontId="34" fillId="11" borderId="0" xfId="0" applyFont="1" applyFill="1"/>
    <xf numFmtId="0" fontId="4" fillId="6" borderId="13" xfId="0" applyFont="1" applyFill="1" applyBorder="1"/>
    <xf numFmtId="0" fontId="3" fillId="6" borderId="15" xfId="0" applyFont="1" applyFill="1" applyBorder="1"/>
    <xf numFmtId="0" fontId="3" fillId="6" borderId="16" xfId="0" applyFont="1" applyFill="1" applyBorder="1"/>
    <xf numFmtId="0" fontId="3" fillId="6" borderId="17" xfId="0" applyFont="1" applyFill="1" applyBorder="1"/>
    <xf numFmtId="44" fontId="3" fillId="6" borderId="17" xfId="0" applyNumberFormat="1" applyFont="1" applyFill="1" applyBorder="1"/>
    <xf numFmtId="0" fontId="3" fillId="6" borderId="18" xfId="0" applyFont="1" applyFill="1" applyBorder="1"/>
    <xf numFmtId="44" fontId="3" fillId="6" borderId="20" xfId="0" applyNumberFormat="1" applyFont="1" applyFill="1" applyBorder="1"/>
    <xf numFmtId="0" fontId="3" fillId="0" borderId="50" xfId="0" applyFont="1" applyBorder="1" applyAlignment="1">
      <alignment vertical="center"/>
    </xf>
    <xf numFmtId="0" fontId="3" fillId="0" borderId="59" xfId="0" applyFont="1" applyBorder="1" applyAlignment="1">
      <alignment vertical="center" wrapText="1"/>
    </xf>
    <xf numFmtId="0" fontId="3" fillId="0" borderId="49" xfId="0" applyFont="1" applyBorder="1" applyAlignment="1">
      <alignment vertical="center"/>
    </xf>
    <xf numFmtId="1" fontId="5" fillId="12" borderId="1" xfId="0" applyNumberFormat="1" applyFont="1" applyFill="1" applyBorder="1" applyAlignment="1">
      <alignment horizontal="left"/>
    </xf>
    <xf numFmtId="0" fontId="3" fillId="11" borderId="0" xfId="0" applyFont="1" applyFill="1" applyAlignment="1">
      <alignment horizontal="left" vertical="center" wrapText="1"/>
    </xf>
    <xf numFmtId="0" fontId="3" fillId="11" borderId="0" xfId="0" applyFont="1" applyFill="1" applyAlignment="1">
      <alignment horizontal="center"/>
    </xf>
    <xf numFmtId="0" fontId="3" fillId="11" borderId="0" xfId="0" applyFont="1" applyFill="1" applyAlignment="1">
      <alignment horizontal="left" wrapText="1"/>
    </xf>
    <xf numFmtId="0" fontId="34" fillId="11" borderId="0" xfId="0" applyFont="1" applyFill="1" applyAlignment="1">
      <alignment horizontal="center"/>
    </xf>
    <xf numFmtId="0" fontId="33" fillId="6" borderId="0" xfId="0" applyFont="1" applyFill="1" applyAlignment="1">
      <alignment horizontal="center"/>
    </xf>
    <xf numFmtId="0" fontId="32" fillId="6" borderId="0" xfId="0" applyFont="1" applyFill="1" applyAlignment="1">
      <alignment horizontal="center"/>
    </xf>
    <xf numFmtId="0" fontId="3" fillId="6" borderId="0" xfId="0" applyFont="1" applyFill="1" applyAlignment="1">
      <alignment horizontal="center" wrapText="1"/>
    </xf>
    <xf numFmtId="0" fontId="26" fillId="10" borderId="51" xfId="0" applyFont="1" applyFill="1" applyBorder="1" applyAlignment="1">
      <alignment horizontal="left" vertical="center" wrapText="1"/>
    </xf>
    <xf numFmtId="0" fontId="26" fillId="10" borderId="52" xfId="0" applyFont="1" applyFill="1" applyBorder="1" applyAlignment="1">
      <alignment horizontal="left" vertical="center" wrapText="1"/>
    </xf>
    <xf numFmtId="0" fontId="26" fillId="10" borderId="53" xfId="0" applyFont="1" applyFill="1" applyBorder="1" applyAlignment="1">
      <alignment horizontal="left" vertical="center" wrapText="1"/>
    </xf>
    <xf numFmtId="0" fontId="26" fillId="10" borderId="54" xfId="0" applyFont="1" applyFill="1" applyBorder="1" applyAlignment="1">
      <alignment horizontal="left" vertical="center" wrapText="1"/>
    </xf>
    <xf numFmtId="0" fontId="26" fillId="10" borderId="0" xfId="0" applyFont="1" applyFill="1" applyAlignment="1">
      <alignment horizontal="left" vertical="center" wrapText="1"/>
    </xf>
    <xf numFmtId="0" fontId="26" fillId="10" borderId="55" xfId="0" applyFont="1" applyFill="1" applyBorder="1" applyAlignment="1">
      <alignment horizontal="left" vertical="center" wrapText="1"/>
    </xf>
    <xf numFmtId="0" fontId="26" fillId="10" borderId="56" xfId="0" applyFont="1" applyFill="1" applyBorder="1" applyAlignment="1">
      <alignment horizontal="left" vertical="center" wrapText="1"/>
    </xf>
    <xf numFmtId="0" fontId="26" fillId="10" borderId="57" xfId="0" applyFont="1" applyFill="1" applyBorder="1" applyAlignment="1">
      <alignment horizontal="left" vertical="center" wrapText="1"/>
    </xf>
    <xf numFmtId="0" fontId="26" fillId="10" borderId="58" xfId="0" applyFont="1" applyFill="1" applyBorder="1" applyAlignment="1">
      <alignment horizontal="left" vertical="center" wrapText="1"/>
    </xf>
    <xf numFmtId="0" fontId="34" fillId="6" borderId="0" xfId="0" applyFont="1" applyFill="1" applyAlignment="1">
      <alignment horizontal="center"/>
    </xf>
    <xf numFmtId="0" fontId="22" fillId="2" borderId="0" xfId="0" applyFont="1" applyFill="1" applyAlignment="1">
      <alignment horizontal="center"/>
    </xf>
    <xf numFmtId="0" fontId="19" fillId="4" borderId="32" xfId="0" applyFont="1" applyFill="1" applyBorder="1" applyAlignment="1">
      <alignment horizontal="center"/>
    </xf>
    <xf numFmtId="0" fontId="19" fillId="4" borderId="35" xfId="0" applyFont="1" applyFill="1" applyBorder="1" applyAlignment="1">
      <alignment horizontal="center"/>
    </xf>
    <xf numFmtId="0" fontId="21" fillId="0" borderId="40" xfId="0" applyFont="1" applyBorder="1" applyAlignment="1">
      <alignment horizontal="center" vertical="center" wrapText="1"/>
    </xf>
    <xf numFmtId="0" fontId="21" fillId="0" borderId="41" xfId="0" applyFont="1" applyBorder="1" applyAlignment="1">
      <alignment horizontal="center" vertical="center" wrapText="1"/>
    </xf>
    <xf numFmtId="165" fontId="21" fillId="6" borderId="38" xfId="0" applyNumberFormat="1" applyFont="1" applyFill="1" applyBorder="1" applyAlignment="1">
      <alignment horizontal="center" vertical="center"/>
    </xf>
    <xf numFmtId="165" fontId="21" fillId="6" borderId="25" xfId="0" applyNumberFormat="1" applyFont="1" applyFill="1" applyBorder="1" applyAlignment="1">
      <alignment horizontal="center" vertical="center"/>
    </xf>
    <xf numFmtId="165" fontId="21" fillId="6" borderId="39" xfId="0" applyNumberFormat="1" applyFont="1" applyFill="1" applyBorder="1" applyAlignment="1">
      <alignment horizontal="center" vertical="center"/>
    </xf>
    <xf numFmtId="165" fontId="21" fillId="6" borderId="28" xfId="0" applyNumberFormat="1" applyFont="1" applyFill="1" applyBorder="1" applyAlignment="1">
      <alignment horizontal="center" vertical="center"/>
    </xf>
    <xf numFmtId="165" fontId="21" fillId="6" borderId="26" xfId="0" applyNumberFormat="1" applyFont="1" applyFill="1" applyBorder="1" applyAlignment="1">
      <alignment horizontal="center" vertical="center"/>
    </xf>
    <xf numFmtId="165" fontId="21" fillId="6" borderId="29" xfId="0" applyNumberFormat="1" applyFont="1" applyFill="1" applyBorder="1" applyAlignment="1">
      <alignment horizontal="center" vertical="center"/>
    </xf>
    <xf numFmtId="165" fontId="19" fillId="4" borderId="32" xfId="0" applyNumberFormat="1" applyFont="1" applyFill="1" applyBorder="1" applyAlignment="1">
      <alignment horizontal="center"/>
    </xf>
    <xf numFmtId="165" fontId="19" fillId="4" borderId="35" xfId="0" applyNumberFormat="1" applyFont="1" applyFill="1" applyBorder="1" applyAlignment="1">
      <alignment horizontal="center"/>
    </xf>
    <xf numFmtId="165" fontId="23" fillId="4" borderId="40" xfId="0" applyNumberFormat="1" applyFont="1" applyFill="1" applyBorder="1" applyAlignment="1">
      <alignment horizontal="center" vertical="center"/>
    </xf>
    <xf numFmtId="165" fontId="23" fillId="4" borderId="41" xfId="0" applyNumberFormat="1" applyFont="1" applyFill="1" applyBorder="1" applyAlignment="1">
      <alignment horizontal="center" vertical="center"/>
    </xf>
    <xf numFmtId="0" fontId="21" fillId="0" borderId="24" xfId="0" applyFont="1" applyBorder="1" applyAlignment="1">
      <alignment horizontal="center" vertical="center" wrapText="1"/>
    </xf>
    <xf numFmtId="0" fontId="21" fillId="0" borderId="27" xfId="0" applyFont="1" applyBorder="1" applyAlignment="1">
      <alignment horizontal="center" vertical="center" wrapText="1"/>
    </xf>
    <xf numFmtId="0" fontId="24" fillId="0" borderId="38" xfId="0" applyFont="1" applyBorder="1" applyAlignment="1">
      <alignment horizontal="center" vertical="center"/>
    </xf>
    <xf numFmtId="0" fontId="24" fillId="0" borderId="25" xfId="0" applyFont="1" applyBorder="1" applyAlignment="1">
      <alignment horizontal="center" vertical="center"/>
    </xf>
    <xf numFmtId="0" fontId="24" fillId="0" borderId="39" xfId="0" applyFont="1" applyBorder="1" applyAlignment="1">
      <alignment horizontal="center" vertical="center"/>
    </xf>
    <xf numFmtId="0" fontId="24" fillId="0" borderId="28" xfId="0" applyFont="1" applyBorder="1" applyAlignment="1">
      <alignment horizontal="center" vertical="center"/>
    </xf>
    <xf numFmtId="0" fontId="4" fillId="0" borderId="0" xfId="0" applyFont="1" applyAlignment="1">
      <alignment horizontal="center"/>
    </xf>
    <xf numFmtId="0" fontId="2" fillId="0" borderId="0" xfId="0" applyFont="1" applyAlignment="1">
      <alignment horizontal="center"/>
    </xf>
    <xf numFmtId="0" fontId="9" fillId="0" borderId="0" xfId="0" applyFont="1" applyAlignment="1">
      <alignment horizontal="center"/>
    </xf>
    <xf numFmtId="0" fontId="3" fillId="0" borderId="0" xfId="0" applyFont="1" applyAlignment="1">
      <alignment horizontal="left" vertical="center" wrapText="1"/>
    </xf>
    <xf numFmtId="0" fontId="10" fillId="0" borderId="0" xfId="0" applyFont="1" applyAlignment="1">
      <alignment horizontal="center"/>
    </xf>
    <xf numFmtId="0" fontId="3" fillId="6" borderId="13" xfId="0" applyFont="1" applyFill="1" applyBorder="1" applyAlignment="1">
      <alignment horizontal="left" vertical="center" wrapText="1"/>
    </xf>
    <xf numFmtId="0" fontId="3" fillId="6" borderId="14" xfId="0" applyFont="1" applyFill="1" applyBorder="1" applyAlignment="1">
      <alignment horizontal="left" vertical="center" wrapText="1"/>
    </xf>
    <xf numFmtId="0" fontId="3" fillId="6" borderId="15" xfId="0" applyFont="1" applyFill="1" applyBorder="1" applyAlignment="1">
      <alignment horizontal="left" vertical="center" wrapText="1"/>
    </xf>
    <xf numFmtId="0" fontId="3" fillId="6" borderId="16" xfId="0" applyFont="1" applyFill="1" applyBorder="1" applyAlignment="1">
      <alignment horizontal="left" vertical="center" wrapText="1"/>
    </xf>
    <xf numFmtId="0" fontId="3" fillId="6" borderId="0" xfId="0" applyFont="1" applyFill="1" applyAlignment="1">
      <alignment horizontal="left" vertical="center" wrapText="1"/>
    </xf>
    <xf numFmtId="0" fontId="3" fillId="6" borderId="17" xfId="0" applyFont="1" applyFill="1" applyBorder="1" applyAlignment="1">
      <alignment horizontal="left" vertical="center" wrapText="1"/>
    </xf>
    <xf numFmtId="0" fontId="3" fillId="6" borderId="18" xfId="0" applyFont="1" applyFill="1" applyBorder="1" applyAlignment="1">
      <alignment horizontal="left" vertical="center" wrapText="1"/>
    </xf>
    <xf numFmtId="0" fontId="3" fillId="6" borderId="19" xfId="0" applyFont="1" applyFill="1" applyBorder="1" applyAlignment="1">
      <alignment horizontal="left" vertical="center" wrapText="1"/>
    </xf>
    <xf numFmtId="0" fontId="3" fillId="6" borderId="20" xfId="0" applyFont="1" applyFill="1" applyBorder="1" applyAlignment="1">
      <alignment horizontal="left" vertical="center" wrapText="1"/>
    </xf>
    <xf numFmtId="0" fontId="7" fillId="6" borderId="1" xfId="0" applyFont="1" applyFill="1" applyBorder="1" applyAlignment="1" applyProtection="1">
      <alignment horizontal="center"/>
      <protection locked="0"/>
    </xf>
  </cellXfs>
  <cellStyles count="3">
    <cellStyle name="Comma" xfId="1" builtinId="3"/>
    <cellStyle name="Normal" xfId="0" builtinId="0"/>
    <cellStyle name="Percent" xfId="2" builtinId="5"/>
  </cellStyles>
  <dxfs count="318">
    <dxf>
      <font>
        <b val="0"/>
        <i val="0"/>
        <strike val="0"/>
        <condense val="0"/>
        <extend val="0"/>
        <outline val="0"/>
        <shadow val="0"/>
        <u val="none"/>
        <vertAlign val="baseline"/>
        <sz val="11"/>
        <color theme="1"/>
        <name val="Calibri"/>
        <family val="2"/>
        <scheme val="none"/>
      </font>
      <numFmt numFmtId="34" formatCode="_(&quot;£&quot;* #,##0.00_);_(&quot;£&quot;* \(#,##0.00\);_(&quot;£&quot;* &quot;-&quot;??_);_(@_)"/>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none"/>
      </font>
      <numFmt numFmtId="34" formatCode="_(&quot;£&quot;* #,##0.00_);_(&quot;£&quot;* \(#,##0.00\);_(&quot;£&quot;* &quot;-&quot;??_);_(@_)"/>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none"/>
      </font>
      <numFmt numFmtId="34" formatCode="_(&quot;£&quot;* #,##0.00_);_(&quot;£&quot;* \(#,##0.00\);_(&quot;£&quot;* &quot;-&quot;??_);_(@_)"/>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numFmt numFmtId="34" formatCode="_(&quot;£&quot;* #,##0.00_);_(&quot;£&quot;* \(#,##0.00\);_(&quot;£&quot;* &quot;-&quot;??_);_(@_)"/>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protection locked="0" hidden="0"/>
    </dxf>
    <dxf>
      <border>
        <bottom style="thin">
          <color indexed="64"/>
        </bottom>
      </border>
    </dxf>
    <dxf>
      <font>
        <b/>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vertAlign val="baseline"/>
        <sz val="11"/>
        <color theme="1"/>
        <name val="Calibri"/>
        <family val="2"/>
        <scheme val="none"/>
      </font>
      <numFmt numFmtId="27" formatCode="dd/mm/yyyy\ hh:mm"/>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numFmt numFmtId="27" formatCode="dd/mm/yyyy\ hh:mm"/>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27" formatCode="dd/mm/yyyy\ hh:mm"/>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numFmt numFmtId="34" formatCode="_(&quot;£&quot;* #,##0.00_);_(&quot;£&quot;* \(#,##0.00\);_(&quot;£&quot;* &quot;-&quot;??_);_(@_)"/>
    </dxf>
    <dxf>
      <font>
        <strike val="0"/>
        <outline val="0"/>
        <shadow val="0"/>
        <vertAlign val="baseline"/>
        <sz val="11"/>
        <color theme="1"/>
        <name val="Calibri"/>
        <family val="2"/>
        <scheme val="none"/>
      </font>
      <numFmt numFmtId="164" formatCode="_(* #,##0_);_(* \(#,##0\);_(* &quot;-&quot;??_);_(@_)"/>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27" formatCode="dd/mm/yyyy\ hh:mm"/>
    </dxf>
    <dxf>
      <font>
        <b val="0"/>
        <i val="0"/>
        <strike val="0"/>
        <condense val="0"/>
        <extend val="0"/>
        <outline val="0"/>
        <shadow val="0"/>
        <u val="none"/>
        <vertAlign val="baseline"/>
        <sz val="11"/>
        <color theme="1"/>
        <name val="Calibri"/>
        <family val="2"/>
        <scheme val="none"/>
      </font>
      <numFmt numFmtId="27" formatCode="dd/mm/yyyy\ hh:mm"/>
    </dxf>
    <dxf>
      <font>
        <strike val="0"/>
        <outline val="0"/>
        <shadow val="0"/>
        <vertAlign val="baseline"/>
        <sz val="11"/>
        <color theme="1"/>
        <name val="Calibri"/>
        <family val="2"/>
        <scheme val="none"/>
      </font>
      <numFmt numFmtId="27" formatCode="dd/mm/yyyy\ hh:mm"/>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numFmt numFmtId="0" formatCode="General"/>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dxf>
    <dxf>
      <font>
        <strike val="0"/>
        <outline val="0"/>
        <shadow val="0"/>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border diagonalUp="0" diagonalDown="0" outline="0">
        <left style="thin">
          <color theme="1"/>
        </left>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border diagonalUp="0" diagonalDown="0" outline="0">
        <left/>
        <right style="thin">
          <color theme="1"/>
        </right>
        <top style="thin">
          <color theme="1"/>
        </top>
        <bottom style="thin">
          <color theme="1"/>
        </bottom>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none"/>
      </font>
      <alignment vertical="center" textRotation="0"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family val="2"/>
        <scheme val="none"/>
      </font>
      <border diagonalUp="0" diagonalDown="0" outline="0">
        <left style="thin">
          <color theme="1"/>
        </left>
        <right style="thin">
          <color theme="1"/>
        </right>
        <top/>
        <bottom/>
      </border>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i val="0"/>
        <strike val="0"/>
        <condense val="0"/>
        <extend val="0"/>
        <outline val="0"/>
        <shadow val="0"/>
        <u val="none"/>
        <vertAlign val="baseline"/>
        <sz val="11"/>
        <color theme="1"/>
        <name val="Calibri"/>
        <family val="2"/>
        <scheme val="none"/>
      </font>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alibri"/>
        <family val="2"/>
        <scheme val="none"/>
      </font>
    </dxf>
    <dxf>
      <border>
        <bottom style="medium">
          <color rgb="FF000000"/>
        </bottom>
      </border>
    </dxf>
    <dxf>
      <font>
        <b/>
        <i val="0"/>
        <strike val="0"/>
        <condense val="0"/>
        <extend val="0"/>
        <outline val="0"/>
        <shadow val="0"/>
        <u val="none"/>
        <vertAlign val="baseline"/>
        <sz val="11"/>
        <color theme="1"/>
        <name val="Calibri"/>
        <family val="2"/>
        <scheme val="none"/>
      </font>
      <fill>
        <patternFill patternType="solid">
          <fgColor indexed="64"/>
          <bgColor theme="0" tint="-0.14999847407452621"/>
        </patternFill>
      </fill>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i val="0"/>
        <strike val="0"/>
        <condense val="0"/>
        <extend val="0"/>
        <outline val="0"/>
        <shadow val="0"/>
        <u val="none"/>
        <vertAlign val="baseline"/>
        <sz val="11"/>
        <color theme="1"/>
        <name val="Calibri"/>
        <family val="2"/>
        <scheme val="none"/>
      </font>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alibri"/>
        <family val="2"/>
        <scheme val="none"/>
      </font>
    </dxf>
    <dxf>
      <border>
        <bottom style="medium">
          <color rgb="FF000000"/>
        </bottom>
      </border>
    </dxf>
    <dxf>
      <font>
        <b/>
        <i val="0"/>
        <strike val="0"/>
        <condense val="0"/>
        <extend val="0"/>
        <outline val="0"/>
        <shadow val="0"/>
        <u val="none"/>
        <vertAlign val="baseline"/>
        <sz val="11"/>
        <color theme="1"/>
        <name val="Calibri"/>
        <family val="2"/>
        <scheme val="none"/>
      </font>
      <fill>
        <patternFill patternType="solid">
          <fgColor indexed="64"/>
          <bgColor theme="0" tint="-0.14999847407452621"/>
        </patternFill>
      </fill>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i val="0"/>
        <strike val="0"/>
        <condense val="0"/>
        <extend val="0"/>
        <outline val="0"/>
        <shadow val="0"/>
        <u val="none"/>
        <vertAlign val="baseline"/>
        <sz val="11"/>
        <color theme="1"/>
        <name val="Calibri"/>
        <family val="2"/>
        <scheme val="none"/>
      </font>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alibri"/>
        <family val="2"/>
        <scheme val="none"/>
      </font>
    </dxf>
    <dxf>
      <border>
        <bottom style="medium">
          <color rgb="FF000000"/>
        </bottom>
      </border>
    </dxf>
    <dxf>
      <font>
        <b/>
        <i val="0"/>
        <strike val="0"/>
        <condense val="0"/>
        <extend val="0"/>
        <outline val="0"/>
        <shadow val="0"/>
        <u val="none"/>
        <vertAlign val="baseline"/>
        <sz val="11"/>
        <color theme="1"/>
        <name val="Calibri"/>
        <family val="2"/>
        <scheme val="none"/>
      </font>
      <fill>
        <patternFill patternType="solid">
          <fgColor indexed="64"/>
          <bgColor theme="0" tint="-0.14999847407452621"/>
        </patternFill>
      </fill>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i val="0"/>
        <strike val="0"/>
        <condense val="0"/>
        <extend val="0"/>
        <outline val="0"/>
        <shadow val="0"/>
        <u val="none"/>
        <vertAlign val="baseline"/>
        <sz val="11"/>
        <color theme="1"/>
        <name val="Calibri"/>
        <family val="2"/>
        <scheme val="none"/>
      </font>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alibri"/>
        <family val="2"/>
        <scheme val="none"/>
      </font>
    </dxf>
    <dxf>
      <border>
        <bottom style="medium">
          <color rgb="FF000000"/>
        </bottom>
      </border>
    </dxf>
    <dxf>
      <font>
        <b/>
        <i val="0"/>
        <strike val="0"/>
        <condense val="0"/>
        <extend val="0"/>
        <outline val="0"/>
        <shadow val="0"/>
        <u val="none"/>
        <vertAlign val="baseline"/>
        <sz val="11"/>
        <color theme="1"/>
        <name val="Calibri"/>
        <family val="2"/>
        <scheme val="none"/>
      </font>
      <fill>
        <patternFill patternType="solid">
          <fgColor indexed="64"/>
          <bgColor theme="0" tint="-0.14999847407452621"/>
        </patternFill>
      </fill>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i val="0"/>
        <strike val="0"/>
        <condense val="0"/>
        <extend val="0"/>
        <outline val="0"/>
        <shadow val="0"/>
        <u val="none"/>
        <vertAlign val="baseline"/>
        <sz val="11"/>
        <color theme="1"/>
        <name val="Calibri"/>
        <family val="2"/>
        <scheme val="none"/>
      </font>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alibri"/>
        <family val="2"/>
        <scheme val="none"/>
      </font>
    </dxf>
    <dxf>
      <border>
        <bottom style="medium">
          <color rgb="FF000000"/>
        </bottom>
      </border>
    </dxf>
    <dxf>
      <font>
        <b/>
        <i val="0"/>
        <strike val="0"/>
        <condense val="0"/>
        <extend val="0"/>
        <outline val="0"/>
        <shadow val="0"/>
        <u val="none"/>
        <vertAlign val="baseline"/>
        <sz val="11"/>
        <color theme="1"/>
        <name val="Calibri"/>
        <family val="2"/>
        <scheme val="none"/>
      </font>
      <fill>
        <patternFill patternType="solid">
          <fgColor indexed="64"/>
          <bgColor theme="0" tint="-0.14999847407452621"/>
        </patternFill>
      </fill>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val="0"/>
        <i val="0"/>
        <strike val="0"/>
        <condense val="0"/>
        <extend val="0"/>
        <outline val="0"/>
        <shadow val="0"/>
        <u val="none"/>
        <vertAlign val="baseline"/>
        <sz val="11"/>
        <color theme="1"/>
        <name val="Calibri"/>
        <family val="2"/>
        <scheme val="none"/>
      </font>
      <numFmt numFmtId="34" formatCode="_(&quot;£&quot;* #,##0.00_);_(&quot;£&quot;* \(#,##0.00\);_(&quot;£&quot;* &quot;-&quot;??_);_(@_)"/>
    </dxf>
    <dxf>
      <font>
        <b/>
        <i val="0"/>
        <strike val="0"/>
        <condense val="0"/>
        <extend val="0"/>
        <outline val="0"/>
        <shadow val="0"/>
        <u val="none"/>
        <vertAlign val="baseline"/>
        <sz val="11"/>
        <color theme="1"/>
        <name val="Calibri"/>
        <family val="2"/>
        <scheme val="none"/>
      </font>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none"/>
      </font>
    </dxf>
    <dxf>
      <border>
        <bottom style="medium">
          <color indexed="64"/>
        </bottom>
      </border>
    </dxf>
    <dxf>
      <font>
        <b/>
        <i val="0"/>
        <strike val="0"/>
        <condense val="0"/>
        <extend val="0"/>
        <outline val="0"/>
        <shadow val="0"/>
        <u val="none"/>
        <vertAlign val="baseline"/>
        <sz val="11"/>
        <color theme="1"/>
        <name val="Calibri"/>
        <family val="2"/>
        <scheme val="none"/>
      </font>
      <fill>
        <patternFill patternType="solid">
          <fgColor indexed="64"/>
          <bgColor theme="0" tint="-0.14999847407452621"/>
        </patternFill>
      </fill>
      <border diagonalUp="0" diagonalDown="0">
        <left style="thin">
          <color indexed="64"/>
        </left>
        <right style="thin">
          <color indexed="64"/>
        </right>
        <top/>
        <bottom/>
        <vertical style="thin">
          <color indexed="64"/>
        </vertical>
        <horizontal/>
      </border>
    </dxf>
    <dxf>
      <fill>
        <patternFill>
          <fgColor theme="7" tint="0.79998168889431442"/>
        </patternFill>
      </fill>
    </dxf>
    <dxf>
      <font>
        <color theme="0"/>
      </font>
    </dxf>
    <dxf>
      <font>
        <color theme="0"/>
      </font>
    </dxf>
    <dxf>
      <fill>
        <patternFill>
          <bgColor theme="3" tint="0.499984740745262"/>
        </patternFill>
      </fill>
    </dxf>
    <dxf>
      <fill>
        <patternFill>
          <bgColor theme="3" tint="0.499984740745262"/>
        </patternFill>
      </fill>
    </dxf>
    <dxf>
      <fill>
        <patternFill>
          <bgColor theme="7" tint="0.79998168889431442"/>
        </patternFill>
      </fill>
    </dxf>
    <dxf>
      <fill>
        <patternFill>
          <bgColor theme="3" tint="0.499984740745262"/>
        </patternFill>
      </fill>
    </dxf>
    <dxf>
      <font>
        <color theme="0"/>
      </font>
    </dxf>
    <dxf>
      <font>
        <color theme="0"/>
      </font>
    </dxf>
    <dxf>
      <font>
        <color theme="0"/>
      </font>
    </dxf>
    <dxf>
      <font>
        <color theme="0"/>
      </font>
    </dxf>
    <dxf>
      <font>
        <color theme="0"/>
      </font>
    </dxf>
    <dxf>
      <font>
        <color theme="0"/>
      </font>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i/>
      </font>
    </dxf>
    <dxf>
      <font>
        <i/>
      </font>
    </dxf>
    <dxf>
      <font>
        <i/>
      </font>
    </dxf>
    <dxf>
      <font>
        <i/>
      </font>
    </dxf>
    <dxf>
      <font>
        <i/>
      </font>
    </dxf>
    <dxf>
      <font>
        <i/>
      </font>
    </dxf>
    <dxf>
      <font>
        <i/>
      </font>
    </dxf>
    <dxf>
      <font>
        <i/>
      </font>
    </dxf>
    <dxf>
      <fill>
        <patternFill patternType="solid">
          <bgColor theme="5" tint="0.79998168889431442"/>
        </patternFill>
      </fill>
    </dxf>
    <dxf>
      <fill>
        <patternFill patternType="solid">
          <bgColor theme="5" tint="0.79998168889431442"/>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dxf>
    <dxf>
      <alignment horizontal="cent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dxf>
    <dxf>
      <font>
        <color theme="0"/>
      </font>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ill>
        <patternFill>
          <bgColor theme="3" tint="0.499984740745262"/>
        </patternFill>
      </fill>
    </dxf>
    <dxf>
      <font>
        <color theme="0"/>
      </font>
    </dxf>
    <dxf>
      <font>
        <color theme="0"/>
      </font>
    </dxf>
    <dxf>
      <font>
        <color theme="0"/>
      </font>
    </dxf>
    <dxf>
      <font>
        <color theme="0"/>
      </font>
    </dxf>
    <dxf>
      <font>
        <color theme="0"/>
      </font>
    </dxf>
    <dxf>
      <font>
        <color theme="0"/>
      </font>
    </dxf>
    <dxf>
      <fill>
        <patternFill>
          <bgColor theme="3" tint="0.749992370372631"/>
        </patternFill>
      </fill>
    </dxf>
    <dxf>
      <fill>
        <patternFill>
          <bgColor theme="3" tint="0.749992370372631"/>
        </patternFill>
      </fill>
    </dxf>
    <dxf>
      <fill>
        <patternFill>
          <bgColor theme="3" tint="0.749992370372631"/>
        </patternFill>
      </fill>
    </dxf>
    <dxf>
      <fill>
        <patternFill>
          <bgColor theme="3" tint="0.749992370372631"/>
        </patternFill>
      </fill>
    </dxf>
    <dxf>
      <fill>
        <patternFill>
          <bgColor theme="3" tint="0.749992370372631"/>
        </patternFill>
      </fill>
    </dxf>
    <dxf>
      <fill>
        <patternFill>
          <bgColor theme="3" tint="0.749992370372631"/>
        </patternFill>
      </fill>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alignment horizontal="center"/>
    </dxf>
    <dxf>
      <alignment horizontal="center"/>
    </dxf>
    <dxf>
      <font>
        <i/>
      </font>
    </dxf>
    <dxf>
      <font>
        <i/>
      </font>
    </dxf>
    <dxf>
      <font>
        <i/>
      </font>
    </dxf>
    <dxf>
      <font>
        <i/>
      </font>
    </dxf>
    <dxf>
      <font>
        <i/>
      </font>
    </dxf>
    <dxf>
      <font>
        <i/>
      </font>
    </dxf>
    <dxf>
      <font>
        <i/>
      </font>
    </dxf>
    <dxf>
      <font>
        <i/>
      </font>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s>
  <tableStyles count="0" defaultTableStyle="TableStyleMedium2" defaultPivotStyle="PivotStyleLight16"/>
  <colors>
    <mruColors>
      <color rgb="FFD5FFFF"/>
      <color rgb="FFBFE0EF"/>
      <color rgb="FFCDDBFF"/>
      <color rgb="FFCDCDFF"/>
      <color rgb="FFB1FDF8"/>
      <color rgb="FFCCFFFF"/>
      <color rgb="FF800000"/>
      <color rgb="FFFF0000"/>
      <color rgb="FFFF00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[Final Coursework.xlsm]Sales by Region!PivotTable2</c:name>
    <c:fmtId val="8"/>
  </c:pivotSource>
  <c:chart>
    <c:title>
      <c:tx>
        <c:rich>
          <a:bodyPr rot="0" spcFirstLastPara="1" vertOverflow="ellipsis" vert="horz" wrap="square" anchor="ctr" anchorCtr="1"/>
          <a:lstStyle/>
          <a:p>
            <a:pPr>
              <a:defRPr sz="1400" b="0" i="0" u="none" strike="noStrike" kern="1200" spc="0" baseline="0">
                <a:solidFill>
                  <a:schemeClr val="accent1"/>
                </a:solidFill>
                <a:latin typeface="+mj-lt"/>
                <a:ea typeface="Calibri" panose="020F0502020204030204" pitchFamily="34" charset="0"/>
                <a:cs typeface="Calibri" panose="020F0502020204030204" pitchFamily="34" charset="0"/>
              </a:defRPr>
            </a:pPr>
            <a:r>
              <a:rPr lang="en-US"/>
              <a:t>Sales by Region</a:t>
            </a:r>
          </a:p>
        </c:rich>
      </c:tx>
      <c:layout>
        <c:manualLayout>
          <c:xMode val="edge"/>
          <c:yMode val="edge"/>
          <c:x val="0.38607165083745976"/>
          <c:y val="2.15192097050860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j-lt"/>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dLbl>
          <c:idx val="0"/>
          <c:layout>
            <c:manualLayout>
              <c:x val="-5.393379468030414E-2"/>
              <c:y val="1.9703639407278813E-2"/>
            </c:manualLayout>
          </c:layout>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pivotFmt>
      <c:pivotFmt>
        <c:idx val="179"/>
        <c:spPr>
          <a:solidFill>
            <a:schemeClr val="accent1"/>
          </a:solidFill>
          <a:ln w="19050">
            <a:solidFill>
              <a:schemeClr val="lt1"/>
            </a:solidFill>
          </a:ln>
          <a:effectLst/>
        </c:spPr>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pivotFmt>
      <c:pivotFmt>
        <c:idx val="185"/>
        <c:spPr>
          <a:solidFill>
            <a:schemeClr val="accent1"/>
          </a:solidFill>
          <a:ln w="19050">
            <a:solidFill>
              <a:schemeClr val="lt1"/>
            </a:solidFill>
          </a:ln>
          <a:effectLst/>
        </c:spPr>
      </c:pivotFmt>
      <c:pivotFmt>
        <c:idx val="186"/>
        <c:spPr>
          <a:solidFill>
            <a:schemeClr val="accent1"/>
          </a:solidFill>
          <a:ln w="19050">
            <a:solidFill>
              <a:schemeClr val="lt1"/>
            </a:solidFill>
          </a:ln>
          <a:effectLst/>
        </c:spPr>
      </c:pivotFmt>
      <c:pivotFmt>
        <c:idx val="187"/>
        <c:spPr>
          <a:solidFill>
            <a:schemeClr val="accent1"/>
          </a:solidFill>
          <a:ln w="19050">
            <a:solidFill>
              <a:schemeClr val="lt1"/>
            </a:solidFill>
          </a:ln>
          <a:effectLst/>
        </c:spPr>
      </c:pivotFmt>
      <c:pivotFmt>
        <c:idx val="188"/>
        <c:spPr>
          <a:solidFill>
            <a:schemeClr val="accent1"/>
          </a:solidFill>
          <a:ln w="19050">
            <a:solidFill>
              <a:schemeClr val="lt1"/>
            </a:solidFill>
          </a:ln>
          <a:effectLst/>
        </c:spPr>
      </c:pivotFmt>
      <c:pivotFmt>
        <c:idx val="189"/>
        <c:spPr>
          <a:solidFill>
            <a:schemeClr val="accent1"/>
          </a:solidFill>
          <a:ln w="19050">
            <a:solidFill>
              <a:schemeClr val="lt1"/>
            </a:solidFill>
          </a:ln>
          <a:effectLst/>
        </c:spPr>
      </c:pivotFmt>
      <c:pivotFmt>
        <c:idx val="190"/>
        <c:spPr>
          <a:solidFill>
            <a:schemeClr val="accent1"/>
          </a:solidFill>
          <a:ln w="19050">
            <a:solidFill>
              <a:schemeClr val="lt1"/>
            </a:solidFill>
          </a:ln>
          <a:effectLst/>
        </c:spPr>
      </c:pivotFmt>
      <c:pivotFmt>
        <c:idx val="191"/>
        <c:spPr>
          <a:solidFill>
            <a:schemeClr val="accent1"/>
          </a:solidFill>
          <a:ln w="19050">
            <a:solidFill>
              <a:schemeClr val="lt1"/>
            </a:solidFill>
          </a:ln>
          <a:effectLst/>
        </c:spPr>
      </c:pivotFmt>
      <c:pivotFmt>
        <c:idx val="192"/>
        <c:spPr>
          <a:solidFill>
            <a:schemeClr val="accent1"/>
          </a:solidFill>
          <a:ln w="19050">
            <a:solidFill>
              <a:schemeClr val="lt1"/>
            </a:solidFill>
          </a:ln>
          <a:effectLst/>
        </c:spPr>
      </c:pivotFmt>
      <c:pivotFmt>
        <c:idx val="193"/>
        <c:spPr>
          <a:solidFill>
            <a:schemeClr val="accent1"/>
          </a:solidFill>
          <a:ln w="19050">
            <a:solidFill>
              <a:schemeClr val="lt1"/>
            </a:solidFill>
          </a:ln>
          <a:effectLst/>
        </c:spPr>
      </c:pivotFmt>
      <c:pivotFmt>
        <c:idx val="194"/>
        <c:spPr>
          <a:solidFill>
            <a:schemeClr val="accent1"/>
          </a:solidFill>
          <a:ln w="19050">
            <a:solidFill>
              <a:schemeClr val="lt1"/>
            </a:solidFill>
          </a:ln>
          <a:effectLst/>
        </c:spPr>
      </c:pivotFmt>
      <c:pivotFmt>
        <c:idx val="195"/>
        <c:spPr>
          <a:solidFill>
            <a:schemeClr val="accent1"/>
          </a:solidFill>
          <a:ln w="19050">
            <a:solidFill>
              <a:schemeClr val="lt1"/>
            </a:solidFill>
          </a:ln>
          <a:effectLst/>
        </c:spPr>
      </c:pivotFmt>
      <c:pivotFmt>
        <c:idx val="196"/>
        <c:spPr>
          <a:solidFill>
            <a:schemeClr val="accent1"/>
          </a:solidFill>
          <a:ln w="19050">
            <a:solidFill>
              <a:schemeClr val="lt1"/>
            </a:solidFill>
          </a:ln>
          <a:effectLst/>
        </c:spPr>
      </c:pivotFmt>
      <c:pivotFmt>
        <c:idx val="197"/>
        <c:spPr>
          <a:solidFill>
            <a:schemeClr val="accent1"/>
          </a:solidFill>
          <a:ln w="19050">
            <a:solidFill>
              <a:schemeClr val="lt1"/>
            </a:solidFill>
          </a:ln>
          <a:effectLst/>
        </c:spPr>
      </c:pivotFmt>
      <c:pivotFmt>
        <c:idx val="198"/>
        <c:spPr>
          <a:solidFill>
            <a:schemeClr val="accent1"/>
          </a:solidFill>
          <a:ln w="19050">
            <a:solidFill>
              <a:schemeClr val="lt1"/>
            </a:solidFill>
          </a:ln>
          <a:effectLst/>
        </c:spPr>
      </c:pivotFmt>
      <c:pivotFmt>
        <c:idx val="199"/>
        <c:spPr>
          <a:solidFill>
            <a:schemeClr val="accent1"/>
          </a:solidFill>
          <a:ln w="19050">
            <a:solidFill>
              <a:schemeClr val="lt1"/>
            </a:solidFill>
          </a:ln>
          <a:effectLst/>
        </c:spPr>
      </c:pivotFmt>
      <c:pivotFmt>
        <c:idx val="200"/>
        <c:spPr>
          <a:solidFill>
            <a:schemeClr val="accent1"/>
          </a:solidFill>
          <a:ln w="19050">
            <a:solidFill>
              <a:schemeClr val="lt1"/>
            </a:solidFill>
          </a:ln>
          <a:effectLst/>
        </c:spPr>
      </c:pivotFmt>
      <c:pivotFmt>
        <c:idx val="20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2"/>
        <c:spPr>
          <a:solidFill>
            <a:schemeClr val="accent1"/>
          </a:solidFill>
          <a:ln w="19050">
            <a:solidFill>
              <a:schemeClr val="lt1"/>
            </a:solidFill>
          </a:ln>
          <a:effectLst/>
        </c:spPr>
      </c:pivotFmt>
      <c:pivotFmt>
        <c:idx val="203"/>
        <c:spPr>
          <a:solidFill>
            <a:schemeClr val="accent1"/>
          </a:solidFill>
          <a:ln w="19050">
            <a:solidFill>
              <a:schemeClr val="lt1"/>
            </a:solidFill>
          </a:ln>
          <a:effectLst/>
        </c:spPr>
      </c:pivotFmt>
      <c:pivotFmt>
        <c:idx val="204"/>
        <c:spPr>
          <a:solidFill>
            <a:schemeClr val="accent1"/>
          </a:solidFill>
          <a:ln w="19050">
            <a:solidFill>
              <a:schemeClr val="lt1"/>
            </a:solidFill>
          </a:ln>
          <a:effectLst/>
        </c:spPr>
      </c:pivotFmt>
      <c:pivotFmt>
        <c:idx val="205"/>
        <c:spPr>
          <a:solidFill>
            <a:schemeClr val="accent1"/>
          </a:solidFill>
          <a:ln w="19050">
            <a:solidFill>
              <a:schemeClr val="lt1"/>
            </a:solidFill>
          </a:ln>
          <a:effectLst/>
        </c:spPr>
      </c:pivotFmt>
      <c:pivotFmt>
        <c:idx val="206"/>
        <c:spPr>
          <a:solidFill>
            <a:schemeClr val="accent1"/>
          </a:solidFill>
          <a:ln w="19050">
            <a:solidFill>
              <a:schemeClr val="lt1"/>
            </a:solidFill>
          </a:ln>
          <a:effectLst/>
        </c:spPr>
      </c:pivotFmt>
      <c:pivotFmt>
        <c:idx val="207"/>
        <c:spPr>
          <a:solidFill>
            <a:schemeClr val="accent1"/>
          </a:solidFill>
          <a:ln w="19050">
            <a:solidFill>
              <a:schemeClr val="lt1"/>
            </a:solidFill>
          </a:ln>
          <a:effectLst/>
        </c:spPr>
      </c:pivotFmt>
      <c:pivotFmt>
        <c:idx val="208"/>
        <c:spPr>
          <a:solidFill>
            <a:schemeClr val="accent1"/>
          </a:solidFill>
          <a:ln w="19050">
            <a:solidFill>
              <a:schemeClr val="lt1"/>
            </a:solidFill>
          </a:ln>
          <a:effectLst/>
        </c:spPr>
      </c:pivotFmt>
      <c:pivotFmt>
        <c:idx val="209"/>
        <c:spPr>
          <a:solidFill>
            <a:schemeClr val="accent1"/>
          </a:solidFill>
          <a:ln w="19050">
            <a:solidFill>
              <a:schemeClr val="lt1"/>
            </a:solidFill>
          </a:ln>
          <a:effectLst/>
        </c:spPr>
      </c:pivotFmt>
      <c:pivotFmt>
        <c:idx val="210"/>
        <c:spPr>
          <a:solidFill>
            <a:schemeClr val="accent1"/>
          </a:solidFill>
          <a:ln w="19050">
            <a:solidFill>
              <a:schemeClr val="lt1"/>
            </a:solidFill>
          </a:ln>
          <a:effectLst/>
        </c:spPr>
      </c:pivotFmt>
      <c:pivotFmt>
        <c:idx val="211"/>
        <c:spPr>
          <a:solidFill>
            <a:schemeClr val="accent1"/>
          </a:solidFill>
          <a:ln w="19050">
            <a:solidFill>
              <a:schemeClr val="lt1"/>
            </a:solidFill>
          </a:ln>
          <a:effectLst/>
        </c:spPr>
      </c:pivotFmt>
      <c:pivotFmt>
        <c:idx val="212"/>
        <c:spPr>
          <a:solidFill>
            <a:schemeClr val="accent1"/>
          </a:solidFill>
          <a:ln w="19050">
            <a:solidFill>
              <a:schemeClr val="lt1"/>
            </a:solidFill>
          </a:ln>
          <a:effectLst/>
        </c:spPr>
      </c:pivotFmt>
      <c:pivotFmt>
        <c:idx val="213"/>
        <c:spPr>
          <a:solidFill>
            <a:schemeClr val="accent1"/>
          </a:solidFill>
          <a:ln w="19050">
            <a:solidFill>
              <a:schemeClr val="lt1"/>
            </a:solidFill>
          </a:ln>
          <a:effectLst/>
        </c:spPr>
      </c:pivotFmt>
      <c:pivotFmt>
        <c:idx val="214"/>
        <c:spPr>
          <a:solidFill>
            <a:schemeClr val="accent1"/>
          </a:solidFill>
          <a:ln w="19050">
            <a:solidFill>
              <a:schemeClr val="lt1"/>
            </a:solidFill>
          </a:ln>
          <a:effectLst/>
        </c:spPr>
      </c:pivotFmt>
      <c:pivotFmt>
        <c:idx val="215"/>
        <c:spPr>
          <a:solidFill>
            <a:schemeClr val="accent1"/>
          </a:solidFill>
          <a:ln w="19050">
            <a:solidFill>
              <a:schemeClr val="lt1"/>
            </a:solidFill>
          </a:ln>
          <a:effectLst/>
        </c:spPr>
      </c:pivotFmt>
      <c:pivotFmt>
        <c:idx val="216"/>
        <c:spPr>
          <a:solidFill>
            <a:schemeClr val="accent1"/>
          </a:solidFill>
          <a:ln w="19050">
            <a:solidFill>
              <a:schemeClr val="lt1"/>
            </a:solidFill>
          </a:ln>
          <a:effectLst/>
        </c:spPr>
      </c:pivotFmt>
      <c:pivotFmt>
        <c:idx val="217"/>
        <c:spPr>
          <a:solidFill>
            <a:schemeClr val="accent1"/>
          </a:solidFill>
          <a:ln w="19050">
            <a:solidFill>
              <a:schemeClr val="lt1"/>
            </a:solidFill>
          </a:ln>
          <a:effectLst/>
        </c:spPr>
      </c:pivotFmt>
      <c:pivotFmt>
        <c:idx val="218"/>
        <c:spPr>
          <a:solidFill>
            <a:schemeClr val="accent1"/>
          </a:solidFill>
          <a:ln w="19050">
            <a:solidFill>
              <a:schemeClr val="lt1"/>
            </a:solidFill>
          </a:ln>
          <a:effectLst/>
        </c:spPr>
      </c:pivotFmt>
      <c:pivotFmt>
        <c:idx val="219"/>
        <c:spPr>
          <a:solidFill>
            <a:schemeClr val="accent1"/>
          </a:solidFill>
          <a:ln w="19050">
            <a:solidFill>
              <a:schemeClr val="lt1"/>
            </a:solidFill>
          </a:ln>
          <a:effectLst/>
        </c:spPr>
      </c:pivotFmt>
      <c:pivotFmt>
        <c:idx val="220"/>
        <c:spPr>
          <a:solidFill>
            <a:schemeClr val="accent1"/>
          </a:solidFill>
          <a:ln w="19050">
            <a:solidFill>
              <a:schemeClr val="lt1"/>
            </a:solidFill>
          </a:ln>
          <a:effectLst/>
        </c:spPr>
      </c:pivotFmt>
      <c:pivotFmt>
        <c:idx val="221"/>
        <c:spPr>
          <a:solidFill>
            <a:schemeClr val="accent1"/>
          </a:solidFill>
          <a:ln w="19050">
            <a:solidFill>
              <a:schemeClr val="lt1"/>
            </a:solidFill>
          </a:ln>
          <a:effectLst/>
        </c:spPr>
      </c:pivotFmt>
      <c:pivotFmt>
        <c:idx val="222"/>
        <c:spPr>
          <a:solidFill>
            <a:schemeClr val="accent1"/>
          </a:solidFill>
          <a:ln w="19050">
            <a:solidFill>
              <a:schemeClr val="lt1"/>
            </a:solidFill>
          </a:ln>
          <a:effectLst/>
        </c:spPr>
      </c:pivotFmt>
      <c:pivotFmt>
        <c:idx val="223"/>
        <c:spPr>
          <a:solidFill>
            <a:schemeClr val="accent1"/>
          </a:solidFill>
          <a:ln w="19050">
            <a:solidFill>
              <a:schemeClr val="lt1"/>
            </a:solidFill>
          </a:ln>
          <a:effectLst/>
        </c:spPr>
      </c:pivotFmt>
      <c:pivotFmt>
        <c:idx val="224"/>
        <c:spPr>
          <a:solidFill>
            <a:schemeClr val="accent1"/>
          </a:solidFill>
          <a:ln w="19050">
            <a:solidFill>
              <a:schemeClr val="lt1"/>
            </a:solidFill>
          </a:ln>
          <a:effectLst/>
        </c:spPr>
      </c:pivotFmt>
      <c:pivotFmt>
        <c:idx val="225"/>
        <c:spPr>
          <a:solidFill>
            <a:schemeClr val="accent1"/>
          </a:solidFill>
          <a:ln w="19050">
            <a:solidFill>
              <a:schemeClr val="lt1"/>
            </a:solidFill>
          </a:ln>
          <a:effectLst/>
        </c:spPr>
      </c:pivotFmt>
      <c:pivotFmt>
        <c:idx val="226"/>
        <c:spPr>
          <a:solidFill>
            <a:schemeClr val="accent1"/>
          </a:solidFill>
          <a:ln w="19050">
            <a:solidFill>
              <a:schemeClr val="lt1"/>
            </a:solidFill>
          </a:ln>
          <a:effectLst/>
        </c:spPr>
      </c:pivotFmt>
      <c:pivotFmt>
        <c:idx val="227"/>
        <c:spPr>
          <a:solidFill>
            <a:schemeClr val="accent1"/>
          </a:solidFill>
          <a:ln w="19050">
            <a:solidFill>
              <a:schemeClr val="lt1"/>
            </a:solidFill>
          </a:ln>
          <a:effectLst/>
        </c:spPr>
      </c:pivotFmt>
      <c:pivotFmt>
        <c:idx val="228"/>
        <c:spPr>
          <a:solidFill>
            <a:schemeClr val="accent1"/>
          </a:solidFill>
          <a:ln w="19050">
            <a:solidFill>
              <a:schemeClr val="lt1"/>
            </a:solidFill>
          </a:ln>
          <a:effectLst/>
        </c:spPr>
      </c:pivotFmt>
      <c:pivotFmt>
        <c:idx val="229"/>
        <c:spPr>
          <a:solidFill>
            <a:schemeClr val="accent1"/>
          </a:solidFill>
          <a:ln w="19050">
            <a:solidFill>
              <a:schemeClr val="lt1"/>
            </a:solidFill>
          </a:ln>
          <a:effectLst/>
        </c:spPr>
      </c:pivotFmt>
      <c:pivotFmt>
        <c:idx val="230"/>
        <c:spPr>
          <a:solidFill>
            <a:schemeClr val="accent1"/>
          </a:solidFill>
          <a:ln w="19050">
            <a:solidFill>
              <a:schemeClr val="lt1"/>
            </a:solidFill>
          </a:ln>
          <a:effectLst/>
        </c:spPr>
      </c:pivotFmt>
      <c:pivotFmt>
        <c:idx val="231"/>
        <c:spPr>
          <a:solidFill>
            <a:schemeClr val="accent1"/>
          </a:solidFill>
          <a:ln w="19050">
            <a:solidFill>
              <a:schemeClr val="lt1"/>
            </a:solidFill>
          </a:ln>
          <a:effectLst/>
        </c:spPr>
      </c:pivotFmt>
      <c:pivotFmt>
        <c:idx val="2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3"/>
        <c:spPr>
          <a:solidFill>
            <a:schemeClr val="accent1"/>
          </a:solidFill>
          <a:ln w="19050">
            <a:solidFill>
              <a:schemeClr val="lt1"/>
            </a:solidFill>
          </a:ln>
          <a:effectLst/>
        </c:spPr>
      </c:pivotFmt>
      <c:pivotFmt>
        <c:idx val="234"/>
        <c:spPr>
          <a:solidFill>
            <a:schemeClr val="accent1"/>
          </a:solidFill>
          <a:ln w="19050">
            <a:solidFill>
              <a:schemeClr val="lt1"/>
            </a:solidFill>
          </a:ln>
          <a:effectLst/>
        </c:spPr>
      </c:pivotFmt>
      <c:pivotFmt>
        <c:idx val="235"/>
        <c:spPr>
          <a:solidFill>
            <a:schemeClr val="accent1"/>
          </a:solidFill>
          <a:ln w="19050">
            <a:solidFill>
              <a:schemeClr val="lt1"/>
            </a:solidFill>
          </a:ln>
          <a:effectLst/>
        </c:spPr>
      </c:pivotFmt>
      <c:pivotFmt>
        <c:idx val="236"/>
        <c:spPr>
          <a:solidFill>
            <a:schemeClr val="accent1"/>
          </a:solidFill>
          <a:ln w="19050">
            <a:solidFill>
              <a:schemeClr val="lt1"/>
            </a:solidFill>
          </a:ln>
          <a:effectLst/>
        </c:spPr>
      </c:pivotFmt>
      <c:pivotFmt>
        <c:idx val="237"/>
        <c:spPr>
          <a:solidFill>
            <a:schemeClr val="accent1"/>
          </a:solidFill>
          <a:ln w="19050">
            <a:solidFill>
              <a:schemeClr val="lt1"/>
            </a:solidFill>
          </a:ln>
          <a:effectLst/>
        </c:spPr>
      </c:pivotFmt>
      <c:pivotFmt>
        <c:idx val="238"/>
        <c:spPr>
          <a:solidFill>
            <a:schemeClr val="accent1"/>
          </a:solidFill>
          <a:ln w="19050">
            <a:solidFill>
              <a:schemeClr val="lt1"/>
            </a:solidFill>
          </a:ln>
          <a:effectLst/>
        </c:spPr>
      </c:pivotFmt>
      <c:pivotFmt>
        <c:idx val="239"/>
        <c:spPr>
          <a:solidFill>
            <a:schemeClr val="accent1"/>
          </a:solidFill>
          <a:ln w="19050">
            <a:solidFill>
              <a:schemeClr val="lt1"/>
            </a:solidFill>
          </a:ln>
          <a:effectLst/>
        </c:spPr>
      </c:pivotFmt>
      <c:pivotFmt>
        <c:idx val="240"/>
        <c:spPr>
          <a:solidFill>
            <a:schemeClr val="accent1"/>
          </a:solidFill>
          <a:ln w="19050">
            <a:solidFill>
              <a:schemeClr val="lt1"/>
            </a:solidFill>
          </a:ln>
          <a:effectLst/>
        </c:spPr>
      </c:pivotFmt>
      <c:pivotFmt>
        <c:idx val="241"/>
        <c:spPr>
          <a:solidFill>
            <a:schemeClr val="accent1"/>
          </a:solidFill>
          <a:ln w="19050">
            <a:solidFill>
              <a:schemeClr val="lt1"/>
            </a:solidFill>
          </a:ln>
          <a:effectLst/>
        </c:spPr>
      </c:pivotFmt>
      <c:pivotFmt>
        <c:idx val="242"/>
        <c:spPr>
          <a:solidFill>
            <a:schemeClr val="accent1"/>
          </a:solidFill>
          <a:ln w="19050">
            <a:solidFill>
              <a:schemeClr val="lt1"/>
            </a:solidFill>
          </a:ln>
          <a:effectLst/>
        </c:spPr>
      </c:pivotFmt>
      <c:pivotFmt>
        <c:idx val="243"/>
        <c:spPr>
          <a:solidFill>
            <a:schemeClr val="accent1"/>
          </a:solidFill>
          <a:ln w="19050">
            <a:solidFill>
              <a:schemeClr val="lt1"/>
            </a:solidFill>
          </a:ln>
          <a:effectLst/>
        </c:spPr>
      </c:pivotFmt>
      <c:pivotFmt>
        <c:idx val="244"/>
        <c:spPr>
          <a:solidFill>
            <a:schemeClr val="accent1"/>
          </a:solidFill>
          <a:ln w="19050">
            <a:solidFill>
              <a:schemeClr val="lt1"/>
            </a:solidFill>
          </a:ln>
          <a:effectLst/>
        </c:spPr>
      </c:pivotFmt>
      <c:pivotFmt>
        <c:idx val="245"/>
        <c:spPr>
          <a:solidFill>
            <a:schemeClr val="accent1"/>
          </a:solidFill>
          <a:ln w="19050">
            <a:solidFill>
              <a:schemeClr val="lt1"/>
            </a:solidFill>
          </a:ln>
          <a:effectLst/>
        </c:spPr>
      </c:pivotFmt>
      <c:pivotFmt>
        <c:idx val="246"/>
        <c:spPr>
          <a:solidFill>
            <a:schemeClr val="accent1"/>
          </a:solidFill>
          <a:ln w="19050">
            <a:solidFill>
              <a:schemeClr val="lt1"/>
            </a:solidFill>
          </a:ln>
          <a:effectLst/>
        </c:spPr>
      </c:pivotFmt>
      <c:pivotFmt>
        <c:idx val="247"/>
        <c:spPr>
          <a:solidFill>
            <a:schemeClr val="accent1"/>
          </a:solidFill>
          <a:ln w="19050">
            <a:solidFill>
              <a:schemeClr val="lt1"/>
            </a:solidFill>
          </a:ln>
          <a:effectLst/>
        </c:spPr>
      </c:pivotFmt>
      <c:pivotFmt>
        <c:idx val="248"/>
        <c:spPr>
          <a:solidFill>
            <a:schemeClr val="accent1"/>
          </a:solidFill>
          <a:ln w="19050">
            <a:solidFill>
              <a:schemeClr val="lt1"/>
            </a:solidFill>
          </a:ln>
          <a:effectLst/>
        </c:spPr>
      </c:pivotFmt>
      <c:pivotFmt>
        <c:idx val="249"/>
        <c:spPr>
          <a:solidFill>
            <a:schemeClr val="accent1"/>
          </a:solidFill>
          <a:ln w="19050">
            <a:solidFill>
              <a:schemeClr val="lt1"/>
            </a:solidFill>
          </a:ln>
          <a:effectLst/>
        </c:spPr>
      </c:pivotFmt>
      <c:pivotFmt>
        <c:idx val="250"/>
        <c:spPr>
          <a:solidFill>
            <a:schemeClr val="accent1"/>
          </a:solidFill>
          <a:ln w="19050">
            <a:solidFill>
              <a:schemeClr val="lt1"/>
            </a:solidFill>
          </a:ln>
          <a:effectLst/>
        </c:spPr>
      </c:pivotFmt>
      <c:pivotFmt>
        <c:idx val="251"/>
        <c:spPr>
          <a:solidFill>
            <a:schemeClr val="accent1"/>
          </a:solidFill>
          <a:ln w="19050">
            <a:solidFill>
              <a:schemeClr val="lt1"/>
            </a:solidFill>
          </a:ln>
          <a:effectLst/>
        </c:spPr>
      </c:pivotFmt>
      <c:pivotFmt>
        <c:idx val="252"/>
        <c:spPr>
          <a:solidFill>
            <a:schemeClr val="accent1"/>
          </a:solidFill>
          <a:ln w="19050">
            <a:solidFill>
              <a:schemeClr val="lt1"/>
            </a:solidFill>
          </a:ln>
          <a:effectLst/>
        </c:spPr>
      </c:pivotFmt>
      <c:pivotFmt>
        <c:idx val="253"/>
        <c:spPr>
          <a:solidFill>
            <a:schemeClr val="accent1"/>
          </a:solidFill>
          <a:ln w="19050">
            <a:solidFill>
              <a:schemeClr val="lt1"/>
            </a:solidFill>
          </a:ln>
          <a:effectLst/>
        </c:spPr>
      </c:pivotFmt>
      <c:pivotFmt>
        <c:idx val="254"/>
        <c:spPr>
          <a:solidFill>
            <a:schemeClr val="accent1"/>
          </a:solidFill>
          <a:ln w="19050">
            <a:solidFill>
              <a:schemeClr val="lt1"/>
            </a:solidFill>
          </a:ln>
          <a:effectLst/>
        </c:spPr>
      </c:pivotFmt>
      <c:pivotFmt>
        <c:idx val="255"/>
        <c:spPr>
          <a:solidFill>
            <a:schemeClr val="accent1"/>
          </a:solidFill>
          <a:ln w="19050">
            <a:solidFill>
              <a:schemeClr val="lt1"/>
            </a:solidFill>
          </a:ln>
          <a:effectLst/>
        </c:spPr>
      </c:pivotFmt>
      <c:pivotFmt>
        <c:idx val="256"/>
        <c:spPr>
          <a:solidFill>
            <a:schemeClr val="accent1"/>
          </a:solidFill>
          <a:ln w="19050">
            <a:solidFill>
              <a:schemeClr val="lt1"/>
            </a:solidFill>
          </a:ln>
          <a:effectLst/>
        </c:spPr>
      </c:pivotFmt>
      <c:pivotFmt>
        <c:idx val="257"/>
        <c:spPr>
          <a:solidFill>
            <a:schemeClr val="accent1"/>
          </a:solidFill>
          <a:ln w="19050">
            <a:solidFill>
              <a:schemeClr val="lt1"/>
            </a:solidFill>
          </a:ln>
          <a:effectLst/>
        </c:spPr>
      </c:pivotFmt>
      <c:pivotFmt>
        <c:idx val="258"/>
        <c:spPr>
          <a:solidFill>
            <a:schemeClr val="accent1"/>
          </a:solidFill>
          <a:ln w="19050">
            <a:solidFill>
              <a:schemeClr val="lt1"/>
            </a:solidFill>
          </a:ln>
          <a:effectLst/>
        </c:spPr>
      </c:pivotFmt>
      <c:pivotFmt>
        <c:idx val="259"/>
        <c:spPr>
          <a:solidFill>
            <a:schemeClr val="accent1"/>
          </a:solidFill>
          <a:ln w="19050">
            <a:solidFill>
              <a:schemeClr val="lt1"/>
            </a:solidFill>
          </a:ln>
          <a:effectLst/>
        </c:spPr>
      </c:pivotFmt>
      <c:pivotFmt>
        <c:idx val="260"/>
        <c:spPr>
          <a:solidFill>
            <a:schemeClr val="accent1"/>
          </a:solidFill>
          <a:ln w="19050">
            <a:solidFill>
              <a:schemeClr val="lt1"/>
            </a:solidFill>
          </a:ln>
          <a:effectLst/>
        </c:spPr>
      </c:pivotFmt>
      <c:pivotFmt>
        <c:idx val="261"/>
        <c:spPr>
          <a:solidFill>
            <a:schemeClr val="accent1"/>
          </a:solidFill>
          <a:ln w="19050">
            <a:solidFill>
              <a:schemeClr val="lt1"/>
            </a:solidFill>
          </a:ln>
          <a:effectLst/>
        </c:spPr>
      </c:pivotFmt>
      <c:pivotFmt>
        <c:idx val="262"/>
        <c:spPr>
          <a:solidFill>
            <a:schemeClr val="accent1"/>
          </a:solidFill>
          <a:ln w="19050">
            <a:solidFill>
              <a:schemeClr val="lt1"/>
            </a:solidFill>
          </a:ln>
          <a:effectLst/>
        </c:spPr>
      </c:pivotFmt>
      <c:pivotFmt>
        <c:idx val="2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w="19050">
            <a:solidFill>
              <a:schemeClr val="lt1"/>
            </a:solidFill>
          </a:ln>
          <a:effectLst/>
        </c:spPr>
      </c:pivotFmt>
      <c:pivotFmt>
        <c:idx val="265"/>
        <c:spPr>
          <a:solidFill>
            <a:schemeClr val="accent1"/>
          </a:solidFill>
          <a:ln w="19050">
            <a:solidFill>
              <a:schemeClr val="lt1"/>
            </a:solidFill>
          </a:ln>
          <a:effectLst/>
        </c:spPr>
      </c:pivotFmt>
      <c:pivotFmt>
        <c:idx val="266"/>
        <c:spPr>
          <a:solidFill>
            <a:schemeClr val="accent1"/>
          </a:solidFill>
          <a:ln w="19050">
            <a:solidFill>
              <a:schemeClr val="lt1"/>
            </a:solidFill>
          </a:ln>
          <a:effectLst/>
        </c:spPr>
      </c:pivotFmt>
      <c:pivotFmt>
        <c:idx val="267"/>
        <c:spPr>
          <a:solidFill>
            <a:schemeClr val="accent1"/>
          </a:solidFill>
          <a:ln w="19050">
            <a:solidFill>
              <a:schemeClr val="lt1"/>
            </a:solidFill>
          </a:ln>
          <a:effectLst/>
        </c:spPr>
      </c:pivotFmt>
      <c:pivotFmt>
        <c:idx val="268"/>
        <c:spPr>
          <a:solidFill>
            <a:schemeClr val="accent1"/>
          </a:solidFill>
          <a:ln w="19050">
            <a:solidFill>
              <a:schemeClr val="lt1"/>
            </a:solidFill>
          </a:ln>
          <a:effectLst/>
        </c:spPr>
      </c:pivotFmt>
      <c:pivotFmt>
        <c:idx val="269"/>
        <c:spPr>
          <a:solidFill>
            <a:schemeClr val="accent1"/>
          </a:solidFill>
          <a:ln w="19050">
            <a:solidFill>
              <a:schemeClr val="lt1"/>
            </a:solidFill>
          </a:ln>
          <a:effectLst/>
        </c:spPr>
      </c:pivotFmt>
      <c:pivotFmt>
        <c:idx val="270"/>
        <c:spPr>
          <a:solidFill>
            <a:schemeClr val="accent1"/>
          </a:solidFill>
          <a:ln w="19050">
            <a:solidFill>
              <a:schemeClr val="lt1"/>
            </a:solidFill>
          </a:ln>
          <a:effectLst/>
        </c:spPr>
      </c:pivotFmt>
      <c:pivotFmt>
        <c:idx val="271"/>
        <c:spPr>
          <a:solidFill>
            <a:schemeClr val="accent1"/>
          </a:solidFill>
          <a:ln w="19050">
            <a:solidFill>
              <a:schemeClr val="lt1"/>
            </a:solidFill>
          </a:ln>
          <a:effectLst/>
        </c:spPr>
      </c:pivotFmt>
      <c:pivotFmt>
        <c:idx val="272"/>
        <c:spPr>
          <a:solidFill>
            <a:schemeClr val="accent1"/>
          </a:solidFill>
          <a:ln w="19050">
            <a:solidFill>
              <a:schemeClr val="lt1"/>
            </a:solidFill>
          </a:ln>
          <a:effectLst/>
        </c:spPr>
      </c:pivotFmt>
      <c:pivotFmt>
        <c:idx val="273"/>
        <c:spPr>
          <a:solidFill>
            <a:schemeClr val="accent1"/>
          </a:solidFill>
          <a:ln w="19050">
            <a:solidFill>
              <a:schemeClr val="lt1"/>
            </a:solidFill>
          </a:ln>
          <a:effectLst/>
        </c:spPr>
      </c:pivotFmt>
      <c:pivotFmt>
        <c:idx val="274"/>
        <c:spPr>
          <a:solidFill>
            <a:schemeClr val="accent1"/>
          </a:solidFill>
          <a:ln w="19050">
            <a:solidFill>
              <a:schemeClr val="lt1"/>
            </a:solidFill>
          </a:ln>
          <a:effectLst/>
        </c:spPr>
      </c:pivotFmt>
      <c:pivotFmt>
        <c:idx val="275"/>
        <c:spPr>
          <a:solidFill>
            <a:schemeClr val="accent1"/>
          </a:solidFill>
          <a:ln w="19050">
            <a:solidFill>
              <a:schemeClr val="lt1"/>
            </a:solidFill>
          </a:ln>
          <a:effectLst/>
        </c:spPr>
      </c:pivotFmt>
      <c:pivotFmt>
        <c:idx val="276"/>
        <c:spPr>
          <a:solidFill>
            <a:schemeClr val="accent1"/>
          </a:solidFill>
          <a:ln w="19050">
            <a:solidFill>
              <a:schemeClr val="lt1"/>
            </a:solidFill>
          </a:ln>
          <a:effectLst/>
        </c:spPr>
      </c:pivotFmt>
      <c:pivotFmt>
        <c:idx val="277"/>
        <c:spPr>
          <a:solidFill>
            <a:schemeClr val="accent1"/>
          </a:solidFill>
          <a:ln w="19050">
            <a:solidFill>
              <a:schemeClr val="lt1"/>
            </a:solidFill>
          </a:ln>
          <a:effectLst/>
        </c:spPr>
      </c:pivotFmt>
      <c:pivotFmt>
        <c:idx val="278"/>
        <c:spPr>
          <a:solidFill>
            <a:schemeClr val="accent1"/>
          </a:solidFill>
          <a:ln w="19050">
            <a:solidFill>
              <a:schemeClr val="lt1"/>
            </a:solidFill>
          </a:ln>
          <a:effectLst/>
        </c:spPr>
      </c:pivotFmt>
      <c:pivotFmt>
        <c:idx val="279"/>
        <c:spPr>
          <a:solidFill>
            <a:schemeClr val="accent1"/>
          </a:solidFill>
          <a:ln w="19050">
            <a:solidFill>
              <a:schemeClr val="lt1"/>
            </a:solidFill>
          </a:ln>
          <a:effectLst/>
        </c:spPr>
      </c:pivotFmt>
      <c:pivotFmt>
        <c:idx val="280"/>
        <c:spPr>
          <a:solidFill>
            <a:schemeClr val="accent1"/>
          </a:solidFill>
          <a:ln w="19050">
            <a:solidFill>
              <a:schemeClr val="lt1"/>
            </a:solidFill>
          </a:ln>
          <a:effectLst/>
        </c:spPr>
      </c:pivotFmt>
      <c:pivotFmt>
        <c:idx val="281"/>
        <c:spPr>
          <a:solidFill>
            <a:schemeClr val="accent1"/>
          </a:solidFill>
          <a:ln w="19050">
            <a:solidFill>
              <a:schemeClr val="lt1"/>
            </a:solidFill>
          </a:ln>
          <a:effectLst/>
        </c:spPr>
      </c:pivotFmt>
      <c:pivotFmt>
        <c:idx val="282"/>
        <c:spPr>
          <a:solidFill>
            <a:schemeClr val="accent1"/>
          </a:solidFill>
          <a:ln w="19050">
            <a:solidFill>
              <a:schemeClr val="lt1"/>
            </a:solidFill>
          </a:ln>
          <a:effectLst/>
        </c:spPr>
      </c:pivotFmt>
      <c:pivotFmt>
        <c:idx val="283"/>
        <c:spPr>
          <a:solidFill>
            <a:schemeClr val="accent1"/>
          </a:solidFill>
          <a:ln w="19050">
            <a:solidFill>
              <a:schemeClr val="lt1"/>
            </a:solidFill>
          </a:ln>
          <a:effectLst/>
        </c:spPr>
      </c:pivotFmt>
      <c:pivotFmt>
        <c:idx val="284"/>
        <c:spPr>
          <a:solidFill>
            <a:schemeClr val="accent1"/>
          </a:solidFill>
          <a:ln w="19050">
            <a:solidFill>
              <a:schemeClr val="lt1"/>
            </a:solidFill>
          </a:ln>
          <a:effectLst/>
        </c:spPr>
      </c:pivotFmt>
      <c:pivotFmt>
        <c:idx val="285"/>
        <c:spPr>
          <a:solidFill>
            <a:schemeClr val="accent1"/>
          </a:solidFill>
          <a:ln w="19050">
            <a:solidFill>
              <a:schemeClr val="lt1"/>
            </a:solidFill>
          </a:ln>
          <a:effectLst/>
        </c:spPr>
      </c:pivotFmt>
      <c:pivotFmt>
        <c:idx val="286"/>
        <c:spPr>
          <a:solidFill>
            <a:schemeClr val="accent1"/>
          </a:solidFill>
          <a:ln w="19050">
            <a:solidFill>
              <a:schemeClr val="lt1"/>
            </a:solidFill>
          </a:ln>
          <a:effectLst/>
        </c:spPr>
      </c:pivotFmt>
      <c:pivotFmt>
        <c:idx val="287"/>
        <c:spPr>
          <a:solidFill>
            <a:schemeClr val="accent1"/>
          </a:solidFill>
          <a:ln w="19050">
            <a:solidFill>
              <a:schemeClr val="lt1"/>
            </a:solidFill>
          </a:ln>
          <a:effectLst/>
        </c:spPr>
      </c:pivotFmt>
      <c:pivotFmt>
        <c:idx val="288"/>
        <c:spPr>
          <a:solidFill>
            <a:schemeClr val="accent1"/>
          </a:solidFill>
          <a:ln w="19050">
            <a:solidFill>
              <a:schemeClr val="lt1"/>
            </a:solidFill>
          </a:ln>
          <a:effectLst/>
        </c:spPr>
      </c:pivotFmt>
      <c:pivotFmt>
        <c:idx val="289"/>
        <c:spPr>
          <a:solidFill>
            <a:schemeClr val="accent1"/>
          </a:solidFill>
          <a:ln w="19050">
            <a:solidFill>
              <a:schemeClr val="lt1"/>
            </a:solidFill>
          </a:ln>
          <a:effectLst/>
        </c:spPr>
      </c:pivotFmt>
      <c:pivotFmt>
        <c:idx val="290"/>
        <c:spPr>
          <a:solidFill>
            <a:schemeClr val="accent1"/>
          </a:solidFill>
          <a:ln w="19050">
            <a:solidFill>
              <a:schemeClr val="lt1"/>
            </a:solidFill>
          </a:ln>
          <a:effectLst/>
        </c:spPr>
      </c:pivotFmt>
      <c:pivotFmt>
        <c:idx val="291"/>
        <c:spPr>
          <a:solidFill>
            <a:schemeClr val="accent1"/>
          </a:solidFill>
          <a:ln w="19050">
            <a:solidFill>
              <a:schemeClr val="lt1"/>
            </a:solidFill>
          </a:ln>
          <a:effectLst/>
        </c:spPr>
      </c:pivotFmt>
      <c:pivotFmt>
        <c:idx val="292"/>
        <c:spPr>
          <a:solidFill>
            <a:schemeClr val="accent1"/>
          </a:solidFill>
          <a:ln w="19050">
            <a:solidFill>
              <a:schemeClr val="lt1"/>
            </a:solidFill>
          </a:ln>
          <a:effectLst/>
        </c:spPr>
      </c:pivotFmt>
      <c:pivotFmt>
        <c:idx val="293"/>
        <c:spPr>
          <a:solidFill>
            <a:schemeClr val="accent1"/>
          </a:solidFill>
          <a:ln w="19050">
            <a:solidFill>
              <a:schemeClr val="lt1"/>
            </a:solidFill>
          </a:ln>
          <a:effectLst/>
        </c:spPr>
      </c:pivotFmt>
      <c:pivotFmt>
        <c:idx val="29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5"/>
        <c:spPr>
          <a:solidFill>
            <a:schemeClr val="accent1"/>
          </a:solidFill>
          <a:ln w="19050">
            <a:solidFill>
              <a:schemeClr val="lt1"/>
            </a:solidFill>
          </a:ln>
          <a:effectLst/>
        </c:spPr>
      </c:pivotFmt>
      <c:pivotFmt>
        <c:idx val="296"/>
        <c:spPr>
          <a:solidFill>
            <a:schemeClr val="accent1"/>
          </a:solidFill>
          <a:ln w="19050">
            <a:solidFill>
              <a:schemeClr val="lt1"/>
            </a:solidFill>
          </a:ln>
          <a:effectLst/>
        </c:spPr>
      </c:pivotFmt>
      <c:pivotFmt>
        <c:idx val="297"/>
        <c:spPr>
          <a:solidFill>
            <a:schemeClr val="accent1"/>
          </a:solidFill>
          <a:ln w="19050">
            <a:solidFill>
              <a:schemeClr val="lt1"/>
            </a:solidFill>
          </a:ln>
          <a:effectLst/>
        </c:spPr>
      </c:pivotFmt>
      <c:pivotFmt>
        <c:idx val="298"/>
        <c:spPr>
          <a:solidFill>
            <a:schemeClr val="accent1"/>
          </a:solidFill>
          <a:ln w="19050">
            <a:solidFill>
              <a:schemeClr val="lt1"/>
            </a:solidFill>
          </a:ln>
          <a:effectLst/>
        </c:spPr>
      </c:pivotFmt>
      <c:pivotFmt>
        <c:idx val="299"/>
        <c:spPr>
          <a:solidFill>
            <a:schemeClr val="accent1"/>
          </a:solidFill>
          <a:ln w="19050">
            <a:solidFill>
              <a:schemeClr val="lt1"/>
            </a:solidFill>
          </a:ln>
          <a:effectLst/>
        </c:spPr>
      </c:pivotFmt>
      <c:pivotFmt>
        <c:idx val="300"/>
        <c:spPr>
          <a:solidFill>
            <a:schemeClr val="accent1"/>
          </a:solidFill>
          <a:ln w="19050">
            <a:solidFill>
              <a:schemeClr val="lt1"/>
            </a:solidFill>
          </a:ln>
          <a:effectLst/>
        </c:spPr>
      </c:pivotFmt>
      <c:pivotFmt>
        <c:idx val="301"/>
        <c:spPr>
          <a:solidFill>
            <a:schemeClr val="accent1"/>
          </a:solidFill>
          <a:ln w="19050">
            <a:solidFill>
              <a:schemeClr val="lt1"/>
            </a:solidFill>
          </a:ln>
          <a:effectLst/>
        </c:spPr>
      </c:pivotFmt>
      <c:pivotFmt>
        <c:idx val="302"/>
        <c:spPr>
          <a:solidFill>
            <a:schemeClr val="accent1"/>
          </a:solidFill>
          <a:ln w="19050">
            <a:solidFill>
              <a:schemeClr val="lt1"/>
            </a:solidFill>
          </a:ln>
          <a:effectLst/>
        </c:spPr>
      </c:pivotFmt>
      <c:pivotFmt>
        <c:idx val="303"/>
        <c:spPr>
          <a:solidFill>
            <a:schemeClr val="accent1"/>
          </a:solidFill>
          <a:ln w="19050">
            <a:solidFill>
              <a:schemeClr val="lt1"/>
            </a:solidFill>
          </a:ln>
          <a:effectLst/>
        </c:spPr>
      </c:pivotFmt>
      <c:pivotFmt>
        <c:idx val="304"/>
        <c:spPr>
          <a:solidFill>
            <a:schemeClr val="accent1"/>
          </a:solidFill>
          <a:ln w="19050">
            <a:solidFill>
              <a:schemeClr val="lt1"/>
            </a:solidFill>
          </a:ln>
          <a:effectLst/>
        </c:spPr>
      </c:pivotFmt>
      <c:pivotFmt>
        <c:idx val="305"/>
        <c:spPr>
          <a:solidFill>
            <a:schemeClr val="accent1"/>
          </a:solidFill>
          <a:ln w="19050">
            <a:solidFill>
              <a:schemeClr val="lt1"/>
            </a:solidFill>
          </a:ln>
          <a:effectLst/>
        </c:spPr>
      </c:pivotFmt>
      <c:pivotFmt>
        <c:idx val="306"/>
        <c:spPr>
          <a:solidFill>
            <a:schemeClr val="accent1"/>
          </a:solidFill>
          <a:ln w="19050">
            <a:solidFill>
              <a:schemeClr val="lt1"/>
            </a:solidFill>
          </a:ln>
          <a:effectLst/>
        </c:spPr>
      </c:pivotFmt>
      <c:pivotFmt>
        <c:idx val="307"/>
        <c:spPr>
          <a:solidFill>
            <a:schemeClr val="accent1"/>
          </a:solidFill>
          <a:ln w="19050">
            <a:solidFill>
              <a:schemeClr val="lt1"/>
            </a:solidFill>
          </a:ln>
          <a:effectLst/>
        </c:spPr>
      </c:pivotFmt>
      <c:pivotFmt>
        <c:idx val="308"/>
        <c:spPr>
          <a:solidFill>
            <a:schemeClr val="accent1"/>
          </a:solidFill>
          <a:ln w="19050">
            <a:solidFill>
              <a:schemeClr val="lt1"/>
            </a:solidFill>
          </a:ln>
          <a:effectLst/>
        </c:spPr>
      </c:pivotFmt>
      <c:pivotFmt>
        <c:idx val="309"/>
        <c:spPr>
          <a:solidFill>
            <a:schemeClr val="accent1"/>
          </a:solidFill>
          <a:ln w="19050">
            <a:solidFill>
              <a:schemeClr val="lt1"/>
            </a:solidFill>
          </a:ln>
          <a:effectLst/>
        </c:spPr>
      </c:pivotFmt>
      <c:pivotFmt>
        <c:idx val="310"/>
        <c:spPr>
          <a:solidFill>
            <a:schemeClr val="accent1"/>
          </a:solidFill>
          <a:ln w="19050">
            <a:solidFill>
              <a:schemeClr val="lt1"/>
            </a:solidFill>
          </a:ln>
          <a:effectLst/>
        </c:spPr>
      </c:pivotFmt>
      <c:pivotFmt>
        <c:idx val="311"/>
        <c:spPr>
          <a:solidFill>
            <a:schemeClr val="accent1"/>
          </a:solidFill>
          <a:ln w="19050">
            <a:solidFill>
              <a:schemeClr val="lt1"/>
            </a:solidFill>
          </a:ln>
          <a:effectLst/>
        </c:spPr>
      </c:pivotFmt>
      <c:pivotFmt>
        <c:idx val="312"/>
        <c:spPr>
          <a:solidFill>
            <a:schemeClr val="accent1"/>
          </a:solidFill>
          <a:ln w="19050">
            <a:solidFill>
              <a:schemeClr val="lt1"/>
            </a:solidFill>
          </a:ln>
          <a:effectLst/>
        </c:spPr>
      </c:pivotFmt>
      <c:pivotFmt>
        <c:idx val="313"/>
        <c:spPr>
          <a:solidFill>
            <a:schemeClr val="accent1"/>
          </a:solidFill>
          <a:ln w="19050">
            <a:solidFill>
              <a:schemeClr val="lt1"/>
            </a:solidFill>
          </a:ln>
          <a:effectLst/>
        </c:spPr>
      </c:pivotFmt>
      <c:pivotFmt>
        <c:idx val="314"/>
        <c:spPr>
          <a:solidFill>
            <a:schemeClr val="accent1"/>
          </a:solidFill>
          <a:ln w="19050">
            <a:solidFill>
              <a:schemeClr val="lt1"/>
            </a:solidFill>
          </a:ln>
          <a:effectLst/>
        </c:spPr>
      </c:pivotFmt>
      <c:pivotFmt>
        <c:idx val="315"/>
        <c:spPr>
          <a:solidFill>
            <a:schemeClr val="accent1"/>
          </a:solidFill>
          <a:ln w="19050">
            <a:solidFill>
              <a:schemeClr val="lt1"/>
            </a:solidFill>
          </a:ln>
          <a:effectLst/>
        </c:spPr>
      </c:pivotFmt>
      <c:pivotFmt>
        <c:idx val="316"/>
        <c:spPr>
          <a:solidFill>
            <a:schemeClr val="accent1"/>
          </a:solidFill>
          <a:ln w="19050">
            <a:solidFill>
              <a:schemeClr val="lt1"/>
            </a:solidFill>
          </a:ln>
          <a:effectLst/>
        </c:spPr>
      </c:pivotFmt>
      <c:pivotFmt>
        <c:idx val="317"/>
        <c:spPr>
          <a:solidFill>
            <a:schemeClr val="accent1"/>
          </a:solidFill>
          <a:ln w="19050">
            <a:solidFill>
              <a:schemeClr val="lt1"/>
            </a:solidFill>
          </a:ln>
          <a:effectLst/>
        </c:spPr>
      </c:pivotFmt>
      <c:pivotFmt>
        <c:idx val="318"/>
        <c:spPr>
          <a:solidFill>
            <a:schemeClr val="accent1"/>
          </a:solidFill>
          <a:ln w="19050">
            <a:solidFill>
              <a:schemeClr val="lt1"/>
            </a:solidFill>
          </a:ln>
          <a:effectLst/>
        </c:spPr>
      </c:pivotFmt>
      <c:pivotFmt>
        <c:idx val="319"/>
        <c:spPr>
          <a:solidFill>
            <a:schemeClr val="accent1"/>
          </a:solidFill>
          <a:ln w="19050">
            <a:solidFill>
              <a:schemeClr val="lt1"/>
            </a:solidFill>
          </a:ln>
          <a:effectLst/>
        </c:spPr>
      </c:pivotFmt>
      <c:pivotFmt>
        <c:idx val="320"/>
        <c:spPr>
          <a:solidFill>
            <a:schemeClr val="accent1"/>
          </a:solidFill>
          <a:ln w="19050">
            <a:solidFill>
              <a:schemeClr val="lt1"/>
            </a:solidFill>
          </a:ln>
          <a:effectLst/>
        </c:spPr>
      </c:pivotFmt>
      <c:pivotFmt>
        <c:idx val="321"/>
        <c:spPr>
          <a:solidFill>
            <a:schemeClr val="accent1"/>
          </a:solidFill>
          <a:ln w="19050">
            <a:solidFill>
              <a:schemeClr val="lt1"/>
            </a:solidFill>
          </a:ln>
          <a:effectLst/>
        </c:spPr>
      </c:pivotFmt>
      <c:pivotFmt>
        <c:idx val="322"/>
        <c:spPr>
          <a:solidFill>
            <a:schemeClr val="accent1"/>
          </a:solidFill>
          <a:ln w="19050">
            <a:solidFill>
              <a:schemeClr val="lt1"/>
            </a:solidFill>
          </a:ln>
          <a:effectLst/>
        </c:spPr>
      </c:pivotFmt>
      <c:pivotFmt>
        <c:idx val="323"/>
        <c:spPr>
          <a:solidFill>
            <a:schemeClr val="accent1"/>
          </a:solidFill>
          <a:ln w="19050">
            <a:solidFill>
              <a:schemeClr val="lt1"/>
            </a:solidFill>
          </a:ln>
          <a:effectLst/>
        </c:spPr>
      </c:pivotFmt>
      <c:pivotFmt>
        <c:idx val="324"/>
        <c:spPr>
          <a:solidFill>
            <a:schemeClr val="accent1"/>
          </a:solidFill>
          <a:ln w="19050">
            <a:solidFill>
              <a:schemeClr val="lt1"/>
            </a:solidFill>
          </a:ln>
          <a:effectLst/>
        </c:spPr>
      </c:pivotFmt>
      <c:pivotFmt>
        <c:idx val="3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26"/>
        <c:spPr>
          <a:solidFill>
            <a:schemeClr val="accent1"/>
          </a:solidFill>
          <a:ln w="19050">
            <a:solidFill>
              <a:schemeClr val="lt1"/>
            </a:solidFill>
          </a:ln>
          <a:effectLst/>
        </c:spPr>
      </c:pivotFmt>
      <c:pivotFmt>
        <c:idx val="327"/>
        <c:spPr>
          <a:solidFill>
            <a:schemeClr val="accent1"/>
          </a:solidFill>
          <a:ln w="19050">
            <a:solidFill>
              <a:schemeClr val="lt1"/>
            </a:solidFill>
          </a:ln>
          <a:effectLst/>
        </c:spPr>
      </c:pivotFmt>
      <c:pivotFmt>
        <c:idx val="328"/>
        <c:spPr>
          <a:solidFill>
            <a:schemeClr val="accent1"/>
          </a:solidFill>
          <a:ln w="19050">
            <a:solidFill>
              <a:schemeClr val="lt1"/>
            </a:solidFill>
          </a:ln>
          <a:effectLst/>
        </c:spPr>
      </c:pivotFmt>
      <c:pivotFmt>
        <c:idx val="329"/>
        <c:spPr>
          <a:solidFill>
            <a:schemeClr val="accent1"/>
          </a:solidFill>
          <a:ln w="19050">
            <a:solidFill>
              <a:schemeClr val="lt1"/>
            </a:solidFill>
          </a:ln>
          <a:effectLst/>
        </c:spPr>
      </c:pivotFmt>
      <c:pivotFmt>
        <c:idx val="330"/>
        <c:spPr>
          <a:solidFill>
            <a:schemeClr val="accent1"/>
          </a:solidFill>
          <a:ln w="19050">
            <a:solidFill>
              <a:schemeClr val="lt1"/>
            </a:solidFill>
          </a:ln>
          <a:effectLst/>
        </c:spPr>
      </c:pivotFmt>
      <c:pivotFmt>
        <c:idx val="331"/>
        <c:spPr>
          <a:solidFill>
            <a:schemeClr val="accent1"/>
          </a:solidFill>
          <a:ln w="19050">
            <a:solidFill>
              <a:schemeClr val="lt1"/>
            </a:solidFill>
          </a:ln>
          <a:effectLst/>
        </c:spPr>
      </c:pivotFmt>
      <c:pivotFmt>
        <c:idx val="332"/>
        <c:spPr>
          <a:solidFill>
            <a:schemeClr val="accent1"/>
          </a:solidFill>
          <a:ln w="19050">
            <a:solidFill>
              <a:schemeClr val="lt1"/>
            </a:solidFill>
          </a:ln>
          <a:effectLst/>
        </c:spPr>
      </c:pivotFmt>
      <c:pivotFmt>
        <c:idx val="333"/>
        <c:spPr>
          <a:solidFill>
            <a:schemeClr val="accent1"/>
          </a:solidFill>
          <a:ln w="19050">
            <a:solidFill>
              <a:schemeClr val="lt1"/>
            </a:solidFill>
          </a:ln>
          <a:effectLst/>
        </c:spPr>
      </c:pivotFmt>
      <c:pivotFmt>
        <c:idx val="334"/>
        <c:spPr>
          <a:solidFill>
            <a:schemeClr val="accent1"/>
          </a:solidFill>
          <a:ln w="19050">
            <a:solidFill>
              <a:schemeClr val="lt1"/>
            </a:solidFill>
          </a:ln>
          <a:effectLst/>
        </c:spPr>
      </c:pivotFmt>
      <c:pivotFmt>
        <c:idx val="335"/>
        <c:spPr>
          <a:solidFill>
            <a:schemeClr val="accent1"/>
          </a:solidFill>
          <a:ln w="19050">
            <a:solidFill>
              <a:schemeClr val="lt1"/>
            </a:solidFill>
          </a:ln>
          <a:effectLst/>
        </c:spPr>
      </c:pivotFmt>
      <c:pivotFmt>
        <c:idx val="336"/>
        <c:spPr>
          <a:solidFill>
            <a:schemeClr val="accent1"/>
          </a:solidFill>
          <a:ln w="19050">
            <a:solidFill>
              <a:schemeClr val="lt1"/>
            </a:solidFill>
          </a:ln>
          <a:effectLst/>
        </c:spPr>
      </c:pivotFmt>
      <c:pivotFmt>
        <c:idx val="337"/>
        <c:spPr>
          <a:solidFill>
            <a:schemeClr val="accent1"/>
          </a:solidFill>
          <a:ln w="19050">
            <a:solidFill>
              <a:schemeClr val="lt1"/>
            </a:solidFill>
          </a:ln>
          <a:effectLst/>
        </c:spPr>
      </c:pivotFmt>
      <c:pivotFmt>
        <c:idx val="338"/>
        <c:spPr>
          <a:solidFill>
            <a:schemeClr val="accent1"/>
          </a:solidFill>
          <a:ln w="19050">
            <a:solidFill>
              <a:schemeClr val="lt1"/>
            </a:solidFill>
          </a:ln>
          <a:effectLst/>
        </c:spPr>
      </c:pivotFmt>
      <c:pivotFmt>
        <c:idx val="339"/>
        <c:spPr>
          <a:solidFill>
            <a:schemeClr val="accent1"/>
          </a:solidFill>
          <a:ln w="19050">
            <a:solidFill>
              <a:schemeClr val="lt1"/>
            </a:solidFill>
          </a:ln>
          <a:effectLst/>
        </c:spPr>
      </c:pivotFmt>
      <c:pivotFmt>
        <c:idx val="340"/>
        <c:spPr>
          <a:solidFill>
            <a:schemeClr val="accent1"/>
          </a:solidFill>
          <a:ln w="19050">
            <a:solidFill>
              <a:schemeClr val="lt1"/>
            </a:solidFill>
          </a:ln>
          <a:effectLst/>
        </c:spPr>
      </c:pivotFmt>
      <c:pivotFmt>
        <c:idx val="341"/>
        <c:spPr>
          <a:solidFill>
            <a:schemeClr val="accent1"/>
          </a:solidFill>
          <a:ln w="19050">
            <a:solidFill>
              <a:schemeClr val="lt1"/>
            </a:solidFill>
          </a:ln>
          <a:effectLst/>
        </c:spPr>
      </c:pivotFmt>
      <c:pivotFmt>
        <c:idx val="342"/>
        <c:spPr>
          <a:solidFill>
            <a:schemeClr val="accent1"/>
          </a:solidFill>
          <a:ln w="19050">
            <a:solidFill>
              <a:schemeClr val="lt1"/>
            </a:solidFill>
          </a:ln>
          <a:effectLst/>
        </c:spPr>
      </c:pivotFmt>
      <c:pivotFmt>
        <c:idx val="343"/>
        <c:spPr>
          <a:solidFill>
            <a:schemeClr val="accent1"/>
          </a:solidFill>
          <a:ln w="19050">
            <a:solidFill>
              <a:schemeClr val="lt1"/>
            </a:solidFill>
          </a:ln>
          <a:effectLst/>
        </c:spPr>
      </c:pivotFmt>
      <c:pivotFmt>
        <c:idx val="344"/>
        <c:spPr>
          <a:solidFill>
            <a:schemeClr val="accent1"/>
          </a:solidFill>
          <a:ln w="19050">
            <a:solidFill>
              <a:schemeClr val="lt1"/>
            </a:solidFill>
          </a:ln>
          <a:effectLst/>
        </c:spPr>
      </c:pivotFmt>
      <c:pivotFmt>
        <c:idx val="345"/>
        <c:spPr>
          <a:solidFill>
            <a:schemeClr val="accent1"/>
          </a:solidFill>
          <a:ln w="19050">
            <a:solidFill>
              <a:schemeClr val="lt1"/>
            </a:solidFill>
          </a:ln>
          <a:effectLst/>
        </c:spPr>
      </c:pivotFmt>
      <c:pivotFmt>
        <c:idx val="346"/>
        <c:spPr>
          <a:solidFill>
            <a:schemeClr val="accent1"/>
          </a:solidFill>
          <a:ln w="19050">
            <a:solidFill>
              <a:schemeClr val="lt1"/>
            </a:solidFill>
          </a:ln>
          <a:effectLst/>
        </c:spPr>
      </c:pivotFmt>
      <c:pivotFmt>
        <c:idx val="347"/>
        <c:spPr>
          <a:solidFill>
            <a:schemeClr val="accent1"/>
          </a:solidFill>
          <a:ln w="19050">
            <a:solidFill>
              <a:schemeClr val="lt1"/>
            </a:solidFill>
          </a:ln>
          <a:effectLst/>
        </c:spPr>
      </c:pivotFmt>
      <c:pivotFmt>
        <c:idx val="348"/>
        <c:spPr>
          <a:solidFill>
            <a:schemeClr val="accent1"/>
          </a:solidFill>
          <a:ln w="19050">
            <a:solidFill>
              <a:schemeClr val="lt1"/>
            </a:solidFill>
          </a:ln>
          <a:effectLst/>
        </c:spPr>
      </c:pivotFmt>
      <c:pivotFmt>
        <c:idx val="349"/>
        <c:spPr>
          <a:solidFill>
            <a:schemeClr val="accent1"/>
          </a:solidFill>
          <a:ln w="19050">
            <a:solidFill>
              <a:schemeClr val="lt1"/>
            </a:solidFill>
          </a:ln>
          <a:effectLst/>
        </c:spPr>
      </c:pivotFmt>
      <c:pivotFmt>
        <c:idx val="350"/>
        <c:spPr>
          <a:solidFill>
            <a:schemeClr val="accent1"/>
          </a:solidFill>
          <a:ln w="19050">
            <a:solidFill>
              <a:schemeClr val="lt1"/>
            </a:solidFill>
          </a:ln>
          <a:effectLst/>
        </c:spPr>
      </c:pivotFmt>
      <c:pivotFmt>
        <c:idx val="351"/>
        <c:spPr>
          <a:solidFill>
            <a:schemeClr val="accent1"/>
          </a:solidFill>
          <a:ln w="19050">
            <a:solidFill>
              <a:schemeClr val="lt1"/>
            </a:solidFill>
          </a:ln>
          <a:effectLst/>
        </c:spPr>
      </c:pivotFmt>
      <c:pivotFmt>
        <c:idx val="352"/>
        <c:spPr>
          <a:solidFill>
            <a:schemeClr val="accent1"/>
          </a:solidFill>
          <a:ln w="19050">
            <a:solidFill>
              <a:schemeClr val="lt1"/>
            </a:solidFill>
          </a:ln>
          <a:effectLst/>
        </c:spPr>
      </c:pivotFmt>
      <c:pivotFmt>
        <c:idx val="353"/>
        <c:spPr>
          <a:solidFill>
            <a:schemeClr val="accent1"/>
          </a:solidFill>
          <a:ln w="19050">
            <a:solidFill>
              <a:schemeClr val="lt1"/>
            </a:solidFill>
          </a:ln>
          <a:effectLst/>
        </c:spPr>
      </c:pivotFmt>
      <c:pivotFmt>
        <c:idx val="354"/>
        <c:spPr>
          <a:solidFill>
            <a:schemeClr val="accent1"/>
          </a:solidFill>
          <a:ln w="19050">
            <a:solidFill>
              <a:schemeClr val="lt1"/>
            </a:solidFill>
          </a:ln>
          <a:effectLst/>
        </c:spPr>
      </c:pivotFmt>
      <c:pivotFmt>
        <c:idx val="355"/>
        <c:spPr>
          <a:solidFill>
            <a:schemeClr val="accent1"/>
          </a:solidFill>
          <a:ln w="19050">
            <a:solidFill>
              <a:schemeClr val="lt1"/>
            </a:solidFill>
          </a:ln>
          <a:effectLst/>
        </c:spPr>
      </c:pivotFmt>
      <c:pivotFmt>
        <c:idx val="35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57"/>
        <c:spPr>
          <a:solidFill>
            <a:schemeClr val="accent1"/>
          </a:solidFill>
          <a:ln w="19050">
            <a:solidFill>
              <a:schemeClr val="lt1"/>
            </a:solidFill>
          </a:ln>
          <a:effectLst/>
        </c:spPr>
      </c:pivotFmt>
      <c:pivotFmt>
        <c:idx val="358"/>
        <c:spPr>
          <a:solidFill>
            <a:schemeClr val="accent1"/>
          </a:solidFill>
          <a:ln w="19050">
            <a:solidFill>
              <a:schemeClr val="lt1"/>
            </a:solidFill>
          </a:ln>
          <a:effectLst/>
        </c:spPr>
      </c:pivotFmt>
      <c:pivotFmt>
        <c:idx val="359"/>
        <c:spPr>
          <a:solidFill>
            <a:schemeClr val="accent1"/>
          </a:solidFill>
          <a:ln w="19050">
            <a:solidFill>
              <a:schemeClr val="lt1"/>
            </a:solidFill>
          </a:ln>
          <a:effectLst/>
        </c:spPr>
      </c:pivotFmt>
      <c:pivotFmt>
        <c:idx val="360"/>
        <c:spPr>
          <a:solidFill>
            <a:schemeClr val="accent1"/>
          </a:solidFill>
          <a:ln w="19050">
            <a:solidFill>
              <a:schemeClr val="lt1"/>
            </a:solidFill>
          </a:ln>
          <a:effectLst/>
        </c:spPr>
      </c:pivotFmt>
      <c:pivotFmt>
        <c:idx val="361"/>
        <c:spPr>
          <a:solidFill>
            <a:schemeClr val="accent1"/>
          </a:solidFill>
          <a:ln w="19050">
            <a:solidFill>
              <a:schemeClr val="lt1"/>
            </a:solidFill>
          </a:ln>
          <a:effectLst/>
        </c:spPr>
      </c:pivotFmt>
      <c:pivotFmt>
        <c:idx val="362"/>
        <c:spPr>
          <a:solidFill>
            <a:schemeClr val="accent1"/>
          </a:solidFill>
          <a:ln w="19050">
            <a:solidFill>
              <a:schemeClr val="lt1"/>
            </a:solidFill>
          </a:ln>
          <a:effectLst/>
        </c:spPr>
      </c:pivotFmt>
      <c:pivotFmt>
        <c:idx val="363"/>
        <c:spPr>
          <a:solidFill>
            <a:schemeClr val="accent1"/>
          </a:solidFill>
          <a:ln w="19050">
            <a:solidFill>
              <a:schemeClr val="lt1"/>
            </a:solidFill>
          </a:ln>
          <a:effectLst/>
        </c:spPr>
      </c:pivotFmt>
      <c:pivotFmt>
        <c:idx val="364"/>
        <c:spPr>
          <a:solidFill>
            <a:schemeClr val="accent1"/>
          </a:solidFill>
          <a:ln w="19050">
            <a:solidFill>
              <a:schemeClr val="lt1"/>
            </a:solidFill>
          </a:ln>
          <a:effectLst/>
        </c:spPr>
      </c:pivotFmt>
      <c:pivotFmt>
        <c:idx val="365"/>
        <c:spPr>
          <a:solidFill>
            <a:schemeClr val="accent1"/>
          </a:solidFill>
          <a:ln w="19050">
            <a:solidFill>
              <a:schemeClr val="lt1"/>
            </a:solidFill>
          </a:ln>
          <a:effectLst/>
        </c:spPr>
      </c:pivotFmt>
      <c:pivotFmt>
        <c:idx val="366"/>
        <c:spPr>
          <a:solidFill>
            <a:schemeClr val="accent1"/>
          </a:solidFill>
          <a:ln w="19050">
            <a:solidFill>
              <a:schemeClr val="lt1"/>
            </a:solidFill>
          </a:ln>
          <a:effectLst/>
        </c:spPr>
      </c:pivotFmt>
      <c:pivotFmt>
        <c:idx val="367"/>
        <c:spPr>
          <a:solidFill>
            <a:schemeClr val="accent1"/>
          </a:solidFill>
          <a:ln w="19050">
            <a:solidFill>
              <a:schemeClr val="lt1"/>
            </a:solidFill>
          </a:ln>
          <a:effectLst/>
        </c:spPr>
      </c:pivotFmt>
      <c:pivotFmt>
        <c:idx val="368"/>
        <c:spPr>
          <a:solidFill>
            <a:schemeClr val="accent1"/>
          </a:solidFill>
          <a:ln w="19050">
            <a:solidFill>
              <a:schemeClr val="lt1"/>
            </a:solidFill>
          </a:ln>
          <a:effectLst/>
        </c:spPr>
      </c:pivotFmt>
      <c:pivotFmt>
        <c:idx val="369"/>
        <c:spPr>
          <a:solidFill>
            <a:schemeClr val="accent1"/>
          </a:solidFill>
          <a:ln w="19050">
            <a:solidFill>
              <a:schemeClr val="lt1"/>
            </a:solidFill>
          </a:ln>
          <a:effectLst/>
        </c:spPr>
      </c:pivotFmt>
      <c:pivotFmt>
        <c:idx val="370"/>
        <c:spPr>
          <a:solidFill>
            <a:schemeClr val="accent1"/>
          </a:solidFill>
          <a:ln w="19050">
            <a:solidFill>
              <a:schemeClr val="lt1"/>
            </a:solidFill>
          </a:ln>
          <a:effectLst/>
        </c:spPr>
      </c:pivotFmt>
      <c:pivotFmt>
        <c:idx val="371"/>
        <c:spPr>
          <a:solidFill>
            <a:schemeClr val="accent1"/>
          </a:solidFill>
          <a:ln w="19050">
            <a:solidFill>
              <a:schemeClr val="lt1"/>
            </a:solidFill>
          </a:ln>
          <a:effectLst/>
        </c:spPr>
      </c:pivotFmt>
      <c:pivotFmt>
        <c:idx val="372"/>
        <c:spPr>
          <a:solidFill>
            <a:schemeClr val="accent1"/>
          </a:solidFill>
          <a:ln w="19050">
            <a:solidFill>
              <a:schemeClr val="lt1"/>
            </a:solidFill>
          </a:ln>
          <a:effectLst/>
        </c:spPr>
      </c:pivotFmt>
      <c:pivotFmt>
        <c:idx val="373"/>
        <c:spPr>
          <a:solidFill>
            <a:schemeClr val="accent1"/>
          </a:solidFill>
          <a:ln w="19050">
            <a:solidFill>
              <a:schemeClr val="lt1"/>
            </a:solidFill>
          </a:ln>
          <a:effectLst/>
        </c:spPr>
      </c:pivotFmt>
      <c:pivotFmt>
        <c:idx val="374"/>
        <c:spPr>
          <a:solidFill>
            <a:schemeClr val="accent1"/>
          </a:solidFill>
          <a:ln w="19050">
            <a:solidFill>
              <a:schemeClr val="lt1"/>
            </a:solidFill>
          </a:ln>
          <a:effectLst/>
        </c:spPr>
      </c:pivotFmt>
      <c:pivotFmt>
        <c:idx val="375"/>
        <c:spPr>
          <a:solidFill>
            <a:schemeClr val="accent1"/>
          </a:solidFill>
          <a:ln w="19050">
            <a:solidFill>
              <a:schemeClr val="lt1"/>
            </a:solidFill>
          </a:ln>
          <a:effectLst/>
        </c:spPr>
      </c:pivotFmt>
      <c:pivotFmt>
        <c:idx val="376"/>
        <c:spPr>
          <a:solidFill>
            <a:schemeClr val="accent1"/>
          </a:solidFill>
          <a:ln w="19050">
            <a:solidFill>
              <a:schemeClr val="lt1"/>
            </a:solidFill>
          </a:ln>
          <a:effectLst/>
        </c:spPr>
      </c:pivotFmt>
      <c:pivotFmt>
        <c:idx val="377"/>
        <c:spPr>
          <a:solidFill>
            <a:schemeClr val="accent1"/>
          </a:solidFill>
          <a:ln w="19050">
            <a:solidFill>
              <a:schemeClr val="lt1"/>
            </a:solidFill>
          </a:ln>
          <a:effectLst/>
        </c:spPr>
      </c:pivotFmt>
      <c:pivotFmt>
        <c:idx val="378"/>
        <c:spPr>
          <a:solidFill>
            <a:schemeClr val="accent1"/>
          </a:solidFill>
          <a:ln w="19050">
            <a:solidFill>
              <a:schemeClr val="lt1"/>
            </a:solidFill>
          </a:ln>
          <a:effectLst/>
        </c:spPr>
      </c:pivotFmt>
      <c:pivotFmt>
        <c:idx val="379"/>
        <c:spPr>
          <a:solidFill>
            <a:schemeClr val="accent1"/>
          </a:solidFill>
          <a:ln w="19050">
            <a:solidFill>
              <a:schemeClr val="lt1"/>
            </a:solidFill>
          </a:ln>
          <a:effectLst/>
        </c:spPr>
      </c:pivotFmt>
      <c:pivotFmt>
        <c:idx val="380"/>
        <c:spPr>
          <a:solidFill>
            <a:schemeClr val="accent1"/>
          </a:solidFill>
          <a:ln w="19050">
            <a:solidFill>
              <a:schemeClr val="lt1"/>
            </a:solidFill>
          </a:ln>
          <a:effectLst/>
        </c:spPr>
      </c:pivotFmt>
      <c:pivotFmt>
        <c:idx val="381"/>
        <c:spPr>
          <a:solidFill>
            <a:schemeClr val="accent1"/>
          </a:solidFill>
          <a:ln w="19050">
            <a:solidFill>
              <a:schemeClr val="lt1"/>
            </a:solidFill>
          </a:ln>
          <a:effectLst/>
        </c:spPr>
      </c:pivotFmt>
      <c:pivotFmt>
        <c:idx val="382"/>
        <c:spPr>
          <a:solidFill>
            <a:schemeClr val="accent1"/>
          </a:solidFill>
          <a:ln w="19050">
            <a:solidFill>
              <a:schemeClr val="lt1"/>
            </a:solidFill>
          </a:ln>
          <a:effectLst/>
        </c:spPr>
      </c:pivotFmt>
      <c:pivotFmt>
        <c:idx val="383"/>
        <c:spPr>
          <a:solidFill>
            <a:schemeClr val="accent1"/>
          </a:solidFill>
          <a:ln w="19050">
            <a:solidFill>
              <a:schemeClr val="lt1"/>
            </a:solidFill>
          </a:ln>
          <a:effectLst/>
        </c:spPr>
      </c:pivotFmt>
      <c:pivotFmt>
        <c:idx val="384"/>
        <c:spPr>
          <a:solidFill>
            <a:schemeClr val="accent1"/>
          </a:solidFill>
          <a:ln w="19050">
            <a:solidFill>
              <a:schemeClr val="lt1"/>
            </a:solidFill>
          </a:ln>
          <a:effectLst/>
        </c:spPr>
      </c:pivotFmt>
      <c:pivotFmt>
        <c:idx val="385"/>
        <c:spPr>
          <a:solidFill>
            <a:schemeClr val="accent1"/>
          </a:solidFill>
          <a:ln w="19050">
            <a:solidFill>
              <a:schemeClr val="lt1"/>
            </a:solidFill>
          </a:ln>
          <a:effectLst/>
        </c:spPr>
      </c:pivotFmt>
      <c:pivotFmt>
        <c:idx val="386"/>
        <c:spPr>
          <a:solidFill>
            <a:schemeClr val="accent1"/>
          </a:solidFill>
          <a:ln w="19050">
            <a:solidFill>
              <a:schemeClr val="lt1"/>
            </a:solidFill>
          </a:ln>
          <a:effectLst/>
        </c:spPr>
      </c:pivotFmt>
      <c:pivotFmt>
        <c:idx val="38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88"/>
        <c:spPr>
          <a:solidFill>
            <a:schemeClr val="accent1"/>
          </a:solidFill>
          <a:ln w="19050">
            <a:solidFill>
              <a:schemeClr val="lt1"/>
            </a:solidFill>
          </a:ln>
          <a:effectLst/>
        </c:spPr>
      </c:pivotFmt>
      <c:pivotFmt>
        <c:idx val="389"/>
        <c:spPr>
          <a:solidFill>
            <a:schemeClr val="accent1"/>
          </a:solidFill>
          <a:ln w="19050">
            <a:solidFill>
              <a:schemeClr val="lt1"/>
            </a:solidFill>
          </a:ln>
          <a:effectLst/>
        </c:spPr>
      </c:pivotFmt>
      <c:pivotFmt>
        <c:idx val="390"/>
        <c:spPr>
          <a:solidFill>
            <a:schemeClr val="accent1"/>
          </a:solidFill>
          <a:ln w="19050">
            <a:solidFill>
              <a:schemeClr val="lt1"/>
            </a:solidFill>
          </a:ln>
          <a:effectLst/>
        </c:spPr>
      </c:pivotFmt>
      <c:pivotFmt>
        <c:idx val="391"/>
        <c:spPr>
          <a:solidFill>
            <a:schemeClr val="accent1"/>
          </a:solidFill>
          <a:ln w="19050">
            <a:solidFill>
              <a:schemeClr val="lt1"/>
            </a:solidFill>
          </a:ln>
          <a:effectLst/>
        </c:spPr>
      </c:pivotFmt>
      <c:pivotFmt>
        <c:idx val="392"/>
        <c:spPr>
          <a:solidFill>
            <a:schemeClr val="accent1"/>
          </a:solidFill>
          <a:ln w="19050">
            <a:solidFill>
              <a:schemeClr val="lt1"/>
            </a:solidFill>
          </a:ln>
          <a:effectLst/>
        </c:spPr>
      </c:pivotFmt>
      <c:pivotFmt>
        <c:idx val="393"/>
        <c:spPr>
          <a:solidFill>
            <a:schemeClr val="accent1"/>
          </a:solidFill>
          <a:ln w="19050">
            <a:solidFill>
              <a:schemeClr val="lt1"/>
            </a:solidFill>
          </a:ln>
          <a:effectLst/>
        </c:spPr>
      </c:pivotFmt>
      <c:pivotFmt>
        <c:idx val="394"/>
        <c:spPr>
          <a:solidFill>
            <a:schemeClr val="accent1"/>
          </a:solidFill>
          <a:ln w="19050">
            <a:solidFill>
              <a:schemeClr val="lt1"/>
            </a:solidFill>
          </a:ln>
          <a:effectLst/>
        </c:spPr>
      </c:pivotFmt>
      <c:pivotFmt>
        <c:idx val="395"/>
        <c:spPr>
          <a:solidFill>
            <a:schemeClr val="accent1"/>
          </a:solidFill>
          <a:ln w="19050">
            <a:solidFill>
              <a:schemeClr val="lt1"/>
            </a:solidFill>
          </a:ln>
          <a:effectLst/>
        </c:spPr>
      </c:pivotFmt>
      <c:pivotFmt>
        <c:idx val="396"/>
        <c:spPr>
          <a:solidFill>
            <a:schemeClr val="accent1"/>
          </a:solidFill>
          <a:ln w="19050">
            <a:solidFill>
              <a:schemeClr val="lt1"/>
            </a:solidFill>
          </a:ln>
          <a:effectLst/>
        </c:spPr>
      </c:pivotFmt>
      <c:pivotFmt>
        <c:idx val="397"/>
        <c:spPr>
          <a:solidFill>
            <a:schemeClr val="accent1"/>
          </a:solidFill>
          <a:ln w="19050">
            <a:solidFill>
              <a:schemeClr val="lt1"/>
            </a:solidFill>
          </a:ln>
          <a:effectLst/>
        </c:spPr>
      </c:pivotFmt>
      <c:pivotFmt>
        <c:idx val="398"/>
        <c:spPr>
          <a:solidFill>
            <a:schemeClr val="accent1"/>
          </a:solidFill>
          <a:ln w="19050">
            <a:solidFill>
              <a:schemeClr val="lt1"/>
            </a:solidFill>
          </a:ln>
          <a:effectLst/>
        </c:spPr>
      </c:pivotFmt>
      <c:pivotFmt>
        <c:idx val="399"/>
        <c:spPr>
          <a:solidFill>
            <a:schemeClr val="accent1"/>
          </a:solidFill>
          <a:ln w="19050">
            <a:solidFill>
              <a:schemeClr val="lt1"/>
            </a:solidFill>
          </a:ln>
          <a:effectLst/>
        </c:spPr>
      </c:pivotFmt>
      <c:pivotFmt>
        <c:idx val="400"/>
        <c:spPr>
          <a:solidFill>
            <a:schemeClr val="accent1"/>
          </a:solidFill>
          <a:ln w="19050">
            <a:solidFill>
              <a:schemeClr val="lt1"/>
            </a:solidFill>
          </a:ln>
          <a:effectLst/>
        </c:spPr>
      </c:pivotFmt>
      <c:pivotFmt>
        <c:idx val="401"/>
        <c:spPr>
          <a:solidFill>
            <a:schemeClr val="accent1"/>
          </a:solidFill>
          <a:ln w="19050">
            <a:solidFill>
              <a:schemeClr val="lt1"/>
            </a:solidFill>
          </a:ln>
          <a:effectLst/>
        </c:spPr>
      </c:pivotFmt>
      <c:pivotFmt>
        <c:idx val="402"/>
        <c:spPr>
          <a:solidFill>
            <a:schemeClr val="accent1"/>
          </a:solidFill>
          <a:ln w="19050">
            <a:solidFill>
              <a:schemeClr val="lt1"/>
            </a:solidFill>
          </a:ln>
          <a:effectLst/>
        </c:spPr>
      </c:pivotFmt>
      <c:pivotFmt>
        <c:idx val="403"/>
        <c:spPr>
          <a:solidFill>
            <a:schemeClr val="accent1"/>
          </a:solidFill>
          <a:ln w="19050">
            <a:solidFill>
              <a:schemeClr val="lt1"/>
            </a:solidFill>
          </a:ln>
          <a:effectLst/>
        </c:spPr>
      </c:pivotFmt>
      <c:pivotFmt>
        <c:idx val="404"/>
        <c:spPr>
          <a:solidFill>
            <a:schemeClr val="accent1"/>
          </a:solidFill>
          <a:ln w="19050">
            <a:solidFill>
              <a:schemeClr val="lt1"/>
            </a:solidFill>
          </a:ln>
          <a:effectLst/>
        </c:spPr>
      </c:pivotFmt>
      <c:pivotFmt>
        <c:idx val="405"/>
        <c:spPr>
          <a:solidFill>
            <a:schemeClr val="accent1"/>
          </a:solidFill>
          <a:ln w="19050">
            <a:solidFill>
              <a:schemeClr val="lt1"/>
            </a:solidFill>
          </a:ln>
          <a:effectLst/>
        </c:spPr>
      </c:pivotFmt>
      <c:pivotFmt>
        <c:idx val="406"/>
        <c:spPr>
          <a:solidFill>
            <a:schemeClr val="accent1"/>
          </a:solidFill>
          <a:ln w="19050">
            <a:solidFill>
              <a:schemeClr val="lt1"/>
            </a:solidFill>
          </a:ln>
          <a:effectLst/>
        </c:spPr>
      </c:pivotFmt>
      <c:pivotFmt>
        <c:idx val="407"/>
        <c:spPr>
          <a:solidFill>
            <a:schemeClr val="accent1"/>
          </a:solidFill>
          <a:ln w="19050">
            <a:solidFill>
              <a:schemeClr val="lt1"/>
            </a:solidFill>
          </a:ln>
          <a:effectLst/>
        </c:spPr>
      </c:pivotFmt>
      <c:pivotFmt>
        <c:idx val="408"/>
        <c:spPr>
          <a:solidFill>
            <a:schemeClr val="accent1"/>
          </a:solidFill>
          <a:ln w="19050">
            <a:solidFill>
              <a:schemeClr val="lt1"/>
            </a:solidFill>
          </a:ln>
          <a:effectLst/>
        </c:spPr>
      </c:pivotFmt>
      <c:pivotFmt>
        <c:idx val="409"/>
        <c:spPr>
          <a:solidFill>
            <a:schemeClr val="accent1"/>
          </a:solidFill>
          <a:ln w="19050">
            <a:solidFill>
              <a:schemeClr val="lt1"/>
            </a:solidFill>
          </a:ln>
          <a:effectLst/>
        </c:spPr>
      </c:pivotFmt>
      <c:pivotFmt>
        <c:idx val="410"/>
        <c:spPr>
          <a:solidFill>
            <a:schemeClr val="accent1"/>
          </a:solidFill>
          <a:ln w="19050">
            <a:solidFill>
              <a:schemeClr val="lt1"/>
            </a:solidFill>
          </a:ln>
          <a:effectLst/>
        </c:spPr>
      </c:pivotFmt>
      <c:pivotFmt>
        <c:idx val="411"/>
        <c:spPr>
          <a:solidFill>
            <a:schemeClr val="accent1"/>
          </a:solidFill>
          <a:ln w="19050">
            <a:solidFill>
              <a:schemeClr val="lt1"/>
            </a:solidFill>
          </a:ln>
          <a:effectLst/>
        </c:spPr>
        <c:dLbl>
          <c:idx val="0"/>
          <c:layout>
            <c:manualLayout>
              <c:x val="-5.393379468030414E-2"/>
              <c:y val="1.9703639407278813E-2"/>
            </c:manualLayout>
          </c:layout>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2"/>
        <c:spPr>
          <a:solidFill>
            <a:schemeClr val="accent1"/>
          </a:solidFill>
          <a:ln w="19050">
            <a:solidFill>
              <a:schemeClr val="lt1"/>
            </a:solidFill>
          </a:ln>
          <a:effectLst/>
        </c:spPr>
      </c:pivotFmt>
      <c:pivotFmt>
        <c:idx val="413"/>
        <c:spPr>
          <a:solidFill>
            <a:schemeClr val="accent1"/>
          </a:solidFill>
          <a:ln w="19050">
            <a:solidFill>
              <a:schemeClr val="lt1"/>
            </a:solidFill>
          </a:ln>
          <a:effectLst/>
        </c:spPr>
      </c:pivotFmt>
      <c:pivotFmt>
        <c:idx val="414"/>
        <c:spPr>
          <a:solidFill>
            <a:schemeClr val="accent1"/>
          </a:solidFill>
          <a:ln w="19050">
            <a:solidFill>
              <a:schemeClr val="lt1"/>
            </a:solidFill>
          </a:ln>
          <a:effectLst/>
        </c:spPr>
      </c:pivotFmt>
      <c:pivotFmt>
        <c:idx val="415"/>
        <c:spPr>
          <a:solidFill>
            <a:schemeClr val="accent1"/>
          </a:solidFill>
          <a:ln w="19050">
            <a:solidFill>
              <a:schemeClr val="lt1"/>
            </a:solidFill>
          </a:ln>
          <a:effectLst/>
        </c:spPr>
      </c:pivotFmt>
      <c:pivotFmt>
        <c:idx val="416"/>
        <c:spPr>
          <a:solidFill>
            <a:schemeClr val="accent1"/>
          </a:solidFill>
          <a:ln w="19050">
            <a:solidFill>
              <a:schemeClr val="lt1"/>
            </a:solidFill>
          </a:ln>
          <a:effectLst/>
        </c:spPr>
      </c:pivotFmt>
      <c:pivotFmt>
        <c:idx val="417"/>
        <c:spPr>
          <a:solidFill>
            <a:schemeClr val="accent1"/>
          </a:solidFill>
          <a:ln w="19050">
            <a:solidFill>
              <a:schemeClr val="lt1"/>
            </a:solidFill>
          </a:ln>
          <a:effectLst/>
        </c:spPr>
      </c:pivotFmt>
      <c:pivotFmt>
        <c:idx val="4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9"/>
        <c:spPr>
          <a:solidFill>
            <a:schemeClr val="accent1">
              <a:tint val="35000"/>
            </a:schemeClr>
          </a:solidFill>
          <a:ln w="19050">
            <a:solidFill>
              <a:schemeClr val="lt1"/>
            </a:solidFill>
          </a:ln>
          <a:effectLst/>
        </c:spPr>
      </c:pivotFmt>
      <c:pivotFmt>
        <c:idx val="420"/>
        <c:spPr>
          <a:solidFill>
            <a:schemeClr val="accent1">
              <a:tint val="40000"/>
            </a:schemeClr>
          </a:solidFill>
          <a:ln w="19050">
            <a:solidFill>
              <a:schemeClr val="lt1"/>
            </a:solidFill>
          </a:ln>
          <a:effectLst/>
        </c:spPr>
      </c:pivotFmt>
      <c:pivotFmt>
        <c:idx val="421"/>
        <c:spPr>
          <a:solidFill>
            <a:schemeClr val="accent1">
              <a:tint val="44000"/>
            </a:schemeClr>
          </a:solidFill>
          <a:ln w="19050">
            <a:solidFill>
              <a:schemeClr val="lt1"/>
            </a:solidFill>
          </a:ln>
          <a:effectLst/>
        </c:spPr>
      </c:pivotFmt>
      <c:pivotFmt>
        <c:idx val="422"/>
        <c:spPr>
          <a:solidFill>
            <a:schemeClr val="accent1">
              <a:tint val="49000"/>
            </a:schemeClr>
          </a:solidFill>
          <a:ln w="19050">
            <a:solidFill>
              <a:schemeClr val="lt1"/>
            </a:solidFill>
          </a:ln>
          <a:effectLst/>
        </c:spPr>
      </c:pivotFmt>
      <c:pivotFmt>
        <c:idx val="423"/>
        <c:spPr>
          <a:solidFill>
            <a:schemeClr val="accent1">
              <a:tint val="53000"/>
            </a:schemeClr>
          </a:solidFill>
          <a:ln w="19050">
            <a:solidFill>
              <a:schemeClr val="lt1"/>
            </a:solidFill>
          </a:ln>
          <a:effectLst/>
        </c:spPr>
      </c:pivotFmt>
      <c:pivotFmt>
        <c:idx val="424"/>
        <c:spPr>
          <a:solidFill>
            <a:schemeClr val="accent1">
              <a:tint val="58000"/>
            </a:schemeClr>
          </a:solidFill>
          <a:ln w="19050">
            <a:solidFill>
              <a:schemeClr val="lt1"/>
            </a:solidFill>
          </a:ln>
          <a:effectLst/>
        </c:spPr>
      </c:pivotFmt>
      <c:pivotFmt>
        <c:idx val="425"/>
        <c:spPr>
          <a:solidFill>
            <a:schemeClr val="accent1">
              <a:tint val="62000"/>
            </a:schemeClr>
          </a:solidFill>
          <a:ln w="19050">
            <a:solidFill>
              <a:schemeClr val="lt1"/>
            </a:solidFill>
          </a:ln>
          <a:effectLst/>
        </c:spPr>
      </c:pivotFmt>
      <c:pivotFmt>
        <c:idx val="426"/>
        <c:spPr>
          <a:solidFill>
            <a:schemeClr val="accent1">
              <a:tint val="67000"/>
            </a:schemeClr>
          </a:solidFill>
          <a:ln w="19050">
            <a:solidFill>
              <a:schemeClr val="lt1"/>
            </a:solidFill>
          </a:ln>
          <a:effectLst/>
        </c:spPr>
      </c:pivotFmt>
      <c:pivotFmt>
        <c:idx val="427"/>
        <c:spPr>
          <a:solidFill>
            <a:schemeClr val="accent1">
              <a:tint val="71000"/>
            </a:schemeClr>
          </a:solidFill>
          <a:ln w="19050">
            <a:solidFill>
              <a:schemeClr val="lt1"/>
            </a:solidFill>
          </a:ln>
          <a:effectLst/>
        </c:spPr>
      </c:pivotFmt>
      <c:pivotFmt>
        <c:idx val="428"/>
        <c:spPr>
          <a:solidFill>
            <a:schemeClr val="accent1">
              <a:tint val="76000"/>
            </a:schemeClr>
          </a:solidFill>
          <a:ln w="19050">
            <a:solidFill>
              <a:schemeClr val="lt1"/>
            </a:solidFill>
          </a:ln>
          <a:effectLst/>
        </c:spPr>
      </c:pivotFmt>
      <c:pivotFmt>
        <c:idx val="429"/>
        <c:spPr>
          <a:solidFill>
            <a:schemeClr val="accent1">
              <a:tint val="80000"/>
            </a:schemeClr>
          </a:solidFill>
          <a:ln w="19050">
            <a:solidFill>
              <a:schemeClr val="lt1"/>
            </a:solidFill>
          </a:ln>
          <a:effectLst/>
        </c:spPr>
      </c:pivotFmt>
      <c:pivotFmt>
        <c:idx val="430"/>
        <c:spPr>
          <a:solidFill>
            <a:schemeClr val="accent1">
              <a:tint val="85000"/>
            </a:schemeClr>
          </a:solidFill>
          <a:ln w="19050">
            <a:solidFill>
              <a:schemeClr val="lt1"/>
            </a:solidFill>
          </a:ln>
          <a:effectLst/>
        </c:spPr>
      </c:pivotFmt>
      <c:pivotFmt>
        <c:idx val="431"/>
        <c:spPr>
          <a:solidFill>
            <a:schemeClr val="accent1">
              <a:tint val="89000"/>
            </a:schemeClr>
          </a:solidFill>
          <a:ln w="19050">
            <a:solidFill>
              <a:schemeClr val="lt1"/>
            </a:solidFill>
          </a:ln>
          <a:effectLst/>
        </c:spPr>
      </c:pivotFmt>
      <c:pivotFmt>
        <c:idx val="432"/>
        <c:spPr>
          <a:solidFill>
            <a:schemeClr val="accent1">
              <a:tint val="94000"/>
            </a:schemeClr>
          </a:solidFill>
          <a:ln w="19050">
            <a:solidFill>
              <a:schemeClr val="lt1"/>
            </a:solidFill>
          </a:ln>
          <a:effectLst/>
        </c:spPr>
      </c:pivotFmt>
      <c:pivotFmt>
        <c:idx val="433"/>
        <c:spPr>
          <a:solidFill>
            <a:schemeClr val="accent1">
              <a:tint val="98000"/>
            </a:schemeClr>
          </a:solidFill>
          <a:ln w="19050">
            <a:solidFill>
              <a:schemeClr val="lt1"/>
            </a:solidFill>
          </a:ln>
          <a:effectLst/>
        </c:spPr>
      </c:pivotFmt>
      <c:pivotFmt>
        <c:idx val="434"/>
        <c:spPr>
          <a:solidFill>
            <a:schemeClr val="accent1">
              <a:shade val="97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35"/>
        <c:spPr>
          <a:solidFill>
            <a:schemeClr val="accent1">
              <a:shade val="93000"/>
            </a:schemeClr>
          </a:solidFill>
          <a:ln w="19050">
            <a:solidFill>
              <a:schemeClr val="lt1"/>
            </a:solidFill>
          </a:ln>
          <a:effectLst/>
        </c:spPr>
      </c:pivotFmt>
      <c:pivotFmt>
        <c:idx val="436"/>
        <c:spPr>
          <a:solidFill>
            <a:schemeClr val="accent1">
              <a:shade val="88000"/>
            </a:schemeClr>
          </a:solidFill>
          <a:ln w="19050">
            <a:solidFill>
              <a:schemeClr val="lt1"/>
            </a:solidFill>
          </a:ln>
          <a:effectLst/>
        </c:spPr>
      </c:pivotFmt>
      <c:pivotFmt>
        <c:idx val="437"/>
        <c:spPr>
          <a:solidFill>
            <a:schemeClr val="accent1">
              <a:shade val="84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38"/>
        <c:spPr>
          <a:solidFill>
            <a:schemeClr val="accent1">
              <a:shade val="79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39"/>
        <c:spPr>
          <a:solidFill>
            <a:schemeClr val="accent1">
              <a:shade val="75000"/>
            </a:schemeClr>
          </a:solidFill>
          <a:ln w="19050">
            <a:solidFill>
              <a:schemeClr val="lt1"/>
            </a:solidFill>
          </a:ln>
          <a:effectLst/>
        </c:spPr>
      </c:pivotFmt>
      <c:pivotFmt>
        <c:idx val="440"/>
        <c:spPr>
          <a:solidFill>
            <a:schemeClr val="accent1">
              <a:shade val="70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41"/>
        <c:spPr>
          <a:solidFill>
            <a:schemeClr val="accent1">
              <a:shade val="66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42"/>
        <c:spPr>
          <a:solidFill>
            <a:schemeClr val="accent1">
              <a:shade val="61000"/>
            </a:schemeClr>
          </a:solidFill>
          <a:ln w="19050">
            <a:solidFill>
              <a:schemeClr val="lt1"/>
            </a:solidFill>
          </a:ln>
          <a:effectLst/>
        </c:spPr>
      </c:pivotFmt>
      <c:pivotFmt>
        <c:idx val="443"/>
        <c:spPr>
          <a:solidFill>
            <a:schemeClr val="accent1">
              <a:shade val="57000"/>
            </a:schemeClr>
          </a:solidFill>
          <a:ln w="19050">
            <a:solidFill>
              <a:schemeClr val="lt1"/>
            </a:solidFill>
          </a:ln>
          <a:effectLst/>
        </c:spPr>
      </c:pivotFmt>
      <c:pivotFmt>
        <c:idx val="444"/>
        <c:spPr>
          <a:solidFill>
            <a:schemeClr val="accent1">
              <a:shade val="52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45"/>
        <c:spPr>
          <a:solidFill>
            <a:schemeClr val="accent1">
              <a:shade val="48000"/>
            </a:schemeClr>
          </a:solidFill>
          <a:ln w="19050">
            <a:solidFill>
              <a:schemeClr val="lt1"/>
            </a:solidFill>
          </a:ln>
          <a:effectLst/>
        </c:spPr>
      </c:pivotFmt>
      <c:pivotFmt>
        <c:idx val="446"/>
        <c:spPr>
          <a:solidFill>
            <a:schemeClr val="accent1">
              <a:shade val="43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47"/>
        <c:spPr>
          <a:solidFill>
            <a:schemeClr val="accent1">
              <a:shade val="39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48"/>
        <c:spPr>
          <a:solidFill>
            <a:schemeClr val="accent1">
              <a:shade val="34000"/>
            </a:schemeClr>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Lst>
        </c:dLbl>
      </c:pivotFmt>
      <c:pivotFmt>
        <c:idx val="4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0"/>
        <c:spPr>
          <a:solidFill>
            <a:schemeClr val="accent1">
              <a:tint val="35000"/>
            </a:schemeClr>
          </a:solidFill>
          <a:ln w="19050">
            <a:solidFill>
              <a:schemeClr val="lt1"/>
            </a:solidFill>
          </a:ln>
          <a:effectLst/>
        </c:spPr>
      </c:pivotFmt>
      <c:pivotFmt>
        <c:idx val="451"/>
        <c:spPr>
          <a:solidFill>
            <a:schemeClr val="accent1">
              <a:tint val="40000"/>
            </a:schemeClr>
          </a:solidFill>
          <a:ln w="19050">
            <a:solidFill>
              <a:schemeClr val="lt1"/>
            </a:solidFill>
          </a:ln>
          <a:effectLst/>
        </c:spPr>
      </c:pivotFmt>
      <c:pivotFmt>
        <c:idx val="452"/>
        <c:spPr>
          <a:solidFill>
            <a:schemeClr val="accent1">
              <a:tint val="44000"/>
            </a:schemeClr>
          </a:solidFill>
          <a:ln w="19050">
            <a:solidFill>
              <a:schemeClr val="lt1"/>
            </a:solidFill>
          </a:ln>
          <a:effectLst/>
        </c:spPr>
      </c:pivotFmt>
      <c:pivotFmt>
        <c:idx val="453"/>
        <c:spPr>
          <a:solidFill>
            <a:schemeClr val="accent1">
              <a:tint val="49000"/>
            </a:schemeClr>
          </a:solidFill>
          <a:ln w="19050">
            <a:solidFill>
              <a:schemeClr val="lt1"/>
            </a:solidFill>
          </a:ln>
          <a:effectLst/>
        </c:spPr>
      </c:pivotFmt>
      <c:pivotFmt>
        <c:idx val="454"/>
        <c:spPr>
          <a:solidFill>
            <a:schemeClr val="accent1">
              <a:tint val="53000"/>
            </a:schemeClr>
          </a:solidFill>
          <a:ln w="19050">
            <a:solidFill>
              <a:schemeClr val="lt1"/>
            </a:solidFill>
          </a:ln>
          <a:effectLst/>
        </c:spPr>
      </c:pivotFmt>
      <c:pivotFmt>
        <c:idx val="455"/>
        <c:spPr>
          <a:solidFill>
            <a:schemeClr val="accent1">
              <a:tint val="58000"/>
            </a:schemeClr>
          </a:solidFill>
          <a:ln w="19050">
            <a:solidFill>
              <a:schemeClr val="lt1"/>
            </a:solidFill>
          </a:ln>
          <a:effectLst/>
        </c:spPr>
      </c:pivotFmt>
      <c:pivotFmt>
        <c:idx val="456"/>
        <c:spPr>
          <a:solidFill>
            <a:schemeClr val="accent1">
              <a:tint val="62000"/>
            </a:schemeClr>
          </a:solidFill>
          <a:ln w="19050">
            <a:solidFill>
              <a:schemeClr val="lt1"/>
            </a:solidFill>
          </a:ln>
          <a:effectLst/>
        </c:spPr>
      </c:pivotFmt>
      <c:pivotFmt>
        <c:idx val="457"/>
        <c:spPr>
          <a:solidFill>
            <a:schemeClr val="accent1">
              <a:tint val="67000"/>
            </a:schemeClr>
          </a:solidFill>
          <a:ln w="19050">
            <a:solidFill>
              <a:schemeClr val="lt1"/>
            </a:solidFill>
          </a:ln>
          <a:effectLst/>
        </c:spPr>
      </c:pivotFmt>
      <c:pivotFmt>
        <c:idx val="458"/>
        <c:spPr>
          <a:solidFill>
            <a:schemeClr val="accent1">
              <a:tint val="71000"/>
            </a:schemeClr>
          </a:solidFill>
          <a:ln w="19050">
            <a:solidFill>
              <a:schemeClr val="lt1"/>
            </a:solidFill>
          </a:ln>
          <a:effectLst/>
        </c:spPr>
      </c:pivotFmt>
      <c:pivotFmt>
        <c:idx val="459"/>
        <c:spPr>
          <a:solidFill>
            <a:schemeClr val="accent1">
              <a:tint val="76000"/>
            </a:schemeClr>
          </a:solidFill>
          <a:ln w="19050">
            <a:solidFill>
              <a:schemeClr val="lt1"/>
            </a:solidFill>
          </a:ln>
          <a:effectLst/>
        </c:spPr>
      </c:pivotFmt>
      <c:pivotFmt>
        <c:idx val="460"/>
        <c:spPr>
          <a:solidFill>
            <a:schemeClr val="accent1">
              <a:tint val="80000"/>
            </a:schemeClr>
          </a:solidFill>
          <a:ln w="19050">
            <a:solidFill>
              <a:schemeClr val="lt1"/>
            </a:solidFill>
          </a:ln>
          <a:effectLst/>
        </c:spPr>
      </c:pivotFmt>
      <c:pivotFmt>
        <c:idx val="461"/>
        <c:spPr>
          <a:solidFill>
            <a:schemeClr val="accent1">
              <a:tint val="85000"/>
            </a:schemeClr>
          </a:solidFill>
          <a:ln w="19050">
            <a:solidFill>
              <a:schemeClr val="lt1"/>
            </a:solidFill>
          </a:ln>
          <a:effectLst/>
        </c:spPr>
      </c:pivotFmt>
      <c:pivotFmt>
        <c:idx val="462"/>
        <c:spPr>
          <a:solidFill>
            <a:schemeClr val="accent1">
              <a:tint val="89000"/>
            </a:schemeClr>
          </a:solidFill>
          <a:ln w="19050">
            <a:solidFill>
              <a:schemeClr val="lt1"/>
            </a:solidFill>
          </a:ln>
          <a:effectLst/>
        </c:spPr>
      </c:pivotFmt>
      <c:pivotFmt>
        <c:idx val="463"/>
        <c:spPr>
          <a:solidFill>
            <a:schemeClr val="accent1">
              <a:tint val="94000"/>
            </a:schemeClr>
          </a:solidFill>
          <a:ln w="19050">
            <a:solidFill>
              <a:schemeClr val="lt1"/>
            </a:solidFill>
          </a:ln>
          <a:effectLst/>
        </c:spPr>
      </c:pivotFmt>
      <c:pivotFmt>
        <c:idx val="464"/>
        <c:spPr>
          <a:solidFill>
            <a:schemeClr val="accent1">
              <a:tint val="98000"/>
            </a:schemeClr>
          </a:solidFill>
          <a:ln w="19050">
            <a:solidFill>
              <a:schemeClr val="lt1"/>
            </a:solidFill>
          </a:ln>
          <a:effectLst/>
        </c:spPr>
      </c:pivotFmt>
      <c:pivotFmt>
        <c:idx val="465"/>
        <c:spPr>
          <a:solidFill>
            <a:schemeClr val="accent1">
              <a:shade val="97000"/>
            </a:schemeClr>
          </a:solidFill>
          <a:ln w="19050">
            <a:solidFill>
              <a:schemeClr val="lt1"/>
            </a:solidFill>
          </a:ln>
          <a:effectLst/>
        </c:spPr>
      </c:pivotFmt>
      <c:pivotFmt>
        <c:idx val="466"/>
        <c:spPr>
          <a:solidFill>
            <a:schemeClr val="accent1">
              <a:shade val="93000"/>
            </a:schemeClr>
          </a:solidFill>
          <a:ln w="19050">
            <a:solidFill>
              <a:schemeClr val="lt1"/>
            </a:solidFill>
          </a:ln>
          <a:effectLst/>
        </c:spPr>
      </c:pivotFmt>
      <c:pivotFmt>
        <c:idx val="467"/>
        <c:spPr>
          <a:solidFill>
            <a:schemeClr val="accent1">
              <a:shade val="88000"/>
            </a:schemeClr>
          </a:solidFill>
          <a:ln w="19050">
            <a:solidFill>
              <a:schemeClr val="lt1"/>
            </a:solidFill>
          </a:ln>
          <a:effectLst/>
        </c:spPr>
      </c:pivotFmt>
      <c:pivotFmt>
        <c:idx val="468"/>
        <c:spPr>
          <a:solidFill>
            <a:schemeClr val="accent1">
              <a:shade val="84000"/>
            </a:schemeClr>
          </a:solidFill>
          <a:ln w="19050">
            <a:solidFill>
              <a:schemeClr val="lt1"/>
            </a:solidFill>
          </a:ln>
          <a:effectLst/>
        </c:spPr>
      </c:pivotFmt>
      <c:pivotFmt>
        <c:idx val="469"/>
        <c:spPr>
          <a:solidFill>
            <a:schemeClr val="accent1">
              <a:shade val="79000"/>
            </a:schemeClr>
          </a:solidFill>
          <a:ln w="19050">
            <a:solidFill>
              <a:schemeClr val="lt1"/>
            </a:solidFill>
          </a:ln>
          <a:effectLst/>
        </c:spPr>
      </c:pivotFmt>
      <c:pivotFmt>
        <c:idx val="470"/>
        <c:spPr>
          <a:solidFill>
            <a:schemeClr val="accent1">
              <a:shade val="75000"/>
            </a:schemeClr>
          </a:solidFill>
          <a:ln w="19050">
            <a:solidFill>
              <a:schemeClr val="lt1"/>
            </a:solidFill>
          </a:ln>
          <a:effectLst/>
        </c:spPr>
      </c:pivotFmt>
      <c:pivotFmt>
        <c:idx val="471"/>
        <c:spPr>
          <a:solidFill>
            <a:schemeClr val="accent1">
              <a:shade val="70000"/>
            </a:schemeClr>
          </a:solidFill>
          <a:ln w="19050">
            <a:solidFill>
              <a:schemeClr val="lt1"/>
            </a:solidFill>
          </a:ln>
          <a:effectLst/>
        </c:spPr>
      </c:pivotFmt>
      <c:pivotFmt>
        <c:idx val="472"/>
        <c:spPr>
          <a:solidFill>
            <a:schemeClr val="accent1">
              <a:shade val="66000"/>
            </a:schemeClr>
          </a:solidFill>
          <a:ln w="19050">
            <a:solidFill>
              <a:schemeClr val="lt1"/>
            </a:solidFill>
          </a:ln>
          <a:effectLst/>
        </c:spPr>
      </c:pivotFmt>
      <c:pivotFmt>
        <c:idx val="473"/>
        <c:spPr>
          <a:solidFill>
            <a:schemeClr val="accent1">
              <a:shade val="61000"/>
            </a:schemeClr>
          </a:solidFill>
          <a:ln w="19050">
            <a:solidFill>
              <a:schemeClr val="lt1"/>
            </a:solidFill>
          </a:ln>
          <a:effectLst/>
        </c:spPr>
      </c:pivotFmt>
      <c:pivotFmt>
        <c:idx val="474"/>
        <c:spPr>
          <a:solidFill>
            <a:schemeClr val="accent1">
              <a:shade val="57000"/>
            </a:schemeClr>
          </a:solidFill>
          <a:ln w="19050">
            <a:solidFill>
              <a:schemeClr val="lt1"/>
            </a:solidFill>
          </a:ln>
          <a:effectLst/>
        </c:spPr>
      </c:pivotFmt>
      <c:pivotFmt>
        <c:idx val="475"/>
        <c:spPr>
          <a:solidFill>
            <a:schemeClr val="accent1">
              <a:shade val="52000"/>
            </a:schemeClr>
          </a:solidFill>
          <a:ln w="19050">
            <a:solidFill>
              <a:schemeClr val="lt1"/>
            </a:solidFill>
          </a:ln>
          <a:effectLst/>
        </c:spPr>
      </c:pivotFmt>
      <c:pivotFmt>
        <c:idx val="476"/>
        <c:spPr>
          <a:solidFill>
            <a:schemeClr val="accent1">
              <a:shade val="48000"/>
            </a:schemeClr>
          </a:solidFill>
          <a:ln w="19050">
            <a:solidFill>
              <a:schemeClr val="lt1"/>
            </a:solidFill>
          </a:ln>
          <a:effectLst/>
        </c:spPr>
      </c:pivotFmt>
      <c:pivotFmt>
        <c:idx val="477"/>
        <c:spPr>
          <a:solidFill>
            <a:schemeClr val="accent1">
              <a:shade val="43000"/>
            </a:schemeClr>
          </a:solidFill>
          <a:ln w="19050">
            <a:solidFill>
              <a:schemeClr val="lt1"/>
            </a:solidFill>
          </a:ln>
          <a:effectLst/>
        </c:spPr>
      </c:pivotFmt>
      <c:pivotFmt>
        <c:idx val="478"/>
        <c:spPr>
          <a:solidFill>
            <a:schemeClr val="accent1">
              <a:shade val="39000"/>
            </a:schemeClr>
          </a:solidFill>
          <a:ln w="19050">
            <a:solidFill>
              <a:schemeClr val="lt1"/>
            </a:solidFill>
          </a:ln>
          <a:effectLst/>
        </c:spPr>
      </c:pivotFmt>
      <c:pivotFmt>
        <c:idx val="479"/>
        <c:spPr>
          <a:solidFill>
            <a:schemeClr val="accent1">
              <a:shade val="34000"/>
            </a:schemeClr>
          </a:solidFill>
          <a:ln w="19050">
            <a:solidFill>
              <a:schemeClr val="lt1"/>
            </a:solidFill>
          </a:ln>
          <a:effectLst/>
        </c:spPr>
      </c:pivotFmt>
      <c:pivotFmt>
        <c:idx val="48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81"/>
        <c:spPr>
          <a:solidFill>
            <a:schemeClr val="accent1">
              <a:tint val="35000"/>
            </a:schemeClr>
          </a:solidFill>
          <a:ln w="19050">
            <a:solidFill>
              <a:schemeClr val="lt1"/>
            </a:solidFill>
          </a:ln>
          <a:effectLst/>
        </c:spPr>
      </c:pivotFmt>
      <c:pivotFmt>
        <c:idx val="482"/>
        <c:spPr>
          <a:solidFill>
            <a:schemeClr val="accent1">
              <a:tint val="40000"/>
            </a:schemeClr>
          </a:solidFill>
          <a:ln w="19050">
            <a:solidFill>
              <a:schemeClr val="lt1"/>
            </a:solidFill>
          </a:ln>
          <a:effectLst/>
        </c:spPr>
      </c:pivotFmt>
      <c:pivotFmt>
        <c:idx val="483"/>
        <c:spPr>
          <a:solidFill>
            <a:schemeClr val="accent1">
              <a:tint val="44000"/>
            </a:schemeClr>
          </a:solidFill>
          <a:ln w="19050">
            <a:solidFill>
              <a:schemeClr val="lt1"/>
            </a:solidFill>
          </a:ln>
          <a:effectLst/>
        </c:spPr>
      </c:pivotFmt>
      <c:pivotFmt>
        <c:idx val="484"/>
        <c:spPr>
          <a:solidFill>
            <a:schemeClr val="accent1">
              <a:tint val="49000"/>
            </a:schemeClr>
          </a:solidFill>
          <a:ln w="19050">
            <a:solidFill>
              <a:schemeClr val="lt1"/>
            </a:solidFill>
          </a:ln>
          <a:effectLst/>
        </c:spPr>
      </c:pivotFmt>
      <c:pivotFmt>
        <c:idx val="485"/>
        <c:spPr>
          <a:solidFill>
            <a:schemeClr val="accent1">
              <a:tint val="53000"/>
            </a:schemeClr>
          </a:solidFill>
          <a:ln w="19050">
            <a:solidFill>
              <a:schemeClr val="lt1"/>
            </a:solidFill>
          </a:ln>
          <a:effectLst/>
        </c:spPr>
      </c:pivotFmt>
      <c:pivotFmt>
        <c:idx val="486"/>
        <c:spPr>
          <a:solidFill>
            <a:schemeClr val="accent1">
              <a:tint val="58000"/>
            </a:schemeClr>
          </a:solidFill>
          <a:ln w="19050">
            <a:solidFill>
              <a:schemeClr val="lt1"/>
            </a:solidFill>
          </a:ln>
          <a:effectLst/>
        </c:spPr>
      </c:pivotFmt>
      <c:pivotFmt>
        <c:idx val="487"/>
        <c:spPr>
          <a:solidFill>
            <a:schemeClr val="accent1">
              <a:tint val="62000"/>
            </a:schemeClr>
          </a:solidFill>
          <a:ln w="19050">
            <a:solidFill>
              <a:schemeClr val="lt1"/>
            </a:solidFill>
          </a:ln>
          <a:effectLst/>
        </c:spPr>
      </c:pivotFmt>
      <c:pivotFmt>
        <c:idx val="488"/>
        <c:spPr>
          <a:solidFill>
            <a:schemeClr val="accent1">
              <a:tint val="67000"/>
            </a:schemeClr>
          </a:solidFill>
          <a:ln w="19050">
            <a:solidFill>
              <a:schemeClr val="lt1"/>
            </a:solidFill>
          </a:ln>
          <a:effectLst/>
        </c:spPr>
      </c:pivotFmt>
      <c:pivotFmt>
        <c:idx val="489"/>
        <c:spPr>
          <a:solidFill>
            <a:schemeClr val="accent1">
              <a:tint val="71000"/>
            </a:schemeClr>
          </a:solidFill>
          <a:ln w="19050">
            <a:solidFill>
              <a:schemeClr val="lt1"/>
            </a:solidFill>
          </a:ln>
          <a:effectLst/>
        </c:spPr>
      </c:pivotFmt>
      <c:pivotFmt>
        <c:idx val="490"/>
        <c:spPr>
          <a:solidFill>
            <a:schemeClr val="accent1">
              <a:tint val="76000"/>
            </a:schemeClr>
          </a:solidFill>
          <a:ln w="19050">
            <a:solidFill>
              <a:schemeClr val="lt1"/>
            </a:solidFill>
          </a:ln>
          <a:effectLst/>
        </c:spPr>
      </c:pivotFmt>
      <c:pivotFmt>
        <c:idx val="491"/>
        <c:spPr>
          <a:solidFill>
            <a:schemeClr val="accent1">
              <a:tint val="80000"/>
            </a:schemeClr>
          </a:solidFill>
          <a:ln w="19050">
            <a:solidFill>
              <a:schemeClr val="lt1"/>
            </a:solidFill>
          </a:ln>
          <a:effectLst/>
        </c:spPr>
      </c:pivotFmt>
      <c:pivotFmt>
        <c:idx val="492"/>
        <c:spPr>
          <a:solidFill>
            <a:schemeClr val="accent1">
              <a:tint val="85000"/>
            </a:schemeClr>
          </a:solidFill>
          <a:ln w="19050">
            <a:solidFill>
              <a:schemeClr val="lt1"/>
            </a:solidFill>
          </a:ln>
          <a:effectLst/>
        </c:spPr>
      </c:pivotFmt>
      <c:pivotFmt>
        <c:idx val="493"/>
        <c:spPr>
          <a:solidFill>
            <a:schemeClr val="accent1">
              <a:tint val="89000"/>
            </a:schemeClr>
          </a:solidFill>
          <a:ln w="19050">
            <a:solidFill>
              <a:schemeClr val="lt1"/>
            </a:solidFill>
          </a:ln>
          <a:effectLst/>
        </c:spPr>
      </c:pivotFmt>
      <c:pivotFmt>
        <c:idx val="494"/>
        <c:spPr>
          <a:solidFill>
            <a:schemeClr val="accent1">
              <a:tint val="94000"/>
            </a:schemeClr>
          </a:solidFill>
          <a:ln w="19050">
            <a:solidFill>
              <a:schemeClr val="lt1"/>
            </a:solidFill>
          </a:ln>
          <a:effectLst/>
        </c:spPr>
      </c:pivotFmt>
      <c:pivotFmt>
        <c:idx val="495"/>
        <c:spPr>
          <a:solidFill>
            <a:schemeClr val="accent1">
              <a:tint val="98000"/>
            </a:schemeClr>
          </a:solidFill>
          <a:ln w="19050">
            <a:solidFill>
              <a:schemeClr val="lt1"/>
            </a:solidFill>
          </a:ln>
          <a:effectLst/>
        </c:spPr>
      </c:pivotFmt>
      <c:pivotFmt>
        <c:idx val="496"/>
        <c:spPr>
          <a:solidFill>
            <a:schemeClr val="accent1">
              <a:shade val="97000"/>
            </a:schemeClr>
          </a:solidFill>
          <a:ln w="19050">
            <a:solidFill>
              <a:schemeClr val="lt1"/>
            </a:solidFill>
          </a:ln>
          <a:effectLst/>
        </c:spPr>
      </c:pivotFmt>
      <c:pivotFmt>
        <c:idx val="497"/>
        <c:spPr>
          <a:solidFill>
            <a:schemeClr val="accent1">
              <a:shade val="93000"/>
            </a:schemeClr>
          </a:solidFill>
          <a:ln w="19050">
            <a:solidFill>
              <a:schemeClr val="lt1"/>
            </a:solidFill>
          </a:ln>
          <a:effectLst/>
        </c:spPr>
      </c:pivotFmt>
      <c:pivotFmt>
        <c:idx val="498"/>
        <c:spPr>
          <a:solidFill>
            <a:schemeClr val="accent1">
              <a:shade val="88000"/>
            </a:schemeClr>
          </a:solidFill>
          <a:ln w="19050">
            <a:solidFill>
              <a:schemeClr val="lt1"/>
            </a:solidFill>
          </a:ln>
          <a:effectLst/>
        </c:spPr>
      </c:pivotFmt>
      <c:pivotFmt>
        <c:idx val="499"/>
        <c:spPr>
          <a:solidFill>
            <a:schemeClr val="accent1">
              <a:shade val="84000"/>
            </a:schemeClr>
          </a:solidFill>
          <a:ln w="19050">
            <a:solidFill>
              <a:schemeClr val="lt1"/>
            </a:solidFill>
          </a:ln>
          <a:effectLst/>
        </c:spPr>
      </c:pivotFmt>
      <c:pivotFmt>
        <c:idx val="500"/>
        <c:spPr>
          <a:solidFill>
            <a:schemeClr val="accent1">
              <a:shade val="79000"/>
            </a:schemeClr>
          </a:solidFill>
          <a:ln w="19050">
            <a:solidFill>
              <a:schemeClr val="lt1"/>
            </a:solidFill>
          </a:ln>
          <a:effectLst/>
        </c:spPr>
      </c:pivotFmt>
      <c:pivotFmt>
        <c:idx val="501"/>
        <c:spPr>
          <a:solidFill>
            <a:schemeClr val="accent1">
              <a:shade val="75000"/>
            </a:schemeClr>
          </a:solidFill>
          <a:ln w="19050">
            <a:solidFill>
              <a:schemeClr val="lt1"/>
            </a:solidFill>
          </a:ln>
          <a:effectLst/>
        </c:spPr>
      </c:pivotFmt>
      <c:pivotFmt>
        <c:idx val="502"/>
        <c:spPr>
          <a:solidFill>
            <a:schemeClr val="accent1">
              <a:shade val="70000"/>
            </a:schemeClr>
          </a:solidFill>
          <a:ln w="19050">
            <a:solidFill>
              <a:schemeClr val="lt1"/>
            </a:solidFill>
          </a:ln>
          <a:effectLst/>
        </c:spPr>
      </c:pivotFmt>
      <c:pivotFmt>
        <c:idx val="503"/>
        <c:spPr>
          <a:solidFill>
            <a:schemeClr val="accent1">
              <a:shade val="66000"/>
            </a:schemeClr>
          </a:solidFill>
          <a:ln w="19050">
            <a:solidFill>
              <a:schemeClr val="lt1"/>
            </a:solidFill>
          </a:ln>
          <a:effectLst/>
        </c:spPr>
      </c:pivotFmt>
      <c:pivotFmt>
        <c:idx val="504"/>
        <c:spPr>
          <a:solidFill>
            <a:schemeClr val="accent1">
              <a:shade val="61000"/>
            </a:schemeClr>
          </a:solidFill>
          <a:ln w="19050">
            <a:solidFill>
              <a:schemeClr val="lt1"/>
            </a:solidFill>
          </a:ln>
          <a:effectLst/>
        </c:spPr>
      </c:pivotFmt>
      <c:pivotFmt>
        <c:idx val="505"/>
        <c:spPr>
          <a:solidFill>
            <a:schemeClr val="accent1">
              <a:shade val="57000"/>
            </a:schemeClr>
          </a:solidFill>
          <a:ln w="19050">
            <a:solidFill>
              <a:schemeClr val="lt1"/>
            </a:solidFill>
          </a:ln>
          <a:effectLst/>
        </c:spPr>
      </c:pivotFmt>
      <c:pivotFmt>
        <c:idx val="506"/>
        <c:spPr>
          <a:solidFill>
            <a:schemeClr val="accent1">
              <a:shade val="52000"/>
            </a:schemeClr>
          </a:solidFill>
          <a:ln w="19050">
            <a:solidFill>
              <a:schemeClr val="lt1"/>
            </a:solidFill>
          </a:ln>
          <a:effectLst/>
        </c:spPr>
      </c:pivotFmt>
      <c:pivotFmt>
        <c:idx val="507"/>
        <c:spPr>
          <a:solidFill>
            <a:schemeClr val="accent1">
              <a:shade val="48000"/>
            </a:schemeClr>
          </a:solidFill>
          <a:ln w="19050">
            <a:solidFill>
              <a:schemeClr val="lt1"/>
            </a:solidFill>
          </a:ln>
          <a:effectLst/>
        </c:spPr>
      </c:pivotFmt>
      <c:pivotFmt>
        <c:idx val="508"/>
        <c:spPr>
          <a:solidFill>
            <a:schemeClr val="accent1">
              <a:shade val="43000"/>
            </a:schemeClr>
          </a:solidFill>
          <a:ln w="19050">
            <a:solidFill>
              <a:schemeClr val="lt1"/>
            </a:solidFill>
          </a:ln>
          <a:effectLst/>
        </c:spPr>
      </c:pivotFmt>
      <c:pivotFmt>
        <c:idx val="509"/>
        <c:spPr>
          <a:solidFill>
            <a:schemeClr val="accent1">
              <a:shade val="39000"/>
            </a:schemeClr>
          </a:solidFill>
          <a:ln w="19050">
            <a:solidFill>
              <a:schemeClr val="lt1"/>
            </a:solidFill>
          </a:ln>
          <a:effectLst/>
        </c:spPr>
      </c:pivotFmt>
      <c:pivotFmt>
        <c:idx val="510"/>
        <c:spPr>
          <a:solidFill>
            <a:schemeClr val="accent1">
              <a:shade val="34000"/>
            </a:schemeClr>
          </a:solidFill>
          <a:ln w="19050">
            <a:solidFill>
              <a:schemeClr val="lt1"/>
            </a:solidFill>
          </a:ln>
          <a:effectLst/>
        </c:spPr>
      </c:pivotFmt>
      <c:pivotFmt>
        <c:idx val="5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12"/>
        <c:spPr>
          <a:solidFill>
            <a:schemeClr val="accent1">
              <a:tint val="35000"/>
            </a:schemeClr>
          </a:solidFill>
          <a:ln w="19050">
            <a:solidFill>
              <a:schemeClr val="lt1"/>
            </a:solidFill>
          </a:ln>
          <a:effectLst/>
        </c:spPr>
      </c:pivotFmt>
      <c:pivotFmt>
        <c:idx val="513"/>
        <c:spPr>
          <a:solidFill>
            <a:schemeClr val="accent1">
              <a:tint val="40000"/>
            </a:schemeClr>
          </a:solidFill>
          <a:ln w="19050">
            <a:solidFill>
              <a:schemeClr val="lt1"/>
            </a:solidFill>
          </a:ln>
          <a:effectLst/>
        </c:spPr>
      </c:pivotFmt>
      <c:pivotFmt>
        <c:idx val="514"/>
        <c:spPr>
          <a:solidFill>
            <a:schemeClr val="accent1">
              <a:tint val="44000"/>
            </a:schemeClr>
          </a:solidFill>
          <a:ln w="19050">
            <a:solidFill>
              <a:schemeClr val="lt1"/>
            </a:solidFill>
          </a:ln>
          <a:effectLst/>
        </c:spPr>
      </c:pivotFmt>
      <c:pivotFmt>
        <c:idx val="515"/>
        <c:spPr>
          <a:solidFill>
            <a:schemeClr val="accent1">
              <a:tint val="49000"/>
            </a:schemeClr>
          </a:solidFill>
          <a:ln w="19050">
            <a:solidFill>
              <a:schemeClr val="lt1"/>
            </a:solidFill>
          </a:ln>
          <a:effectLst/>
        </c:spPr>
      </c:pivotFmt>
      <c:pivotFmt>
        <c:idx val="516"/>
        <c:spPr>
          <a:solidFill>
            <a:schemeClr val="accent1">
              <a:tint val="53000"/>
            </a:schemeClr>
          </a:solidFill>
          <a:ln w="19050">
            <a:solidFill>
              <a:schemeClr val="lt1"/>
            </a:solidFill>
          </a:ln>
          <a:effectLst/>
        </c:spPr>
      </c:pivotFmt>
      <c:pivotFmt>
        <c:idx val="517"/>
        <c:spPr>
          <a:solidFill>
            <a:schemeClr val="accent1">
              <a:tint val="58000"/>
            </a:schemeClr>
          </a:solidFill>
          <a:ln w="19050">
            <a:solidFill>
              <a:schemeClr val="lt1"/>
            </a:solidFill>
          </a:ln>
          <a:effectLst/>
        </c:spPr>
      </c:pivotFmt>
      <c:pivotFmt>
        <c:idx val="518"/>
        <c:spPr>
          <a:solidFill>
            <a:schemeClr val="accent1">
              <a:tint val="62000"/>
            </a:schemeClr>
          </a:solidFill>
          <a:ln w="19050">
            <a:solidFill>
              <a:schemeClr val="lt1"/>
            </a:solidFill>
          </a:ln>
          <a:effectLst/>
        </c:spPr>
      </c:pivotFmt>
      <c:pivotFmt>
        <c:idx val="519"/>
        <c:spPr>
          <a:solidFill>
            <a:schemeClr val="accent1">
              <a:tint val="67000"/>
            </a:schemeClr>
          </a:solidFill>
          <a:ln w="19050">
            <a:solidFill>
              <a:schemeClr val="lt1"/>
            </a:solidFill>
          </a:ln>
          <a:effectLst/>
        </c:spPr>
      </c:pivotFmt>
      <c:pivotFmt>
        <c:idx val="520"/>
        <c:spPr>
          <a:solidFill>
            <a:schemeClr val="accent1">
              <a:tint val="71000"/>
            </a:schemeClr>
          </a:solidFill>
          <a:ln w="19050">
            <a:solidFill>
              <a:schemeClr val="lt1"/>
            </a:solidFill>
          </a:ln>
          <a:effectLst/>
        </c:spPr>
      </c:pivotFmt>
      <c:pivotFmt>
        <c:idx val="521"/>
        <c:spPr>
          <a:solidFill>
            <a:schemeClr val="accent1">
              <a:tint val="76000"/>
            </a:schemeClr>
          </a:solidFill>
          <a:ln w="19050">
            <a:solidFill>
              <a:schemeClr val="lt1"/>
            </a:solidFill>
          </a:ln>
          <a:effectLst/>
        </c:spPr>
      </c:pivotFmt>
      <c:pivotFmt>
        <c:idx val="522"/>
        <c:spPr>
          <a:solidFill>
            <a:schemeClr val="accent1">
              <a:tint val="80000"/>
            </a:schemeClr>
          </a:solidFill>
          <a:ln w="19050">
            <a:solidFill>
              <a:schemeClr val="lt1"/>
            </a:solidFill>
          </a:ln>
          <a:effectLst/>
        </c:spPr>
      </c:pivotFmt>
      <c:pivotFmt>
        <c:idx val="523"/>
        <c:spPr>
          <a:solidFill>
            <a:schemeClr val="accent1">
              <a:tint val="85000"/>
            </a:schemeClr>
          </a:solidFill>
          <a:ln w="19050">
            <a:solidFill>
              <a:schemeClr val="lt1"/>
            </a:solidFill>
          </a:ln>
          <a:effectLst/>
        </c:spPr>
      </c:pivotFmt>
      <c:pivotFmt>
        <c:idx val="524"/>
        <c:spPr>
          <a:solidFill>
            <a:schemeClr val="accent1">
              <a:tint val="89000"/>
            </a:schemeClr>
          </a:solidFill>
          <a:ln w="19050">
            <a:solidFill>
              <a:schemeClr val="lt1"/>
            </a:solidFill>
          </a:ln>
          <a:effectLst/>
        </c:spPr>
      </c:pivotFmt>
      <c:pivotFmt>
        <c:idx val="525"/>
        <c:spPr>
          <a:solidFill>
            <a:schemeClr val="accent1">
              <a:tint val="94000"/>
            </a:schemeClr>
          </a:solidFill>
          <a:ln w="19050">
            <a:solidFill>
              <a:schemeClr val="lt1"/>
            </a:solidFill>
          </a:ln>
          <a:effectLst/>
        </c:spPr>
      </c:pivotFmt>
      <c:pivotFmt>
        <c:idx val="526"/>
        <c:spPr>
          <a:solidFill>
            <a:schemeClr val="accent1">
              <a:tint val="98000"/>
            </a:schemeClr>
          </a:solidFill>
          <a:ln w="19050">
            <a:solidFill>
              <a:schemeClr val="lt1"/>
            </a:solidFill>
          </a:ln>
          <a:effectLst/>
        </c:spPr>
      </c:pivotFmt>
      <c:pivotFmt>
        <c:idx val="527"/>
        <c:spPr>
          <a:solidFill>
            <a:schemeClr val="accent1">
              <a:shade val="97000"/>
            </a:schemeClr>
          </a:solidFill>
          <a:ln w="19050">
            <a:solidFill>
              <a:schemeClr val="lt1"/>
            </a:solidFill>
          </a:ln>
          <a:effectLst/>
        </c:spPr>
      </c:pivotFmt>
      <c:pivotFmt>
        <c:idx val="528"/>
        <c:spPr>
          <a:solidFill>
            <a:schemeClr val="accent1">
              <a:shade val="93000"/>
            </a:schemeClr>
          </a:solidFill>
          <a:ln w="19050">
            <a:solidFill>
              <a:schemeClr val="lt1"/>
            </a:solidFill>
          </a:ln>
          <a:effectLst/>
        </c:spPr>
      </c:pivotFmt>
      <c:pivotFmt>
        <c:idx val="529"/>
        <c:spPr>
          <a:solidFill>
            <a:schemeClr val="accent1">
              <a:shade val="88000"/>
            </a:schemeClr>
          </a:solidFill>
          <a:ln w="19050">
            <a:solidFill>
              <a:schemeClr val="lt1"/>
            </a:solidFill>
          </a:ln>
          <a:effectLst/>
        </c:spPr>
      </c:pivotFmt>
      <c:pivotFmt>
        <c:idx val="530"/>
        <c:spPr>
          <a:solidFill>
            <a:schemeClr val="accent1">
              <a:shade val="84000"/>
            </a:schemeClr>
          </a:solidFill>
          <a:ln w="19050">
            <a:solidFill>
              <a:schemeClr val="lt1"/>
            </a:solidFill>
          </a:ln>
          <a:effectLst/>
        </c:spPr>
      </c:pivotFmt>
      <c:pivotFmt>
        <c:idx val="531"/>
        <c:spPr>
          <a:solidFill>
            <a:schemeClr val="accent1">
              <a:shade val="79000"/>
            </a:schemeClr>
          </a:solidFill>
          <a:ln w="19050">
            <a:solidFill>
              <a:schemeClr val="lt1"/>
            </a:solidFill>
          </a:ln>
          <a:effectLst/>
        </c:spPr>
      </c:pivotFmt>
      <c:pivotFmt>
        <c:idx val="532"/>
        <c:spPr>
          <a:solidFill>
            <a:schemeClr val="accent1">
              <a:shade val="75000"/>
            </a:schemeClr>
          </a:solidFill>
          <a:ln w="19050">
            <a:solidFill>
              <a:schemeClr val="lt1"/>
            </a:solidFill>
          </a:ln>
          <a:effectLst/>
        </c:spPr>
      </c:pivotFmt>
      <c:pivotFmt>
        <c:idx val="533"/>
        <c:spPr>
          <a:solidFill>
            <a:schemeClr val="accent1">
              <a:shade val="70000"/>
            </a:schemeClr>
          </a:solidFill>
          <a:ln w="19050">
            <a:solidFill>
              <a:schemeClr val="lt1"/>
            </a:solidFill>
          </a:ln>
          <a:effectLst/>
        </c:spPr>
      </c:pivotFmt>
      <c:pivotFmt>
        <c:idx val="534"/>
        <c:spPr>
          <a:solidFill>
            <a:schemeClr val="accent1">
              <a:shade val="66000"/>
            </a:schemeClr>
          </a:solidFill>
          <a:ln w="19050">
            <a:solidFill>
              <a:schemeClr val="lt1"/>
            </a:solidFill>
          </a:ln>
          <a:effectLst/>
        </c:spPr>
      </c:pivotFmt>
      <c:pivotFmt>
        <c:idx val="535"/>
        <c:spPr>
          <a:solidFill>
            <a:schemeClr val="accent1">
              <a:shade val="61000"/>
            </a:schemeClr>
          </a:solidFill>
          <a:ln w="19050">
            <a:solidFill>
              <a:schemeClr val="lt1"/>
            </a:solidFill>
          </a:ln>
          <a:effectLst/>
        </c:spPr>
      </c:pivotFmt>
      <c:pivotFmt>
        <c:idx val="536"/>
        <c:spPr>
          <a:solidFill>
            <a:schemeClr val="accent1">
              <a:shade val="57000"/>
            </a:schemeClr>
          </a:solidFill>
          <a:ln w="19050">
            <a:solidFill>
              <a:schemeClr val="lt1"/>
            </a:solidFill>
          </a:ln>
          <a:effectLst/>
        </c:spPr>
      </c:pivotFmt>
      <c:pivotFmt>
        <c:idx val="537"/>
        <c:spPr>
          <a:solidFill>
            <a:schemeClr val="accent1">
              <a:shade val="52000"/>
            </a:schemeClr>
          </a:solidFill>
          <a:ln w="19050">
            <a:solidFill>
              <a:schemeClr val="lt1"/>
            </a:solidFill>
          </a:ln>
          <a:effectLst/>
        </c:spPr>
      </c:pivotFmt>
      <c:pivotFmt>
        <c:idx val="538"/>
        <c:spPr>
          <a:solidFill>
            <a:schemeClr val="accent1">
              <a:shade val="48000"/>
            </a:schemeClr>
          </a:solidFill>
          <a:ln w="19050">
            <a:solidFill>
              <a:schemeClr val="lt1"/>
            </a:solidFill>
          </a:ln>
          <a:effectLst/>
        </c:spPr>
      </c:pivotFmt>
      <c:pivotFmt>
        <c:idx val="539"/>
        <c:spPr>
          <a:solidFill>
            <a:schemeClr val="accent1">
              <a:shade val="43000"/>
            </a:schemeClr>
          </a:solidFill>
          <a:ln w="19050">
            <a:solidFill>
              <a:schemeClr val="lt1"/>
            </a:solidFill>
          </a:ln>
          <a:effectLst/>
        </c:spPr>
      </c:pivotFmt>
      <c:pivotFmt>
        <c:idx val="540"/>
        <c:spPr>
          <a:solidFill>
            <a:schemeClr val="accent1">
              <a:shade val="39000"/>
            </a:schemeClr>
          </a:solidFill>
          <a:ln w="19050">
            <a:solidFill>
              <a:schemeClr val="lt1"/>
            </a:solidFill>
          </a:ln>
          <a:effectLst/>
        </c:spPr>
      </c:pivotFmt>
      <c:pivotFmt>
        <c:idx val="541"/>
        <c:spPr>
          <a:solidFill>
            <a:schemeClr val="accent1">
              <a:shade val="34000"/>
            </a:schemeClr>
          </a:solidFill>
          <a:ln w="19050">
            <a:solidFill>
              <a:schemeClr val="lt1"/>
            </a:solidFill>
          </a:ln>
          <a:effectLst/>
        </c:spPr>
      </c:pivotFmt>
      <c:pivotFmt>
        <c:idx val="5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43"/>
        <c:spPr>
          <a:solidFill>
            <a:schemeClr val="accent1">
              <a:tint val="35000"/>
            </a:schemeClr>
          </a:solidFill>
          <a:ln w="19050">
            <a:solidFill>
              <a:schemeClr val="lt1"/>
            </a:solidFill>
          </a:ln>
          <a:effectLst/>
        </c:spPr>
      </c:pivotFmt>
      <c:pivotFmt>
        <c:idx val="544"/>
        <c:spPr>
          <a:solidFill>
            <a:schemeClr val="accent1">
              <a:tint val="40000"/>
            </a:schemeClr>
          </a:solidFill>
          <a:ln w="19050">
            <a:solidFill>
              <a:schemeClr val="lt1"/>
            </a:solidFill>
          </a:ln>
          <a:effectLst/>
        </c:spPr>
      </c:pivotFmt>
      <c:pivotFmt>
        <c:idx val="545"/>
        <c:spPr>
          <a:solidFill>
            <a:schemeClr val="accent1">
              <a:tint val="44000"/>
            </a:schemeClr>
          </a:solidFill>
          <a:ln w="19050">
            <a:solidFill>
              <a:schemeClr val="lt1"/>
            </a:solidFill>
          </a:ln>
          <a:effectLst/>
        </c:spPr>
      </c:pivotFmt>
      <c:pivotFmt>
        <c:idx val="546"/>
        <c:spPr>
          <a:solidFill>
            <a:schemeClr val="accent1">
              <a:tint val="49000"/>
            </a:schemeClr>
          </a:solidFill>
          <a:ln w="19050">
            <a:solidFill>
              <a:schemeClr val="lt1"/>
            </a:solidFill>
          </a:ln>
          <a:effectLst/>
        </c:spPr>
      </c:pivotFmt>
      <c:pivotFmt>
        <c:idx val="547"/>
        <c:spPr>
          <a:solidFill>
            <a:schemeClr val="accent1">
              <a:tint val="53000"/>
            </a:schemeClr>
          </a:solidFill>
          <a:ln w="19050">
            <a:solidFill>
              <a:schemeClr val="lt1"/>
            </a:solidFill>
          </a:ln>
          <a:effectLst/>
        </c:spPr>
      </c:pivotFmt>
      <c:pivotFmt>
        <c:idx val="548"/>
        <c:spPr>
          <a:solidFill>
            <a:schemeClr val="accent1">
              <a:tint val="58000"/>
            </a:schemeClr>
          </a:solidFill>
          <a:ln w="19050">
            <a:solidFill>
              <a:schemeClr val="lt1"/>
            </a:solidFill>
          </a:ln>
          <a:effectLst/>
        </c:spPr>
      </c:pivotFmt>
      <c:pivotFmt>
        <c:idx val="549"/>
        <c:spPr>
          <a:solidFill>
            <a:schemeClr val="accent1">
              <a:tint val="62000"/>
            </a:schemeClr>
          </a:solidFill>
          <a:ln w="19050">
            <a:solidFill>
              <a:schemeClr val="lt1"/>
            </a:solidFill>
          </a:ln>
          <a:effectLst/>
        </c:spPr>
      </c:pivotFmt>
      <c:pivotFmt>
        <c:idx val="550"/>
        <c:spPr>
          <a:solidFill>
            <a:schemeClr val="accent1">
              <a:tint val="67000"/>
            </a:schemeClr>
          </a:solidFill>
          <a:ln w="19050">
            <a:solidFill>
              <a:schemeClr val="lt1"/>
            </a:solidFill>
          </a:ln>
          <a:effectLst/>
        </c:spPr>
      </c:pivotFmt>
      <c:pivotFmt>
        <c:idx val="551"/>
        <c:spPr>
          <a:solidFill>
            <a:schemeClr val="accent1">
              <a:tint val="71000"/>
            </a:schemeClr>
          </a:solidFill>
          <a:ln w="19050">
            <a:solidFill>
              <a:schemeClr val="lt1"/>
            </a:solidFill>
          </a:ln>
          <a:effectLst/>
        </c:spPr>
      </c:pivotFmt>
      <c:pivotFmt>
        <c:idx val="552"/>
        <c:spPr>
          <a:solidFill>
            <a:schemeClr val="accent1">
              <a:tint val="76000"/>
            </a:schemeClr>
          </a:solidFill>
          <a:ln w="19050">
            <a:solidFill>
              <a:schemeClr val="lt1"/>
            </a:solidFill>
          </a:ln>
          <a:effectLst/>
        </c:spPr>
      </c:pivotFmt>
      <c:pivotFmt>
        <c:idx val="553"/>
        <c:spPr>
          <a:solidFill>
            <a:schemeClr val="accent1">
              <a:tint val="80000"/>
            </a:schemeClr>
          </a:solidFill>
          <a:ln w="19050">
            <a:solidFill>
              <a:schemeClr val="lt1"/>
            </a:solidFill>
          </a:ln>
          <a:effectLst/>
        </c:spPr>
      </c:pivotFmt>
      <c:pivotFmt>
        <c:idx val="554"/>
        <c:spPr>
          <a:solidFill>
            <a:schemeClr val="accent1">
              <a:tint val="85000"/>
            </a:schemeClr>
          </a:solidFill>
          <a:ln w="19050">
            <a:solidFill>
              <a:schemeClr val="lt1"/>
            </a:solidFill>
          </a:ln>
          <a:effectLst/>
        </c:spPr>
      </c:pivotFmt>
      <c:pivotFmt>
        <c:idx val="555"/>
        <c:spPr>
          <a:solidFill>
            <a:schemeClr val="accent1">
              <a:tint val="89000"/>
            </a:schemeClr>
          </a:solidFill>
          <a:ln w="19050">
            <a:solidFill>
              <a:schemeClr val="lt1"/>
            </a:solidFill>
          </a:ln>
          <a:effectLst/>
        </c:spPr>
      </c:pivotFmt>
      <c:pivotFmt>
        <c:idx val="556"/>
        <c:spPr>
          <a:solidFill>
            <a:schemeClr val="accent1">
              <a:tint val="94000"/>
            </a:schemeClr>
          </a:solidFill>
          <a:ln w="19050">
            <a:solidFill>
              <a:schemeClr val="lt1"/>
            </a:solidFill>
          </a:ln>
          <a:effectLst/>
        </c:spPr>
      </c:pivotFmt>
      <c:pivotFmt>
        <c:idx val="557"/>
        <c:spPr>
          <a:solidFill>
            <a:schemeClr val="accent1">
              <a:tint val="98000"/>
            </a:schemeClr>
          </a:solidFill>
          <a:ln w="19050">
            <a:solidFill>
              <a:schemeClr val="lt1"/>
            </a:solidFill>
          </a:ln>
          <a:effectLst/>
        </c:spPr>
      </c:pivotFmt>
      <c:pivotFmt>
        <c:idx val="558"/>
        <c:spPr>
          <a:solidFill>
            <a:schemeClr val="accent1">
              <a:shade val="97000"/>
            </a:schemeClr>
          </a:solidFill>
          <a:ln w="19050">
            <a:solidFill>
              <a:schemeClr val="lt1"/>
            </a:solidFill>
          </a:ln>
          <a:effectLst/>
        </c:spPr>
      </c:pivotFmt>
      <c:pivotFmt>
        <c:idx val="559"/>
        <c:spPr>
          <a:solidFill>
            <a:schemeClr val="accent1">
              <a:shade val="93000"/>
            </a:schemeClr>
          </a:solidFill>
          <a:ln w="19050">
            <a:solidFill>
              <a:schemeClr val="lt1"/>
            </a:solidFill>
          </a:ln>
          <a:effectLst/>
        </c:spPr>
      </c:pivotFmt>
      <c:pivotFmt>
        <c:idx val="560"/>
        <c:spPr>
          <a:solidFill>
            <a:schemeClr val="accent1">
              <a:shade val="88000"/>
            </a:schemeClr>
          </a:solidFill>
          <a:ln w="19050">
            <a:solidFill>
              <a:schemeClr val="lt1"/>
            </a:solidFill>
          </a:ln>
          <a:effectLst/>
        </c:spPr>
      </c:pivotFmt>
      <c:pivotFmt>
        <c:idx val="561"/>
        <c:spPr>
          <a:solidFill>
            <a:schemeClr val="accent1">
              <a:shade val="84000"/>
            </a:schemeClr>
          </a:solidFill>
          <a:ln w="19050">
            <a:solidFill>
              <a:schemeClr val="lt1"/>
            </a:solidFill>
          </a:ln>
          <a:effectLst/>
        </c:spPr>
      </c:pivotFmt>
      <c:pivotFmt>
        <c:idx val="562"/>
        <c:spPr>
          <a:solidFill>
            <a:schemeClr val="accent1">
              <a:shade val="79000"/>
            </a:schemeClr>
          </a:solidFill>
          <a:ln w="19050">
            <a:solidFill>
              <a:schemeClr val="lt1"/>
            </a:solidFill>
          </a:ln>
          <a:effectLst/>
        </c:spPr>
      </c:pivotFmt>
      <c:pivotFmt>
        <c:idx val="563"/>
        <c:spPr>
          <a:solidFill>
            <a:schemeClr val="accent1">
              <a:shade val="75000"/>
            </a:schemeClr>
          </a:solidFill>
          <a:ln w="19050">
            <a:solidFill>
              <a:schemeClr val="lt1"/>
            </a:solidFill>
          </a:ln>
          <a:effectLst/>
        </c:spPr>
      </c:pivotFmt>
      <c:pivotFmt>
        <c:idx val="564"/>
        <c:spPr>
          <a:solidFill>
            <a:schemeClr val="accent1">
              <a:shade val="70000"/>
            </a:schemeClr>
          </a:solidFill>
          <a:ln w="19050">
            <a:solidFill>
              <a:schemeClr val="lt1"/>
            </a:solidFill>
          </a:ln>
          <a:effectLst/>
        </c:spPr>
      </c:pivotFmt>
      <c:pivotFmt>
        <c:idx val="565"/>
        <c:spPr>
          <a:solidFill>
            <a:schemeClr val="accent1">
              <a:shade val="66000"/>
            </a:schemeClr>
          </a:solidFill>
          <a:ln w="19050">
            <a:solidFill>
              <a:schemeClr val="lt1"/>
            </a:solidFill>
          </a:ln>
          <a:effectLst/>
        </c:spPr>
      </c:pivotFmt>
      <c:pivotFmt>
        <c:idx val="566"/>
        <c:spPr>
          <a:solidFill>
            <a:schemeClr val="accent1">
              <a:shade val="61000"/>
            </a:schemeClr>
          </a:solidFill>
          <a:ln w="19050">
            <a:solidFill>
              <a:schemeClr val="lt1"/>
            </a:solidFill>
          </a:ln>
          <a:effectLst/>
        </c:spPr>
      </c:pivotFmt>
      <c:pivotFmt>
        <c:idx val="567"/>
        <c:spPr>
          <a:solidFill>
            <a:schemeClr val="accent1">
              <a:shade val="57000"/>
            </a:schemeClr>
          </a:solidFill>
          <a:ln w="19050">
            <a:solidFill>
              <a:schemeClr val="lt1"/>
            </a:solidFill>
          </a:ln>
          <a:effectLst/>
        </c:spPr>
      </c:pivotFmt>
      <c:pivotFmt>
        <c:idx val="568"/>
        <c:spPr>
          <a:solidFill>
            <a:schemeClr val="accent1">
              <a:shade val="52000"/>
            </a:schemeClr>
          </a:solidFill>
          <a:ln w="19050">
            <a:solidFill>
              <a:schemeClr val="lt1"/>
            </a:solidFill>
          </a:ln>
          <a:effectLst/>
        </c:spPr>
      </c:pivotFmt>
      <c:pivotFmt>
        <c:idx val="569"/>
        <c:spPr>
          <a:solidFill>
            <a:schemeClr val="accent1">
              <a:shade val="48000"/>
            </a:schemeClr>
          </a:solidFill>
          <a:ln w="19050">
            <a:solidFill>
              <a:schemeClr val="lt1"/>
            </a:solidFill>
          </a:ln>
          <a:effectLst/>
        </c:spPr>
      </c:pivotFmt>
      <c:pivotFmt>
        <c:idx val="570"/>
        <c:spPr>
          <a:solidFill>
            <a:schemeClr val="accent1">
              <a:shade val="43000"/>
            </a:schemeClr>
          </a:solidFill>
          <a:ln w="19050">
            <a:solidFill>
              <a:schemeClr val="lt1"/>
            </a:solidFill>
          </a:ln>
          <a:effectLst/>
        </c:spPr>
      </c:pivotFmt>
      <c:pivotFmt>
        <c:idx val="571"/>
        <c:spPr>
          <a:solidFill>
            <a:schemeClr val="accent1">
              <a:shade val="39000"/>
            </a:schemeClr>
          </a:solidFill>
          <a:ln w="19050">
            <a:solidFill>
              <a:schemeClr val="lt1"/>
            </a:solidFill>
          </a:ln>
          <a:effectLst/>
        </c:spPr>
      </c:pivotFmt>
      <c:pivotFmt>
        <c:idx val="572"/>
        <c:spPr>
          <a:solidFill>
            <a:schemeClr val="accent1">
              <a:shade val="34000"/>
            </a:schemeClr>
          </a:solidFill>
          <a:ln w="19050">
            <a:solidFill>
              <a:schemeClr val="lt1"/>
            </a:solidFill>
          </a:ln>
          <a:effectLst/>
        </c:spPr>
      </c:pivotFmt>
      <c:pivotFmt>
        <c:idx val="57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4"/>
        <c:spPr>
          <a:solidFill>
            <a:schemeClr val="accent1">
              <a:tint val="35000"/>
            </a:schemeClr>
          </a:solidFill>
          <a:ln w="19050">
            <a:solidFill>
              <a:schemeClr val="lt1"/>
            </a:solidFill>
          </a:ln>
          <a:effectLst/>
        </c:spPr>
      </c:pivotFmt>
      <c:pivotFmt>
        <c:idx val="575"/>
        <c:spPr>
          <a:solidFill>
            <a:schemeClr val="accent1">
              <a:tint val="40000"/>
            </a:schemeClr>
          </a:solidFill>
          <a:ln w="19050">
            <a:solidFill>
              <a:schemeClr val="lt1"/>
            </a:solidFill>
          </a:ln>
          <a:effectLst/>
        </c:spPr>
      </c:pivotFmt>
      <c:pivotFmt>
        <c:idx val="576"/>
        <c:spPr>
          <a:solidFill>
            <a:schemeClr val="accent1">
              <a:tint val="44000"/>
            </a:schemeClr>
          </a:solidFill>
          <a:ln w="19050">
            <a:solidFill>
              <a:schemeClr val="lt1"/>
            </a:solidFill>
          </a:ln>
          <a:effectLst/>
        </c:spPr>
      </c:pivotFmt>
      <c:pivotFmt>
        <c:idx val="577"/>
        <c:spPr>
          <a:solidFill>
            <a:schemeClr val="accent1">
              <a:tint val="49000"/>
            </a:schemeClr>
          </a:solidFill>
          <a:ln w="19050">
            <a:solidFill>
              <a:schemeClr val="lt1"/>
            </a:solidFill>
          </a:ln>
          <a:effectLst/>
        </c:spPr>
      </c:pivotFmt>
      <c:pivotFmt>
        <c:idx val="578"/>
        <c:spPr>
          <a:solidFill>
            <a:schemeClr val="accent1">
              <a:tint val="53000"/>
            </a:schemeClr>
          </a:solidFill>
          <a:ln w="19050">
            <a:solidFill>
              <a:schemeClr val="lt1"/>
            </a:solidFill>
          </a:ln>
          <a:effectLst/>
        </c:spPr>
      </c:pivotFmt>
      <c:pivotFmt>
        <c:idx val="579"/>
        <c:spPr>
          <a:solidFill>
            <a:schemeClr val="accent1">
              <a:tint val="58000"/>
            </a:schemeClr>
          </a:solidFill>
          <a:ln w="19050">
            <a:solidFill>
              <a:schemeClr val="lt1"/>
            </a:solidFill>
          </a:ln>
          <a:effectLst/>
        </c:spPr>
      </c:pivotFmt>
      <c:pivotFmt>
        <c:idx val="580"/>
        <c:spPr>
          <a:solidFill>
            <a:schemeClr val="accent1">
              <a:tint val="62000"/>
            </a:schemeClr>
          </a:solidFill>
          <a:ln w="19050">
            <a:solidFill>
              <a:schemeClr val="lt1"/>
            </a:solidFill>
          </a:ln>
          <a:effectLst/>
        </c:spPr>
      </c:pivotFmt>
      <c:pivotFmt>
        <c:idx val="581"/>
        <c:spPr>
          <a:solidFill>
            <a:schemeClr val="accent1">
              <a:tint val="67000"/>
            </a:schemeClr>
          </a:solidFill>
          <a:ln w="19050">
            <a:solidFill>
              <a:schemeClr val="lt1"/>
            </a:solidFill>
          </a:ln>
          <a:effectLst/>
        </c:spPr>
      </c:pivotFmt>
      <c:pivotFmt>
        <c:idx val="582"/>
        <c:spPr>
          <a:solidFill>
            <a:schemeClr val="accent1">
              <a:tint val="71000"/>
            </a:schemeClr>
          </a:solidFill>
          <a:ln w="19050">
            <a:solidFill>
              <a:schemeClr val="lt1"/>
            </a:solidFill>
          </a:ln>
          <a:effectLst/>
        </c:spPr>
      </c:pivotFmt>
      <c:pivotFmt>
        <c:idx val="583"/>
        <c:spPr>
          <a:solidFill>
            <a:schemeClr val="accent1">
              <a:tint val="76000"/>
            </a:schemeClr>
          </a:solidFill>
          <a:ln w="19050">
            <a:solidFill>
              <a:schemeClr val="lt1"/>
            </a:solidFill>
          </a:ln>
          <a:effectLst/>
        </c:spPr>
      </c:pivotFmt>
      <c:pivotFmt>
        <c:idx val="584"/>
        <c:spPr>
          <a:solidFill>
            <a:schemeClr val="accent1">
              <a:tint val="80000"/>
            </a:schemeClr>
          </a:solidFill>
          <a:ln w="19050">
            <a:solidFill>
              <a:schemeClr val="lt1"/>
            </a:solidFill>
          </a:ln>
          <a:effectLst/>
        </c:spPr>
      </c:pivotFmt>
      <c:pivotFmt>
        <c:idx val="585"/>
        <c:spPr>
          <a:solidFill>
            <a:schemeClr val="accent1">
              <a:tint val="85000"/>
            </a:schemeClr>
          </a:solidFill>
          <a:ln w="19050">
            <a:solidFill>
              <a:schemeClr val="lt1"/>
            </a:solidFill>
          </a:ln>
          <a:effectLst/>
        </c:spPr>
      </c:pivotFmt>
      <c:pivotFmt>
        <c:idx val="586"/>
        <c:spPr>
          <a:solidFill>
            <a:schemeClr val="accent1">
              <a:tint val="89000"/>
            </a:schemeClr>
          </a:solidFill>
          <a:ln w="19050">
            <a:solidFill>
              <a:schemeClr val="lt1"/>
            </a:solidFill>
          </a:ln>
          <a:effectLst/>
        </c:spPr>
      </c:pivotFmt>
      <c:pivotFmt>
        <c:idx val="587"/>
        <c:spPr>
          <a:solidFill>
            <a:schemeClr val="accent1">
              <a:tint val="94000"/>
            </a:schemeClr>
          </a:solidFill>
          <a:ln w="19050">
            <a:solidFill>
              <a:schemeClr val="lt1"/>
            </a:solidFill>
          </a:ln>
          <a:effectLst/>
        </c:spPr>
      </c:pivotFmt>
      <c:pivotFmt>
        <c:idx val="588"/>
        <c:spPr>
          <a:solidFill>
            <a:schemeClr val="accent1">
              <a:tint val="98000"/>
            </a:schemeClr>
          </a:solidFill>
          <a:ln w="19050">
            <a:solidFill>
              <a:schemeClr val="lt1"/>
            </a:solidFill>
          </a:ln>
          <a:effectLst/>
        </c:spPr>
      </c:pivotFmt>
      <c:pivotFmt>
        <c:idx val="589"/>
        <c:spPr>
          <a:solidFill>
            <a:schemeClr val="accent1">
              <a:shade val="97000"/>
            </a:schemeClr>
          </a:solidFill>
          <a:ln w="19050">
            <a:solidFill>
              <a:schemeClr val="lt1"/>
            </a:solidFill>
          </a:ln>
          <a:effectLst/>
        </c:spPr>
      </c:pivotFmt>
      <c:pivotFmt>
        <c:idx val="590"/>
        <c:spPr>
          <a:solidFill>
            <a:schemeClr val="accent1">
              <a:shade val="93000"/>
            </a:schemeClr>
          </a:solidFill>
          <a:ln w="19050">
            <a:solidFill>
              <a:schemeClr val="lt1"/>
            </a:solidFill>
          </a:ln>
          <a:effectLst/>
        </c:spPr>
      </c:pivotFmt>
      <c:pivotFmt>
        <c:idx val="591"/>
        <c:spPr>
          <a:solidFill>
            <a:schemeClr val="accent1">
              <a:shade val="88000"/>
            </a:schemeClr>
          </a:solidFill>
          <a:ln w="19050">
            <a:solidFill>
              <a:schemeClr val="lt1"/>
            </a:solidFill>
          </a:ln>
          <a:effectLst/>
        </c:spPr>
      </c:pivotFmt>
      <c:pivotFmt>
        <c:idx val="592"/>
        <c:spPr>
          <a:solidFill>
            <a:schemeClr val="accent1">
              <a:shade val="84000"/>
            </a:schemeClr>
          </a:solidFill>
          <a:ln w="19050">
            <a:solidFill>
              <a:schemeClr val="lt1"/>
            </a:solidFill>
          </a:ln>
          <a:effectLst/>
        </c:spPr>
      </c:pivotFmt>
      <c:pivotFmt>
        <c:idx val="593"/>
        <c:spPr>
          <a:solidFill>
            <a:schemeClr val="accent1">
              <a:shade val="79000"/>
            </a:schemeClr>
          </a:solidFill>
          <a:ln w="19050">
            <a:solidFill>
              <a:schemeClr val="lt1"/>
            </a:solidFill>
          </a:ln>
          <a:effectLst/>
        </c:spPr>
      </c:pivotFmt>
      <c:pivotFmt>
        <c:idx val="594"/>
        <c:spPr>
          <a:solidFill>
            <a:schemeClr val="accent1">
              <a:shade val="75000"/>
            </a:schemeClr>
          </a:solidFill>
          <a:ln w="19050">
            <a:solidFill>
              <a:schemeClr val="lt1"/>
            </a:solidFill>
          </a:ln>
          <a:effectLst/>
        </c:spPr>
      </c:pivotFmt>
      <c:pivotFmt>
        <c:idx val="595"/>
        <c:spPr>
          <a:solidFill>
            <a:schemeClr val="accent1">
              <a:shade val="70000"/>
            </a:schemeClr>
          </a:solidFill>
          <a:ln w="19050">
            <a:solidFill>
              <a:schemeClr val="lt1"/>
            </a:solidFill>
          </a:ln>
          <a:effectLst/>
        </c:spPr>
      </c:pivotFmt>
      <c:pivotFmt>
        <c:idx val="596"/>
        <c:spPr>
          <a:solidFill>
            <a:schemeClr val="accent1">
              <a:shade val="66000"/>
            </a:schemeClr>
          </a:solidFill>
          <a:ln w="19050">
            <a:solidFill>
              <a:schemeClr val="lt1"/>
            </a:solidFill>
          </a:ln>
          <a:effectLst/>
        </c:spPr>
      </c:pivotFmt>
      <c:pivotFmt>
        <c:idx val="597"/>
        <c:spPr>
          <a:solidFill>
            <a:schemeClr val="accent1">
              <a:shade val="61000"/>
            </a:schemeClr>
          </a:solidFill>
          <a:ln w="19050">
            <a:solidFill>
              <a:schemeClr val="lt1"/>
            </a:solidFill>
          </a:ln>
          <a:effectLst/>
        </c:spPr>
      </c:pivotFmt>
      <c:pivotFmt>
        <c:idx val="598"/>
        <c:spPr>
          <a:solidFill>
            <a:schemeClr val="accent1">
              <a:shade val="57000"/>
            </a:schemeClr>
          </a:solidFill>
          <a:ln w="19050">
            <a:solidFill>
              <a:schemeClr val="lt1"/>
            </a:solidFill>
          </a:ln>
          <a:effectLst/>
        </c:spPr>
      </c:pivotFmt>
      <c:pivotFmt>
        <c:idx val="599"/>
        <c:spPr>
          <a:solidFill>
            <a:schemeClr val="accent1">
              <a:shade val="52000"/>
            </a:schemeClr>
          </a:solidFill>
          <a:ln w="19050">
            <a:solidFill>
              <a:schemeClr val="lt1"/>
            </a:solidFill>
          </a:ln>
          <a:effectLst/>
        </c:spPr>
      </c:pivotFmt>
      <c:pivotFmt>
        <c:idx val="600"/>
        <c:spPr>
          <a:solidFill>
            <a:schemeClr val="accent1">
              <a:shade val="48000"/>
            </a:schemeClr>
          </a:solidFill>
          <a:ln w="19050">
            <a:solidFill>
              <a:schemeClr val="lt1"/>
            </a:solidFill>
          </a:ln>
          <a:effectLst/>
        </c:spPr>
      </c:pivotFmt>
      <c:pivotFmt>
        <c:idx val="601"/>
        <c:spPr>
          <a:solidFill>
            <a:schemeClr val="accent1">
              <a:shade val="43000"/>
            </a:schemeClr>
          </a:solidFill>
          <a:ln w="19050">
            <a:solidFill>
              <a:schemeClr val="lt1"/>
            </a:solidFill>
          </a:ln>
          <a:effectLst/>
        </c:spPr>
      </c:pivotFmt>
      <c:pivotFmt>
        <c:idx val="602"/>
        <c:spPr>
          <a:solidFill>
            <a:schemeClr val="accent1">
              <a:shade val="39000"/>
            </a:schemeClr>
          </a:solidFill>
          <a:ln w="19050">
            <a:solidFill>
              <a:schemeClr val="lt1"/>
            </a:solidFill>
          </a:ln>
          <a:effectLst/>
        </c:spPr>
      </c:pivotFmt>
      <c:pivotFmt>
        <c:idx val="603"/>
        <c:spPr>
          <a:solidFill>
            <a:schemeClr val="accent1">
              <a:shade val="34000"/>
            </a:schemeClr>
          </a:solidFill>
          <a:ln w="19050">
            <a:solidFill>
              <a:schemeClr val="lt1"/>
            </a:solidFill>
          </a:ln>
          <a:effectLst/>
        </c:spPr>
      </c:pivotFmt>
      <c:pivotFmt>
        <c:idx val="60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5"/>
        <c:spPr>
          <a:solidFill>
            <a:schemeClr val="accent1">
              <a:tint val="35000"/>
            </a:schemeClr>
          </a:solidFill>
          <a:ln w="19050">
            <a:solidFill>
              <a:schemeClr val="lt1"/>
            </a:solidFill>
          </a:ln>
          <a:effectLst/>
        </c:spPr>
      </c:pivotFmt>
      <c:pivotFmt>
        <c:idx val="606"/>
        <c:spPr>
          <a:solidFill>
            <a:schemeClr val="accent1">
              <a:tint val="40000"/>
            </a:schemeClr>
          </a:solidFill>
          <a:ln w="19050">
            <a:solidFill>
              <a:schemeClr val="lt1"/>
            </a:solidFill>
          </a:ln>
          <a:effectLst/>
        </c:spPr>
      </c:pivotFmt>
      <c:pivotFmt>
        <c:idx val="607"/>
        <c:spPr>
          <a:solidFill>
            <a:schemeClr val="accent1">
              <a:tint val="44000"/>
            </a:schemeClr>
          </a:solidFill>
          <a:ln w="19050">
            <a:solidFill>
              <a:schemeClr val="lt1"/>
            </a:solidFill>
          </a:ln>
          <a:effectLst/>
        </c:spPr>
      </c:pivotFmt>
      <c:pivotFmt>
        <c:idx val="608"/>
        <c:spPr>
          <a:solidFill>
            <a:schemeClr val="accent1">
              <a:tint val="49000"/>
            </a:schemeClr>
          </a:solidFill>
          <a:ln w="19050">
            <a:solidFill>
              <a:schemeClr val="lt1"/>
            </a:solidFill>
          </a:ln>
          <a:effectLst/>
        </c:spPr>
      </c:pivotFmt>
      <c:pivotFmt>
        <c:idx val="609"/>
        <c:spPr>
          <a:solidFill>
            <a:schemeClr val="accent1">
              <a:tint val="53000"/>
            </a:schemeClr>
          </a:solidFill>
          <a:ln w="19050">
            <a:solidFill>
              <a:schemeClr val="lt1"/>
            </a:solidFill>
          </a:ln>
          <a:effectLst/>
        </c:spPr>
      </c:pivotFmt>
      <c:pivotFmt>
        <c:idx val="610"/>
        <c:spPr>
          <a:solidFill>
            <a:schemeClr val="accent1">
              <a:tint val="58000"/>
            </a:schemeClr>
          </a:solidFill>
          <a:ln w="19050">
            <a:solidFill>
              <a:schemeClr val="lt1"/>
            </a:solidFill>
          </a:ln>
          <a:effectLst/>
        </c:spPr>
      </c:pivotFmt>
      <c:pivotFmt>
        <c:idx val="611"/>
        <c:spPr>
          <a:solidFill>
            <a:schemeClr val="accent1">
              <a:tint val="62000"/>
            </a:schemeClr>
          </a:solidFill>
          <a:ln w="19050">
            <a:solidFill>
              <a:schemeClr val="lt1"/>
            </a:solidFill>
          </a:ln>
          <a:effectLst/>
        </c:spPr>
      </c:pivotFmt>
      <c:pivotFmt>
        <c:idx val="612"/>
        <c:spPr>
          <a:solidFill>
            <a:schemeClr val="accent1">
              <a:tint val="67000"/>
            </a:schemeClr>
          </a:solidFill>
          <a:ln w="19050">
            <a:solidFill>
              <a:schemeClr val="lt1"/>
            </a:solidFill>
          </a:ln>
          <a:effectLst/>
        </c:spPr>
      </c:pivotFmt>
      <c:pivotFmt>
        <c:idx val="613"/>
        <c:spPr>
          <a:solidFill>
            <a:schemeClr val="accent1">
              <a:tint val="71000"/>
            </a:schemeClr>
          </a:solidFill>
          <a:ln w="19050">
            <a:solidFill>
              <a:schemeClr val="lt1"/>
            </a:solidFill>
          </a:ln>
          <a:effectLst/>
        </c:spPr>
      </c:pivotFmt>
      <c:pivotFmt>
        <c:idx val="614"/>
        <c:spPr>
          <a:solidFill>
            <a:schemeClr val="accent1">
              <a:tint val="76000"/>
            </a:schemeClr>
          </a:solidFill>
          <a:ln w="19050">
            <a:solidFill>
              <a:schemeClr val="lt1"/>
            </a:solidFill>
          </a:ln>
          <a:effectLst/>
        </c:spPr>
      </c:pivotFmt>
      <c:pivotFmt>
        <c:idx val="615"/>
        <c:spPr>
          <a:solidFill>
            <a:schemeClr val="accent1">
              <a:tint val="80000"/>
            </a:schemeClr>
          </a:solidFill>
          <a:ln w="19050">
            <a:solidFill>
              <a:schemeClr val="lt1"/>
            </a:solidFill>
          </a:ln>
          <a:effectLst/>
        </c:spPr>
      </c:pivotFmt>
      <c:pivotFmt>
        <c:idx val="616"/>
        <c:spPr>
          <a:solidFill>
            <a:schemeClr val="accent1">
              <a:tint val="85000"/>
            </a:schemeClr>
          </a:solidFill>
          <a:ln w="19050">
            <a:solidFill>
              <a:schemeClr val="lt1"/>
            </a:solidFill>
          </a:ln>
          <a:effectLst/>
        </c:spPr>
      </c:pivotFmt>
      <c:pivotFmt>
        <c:idx val="617"/>
        <c:spPr>
          <a:solidFill>
            <a:schemeClr val="accent1">
              <a:tint val="89000"/>
            </a:schemeClr>
          </a:solidFill>
          <a:ln w="19050">
            <a:solidFill>
              <a:schemeClr val="lt1"/>
            </a:solidFill>
          </a:ln>
          <a:effectLst/>
        </c:spPr>
      </c:pivotFmt>
      <c:pivotFmt>
        <c:idx val="618"/>
        <c:spPr>
          <a:solidFill>
            <a:schemeClr val="accent1">
              <a:tint val="94000"/>
            </a:schemeClr>
          </a:solidFill>
          <a:ln w="19050">
            <a:solidFill>
              <a:schemeClr val="lt1"/>
            </a:solidFill>
          </a:ln>
          <a:effectLst/>
        </c:spPr>
      </c:pivotFmt>
      <c:pivotFmt>
        <c:idx val="619"/>
        <c:spPr>
          <a:solidFill>
            <a:schemeClr val="accent1">
              <a:tint val="98000"/>
            </a:schemeClr>
          </a:solidFill>
          <a:ln w="19050">
            <a:solidFill>
              <a:schemeClr val="lt1"/>
            </a:solidFill>
          </a:ln>
          <a:effectLst/>
        </c:spPr>
      </c:pivotFmt>
      <c:pivotFmt>
        <c:idx val="620"/>
        <c:spPr>
          <a:solidFill>
            <a:schemeClr val="accent1">
              <a:shade val="97000"/>
            </a:schemeClr>
          </a:solidFill>
          <a:ln w="19050">
            <a:solidFill>
              <a:schemeClr val="lt1"/>
            </a:solidFill>
          </a:ln>
          <a:effectLst/>
        </c:spPr>
      </c:pivotFmt>
      <c:pivotFmt>
        <c:idx val="621"/>
        <c:spPr>
          <a:solidFill>
            <a:schemeClr val="accent1">
              <a:shade val="93000"/>
            </a:schemeClr>
          </a:solidFill>
          <a:ln w="19050">
            <a:solidFill>
              <a:schemeClr val="lt1"/>
            </a:solidFill>
          </a:ln>
          <a:effectLst/>
        </c:spPr>
      </c:pivotFmt>
      <c:pivotFmt>
        <c:idx val="622"/>
        <c:spPr>
          <a:solidFill>
            <a:schemeClr val="accent1">
              <a:shade val="88000"/>
            </a:schemeClr>
          </a:solidFill>
          <a:ln w="19050">
            <a:solidFill>
              <a:schemeClr val="lt1"/>
            </a:solidFill>
          </a:ln>
          <a:effectLst/>
        </c:spPr>
      </c:pivotFmt>
      <c:pivotFmt>
        <c:idx val="623"/>
        <c:spPr>
          <a:solidFill>
            <a:schemeClr val="accent1">
              <a:shade val="84000"/>
            </a:schemeClr>
          </a:solidFill>
          <a:ln w="19050">
            <a:solidFill>
              <a:schemeClr val="lt1"/>
            </a:solidFill>
          </a:ln>
          <a:effectLst/>
        </c:spPr>
      </c:pivotFmt>
      <c:pivotFmt>
        <c:idx val="624"/>
        <c:spPr>
          <a:solidFill>
            <a:schemeClr val="accent1">
              <a:shade val="79000"/>
            </a:schemeClr>
          </a:solidFill>
          <a:ln w="19050">
            <a:solidFill>
              <a:schemeClr val="lt1"/>
            </a:solidFill>
          </a:ln>
          <a:effectLst/>
        </c:spPr>
      </c:pivotFmt>
      <c:pivotFmt>
        <c:idx val="625"/>
        <c:spPr>
          <a:solidFill>
            <a:schemeClr val="accent1">
              <a:shade val="75000"/>
            </a:schemeClr>
          </a:solidFill>
          <a:ln w="19050">
            <a:solidFill>
              <a:schemeClr val="lt1"/>
            </a:solidFill>
          </a:ln>
          <a:effectLst/>
        </c:spPr>
      </c:pivotFmt>
      <c:pivotFmt>
        <c:idx val="626"/>
        <c:spPr>
          <a:solidFill>
            <a:schemeClr val="accent1">
              <a:shade val="70000"/>
            </a:schemeClr>
          </a:solidFill>
          <a:ln w="19050">
            <a:solidFill>
              <a:schemeClr val="lt1"/>
            </a:solidFill>
          </a:ln>
          <a:effectLst/>
        </c:spPr>
      </c:pivotFmt>
      <c:pivotFmt>
        <c:idx val="627"/>
        <c:spPr>
          <a:solidFill>
            <a:schemeClr val="accent1">
              <a:shade val="66000"/>
            </a:schemeClr>
          </a:solidFill>
          <a:ln w="19050">
            <a:solidFill>
              <a:schemeClr val="lt1"/>
            </a:solidFill>
          </a:ln>
          <a:effectLst/>
        </c:spPr>
      </c:pivotFmt>
      <c:pivotFmt>
        <c:idx val="628"/>
        <c:spPr>
          <a:solidFill>
            <a:schemeClr val="accent1">
              <a:shade val="61000"/>
            </a:schemeClr>
          </a:solidFill>
          <a:ln w="19050">
            <a:solidFill>
              <a:schemeClr val="lt1"/>
            </a:solidFill>
          </a:ln>
          <a:effectLst/>
        </c:spPr>
      </c:pivotFmt>
      <c:pivotFmt>
        <c:idx val="629"/>
        <c:spPr>
          <a:solidFill>
            <a:schemeClr val="accent1">
              <a:shade val="57000"/>
            </a:schemeClr>
          </a:solidFill>
          <a:ln w="19050">
            <a:solidFill>
              <a:schemeClr val="lt1"/>
            </a:solidFill>
          </a:ln>
          <a:effectLst/>
        </c:spPr>
      </c:pivotFmt>
      <c:pivotFmt>
        <c:idx val="630"/>
        <c:spPr>
          <a:solidFill>
            <a:schemeClr val="accent1">
              <a:shade val="52000"/>
            </a:schemeClr>
          </a:solidFill>
          <a:ln w="19050">
            <a:solidFill>
              <a:schemeClr val="lt1"/>
            </a:solidFill>
          </a:ln>
          <a:effectLst/>
        </c:spPr>
      </c:pivotFmt>
      <c:pivotFmt>
        <c:idx val="631"/>
        <c:spPr>
          <a:solidFill>
            <a:schemeClr val="accent1">
              <a:shade val="48000"/>
            </a:schemeClr>
          </a:solidFill>
          <a:ln w="19050">
            <a:solidFill>
              <a:schemeClr val="lt1"/>
            </a:solidFill>
          </a:ln>
          <a:effectLst/>
        </c:spPr>
      </c:pivotFmt>
      <c:pivotFmt>
        <c:idx val="632"/>
        <c:spPr>
          <a:solidFill>
            <a:schemeClr val="accent1">
              <a:shade val="43000"/>
            </a:schemeClr>
          </a:solidFill>
          <a:ln w="19050">
            <a:solidFill>
              <a:schemeClr val="lt1"/>
            </a:solidFill>
          </a:ln>
          <a:effectLst/>
        </c:spPr>
      </c:pivotFmt>
      <c:pivotFmt>
        <c:idx val="633"/>
        <c:spPr>
          <a:solidFill>
            <a:schemeClr val="accent1">
              <a:shade val="39000"/>
            </a:schemeClr>
          </a:solidFill>
          <a:ln w="19050">
            <a:solidFill>
              <a:schemeClr val="lt1"/>
            </a:solidFill>
          </a:ln>
          <a:effectLst/>
        </c:spPr>
      </c:pivotFmt>
      <c:pivotFmt>
        <c:idx val="634"/>
        <c:spPr>
          <a:solidFill>
            <a:schemeClr val="accent1">
              <a:shade val="34000"/>
            </a:schemeClr>
          </a:solidFill>
          <a:ln w="19050">
            <a:solidFill>
              <a:schemeClr val="lt1"/>
            </a:solidFill>
          </a:ln>
          <a:effectLst/>
        </c:spPr>
      </c:pivotFmt>
      <c:pivotFmt>
        <c:idx val="6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36"/>
        <c:spPr>
          <a:solidFill>
            <a:schemeClr val="accent1">
              <a:tint val="35000"/>
            </a:schemeClr>
          </a:solidFill>
          <a:ln w="19050">
            <a:solidFill>
              <a:schemeClr val="lt1"/>
            </a:solidFill>
          </a:ln>
          <a:effectLst/>
        </c:spPr>
      </c:pivotFmt>
      <c:pivotFmt>
        <c:idx val="637"/>
        <c:spPr>
          <a:solidFill>
            <a:schemeClr val="accent1">
              <a:tint val="40000"/>
            </a:schemeClr>
          </a:solidFill>
          <a:ln w="19050">
            <a:solidFill>
              <a:schemeClr val="lt1"/>
            </a:solidFill>
          </a:ln>
          <a:effectLst/>
        </c:spPr>
      </c:pivotFmt>
      <c:pivotFmt>
        <c:idx val="638"/>
        <c:spPr>
          <a:solidFill>
            <a:schemeClr val="accent1">
              <a:tint val="44000"/>
            </a:schemeClr>
          </a:solidFill>
          <a:ln w="19050">
            <a:solidFill>
              <a:schemeClr val="lt1"/>
            </a:solidFill>
          </a:ln>
          <a:effectLst/>
        </c:spPr>
      </c:pivotFmt>
      <c:pivotFmt>
        <c:idx val="639"/>
        <c:spPr>
          <a:solidFill>
            <a:schemeClr val="accent1">
              <a:tint val="49000"/>
            </a:schemeClr>
          </a:solidFill>
          <a:ln w="19050">
            <a:solidFill>
              <a:schemeClr val="lt1"/>
            </a:solidFill>
          </a:ln>
          <a:effectLst/>
        </c:spPr>
      </c:pivotFmt>
      <c:pivotFmt>
        <c:idx val="640"/>
        <c:spPr>
          <a:solidFill>
            <a:schemeClr val="accent1">
              <a:tint val="53000"/>
            </a:schemeClr>
          </a:solidFill>
          <a:ln w="19050">
            <a:solidFill>
              <a:schemeClr val="lt1"/>
            </a:solidFill>
          </a:ln>
          <a:effectLst/>
        </c:spPr>
      </c:pivotFmt>
      <c:pivotFmt>
        <c:idx val="641"/>
        <c:spPr>
          <a:solidFill>
            <a:schemeClr val="accent1">
              <a:tint val="58000"/>
            </a:schemeClr>
          </a:solidFill>
          <a:ln w="19050">
            <a:solidFill>
              <a:schemeClr val="lt1"/>
            </a:solidFill>
          </a:ln>
          <a:effectLst/>
        </c:spPr>
      </c:pivotFmt>
      <c:pivotFmt>
        <c:idx val="642"/>
        <c:spPr>
          <a:solidFill>
            <a:schemeClr val="accent1">
              <a:tint val="62000"/>
            </a:schemeClr>
          </a:solidFill>
          <a:ln w="19050">
            <a:solidFill>
              <a:schemeClr val="lt1"/>
            </a:solidFill>
          </a:ln>
          <a:effectLst/>
        </c:spPr>
      </c:pivotFmt>
      <c:pivotFmt>
        <c:idx val="643"/>
        <c:spPr>
          <a:solidFill>
            <a:schemeClr val="accent1">
              <a:tint val="67000"/>
            </a:schemeClr>
          </a:solidFill>
          <a:ln w="19050">
            <a:solidFill>
              <a:schemeClr val="lt1"/>
            </a:solidFill>
          </a:ln>
          <a:effectLst/>
        </c:spPr>
      </c:pivotFmt>
      <c:pivotFmt>
        <c:idx val="644"/>
        <c:spPr>
          <a:solidFill>
            <a:schemeClr val="accent1">
              <a:tint val="71000"/>
            </a:schemeClr>
          </a:solidFill>
          <a:ln w="19050">
            <a:solidFill>
              <a:schemeClr val="lt1"/>
            </a:solidFill>
          </a:ln>
          <a:effectLst/>
        </c:spPr>
      </c:pivotFmt>
      <c:pivotFmt>
        <c:idx val="645"/>
        <c:spPr>
          <a:solidFill>
            <a:schemeClr val="accent1">
              <a:tint val="76000"/>
            </a:schemeClr>
          </a:solidFill>
          <a:ln w="19050">
            <a:solidFill>
              <a:schemeClr val="lt1"/>
            </a:solidFill>
          </a:ln>
          <a:effectLst/>
        </c:spPr>
      </c:pivotFmt>
      <c:pivotFmt>
        <c:idx val="646"/>
        <c:spPr>
          <a:solidFill>
            <a:schemeClr val="accent1">
              <a:tint val="80000"/>
            </a:schemeClr>
          </a:solidFill>
          <a:ln w="19050">
            <a:solidFill>
              <a:schemeClr val="lt1"/>
            </a:solidFill>
          </a:ln>
          <a:effectLst/>
        </c:spPr>
      </c:pivotFmt>
      <c:pivotFmt>
        <c:idx val="647"/>
        <c:spPr>
          <a:solidFill>
            <a:schemeClr val="accent1">
              <a:tint val="85000"/>
            </a:schemeClr>
          </a:solidFill>
          <a:ln w="19050">
            <a:solidFill>
              <a:schemeClr val="lt1"/>
            </a:solidFill>
          </a:ln>
          <a:effectLst/>
        </c:spPr>
      </c:pivotFmt>
      <c:pivotFmt>
        <c:idx val="648"/>
        <c:spPr>
          <a:solidFill>
            <a:schemeClr val="accent1">
              <a:tint val="89000"/>
            </a:schemeClr>
          </a:solidFill>
          <a:ln w="19050">
            <a:solidFill>
              <a:schemeClr val="lt1"/>
            </a:solidFill>
          </a:ln>
          <a:effectLst/>
        </c:spPr>
      </c:pivotFmt>
      <c:pivotFmt>
        <c:idx val="649"/>
        <c:spPr>
          <a:solidFill>
            <a:schemeClr val="accent1">
              <a:tint val="94000"/>
            </a:schemeClr>
          </a:solidFill>
          <a:ln w="19050">
            <a:solidFill>
              <a:schemeClr val="lt1"/>
            </a:solidFill>
          </a:ln>
          <a:effectLst/>
        </c:spPr>
      </c:pivotFmt>
      <c:pivotFmt>
        <c:idx val="650"/>
        <c:spPr>
          <a:solidFill>
            <a:schemeClr val="accent1">
              <a:tint val="98000"/>
            </a:schemeClr>
          </a:solidFill>
          <a:ln w="19050">
            <a:solidFill>
              <a:schemeClr val="lt1"/>
            </a:solidFill>
          </a:ln>
          <a:effectLst/>
        </c:spPr>
      </c:pivotFmt>
      <c:pivotFmt>
        <c:idx val="651"/>
        <c:spPr>
          <a:solidFill>
            <a:schemeClr val="accent1">
              <a:shade val="97000"/>
            </a:schemeClr>
          </a:solidFill>
          <a:ln w="19050">
            <a:solidFill>
              <a:schemeClr val="lt1"/>
            </a:solidFill>
          </a:ln>
          <a:effectLst/>
        </c:spPr>
      </c:pivotFmt>
      <c:pivotFmt>
        <c:idx val="652"/>
        <c:spPr>
          <a:solidFill>
            <a:schemeClr val="accent1">
              <a:shade val="93000"/>
            </a:schemeClr>
          </a:solidFill>
          <a:ln w="19050">
            <a:solidFill>
              <a:schemeClr val="lt1"/>
            </a:solidFill>
          </a:ln>
          <a:effectLst/>
        </c:spPr>
      </c:pivotFmt>
      <c:pivotFmt>
        <c:idx val="653"/>
        <c:spPr>
          <a:solidFill>
            <a:schemeClr val="accent1">
              <a:shade val="88000"/>
            </a:schemeClr>
          </a:solidFill>
          <a:ln w="19050">
            <a:solidFill>
              <a:schemeClr val="lt1"/>
            </a:solidFill>
          </a:ln>
          <a:effectLst/>
        </c:spPr>
      </c:pivotFmt>
      <c:pivotFmt>
        <c:idx val="654"/>
        <c:spPr>
          <a:solidFill>
            <a:schemeClr val="accent1">
              <a:shade val="84000"/>
            </a:schemeClr>
          </a:solidFill>
          <a:ln w="19050">
            <a:solidFill>
              <a:schemeClr val="lt1"/>
            </a:solidFill>
          </a:ln>
          <a:effectLst/>
        </c:spPr>
      </c:pivotFmt>
      <c:pivotFmt>
        <c:idx val="655"/>
        <c:spPr>
          <a:solidFill>
            <a:schemeClr val="accent1">
              <a:shade val="79000"/>
            </a:schemeClr>
          </a:solidFill>
          <a:ln w="19050">
            <a:solidFill>
              <a:schemeClr val="lt1"/>
            </a:solidFill>
          </a:ln>
          <a:effectLst/>
        </c:spPr>
      </c:pivotFmt>
      <c:pivotFmt>
        <c:idx val="656"/>
        <c:spPr>
          <a:solidFill>
            <a:schemeClr val="accent1">
              <a:shade val="75000"/>
            </a:schemeClr>
          </a:solidFill>
          <a:ln w="19050">
            <a:solidFill>
              <a:schemeClr val="lt1"/>
            </a:solidFill>
          </a:ln>
          <a:effectLst/>
        </c:spPr>
      </c:pivotFmt>
      <c:pivotFmt>
        <c:idx val="657"/>
        <c:spPr>
          <a:solidFill>
            <a:schemeClr val="accent1">
              <a:shade val="70000"/>
            </a:schemeClr>
          </a:solidFill>
          <a:ln w="19050">
            <a:solidFill>
              <a:schemeClr val="lt1"/>
            </a:solidFill>
          </a:ln>
          <a:effectLst/>
        </c:spPr>
      </c:pivotFmt>
      <c:pivotFmt>
        <c:idx val="658"/>
        <c:spPr>
          <a:solidFill>
            <a:schemeClr val="accent1">
              <a:shade val="66000"/>
            </a:schemeClr>
          </a:solidFill>
          <a:ln w="19050">
            <a:solidFill>
              <a:schemeClr val="lt1"/>
            </a:solidFill>
          </a:ln>
          <a:effectLst/>
        </c:spPr>
      </c:pivotFmt>
      <c:pivotFmt>
        <c:idx val="659"/>
        <c:spPr>
          <a:solidFill>
            <a:schemeClr val="accent1">
              <a:shade val="61000"/>
            </a:schemeClr>
          </a:solidFill>
          <a:ln w="19050">
            <a:solidFill>
              <a:schemeClr val="lt1"/>
            </a:solidFill>
          </a:ln>
          <a:effectLst/>
        </c:spPr>
      </c:pivotFmt>
      <c:pivotFmt>
        <c:idx val="660"/>
        <c:spPr>
          <a:solidFill>
            <a:schemeClr val="accent1">
              <a:shade val="57000"/>
            </a:schemeClr>
          </a:solidFill>
          <a:ln w="19050">
            <a:solidFill>
              <a:schemeClr val="lt1"/>
            </a:solidFill>
          </a:ln>
          <a:effectLst/>
        </c:spPr>
      </c:pivotFmt>
      <c:pivotFmt>
        <c:idx val="661"/>
        <c:spPr>
          <a:solidFill>
            <a:schemeClr val="accent1">
              <a:shade val="52000"/>
            </a:schemeClr>
          </a:solidFill>
          <a:ln w="19050">
            <a:solidFill>
              <a:schemeClr val="lt1"/>
            </a:solidFill>
          </a:ln>
          <a:effectLst/>
        </c:spPr>
      </c:pivotFmt>
      <c:pivotFmt>
        <c:idx val="662"/>
        <c:spPr>
          <a:solidFill>
            <a:schemeClr val="accent1">
              <a:shade val="48000"/>
            </a:schemeClr>
          </a:solidFill>
          <a:ln w="19050">
            <a:solidFill>
              <a:schemeClr val="lt1"/>
            </a:solidFill>
          </a:ln>
          <a:effectLst/>
        </c:spPr>
      </c:pivotFmt>
      <c:pivotFmt>
        <c:idx val="663"/>
        <c:spPr>
          <a:solidFill>
            <a:schemeClr val="accent1">
              <a:shade val="43000"/>
            </a:schemeClr>
          </a:solidFill>
          <a:ln w="19050">
            <a:solidFill>
              <a:schemeClr val="lt1"/>
            </a:solidFill>
          </a:ln>
          <a:effectLst/>
        </c:spPr>
      </c:pivotFmt>
      <c:pivotFmt>
        <c:idx val="664"/>
        <c:spPr>
          <a:solidFill>
            <a:schemeClr val="accent1">
              <a:shade val="39000"/>
            </a:schemeClr>
          </a:solidFill>
          <a:ln w="19050">
            <a:solidFill>
              <a:schemeClr val="lt1"/>
            </a:solidFill>
          </a:ln>
          <a:effectLst/>
        </c:spPr>
      </c:pivotFmt>
      <c:pivotFmt>
        <c:idx val="665"/>
        <c:spPr>
          <a:solidFill>
            <a:schemeClr val="accent1">
              <a:shade val="34000"/>
            </a:schemeClr>
          </a:solidFill>
          <a:ln w="19050">
            <a:solidFill>
              <a:schemeClr val="lt1"/>
            </a:solidFill>
          </a:ln>
          <a:effectLst/>
        </c:spPr>
      </c:pivotFmt>
      <c:pivotFmt>
        <c:idx val="6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67"/>
        <c:spPr>
          <a:solidFill>
            <a:schemeClr val="accent1">
              <a:tint val="35000"/>
            </a:schemeClr>
          </a:solidFill>
          <a:ln w="19050">
            <a:solidFill>
              <a:schemeClr val="lt1"/>
            </a:solidFill>
          </a:ln>
          <a:effectLst/>
        </c:spPr>
      </c:pivotFmt>
      <c:pivotFmt>
        <c:idx val="668"/>
        <c:spPr>
          <a:solidFill>
            <a:schemeClr val="accent1">
              <a:tint val="40000"/>
            </a:schemeClr>
          </a:solidFill>
          <a:ln w="19050">
            <a:solidFill>
              <a:schemeClr val="lt1"/>
            </a:solidFill>
          </a:ln>
          <a:effectLst/>
        </c:spPr>
      </c:pivotFmt>
      <c:pivotFmt>
        <c:idx val="669"/>
        <c:spPr>
          <a:solidFill>
            <a:schemeClr val="accent1">
              <a:tint val="44000"/>
            </a:schemeClr>
          </a:solidFill>
          <a:ln w="19050">
            <a:solidFill>
              <a:schemeClr val="lt1"/>
            </a:solidFill>
          </a:ln>
          <a:effectLst/>
        </c:spPr>
      </c:pivotFmt>
      <c:pivotFmt>
        <c:idx val="670"/>
        <c:spPr>
          <a:solidFill>
            <a:schemeClr val="accent1">
              <a:tint val="49000"/>
            </a:schemeClr>
          </a:solidFill>
          <a:ln w="19050">
            <a:solidFill>
              <a:schemeClr val="lt1"/>
            </a:solidFill>
          </a:ln>
          <a:effectLst/>
        </c:spPr>
      </c:pivotFmt>
      <c:pivotFmt>
        <c:idx val="671"/>
        <c:spPr>
          <a:solidFill>
            <a:schemeClr val="accent1">
              <a:tint val="53000"/>
            </a:schemeClr>
          </a:solidFill>
          <a:ln w="19050">
            <a:solidFill>
              <a:schemeClr val="lt1"/>
            </a:solidFill>
          </a:ln>
          <a:effectLst/>
        </c:spPr>
      </c:pivotFmt>
      <c:pivotFmt>
        <c:idx val="672"/>
        <c:spPr>
          <a:solidFill>
            <a:schemeClr val="accent1">
              <a:tint val="58000"/>
            </a:schemeClr>
          </a:solidFill>
          <a:ln w="19050">
            <a:solidFill>
              <a:schemeClr val="lt1"/>
            </a:solidFill>
          </a:ln>
          <a:effectLst/>
        </c:spPr>
      </c:pivotFmt>
      <c:pivotFmt>
        <c:idx val="673"/>
        <c:spPr>
          <a:solidFill>
            <a:schemeClr val="accent1">
              <a:tint val="62000"/>
            </a:schemeClr>
          </a:solidFill>
          <a:ln w="19050">
            <a:solidFill>
              <a:schemeClr val="lt1"/>
            </a:solidFill>
          </a:ln>
          <a:effectLst/>
        </c:spPr>
      </c:pivotFmt>
      <c:pivotFmt>
        <c:idx val="674"/>
        <c:spPr>
          <a:solidFill>
            <a:schemeClr val="accent1">
              <a:tint val="67000"/>
            </a:schemeClr>
          </a:solidFill>
          <a:ln w="19050">
            <a:solidFill>
              <a:schemeClr val="lt1"/>
            </a:solidFill>
          </a:ln>
          <a:effectLst/>
        </c:spPr>
      </c:pivotFmt>
      <c:pivotFmt>
        <c:idx val="675"/>
        <c:spPr>
          <a:solidFill>
            <a:schemeClr val="accent1">
              <a:tint val="71000"/>
            </a:schemeClr>
          </a:solidFill>
          <a:ln w="19050">
            <a:solidFill>
              <a:schemeClr val="lt1"/>
            </a:solidFill>
          </a:ln>
          <a:effectLst/>
        </c:spPr>
      </c:pivotFmt>
      <c:pivotFmt>
        <c:idx val="676"/>
        <c:spPr>
          <a:solidFill>
            <a:schemeClr val="accent1">
              <a:tint val="76000"/>
            </a:schemeClr>
          </a:solidFill>
          <a:ln w="19050">
            <a:solidFill>
              <a:schemeClr val="lt1"/>
            </a:solidFill>
          </a:ln>
          <a:effectLst/>
        </c:spPr>
      </c:pivotFmt>
      <c:pivotFmt>
        <c:idx val="677"/>
        <c:spPr>
          <a:solidFill>
            <a:schemeClr val="accent1">
              <a:tint val="80000"/>
            </a:schemeClr>
          </a:solidFill>
          <a:ln w="19050">
            <a:solidFill>
              <a:schemeClr val="lt1"/>
            </a:solidFill>
          </a:ln>
          <a:effectLst/>
        </c:spPr>
      </c:pivotFmt>
      <c:pivotFmt>
        <c:idx val="678"/>
        <c:spPr>
          <a:solidFill>
            <a:schemeClr val="accent1">
              <a:tint val="85000"/>
            </a:schemeClr>
          </a:solidFill>
          <a:ln w="19050">
            <a:solidFill>
              <a:schemeClr val="lt1"/>
            </a:solidFill>
          </a:ln>
          <a:effectLst/>
        </c:spPr>
      </c:pivotFmt>
      <c:pivotFmt>
        <c:idx val="679"/>
        <c:spPr>
          <a:solidFill>
            <a:schemeClr val="accent1">
              <a:tint val="89000"/>
            </a:schemeClr>
          </a:solidFill>
          <a:ln w="19050">
            <a:solidFill>
              <a:schemeClr val="lt1"/>
            </a:solidFill>
          </a:ln>
          <a:effectLst/>
        </c:spPr>
      </c:pivotFmt>
      <c:pivotFmt>
        <c:idx val="680"/>
        <c:spPr>
          <a:solidFill>
            <a:schemeClr val="accent1">
              <a:tint val="94000"/>
            </a:schemeClr>
          </a:solidFill>
          <a:ln w="19050">
            <a:solidFill>
              <a:schemeClr val="lt1"/>
            </a:solidFill>
          </a:ln>
          <a:effectLst/>
        </c:spPr>
      </c:pivotFmt>
      <c:pivotFmt>
        <c:idx val="681"/>
        <c:spPr>
          <a:solidFill>
            <a:schemeClr val="accent1">
              <a:tint val="98000"/>
            </a:schemeClr>
          </a:solidFill>
          <a:ln w="19050">
            <a:solidFill>
              <a:schemeClr val="lt1"/>
            </a:solidFill>
          </a:ln>
          <a:effectLst/>
        </c:spPr>
      </c:pivotFmt>
      <c:pivotFmt>
        <c:idx val="682"/>
        <c:spPr>
          <a:solidFill>
            <a:schemeClr val="accent1">
              <a:shade val="97000"/>
            </a:schemeClr>
          </a:solidFill>
          <a:ln w="19050">
            <a:solidFill>
              <a:schemeClr val="lt1"/>
            </a:solidFill>
          </a:ln>
          <a:effectLst/>
        </c:spPr>
      </c:pivotFmt>
      <c:pivotFmt>
        <c:idx val="683"/>
        <c:spPr>
          <a:solidFill>
            <a:schemeClr val="accent1">
              <a:shade val="93000"/>
            </a:schemeClr>
          </a:solidFill>
          <a:ln w="19050">
            <a:solidFill>
              <a:schemeClr val="lt1"/>
            </a:solidFill>
          </a:ln>
          <a:effectLst/>
        </c:spPr>
      </c:pivotFmt>
      <c:pivotFmt>
        <c:idx val="684"/>
        <c:spPr>
          <a:solidFill>
            <a:schemeClr val="accent1">
              <a:shade val="88000"/>
            </a:schemeClr>
          </a:solidFill>
          <a:ln w="19050">
            <a:solidFill>
              <a:schemeClr val="lt1"/>
            </a:solidFill>
          </a:ln>
          <a:effectLst/>
        </c:spPr>
      </c:pivotFmt>
      <c:pivotFmt>
        <c:idx val="685"/>
        <c:spPr>
          <a:solidFill>
            <a:schemeClr val="accent1">
              <a:shade val="84000"/>
            </a:schemeClr>
          </a:solidFill>
          <a:ln w="19050">
            <a:solidFill>
              <a:schemeClr val="lt1"/>
            </a:solidFill>
          </a:ln>
          <a:effectLst/>
        </c:spPr>
      </c:pivotFmt>
      <c:pivotFmt>
        <c:idx val="686"/>
        <c:spPr>
          <a:solidFill>
            <a:schemeClr val="accent1">
              <a:shade val="79000"/>
            </a:schemeClr>
          </a:solidFill>
          <a:ln w="19050">
            <a:solidFill>
              <a:schemeClr val="lt1"/>
            </a:solidFill>
          </a:ln>
          <a:effectLst/>
        </c:spPr>
      </c:pivotFmt>
      <c:pivotFmt>
        <c:idx val="687"/>
        <c:spPr>
          <a:solidFill>
            <a:schemeClr val="accent1">
              <a:shade val="75000"/>
            </a:schemeClr>
          </a:solidFill>
          <a:ln w="19050">
            <a:solidFill>
              <a:schemeClr val="lt1"/>
            </a:solidFill>
          </a:ln>
          <a:effectLst/>
        </c:spPr>
      </c:pivotFmt>
      <c:pivotFmt>
        <c:idx val="688"/>
        <c:spPr>
          <a:solidFill>
            <a:schemeClr val="accent1">
              <a:shade val="70000"/>
            </a:schemeClr>
          </a:solidFill>
          <a:ln w="19050">
            <a:solidFill>
              <a:schemeClr val="lt1"/>
            </a:solidFill>
          </a:ln>
          <a:effectLst/>
        </c:spPr>
      </c:pivotFmt>
      <c:pivotFmt>
        <c:idx val="689"/>
        <c:spPr>
          <a:solidFill>
            <a:schemeClr val="accent1">
              <a:shade val="66000"/>
            </a:schemeClr>
          </a:solidFill>
          <a:ln w="19050">
            <a:solidFill>
              <a:schemeClr val="lt1"/>
            </a:solidFill>
          </a:ln>
          <a:effectLst/>
        </c:spPr>
      </c:pivotFmt>
      <c:pivotFmt>
        <c:idx val="690"/>
        <c:spPr>
          <a:solidFill>
            <a:schemeClr val="accent1">
              <a:shade val="61000"/>
            </a:schemeClr>
          </a:solidFill>
          <a:ln w="19050">
            <a:solidFill>
              <a:schemeClr val="lt1"/>
            </a:solidFill>
          </a:ln>
          <a:effectLst/>
        </c:spPr>
      </c:pivotFmt>
      <c:pivotFmt>
        <c:idx val="691"/>
        <c:spPr>
          <a:solidFill>
            <a:schemeClr val="accent1">
              <a:shade val="57000"/>
            </a:schemeClr>
          </a:solidFill>
          <a:ln w="19050">
            <a:solidFill>
              <a:schemeClr val="lt1"/>
            </a:solidFill>
          </a:ln>
          <a:effectLst/>
        </c:spPr>
      </c:pivotFmt>
      <c:pivotFmt>
        <c:idx val="692"/>
        <c:spPr>
          <a:solidFill>
            <a:schemeClr val="accent1">
              <a:shade val="52000"/>
            </a:schemeClr>
          </a:solidFill>
          <a:ln w="19050">
            <a:solidFill>
              <a:schemeClr val="lt1"/>
            </a:solidFill>
          </a:ln>
          <a:effectLst/>
        </c:spPr>
      </c:pivotFmt>
      <c:pivotFmt>
        <c:idx val="693"/>
        <c:spPr>
          <a:solidFill>
            <a:schemeClr val="accent1">
              <a:shade val="48000"/>
            </a:schemeClr>
          </a:solidFill>
          <a:ln w="19050">
            <a:solidFill>
              <a:schemeClr val="lt1"/>
            </a:solidFill>
          </a:ln>
          <a:effectLst/>
        </c:spPr>
      </c:pivotFmt>
      <c:pivotFmt>
        <c:idx val="694"/>
        <c:spPr>
          <a:solidFill>
            <a:schemeClr val="accent1">
              <a:shade val="43000"/>
            </a:schemeClr>
          </a:solidFill>
          <a:ln w="19050">
            <a:solidFill>
              <a:schemeClr val="lt1"/>
            </a:solidFill>
          </a:ln>
          <a:effectLst/>
        </c:spPr>
      </c:pivotFmt>
      <c:pivotFmt>
        <c:idx val="695"/>
        <c:spPr>
          <a:solidFill>
            <a:schemeClr val="accent1">
              <a:shade val="39000"/>
            </a:schemeClr>
          </a:solidFill>
          <a:ln w="19050">
            <a:solidFill>
              <a:schemeClr val="lt1"/>
            </a:solidFill>
          </a:ln>
          <a:effectLst/>
        </c:spPr>
      </c:pivotFmt>
      <c:pivotFmt>
        <c:idx val="696"/>
        <c:spPr>
          <a:solidFill>
            <a:schemeClr val="accent1">
              <a:shade val="34000"/>
            </a:schemeClr>
          </a:solidFill>
          <a:ln w="19050">
            <a:solidFill>
              <a:schemeClr val="lt1"/>
            </a:solidFill>
          </a:ln>
          <a:effectLst/>
        </c:spPr>
      </c:pivotFmt>
      <c:pivotFmt>
        <c:idx val="69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98"/>
        <c:spPr>
          <a:solidFill>
            <a:schemeClr val="accent1">
              <a:tint val="35000"/>
            </a:schemeClr>
          </a:solidFill>
          <a:ln w="19050">
            <a:solidFill>
              <a:schemeClr val="lt1"/>
            </a:solidFill>
          </a:ln>
          <a:effectLst/>
        </c:spPr>
      </c:pivotFmt>
      <c:pivotFmt>
        <c:idx val="699"/>
        <c:spPr>
          <a:solidFill>
            <a:schemeClr val="accent1">
              <a:tint val="40000"/>
            </a:schemeClr>
          </a:solidFill>
          <a:ln w="19050">
            <a:solidFill>
              <a:schemeClr val="lt1"/>
            </a:solidFill>
          </a:ln>
          <a:effectLst/>
        </c:spPr>
      </c:pivotFmt>
      <c:pivotFmt>
        <c:idx val="700"/>
        <c:spPr>
          <a:solidFill>
            <a:schemeClr val="accent1">
              <a:tint val="44000"/>
            </a:schemeClr>
          </a:solidFill>
          <a:ln w="19050">
            <a:solidFill>
              <a:schemeClr val="lt1"/>
            </a:solidFill>
          </a:ln>
          <a:effectLst/>
        </c:spPr>
      </c:pivotFmt>
      <c:pivotFmt>
        <c:idx val="701"/>
        <c:spPr>
          <a:solidFill>
            <a:schemeClr val="accent1">
              <a:tint val="49000"/>
            </a:schemeClr>
          </a:solidFill>
          <a:ln w="19050">
            <a:solidFill>
              <a:schemeClr val="lt1"/>
            </a:solidFill>
          </a:ln>
          <a:effectLst/>
        </c:spPr>
      </c:pivotFmt>
      <c:pivotFmt>
        <c:idx val="702"/>
        <c:spPr>
          <a:solidFill>
            <a:schemeClr val="accent1">
              <a:tint val="53000"/>
            </a:schemeClr>
          </a:solidFill>
          <a:ln w="19050">
            <a:solidFill>
              <a:schemeClr val="lt1"/>
            </a:solidFill>
          </a:ln>
          <a:effectLst/>
        </c:spPr>
      </c:pivotFmt>
      <c:pivotFmt>
        <c:idx val="703"/>
        <c:spPr>
          <a:solidFill>
            <a:schemeClr val="accent1">
              <a:tint val="58000"/>
            </a:schemeClr>
          </a:solidFill>
          <a:ln w="19050">
            <a:solidFill>
              <a:schemeClr val="lt1"/>
            </a:solidFill>
          </a:ln>
          <a:effectLst/>
        </c:spPr>
      </c:pivotFmt>
      <c:pivotFmt>
        <c:idx val="704"/>
        <c:spPr>
          <a:solidFill>
            <a:schemeClr val="accent1">
              <a:tint val="62000"/>
            </a:schemeClr>
          </a:solidFill>
          <a:ln w="19050">
            <a:solidFill>
              <a:schemeClr val="lt1"/>
            </a:solidFill>
          </a:ln>
          <a:effectLst/>
        </c:spPr>
      </c:pivotFmt>
      <c:pivotFmt>
        <c:idx val="705"/>
        <c:spPr>
          <a:solidFill>
            <a:schemeClr val="accent1">
              <a:tint val="67000"/>
            </a:schemeClr>
          </a:solidFill>
          <a:ln w="19050">
            <a:solidFill>
              <a:schemeClr val="lt1"/>
            </a:solidFill>
          </a:ln>
          <a:effectLst/>
        </c:spPr>
      </c:pivotFmt>
      <c:pivotFmt>
        <c:idx val="706"/>
        <c:spPr>
          <a:solidFill>
            <a:schemeClr val="accent1">
              <a:tint val="71000"/>
            </a:schemeClr>
          </a:solidFill>
          <a:ln w="19050">
            <a:solidFill>
              <a:schemeClr val="lt1"/>
            </a:solidFill>
          </a:ln>
          <a:effectLst/>
        </c:spPr>
      </c:pivotFmt>
      <c:pivotFmt>
        <c:idx val="707"/>
        <c:spPr>
          <a:solidFill>
            <a:schemeClr val="accent1">
              <a:tint val="76000"/>
            </a:schemeClr>
          </a:solidFill>
          <a:ln w="19050">
            <a:solidFill>
              <a:schemeClr val="lt1"/>
            </a:solidFill>
          </a:ln>
          <a:effectLst/>
        </c:spPr>
      </c:pivotFmt>
      <c:pivotFmt>
        <c:idx val="708"/>
        <c:spPr>
          <a:solidFill>
            <a:schemeClr val="accent1">
              <a:tint val="80000"/>
            </a:schemeClr>
          </a:solidFill>
          <a:ln w="19050">
            <a:solidFill>
              <a:schemeClr val="lt1"/>
            </a:solidFill>
          </a:ln>
          <a:effectLst/>
        </c:spPr>
      </c:pivotFmt>
      <c:pivotFmt>
        <c:idx val="709"/>
        <c:spPr>
          <a:solidFill>
            <a:schemeClr val="accent1">
              <a:tint val="85000"/>
            </a:schemeClr>
          </a:solidFill>
          <a:ln w="19050">
            <a:solidFill>
              <a:schemeClr val="lt1"/>
            </a:solidFill>
          </a:ln>
          <a:effectLst/>
        </c:spPr>
      </c:pivotFmt>
      <c:pivotFmt>
        <c:idx val="710"/>
        <c:spPr>
          <a:solidFill>
            <a:schemeClr val="accent1">
              <a:tint val="89000"/>
            </a:schemeClr>
          </a:solidFill>
          <a:ln w="19050">
            <a:solidFill>
              <a:schemeClr val="lt1"/>
            </a:solidFill>
          </a:ln>
          <a:effectLst/>
        </c:spPr>
      </c:pivotFmt>
      <c:pivotFmt>
        <c:idx val="711"/>
        <c:spPr>
          <a:solidFill>
            <a:schemeClr val="accent1">
              <a:tint val="94000"/>
            </a:schemeClr>
          </a:solidFill>
          <a:ln w="19050">
            <a:solidFill>
              <a:schemeClr val="lt1"/>
            </a:solidFill>
          </a:ln>
          <a:effectLst/>
        </c:spPr>
      </c:pivotFmt>
      <c:pivotFmt>
        <c:idx val="712"/>
        <c:spPr>
          <a:solidFill>
            <a:schemeClr val="accent1">
              <a:tint val="98000"/>
            </a:schemeClr>
          </a:solidFill>
          <a:ln w="19050">
            <a:solidFill>
              <a:schemeClr val="lt1"/>
            </a:solidFill>
          </a:ln>
          <a:effectLst/>
        </c:spPr>
      </c:pivotFmt>
      <c:pivotFmt>
        <c:idx val="713"/>
        <c:spPr>
          <a:solidFill>
            <a:schemeClr val="accent1">
              <a:shade val="97000"/>
            </a:schemeClr>
          </a:solidFill>
          <a:ln w="19050">
            <a:solidFill>
              <a:schemeClr val="lt1"/>
            </a:solidFill>
          </a:ln>
          <a:effectLst/>
        </c:spPr>
      </c:pivotFmt>
      <c:pivotFmt>
        <c:idx val="714"/>
        <c:spPr>
          <a:solidFill>
            <a:schemeClr val="accent1">
              <a:shade val="93000"/>
            </a:schemeClr>
          </a:solidFill>
          <a:ln w="19050">
            <a:solidFill>
              <a:schemeClr val="lt1"/>
            </a:solidFill>
          </a:ln>
          <a:effectLst/>
        </c:spPr>
      </c:pivotFmt>
      <c:pivotFmt>
        <c:idx val="715"/>
        <c:spPr>
          <a:solidFill>
            <a:schemeClr val="accent1">
              <a:shade val="88000"/>
            </a:schemeClr>
          </a:solidFill>
          <a:ln w="19050">
            <a:solidFill>
              <a:schemeClr val="lt1"/>
            </a:solidFill>
          </a:ln>
          <a:effectLst/>
        </c:spPr>
      </c:pivotFmt>
      <c:pivotFmt>
        <c:idx val="716"/>
        <c:spPr>
          <a:solidFill>
            <a:schemeClr val="accent1">
              <a:shade val="84000"/>
            </a:schemeClr>
          </a:solidFill>
          <a:ln w="19050">
            <a:solidFill>
              <a:schemeClr val="lt1"/>
            </a:solidFill>
          </a:ln>
          <a:effectLst/>
        </c:spPr>
      </c:pivotFmt>
      <c:pivotFmt>
        <c:idx val="717"/>
        <c:spPr>
          <a:solidFill>
            <a:schemeClr val="accent1">
              <a:shade val="79000"/>
            </a:schemeClr>
          </a:solidFill>
          <a:ln w="19050">
            <a:solidFill>
              <a:schemeClr val="lt1"/>
            </a:solidFill>
          </a:ln>
          <a:effectLst/>
        </c:spPr>
      </c:pivotFmt>
      <c:pivotFmt>
        <c:idx val="718"/>
        <c:spPr>
          <a:solidFill>
            <a:schemeClr val="accent1">
              <a:shade val="75000"/>
            </a:schemeClr>
          </a:solidFill>
          <a:ln w="19050">
            <a:solidFill>
              <a:schemeClr val="lt1"/>
            </a:solidFill>
          </a:ln>
          <a:effectLst/>
        </c:spPr>
      </c:pivotFmt>
      <c:pivotFmt>
        <c:idx val="719"/>
        <c:spPr>
          <a:solidFill>
            <a:schemeClr val="accent1">
              <a:shade val="70000"/>
            </a:schemeClr>
          </a:solidFill>
          <a:ln w="19050">
            <a:solidFill>
              <a:schemeClr val="lt1"/>
            </a:solidFill>
          </a:ln>
          <a:effectLst/>
        </c:spPr>
      </c:pivotFmt>
      <c:pivotFmt>
        <c:idx val="720"/>
        <c:spPr>
          <a:solidFill>
            <a:schemeClr val="accent1">
              <a:shade val="66000"/>
            </a:schemeClr>
          </a:solidFill>
          <a:ln w="19050">
            <a:solidFill>
              <a:schemeClr val="lt1"/>
            </a:solidFill>
          </a:ln>
          <a:effectLst/>
        </c:spPr>
      </c:pivotFmt>
      <c:pivotFmt>
        <c:idx val="721"/>
        <c:spPr>
          <a:solidFill>
            <a:schemeClr val="accent1">
              <a:shade val="61000"/>
            </a:schemeClr>
          </a:solidFill>
          <a:ln w="19050">
            <a:solidFill>
              <a:schemeClr val="lt1"/>
            </a:solidFill>
          </a:ln>
          <a:effectLst/>
        </c:spPr>
      </c:pivotFmt>
      <c:pivotFmt>
        <c:idx val="722"/>
        <c:spPr>
          <a:solidFill>
            <a:schemeClr val="accent1">
              <a:shade val="57000"/>
            </a:schemeClr>
          </a:solidFill>
          <a:ln w="19050">
            <a:solidFill>
              <a:schemeClr val="lt1"/>
            </a:solidFill>
          </a:ln>
          <a:effectLst/>
        </c:spPr>
      </c:pivotFmt>
      <c:pivotFmt>
        <c:idx val="723"/>
        <c:spPr>
          <a:solidFill>
            <a:schemeClr val="accent1">
              <a:shade val="52000"/>
            </a:schemeClr>
          </a:solidFill>
          <a:ln w="19050">
            <a:solidFill>
              <a:schemeClr val="lt1"/>
            </a:solidFill>
          </a:ln>
          <a:effectLst/>
        </c:spPr>
      </c:pivotFmt>
      <c:pivotFmt>
        <c:idx val="724"/>
        <c:spPr>
          <a:solidFill>
            <a:schemeClr val="accent1">
              <a:shade val="48000"/>
            </a:schemeClr>
          </a:solidFill>
          <a:ln w="19050">
            <a:solidFill>
              <a:schemeClr val="lt1"/>
            </a:solidFill>
          </a:ln>
          <a:effectLst/>
        </c:spPr>
      </c:pivotFmt>
      <c:pivotFmt>
        <c:idx val="725"/>
        <c:spPr>
          <a:solidFill>
            <a:schemeClr val="accent1">
              <a:shade val="43000"/>
            </a:schemeClr>
          </a:solidFill>
          <a:ln w="19050">
            <a:solidFill>
              <a:schemeClr val="lt1"/>
            </a:solidFill>
          </a:ln>
          <a:effectLst/>
        </c:spPr>
      </c:pivotFmt>
      <c:pivotFmt>
        <c:idx val="726"/>
        <c:spPr>
          <a:solidFill>
            <a:schemeClr val="accent1">
              <a:shade val="39000"/>
            </a:schemeClr>
          </a:solidFill>
          <a:ln w="19050">
            <a:solidFill>
              <a:schemeClr val="lt1"/>
            </a:solidFill>
          </a:ln>
          <a:effectLst/>
        </c:spPr>
      </c:pivotFmt>
      <c:pivotFmt>
        <c:idx val="727"/>
        <c:spPr>
          <a:solidFill>
            <a:schemeClr val="accent1">
              <a:shade val="34000"/>
            </a:schemeClr>
          </a:solidFill>
          <a:ln w="19050">
            <a:solidFill>
              <a:schemeClr val="lt1"/>
            </a:solidFill>
          </a:ln>
          <a:effectLst/>
        </c:spPr>
      </c:pivotFmt>
      <c:pivotFmt>
        <c:idx val="7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29"/>
        <c:spPr>
          <a:solidFill>
            <a:schemeClr val="accent1">
              <a:tint val="35000"/>
            </a:schemeClr>
          </a:solidFill>
          <a:ln w="19050">
            <a:solidFill>
              <a:schemeClr val="lt1"/>
            </a:solidFill>
          </a:ln>
          <a:effectLst/>
        </c:spPr>
      </c:pivotFmt>
      <c:pivotFmt>
        <c:idx val="730"/>
        <c:spPr>
          <a:solidFill>
            <a:schemeClr val="accent1">
              <a:tint val="40000"/>
            </a:schemeClr>
          </a:solidFill>
          <a:ln w="19050">
            <a:solidFill>
              <a:schemeClr val="lt1"/>
            </a:solidFill>
          </a:ln>
          <a:effectLst/>
        </c:spPr>
      </c:pivotFmt>
      <c:pivotFmt>
        <c:idx val="731"/>
        <c:spPr>
          <a:solidFill>
            <a:schemeClr val="accent1">
              <a:tint val="44000"/>
            </a:schemeClr>
          </a:solidFill>
          <a:ln w="19050">
            <a:solidFill>
              <a:schemeClr val="lt1"/>
            </a:solidFill>
          </a:ln>
          <a:effectLst/>
        </c:spPr>
      </c:pivotFmt>
      <c:pivotFmt>
        <c:idx val="732"/>
        <c:spPr>
          <a:solidFill>
            <a:schemeClr val="accent1">
              <a:tint val="49000"/>
            </a:schemeClr>
          </a:solidFill>
          <a:ln w="19050">
            <a:solidFill>
              <a:schemeClr val="lt1"/>
            </a:solidFill>
          </a:ln>
          <a:effectLst/>
        </c:spPr>
      </c:pivotFmt>
      <c:pivotFmt>
        <c:idx val="733"/>
        <c:spPr>
          <a:solidFill>
            <a:schemeClr val="accent1">
              <a:tint val="53000"/>
            </a:schemeClr>
          </a:solidFill>
          <a:ln w="19050">
            <a:solidFill>
              <a:schemeClr val="lt1"/>
            </a:solidFill>
          </a:ln>
          <a:effectLst/>
        </c:spPr>
      </c:pivotFmt>
      <c:pivotFmt>
        <c:idx val="734"/>
        <c:spPr>
          <a:solidFill>
            <a:schemeClr val="accent1">
              <a:tint val="58000"/>
            </a:schemeClr>
          </a:solidFill>
          <a:ln w="19050">
            <a:solidFill>
              <a:schemeClr val="lt1"/>
            </a:solidFill>
          </a:ln>
          <a:effectLst/>
        </c:spPr>
      </c:pivotFmt>
      <c:pivotFmt>
        <c:idx val="735"/>
        <c:spPr>
          <a:solidFill>
            <a:schemeClr val="accent1">
              <a:tint val="62000"/>
            </a:schemeClr>
          </a:solidFill>
          <a:ln w="19050">
            <a:solidFill>
              <a:schemeClr val="lt1"/>
            </a:solidFill>
          </a:ln>
          <a:effectLst/>
        </c:spPr>
      </c:pivotFmt>
      <c:pivotFmt>
        <c:idx val="736"/>
        <c:spPr>
          <a:solidFill>
            <a:schemeClr val="accent1">
              <a:tint val="67000"/>
            </a:schemeClr>
          </a:solidFill>
          <a:ln w="19050">
            <a:solidFill>
              <a:schemeClr val="lt1"/>
            </a:solidFill>
          </a:ln>
          <a:effectLst/>
        </c:spPr>
      </c:pivotFmt>
      <c:pivotFmt>
        <c:idx val="737"/>
        <c:spPr>
          <a:solidFill>
            <a:schemeClr val="accent1">
              <a:tint val="71000"/>
            </a:schemeClr>
          </a:solidFill>
          <a:ln w="19050">
            <a:solidFill>
              <a:schemeClr val="lt1"/>
            </a:solidFill>
          </a:ln>
          <a:effectLst/>
        </c:spPr>
      </c:pivotFmt>
      <c:pivotFmt>
        <c:idx val="738"/>
        <c:spPr>
          <a:solidFill>
            <a:schemeClr val="accent1">
              <a:tint val="76000"/>
            </a:schemeClr>
          </a:solidFill>
          <a:ln w="19050">
            <a:solidFill>
              <a:schemeClr val="lt1"/>
            </a:solidFill>
          </a:ln>
          <a:effectLst/>
        </c:spPr>
      </c:pivotFmt>
      <c:pivotFmt>
        <c:idx val="739"/>
        <c:spPr>
          <a:solidFill>
            <a:schemeClr val="accent1">
              <a:tint val="80000"/>
            </a:schemeClr>
          </a:solidFill>
          <a:ln w="19050">
            <a:solidFill>
              <a:schemeClr val="lt1"/>
            </a:solidFill>
          </a:ln>
          <a:effectLst/>
        </c:spPr>
      </c:pivotFmt>
      <c:pivotFmt>
        <c:idx val="740"/>
        <c:spPr>
          <a:solidFill>
            <a:schemeClr val="accent1">
              <a:tint val="85000"/>
            </a:schemeClr>
          </a:solidFill>
          <a:ln w="19050">
            <a:solidFill>
              <a:schemeClr val="lt1"/>
            </a:solidFill>
          </a:ln>
          <a:effectLst/>
        </c:spPr>
      </c:pivotFmt>
      <c:pivotFmt>
        <c:idx val="741"/>
        <c:spPr>
          <a:solidFill>
            <a:schemeClr val="accent1">
              <a:tint val="89000"/>
            </a:schemeClr>
          </a:solidFill>
          <a:ln w="19050">
            <a:solidFill>
              <a:schemeClr val="lt1"/>
            </a:solidFill>
          </a:ln>
          <a:effectLst/>
        </c:spPr>
      </c:pivotFmt>
      <c:pivotFmt>
        <c:idx val="742"/>
        <c:spPr>
          <a:solidFill>
            <a:schemeClr val="accent1">
              <a:tint val="94000"/>
            </a:schemeClr>
          </a:solidFill>
          <a:ln w="19050">
            <a:solidFill>
              <a:schemeClr val="lt1"/>
            </a:solidFill>
          </a:ln>
          <a:effectLst/>
        </c:spPr>
      </c:pivotFmt>
      <c:pivotFmt>
        <c:idx val="743"/>
        <c:spPr>
          <a:solidFill>
            <a:schemeClr val="accent1">
              <a:tint val="98000"/>
            </a:schemeClr>
          </a:solidFill>
          <a:ln w="19050">
            <a:solidFill>
              <a:schemeClr val="lt1"/>
            </a:solidFill>
          </a:ln>
          <a:effectLst/>
        </c:spPr>
      </c:pivotFmt>
      <c:pivotFmt>
        <c:idx val="744"/>
        <c:spPr>
          <a:solidFill>
            <a:schemeClr val="accent1">
              <a:shade val="97000"/>
            </a:schemeClr>
          </a:solidFill>
          <a:ln w="19050">
            <a:solidFill>
              <a:schemeClr val="lt1"/>
            </a:solidFill>
          </a:ln>
          <a:effectLst/>
        </c:spPr>
      </c:pivotFmt>
      <c:pivotFmt>
        <c:idx val="745"/>
        <c:spPr>
          <a:solidFill>
            <a:schemeClr val="accent1">
              <a:shade val="93000"/>
            </a:schemeClr>
          </a:solidFill>
          <a:ln w="19050">
            <a:solidFill>
              <a:schemeClr val="lt1"/>
            </a:solidFill>
          </a:ln>
          <a:effectLst/>
        </c:spPr>
      </c:pivotFmt>
      <c:pivotFmt>
        <c:idx val="746"/>
        <c:spPr>
          <a:solidFill>
            <a:schemeClr val="accent1">
              <a:shade val="88000"/>
            </a:schemeClr>
          </a:solidFill>
          <a:ln w="19050">
            <a:solidFill>
              <a:schemeClr val="lt1"/>
            </a:solidFill>
          </a:ln>
          <a:effectLst/>
        </c:spPr>
      </c:pivotFmt>
      <c:pivotFmt>
        <c:idx val="747"/>
        <c:spPr>
          <a:solidFill>
            <a:schemeClr val="accent1">
              <a:shade val="84000"/>
            </a:schemeClr>
          </a:solidFill>
          <a:ln w="19050">
            <a:solidFill>
              <a:schemeClr val="lt1"/>
            </a:solidFill>
          </a:ln>
          <a:effectLst/>
        </c:spPr>
      </c:pivotFmt>
      <c:pivotFmt>
        <c:idx val="748"/>
        <c:spPr>
          <a:solidFill>
            <a:schemeClr val="accent1">
              <a:shade val="79000"/>
            </a:schemeClr>
          </a:solidFill>
          <a:ln w="19050">
            <a:solidFill>
              <a:schemeClr val="lt1"/>
            </a:solidFill>
          </a:ln>
          <a:effectLst/>
        </c:spPr>
      </c:pivotFmt>
      <c:pivotFmt>
        <c:idx val="749"/>
        <c:spPr>
          <a:solidFill>
            <a:schemeClr val="accent1">
              <a:shade val="75000"/>
            </a:schemeClr>
          </a:solidFill>
          <a:ln w="19050">
            <a:solidFill>
              <a:schemeClr val="lt1"/>
            </a:solidFill>
          </a:ln>
          <a:effectLst/>
        </c:spPr>
      </c:pivotFmt>
      <c:pivotFmt>
        <c:idx val="750"/>
        <c:spPr>
          <a:solidFill>
            <a:schemeClr val="accent1">
              <a:shade val="70000"/>
            </a:schemeClr>
          </a:solidFill>
          <a:ln w="19050">
            <a:solidFill>
              <a:schemeClr val="lt1"/>
            </a:solidFill>
          </a:ln>
          <a:effectLst/>
        </c:spPr>
      </c:pivotFmt>
      <c:pivotFmt>
        <c:idx val="751"/>
        <c:spPr>
          <a:solidFill>
            <a:schemeClr val="accent1">
              <a:shade val="66000"/>
            </a:schemeClr>
          </a:solidFill>
          <a:ln w="19050">
            <a:solidFill>
              <a:schemeClr val="lt1"/>
            </a:solidFill>
          </a:ln>
          <a:effectLst/>
        </c:spPr>
      </c:pivotFmt>
      <c:pivotFmt>
        <c:idx val="752"/>
        <c:spPr>
          <a:solidFill>
            <a:schemeClr val="accent1">
              <a:shade val="61000"/>
            </a:schemeClr>
          </a:solidFill>
          <a:ln w="19050">
            <a:solidFill>
              <a:schemeClr val="lt1"/>
            </a:solidFill>
          </a:ln>
          <a:effectLst/>
        </c:spPr>
      </c:pivotFmt>
      <c:pivotFmt>
        <c:idx val="753"/>
        <c:spPr>
          <a:solidFill>
            <a:schemeClr val="accent1">
              <a:shade val="57000"/>
            </a:schemeClr>
          </a:solidFill>
          <a:ln w="19050">
            <a:solidFill>
              <a:schemeClr val="lt1"/>
            </a:solidFill>
          </a:ln>
          <a:effectLst/>
        </c:spPr>
      </c:pivotFmt>
      <c:pivotFmt>
        <c:idx val="754"/>
        <c:spPr>
          <a:solidFill>
            <a:schemeClr val="accent1">
              <a:shade val="52000"/>
            </a:schemeClr>
          </a:solidFill>
          <a:ln w="19050">
            <a:solidFill>
              <a:schemeClr val="lt1"/>
            </a:solidFill>
          </a:ln>
          <a:effectLst/>
        </c:spPr>
      </c:pivotFmt>
      <c:pivotFmt>
        <c:idx val="755"/>
        <c:spPr>
          <a:solidFill>
            <a:schemeClr val="accent1">
              <a:shade val="48000"/>
            </a:schemeClr>
          </a:solidFill>
          <a:ln w="19050">
            <a:solidFill>
              <a:schemeClr val="lt1"/>
            </a:solidFill>
          </a:ln>
          <a:effectLst/>
        </c:spPr>
      </c:pivotFmt>
      <c:pivotFmt>
        <c:idx val="756"/>
        <c:spPr>
          <a:solidFill>
            <a:schemeClr val="accent1">
              <a:shade val="43000"/>
            </a:schemeClr>
          </a:solidFill>
          <a:ln w="19050">
            <a:solidFill>
              <a:schemeClr val="lt1"/>
            </a:solidFill>
          </a:ln>
          <a:effectLst/>
        </c:spPr>
      </c:pivotFmt>
      <c:pivotFmt>
        <c:idx val="757"/>
        <c:spPr>
          <a:solidFill>
            <a:schemeClr val="accent1">
              <a:shade val="39000"/>
            </a:schemeClr>
          </a:solidFill>
          <a:ln w="19050">
            <a:solidFill>
              <a:schemeClr val="lt1"/>
            </a:solidFill>
          </a:ln>
          <a:effectLst/>
        </c:spPr>
      </c:pivotFmt>
      <c:pivotFmt>
        <c:idx val="758"/>
        <c:spPr>
          <a:solidFill>
            <a:schemeClr val="accent1">
              <a:shade val="34000"/>
            </a:schemeClr>
          </a:solidFill>
          <a:ln w="19050">
            <a:solidFill>
              <a:schemeClr val="lt1"/>
            </a:solidFill>
          </a:ln>
          <a:effectLst/>
        </c:spPr>
      </c:pivotFmt>
      <c:pivotFmt>
        <c:idx val="7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60"/>
        <c:spPr>
          <a:solidFill>
            <a:schemeClr val="accent1">
              <a:tint val="35000"/>
            </a:schemeClr>
          </a:solidFill>
          <a:ln w="19050">
            <a:solidFill>
              <a:schemeClr val="lt1"/>
            </a:solidFill>
          </a:ln>
          <a:effectLst/>
        </c:spPr>
      </c:pivotFmt>
      <c:pivotFmt>
        <c:idx val="761"/>
        <c:spPr>
          <a:solidFill>
            <a:schemeClr val="accent1">
              <a:tint val="40000"/>
            </a:schemeClr>
          </a:solidFill>
          <a:ln w="19050">
            <a:solidFill>
              <a:schemeClr val="lt1"/>
            </a:solidFill>
          </a:ln>
          <a:effectLst/>
        </c:spPr>
      </c:pivotFmt>
      <c:pivotFmt>
        <c:idx val="762"/>
        <c:spPr>
          <a:solidFill>
            <a:schemeClr val="accent1">
              <a:tint val="44000"/>
            </a:schemeClr>
          </a:solidFill>
          <a:ln w="19050">
            <a:solidFill>
              <a:schemeClr val="lt1"/>
            </a:solidFill>
          </a:ln>
          <a:effectLst/>
        </c:spPr>
      </c:pivotFmt>
      <c:pivotFmt>
        <c:idx val="763"/>
        <c:spPr>
          <a:solidFill>
            <a:schemeClr val="accent1">
              <a:tint val="49000"/>
            </a:schemeClr>
          </a:solidFill>
          <a:ln w="19050">
            <a:solidFill>
              <a:schemeClr val="lt1"/>
            </a:solidFill>
          </a:ln>
          <a:effectLst/>
        </c:spPr>
      </c:pivotFmt>
      <c:pivotFmt>
        <c:idx val="764"/>
        <c:spPr>
          <a:solidFill>
            <a:schemeClr val="accent1">
              <a:tint val="53000"/>
            </a:schemeClr>
          </a:solidFill>
          <a:ln w="19050">
            <a:solidFill>
              <a:schemeClr val="lt1"/>
            </a:solidFill>
          </a:ln>
          <a:effectLst/>
        </c:spPr>
      </c:pivotFmt>
      <c:pivotFmt>
        <c:idx val="765"/>
        <c:spPr>
          <a:solidFill>
            <a:schemeClr val="accent1">
              <a:tint val="58000"/>
            </a:schemeClr>
          </a:solidFill>
          <a:ln w="19050">
            <a:solidFill>
              <a:schemeClr val="lt1"/>
            </a:solidFill>
          </a:ln>
          <a:effectLst/>
        </c:spPr>
      </c:pivotFmt>
      <c:pivotFmt>
        <c:idx val="766"/>
        <c:spPr>
          <a:solidFill>
            <a:schemeClr val="accent1">
              <a:tint val="62000"/>
            </a:schemeClr>
          </a:solidFill>
          <a:ln w="19050">
            <a:solidFill>
              <a:schemeClr val="lt1"/>
            </a:solidFill>
          </a:ln>
          <a:effectLst/>
        </c:spPr>
      </c:pivotFmt>
      <c:pivotFmt>
        <c:idx val="767"/>
        <c:spPr>
          <a:solidFill>
            <a:schemeClr val="accent1">
              <a:tint val="67000"/>
            </a:schemeClr>
          </a:solidFill>
          <a:ln w="19050">
            <a:solidFill>
              <a:schemeClr val="lt1"/>
            </a:solidFill>
          </a:ln>
          <a:effectLst/>
        </c:spPr>
      </c:pivotFmt>
      <c:pivotFmt>
        <c:idx val="768"/>
        <c:spPr>
          <a:solidFill>
            <a:schemeClr val="accent1">
              <a:tint val="71000"/>
            </a:schemeClr>
          </a:solidFill>
          <a:ln w="19050">
            <a:solidFill>
              <a:schemeClr val="lt1"/>
            </a:solidFill>
          </a:ln>
          <a:effectLst/>
        </c:spPr>
      </c:pivotFmt>
      <c:pivotFmt>
        <c:idx val="769"/>
        <c:spPr>
          <a:solidFill>
            <a:schemeClr val="accent1">
              <a:tint val="76000"/>
            </a:schemeClr>
          </a:solidFill>
          <a:ln w="19050">
            <a:solidFill>
              <a:schemeClr val="lt1"/>
            </a:solidFill>
          </a:ln>
          <a:effectLst/>
        </c:spPr>
      </c:pivotFmt>
      <c:pivotFmt>
        <c:idx val="770"/>
        <c:spPr>
          <a:solidFill>
            <a:schemeClr val="accent1">
              <a:tint val="80000"/>
            </a:schemeClr>
          </a:solidFill>
          <a:ln w="19050">
            <a:solidFill>
              <a:schemeClr val="lt1"/>
            </a:solidFill>
          </a:ln>
          <a:effectLst/>
        </c:spPr>
      </c:pivotFmt>
      <c:pivotFmt>
        <c:idx val="771"/>
        <c:spPr>
          <a:solidFill>
            <a:schemeClr val="accent1">
              <a:tint val="85000"/>
            </a:schemeClr>
          </a:solidFill>
          <a:ln w="19050">
            <a:solidFill>
              <a:schemeClr val="lt1"/>
            </a:solidFill>
          </a:ln>
          <a:effectLst/>
        </c:spPr>
      </c:pivotFmt>
      <c:pivotFmt>
        <c:idx val="772"/>
        <c:spPr>
          <a:solidFill>
            <a:schemeClr val="accent1">
              <a:tint val="89000"/>
            </a:schemeClr>
          </a:solidFill>
          <a:ln w="19050">
            <a:solidFill>
              <a:schemeClr val="lt1"/>
            </a:solidFill>
          </a:ln>
          <a:effectLst/>
        </c:spPr>
      </c:pivotFmt>
      <c:pivotFmt>
        <c:idx val="773"/>
        <c:spPr>
          <a:solidFill>
            <a:schemeClr val="accent1">
              <a:tint val="94000"/>
            </a:schemeClr>
          </a:solidFill>
          <a:ln w="19050">
            <a:solidFill>
              <a:schemeClr val="lt1"/>
            </a:solidFill>
          </a:ln>
          <a:effectLst/>
        </c:spPr>
      </c:pivotFmt>
      <c:pivotFmt>
        <c:idx val="774"/>
        <c:spPr>
          <a:solidFill>
            <a:schemeClr val="accent1">
              <a:tint val="98000"/>
            </a:schemeClr>
          </a:solidFill>
          <a:ln w="19050">
            <a:solidFill>
              <a:schemeClr val="lt1"/>
            </a:solidFill>
          </a:ln>
          <a:effectLst/>
        </c:spPr>
      </c:pivotFmt>
      <c:pivotFmt>
        <c:idx val="775"/>
        <c:spPr>
          <a:solidFill>
            <a:schemeClr val="accent1">
              <a:shade val="97000"/>
            </a:schemeClr>
          </a:solidFill>
          <a:ln w="19050">
            <a:solidFill>
              <a:schemeClr val="lt1"/>
            </a:solidFill>
          </a:ln>
          <a:effectLst/>
        </c:spPr>
      </c:pivotFmt>
      <c:pivotFmt>
        <c:idx val="776"/>
        <c:spPr>
          <a:solidFill>
            <a:schemeClr val="accent1">
              <a:shade val="93000"/>
            </a:schemeClr>
          </a:solidFill>
          <a:ln w="19050">
            <a:solidFill>
              <a:schemeClr val="lt1"/>
            </a:solidFill>
          </a:ln>
          <a:effectLst/>
        </c:spPr>
      </c:pivotFmt>
      <c:pivotFmt>
        <c:idx val="777"/>
        <c:spPr>
          <a:solidFill>
            <a:schemeClr val="accent1">
              <a:shade val="88000"/>
            </a:schemeClr>
          </a:solidFill>
          <a:ln w="19050">
            <a:solidFill>
              <a:schemeClr val="lt1"/>
            </a:solidFill>
          </a:ln>
          <a:effectLst/>
        </c:spPr>
      </c:pivotFmt>
      <c:pivotFmt>
        <c:idx val="778"/>
        <c:spPr>
          <a:solidFill>
            <a:schemeClr val="accent1">
              <a:shade val="84000"/>
            </a:schemeClr>
          </a:solidFill>
          <a:ln w="19050">
            <a:solidFill>
              <a:schemeClr val="lt1"/>
            </a:solidFill>
          </a:ln>
          <a:effectLst/>
        </c:spPr>
      </c:pivotFmt>
      <c:pivotFmt>
        <c:idx val="779"/>
        <c:spPr>
          <a:solidFill>
            <a:schemeClr val="accent1">
              <a:shade val="79000"/>
            </a:schemeClr>
          </a:solidFill>
          <a:ln w="19050">
            <a:solidFill>
              <a:schemeClr val="lt1"/>
            </a:solidFill>
          </a:ln>
          <a:effectLst/>
        </c:spPr>
      </c:pivotFmt>
      <c:pivotFmt>
        <c:idx val="780"/>
        <c:spPr>
          <a:solidFill>
            <a:schemeClr val="accent1">
              <a:shade val="75000"/>
            </a:schemeClr>
          </a:solidFill>
          <a:ln w="19050">
            <a:solidFill>
              <a:schemeClr val="lt1"/>
            </a:solidFill>
          </a:ln>
          <a:effectLst/>
        </c:spPr>
      </c:pivotFmt>
      <c:pivotFmt>
        <c:idx val="781"/>
        <c:spPr>
          <a:solidFill>
            <a:schemeClr val="accent1">
              <a:shade val="70000"/>
            </a:schemeClr>
          </a:solidFill>
          <a:ln w="19050">
            <a:solidFill>
              <a:schemeClr val="lt1"/>
            </a:solidFill>
          </a:ln>
          <a:effectLst/>
        </c:spPr>
      </c:pivotFmt>
      <c:pivotFmt>
        <c:idx val="782"/>
        <c:spPr>
          <a:solidFill>
            <a:schemeClr val="accent1">
              <a:shade val="66000"/>
            </a:schemeClr>
          </a:solidFill>
          <a:ln w="19050">
            <a:solidFill>
              <a:schemeClr val="lt1"/>
            </a:solidFill>
          </a:ln>
          <a:effectLst/>
        </c:spPr>
      </c:pivotFmt>
      <c:pivotFmt>
        <c:idx val="783"/>
        <c:spPr>
          <a:solidFill>
            <a:schemeClr val="accent1">
              <a:shade val="61000"/>
            </a:schemeClr>
          </a:solidFill>
          <a:ln w="19050">
            <a:solidFill>
              <a:schemeClr val="lt1"/>
            </a:solidFill>
          </a:ln>
          <a:effectLst/>
        </c:spPr>
        <c:dLbl>
          <c:idx val="0"/>
          <c:layout>
            <c:manualLayout>
              <c:x val="-5.393379468030414E-2"/>
              <c:y val="1.9703639407278813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84"/>
        <c:spPr>
          <a:solidFill>
            <a:schemeClr val="accent1">
              <a:shade val="57000"/>
            </a:schemeClr>
          </a:solidFill>
          <a:ln w="19050">
            <a:solidFill>
              <a:schemeClr val="lt1"/>
            </a:solidFill>
          </a:ln>
          <a:effectLst/>
        </c:spPr>
      </c:pivotFmt>
      <c:pivotFmt>
        <c:idx val="785"/>
        <c:spPr>
          <a:solidFill>
            <a:schemeClr val="accent1">
              <a:shade val="52000"/>
            </a:schemeClr>
          </a:solidFill>
          <a:ln w="19050">
            <a:solidFill>
              <a:schemeClr val="lt1"/>
            </a:solidFill>
          </a:ln>
          <a:effectLst/>
        </c:spPr>
      </c:pivotFmt>
      <c:pivotFmt>
        <c:idx val="786"/>
        <c:spPr>
          <a:solidFill>
            <a:schemeClr val="accent1">
              <a:shade val="48000"/>
            </a:schemeClr>
          </a:solidFill>
          <a:ln w="19050">
            <a:solidFill>
              <a:schemeClr val="lt1"/>
            </a:solidFill>
          </a:ln>
          <a:effectLst/>
        </c:spPr>
      </c:pivotFmt>
      <c:pivotFmt>
        <c:idx val="787"/>
        <c:spPr>
          <a:solidFill>
            <a:schemeClr val="accent1">
              <a:shade val="43000"/>
            </a:schemeClr>
          </a:solidFill>
          <a:ln w="19050">
            <a:solidFill>
              <a:schemeClr val="lt1"/>
            </a:solidFill>
          </a:ln>
          <a:effectLst/>
        </c:spPr>
      </c:pivotFmt>
      <c:pivotFmt>
        <c:idx val="788"/>
        <c:spPr>
          <a:solidFill>
            <a:schemeClr val="accent1">
              <a:shade val="39000"/>
            </a:schemeClr>
          </a:solidFill>
          <a:ln w="19050">
            <a:solidFill>
              <a:schemeClr val="lt1"/>
            </a:solidFill>
          </a:ln>
          <a:effectLst/>
        </c:spPr>
      </c:pivotFmt>
      <c:pivotFmt>
        <c:idx val="789"/>
        <c:spPr>
          <a:solidFill>
            <a:schemeClr val="accent1">
              <a:shade val="34000"/>
            </a:schemeClr>
          </a:solidFill>
          <a:ln w="19050">
            <a:solidFill>
              <a:schemeClr val="lt1"/>
            </a:solidFill>
          </a:ln>
          <a:effectLst/>
        </c:spPr>
      </c:pivotFmt>
      <c:pivotFmt>
        <c:idx val="79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9.9659655432344313E-2"/>
          <c:y val="0.17248642760714514"/>
          <c:w val="0.59277284327348356"/>
          <c:h val="0.75634150863592386"/>
        </c:manualLayout>
      </c:layout>
      <c:pieChart>
        <c:varyColors val="1"/>
        <c:ser>
          <c:idx val="0"/>
          <c:order val="0"/>
          <c:tx>
            <c:strRef>
              <c:f>'Sales by Region'!$B$6:$B$7</c:f>
              <c:strCache>
                <c:ptCount val="1"/>
                <c:pt idx="0">
                  <c:v>Jan</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001-74E3-4EF1-8673-7DE8D32AC397}"/>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03-74E3-4EF1-8673-7DE8D32AC397}"/>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05-74E3-4EF1-8673-7DE8D32AC397}"/>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007-74E3-4EF1-8673-7DE8D32AC397}"/>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009-74E3-4EF1-8673-7DE8D32AC397}"/>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B-74E3-4EF1-8673-7DE8D32AC397}"/>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00D-74E3-4EF1-8673-7DE8D32AC397}"/>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00F-74E3-4EF1-8673-7DE8D32AC397}"/>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011-74E3-4EF1-8673-7DE8D32AC397}"/>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013-74E3-4EF1-8673-7DE8D32AC397}"/>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15-74E3-4EF1-8673-7DE8D32AC397}"/>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017-74E3-4EF1-8673-7DE8D32AC397}"/>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019-74E3-4EF1-8673-7DE8D32AC397}"/>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1B-74E3-4EF1-8673-7DE8D32AC397}"/>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01D-74E3-4EF1-8673-7DE8D32AC397}"/>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01F-74E3-4EF1-8673-7DE8D32AC397}"/>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021-74E3-4EF1-8673-7DE8D32AC397}"/>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23-74E3-4EF1-8673-7DE8D32AC397}"/>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025-74E3-4EF1-8673-7DE8D32AC397}"/>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027-74E3-4EF1-8673-7DE8D32AC397}"/>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029-74E3-4EF1-8673-7DE8D32AC397}"/>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2B-74E3-4EF1-8673-7DE8D32AC397}"/>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02D-74E3-4EF1-8673-7DE8D32AC397}"/>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02F-74E3-4EF1-8673-7DE8D32AC397}"/>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031-74E3-4EF1-8673-7DE8D32AC397}"/>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033-74E3-4EF1-8673-7DE8D32AC397}"/>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035-74E3-4EF1-8673-7DE8D32AC397}"/>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037-74E3-4EF1-8673-7DE8D32AC397}"/>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039-74E3-4EF1-8673-7DE8D32AC397}"/>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03B-74E3-4EF1-8673-7DE8D32AC397}"/>
              </c:ext>
            </c:extLst>
          </c:dPt>
          <c:dLbls>
            <c:dLbl>
              <c:idx val="15"/>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1F-74E3-4EF1-8673-7DE8D32AC397}"/>
                </c:ext>
              </c:extLst>
            </c:dLbl>
            <c:dLbl>
              <c:idx val="18"/>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25-74E3-4EF1-8673-7DE8D32AC397}"/>
                </c:ext>
              </c:extLst>
            </c:dLbl>
            <c:dLbl>
              <c:idx val="19"/>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27-74E3-4EF1-8673-7DE8D32AC397}"/>
                </c:ext>
              </c:extLst>
            </c:dLbl>
            <c:dLbl>
              <c:idx val="21"/>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2B-74E3-4EF1-8673-7DE8D32AC397}"/>
                </c:ext>
              </c:extLst>
            </c:dLbl>
            <c:dLbl>
              <c:idx val="22"/>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2D-74E3-4EF1-8673-7DE8D32AC397}"/>
                </c:ext>
              </c:extLst>
            </c:dLbl>
            <c:dLbl>
              <c:idx val="25"/>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33-74E3-4EF1-8673-7DE8D32AC397}"/>
                </c:ext>
              </c:extLst>
            </c:dLbl>
            <c:dLbl>
              <c:idx val="27"/>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37-74E3-4EF1-8673-7DE8D32AC397}"/>
                </c:ext>
              </c:extLst>
            </c:dLbl>
            <c:dLbl>
              <c:idx val="28"/>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39-74E3-4EF1-8673-7DE8D32AC397}"/>
                </c:ext>
              </c:extLst>
            </c:dLbl>
            <c:dLbl>
              <c:idx val="29"/>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3B-74E3-4EF1-8673-7DE8D32AC397}"/>
                </c:ext>
              </c:extLst>
            </c:dLbl>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Region'!$B$8:$B$41</c:f>
              <c:numCache>
                <c:formatCode>_("£"* #,##0.00_);_("£"* \(#,##0.00\);_("£"* "-"??_);_(@_)</c:formatCode>
                <c:ptCount val="30"/>
                <c:pt idx="0">
                  <c:v>7212.2399999999989</c:v>
                </c:pt>
                <c:pt idx="1">
                  <c:v>8241</c:v>
                </c:pt>
                <c:pt idx="2">
                  <c:v>9623.0400000000009</c:v>
                </c:pt>
                <c:pt idx="3">
                  <c:v>9195.1200000000008</c:v>
                </c:pt>
                <c:pt idx="4">
                  <c:v>7104.24</c:v>
                </c:pt>
                <c:pt idx="5">
                  <c:v>5793.4000000000005</c:v>
                </c:pt>
                <c:pt idx="6">
                  <c:v>9859.3200000000015</c:v>
                </c:pt>
                <c:pt idx="7">
                  <c:v>16520</c:v>
                </c:pt>
                <c:pt idx="8">
                  <c:v>39540.960000000006</c:v>
                </c:pt>
                <c:pt idx="9">
                  <c:v>29398.32</c:v>
                </c:pt>
                <c:pt idx="10">
                  <c:v>13607.999999999998</c:v>
                </c:pt>
                <c:pt idx="11">
                  <c:v>17446.799999999996</c:v>
                </c:pt>
                <c:pt idx="12">
                  <c:v>10095.599999999999</c:v>
                </c:pt>
                <c:pt idx="13">
                  <c:v>11826.720000000001</c:v>
                </c:pt>
                <c:pt idx="14">
                  <c:v>5564.1599999999989</c:v>
                </c:pt>
                <c:pt idx="15">
                  <c:v>25686.400000000005</c:v>
                </c:pt>
                <c:pt idx="16">
                  <c:v>13815.220000000001</c:v>
                </c:pt>
                <c:pt idx="17">
                  <c:v>17523</c:v>
                </c:pt>
                <c:pt idx="18">
                  <c:v>58904.639999999992</c:v>
                </c:pt>
                <c:pt idx="19">
                  <c:v>34282.080000000009</c:v>
                </c:pt>
                <c:pt idx="20">
                  <c:v>10954.44</c:v>
                </c:pt>
                <c:pt idx="21">
                  <c:v>21949.199999999997</c:v>
                </c:pt>
                <c:pt idx="22">
                  <c:v>11942.880000000001</c:v>
                </c:pt>
                <c:pt idx="23">
                  <c:v>4582.08</c:v>
                </c:pt>
                <c:pt idx="24">
                  <c:v>4338.72</c:v>
                </c:pt>
                <c:pt idx="25">
                  <c:v>23452.799999999999</c:v>
                </c:pt>
                <c:pt idx="26">
                  <c:v>13541.349999999999</c:v>
                </c:pt>
                <c:pt idx="27">
                  <c:v>25547</c:v>
                </c:pt>
                <c:pt idx="28">
                  <c:v>22536.720000000001</c:v>
                </c:pt>
                <c:pt idx="29">
                  <c:v>38304</c:v>
                </c:pt>
              </c:numCache>
            </c:numRef>
          </c:val>
          <c:extLst>
            <c:ext xmlns:c16="http://schemas.microsoft.com/office/drawing/2014/chart" uri="{C3380CC4-5D6E-409C-BE32-E72D297353CC}">
              <c16:uniqueId val="{0000003C-74E3-4EF1-8673-7DE8D32AC397}"/>
            </c:ext>
          </c:extLst>
        </c:ser>
        <c:ser>
          <c:idx val="1"/>
          <c:order val="1"/>
          <c:tx>
            <c:strRef>
              <c:f>'Sales by Region'!$C$6:$C$7</c:f>
              <c:strCache>
                <c:ptCount val="1"/>
                <c:pt idx="0">
                  <c:v>Feb</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03D-E80A-4374-9306-A9A32097CDB8}"/>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3F-E80A-4374-9306-A9A32097CDB8}"/>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41-E80A-4374-9306-A9A32097CDB8}"/>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043-E80A-4374-9306-A9A32097CDB8}"/>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045-E80A-4374-9306-A9A32097CDB8}"/>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47-E80A-4374-9306-A9A32097CDB8}"/>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049-E80A-4374-9306-A9A32097CDB8}"/>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04B-E80A-4374-9306-A9A32097CDB8}"/>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04D-E80A-4374-9306-A9A32097CDB8}"/>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04F-E80A-4374-9306-A9A32097CDB8}"/>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51-E80A-4374-9306-A9A32097CDB8}"/>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053-E80A-4374-9306-A9A32097CDB8}"/>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055-E80A-4374-9306-A9A32097CDB8}"/>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57-E80A-4374-9306-A9A32097CDB8}"/>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059-E80A-4374-9306-A9A32097CDB8}"/>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05B-E80A-4374-9306-A9A32097CDB8}"/>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05D-E80A-4374-9306-A9A32097CDB8}"/>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5F-E80A-4374-9306-A9A32097CDB8}"/>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061-E80A-4374-9306-A9A32097CDB8}"/>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063-E80A-4374-9306-A9A32097CDB8}"/>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065-E80A-4374-9306-A9A32097CDB8}"/>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67-E80A-4374-9306-A9A32097CDB8}"/>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069-E80A-4374-9306-A9A32097CDB8}"/>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06B-E80A-4374-9306-A9A32097CDB8}"/>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06D-E80A-4374-9306-A9A32097CDB8}"/>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06F-E80A-4374-9306-A9A32097CDB8}"/>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071-E80A-4374-9306-A9A32097CDB8}"/>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073-E80A-4374-9306-A9A32097CDB8}"/>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075-E80A-4374-9306-A9A32097CDB8}"/>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077-E80A-4374-9306-A9A32097CDB8}"/>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Region'!$C$8:$C$41</c:f>
              <c:numCache>
                <c:formatCode>_("£"* #,##0.00_);_("£"* \(#,##0.00\);_("£"* "-"??_);_(@_)</c:formatCode>
                <c:ptCount val="30"/>
                <c:pt idx="0">
                  <c:v>8062.74</c:v>
                </c:pt>
                <c:pt idx="1">
                  <c:v>5225.9999999999991</c:v>
                </c:pt>
                <c:pt idx="2">
                  <c:v>13016.88</c:v>
                </c:pt>
                <c:pt idx="3">
                  <c:v>9349.92</c:v>
                </c:pt>
                <c:pt idx="4">
                  <c:v>4587.12</c:v>
                </c:pt>
                <c:pt idx="5">
                  <c:v>14867.4</c:v>
                </c:pt>
                <c:pt idx="6">
                  <c:v>11593.83</c:v>
                </c:pt>
                <c:pt idx="7">
                  <c:v>20178</c:v>
                </c:pt>
                <c:pt idx="8">
                  <c:v>27418.32</c:v>
                </c:pt>
                <c:pt idx="9">
                  <c:v>32079.600000000002</c:v>
                </c:pt>
                <c:pt idx="10">
                  <c:v>19153.259999999998</c:v>
                </c:pt>
                <c:pt idx="11">
                  <c:v>15919.199999999997</c:v>
                </c:pt>
                <c:pt idx="12">
                  <c:v>15250.800000000001</c:v>
                </c:pt>
                <c:pt idx="13">
                  <c:v>9504.7199999999993</c:v>
                </c:pt>
                <c:pt idx="14">
                  <c:v>5630.4</c:v>
                </c:pt>
                <c:pt idx="15">
                  <c:v>9143.7999999999993</c:v>
                </c:pt>
                <c:pt idx="16">
                  <c:v>11198.239999999998</c:v>
                </c:pt>
                <c:pt idx="17">
                  <c:v>10620</c:v>
                </c:pt>
                <c:pt idx="18">
                  <c:v>24489.360000000001</c:v>
                </c:pt>
                <c:pt idx="19">
                  <c:v>9384.4800000000014</c:v>
                </c:pt>
                <c:pt idx="20">
                  <c:v>10001.879999999999</c:v>
                </c:pt>
                <c:pt idx="21">
                  <c:v>14793.599999999999</c:v>
                </c:pt>
                <c:pt idx="22">
                  <c:v>8119.4400000000005</c:v>
                </c:pt>
                <c:pt idx="23">
                  <c:v>11640.960000000001</c:v>
                </c:pt>
                <c:pt idx="24">
                  <c:v>3295.44</c:v>
                </c:pt>
                <c:pt idx="25">
                  <c:v>52978.200000000004</c:v>
                </c:pt>
                <c:pt idx="26">
                  <c:v>15549.73</c:v>
                </c:pt>
                <c:pt idx="27">
                  <c:v>16461</c:v>
                </c:pt>
                <c:pt idx="28">
                  <c:v>24977.52</c:v>
                </c:pt>
                <c:pt idx="29">
                  <c:v>51423.12</c:v>
                </c:pt>
              </c:numCache>
            </c:numRef>
          </c:val>
          <c:extLst>
            <c:ext xmlns:c16="http://schemas.microsoft.com/office/drawing/2014/chart" uri="{C3380CC4-5D6E-409C-BE32-E72D297353CC}">
              <c16:uniqueId val="{000002FD-74E3-4EF1-8673-7DE8D32AC397}"/>
            </c:ext>
          </c:extLst>
        </c:ser>
        <c:ser>
          <c:idx val="2"/>
          <c:order val="2"/>
          <c:tx>
            <c:strRef>
              <c:f>'Sales by Region'!$D$6:$D$7</c:f>
              <c:strCache>
                <c:ptCount val="1"/>
                <c:pt idx="0">
                  <c:v>Mar</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079-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7B-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7D-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07F-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081-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83-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085-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087-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089-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08B-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8D-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08F-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091-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93-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095-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097-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099-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9B-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09D-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09F-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0A1-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A3-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0A5-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0A7-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0A9-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0AB-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0AD-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0AF-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0B1-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0B3-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Region'!$D$8:$D$41</c:f>
              <c:numCache>
                <c:formatCode>_("£"* #,##0.00_);_("£"* \(#,##0.00\);_("£"* "-"??_);_(@_)</c:formatCode>
                <c:ptCount val="30"/>
                <c:pt idx="0">
                  <c:v>6804</c:v>
                </c:pt>
                <c:pt idx="1">
                  <c:v>11778.599999999999</c:v>
                </c:pt>
                <c:pt idx="2">
                  <c:v>10396.320000000002</c:v>
                </c:pt>
                <c:pt idx="3">
                  <c:v>4179.6000000000004</c:v>
                </c:pt>
                <c:pt idx="4">
                  <c:v>7153.9199999999992</c:v>
                </c:pt>
                <c:pt idx="5">
                  <c:v>25546.800000000007</c:v>
                </c:pt>
                <c:pt idx="6">
                  <c:v>12932.750000000002</c:v>
                </c:pt>
                <c:pt idx="7">
                  <c:v>13806</c:v>
                </c:pt>
                <c:pt idx="8">
                  <c:v>17817.84</c:v>
                </c:pt>
                <c:pt idx="9">
                  <c:v>39357.360000000001</c:v>
                </c:pt>
                <c:pt idx="10">
                  <c:v>6429.7800000000007</c:v>
                </c:pt>
                <c:pt idx="11">
                  <c:v>10572.599999999999</c:v>
                </c:pt>
                <c:pt idx="12">
                  <c:v>12544.32</c:v>
                </c:pt>
                <c:pt idx="13">
                  <c:v>8297.2800000000007</c:v>
                </c:pt>
                <c:pt idx="14">
                  <c:v>4968</c:v>
                </c:pt>
                <c:pt idx="15">
                  <c:v>32666.400000000001</c:v>
                </c:pt>
                <c:pt idx="16">
                  <c:v>13723.930000000002</c:v>
                </c:pt>
                <c:pt idx="17">
                  <c:v>21594</c:v>
                </c:pt>
                <c:pt idx="18">
                  <c:v>26686.080000000002</c:v>
                </c:pt>
                <c:pt idx="19">
                  <c:v>35910</c:v>
                </c:pt>
                <c:pt idx="20">
                  <c:v>24256.260000000002</c:v>
                </c:pt>
                <c:pt idx="21">
                  <c:v>12301.199999999999</c:v>
                </c:pt>
                <c:pt idx="22">
                  <c:v>16840.32</c:v>
                </c:pt>
                <c:pt idx="23">
                  <c:v>6470.64</c:v>
                </c:pt>
                <c:pt idx="24">
                  <c:v>9654.48</c:v>
                </c:pt>
                <c:pt idx="25">
                  <c:v>29944.200000000004</c:v>
                </c:pt>
                <c:pt idx="26">
                  <c:v>60.86</c:v>
                </c:pt>
                <c:pt idx="27">
                  <c:v>13983</c:v>
                </c:pt>
                <c:pt idx="28">
                  <c:v>62077.680000000008</c:v>
                </c:pt>
                <c:pt idx="29">
                  <c:v>47496.959999999999</c:v>
                </c:pt>
              </c:numCache>
            </c:numRef>
          </c:val>
          <c:extLst>
            <c:ext xmlns:c16="http://schemas.microsoft.com/office/drawing/2014/chart" uri="{C3380CC4-5D6E-409C-BE32-E72D297353CC}">
              <c16:uniqueId val="{000002D2-E80A-4374-9306-A9A32097CDB8}"/>
            </c:ext>
          </c:extLst>
        </c:ser>
        <c:ser>
          <c:idx val="3"/>
          <c:order val="3"/>
          <c:tx>
            <c:strRef>
              <c:f>'Sales by Region'!$E$6:$E$7</c:f>
              <c:strCache>
                <c:ptCount val="1"/>
                <c:pt idx="0">
                  <c:v>Apr</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0B5-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B7-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B9-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0BB-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0BD-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BF-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0C1-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0C3-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0C5-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0C7-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C9-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0CB-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0CD-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CF-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0D1-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0D3-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0D5-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D7-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0D9-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0DB-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0DD-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DF-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0E1-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0E3-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0E5-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0E7-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0E9-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0EB-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0ED-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0EF-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Region'!$E$8:$E$41</c:f>
              <c:numCache>
                <c:formatCode>_("£"* #,##0.00_);_("£"* \(#,##0.00\);_("£"* "-"??_);_(@_)</c:formatCode>
                <c:ptCount val="30"/>
                <c:pt idx="0">
                  <c:v>10171.979999999998</c:v>
                </c:pt>
                <c:pt idx="1">
                  <c:v>19496.999999999996</c:v>
                </c:pt>
                <c:pt idx="2">
                  <c:v>15938.16</c:v>
                </c:pt>
                <c:pt idx="3">
                  <c:v>17987.760000000002</c:v>
                </c:pt>
                <c:pt idx="4">
                  <c:v>4603.6799999999994</c:v>
                </c:pt>
                <c:pt idx="5">
                  <c:v>22405.8</c:v>
                </c:pt>
                <c:pt idx="6">
                  <c:v>5416.5399999999991</c:v>
                </c:pt>
                <c:pt idx="7">
                  <c:v>12980</c:v>
                </c:pt>
                <c:pt idx="8">
                  <c:v>44259.839999999997</c:v>
                </c:pt>
                <c:pt idx="9">
                  <c:v>27770.400000000001</c:v>
                </c:pt>
                <c:pt idx="10">
                  <c:v>16193.52</c:v>
                </c:pt>
                <c:pt idx="11">
                  <c:v>23677.799999999996</c:v>
                </c:pt>
                <c:pt idx="12">
                  <c:v>21952.560000000001</c:v>
                </c:pt>
                <c:pt idx="13">
                  <c:v>5882.4</c:v>
                </c:pt>
                <c:pt idx="14">
                  <c:v>9555.1200000000008</c:v>
                </c:pt>
                <c:pt idx="15">
                  <c:v>17380.2</c:v>
                </c:pt>
                <c:pt idx="16">
                  <c:v>11441.680000000002</c:v>
                </c:pt>
                <c:pt idx="17">
                  <c:v>39943</c:v>
                </c:pt>
                <c:pt idx="18">
                  <c:v>45480.240000000005</c:v>
                </c:pt>
                <c:pt idx="19">
                  <c:v>15513.119999999999</c:v>
                </c:pt>
                <c:pt idx="20">
                  <c:v>14662.619999999999</c:v>
                </c:pt>
                <c:pt idx="21">
                  <c:v>20622.600000000002</c:v>
                </c:pt>
                <c:pt idx="22">
                  <c:v>17312.88</c:v>
                </c:pt>
                <c:pt idx="23">
                  <c:v>6532.56</c:v>
                </c:pt>
                <c:pt idx="24">
                  <c:v>13264.559999999998</c:v>
                </c:pt>
                <c:pt idx="25">
                  <c:v>28967.000000000004</c:v>
                </c:pt>
                <c:pt idx="26">
                  <c:v>13297.91</c:v>
                </c:pt>
                <c:pt idx="27">
                  <c:v>17759</c:v>
                </c:pt>
                <c:pt idx="28">
                  <c:v>39785.040000000008</c:v>
                </c:pt>
                <c:pt idx="29">
                  <c:v>21929.040000000001</c:v>
                </c:pt>
              </c:numCache>
            </c:numRef>
          </c:val>
          <c:extLst>
            <c:ext xmlns:c16="http://schemas.microsoft.com/office/drawing/2014/chart" uri="{C3380CC4-5D6E-409C-BE32-E72D297353CC}">
              <c16:uniqueId val="{000002D3-E80A-4374-9306-A9A32097CDB8}"/>
            </c:ext>
          </c:extLst>
        </c:ser>
        <c:ser>
          <c:idx val="4"/>
          <c:order val="4"/>
          <c:tx>
            <c:strRef>
              <c:f>'Sales by Region'!$F$6:$F$7</c:f>
              <c:strCache>
                <c:ptCount val="1"/>
                <c:pt idx="0">
                  <c:v>May</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0F1-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F3-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F5-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0F7-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0F9-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FB-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0FD-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0FF-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101-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103-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105-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107-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109-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10B-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10D-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10F-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111-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113-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115-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117-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119-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11B-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11D-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11F-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121-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123-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125-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127-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129-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12B-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Region'!$F$8:$F$41</c:f>
              <c:numCache>
                <c:formatCode>_("£"* #,##0.00_);_("£"* \(#,##0.00\);_("£"* "-"??_);_(@_)</c:formatCode>
                <c:ptCount val="30"/>
                <c:pt idx="0">
                  <c:v>9763.74</c:v>
                </c:pt>
                <c:pt idx="1">
                  <c:v>6190.7999999999993</c:v>
                </c:pt>
                <c:pt idx="2">
                  <c:v>7646.88</c:v>
                </c:pt>
                <c:pt idx="3">
                  <c:v>11331.359999999999</c:v>
                </c:pt>
                <c:pt idx="4">
                  <c:v>3990.9599999999996</c:v>
                </c:pt>
                <c:pt idx="5">
                  <c:v>19753.400000000001</c:v>
                </c:pt>
                <c:pt idx="6">
                  <c:v>18136.28</c:v>
                </c:pt>
                <c:pt idx="7">
                  <c:v>21889</c:v>
                </c:pt>
                <c:pt idx="8">
                  <c:v>32218.559999999998</c:v>
                </c:pt>
                <c:pt idx="9">
                  <c:v>15417.36</c:v>
                </c:pt>
                <c:pt idx="10">
                  <c:v>13539.960000000001</c:v>
                </c:pt>
                <c:pt idx="11">
                  <c:v>13024.8</c:v>
                </c:pt>
                <c:pt idx="12">
                  <c:v>14004.96</c:v>
                </c:pt>
                <c:pt idx="13">
                  <c:v>7832.880000000001</c:v>
                </c:pt>
                <c:pt idx="14">
                  <c:v>6259.6799999999994</c:v>
                </c:pt>
                <c:pt idx="15">
                  <c:v>29036.800000000003</c:v>
                </c:pt>
                <c:pt idx="16">
                  <c:v>12841.46</c:v>
                </c:pt>
                <c:pt idx="17">
                  <c:v>13393</c:v>
                </c:pt>
                <c:pt idx="18">
                  <c:v>12692.160000000002</c:v>
                </c:pt>
                <c:pt idx="19">
                  <c:v>37729.439999999995</c:v>
                </c:pt>
                <c:pt idx="20">
                  <c:v>12927.599999999999</c:v>
                </c:pt>
                <c:pt idx="21">
                  <c:v>9929.4</c:v>
                </c:pt>
                <c:pt idx="22">
                  <c:v>19074.240000000002</c:v>
                </c:pt>
                <c:pt idx="23">
                  <c:v>6284.88</c:v>
                </c:pt>
                <c:pt idx="24">
                  <c:v>13512.96</c:v>
                </c:pt>
                <c:pt idx="25">
                  <c:v>34132.199999999997</c:v>
                </c:pt>
                <c:pt idx="26">
                  <c:v>15275.86</c:v>
                </c:pt>
                <c:pt idx="27">
                  <c:v>39589</c:v>
                </c:pt>
                <c:pt idx="28">
                  <c:v>26442.000000000004</c:v>
                </c:pt>
                <c:pt idx="29">
                  <c:v>58988.160000000011</c:v>
                </c:pt>
              </c:numCache>
            </c:numRef>
          </c:val>
          <c:extLst>
            <c:ext xmlns:c16="http://schemas.microsoft.com/office/drawing/2014/chart" uri="{C3380CC4-5D6E-409C-BE32-E72D297353CC}">
              <c16:uniqueId val="{000002D4-E80A-4374-9306-A9A32097CDB8}"/>
            </c:ext>
          </c:extLst>
        </c:ser>
        <c:ser>
          <c:idx val="5"/>
          <c:order val="5"/>
          <c:tx>
            <c:strRef>
              <c:f>'Sales by Region'!$G$6:$G$7</c:f>
              <c:strCache>
                <c:ptCount val="1"/>
                <c:pt idx="0">
                  <c:v>Jun</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12D-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12F-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131-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133-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135-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137-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139-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13B-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13D-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13F-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141-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143-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145-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147-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149-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14B-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14D-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14F-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151-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153-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155-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157-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159-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15B-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15D-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15F-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161-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163-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165-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167-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Region'!$G$8:$G$41</c:f>
              <c:numCache>
                <c:formatCode>_("£"* #,##0.00_);_("£"* \(#,##0.00\);_("£"* "-"??_);_(@_)</c:formatCode>
                <c:ptCount val="30"/>
                <c:pt idx="0">
                  <c:v>9117.3599999999988</c:v>
                </c:pt>
                <c:pt idx="1">
                  <c:v>7316.3999999999987</c:v>
                </c:pt>
                <c:pt idx="2">
                  <c:v>6701.76</c:v>
                </c:pt>
                <c:pt idx="3">
                  <c:v>17058.96</c:v>
                </c:pt>
                <c:pt idx="4">
                  <c:v>4587.119999999999</c:v>
                </c:pt>
                <c:pt idx="5">
                  <c:v>12494.199999999999</c:v>
                </c:pt>
                <c:pt idx="6">
                  <c:v>10194.050000000001</c:v>
                </c:pt>
                <c:pt idx="7">
                  <c:v>17877</c:v>
                </c:pt>
                <c:pt idx="8">
                  <c:v>16353.36</c:v>
                </c:pt>
                <c:pt idx="9">
                  <c:v>47688.480000000003</c:v>
                </c:pt>
                <c:pt idx="10">
                  <c:v>10444.140000000001</c:v>
                </c:pt>
                <c:pt idx="11">
                  <c:v>7637.9999999999991</c:v>
                </c:pt>
                <c:pt idx="12">
                  <c:v>17656.559999999998</c:v>
                </c:pt>
                <c:pt idx="13">
                  <c:v>10247.76</c:v>
                </c:pt>
                <c:pt idx="14">
                  <c:v>6756.4800000000005</c:v>
                </c:pt>
                <c:pt idx="15">
                  <c:v>18915.8</c:v>
                </c:pt>
                <c:pt idx="16">
                  <c:v>8855.1299999999992</c:v>
                </c:pt>
                <c:pt idx="17">
                  <c:v>29441</c:v>
                </c:pt>
                <c:pt idx="18">
                  <c:v>18875.52</c:v>
                </c:pt>
                <c:pt idx="19">
                  <c:v>24897.600000000002</c:v>
                </c:pt>
                <c:pt idx="20">
                  <c:v>7484.4</c:v>
                </c:pt>
                <c:pt idx="21">
                  <c:v>14431.799999999997</c:v>
                </c:pt>
                <c:pt idx="22">
                  <c:v>18086.160000000003</c:v>
                </c:pt>
                <c:pt idx="23">
                  <c:v>3312.7200000000003</c:v>
                </c:pt>
                <c:pt idx="24">
                  <c:v>3047.04</c:v>
                </c:pt>
                <c:pt idx="25">
                  <c:v>12354.599999999999</c:v>
                </c:pt>
                <c:pt idx="26">
                  <c:v>15062.849999999999</c:v>
                </c:pt>
                <c:pt idx="27">
                  <c:v>13806</c:v>
                </c:pt>
                <c:pt idx="28">
                  <c:v>45317.52</c:v>
                </c:pt>
                <c:pt idx="29">
                  <c:v>56115.360000000015</c:v>
                </c:pt>
              </c:numCache>
            </c:numRef>
          </c:val>
          <c:extLst>
            <c:ext xmlns:c16="http://schemas.microsoft.com/office/drawing/2014/chart" uri="{C3380CC4-5D6E-409C-BE32-E72D297353CC}">
              <c16:uniqueId val="{000002D5-E80A-4374-9306-A9A32097CDB8}"/>
            </c:ext>
          </c:extLst>
        </c:ser>
        <c:ser>
          <c:idx val="6"/>
          <c:order val="6"/>
          <c:tx>
            <c:strRef>
              <c:f>'Sales by Region'!$H$6:$H$7</c:f>
              <c:strCache>
                <c:ptCount val="1"/>
                <c:pt idx="0">
                  <c:v>Jul</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169-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16B-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16D-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16F-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171-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173-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175-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177-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179-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17B-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17D-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17F-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181-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183-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185-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187-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189-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18B-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18D-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18F-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191-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193-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195-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197-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199-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19B-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19D-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19F-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1A1-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1A3-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Region'!$H$8:$H$41</c:f>
              <c:numCache>
                <c:formatCode>_("£"* #,##0.00_);_("£"* \(#,##0.00\);_("£"* "-"??_);_(@_)</c:formatCode>
                <c:ptCount val="30"/>
                <c:pt idx="0">
                  <c:v>13267.8</c:v>
                </c:pt>
                <c:pt idx="1">
                  <c:v>13949.399999999998</c:v>
                </c:pt>
                <c:pt idx="2">
                  <c:v>14864.160000000002</c:v>
                </c:pt>
                <c:pt idx="3">
                  <c:v>8916.48</c:v>
                </c:pt>
                <c:pt idx="4">
                  <c:v>10863.359999999999</c:v>
                </c:pt>
                <c:pt idx="5">
                  <c:v>23871.600000000002</c:v>
                </c:pt>
                <c:pt idx="6">
                  <c:v>17740.689999999999</c:v>
                </c:pt>
                <c:pt idx="7">
                  <c:v>13157</c:v>
                </c:pt>
                <c:pt idx="8">
                  <c:v>39947.760000000002</c:v>
                </c:pt>
                <c:pt idx="9">
                  <c:v>34282.080000000002</c:v>
                </c:pt>
                <c:pt idx="10">
                  <c:v>10954.439999999999</c:v>
                </c:pt>
                <c:pt idx="11">
                  <c:v>11376.599999999999</c:v>
                </c:pt>
                <c:pt idx="12">
                  <c:v>24916.799999999999</c:v>
                </c:pt>
                <c:pt idx="13">
                  <c:v>12817.440000000002</c:v>
                </c:pt>
                <c:pt idx="14">
                  <c:v>3444.4799999999996</c:v>
                </c:pt>
                <c:pt idx="15">
                  <c:v>23243.4</c:v>
                </c:pt>
                <c:pt idx="16">
                  <c:v>14484.68</c:v>
                </c:pt>
                <c:pt idx="17">
                  <c:v>30503</c:v>
                </c:pt>
                <c:pt idx="18">
                  <c:v>21560.400000000001</c:v>
                </c:pt>
                <c:pt idx="19">
                  <c:v>27100.080000000002</c:v>
                </c:pt>
                <c:pt idx="20">
                  <c:v>15683.219999999998</c:v>
                </c:pt>
                <c:pt idx="21">
                  <c:v>17929.2</c:v>
                </c:pt>
                <c:pt idx="22">
                  <c:v>9666</c:v>
                </c:pt>
                <c:pt idx="23">
                  <c:v>5046.4799999999996</c:v>
                </c:pt>
                <c:pt idx="24">
                  <c:v>3278.8799999999997</c:v>
                </c:pt>
                <c:pt idx="25">
                  <c:v>32666.400000000001</c:v>
                </c:pt>
                <c:pt idx="26">
                  <c:v>8915.99</c:v>
                </c:pt>
                <c:pt idx="27">
                  <c:v>25783</c:v>
                </c:pt>
                <c:pt idx="28">
                  <c:v>22862.16</c:v>
                </c:pt>
                <c:pt idx="29">
                  <c:v>18098.64</c:v>
                </c:pt>
              </c:numCache>
            </c:numRef>
          </c:val>
          <c:extLst>
            <c:ext xmlns:c16="http://schemas.microsoft.com/office/drawing/2014/chart" uri="{C3380CC4-5D6E-409C-BE32-E72D297353CC}">
              <c16:uniqueId val="{000002D6-E80A-4374-9306-A9A32097CDB8}"/>
            </c:ext>
          </c:extLst>
        </c:ser>
        <c:ser>
          <c:idx val="7"/>
          <c:order val="7"/>
          <c:tx>
            <c:strRef>
              <c:f>'Sales by Region'!$I$6:$I$7</c:f>
              <c:strCache>
                <c:ptCount val="1"/>
                <c:pt idx="0">
                  <c:v>Aug</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1A5-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1A7-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1A9-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1AB-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1AD-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1AF-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1B1-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1B3-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1B5-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1B7-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1B9-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1BB-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1BD-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1BF-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1C1-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1C3-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1C5-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1C7-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1C9-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1CB-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1CD-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1CF-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1D1-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1D3-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1D5-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1D7-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1D9-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1DB-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1DD-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1DF-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Region'!$I$8:$I$41</c:f>
              <c:numCache>
                <c:formatCode>_("£"* #,##0.00_);_("£"* \(#,##0.00\);_("£"* "-"??_);_(@_)</c:formatCode>
                <c:ptCount val="30"/>
                <c:pt idx="0">
                  <c:v>18881.100000000002</c:v>
                </c:pt>
                <c:pt idx="1">
                  <c:v>11778.599999999999</c:v>
                </c:pt>
                <c:pt idx="2">
                  <c:v>9107.52</c:v>
                </c:pt>
                <c:pt idx="3">
                  <c:v>12817.440000000002</c:v>
                </c:pt>
                <c:pt idx="4">
                  <c:v>7932.24</c:v>
                </c:pt>
                <c:pt idx="5">
                  <c:v>25895.800000000003</c:v>
                </c:pt>
                <c:pt idx="6">
                  <c:v>12385.01</c:v>
                </c:pt>
                <c:pt idx="7">
                  <c:v>22656</c:v>
                </c:pt>
                <c:pt idx="8">
                  <c:v>28964.16</c:v>
                </c:pt>
                <c:pt idx="9">
                  <c:v>35910</c:v>
                </c:pt>
                <c:pt idx="10">
                  <c:v>16023.419999999998</c:v>
                </c:pt>
                <c:pt idx="11">
                  <c:v>25084.800000000003</c:v>
                </c:pt>
                <c:pt idx="12">
                  <c:v>10782.960000000001</c:v>
                </c:pt>
                <c:pt idx="13">
                  <c:v>7863.84</c:v>
                </c:pt>
                <c:pt idx="14">
                  <c:v>4818.9599999999991</c:v>
                </c:pt>
                <c:pt idx="15">
                  <c:v>24081</c:v>
                </c:pt>
                <c:pt idx="16">
                  <c:v>14028.23</c:v>
                </c:pt>
                <c:pt idx="17">
                  <c:v>9676</c:v>
                </c:pt>
                <c:pt idx="18">
                  <c:v>52884</c:v>
                </c:pt>
                <c:pt idx="19">
                  <c:v>95089.680000000022</c:v>
                </c:pt>
                <c:pt idx="20">
                  <c:v>6633.9</c:v>
                </c:pt>
                <c:pt idx="21">
                  <c:v>13788.599999999999</c:v>
                </c:pt>
                <c:pt idx="22">
                  <c:v>15207.84</c:v>
                </c:pt>
                <c:pt idx="23">
                  <c:v>13281.840000000002</c:v>
                </c:pt>
                <c:pt idx="24">
                  <c:v>12701.519999999999</c:v>
                </c:pt>
                <c:pt idx="25">
                  <c:v>45509.599999999999</c:v>
                </c:pt>
                <c:pt idx="26">
                  <c:v>19992.509999999998</c:v>
                </c:pt>
                <c:pt idx="27">
                  <c:v>43778</c:v>
                </c:pt>
                <c:pt idx="28">
                  <c:v>13505.76</c:v>
                </c:pt>
                <c:pt idx="29">
                  <c:v>36197.280000000006</c:v>
                </c:pt>
              </c:numCache>
            </c:numRef>
          </c:val>
          <c:extLst>
            <c:ext xmlns:c16="http://schemas.microsoft.com/office/drawing/2014/chart" uri="{C3380CC4-5D6E-409C-BE32-E72D297353CC}">
              <c16:uniqueId val="{000002D7-E80A-4374-9306-A9A32097CDB8}"/>
            </c:ext>
          </c:extLst>
        </c:ser>
        <c:ser>
          <c:idx val="8"/>
          <c:order val="8"/>
          <c:tx>
            <c:strRef>
              <c:f>'Sales by Region'!$J$6:$J$7</c:f>
              <c:strCache>
                <c:ptCount val="1"/>
                <c:pt idx="0">
                  <c:v>Sep</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1E1-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1E3-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1E5-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1E7-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1E9-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1EB-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1ED-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1EF-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1F1-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1F3-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1F5-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1F7-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1F9-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1FB-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1FD-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1FF-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201-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203-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205-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207-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209-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20B-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20D-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20F-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211-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213-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215-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217-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219-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21B-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Region'!$J$8:$J$41</c:f>
              <c:numCache>
                <c:formatCode>_("£"* #,##0.00_);_("£"* \(#,##0.00\);_("£"* "-"??_);_(@_)</c:formatCode>
                <c:ptCount val="30"/>
                <c:pt idx="0">
                  <c:v>10342.08</c:v>
                </c:pt>
                <c:pt idx="1">
                  <c:v>16039.799999999997</c:v>
                </c:pt>
                <c:pt idx="2">
                  <c:v>15207.84</c:v>
                </c:pt>
                <c:pt idx="3">
                  <c:v>17740.080000000002</c:v>
                </c:pt>
                <c:pt idx="4">
                  <c:v>4139.9999999999991</c:v>
                </c:pt>
                <c:pt idx="5">
                  <c:v>18846</c:v>
                </c:pt>
                <c:pt idx="6">
                  <c:v>8489.9700000000012</c:v>
                </c:pt>
                <c:pt idx="7">
                  <c:v>11387</c:v>
                </c:pt>
                <c:pt idx="8">
                  <c:v>41168.160000000003</c:v>
                </c:pt>
                <c:pt idx="9">
                  <c:v>13406.400000000001</c:v>
                </c:pt>
                <c:pt idx="10">
                  <c:v>19561.5</c:v>
                </c:pt>
                <c:pt idx="11">
                  <c:v>16120.199999999997</c:v>
                </c:pt>
                <c:pt idx="12">
                  <c:v>14606.4</c:v>
                </c:pt>
                <c:pt idx="13">
                  <c:v>7244.64</c:v>
                </c:pt>
                <c:pt idx="14">
                  <c:v>8826.4799999999977</c:v>
                </c:pt>
                <c:pt idx="15">
                  <c:v>35877.199999999997</c:v>
                </c:pt>
                <c:pt idx="16">
                  <c:v>15428.01</c:v>
                </c:pt>
                <c:pt idx="17">
                  <c:v>13806</c:v>
                </c:pt>
                <c:pt idx="18">
                  <c:v>25302.959999999999</c:v>
                </c:pt>
                <c:pt idx="19">
                  <c:v>37059.120000000003</c:v>
                </c:pt>
                <c:pt idx="20">
                  <c:v>14050.259999999998</c:v>
                </c:pt>
                <c:pt idx="21">
                  <c:v>15838.799999999997</c:v>
                </c:pt>
                <c:pt idx="22">
                  <c:v>17398.800000000003</c:v>
                </c:pt>
                <c:pt idx="23">
                  <c:v>10526.4</c:v>
                </c:pt>
                <c:pt idx="24">
                  <c:v>11045.52</c:v>
                </c:pt>
                <c:pt idx="25">
                  <c:v>24779</c:v>
                </c:pt>
                <c:pt idx="26">
                  <c:v>14484.68</c:v>
                </c:pt>
                <c:pt idx="27">
                  <c:v>20119</c:v>
                </c:pt>
                <c:pt idx="28">
                  <c:v>40110.480000000003</c:v>
                </c:pt>
                <c:pt idx="29">
                  <c:v>56211.12</c:v>
                </c:pt>
              </c:numCache>
            </c:numRef>
          </c:val>
          <c:extLst>
            <c:ext xmlns:c16="http://schemas.microsoft.com/office/drawing/2014/chart" uri="{C3380CC4-5D6E-409C-BE32-E72D297353CC}">
              <c16:uniqueId val="{000002D8-E80A-4374-9306-A9A32097CDB8}"/>
            </c:ext>
          </c:extLst>
        </c:ser>
        <c:ser>
          <c:idx val="9"/>
          <c:order val="9"/>
          <c:tx>
            <c:strRef>
              <c:f>'Sales by Region'!$K$6:$K$7</c:f>
              <c:strCache>
                <c:ptCount val="1"/>
                <c:pt idx="0">
                  <c:v>Oct</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21D-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21F-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221-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223-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225-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227-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229-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22B-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22D-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22F-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231-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233-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235-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237-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239-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23B-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23D-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23F-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241-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243-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245-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247-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249-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24B-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24D-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24F-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251-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253-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255-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257-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Region'!$K$8:$K$41</c:f>
              <c:numCache>
                <c:formatCode>_("£"* #,##0.00_);_("£"* \(#,##0.00\);_("£"* "-"??_);_(@_)</c:formatCode>
                <c:ptCount val="30"/>
                <c:pt idx="0">
                  <c:v>6361.7400000000007</c:v>
                </c:pt>
                <c:pt idx="1">
                  <c:v>11175.599999999999</c:v>
                </c:pt>
                <c:pt idx="2">
                  <c:v>17098.079999999998</c:v>
                </c:pt>
                <c:pt idx="3">
                  <c:v>5356.08</c:v>
                </c:pt>
                <c:pt idx="4">
                  <c:v>5829.119999999999</c:v>
                </c:pt>
                <c:pt idx="5">
                  <c:v>25616.6</c:v>
                </c:pt>
                <c:pt idx="6">
                  <c:v>18805.739999999994</c:v>
                </c:pt>
                <c:pt idx="7">
                  <c:v>8496</c:v>
                </c:pt>
                <c:pt idx="8">
                  <c:v>8217.36</c:v>
                </c:pt>
                <c:pt idx="9">
                  <c:v>27291.600000000002</c:v>
                </c:pt>
                <c:pt idx="10">
                  <c:v>6838.0199999999995</c:v>
                </c:pt>
                <c:pt idx="11">
                  <c:v>7999.7999999999984</c:v>
                </c:pt>
                <c:pt idx="12">
                  <c:v>27494.399999999998</c:v>
                </c:pt>
                <c:pt idx="13">
                  <c:v>6718.32</c:v>
                </c:pt>
                <c:pt idx="14">
                  <c:v>8694</c:v>
                </c:pt>
                <c:pt idx="15">
                  <c:v>20800.400000000001</c:v>
                </c:pt>
                <c:pt idx="16">
                  <c:v>18988.32</c:v>
                </c:pt>
                <c:pt idx="17">
                  <c:v>20650</c:v>
                </c:pt>
                <c:pt idx="18">
                  <c:v>30265.920000000006</c:v>
                </c:pt>
                <c:pt idx="19">
                  <c:v>31888.080000000002</c:v>
                </c:pt>
                <c:pt idx="20">
                  <c:v>8198.82</c:v>
                </c:pt>
                <c:pt idx="21">
                  <c:v>27215.4</c:v>
                </c:pt>
                <c:pt idx="22">
                  <c:v>14520.48</c:v>
                </c:pt>
                <c:pt idx="23">
                  <c:v>9195.1200000000008</c:v>
                </c:pt>
                <c:pt idx="24">
                  <c:v>9720.7199999999993</c:v>
                </c:pt>
                <c:pt idx="25">
                  <c:v>36714.799999999996</c:v>
                </c:pt>
                <c:pt idx="26">
                  <c:v>11715.55</c:v>
                </c:pt>
                <c:pt idx="27">
                  <c:v>37111</c:v>
                </c:pt>
                <c:pt idx="28">
                  <c:v>31811.759999999998</c:v>
                </c:pt>
                <c:pt idx="29">
                  <c:v>36676.080000000002</c:v>
                </c:pt>
              </c:numCache>
            </c:numRef>
          </c:val>
          <c:extLst>
            <c:ext xmlns:c16="http://schemas.microsoft.com/office/drawing/2014/chart" uri="{C3380CC4-5D6E-409C-BE32-E72D297353CC}">
              <c16:uniqueId val="{000002D9-E80A-4374-9306-A9A32097CDB8}"/>
            </c:ext>
          </c:extLst>
        </c:ser>
        <c:ser>
          <c:idx val="10"/>
          <c:order val="10"/>
          <c:tx>
            <c:strRef>
              <c:f>'Sales by Region'!$L$6:$L$7</c:f>
              <c:strCache>
                <c:ptCount val="1"/>
                <c:pt idx="0">
                  <c:v>Nov</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259-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25B-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25D-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25F-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261-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263-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265-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267-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269-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26B-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26D-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26F-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271-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273-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275-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277-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279-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27B-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27D-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27F-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281-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283-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285-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287-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289-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28B-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28D-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28F-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291-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293-7991-44D7-A9A3-F0D8E2600BC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Region'!$L$8:$L$41</c:f>
              <c:numCache>
                <c:formatCode>_("£"* #,##0.00_);_("£"* \(#,##0.00\);_("£"* "-"??_);_(@_)</c:formatCode>
                <c:ptCount val="30"/>
                <c:pt idx="0">
                  <c:v>10716.3</c:v>
                </c:pt>
                <c:pt idx="1">
                  <c:v>9165.5999999999985</c:v>
                </c:pt>
                <c:pt idx="2">
                  <c:v>7947.6</c:v>
                </c:pt>
                <c:pt idx="3">
                  <c:v>9969.119999999999</c:v>
                </c:pt>
                <c:pt idx="4">
                  <c:v>2748.96</c:v>
                </c:pt>
                <c:pt idx="5">
                  <c:v>21847.4</c:v>
                </c:pt>
                <c:pt idx="6">
                  <c:v>11989.42</c:v>
                </c:pt>
                <c:pt idx="7">
                  <c:v>15930</c:v>
                </c:pt>
                <c:pt idx="8">
                  <c:v>18631.440000000002</c:v>
                </c:pt>
                <c:pt idx="9">
                  <c:v>35526.960000000006</c:v>
                </c:pt>
                <c:pt idx="10">
                  <c:v>5647.32</c:v>
                </c:pt>
                <c:pt idx="11">
                  <c:v>9647.9999999999982</c:v>
                </c:pt>
                <c:pt idx="12">
                  <c:v>9365.2800000000007</c:v>
                </c:pt>
                <c:pt idx="13">
                  <c:v>5789.52</c:v>
                </c:pt>
                <c:pt idx="14">
                  <c:v>4371.8399999999992</c:v>
                </c:pt>
                <c:pt idx="15">
                  <c:v>29455.600000000006</c:v>
                </c:pt>
                <c:pt idx="16">
                  <c:v>4534.0700000000006</c:v>
                </c:pt>
                <c:pt idx="17">
                  <c:v>3186</c:v>
                </c:pt>
                <c:pt idx="18">
                  <c:v>8786.880000000001</c:v>
                </c:pt>
                <c:pt idx="19">
                  <c:v>24035.760000000002</c:v>
                </c:pt>
                <c:pt idx="20">
                  <c:v>12247.199999999999</c:v>
                </c:pt>
                <c:pt idx="21">
                  <c:v>15758.400000000001</c:v>
                </c:pt>
                <c:pt idx="22">
                  <c:v>7732.7999999999993</c:v>
                </c:pt>
                <c:pt idx="23">
                  <c:v>17585.280000000002</c:v>
                </c:pt>
                <c:pt idx="24">
                  <c:v>4802.3999999999996</c:v>
                </c:pt>
                <c:pt idx="25">
                  <c:v>40484</c:v>
                </c:pt>
                <c:pt idx="26">
                  <c:v>15093.279999999999</c:v>
                </c:pt>
                <c:pt idx="27">
                  <c:v>43365</c:v>
                </c:pt>
                <c:pt idx="28">
                  <c:v>34984.800000000003</c:v>
                </c:pt>
                <c:pt idx="29">
                  <c:v>69713.279999999999</c:v>
                </c:pt>
              </c:numCache>
            </c:numRef>
          </c:val>
          <c:extLst>
            <c:ext xmlns:c16="http://schemas.microsoft.com/office/drawing/2014/chart" uri="{C3380CC4-5D6E-409C-BE32-E72D297353CC}">
              <c16:uniqueId val="{000002DA-E80A-4374-9306-A9A32097CDB8}"/>
            </c:ext>
          </c:extLst>
        </c:ser>
        <c:ser>
          <c:idx val="11"/>
          <c:order val="11"/>
          <c:tx>
            <c:strRef>
              <c:f>'Sales by Region'!$M$6:$M$7</c:f>
              <c:strCache>
                <c:ptCount val="1"/>
                <c:pt idx="0">
                  <c:v>Dec</c:v>
                </c:pt>
              </c:strCache>
            </c:strRef>
          </c:tx>
          <c:dPt>
            <c:idx val="0"/>
            <c:bubble3D val="0"/>
            <c:spPr>
              <a:solidFill>
                <a:schemeClr val="accent1">
                  <a:tint val="35000"/>
                </a:schemeClr>
              </a:solidFill>
              <a:ln w="19050">
                <a:solidFill>
                  <a:schemeClr val="lt1"/>
                </a:solidFill>
              </a:ln>
              <a:effectLst/>
            </c:spPr>
            <c:extLst>
              <c:ext xmlns:c16="http://schemas.microsoft.com/office/drawing/2014/chart" uri="{C3380CC4-5D6E-409C-BE32-E72D297353CC}">
                <c16:uniqueId val="{00000295-7991-44D7-A9A3-F0D8E2600BCF}"/>
              </c:ext>
            </c:extLst>
          </c:dPt>
          <c:dPt>
            <c:idx val="1"/>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297-7991-44D7-A9A3-F0D8E2600BCF}"/>
              </c:ext>
            </c:extLst>
          </c:dPt>
          <c:dPt>
            <c:idx val="2"/>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299-7991-44D7-A9A3-F0D8E2600BCF}"/>
              </c:ext>
            </c:extLst>
          </c:dPt>
          <c:dPt>
            <c:idx val="3"/>
            <c:bubble3D val="0"/>
            <c:spPr>
              <a:solidFill>
                <a:schemeClr val="accent1">
                  <a:tint val="49000"/>
                </a:schemeClr>
              </a:solidFill>
              <a:ln w="19050">
                <a:solidFill>
                  <a:schemeClr val="lt1"/>
                </a:solidFill>
              </a:ln>
              <a:effectLst/>
            </c:spPr>
            <c:extLst>
              <c:ext xmlns:c16="http://schemas.microsoft.com/office/drawing/2014/chart" uri="{C3380CC4-5D6E-409C-BE32-E72D297353CC}">
                <c16:uniqueId val="{0000029B-7991-44D7-A9A3-F0D8E2600BCF}"/>
              </c:ext>
            </c:extLst>
          </c:dPt>
          <c:dPt>
            <c:idx val="4"/>
            <c:bubble3D val="0"/>
            <c:spPr>
              <a:solidFill>
                <a:schemeClr val="accent1">
                  <a:tint val="53000"/>
                </a:schemeClr>
              </a:solidFill>
              <a:ln w="19050">
                <a:solidFill>
                  <a:schemeClr val="lt1"/>
                </a:solidFill>
              </a:ln>
              <a:effectLst/>
            </c:spPr>
            <c:extLst>
              <c:ext xmlns:c16="http://schemas.microsoft.com/office/drawing/2014/chart" uri="{C3380CC4-5D6E-409C-BE32-E72D297353CC}">
                <c16:uniqueId val="{0000029D-7991-44D7-A9A3-F0D8E2600BCF}"/>
              </c:ext>
            </c:extLst>
          </c:dPt>
          <c:dPt>
            <c:idx val="5"/>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29F-7991-44D7-A9A3-F0D8E2600BCF}"/>
              </c:ext>
            </c:extLst>
          </c:dPt>
          <c:dPt>
            <c:idx val="6"/>
            <c:bubble3D val="0"/>
            <c:spPr>
              <a:solidFill>
                <a:schemeClr val="accent1">
                  <a:tint val="62000"/>
                </a:schemeClr>
              </a:solidFill>
              <a:ln w="19050">
                <a:solidFill>
                  <a:schemeClr val="lt1"/>
                </a:solidFill>
              </a:ln>
              <a:effectLst/>
            </c:spPr>
            <c:extLst>
              <c:ext xmlns:c16="http://schemas.microsoft.com/office/drawing/2014/chart" uri="{C3380CC4-5D6E-409C-BE32-E72D297353CC}">
                <c16:uniqueId val="{000002A1-7991-44D7-A9A3-F0D8E2600BCF}"/>
              </c:ext>
            </c:extLst>
          </c:dPt>
          <c:dPt>
            <c:idx val="7"/>
            <c:bubble3D val="0"/>
            <c:spPr>
              <a:solidFill>
                <a:schemeClr val="accent1">
                  <a:tint val="67000"/>
                </a:schemeClr>
              </a:solidFill>
              <a:ln w="19050">
                <a:solidFill>
                  <a:schemeClr val="lt1"/>
                </a:solidFill>
              </a:ln>
              <a:effectLst/>
            </c:spPr>
            <c:extLst>
              <c:ext xmlns:c16="http://schemas.microsoft.com/office/drawing/2014/chart" uri="{C3380CC4-5D6E-409C-BE32-E72D297353CC}">
                <c16:uniqueId val="{000002A3-7991-44D7-A9A3-F0D8E2600BCF}"/>
              </c:ext>
            </c:extLst>
          </c:dPt>
          <c:dPt>
            <c:idx val="8"/>
            <c:bubble3D val="0"/>
            <c:spPr>
              <a:solidFill>
                <a:schemeClr val="accent1">
                  <a:tint val="71000"/>
                </a:schemeClr>
              </a:solidFill>
              <a:ln w="19050">
                <a:solidFill>
                  <a:schemeClr val="lt1"/>
                </a:solidFill>
              </a:ln>
              <a:effectLst/>
            </c:spPr>
            <c:extLst>
              <c:ext xmlns:c16="http://schemas.microsoft.com/office/drawing/2014/chart" uri="{C3380CC4-5D6E-409C-BE32-E72D297353CC}">
                <c16:uniqueId val="{000002A5-7991-44D7-A9A3-F0D8E2600BCF}"/>
              </c:ext>
            </c:extLst>
          </c:dPt>
          <c:dPt>
            <c:idx val="9"/>
            <c:bubble3D val="0"/>
            <c:spPr>
              <a:solidFill>
                <a:schemeClr val="accent1">
                  <a:tint val="76000"/>
                </a:schemeClr>
              </a:solidFill>
              <a:ln w="19050">
                <a:solidFill>
                  <a:schemeClr val="lt1"/>
                </a:solidFill>
              </a:ln>
              <a:effectLst/>
            </c:spPr>
            <c:extLst>
              <c:ext xmlns:c16="http://schemas.microsoft.com/office/drawing/2014/chart" uri="{C3380CC4-5D6E-409C-BE32-E72D297353CC}">
                <c16:uniqueId val="{000002A7-7991-44D7-A9A3-F0D8E2600BCF}"/>
              </c:ext>
            </c:extLst>
          </c:dPt>
          <c:dPt>
            <c:idx val="10"/>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2A9-7991-44D7-A9A3-F0D8E2600BCF}"/>
              </c:ext>
            </c:extLst>
          </c:dPt>
          <c:dPt>
            <c:idx val="11"/>
            <c:bubble3D val="0"/>
            <c:spPr>
              <a:solidFill>
                <a:schemeClr val="accent1">
                  <a:tint val="85000"/>
                </a:schemeClr>
              </a:solidFill>
              <a:ln w="19050">
                <a:solidFill>
                  <a:schemeClr val="lt1"/>
                </a:solidFill>
              </a:ln>
              <a:effectLst/>
            </c:spPr>
            <c:extLst>
              <c:ext xmlns:c16="http://schemas.microsoft.com/office/drawing/2014/chart" uri="{C3380CC4-5D6E-409C-BE32-E72D297353CC}">
                <c16:uniqueId val="{000002AB-7991-44D7-A9A3-F0D8E2600BCF}"/>
              </c:ext>
            </c:extLst>
          </c:dPt>
          <c:dPt>
            <c:idx val="12"/>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2AD-7991-44D7-A9A3-F0D8E2600BCF}"/>
              </c:ext>
            </c:extLst>
          </c:dPt>
          <c:dPt>
            <c:idx val="13"/>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2AF-7991-44D7-A9A3-F0D8E2600BCF}"/>
              </c:ext>
            </c:extLst>
          </c:dPt>
          <c:dPt>
            <c:idx val="14"/>
            <c:bubble3D val="0"/>
            <c:spPr>
              <a:solidFill>
                <a:schemeClr val="accent1">
                  <a:tint val="98000"/>
                </a:schemeClr>
              </a:solidFill>
              <a:ln w="19050">
                <a:solidFill>
                  <a:schemeClr val="lt1"/>
                </a:solidFill>
              </a:ln>
              <a:effectLst/>
            </c:spPr>
            <c:extLst>
              <c:ext xmlns:c16="http://schemas.microsoft.com/office/drawing/2014/chart" uri="{C3380CC4-5D6E-409C-BE32-E72D297353CC}">
                <c16:uniqueId val="{000002B1-7991-44D7-A9A3-F0D8E2600BCF}"/>
              </c:ext>
            </c:extLst>
          </c:dPt>
          <c:dPt>
            <c:idx val="15"/>
            <c:bubble3D val="0"/>
            <c:spPr>
              <a:solidFill>
                <a:schemeClr val="accent1">
                  <a:shade val="97000"/>
                </a:schemeClr>
              </a:solidFill>
              <a:ln w="19050">
                <a:solidFill>
                  <a:schemeClr val="lt1"/>
                </a:solidFill>
              </a:ln>
              <a:effectLst/>
            </c:spPr>
            <c:extLst>
              <c:ext xmlns:c16="http://schemas.microsoft.com/office/drawing/2014/chart" uri="{C3380CC4-5D6E-409C-BE32-E72D297353CC}">
                <c16:uniqueId val="{000002B3-7991-44D7-A9A3-F0D8E2600BCF}"/>
              </c:ext>
            </c:extLst>
          </c:dPt>
          <c:dPt>
            <c:idx val="16"/>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2B5-7991-44D7-A9A3-F0D8E2600BCF}"/>
              </c:ext>
            </c:extLst>
          </c:dPt>
          <c:dPt>
            <c:idx val="17"/>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2B7-7991-44D7-A9A3-F0D8E2600BCF}"/>
              </c:ext>
            </c:extLst>
          </c:dPt>
          <c:dPt>
            <c:idx val="18"/>
            <c:bubble3D val="0"/>
            <c:spPr>
              <a:solidFill>
                <a:schemeClr val="accent1">
                  <a:shade val="84000"/>
                </a:schemeClr>
              </a:solidFill>
              <a:ln w="19050">
                <a:solidFill>
                  <a:schemeClr val="lt1"/>
                </a:solidFill>
              </a:ln>
              <a:effectLst/>
            </c:spPr>
            <c:extLst>
              <c:ext xmlns:c16="http://schemas.microsoft.com/office/drawing/2014/chart" uri="{C3380CC4-5D6E-409C-BE32-E72D297353CC}">
                <c16:uniqueId val="{000002B9-7991-44D7-A9A3-F0D8E2600BCF}"/>
              </c:ext>
            </c:extLst>
          </c:dPt>
          <c:dPt>
            <c:idx val="19"/>
            <c:bubble3D val="0"/>
            <c:spPr>
              <a:solidFill>
                <a:schemeClr val="accent1">
                  <a:shade val="79000"/>
                </a:schemeClr>
              </a:solidFill>
              <a:ln w="19050">
                <a:solidFill>
                  <a:schemeClr val="lt1"/>
                </a:solidFill>
              </a:ln>
              <a:effectLst/>
            </c:spPr>
            <c:extLst>
              <c:ext xmlns:c16="http://schemas.microsoft.com/office/drawing/2014/chart" uri="{C3380CC4-5D6E-409C-BE32-E72D297353CC}">
                <c16:uniqueId val="{000002BB-7991-44D7-A9A3-F0D8E2600BCF}"/>
              </c:ext>
            </c:extLst>
          </c:dPt>
          <c:dPt>
            <c:idx val="20"/>
            <c:bubble3D val="0"/>
            <c:spPr>
              <a:solidFill>
                <a:schemeClr val="accent1">
                  <a:shade val="75000"/>
                </a:schemeClr>
              </a:solidFill>
              <a:ln w="19050">
                <a:solidFill>
                  <a:schemeClr val="lt1"/>
                </a:solidFill>
              </a:ln>
              <a:effectLst/>
            </c:spPr>
            <c:extLst>
              <c:ext xmlns:c16="http://schemas.microsoft.com/office/drawing/2014/chart" uri="{C3380CC4-5D6E-409C-BE32-E72D297353CC}">
                <c16:uniqueId val="{000002BD-7991-44D7-A9A3-F0D8E2600BCF}"/>
              </c:ext>
            </c:extLst>
          </c:dPt>
          <c:dPt>
            <c:idx val="21"/>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2BF-7991-44D7-A9A3-F0D8E2600BCF}"/>
              </c:ext>
            </c:extLst>
          </c:dPt>
          <c:dPt>
            <c:idx val="22"/>
            <c:bubble3D val="0"/>
            <c:spPr>
              <a:solidFill>
                <a:schemeClr val="accent1">
                  <a:shade val="66000"/>
                </a:schemeClr>
              </a:solidFill>
              <a:ln w="19050">
                <a:solidFill>
                  <a:schemeClr val="lt1"/>
                </a:solidFill>
              </a:ln>
              <a:effectLst/>
            </c:spPr>
            <c:extLst>
              <c:ext xmlns:c16="http://schemas.microsoft.com/office/drawing/2014/chart" uri="{C3380CC4-5D6E-409C-BE32-E72D297353CC}">
                <c16:uniqueId val="{000002C1-7991-44D7-A9A3-F0D8E2600BCF}"/>
              </c:ext>
            </c:extLst>
          </c:dPt>
          <c:dPt>
            <c:idx val="23"/>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2C3-7991-44D7-A9A3-F0D8E2600BCF}"/>
              </c:ext>
            </c:extLst>
          </c:dPt>
          <c:dPt>
            <c:idx val="24"/>
            <c:bubble3D val="0"/>
            <c:spPr>
              <a:solidFill>
                <a:schemeClr val="accent1">
                  <a:shade val="57000"/>
                </a:schemeClr>
              </a:solidFill>
              <a:ln w="19050">
                <a:solidFill>
                  <a:schemeClr val="lt1"/>
                </a:solidFill>
              </a:ln>
              <a:effectLst/>
            </c:spPr>
            <c:extLst>
              <c:ext xmlns:c16="http://schemas.microsoft.com/office/drawing/2014/chart" uri="{C3380CC4-5D6E-409C-BE32-E72D297353CC}">
                <c16:uniqueId val="{000002C5-7991-44D7-A9A3-F0D8E2600BCF}"/>
              </c:ext>
            </c:extLst>
          </c:dPt>
          <c:dPt>
            <c:idx val="25"/>
            <c:bubble3D val="0"/>
            <c:spPr>
              <a:solidFill>
                <a:schemeClr val="accent1">
                  <a:shade val="52000"/>
                </a:schemeClr>
              </a:solidFill>
              <a:ln w="19050">
                <a:solidFill>
                  <a:schemeClr val="lt1"/>
                </a:solidFill>
              </a:ln>
              <a:effectLst/>
            </c:spPr>
            <c:extLst>
              <c:ext xmlns:c16="http://schemas.microsoft.com/office/drawing/2014/chart" uri="{C3380CC4-5D6E-409C-BE32-E72D297353CC}">
                <c16:uniqueId val="{000002C7-7991-44D7-A9A3-F0D8E2600BCF}"/>
              </c:ext>
            </c:extLst>
          </c:dPt>
          <c:dPt>
            <c:idx val="26"/>
            <c:bubble3D val="0"/>
            <c:spPr>
              <a:solidFill>
                <a:schemeClr val="accent1">
                  <a:shade val="48000"/>
                </a:schemeClr>
              </a:solidFill>
              <a:ln w="19050">
                <a:solidFill>
                  <a:schemeClr val="lt1"/>
                </a:solidFill>
              </a:ln>
              <a:effectLst/>
            </c:spPr>
            <c:extLst>
              <c:ext xmlns:c16="http://schemas.microsoft.com/office/drawing/2014/chart" uri="{C3380CC4-5D6E-409C-BE32-E72D297353CC}">
                <c16:uniqueId val="{000002C9-7991-44D7-A9A3-F0D8E2600BCF}"/>
              </c:ext>
            </c:extLst>
          </c:dPt>
          <c:dPt>
            <c:idx val="27"/>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2CB-7991-44D7-A9A3-F0D8E2600BCF}"/>
              </c:ext>
            </c:extLst>
          </c:dPt>
          <c:dPt>
            <c:idx val="28"/>
            <c:bubble3D val="0"/>
            <c:spPr>
              <a:solidFill>
                <a:schemeClr val="accent1">
                  <a:shade val="39000"/>
                </a:schemeClr>
              </a:solidFill>
              <a:ln w="19050">
                <a:solidFill>
                  <a:schemeClr val="lt1"/>
                </a:solidFill>
              </a:ln>
              <a:effectLst/>
            </c:spPr>
            <c:extLst>
              <c:ext xmlns:c16="http://schemas.microsoft.com/office/drawing/2014/chart" uri="{C3380CC4-5D6E-409C-BE32-E72D297353CC}">
                <c16:uniqueId val="{000002CD-7991-44D7-A9A3-F0D8E2600BCF}"/>
              </c:ext>
            </c:extLst>
          </c:dPt>
          <c:dPt>
            <c:idx val="29"/>
            <c:bubble3D val="0"/>
            <c:spPr>
              <a:solidFill>
                <a:schemeClr val="accent1">
                  <a:shade val="34000"/>
                </a:schemeClr>
              </a:solidFill>
              <a:ln w="19050">
                <a:solidFill>
                  <a:schemeClr val="lt1"/>
                </a:solidFill>
              </a:ln>
              <a:effectLst/>
            </c:spPr>
            <c:extLst>
              <c:ext xmlns:c16="http://schemas.microsoft.com/office/drawing/2014/chart" uri="{C3380CC4-5D6E-409C-BE32-E72D297353CC}">
                <c16:uniqueId val="{000002CF-7991-44D7-A9A3-F0D8E2600BCF}"/>
              </c:ext>
            </c:extLst>
          </c:dPt>
          <c:dLbls>
            <c:dLbl>
              <c:idx val="23"/>
              <c:layout>
                <c:manualLayout>
                  <c:x val="-5.393379468030414E-2"/>
                  <c:y val="1.970363940727881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2C3-7991-44D7-A9A3-F0D8E2600BCF}"/>
                </c:ext>
              </c:extLst>
            </c:dLbl>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'Sales by Region'!$A$8:$A$41</c:f>
              <c:multiLvlStrCache>
                <c:ptCount val="30"/>
                <c:lvl>
                  <c:pt idx="0">
                    <c:v>Gigastuff</c:v>
                  </c:pt>
                  <c:pt idx="1">
                    <c:v>Hyperwotsit</c:v>
                  </c:pt>
                  <c:pt idx="2">
                    <c:v>Megawidget L</c:v>
                  </c:pt>
                  <c:pt idx="3">
                    <c:v>Megawidget M</c:v>
                  </c:pt>
                  <c:pt idx="4">
                    <c:v>Megawidget S</c:v>
                  </c:pt>
                  <c:pt idx="5">
                    <c:v>Superwossname</c:v>
                  </c:pt>
                  <c:pt idx="6">
                    <c:v>Ultrathing V1</c:v>
                  </c:pt>
                  <c:pt idx="7">
                    <c:v>Ultrathing V2</c:v>
                  </c:pt>
                  <c:pt idx="8">
                    <c:v>Ultrathing V3</c:v>
                  </c:pt>
                  <c:pt idx="9">
                    <c:v>Ultrathing V4</c:v>
                  </c:pt>
                  <c:pt idx="10">
                    <c:v>Gigastuff</c:v>
                  </c:pt>
                  <c:pt idx="11">
                    <c:v>Hyperwotsit</c:v>
                  </c:pt>
                  <c:pt idx="12">
                    <c:v>Megawidget L</c:v>
                  </c:pt>
                  <c:pt idx="13">
                    <c:v>Megawidget M</c:v>
                  </c:pt>
                  <c:pt idx="14">
                    <c:v>Megawidget S</c:v>
                  </c:pt>
                  <c:pt idx="15">
                    <c:v>Superwossname</c:v>
                  </c:pt>
                  <c:pt idx="16">
                    <c:v>Ultrathing V1</c:v>
                  </c:pt>
                  <c:pt idx="17">
                    <c:v>Ultrathing V2</c:v>
                  </c:pt>
                  <c:pt idx="18">
                    <c:v>Ultrathing V3</c:v>
                  </c:pt>
                  <c:pt idx="19">
                    <c:v>Ultrathing V4</c:v>
                  </c:pt>
                  <c:pt idx="20">
                    <c:v>Gigastuff</c:v>
                  </c:pt>
                  <c:pt idx="21">
                    <c:v>Hyperwotsit</c:v>
                  </c:pt>
                  <c:pt idx="22">
                    <c:v>Megawidget L</c:v>
                  </c:pt>
                  <c:pt idx="23">
                    <c:v>Megawidget M</c:v>
                  </c:pt>
                  <c:pt idx="24">
                    <c:v>Megawidget S</c:v>
                  </c:pt>
                  <c:pt idx="25">
                    <c:v>Superwossname</c:v>
                  </c:pt>
                  <c:pt idx="26">
                    <c:v>Ultrathing V1</c:v>
                  </c:pt>
                  <c:pt idx="27">
                    <c:v>Ultrathing V2</c:v>
                  </c:pt>
                  <c:pt idx="28">
                    <c:v>Ultrathing V3</c:v>
                  </c:pt>
                  <c:pt idx="29">
                    <c:v>Ultrathing V4</c:v>
                  </c:pt>
                </c:lvl>
                <c:lvl>
                  <c:pt idx="0">
                    <c:v>2020</c:v>
                  </c:pt>
                  <c:pt idx="10">
                    <c:v>2021</c:v>
                  </c:pt>
                  <c:pt idx="20">
                    <c:v>2022</c:v>
                  </c:pt>
                </c:lvl>
              </c:multiLvlStrCache>
            </c:multiLvlStrRef>
          </c:cat>
          <c:val>
            <c:numRef>
              <c:f>'Sales by Region'!$M$8:$M$41</c:f>
              <c:numCache>
                <c:formatCode>_("£"* #,##0.00_);_("£"* \(#,##0.00\);_("£"* "-"??_);_(@_)</c:formatCode>
                <c:ptCount val="30"/>
                <c:pt idx="0">
                  <c:v>13165.74</c:v>
                </c:pt>
                <c:pt idx="1">
                  <c:v>14190.599999999999</c:v>
                </c:pt>
                <c:pt idx="2">
                  <c:v>15594.480000000001</c:v>
                </c:pt>
                <c:pt idx="3">
                  <c:v>9226.08</c:v>
                </c:pt>
                <c:pt idx="4">
                  <c:v>8379.36</c:v>
                </c:pt>
                <c:pt idx="5">
                  <c:v>22824.600000000002</c:v>
                </c:pt>
                <c:pt idx="6">
                  <c:v>20661.97</c:v>
                </c:pt>
                <c:pt idx="7">
                  <c:v>7906</c:v>
                </c:pt>
                <c:pt idx="8">
                  <c:v>29696.400000000001</c:v>
                </c:pt>
                <c:pt idx="9">
                  <c:v>16853.760000000002</c:v>
                </c:pt>
                <c:pt idx="10">
                  <c:v>14186.340000000002</c:v>
                </c:pt>
                <c:pt idx="11">
                  <c:v>14592.599999999999</c:v>
                </c:pt>
                <c:pt idx="12">
                  <c:v>7045.4400000000005</c:v>
                </c:pt>
                <c:pt idx="13">
                  <c:v>11114.640000000001</c:v>
                </c:pt>
                <c:pt idx="14">
                  <c:v>8892.7200000000012</c:v>
                </c:pt>
                <c:pt idx="15">
                  <c:v>25965.600000000002</c:v>
                </c:pt>
                <c:pt idx="16">
                  <c:v>3560.31</c:v>
                </c:pt>
                <c:pt idx="17">
                  <c:v>41713</c:v>
                </c:pt>
                <c:pt idx="18">
                  <c:v>37995.119999999995</c:v>
                </c:pt>
                <c:pt idx="19">
                  <c:v>42900.480000000003</c:v>
                </c:pt>
                <c:pt idx="20">
                  <c:v>7892.6400000000012</c:v>
                </c:pt>
                <c:pt idx="21">
                  <c:v>10452</c:v>
                </c:pt>
                <c:pt idx="22">
                  <c:v>21394.080000000002</c:v>
                </c:pt>
                <c:pt idx="23">
                  <c:v>2507.7600000000002</c:v>
                </c:pt>
                <c:pt idx="24">
                  <c:v>13529.519999999999</c:v>
                </c:pt>
                <c:pt idx="25">
                  <c:v>16403</c:v>
                </c:pt>
                <c:pt idx="26">
                  <c:v>14058.66</c:v>
                </c:pt>
                <c:pt idx="27">
                  <c:v>36875</c:v>
                </c:pt>
                <c:pt idx="28">
                  <c:v>42632.640000000007</c:v>
                </c:pt>
                <c:pt idx="29">
                  <c:v>27770.400000000001</c:v>
                </c:pt>
              </c:numCache>
            </c:numRef>
          </c:val>
          <c:extLst>
            <c:ext xmlns:c16="http://schemas.microsoft.com/office/drawing/2014/chart" uri="{C3380CC4-5D6E-409C-BE32-E72D297353CC}">
              <c16:uniqueId val="{000002DB-E80A-4374-9306-A9A32097CDB8}"/>
            </c:ext>
          </c:extLst>
        </c:ser>
        <c:dLbls>
          <c:showLegendKey val="0"/>
          <c:showVal val="0"/>
          <c:showCatName val="0"/>
          <c:showSerName val="0"/>
          <c:showPercent val="1"/>
          <c:showBubbleSize val="0"/>
          <c:showLeaderLines val="0"/>
        </c:dLbls>
        <c:firstSliceAng val="0"/>
      </c:pieChart>
      <c:spPr>
        <a:noFill/>
        <a:ln>
          <a:noFill/>
        </a:ln>
        <a:effectLst/>
      </c:spPr>
    </c:plotArea>
    <c:legend>
      <c:legendPos val="r"/>
      <c:layout>
        <c:manualLayout>
          <c:xMode val="edge"/>
          <c:yMode val="edge"/>
          <c:x val="0.6957532901472423"/>
          <c:y val="0.29821516515733548"/>
          <c:w val="0.29607073936867018"/>
          <c:h val="0.546552878179384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accent1"/>
          </a:solidFill>
          <a:latin typeface="+mj-lt"/>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accent1"/>
                </a:solidFill>
                <a:latin typeface="+mj-lt"/>
                <a:ea typeface="Calibri" panose="020F0502020204030204" pitchFamily="34" charset="0"/>
                <a:cs typeface="Calibri" panose="020F0502020204030204" pitchFamily="34" charset="0"/>
              </a:defRPr>
            </a:pPr>
            <a:r>
              <a:rPr lang="en-AU"/>
              <a:t>Cash Flow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j-lt"/>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0.15236857002781773"/>
          <c:y val="8.731593038821954E-2"/>
          <c:w val="0.82871158133097145"/>
          <c:h val="0.70558427937471668"/>
        </c:manualLayout>
      </c:layout>
      <c:barChart>
        <c:barDir val="col"/>
        <c:grouping val="clustered"/>
        <c:varyColors val="0"/>
        <c:ser>
          <c:idx val="0"/>
          <c:order val="0"/>
          <c:tx>
            <c:strRef>
              <c:f>'Cash Flow Forecast'!$A$14</c:f>
              <c:strCache>
                <c:ptCount val="1"/>
                <c:pt idx="0">
                  <c:v>Total Income</c:v>
                </c:pt>
              </c:strCache>
            </c:strRef>
          </c:tx>
          <c:spPr>
            <a:solidFill>
              <a:schemeClr val="accent4">
                <a:shade val="65000"/>
              </a:schemeClr>
            </a:solidFill>
            <a:ln>
              <a:noFill/>
            </a:ln>
            <a:effectLst/>
          </c:spPr>
          <c:invertIfNegative val="0"/>
          <c:cat>
            <c:strRef>
              <c:f>'Cash Flow Forecast'!$B$5:$M$5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'Cash Flow Forecast'!$B$14:$M$14</c:f>
              <c:numCache>
                <c:formatCode>_("£"* #,##0.00_);_("£"* \(#,##0.00\);_("£"* "-"??_);_(@_)</c:formatCode>
                <c:ptCount val="12"/>
                <c:pt idx="0">
                  <c:v>801335.17999999993</c:v>
                </c:pt>
                <c:pt idx="1">
                  <c:v>131005.01999999999</c:v>
                </c:pt>
                <c:pt idx="2">
                  <c:v>105183.57999999999</c:v>
                </c:pt>
                <c:pt idx="3">
                  <c:v>110266.14000000001</c:v>
                </c:pt>
                <c:pt idx="4">
                  <c:v>118785.09999999999</c:v>
                </c:pt>
                <c:pt idx="5">
                  <c:v>87374.5</c:v>
                </c:pt>
                <c:pt idx="6">
                  <c:v>130013.20000000001</c:v>
                </c:pt>
                <c:pt idx="7">
                  <c:v>133332.48000000001</c:v>
                </c:pt>
                <c:pt idx="8">
                  <c:v>98278.079999999987</c:v>
                </c:pt>
                <c:pt idx="9">
                  <c:v>146316.78000000003</c:v>
                </c:pt>
                <c:pt idx="10">
                  <c:v>106050.32</c:v>
                </c:pt>
                <c:pt idx="11">
                  <c:v>78579.78</c:v>
                </c:pt>
              </c:numCache>
            </c:numRef>
          </c:val>
          <c:extLst>
            <c:ext xmlns:c16="http://schemas.microsoft.com/office/drawing/2014/chart" uri="{C3380CC4-5D6E-409C-BE32-E72D297353CC}">
              <c16:uniqueId val="{00000000-3367-44D3-9250-6239122A8263}"/>
            </c:ext>
          </c:extLst>
        </c:ser>
        <c:ser>
          <c:idx val="1"/>
          <c:order val="1"/>
          <c:tx>
            <c:strRef>
              <c:f>'Cash Flow Forecast'!$A$26</c:f>
              <c:strCache>
                <c:ptCount val="1"/>
                <c:pt idx="0">
                  <c:v>Total Expenses</c:v>
                </c:pt>
              </c:strCache>
            </c:strRef>
          </c:tx>
          <c:spPr>
            <a:solidFill>
              <a:schemeClr val="accent4"/>
            </a:solidFill>
            <a:ln>
              <a:noFill/>
            </a:ln>
            <a:effectLst/>
          </c:spPr>
          <c:invertIfNegative val="0"/>
          <c:cat>
            <c:strRef>
              <c:f>'Cash Flow Forecast'!$B$5:$M$5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'Cash Flow Forecast'!$B$26:$M$26</c:f>
              <c:numCache>
                <c:formatCode>_("£"* #,##0.00_);_("£"* \(#,##0.00\);_("£"* "-"??_);_(@_)</c:formatCode>
                <c:ptCount val="12"/>
                <c:pt idx="0">
                  <c:v>110894.88499999999</c:v>
                </c:pt>
                <c:pt idx="1">
                  <c:v>133118.77199390793</c:v>
                </c:pt>
                <c:pt idx="2">
                  <c:v>113628.69199390791</c:v>
                </c:pt>
                <c:pt idx="3">
                  <c:v>117506.61199390791</c:v>
                </c:pt>
                <c:pt idx="4">
                  <c:v>123896.83199390791</c:v>
                </c:pt>
                <c:pt idx="5">
                  <c:v>100128.3819939079</c:v>
                </c:pt>
                <c:pt idx="6">
                  <c:v>132546.40699390788</c:v>
                </c:pt>
                <c:pt idx="7">
                  <c:v>134883.36699390793</c:v>
                </c:pt>
                <c:pt idx="8">
                  <c:v>108372.56699390791</c:v>
                </c:pt>
                <c:pt idx="9">
                  <c:v>144897.0919939079</c:v>
                </c:pt>
                <c:pt idx="10">
                  <c:v>114272.7469939079</c:v>
                </c:pt>
                <c:pt idx="11">
                  <c:v>93360.841993907903</c:v>
                </c:pt>
              </c:numCache>
            </c:numRef>
          </c:val>
          <c:extLst>
            <c:ext xmlns:c16="http://schemas.microsoft.com/office/drawing/2014/chart" uri="{C3380CC4-5D6E-409C-BE32-E72D297353CC}">
              <c16:uniqueId val="{00000001-3367-44D3-9250-6239122A8263}"/>
            </c:ext>
          </c:extLst>
        </c:ser>
        <c:ser>
          <c:idx val="2"/>
          <c:order val="2"/>
          <c:tx>
            <c:strRef>
              <c:f>'Cash Flow Forecast'!$A$27</c:f>
              <c:strCache>
                <c:ptCount val="1"/>
                <c:pt idx="0">
                  <c:v>Closing Balance</c:v>
                </c:pt>
              </c:strCache>
            </c:strRef>
          </c:tx>
          <c:spPr>
            <a:solidFill>
              <a:schemeClr val="accent4">
                <a:tint val="65000"/>
              </a:schemeClr>
            </a:solidFill>
            <a:ln>
              <a:noFill/>
            </a:ln>
            <a:effectLst/>
          </c:spPr>
          <c:invertIfNegative val="0"/>
          <c:cat>
            <c:strRef>
              <c:f>'Cash Flow Forecast'!$B$5:$M$5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'Cash Flow Forecast'!$B$27:$M$27</c:f>
              <c:numCache>
                <c:formatCode>_("£"* #,##0.00_);_("£"* \(#,##0.00\);_("£"* "-"??_);_(@_)</c:formatCode>
                <c:ptCount val="12"/>
                <c:pt idx="0">
                  <c:v>690440.29499999993</c:v>
                </c:pt>
                <c:pt idx="1">
                  <c:v>688326.54300609196</c:v>
                </c:pt>
                <c:pt idx="2">
                  <c:v>679881.43101218401</c:v>
                </c:pt>
                <c:pt idx="3">
                  <c:v>672640.95901827607</c:v>
                </c:pt>
                <c:pt idx="4">
                  <c:v>667529.22702436813</c:v>
                </c:pt>
                <c:pt idx="5">
                  <c:v>654775.34503046027</c:v>
                </c:pt>
                <c:pt idx="6">
                  <c:v>652242.13803655235</c:v>
                </c:pt>
                <c:pt idx="7">
                  <c:v>650691.25104264449</c:v>
                </c:pt>
                <c:pt idx="8">
                  <c:v>640596.76404873654</c:v>
                </c:pt>
                <c:pt idx="9">
                  <c:v>642016.45205482864</c:v>
                </c:pt>
                <c:pt idx="10">
                  <c:v>633794.02506092074</c:v>
                </c:pt>
                <c:pt idx="11">
                  <c:v>619012.96306701284</c:v>
                </c:pt>
              </c:numCache>
            </c:numRef>
          </c:val>
          <c:extLst>
            <c:ext xmlns:c16="http://schemas.microsoft.com/office/drawing/2014/chart" uri="{C3380CC4-5D6E-409C-BE32-E72D297353CC}">
              <c16:uniqueId val="{00000002-3367-44D3-9250-6239122A8263}"/>
            </c:ext>
          </c:extLst>
        </c:ser>
        <c:dLbls>
          <c:showLegendKey val="0"/>
          <c:showVal val="0"/>
          <c:showCatName val="0"/>
          <c:showSerName val="0"/>
          <c:showPercent val="0"/>
          <c:showBubbleSize val="0"/>
        </c:dLbls>
        <c:gapWidth val="150"/>
        <c:axId val="1251453216"/>
        <c:axId val="1251453696"/>
      </c:barChart>
      <c:catAx>
        <c:axId val="125145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crossAx val="1251453696"/>
        <c:crosses val="autoZero"/>
        <c:auto val="1"/>
        <c:lblAlgn val="ctr"/>
        <c:lblOffset val="100"/>
        <c:noMultiLvlLbl val="0"/>
      </c:catAx>
      <c:valAx>
        <c:axId val="1251453696"/>
        <c:scaling>
          <c:orientation val="minMax"/>
        </c:scaling>
        <c:delete val="0"/>
        <c:axPos val="l"/>
        <c:majorGridlines>
          <c:spPr>
            <a:ln w="9525" cap="flat" cmpd="sng" algn="ctr">
              <a:noFill/>
              <a:round/>
            </a:ln>
            <a:effectLst/>
          </c:spPr>
        </c:majorGridlines>
        <c:numFmt formatCode="_(&quot;£&quot;* #,##0.00_);_(&quot;£&quot;* \(#,##0.00\);_(&quot;£&quot;* &quot;-&quot;??_);_(@_)"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crossAx val="1251453216"/>
        <c:crosses val="autoZero"/>
        <c:crossBetween val="between"/>
      </c:valAx>
      <c:dTable>
        <c:showHorzBorder val="1"/>
        <c:showVertBorder val="1"/>
        <c:showOutline val="1"/>
        <c:showKeys val="1"/>
        <c:spPr>
          <a:noFill/>
          <a:ln w="9525" cap="flat" cmpd="sng" algn="ctr">
            <a:solidFill>
              <a:schemeClr val="accent1">
                <a:lumMod val="20000"/>
                <a:lumOff val="80000"/>
              </a:schemeClr>
            </a:solidFill>
            <a:round/>
          </a:ln>
          <a:effectLst/>
        </c:spPr>
        <c:txPr>
          <a:bodyPr rot="0" spcFirstLastPara="1" vertOverflow="ellipsis" vert="horz" wrap="square" anchor="ctr" anchorCtr="1"/>
          <a:lstStyle/>
          <a:p>
            <a:pPr rtl="0">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accent1"/>
          </a:solidFill>
          <a:latin typeface="+mj-lt"/>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[Final Coursework.xlsm]Sales by Month and Year!PivotTable1</c:name>
    <c:fmtId val="20"/>
  </c:pivotSource>
  <c:chart>
    <c:title>
      <c:tx>
        <c:rich>
          <a:bodyPr rot="0" spcFirstLastPara="1" vertOverflow="ellipsis" vert="horz" wrap="square" anchor="ctr" anchorCtr="1"/>
          <a:lstStyle/>
          <a:p>
            <a:pPr>
              <a:defRPr sz="1400" b="0" i="0" u="none" strike="noStrike" kern="1200" spc="0" baseline="0">
                <a:solidFill>
                  <a:schemeClr val="accent1"/>
                </a:solidFill>
                <a:latin typeface="+mj-lt"/>
                <a:ea typeface="Calibri" panose="020F0502020204030204" pitchFamily="34" charset="0"/>
                <a:cs typeface="Calibri" panose="020F0502020204030204" pitchFamily="34" charset="0"/>
              </a:defRPr>
            </a:pPr>
            <a:r>
              <a:rPr lang="en-AU"/>
              <a:t>Sales by Month and Year</a:t>
            </a:r>
          </a:p>
        </c:rich>
      </c:tx>
      <c:layout>
        <c:manualLayout>
          <c:xMode val="edge"/>
          <c:yMode val="edge"/>
          <c:x val="0.3781309935749988"/>
          <c:y val="2.46260933535327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j-lt"/>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091440681899039E-2"/>
          <c:y val="0.14001425583223417"/>
          <c:w val="0.77093278983545521"/>
          <c:h val="0.63786757020416696"/>
        </c:manualLayout>
      </c:layout>
      <c:barChart>
        <c:barDir val="col"/>
        <c:grouping val="clustered"/>
        <c:varyColors val="0"/>
        <c:ser>
          <c:idx val="0"/>
          <c:order val="0"/>
          <c:tx>
            <c:strRef>
              <c:f>'Sales by Month and Year'!$B$6:$B$7</c:f>
              <c:strCache>
                <c:ptCount val="1"/>
                <c:pt idx="0">
                  <c:v>Jan</c:v>
                </c:pt>
              </c:strCache>
            </c:strRef>
          </c:tx>
          <c:spPr>
            <a:solidFill>
              <a:schemeClr val="accent4">
                <a:tint val="41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Year'!$B$8:$B$20</c:f>
              <c:numCache>
                <c:formatCode>_("£"* #,##0.00_);_("£"* \(#,##0.00\);_("£"* "-"??_);_(@_)</c:formatCode>
                <c:ptCount val="9"/>
                <c:pt idx="0">
                  <c:v>25344.899999999998</c:v>
                </c:pt>
                <c:pt idx="1">
                  <c:v>17326.2</c:v>
                </c:pt>
                <c:pt idx="2">
                  <c:v>35109.4</c:v>
                </c:pt>
                <c:pt idx="3">
                  <c:v>27964.44</c:v>
                </c:pt>
                <c:pt idx="4">
                  <c:v>25285.799999999996</c:v>
                </c:pt>
                <c:pt idx="5">
                  <c:v>50395.600000000006</c:v>
                </c:pt>
                <c:pt idx="6">
                  <c:v>22419.179999999997</c:v>
                </c:pt>
                <c:pt idx="7">
                  <c:v>40360.800000000003</c:v>
                </c:pt>
                <c:pt idx="8">
                  <c:v>43555.200000000004</c:v>
                </c:pt>
              </c:numCache>
            </c:numRef>
          </c:val>
          <c:extLst>
            <c:ext xmlns:c16="http://schemas.microsoft.com/office/drawing/2014/chart" uri="{C3380CC4-5D6E-409C-BE32-E72D297353CC}">
              <c16:uniqueId val="{00000000-087F-4916-B622-8613131079CA}"/>
            </c:ext>
          </c:extLst>
        </c:ser>
        <c:ser>
          <c:idx val="1"/>
          <c:order val="1"/>
          <c:tx>
            <c:strRef>
              <c:f>'Sales by Month and Year'!$C$6:$C$7</c:f>
              <c:strCache>
                <c:ptCount val="1"/>
                <c:pt idx="0">
                  <c:v>Feb</c:v>
                </c:pt>
              </c:strCache>
            </c:strRef>
          </c:tx>
          <c:spPr>
            <a:solidFill>
              <a:schemeClr val="accent4">
                <a:tint val="52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Year'!$C$8:$C$20</c:f>
              <c:numCache>
                <c:formatCode>_("£"* #,##0.00_);_("£"* \(#,##0.00\);_("£"* "-"??_);_(@_)</c:formatCode>
                <c:ptCount val="9"/>
                <c:pt idx="0">
                  <c:v>13778.1</c:v>
                </c:pt>
                <c:pt idx="1">
                  <c:v>8241</c:v>
                </c:pt>
                <c:pt idx="2">
                  <c:v>31898.600000000009</c:v>
                </c:pt>
                <c:pt idx="3">
                  <c:v>31978.800000000003</c:v>
                </c:pt>
                <c:pt idx="4">
                  <c:v>33366</c:v>
                </c:pt>
                <c:pt idx="5">
                  <c:v>26384.400000000001</c:v>
                </c:pt>
                <c:pt idx="6">
                  <c:v>19765.619999999995</c:v>
                </c:pt>
                <c:pt idx="7">
                  <c:v>25084.799999999999</c:v>
                </c:pt>
                <c:pt idx="8">
                  <c:v>82154.599999999977</c:v>
                </c:pt>
              </c:numCache>
            </c:numRef>
          </c:val>
          <c:extLst>
            <c:ext xmlns:c16="http://schemas.microsoft.com/office/drawing/2014/chart" uri="{C3380CC4-5D6E-409C-BE32-E72D297353CC}">
              <c16:uniqueId val="{00000001-AEC5-4F2A-B3AA-32B316716F8B}"/>
            </c:ext>
          </c:extLst>
        </c:ser>
        <c:ser>
          <c:idx val="2"/>
          <c:order val="2"/>
          <c:tx>
            <c:strRef>
              <c:f>'Sales by Month and Year'!$D$6:$D$7</c:f>
              <c:strCache>
                <c:ptCount val="1"/>
                <c:pt idx="0">
                  <c:v>Mar</c:v>
                </c:pt>
              </c:strCache>
            </c:strRef>
          </c:tx>
          <c:spPr>
            <a:solidFill>
              <a:schemeClr val="accent4">
                <a:tint val="63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Year'!$D$8:$D$20</c:f>
              <c:numCache>
                <c:formatCode>_("£"* #,##0.00_);_("£"* \(#,##0.00\);_("£"* "-"??_);_(@_)</c:formatCode>
                <c:ptCount val="9"/>
                <c:pt idx="0">
                  <c:v>20786.22</c:v>
                </c:pt>
                <c:pt idx="1">
                  <c:v>17889</c:v>
                </c:pt>
                <c:pt idx="2">
                  <c:v>43485.400000000009</c:v>
                </c:pt>
                <c:pt idx="3">
                  <c:v>18915.12</c:v>
                </c:pt>
                <c:pt idx="4">
                  <c:v>18733.2</c:v>
                </c:pt>
                <c:pt idx="5">
                  <c:v>37622.200000000004</c:v>
                </c:pt>
                <c:pt idx="6">
                  <c:v>35006.579999999994</c:v>
                </c:pt>
                <c:pt idx="7">
                  <c:v>14873.999999999998</c:v>
                </c:pt>
                <c:pt idx="8">
                  <c:v>51303</c:v>
                </c:pt>
              </c:numCache>
            </c:numRef>
          </c:val>
          <c:extLst>
            <c:ext xmlns:c16="http://schemas.microsoft.com/office/drawing/2014/chart" uri="{C3380CC4-5D6E-409C-BE32-E72D297353CC}">
              <c16:uniqueId val="{00000002-AEC5-4F2A-B3AA-32B316716F8B}"/>
            </c:ext>
          </c:extLst>
        </c:ser>
        <c:ser>
          <c:idx val="3"/>
          <c:order val="3"/>
          <c:tx>
            <c:strRef>
              <c:f>'Sales by Month and Year'!$E$6:$E$7</c:f>
              <c:strCache>
                <c:ptCount val="1"/>
                <c:pt idx="0">
                  <c:v>Apr</c:v>
                </c:pt>
              </c:strCache>
            </c:strRef>
          </c:tx>
          <c:spPr>
            <a:solidFill>
              <a:schemeClr val="accent4">
                <a:tint val="74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Year'!$E$8:$E$20</c:f>
              <c:numCache>
                <c:formatCode>_("£"* #,##0.00_);_("£"* \(#,##0.00\);_("£"* "-"??_);_(@_)</c:formatCode>
                <c:ptCount val="9"/>
                <c:pt idx="0">
                  <c:v>16907.939999999999</c:v>
                </c:pt>
                <c:pt idx="1">
                  <c:v>28702.799999999992</c:v>
                </c:pt>
                <c:pt idx="2">
                  <c:v>54444.000000000007</c:v>
                </c:pt>
                <c:pt idx="3">
                  <c:v>26297.46</c:v>
                </c:pt>
                <c:pt idx="4">
                  <c:v>45988.799999999996</c:v>
                </c:pt>
                <c:pt idx="5">
                  <c:v>37273.200000000004</c:v>
                </c:pt>
                <c:pt idx="6">
                  <c:v>27113.939999999995</c:v>
                </c:pt>
                <c:pt idx="7">
                  <c:v>31757.999999999993</c:v>
                </c:pt>
                <c:pt idx="8">
                  <c:v>47394.200000000004</c:v>
                </c:pt>
              </c:numCache>
            </c:numRef>
          </c:val>
          <c:extLst>
            <c:ext xmlns:c16="http://schemas.microsoft.com/office/drawing/2014/chart" uri="{C3380CC4-5D6E-409C-BE32-E72D297353CC}">
              <c16:uniqueId val="{00000003-AEC5-4F2A-B3AA-32B316716F8B}"/>
            </c:ext>
          </c:extLst>
        </c:ser>
        <c:ser>
          <c:idx val="4"/>
          <c:order val="4"/>
          <c:tx>
            <c:strRef>
              <c:f>'Sales by Month and Year'!$F$6:$F$7</c:f>
              <c:strCache>
                <c:ptCount val="1"/>
                <c:pt idx="0">
                  <c:v>May</c:v>
                </c:pt>
              </c:strCache>
            </c:strRef>
          </c:tx>
          <c:spPr>
            <a:solidFill>
              <a:schemeClr val="accent4">
                <a:tint val="84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Year'!$F$8:$F$20</c:f>
              <c:numCache>
                <c:formatCode>_("£"* #,##0.00_);_("£"* \(#,##0.00\);_("£"* "-"??_);_(@_)</c:formatCode>
                <c:ptCount val="9"/>
                <c:pt idx="0">
                  <c:v>12757.5</c:v>
                </c:pt>
                <c:pt idx="1">
                  <c:v>19296</c:v>
                </c:pt>
                <c:pt idx="2">
                  <c:v>40484</c:v>
                </c:pt>
                <c:pt idx="3">
                  <c:v>21874.860000000004</c:v>
                </c:pt>
                <c:pt idx="4">
                  <c:v>14230.8</c:v>
                </c:pt>
                <c:pt idx="5">
                  <c:v>58422.6</c:v>
                </c:pt>
                <c:pt idx="6">
                  <c:v>20582.099999999999</c:v>
                </c:pt>
                <c:pt idx="7">
                  <c:v>29707.8</c:v>
                </c:pt>
                <c:pt idx="8">
                  <c:v>64495.199999999997</c:v>
                </c:pt>
              </c:numCache>
            </c:numRef>
          </c:val>
          <c:extLst>
            <c:ext xmlns:c16="http://schemas.microsoft.com/office/drawing/2014/chart" uri="{C3380CC4-5D6E-409C-BE32-E72D297353CC}">
              <c16:uniqueId val="{00000004-AEC5-4F2A-B3AA-32B316716F8B}"/>
            </c:ext>
          </c:extLst>
        </c:ser>
        <c:ser>
          <c:idx val="5"/>
          <c:order val="5"/>
          <c:tx>
            <c:strRef>
              <c:f>'Sales by Month and Year'!$G$6:$G$7</c:f>
              <c:strCache>
                <c:ptCount val="1"/>
                <c:pt idx="0">
                  <c:v>Jun</c:v>
                </c:pt>
              </c:strCache>
            </c:strRef>
          </c:tx>
          <c:spPr>
            <a:solidFill>
              <a:schemeClr val="accent4">
                <a:tint val="95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Year'!$G$8:$G$20</c:f>
              <c:numCache>
                <c:formatCode>_("£"* #,##0.00_);_("£"* \(#,##0.00\);_("£"* "-"??_);_(@_)</c:formatCode>
                <c:ptCount val="9"/>
                <c:pt idx="0">
                  <c:v>17928.54</c:v>
                </c:pt>
                <c:pt idx="1">
                  <c:v>21426.6</c:v>
                </c:pt>
                <c:pt idx="2">
                  <c:v>36156.400000000001</c:v>
                </c:pt>
                <c:pt idx="3">
                  <c:v>22521.239999999998</c:v>
                </c:pt>
                <c:pt idx="4">
                  <c:v>27778.199999999997</c:v>
                </c:pt>
                <c:pt idx="5">
                  <c:v>38669.199999999997</c:v>
                </c:pt>
                <c:pt idx="6">
                  <c:v>26025.299999999996</c:v>
                </c:pt>
                <c:pt idx="7">
                  <c:v>24682.799999999999</c:v>
                </c:pt>
                <c:pt idx="8">
                  <c:v>32666.400000000001</c:v>
                </c:pt>
              </c:numCache>
            </c:numRef>
          </c:val>
          <c:extLst>
            <c:ext xmlns:c16="http://schemas.microsoft.com/office/drawing/2014/chart" uri="{C3380CC4-5D6E-409C-BE32-E72D297353CC}">
              <c16:uniqueId val="{00000005-AEC5-4F2A-B3AA-32B316716F8B}"/>
            </c:ext>
          </c:extLst>
        </c:ser>
        <c:ser>
          <c:idx val="6"/>
          <c:order val="6"/>
          <c:tx>
            <c:strRef>
              <c:f>'Sales by Month and Year'!$H$6:$H$7</c:f>
              <c:strCache>
                <c:ptCount val="1"/>
                <c:pt idx="0">
                  <c:v>Jul</c:v>
                </c:pt>
              </c:strCache>
            </c:strRef>
          </c:tx>
          <c:spPr>
            <a:solidFill>
              <a:schemeClr val="accent4">
                <a:shade val="94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Year'!$H$8:$H$20</c:f>
              <c:numCache>
                <c:formatCode>_("£"* #,##0.00_);_("£"* \(#,##0.00\);_("£"* "-"??_);_(@_)</c:formatCode>
                <c:ptCount val="9"/>
                <c:pt idx="0">
                  <c:v>17656.379999999997</c:v>
                </c:pt>
                <c:pt idx="1">
                  <c:v>17245.8</c:v>
                </c:pt>
                <c:pt idx="2">
                  <c:v>51163.4</c:v>
                </c:pt>
                <c:pt idx="3">
                  <c:v>27113.94</c:v>
                </c:pt>
                <c:pt idx="4">
                  <c:v>23235.599999999999</c:v>
                </c:pt>
                <c:pt idx="5">
                  <c:v>38459.800000000003</c:v>
                </c:pt>
                <c:pt idx="6">
                  <c:v>29597.399999999998</c:v>
                </c:pt>
                <c:pt idx="7">
                  <c:v>44903.399999999994</c:v>
                </c:pt>
                <c:pt idx="8">
                  <c:v>51512.400000000009</c:v>
                </c:pt>
              </c:numCache>
            </c:numRef>
          </c:val>
          <c:extLst>
            <c:ext xmlns:c16="http://schemas.microsoft.com/office/drawing/2014/chart" uri="{C3380CC4-5D6E-409C-BE32-E72D297353CC}">
              <c16:uniqueId val="{00000006-AEC5-4F2A-B3AA-32B316716F8B}"/>
            </c:ext>
          </c:extLst>
        </c:ser>
        <c:ser>
          <c:idx val="7"/>
          <c:order val="7"/>
          <c:tx>
            <c:strRef>
              <c:f>'Sales by Month and Year'!$I$6:$I$7</c:f>
              <c:strCache>
                <c:ptCount val="1"/>
                <c:pt idx="0">
                  <c:v>Aug</c:v>
                </c:pt>
              </c:strCache>
            </c:strRef>
          </c:tx>
          <c:spPr>
            <a:solidFill>
              <a:schemeClr val="accent4">
                <a:shade val="83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Year'!$I$8:$I$20</c:f>
              <c:numCache>
                <c:formatCode>_("£"* #,##0.00_);_("£"* \(#,##0.00\);_("£"* "-"??_);_(@_)</c:formatCode>
                <c:ptCount val="9"/>
                <c:pt idx="0">
                  <c:v>25651.08</c:v>
                </c:pt>
                <c:pt idx="1">
                  <c:v>19979.399999999998</c:v>
                </c:pt>
                <c:pt idx="2">
                  <c:v>37831.600000000006</c:v>
                </c:pt>
                <c:pt idx="3">
                  <c:v>27930.42</c:v>
                </c:pt>
                <c:pt idx="4">
                  <c:v>29587.199999999993</c:v>
                </c:pt>
                <c:pt idx="5">
                  <c:v>54164.800000000003</c:v>
                </c:pt>
                <c:pt idx="6">
                  <c:v>21228.479999999996</c:v>
                </c:pt>
                <c:pt idx="7">
                  <c:v>23436.599999999995</c:v>
                </c:pt>
                <c:pt idx="8">
                  <c:v>84667.39999999998</c:v>
                </c:pt>
              </c:numCache>
            </c:numRef>
          </c:val>
          <c:extLst>
            <c:ext xmlns:c16="http://schemas.microsoft.com/office/drawing/2014/chart" uri="{C3380CC4-5D6E-409C-BE32-E72D297353CC}">
              <c16:uniqueId val="{00000007-AEC5-4F2A-B3AA-32B316716F8B}"/>
            </c:ext>
          </c:extLst>
        </c:ser>
        <c:ser>
          <c:idx val="8"/>
          <c:order val="8"/>
          <c:tx>
            <c:strRef>
              <c:f>'Sales by Month and Year'!$J$6:$J$7</c:f>
              <c:strCache>
                <c:ptCount val="1"/>
                <c:pt idx="0">
                  <c:v>Sep</c:v>
                </c:pt>
              </c:strCache>
            </c:strRef>
          </c:tx>
          <c:spPr>
            <a:solidFill>
              <a:schemeClr val="accent4">
                <a:shade val="73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Year'!$J$8:$J$20</c:f>
              <c:numCache>
                <c:formatCode>_("£"* #,##0.00_);_("£"* \(#,##0.00\);_("£"* "-"??_);_(@_)</c:formatCode>
                <c:ptCount val="9"/>
                <c:pt idx="0">
                  <c:v>21296.52</c:v>
                </c:pt>
                <c:pt idx="1">
                  <c:v>22150.2</c:v>
                </c:pt>
                <c:pt idx="2">
                  <c:v>33155</c:v>
                </c:pt>
                <c:pt idx="3">
                  <c:v>29835.539999999997</c:v>
                </c:pt>
                <c:pt idx="4">
                  <c:v>29104.799999999992</c:v>
                </c:pt>
                <c:pt idx="5">
                  <c:v>48441.2</c:v>
                </c:pt>
                <c:pt idx="6">
                  <c:v>23950.080000000002</c:v>
                </c:pt>
                <c:pt idx="7">
                  <c:v>25446.599999999995</c:v>
                </c:pt>
                <c:pt idx="8">
                  <c:v>44881.399999999994</c:v>
                </c:pt>
              </c:numCache>
            </c:numRef>
          </c:val>
          <c:extLst>
            <c:ext xmlns:c16="http://schemas.microsoft.com/office/drawing/2014/chart" uri="{C3380CC4-5D6E-409C-BE32-E72D297353CC}">
              <c16:uniqueId val="{00000008-AEC5-4F2A-B3AA-32B316716F8B}"/>
            </c:ext>
          </c:extLst>
        </c:ser>
        <c:ser>
          <c:idx val="9"/>
          <c:order val="9"/>
          <c:tx>
            <c:strRef>
              <c:f>'Sales by Month and Year'!$K$6:$K$7</c:f>
              <c:strCache>
                <c:ptCount val="1"/>
                <c:pt idx="0">
                  <c:v>Oct</c:v>
                </c:pt>
              </c:strCache>
            </c:strRef>
          </c:tx>
          <c:spPr>
            <a:solidFill>
              <a:schemeClr val="accent4">
                <a:shade val="62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Year'!$K$8:$K$20</c:f>
              <c:numCache>
                <c:formatCode>_("£"* #,##0.00_);_("£"* \(#,##0.00\);_("£"* "-"??_);_(@_)</c:formatCode>
                <c:ptCount val="9"/>
                <c:pt idx="0">
                  <c:v>19391.400000000001</c:v>
                </c:pt>
                <c:pt idx="1">
                  <c:v>23717.999999999993</c:v>
                </c:pt>
                <c:pt idx="2">
                  <c:v>60935.400000000009</c:v>
                </c:pt>
                <c:pt idx="3">
                  <c:v>17588.339999999997</c:v>
                </c:pt>
                <c:pt idx="4">
                  <c:v>12260.999999999998</c:v>
                </c:pt>
                <c:pt idx="5">
                  <c:v>31619.4</c:v>
                </c:pt>
                <c:pt idx="6">
                  <c:v>23779.979999999996</c:v>
                </c:pt>
                <c:pt idx="7">
                  <c:v>54390.6</c:v>
                </c:pt>
                <c:pt idx="8">
                  <c:v>64146.2</c:v>
                </c:pt>
              </c:numCache>
            </c:numRef>
          </c:val>
          <c:extLst>
            <c:ext xmlns:c16="http://schemas.microsoft.com/office/drawing/2014/chart" uri="{C3380CC4-5D6E-409C-BE32-E72D297353CC}">
              <c16:uniqueId val="{00000009-AEC5-4F2A-B3AA-32B316716F8B}"/>
            </c:ext>
          </c:extLst>
        </c:ser>
        <c:ser>
          <c:idx val="10"/>
          <c:order val="10"/>
          <c:tx>
            <c:strRef>
              <c:f>'Sales by Month and Year'!$L$6:$L$7</c:f>
              <c:strCache>
                <c:ptCount val="1"/>
                <c:pt idx="0">
                  <c:v>Nov</c:v>
                </c:pt>
              </c:strCache>
            </c:strRef>
          </c:tx>
          <c:spPr>
            <a:solidFill>
              <a:schemeClr val="accent4">
                <a:shade val="51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Year'!$L$8:$L$20</c:f>
              <c:numCache>
                <c:formatCode>_("£"* #,##0.00_);_("£"* \(#,##0.00\);_("£"* "-"??_);_(@_)</c:formatCode>
                <c:ptCount val="9"/>
                <c:pt idx="0">
                  <c:v>20616.12</c:v>
                </c:pt>
                <c:pt idx="1">
                  <c:v>18934.2</c:v>
                </c:pt>
                <c:pt idx="2">
                  <c:v>34690.600000000006</c:v>
                </c:pt>
                <c:pt idx="3">
                  <c:v>10852.38</c:v>
                </c:pt>
                <c:pt idx="4">
                  <c:v>21868.799999999999</c:v>
                </c:pt>
                <c:pt idx="5">
                  <c:v>43206.200000000004</c:v>
                </c:pt>
                <c:pt idx="6">
                  <c:v>19595.52</c:v>
                </c:pt>
                <c:pt idx="7">
                  <c:v>34571.999999999993</c:v>
                </c:pt>
                <c:pt idx="8">
                  <c:v>47882.8</c:v>
                </c:pt>
              </c:numCache>
            </c:numRef>
          </c:val>
          <c:extLst>
            <c:ext xmlns:c16="http://schemas.microsoft.com/office/drawing/2014/chart" uri="{C3380CC4-5D6E-409C-BE32-E72D297353CC}">
              <c16:uniqueId val="{0000000A-AEC5-4F2A-B3AA-32B316716F8B}"/>
            </c:ext>
          </c:extLst>
        </c:ser>
        <c:ser>
          <c:idx val="11"/>
          <c:order val="11"/>
          <c:tx>
            <c:strRef>
              <c:f>'Sales by Month and Year'!$M$6:$M$7</c:f>
              <c:strCache>
                <c:ptCount val="1"/>
                <c:pt idx="0">
                  <c:v>Dec</c:v>
                </c:pt>
              </c:strCache>
            </c:strRef>
          </c:tx>
          <c:spPr>
            <a:solidFill>
              <a:schemeClr val="accent4">
                <a:shade val="40000"/>
              </a:schemeClr>
            </a:solidFill>
            <a:ln>
              <a:noFill/>
            </a:ln>
            <a:effectLst/>
          </c:spPr>
          <c:invertIfNegative val="0"/>
          <c:cat>
            <c:multiLvlStrRef>
              <c:f>'Sales by Month and Year'!$A$8:$A$20</c:f>
              <c:multiLvlStrCache>
                <c:ptCount val="9"/>
                <c:lvl>
                  <c:pt idx="0">
                    <c:v>Gigastuff</c:v>
                  </c:pt>
                  <c:pt idx="1">
                    <c:v>Hyperwotsit</c:v>
                  </c:pt>
                  <c:pt idx="2">
                    <c:v>Superwossname</c:v>
                  </c:pt>
                  <c:pt idx="3">
                    <c:v>Gigastuff</c:v>
                  </c:pt>
                  <c:pt idx="4">
                    <c:v>Hyperwotsit</c:v>
                  </c:pt>
                  <c:pt idx="5">
                    <c:v>Superwossname</c:v>
                  </c:pt>
                  <c:pt idx="6">
                    <c:v>Gigastuff</c:v>
                  </c:pt>
                  <c:pt idx="7">
                    <c:v>Hyperwotsit</c:v>
                  </c:pt>
                  <c:pt idx="8">
                    <c:v>Superwossname</c:v>
                  </c:pt>
                </c:lvl>
                <c:lvl>
                  <c:pt idx="0">
                    <c:v>2020</c:v>
                  </c:pt>
                  <c:pt idx="3">
                    <c:v>2021</c:v>
                  </c:pt>
                  <c:pt idx="6">
                    <c:v>2022</c:v>
                  </c:pt>
                </c:lvl>
              </c:multiLvlStrCache>
            </c:multiLvlStrRef>
          </c:cat>
          <c:val>
            <c:numRef>
              <c:f>'Sales by Month and Year'!$M$8:$M$20</c:f>
              <c:numCache>
                <c:formatCode>_("£"* #,##0.00_);_("£"* \(#,##0.00\);_("£"* "-"??_);_(@_)</c:formatCode>
                <c:ptCount val="9"/>
                <c:pt idx="0">
                  <c:v>18234.719999999998</c:v>
                </c:pt>
                <c:pt idx="1">
                  <c:v>20622.599999999999</c:v>
                </c:pt>
                <c:pt idx="2">
                  <c:v>41112.200000000012</c:v>
                </c:pt>
                <c:pt idx="3">
                  <c:v>16363.620000000003</c:v>
                </c:pt>
                <c:pt idx="4">
                  <c:v>32682.6</c:v>
                </c:pt>
                <c:pt idx="5">
                  <c:v>79851.199999999997</c:v>
                </c:pt>
                <c:pt idx="6">
                  <c:v>16295.58</c:v>
                </c:pt>
                <c:pt idx="7">
                  <c:v>18009.599999999999</c:v>
                </c:pt>
                <c:pt idx="8">
                  <c:v>40274.600000000006</c:v>
                </c:pt>
              </c:numCache>
            </c:numRef>
          </c:val>
          <c:extLst>
            <c:ext xmlns:c16="http://schemas.microsoft.com/office/drawing/2014/chart" uri="{C3380CC4-5D6E-409C-BE32-E72D297353CC}">
              <c16:uniqueId val="{0000000B-AEC5-4F2A-B3AA-32B316716F8B}"/>
            </c:ext>
          </c:extLst>
        </c:ser>
        <c:dLbls>
          <c:showLegendKey val="0"/>
          <c:showVal val="0"/>
          <c:showCatName val="0"/>
          <c:showSerName val="0"/>
          <c:showPercent val="0"/>
          <c:showBubbleSize val="0"/>
        </c:dLbls>
        <c:gapWidth val="150"/>
        <c:axId val="763146608"/>
        <c:axId val="1010745360"/>
      </c:barChart>
      <c:catAx>
        <c:axId val="763146608"/>
        <c:scaling>
          <c:orientation val="minMax"/>
        </c:scaling>
        <c:delete val="0"/>
        <c:axPos val="b"/>
        <c:numFmt formatCode="General" sourceLinked="1"/>
        <c:majorTickMark val="none"/>
        <c:minorTickMark val="none"/>
        <c:tickLblPos val="nextTo"/>
        <c:spPr>
          <a:noFill/>
          <a:ln w="9525" cap="flat" cmpd="sng" algn="ctr">
            <a:solidFill>
              <a:schemeClr val="accent1">
                <a:lumMod val="20000"/>
                <a:lumOff val="80000"/>
              </a:schemeClr>
            </a:solidFill>
            <a:round/>
          </a:ln>
          <a:effectLst/>
        </c:spPr>
        <c:txPr>
          <a:bodyPr rot="-60000000" spcFirstLastPara="1" vertOverflow="ellipsis" vert="horz" wrap="square" anchor="ctr" anchorCtr="1"/>
          <a:lstStyle/>
          <a:p>
            <a:pPr>
              <a:defRPr sz="81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crossAx val="1010745360"/>
        <c:crosses val="autoZero"/>
        <c:auto val="1"/>
        <c:lblAlgn val="ctr"/>
        <c:lblOffset val="100"/>
        <c:noMultiLvlLbl val="0"/>
      </c:catAx>
      <c:valAx>
        <c:axId val="1010745360"/>
        <c:scaling>
          <c:orientation val="minMax"/>
        </c:scaling>
        <c:delete val="0"/>
        <c:axPos val="l"/>
        <c:majorGridlines>
          <c:spPr>
            <a:ln w="9525" cap="flat" cmpd="sng" algn="ctr">
              <a:noFill/>
              <a:round/>
            </a:ln>
            <a:effectLst/>
          </c:spPr>
        </c:majorGridlines>
        <c:numFmt formatCode="_(&quot;£&quot;* #,##0.00_);_(&quot;£&quot;* \(#,##0.00\);_(&quot;£&quot;* &quot;-&quot;??_);_(@_)"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crossAx val="763146608"/>
        <c:crosses val="autoZero"/>
        <c:crossBetween val="between"/>
      </c:valAx>
      <c:spPr>
        <a:noFill/>
        <a:ln>
          <a:noFill/>
        </a:ln>
        <a:effectLst/>
      </c:spPr>
    </c:plotArea>
    <c:legend>
      <c:legendPos val="r"/>
      <c:layout>
        <c:manualLayout>
          <c:xMode val="edge"/>
          <c:yMode val="edge"/>
          <c:x val="0.89139179404666136"/>
          <c:y val="6.789504412342158E-2"/>
          <c:w val="9.7222222222222224E-2"/>
          <c:h val="0.481214614382678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j-lt"/>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accent1"/>
          </a:solidFill>
          <a:latin typeface="+mj-lt"/>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Projected Cash Flow Distribution</cx:v>
        </cx:txData>
      </cx:tx>
      <cx:txPr>
        <a:bodyPr spcFirstLastPara="1" vertOverflow="ellipsis" horzOverflow="overflow" wrap="square" lIns="0" tIns="0" rIns="0" bIns="0" anchor="ctr" anchorCtr="1"/>
        <a:lstStyle/>
        <a:p>
          <a:pPr algn="ctr" rtl="0">
            <a:defRPr>
              <a:solidFill>
                <a:schemeClr val="accent1"/>
              </a:solidFill>
              <a:latin typeface="+mj-lt"/>
              <a:ea typeface="Calibri" panose="020F0502020204030204" pitchFamily="34" charset="0"/>
              <a:cs typeface="Calibri" panose="020F0502020204030204" pitchFamily="34" charset="0"/>
            </a:defRPr>
          </a:pPr>
          <a:r>
            <a:rPr lang="en-US" sz="1400" b="0" i="0" u="none" strike="noStrike" baseline="0">
              <a:solidFill>
                <a:schemeClr val="accent1"/>
              </a:solidFill>
              <a:latin typeface="+mj-lt"/>
              <a:ea typeface="Calibri" panose="020F0502020204030204" pitchFamily="34" charset="0"/>
              <a:cs typeface="Calibri" panose="020F0502020204030204" pitchFamily="34" charset="0"/>
            </a:rPr>
            <a:t>Projected Cash Flow Distribution</a:t>
          </a:r>
        </a:p>
      </cx:txPr>
    </cx:title>
    <cx:plotArea>
      <cx:plotAreaRegion>
        <cx:series layoutId="clusteredColumn" uniqueId="{E8EAE7E5-6ECE-4C24-8DDB-B71A9ABCB6D8}">
          <cx:tx>
            <cx:txData>
              <cx:f>_xlchart.v1.1</cx:f>
              <cx:v/>
            </cx:txData>
          </cx:tx>
          <cx:dataId val="0"/>
          <cx:layoutPr>
            <cx:binning intervalClosed="r">
              <cx:binCount val="35"/>
            </cx:binning>
          </cx:layoutPr>
        </cx:series>
      </cx:plotAreaRegion>
      <cx:axis id="0" hidden="1">
        <cx:catScaling gapWidth="0"/>
        <cx:tickLabels/>
        <cx:txPr>
          <a:bodyPr vertOverflow="overflow" horzOverflow="overflow" wrap="square" lIns="0" tIns="0" rIns="0" bIns="0"/>
          <a:lstStyle/>
          <a:p>
            <a:pPr algn="ctr" rtl="0">
              <a:defRPr sz="900" b="0" i="0">
                <a:solidFill>
                  <a:schemeClr val="accent1"/>
                </a:solidFill>
                <a:latin typeface="+mj-lt"/>
                <a:ea typeface="Aptos Narrow" panose="020B0004020202020204" pitchFamily="34" charset="0"/>
                <a:cs typeface="Aptos Narrow" panose="020B0004020202020204" pitchFamily="34" charset="0"/>
              </a:defRPr>
            </a:pPr>
            <a:endParaRPr lang="en-AU">
              <a:solidFill>
                <a:schemeClr val="accent1"/>
              </a:solidFill>
              <a:latin typeface="+mj-lt"/>
            </a:endParaRPr>
          </a:p>
        </cx:txPr>
      </cx:axis>
      <cx:axis id="1">
        <cx:valScaling max="200"/>
        <cx:majorGridlines>
          <cx:spPr>
            <a:ln>
              <a:noFill/>
            </a:ln>
          </cx:spPr>
        </cx:majorGridlines>
        <cx:tickLabels/>
        <cx: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x:spPr>
        <cx:txPr>
          <a:bodyPr vertOverflow="overflow" horzOverflow="overflow" wrap="square" lIns="0" tIns="0" rIns="0" bIns="0"/>
          <a:lstStyle/>
          <a:p>
            <a:pPr algn="ctr" rtl="0">
              <a:defRPr sz="900" b="0" i="0">
                <a:solidFill>
                  <a:schemeClr val="accent1"/>
                </a:solidFill>
                <a:latin typeface="+mj-lt"/>
                <a:ea typeface="Aptos Narrow" panose="020B0004020202020204" pitchFamily="34" charset="0"/>
                <a:cs typeface="Aptos Narrow" panose="020B0004020202020204" pitchFamily="34" charset="0"/>
              </a:defRPr>
            </a:pPr>
            <a:endParaRPr lang="en-AU">
              <a:solidFill>
                <a:schemeClr val="accent1"/>
              </a:solidFill>
              <a:latin typeface="+mj-lt"/>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Projected Cash Flow Distribution</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400" b="1" i="0" u="none" strike="noStrike" baseline="0">
              <a:solidFill>
                <a:sysClr val="windowText" lastClr="000000">
                  <a:lumMod val="65000"/>
                  <a:lumOff val="35000"/>
                </a:sysClr>
              </a:solidFill>
              <a:latin typeface="Calibri" panose="020F0502020204030204" pitchFamily="34" charset="0"/>
              <a:ea typeface="Calibri" panose="020F0502020204030204" pitchFamily="34" charset="0"/>
              <a:cs typeface="Calibri" panose="020F0502020204030204" pitchFamily="34" charset="0"/>
            </a:rPr>
            <a:t>Projected Cash Flow Distribution</a:t>
          </a:r>
        </a:p>
      </cx:txPr>
    </cx:title>
    <cx:plotArea>
      <cx:plotAreaRegion>
        <cx:series layoutId="clusteredColumn" uniqueId="{E8EAE7E5-6ECE-4C24-8DDB-B71A9ABCB6D8}">
          <cx:tx>
            <cx:txData>
              <cx:f>_xlchart.v1.4</cx:f>
              <cx:v/>
            </cx:txData>
          </cx:tx>
          <cx:dataId val="0"/>
          <cx:layoutPr>
            <cx:binning intervalClosed="r">
              <cx:binCount val="35"/>
            </cx:binning>
          </cx:layoutPr>
        </cx:series>
      </cx:plotAreaRegion>
      <cx:axis id="0">
        <cx:catScaling gapWidth="0"/>
        <cx:tickLabels/>
      </cx:axis>
      <cx:axis id="1">
        <cx:valScaling max="200"/>
        <cx:majorGridlines/>
        <cx:tickLabels/>
      </cx:axis>
    </cx:plotArea>
  </cx:chart>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microsoft.com/office/2014/relationships/chartEx" Target="../charts/chartEx1.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sv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3.xml"/><Relationship Id="rId9"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10</xdr:col>
      <xdr:colOff>38100</xdr:colOff>
      <xdr:row>24</xdr:row>
      <xdr:rowOff>53340</xdr:rowOff>
    </xdr:from>
    <xdr:to>
      <xdr:col>16</xdr:col>
      <xdr:colOff>0</xdr:colOff>
      <xdr:row>45</xdr:row>
      <xdr:rowOff>7620</xdr:rowOff>
    </xdr:to>
    <xdr:graphicFrame macro="">
      <xdr:nvGraphicFramePr>
        <xdr:cNvPr id="2" name="SalesbyRegion">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xdr:colOff>
      <xdr:row>24</xdr:row>
      <xdr:rowOff>53340</xdr:rowOff>
    </xdr:from>
    <xdr:to>
      <xdr:col>10</xdr:col>
      <xdr:colOff>15240</xdr:colOff>
      <xdr:row>45</xdr:row>
      <xdr:rowOff>7620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403860</xdr:colOff>
      <xdr:row>5</xdr:row>
      <xdr:rowOff>0</xdr:rowOff>
    </xdr:from>
    <xdr:to>
      <xdr:col>18</xdr:col>
      <xdr:colOff>594360</xdr:colOff>
      <xdr:row>24</xdr:row>
      <xdr:rowOff>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0858500" y="944880"/>
              <a:ext cx="3200400" cy="34823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30480</xdr:colOff>
      <xdr:row>7</xdr:row>
      <xdr:rowOff>60960</xdr:rowOff>
    </xdr:from>
    <xdr:to>
      <xdr:col>14</xdr:col>
      <xdr:colOff>449580</xdr:colOff>
      <xdr:row>24</xdr:row>
      <xdr:rowOff>0</xdr:rowOff>
    </xdr:to>
    <xdr:graphicFrame macro="">
      <xdr:nvGraphicFramePr>
        <xdr:cNvPr id="5" name="SalesbyMonth&amp;Year">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15240</xdr:colOff>
      <xdr:row>24</xdr:row>
      <xdr:rowOff>53340</xdr:rowOff>
    </xdr:from>
    <xdr:to>
      <xdr:col>18</xdr:col>
      <xdr:colOff>601980</xdr:colOff>
      <xdr:row>45</xdr:row>
      <xdr:rowOff>7620</xdr:rowOff>
    </xdr:to>
    <mc:AlternateContent xmlns:mc="http://schemas.openxmlformats.org/markup-compatibility/2006" xmlns:a14="http://schemas.microsoft.com/office/drawing/2010/main">
      <mc:Choice Requires="a14">
        <xdr:graphicFrame macro="">
          <xdr:nvGraphicFramePr>
            <xdr:cNvPr id="6" name="Town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Town 1"/>
            </a:graphicData>
          </a:graphic>
        </xdr:graphicFrame>
      </mc:Choice>
      <mc:Fallback xmlns="">
        <xdr:sp macro="" textlink="">
          <xdr:nvSpPr>
            <xdr:cNvPr id="0" name=""/>
            <xdr:cNvSpPr>
              <a:spLocks noTextEdit="1"/>
            </xdr:cNvSpPr>
          </xdr:nvSpPr>
          <xdr:spPr>
            <a:xfrm>
              <a:off x="11696700" y="4480560"/>
              <a:ext cx="2369820" cy="379476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259080</xdr:colOff>
      <xdr:row>6</xdr:row>
      <xdr:rowOff>106680</xdr:rowOff>
    </xdr:from>
    <xdr:to>
      <xdr:col>1</xdr:col>
      <xdr:colOff>609600</xdr:colOff>
      <xdr:row>8</xdr:row>
      <xdr:rowOff>83820</xdr:rowOff>
    </xdr:to>
    <xdr:pic>
      <xdr:nvPicPr>
        <xdr:cNvPr id="8" name="Graphic 7" descr="Delivery outlin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60220" y="1272540"/>
          <a:ext cx="350520" cy="350520"/>
        </a:xfrm>
        <a:prstGeom prst="rect">
          <a:avLst/>
        </a:prstGeom>
      </xdr:spPr>
    </xdr:pic>
    <xdr:clientData/>
  </xdr:twoCellAnchor>
  <xdr:twoCellAnchor editAs="oneCell">
    <xdr:from>
      <xdr:col>1</xdr:col>
      <xdr:colOff>160020</xdr:colOff>
      <xdr:row>11</xdr:row>
      <xdr:rowOff>83820</xdr:rowOff>
    </xdr:from>
    <xdr:to>
      <xdr:col>1</xdr:col>
      <xdr:colOff>480060</xdr:colOff>
      <xdr:row>13</xdr:row>
      <xdr:rowOff>38100</xdr:rowOff>
    </xdr:to>
    <xdr:pic>
      <xdr:nvPicPr>
        <xdr:cNvPr id="9" name="Graphic 8" descr="Loan outline">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61160" y="2171700"/>
          <a:ext cx="320040" cy="320040"/>
        </a:xfrm>
        <a:prstGeom prst="rect">
          <a:avLst/>
        </a:prstGeom>
      </xdr:spPr>
    </xdr:pic>
    <xdr:clientData/>
  </xdr:twoCellAnchor>
  <xdr:twoCellAnchor editAs="oneCell">
    <xdr:from>
      <xdr:col>1</xdr:col>
      <xdr:colOff>342900</xdr:colOff>
      <xdr:row>19</xdr:row>
      <xdr:rowOff>76200</xdr:rowOff>
    </xdr:from>
    <xdr:to>
      <xdr:col>1</xdr:col>
      <xdr:colOff>662940</xdr:colOff>
      <xdr:row>21</xdr:row>
      <xdr:rowOff>30480</xdr:rowOff>
    </xdr:to>
    <xdr:pic>
      <xdr:nvPicPr>
        <xdr:cNvPr id="10" name="Graphic 9" descr="Treasure chest outline">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844040" y="3627120"/>
          <a:ext cx="320040" cy="32004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76200</xdr:colOff>
          <xdr:row>5</xdr:row>
          <xdr:rowOff>38100</xdr:rowOff>
        </xdr:from>
        <xdr:to>
          <xdr:col>4</xdr:col>
          <xdr:colOff>899160</xdr:colOff>
          <xdr:row>7</xdr:row>
          <xdr:rowOff>15240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80"/>
                  </a:solidFill>
                  <a:latin typeface="Aptos Narrow"/>
                </a:rPr>
                <a:t>Go to Cash Flow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5</xdr:row>
          <xdr:rowOff>30480</xdr:rowOff>
        </xdr:from>
        <xdr:to>
          <xdr:col>8</xdr:col>
          <xdr:colOff>76200</xdr:colOff>
          <xdr:row>7</xdr:row>
          <xdr:rowOff>7620</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80"/>
                  </a:solidFill>
                  <a:latin typeface="Aptos Narrow"/>
                </a:rPr>
                <a:t>Go to Monthly and Yearly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137160</xdr:colOff>
          <xdr:row>5</xdr:row>
          <xdr:rowOff>22860</xdr:rowOff>
        </xdr:from>
        <xdr:to>
          <xdr:col>11</xdr:col>
          <xdr:colOff>220980</xdr:colOff>
          <xdr:row>7</xdr:row>
          <xdr:rowOff>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80"/>
                  </a:solidFill>
                  <a:latin typeface="Aptos Narrow"/>
                </a:rPr>
                <a:t>Go to Regional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5</xdr:row>
          <xdr:rowOff>15240</xdr:rowOff>
        </xdr:from>
        <xdr:to>
          <xdr:col>14</xdr:col>
          <xdr:colOff>289560</xdr:colOff>
          <xdr:row>6</xdr:row>
          <xdr:rowOff>167640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80"/>
                  </a:solidFill>
                  <a:latin typeface="Aptos Narrow"/>
                </a:rPr>
                <a:t>Go to Monte Carlo Simulation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220980</xdr:colOff>
          <xdr:row>0</xdr:row>
          <xdr:rowOff>68580</xdr:rowOff>
        </xdr:from>
        <xdr:to>
          <xdr:col>13</xdr:col>
          <xdr:colOff>15240</xdr:colOff>
          <xdr:row>2</xdr:row>
          <xdr:rowOff>167640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Click to update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152400</xdr:colOff>
      <xdr:row>11</xdr:row>
      <xdr:rowOff>53340</xdr:rowOff>
    </xdr:from>
    <xdr:to>
      <xdr:col>11</xdr:col>
      <xdr:colOff>746760</xdr:colOff>
      <xdr:row>35</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091940" y="2087880"/>
              <a:ext cx="8694420" cy="43586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a Arif Raza" refreshedDate="45366.595977777775" createdVersion="8" refreshedVersion="8" minRefreshableVersion="3" recordCount="4952" xr:uid="{D5877D28-0A05-4A98-8719-C2A1981C49CD}">
  <cacheSource type="worksheet">
    <worksheetSource name="OrganizedData"/>
  </cacheSource>
  <cacheFields count="17">
    <cacheField name="ID" numFmtId="0">
      <sharedItems containsSemiMixedTypes="0" containsString="0" containsNumber="1" containsInteger="1" minValue="1" maxValue="4952"/>
    </cacheField>
    <cacheField name="First Name" numFmtId="0">
      <sharedItems count="2807">
        <s v="Gabriele"/>
        <s v="Dann"/>
        <s v="Cameron"/>
        <s v="Barry"/>
        <s v="Tammi"/>
        <s v="Benito"/>
        <s v="Francene"/>
        <s v="Gaynelle"/>
        <s v="Earlie"/>
        <s v="Omer"/>
        <s v="Bertie"/>
        <s v="Daron"/>
        <s v="Cecil"/>
        <s v="Erik"/>
        <s v="Cleo"/>
        <s v="Bernard"/>
        <s v="Felix"/>
        <s v="Marcelino"/>
        <s v="Janice"/>
        <s v="Jody"/>
        <s v="Sam"/>
        <s v="Anderson"/>
        <s v="Kyle"/>
        <s v="Erma"/>
        <s v="Oleta"/>
        <s v="Cinda"/>
        <s v="Enrique"/>
        <s v="Domingo"/>
        <s v="Brandee"/>
        <s v="Daysi"/>
        <s v="Shanel"/>
        <s v="Nicky"/>
        <s v="Sammy"/>
        <s v="Lewis"/>
        <s v="Fran"/>
        <s v="Hoyt"/>
        <s v="Arleen"/>
        <s v="Fredric"/>
        <s v="Terrance"/>
        <s v="Emile"/>
        <s v="Harold"/>
        <s v="Otto"/>
        <s v="Hyman"/>
        <s v="Cody"/>
        <s v="Nakia"/>
        <s v="Danica"/>
        <s v="Kenneth"/>
        <s v="Jason"/>
        <s v="Ailene"/>
        <s v="Odell"/>
        <s v="Ray"/>
        <s v="Mee"/>
        <s v="Martin"/>
        <s v="Mika"/>
        <s v="Faye"/>
        <s v="Emmy"/>
        <s v="Shara"/>
        <s v="Kirk"/>
        <s v="Tammie"/>
        <s v="Dale"/>
        <s v="Temeka"/>
        <s v="Willodean"/>
        <s v="Ivonne"/>
        <s v="Melodi"/>
        <s v="Waylon"/>
        <s v="Annett"/>
        <s v="Azucena"/>
        <s v="Miles"/>
        <s v="Trinidad"/>
        <s v="Adolph"/>
        <s v="Dagmar"/>
        <s v="Waltraud"/>
        <s v="Ashley"/>
        <s v="Leslie"/>
        <s v="Royal"/>
        <s v="Boyce"/>
        <s v="Myung"/>
        <s v="Lovetta"/>
        <s v="Zenia"/>
        <s v="Mason"/>
        <s v="Rubye"/>
        <s v="Cherish"/>
        <s v="Kirby"/>
        <s v="Tama"/>
        <s v="Afton"/>
        <s v="Jodie"/>
        <s v="Jodee"/>
        <s v="Karrie"/>
        <s v="Neal"/>
        <s v="Micah"/>
        <s v="Carley"/>
        <s v="Alexandria"/>
        <s v="Barbara"/>
        <s v="Karie"/>
        <s v="Alfredo"/>
        <s v="Tatyana"/>
        <s v="Lekisha"/>
        <s v="Melani"/>
        <s v="Jenae"/>
        <s v="Raphael"/>
        <s v="Garry"/>
        <s v="Leilani"/>
        <s v="Francisco"/>
        <s v="Jackie"/>
        <s v="James"/>
        <s v="Kevin"/>
        <s v="Gay"/>
        <s v="Adam"/>
        <s v="Maynard"/>
        <s v="Kerry"/>
        <s v="Adriane"/>
        <s v="Carita"/>
        <s v="Noemi"/>
        <s v="Rickey"/>
        <s v="Gillian"/>
        <s v="Darrell"/>
        <s v="Apryl"/>
        <s v="Romelia"/>
        <s v="Natisha"/>
        <s v="Frances"/>
        <s v="Len"/>
        <s v="Dorene"/>
        <s v="Bernie"/>
        <s v="Sydney"/>
        <s v="Treena"/>
        <s v="Gil"/>
        <s v="Drew"/>
        <s v="Eliana"/>
        <s v="Tracy"/>
        <s v="Wilfred"/>
        <s v="Cyrus"/>
        <s v="Avelina"/>
        <s v="Criselda"/>
        <s v="France"/>
        <s v="Joey"/>
        <s v="Sol"/>
        <s v="Bob"/>
        <s v="Isabella"/>
        <s v="Bobbye"/>
        <s v="Loretta"/>
        <s v="Courtney"/>
        <s v="Quentin"/>
        <s v="Valerie"/>
        <s v="Barton"/>
        <s v="Lynell"/>
        <s v="Rudolf"/>
        <s v="Alesia"/>
        <s v="Wes"/>
        <s v="Lynette"/>
        <s v="Neil"/>
        <s v="Maria"/>
        <s v="Gaston"/>
        <s v="Sharda"/>
        <s v="Ronald"/>
        <s v="Vennie"/>
        <s v="Art"/>
        <s v="Tyra"/>
        <s v="Trevor"/>
        <s v="Fernando"/>
        <s v="Devon"/>
        <s v="Odette"/>
        <s v="Moshe"/>
        <s v="Noe"/>
        <s v="Keenan"/>
        <s v="Joshua"/>
        <s v="Bradly"/>
        <s v="Mandy"/>
        <s v="Jerrell"/>
        <s v="Cary"/>
        <s v="Aurelio"/>
        <s v="Cole"/>
        <s v="Rubi"/>
        <s v="Mitzi"/>
        <s v="Sean"/>
        <s v="Sherell"/>
        <s v="Rusty"/>
        <s v="Thad"/>
        <s v="Nora"/>
        <s v="Julian"/>
        <s v="Calvin"/>
        <s v="Paulette"/>
        <s v="Roselee"/>
        <s v="Elenora"/>
        <s v="Thurman"/>
        <s v="Eric"/>
        <s v="Damian"/>
        <s v="Arturo"/>
        <s v="Hillary"/>
        <s v="Demetrius"/>
        <s v="Del"/>
        <s v="Johnnie"/>
        <s v="Clair"/>
        <s v="Burt"/>
        <s v="Gloria"/>
        <s v="Trenton"/>
        <s v="Madonna"/>
        <s v="Kena"/>
        <s v="Lottie"/>
        <s v="Kimberli"/>
        <s v="Desmond"/>
        <s v="Otis"/>
        <s v="Franklin"/>
        <s v="Austin"/>
        <s v="Man"/>
        <s v="Ron"/>
        <s v="Timmy"/>
        <s v="Stephnie"/>
        <s v="Hal"/>
        <s v="Pasquale"/>
        <s v="Willa"/>
        <s v="Jorge"/>
        <s v="Olene"/>
        <s v="Bryan"/>
        <s v="Dudley"/>
        <s v="Dwain"/>
        <s v="Irena"/>
        <s v="Diego"/>
        <s v="Sheldon"/>
        <s v="Linnea"/>
        <s v="Vi"/>
        <s v="Reggie"/>
        <s v="Willian"/>
        <s v="Otha"/>
        <s v="Renata"/>
        <s v="Bud"/>
        <s v="Claud"/>
        <s v="Richie"/>
        <s v="Robt"/>
        <s v="Mitch"/>
        <s v="Benny"/>
        <s v="Miguelina"/>
        <s v="Sterling"/>
        <s v="Liberty"/>
        <s v="Chong"/>
        <s v="Ester"/>
        <s v="German"/>
        <s v="Arnoldo"/>
        <s v="Buck"/>
        <s v="Cesar"/>
        <s v="Corinne"/>
        <s v="Bo"/>
        <s v="Lyman"/>
        <s v="Michele"/>
        <s v="Chasity"/>
        <s v="Nicolette"/>
        <s v="Fabian"/>
        <s v="Marylynn"/>
        <s v="Vernia"/>
        <s v="Aurelia"/>
        <s v="Jarrod"/>
        <s v="Debora"/>
        <s v="Shirleen"/>
        <s v="Jayna"/>
        <s v="Lakiesha"/>
        <s v="Marilu"/>
        <s v="Teisha"/>
        <s v="Joanie"/>
        <s v="Kennith"/>
        <s v="Claudine"/>
        <s v="Hong"/>
        <s v="Hung"/>
        <s v="Tajuana"/>
        <s v="Walker"/>
        <s v="Dane"/>
        <s v="Meri"/>
        <s v="Mary"/>
        <s v="Frederick"/>
        <s v="Carolee"/>
        <s v="Palmira"/>
        <s v="Katia"/>
        <s v="Fred"/>
        <s v="Magaly"/>
        <s v="Matthew"/>
        <s v="Elana"/>
        <s v="Lean"/>
        <s v="Brice"/>
        <s v="Katrina"/>
        <s v="Reiko"/>
        <s v="Laurinda"/>
        <s v="Danny"/>
        <s v="Johnson"/>
        <s v="Shanita"/>
        <s v="Gerald"/>
        <s v="Kyla"/>
        <s v="Thaddeus"/>
        <s v="Forrest"/>
        <s v="Valencia"/>
        <s v="Scott"/>
        <s v="Ernest"/>
        <s v="Oren"/>
        <s v="Virgil"/>
        <s v="Danita"/>
        <s v="Olin"/>
        <s v="Clayton"/>
        <s v="Rene"/>
        <s v="Julissa"/>
        <s v="Coral"/>
        <s v="Harrison"/>
        <s v="Lesley"/>
        <s v="Renetta"/>
        <s v="Wyatt"/>
        <s v="Myrta"/>
        <s v="Dion"/>
        <s v="Tarra"/>
        <s v="Alyce"/>
        <s v="Vallie"/>
        <s v="Dimple"/>
        <s v="Alexander"/>
        <s v="Brent"/>
        <s v="Jaye"/>
        <s v="Rubin"/>
        <s v="Willy"/>
        <s v="Tyree"/>
        <s v="Catina"/>
        <s v="Olivia"/>
        <s v="Brock"/>
        <s v="Keith"/>
        <s v="Keven"/>
        <s v="Joyce"/>
        <s v="Dulcie"/>
        <s v="Edison"/>
        <s v="Karima"/>
        <s v="Mimi"/>
        <s v="Palmer"/>
        <s v="Jadwiga"/>
        <s v="Alonzo"/>
        <s v="Dong"/>
        <s v="Dave"/>
        <s v="Lenny"/>
        <s v="Jean"/>
        <s v="Eugenie"/>
        <s v="Santos"/>
        <s v="Nella"/>
        <s v="Janelle"/>
        <s v="Dante"/>
        <s v="Connie"/>
        <s v="Taylor"/>
        <s v="Abel"/>
        <s v="Angelia"/>
        <s v="Vita"/>
        <s v="Graig"/>
        <s v="Nicole"/>
        <s v="Salvatore"/>
        <s v="Annabel"/>
        <s v="Kip"/>
        <s v="Ellena"/>
        <s v="Jada"/>
        <s v="Dannie"/>
        <s v="Santo"/>
        <s v="Teddy"/>
        <s v="Sherman"/>
        <s v="Bebe"/>
        <s v="Remona"/>
        <s v="Summer"/>
        <s v="Bunny"/>
        <s v="Una"/>
        <s v="Jonelle"/>
        <s v="Isaias"/>
        <s v="Ernie"/>
        <s v="Jarrett"/>
        <s v="Ivelisse"/>
        <s v="Domenic"/>
        <s v="Molly"/>
        <s v="Peg"/>
        <s v="Yuk"/>
        <s v="Julieta"/>
        <s v="Ranae"/>
        <s v="Diedre"/>
        <s v="Yahaira"/>
        <s v="Astrid"/>
        <s v="Phyliss"/>
        <s v="Minh"/>
        <s v="Pablo"/>
        <s v="Margurite"/>
        <s v="Drucilla"/>
        <s v="Toby"/>
        <s v="Charita"/>
        <s v="Nathaniel"/>
        <s v="Shiela"/>
        <s v="Latonia"/>
        <s v="Sophie"/>
        <s v="Chris"/>
        <s v="Maira"/>
        <s v="Yong"/>
        <s v="Brendan"/>
        <s v="Wilburn"/>
        <s v="Elijah"/>
        <s v="Jesusita"/>
        <s v="Roger"/>
        <s v="Eleonore"/>
        <s v="Warner"/>
        <s v="Edward"/>
        <s v="Terrell"/>
        <s v="Shalanda"/>
        <s v="Alleen"/>
        <s v="Gena"/>
        <s v="Xuan"/>
        <s v="Maurice"/>
        <s v="Lorenza"/>
        <s v="Athena"/>
        <s v="Wallace"/>
        <s v="Cherryl"/>
        <s v="Norman"/>
        <s v="Virgina"/>
        <s v="Byron"/>
        <s v="Adalberto"/>
        <s v="Katheleen"/>
        <s v="Muoi"/>
        <s v="Dirk"/>
        <s v="Nakita"/>
        <s v="Kayleigh"/>
        <s v="Lashay"/>
        <s v="Lona"/>
        <s v="Tammara"/>
        <s v="Verdell"/>
        <s v="Fatima"/>
        <s v="Carmelo"/>
        <s v="Madalene"/>
        <s v="Michelina"/>
        <s v="Cristie"/>
        <s v="Craig"/>
        <s v="Jimmie"/>
        <s v="Danilo"/>
        <s v="Refugio"/>
        <s v="Numbers"/>
        <s v="Raymundo"/>
        <s v="William"/>
        <s v="Yael"/>
        <s v="Faustino"/>
        <s v="Cleveland"/>
        <s v="Wiley"/>
        <s v="Chadwick"/>
        <s v="Eladia"/>
        <s v="Lorilee"/>
        <s v="Nickolas"/>
        <s v="Darryl"/>
        <s v="Perry"/>
        <s v="Eunice"/>
        <s v="Russ"/>
        <s v="Sue"/>
        <s v="Jed"/>
        <s v="Gale"/>
        <s v="Ruben"/>
        <s v="Delsie"/>
        <s v="Alexis"/>
        <s v="Patricia"/>
        <s v="Lazaro"/>
        <s v="Dakota"/>
        <s v="Vince"/>
        <s v="Lexie"/>
        <s v="January"/>
        <s v="Carey"/>
        <s v="Lanny"/>
        <s v="Delores"/>
        <s v="Keila"/>
        <s v="Katy"/>
        <s v="Carly"/>
        <s v="Arletta"/>
        <s v="Angeline"/>
        <s v="Osvaldo"/>
        <s v="Trinity"/>
        <s v="Natasha"/>
        <s v="Myrna"/>
        <s v="Ima"/>
        <s v="Aaron"/>
        <s v="Tricia"/>
        <s v="Elin"/>
        <s v="Lilli"/>
        <s v="Harley"/>
        <s v="Kathe"/>
        <s v="Madeleine"/>
        <s v="Moses"/>
        <s v="Arlyne"/>
        <s v="Nu"/>
        <s v="Latrina"/>
        <s v="Chara"/>
        <s v="Ayako"/>
        <s v="Dreama"/>
        <s v="Leighann"/>
        <s v="Neville"/>
        <s v="Elsy"/>
        <s v="Zada"/>
        <s v="Donald"/>
        <s v="Iva"/>
        <s v="Darren"/>
        <s v="Charlie"/>
        <s v="Leisha"/>
        <s v="Orval"/>
        <s v="Octavia"/>
        <s v="Annelle"/>
        <s v="Sammie"/>
        <s v="Amber"/>
        <s v="Mario"/>
        <s v="Alishia"/>
        <s v="Maggie"/>
        <s v="Noble"/>
        <s v="Angel"/>
        <s v="Jon"/>
        <s v="Margot"/>
        <s v="Wen"/>
        <s v="Keneth"/>
        <s v="Tanna"/>
        <s v="Fredia"/>
        <s v="Reuben"/>
        <s v="Dallas"/>
        <s v="Jennifer"/>
        <s v="Harland"/>
        <s v="Ira"/>
        <s v="Fumiko"/>
        <s v="Homer"/>
        <s v="Bruno"/>
        <s v="Na"/>
        <s v="Pat"/>
        <s v="Kraig"/>
        <s v="Wilda"/>
        <s v="Olen"/>
        <s v="Columbus"/>
        <s v="Inocencia"/>
        <s v="Vicente"/>
        <s v="Nelda"/>
        <s v="Laureen"/>
        <s v="Landon"/>
        <s v="Ronnie"/>
        <s v="Leonardo"/>
        <s v="Lizabeth"/>
        <s v="Eldon"/>
        <s v="Sade"/>
        <s v="Rosena"/>
        <s v="Cecilia"/>
        <s v="Rob"/>
        <s v="Francie"/>
        <s v="Adelaida"/>
        <s v="Masako"/>
        <s v="Brande"/>
        <s v="Darron"/>
        <s v="Onita"/>
        <s v="Hayden"/>
        <s v="Elliott"/>
        <s v="Jake"/>
        <s v="Bethanie"/>
        <s v="Merry"/>
        <s v="Rodney"/>
        <s v="Lamar"/>
        <s v="Myron"/>
        <s v="Kathie"/>
        <s v="Maude"/>
        <s v="Bong"/>
        <s v="Jordon"/>
        <s v="Sina"/>
        <s v="Carli"/>
        <s v="Christene"/>
        <s v="Theodore"/>
        <s v="Doyle"/>
        <s v="Chester"/>
        <s v="Ty"/>
        <s v="Jarred"/>
        <s v="Kristopher"/>
        <s v="Rolf"/>
        <s v="Trula"/>
        <s v="Deeanna"/>
        <s v="Melanie"/>
        <s v="Augustine"/>
        <s v="Fidel"/>
        <s v="Emery"/>
        <s v="Kayleen"/>
        <s v="Tony"/>
        <s v="Boris"/>
        <s v="Rosalyn"/>
        <s v="Rosario"/>
        <s v="Willie"/>
        <s v="Jacinto"/>
        <s v="Helga"/>
        <s v="Carmine"/>
        <s v="Henrietta"/>
        <s v="Leena"/>
        <s v="Violette"/>
        <s v="Meredith"/>
        <s v="Gilma"/>
        <s v="Brad"/>
        <s v="Iona"/>
        <s v="Lorenzo"/>
        <s v="Marsha"/>
        <s v="Erin"/>
        <s v="Reid"/>
        <s v="Herbert"/>
        <s v="Brittny"/>
        <s v="Celestine"/>
        <s v="Sheryll"/>
        <s v="Florentino"/>
        <s v="Rupert"/>
        <s v="Rufus"/>
        <s v="Jerlene"/>
        <s v="Jasmine"/>
        <s v="Avery"/>
        <s v="Donovan"/>
        <s v="Orlando"/>
        <s v="Hunter"/>
        <s v="Donnie"/>
        <s v="Milford"/>
        <s v="Renae"/>
        <s v="Dinah"/>
        <s v="Tyrone"/>
        <s v="Brian"/>
        <s v="Devin"/>
        <s v="Carolyn"/>
        <s v="Wilber"/>
        <s v="Leandra"/>
        <s v="Cathey"/>
        <s v="Renaldo"/>
        <s v="Carter"/>
        <s v="Dorothea"/>
        <s v="Angella"/>
        <s v="Shana"/>
        <s v="Niesha"/>
        <s v="Johana"/>
        <s v="Laurene"/>
        <s v="Vito"/>
        <s v="April"/>
        <s v="Allen"/>
        <s v="Gary"/>
        <s v="Debrah"/>
        <s v="Jeannette"/>
        <s v="Hermina"/>
        <s v="Bennie"/>
        <s v="Chance"/>
        <s v="Dylan"/>
        <s v="Junko"/>
        <s v="Theo"/>
        <s v="Dorian"/>
        <s v="Kenisha"/>
        <s v="Grover"/>
        <s v="Danial"/>
        <s v="Joesph"/>
        <s v="Berenice"/>
        <s v="Delma"/>
        <s v="Quinn"/>
        <s v="Rudy"/>
        <s v="Marry"/>
        <s v="Micki"/>
        <s v="Lashaun"/>
        <s v="Duane"/>
        <s v="Kristen"/>
        <s v="Jame"/>
        <s v="Alberto"/>
        <s v="Deandra"/>
        <s v="Alex"/>
        <s v="Octavio"/>
        <s v="Mable"/>
        <s v="Ferdinand"/>
        <s v="Vannessa"/>
        <s v="Andera"/>
        <s v="Maya"/>
        <s v="Marshall"/>
        <s v="Shaunna"/>
        <s v="Nathan"/>
        <s v="Irving"/>
        <s v="Sonja"/>
        <s v="Gail"/>
        <s v="Niki"/>
        <s v="Anitra"/>
        <s v="Penelope"/>
        <s v="Donnell"/>
        <s v="Lavern"/>
        <s v="Viki"/>
        <s v="Tyron"/>
        <s v="Sharron"/>
        <s v="Shaunte"/>
        <s v="Steven"/>
        <s v="Kerstin"/>
        <s v="Paulita"/>
        <s v="Cedric"/>
        <s v="Edgar"/>
        <s v="Alberta"/>
        <s v="Dorthea"/>
        <s v="Wilmer"/>
        <s v="Theron"/>
        <s v="Claire"/>
        <s v="Chery"/>
        <s v="Brigitte"/>
        <s v="Ivette"/>
        <s v="Marvel"/>
        <s v="Ramiro"/>
        <s v="Colton"/>
        <s v="Felice"/>
        <s v="Terese"/>
        <s v="Monty"/>
        <s v="Damion"/>
        <s v="Bernice"/>
        <s v="Ali"/>
        <s v="Vanessa"/>
        <s v="Rutha"/>
        <s v="Jessenia"/>
        <s v="Lilia"/>
        <s v="Tanya"/>
        <s v="Mellisa"/>
        <s v="Booker"/>
        <s v="Thanh"/>
        <s v="Shad"/>
        <s v="Levi"/>
        <s v="China"/>
        <s v="Jules"/>
        <s v="Tiffaney"/>
        <s v="Reda"/>
        <s v="Brendon"/>
        <s v="Ellie"/>
        <s v="Ursula"/>
        <s v="Patrick"/>
        <s v="Jonathon"/>
        <s v="Chung"/>
        <s v="Eugene"/>
        <s v="Mel"/>
        <s v="Lonnie"/>
        <s v="Ethan"/>
        <s v="Somer"/>
        <s v="Huey"/>
        <s v="Heide"/>
        <s v="Brooks"/>
        <s v="Cindi"/>
        <s v="Donella"/>
        <s v="Jenette"/>
        <s v="Tiana"/>
        <s v="Agnus"/>
        <s v="Eulah"/>
        <s v="Lesia"/>
        <s v="Leroy"/>
        <s v="Abe"/>
        <s v="Roseline"/>
        <s v="Bessie"/>
        <s v="Hester"/>
        <s v="Garland"/>
        <s v="Rocky"/>
        <s v="Christopher"/>
        <s v="Shawanda"/>
        <s v="Junior"/>
        <s v="Malcolm"/>
        <s v="Yu"/>
        <s v="Cassey"/>
        <s v="Kelley"/>
        <s v="Lenard"/>
        <s v="Seema"/>
        <s v="Chu"/>
        <s v="Harris"/>
        <s v="Vickie"/>
        <s v="Sonny"/>
        <s v="Shannon"/>
        <s v="Deedra"/>
        <s v="Shelton"/>
        <s v="Lakia"/>
        <s v="Zackary"/>
        <s v="Jere"/>
        <s v="Madie"/>
        <s v="Kymberly"/>
        <s v="Monica"/>
        <s v="Jamie"/>
        <s v="Delisa"/>
        <s v="Alfonzo"/>
        <s v="Makeda"/>
        <s v="Willis"/>
        <s v="Chang"/>
        <s v="Alesha"/>
        <s v="Aurora"/>
        <s v="Kenton"/>
        <s v="Mathew"/>
        <s v="Kaila"/>
        <s v="Jewell"/>
        <s v="Ava"/>
        <s v="Ora"/>
        <s v="Bambi"/>
        <s v="Lawanna"/>
        <s v="Gwenn"/>
        <s v="Kylee"/>
        <s v="Gertude"/>
        <s v="Kasi"/>
        <s v="Joe"/>
        <s v="Ilse"/>
        <s v="Branden"/>
        <s v="Wayne"/>
        <s v="Lilian"/>
        <s v="Tod"/>
        <s v="Concha"/>
        <s v="Michel"/>
        <s v="Rebbeca"/>
        <s v="Nigel"/>
        <s v="Lane"/>
        <s v="Janise"/>
        <s v="Gavin"/>
        <s v="Horacio"/>
        <s v="Letitia"/>
        <s v="Luba"/>
        <s v="Rosella"/>
        <s v="Irvin"/>
        <s v="Tory"/>
        <s v="Edwardo"/>
        <s v="Carroll"/>
        <s v="Roderick"/>
        <s v="Mindy"/>
        <s v="Elaina"/>
        <s v="Katelin"/>
        <s v="Logan"/>
        <s v="Catherin"/>
        <s v="Luther"/>
        <s v="Susannah"/>
        <s v="Yuko"/>
        <s v="Broderick"/>
        <s v="Edmundo"/>
        <s v="Mike"/>
        <s v="Alonso"/>
        <s v="Aubrey"/>
        <s v="Lucille"/>
        <s v="Alecia"/>
        <s v="Dawna"/>
        <s v="Cherri"/>
        <s v="Melvin"/>
        <s v="Benjamin"/>
        <s v="Terrence"/>
        <s v="Shandi"/>
        <s v="Rhoda"/>
        <s v="Andres"/>
        <s v="Zula"/>
        <s v="Aisha"/>
        <s v="Antonina"/>
        <s v="Rex"/>
        <s v="Hermila"/>
        <s v="Eddy"/>
        <s v="Titus"/>
        <s v="Raleigh"/>
        <s v="Gregory"/>
        <s v="David"/>
        <s v="Nobuko"/>
        <s v="Maryln"/>
        <s v="Goldie"/>
        <s v="Francisca"/>
        <s v="Brenna"/>
        <s v="Marjory"/>
        <s v="Jerrold"/>
        <s v="Earle"/>
        <s v="Earl"/>
        <s v="Val"/>
        <s v="Jacquiline"/>
        <s v="Isaiah"/>
        <s v="Lyndon"/>
        <s v="Alita"/>
        <s v="Madelaine"/>
        <s v="Katina"/>
        <s v="Loyd"/>
        <s v="Mercedez"/>
        <s v="Caleb"/>
        <s v="Rory"/>
        <s v="Anthony"/>
        <s v="Casey"/>
        <s v="Vance"/>
        <s v="Lasandra"/>
        <s v="Lemuel"/>
        <s v="Bok"/>
        <s v="Florentina"/>
        <s v="Genna"/>
        <s v="Mckinley"/>
        <s v="Shanae"/>
        <s v="Estelle"/>
        <s v="Jamel"/>
        <s v="Haydee"/>
        <s v="Elnora"/>
        <s v="Charline"/>
        <s v="Rolland"/>
        <s v="Janetta"/>
        <s v="Annamaria"/>
        <s v="Rudolph"/>
        <s v="Sarah"/>
        <s v="Jimmy"/>
        <s v="Jonathan"/>
        <s v="Alphonso"/>
        <s v="Yolanda"/>
        <s v="Noma"/>
        <s v="Merri"/>
        <s v="Blanch"/>
        <s v="Freeman"/>
        <s v="Guillermo"/>
        <s v="Paul"/>
        <s v="Valeri"/>
        <s v="Kanisha"/>
        <s v="Cyril"/>
        <s v="Chuck"/>
        <s v="Gerda"/>
        <s v="Belkis"/>
        <s v="Preston"/>
        <s v="Ted"/>
        <s v="Juliana"/>
        <s v="Rosanne"/>
        <s v="Parker"/>
        <s v="Jocelyn"/>
        <s v="Christian"/>
        <s v="Raguel"/>
        <s v="Jenifer"/>
        <s v="Enola"/>
        <s v="Tommie"/>
        <s v="Shayne"/>
        <s v="Jeff"/>
        <s v="Maximo"/>
        <s v="Joaquin"/>
        <s v="Cecelia"/>
        <s v="Marci"/>
        <s v="Herb"/>
        <s v="Lupe"/>
        <s v="Long"/>
        <s v="Johnsie"/>
        <s v="Ashleigh"/>
        <s v="Sung"/>
        <s v="Ara"/>
        <s v="Erwin"/>
        <s v="Antonio"/>
        <s v="Wendell"/>
        <s v="Sid"/>
        <s v="Larry"/>
        <s v="Peter"/>
        <s v="Frankie"/>
        <s v="Ellan"/>
        <s v="Nathanial"/>
        <s v="Esmeralda"/>
        <s v="Mark"/>
        <s v="Lela"/>
        <s v="Blythe"/>
        <s v="Kenda"/>
        <s v="Myles"/>
        <s v="Hobert"/>
        <s v="Lanell"/>
        <s v="Armand"/>
        <s v="Luciano"/>
        <s v="Rafael"/>
        <s v="Antonietta"/>
        <s v="Willette"/>
        <s v="Jefferson"/>
        <s v="Lorri"/>
        <s v="Teodoro"/>
        <s v="Araceli"/>
        <s v="Conchita"/>
        <s v="John"/>
        <s v="Dawn"/>
        <s v="Alva"/>
        <s v="Deedee"/>
        <s v="Stanford"/>
        <s v="Vonnie"/>
        <s v="Gene"/>
        <s v="Ricardo"/>
        <s v="Alfreda"/>
        <s v="Denita"/>
        <s v="Jenna"/>
        <s v="Roy"/>
        <s v="Roosevelt"/>
        <s v="Enriqueta"/>
        <s v="Carolin"/>
        <s v="Erasmo"/>
        <s v="Sheron"/>
        <s v="Zita"/>
        <s v="Felton"/>
        <s v="Albertha"/>
        <s v="Willow"/>
        <s v="Tina"/>
        <s v="Sana"/>
        <s v="Shavonne"/>
        <s v="Cherrie"/>
        <s v="Orpha"/>
        <s v="Akiko"/>
        <s v="Darell"/>
        <s v="Arlen"/>
        <s v="Emmett"/>
        <s v="Janyce"/>
        <s v="Albina"/>
        <s v="Elida"/>
        <s v="Bobbie"/>
        <s v="Bert"/>
        <s v="Thomasina"/>
        <s v="Min"/>
        <s v="Riva"/>
        <s v="Kimberlie"/>
        <s v="Sherril"/>
        <s v="Stanton"/>
        <s v="Retta"/>
        <s v="Dana"/>
        <s v="Eleanore"/>
        <s v="Justin"/>
        <s v="Ulrike"/>
        <s v="Klara"/>
        <s v="Selene"/>
        <s v="Gilberto"/>
        <s v="Christiane"/>
        <s v="Tova"/>
        <s v="Helaine"/>
        <s v="Nicolas"/>
        <s v="Carlos"/>
        <s v="Yasuko"/>
        <s v="Margarita"/>
        <s v="Joseph"/>
        <s v="Rick"/>
        <s v="Isis"/>
        <s v="Belia"/>
        <s v="Luella"/>
        <s v="Hiroko"/>
        <s v="Vonda"/>
        <s v="Hiram"/>
        <s v="Petrina"/>
        <s v="Gino"/>
        <s v="Ellen"/>
        <s v="Hanh"/>
        <s v="Ozella"/>
        <s v="Jordan"/>
        <s v="Grady"/>
        <s v="Albert"/>
        <s v="Autumn"/>
        <s v="Lester"/>
        <s v="Chas"/>
        <s v="Orville"/>
        <s v="Alyse"/>
        <s v="Quintin"/>
        <s v="Carmelia"/>
        <s v="Jonas"/>
        <s v="Norberto"/>
        <s v="Taryn"/>
        <s v="Lynwood"/>
        <s v="Miesha"/>
        <s v="Leland"/>
        <s v="Katelynn"/>
        <s v="Kyoko"/>
        <s v="Sanora"/>
        <s v="Gussie"/>
        <s v="Xochitl"/>
        <s v="Deon"/>
        <s v="Marline"/>
        <s v="Reinaldo"/>
        <s v="Donya"/>
        <s v="Marcellus"/>
        <s v="Seth"/>
        <s v="Gayle"/>
        <s v="Jayson"/>
        <s v="Blair"/>
        <s v="Maile"/>
        <s v="Shon"/>
        <s v="Kaleigh"/>
        <s v="Wilfredo"/>
        <s v="Chelsea"/>
        <s v="Loralee"/>
        <s v="Elmo"/>
        <s v="Classie"/>
        <s v="Anissa"/>
        <s v="Oralia"/>
        <s v="Hettie"/>
        <s v="Alvera"/>
        <s v="Renato"/>
        <s v="Carol"/>
        <s v="Gus"/>
        <s v="Starla"/>
        <s v="Melany"/>
        <s v="Nathanael"/>
        <s v="Jerome"/>
        <s v="Kasey"/>
        <s v="Carrol"/>
        <s v="Gricelda"/>
        <s v="Eveline"/>
        <s v="Pedro"/>
        <s v="Gonzalo"/>
        <s v="Jay"/>
        <s v="Adelia"/>
        <s v="Ngan"/>
        <s v="Marquis"/>
        <s v="Delfina"/>
        <s v="Lia"/>
        <s v="Eusebio"/>
        <s v="Shayla"/>
        <s v="Zulema"/>
        <s v="Particia"/>
        <s v="Lora"/>
        <s v="Audrie"/>
        <s v="Willard"/>
        <s v="Beau"/>
        <s v="Georgeanna"/>
        <s v="Marcella"/>
        <s v="Laverne"/>
        <s v="Stevie"/>
        <s v="Tawnya"/>
        <s v="Lianne"/>
        <s v="Olive"/>
        <s v="Samella"/>
        <s v="Ricky"/>
        <s v="Arianna"/>
        <s v="Aimee"/>
        <s v="Cordell"/>
        <s v="Bridgett"/>
        <s v="Sherrie"/>
        <s v="Jenniffer"/>
        <s v="Katharyn"/>
        <s v="Blake"/>
        <s v="Yolonda"/>
        <s v="Murray"/>
        <s v="Mirta"/>
        <s v="Howard"/>
        <s v="Joni"/>
        <s v="Marla"/>
        <s v="Everette"/>
        <s v="Missy"/>
        <s v="Jan"/>
        <s v="Michiko"/>
        <s v="Siu"/>
        <s v="Nichol"/>
        <s v="Cleotilde"/>
        <s v="Joan"/>
        <s v="Madelyn"/>
        <s v="Wilbert"/>
        <s v="Valentin"/>
        <s v="Genny"/>
        <s v="Gennie"/>
        <s v="Carlita"/>
        <s v="Daren"/>
        <s v="Bernadine"/>
        <s v="Bruce"/>
        <s v="Shizue"/>
        <s v="Darlena"/>
        <s v="Royce"/>
        <s v="Robert"/>
        <s v="Lannie"/>
        <s v="Foster"/>
        <s v="Jackson"/>
        <s v="Malorie"/>
        <s v="Dayna"/>
        <s v="Kieth"/>
        <s v="Lakeshia"/>
        <s v="Salley"/>
        <s v="Marty"/>
        <s v="Annabell"/>
        <s v="Justa"/>
        <s v="Olimpia"/>
        <s v="Veola"/>
        <s v="Juanita"/>
        <s v="Evelynn"/>
        <s v="Lida"/>
        <s v="Norbert"/>
        <s v="Abdul"/>
        <s v="Chauncey"/>
        <s v="Darwin"/>
        <s v="Lura"/>
        <s v="Zane"/>
        <s v="Phil"/>
        <s v="Mohammad"/>
        <s v="Teofila"/>
        <s v="Donn"/>
        <s v="Robbie"/>
        <s v="Filiberto"/>
        <s v="Hosea"/>
        <s v="Antoinette"/>
        <s v="Rosita"/>
        <s v="Jess"/>
        <s v="Jaime"/>
        <s v="Coreen"/>
        <s v="Marlin"/>
        <s v="Lashanda"/>
        <s v="Blaine"/>
        <s v="Daina"/>
        <s v="Elisha"/>
        <s v="Leo"/>
        <s v="Leonora"/>
        <s v="Jeremy"/>
        <s v="Angela"/>
        <s v="Scottie"/>
        <s v="Curt"/>
        <s v="Corliss"/>
        <s v="Keren"/>
        <s v="Jama"/>
        <s v="Wade"/>
        <s v="Yung"/>
        <s v="Margene"/>
        <s v="Noel"/>
        <s v="Bart"/>
        <s v="Lynsey"/>
        <s v="Lino"/>
        <s v="Etta"/>
        <s v="Elvis"/>
        <s v="Sharri"/>
        <s v="Roxanne"/>
        <s v="Travis"/>
        <s v="Candyce"/>
        <s v="Fredrick"/>
        <s v="Gabriel"/>
        <s v="Doretha"/>
        <s v="Cornelia"/>
        <s v="Lionel"/>
        <s v="Mallie"/>
        <s v="Ginette"/>
        <s v="Morgan"/>
        <s v="Samara"/>
        <s v="Asha"/>
        <s v="Hilton"/>
        <s v="Reynaldo"/>
        <s v="Alvaro"/>
        <s v="Annmarie"/>
        <s v="Geri"/>
        <s v="Taina"/>
        <s v="Ellamae"/>
        <s v="Pierre"/>
        <s v="Timothy"/>
        <s v="Domitila"/>
        <s v="Bobby"/>
        <s v="Layla"/>
        <s v="Rima"/>
        <s v="Anastacia"/>
        <s v="Miss"/>
        <s v="Benedict"/>
        <s v="Mui"/>
        <s v="Leigh"/>
        <s v="Isreal"/>
        <s v="Gerri"/>
        <s v="Denae"/>
        <s v="Jacalyn"/>
        <s v="Corey"/>
        <s v="Cory"/>
        <s v="Margarito"/>
        <s v="Tracee"/>
        <s v="Despina"/>
        <s v="Kimberly"/>
        <s v="Bryce"/>
        <s v="Luke"/>
        <s v="Rubie"/>
        <s v="Deena"/>
        <s v="Shari"/>
        <s v="Trisha"/>
        <s v="Asa"/>
        <s v="Hyon"/>
        <s v="Ronni"/>
        <s v="Granville"/>
        <s v="Ranee"/>
        <s v="Kurtis"/>
        <s v="Fay"/>
        <s v="Susy"/>
        <s v="Bulah"/>
        <s v="Eva"/>
        <s v="Kia"/>
        <s v="Amiee"/>
        <s v="Brett"/>
        <s v="Leif"/>
        <s v="Ana"/>
        <s v="Gilberte"/>
        <s v="Vernita"/>
        <s v="King"/>
        <s v="Stacey"/>
        <s v="Drusilla"/>
        <s v="Lavone"/>
        <s v="Emily"/>
        <s v="Vesta"/>
        <s v="Jeffrey"/>
        <s v="Jade"/>
        <s v="Ethelene"/>
        <s v="Amie"/>
        <s v="Oscar"/>
        <s v="Kristofer"/>
        <s v="Erinn"/>
        <s v="Felipe"/>
        <s v="Kent"/>
        <s v="Jae"/>
        <s v="Dorsey"/>
        <s v="Sherika"/>
        <s v="Carlton"/>
        <s v="Agripina"/>
        <s v="Billie"/>
        <s v="Sook"/>
        <s v="Delois"/>
        <s v="Lucius"/>
        <s v="Venita"/>
        <s v="Emmie"/>
        <s v="Katherin"/>
        <s v="Wava"/>
        <s v="Lawrence"/>
        <s v="Julie"/>
        <s v="Rosalva"/>
        <s v="Houston"/>
        <s v="Ed"/>
        <s v="Mammie"/>
        <s v="Lilliam"/>
        <s v="Camila"/>
        <s v="Debbra"/>
        <s v="Edgardo"/>
        <s v="Susanna"/>
        <s v="Stuart"/>
        <s v="Delaine"/>
        <s v="Van"/>
        <s v="Marjorie"/>
        <s v="Weldon"/>
        <s v="Sabina"/>
        <s v="Hipolito"/>
        <s v="Deeann"/>
        <s v="Thora"/>
        <s v="Tamesha"/>
        <s v="Leandro"/>
        <s v="Julia"/>
        <s v="Kandy"/>
        <s v="Ashlie"/>
        <s v="Shawana"/>
        <s v="Dustin"/>
        <s v="Raymon"/>
        <s v="Rosalia"/>
        <s v="Meda"/>
        <s v="Hue"/>
        <s v="Maida"/>
        <s v="Portia"/>
        <s v="Clifford"/>
        <s v="Gerard"/>
        <s v="Kelli"/>
        <s v="Josiah"/>
        <s v="Simon"/>
        <s v="Denisse"/>
        <s v="Nicolasa"/>
        <s v="Trudie"/>
        <s v="Elmer"/>
        <s v="Stephen"/>
        <s v="Gregoria"/>
        <s v="Oretha"/>
        <s v="Collin"/>
        <s v="Curtis"/>
        <s v="Sharmaine"/>
        <s v="Sibyl"/>
        <s v="Myra"/>
        <s v="Mariana"/>
        <s v="Lizzie"/>
        <s v="Yulanda"/>
        <s v="Joane"/>
        <s v="Darrick"/>
        <s v="Lacy"/>
        <s v="Rodolfo"/>
        <s v="Moon"/>
        <s v="Christoper"/>
        <s v="Dorthy"/>
        <s v="Asia"/>
        <s v="Delta"/>
        <s v="Tyrell"/>
        <s v="Coy"/>
        <s v="Ezra"/>
        <s v="Ha"/>
        <s v="Jessie"/>
        <s v="Burton"/>
        <s v="Saturnina"/>
        <s v="Torri"/>
        <s v="Robby"/>
        <s v="Ronny"/>
        <s v="Marlon"/>
        <s v="Spencer"/>
        <s v="Valarie"/>
        <s v="Marylee"/>
        <s v="Lala"/>
        <s v="Nam"/>
        <s v="Henry"/>
        <s v="Gustavo"/>
        <s v="Cassandra"/>
        <s v="Ines"/>
        <s v="Neoma"/>
        <s v="Donny"/>
        <s v="Mina"/>
        <s v="Daniel"/>
        <s v="Graciela"/>
        <s v="Dewitt"/>
        <s v="Archie"/>
        <s v="Verlene"/>
        <s v="Steve"/>
        <s v="Han"/>
        <s v="Roxy"/>
        <s v="Fabiola"/>
        <s v="Lynn"/>
        <s v="Kimber"/>
        <s v="Russel"/>
        <s v="Sherlene"/>
        <s v="Shanna"/>
        <s v="Estella"/>
        <s v="Vernon"/>
        <s v="Dorris"/>
        <s v="Cedrick"/>
        <s v="Ghislaine"/>
        <s v="Lucrecia"/>
        <s v="Toney"/>
        <s v="Marg"/>
        <s v="Ardath"/>
        <s v="Buford"/>
        <s v="Bernita"/>
        <s v="Jenise"/>
        <s v="Michael"/>
        <s v="Belen"/>
        <s v="Earlene"/>
        <s v="Fermin"/>
        <s v="Shenna"/>
        <s v="Adela"/>
        <s v="Ada"/>
        <s v="Demarcus"/>
        <s v="Nicola"/>
        <s v="Gordon"/>
        <s v="Dede"/>
        <s v="Lorina"/>
        <s v="Mireya"/>
        <s v="Joycelyn"/>
        <s v="Zonia"/>
        <s v="Heath"/>
        <s v="Name"/>
        <s v="Florence"/>
        <s v="Erick"/>
        <s v="Dianne"/>
        <s v="Precious"/>
        <s v="Laraine"/>
        <s v="Francesco"/>
        <s v="Maye"/>
        <s v="Felecia"/>
        <s v="Jamaal"/>
        <s v="Diann"/>
        <s v="Elaine"/>
        <s v="Les"/>
        <s v="Pauletta"/>
        <s v="Rona"/>
        <s v="Cristobal"/>
        <s v="Erline"/>
        <s v="Reta"/>
        <s v="Delphia"/>
        <s v="Leonel"/>
        <s v="Drema"/>
        <s v="Annis"/>
        <s v="Melisa"/>
        <s v="Linnie"/>
        <s v="Silas"/>
        <s v="Shawn"/>
        <s v="Santiago"/>
        <s v="Kassandra"/>
        <s v="Liz"/>
        <s v="Wally"/>
        <s v="Hisako"/>
        <s v="Rueben"/>
        <s v="Keena"/>
        <s v="Franchesca"/>
        <s v="Nannette"/>
        <s v="Vivian"/>
        <s v="Jamey"/>
        <s v="Toshia"/>
        <s v="Felipa"/>
        <s v="Raymond"/>
        <s v="Minerva"/>
        <s v="Caroline"/>
        <s v="Roseann"/>
        <s v="Suzie"/>
        <s v="Anabel"/>
        <s v="Hilda"/>
        <s v="Maryrose"/>
        <s v="Garth"/>
        <s v="Tamekia"/>
        <s v="Silva"/>
        <s v="Geneva"/>
        <s v="Tuan"/>
        <s v="Roxie"/>
        <s v="Merilyn"/>
        <s v="Shelby"/>
        <s v="Bettyann"/>
        <s v="Janita"/>
        <s v="Jesse"/>
        <s v="Harry"/>
        <s v="Irwin"/>
        <s v="Tobias"/>
        <s v="Raven"/>
        <s v="Jarod"/>
        <s v="Rosanna"/>
        <s v="Doug"/>
        <s v="Savannah"/>
        <s v="Madeline"/>
        <s v="Garfield"/>
        <s v="Dominic"/>
        <s v="Adan"/>
        <s v="Floy"/>
        <s v="Kathrine"/>
        <s v="Lashunda"/>
        <s v="Saul"/>
        <s v="Paris"/>
        <s v="Tonia"/>
        <s v="Margarette"/>
        <s v="Geraldo"/>
        <s v="Elsie"/>
        <s v="Dennise"/>
        <s v="Kimi"/>
        <s v="Otilia"/>
        <s v="Rosamaria"/>
        <s v="Yuki"/>
        <s v="Pia"/>
        <s v="Carry"/>
        <s v="Brianna"/>
        <s v="Nadia"/>
        <s v="Johnie"/>
        <s v="Charise"/>
        <s v="Miki"/>
        <s v="Lowell"/>
        <s v="Pearl"/>
        <s v="Bernadette"/>
        <s v="Sallie"/>
        <s v="Rheba"/>
        <s v="Cathrine"/>
        <s v="Arlena"/>
        <s v="Celina"/>
        <s v="Clarence"/>
        <s v="Elbert"/>
        <s v="Harvey"/>
        <s v="Alia"/>
        <s v="Shanelle"/>
        <s v="Rodrick"/>
        <s v="Katharina"/>
        <s v="Maurita"/>
        <s v="Millard"/>
        <s v="Sharen"/>
        <s v="Jodi"/>
        <s v="Jesica"/>
        <s v="Tommye"/>
        <s v="Arron"/>
        <s v="Shirly"/>
        <s v="Louis"/>
        <s v="Amal"/>
        <s v="Annita"/>
        <s v="Alden"/>
        <s v="Lucas"/>
        <s v="Zoraida"/>
        <s v="Leonia"/>
        <s v="Aron"/>
        <s v="Markita"/>
        <s v="Shelia"/>
        <s v="Valentine"/>
        <s v="Clint"/>
        <s v="Kareem"/>
        <s v="Richelle"/>
        <s v="Nelson"/>
        <s v="Dennis"/>
        <s v="Cortney"/>
        <s v="Michal"/>
        <s v="Elyse"/>
        <s v="Maryjo"/>
        <s v="Korey"/>
        <s v="Armanda"/>
        <s v="Israel"/>
        <s v="Lydia"/>
        <s v="Alise"/>
        <s v="Kenyetta"/>
        <s v="Walton"/>
        <s v="Leah"/>
        <s v="Dee"/>
        <s v="Leida"/>
        <s v="Corinna"/>
        <s v="Jacques"/>
        <s v="Merrill"/>
        <s v="Verdie"/>
        <s v="Kendall"/>
        <s v="Joel"/>
        <s v="Petra"/>
        <s v="Warren"/>
        <s v="Jesus"/>
        <s v="Chet"/>
        <s v="Berna"/>
        <s v="Charles"/>
        <s v="Sunday"/>
        <s v="Elvina"/>
        <s v="Tara"/>
        <s v="Tarsha"/>
        <s v="Brittany"/>
        <s v="Annamarie"/>
        <s v="Dominque"/>
        <s v="Evia"/>
        <s v="Jacquelyne"/>
        <s v="Marceline"/>
        <s v="Rich"/>
        <s v="Mariel"/>
        <s v="Heather"/>
        <s v="Dario"/>
        <s v="Illa"/>
        <s v="Leon"/>
        <s v="Marc"/>
        <s v="Sierra"/>
        <s v="Barbra"/>
        <s v="Dino"/>
        <s v="Young"/>
        <s v="Deb"/>
        <s v="Elroy"/>
        <s v="Antony"/>
        <s v="Kellye"/>
        <s v="Andrew"/>
        <s v="Maryjane"/>
        <s v="Adina"/>
        <s v="Arthur"/>
        <s v="Hugh"/>
        <s v="Nicholas"/>
        <s v="Shaun"/>
        <s v="Wan"/>
        <s v="Krystina"/>
        <s v="Jarvis"/>
        <s v="Dolores"/>
        <s v="Marchelle"/>
        <s v="Antwan"/>
        <s v="Jennine"/>
        <s v="Kareen"/>
        <s v="Kimiko"/>
        <s v="Cathryn"/>
        <s v="Nieves"/>
        <s v="Winfred"/>
        <s v="Gerardo"/>
        <s v="Elton"/>
        <s v="Kizzie"/>
        <s v="Maricela"/>
        <s v="Sherwood"/>
        <s v="Brenton"/>
        <s v="Raymonde"/>
        <s v="Jillian"/>
        <s v="Sharonda"/>
        <s v="Darcie"/>
        <s v="Yukiko"/>
        <s v="Odis"/>
        <s v="Ossie"/>
        <s v="Tyler"/>
        <s v="Katharine"/>
        <s v="Farah"/>
        <s v="Charissa"/>
        <s v="Setsuko"/>
        <s v="Conrad"/>
        <s v="Joi"/>
        <s v="Kathey"/>
        <s v="Valda"/>
        <s v="Helena"/>
        <s v="Cris"/>
        <s v="Ross"/>
        <s v="Lynna"/>
        <s v="Milan"/>
        <s v="An"/>
        <s v="Elmira"/>
        <s v="Omar"/>
        <s v="Verlie"/>
        <s v="Clementina"/>
        <s v="Ladonna"/>
        <s v="Jerry"/>
        <s v="Jerald"/>
        <s v="Audie"/>
        <s v="Shanika"/>
        <s v="Quincy"/>
        <s v="Jina"/>
        <s v="Stacy"/>
        <s v="Milton"/>
        <s v="Queen"/>
        <s v="Aileen"/>
        <s v="Ryan"/>
        <s v="Darci"/>
        <s v="Paulina"/>
        <s v="Irmgard"/>
        <s v="Mac"/>
        <s v="Erica"/>
        <s v="Debra"/>
        <s v="Gaylord"/>
        <s v="Sunshine"/>
        <s v="Rita"/>
        <s v="Suzi"/>
        <s v="Rayford"/>
        <s v="Merlin"/>
        <s v="Deandre"/>
        <s v="Julio"/>
        <s v="Wanda"/>
        <s v="Lai"/>
        <s v="Lindsey"/>
        <s v="Shamika"/>
        <s v="Johnny"/>
        <s v="Arden"/>
        <s v="Stephan"/>
        <s v="August"/>
        <s v="Piedad"/>
        <s v="Monroe"/>
        <s v="Javier"/>
        <s v="Kathline"/>
        <s v="Andre"/>
        <s v="Margeret"/>
        <s v="Monserrate"/>
        <s v="Malik"/>
        <s v="Elliot"/>
        <s v="Carletta"/>
        <s v="Jenell"/>
        <s v="Chere"/>
        <s v="Yen"/>
        <s v="Era"/>
        <s v="Li"/>
        <s v="Librada"/>
        <s v="Marybeth"/>
        <s v="Aleida"/>
        <s v="Lael"/>
        <s v="Hortencia"/>
        <s v="Tish"/>
        <s v="Glennis"/>
        <s v="Denny"/>
        <s v="Kristin"/>
        <s v="Jared"/>
        <s v="Stan"/>
        <s v="Karl"/>
        <s v="Deanna"/>
        <s v="Ben"/>
        <s v="Angeles"/>
        <s v="Delorse"/>
        <s v="Margherita"/>
        <s v="Racheal"/>
        <s v="Roland"/>
        <s v="Leesa"/>
        <s v="Shawanna"/>
        <s v="Modesto"/>
        <s v="Issac"/>
        <s v="Estell"/>
        <s v="Becki"/>
        <s v="Ma"/>
        <s v="Jinny"/>
        <s v="Reginald"/>
        <s v="Buster"/>
        <s v="Rachael"/>
        <s v="Patria"/>
        <s v="Ivana"/>
        <s v="Everett"/>
        <s v="Nilda"/>
        <s v="Randy"/>
        <s v="Hoa"/>
        <s v="Andrea"/>
        <s v="Tamika"/>
        <s v="Ming"/>
        <s v="Ernestina"/>
        <s v="Monika"/>
        <s v="Elden"/>
        <s v="Polly"/>
        <s v="Agustina"/>
        <s v="Elfriede"/>
        <s v="Erika"/>
        <s v="Lorean"/>
        <s v="Ferne"/>
        <s v="Lincoln"/>
        <s v="Queenie"/>
        <s v="Kurt"/>
        <s v="Milo"/>
        <s v="Ermelinda"/>
        <s v="Carl"/>
        <s v="Mariann"/>
        <s v="Alessandra"/>
        <s v="Bonnie"/>
        <s v="Earleen"/>
        <s v="Cathern"/>
        <s v="Claude"/>
        <s v="Ginger"/>
        <s v="Karyl"/>
        <s v="Lara"/>
        <s v="Cora"/>
        <s v="Rosaria"/>
        <s v="Tim"/>
        <s v="Jacquelynn"/>
        <s v="Isiah"/>
        <s v="Kalyn"/>
        <s v="Tennille"/>
        <s v="Edwin"/>
        <s v="Letisha"/>
        <s v="Wilton"/>
        <s v="Malka"/>
        <s v="Fausto"/>
        <s v="Lan"/>
        <s v="Laurena"/>
        <s v="Cherelle"/>
        <s v="Charley"/>
        <s v="Fe"/>
        <s v="Mauricio"/>
        <s v="Xavier"/>
        <s v="Lashell"/>
        <s v="Rey"/>
        <s v="Grant"/>
        <s v="Teresita"/>
        <s v="Megan"/>
        <s v="Salvador"/>
        <s v="Jacinda"/>
        <s v="Kristeen"/>
        <s v="Miyoko"/>
        <s v="Terrie"/>
        <s v="Cythia"/>
        <s v="Darleen"/>
        <s v="Cayla"/>
        <s v="Freddy"/>
        <s v="Raul"/>
        <s v="Sharice"/>
        <s v="Delbert"/>
        <s v="Dan"/>
        <s v="Sonia"/>
        <s v="Rickie"/>
        <s v="Ardis"/>
        <s v="Antione"/>
        <s v="Augusta"/>
        <s v="Susann"/>
        <s v="Justina"/>
        <s v="Kasie"/>
        <s v="Brandi"/>
        <s v="Claudia"/>
        <s v="Marisa"/>
        <s v="Joette"/>
        <s v="Adah"/>
        <s v="Chantell"/>
        <s v="Demetrice"/>
        <s v="Milda"/>
        <s v="Karla"/>
        <s v="Janiece"/>
        <s v="Keitha"/>
        <s v="Rosio"/>
        <s v="Tresa"/>
        <s v="Dacia"/>
        <s v="Manual"/>
        <s v="Kiesha"/>
        <s v="Rosenda"/>
        <s v="Ivan"/>
        <s v="Neva"/>
        <s v="Ofelia"/>
        <s v="Vera"/>
        <s v="Elidia"/>
        <s v="America"/>
        <s v="Emory"/>
        <s v="Prince"/>
        <s v="Florrie"/>
        <s v="Marva"/>
        <s v="Arnulfo"/>
        <s v="Roseanna"/>
        <s v="Tatum"/>
        <s v="Jessika"/>
        <s v="Vincent"/>
        <s v="Flavia"/>
        <s v="Beulah"/>
        <s v="Tammy"/>
        <s v="Tiny"/>
        <s v="Candi"/>
        <s v="Kayla"/>
        <s v="Andy"/>
        <s v="Clemmie"/>
        <s v="Mathilda"/>
        <s v="Olympia"/>
        <s v="Philip"/>
        <s v="Venessa"/>
        <s v="Aja"/>
        <s v="Dovie"/>
        <s v="Porter"/>
        <s v="Garret"/>
        <s v="Lavinia"/>
        <s v="Wilbur"/>
        <s v="Arla"/>
        <s v="Rashida"/>
        <s v="Shena"/>
        <s v="Violet"/>
        <s v="Loren"/>
        <s v="Kristal"/>
        <s v="Rashad"/>
        <s v="Tad"/>
        <s v="Douglass"/>
        <s v="Loria"/>
        <s v="May"/>
        <s v="Agatha"/>
        <s v="Allison"/>
        <s v="Floyd"/>
        <s v="Armandina"/>
        <s v="Ilona"/>
        <s v="Billye"/>
        <s v="Shawnta"/>
        <s v="Kristyn"/>
        <s v="Ka"/>
        <s v="Shameka"/>
        <s v="Bennett"/>
        <s v="Ian"/>
        <s v="Karen"/>
        <s v="Rebeca"/>
        <s v="Janey"/>
        <s v="Kayce"/>
        <s v="Shavon"/>
        <s v="Troy"/>
        <s v="Asley"/>
        <s v="Juan"/>
        <s v="Christal"/>
        <s v="Rosie"/>
        <s v="Clarita"/>
        <s v="Jeffry"/>
        <s v="Shaneka"/>
        <s v="Rico"/>
        <s v="Mikel"/>
        <s v="Nell"/>
        <s v="Kathryn"/>
        <s v="Adaline"/>
        <s v="Golda"/>
        <s v="Dina"/>
        <s v="Marta"/>
        <s v="Esther"/>
        <s v="Tana"/>
        <s v="Tashia"/>
        <s v="Abbie"/>
        <s v="Kai"/>
        <s v="Edris"/>
        <s v="Sandie"/>
        <s v="Samuel"/>
        <s v="Lance"/>
        <s v="Darla"/>
        <s v="Stanley"/>
        <s v="Bette"/>
        <s v="Alton"/>
        <s v="Lillia"/>
        <s v="Latasha"/>
        <s v="Brittanie"/>
        <s v="Ramon"/>
        <s v="Cliff"/>
        <s v="Torrie"/>
        <s v="Renita"/>
        <s v="Kari"/>
        <s v="Elwood"/>
        <s v="Johnathon"/>
        <s v="Lindsay"/>
        <s v="Conception"/>
        <s v="Shirley"/>
        <s v="Karren"/>
        <s v="Isabell"/>
        <s v="Verda"/>
        <s v="Vernice"/>
        <s v="Eduardo"/>
        <s v="Evalyn"/>
        <s v="Letha"/>
        <s v="Terry"/>
        <s v="Jewel"/>
        <s v="Sanford"/>
        <s v="Lue"/>
        <s v="Karyn"/>
        <s v="Moira"/>
        <s v="Porfirio"/>
        <s v="Benton"/>
        <s v="Sarina"/>
        <s v="Britney"/>
        <s v="Marion"/>
        <s v="Carisa"/>
        <s v="Roscoe"/>
        <s v="Kermit"/>
        <s v="Kerri"/>
        <s v="Will"/>
        <s v="Nancie"/>
        <s v="Robbyn"/>
        <s v="Louetta"/>
        <s v="Wanetta"/>
        <s v="Chandra"/>
        <s v="Ela"/>
        <s v="Felicia"/>
        <s v="Fernanda"/>
        <s v="Jc"/>
        <s v="Cheree"/>
        <s v="Domonique"/>
        <s v="Haywood"/>
        <s v="Mickey"/>
        <s v="Dulce"/>
        <s v="Lakisha"/>
        <s v="Larae"/>
        <s v="Markus"/>
        <s v="Cordie"/>
        <s v="Luna"/>
        <s v="Erlene"/>
        <s v="Darcy"/>
        <s v="Colby"/>
        <s v="Ezequiel"/>
        <s v="Abram"/>
        <s v="Allan"/>
        <s v="Trent"/>
        <s v="Son"/>
        <s v="Agustin"/>
        <s v="Cristopher"/>
        <s v="Evangelina"/>
        <s v="Genesis"/>
        <s v="Mardell"/>
        <s v="Angle"/>
        <s v="Rhett"/>
        <s v="Guillermina"/>
        <s v="Louella"/>
        <s v="Cherly"/>
        <s v="Augustina"/>
        <s v="Tameika"/>
        <s v="Morton"/>
        <s v="Carlyn"/>
        <s v="Whitney"/>
        <s v="Kazuko"/>
        <s v="Randall"/>
        <s v="Deneen"/>
        <s v="Lulu"/>
        <s v="Aletha"/>
        <s v="Jefferey"/>
        <s v="Alana"/>
        <s v="Zachery"/>
        <s v="Cammie"/>
        <s v="Virginia"/>
        <s v="Jeana"/>
        <s v="Neta"/>
        <s v="Hugo"/>
        <s v="Maple"/>
        <s v="Jerrie"/>
        <s v="Sanjuana"/>
        <s v="Dewayne"/>
        <s v="Lorrie"/>
        <s v="Antonia"/>
        <s v="Lloyd"/>
        <s v="Sarai"/>
        <s v="Dwight"/>
        <s v="Deandrea"/>
        <s v="Samira"/>
        <s v="Latonya"/>
        <s v="Ashlyn"/>
        <s v="Christeen"/>
        <s v="Kallie"/>
        <s v="Rachelle"/>
        <s v="Pamella"/>
        <s v="Maisie"/>
        <s v="Anya"/>
        <s v="Antoine"/>
        <s v="Rosalinda"/>
        <s v="Barbar"/>
        <s v="Josephina"/>
        <s v="Trey"/>
        <s v="Nana"/>
        <s v="Lashandra"/>
        <s v="Sheryl"/>
        <s v="Barbie"/>
        <s v="Alvin"/>
        <s v="Eleonora"/>
        <s v="Wilford"/>
        <s v="Dusty"/>
        <s v="Angelika"/>
        <s v="Effie"/>
        <s v="Cleopatra"/>
        <s v="Deangelo"/>
        <s v="Normand"/>
        <s v="Dara"/>
        <s v="Vincenzo"/>
        <s v="Deonna"/>
        <s v="Clay"/>
        <s v="Edna"/>
        <s v="Adrian"/>
        <s v="Lamont"/>
        <s v="Hector"/>
        <s v="Clemente"/>
        <s v="Ambrose"/>
        <s v="Eugena"/>
        <s v="Chelsie"/>
        <s v="Bev"/>
        <s v="Griselda"/>
        <s v="Suzy"/>
        <s v="Carlo"/>
        <s v="Denese"/>
        <s v="Carmen"/>
        <s v="Lucio"/>
        <s v="Gemma"/>
        <s v="Vannesa"/>
        <s v="Bret"/>
        <s v="Gerry"/>
        <s v="Sandy"/>
        <s v="Romana"/>
        <s v="Sheena"/>
        <s v="Mari"/>
        <s v="Sherill"/>
        <s v="Josue"/>
        <s v="Loyce"/>
        <s v="Chi"/>
        <s v="Jim"/>
        <s v="Ladawn"/>
        <s v="Bryant"/>
        <s v="Tom"/>
        <s v="Marcel"/>
        <s v="Derick"/>
        <s v="Shanti"/>
        <s v="Katherine"/>
        <s v="Reed"/>
        <s v="Maxie"/>
        <s v="Adrianne"/>
        <s v="Meg"/>
        <s v="Alfonso"/>
        <s v="Yan"/>
        <s v="Norine"/>
        <s v="Ricarda"/>
        <s v="Nicholle"/>
        <s v="Alline"/>
        <s v="Florencio"/>
        <s v="Sheri"/>
        <s v="Junita"/>
        <s v="Rigoberto"/>
        <s v="Laurel"/>
        <s v="Denis"/>
        <s v="Davis"/>
        <s v="Anne"/>
        <s v="Britni"/>
        <s v="Liane"/>
        <s v="Jesusa"/>
        <s v="Alena"/>
        <s v="Isaac"/>
        <s v="Estefana"/>
        <s v="Daryl"/>
        <s v="Carson"/>
        <s v="Malcom"/>
        <s v="Regine"/>
        <s v="Josh"/>
        <s v="Marianna"/>
        <s v="Fidela"/>
        <s v="Louie"/>
        <s v="Greg"/>
        <s v="Amado"/>
        <s v="Kum"/>
        <s v="Miguel"/>
        <s v="Lee"/>
        <s v="Angelo"/>
        <s v="Andria"/>
        <s v="Rosendo"/>
        <s v="Trina"/>
        <s v="Suk"/>
        <s v="Anton"/>
        <s v="Vena"/>
        <s v="Eldridge"/>
        <s v="Mitchell"/>
        <s v="Georgina"/>
        <s v="Tressie"/>
        <s v="Shakita"/>
        <s v="Winifred"/>
        <s v="Tori"/>
        <s v="Horace"/>
        <s v="Sergio"/>
        <s v="Margarett"/>
        <s v="Leoma"/>
        <s v="Eartha"/>
        <s v="Percy"/>
        <s v="Ellis"/>
        <s v="Elease"/>
        <s v="Sharleen"/>
        <s v="Cinderella"/>
        <s v="Candis"/>
        <s v="Herma"/>
        <s v="Derek"/>
        <s v="Kenny"/>
        <s v="Jerold"/>
        <s v="Michelle"/>
        <s v="Yessenia"/>
        <s v="Karry"/>
        <s v="Jone"/>
        <s v="Lashon"/>
        <s v="Arletha"/>
        <s v="Imogene"/>
        <s v="Pearly"/>
        <s v="Barney"/>
        <s v="Mandie"/>
        <s v="Michell"/>
        <s v="Nichole"/>
        <s v="Humberto"/>
        <s v="Tomi"/>
        <s v="Danyel"/>
        <s v="Hilario"/>
        <s v="Kyong"/>
        <s v="Jeanna"/>
        <s v="Jin"/>
        <s v="Tisa"/>
        <s v="Thea"/>
        <s v="Mohammed"/>
        <s v="Trista"/>
        <s v="Machelle"/>
        <s v="Randi"/>
        <s v="Mindi"/>
        <s v="Zina"/>
        <s v="Minnie"/>
        <s v="Herta"/>
        <s v="Lizette"/>
        <s v="Yajaira"/>
        <s v="Melony"/>
        <s v="Merle"/>
        <s v="Mae"/>
        <s v="Hollis"/>
        <s v="Gregorio"/>
        <s v="Marina"/>
        <s v="Daniell"/>
        <s v="Malisa"/>
        <s v="Victoria"/>
        <s v="Frederic"/>
        <s v="Micheline"/>
        <s v="Mariette"/>
        <s v="Alan"/>
        <s v="Linette"/>
        <s v="Samual"/>
        <s v="Maragret"/>
        <s v="Judson"/>
        <s v="Beth"/>
        <s v="Alphonse"/>
        <s v="Mertie"/>
        <s v="Theola"/>
        <s v="Addie"/>
        <s v="Alison"/>
        <s v="Cindy"/>
        <s v="Chanel"/>
        <s v="Stephenie"/>
        <s v="Tomika"/>
        <s v="Janessa"/>
        <s v="Hilma"/>
        <s v="Isidro"/>
        <s v="Lisa"/>
        <s v="Arlette"/>
        <s v="Ida"/>
        <s v="Britt"/>
        <s v="Crystal"/>
        <s v="Andra"/>
        <s v="Margarete"/>
        <s v="Shakia"/>
        <s v="Angelena"/>
        <s v="Beckie"/>
        <s v="Keli"/>
        <s v="Viva"/>
        <s v="Leia"/>
        <s v="Milagros"/>
        <s v="Laurette"/>
        <s v="Derrick"/>
        <s v="Ngoc"/>
        <s v="Rosalind"/>
        <s v="Emmanuel"/>
        <s v="Florinda"/>
        <s v="Jude"/>
        <s v="Cari"/>
        <s v="Cinthia"/>
        <s v="Shelly"/>
        <s v="Glen"/>
        <s v="Sang"/>
        <s v="Marcela"/>
        <s v="Danae"/>
        <s v="Jonah"/>
        <s v="Jeraldine"/>
        <s v="Carin"/>
        <s v="Arvilla"/>
        <s v="Judith"/>
        <s v="Jena"/>
        <s v="Kyung"/>
        <s v="Elsa"/>
        <s v="Jospeh"/>
        <s v="Ina"/>
        <s v="Brady"/>
        <s v="Zola"/>
        <s v="Dominique"/>
        <s v="Delilah"/>
        <s v="Delmar"/>
        <s v="Renee"/>
        <s v="Maranda"/>
        <s v="Dorie"/>
        <s v="Celinda"/>
        <s v="Cruz"/>
        <s v="Leonard"/>
        <s v="Wenona"/>
        <s v="Marquerite"/>
        <s v="Dayle"/>
        <s v="Ike"/>
        <s v="Beata"/>
        <s v="Shalonda"/>
        <s v="Jamison"/>
        <s v="Dominga"/>
        <s v="Charmain"/>
        <s v="Suellen"/>
        <s v="Romeo"/>
        <s v="Marth"/>
        <s v="Ariane"/>
        <s v="Robin"/>
        <s v="Jazmine"/>
        <s v="Roseanne"/>
        <s v="Sima"/>
        <s v="Marcelo"/>
        <s v="Nelida"/>
        <s v="Deana"/>
        <s v="Shasta"/>
        <s v="Jule"/>
        <s v="Dona"/>
        <s v="Alexia"/>
        <s v="Vanesa"/>
        <s v="Lyle"/>
        <s v="Hyun"/>
        <s v="Toya"/>
        <s v="Janis"/>
        <s v="Wilhelmina"/>
        <s v="Noella"/>
        <s v="Audrea"/>
        <s v="Garrett"/>
        <s v="Mi"/>
        <s v="Billy"/>
        <s v="Ricki"/>
        <s v="Trudi"/>
        <s v="Angelique"/>
        <s v="Janene"/>
        <s v="Cherlyn"/>
        <s v="Madison"/>
        <s v="Cleora"/>
        <s v="Joanna"/>
        <s v="Chantay"/>
        <s v="Julianne"/>
        <s v="Maryam"/>
        <s v="Hildred"/>
        <s v="Karisa"/>
        <s v="Eddie"/>
        <s v="Brinda"/>
        <s v="Tifany"/>
        <s v="Edmund"/>
        <s v="Eneida"/>
        <s v="Janette"/>
        <s v="Victor"/>
        <s v="Vasiliki"/>
        <s v="Veta"/>
        <s v="Ralph"/>
        <s v="Taisha"/>
        <s v="Veronique"/>
        <s v="Kristine"/>
        <s v="Tomiko"/>
        <s v="Audra"/>
        <s v="Sherryl"/>
        <s v="Roxana"/>
        <s v="Maddie"/>
        <s v="Windy"/>
        <s v="Nettie"/>
        <s v="Tamatha"/>
        <s v="Shizuko"/>
        <s v="Etsuko"/>
        <s v="Bradley"/>
        <s v="Jasper"/>
        <s v="Dionna"/>
        <s v="Shela"/>
        <s v="Latarsha"/>
        <s v="Karmen"/>
        <s v="Renna"/>
        <s v="Mackenzie"/>
        <s v="Galen"/>
        <s v="Chase"/>
        <s v="Veronika"/>
        <s v="Katie"/>
        <s v="Inez"/>
        <s v="Sherly"/>
        <s v="Dianna"/>
        <s v="Frank"/>
        <s v="Yetta"/>
        <s v="Emil"/>
        <s v="Natosha"/>
        <s v="Alicia"/>
        <s v="Leone"/>
        <s v="Shirely"/>
        <s v="Jeanie"/>
        <s v="Nakesha"/>
        <s v="Margarite"/>
        <s v="Hien"/>
        <s v="Luis"/>
        <s v="Britany"/>
        <s v="Gisela"/>
        <s v="Kaylee"/>
        <s v="Don"/>
        <s v="Joya"/>
        <s v="Ismael"/>
        <s v="Kelsie"/>
        <s v="Rodrigo"/>
        <s v="Colene"/>
        <s v="Jaymie"/>
        <s v="Darline"/>
        <s v="Liana"/>
        <s v="Damon"/>
        <s v="Concepcion"/>
        <s v="Lu"/>
        <s v="Walter"/>
        <s v="Ona"/>
        <s v="Anjelica"/>
        <s v="Tracey"/>
        <s v="Alene"/>
        <s v="Dwayne"/>
        <s v="Beatriz"/>
        <s v="Yon"/>
        <s v="Kandace"/>
        <s v="Christie"/>
        <s v="Casie"/>
        <s v="Cristy"/>
        <s v="Giuseppe"/>
        <s v="Brain"/>
        <s v="Cornelius"/>
        <s v="Adrianna"/>
        <s v="Annalee"/>
        <s v="Lonny"/>
        <s v="Lesa"/>
        <s v="Elouise"/>
        <s v="Ok"/>
        <s v="Marna"/>
        <s v="Randa"/>
        <s v="Bernetta"/>
        <s v="Graham"/>
        <s v="Alica"/>
        <s v="Marco"/>
        <s v="Genaro"/>
        <s v="Chad"/>
        <s v="Louisa"/>
        <s v="Shantay"/>
        <s v="Dotty"/>
        <s v="Aleta"/>
        <s v="Vergie"/>
        <s v="Zack"/>
        <s v="Ulysses"/>
        <s v="Tien"/>
        <s v="Shane"/>
        <s v="Caroll"/>
        <s v="Iraida"/>
        <s v="Quinton"/>
        <s v="Lashawn"/>
        <s v="Flor"/>
        <s v="Linwood"/>
        <s v="Keshia"/>
        <s v="Janina"/>
        <s v="Ludivina"/>
        <s v="Dean"/>
        <s v="Tamie"/>
        <s v="Mandi"/>
        <s v="Ellsworth"/>
        <s v="Aline"/>
        <s v="Carolina"/>
        <s v="Nyla"/>
        <s v="Clifton"/>
        <s v="Paz"/>
        <s v="Nelle"/>
        <s v="Arminda"/>
        <s v="Simona"/>
        <s v="Fredericka"/>
        <s v="Karlene"/>
        <s v="Tam"/>
        <s v="Shemika"/>
        <s v="Edra"/>
        <s v="Rosalina"/>
        <s v="Manuela"/>
        <s v="Lenita"/>
        <s v="Julienne"/>
        <s v="Sari"/>
        <s v="Eloy"/>
        <s v="Hubert"/>
        <s v="Oliver"/>
        <s v="Jacob"/>
        <s v="Laquita"/>
        <s v="Natashia"/>
        <s v="Zaida"/>
        <s v="Agnes"/>
        <s v="Federico"/>
        <s v="Tonya"/>
        <s v="Sun"/>
        <s v="Lashonda"/>
        <s v="Marica"/>
        <s v="Janna"/>
        <s v="Leeanne"/>
        <s v="Lamonica"/>
        <s v="Fannie"/>
        <s v="Cathleen"/>
        <s v="Deshawn"/>
        <s v="Lynne"/>
        <s v="Claretha"/>
        <s v="Colin"/>
        <s v="Maxine"/>
        <s v="Jen"/>
        <s v="Riley"/>
        <s v="Diamond"/>
        <s v="Mikaela"/>
        <s v="Nia"/>
        <s v="Jaleesa"/>
        <s v="Gala"/>
        <s v="Lillie"/>
        <s v="Shala"/>
        <s v="Yoshiko"/>
        <s v="Misha"/>
        <s v="Rowena"/>
        <s v="Phillip"/>
        <s v="Cassie"/>
        <s v="Robyn"/>
        <s v="Mayra"/>
        <s v="Nona"/>
        <s v="Emilio"/>
        <s v="Laine"/>
        <s v="Tanner"/>
        <s v="Eloise"/>
        <s v="Albertina"/>
        <s v="Anisa"/>
        <s v="Roma"/>
        <s v="Bernardo"/>
        <s v="Darnell"/>
        <s v="Emerson"/>
        <s v="Mauro"/>
        <s v="Lilla"/>
        <s v="Alona"/>
        <s v="Julius"/>
        <s v="Cathy"/>
        <s v="Judi"/>
        <s v="Allena"/>
        <s v="Pauline"/>
        <s v="Leopoldo"/>
        <s v="Deadra"/>
        <s v="Merissa"/>
        <s v="Elise"/>
        <s v="Parthenia"/>
        <s v="Clotilde"/>
        <s v="Fletcher"/>
        <s v="Jill"/>
        <s v="Delphine"/>
        <s v="Mathilde"/>
        <s v="Necole"/>
        <s v="Emilia"/>
        <s v="Fredricka"/>
        <s v="Junie"/>
        <s v="Sindy"/>
        <s v="Marti"/>
        <s v="Josie"/>
        <s v="Zelda"/>
        <s v="Quiana"/>
        <s v="Miranda"/>
        <s v="Paige"/>
        <s v="Donita"/>
        <s v="Shaunta"/>
        <s v="Milagro"/>
        <s v="Lorita"/>
        <s v="Scot"/>
        <s v="Hai"/>
        <s v="Neomi"/>
        <s v="Roslyn"/>
        <s v="Latricia"/>
        <s v="Cortez"/>
        <s v="Sunni"/>
        <s v="Tristan"/>
        <s v="Caron"/>
        <s v="Shantel"/>
        <s v="Elene"/>
        <s v="Patty"/>
        <s v="Gertha"/>
        <s v="Kaycee"/>
        <s v="Gabriela"/>
        <s v="Ellyn"/>
        <s v="Cecile"/>
        <s v="Theda"/>
        <s v="Hiedi"/>
        <s v="Sandra"/>
        <s v="Camellia"/>
        <s v="Melina"/>
        <s v="Roselyn"/>
        <s v="Russell"/>
        <s v="Laci"/>
        <s v="Hershel"/>
        <s v="Dung"/>
        <s v="Deetta"/>
        <s v="Rayna"/>
        <s v="Nohemi"/>
        <s v="Izetta"/>
        <s v="Major"/>
        <s v="Moises"/>
        <s v="Treasa"/>
        <s v="Shaquana"/>
        <s v="Donnetta"/>
        <s v="Armando"/>
        <s v="Inger"/>
        <s v="Galina"/>
        <s v="Anja"/>
        <s v="Lavona"/>
        <s v="Marvella"/>
        <s v="Kacy"/>
        <s v="Raina"/>
        <s v="Annice"/>
        <s v="Shona"/>
        <s v="Zachary"/>
        <s v="Ignacio"/>
        <s v="Macy"/>
        <s v="Tameka"/>
        <s v="Monet"/>
        <s v="Glenn"/>
        <s v="Heidy"/>
        <s v="Tamera"/>
        <s v="Devorah"/>
        <s v="Misti"/>
        <s v="Dessie"/>
        <s v="Cori"/>
        <s v="Camilla"/>
        <s v="Geoffrey"/>
        <s v="Kendrick"/>
        <s v="Reatha"/>
        <s v="Joeann"/>
        <s v="Genie"/>
        <s v="Basilia"/>
        <s v="Leila"/>
        <s v="Jacqui"/>
        <s v="Leatha"/>
        <s v="Malia"/>
        <s v="Jacinta"/>
        <s v="Eboni"/>
        <s v="Alethea"/>
        <s v="Tonja"/>
        <s v="Burl"/>
        <s v="Dalila"/>
        <s v="Adeline"/>
        <s v="Karissa"/>
        <s v="Sybil"/>
        <s v="Ammie"/>
        <s v="Marcy"/>
        <s v="Lorriane"/>
        <s v="Rolando"/>
        <s v="Charlena"/>
        <s v="Mitsuko"/>
        <s v="Tena"/>
        <s v="Phoebe"/>
        <s v="Lore"/>
        <s v="Un"/>
        <s v="Antionette"/>
        <s v="Melba"/>
        <s v="Thresa"/>
        <s v="Ezekiel"/>
        <s v="Mozell"/>
        <s v="Rena"/>
        <s v="Woodrow"/>
        <s v="Evie"/>
        <s v="Jeanmarie"/>
        <s v="Wonda"/>
        <s v="Pete"/>
        <s v="Darby"/>
        <s v="Zella"/>
        <s v="Pearlene"/>
        <s v="Mariano"/>
        <s v="Marcus"/>
        <s v="Alycia"/>
        <s v="Jennell"/>
        <s v="Ja"/>
        <s v="Regina"/>
        <s v="Zelma"/>
        <s v="Eura"/>
        <s v="Solomon"/>
        <s v="Daphne"/>
        <s v="Yee"/>
        <s v="Delmer"/>
        <s v="Guy"/>
        <s v="Ashanti"/>
        <s v="Belinda"/>
        <s v="Lorena"/>
        <s v="Jenni"/>
        <s v="Latia"/>
        <s v="Kelvin"/>
        <s v="Lashawnda"/>
        <s v="Vivien"/>
        <s v="Debbie"/>
        <s v="Racquel"/>
        <s v="Linsey"/>
        <s v="Jung"/>
        <s v="Shonda"/>
        <s v="Lisandra"/>
        <s v="Sabrina"/>
        <s v="Laura"/>
        <s v="Tomoko"/>
        <s v="Marin"/>
        <s v="Minta"/>
        <s v="Margart"/>
        <s v="Dick"/>
        <s v="Glayds"/>
        <s v="Nereida"/>
        <s v="Freddie"/>
        <s v="Berry"/>
        <s v="Chae"/>
        <s v="Elizabeth"/>
        <s v="Georgetta"/>
        <s v="Sherie"/>
        <s v="Grisel"/>
        <s v="Mose"/>
        <s v="Nestor"/>
        <s v="Carlota"/>
        <s v="Caitlyn"/>
        <s v="Cecille"/>
        <s v="Dani"/>
        <s v="Jeanne"/>
        <s v="Kera"/>
        <s v="Alease"/>
        <s v="Elayne"/>
        <s v="Rivka"/>
        <s v="Alice"/>
        <s v="Chantel"/>
        <s v="Melida"/>
        <s v="Phylis"/>
        <s v="Elanor"/>
        <s v="Brooke"/>
        <s v="Micaela"/>
        <s v="Emilee"/>
        <s v="Ethelyn"/>
        <s v="Roxann"/>
        <s v="Trena"/>
        <s v="Josefine"/>
        <s v="Tabetha"/>
        <s v="Maricruz"/>
        <s v="Caren"/>
        <s v="Nenita"/>
        <s v="Ludie"/>
        <s v="Guadalupe"/>
        <s v="Hang"/>
        <s v="Myrtle"/>
        <s v="Darius"/>
        <s v="Phyllis"/>
        <s v="Tamar"/>
        <s v="Shalon"/>
        <s v="Nedra"/>
        <s v="Thomas"/>
        <s v="Velia"/>
        <s v="Lise"/>
        <s v="Vikki"/>
        <s v="Liliana"/>
        <s v="Melodie"/>
        <s v="Ahmad"/>
        <s v="Kellie"/>
        <s v="Shantae"/>
        <s v="Crista"/>
        <s v="Keira"/>
        <s v="Elisa"/>
        <s v="Slyvia"/>
        <s v="Tyesha"/>
        <s v="Idalia"/>
        <s v="Rosann"/>
        <s v="Efren"/>
        <s v="Lucinda"/>
        <s v="Efrain"/>
        <s v="Kristi"/>
        <s v="Melania"/>
        <s v="Lucila"/>
        <s v="Sadie"/>
        <s v="Camille"/>
        <s v="Harriett"/>
        <s v="Kami"/>
        <s v="Jayme"/>
        <s v="Shaina"/>
        <s v="Ervin"/>
        <s v="Saran"/>
        <s v="Kim"/>
        <s v="Maybell"/>
        <s v="Lizbeth"/>
        <s v="Gita"/>
        <s v="Von"/>
        <s v="Brunilda"/>
        <s v="Lauren"/>
        <s v="Bethany"/>
        <s v="Serena"/>
        <s v="Judy"/>
        <s v="Teena"/>
        <s v="Reagan"/>
        <s v="Georgine"/>
        <s v="Mickie"/>
        <s v="Alethia"/>
        <s v="Juliette"/>
        <s v="Francina"/>
        <s v="Carylon"/>
        <s v="Nidia"/>
        <s v="Celestina"/>
        <s v="Brook"/>
        <s v="Jestine"/>
        <s v="Lavonda"/>
        <s v="Sumiko"/>
        <s v="Earnest"/>
        <s v="Dwana"/>
        <s v="Yuriko"/>
        <s v="Ahmed"/>
        <s v="Eusebia"/>
        <s v="Ilana"/>
        <s v="Lady"/>
        <s v="Abraham"/>
        <s v="Tomeka"/>
        <s v="Kenya"/>
        <s v="Jaunita"/>
        <s v="Roberto"/>
        <s v="Tennie"/>
        <s v="Marisela"/>
        <s v="Noah"/>
        <s v="Hollie"/>
        <s v="Susana"/>
        <s v="Vinnie"/>
        <s v="Anita"/>
        <s v="Tequila"/>
        <s v="Pamala"/>
        <s v="Jerri"/>
        <s v="Amy"/>
        <s v="Louann"/>
        <s v="Luanna"/>
        <s v="Velda"/>
        <s v="Carolynn"/>
        <s v="Susan"/>
        <s v="Winnie"/>
        <s v="Laurence"/>
        <s v="Caterina"/>
        <s v="Rogelio"/>
        <s v="Ariana"/>
        <s v="Samantha"/>
        <s v="Synthia"/>
        <s v="Lauretta"/>
        <s v="Dortha"/>
        <s v="Bill"/>
        <s v="Linh"/>
        <s v="Casandra"/>
        <s v="Magen"/>
        <s v="Waldo"/>
        <s v="Vina"/>
        <s v="Ophelia"/>
        <s v="Gwen"/>
        <s v="Lennie"/>
        <s v="Claretta"/>
        <s v="Stewart"/>
        <s v="Karon"/>
        <s v="Janine"/>
        <s v="Cristine"/>
        <s v="Deane"/>
        <s v="Cher"/>
        <s v="Mendy"/>
        <s v="Loma"/>
        <s v="Evan"/>
        <s v="Thao"/>
        <s v="Coleman"/>
        <s v="Tesha"/>
        <s v="Rae"/>
        <s v="Lien"/>
        <s v="Angila"/>
        <s v="Eula"/>
        <s v="Anh"/>
        <s v="Edmond"/>
        <s v="Season"/>
        <s v="Alysia"/>
        <s v="Ressie"/>
        <s v="Darcey"/>
        <s v="Kenia"/>
        <s v="Nida"/>
        <s v="Scotty"/>
        <s v="Claris"/>
        <s v="Seymour"/>
      </sharedItems>
    </cacheField>
    <cacheField name="Last Name" numFmtId="0">
      <sharedItems count="1818">
        <s v="Baxter"/>
        <s v="Huffman"/>
        <s v="Vickers"/>
        <s v="Rangel"/>
        <s v="Meade"/>
        <s v="Holman"/>
        <s v="Vincent"/>
        <s v="Naquin"/>
        <s v="Clark"/>
        <s v="Link"/>
        <s v="Willis"/>
        <s v="Bell"/>
        <s v="Givens"/>
        <s v="Velasquez"/>
        <s v="Carr"/>
        <s v="Eaton"/>
        <s v="Sinclair"/>
        <s v="Kirby"/>
        <s v="Mann"/>
        <s v="Baca"/>
        <s v="Rubio"/>
        <s v="Gomes"/>
        <s v="Alston"/>
        <s v="Bruner"/>
        <s v="Coley"/>
        <s v="Durham"/>
        <s v="Godwin"/>
        <s v="Sylvester"/>
        <s v="Gamble"/>
        <s v="Schneider"/>
        <s v="Hendrickson"/>
        <s v="Connolly"/>
        <s v="Darnell"/>
        <s v="Christiansen"/>
        <s v="Caudill"/>
        <s v="Key"/>
        <s v="Huggins"/>
        <s v="Pierce"/>
        <s v="Hawkins"/>
        <s v="Mcghee"/>
        <s v="Mcnamara"/>
        <s v="Ruffin"/>
        <s v="Rodriquez"/>
        <s v="Vogt"/>
        <s v="Quinn"/>
        <s v="Merritt"/>
        <s v="Tidwell"/>
        <s v="Self"/>
        <s v="Montano"/>
        <s v="Navarro"/>
        <s v="Daniels"/>
        <s v="Walsh"/>
        <s v="Belanger"/>
        <s v="Honeycutt"/>
        <s v="Bartlett"/>
        <s v="Jernigan"/>
        <s v="Poe"/>
        <s v="Gates"/>
        <s v="Sanford"/>
        <s v="Joseph"/>
        <s v="Davis"/>
        <s v="Pickens"/>
        <s v="Colvin"/>
        <s v="Downs"/>
        <s v="Browne"/>
        <s v="Mcbride"/>
        <s v="Baez"/>
        <s v="Soto"/>
        <s v="Stringer"/>
        <s v="Hooks"/>
        <s v="Ledbetter"/>
        <s v="Stapleton"/>
        <s v="Gleason"/>
        <s v="Hyde"/>
        <s v="Allred"/>
        <s v="Ramsey"/>
        <s v="Case"/>
        <s v="Gabriel"/>
        <s v="Green"/>
        <s v="Boudreaux"/>
        <s v="Hurst"/>
        <s v="Newton"/>
        <s v="Mcpherson"/>
        <s v="Tripp"/>
        <s v="Martinez"/>
        <s v="Best"/>
        <s v="Owens"/>
        <s v="Beatty"/>
        <s v="Hargrove"/>
        <s v="Vega"/>
        <s v="Cody"/>
        <s v="Yoder"/>
        <s v="Hannah"/>
        <s v="Kelley"/>
        <s v="Russo"/>
        <s v="Stephenson"/>
        <s v="Lake"/>
        <s v="Harding"/>
        <s v="Mckinley"/>
        <s v="Hare"/>
        <s v="Sadler"/>
        <s v="Andrade"/>
        <s v="Hanks"/>
        <s v="Krause"/>
        <s v="Everett"/>
        <s v="Espinosa"/>
        <s v="Lutz"/>
        <s v="Espinoza"/>
        <s v="Roy"/>
        <s v="Burr"/>
        <s v="Goddard"/>
        <s v="Haywood"/>
        <s v="Kaufman"/>
        <s v="Faulkner"/>
        <s v="Morales"/>
        <s v="Carlson"/>
        <s v="Fournier"/>
        <s v="Tyson"/>
        <s v="Woodward"/>
        <s v="Betts"/>
        <s v="Winter"/>
        <s v="Frye"/>
        <s v="Mcclendon"/>
        <s v="Browning"/>
        <s v="Brandon"/>
        <s v="Graves"/>
        <s v="Becker"/>
        <s v="Ayala"/>
        <s v="Rosa"/>
        <s v="Salas"/>
        <s v="Shipman"/>
        <s v="Gonzalez"/>
        <s v="Valdez"/>
        <s v="Rosado"/>
        <s v="Cowan"/>
        <s v="Salgado"/>
        <s v="Staples"/>
        <s v="Russell"/>
        <s v="Newell"/>
        <s v="Lanier"/>
        <s v="Britton"/>
        <s v="Chambers"/>
        <s v="Leary"/>
        <s v="Hensley"/>
        <s v="Gibbs"/>
        <s v="Foster"/>
        <s v="Spicer"/>
        <s v="King"/>
        <s v="Bird"/>
        <s v="Barrett"/>
        <s v="Bateman"/>
        <s v="Culver"/>
        <s v="Odom"/>
        <s v="Daniel"/>
        <s v="Voss"/>
        <s v="Mcmanus"/>
        <s v="Henry"/>
        <s v="Lancaster"/>
        <s v="Gutierrez"/>
        <s v="Tompkins"/>
        <s v="Kessler"/>
        <s v="Mcguire"/>
        <s v="Burks"/>
        <s v="Childers"/>
        <s v="Peck"/>
        <s v="Jaramillo"/>
        <s v="Fleming"/>
        <s v="Harrison"/>
        <s v="Wolf"/>
        <s v="Moreno"/>
        <s v="Quinones"/>
        <s v="Mayes"/>
        <s v="Clinton"/>
        <s v="Albert"/>
        <s v="Colbert"/>
        <s v="Macias"/>
        <s v="Costello"/>
        <s v="Weir"/>
        <s v="Farley"/>
        <s v="Bradley"/>
        <s v="Whitehead"/>
        <s v="Hayes"/>
        <s v="Field"/>
        <s v="Shook"/>
        <s v="Goodson"/>
        <s v="Mccain"/>
        <s v="Calhoun"/>
        <s v="Wilkes"/>
        <s v="Haskins"/>
        <s v="Mcclain"/>
        <s v="Bassett"/>
        <s v="Engel"/>
        <s v="Gonzales"/>
        <s v="Mccormick"/>
        <s v="Barton"/>
        <s v="Means"/>
        <s v="Kennedy"/>
        <s v="Copeland"/>
        <s v="Jean"/>
        <s v="Lopez"/>
        <s v="Acevedo"/>
        <s v="Aldrich"/>
        <s v="Vaughan"/>
        <s v="Boston"/>
        <s v="Britt"/>
        <s v="Akers"/>
        <s v="Kaiser"/>
        <s v="Haines"/>
        <s v="Garland"/>
        <s v="Blanton"/>
        <s v="Benton"/>
        <s v="Higgins"/>
        <s v="Justice"/>
        <s v="Fontenot"/>
        <s v="Hartman"/>
        <s v="Booth"/>
        <s v="Eastman"/>
        <s v="Gallagher"/>
        <s v="Dudley"/>
        <s v="Messer"/>
        <s v="Miles"/>
        <s v="Shaffer"/>
        <s v="Michael"/>
        <s v="Rowland"/>
        <s v="Olsen"/>
        <s v="Reyes"/>
        <s v="Polk"/>
        <s v="Pritchett"/>
        <s v="Ballard"/>
        <s v="Petty"/>
        <s v="Myles"/>
        <s v="Spivey"/>
        <s v="Miranda"/>
        <s v="Aguilar"/>
        <s v="Rowe"/>
        <s v="Felton"/>
        <s v="Roper"/>
        <s v="Miner"/>
        <s v="Winters"/>
        <s v="Pratt"/>
        <s v="Stout"/>
        <s v="Mccracken"/>
        <s v="Estes"/>
        <s v="Benjamin"/>
        <s v="Welch"/>
        <s v="Crenshaw"/>
        <s v="Thurman"/>
        <s v="Rushing"/>
        <s v="Plummer"/>
        <s v="Connell"/>
        <s v="Dodge"/>
        <s v="Thornton"/>
        <s v="Elmore"/>
        <s v="Witt"/>
        <s v="Dennison"/>
        <s v="Butler"/>
        <s v="Bauer"/>
        <s v="Saldana"/>
        <s v="Pruitt"/>
        <s v="Hilliard"/>
        <s v="Scott"/>
        <s v="Branch"/>
        <s v="Whitley"/>
        <s v="Christopher"/>
        <s v="Simpson"/>
        <s v="Kerr"/>
        <s v="Echols"/>
        <s v="Morris"/>
        <s v="John"/>
        <s v="Lam"/>
        <s v="Maloney"/>
        <s v="Houston"/>
        <s v="Hale"/>
        <s v="Boggs"/>
        <s v="Greenberg"/>
        <s v="Jimenez"/>
        <s v="Hoyt"/>
        <s v="Sheehan"/>
        <s v="Parsons"/>
        <s v="Hardin"/>
        <s v="Reeder"/>
        <s v="Stuart"/>
        <s v="Ritchie"/>
        <s v="Kinney"/>
        <s v="Feldman"/>
        <s v="Short"/>
        <s v="Young"/>
        <s v="Funk"/>
        <s v="Mcqueen"/>
        <s v="Abraham"/>
        <s v="Marks"/>
        <s v="Westbrook"/>
        <s v="Mccann"/>
        <s v="Sheldon"/>
        <s v="Mcfadden"/>
        <s v="Smith"/>
        <s v="Gaines"/>
        <s v="Dailey"/>
        <s v="Engle"/>
        <s v="Payne"/>
        <s v="Shields"/>
        <s v="Moyer"/>
        <s v="Carver"/>
        <s v="Felix"/>
        <s v="Cameron"/>
        <s v="Cain"/>
        <s v="Berg"/>
        <s v="Lynn"/>
        <s v="Peters"/>
        <s v="Morgan"/>
        <s v="Holbrook"/>
        <s v="Mccollum"/>
        <s v="Bingham"/>
        <s v="Jordan"/>
        <s v="Mcallister"/>
        <s v="Dunbar"/>
        <s v="Keen"/>
        <s v="Williams"/>
        <s v="Schafer"/>
        <s v="Stafford"/>
        <s v="Blake"/>
        <s v="Parker"/>
        <s v="Dove"/>
        <s v="Nicholson"/>
        <s v="Leslie"/>
        <s v="Lockett"/>
        <s v="Irving"/>
        <s v="Coates"/>
        <s v="Tipton"/>
        <s v="Burnette"/>
        <s v="Duran"/>
        <s v="Kiser"/>
        <s v="Carlton"/>
        <s v="Golden"/>
        <s v="Tobin"/>
        <s v="Cordova"/>
        <s v="Lunsford"/>
        <s v="Kenny"/>
        <s v="Silva"/>
        <s v="Bunch"/>
        <s v="Helms"/>
        <s v="Jensen"/>
        <s v="Mckenna"/>
        <s v="Tuttle"/>
        <s v="Lovell"/>
        <s v="Goodrich"/>
        <s v="Ambrose"/>
        <s v="Duffy"/>
        <s v="Edwards"/>
        <s v="Munson"/>
        <s v="Faulk"/>
        <s v="Nguyen"/>
        <s v="Crowe"/>
        <s v="Dahl"/>
        <s v="Burris"/>
        <s v="Pace"/>
        <s v="Brewster"/>
        <s v="Potts"/>
        <s v="Maddox"/>
        <s v="Curran"/>
        <s v="Smallwood"/>
        <s v="Deleon"/>
        <s v="Beltran"/>
        <s v="Bland"/>
        <s v="Carpenter"/>
        <s v="Stanley"/>
        <s v="Lyles"/>
        <s v="Beck"/>
        <s v="Coon"/>
        <s v="Tapia"/>
        <s v="Arrington"/>
        <s v="Paulson"/>
        <s v="Jacob"/>
        <s v="Leblanc"/>
        <s v="Hatfield"/>
        <s v="Crawford"/>
        <s v="Snider"/>
        <s v="Griggs"/>
        <s v="Singleton"/>
        <s v="Jacobs"/>
        <s v="Salinas"/>
        <s v="Sutherland"/>
        <s v="Alexander"/>
        <s v="Seymour"/>
        <s v="Small"/>
        <s v="Ashley"/>
        <s v="Contreras"/>
        <s v="Triplett"/>
        <s v="Donahue"/>
        <s v="Lim"/>
        <s v="Pena"/>
        <s v="Tatum"/>
        <s v="Winston"/>
        <s v="House"/>
        <s v="Watkins"/>
        <s v="Wade"/>
        <s v="Moses"/>
        <s v="Clay"/>
        <s v="Molina"/>
        <s v="Blevins"/>
        <s v="Franks"/>
        <s v="Jeffries"/>
        <s v="Fuller"/>
        <s v="Dorsey"/>
        <s v="Willard"/>
        <s v="Stevens"/>
        <s v="Whaley"/>
        <s v="Chavez"/>
        <s v="Fenton"/>
        <s v="Graham"/>
        <s v="Sargent"/>
        <s v="Bowen"/>
        <s v="Villalobos"/>
        <s v="Cleveland"/>
        <s v="Rodriguez"/>
        <s v="Kirkpatrick"/>
        <s v="Biggs"/>
        <s v="Waldron"/>
        <s v="Mendez"/>
        <s v="Giles"/>
        <s v="Purvis"/>
        <s v="Sims"/>
        <s v="Gregory"/>
        <s v="Bright"/>
        <s v="Perkins"/>
        <s v="Childs"/>
        <s v="Hyatt"/>
        <s v="Hilton"/>
        <s v="Addison"/>
        <s v="Mcintyre"/>
        <s v="Goss"/>
        <s v="Cervantes"/>
        <s v="Ash"/>
        <s v="Rhodes"/>
        <s v="Skinner"/>
        <s v="Banks"/>
        <s v="Friedman"/>
        <s v="Cardenas"/>
        <s v="Bliss"/>
        <s v="Rosales"/>
        <s v="Velez"/>
        <s v="Diggs"/>
        <s v="Terrell"/>
        <s v="Lee"/>
        <s v="Fischer"/>
        <s v="Cabrera"/>
        <s v="Bledsoe"/>
        <s v="Pool"/>
        <s v="Holder"/>
        <s v="Lord"/>
        <s v="Lassiter"/>
        <s v="Mayer"/>
        <s v="Stephens"/>
        <s v="Correa"/>
        <s v="Chase"/>
        <s v="Stratton"/>
        <s v="Currie"/>
        <s v="Magee"/>
        <s v="Pacheco"/>
        <s v="Bray"/>
        <s v="Spencer"/>
        <s v="Lehman"/>
        <s v="Laird"/>
        <s v="Maxwell"/>
        <s v="Thomson"/>
        <s v="Gilmore"/>
        <s v="Hatcher"/>
        <s v="Inman"/>
        <s v="Pina"/>
        <s v="Simons"/>
        <s v="Coffman"/>
        <s v="Quintero"/>
        <s v="Carson"/>
        <s v="Brooks"/>
        <s v="Enriquez"/>
        <s v="Barrow"/>
        <s v="Wright"/>
        <s v="Isaac"/>
        <s v="Mercado"/>
        <s v="Dugan"/>
        <s v="Dick"/>
        <s v="Hughes"/>
        <s v="Campos"/>
        <s v="Burch"/>
        <s v="Joyner"/>
        <s v="Segura"/>
        <s v="Eubanks"/>
        <s v="Weston"/>
        <s v="Adams"/>
        <s v="Hinton"/>
        <s v="Moseley"/>
        <s v="Louis"/>
        <s v="Lilly"/>
        <s v="Noble"/>
        <s v="Mayo"/>
        <s v="Owen"/>
        <s v="Mooney"/>
        <s v="Gordon"/>
        <s v="Gilliam"/>
        <s v="Souza"/>
        <s v="Duarte"/>
        <s v="Dumas"/>
        <s v="Pettit"/>
        <s v="Winkler"/>
        <s v="Hogue"/>
        <s v="Johns"/>
        <s v="Medina"/>
        <s v="Nichols"/>
        <s v="Estrada"/>
        <s v="Savage"/>
        <s v="Daugherty"/>
        <s v="Groves"/>
        <s v="Livingston"/>
        <s v="Aragon"/>
        <s v="Burgos"/>
        <s v="Erickson"/>
        <s v="Walter"/>
        <s v="Vera"/>
        <s v="Doherty"/>
        <s v="Sewell"/>
        <s v="London"/>
        <s v="William"/>
        <s v="Levine"/>
        <s v="Jenkins"/>
        <s v="Travis"/>
        <s v="Rogers"/>
        <s v="Pendleton"/>
        <s v="Lusk"/>
        <s v="Blackburn"/>
        <s v="Jefferson"/>
        <s v="Wilkins"/>
        <s v="Law"/>
        <s v="Rose"/>
        <s v="Bean"/>
        <s v="Richter"/>
        <s v="Bernard"/>
        <s v="Lindsey"/>
        <s v="Connors"/>
        <s v="Cross"/>
        <s v="Leach"/>
        <s v="Pitts"/>
        <s v="Crews"/>
        <s v="Land"/>
        <s v="Mueller"/>
        <s v="Vela"/>
        <s v="Oneill"/>
        <s v="Maher"/>
        <s v="Lucero"/>
        <s v="Manning"/>
        <s v="Denton"/>
        <s v="Warren"/>
        <s v="Bullock"/>
        <s v="Dunham"/>
        <s v="Mckinnon"/>
        <s v="Richmond"/>
        <s v="Cooley"/>
        <s v="Weaver"/>
        <s v="Oleary"/>
        <s v="Hill"/>
        <s v="Bowles"/>
        <s v="Greer"/>
        <s v="Montoya"/>
        <s v="Pryor"/>
        <s v="Whitney"/>
        <s v="Wheeler"/>
        <s v="Woodson"/>
        <s v="Braun"/>
        <s v="Landry"/>
        <s v="Haas"/>
        <s v="Barron"/>
        <s v="Carroll"/>
        <s v="Shelton"/>
        <s v="Hubbard"/>
        <s v="Langston"/>
        <s v="Couch"/>
        <s v="Dunlap"/>
        <s v="Lott"/>
        <s v="Vogel"/>
        <s v="Forbes"/>
        <s v="Medrano"/>
        <s v="Bower"/>
        <s v="Yeager"/>
        <s v="Dickey"/>
        <s v="Sheridan"/>
        <s v="Day"/>
        <s v="Holliday"/>
        <s v="Knapp"/>
        <s v="Gomez"/>
        <s v="Hunt"/>
        <s v="Drew"/>
        <s v="Armstrong"/>
        <s v="Vann"/>
        <s v="Dodd"/>
        <s v="Le"/>
        <s v="Turner"/>
        <s v="Bond"/>
        <s v="Castro"/>
        <s v="Keene"/>
        <s v="Reeves"/>
        <s v="Corley"/>
        <s v="Howell"/>
        <s v="Childress"/>
        <s v="Mcginnis"/>
        <s v="Looney"/>
        <s v="Easley"/>
        <s v="Vigil"/>
        <s v="Sweet"/>
        <s v="Gee"/>
        <s v="George"/>
        <s v="Flores"/>
        <s v="Collins"/>
        <s v="Rankin"/>
        <s v="Crabtree"/>
        <s v="Mathis"/>
        <s v="Wagner"/>
        <s v="Barber"/>
        <s v="Randolph"/>
        <s v="Hackett"/>
        <s v="Mcneill"/>
        <s v="Cates"/>
        <s v="Forrest"/>
        <s v="Singh"/>
        <s v="Steele"/>
        <s v="Gardner"/>
        <s v="Horn"/>
        <s v="West"/>
        <s v="Leon"/>
        <s v="Cornelius"/>
        <s v="Katz"/>
        <s v="Cannon"/>
        <s v="Doyle"/>
        <s v="Sharp"/>
        <s v="Greenwood"/>
        <s v="Holley"/>
        <s v="Weiss"/>
        <s v="Dewitt"/>
        <s v="Robbins"/>
        <s v="Masters"/>
        <s v="Pollock"/>
        <s v="Swenson"/>
        <s v="Belcher"/>
        <s v="Shearer"/>
        <s v="Starr"/>
        <s v="Valentine"/>
        <s v="Hadley"/>
        <s v="Hickey"/>
        <s v="Gorman"/>
        <s v="Gill"/>
        <s v="Dickens"/>
        <s v="Hand"/>
        <s v="Archer"/>
        <s v="Hairston"/>
        <s v="Beasley"/>
        <s v="Hathaway"/>
        <s v="Ransom"/>
        <s v="Bowers"/>
        <s v="Morrow"/>
        <s v="Roach"/>
        <s v="Ames"/>
        <s v="Donnelly"/>
        <s v="Ouellette"/>
        <s v="Watts"/>
        <s v="Keller"/>
        <s v="Clement"/>
        <s v="Hollis"/>
        <s v="Helton"/>
        <s v="Mcknight"/>
        <s v="Maldonado"/>
        <s v="Lockwood"/>
        <s v="Simon"/>
        <s v="Cook"/>
        <s v="Varner"/>
        <s v="Hanson"/>
        <s v="Nelson"/>
        <s v="Thorpe"/>
        <s v="Kauffman"/>
        <s v="Marin"/>
        <s v="Francis"/>
        <s v="Ramos"/>
        <s v="Porter"/>
        <s v="Daly"/>
        <s v="Hobbs"/>
        <s v="Jorgensen"/>
        <s v="Nix"/>
        <s v="Solomon"/>
        <s v="Obrien"/>
        <s v="Novak"/>
        <s v="Mcclellan"/>
        <s v="Goldsmith"/>
        <s v="Tate"/>
        <s v="Patton"/>
        <s v="Flint"/>
        <s v="Mclain"/>
        <s v="Snow"/>
        <s v="Prescott"/>
        <s v="Neff"/>
        <s v="Santos"/>
        <s v="Sprague"/>
        <s v="Burton"/>
        <s v="Singer"/>
        <s v="Drake"/>
        <s v="Dwyer"/>
        <s v="Gibbons"/>
        <s v="Daley"/>
        <s v="Dickerson"/>
        <s v="Woodruff"/>
        <s v="Ladd"/>
        <s v="Steiner"/>
        <s v="Kurtz"/>
        <s v="Dye"/>
        <s v="Whalen"/>
        <s v="Merrill"/>
        <s v="Craig"/>
        <s v="Avila"/>
        <s v="Phelps"/>
        <s v="Johnston"/>
        <s v="Youngblood"/>
        <s v="Nielsen"/>
        <s v="Abel"/>
        <s v="Malone"/>
        <s v="Webb"/>
        <s v="Farris"/>
        <s v="Sorensen"/>
        <s v="Landers"/>
        <s v="Mays"/>
        <s v="Talbot"/>
        <s v="Mclean"/>
        <s v="Conway"/>
        <s v="Mims"/>
        <s v="Austin"/>
        <s v="Hanna"/>
        <s v="Kemp"/>
        <s v="Judd"/>
        <s v="Camacho"/>
        <s v="Peoples"/>
        <s v="Lowe"/>
        <s v="Shultz"/>
        <s v="Ferreira"/>
        <s v="Milligan"/>
        <s v="Whitlock"/>
        <s v="Bradshaw"/>
        <s v="Overton"/>
        <s v="Cortez"/>
        <s v="Buckner"/>
        <s v="Shipley"/>
        <s v="Crowder"/>
        <s v="Herring"/>
        <s v="Parra"/>
        <s v="Waddell"/>
        <s v="Bishop"/>
        <s v="Brennan"/>
        <s v="Kimble"/>
        <s v="Jacobsen"/>
        <s v="Snyder"/>
        <s v="Houser"/>
        <s v="Torres"/>
        <s v="Park"/>
        <s v="Sheppard"/>
        <s v="Patrick"/>
        <s v="Perez"/>
        <s v="Corona"/>
        <s v="Kyle"/>
        <s v="Egan"/>
        <s v="Cantu"/>
        <s v="Bellamy"/>
        <s v="Woodall"/>
        <s v="Garza"/>
        <s v="Knight"/>
        <s v="Richey"/>
        <s v="Ibarra"/>
        <s v="Deal"/>
        <s v="Harris"/>
        <s v="Griffin"/>
        <s v="Redmond"/>
        <s v="Benoit"/>
        <s v="Brunson"/>
        <s v="Hammond"/>
        <s v="Kent"/>
        <s v="Cummings"/>
        <s v="Monroe"/>
        <s v="Clayton"/>
        <s v="Stubbs"/>
        <s v="Moore"/>
        <s v="Coffey"/>
        <s v="Thompson"/>
        <s v="Bonner"/>
        <s v="Crandall"/>
        <s v="Swartz"/>
        <s v="Herrera"/>
        <s v="Mead"/>
        <s v="Guerra"/>
        <s v="Schaefer"/>
        <s v="Campbell"/>
        <s v="Grove"/>
        <s v="Pike"/>
        <s v="Simms"/>
        <s v="Workman"/>
        <s v="Vazquez"/>
        <s v="Mcmahon"/>
        <s v="Vick"/>
        <s v="Mcgill"/>
        <s v="Saenz"/>
        <s v="Greene"/>
        <s v="Valle"/>
        <s v="Leal"/>
        <s v="Williamson"/>
        <s v="Worley"/>
        <s v="Oneal"/>
        <s v="Darling"/>
        <s v="Preston"/>
        <s v="Pittman"/>
        <s v="James"/>
        <s v="Geiger"/>
        <s v="Flowers"/>
        <s v="Dobson"/>
        <s v="Goodwin"/>
        <s v="Frederick"/>
        <s v="Cisneros"/>
        <s v="Teague"/>
        <s v="Elder"/>
        <s v="Hopper"/>
        <s v="Stanton"/>
        <s v="Alvarado"/>
        <s v="Kane"/>
        <s v="Ponce"/>
        <s v="Vernon"/>
        <s v="Atwood"/>
        <s v="Poole"/>
        <s v="Parson"/>
        <s v="Sharpe"/>
        <s v="Wall"/>
        <s v="Devine"/>
        <s v="Jeffers"/>
        <s v="Shannon"/>
        <s v="Gold"/>
        <s v="Mendoza"/>
        <s v="Cline"/>
        <s v="Walden"/>
        <s v="Starks"/>
        <s v="Lyons"/>
        <s v="Lowry"/>
        <s v="Clements"/>
        <s v="Gaston"/>
        <s v="Bentley"/>
        <s v="Amos"/>
        <s v="Glover"/>
        <s v="Nadeau"/>
        <s v="Hopkins"/>
        <s v="Sanchez"/>
        <s v="Moss"/>
        <s v="Wang"/>
        <s v="Anaya"/>
        <s v="Ziegler"/>
        <s v="Salazar"/>
        <s v="Mccarthy"/>
        <s v="Marrero"/>
        <s v="Fish"/>
        <s v="Arias"/>
        <s v="Corcoran"/>
        <s v="Pierson"/>
        <s v="Eddy"/>
        <s v="Cuevas"/>
        <s v="Hoskins"/>
        <s v="Guidry"/>
        <s v="Prater"/>
        <s v="Mcintosh"/>
        <s v="Bravo"/>
        <s v="Barlow"/>
        <s v="Foley"/>
        <s v="Bacon"/>
        <s v="Carey"/>
        <s v="Boykin"/>
        <s v="Whitfield"/>
        <s v="Beaver"/>
        <s v="Doty"/>
        <s v="Galloway"/>
        <s v="Byrd"/>
        <s v="Flynn"/>
        <s v="Serrano"/>
        <s v="Flood"/>
        <s v="Riggs"/>
        <s v="Albright"/>
        <s v="Walker"/>
        <s v="Hurd"/>
        <s v="Stinson"/>
        <s v="Knowles"/>
        <s v="Staley"/>
        <s v="Huddleston"/>
        <s v="Odell"/>
        <s v="Keenan"/>
        <s v="Lacey"/>
        <s v="Lujan"/>
        <s v="Ham"/>
        <s v="Rivas"/>
        <s v="Velazquez"/>
        <s v="Burroughs"/>
        <s v="Cornett"/>
        <s v="Finley"/>
        <s v="Mcwilliams"/>
        <s v="Mcmullen"/>
        <s v="Blanchard"/>
        <s v="Dodson"/>
        <s v="Timmons"/>
        <s v="Crane"/>
        <s v="Meyers"/>
        <s v="Freeman"/>
        <s v="Douglas"/>
        <s v="Ho"/>
        <s v="Erwin"/>
        <s v="Herndon"/>
        <s v="Fraser"/>
        <s v="Keys"/>
        <s v="Wise"/>
        <s v="Ruiz"/>
        <s v="Horne"/>
        <s v="Champagne"/>
        <s v="Connor"/>
        <s v="Ware"/>
        <s v="Howe"/>
        <s v="Parr"/>
        <s v="Garrison"/>
        <s v="Herrington"/>
        <s v="Paige"/>
        <s v="Wolfe"/>
        <s v="Hendricks"/>
        <s v="Nolan"/>
        <s v="Marcus"/>
        <s v="Womack"/>
        <s v="Tran"/>
        <s v="Ramirez"/>
        <s v="Marino"/>
        <s v="Irvin"/>
        <s v="Barnett"/>
        <s v="Smiley"/>
        <s v="Weeks"/>
        <s v="Newman"/>
        <s v="Billings"/>
        <s v="Haley"/>
        <s v="Sykes"/>
        <s v="Thomas"/>
        <s v="Peterson"/>
        <s v="Early"/>
        <s v="Vasquez"/>
        <s v="Mcmillan"/>
        <s v="Romano"/>
        <s v="Ackerman"/>
        <s v="Solis"/>
        <s v="Earl"/>
        <s v="Galindo"/>
        <s v="Numbers"/>
        <s v="Comer"/>
        <s v="Santiago"/>
        <s v="Brandt"/>
        <s v="Wu"/>
        <s v="Xiong"/>
        <s v="Raymond"/>
        <s v="Mcgee"/>
        <s v="Ferguson"/>
        <s v="Fritz"/>
        <s v="Sumner"/>
        <s v="Rosen"/>
        <s v="Stone"/>
        <s v="Conklin"/>
        <s v="Burnett"/>
        <s v="Temple"/>
        <s v="Baird"/>
        <s v="Schaffer"/>
        <s v="Sherman"/>
        <s v="Wilson"/>
        <s v="Guerrero"/>
        <s v="Gage"/>
        <s v="Crowley"/>
        <s v="Chin"/>
        <s v="Anthony"/>
        <s v="Shea"/>
        <s v="Delgado"/>
        <s v="Pugh"/>
        <s v="Wolff"/>
        <s v="Buck"/>
        <s v="Casey"/>
        <s v="Hall"/>
        <s v="Stallings"/>
        <s v="Trotter"/>
        <s v="Townsend"/>
        <s v="Choi"/>
        <s v="Mora"/>
        <s v="Boone"/>
        <s v="Kendrick"/>
        <s v="Cooke"/>
        <s v="Lynch"/>
        <s v="Seay"/>
        <s v="Swan"/>
        <s v="Burrell"/>
        <s v="Kincaid"/>
        <s v="Matthews"/>
        <s v="Farrell"/>
        <s v="Hurley"/>
        <s v="Beard"/>
        <s v="Christie"/>
        <s v="Farmer"/>
        <s v="Alvarez"/>
        <s v="Lloyd"/>
        <s v="Stern"/>
        <s v="Mackey"/>
        <s v="Emery"/>
        <s v="Hankins"/>
        <s v="Olson"/>
        <s v="Mohr"/>
        <s v="Platt"/>
        <s v="Hawk"/>
        <s v="Church"/>
        <s v="Lawson"/>
        <s v="Cartwright"/>
        <s v="Thorne"/>
        <s v="Stokes"/>
        <s v="Coker"/>
        <s v="Madden"/>
        <s v="Atkinson"/>
        <s v="Boyce"/>
        <s v="Sierra"/>
        <s v="Delarosa"/>
        <s v="Rosario"/>
        <s v="Schultz"/>
        <s v="Fitzgerald"/>
        <s v="Samuels"/>
        <s v="Prather"/>
        <s v="Mcdonough"/>
        <s v="Trujillo"/>
        <s v="Roark"/>
        <s v="Chandler"/>
        <s v="Bowden"/>
        <s v="Foreman"/>
        <s v="Busby"/>
        <s v="Stacy"/>
        <s v="Mata"/>
        <s v="Gore"/>
        <s v="Wiggins"/>
        <s v="Posey"/>
        <s v="Ingram"/>
        <s v="Schmitt"/>
        <s v="Langford"/>
        <s v="Ball"/>
        <s v="Kruse"/>
        <s v="Colon"/>
        <s v="Dubois"/>
        <s v="Woody"/>
        <s v="Chung"/>
        <s v="Ashby"/>
        <s v="Welsh"/>
        <s v="Harrell"/>
        <s v="Mckee"/>
        <s v="Carter"/>
        <s v="Mcdowell"/>
        <s v="Vance"/>
        <s v="Mullins"/>
        <s v="Cote"/>
        <s v="Calloway"/>
        <s v="Ellison"/>
        <s v="Robison"/>
        <s v="Horner"/>
        <s v="Petersen"/>
        <s v="Eldridge"/>
        <s v="Montgomery"/>
        <s v="Smart"/>
        <s v="Kilgore"/>
        <s v="Randle"/>
        <s v="Raines"/>
        <s v="Bridges"/>
        <s v="Callahan"/>
        <s v="Proctor"/>
        <s v="Ratliff"/>
        <s v="Kraft"/>
        <s v="Madison"/>
        <s v="Driver"/>
        <s v="Bradford"/>
        <s v="Randall"/>
        <s v="Cash"/>
        <s v="Paul"/>
        <s v="Dill"/>
        <s v="Osborne"/>
        <s v="Kirkland"/>
        <s v="Griffith"/>
        <s v="Grimes"/>
        <s v="Grady"/>
        <s v="Hooper"/>
        <s v="Nieves"/>
        <s v="Wyatt"/>
        <s v="Parks"/>
        <s v="Trevino"/>
        <s v="Conrad"/>
        <s v="Begay"/>
        <s v="Skaggs"/>
        <s v="Morton"/>
        <s v="Mcclure"/>
        <s v="Ramey"/>
        <s v="Manley"/>
        <s v="Hess"/>
        <s v="Nance"/>
        <s v="Peacock"/>
        <s v="Hatch"/>
        <s v="Hull"/>
        <s v="Sapp"/>
        <s v="Pagan"/>
        <s v="Gould"/>
        <s v="Langley"/>
        <s v="Chappell"/>
        <s v="Page"/>
        <s v="Henderson"/>
        <s v="Jones"/>
        <s v="Dean"/>
        <s v="Rasmussen"/>
        <s v="Mccauley"/>
        <s v="Oliver"/>
        <s v="Orr"/>
        <s v="Meredith"/>
        <s v="Akins"/>
        <s v="Whitaker"/>
        <s v="Humphrey"/>
        <s v="Arellano"/>
        <s v="Grayson"/>
        <s v="Pickett"/>
        <s v="Covington"/>
        <s v="Clemons"/>
        <s v="Gay"/>
        <s v="Coleman"/>
        <s v="Cassidy"/>
        <s v="Pierre"/>
        <s v="Robinson"/>
        <s v="Orozco"/>
        <s v="Ogden"/>
        <s v="Hines"/>
        <s v="Wilder"/>
        <s v="Blue"/>
        <s v="Pope"/>
        <s v="Gross"/>
        <s v="Duncan"/>
        <s v="Roman"/>
        <s v="Bennett"/>
        <s v="Wiseman"/>
        <s v="Carmichael"/>
        <s v="Cooper"/>
        <s v="Finch"/>
        <s v="Adkins"/>
        <s v="Schmitz"/>
        <s v="Underwood"/>
        <s v="Chen"/>
        <s v="Bryant"/>
        <s v="Calvert"/>
        <s v="Woodard"/>
        <s v="Fink"/>
        <s v="Rutherford"/>
        <s v="Hinson"/>
        <s v="Talley"/>
        <s v="White"/>
        <s v="Wills"/>
        <s v="Morin"/>
        <s v="Friend"/>
        <s v="Dale"/>
        <s v="Emerson"/>
        <s v="Ayers"/>
        <s v="Connelly"/>
        <s v="Phillips"/>
        <s v="Blackman"/>
        <s v="Ryan"/>
        <s v="Glenn"/>
        <s v="Lyon"/>
        <s v="Irwin"/>
        <s v="Holland"/>
        <s v="Herman"/>
        <s v="Whitman"/>
        <s v="Briggs"/>
        <s v="Pollard"/>
        <s v="Luna"/>
        <s v="Crow"/>
        <s v="Napier"/>
        <s v="Buckley"/>
        <s v="Ortega"/>
        <s v="Horton"/>
        <s v="Richardson"/>
        <s v="Michel"/>
        <s v="Spears"/>
        <s v="Castillo"/>
        <s v="Thacker"/>
        <s v="Presley"/>
        <s v="Bolden"/>
        <s v="Ricks"/>
        <s v="Barnard"/>
        <s v="Huerta"/>
        <s v="Rowell"/>
        <s v="Medeiros"/>
        <s v="Logan"/>
        <s v="Finn"/>
        <s v="Tovar"/>
        <s v="Hood"/>
        <s v="Hudson"/>
        <s v="Zapata"/>
        <s v="Bush"/>
        <s v="Hemphill"/>
        <s v="Buchanan"/>
        <s v="Oakley"/>
        <s v="Collier"/>
        <s v="Gary"/>
        <s v="Carrillo"/>
        <s v="Maynard"/>
        <s v="Corbin"/>
        <s v="Mcdonald"/>
        <s v="Hogan"/>
        <s v="Sanderson"/>
        <s v="Benitez"/>
        <s v="Fox"/>
        <s v="Goldstein"/>
        <s v="Odonnell"/>
        <s v="Negron"/>
        <s v="Mathews"/>
        <s v="Christensen"/>
        <s v="Knutson"/>
        <s v="Fowler"/>
        <s v="Lay"/>
        <s v="Franco"/>
        <s v="Askew"/>
        <s v="Blankenship"/>
        <s v="Light"/>
        <s v="Shepherd"/>
        <s v="Garcia"/>
        <s v="Booker"/>
        <s v="Bowling"/>
        <s v="Lovett"/>
        <s v="Pack"/>
        <s v="Kay"/>
        <s v="Battle"/>
        <s v="Ventura"/>
        <s v="Joyce"/>
        <s v="Rainey"/>
        <s v="Brown"/>
        <s v="Byrne"/>
        <s v="Healy"/>
        <s v="Rivers"/>
        <s v="Chu"/>
        <s v="Clifford"/>
        <s v="Prince"/>
        <s v="Post"/>
        <s v="Christian"/>
        <s v="Henley"/>
        <s v="Zamora"/>
        <s v="Vaughn"/>
        <s v="Snell"/>
        <s v="Putnam"/>
        <s v="Davidson"/>
        <s v="Villegas"/>
        <s v="Acosta"/>
        <s v="Painter"/>
        <s v="Burkett"/>
        <s v="Calderon"/>
        <s v="Mckenzie"/>
        <s v="Chan"/>
        <s v="Duvall"/>
        <s v="Glass"/>
        <s v="Myers"/>
        <s v="Escobar"/>
        <s v="Jewell"/>
        <s v="Neal"/>
        <s v="Washington"/>
        <s v="Lundy"/>
        <s v="Muller"/>
        <s v="English"/>
        <s v="Norton"/>
        <s v="Dowdy"/>
        <s v="Allison"/>
        <s v="Dougherty"/>
        <s v="Clarke"/>
        <s v="Goins"/>
        <s v="Sweeney"/>
        <s v="Mccall"/>
        <s v="Bryan"/>
        <s v="Gallegos"/>
        <s v="Grace"/>
        <s v="Parrish"/>
        <s v="Queen"/>
        <s v="Diaz"/>
        <s v="Thayer"/>
        <s v="Valentin"/>
        <s v="Kline"/>
        <s v="Eason"/>
        <s v="Jarrett"/>
        <s v="Tackett"/>
        <s v="Garrett"/>
        <s v="Warner"/>
        <s v="Spaulding"/>
        <s v="Blackmon"/>
        <s v="Walls"/>
        <s v="Guthrie"/>
        <s v="Riddle"/>
        <s v="Knox"/>
        <s v="Drummond"/>
        <s v="Decker"/>
        <s v="Slater"/>
        <s v="Shafer"/>
        <s v="Bates"/>
        <s v="Bowman"/>
        <s v="Nixon"/>
        <s v="Ott"/>
        <s v="Patterson"/>
        <s v="Dickinson"/>
        <s v="Wray"/>
        <s v="Ferrell"/>
        <s v="Richards"/>
        <s v="Sandoval"/>
        <s v="Tillman"/>
        <s v="Ivey"/>
        <s v="Wilkerson"/>
        <s v="Chamberlain"/>
        <s v="Cotton"/>
        <s v="Hutchins"/>
        <s v="Pate"/>
        <s v="Waller"/>
        <s v="Boucher"/>
        <s v="Donaldson"/>
        <s v="Corbett"/>
        <s v="Villa"/>
        <s v="Mason"/>
        <s v="Clifton"/>
        <s v="Gilbert"/>
        <s v="Madrid"/>
        <s v="Rocha"/>
        <s v="Longoria"/>
        <s v="Kidd"/>
        <s v="Strong"/>
        <s v="Conley"/>
        <s v="Neely"/>
        <s v="Stovall"/>
        <s v="Beach"/>
        <s v="Morrison"/>
        <s v="Schmidt"/>
        <s v="Byers"/>
        <s v="Foote"/>
        <s v="Vang"/>
        <s v="Shoemaker"/>
        <s v="Boyd"/>
        <s v="Fletcher"/>
        <s v="Haney"/>
        <s v="Reynolds"/>
        <s v="Lang"/>
        <s v="Atkins"/>
        <s v="Hobson"/>
        <s v="Rosas"/>
        <s v="Mullen"/>
        <s v="Harper"/>
        <s v="Arroyo"/>
        <s v="Yu"/>
        <s v="Tracy"/>
        <s v="Gentry"/>
        <s v="Mitchell"/>
        <s v="Hutton"/>
        <s v="Staton"/>
        <s v="Cahill"/>
        <s v="Gagnon"/>
        <s v="Mansfield"/>
        <s v="Miller"/>
        <s v="Crowell"/>
        <s v="Mccord"/>
        <s v="Michaud"/>
        <s v="Noel"/>
        <s v="Costa"/>
        <s v="Bolton"/>
        <s v="Darby"/>
        <s v="Stark"/>
        <s v="Montes"/>
        <s v="Goldman"/>
        <s v="Ybarra"/>
        <s v="Gillis"/>
        <s v="Murphy"/>
        <s v="Lane"/>
        <s v="Love"/>
        <s v="Stevenson"/>
        <s v="Guy"/>
        <s v="Mock"/>
        <s v="Ladner"/>
        <s v="Sexton"/>
        <s v="Mcfarland"/>
        <s v="Hart"/>
        <s v="Lawrence"/>
        <s v="Bouchard"/>
        <s v="Meier"/>
        <s v="Wynn"/>
        <s v="Elliott"/>
        <s v="Aaron"/>
        <s v="Richard"/>
        <s v="Leonard"/>
        <s v="Brock"/>
        <s v="Robles"/>
        <s v="Ochoa"/>
        <s v="Mckay"/>
        <s v="Abrams"/>
        <s v="Manuel"/>
        <s v="Baldwin"/>
        <s v="Pearson"/>
        <s v="Blackwell"/>
        <s v="Sellers"/>
        <s v="Jamison"/>
        <s v="Joiner"/>
        <s v="Witherspoon"/>
        <s v="Blair"/>
        <s v="Waters"/>
        <s v="Charles"/>
        <s v="Kerns"/>
        <s v="Conn"/>
        <s v="North"/>
        <s v="Cho"/>
        <s v="Hooker"/>
        <s v="Rodgers"/>
        <s v="Lester"/>
        <s v="Kirk"/>
        <s v="Roberson"/>
        <s v="Hayden"/>
        <s v="Crockett"/>
        <s v="Curtis"/>
        <s v="Bergeron"/>
        <s v="Saunders"/>
        <s v="Reagan"/>
        <s v="Beal"/>
        <s v="Sheffield"/>
        <s v="Riley"/>
        <s v="Cochran"/>
        <s v="Steward"/>
        <s v="Sanders"/>
        <s v="Mcgrath"/>
        <s v="Morse"/>
        <s v="Norwood"/>
        <s v="Rollins"/>
        <s v="Locke"/>
        <s v="Mccoy"/>
        <s v="Latham"/>
        <s v="Sawyer"/>
        <s v="Diamond"/>
        <s v="Webster"/>
        <s v="Watson"/>
        <s v="Cano"/>
        <s v="Dennis"/>
        <s v="Nickerson"/>
        <s v="Pritchard"/>
        <s v="Berry"/>
        <s v="Henson"/>
        <s v="Martin"/>
        <s v="England"/>
        <s v="Carrier"/>
        <s v="Rodrigues"/>
        <s v="Mercer"/>
        <s v="Yates"/>
        <s v="Metcalf"/>
        <s v="Burke"/>
        <s v="Gifford"/>
        <s v="Shirley"/>
        <s v="Pelletier"/>
        <s v="Werner"/>
        <s v="Barnes"/>
        <s v="Dyer"/>
        <s v="Elkins"/>
        <s v="Mayberry"/>
        <s v="Sams"/>
        <s v="Brewer"/>
        <s v="Mcneal"/>
        <s v="Roth"/>
        <s v="Evans"/>
        <s v="Arthur"/>
        <s v="Carney"/>
        <s v="Castaneda"/>
        <s v="Mcrae"/>
        <s v="Marcum"/>
        <s v="Aguirre"/>
        <s v="Tanner"/>
        <s v="Lewis"/>
        <s v="Norris"/>
        <s v="Hodges"/>
        <s v="Cruz"/>
        <s v="Kuhn"/>
        <s v="Bailey"/>
        <s v="Hester"/>
        <s v="Aldridge"/>
        <s v="Mack"/>
        <s v="Murray"/>
        <s v="Heard"/>
        <s v="Rouse"/>
        <s v="Tilley"/>
        <s v="Rosenberg"/>
        <s v="Dunn"/>
        <s v="Ray"/>
        <s v="Wells"/>
        <s v="Dawkins"/>
        <s v="Lugo"/>
        <s v="Rice"/>
        <s v="Oneil"/>
        <s v="Middleton"/>
        <s v="Spence"/>
        <s v="Broussard"/>
        <s v="Sosa"/>
        <s v="Hinkle"/>
        <s v="Harden"/>
        <s v="Purcell"/>
        <s v="Meza"/>
        <s v="Pereira"/>
        <s v="Ferris"/>
        <s v="Mobley"/>
        <s v="Arnold"/>
        <s v="Davenport"/>
        <s v="Major"/>
        <s v="Lucas"/>
        <s v="Read"/>
        <s v="Gipson"/>
        <s v="Barr"/>
        <s v="Davies"/>
        <s v="Suarez"/>
        <s v="Weber"/>
        <s v="Wooten"/>
        <s v="Cordero"/>
        <s v="Cope"/>
        <s v="Bartley"/>
        <s v="Ledford"/>
        <s v="Swift"/>
        <s v="Gibson"/>
        <s v="Hammer"/>
        <s v="Abbott"/>
        <s v="Todd"/>
        <s v="Valencia"/>
        <s v="Dolan"/>
        <s v="Blount"/>
        <s v="Lamb"/>
        <s v="Hearn"/>
        <s v="Haynes"/>
        <s v="Lackey"/>
        <s v="Sands"/>
        <s v="Pineda"/>
        <s v="Stanford"/>
        <s v="Ellis"/>
        <s v="Fry"/>
        <s v="Guzman"/>
        <s v="Marquez"/>
        <s v="Cramer"/>
        <s v="Pham"/>
        <s v="Wesley"/>
        <s v="Mcgraw"/>
        <s v="Stroud"/>
        <s v="Barajas"/>
        <s v="Dotson"/>
        <s v="Granger"/>
        <s v="Kramer"/>
        <s v="Mccarty"/>
        <s v="Springer"/>
        <s v="Bruce"/>
        <s v="Delacruz"/>
        <s v="Sullivan"/>
        <s v="Cortes"/>
        <s v="Delaney"/>
        <s v="Denny"/>
        <s v="David"/>
        <s v="Salter"/>
        <s v="Sparks"/>
        <s v="Anderson"/>
        <s v="Esparza"/>
        <s v="Fair"/>
        <s v="Shaw"/>
        <s v="Delong"/>
        <s v="Khan"/>
        <s v="Gustafson"/>
        <s v="Gagne"/>
        <s v="Fitch"/>
        <s v="Gunter"/>
        <s v="Bynum"/>
        <s v="Hancock"/>
        <s v="Walton"/>
        <s v="Minor"/>
        <s v="Conner"/>
        <s v="Sloan"/>
        <s v="Santana"/>
        <s v="Head"/>
        <s v="Franklin"/>
        <s v="Good"/>
        <s v="Wiley"/>
        <s v="Barker"/>
        <s v="Goldberg"/>
        <s v="Dutton"/>
        <s v="Goff"/>
        <s v="Dominguez"/>
        <s v="Toney"/>
        <s v="Gunn"/>
        <s v="Hutchinson"/>
        <s v="Crouch"/>
        <s v="Holden"/>
        <s v="Ohara"/>
        <s v="Rich"/>
        <s v="Chacon"/>
        <s v="Reaves"/>
        <s v="Cox"/>
        <s v="Bullard"/>
        <s v="Zavala"/>
        <s v="Hightower"/>
        <s v="Hampton"/>
        <s v="Sears"/>
        <s v="Meeks"/>
        <s v="Ward"/>
        <s v="Lara"/>
        <s v="Murdock"/>
        <s v="Hope"/>
        <s v="Frank"/>
        <s v="Mccabe"/>
        <s v="Romero"/>
        <s v="Zuniga"/>
        <s v="Grubbs"/>
        <s v="Kendall"/>
        <s v="Holmes"/>
        <s v="Tyler"/>
        <s v="Lambert"/>
        <s v="Harvey"/>
        <s v="Macdonald"/>
        <s v="Schroeder"/>
        <s v="Stein"/>
        <s v="Oconnor"/>
        <s v="Hamilton"/>
        <s v="Fountain"/>
        <s v="Bernal"/>
        <s v="Valenzuela"/>
        <s v="Terry"/>
        <s v="Kearney"/>
        <s v="Roe"/>
        <s v="Benson"/>
        <s v="Piper"/>
        <s v="Boyle"/>
        <s v="Myrick"/>
        <s v="Huynh"/>
        <s v="Johnson"/>
        <s v="Driscoll"/>
        <s v="Strickland"/>
        <s v="Swanson"/>
        <s v="Herbert"/>
        <s v="Sampson"/>
        <s v="Burger"/>
        <s v="Holloway"/>
        <s v="Trent"/>
        <s v="Person"/>
        <s v="Huff"/>
        <s v="Rojas"/>
        <s v="Frey"/>
        <s v="Jackson"/>
        <s v="Crump"/>
        <s v="Burt"/>
        <s v="Jarvis"/>
        <s v="Hickman"/>
        <s v="Hollingsworth"/>
        <s v="Sizemore"/>
        <s v="Curry"/>
        <s v="Rudolph"/>
        <s v="Burns"/>
        <s v="Parham"/>
        <s v="Rossi"/>
        <s v="Nash"/>
        <s v="Cole"/>
        <s v="Alford"/>
        <s v="Brand"/>
        <s v="Ervin"/>
        <s v="Bourgeois"/>
        <s v="Matos"/>
        <s v="Sheets"/>
        <s v="Draper"/>
        <s v="Compton"/>
        <s v="Babb"/>
        <s v="Call"/>
        <s v="Harmon"/>
        <s v="Chapman"/>
        <s v="Shaver"/>
        <s v="Kimball"/>
        <s v="Rutledge"/>
        <s v="Rush"/>
        <s v="Spangler"/>
        <s v="Hagen"/>
        <s v="Marsh"/>
        <s v="Norman"/>
        <s v="Jennings"/>
        <s v="Mcnally"/>
        <s v="Schulz"/>
        <s v="Bender"/>
        <s v="May"/>
        <s v="Koenig"/>
        <s v="Bautista"/>
        <s v="Ewing"/>
        <s v="Hicks"/>
        <s v="Hendrix"/>
        <s v="Hartley"/>
        <s v="Brantley"/>
        <s v="Winn"/>
        <s v="Taylor"/>
        <s v="Mccray"/>
        <s v="Nava"/>
        <s v="Dillard"/>
        <s v="Hodge"/>
        <s v="Webber"/>
        <s v="Long"/>
        <s v="Edmonds"/>
        <s v="Bermudez"/>
        <s v="Pearce"/>
        <s v="Chatman"/>
        <s v="Dupree"/>
        <s v="French"/>
        <s v="Barry"/>
        <s v="Dow"/>
        <s v="Ali"/>
        <s v="Lowery"/>
        <s v="Street"/>
        <s v="Wilcox"/>
        <s v="Sherwood"/>
        <s v="Meyer"/>
        <s v="Lund"/>
        <s v="Elliot"/>
        <s v="Flanagan"/>
        <s v="Mcgowan"/>
        <s v="Gallo"/>
        <s v="Bloom"/>
        <s v="Donovan"/>
        <s v="Little"/>
        <s v="Rudd"/>
        <s v="Rivera"/>
        <s v="Holcomb"/>
        <s v="Avery"/>
        <s v="Guevara"/>
        <s v="Schwartz"/>
        <s v="Bonilla"/>
        <s v="Hewitt"/>
        <s v="Patel"/>
        <s v="Cohen"/>
        <s v="Vinson"/>
        <s v="Reed"/>
        <s v="Gillespie"/>
        <s v="Dukes"/>
        <s v="Godfrey"/>
        <s v="Camp"/>
        <s v="Courtney"/>
        <s v="Larson"/>
        <s v="Coulter"/>
        <s v="Wallace"/>
        <s v="Lin"/>
        <s v="Kaplan"/>
        <s v="Koch"/>
        <s v="Quintana"/>
        <s v="Carlisle"/>
        <s v="Grant"/>
        <s v="Black"/>
        <s v="Cormier"/>
        <s v="Stover"/>
        <s v="Robertson"/>
        <s v="Hoover"/>
        <s v="Fulton"/>
        <s v="Price"/>
        <s v="Koehler"/>
        <s v="Hager"/>
        <s v="Murillo"/>
        <s v="Hutchison"/>
        <s v="Zimmerman"/>
        <s v="Hunter"/>
        <s v="Bonds"/>
        <s v="Sutton"/>
        <s v="Ragland"/>
        <s v="Mclaughlin"/>
        <s v="Scruggs"/>
        <s v="Mcnair"/>
        <s v="Harrington"/>
        <s v="Hamm"/>
        <s v="Bruno"/>
        <s v="Hardy"/>
        <s v="Mckinney"/>
        <s v="Moser"/>
        <s v="Cummins"/>
        <s v="Washburn"/>
        <s v="Summers"/>
        <s v="Heller"/>
        <s v="Vargas"/>
        <s v="Reese"/>
        <s v="Hagan"/>
        <s v="Hernandez"/>
        <s v="Wood"/>
        <s v="Benavides"/>
        <s v="Rubin"/>
        <s v="Esposito"/>
        <s v="Downing"/>
        <s v="Cherry"/>
        <s v="Yazzie"/>
        <s v="Moreland"/>
        <s v="Block"/>
        <s v="Kenney"/>
        <s v="Champion"/>
        <s v="Nunez"/>
        <s v="Story"/>
        <s v="Crain"/>
        <s v="Dawson"/>
        <s v="Galvan"/>
        <s v="Blanco"/>
        <s v="Craft"/>
        <s v="Villarreal"/>
        <s v="Caron"/>
        <s v="Hebert"/>
        <s v="Mcleod"/>
        <s v="Maurer"/>
        <s v="Rhoades"/>
        <s v="Pennington"/>
        <s v="Powers"/>
        <s v="Hamlin"/>
        <s v="Feliciano"/>
        <s v="Fuentes"/>
        <s v="Dillon"/>
        <s v="Ross"/>
        <s v="Dejesus"/>
        <s v="Oconnell"/>
        <s v="Frost"/>
        <s v="Sterling"/>
        <s v="Payton"/>
        <s v="Caldwell"/>
        <s v="Thomason"/>
        <s v="Grimm"/>
        <s v="Metz"/>
        <s v="Goode"/>
        <s v="Otto"/>
      </sharedItems>
    </cacheField>
    <cacheField name="Title" numFmtId="0">
      <sharedItems/>
    </cacheField>
    <cacheField name="Gender" numFmtId="0">
      <sharedItems/>
    </cacheField>
    <cacheField name="Credit" numFmtId="0">
      <sharedItems containsSemiMixedTypes="0" containsString="0" containsNumber="1" containsInteger="1" minValue="30" maxValue="90"/>
    </cacheField>
    <cacheField name="Street" numFmtId="0">
      <sharedItems/>
    </cacheField>
    <cacheField name="Town" numFmtId="0">
      <sharedItems count="1314">
        <s v="Ballyclare"/>
        <s v="Hoddesdon"/>
        <s v="Ross-On-Wye"/>
        <s v="Derbyshire"/>
        <s v="Tadworth"/>
        <s v="Ammanford"/>
        <s v="Lynmouth"/>
        <s v="Alexandria"/>
        <s v="Peterhead"/>
        <s v="Airdrie"/>
        <s v="Peebles"/>
        <s v="Blandford Forum"/>
        <s v="Builth Wells"/>
        <s v="Bonnybridge"/>
        <s v="Wooler"/>
        <s v="Caterham"/>
        <s v="Dalwhinnie"/>
        <s v="Wishaw"/>
        <s v="Llanymynech"/>
        <s v="Caersws"/>
        <s v="Letchworth Garden City"/>
        <s v="West Yorkshire"/>
        <s v="Somerton"/>
        <s v="Halesworth"/>
        <s v="Carnforth"/>
        <s v="Hertfordshire"/>
        <s v="Windermere"/>
        <s v="Alresford"/>
        <s v="Sandown"/>
        <s v="Cleator Moor"/>
        <s v="Cramlington"/>
        <s v="Londonderry"/>
        <s v="Ferndale"/>
        <s v="Blackwood"/>
        <s v="Farnborough"/>
        <s v="Porth"/>
        <s v="Rowley Regis"/>
        <s v="Chorley"/>
        <s v="Ashtead"/>
        <s v="Lightwater"/>
        <s v="Ystrad Meurig"/>
        <s v="Llanrwst"/>
        <s v="Corwen"/>
        <s v="Craven Arms"/>
        <s v="Harpenden"/>
        <s v="Cemaes Bay"/>
        <s v="Cheltenham"/>
        <s v="Crianlarich"/>
        <s v="Greenock"/>
        <s v="Portsmouth"/>
        <s v="Wells"/>
        <s v="Camelford"/>
        <s v="Pinner"/>
        <s v="Glenfinnan"/>
        <s v="Peterculter"/>
        <s v="Ashington"/>
        <s v="Halesowen"/>
        <s v="Kirknewton"/>
        <s v="Holywell"/>
        <s v="Barking"/>
        <s v="Rowlands Gill"/>
        <s v="Lydbury North"/>
        <s v="South Croydon"/>
        <s v="Chislehurst"/>
        <s v="Oban"/>
        <s v="Hope Valley"/>
        <s v="Westhill"/>
        <s v="Llanarth"/>
        <s v="Cinderford"/>
        <s v="Herne Bay"/>
        <s v="Shropshire"/>
        <s v="Haywards Heath"/>
        <s v="County Fermanagh"/>
        <s v="Highbridge"/>
        <s v="Castlederg"/>
        <s v="Watlington"/>
        <s v="Heanor"/>
        <s v="Halifax"/>
        <s v="Tranent"/>
        <s v="Leatherhead"/>
        <s v="South Yorkshire"/>
        <s v="Scunthorpe"/>
        <s v="Westgate-On-Sea"/>
        <s v="Aldershot"/>
        <s v="March"/>
        <s v="Hassocks"/>
        <s v="Essex"/>
        <s v="Teignmouth"/>
        <s v="Manningtree"/>
        <s v="Auchterarder"/>
        <s v="Ripley"/>
        <s v="Southwell"/>
        <s v="Penrhyndeudraeth"/>
        <s v="Horncastle"/>
        <s v="Isle Of Cumbrae"/>
        <s v="Warwickshire"/>
        <s v="Lanarkshire"/>
        <s v="Fleet"/>
        <s v="Kirkliston"/>
        <s v="Tregaron"/>
        <s v="Esher"/>
        <s v="Ryde"/>
        <s v="Ascot"/>
        <s v="Banwell"/>
        <s v="Skelmorlie"/>
        <s v="Rhyl"/>
        <s v="West Kilbride"/>
        <s v="Coleraine"/>
        <s v="Whitehaven"/>
        <s v="Isle Of South Uist"/>
        <s v="Rugby"/>
        <s v="Ramsgate"/>
        <s v="Ballachulish"/>
        <s v="Tadcaster"/>
        <s v="St. Andrews"/>
        <s v="West Sussex"/>
        <s v="Llandudno"/>
        <s v="Moelfre"/>
        <s v="Stornoway"/>
        <s v="Coalville"/>
        <s v="Axbridge"/>
        <s v="Bexley"/>
        <s v="Paignton"/>
        <s v="Faringdon"/>
        <s v="Carshalton"/>
        <s v="Falmouth"/>
        <s v="Aberlour"/>
        <s v="Stranraer"/>
        <s v="Prestatyn"/>
        <s v="Huntingdon"/>
        <s v="Rossendale"/>
        <s v="Llangollen"/>
        <s v="Mallaig"/>
        <s v="Goole"/>
        <s v="Newcastle"/>
        <s v="Shotts"/>
        <s v="Seahouses"/>
        <s v="Gourock"/>
        <s v="Market Harborough"/>
        <s v="Launceston"/>
        <s v="Prescot"/>
        <s v="Witney"/>
        <s v="Kent"/>
        <s v="Boston"/>
        <s v="Chertsey"/>
        <s v="Winkleigh"/>
        <s v="London"/>
        <s v="Tighnabruaich"/>
        <s v="Middlewich"/>
        <s v="Hinton St. George"/>
        <s v="Tillicoultry"/>
        <s v="Wells-Next-The-Sea"/>
        <s v="Marazion"/>
        <s v="Berkshire"/>
        <s v="Shipston-On-Stour"/>
        <s v="Nethy Bridge"/>
        <s v="Ashton-Under-Lyne"/>
        <s v="Billingham"/>
        <s v="Gloucestershire"/>
        <s v="Guernsey"/>
        <s v="Seascale"/>
        <s v="Benfleet"/>
        <s v="Chard"/>
        <s v="Tintagel"/>
        <s v="Eye"/>
        <s v="Lynton"/>
        <s v="Dolgellau"/>
        <s v="Llandinam"/>
        <s v="Neath"/>
        <s v="Ilkeston"/>
        <s v="Havant"/>
        <s v="Southwold"/>
        <s v="Lochgilphead"/>
        <s v="Lutterworth"/>
        <s v="Beaconsfield"/>
        <s v="Isle Of Canna"/>
        <s v="Consett"/>
        <s v="Staffordshire"/>
        <s v="Lanark"/>
        <s v="Crowborough"/>
        <s v="Whitstable"/>
        <s v="Littlehampton"/>
        <s v="Bromsgrove"/>
        <s v="Gillingham"/>
        <s v="Llanrhystud"/>
        <s v="Maldon"/>
        <s v="Arundel"/>
        <s v="Margate"/>
        <s v="Llanidloes"/>
        <s v="Ty Croes"/>
        <s v="Birchington"/>
        <s v="Bamburgh"/>
        <s v="Spean Bridge"/>
        <s v="Frome"/>
        <s v="Motherwell"/>
        <s v="Coniston"/>
        <s v="Invergarry"/>
        <s v="Crewkerne"/>
        <s v="Dalmally"/>
        <s v="Sanquhar"/>
        <s v="Gretna"/>
        <s v="Strome Ferry"/>
        <s v="Abertillery"/>
        <s v="Abergavenny"/>
        <s v="Norfolk"/>
        <s v="County Durham"/>
        <s v="Rye"/>
        <s v="Burry Port"/>
        <s v="Beverley"/>
        <s v="Hawes"/>
        <s v="Market Drayton"/>
        <s v="Alford"/>
        <s v="Buntingford"/>
        <s v="Buckinghamshire"/>
        <s v="Hengoed"/>
        <s v="Epsom"/>
        <s v="Frinton-On-Sea"/>
        <s v="Warlingham"/>
        <s v="Isle Of Eigg"/>
        <s v="Shaftesbury"/>
        <s v="Dalkeith"/>
        <s v="Lewes"/>
        <s v="Prudhoe"/>
        <s v="Cardigan"/>
        <s v="Oswestry"/>
        <s v="County Antrim"/>
        <s v="Markfield"/>
        <s v="Thetford"/>
        <s v="Kidlington"/>
        <s v="Alnwick"/>
        <s v="Whitchurch"/>
        <s v="Beckenham"/>
        <s v="Hayling Island"/>
        <s v="Merriott"/>
        <s v="Talybont"/>
        <s v="Caernarfon"/>
        <s v="Dartmouth"/>
        <s v="Inveraray"/>
        <s v="North Ferriby"/>
        <s v="Bacup"/>
        <s v="Brentwood"/>
        <s v="Billericay"/>
        <s v="Potters Bar"/>
        <s v="Criccieth"/>
        <s v="Humbie"/>
        <s v="Heathfield"/>
        <s v="Stamford"/>
        <s v="Mountain Ash"/>
        <s v="St. Agnes"/>
        <s v="Chepstow"/>
        <s v="Broadstairs"/>
        <s v="Poole"/>
        <s v="Darlington"/>
        <s v="Llandeilo"/>
        <s v="Devizes"/>
        <s v="Wedmore"/>
        <s v="Bedford"/>
        <s v="Henfield"/>
        <s v="Blakeney"/>
        <s v="Newport"/>
        <s v="Sutton Coldfield"/>
        <s v="Marlborough"/>
        <s v="Inverurie"/>
        <s v="Yarm"/>
        <s v="Coatbridge"/>
        <s v="Dalbeattie"/>
        <s v="Dursley"/>
        <s v="West Linton"/>
        <s v="Lancashire"/>
        <s v="Isle Of Mannot"/>
        <s v="Stone"/>
        <s v="Jedburgh"/>
        <s v="Llanwrtyd Wells"/>
        <s v="Hornchurch"/>
        <s v="Hinckley"/>
        <s v="Elgin"/>
        <s v="Dundee"/>
        <s v="Harlech"/>
        <s v="Marianglas"/>
        <s v="Longniddry"/>
        <s v="South Shields"/>
        <s v="Sleaford"/>
        <s v="Princes Risborough"/>
        <s v="Goodwick"/>
        <s v="Andover"/>
        <s v="Wigston"/>
        <s v="Bude"/>
        <s v="Tadley"/>
        <s v="Menai Bridge"/>
        <s v="Wickford"/>
        <s v="Dymock"/>
        <s v="Ulverston"/>
        <s v="Burnham-On-Crouch"/>
        <s v="Nuneaton"/>
        <s v="Settle"/>
        <s v="Exmouth"/>
        <s v="Bures"/>
        <s v="Worcester Park"/>
        <s v="Callington"/>
        <s v="Isle Of Colonsay"/>
        <s v="Saundersfoot"/>
        <s v="Torpoint"/>
        <s v="Keswick"/>
        <s v="Anstruther"/>
        <s v="Cumnock"/>
        <s v="Arlesey"/>
        <s v="Seaford"/>
        <s v="Isle Of Iona"/>
        <s v="Woking"/>
        <s v="Stowmarket"/>
        <s v="Sevenoaks"/>
        <s v="St. Austell"/>
        <s v="East Molesey"/>
        <s v="Broseley"/>
        <s v="Bridge Of Orchy"/>
        <s v="Brighouse"/>
        <s v="Winchester"/>
        <s v="Abergele"/>
        <s v="Minehead"/>
        <s v="Sidcup"/>
        <s v="Harrogate"/>
        <s v="Edgware"/>
        <s v="Askam-In-Furness"/>
        <s v="Barrow-Upon-Humber"/>
        <s v="Forest Row"/>
        <s v="Banff"/>
        <s v="Didcot"/>
        <s v="Acharacle"/>
        <s v="Camborne"/>
        <s v="Wrexham"/>
        <s v="Kilbirnie"/>
        <s v="Witham"/>
        <s v="New Tredegar"/>
        <s v="Queenborough"/>
        <s v="Henley-On-Thames"/>
        <s v="Lisburn"/>
        <s v="Merseyside"/>
        <s v="Milnthorpe"/>
        <s v="Clacton-On-Sea"/>
        <s v="Wembley"/>
        <s v="Treorchy"/>
        <s v="Kirkwall"/>
        <s v="Stevenston"/>
        <s v="Bewdley"/>
        <s v="Burntisland"/>
        <s v="Shanklin"/>
        <s v="Carrickfergus"/>
        <s v="Gravesend"/>
        <s v="Cornhill-On-Tweed"/>
        <s v="Retford"/>
        <s v="St. Ives"/>
        <s v="Cupar"/>
        <s v="Maryport"/>
        <s v="Romford"/>
        <s v="Montacute"/>
        <s v="Pembroke Dock"/>
        <s v="Chester Le Street"/>
        <s v="Penarth"/>
        <s v="Arbroath"/>
        <s v="Haltwhistle"/>
        <s v="Matlock"/>
        <s v="Sturminster Newton"/>
        <s v="Munlochy"/>
        <s v="Llanerchymedd"/>
        <s v="Bicester"/>
        <s v="Aberdare"/>
        <s v="Gordon"/>
        <s v="Surrey"/>
        <s v="North Humberside"/>
        <s v="Huntly"/>
        <s v="Bampton"/>
        <s v="Chinnor"/>
        <s v="Pontyclun"/>
        <s v="Llanelli"/>
        <s v="Ferndown"/>
        <s v="Avon"/>
        <s v="Dumbarton"/>
        <s v="Clevedon"/>
        <s v="Saxmundham"/>
        <s v="Amersham"/>
        <s v="Mexborough"/>
        <s v="Annan"/>
        <s v="Keighley"/>
        <s v="Warwick"/>
        <s v="Hebden Bridge"/>
        <s v="Leek"/>
        <s v="Dunstable"/>
        <s v="Llanfairfechan"/>
        <s v="Newton Aycliffe"/>
        <s v="Cromarty"/>
        <s v="West Glamorgan"/>
        <s v="Morecambe"/>
        <s v="Poulton-Le-Fylde"/>
        <s v="Corby"/>
        <s v="Weston-Super-Mare"/>
        <s v="Okehampton"/>
        <s v="Leighton Buzzard"/>
        <s v="Southsea"/>
        <s v="Blyth"/>
        <s v="Bognor Regis"/>
        <s v="Hawick"/>
        <s v="Northwood"/>
        <s v="Troon"/>
        <s v="Colne"/>
        <s v="Kyle"/>
        <s v="Kinbrace"/>
        <s v="Arrochar"/>
        <s v="Henley-In-Arden"/>
        <s v="Blaenau Ffestiniog"/>
        <s v="Forfar"/>
        <s v="Larkhall"/>
        <s v="Aboyne"/>
        <s v="Llanbrynmair"/>
        <s v="Sawbridgeworth"/>
        <s v="Thurso"/>
        <s v="Ashby-De-La-Zouch"/>
        <s v="Bishop Auckland"/>
        <s v="Kingsbridge"/>
        <s v="Isle Of Jura"/>
        <s v="Glastonbury"/>
        <s v="Roslin"/>
        <s v="Ballymoney"/>
        <s v="Alderley Edge"/>
        <s v="Barry"/>
        <s v="Boncath"/>
        <s v="Marlow"/>
        <s v="Ilkley"/>
        <s v="Isle Of Rum"/>
        <s v="Royston"/>
        <s v="Henlow"/>
        <s v="Rochford"/>
        <s v="Sowerby Bridge"/>
        <s v="Umberleigh"/>
        <s v="Sheringham"/>
        <s v="Castle Cary"/>
        <s v="Lingfield"/>
        <s v="Godalming"/>
        <s v="Bangor"/>
        <s v="Wingate"/>
        <s v="Chesterfield"/>
        <s v="Caldicot"/>
        <s v="West Molesey"/>
        <s v="Brecon"/>
        <s v="Badminton"/>
        <s v="Cockermouth"/>
        <s v="Loughborough"/>
        <s v="East Boldon"/>
        <s v="Dungannon"/>
        <s v="Warminster"/>
        <s v="Ferryside"/>
        <s v="Lyme Regis"/>
        <s v="Halstead"/>
        <s v="Ferryhill"/>
        <s v="Isle Of Coll"/>
        <s v="Beaumaris"/>
        <s v="Sherborne"/>
        <s v="Bath"/>
        <s v="Leven"/>
        <s v="Isle Of Skye"/>
        <s v="Riding Mill"/>
        <s v="Corbridge"/>
        <s v="Bromyard"/>
        <s v="Canterbury"/>
        <s v="Moffat"/>
        <s v="Ilfracombe"/>
        <s v="Insch"/>
        <s v="Dronfield"/>
        <s v="Forres"/>
        <s v="Montgomery"/>
        <s v="Ripon"/>
        <s v="Yarmouth"/>
        <s v="Fairford"/>
        <s v="Ayr"/>
        <s v="Oxfordshire"/>
        <s v="Newbridge"/>
        <s v="Bodorgan"/>
        <s v="Rayleigh"/>
        <s v="Stevenage"/>
        <s v="Leamington Spa"/>
        <s v="Llandrindod Wells"/>
        <s v="Ellon"/>
        <s v="West Calder"/>
        <s v="Pulborough"/>
        <s v="Wadebridge"/>
        <s v="Portland"/>
        <s v="Colchester"/>
        <s v="Doune"/>
        <s v="Radstock"/>
        <s v="Fareham"/>
        <s v="Brackley"/>
        <s v="Thames Ditton"/>
        <s v="Newhaven"/>
        <s v="Gorebridge"/>
        <s v="Lancaster"/>
        <s v="Towcester"/>
        <s v="Bridge Of Weir"/>
        <s v="Lincoln"/>
        <s v="Chippenham"/>
        <s v="Milltimber"/>
        <s v="New Quay"/>
        <s v="Hexham"/>
        <s v="Tavistock"/>
        <s v="Huddersfield"/>
        <s v="Dudley"/>
        <s v="Tarbert"/>
        <s v="Calne"/>
        <s v="Cleethorpes"/>
        <s v="Ardrossan"/>
        <s v="Petersfield"/>
        <s v="Chessington"/>
        <s v="Barnsley"/>
        <s v="Redhill"/>
        <s v="Melrose"/>
        <s v="Cumbria"/>
        <s v="Shefford"/>
        <s v="Canvey Island"/>
        <s v="Arisaig"/>
        <s v="Mindrum"/>
        <s v="South Molton"/>
        <s v="Cleator"/>
        <s v="Hampshire"/>
        <s v="Atherstone"/>
        <s v="Fleetwood"/>
        <s v="Crowthorne"/>
        <s v="Irvine"/>
        <s v="Gatwick"/>
        <s v="Hayle"/>
        <s v="Orpington"/>
        <s v="Lampeter"/>
        <s v="Earlston"/>
        <s v="Westbury-On-Severn"/>
        <s v="Accrington"/>
        <s v="Richmond"/>
        <s v="Midlothian"/>
        <s v="Dromore"/>
        <s v="Elland"/>
        <s v="Edenbridge"/>
        <s v="Monmouth"/>
        <s v="Hessle"/>
        <s v="Aberdeenshire"/>
        <s v="Emsworth"/>
        <s v="Pathhead"/>
        <s v="Stroud"/>
        <s v="Sudbury"/>
        <s v="Sandringham"/>
        <s v="Budleigh Salterton"/>
        <s v="Malpas"/>
        <s v="Billingshurst"/>
        <s v="Llangefni"/>
        <s v="Crieff"/>
        <s v="Belford"/>
        <s v="Northallerton"/>
        <s v="South Petherton"/>
        <s v="Llanfairpwllgwyngyll"/>
        <s v="Sandhurst"/>
        <s v="Bordon"/>
        <s v="Aughnacloy"/>
        <s v="Walkerburn"/>
        <s v="Lochwinnoch"/>
        <s v="Dollar"/>
        <s v="Alston"/>
        <s v="Holywood"/>
        <s v="Alton"/>
        <s v="Dunoon"/>
        <s v="Ullapool"/>
        <s v="Isle Of Barra"/>
        <s v="Iver"/>
        <s v="Ventnor"/>
        <s v="Bucknell"/>
        <s v="Nottinghamshire"/>
        <s v="Stanford-Le-Hope"/>
        <s v="Magherafelt"/>
        <s v="Bridgend"/>
        <s v="Cobham"/>
        <s v="Glogue"/>
        <s v="Newmarket"/>
        <s v="Fort Augustus"/>
        <s v="Beckermet"/>
        <s v="Ballynahinch"/>
        <s v="Ludlow"/>
        <s v="Shifnal"/>
        <s v="Berriedale"/>
        <s v="Perthshire"/>
        <s v="Ebbw Vale"/>
        <s v="Brynteg"/>
        <s v="Withernsea"/>
        <s v="Kinlochleven"/>
        <s v="Larne"/>
        <s v="Dalry"/>
        <s v="Bishopton"/>
        <s v="Thornton-Cleveleys"/>
        <s v="Spalding"/>
        <s v="Ardgay"/>
        <s v="Hertford"/>
        <s v="Sandwich"/>
        <s v="Llanon"/>
        <s v="Moreton-In-Marsh"/>
        <s v="Galston"/>
        <s v="Llanfyrnach"/>
        <s v="Reigate"/>
        <s v="Langport"/>
        <s v="Knaresborough"/>
        <s v="Biggleswade"/>
        <s v="Much Wenlock"/>
        <s v="Callander"/>
        <s v="Lossiemouth"/>
        <s v="Corrour"/>
        <s v="Deal"/>
        <s v="Newquay"/>
        <s v="Llandysul"/>
        <s v="Prestwick"/>
        <s v="Seaton"/>
        <s v="Woodbridge"/>
        <s v="Newcastle Emlyn"/>
        <s v="Balerno"/>
        <s v="Morpeth"/>
        <s v="Bury"/>
        <s v="Saltash"/>
        <s v="Castle Douglas"/>
        <s v="Steyning"/>
        <s v="Fort William"/>
        <s v="Isle Of North Uist"/>
        <s v="Tyne And Wear"/>
        <s v="Bourne"/>
        <s v="Oakham"/>
        <s v="Taunton"/>
        <s v="Carterton"/>
        <s v="Sandbach"/>
        <s v="Appleby-In-Westmorland"/>
        <s v="Holyhead"/>
        <s v="Beccles"/>
        <s v="Buckie"/>
        <s v="Winsford"/>
        <s v="Welwyn"/>
        <s v="Wareham"/>
        <s v="Dunblane"/>
        <s v="Loanhead"/>
        <s v="Hythe"/>
        <s v="Melton Constable"/>
        <s v="Gullane"/>
        <s v="Ambleside"/>
        <s v="Plockton"/>
        <s v="Daventry"/>
        <s v="Wotton-Under-Edge"/>
        <s v="North Berwick"/>
        <s v="Ravenglass"/>
        <s v="Biggar"/>
        <s v="Glenrothes"/>
        <s v="Ulceby"/>
        <s v="Torrington"/>
        <s v="Tidworth"/>
        <s v="Llanbedrgoch"/>
        <s v="Bridport"/>
        <s v="Waterlooville"/>
        <s v="Gaerwen"/>
        <s v="Eyemouth"/>
        <s v="Street"/>
        <s v="Newtownards"/>
        <s v="Aberystwyth"/>
        <s v="Inverkeithing"/>
        <s v="Wallingford"/>
        <s v="Paisley"/>
        <s v="Beaworthy"/>
        <s v="Lyndhurst"/>
        <s v="Lasswade"/>
        <s v="Halkirk"/>
        <s v="Truro"/>
        <s v="Usk"/>
        <s v="Snodland"/>
        <s v="Ryton"/>
        <s v="Cambridgeshire"/>
        <s v="Egremont"/>
        <s v="Ely"/>
        <s v="Tunbridge Wells"/>
        <s v="Cleveland"/>
        <s v="Brockenhurst"/>
        <s v="Pencader"/>
        <s v="Sedbergh"/>
        <s v="Longfield"/>
        <s v="East Sussex"/>
        <s v="Taynuilt"/>
        <s v="Heriot"/>
        <s v="Portrush"/>
        <s v="Barnetby"/>
        <s v="Braunton"/>
        <s v="Kilgetty"/>
        <s v="Haslemere"/>
        <s v="Telford"/>
        <s v="Clarbeston Road"/>
        <s v="Forsinard"/>
        <s v="Montrose"/>
        <s v="Macduff"/>
        <s v="Dinas Powys"/>
        <s v="Ongar"/>
        <s v="Linlithgow"/>
        <s v="Southport"/>
        <s v="Llanybydder"/>
        <s v="Chulmleigh"/>
        <s v="Wisbech"/>
        <s v="Tyn-Y-Gongl"/>
        <s v="Salcombe"/>
        <s v="Llanfechain"/>
        <s v="Thornton Heath"/>
        <s v="Westerham"/>
        <s v="Jarrow"/>
        <s v="Newtown"/>
        <s v="Skegness"/>
        <s v="Loughton"/>
        <s v="Midhurst"/>
        <s v="Sale"/>
        <s v="East Cowes"/>
        <s v="Port Talbot"/>
        <s v="Newnham"/>
        <s v="Broughton-In-Furness"/>
        <s v="Hamilton"/>
        <s v="Stoke-Sub-Hamdon"/>
        <s v="Narberth"/>
        <s v="Wick"/>
        <s v="Bourne End"/>
        <s v="Betchworth"/>
        <s v="North Walsham"/>
        <s v="Llangammarch Wells"/>
        <s v="Y Felinheli"/>
        <s v="Swanage"/>
        <s v="Buckfastleigh"/>
        <s v="Redditch"/>
        <s v="Ilford"/>
        <s v="Todmorden"/>
        <s v="Downpatrick"/>
        <s v="Eastleigh"/>
        <s v="Bonnyrigg"/>
        <s v="Tredegar"/>
        <s v="Fortrose"/>
        <s v="Cowbridge"/>
        <s v="Lymington"/>
        <s v="Newton Abbot"/>
        <s v="East Linton"/>
        <s v="Gosport"/>
        <s v="Hockley"/>
        <s v="Ivybridge"/>
        <s v="Bridgwater"/>
        <s v="South Glamorgan"/>
        <s v="Hastings"/>
        <s v="Liskeard"/>
        <s v="Maybole"/>
        <s v="Bedlington"/>
        <s v="Stratford-Upon-Avon"/>
        <s v="Baldock"/>
        <s v="Ruardean"/>
        <s v="Sutton-In-Ashfield"/>
        <s v="West Midlands"/>
        <s v="Thame"/>
        <s v="Wantage"/>
        <s v="Ross-Shire"/>
        <s v="Lostwithiel"/>
        <s v="Great Missenden"/>
        <s v="Llangadog"/>
        <s v="South Ockendon"/>
        <s v="Macclesfield"/>
        <s v="Abingdon"/>
        <s v="Rochdale"/>
        <s v="Yateley"/>
        <s v="Bedale"/>
        <s v="Dawlish"/>
        <s v="Falkirk"/>
        <s v="New Milton"/>
        <s v="Isle Of Tiree"/>
        <s v="Keston"/>
        <s v="Ashford"/>
        <s v="Calstock"/>
        <s v="Alloa"/>
        <s v="Battle"/>
        <s v="Wilmslow"/>
        <s v="Crook"/>
        <s v="Keith"/>
        <s v="Coldstream"/>
        <s v="Isle Of Scalpay"/>
        <s v="Hartfield"/>
        <s v="Yeovil"/>
        <s v="Ayrshire"/>
        <s v="Newcastleton"/>
        <s v="Newent"/>
        <s v="Llanwrda"/>
        <s v="Cookstown"/>
        <s v="Barnet"/>
        <s v="Stourbridge"/>
        <s v="Turriff"/>
        <s v="Gerrards Cross"/>
        <s v="Leiston"/>
        <s v="South Brent"/>
        <s v="Clackmannan"/>
        <s v="Mayfield"/>
        <s v="Welshpool"/>
        <s v="Oxted"/>
        <s v="Stonehaven"/>
        <s v="Barton-Upon-Humber"/>
        <s v="Aldeburgh"/>
        <s v="Pentre"/>
        <s v="Westbury"/>
        <s v="Dumfries"/>
        <s v="Littleborough"/>
        <s v="Belper"/>
        <s v="Middlesbrough"/>
        <s v="Liss"/>
        <s v="Looe"/>
        <s v="Denbigh"/>
        <s v="Leyburn"/>
        <s v="Carmarthen"/>
        <s v="Lee-On-The-Solent"/>
        <s v="Pudsey"/>
        <s v="Colwyn Bay"/>
        <s v="Tayport"/>
        <s v="Kirkby-In-Furness"/>
        <s v="Grantown-On-Spey"/>
        <s v="Penmaenmawr"/>
        <s v="Coleford"/>
        <s v="Rhayader"/>
        <s v="Bideford"/>
        <s v="Merthyr Tydfil"/>
        <s v="Latheron"/>
        <s v="Langholm"/>
        <s v="Nantwich"/>
        <s v="Clogher"/>
        <s v="Currie"/>
        <s v="Ringwood"/>
        <s v="Whyteleafe"/>
        <s v="Cranbrook"/>
        <s v="Swadlincote"/>
        <s v="Colyton"/>
        <s v="Wigton"/>
        <s v="Leominster"/>
        <s v="Berwick-Upon-Tweed"/>
        <s v="Inverness-Shire"/>
        <s v="Banchory"/>
        <s v="Bexleyheath"/>
        <s v="Trowbridge"/>
        <s v="Cheadle"/>
        <s v="Uckfield"/>
        <s v="Bishop'S Stortford"/>
        <s v="Kirkby Stephen"/>
        <s v="Barnstaple"/>
        <s v="Bruton"/>
        <s v="Gainsborough"/>
        <s v="Renfrew"/>
        <s v="Northamptonshire"/>
        <s v="Stonehouse"/>
        <s v="Strathpeffer"/>
        <s v="Livingston"/>
        <s v="Helmsdale"/>
        <s v="Fordingbridge"/>
        <s v="Seaham"/>
        <s v="Chalfont St. Giles"/>
        <s v="Blackburn"/>
        <s v="Appin"/>
        <s v="Garndolbenmaen"/>
        <s v="Bedworth"/>
        <s v="Basildon"/>
        <s v="Hook"/>
        <s v="Aberaeron"/>
        <s v="Woodhall Spa"/>
        <s v="Cwmbran"/>
        <s v="Llwyngwril"/>
        <s v="Seaview"/>
        <s v="Duns"/>
        <s v="St. Bees"/>
        <s v="Weymouth"/>
        <s v="Sandy"/>
        <s v="Chesham"/>
        <s v="Bagillt"/>
        <s v="Frizington"/>
        <s v="Chipping Norton"/>
        <s v="East Grinstead"/>
        <s v="Hungerford"/>
        <s v="Guildford"/>
        <s v="Axminster"/>
        <s v="Invergordon"/>
        <s v="Port Glasgow"/>
        <s v="Ruislip"/>
        <s v="Lydney"/>
        <s v="Kilmacolm"/>
        <s v="Lydbrook"/>
        <s v="Sidmouth"/>
        <s v="Holt"/>
        <s v="Luton"/>
        <s v="Haddington"/>
        <s v="Limavady"/>
        <s v="Tilbury"/>
        <s v="Mold"/>
        <s v="Beaminster"/>
        <s v="Padstow"/>
        <s v="Wiltshire"/>
        <s v="Tring"/>
        <s v="Avoch"/>
        <s v="St. Albans"/>
        <s v="Clitheroe"/>
        <s v="Par"/>
        <s v="New Romney"/>
        <s v="Blaydon-On-Tyne"/>
        <s v="Cleckheaton"/>
        <s v="Downham Market"/>
        <s v="Boldon Colliery"/>
        <s v="Darvel"/>
        <s v="Helensburgh"/>
        <s v="West Bromwich"/>
        <s v="Dulverton"/>
        <s v="Grangemouth"/>
        <s v="Harwich"/>
        <s v="Dorchester"/>
        <s v="Coventry"/>
        <s v="Gairloch"/>
        <s v="Saltburn-By-The-Sea"/>
        <s v="Penrith"/>
        <s v="Thatcham"/>
        <s v="Alfreton"/>
        <s v="Grantham"/>
        <s v="Knebworth"/>
        <s v="Crumlin"/>
        <s v="Innerleithen"/>
        <s v="Crymych"/>
        <s v="Musselburgh"/>
        <s v="Kingston Upon Thames"/>
        <s v="Templecombe"/>
        <s v="Romney Marsh"/>
        <s v="Devon"/>
        <s v="Amlwch"/>
        <s v="Malmesbury"/>
        <s v="Welling"/>
        <s v="Kendal"/>
        <s v="Berkeley"/>
        <s v="Waltham Abbey"/>
        <s v="Helston"/>
        <s v="Presteigne"/>
        <s v="Skipton"/>
        <s v="Selkirk"/>
        <s v="Kinross"/>
        <s v="Beith"/>
        <s v="Cornwall"/>
        <s v="Westcliff-On-Sea"/>
        <s v="Salisbury"/>
        <s v="Hailsham"/>
        <s v="South Humberside"/>
        <s v="Girvan"/>
        <s v="Gunnislake"/>
        <s v="Northwich"/>
        <s v="Campbeltown"/>
        <s v="Bo'Ness"/>
        <s v="Moor Row"/>
        <s v="Broxburn"/>
        <s v="Olney"/>
        <s v="Bargoed"/>
        <s v="Sutton"/>
        <s v="Dalton-In-Furness"/>
        <s v="Llandudno Junction"/>
        <s v="Penysarn"/>
        <s v="Robertsbridge"/>
        <s v="Armagh"/>
        <s v="Menstrie"/>
        <s v="Alva"/>
        <s v="Boscastle"/>
        <s v="Broxbourne"/>
        <s v="Porthcawl"/>
        <s v="Kidderminster"/>
        <s v="Larbert"/>
        <s v="Tiverton"/>
        <s v="Millom"/>
        <s v="Boat Of Garten"/>
        <s v="Stanmore"/>
        <s v="Romsey"/>
        <s v="Bellshill"/>
        <s v="Shoreham-By-Sea"/>
        <s v="Pembroke"/>
        <s v="Cowes"/>
        <s v="Lochailort"/>
        <s v="Kidwelly"/>
        <s v="Tewkesbury"/>
        <s v="Kington"/>
        <s v="Purley"/>
        <s v="Delabole"/>
        <s v="Hemel Hempstead"/>
        <s v="Tetbury"/>
        <s v="Newtonmore"/>
        <s v="Worksop"/>
        <s v="Bathgate"/>
        <s v="Strabane"/>
        <s v="Isle Of Mull"/>
        <s v="Berkhamsted"/>
        <s v="Hereford"/>
        <s v="Suffolk"/>
        <s v="Donaghadee"/>
        <s v="Treharris"/>
        <s v="Harleston"/>
        <s v="Whitley Bay"/>
        <s v="Haverfordwest"/>
        <s v="Lybster"/>
        <s v="Nelson"/>
        <s v="Fife"/>
        <s v="Strathcarron"/>
        <s v="Ruthin"/>
        <s v="Winscombe"/>
        <s v="Colintraive"/>
        <s v="Hunstanton"/>
        <s v="Fraserburgh"/>
        <s v="Laurencekirk"/>
        <s v="Tonypandy"/>
        <s v="Wymondham"/>
        <s v="Mitcheldean"/>
        <s v="Dyffryn Ardudwy"/>
        <s v="Prestonpans"/>
        <s v="Attleborough"/>
        <s v="Wokingham"/>
        <s v="West Byfleet"/>
        <s v="Watchet"/>
        <s v="Cowdenbeath"/>
        <s v="Tarporley"/>
        <s v="Market Rasen"/>
        <s v="Addlestone"/>
        <s v="Lochearnhead"/>
        <s v="Buckingham"/>
        <s v="Cheshire"/>
        <s v="Fishguard"/>
        <s v="Virginia Water"/>
        <s v="Catterick Garrison"/>
        <s v="Hillsborough"/>
        <s v="Isle Of Arran"/>
        <s v="Fairbourne"/>
        <s v="Peterlee"/>
        <s v="Wylam"/>
        <s v="Banstead"/>
        <s v="Newport-On-Tay"/>
        <s v="Perranporth"/>
        <s v="Martock"/>
        <s v="Buxton"/>
        <s v="Pewsey"/>
        <s v="Woolacombe"/>
        <s v="Immingham"/>
        <s v="Dunkeld"/>
        <s v="Renfrewshire"/>
        <s v="Grange-Over-Sands"/>
        <s v="Rhosneigr"/>
        <s v="Cirencester"/>
        <s v="Surbiton"/>
        <s v="Torquay"/>
        <s v="Holmrook"/>
        <s v="Ellesmere"/>
        <s v="Isle Of Bute"/>
        <s v="Golspie"/>
        <s v="Wetherby"/>
        <s v="Brough"/>
        <s v="Leigh-On-Sea"/>
        <s v="County Down"/>
        <s v="Wincanton"/>
        <s v="Burford"/>
        <s v="Pentraeth"/>
        <s v="Juniper Green"/>
        <s v="Kilmarnock"/>
        <s v="Buckley"/>
        <s v="Lairg"/>
        <s v="Barnard Castle"/>
        <s v="Canonbie"/>
        <s v="St. Asaph"/>
        <s v="Hartlepool"/>
        <s v="Roy Bridge"/>
        <s v="Arthog"/>
        <s v="Redcar"/>
        <s v="Epping"/>
        <s v="Stourport-On-Severn"/>
        <s v="Lytham St. Annes"/>
        <s v="Church Stretton"/>
        <s v="Milford Haven"/>
        <s v="Fakenham"/>
        <s v="Strathdon"/>
        <s v="Dunbar"/>
        <s v="Bakewell"/>
        <s v="Horsham"/>
        <s v="Fivemiletown"/>
        <s v="Crediton"/>
        <s v="Port Isaac"/>
        <s v="Newbiggin-By-The-Sea"/>
        <s v="Peacehaven"/>
        <s v="Ballymena"/>
        <s v="Eastbourne"/>
        <s v="Southminster"/>
        <s v="Isle Of Lewis"/>
        <s v="Solihull"/>
        <s v="Llanbedr"/>
        <s v="Penicuik"/>
        <s v="North Tawton"/>
        <s v="Haverhill"/>
        <s v="Carrbridge"/>
        <s v="Deeside"/>
        <s v="Kelso"/>
        <s v="Melksham"/>
        <s v="Kirkcaldy"/>
        <s v="Isle Of Benbecula"/>
        <s v="Erskine"/>
        <s v="Penryn"/>
        <s v="Basingstoke"/>
        <s v="Tenterden"/>
        <s v="Walton On The Naze"/>
        <s v="Pevensey"/>
        <s v="Clydebank"/>
        <s v="Polegate"/>
        <s v="Ottery St. Mary"/>
        <s v="Sheerness"/>
        <s v="Mauchline"/>
        <s v="Aviemore"/>
        <s v="Alness"/>
        <s v="Newmilns"/>
        <s v="Saltcoats"/>
        <s v="Chatteris"/>
        <s v="Newton Stewart"/>
        <s v="Isles Of Scilly"/>
        <s v="Godstone"/>
        <s v="Christchurch"/>
        <s v="Leyland"/>
        <s v="Faversham"/>
        <s v="Rosewell"/>
        <s v="Rushden"/>
        <s v="Belvedere"/>
        <s v="Cradley Heath"/>
        <s v="Wallsend"/>
        <s v="Llandovery"/>
        <s v="Wemyss Bay"/>
        <s v="Wadhurst"/>
        <s v="High Peak"/>
        <s v="Southam"/>
        <s v="Dorking"/>
        <s v="Swanscombe"/>
        <s v="Chigwell"/>
        <s v="Wimborne"/>
        <s v="Melton Mowbray"/>
        <s v="Kettering"/>
        <s v="Heywood"/>
        <s v="Stansted"/>
        <s v="Caledon"/>
        <s v="Strathaven"/>
        <s v="Rogart"/>
        <s v="Redruth"/>
        <s v="Denny"/>
        <s v="Lifton"/>
        <s v="Wallington"/>
        <s v="Horley"/>
        <s v="Dunbeath"/>
        <s v="Shepton Mallet"/>
        <s v="Beauly"/>
        <s v="Greenhithe"/>
        <s v="Kilwinning"/>
        <s v="Smethwick"/>
        <s v="Enfield"/>
        <s v="Morden"/>
        <s v="Purfleet"/>
        <s v="Studley"/>
        <s v="Dolwyddelan"/>
        <s v="Totland Bay"/>
        <s v="Choppington"/>
        <s v="High Wycombe"/>
        <s v="Rainham"/>
        <s v="Crickhowell"/>
        <s v="Clynderwen"/>
        <s v="Kingswinford"/>
        <s v="Ashbourne"/>
        <s v="Northampton"/>
        <s v="Bungay"/>
        <s v="Jersey"/>
        <s v="Uttoxeter"/>
        <s v="Brampton"/>
        <s v="Ledbury"/>
        <s v="Isle Of Islay"/>
        <s v="Dover"/>
        <s v="Rowland'S Castle"/>
        <s v="West Wickham"/>
        <s v="Porthmadog"/>
        <s v="Kirkcudbright"/>
        <s v="Maesteg"/>
        <s v="Stromness"/>
        <s v="Longhope"/>
        <s v="Fowey"/>
        <s v="Honiton"/>
        <s v="Washington"/>
        <s v="Cullompton"/>
        <s v="Harrow"/>
        <s v="Stalybridge"/>
        <s v="Barmouth"/>
        <s v="Broadstone"/>
        <s v="Ballindalloch"/>
        <s v="Coulsdon"/>
        <s v="Castlewellan"/>
        <s v="Craigavon"/>
        <s v="Pontypool"/>
        <s v="Upminster"/>
        <s v="Lochgelly"/>
        <s v="Cairndow"/>
        <s v="Lockerbie"/>
        <s v="Cheddar"/>
        <s v="Maghera"/>
        <s v="Exeter"/>
        <s v="Bushmills"/>
        <s v="Ingatestone"/>
        <s v="Woodford Green"/>
        <s v="Felixstowe"/>
        <s v="St. Columb"/>
        <s v="Windlesham"/>
        <s v="Meifod"/>
        <s v="Brixham"/>
        <s v="Dunmow"/>
        <s v="St. Leonards-On-Sea"/>
        <s v="Bembridge"/>
        <s v="Drybrook"/>
        <s v="Blackpool"/>
        <s v="Guisborough"/>
        <s v="Muir Of Ord"/>
        <s v="Bromley"/>
        <s v="Burton-On-Trent"/>
        <s v="Bala"/>
        <s v="Portstewart"/>
        <s v="Tamworth"/>
        <s v="Newport Pagnell"/>
        <s v="Cockburnspath"/>
        <s v="Lauder"/>
        <s v="Burgess Hill"/>
        <s v="Betws-Y-Coed"/>
        <s v="Llanfyllin"/>
        <s v="Windsor"/>
        <s v="Garve"/>
        <s v="Holmfirth"/>
        <s v="Augher"/>
        <s v="Stirling"/>
        <s v="Saffron Walden"/>
        <s v="Dornoch"/>
        <s v="Borth"/>
        <s v="South Queensferry"/>
        <s v="Louth"/>
        <s v="Isle Of Harris"/>
        <s v="Kelty"/>
        <s v="Yelverton"/>
        <s v="Oldbury"/>
        <s v="Liphook"/>
        <s v="Blairgowrie"/>
        <s v="Talsarnau"/>
        <s v="Conwy"/>
        <s v="Darwen"/>
        <s v="Congleton"/>
        <s v="Antrim"/>
        <s v="Omagh"/>
        <s v="Ibstock"/>
        <s v="Ilminster"/>
        <s v="Waltham Cross"/>
        <s v="Hitchin"/>
        <s v="Ballater"/>
        <s v="Gwent"/>
        <s v="Orkney"/>
        <s v="Trefriw"/>
        <s v="Pontypridd"/>
        <s v="Winchelsea"/>
        <s v="Banbridge"/>
        <s v="Walton-On-Thames"/>
        <s v="Mitcham"/>
        <s v="Knighton"/>
        <s v="Swaffham"/>
        <s v="Swanley"/>
        <s v="Isle Of Gigha"/>
        <s v="Hyde"/>
        <s v="Aberdovey"/>
        <s v="Cromer"/>
        <s v="St. Neots"/>
        <s v="Rhosgoch"/>
        <s v="Freshwater"/>
        <s v="Leicestershire"/>
        <s v="Galashiels"/>
        <s v="Portree"/>
        <s v="Otley"/>
        <s v="Much Hadham"/>
        <s v="Burnley"/>
        <s v="Chatham"/>
        <s v="Buckhurst Hill"/>
        <s v="New Malden"/>
        <s v="Spilsby"/>
        <s v="Etchingham"/>
        <s v="Sunderland"/>
        <s v="Nairn"/>
        <s v="Dorset"/>
        <s v="King'S Lynn"/>
        <s v="Spennymoor"/>
        <s v="Kenilworth"/>
        <s v="Woodstock"/>
        <s v="Stocksfield"/>
        <s v="Petworth"/>
        <s v="Cranleigh"/>
        <s v="Tipton"/>
        <s v="Totnes"/>
        <s v="Mablethorpe"/>
        <s v="Bishops Castle"/>
        <s v="Barrow-In-Furness"/>
        <s v="Wellington"/>
        <s v="Tywyn"/>
        <s v="Aberfeldy"/>
        <s v="Weybridge"/>
        <s v="Ballycastle"/>
        <s v="Kenley"/>
        <s v="Corsham"/>
        <s v="Verwood"/>
        <s v="Machynlleth"/>
        <s v="Ware"/>
        <s v="Glossop"/>
        <s v="Dulas"/>
        <s v="Dukinfield"/>
        <s v="Lowestoft"/>
        <s v="Stockbridge"/>
        <s v="Holsworthy"/>
        <s v="Killin"/>
        <s v="Rochester"/>
        <s v="Kirriemuir"/>
        <s v="Llansantffraid"/>
        <s v="Bradford-On-Avon"/>
      </sharedItems>
    </cacheField>
    <cacheField name="Post Code Area" numFmtId="0">
      <sharedItems count="93">
        <s v="CH"/>
        <s v="HG"/>
        <s v="WC"/>
        <s v="RM"/>
        <s v="HP"/>
        <s v="GU"/>
        <s v="KT"/>
        <s v="FY"/>
        <s v="TF"/>
        <s v="BL"/>
        <s v="CB"/>
        <s v="WN"/>
        <s v="WS"/>
        <s v="UB"/>
        <s v="FK"/>
        <s v="PR"/>
        <s v="CW"/>
        <s v="HX"/>
        <s v="DH"/>
        <s v="TW"/>
        <s v="CR"/>
        <s v="HS"/>
        <s v="SM"/>
        <s v="SK"/>
        <s v="NR"/>
        <s v="BN"/>
        <s v="DY"/>
        <s v="NP"/>
        <s v="L"/>
        <s v="DA"/>
        <s v="CM"/>
        <s v="WF"/>
        <s v="WR"/>
        <s v="SG"/>
        <s v="BD"/>
        <s v="LS"/>
        <s v="AB"/>
        <s v="RH"/>
        <s v="G"/>
        <s v="DT"/>
        <s v="ME"/>
        <s v="LD"/>
        <s v="TQ"/>
        <s v="BR"/>
        <s v="LU"/>
        <s v="HA"/>
        <s v="CO"/>
        <s v="DG"/>
        <s v="KA"/>
        <s v="HR"/>
        <s v="YO"/>
        <s v="AL"/>
        <s v="OL"/>
        <s v="S"/>
        <s v="BB"/>
        <s v="SN"/>
        <s v="HU"/>
        <s v="NG"/>
        <s v="KY"/>
        <s v="WD"/>
        <s v="LA"/>
        <s v="SP"/>
        <s v="PL"/>
        <s v="OX"/>
        <s v="SL"/>
        <s v="CT"/>
        <s v="IP"/>
        <s v="NN"/>
        <s v="RG"/>
        <s v="BH"/>
        <s v="DD"/>
        <s v="DN"/>
        <s v="TS"/>
        <s v="MK"/>
        <s v="SO"/>
        <s v="CA"/>
        <s v="PE"/>
        <s v="WA"/>
        <s v="EN"/>
        <s v="TD"/>
        <s v="LE"/>
        <s v="DE"/>
        <s v="DL"/>
        <s v="B"/>
        <s v="ST"/>
        <s v="KW"/>
        <s v="BS"/>
        <s v="LN"/>
        <s v="BA"/>
        <s v="CV"/>
        <s v="IG"/>
        <s v="SS"/>
        <s v="HD"/>
      </sharedItems>
    </cacheField>
    <cacheField name="Order Date" numFmtId="22">
      <sharedItems containsSemiMixedTypes="0" containsNonDate="0" containsDate="1" containsString="0" minDate="2020-01-01T00:00:00" maxDate="2023-01-01T00:00:00"/>
    </cacheField>
    <cacheField name="Order Year" numFmtId="1">
      <sharedItems containsSemiMixedTypes="0" containsString="0" containsNumber="1" containsInteger="1" minValue="2020" maxValue="2022" count="3">
        <n v="2022"/>
        <n v="2021"/>
        <n v="2020"/>
      </sharedItems>
    </cacheField>
    <cacheField name="Order Month" numFmtId="0">
      <sharedItems count="12">
        <s v="Jul"/>
        <s v="Oct"/>
        <s v="Jun"/>
        <s v="Aug"/>
        <s v="Apr"/>
        <s v="Mar"/>
        <s v="Jan"/>
        <s v="Nov"/>
        <s v="Dec"/>
        <s v="Sep"/>
        <s v="Feb"/>
        <s v="May"/>
      </sharedItems>
    </cacheField>
    <cacheField name="Quantity" numFmtId="0">
      <sharedItems containsSemiMixedTypes="0" containsString="0" containsNumber="1" containsInteger="1" minValue="2" maxValue="105"/>
    </cacheField>
    <cacheField name="Product Code" numFmtId="0">
      <sharedItems count="10">
        <s v="B"/>
        <s v="A3"/>
        <s v="C1"/>
        <s v="A1"/>
        <s v="D"/>
        <s v="C4"/>
        <s v="A2"/>
        <s v="C2"/>
        <s v="E"/>
        <s v="C3"/>
      </sharedItems>
    </cacheField>
    <cacheField name="Product Name" numFmtId="0">
      <sharedItems count="10">
        <s v="Hyperwotsit"/>
        <s v="Megawidget L"/>
        <s v="Ultrathing V1"/>
        <s v="Megawidget S"/>
        <s v="Gigastuff"/>
        <s v="Ultrathing V4"/>
        <s v="Megawidget M"/>
        <s v="Ultrathing V2"/>
        <s v="Superwossname"/>
        <s v="Ultrathing V3"/>
      </sharedItems>
    </cacheField>
    <cacheField name="Total Items Ordered" numFmtId="164">
      <sharedItems containsSemiMixedTypes="0" containsString="0" containsNumber="1" containsInteger="1" minValue="34" maxValue="2520"/>
    </cacheField>
    <cacheField name="Total Order Value" numFmtId="44">
      <sharedItems containsSemiMixedTypes="0" containsString="0" containsNumber="1" minValue="33.119999999999997" maxValue="10054.800000000001" count="1009">
        <n v="2934.6"/>
        <n v="522.59999999999991"/>
        <n v="3222"/>
        <n v="2769.13"/>
        <n v="1722.2399999999998"/>
        <n v="2687.58"/>
        <n v="8235.36"/>
        <n v="2043.3600000000001"/>
        <n v="298.08"/>
        <n v="4543"/>
        <n v="170.1"/>
        <n v="827.99999999999989"/>
        <n v="643.19999999999993"/>
        <n v="3420.2000000000003"/>
        <n v="5793.4000000000005"/>
        <n v="2245.3199999999997"/>
        <n v="2891.7"/>
        <n v="1632.48"/>
        <n v="723.59999999999991"/>
        <n v="2148"/>
        <n v="3014.9999999999995"/>
        <n v="2069.2400000000002"/>
        <n v="562.79999999999995"/>
        <n v="2551.5"/>
        <n v="1256.4000000000001"/>
        <n v="5251"/>
        <n v="7241.04"/>
        <n v="1331.28"/>
        <n v="1258.74"/>
        <n v="5266.8"/>
        <n v="8809.92"/>
        <n v="3572.1"/>
        <n v="2094"/>
        <n v="115.91999999999999"/>
        <n v="813.6"/>
        <n v="977.2"/>
        <n v="152.15"/>
        <n v="118"/>
        <n v="1399.78"/>
        <n v="773.28"/>
        <n v="3908.8"/>
        <n v="2532.6"/>
        <n v="241.2"/>
        <n v="1829"/>
        <n v="763.8"/>
        <n v="1890.24"/>
        <n v="964.8"/>
        <n v="5933"/>
        <n v="1905.12"/>
        <n v="2722.2000000000003"/>
        <n v="1043.28"/>
        <n v="2577.6"/>
        <n v="804.96"/>
        <n v="513.36"/>
        <n v="472.56"/>
        <n v="2278.08"/>
        <n v="1517.04"/>
        <n v="3195.15"/>
        <n v="1088.6399999999999"/>
        <n v="1331.76"/>
        <n v="1871.28"/>
        <n v="2190.96"/>
        <n v="4800.24"/>
        <n v="480.23999999999995"/>
        <n v="478.8"/>
        <n v="910.8"/>
        <n v="3780.48"/>
        <n v="386.64"/>
        <n v="2600.64"/>
        <n v="314.64"/>
        <n v="767"/>
        <n v="349"/>
        <n v="826"/>
        <n v="1114.56"/>
        <n v="2445.84"/>
        <n v="2721.6"/>
        <n v="1847.28"/>
        <n v="3050.16"/>
        <n v="1598.9399999999998"/>
        <n v="2343.11"/>
        <n v="182.16"/>
        <n v="1856.23"/>
        <n v="1523.52"/>
        <n v="5653.8"/>
        <n v="4068"/>
        <n v="2652.4"/>
        <n v="6002.8"/>
        <n v="4556.16"/>
        <n v="8139.6"/>
        <n v="273.87"/>
        <n v="2823.66"/>
        <n v="3307.92"/>
        <n v="897.84"/>
        <n v="2879.28"/>
        <n v="7565.04"/>
        <n v="2959.74"/>
        <n v="2038.81"/>
        <n v="5171.04"/>
        <n v="1947.52"/>
        <n v="2582.6000000000004"/>
        <n v="3350.88"/>
        <n v="4881.6000000000004"/>
        <n v="960.4799999999999"/>
        <n v="165.6"/>
        <n v="6703.2000000000007"/>
        <n v="1208.8799999999999"/>
        <n v="1672.56"/>
        <n v="3091.6800000000003"/>
        <n v="5605"/>
        <n v="1728.6"/>
        <n v="1534"/>
        <n v="1814.8000000000002"/>
        <n v="4309.2"/>
        <n v="5192"/>
        <n v="5133"/>
        <n v="588.24"/>
        <n v="3256.2"/>
        <n v="629.28"/>
        <n v="927.3599999999999"/>
        <n v="1609.92"/>
        <n v="2034"/>
        <n v="2242"/>
        <n v="7086.2400000000007"/>
        <n v="3899.3999999999996"/>
        <n v="2857.68"/>
        <n v="3479.76"/>
        <n v="3559.8"/>
        <n v="558.48"/>
        <n v="198.71999999999997"/>
        <n v="3073.43"/>
        <n v="774"/>
        <n v="4189"/>
        <n v="1973.1599999999999"/>
        <n v="5235"/>
        <n v="1190.7"/>
        <n v="2109.2399999999998"/>
        <n v="3818.9999999999995"/>
        <n v="1643.22"/>
        <n v="2964.2400000000002"/>
        <n v="510.29999999999995"/>
        <n v="6224.4000000000005"/>
        <n v="3422"/>
        <n v="2693.3999999999996"/>
        <n v="442.26"/>
        <n v="1671.8400000000001"/>
        <n v="2301"/>
        <n v="6102"/>
        <n v="2019.1200000000001"/>
        <n v="4897"/>
        <n v="4467.2000000000007"/>
        <n v="1224.72"/>
        <n v="5369"/>
        <n v="5939.2800000000007"/>
        <n v="4038.2400000000002"/>
        <n v="1627.92"/>
        <n v="662.4"/>
        <n v="80.399999999999991"/>
        <n v="1701"/>
        <n v="1092.9599999999998"/>
        <n v="4788"/>
        <n v="2921.28"/>
        <n v="1156.3399999999999"/>
        <n v="1300.32"/>
        <n v="1054.6199999999999"/>
        <n v="2260.08"/>
        <n v="844.19999999999993"/>
        <n v="3210.8"/>
        <n v="619.20000000000005"/>
        <n v="204.11999999999998"/>
        <n v="1704.08"/>
        <n v="3537.5999999999995"/>
        <n v="278.64"/>
        <n v="309.60000000000002"/>
        <n v="1192.32"/>
        <n v="5613.84"/>
        <n v="2434.4"/>
        <n v="6508.8"/>
        <n v="761.76"/>
        <n v="2974.7999999999997"/>
        <n v="730.32"/>
        <n v="343.68"/>
        <n v="325.44"/>
        <n v="3351.6000000000004"/>
        <n v="92.88"/>
        <n v="3497.3999999999996"/>
        <n v="1804.32"/>
        <n v="7566.4800000000005"/>
        <n v="3402"/>
        <n v="1278.06"/>
        <n v="264.95999999999998"/>
        <n v="1675.2"/>
        <n v="1475"/>
        <n v="236"/>
        <n v="3134.29"/>
        <n v="852.04"/>
        <n v="433.44"/>
        <n v="1837.08"/>
        <n v="6511.68"/>
        <n v="628.20000000000005"/>
        <n v="1424.16"/>
        <n v="2130.6"/>
        <n v="3694.56"/>
        <n v="2381.4"/>
        <n v="3979.7999999999997"/>
        <n v="1473.84"/>
        <n v="2476.8000000000002"/>
        <n v="4956"/>
        <n v="1217.2"/>
        <n v="213.01"/>
        <n v="2854.2"/>
        <n v="803.99999999999989"/>
        <n v="321.59999999999997"/>
        <n v="574.56000000000006"/>
        <n v="132.47999999999999"/>
        <n v="2586.5500000000002"/>
        <n v="397.43999999999994"/>
        <n v="3245"/>
        <n v="9097.2000000000007"/>
        <n v="408.23999999999995"/>
        <n v="6427.4400000000005"/>
        <n v="837.6"/>
        <n v="49.679999999999993"/>
        <n v="6915.6"/>
        <n v="1564.9199999999998"/>
        <n v="943.33"/>
        <n v="811.43999999999994"/>
        <n v="374.21999999999997"/>
        <n v="354"/>
        <n v="3254.4"/>
        <n v="347.76"/>
        <n v="3776"/>
        <n v="2872.8"/>
        <n v="2861.8"/>
        <n v="2585.52"/>
        <n v="244.08"/>
        <n v="3001.4"/>
        <n v="3447.36"/>
        <n v="844.56"/>
        <n v="6996.96"/>
        <n v="1607.9999999999998"/>
        <n v="861.11999999999989"/>
        <n v="4606.8"/>
        <n v="1947.0000000000002"/>
        <n v="1165.8"/>
        <n v="3638.88"/>
        <n v="171.84"/>
        <n v="1711"/>
        <n v="1632.9599999999998"/>
        <n v="1053.3600000000001"/>
        <n v="2229.12"/>
        <n v="601.44000000000005"/>
        <n v="4886"/>
        <n v="4838"/>
        <n v="728.64"/>
        <n v="557.28"/>
        <n v="472"/>
        <n v="2124"/>
        <n v="1076.3999999999999"/>
        <n v="177"/>
        <n v="1535.6000000000001"/>
        <n v="383.04"/>
        <n v="993.59999999999991"/>
        <n v="3538.08"/>
        <n v="5723.6"/>
        <n v="139.60000000000002"/>
        <n v="2415.42"/>
        <n v="745.19999999999993"/>
        <n v="2616.98"/>
        <n v="1819.44"/>
        <n v="9959.0400000000009"/>
        <n v="5451.12"/>
        <n v="2733.6"/>
        <n v="1688.3999999999999"/>
        <n v="1491.07"/>
        <n v="1220.4000000000001"/>
        <n v="4021.92"/>
        <n v="1340.64"/>
        <n v="6990.4800000000005"/>
        <n v="1324.8"/>
        <n v="1857.6000000000001"/>
        <n v="2491.6799999999998"/>
        <n v="2130.1"/>
        <n v="529.91999999999996"/>
        <n v="7373.52"/>
        <n v="3978.6000000000004"/>
        <n v="957.6"/>
        <n v="4048.4"/>
        <n v="1738.8"/>
        <n v="2443"/>
        <n v="2931.6000000000004"/>
        <n v="2362.8000000000002"/>
        <n v="2789.64"/>
        <n v="1145.52"/>
        <n v="2464.83"/>
        <n v="2569.6800000000003"/>
        <n v="2024.2"/>
        <n v="215.27999999999997"/>
        <n v="3698.3999999999996"/>
        <n v="3839.0000000000005"/>
        <n v="1207.44"/>
        <n v="488.6"/>
        <n v="1521.5"/>
        <n v="1884.6000000000001"/>
        <n v="2006.0000000000002"/>
        <n v="612.36"/>
        <n v="4060.1999999999994"/>
        <n v="918.54"/>
        <n v="3599"/>
        <n v="3186"/>
        <n v="894.2399999999999"/>
        <n v="364.32"/>
        <n v="238.14"/>
        <n v="2062.08"/>
        <n v="4637.5200000000004"/>
        <n v="1242"/>
        <n v="1286.3999999999999"/>
        <n v="681.12"/>
        <n v="304.3"/>
        <n v="85.92"/>
        <n v="371.52"/>
        <n v="191.52"/>
        <n v="1374.4799999999998"/>
        <n v="515.52"/>
        <n v="5782"/>
        <n v="6072.6"/>
        <n v="1447.1999999999998"/>
        <n v="5514.2000000000007"/>
        <n v="3071.2000000000003"/>
        <n v="426.02"/>
        <n v="859.2"/>
        <n v="1275.1199999999999"/>
        <n v="1627.2"/>
        <n v="650.16"/>
        <n v="2706.48"/>
        <n v="4537"/>
        <n v="1175.76"/>
        <n v="1085.3999999999999"/>
        <n v="578.16999999999996"/>
        <n v="1394.82"/>
        <n v="2653.2"/>
        <n v="413.99999999999994"/>
        <n v="1917.0900000000001"/>
        <n v="3367.98"/>
        <n v="1919.52"/>
        <n v="5015"/>
        <n v="2612.9999999999995"/>
        <n v="714.42"/>
        <n v="2312.6799999999998"/>
        <n v="3335.76"/>
        <n v="2478"/>
        <n v="1176.48"/>
        <n v="7078.3200000000006"/>
        <n v="7810.56"/>
        <n v="6346.08"/>
        <n v="699.89"/>
        <n v="5125.68"/>
        <n v="943.92"/>
        <n v="1969.7999999999997"/>
        <n v="5649.84"/>
        <n v="486.88"/>
        <n v="3179.04"/>
        <n v="1573.1999999999998"/>
        <n v="1460.64"/>
        <n v="2075.2199999999998"/>
        <n v="2950"/>
        <n v="3778.7999999999997"/>
        <n v="2749.44"/>
        <n v="6834.2400000000007"/>
        <n v="102.05999999999999"/>
        <n v="5857.92"/>
        <n v="4012.0000000000005"/>
        <n v="3629.6000000000004"/>
        <n v="6128.64"/>
        <n v="214.8"/>
        <n v="6018"/>
        <n v="1950.48"/>
        <n v="894.96"/>
        <n v="340.56"/>
        <n v="2411.9999999999995"/>
        <n v="287.28000000000003"/>
        <n v="2319.84"/>
        <n v="1769.04"/>
        <n v="2507.7600000000002"/>
        <n v="977.04"/>
        <n v="4188"/>
        <n v="1551.93"/>
        <n v="1065.05"/>
        <n v="2708.27"/>
        <n v="7403.76"/>
        <n v="2211.2999999999997"/>
        <n v="1464.48"/>
        <n v="1121"/>
        <n v="2291.3999999999996"/>
        <n v="4327.6000000000004"/>
        <n v="2534.64"/>
        <n v="2847.6"/>
        <n v="476.28"/>
        <n v="1366.8"/>
        <n v="2183"/>
        <n v="4130"/>
        <n v="6077"/>
        <n v="2655"/>
        <n v="650.88"/>
        <n v="1589.7599999999998"/>
        <n v="5369.76"/>
        <n v="7277.76"/>
        <n v="1770"/>
        <n v="1057.68"/>
        <n v="1428.84"/>
        <n v="902.16"/>
        <n v="2537"/>
        <n v="1929.6"/>
        <n v="334.73"/>
        <n v="3141"/>
        <n v="1933.2"/>
        <n v="2373.2000000000003"/>
        <n v="2755.62"/>
        <n v="2522.1600000000003"/>
        <n v="1545.8400000000001"/>
        <n v="1981.44"/>
        <n v="121.72"/>
        <n v="1889.3999999999999"/>
        <n v="1362.24"/>
        <n v="1915.2"/>
        <n v="4213.4400000000005"/>
        <n v="4117.68"/>
        <n v="6136"/>
        <n v="340.2"/>
        <n v="2251.1999999999998"/>
        <n v="4484"/>
        <n v="7329"/>
        <n v="821.61"/>
        <n v="2210.9999999999995"/>
        <n v="3417.1200000000003"/>
        <n v="1424.1599999999999"/>
        <n v="4397.4000000000005"/>
        <n v="2448.7200000000003"/>
        <n v="1074"/>
        <n v="1795.3700000000001"/>
        <n v="5288.4000000000005"/>
        <n v="2233.6000000000004"/>
        <n v="687.36"/>
        <n v="546.4799999999999"/>
        <n v="7159.68"/>
        <n v="1655.9999999999998"/>
        <n v="3835.0000000000005"/>
        <n v="1369.3500000000001"/>
        <n v="1436.4"/>
        <n v="4140.5999999999995"/>
        <n v="708"/>
        <n v="959.76"/>
        <n v="5044.3200000000006"/>
        <n v="4676.6000000000004"/>
        <n v="2693.52"/>
        <n v="2298.2400000000002"/>
        <n v="2792.4"/>
        <n v="99.359999999999985"/>
        <n v="1109.52"/>
        <n v="3164.7200000000003"/>
        <n v="3986.6400000000003"/>
        <n v="1612.79"/>
        <n v="4019.9999999999995"/>
        <n v="5458.3200000000006"/>
        <n v="4404.96"/>
        <n v="563.04"/>
        <n v="2282.25"/>
        <n v="257.76"/>
        <n v="2663.52"/>
        <n v="8522.6400000000012"/>
        <n v="1122.6599999999999"/>
        <n v="1527.6"/>
        <n v="1826.64"/>
        <n v="778.31999999999994"/>
        <n v="1383.1200000000001"/>
        <n v="644.4"/>
        <n v="1374.72"/>
        <n v="2136.2400000000002"/>
        <n v="1149.1200000000001"/>
        <n v="2792"/>
        <n v="4210.08"/>
        <n v="3136.08"/>
        <n v="882.47"/>
        <n v="4257.8"/>
        <n v="2982.14"/>
        <n v="5723"/>
        <n v="1605.4"/>
        <n v="136.07999999999998"/>
        <n v="1486.08"/>
        <n v="531"/>
        <n v="1734.51"/>
        <n v="2620.56"/>
        <n v="517.31000000000006"/>
        <n v="526.32000000000005"/>
        <n v="8217.36"/>
        <n v="8714.16"/>
        <n v="5074"/>
        <n v="5532.4800000000005"/>
        <n v="2773.7999999999997"/>
        <n v="2572.7999999999997"/>
        <n v="670.32"/>
        <n v="1159.1999999999998"/>
        <n v="3363"/>
        <n v="1034.6200000000001"/>
        <n v="1156.6799999999998"/>
        <n v="2163.8000000000002"/>
        <n v="1003.0000000000001"/>
        <n v="281.52"/>
        <n v="2813.9999999999995"/>
        <n v="1455.1200000000001"/>
        <n v="2677.84"/>
        <n v="1083.6000000000001"/>
        <n v="1126.08"/>
        <n v="4307"/>
        <n v="3504.06"/>
        <n v="3173.04"/>
        <n v="5841.3600000000006"/>
        <n v="3127"/>
        <n v="1047"/>
        <n v="413"/>
        <n v="5745.6"/>
        <n v="2483.46"/>
        <n v="1825.8"/>
        <n v="281.39999999999998"/>
        <n v="3160.0800000000004"/>
        <n v="430.55999999999995"/>
        <n v="6020.64"/>
        <n v="3157.92"/>
        <n v="2817.36"/>
        <n v="7485.12"/>
        <n v="1768.7999999999997"/>
        <n v="6798.96"/>
        <n v="3651.6"/>
        <n v="248.39999999999998"/>
        <n v="945.12"/>
        <n v="5075.2800000000007"/>
        <n v="4393.4400000000005"/>
        <n v="579.59999999999991"/>
        <n v="3163.8599999999997"/>
        <n v="495.36"/>
        <n v="766.08"/>
        <n v="4779"/>
        <n v="68.039999999999992"/>
        <n v="2773"/>
        <n v="5374.6"/>
        <n v="973.76"/>
        <n v="912.9"/>
        <n v="1652"/>
        <n v="1795.68"/>
        <n v="1718.4"/>
        <n v="1465.8000000000002"/>
        <n v="1186.77"/>
        <n v="1341.36"/>
        <n v="3866.4"/>
        <n v="488.16"/>
        <n v="6894.72"/>
        <n v="1735.02"/>
        <n v="5695.2"/>
        <n v="2221.39"/>
        <n v="2105.04"/>
        <n v="2489.7600000000002"/>
        <n v="2894.3999999999996"/>
        <n v="3007.2000000000003"/>
        <n v="612.71999999999991"/>
        <n v="3009"/>
        <n v="418.8"/>
        <n v="5959"/>
        <n v="6032.88"/>
        <n v="578.33999999999992"/>
        <n v="2010.96"/>
        <n v="1159.92"/>
        <n v="1393.2"/>
        <n v="1606.32"/>
        <n v="6264.72"/>
        <n v="1407.6"/>
        <n v="1675.44"/>
        <n v="8618.4"/>
        <n v="8043.84"/>
        <n v="1396"/>
        <n v="365.16"/>
        <n v="6491.4000000000005"/>
        <n v="3823.92"/>
        <n v="2167.2000000000003"/>
        <n v="3830.4"/>
        <n v="4366"/>
        <n v="861.84"/>
        <n v="1010.16"/>
        <n v="1301.76"/>
        <n v="877.68"/>
        <n v="1298"/>
        <n v="1764.72"/>
        <n v="6183.3600000000006"/>
        <n v="3061.7999999999997"/>
        <n v="7660.8"/>
        <n v="9384.4800000000014"/>
        <n v="1357.9199999999998"/>
        <n v="712.08"/>
        <n v="4816.2000000000007"/>
        <n v="3699.4"/>
        <n v="1238.4000000000001"/>
        <n v="2556.12"/>
        <n v="748.43999999999994"/>
        <n v="4883.76"/>
        <n v="760.75"/>
        <n v="5165.2000000000007"/>
        <n v="2074.3200000000002"/>
        <n v="3579.84"/>
        <n v="1326.2"/>
        <n v="884.52"/>
        <n v="1004.19"/>
        <n v="3129.8399999999997"/>
        <n v="2910.2400000000002"/>
        <n v="1142.6399999999999"/>
        <n v="558.40000000000009"/>
        <n v="1496.8799999999999"/>
        <n v="60.86"/>
        <n v="1052.6400000000001"/>
        <n v="3012.57"/>
        <n v="3197.8799999999997"/>
        <n v="2495.2600000000002"/>
        <n v="6415.92"/>
        <n v="2619.54"/>
        <n v="4338.96"/>
        <n v="1116.96"/>
        <n v="2322"/>
        <n v="4296"/>
        <n v="1789.92"/>
        <n v="1406.9999999999998"/>
        <n v="4071.0000000000005"/>
        <n v="6421.6"/>
        <n v="300.72000000000003"/>
        <n v="2738.7000000000003"/>
        <n v="66.239999999999995"/>
        <n v="2492.3999999999996"/>
        <n v="2684.88"/>
        <n v="885"/>
        <n v="1125.5999999999999"/>
        <n v="2373.54"/>
        <n v="1026.72"/>
        <n v="1871.1"/>
        <n v="1180"/>
        <n v="2799.56"/>
        <n v="1246.1999999999998"/>
        <n v="2371.7999999999997"/>
        <n v="3135.5999999999995"/>
        <n v="3043"/>
        <n v="200.99999999999997"/>
        <n v="602.99999999999989"/>
        <n v="1244.8800000000001"/>
        <n v="6320.1600000000008"/>
        <n v="10054.800000000001"/>
        <n v="884.39999999999986"/>
        <n v="7469.2800000000007"/>
        <n v="1548"/>
        <n v="2951.71"/>
        <n v="216.72"/>
        <n v="4718.88"/>
        <n v="8380.08"/>
        <n v="7647.84"/>
        <n v="1462.86"/>
        <n v="3953.0000000000005"/>
        <n v="1021.6800000000001"/>
        <n v="243.44"/>
        <n v="3055.2"/>
        <n v="2115.36"/>
        <n v="4602"/>
        <n v="4081.2000000000003"/>
        <n v="2662.56"/>
        <n v="695.52"/>
        <n v="3905.28"/>
        <n v="1186.6000000000001"/>
        <n v="1430.21"/>
        <n v="2009.9999999999998"/>
        <n v="2419"/>
        <n v="986.57999999999993"/>
        <n v="406.8"/>
        <n v="1593"/>
        <n v="2065"/>
        <n v="1589.52"/>
        <n v="3264.96"/>
        <n v="4474.8"/>
        <n v="1666.98"/>
        <n v="2714"/>
        <n v="7852.3200000000006"/>
        <n v="782.45999999999992"/>
        <n v="120.6"/>
        <n v="7973.2800000000007"/>
        <n v="7948.0800000000008"/>
        <n v="1062"/>
        <n v="279.20000000000005"/>
        <n v="4381.92"/>
        <n v="4720"/>
        <n v="128.88"/>
        <n v="3255.84"/>
        <n v="2890.85"/>
        <n v="2653.56"/>
        <n v="2449.44"/>
        <n v="1338.92"/>
        <n v="1457.28"/>
        <n v="2313.3599999999997"/>
        <n v="2403.9700000000003"/>
        <n v="2647.41"/>
        <n v="7729.2000000000007"/>
        <n v="2603.52"/>
        <n v="4221"/>
        <n v="5584"/>
        <n v="3093.12"/>
        <n v="1308.24"/>
        <n v="1733.76"/>
        <n v="2352.96"/>
        <n v="2359.44"/>
        <n v="1059.8399999999999"/>
        <n v="2631.6"/>
        <n v="3769.2000000000003"/>
        <n v="1291.6799999999998"/>
        <n v="1490.3999999999999"/>
        <n v="1708.5600000000002"/>
        <n v="3658.2"/>
        <n v="1540.08"/>
        <n v="5025.6000000000004"/>
        <n v="2512.8000000000002"/>
        <n v="4596.4800000000005"/>
        <n v="4746.4000000000005"/>
        <n v="712.07999999999993"/>
        <n v="791.18000000000006"/>
        <n v="2394"/>
        <n v="1247.6300000000001"/>
        <n v="2160.5300000000002"/>
        <n v="3738.5999999999995"/>
        <n v="61.92"/>
        <n v="596.16"/>
        <n v="1116.8000000000002"/>
        <n v="1532.16"/>
        <n v="8542.8000000000011"/>
        <n v="2517.48"/>
        <n v="3490"/>
        <n v="2383.92"/>
        <n v="1503.6000000000001"/>
        <n v="3265.9199999999996"/>
        <n v="2766.2400000000002"/>
        <n v="3393.84"/>
        <n v="272.15999999999997"/>
        <n v="2860.42"/>
        <n v="1977.95"/>
        <n v="569.52"/>
        <n v="8331.1200000000008"/>
        <n v="1326.6"/>
        <n v="683.4"/>
        <n v="464.40000000000003"/>
        <n v="2777.04"/>
        <n v="442.19999999999993"/>
        <n v="2007.1799999999998"/>
        <n v="2143.2599999999998"/>
        <n v="247.68"/>
        <n v="401.99999999999994"/>
        <n v="231.83999999999997"/>
        <n v="6910.2000000000007"/>
        <n v="952.56"/>
        <n v="5487"/>
        <n v="6671.52"/>
        <n v="1139.04"/>
        <n v="456.45"/>
        <n v="1808.9999999999998"/>
        <n v="1888"/>
        <n v="160.79999999999998"/>
        <n v="1745"/>
        <n v="1530.8999999999999"/>
        <n v="2596"/>
        <n v="3175.7999999999997"/>
        <n v="767.80000000000007"/>
        <n v="988.08"/>
        <n v="4312.08"/>
        <n v="2008.38"/>
        <n v="1202.8800000000001"/>
        <n v="1673.65"/>
        <n v="1239"/>
        <n v="3126.96"/>
        <n v="3658"/>
        <n v="5937.12"/>
        <n v="2105.2800000000002"/>
        <n v="3095.3999999999996"/>
        <n v="794.87999999999988"/>
        <n v="2968.56"/>
        <n v="9480.24"/>
        <n v="3742.56"/>
        <n v="3336.5999999999995"/>
        <n v="3577.7999999999997"/>
        <n v="2835.36"/>
        <n v="2925.72"/>
        <n v="649"/>
        <n v="990.72"/>
        <n v="7182"/>
        <n v="2331.6"/>
        <n v="850.5"/>
        <n v="8461.44"/>
        <n v="496.79999999999995"/>
        <n v="2198.16"/>
        <n v="928.80000000000007"/>
        <n v="3952.32"/>
        <n v="5900"/>
        <n v="7756.56"/>
        <n v="463.67999999999995"/>
        <n v="608.6"/>
        <n v="1886.66"/>
        <n v="2291.04"/>
        <n v="4149.3600000000006"/>
        <n v="1506.9599999999998"/>
        <n v="835.92000000000007"/>
        <n v="645.83999999999992"/>
        <n v="5304.8"/>
        <n v="590"/>
        <n v="1764.94"/>
        <n v="2525.69"/>
        <n v="2993.7599999999998"/>
        <n v="1952.64"/>
        <n v="3661.2000000000003"/>
        <n v="1391.04"/>
        <n v="5863.2000000000007"/>
        <n v="2452.1999999999998"/>
        <n v="2941.2000000000003"/>
        <n v="2405.7600000000002"/>
        <n v="2755.44"/>
        <n v="3859.2"/>
        <n v="4661"/>
        <n v="9288.7200000000012"/>
        <n v="680.4"/>
        <n v="1954.4"/>
        <n v="295"/>
        <n v="2279.3399999999997"/>
        <n v="3333.96"/>
        <n v="1567.7999999999997"/>
        <n v="5095.4000000000005"/>
        <n v="5554.08"/>
        <n v="1095.48"/>
        <n v="4500.72"/>
        <n v="5428"/>
        <n v="3543.1200000000003"/>
        <n v="6590.16"/>
        <n v="1031.04"/>
        <n v="544.31999999999994"/>
        <n v="4979.5200000000004"/>
        <n v="3498.48"/>
        <n v="1640.88"/>
        <n v="3717"/>
        <n v="1292.76"/>
        <n v="9767.52"/>
        <n v="816.24"/>
        <n v="402.48"/>
        <n v="331.2"/>
        <n v="4955.8"/>
        <n v="4962.96"/>
        <n v="3608.64"/>
        <n v="185.76"/>
        <n v="33.119999999999997"/>
        <n v="182.58"/>
        <n v="6212.2000000000007"/>
        <n v="3481"/>
        <n v="5841"/>
        <n v="6607.4400000000005"/>
        <n v="2196.7200000000003"/>
        <n v="698"/>
        <n v="1417.68"/>
        <n v="9576"/>
        <n v="1045.1999999999998"/>
        <n v="209.4"/>
        <n v="1004.9999999999999"/>
        <n v="2878.32"/>
        <n v="1416"/>
        <n v="1125.9100000000001"/>
        <n v="482.4"/>
        <n v="1578.96"/>
        <n v="1648.1999999999998"/>
        <n v="669.46"/>
        <n v="162.72"/>
        <n v="4118.2"/>
        <n v="8905.68"/>
        <n v="2099.67"/>
        <n v="2786.4"/>
        <n v="395.59000000000003"/>
        <n v="3926.1600000000003"/>
        <n v="123.84"/>
        <n v="907.40000000000009"/>
        <n v="3103.86"/>
        <n v="1020.5999999999999"/>
        <n v="6752.88"/>
        <n v="447.11999999999995"/>
        <n v="1487.3999999999999"/>
        <n v="2440.8000000000002"/>
        <n v="7259.2000000000007"/>
        <n v="3617.9999999999995"/>
        <n v="547.74"/>
        <n v="306.18"/>
        <n v="429.6"/>
        <n v="3068"/>
        <n v="1440.7199999999998"/>
        <n v="1225.4399999999998"/>
        <n v="380.88"/>
        <n v="2891"/>
        <n v="2090.3999999999996"/>
        <n v="2177.2799999999997"/>
        <n v="4425"/>
        <n v="2538.7200000000003"/>
        <n v="4510.8"/>
        <n v="2233.92"/>
        <n v="5444.4000000000005"/>
        <n v="2041.1999999999998"/>
        <n v="9001.44"/>
        <n v="2347.3799999999997"/>
        <n v="3231.8999999999996"/>
        <n v="4692.2400000000007"/>
        <n v="1357"/>
        <n v="3734.6400000000003"/>
        <n v="5546"/>
        <n v="866.88"/>
        <n v="6282"/>
        <n v="1556.6399999999999"/>
        <n v="4230.72"/>
        <n v="3894.0000000000005"/>
        <n v="924.59999999999991"/>
        <n v="3416.9999999999995"/>
        <n v="639.03"/>
        <n v="1939.1399999999999"/>
        <n v="4253.04"/>
        <n v="2202.48"/>
        <n v="3027.7799999999997"/>
        <n v="3909.36"/>
        <n v="944"/>
        <n v="646.38"/>
        <n v="9192.9600000000009"/>
        <n v="976.32"/>
        <n v="5310"/>
        <n v="1269.3600000000001"/>
        <n v="91.29"/>
        <n v="6840.4000000000005"/>
        <n v="3250.8"/>
        <n v="2276.88"/>
        <n v="1702.8"/>
        <n v="361.79999999999995"/>
        <n v="3280.6000000000004"/>
        <n v="3003.12"/>
        <n v="1360.8"/>
        <n v="1546.56"/>
        <n v="6770.6"/>
        <n v="1888.56"/>
        <n v="3064.32"/>
        <n v="2848.32"/>
        <n v="2414.88"/>
        <n v="1803.06"/>
        <n v="7189.4000000000005"/>
        <n v="3065.04"/>
        <n v="149.04"/>
        <n v="1258.56"/>
        <n v="2681.28"/>
        <n v="1245.8399999999999"/>
        <n v="2832"/>
        <n v="82.8"/>
        <n v="7049.8"/>
        <n v="3436.8"/>
        <n v="2170.7999999999997"/>
        <n v="5362.56"/>
        <n v="816.4799999999999"/>
        <n v="6980"/>
        <n v="3350.4"/>
        <n v="8054.64"/>
        <n v="6631"/>
        <n v="3470.04"/>
        <n v="2251.8200000000002"/>
        <n v="154.80000000000001"/>
        <n v="3457.2"/>
        <n v="3095.8199999999997"/>
        <n v="2303.4"/>
        <n v="3565.6800000000003"/>
        <n v="4424.88"/>
        <n v="2928.96"/>
        <n v="678.95999999999992"/>
        <n v="2360"/>
        <n v="7322.4000000000005"/>
        <n v="3522.7200000000003"/>
        <n v="5664"/>
        <n v="1205.9999999999998"/>
        <n v="5776.56"/>
        <n v="6561.2000000000007"/>
        <n v="1622.8799999999999"/>
        <n v="1689.12"/>
        <n v="2050.1999999999998"/>
        <n v="732.24"/>
        <n v="1723.68"/>
        <n v="3304"/>
        <n v="3296.3999999999996"/>
        <n v="7119.6"/>
        <n v="1761.3600000000001"/>
        <n v="3188.88"/>
        <n v="6351.8"/>
        <n v="3034.08"/>
        <n v="2012.4"/>
        <n v="4248"/>
        <n v="6142.4000000000005"/>
        <n v="1308.49"/>
        <n v="2724.48"/>
        <n v="7891.92"/>
        <n v="8426.880000000001"/>
        <n v="3995.28"/>
        <n v="3540"/>
        <n v="1849.1999999999998"/>
        <n v="3823.44"/>
        <n v="1639.4399999999998"/>
        <n v="4467.84"/>
        <n v="8136"/>
        <n v="1582.3600000000001"/>
        <n v="3215.9999999999995"/>
      </sharedItems>
    </cacheField>
  </cacheFields>
  <extLst>
    <ext xmlns:x14="http://schemas.microsoft.com/office/spreadsheetml/2009/9/main" uri="{725AE2AE-9491-48be-B2B4-4EB974FC3084}">
      <x14:pivotCacheDefinition pivotCacheId="14365673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52">
  <r>
    <n v="1"/>
    <x v="0"/>
    <x v="0"/>
    <s v="Mrs"/>
    <s v="F"/>
    <n v="30"/>
    <s v="Abbotsbury Mews"/>
    <x v="0"/>
    <x v="0"/>
    <d v="2022-07-12T00:00:00"/>
    <x v="0"/>
    <x v="0"/>
    <n v="73"/>
    <x v="0"/>
    <x v="0"/>
    <n v="1460"/>
    <x v="0"/>
  </r>
  <r>
    <n v="2"/>
    <x v="1"/>
    <x v="1"/>
    <s v="Mrs"/>
    <s v="F"/>
    <n v="60"/>
    <s v="Adams Close"/>
    <x v="1"/>
    <x v="1"/>
    <d v="2022-10-31T00:00:00"/>
    <x v="0"/>
    <x v="1"/>
    <n v="13"/>
    <x v="0"/>
    <x v="0"/>
    <n v="260"/>
    <x v="1"/>
  </r>
  <r>
    <n v="3"/>
    <x v="2"/>
    <x v="2"/>
    <s v="Mr"/>
    <s v="M"/>
    <n v="90"/>
    <s v="Beechwood Close"/>
    <x v="2"/>
    <x v="2"/>
    <d v="2021-06-01T00:00:00"/>
    <x v="1"/>
    <x v="2"/>
    <n v="75"/>
    <x v="1"/>
    <x v="1"/>
    <n v="1800"/>
    <x v="2"/>
  </r>
  <r>
    <n v="4"/>
    <x v="3"/>
    <x v="3"/>
    <s v="Mr"/>
    <s v="M"/>
    <n v="60"/>
    <s v="Bergen Square"/>
    <x v="3"/>
    <x v="3"/>
    <d v="2022-08-23T00:00:00"/>
    <x v="0"/>
    <x v="3"/>
    <n v="91"/>
    <x v="2"/>
    <x v="2"/>
    <n v="1547"/>
    <x v="3"/>
  </r>
  <r>
    <n v="5"/>
    <x v="4"/>
    <x v="4"/>
    <s v="Miss"/>
    <s v="F"/>
    <n v="30"/>
    <s v="Monson Road"/>
    <x v="4"/>
    <x v="2"/>
    <d v="2022-04-30T00:00:00"/>
    <x v="0"/>
    <x v="4"/>
    <n v="104"/>
    <x v="3"/>
    <x v="3"/>
    <n v="2496"/>
    <x v="4"/>
  </r>
  <r>
    <n v="6"/>
    <x v="5"/>
    <x v="5"/>
    <s v="Mr"/>
    <s v="M"/>
    <n v="60"/>
    <s v="Naoroji Street"/>
    <x v="5"/>
    <x v="4"/>
    <d v="2022-03-31T00:00:00"/>
    <x v="0"/>
    <x v="5"/>
    <n v="79"/>
    <x v="4"/>
    <x v="4"/>
    <n v="1422"/>
    <x v="5"/>
  </r>
  <r>
    <n v="7"/>
    <x v="6"/>
    <x v="6"/>
    <s v="Mrs"/>
    <s v="F"/>
    <n v="90"/>
    <s v="Newdigate"/>
    <x v="6"/>
    <x v="2"/>
    <d v="2021-08-09T00:00:00"/>
    <x v="1"/>
    <x v="3"/>
    <n v="86"/>
    <x v="5"/>
    <x v="5"/>
    <n v="2064"/>
    <x v="6"/>
  </r>
  <r>
    <n v="8"/>
    <x v="7"/>
    <x v="7"/>
    <s v="Ms"/>
    <s v="F"/>
    <n v="90"/>
    <s v="Shamrock Way"/>
    <x v="7"/>
    <x v="5"/>
    <d v="2020-01-24T00:00:00"/>
    <x v="2"/>
    <x v="6"/>
    <n v="66"/>
    <x v="6"/>
    <x v="6"/>
    <n v="1584"/>
    <x v="7"/>
  </r>
  <r>
    <n v="9"/>
    <x v="8"/>
    <x v="8"/>
    <s v="Miss"/>
    <s v="F"/>
    <n v="90"/>
    <s v="The Loning"/>
    <x v="8"/>
    <x v="2"/>
    <d v="2020-07-18T00:00:00"/>
    <x v="2"/>
    <x v="0"/>
    <n v="18"/>
    <x v="3"/>
    <x v="3"/>
    <n v="432"/>
    <x v="8"/>
  </r>
  <r>
    <n v="10"/>
    <x v="9"/>
    <x v="9"/>
    <s v="Mr"/>
    <s v="M"/>
    <n v="30"/>
    <s v="Tildesley Road"/>
    <x v="9"/>
    <x v="6"/>
    <d v="2021-11-12T00:00:00"/>
    <x v="1"/>
    <x v="7"/>
    <n v="77"/>
    <x v="7"/>
    <x v="7"/>
    <n v="1540"/>
    <x v="9"/>
  </r>
  <r>
    <n v="11"/>
    <x v="10"/>
    <x v="10"/>
    <s v="Mrs"/>
    <s v="F"/>
    <n v="30"/>
    <s v="Trafalgar Buildings"/>
    <x v="10"/>
    <x v="2"/>
    <d v="2020-07-13T00:00:00"/>
    <x v="2"/>
    <x v="0"/>
    <n v="5"/>
    <x v="4"/>
    <x v="4"/>
    <n v="90"/>
    <x v="10"/>
  </r>
  <r>
    <n v="12"/>
    <x v="11"/>
    <x v="11"/>
    <s v="Mr"/>
    <s v="M"/>
    <n v="60"/>
    <s v="Truscott Court"/>
    <x v="11"/>
    <x v="7"/>
    <d v="2021-03-27T00:00:00"/>
    <x v="1"/>
    <x v="5"/>
    <n v="50"/>
    <x v="3"/>
    <x v="3"/>
    <n v="1200"/>
    <x v="11"/>
  </r>
  <r>
    <n v="13"/>
    <x v="12"/>
    <x v="12"/>
    <s v="Dr"/>
    <s v="M"/>
    <n v="60"/>
    <s v="Arnold Estate"/>
    <x v="12"/>
    <x v="8"/>
    <d v="2022-07-31T00:00:00"/>
    <x v="0"/>
    <x v="0"/>
    <n v="16"/>
    <x v="0"/>
    <x v="0"/>
    <n v="320"/>
    <x v="12"/>
  </r>
  <r>
    <n v="14"/>
    <x v="13"/>
    <x v="13"/>
    <s v="Mr"/>
    <s v="M"/>
    <n v="30"/>
    <s v="Basing Court"/>
    <x v="13"/>
    <x v="9"/>
    <d v="2021-12-18T00:00:00"/>
    <x v="1"/>
    <x v="8"/>
    <n v="49"/>
    <x v="8"/>
    <x v="8"/>
    <n v="980"/>
    <x v="13"/>
  </r>
  <r>
    <n v="15"/>
    <x v="14"/>
    <x v="14"/>
    <s v="Mr"/>
    <s v="M"/>
    <n v="90"/>
    <s v="Eclipse Road"/>
    <x v="14"/>
    <x v="2"/>
    <d v="2020-11-25T00:00:00"/>
    <x v="2"/>
    <x v="7"/>
    <n v="83"/>
    <x v="8"/>
    <x v="8"/>
    <n v="1660"/>
    <x v="14"/>
  </r>
  <r>
    <n v="16"/>
    <x v="15"/>
    <x v="15"/>
    <s v="Mr"/>
    <s v="M"/>
    <n v="90"/>
    <s v="Greenbank Crescent"/>
    <x v="15"/>
    <x v="10"/>
    <d v="2021-03-26T00:00:00"/>
    <x v="1"/>
    <x v="5"/>
    <n v="66"/>
    <x v="4"/>
    <x v="4"/>
    <n v="1188"/>
    <x v="15"/>
  </r>
  <r>
    <n v="17"/>
    <x v="16"/>
    <x v="16"/>
    <s v="Mr"/>
    <s v="M"/>
    <n v="90"/>
    <s v="Hamer Place"/>
    <x v="16"/>
    <x v="3"/>
    <d v="2021-09-16T00:00:00"/>
    <x v="1"/>
    <x v="9"/>
    <n v="85"/>
    <x v="4"/>
    <x v="4"/>
    <n v="1530"/>
    <x v="16"/>
  </r>
  <r>
    <n v="18"/>
    <x v="17"/>
    <x v="17"/>
    <s v="Prof"/>
    <s v="M"/>
    <n v="30"/>
    <s v="Kepler Road"/>
    <x v="17"/>
    <x v="2"/>
    <d v="2021-03-17T00:00:00"/>
    <x v="1"/>
    <x v="5"/>
    <n v="38"/>
    <x v="1"/>
    <x v="1"/>
    <n v="912"/>
    <x v="17"/>
  </r>
  <r>
    <n v="19"/>
    <x v="18"/>
    <x v="18"/>
    <s v="Mrs"/>
    <s v="F"/>
    <n v="90"/>
    <s v="Lions Close"/>
    <x v="18"/>
    <x v="11"/>
    <d v="2021-01-06T00:00:00"/>
    <x v="1"/>
    <x v="6"/>
    <n v="18"/>
    <x v="0"/>
    <x v="0"/>
    <n v="360"/>
    <x v="18"/>
  </r>
  <r>
    <n v="20"/>
    <x v="19"/>
    <x v="19"/>
    <s v="Mr"/>
    <s v="M"/>
    <n v="60"/>
    <s v="Merlin"/>
    <x v="19"/>
    <x v="12"/>
    <d v="2022-02-03T00:00:00"/>
    <x v="0"/>
    <x v="10"/>
    <n v="50"/>
    <x v="1"/>
    <x v="1"/>
    <n v="1200"/>
    <x v="19"/>
  </r>
  <r>
    <n v="21"/>
    <x v="20"/>
    <x v="20"/>
    <s v="Mr"/>
    <s v="M"/>
    <n v="60"/>
    <s v="Myddelton Passage"/>
    <x v="20"/>
    <x v="11"/>
    <d v="2020-04-23T00:00:00"/>
    <x v="2"/>
    <x v="4"/>
    <n v="75"/>
    <x v="0"/>
    <x v="0"/>
    <n v="1500"/>
    <x v="20"/>
  </r>
  <r>
    <n v="22"/>
    <x v="21"/>
    <x v="21"/>
    <s v="Mr"/>
    <s v="M"/>
    <n v="60"/>
    <s v="West Arbour"/>
    <x v="21"/>
    <x v="2"/>
    <d v="2022-09-14T00:00:00"/>
    <x v="0"/>
    <x v="9"/>
    <n v="68"/>
    <x v="2"/>
    <x v="2"/>
    <n v="1156"/>
    <x v="21"/>
  </r>
  <r>
    <n v="23"/>
    <x v="22"/>
    <x v="22"/>
    <s v="Mr"/>
    <s v="M"/>
    <n v="30"/>
    <s v="Wilds Place"/>
    <x v="22"/>
    <x v="2"/>
    <d v="2021-10-21T00:00:00"/>
    <x v="1"/>
    <x v="1"/>
    <n v="14"/>
    <x v="0"/>
    <x v="0"/>
    <n v="280"/>
    <x v="22"/>
  </r>
  <r>
    <n v="24"/>
    <x v="23"/>
    <x v="23"/>
    <s v="Mrs"/>
    <s v="F"/>
    <n v="90"/>
    <s v="Calmers Rents"/>
    <x v="23"/>
    <x v="13"/>
    <d v="2021-06-27T00:00:00"/>
    <x v="1"/>
    <x v="2"/>
    <n v="75"/>
    <x v="4"/>
    <x v="4"/>
    <n v="1350"/>
    <x v="23"/>
  </r>
  <r>
    <n v="25"/>
    <x v="24"/>
    <x v="24"/>
    <s v="Mrs"/>
    <s v="F"/>
    <n v="30"/>
    <s v="Eversley Park"/>
    <x v="24"/>
    <x v="10"/>
    <d v="2021-09-27T00:00:00"/>
    <x v="1"/>
    <x v="9"/>
    <n v="18"/>
    <x v="8"/>
    <x v="8"/>
    <n v="360"/>
    <x v="24"/>
  </r>
  <r>
    <n v="26"/>
    <x v="25"/>
    <x v="25"/>
    <s v="Miss"/>
    <s v="F"/>
    <n v="30"/>
    <s v="Wells Way"/>
    <x v="25"/>
    <x v="1"/>
    <d v="2022-12-06T00:00:00"/>
    <x v="0"/>
    <x v="8"/>
    <n v="89"/>
    <x v="7"/>
    <x v="7"/>
    <n v="1780"/>
    <x v="25"/>
  </r>
  <r>
    <n v="27"/>
    <x v="26"/>
    <x v="26"/>
    <s v="Mr"/>
    <s v="M"/>
    <n v="90"/>
    <s v="Abbey Gardens"/>
    <x v="26"/>
    <x v="2"/>
    <d v="2021-04-27T00:00:00"/>
    <x v="1"/>
    <x v="4"/>
    <n v="89"/>
    <x v="9"/>
    <x v="9"/>
    <n v="2136"/>
    <x v="26"/>
  </r>
  <r>
    <n v="28"/>
    <x v="27"/>
    <x v="27"/>
    <s v="Mr"/>
    <s v="M"/>
    <n v="60"/>
    <s v="Abbey Lane"/>
    <x v="27"/>
    <x v="14"/>
    <d v="2021-07-25T00:00:00"/>
    <x v="1"/>
    <x v="0"/>
    <n v="43"/>
    <x v="6"/>
    <x v="6"/>
    <n v="1032"/>
    <x v="27"/>
  </r>
  <r>
    <n v="29"/>
    <x v="28"/>
    <x v="28"/>
    <s v="Mrs"/>
    <s v="F"/>
    <n v="60"/>
    <s v="Abbotsbury Close"/>
    <x v="28"/>
    <x v="2"/>
    <d v="2021-03-11T00:00:00"/>
    <x v="1"/>
    <x v="5"/>
    <n v="37"/>
    <x v="4"/>
    <x v="4"/>
    <n v="666"/>
    <x v="28"/>
  </r>
  <r>
    <n v="30"/>
    <x v="29"/>
    <x v="29"/>
    <s v="Mrs"/>
    <s v="F"/>
    <n v="90"/>
    <s v="Abbotts Close"/>
    <x v="29"/>
    <x v="15"/>
    <d v="2021-12-10T00:00:00"/>
    <x v="1"/>
    <x v="8"/>
    <n v="55"/>
    <x v="5"/>
    <x v="5"/>
    <n v="1320"/>
    <x v="29"/>
  </r>
  <r>
    <n v="31"/>
    <x v="30"/>
    <x v="30"/>
    <s v="Miss"/>
    <s v="F"/>
    <n v="60"/>
    <s v="Abercorn Court"/>
    <x v="30"/>
    <x v="16"/>
    <d v="2021-06-07T00:00:00"/>
    <x v="1"/>
    <x v="2"/>
    <n v="92"/>
    <x v="5"/>
    <x v="5"/>
    <n v="2208"/>
    <x v="30"/>
  </r>
  <r>
    <n v="32"/>
    <x v="31"/>
    <x v="31"/>
    <s v="Mr"/>
    <s v="M"/>
    <n v="60"/>
    <s v="Aberdeen Parade"/>
    <x v="31"/>
    <x v="2"/>
    <d v="2022-01-16T00:00:00"/>
    <x v="0"/>
    <x v="6"/>
    <n v="105"/>
    <x v="4"/>
    <x v="4"/>
    <n v="1890"/>
    <x v="31"/>
  </r>
  <r>
    <n v="33"/>
    <x v="32"/>
    <x v="32"/>
    <s v="Mr"/>
    <s v="M"/>
    <n v="30"/>
    <s v="Aberdeen Terrace"/>
    <x v="32"/>
    <x v="17"/>
    <d v="2020-07-24T00:00:00"/>
    <x v="2"/>
    <x v="0"/>
    <n v="30"/>
    <x v="8"/>
    <x v="8"/>
    <n v="600"/>
    <x v="32"/>
  </r>
  <r>
    <n v="34"/>
    <x v="33"/>
    <x v="33"/>
    <s v="Mr"/>
    <s v="M"/>
    <n v="90"/>
    <s v="Abingdon Buildings"/>
    <x v="33"/>
    <x v="7"/>
    <d v="2020-05-31T00:00:00"/>
    <x v="2"/>
    <x v="11"/>
    <n v="7"/>
    <x v="3"/>
    <x v="3"/>
    <n v="168"/>
    <x v="33"/>
  </r>
  <r>
    <n v="35"/>
    <x v="34"/>
    <x v="34"/>
    <s v="Mrs"/>
    <s v="F"/>
    <n v="90"/>
    <s v="Abingdon Villas"/>
    <x v="34"/>
    <x v="17"/>
    <d v="2020-08-06T00:00:00"/>
    <x v="2"/>
    <x v="3"/>
    <n v="10"/>
    <x v="9"/>
    <x v="9"/>
    <n v="240"/>
    <x v="34"/>
  </r>
  <r>
    <n v="36"/>
    <x v="35"/>
    <x v="35"/>
    <s v="Mr"/>
    <s v="M"/>
    <n v="30"/>
    <s v="Abingdon Yard"/>
    <x v="35"/>
    <x v="2"/>
    <d v="2020-12-25T00:00:00"/>
    <x v="2"/>
    <x v="8"/>
    <n v="14"/>
    <x v="8"/>
    <x v="8"/>
    <n v="280"/>
    <x v="35"/>
  </r>
  <r>
    <n v="37"/>
    <x v="36"/>
    <x v="36"/>
    <s v="Miss"/>
    <s v="F"/>
    <n v="30"/>
    <s v="Abinger Road"/>
    <x v="36"/>
    <x v="2"/>
    <d v="2020-01-23T00:00:00"/>
    <x v="2"/>
    <x v="6"/>
    <n v="5"/>
    <x v="2"/>
    <x v="2"/>
    <n v="85"/>
    <x v="36"/>
  </r>
  <r>
    <n v="38"/>
    <x v="37"/>
    <x v="37"/>
    <s v="Mr"/>
    <s v="M"/>
    <n v="60"/>
    <s v="Absolom Place"/>
    <x v="37"/>
    <x v="18"/>
    <d v="2022-12-02T00:00:00"/>
    <x v="0"/>
    <x v="8"/>
    <n v="2"/>
    <x v="7"/>
    <x v="7"/>
    <n v="40"/>
    <x v="37"/>
  </r>
  <r>
    <n v="39"/>
    <x v="38"/>
    <x v="38"/>
    <s v="Mr"/>
    <s v="M"/>
    <n v="90"/>
    <s v="Acacia Avenue"/>
    <x v="38"/>
    <x v="19"/>
    <d v="2020-09-27T00:00:00"/>
    <x v="2"/>
    <x v="9"/>
    <n v="46"/>
    <x v="2"/>
    <x v="2"/>
    <n v="782"/>
    <x v="38"/>
  </r>
  <r>
    <n v="40"/>
    <x v="39"/>
    <x v="39"/>
    <s v="Mr"/>
    <s v="M"/>
    <n v="90"/>
    <s v="Acacia Gardens"/>
    <x v="39"/>
    <x v="11"/>
    <d v="2020-07-18T00:00:00"/>
    <x v="2"/>
    <x v="0"/>
    <n v="18"/>
    <x v="1"/>
    <x v="1"/>
    <n v="432"/>
    <x v="39"/>
  </r>
  <r>
    <n v="41"/>
    <x v="40"/>
    <x v="40"/>
    <s v="Mr"/>
    <s v="M"/>
    <n v="60"/>
    <s v="Acacia Road"/>
    <x v="40"/>
    <x v="2"/>
    <d v="2021-05-30T00:00:00"/>
    <x v="1"/>
    <x v="11"/>
    <n v="56"/>
    <x v="8"/>
    <x v="8"/>
    <n v="1120"/>
    <x v="40"/>
  </r>
  <r>
    <n v="42"/>
    <x v="41"/>
    <x v="25"/>
    <s v="Mr"/>
    <s v="M"/>
    <n v="60"/>
    <s v="Acacia Terrace"/>
    <x v="41"/>
    <x v="11"/>
    <d v="2020-10-23T00:00:00"/>
    <x v="2"/>
    <x v="1"/>
    <n v="63"/>
    <x v="0"/>
    <x v="0"/>
    <n v="1260"/>
    <x v="41"/>
  </r>
  <r>
    <n v="43"/>
    <x v="23"/>
    <x v="41"/>
    <s v="Ms"/>
    <s v="F"/>
    <n v="30"/>
    <s v="Accacia Grove"/>
    <x v="42"/>
    <x v="16"/>
    <d v="2022-09-25T00:00:00"/>
    <x v="0"/>
    <x v="9"/>
    <n v="6"/>
    <x v="0"/>
    <x v="0"/>
    <n v="120"/>
    <x v="42"/>
  </r>
  <r>
    <n v="44"/>
    <x v="42"/>
    <x v="42"/>
    <s v="Mr"/>
    <s v="M"/>
    <n v="30"/>
    <s v="Accommodation Road"/>
    <x v="43"/>
    <x v="16"/>
    <d v="2021-01-03T00:00:00"/>
    <x v="1"/>
    <x v="6"/>
    <n v="31"/>
    <x v="7"/>
    <x v="7"/>
    <n v="620"/>
    <x v="43"/>
  </r>
  <r>
    <n v="45"/>
    <x v="43"/>
    <x v="43"/>
    <s v="Miss"/>
    <s v="F"/>
    <n v="30"/>
    <s v="Achilles Road"/>
    <x v="44"/>
    <x v="13"/>
    <d v="2022-05-25T00:00:00"/>
    <x v="0"/>
    <x v="11"/>
    <n v="19"/>
    <x v="0"/>
    <x v="0"/>
    <n v="380"/>
    <x v="44"/>
  </r>
  <r>
    <n v="46"/>
    <x v="44"/>
    <x v="44"/>
    <s v="Miss"/>
    <s v="F"/>
    <n v="90"/>
    <s v="Ackwarth Street"/>
    <x v="45"/>
    <x v="20"/>
    <d v="2020-04-20T00:00:00"/>
    <x v="2"/>
    <x v="4"/>
    <n v="44"/>
    <x v="1"/>
    <x v="1"/>
    <n v="1056"/>
    <x v="45"/>
  </r>
  <r>
    <n v="47"/>
    <x v="45"/>
    <x v="45"/>
    <s v="Mrs"/>
    <s v="F"/>
    <n v="90"/>
    <s v="Acland Crescent"/>
    <x v="46"/>
    <x v="20"/>
    <d v="2020-08-28T00:00:00"/>
    <x v="2"/>
    <x v="3"/>
    <n v="5"/>
    <x v="4"/>
    <x v="4"/>
    <n v="90"/>
    <x v="10"/>
  </r>
  <r>
    <n v="48"/>
    <x v="46"/>
    <x v="46"/>
    <s v="Mr"/>
    <s v="M"/>
    <n v="30"/>
    <s v="Acton Park"/>
    <x v="47"/>
    <x v="16"/>
    <d v="2021-06-27T00:00:00"/>
    <x v="1"/>
    <x v="2"/>
    <n v="24"/>
    <x v="0"/>
    <x v="0"/>
    <n v="480"/>
    <x v="46"/>
  </r>
  <r>
    <n v="49"/>
    <x v="47"/>
    <x v="7"/>
    <s v="Mr"/>
    <s v="M"/>
    <n v="30"/>
    <s v="Adam Eve"/>
    <x v="48"/>
    <x v="13"/>
    <d v="2020-09-10T00:00:00"/>
    <x v="2"/>
    <x v="9"/>
    <n v="85"/>
    <x v="8"/>
    <x v="8"/>
    <n v="1700"/>
    <x v="47"/>
  </r>
  <r>
    <n v="50"/>
    <x v="48"/>
    <x v="47"/>
    <s v="Mrs"/>
    <s v="F"/>
    <n v="30"/>
    <s v="Adam Road"/>
    <x v="49"/>
    <x v="2"/>
    <d v="2020-03-05T00:00:00"/>
    <x v="2"/>
    <x v="5"/>
    <n v="56"/>
    <x v="4"/>
    <x v="4"/>
    <n v="1008"/>
    <x v="48"/>
  </r>
  <r>
    <n v="51"/>
    <x v="49"/>
    <x v="48"/>
    <s v="Prof"/>
    <s v="M"/>
    <n v="30"/>
    <s v="Adam Road"/>
    <x v="50"/>
    <x v="2"/>
    <d v="2021-09-12T00:00:00"/>
    <x v="1"/>
    <x v="9"/>
    <n v="77"/>
    <x v="7"/>
    <x v="7"/>
    <n v="1540"/>
    <x v="9"/>
  </r>
  <r>
    <n v="52"/>
    <x v="50"/>
    <x v="49"/>
    <s v="Mr"/>
    <s v="M"/>
    <n v="60"/>
    <s v="Adam Street"/>
    <x v="51"/>
    <x v="10"/>
    <d v="2020-08-07T00:00:00"/>
    <x v="2"/>
    <x v="3"/>
    <n v="39"/>
    <x v="8"/>
    <x v="8"/>
    <n v="780"/>
    <x v="49"/>
  </r>
  <r>
    <n v="53"/>
    <x v="51"/>
    <x v="50"/>
    <s v="Miss"/>
    <s v="F"/>
    <n v="30"/>
    <s v="Addington Basin"/>
    <x v="52"/>
    <x v="2"/>
    <d v="2020-03-18T00:00:00"/>
    <x v="2"/>
    <x v="5"/>
    <n v="63"/>
    <x v="3"/>
    <x v="3"/>
    <n v="1512"/>
    <x v="50"/>
  </r>
  <r>
    <n v="54"/>
    <x v="52"/>
    <x v="51"/>
    <s v="Mr"/>
    <s v="M"/>
    <n v="90"/>
    <s v="Addison Avenue"/>
    <x v="53"/>
    <x v="17"/>
    <d v="2022-01-29T00:00:00"/>
    <x v="0"/>
    <x v="6"/>
    <n v="60"/>
    <x v="1"/>
    <x v="1"/>
    <n v="1440"/>
    <x v="51"/>
  </r>
  <r>
    <n v="55"/>
    <x v="53"/>
    <x v="52"/>
    <s v="Mrs"/>
    <s v="F"/>
    <n v="90"/>
    <s v="Addison Terrace"/>
    <x v="54"/>
    <x v="2"/>
    <d v="2021-06-28T00:00:00"/>
    <x v="1"/>
    <x v="2"/>
    <n v="26"/>
    <x v="6"/>
    <x v="6"/>
    <n v="624"/>
    <x v="52"/>
  </r>
  <r>
    <n v="56"/>
    <x v="54"/>
    <x v="53"/>
    <s v="Mrs"/>
    <s v="F"/>
    <n v="30"/>
    <s v="Adelaide Chambers"/>
    <x v="55"/>
    <x v="19"/>
    <d v="2022-02-20T00:00:00"/>
    <x v="0"/>
    <x v="10"/>
    <n v="31"/>
    <x v="3"/>
    <x v="3"/>
    <n v="744"/>
    <x v="53"/>
  </r>
  <r>
    <n v="57"/>
    <x v="55"/>
    <x v="54"/>
    <s v="Miss"/>
    <s v="F"/>
    <n v="30"/>
    <s v="Adelaide Cottages"/>
    <x v="56"/>
    <x v="13"/>
    <d v="2022-03-25T00:00:00"/>
    <x v="0"/>
    <x v="5"/>
    <n v="50"/>
    <x v="3"/>
    <x v="3"/>
    <n v="1200"/>
    <x v="11"/>
  </r>
  <r>
    <n v="58"/>
    <x v="56"/>
    <x v="55"/>
    <s v="Miss"/>
    <s v="F"/>
    <n v="90"/>
    <s v="Adelphi Terrace"/>
    <x v="57"/>
    <x v="21"/>
    <d v="2021-09-06T00:00:00"/>
    <x v="1"/>
    <x v="9"/>
    <n v="11"/>
    <x v="1"/>
    <x v="1"/>
    <n v="264"/>
    <x v="54"/>
  </r>
  <r>
    <n v="59"/>
    <x v="57"/>
    <x v="56"/>
    <s v="Mr"/>
    <s v="M"/>
    <n v="60"/>
    <s v="Admiral Square"/>
    <x v="58"/>
    <x v="1"/>
    <d v="2022-06-02T00:00:00"/>
    <x v="0"/>
    <x v="2"/>
    <n v="28"/>
    <x v="9"/>
    <x v="9"/>
    <n v="672"/>
    <x v="55"/>
  </r>
  <r>
    <n v="60"/>
    <x v="58"/>
    <x v="57"/>
    <s v="Ms"/>
    <s v="F"/>
    <n v="60"/>
    <s v="Admirals Way"/>
    <x v="59"/>
    <x v="22"/>
    <d v="2020-04-01T00:00:00"/>
    <x v="2"/>
    <x v="4"/>
    <n v="49"/>
    <x v="6"/>
    <x v="6"/>
    <n v="1176"/>
    <x v="56"/>
  </r>
  <r>
    <n v="61"/>
    <x v="59"/>
    <x v="58"/>
    <s v="Miss"/>
    <s v="F"/>
    <n v="60"/>
    <s v="Ado Place"/>
    <x v="60"/>
    <x v="2"/>
    <d v="2022-08-19T00:00:00"/>
    <x v="0"/>
    <x v="3"/>
    <n v="105"/>
    <x v="2"/>
    <x v="2"/>
    <n v="1785"/>
    <x v="57"/>
  </r>
  <r>
    <n v="62"/>
    <x v="60"/>
    <x v="59"/>
    <s v="Miss"/>
    <s v="F"/>
    <n v="90"/>
    <s v="Aegis Grove"/>
    <x v="61"/>
    <x v="2"/>
    <d v="2021-08-17T00:00:00"/>
    <x v="1"/>
    <x v="3"/>
    <n v="32"/>
    <x v="4"/>
    <x v="4"/>
    <n v="576"/>
    <x v="58"/>
  </r>
  <r>
    <n v="63"/>
    <x v="61"/>
    <x v="60"/>
    <s v="Ms"/>
    <s v="F"/>
    <n v="90"/>
    <s v="Agar Place"/>
    <x v="62"/>
    <x v="2"/>
    <d v="2020-07-12T00:00:00"/>
    <x v="2"/>
    <x v="0"/>
    <n v="31"/>
    <x v="1"/>
    <x v="1"/>
    <n v="744"/>
    <x v="59"/>
  </r>
  <r>
    <n v="64"/>
    <x v="62"/>
    <x v="61"/>
    <s v="Mrs"/>
    <s v="F"/>
    <n v="30"/>
    <s v="Ainsdale Drive"/>
    <x v="63"/>
    <x v="18"/>
    <d v="2020-10-06T00:00:00"/>
    <x v="2"/>
    <x v="1"/>
    <n v="23"/>
    <x v="9"/>
    <x v="9"/>
    <n v="552"/>
    <x v="60"/>
  </r>
  <r>
    <n v="65"/>
    <x v="63"/>
    <x v="62"/>
    <s v="Mrs"/>
    <s v="F"/>
    <n v="60"/>
    <s v="Ainsdale Drive"/>
    <x v="64"/>
    <x v="2"/>
    <d v="2020-01-15T00:00:00"/>
    <x v="2"/>
    <x v="6"/>
    <n v="51"/>
    <x v="1"/>
    <x v="1"/>
    <n v="1224"/>
    <x v="61"/>
  </r>
  <r>
    <n v="66"/>
    <x v="64"/>
    <x v="63"/>
    <s v="Mr"/>
    <s v="M"/>
    <n v="60"/>
    <s v="Aintree Estate"/>
    <x v="65"/>
    <x v="1"/>
    <d v="2020-09-10T00:00:00"/>
    <x v="2"/>
    <x v="9"/>
    <n v="59"/>
    <x v="9"/>
    <x v="9"/>
    <n v="1416"/>
    <x v="62"/>
  </r>
  <r>
    <n v="67"/>
    <x v="65"/>
    <x v="64"/>
    <s v="Miss"/>
    <s v="F"/>
    <n v="60"/>
    <s v="Alabama Street"/>
    <x v="66"/>
    <x v="2"/>
    <d v="2021-09-26T00:00:00"/>
    <x v="1"/>
    <x v="9"/>
    <n v="37"/>
    <x v="4"/>
    <x v="4"/>
    <n v="666"/>
    <x v="28"/>
  </r>
  <r>
    <n v="68"/>
    <x v="66"/>
    <x v="65"/>
    <s v="Miss"/>
    <s v="F"/>
    <n v="90"/>
    <s v="Alacross Road"/>
    <x v="67"/>
    <x v="11"/>
    <d v="2020-04-08T00:00:00"/>
    <x v="2"/>
    <x v="4"/>
    <n v="29"/>
    <x v="3"/>
    <x v="3"/>
    <n v="696"/>
    <x v="63"/>
  </r>
  <r>
    <n v="69"/>
    <x v="67"/>
    <x v="66"/>
    <s v="Mr"/>
    <s v="M"/>
    <n v="90"/>
    <s v="Alba Gardens"/>
    <x v="68"/>
    <x v="15"/>
    <d v="2021-05-31T00:00:00"/>
    <x v="1"/>
    <x v="11"/>
    <n v="83"/>
    <x v="8"/>
    <x v="8"/>
    <n v="1660"/>
    <x v="14"/>
  </r>
  <r>
    <n v="70"/>
    <x v="68"/>
    <x v="67"/>
    <s v="Mr"/>
    <s v="M"/>
    <n v="30"/>
    <s v="Alba Place"/>
    <x v="69"/>
    <x v="1"/>
    <d v="2022-03-21T00:00:00"/>
    <x v="0"/>
    <x v="5"/>
    <n v="5"/>
    <x v="5"/>
    <x v="5"/>
    <n v="120"/>
    <x v="64"/>
  </r>
  <r>
    <n v="71"/>
    <x v="69"/>
    <x v="68"/>
    <s v="Mr"/>
    <s v="M"/>
    <n v="90"/>
    <s v="Albany Courtyard"/>
    <x v="70"/>
    <x v="2"/>
    <d v="2020-11-10T00:00:00"/>
    <x v="2"/>
    <x v="7"/>
    <n v="55"/>
    <x v="3"/>
    <x v="3"/>
    <n v="1320"/>
    <x v="65"/>
  </r>
  <r>
    <n v="72"/>
    <x v="70"/>
    <x v="69"/>
    <s v="Miss"/>
    <s v="F"/>
    <n v="30"/>
    <s v="Albany Terrace"/>
    <x v="71"/>
    <x v="1"/>
    <d v="2022-09-23T00:00:00"/>
    <x v="0"/>
    <x v="9"/>
    <n v="88"/>
    <x v="1"/>
    <x v="1"/>
    <n v="2112"/>
    <x v="66"/>
  </r>
  <r>
    <n v="73"/>
    <x v="71"/>
    <x v="70"/>
    <s v="Mrs"/>
    <s v="F"/>
    <n v="60"/>
    <s v="Albert Cottage"/>
    <x v="18"/>
    <x v="11"/>
    <d v="2020-07-23T00:00:00"/>
    <x v="2"/>
    <x v="0"/>
    <n v="9"/>
    <x v="1"/>
    <x v="1"/>
    <n v="216"/>
    <x v="67"/>
  </r>
  <r>
    <n v="74"/>
    <x v="21"/>
    <x v="71"/>
    <s v="Mr"/>
    <s v="M"/>
    <n v="90"/>
    <s v="Albert Court"/>
    <x v="72"/>
    <x v="16"/>
    <d v="2020-11-17T00:00:00"/>
    <x v="2"/>
    <x v="7"/>
    <n v="84"/>
    <x v="6"/>
    <x v="6"/>
    <n v="2016"/>
    <x v="68"/>
  </r>
  <r>
    <n v="75"/>
    <x v="72"/>
    <x v="72"/>
    <s v="Miss"/>
    <s v="F"/>
    <n v="30"/>
    <s v="Albert Crescent"/>
    <x v="73"/>
    <x v="1"/>
    <d v="2020-10-11T00:00:00"/>
    <x v="2"/>
    <x v="1"/>
    <n v="19"/>
    <x v="3"/>
    <x v="3"/>
    <n v="456"/>
    <x v="69"/>
  </r>
  <r>
    <n v="76"/>
    <x v="3"/>
    <x v="73"/>
    <s v="Mr"/>
    <s v="M"/>
    <n v="90"/>
    <s v="Albert Villas"/>
    <x v="74"/>
    <x v="10"/>
    <d v="2020-10-14T00:00:00"/>
    <x v="2"/>
    <x v="1"/>
    <n v="13"/>
    <x v="7"/>
    <x v="7"/>
    <n v="260"/>
    <x v="70"/>
  </r>
  <r>
    <n v="77"/>
    <x v="73"/>
    <x v="74"/>
    <s v="Mr"/>
    <s v="M"/>
    <n v="90"/>
    <s v="Albion Avenue"/>
    <x v="75"/>
    <x v="2"/>
    <d v="2021-01-06T00:00:00"/>
    <x v="1"/>
    <x v="6"/>
    <n v="5"/>
    <x v="8"/>
    <x v="8"/>
    <n v="100"/>
    <x v="71"/>
  </r>
  <r>
    <n v="78"/>
    <x v="74"/>
    <x v="75"/>
    <s v="Mr"/>
    <s v="M"/>
    <n v="60"/>
    <s v="Albion Buildings"/>
    <x v="76"/>
    <x v="1"/>
    <d v="2021-10-15T00:00:00"/>
    <x v="1"/>
    <x v="1"/>
    <n v="14"/>
    <x v="7"/>
    <x v="7"/>
    <n v="280"/>
    <x v="72"/>
  </r>
  <r>
    <n v="79"/>
    <x v="75"/>
    <x v="76"/>
    <s v="Mr"/>
    <s v="M"/>
    <n v="30"/>
    <s v="Albion Terrace"/>
    <x v="77"/>
    <x v="13"/>
    <d v="2020-12-26T00:00:00"/>
    <x v="2"/>
    <x v="8"/>
    <n v="36"/>
    <x v="6"/>
    <x v="6"/>
    <n v="864"/>
    <x v="73"/>
  </r>
  <r>
    <n v="80"/>
    <x v="76"/>
    <x v="77"/>
    <s v="Miss"/>
    <s v="F"/>
    <n v="30"/>
    <s v="Albury Mews"/>
    <x v="78"/>
    <x v="2"/>
    <d v="2020-04-23T00:00:00"/>
    <x v="2"/>
    <x v="4"/>
    <n v="79"/>
    <x v="6"/>
    <x v="6"/>
    <n v="1896"/>
    <x v="74"/>
  </r>
  <r>
    <n v="81"/>
    <x v="77"/>
    <x v="78"/>
    <s v="Miss"/>
    <s v="F"/>
    <n v="60"/>
    <s v="Alcott Avenue"/>
    <x v="79"/>
    <x v="21"/>
    <d v="2020-11-06T00:00:00"/>
    <x v="2"/>
    <x v="7"/>
    <n v="80"/>
    <x v="4"/>
    <x v="4"/>
    <n v="1440"/>
    <x v="75"/>
  </r>
  <r>
    <n v="82"/>
    <x v="78"/>
    <x v="79"/>
    <s v="Dr"/>
    <s v="F"/>
    <n v="30"/>
    <s v="Alcott Avenue"/>
    <x v="80"/>
    <x v="2"/>
    <d v="2021-10-04T00:00:00"/>
    <x v="1"/>
    <x v="1"/>
    <n v="43"/>
    <x v="1"/>
    <x v="1"/>
    <n v="1032"/>
    <x v="76"/>
  </r>
  <r>
    <n v="83"/>
    <x v="79"/>
    <x v="80"/>
    <s v="Mr"/>
    <s v="M"/>
    <n v="30"/>
    <s v="Alcott Close"/>
    <x v="81"/>
    <x v="2"/>
    <d v="2020-12-06T00:00:00"/>
    <x v="2"/>
    <x v="8"/>
    <n v="85"/>
    <x v="4"/>
    <x v="4"/>
    <n v="1530"/>
    <x v="16"/>
  </r>
  <r>
    <n v="84"/>
    <x v="15"/>
    <x v="81"/>
    <s v="Mr"/>
    <s v="M"/>
    <n v="30"/>
    <s v="Aldbury Mews"/>
    <x v="82"/>
    <x v="2"/>
    <d v="2020-04-01T00:00:00"/>
    <x v="2"/>
    <x v="4"/>
    <n v="71"/>
    <x v="1"/>
    <x v="1"/>
    <n v="1704"/>
    <x v="77"/>
  </r>
  <r>
    <n v="85"/>
    <x v="80"/>
    <x v="82"/>
    <s v="Miss"/>
    <s v="F"/>
    <n v="90"/>
    <s v="Alden Avenue"/>
    <x v="83"/>
    <x v="23"/>
    <d v="2020-09-10T00:00:00"/>
    <x v="2"/>
    <x v="9"/>
    <n v="47"/>
    <x v="4"/>
    <x v="4"/>
    <n v="846"/>
    <x v="78"/>
  </r>
  <r>
    <n v="86"/>
    <x v="81"/>
    <x v="83"/>
    <s v="Mrs"/>
    <s v="F"/>
    <n v="30"/>
    <s v="Alder Close"/>
    <x v="84"/>
    <x v="2"/>
    <d v="2020-06-15T00:00:00"/>
    <x v="2"/>
    <x v="2"/>
    <n v="77"/>
    <x v="2"/>
    <x v="2"/>
    <n v="1309"/>
    <x v="79"/>
  </r>
  <r>
    <n v="87"/>
    <x v="82"/>
    <x v="84"/>
    <s v="Mr"/>
    <s v="M"/>
    <n v="90"/>
    <s v="Aldermanbury"/>
    <x v="85"/>
    <x v="1"/>
    <d v="2020-11-25T00:00:00"/>
    <x v="2"/>
    <x v="7"/>
    <n v="11"/>
    <x v="3"/>
    <x v="3"/>
    <n v="264"/>
    <x v="80"/>
  </r>
  <r>
    <n v="88"/>
    <x v="83"/>
    <x v="85"/>
    <s v="Miss"/>
    <s v="F"/>
    <n v="30"/>
    <s v="Aldermans Hill"/>
    <x v="86"/>
    <x v="17"/>
    <d v="2020-09-17T00:00:00"/>
    <x v="2"/>
    <x v="9"/>
    <n v="61"/>
    <x v="2"/>
    <x v="2"/>
    <n v="1037"/>
    <x v="81"/>
  </r>
  <r>
    <n v="89"/>
    <x v="84"/>
    <x v="86"/>
    <s v="Mrs"/>
    <s v="F"/>
    <n v="90"/>
    <s v="Aldermans Walk"/>
    <x v="87"/>
    <x v="2"/>
    <d v="2022-05-26T00:00:00"/>
    <x v="0"/>
    <x v="11"/>
    <n v="92"/>
    <x v="3"/>
    <x v="3"/>
    <n v="2208"/>
    <x v="82"/>
  </r>
  <r>
    <n v="90"/>
    <x v="85"/>
    <x v="87"/>
    <s v="Miss"/>
    <s v="F"/>
    <n v="30"/>
    <s v="Alderminster Road"/>
    <x v="88"/>
    <x v="2"/>
    <d v="2022-09-19T00:00:00"/>
    <x v="0"/>
    <x v="9"/>
    <n v="81"/>
    <x v="8"/>
    <x v="8"/>
    <n v="1620"/>
    <x v="83"/>
  </r>
  <r>
    <n v="91"/>
    <x v="86"/>
    <x v="88"/>
    <s v="Miss"/>
    <s v="F"/>
    <n v="60"/>
    <s v="Aldersgrove Avenue"/>
    <x v="89"/>
    <x v="24"/>
    <d v="2022-07-04T00:00:00"/>
    <x v="0"/>
    <x v="0"/>
    <n v="50"/>
    <x v="9"/>
    <x v="9"/>
    <n v="1200"/>
    <x v="84"/>
  </r>
  <r>
    <n v="92"/>
    <x v="87"/>
    <x v="89"/>
    <s v="Mrs"/>
    <s v="F"/>
    <n v="30"/>
    <s v="Aldine Chambers"/>
    <x v="90"/>
    <x v="2"/>
    <d v="2021-01-22T00:00:00"/>
    <x v="1"/>
    <x v="6"/>
    <n v="38"/>
    <x v="8"/>
    <x v="8"/>
    <n v="760"/>
    <x v="85"/>
  </r>
  <r>
    <n v="93"/>
    <x v="88"/>
    <x v="90"/>
    <s v="Mr"/>
    <s v="M"/>
    <n v="30"/>
    <s v="Aldis Mews"/>
    <x v="91"/>
    <x v="2"/>
    <d v="2022-02-24T00:00:00"/>
    <x v="0"/>
    <x v="10"/>
    <n v="86"/>
    <x v="8"/>
    <x v="8"/>
    <n v="1720"/>
    <x v="86"/>
  </r>
  <r>
    <n v="94"/>
    <x v="89"/>
    <x v="91"/>
    <s v="Mr"/>
    <s v="M"/>
    <n v="30"/>
    <s v="Aldsworth Close"/>
    <x v="92"/>
    <x v="2"/>
    <d v="2020-08-07T00:00:00"/>
    <x v="2"/>
    <x v="3"/>
    <n v="56"/>
    <x v="9"/>
    <x v="9"/>
    <n v="1344"/>
    <x v="87"/>
  </r>
  <r>
    <n v="95"/>
    <x v="90"/>
    <x v="92"/>
    <s v="Mrs"/>
    <s v="F"/>
    <n v="90"/>
    <s v="Alexander Evans"/>
    <x v="93"/>
    <x v="1"/>
    <d v="2020-12-13T00:00:00"/>
    <x v="2"/>
    <x v="8"/>
    <n v="85"/>
    <x v="5"/>
    <x v="5"/>
    <n v="2040"/>
    <x v="88"/>
  </r>
  <r>
    <n v="96"/>
    <x v="91"/>
    <x v="93"/>
    <s v="Miss"/>
    <s v="F"/>
    <n v="30"/>
    <s v="Alexander Place"/>
    <x v="94"/>
    <x v="21"/>
    <d v="2022-11-26T00:00:00"/>
    <x v="0"/>
    <x v="7"/>
    <n v="9"/>
    <x v="2"/>
    <x v="2"/>
    <n v="153"/>
    <x v="89"/>
  </r>
  <r>
    <n v="97"/>
    <x v="92"/>
    <x v="94"/>
    <s v="Miss"/>
    <s v="F"/>
    <n v="90"/>
    <s v="Alexandra Mews"/>
    <x v="95"/>
    <x v="2"/>
    <d v="2022-05-22T00:00:00"/>
    <x v="0"/>
    <x v="11"/>
    <n v="83"/>
    <x v="4"/>
    <x v="4"/>
    <n v="1494"/>
    <x v="90"/>
  </r>
  <r>
    <n v="98"/>
    <x v="93"/>
    <x v="95"/>
    <s v="Mrs"/>
    <s v="F"/>
    <n v="60"/>
    <s v="Alexandra Road"/>
    <x v="96"/>
    <x v="21"/>
    <d v="2022-08-11T00:00:00"/>
    <x v="0"/>
    <x v="3"/>
    <n v="49"/>
    <x v="6"/>
    <x v="6"/>
    <n v="1176"/>
    <x v="56"/>
  </r>
  <r>
    <n v="99"/>
    <x v="94"/>
    <x v="96"/>
    <s v="Mr"/>
    <s v="M"/>
    <n v="30"/>
    <s v="Alexandria Road"/>
    <x v="97"/>
    <x v="17"/>
    <d v="2021-02-16T00:00:00"/>
    <x v="1"/>
    <x v="10"/>
    <n v="77"/>
    <x v="1"/>
    <x v="1"/>
    <n v="1848"/>
    <x v="91"/>
  </r>
  <r>
    <n v="100"/>
    <x v="95"/>
    <x v="97"/>
    <s v="Mrs"/>
    <s v="F"/>
    <n v="90"/>
    <s v="Alexandria Road"/>
    <x v="98"/>
    <x v="21"/>
    <d v="2022-07-13T00:00:00"/>
    <x v="0"/>
    <x v="0"/>
    <n v="29"/>
    <x v="6"/>
    <x v="6"/>
    <n v="696"/>
    <x v="92"/>
  </r>
  <r>
    <n v="101"/>
    <x v="96"/>
    <x v="98"/>
    <s v="Miss"/>
    <s v="F"/>
    <n v="30"/>
    <s v="Alexandria Terrace"/>
    <x v="99"/>
    <x v="2"/>
    <d v="2022-03-16T00:00:00"/>
    <x v="0"/>
    <x v="5"/>
    <n v="93"/>
    <x v="6"/>
    <x v="6"/>
    <n v="2232"/>
    <x v="93"/>
  </r>
  <r>
    <n v="102"/>
    <x v="97"/>
    <x v="99"/>
    <s v="Mrs"/>
    <s v="F"/>
    <n v="60"/>
    <s v="Alexis Road"/>
    <x v="100"/>
    <x v="17"/>
    <d v="2020-11-18T00:00:00"/>
    <x v="2"/>
    <x v="7"/>
    <n v="79"/>
    <x v="5"/>
    <x v="5"/>
    <n v="1896"/>
    <x v="94"/>
  </r>
  <r>
    <n v="103"/>
    <x v="98"/>
    <x v="100"/>
    <s v="Miss"/>
    <s v="F"/>
    <n v="60"/>
    <s v="Alford Terrace"/>
    <x v="101"/>
    <x v="2"/>
    <d v="2021-07-23T00:00:00"/>
    <x v="1"/>
    <x v="0"/>
    <n v="87"/>
    <x v="4"/>
    <x v="4"/>
    <n v="1566"/>
    <x v="95"/>
  </r>
  <r>
    <n v="104"/>
    <x v="99"/>
    <x v="101"/>
    <s v="Mr"/>
    <s v="M"/>
    <n v="30"/>
    <s v="Alfred Place"/>
    <x v="102"/>
    <x v="25"/>
    <d v="2022-03-02T00:00:00"/>
    <x v="0"/>
    <x v="5"/>
    <n v="67"/>
    <x v="2"/>
    <x v="2"/>
    <n v="1139"/>
    <x v="96"/>
  </r>
  <r>
    <n v="105"/>
    <x v="100"/>
    <x v="102"/>
    <s v="Mr"/>
    <s v="M"/>
    <n v="60"/>
    <s v="Alfred Villas"/>
    <x v="103"/>
    <x v="22"/>
    <d v="2021-03-19T00:00:00"/>
    <x v="1"/>
    <x v="5"/>
    <n v="54"/>
    <x v="5"/>
    <x v="5"/>
    <n v="1296"/>
    <x v="97"/>
  </r>
  <r>
    <n v="106"/>
    <x v="101"/>
    <x v="103"/>
    <s v="Miss"/>
    <s v="F"/>
    <n v="60"/>
    <s v="Alfreda Street"/>
    <x v="104"/>
    <x v="2"/>
    <d v="2020-01-04T00:00:00"/>
    <x v="2"/>
    <x v="6"/>
    <n v="64"/>
    <x v="2"/>
    <x v="2"/>
    <n v="1088"/>
    <x v="98"/>
  </r>
  <r>
    <n v="107"/>
    <x v="102"/>
    <x v="104"/>
    <s v="Mr"/>
    <s v="M"/>
    <n v="30"/>
    <s v="Alfreton Close"/>
    <x v="105"/>
    <x v="2"/>
    <d v="2020-03-06T00:00:00"/>
    <x v="2"/>
    <x v="5"/>
    <n v="37"/>
    <x v="8"/>
    <x v="8"/>
    <n v="740"/>
    <x v="99"/>
  </r>
  <r>
    <n v="108"/>
    <x v="103"/>
    <x v="105"/>
    <s v="Miss"/>
    <s v="F"/>
    <n v="90"/>
    <s v="Alfreton Villas"/>
    <x v="106"/>
    <x v="2"/>
    <d v="2020-04-23T00:00:00"/>
    <x v="2"/>
    <x v="4"/>
    <n v="78"/>
    <x v="1"/>
    <x v="1"/>
    <n v="1872"/>
    <x v="100"/>
  </r>
  <r>
    <n v="109"/>
    <x v="104"/>
    <x v="106"/>
    <s v="Miss"/>
    <s v="F"/>
    <n v="90"/>
    <s v="Algarve Road"/>
    <x v="107"/>
    <x v="15"/>
    <d v="2022-05-18T00:00:00"/>
    <x v="0"/>
    <x v="11"/>
    <n v="60"/>
    <x v="9"/>
    <x v="9"/>
    <n v="1440"/>
    <x v="101"/>
  </r>
  <r>
    <n v="110"/>
    <x v="105"/>
    <x v="55"/>
    <s v="Mr"/>
    <s v="M"/>
    <n v="90"/>
    <s v="Alice Cottages"/>
    <x v="108"/>
    <x v="2"/>
    <d v="2021-02-08T00:00:00"/>
    <x v="1"/>
    <x v="10"/>
    <n v="58"/>
    <x v="3"/>
    <x v="3"/>
    <n v="1392"/>
    <x v="102"/>
  </r>
  <r>
    <n v="111"/>
    <x v="106"/>
    <x v="107"/>
    <s v="Miss"/>
    <s v="F"/>
    <n v="90"/>
    <s v="Alice Terrace"/>
    <x v="109"/>
    <x v="21"/>
    <d v="2022-02-12T00:00:00"/>
    <x v="0"/>
    <x v="10"/>
    <n v="10"/>
    <x v="3"/>
    <x v="3"/>
    <n v="240"/>
    <x v="103"/>
  </r>
  <r>
    <n v="112"/>
    <x v="107"/>
    <x v="108"/>
    <s v="Mr"/>
    <s v="M"/>
    <n v="30"/>
    <s v="Allen Road"/>
    <x v="110"/>
    <x v="2"/>
    <d v="2021-10-25T00:00:00"/>
    <x v="1"/>
    <x v="1"/>
    <n v="70"/>
    <x v="5"/>
    <x v="5"/>
    <n v="1680"/>
    <x v="104"/>
  </r>
  <r>
    <n v="113"/>
    <x v="108"/>
    <x v="109"/>
    <s v="Mr"/>
    <s v="M"/>
    <n v="30"/>
    <s v="Allen Street"/>
    <x v="111"/>
    <x v="2"/>
    <d v="2021-03-18T00:00:00"/>
    <x v="1"/>
    <x v="5"/>
    <n v="73"/>
    <x v="3"/>
    <x v="3"/>
    <n v="1752"/>
    <x v="105"/>
  </r>
  <r>
    <n v="114"/>
    <x v="109"/>
    <x v="110"/>
    <s v="Mr"/>
    <s v="M"/>
    <n v="60"/>
    <s v="Allestree Villas"/>
    <x v="112"/>
    <x v="0"/>
    <d v="2022-10-19T00:00:00"/>
    <x v="0"/>
    <x v="1"/>
    <n v="101"/>
    <x v="3"/>
    <x v="3"/>
    <n v="2424"/>
    <x v="106"/>
  </r>
  <r>
    <n v="115"/>
    <x v="110"/>
    <x v="111"/>
    <s v="Mrs"/>
    <s v="F"/>
    <n v="60"/>
    <s v="Alleyn Court"/>
    <x v="113"/>
    <x v="2"/>
    <d v="2020-05-24T00:00:00"/>
    <x v="2"/>
    <x v="11"/>
    <n v="38"/>
    <x v="9"/>
    <x v="9"/>
    <n v="912"/>
    <x v="107"/>
  </r>
  <r>
    <n v="116"/>
    <x v="111"/>
    <x v="112"/>
    <s v="Mrs"/>
    <s v="F"/>
    <n v="60"/>
    <s v="Alleyne Road"/>
    <x v="114"/>
    <x v="2"/>
    <d v="2022-12-17T00:00:00"/>
    <x v="0"/>
    <x v="8"/>
    <n v="95"/>
    <x v="7"/>
    <x v="7"/>
    <n v="1900"/>
    <x v="108"/>
  </r>
  <r>
    <n v="117"/>
    <x v="112"/>
    <x v="113"/>
    <s v="Mrs"/>
    <s v="F"/>
    <n v="60"/>
    <s v="Allison Close"/>
    <x v="115"/>
    <x v="2"/>
    <d v="2020-09-10T00:00:00"/>
    <x v="2"/>
    <x v="9"/>
    <n v="43"/>
    <x v="0"/>
    <x v="0"/>
    <n v="860"/>
    <x v="109"/>
  </r>
  <r>
    <n v="118"/>
    <x v="113"/>
    <x v="114"/>
    <s v="Mr"/>
    <s v="M"/>
    <n v="90"/>
    <s v="Allison Road"/>
    <x v="116"/>
    <x v="11"/>
    <d v="2021-06-22T00:00:00"/>
    <x v="1"/>
    <x v="2"/>
    <n v="26"/>
    <x v="7"/>
    <x v="7"/>
    <n v="520"/>
    <x v="110"/>
  </r>
  <r>
    <n v="119"/>
    <x v="114"/>
    <x v="115"/>
    <s v="Miss"/>
    <s v="F"/>
    <n v="90"/>
    <s v="Allleyn Crescent"/>
    <x v="117"/>
    <x v="2"/>
    <d v="2020-03-15T00:00:00"/>
    <x v="2"/>
    <x v="5"/>
    <n v="26"/>
    <x v="8"/>
    <x v="8"/>
    <n v="520"/>
    <x v="111"/>
  </r>
  <r>
    <n v="120"/>
    <x v="115"/>
    <x v="116"/>
    <s v="Mr"/>
    <s v="M"/>
    <n v="30"/>
    <s v="Allnutt Way"/>
    <x v="118"/>
    <x v="2"/>
    <d v="2021-01-03T00:00:00"/>
    <x v="1"/>
    <x v="6"/>
    <n v="45"/>
    <x v="5"/>
    <x v="5"/>
    <n v="1080"/>
    <x v="112"/>
  </r>
  <r>
    <n v="121"/>
    <x v="116"/>
    <x v="117"/>
    <s v="Mrs"/>
    <s v="F"/>
    <n v="30"/>
    <s v="Allsop Mews"/>
    <x v="2"/>
    <x v="2"/>
    <d v="2022-11-22T00:00:00"/>
    <x v="0"/>
    <x v="7"/>
    <n v="88"/>
    <x v="7"/>
    <x v="7"/>
    <n v="1760"/>
    <x v="113"/>
  </r>
  <r>
    <n v="122"/>
    <x v="117"/>
    <x v="118"/>
    <s v="Mrs"/>
    <s v="F"/>
    <n v="60"/>
    <s v="Allsop Place"/>
    <x v="119"/>
    <x v="15"/>
    <d v="2022-01-23T00:00:00"/>
    <x v="0"/>
    <x v="6"/>
    <n v="87"/>
    <x v="7"/>
    <x v="7"/>
    <n v="1740"/>
    <x v="114"/>
  </r>
  <r>
    <n v="123"/>
    <x v="118"/>
    <x v="119"/>
    <s v="Miss"/>
    <s v="F"/>
    <n v="30"/>
    <s v="Alma Cottage"/>
    <x v="120"/>
    <x v="24"/>
    <d v="2022-08-31T00:00:00"/>
    <x v="0"/>
    <x v="3"/>
    <n v="19"/>
    <x v="6"/>
    <x v="6"/>
    <n v="456"/>
    <x v="115"/>
  </r>
  <r>
    <n v="124"/>
    <x v="119"/>
    <x v="120"/>
    <s v="Mr"/>
    <s v="M"/>
    <n v="30"/>
    <s v="Alma Hill"/>
    <x v="121"/>
    <x v="26"/>
    <d v="2022-09-09T00:00:00"/>
    <x v="0"/>
    <x v="9"/>
    <n v="81"/>
    <x v="0"/>
    <x v="0"/>
    <n v="1620"/>
    <x v="116"/>
  </r>
  <r>
    <n v="125"/>
    <x v="120"/>
    <x v="121"/>
    <s v="Mr"/>
    <s v="M"/>
    <n v="30"/>
    <s v="Alma Road"/>
    <x v="122"/>
    <x v="2"/>
    <d v="2021-03-25T00:00:00"/>
    <x v="1"/>
    <x v="5"/>
    <n v="38"/>
    <x v="3"/>
    <x v="3"/>
    <n v="912"/>
    <x v="117"/>
  </r>
  <r>
    <n v="126"/>
    <x v="121"/>
    <x v="122"/>
    <s v="Miss"/>
    <s v="F"/>
    <n v="30"/>
    <s v="Alma Square"/>
    <x v="123"/>
    <x v="17"/>
    <d v="2020-01-22T00:00:00"/>
    <x v="2"/>
    <x v="6"/>
    <n v="56"/>
    <x v="3"/>
    <x v="3"/>
    <n v="1344"/>
    <x v="118"/>
  </r>
  <r>
    <n v="127"/>
    <x v="122"/>
    <x v="123"/>
    <s v="Mr"/>
    <s v="M"/>
    <n v="60"/>
    <s v="Alnwick Road"/>
    <x v="124"/>
    <x v="10"/>
    <d v="2020-02-03T00:00:00"/>
    <x v="2"/>
    <x v="10"/>
    <n v="52"/>
    <x v="6"/>
    <x v="6"/>
    <n v="1248"/>
    <x v="119"/>
  </r>
  <r>
    <n v="128"/>
    <x v="123"/>
    <x v="124"/>
    <s v="Mr"/>
    <s v="M"/>
    <n v="30"/>
    <s v="Alpha Cottages"/>
    <x v="125"/>
    <x v="17"/>
    <d v="2022-07-06T00:00:00"/>
    <x v="0"/>
    <x v="0"/>
    <n v="25"/>
    <x v="9"/>
    <x v="9"/>
    <n v="600"/>
    <x v="120"/>
  </r>
  <r>
    <n v="129"/>
    <x v="124"/>
    <x v="125"/>
    <s v="Mrs"/>
    <s v="F"/>
    <n v="60"/>
    <s v="Alpha Terrace"/>
    <x v="126"/>
    <x v="27"/>
    <d v="2020-04-01T00:00:00"/>
    <x v="2"/>
    <x v="4"/>
    <n v="38"/>
    <x v="7"/>
    <x v="7"/>
    <n v="760"/>
    <x v="121"/>
  </r>
  <r>
    <n v="130"/>
    <x v="125"/>
    <x v="126"/>
    <s v="Mr"/>
    <s v="M"/>
    <n v="60"/>
    <s v="Alphabet Court"/>
    <x v="127"/>
    <x v="2"/>
    <d v="2021-06-12T00:00:00"/>
    <x v="1"/>
    <x v="2"/>
    <n v="74"/>
    <x v="5"/>
    <x v="5"/>
    <n v="1776"/>
    <x v="122"/>
  </r>
  <r>
    <n v="131"/>
    <x v="126"/>
    <x v="127"/>
    <s v="Mr"/>
    <s v="M"/>
    <n v="60"/>
    <s v="Alpine Road"/>
    <x v="128"/>
    <x v="2"/>
    <d v="2022-04-20T00:00:00"/>
    <x v="0"/>
    <x v="4"/>
    <n v="97"/>
    <x v="0"/>
    <x v="0"/>
    <n v="1940"/>
    <x v="123"/>
  </r>
  <r>
    <n v="132"/>
    <x v="127"/>
    <x v="128"/>
    <s v="Mrs"/>
    <s v="F"/>
    <n v="30"/>
    <s v="Alscot Way"/>
    <x v="129"/>
    <x v="1"/>
    <d v="2022-01-20T00:00:00"/>
    <x v="0"/>
    <x v="6"/>
    <n v="84"/>
    <x v="4"/>
    <x v="4"/>
    <n v="1512"/>
    <x v="124"/>
  </r>
  <r>
    <n v="133"/>
    <x v="128"/>
    <x v="129"/>
    <s v="Mr"/>
    <s v="M"/>
    <n v="90"/>
    <s v="Althorp Road"/>
    <x v="130"/>
    <x v="2"/>
    <d v="2021-01-27T00:00:00"/>
    <x v="1"/>
    <x v="6"/>
    <n v="91"/>
    <x v="2"/>
    <x v="2"/>
    <n v="1547"/>
    <x v="3"/>
  </r>
  <r>
    <n v="134"/>
    <x v="129"/>
    <x v="130"/>
    <s v="Mr"/>
    <s v="M"/>
    <n v="60"/>
    <s v="Althorpe Road"/>
    <x v="131"/>
    <x v="11"/>
    <d v="2021-07-09T00:00:00"/>
    <x v="1"/>
    <x v="0"/>
    <n v="23"/>
    <x v="9"/>
    <x v="9"/>
    <n v="552"/>
    <x v="60"/>
  </r>
  <r>
    <n v="135"/>
    <x v="130"/>
    <x v="131"/>
    <s v="Mr"/>
    <s v="M"/>
    <n v="90"/>
    <s v="Alverstone Road"/>
    <x v="132"/>
    <x v="2"/>
    <d v="2020-02-16T00:00:00"/>
    <x v="2"/>
    <x v="10"/>
    <n v="81"/>
    <x v="1"/>
    <x v="1"/>
    <n v="1944"/>
    <x v="125"/>
  </r>
  <r>
    <n v="136"/>
    <x v="131"/>
    <x v="132"/>
    <s v="Mrs"/>
    <s v="F"/>
    <n v="30"/>
    <s v="Alverton Street"/>
    <x v="133"/>
    <x v="17"/>
    <d v="2020-04-28T00:00:00"/>
    <x v="2"/>
    <x v="4"/>
    <n v="51"/>
    <x v="8"/>
    <x v="8"/>
    <n v="1020"/>
    <x v="126"/>
  </r>
  <r>
    <n v="137"/>
    <x v="132"/>
    <x v="133"/>
    <s v="Miss"/>
    <s v="F"/>
    <n v="30"/>
    <s v="Alwyne Villas"/>
    <x v="134"/>
    <x v="2"/>
    <d v="2020-11-15T00:00:00"/>
    <x v="2"/>
    <x v="7"/>
    <n v="13"/>
    <x v="1"/>
    <x v="1"/>
    <n v="312"/>
    <x v="127"/>
  </r>
  <r>
    <n v="138"/>
    <x v="133"/>
    <x v="134"/>
    <s v="Mrs"/>
    <s v="F"/>
    <n v="30"/>
    <s v="Ambassador Square"/>
    <x v="135"/>
    <x v="2"/>
    <d v="2020-04-04T00:00:00"/>
    <x v="2"/>
    <x v="4"/>
    <n v="12"/>
    <x v="3"/>
    <x v="3"/>
    <n v="288"/>
    <x v="128"/>
  </r>
  <r>
    <n v="139"/>
    <x v="134"/>
    <x v="135"/>
    <s v="Mr"/>
    <s v="M"/>
    <n v="30"/>
    <s v="Amberden Avenue"/>
    <x v="136"/>
    <x v="2"/>
    <d v="2022-06-01T00:00:00"/>
    <x v="0"/>
    <x v="2"/>
    <n v="101"/>
    <x v="2"/>
    <x v="2"/>
    <n v="1717"/>
    <x v="129"/>
  </r>
  <r>
    <n v="140"/>
    <x v="135"/>
    <x v="136"/>
    <s v="Mr"/>
    <s v="M"/>
    <n v="30"/>
    <s v="Amberley Road"/>
    <x v="137"/>
    <x v="17"/>
    <d v="2022-06-13T00:00:00"/>
    <x v="0"/>
    <x v="2"/>
    <n v="25"/>
    <x v="6"/>
    <x v="6"/>
    <n v="600"/>
    <x v="130"/>
  </r>
  <r>
    <n v="141"/>
    <x v="31"/>
    <x v="137"/>
    <s v="Rev"/>
    <s v="M"/>
    <n v="30"/>
    <s v="Ambleside Close"/>
    <x v="138"/>
    <x v="2"/>
    <d v="2022-10-12T00:00:00"/>
    <x v="0"/>
    <x v="1"/>
    <n v="71"/>
    <x v="7"/>
    <x v="7"/>
    <n v="1420"/>
    <x v="131"/>
  </r>
  <r>
    <n v="142"/>
    <x v="136"/>
    <x v="138"/>
    <s v="Mr"/>
    <s v="M"/>
    <n v="60"/>
    <s v="Ambrose Close"/>
    <x v="139"/>
    <x v="21"/>
    <d v="2021-10-30T00:00:00"/>
    <x v="1"/>
    <x v="1"/>
    <n v="58"/>
    <x v="4"/>
    <x v="4"/>
    <n v="1044"/>
    <x v="132"/>
  </r>
  <r>
    <n v="143"/>
    <x v="137"/>
    <x v="139"/>
    <s v="Mrs"/>
    <s v="F"/>
    <n v="60"/>
    <s v="Amelia Cottages"/>
    <x v="36"/>
    <x v="2"/>
    <d v="2020-04-07T00:00:00"/>
    <x v="2"/>
    <x v="4"/>
    <n v="75"/>
    <x v="8"/>
    <x v="8"/>
    <n v="1500"/>
    <x v="133"/>
  </r>
  <r>
    <n v="144"/>
    <x v="138"/>
    <x v="140"/>
    <s v="Miss"/>
    <s v="F"/>
    <n v="60"/>
    <s v="Amelia Place"/>
    <x v="140"/>
    <x v="2"/>
    <d v="2020-12-02T00:00:00"/>
    <x v="2"/>
    <x v="8"/>
    <n v="72"/>
    <x v="2"/>
    <x v="2"/>
    <n v="1224"/>
    <x v="61"/>
  </r>
  <r>
    <n v="145"/>
    <x v="70"/>
    <x v="141"/>
    <s v="Mrs"/>
    <s v="F"/>
    <n v="90"/>
    <s v="Amen Court"/>
    <x v="141"/>
    <x v="2"/>
    <d v="2021-06-27T00:00:00"/>
    <x v="1"/>
    <x v="2"/>
    <n v="35"/>
    <x v="4"/>
    <x v="4"/>
    <n v="630"/>
    <x v="134"/>
  </r>
  <r>
    <n v="146"/>
    <x v="139"/>
    <x v="142"/>
    <s v="Miss"/>
    <s v="F"/>
    <n v="30"/>
    <s v="Amerland Road"/>
    <x v="142"/>
    <x v="21"/>
    <d v="2020-11-01T00:00:00"/>
    <x v="2"/>
    <x v="7"/>
    <n v="62"/>
    <x v="4"/>
    <x v="4"/>
    <n v="1116"/>
    <x v="135"/>
  </r>
  <r>
    <n v="147"/>
    <x v="140"/>
    <x v="13"/>
    <s v="Mrs"/>
    <s v="F"/>
    <n v="90"/>
    <s v="Amherst Road"/>
    <x v="143"/>
    <x v="28"/>
    <d v="2022-01-04T00:00:00"/>
    <x v="0"/>
    <x v="6"/>
    <n v="95"/>
    <x v="0"/>
    <x v="0"/>
    <n v="1900"/>
    <x v="136"/>
  </r>
  <r>
    <n v="148"/>
    <x v="141"/>
    <x v="143"/>
    <s v="Mr"/>
    <s v="M"/>
    <n v="30"/>
    <s v="Amroth Green"/>
    <x v="144"/>
    <x v="20"/>
    <d v="2020-03-12T00:00:00"/>
    <x v="2"/>
    <x v="5"/>
    <n v="54"/>
    <x v="2"/>
    <x v="2"/>
    <n v="918"/>
    <x v="137"/>
  </r>
  <r>
    <n v="149"/>
    <x v="142"/>
    <x v="144"/>
    <s v="Mrs"/>
    <s v="F"/>
    <n v="60"/>
    <s v="Amroth Green"/>
    <x v="145"/>
    <x v="2"/>
    <d v="2020-12-31T00:00:00"/>
    <x v="2"/>
    <x v="8"/>
    <n v="69"/>
    <x v="1"/>
    <x v="1"/>
    <n v="1656"/>
    <x v="138"/>
  </r>
  <r>
    <n v="150"/>
    <x v="143"/>
    <x v="128"/>
    <s v="Mr"/>
    <s v="M"/>
    <n v="60"/>
    <s v="Anchor Mill"/>
    <x v="146"/>
    <x v="2"/>
    <d v="2020-06-07T00:00:00"/>
    <x v="2"/>
    <x v="2"/>
    <n v="15"/>
    <x v="4"/>
    <x v="4"/>
    <n v="270"/>
    <x v="139"/>
  </r>
  <r>
    <n v="151"/>
    <x v="144"/>
    <x v="145"/>
    <s v="Miss"/>
    <s v="F"/>
    <n v="90"/>
    <s v="Anderson Street"/>
    <x v="147"/>
    <x v="2"/>
    <d v="2021-08-03T00:00:00"/>
    <x v="1"/>
    <x v="3"/>
    <n v="65"/>
    <x v="5"/>
    <x v="5"/>
    <n v="1560"/>
    <x v="140"/>
  </r>
  <r>
    <n v="152"/>
    <x v="145"/>
    <x v="146"/>
    <s v="Mr"/>
    <s v="M"/>
    <n v="90"/>
    <s v="Andover Terrace"/>
    <x v="148"/>
    <x v="2"/>
    <d v="2020-09-16T00:00:00"/>
    <x v="2"/>
    <x v="9"/>
    <n v="54"/>
    <x v="2"/>
    <x v="2"/>
    <n v="918"/>
    <x v="137"/>
  </r>
  <r>
    <n v="153"/>
    <x v="146"/>
    <x v="147"/>
    <s v="Miss"/>
    <s v="F"/>
    <n v="30"/>
    <s v="Andrews Walk"/>
    <x v="149"/>
    <x v="1"/>
    <d v="2022-02-21T00:00:00"/>
    <x v="0"/>
    <x v="10"/>
    <n v="58"/>
    <x v="7"/>
    <x v="7"/>
    <n v="1160"/>
    <x v="141"/>
  </r>
  <r>
    <n v="154"/>
    <x v="147"/>
    <x v="148"/>
    <s v="Mr"/>
    <s v="M"/>
    <n v="60"/>
    <s v="Anerley Road"/>
    <x v="120"/>
    <x v="24"/>
    <d v="2022-11-12T00:00:00"/>
    <x v="0"/>
    <x v="7"/>
    <n v="43"/>
    <x v="0"/>
    <x v="0"/>
    <n v="860"/>
    <x v="109"/>
  </r>
  <r>
    <n v="155"/>
    <x v="148"/>
    <x v="149"/>
    <s v="Mrs"/>
    <s v="F"/>
    <n v="30"/>
    <s v="Anerley Station"/>
    <x v="150"/>
    <x v="2"/>
    <d v="2022-11-16T00:00:00"/>
    <x v="0"/>
    <x v="7"/>
    <n v="67"/>
    <x v="0"/>
    <x v="0"/>
    <n v="1340"/>
    <x v="142"/>
  </r>
  <r>
    <n v="156"/>
    <x v="149"/>
    <x v="150"/>
    <s v="Mr"/>
    <s v="M"/>
    <n v="30"/>
    <s v="Anerley Street"/>
    <x v="151"/>
    <x v="2"/>
    <d v="2021-10-25T00:00:00"/>
    <x v="1"/>
    <x v="1"/>
    <n v="87"/>
    <x v="7"/>
    <x v="7"/>
    <n v="1740"/>
    <x v="114"/>
  </r>
  <r>
    <n v="157"/>
    <x v="150"/>
    <x v="151"/>
    <s v="Mr"/>
    <s v="M"/>
    <n v="90"/>
    <s v="Angel Close"/>
    <x v="152"/>
    <x v="2"/>
    <d v="2020-10-17T00:00:00"/>
    <x v="2"/>
    <x v="1"/>
    <n v="13"/>
    <x v="4"/>
    <x v="4"/>
    <n v="234"/>
    <x v="143"/>
  </r>
  <r>
    <n v="158"/>
    <x v="151"/>
    <x v="94"/>
    <s v="Mr"/>
    <s v="M"/>
    <n v="60"/>
    <s v="Angel Park"/>
    <x v="153"/>
    <x v="29"/>
    <d v="2020-06-03T00:00:00"/>
    <x v="2"/>
    <x v="2"/>
    <n v="54"/>
    <x v="6"/>
    <x v="6"/>
    <n v="1296"/>
    <x v="144"/>
  </r>
  <r>
    <n v="159"/>
    <x v="152"/>
    <x v="152"/>
    <s v="Miss"/>
    <s v="F"/>
    <n v="60"/>
    <s v="Angel Yard"/>
    <x v="154"/>
    <x v="2"/>
    <d v="2021-02-28T00:00:00"/>
    <x v="1"/>
    <x v="10"/>
    <n v="39"/>
    <x v="7"/>
    <x v="7"/>
    <n v="780"/>
    <x v="145"/>
  </r>
  <r>
    <n v="160"/>
    <x v="153"/>
    <x v="153"/>
    <s v="Mr"/>
    <s v="M"/>
    <n v="30"/>
    <s v="Angell Road"/>
    <x v="155"/>
    <x v="2"/>
    <d v="2020-07-07T00:00:00"/>
    <x v="2"/>
    <x v="0"/>
    <n v="75"/>
    <x v="9"/>
    <x v="9"/>
    <n v="1800"/>
    <x v="146"/>
  </r>
  <r>
    <n v="161"/>
    <x v="154"/>
    <x v="154"/>
    <s v="Miss"/>
    <s v="F"/>
    <n v="30"/>
    <s v="Angell Town"/>
    <x v="156"/>
    <x v="19"/>
    <d v="2020-07-10T00:00:00"/>
    <x v="2"/>
    <x v="0"/>
    <n v="47"/>
    <x v="1"/>
    <x v="1"/>
    <n v="1128"/>
    <x v="147"/>
  </r>
  <r>
    <n v="162"/>
    <x v="155"/>
    <x v="155"/>
    <s v="Mr"/>
    <s v="M"/>
    <n v="60"/>
    <s v="Angus Street"/>
    <x v="157"/>
    <x v="30"/>
    <d v="2022-07-01T00:00:00"/>
    <x v="0"/>
    <x v="0"/>
    <n v="83"/>
    <x v="7"/>
    <x v="7"/>
    <n v="1660"/>
    <x v="148"/>
  </r>
  <r>
    <n v="163"/>
    <x v="156"/>
    <x v="156"/>
    <s v="Miss"/>
    <s v="F"/>
    <n v="60"/>
    <s v="Anley Road"/>
    <x v="27"/>
    <x v="14"/>
    <d v="2021-07-28T00:00:00"/>
    <x v="1"/>
    <x v="0"/>
    <n v="64"/>
    <x v="8"/>
    <x v="8"/>
    <n v="1280"/>
    <x v="149"/>
  </r>
  <r>
    <n v="164"/>
    <x v="157"/>
    <x v="157"/>
    <s v="Mr"/>
    <s v="M"/>
    <n v="30"/>
    <s v="Annetts Crescent"/>
    <x v="158"/>
    <x v="17"/>
    <d v="2021-10-26T00:00:00"/>
    <x v="1"/>
    <x v="1"/>
    <n v="36"/>
    <x v="4"/>
    <x v="4"/>
    <n v="648"/>
    <x v="150"/>
  </r>
  <r>
    <n v="165"/>
    <x v="158"/>
    <x v="10"/>
    <s v="Mr"/>
    <s v="M"/>
    <n v="30"/>
    <s v="Annie Besant"/>
    <x v="159"/>
    <x v="13"/>
    <d v="2021-02-25T00:00:00"/>
    <x v="1"/>
    <x v="10"/>
    <n v="36"/>
    <x v="4"/>
    <x v="4"/>
    <n v="648"/>
    <x v="150"/>
  </r>
  <r>
    <n v="166"/>
    <x v="159"/>
    <x v="158"/>
    <s v="Mr"/>
    <s v="M"/>
    <n v="30"/>
    <s v="Annie Besant"/>
    <x v="160"/>
    <x v="2"/>
    <d v="2021-04-08T00:00:00"/>
    <x v="1"/>
    <x v="4"/>
    <n v="91"/>
    <x v="7"/>
    <x v="7"/>
    <n v="1820"/>
    <x v="151"/>
  </r>
  <r>
    <n v="167"/>
    <x v="160"/>
    <x v="159"/>
    <s v="Miss"/>
    <s v="F"/>
    <n v="60"/>
    <s v="Ann'S Avenue"/>
    <x v="161"/>
    <x v="29"/>
    <d v="2022-06-08T00:00:00"/>
    <x v="0"/>
    <x v="2"/>
    <n v="73"/>
    <x v="9"/>
    <x v="9"/>
    <n v="1752"/>
    <x v="152"/>
  </r>
  <r>
    <n v="168"/>
    <x v="161"/>
    <x v="160"/>
    <s v="Mr"/>
    <s v="M"/>
    <n v="60"/>
    <s v="Anns Street"/>
    <x v="162"/>
    <x v="20"/>
    <d v="2022-10-15T00:00:00"/>
    <x v="0"/>
    <x v="1"/>
    <n v="52"/>
    <x v="6"/>
    <x v="6"/>
    <n v="1248"/>
    <x v="119"/>
  </r>
  <r>
    <n v="169"/>
    <x v="162"/>
    <x v="45"/>
    <s v="Mr"/>
    <s v="M"/>
    <n v="60"/>
    <s v="Anns Street"/>
    <x v="163"/>
    <x v="2"/>
    <d v="2022-07-24T00:00:00"/>
    <x v="0"/>
    <x v="0"/>
    <n v="94"/>
    <x v="1"/>
    <x v="1"/>
    <n v="2256"/>
    <x v="153"/>
  </r>
  <r>
    <n v="170"/>
    <x v="163"/>
    <x v="161"/>
    <s v="Mr"/>
    <s v="M"/>
    <n v="90"/>
    <s v="Ann'S Terrace"/>
    <x v="164"/>
    <x v="17"/>
    <d v="2021-10-15T00:00:00"/>
    <x v="1"/>
    <x v="1"/>
    <n v="17"/>
    <x v="5"/>
    <x v="5"/>
    <n v="408"/>
    <x v="154"/>
  </r>
  <r>
    <n v="171"/>
    <x v="164"/>
    <x v="162"/>
    <s v="Mr"/>
    <s v="M"/>
    <n v="60"/>
    <s v="Ann'S Villaw"/>
    <x v="165"/>
    <x v="2"/>
    <d v="2020-01-05T00:00:00"/>
    <x v="2"/>
    <x v="6"/>
    <n v="40"/>
    <x v="3"/>
    <x v="3"/>
    <n v="960"/>
    <x v="155"/>
  </r>
  <r>
    <n v="172"/>
    <x v="165"/>
    <x v="163"/>
    <s v="Mr"/>
    <s v="M"/>
    <n v="60"/>
    <s v="Ansdell Road"/>
    <x v="166"/>
    <x v="3"/>
    <d v="2021-01-26T00:00:00"/>
    <x v="1"/>
    <x v="6"/>
    <n v="2"/>
    <x v="0"/>
    <x v="0"/>
    <n v="40"/>
    <x v="156"/>
  </r>
  <r>
    <n v="173"/>
    <x v="166"/>
    <x v="164"/>
    <s v="Miss"/>
    <s v="F"/>
    <n v="30"/>
    <s v="Ansdell Terrace"/>
    <x v="167"/>
    <x v="11"/>
    <d v="2021-04-25T00:00:00"/>
    <x v="1"/>
    <x v="4"/>
    <n v="50"/>
    <x v="4"/>
    <x v="4"/>
    <n v="900"/>
    <x v="157"/>
  </r>
  <r>
    <n v="174"/>
    <x v="167"/>
    <x v="165"/>
    <s v="Mr"/>
    <s v="M"/>
    <n v="60"/>
    <s v="Anthony Terrace"/>
    <x v="168"/>
    <x v="2"/>
    <d v="2020-06-09T00:00:00"/>
    <x v="2"/>
    <x v="2"/>
    <n v="66"/>
    <x v="3"/>
    <x v="3"/>
    <n v="1584"/>
    <x v="158"/>
  </r>
  <r>
    <n v="175"/>
    <x v="168"/>
    <x v="166"/>
    <s v="Mr"/>
    <s v="M"/>
    <n v="90"/>
    <s v="Antill Terrace"/>
    <x v="169"/>
    <x v="1"/>
    <d v="2022-11-22T00:00:00"/>
    <x v="0"/>
    <x v="7"/>
    <n v="50"/>
    <x v="5"/>
    <x v="5"/>
    <n v="1200"/>
    <x v="159"/>
  </r>
  <r>
    <n v="176"/>
    <x v="169"/>
    <x v="167"/>
    <s v="Mr"/>
    <s v="M"/>
    <n v="90"/>
    <s v="Antrim Road"/>
    <x v="170"/>
    <x v="1"/>
    <d v="2022-11-07T00:00:00"/>
    <x v="0"/>
    <x v="7"/>
    <n v="96"/>
    <x v="2"/>
    <x v="2"/>
    <n v="1632"/>
    <x v="160"/>
  </r>
  <r>
    <n v="177"/>
    <x v="170"/>
    <x v="168"/>
    <s v="Mr"/>
    <s v="M"/>
    <n v="30"/>
    <s v="Anvil Close"/>
    <x v="99"/>
    <x v="2"/>
    <d v="2022-08-06T00:00:00"/>
    <x v="0"/>
    <x v="3"/>
    <n v="38"/>
    <x v="2"/>
    <x v="2"/>
    <n v="646"/>
    <x v="161"/>
  </r>
  <r>
    <n v="178"/>
    <x v="171"/>
    <x v="169"/>
    <s v="Miss"/>
    <s v="F"/>
    <n v="60"/>
    <s v="Appach Road"/>
    <x v="139"/>
    <x v="21"/>
    <d v="2020-02-20T00:00:00"/>
    <x v="2"/>
    <x v="10"/>
    <n v="42"/>
    <x v="6"/>
    <x v="6"/>
    <n v="1008"/>
    <x v="162"/>
  </r>
  <r>
    <n v="179"/>
    <x v="172"/>
    <x v="170"/>
    <s v="Mrs"/>
    <s v="F"/>
    <n v="60"/>
    <s v="Apple Yard"/>
    <x v="171"/>
    <x v="2"/>
    <d v="2021-05-31T00:00:00"/>
    <x v="1"/>
    <x v="11"/>
    <n v="31"/>
    <x v="4"/>
    <x v="4"/>
    <n v="558"/>
    <x v="163"/>
  </r>
  <r>
    <n v="180"/>
    <x v="173"/>
    <x v="171"/>
    <s v="Mr"/>
    <s v="M"/>
    <n v="60"/>
    <s v="Applegarth Road"/>
    <x v="172"/>
    <x v="11"/>
    <d v="2021-01-02T00:00:00"/>
    <x v="1"/>
    <x v="6"/>
    <n v="18"/>
    <x v="0"/>
    <x v="0"/>
    <n v="360"/>
    <x v="18"/>
  </r>
  <r>
    <n v="181"/>
    <x v="174"/>
    <x v="172"/>
    <s v="Miss"/>
    <s v="F"/>
    <n v="30"/>
    <s v="Apprentice Way"/>
    <x v="173"/>
    <x v="2"/>
    <d v="2020-04-22T00:00:00"/>
    <x v="2"/>
    <x v="4"/>
    <n v="73"/>
    <x v="6"/>
    <x v="6"/>
    <n v="1752"/>
    <x v="164"/>
  </r>
  <r>
    <n v="182"/>
    <x v="175"/>
    <x v="173"/>
    <s v="Mr"/>
    <s v="M"/>
    <n v="30"/>
    <s v="Approach Road"/>
    <x v="174"/>
    <x v="31"/>
    <d v="2021-12-27T00:00:00"/>
    <x v="1"/>
    <x v="8"/>
    <n v="44"/>
    <x v="1"/>
    <x v="1"/>
    <n v="1056"/>
    <x v="45"/>
  </r>
  <r>
    <n v="183"/>
    <x v="176"/>
    <x v="174"/>
    <s v="Mr"/>
    <s v="M"/>
    <n v="60"/>
    <s v="Aprey Gardens"/>
    <x v="175"/>
    <x v="21"/>
    <d v="2020-08-06T00:00:00"/>
    <x v="2"/>
    <x v="3"/>
    <n v="21"/>
    <x v="0"/>
    <x v="0"/>
    <n v="420"/>
    <x v="165"/>
  </r>
  <r>
    <n v="184"/>
    <x v="177"/>
    <x v="175"/>
    <s v="Ms"/>
    <s v="F"/>
    <n v="90"/>
    <s v="Arabella Row"/>
    <x v="94"/>
    <x v="21"/>
    <d v="2020-08-11T00:00:00"/>
    <x v="2"/>
    <x v="3"/>
    <n v="46"/>
    <x v="8"/>
    <x v="8"/>
    <n v="920"/>
    <x v="166"/>
  </r>
  <r>
    <n v="185"/>
    <x v="178"/>
    <x v="18"/>
    <s v="Mr"/>
    <s v="M"/>
    <n v="30"/>
    <s v="Arabia Close"/>
    <x v="118"/>
    <x v="2"/>
    <d v="2020-04-25T00:00:00"/>
    <x v="2"/>
    <x v="4"/>
    <n v="20"/>
    <x v="6"/>
    <x v="6"/>
    <n v="480"/>
    <x v="167"/>
  </r>
  <r>
    <n v="186"/>
    <x v="179"/>
    <x v="176"/>
    <s v="Mr"/>
    <s v="M"/>
    <n v="30"/>
    <s v="Arbour Square"/>
    <x v="77"/>
    <x v="13"/>
    <d v="2021-08-09T00:00:00"/>
    <x v="1"/>
    <x v="3"/>
    <n v="6"/>
    <x v="4"/>
    <x v="4"/>
    <n v="108"/>
    <x v="168"/>
  </r>
  <r>
    <n v="187"/>
    <x v="180"/>
    <x v="177"/>
    <s v="Prof"/>
    <s v="F"/>
    <n v="90"/>
    <s v="Arbuthnot Road"/>
    <x v="176"/>
    <x v="16"/>
    <d v="2021-06-01T00:00:00"/>
    <x v="1"/>
    <x v="2"/>
    <n v="38"/>
    <x v="1"/>
    <x v="1"/>
    <n v="912"/>
    <x v="17"/>
  </r>
  <r>
    <n v="188"/>
    <x v="181"/>
    <x v="178"/>
    <s v="Miss"/>
    <s v="F"/>
    <n v="30"/>
    <s v="Arch Street"/>
    <x v="177"/>
    <x v="2"/>
    <d v="2020-05-14T00:00:00"/>
    <x v="2"/>
    <x v="11"/>
    <n v="56"/>
    <x v="2"/>
    <x v="2"/>
    <n v="952"/>
    <x v="169"/>
  </r>
  <r>
    <n v="189"/>
    <x v="182"/>
    <x v="179"/>
    <s v="Mrs"/>
    <s v="F"/>
    <n v="90"/>
    <s v="Archel Road"/>
    <x v="175"/>
    <x v="21"/>
    <d v="2021-09-10T00:00:00"/>
    <x v="1"/>
    <x v="9"/>
    <n v="88"/>
    <x v="0"/>
    <x v="0"/>
    <n v="1760"/>
    <x v="170"/>
  </r>
  <r>
    <n v="190"/>
    <x v="183"/>
    <x v="61"/>
    <s v="Mr"/>
    <s v="M"/>
    <n v="60"/>
    <s v="Archer Square"/>
    <x v="178"/>
    <x v="21"/>
    <d v="2021-10-31T00:00:00"/>
    <x v="1"/>
    <x v="1"/>
    <n v="9"/>
    <x v="6"/>
    <x v="6"/>
    <n v="216"/>
    <x v="171"/>
  </r>
  <r>
    <n v="191"/>
    <x v="184"/>
    <x v="180"/>
    <s v="Mr"/>
    <s v="M"/>
    <n v="90"/>
    <s v="Arden Estate"/>
    <x v="179"/>
    <x v="16"/>
    <d v="2021-12-06T00:00:00"/>
    <x v="1"/>
    <x v="8"/>
    <n v="38"/>
    <x v="1"/>
    <x v="1"/>
    <n v="912"/>
    <x v="17"/>
  </r>
  <r>
    <n v="192"/>
    <x v="185"/>
    <x v="181"/>
    <s v="Prof"/>
    <s v="M"/>
    <n v="60"/>
    <s v="Ardfillan Road"/>
    <x v="180"/>
    <x v="2"/>
    <d v="2022-01-04T00:00:00"/>
    <x v="0"/>
    <x v="6"/>
    <n v="10"/>
    <x v="6"/>
    <x v="6"/>
    <n v="240"/>
    <x v="172"/>
  </r>
  <r>
    <n v="193"/>
    <x v="186"/>
    <x v="182"/>
    <s v="Mr"/>
    <s v="M"/>
    <n v="30"/>
    <s v="Ardleigh Terrace"/>
    <x v="181"/>
    <x v="11"/>
    <d v="2021-10-25T00:00:00"/>
    <x v="1"/>
    <x v="1"/>
    <n v="72"/>
    <x v="3"/>
    <x v="3"/>
    <n v="1728"/>
    <x v="173"/>
  </r>
  <r>
    <n v="194"/>
    <x v="187"/>
    <x v="183"/>
    <s v="Mrs"/>
    <s v="F"/>
    <n v="60"/>
    <s v="Ardmere Cottages"/>
    <x v="182"/>
    <x v="32"/>
    <d v="2021-12-01T00:00:00"/>
    <x v="1"/>
    <x v="8"/>
    <n v="69"/>
    <x v="9"/>
    <x v="9"/>
    <n v="1656"/>
    <x v="174"/>
  </r>
  <r>
    <n v="195"/>
    <x v="188"/>
    <x v="184"/>
    <s v="Mr"/>
    <s v="M"/>
    <n v="90"/>
    <s v="Ardwick Road"/>
    <x v="183"/>
    <x v="17"/>
    <d v="2022-01-23T00:00:00"/>
    <x v="0"/>
    <x v="6"/>
    <n v="80"/>
    <x v="2"/>
    <x v="2"/>
    <n v="1360"/>
    <x v="175"/>
  </r>
  <r>
    <n v="196"/>
    <x v="189"/>
    <x v="185"/>
    <s v="Mr"/>
    <s v="M"/>
    <n v="30"/>
    <s v="Arena Estate"/>
    <x v="184"/>
    <x v="11"/>
    <d v="2021-06-05T00:00:00"/>
    <x v="1"/>
    <x v="2"/>
    <n v="80"/>
    <x v="9"/>
    <x v="9"/>
    <n v="1920"/>
    <x v="176"/>
  </r>
  <r>
    <n v="197"/>
    <x v="190"/>
    <x v="186"/>
    <s v="Mr"/>
    <s v="M"/>
    <n v="30"/>
    <s v="Argon Mews"/>
    <x v="185"/>
    <x v="2"/>
    <d v="2022-09-19T00:00:00"/>
    <x v="0"/>
    <x v="9"/>
    <n v="50"/>
    <x v="4"/>
    <x v="4"/>
    <n v="900"/>
    <x v="157"/>
  </r>
  <r>
    <n v="198"/>
    <x v="191"/>
    <x v="187"/>
    <s v="Miss"/>
    <s v="F"/>
    <n v="60"/>
    <s v="Ariel Road"/>
    <x v="186"/>
    <x v="33"/>
    <d v="2020-08-22T00:00:00"/>
    <x v="2"/>
    <x v="3"/>
    <n v="19"/>
    <x v="0"/>
    <x v="0"/>
    <n v="380"/>
    <x v="44"/>
  </r>
  <r>
    <n v="199"/>
    <x v="192"/>
    <x v="188"/>
    <s v="Mr"/>
    <s v="M"/>
    <n v="30"/>
    <s v="Ariel Road"/>
    <x v="187"/>
    <x v="2"/>
    <d v="2021-03-06T00:00:00"/>
    <x v="1"/>
    <x v="5"/>
    <n v="46"/>
    <x v="3"/>
    <x v="3"/>
    <n v="1104"/>
    <x v="177"/>
  </r>
  <r>
    <n v="200"/>
    <x v="193"/>
    <x v="189"/>
    <s v="Miss"/>
    <s v="F"/>
    <n v="90"/>
    <s v="Arkley Crescent"/>
    <x v="95"/>
    <x v="2"/>
    <d v="2021-11-24T00:00:00"/>
    <x v="1"/>
    <x v="7"/>
    <n v="74"/>
    <x v="0"/>
    <x v="0"/>
    <n v="1480"/>
    <x v="178"/>
  </r>
  <r>
    <n v="201"/>
    <x v="194"/>
    <x v="190"/>
    <s v="Mr"/>
    <s v="M"/>
    <n v="60"/>
    <s v="Arlesford Road"/>
    <x v="188"/>
    <x v="11"/>
    <d v="2020-01-14T00:00:00"/>
    <x v="2"/>
    <x v="6"/>
    <n v="17"/>
    <x v="1"/>
    <x v="1"/>
    <n v="408"/>
    <x v="179"/>
  </r>
  <r>
    <n v="202"/>
    <x v="195"/>
    <x v="191"/>
    <s v="Mrs"/>
    <s v="F"/>
    <n v="60"/>
    <s v="Arlington Place"/>
    <x v="189"/>
    <x v="2"/>
    <d v="2022-07-16T00:00:00"/>
    <x v="0"/>
    <x v="0"/>
    <n v="8"/>
    <x v="1"/>
    <x v="1"/>
    <n v="192"/>
    <x v="180"/>
  </r>
  <r>
    <n v="203"/>
    <x v="196"/>
    <x v="192"/>
    <s v="Miss"/>
    <s v="F"/>
    <n v="60"/>
    <s v="Arlington Villas"/>
    <x v="157"/>
    <x v="30"/>
    <d v="2022-09-09T00:00:00"/>
    <x v="0"/>
    <x v="9"/>
    <n v="4"/>
    <x v="9"/>
    <x v="9"/>
    <n v="96"/>
    <x v="181"/>
  </r>
  <r>
    <n v="204"/>
    <x v="197"/>
    <x v="193"/>
    <s v="Miss"/>
    <s v="F"/>
    <n v="30"/>
    <s v="Arlington Way"/>
    <x v="190"/>
    <x v="34"/>
    <d v="2021-07-20T00:00:00"/>
    <x v="1"/>
    <x v="0"/>
    <n v="35"/>
    <x v="5"/>
    <x v="5"/>
    <n v="840"/>
    <x v="182"/>
  </r>
  <r>
    <n v="205"/>
    <x v="198"/>
    <x v="194"/>
    <s v="Mrs"/>
    <s v="F"/>
    <n v="30"/>
    <s v="Armada Street"/>
    <x v="191"/>
    <x v="0"/>
    <d v="2020-12-10T00:00:00"/>
    <x v="2"/>
    <x v="8"/>
    <n v="3"/>
    <x v="6"/>
    <x v="6"/>
    <n v="72"/>
    <x v="183"/>
  </r>
  <r>
    <n v="206"/>
    <x v="199"/>
    <x v="195"/>
    <s v="Mr"/>
    <s v="M"/>
    <n v="90"/>
    <s v="Armadale Road"/>
    <x v="192"/>
    <x v="2"/>
    <d v="2021-09-23T00:00:00"/>
    <x v="1"/>
    <x v="9"/>
    <n v="87"/>
    <x v="0"/>
    <x v="0"/>
    <n v="1740"/>
    <x v="184"/>
  </r>
  <r>
    <n v="207"/>
    <x v="200"/>
    <x v="196"/>
    <s v="Mr"/>
    <s v="M"/>
    <n v="60"/>
    <s v="Armory"/>
    <x v="100"/>
    <x v="17"/>
    <d v="2021-11-18T00:00:00"/>
    <x v="1"/>
    <x v="7"/>
    <n v="42"/>
    <x v="1"/>
    <x v="1"/>
    <n v="1008"/>
    <x v="185"/>
  </r>
  <r>
    <n v="208"/>
    <x v="201"/>
    <x v="197"/>
    <s v="Mr"/>
    <s v="M"/>
    <n v="60"/>
    <s v="Armory Yard"/>
    <x v="193"/>
    <x v="17"/>
    <d v="2022-09-15T00:00:00"/>
    <x v="0"/>
    <x v="9"/>
    <n v="93"/>
    <x v="9"/>
    <x v="9"/>
    <n v="2232"/>
    <x v="186"/>
  </r>
  <r>
    <n v="209"/>
    <x v="177"/>
    <x v="93"/>
    <s v="Miss"/>
    <s v="F"/>
    <n v="60"/>
    <s v="Armstrong Place"/>
    <x v="194"/>
    <x v="2"/>
    <d v="2022-03-31T00:00:00"/>
    <x v="0"/>
    <x v="5"/>
    <n v="100"/>
    <x v="4"/>
    <x v="4"/>
    <n v="1800"/>
    <x v="187"/>
  </r>
  <r>
    <n v="210"/>
    <x v="202"/>
    <x v="198"/>
    <s v="Mr"/>
    <s v="M"/>
    <n v="30"/>
    <s v="Arneway Street"/>
    <x v="195"/>
    <x v="16"/>
    <d v="2021-07-05T00:00:00"/>
    <x v="1"/>
    <x v="0"/>
    <n v="42"/>
    <x v="2"/>
    <x v="2"/>
    <n v="714"/>
    <x v="188"/>
  </r>
  <r>
    <n v="211"/>
    <x v="203"/>
    <x v="199"/>
    <s v="Mr"/>
    <s v="M"/>
    <n v="90"/>
    <s v="Arnolds Cottages"/>
    <x v="196"/>
    <x v="35"/>
    <d v="2022-01-21T00:00:00"/>
    <x v="0"/>
    <x v="6"/>
    <n v="92"/>
    <x v="5"/>
    <x v="5"/>
    <n v="2208"/>
    <x v="30"/>
  </r>
  <r>
    <n v="212"/>
    <x v="204"/>
    <x v="200"/>
    <s v="Mr"/>
    <s v="M"/>
    <n v="60"/>
    <s v="Arnolds Paragon"/>
    <x v="197"/>
    <x v="16"/>
    <d v="2022-04-02T00:00:00"/>
    <x v="0"/>
    <x v="4"/>
    <n v="100"/>
    <x v="4"/>
    <x v="4"/>
    <n v="1800"/>
    <x v="187"/>
  </r>
  <r>
    <n v="213"/>
    <x v="205"/>
    <x v="201"/>
    <s v="Mr"/>
    <s v="M"/>
    <n v="90"/>
    <s v="Arnott Street"/>
    <x v="198"/>
    <x v="3"/>
    <d v="2021-12-12T00:00:00"/>
    <x v="1"/>
    <x v="8"/>
    <n v="16"/>
    <x v="3"/>
    <x v="3"/>
    <n v="384"/>
    <x v="189"/>
  </r>
  <r>
    <n v="214"/>
    <x v="206"/>
    <x v="202"/>
    <s v="Miss"/>
    <s v="F"/>
    <n v="30"/>
    <s v="Arragon Gardens"/>
    <x v="199"/>
    <x v="2"/>
    <d v="2021-11-07T00:00:00"/>
    <x v="1"/>
    <x v="7"/>
    <n v="24"/>
    <x v="8"/>
    <x v="8"/>
    <n v="480"/>
    <x v="190"/>
  </r>
  <r>
    <n v="215"/>
    <x v="207"/>
    <x v="203"/>
    <s v="Mr"/>
    <s v="M"/>
    <n v="30"/>
    <s v="Artesian Walk"/>
    <x v="200"/>
    <x v="13"/>
    <d v="2022-06-14T00:00:00"/>
    <x v="0"/>
    <x v="2"/>
    <n v="25"/>
    <x v="7"/>
    <x v="7"/>
    <n v="500"/>
    <x v="191"/>
  </r>
  <r>
    <n v="216"/>
    <x v="33"/>
    <x v="204"/>
    <s v="Prof"/>
    <s v="M"/>
    <n v="90"/>
    <s v="Artichoke Place"/>
    <x v="201"/>
    <x v="2"/>
    <d v="2021-11-17T00:00:00"/>
    <x v="1"/>
    <x v="7"/>
    <n v="4"/>
    <x v="7"/>
    <x v="7"/>
    <n v="80"/>
    <x v="192"/>
  </r>
  <r>
    <n v="217"/>
    <x v="208"/>
    <x v="205"/>
    <s v="Mr"/>
    <s v="M"/>
    <n v="60"/>
    <s v="Artisans Dwellings"/>
    <x v="202"/>
    <x v="27"/>
    <d v="2022-06-16T00:00:00"/>
    <x v="0"/>
    <x v="2"/>
    <n v="103"/>
    <x v="2"/>
    <x v="2"/>
    <n v="1751"/>
    <x v="193"/>
  </r>
  <r>
    <n v="218"/>
    <x v="209"/>
    <x v="206"/>
    <s v="Miss"/>
    <s v="F"/>
    <n v="30"/>
    <s v="Arundel Square"/>
    <x v="203"/>
    <x v="36"/>
    <d v="2021-05-18T00:00:00"/>
    <x v="1"/>
    <x v="11"/>
    <n v="28"/>
    <x v="2"/>
    <x v="2"/>
    <n v="476"/>
    <x v="194"/>
  </r>
  <r>
    <n v="219"/>
    <x v="210"/>
    <x v="207"/>
    <s v="Mr"/>
    <s v="M"/>
    <n v="30"/>
    <s v="Ash Villa"/>
    <x v="204"/>
    <x v="2"/>
    <d v="2022-08-29T00:00:00"/>
    <x v="0"/>
    <x v="3"/>
    <n v="14"/>
    <x v="6"/>
    <x v="6"/>
    <n v="336"/>
    <x v="195"/>
  </r>
  <r>
    <n v="220"/>
    <x v="211"/>
    <x v="33"/>
    <s v="Mrs"/>
    <s v="F"/>
    <n v="30"/>
    <s v="Ashbourne Terrace"/>
    <x v="205"/>
    <x v="16"/>
    <d v="2021-12-14T00:00:00"/>
    <x v="1"/>
    <x v="8"/>
    <n v="54"/>
    <x v="4"/>
    <x v="4"/>
    <n v="972"/>
    <x v="196"/>
  </r>
  <r>
    <n v="221"/>
    <x v="212"/>
    <x v="208"/>
    <s v="Mr"/>
    <s v="M"/>
    <n v="30"/>
    <s v="Ashburnham Road"/>
    <x v="206"/>
    <x v="2"/>
    <d v="2022-09-11T00:00:00"/>
    <x v="0"/>
    <x v="9"/>
    <n v="68"/>
    <x v="5"/>
    <x v="5"/>
    <n v="1632"/>
    <x v="197"/>
  </r>
  <r>
    <n v="222"/>
    <x v="94"/>
    <x v="209"/>
    <s v="Mr"/>
    <s v="M"/>
    <n v="60"/>
    <s v="Ashburton Green"/>
    <x v="207"/>
    <x v="12"/>
    <d v="2020-11-23T00:00:00"/>
    <x v="2"/>
    <x v="7"/>
    <n v="9"/>
    <x v="8"/>
    <x v="8"/>
    <n v="180"/>
    <x v="198"/>
  </r>
  <r>
    <n v="223"/>
    <x v="213"/>
    <x v="210"/>
    <s v="Mr"/>
    <s v="M"/>
    <n v="30"/>
    <s v="Ashburton Road"/>
    <x v="167"/>
    <x v="11"/>
    <d v="2022-12-02T00:00:00"/>
    <x v="0"/>
    <x v="8"/>
    <n v="46"/>
    <x v="6"/>
    <x v="6"/>
    <n v="1104"/>
    <x v="199"/>
  </r>
  <r>
    <n v="224"/>
    <x v="104"/>
    <x v="211"/>
    <s v="Mr"/>
    <s v="M"/>
    <n v="60"/>
    <s v="Ashcombe Street"/>
    <x v="208"/>
    <x v="37"/>
    <d v="2021-01-18T00:00:00"/>
    <x v="1"/>
    <x v="6"/>
    <n v="53"/>
    <x v="0"/>
    <x v="0"/>
    <n v="1060"/>
    <x v="200"/>
  </r>
  <r>
    <n v="225"/>
    <x v="214"/>
    <x v="212"/>
    <s v="Mr"/>
    <s v="M"/>
    <n v="30"/>
    <s v="Ashdown Way"/>
    <x v="209"/>
    <x v="1"/>
    <d v="2020-05-08T00:00:00"/>
    <x v="2"/>
    <x v="11"/>
    <n v="20"/>
    <x v="6"/>
    <x v="6"/>
    <n v="480"/>
    <x v="167"/>
  </r>
  <r>
    <n v="226"/>
    <x v="215"/>
    <x v="213"/>
    <s v="Mrs"/>
    <s v="F"/>
    <n v="30"/>
    <s v="Ashen Villas"/>
    <x v="210"/>
    <x v="2"/>
    <d v="2022-03-15T00:00:00"/>
    <x v="0"/>
    <x v="5"/>
    <n v="55"/>
    <x v="5"/>
    <x v="5"/>
    <n v="1320"/>
    <x v="29"/>
  </r>
  <r>
    <n v="227"/>
    <x v="216"/>
    <x v="214"/>
    <s v="Dr"/>
    <s v="M"/>
    <n v="30"/>
    <s v="Ashford Close"/>
    <x v="211"/>
    <x v="38"/>
    <d v="2021-04-13T00:00:00"/>
    <x v="1"/>
    <x v="4"/>
    <n v="86"/>
    <x v="1"/>
    <x v="1"/>
    <n v="2064"/>
    <x v="201"/>
  </r>
  <r>
    <n v="228"/>
    <x v="217"/>
    <x v="215"/>
    <s v="Mr"/>
    <s v="M"/>
    <n v="60"/>
    <s v="Ashingdon Close"/>
    <x v="212"/>
    <x v="8"/>
    <d v="2021-01-23T00:00:00"/>
    <x v="1"/>
    <x v="6"/>
    <n v="70"/>
    <x v="4"/>
    <x v="4"/>
    <n v="1260"/>
    <x v="202"/>
  </r>
  <r>
    <n v="229"/>
    <x v="218"/>
    <x v="216"/>
    <s v="Mrs"/>
    <s v="F"/>
    <n v="60"/>
    <s v="Ashland Place"/>
    <x v="202"/>
    <x v="27"/>
    <d v="2022-10-02T00:00:00"/>
    <x v="0"/>
    <x v="1"/>
    <n v="2"/>
    <x v="7"/>
    <x v="7"/>
    <n v="40"/>
    <x v="37"/>
  </r>
  <r>
    <n v="230"/>
    <x v="91"/>
    <x v="217"/>
    <s v="Miss"/>
    <s v="F"/>
    <n v="90"/>
    <s v="Ashley Crescent"/>
    <x v="213"/>
    <x v="8"/>
    <d v="2022-01-19T00:00:00"/>
    <x v="0"/>
    <x v="6"/>
    <n v="99"/>
    <x v="0"/>
    <x v="0"/>
    <n v="1980"/>
    <x v="203"/>
  </r>
  <r>
    <n v="231"/>
    <x v="219"/>
    <x v="218"/>
    <s v="Mrs"/>
    <s v="F"/>
    <n v="90"/>
    <s v="Ashridge Crescent"/>
    <x v="85"/>
    <x v="1"/>
    <d v="2020-11-29T00:00:00"/>
    <x v="2"/>
    <x v="7"/>
    <n v="30"/>
    <x v="8"/>
    <x v="8"/>
    <n v="600"/>
    <x v="32"/>
  </r>
  <r>
    <n v="232"/>
    <x v="220"/>
    <x v="219"/>
    <s v="Mr"/>
    <s v="M"/>
    <n v="60"/>
    <s v="Ashridge Gardens"/>
    <x v="214"/>
    <x v="1"/>
    <d v="2021-08-08T00:00:00"/>
    <x v="1"/>
    <x v="3"/>
    <n v="89"/>
    <x v="3"/>
    <x v="3"/>
    <n v="2136"/>
    <x v="204"/>
  </r>
  <r>
    <n v="233"/>
    <x v="221"/>
    <x v="220"/>
    <s v="Mr"/>
    <s v="M"/>
    <n v="60"/>
    <s v="Astor Court"/>
    <x v="215"/>
    <x v="17"/>
    <d v="2022-04-26T00:00:00"/>
    <x v="0"/>
    <x v="4"/>
    <n v="80"/>
    <x v="6"/>
    <x v="6"/>
    <n v="1920"/>
    <x v="205"/>
  </r>
  <r>
    <n v="234"/>
    <x v="222"/>
    <x v="221"/>
    <s v="Miss"/>
    <s v="F"/>
    <n v="30"/>
    <s v="Atherton Road"/>
    <x v="216"/>
    <x v="17"/>
    <d v="2021-11-16T00:00:00"/>
    <x v="1"/>
    <x v="7"/>
    <n v="42"/>
    <x v="2"/>
    <x v="2"/>
    <n v="714"/>
    <x v="188"/>
  </r>
  <r>
    <n v="235"/>
    <x v="223"/>
    <x v="222"/>
    <s v="Miss"/>
    <s v="F"/>
    <n v="60"/>
    <s v="Atherton Street"/>
    <x v="217"/>
    <x v="2"/>
    <d v="2020-08-20T00:00:00"/>
    <x v="2"/>
    <x v="3"/>
    <n v="84"/>
    <x v="7"/>
    <x v="7"/>
    <n v="1680"/>
    <x v="206"/>
  </r>
  <r>
    <n v="236"/>
    <x v="224"/>
    <x v="223"/>
    <s v="Mr"/>
    <s v="M"/>
    <n v="30"/>
    <s v="Atlas Street"/>
    <x v="218"/>
    <x v="21"/>
    <d v="2020-04-02T00:00:00"/>
    <x v="2"/>
    <x v="4"/>
    <n v="80"/>
    <x v="6"/>
    <x v="6"/>
    <n v="1920"/>
    <x v="205"/>
  </r>
  <r>
    <n v="237"/>
    <x v="225"/>
    <x v="213"/>
    <s v="Mr"/>
    <s v="M"/>
    <n v="60"/>
    <s v="Attfield Close"/>
    <x v="219"/>
    <x v="2"/>
    <d v="2022-02-17T00:00:00"/>
    <x v="0"/>
    <x v="10"/>
    <n v="40"/>
    <x v="2"/>
    <x v="2"/>
    <n v="680"/>
    <x v="207"/>
  </r>
  <r>
    <n v="238"/>
    <x v="226"/>
    <x v="224"/>
    <s v="Mr"/>
    <s v="M"/>
    <n v="90"/>
    <s v="Atwell Street"/>
    <x v="220"/>
    <x v="3"/>
    <d v="2020-09-19T00:00:00"/>
    <x v="2"/>
    <x v="9"/>
    <n v="7"/>
    <x v="2"/>
    <x v="2"/>
    <n v="119"/>
    <x v="208"/>
  </r>
  <r>
    <n v="239"/>
    <x v="227"/>
    <x v="225"/>
    <s v="Mr"/>
    <s v="M"/>
    <n v="60"/>
    <s v="Atwood Road"/>
    <x v="221"/>
    <x v="11"/>
    <d v="2020-01-16T00:00:00"/>
    <x v="2"/>
    <x v="6"/>
    <n v="71"/>
    <x v="0"/>
    <x v="0"/>
    <n v="1420"/>
    <x v="209"/>
  </r>
  <r>
    <n v="240"/>
    <x v="228"/>
    <x v="226"/>
    <s v="Mr"/>
    <s v="M"/>
    <n v="90"/>
    <s v="Aubert Road"/>
    <x v="222"/>
    <x v="2"/>
    <d v="2021-03-17T00:00:00"/>
    <x v="1"/>
    <x v="5"/>
    <n v="20"/>
    <x v="0"/>
    <x v="0"/>
    <n v="400"/>
    <x v="210"/>
  </r>
  <r>
    <n v="241"/>
    <x v="229"/>
    <x v="227"/>
    <s v="Mr"/>
    <s v="M"/>
    <n v="30"/>
    <s v="Augusta Street"/>
    <x v="223"/>
    <x v="10"/>
    <d v="2022-09-22T00:00:00"/>
    <x v="0"/>
    <x v="9"/>
    <n v="8"/>
    <x v="0"/>
    <x v="0"/>
    <n v="160"/>
    <x v="211"/>
  </r>
  <r>
    <n v="242"/>
    <x v="230"/>
    <x v="228"/>
    <s v="Miss"/>
    <s v="F"/>
    <n v="30"/>
    <s v="Augustus Square"/>
    <x v="224"/>
    <x v="2"/>
    <d v="2021-09-11T00:00:00"/>
    <x v="1"/>
    <x v="9"/>
    <n v="6"/>
    <x v="5"/>
    <x v="5"/>
    <n v="144"/>
    <x v="212"/>
  </r>
  <r>
    <n v="243"/>
    <x v="231"/>
    <x v="229"/>
    <s v="Mr"/>
    <s v="M"/>
    <n v="90"/>
    <s v="Austin Street"/>
    <x v="225"/>
    <x v="16"/>
    <d v="2020-10-04T00:00:00"/>
    <x v="2"/>
    <x v="1"/>
    <n v="8"/>
    <x v="3"/>
    <x v="3"/>
    <n v="192"/>
    <x v="213"/>
  </r>
  <r>
    <n v="244"/>
    <x v="232"/>
    <x v="217"/>
    <s v="Ms"/>
    <s v="F"/>
    <n v="90"/>
    <s v="Avarn Road"/>
    <x v="226"/>
    <x v="2"/>
    <d v="2021-04-22T00:00:00"/>
    <x v="1"/>
    <x v="4"/>
    <n v="32"/>
    <x v="4"/>
    <x v="4"/>
    <n v="576"/>
    <x v="58"/>
  </r>
  <r>
    <n v="245"/>
    <x v="233"/>
    <x v="230"/>
    <s v="Mr"/>
    <s v="M"/>
    <n v="90"/>
    <s v="Avarn Road"/>
    <x v="227"/>
    <x v="2"/>
    <d v="2022-05-29T00:00:00"/>
    <x v="0"/>
    <x v="11"/>
    <n v="85"/>
    <x v="2"/>
    <x v="2"/>
    <n v="1445"/>
    <x v="214"/>
  </r>
  <r>
    <n v="246"/>
    <x v="234"/>
    <x v="231"/>
    <s v="Mrs"/>
    <s v="F"/>
    <n v="60"/>
    <s v="Ave Maria"/>
    <x v="142"/>
    <x v="21"/>
    <d v="2022-10-04T00:00:00"/>
    <x v="0"/>
    <x v="1"/>
    <n v="24"/>
    <x v="3"/>
    <x v="3"/>
    <n v="576"/>
    <x v="215"/>
  </r>
  <r>
    <n v="247"/>
    <x v="235"/>
    <x v="232"/>
    <s v="Mr"/>
    <s v="M"/>
    <n v="90"/>
    <s v="Avebury Street"/>
    <x v="228"/>
    <x v="21"/>
    <d v="2020-04-08T00:00:00"/>
    <x v="2"/>
    <x v="4"/>
    <n v="55"/>
    <x v="7"/>
    <x v="7"/>
    <n v="1100"/>
    <x v="216"/>
  </r>
  <r>
    <n v="248"/>
    <x v="236"/>
    <x v="233"/>
    <s v="Mr"/>
    <s v="M"/>
    <n v="90"/>
    <s v="Avenue"/>
    <x v="229"/>
    <x v="14"/>
    <d v="2022-11-22T00:00:00"/>
    <x v="0"/>
    <x v="7"/>
    <n v="95"/>
    <x v="5"/>
    <x v="5"/>
    <n v="2280"/>
    <x v="217"/>
  </r>
  <r>
    <n v="249"/>
    <x v="237"/>
    <x v="234"/>
    <s v="Mr"/>
    <s v="M"/>
    <n v="60"/>
    <s v="Avenue Gardens"/>
    <x v="230"/>
    <x v="2"/>
    <d v="2020-01-26T00:00:00"/>
    <x v="2"/>
    <x v="6"/>
    <n v="12"/>
    <x v="4"/>
    <x v="4"/>
    <n v="216"/>
    <x v="218"/>
  </r>
  <r>
    <n v="250"/>
    <x v="238"/>
    <x v="123"/>
    <s v="Mr"/>
    <s v="M"/>
    <n v="60"/>
    <s v="Avenue Place"/>
    <x v="142"/>
    <x v="21"/>
    <d v="2020-01-16T00:00:00"/>
    <x v="2"/>
    <x v="6"/>
    <n v="79"/>
    <x v="9"/>
    <x v="9"/>
    <n v="1896"/>
    <x v="219"/>
  </r>
  <r>
    <n v="251"/>
    <x v="239"/>
    <x v="235"/>
    <s v="Mrs"/>
    <s v="F"/>
    <n v="30"/>
    <s v="Avenue Place"/>
    <x v="81"/>
    <x v="2"/>
    <d v="2022-04-02T00:00:00"/>
    <x v="0"/>
    <x v="4"/>
    <n v="12"/>
    <x v="8"/>
    <x v="8"/>
    <n v="240"/>
    <x v="220"/>
  </r>
  <r>
    <n v="252"/>
    <x v="240"/>
    <x v="236"/>
    <s v="Mr"/>
    <s v="M"/>
    <n v="60"/>
    <s v="Avery Farm"/>
    <x v="231"/>
    <x v="39"/>
    <d v="2020-07-09T00:00:00"/>
    <x v="2"/>
    <x v="0"/>
    <n v="3"/>
    <x v="3"/>
    <x v="3"/>
    <n v="72"/>
    <x v="221"/>
  </r>
  <r>
    <n v="253"/>
    <x v="241"/>
    <x v="237"/>
    <s v="Mr"/>
    <s v="M"/>
    <n v="30"/>
    <s v="Aviary Close"/>
    <x v="232"/>
    <x v="1"/>
    <d v="2022-09-15T00:00:00"/>
    <x v="0"/>
    <x v="9"/>
    <n v="85"/>
    <x v="9"/>
    <x v="9"/>
    <n v="2040"/>
    <x v="222"/>
  </r>
  <r>
    <n v="254"/>
    <x v="242"/>
    <x v="238"/>
    <s v="Mrs"/>
    <s v="F"/>
    <n v="30"/>
    <s v="Aviary Close"/>
    <x v="233"/>
    <x v="2"/>
    <d v="2022-04-30T00:00:00"/>
    <x v="0"/>
    <x v="4"/>
    <n v="46"/>
    <x v="4"/>
    <x v="4"/>
    <n v="828"/>
    <x v="223"/>
  </r>
  <r>
    <n v="255"/>
    <x v="243"/>
    <x v="239"/>
    <s v="Mrs"/>
    <s v="F"/>
    <n v="30"/>
    <s v="Avonley Road"/>
    <x v="77"/>
    <x v="13"/>
    <d v="2021-11-25T00:00:00"/>
    <x v="1"/>
    <x v="7"/>
    <n v="68"/>
    <x v="1"/>
    <x v="1"/>
    <n v="1632"/>
    <x v="160"/>
  </r>
  <r>
    <n v="256"/>
    <x v="244"/>
    <x v="240"/>
    <s v="Prof"/>
    <s v="F"/>
    <n v="30"/>
    <s v="Ax Yard"/>
    <x v="94"/>
    <x v="21"/>
    <d v="2020-07-06T00:00:00"/>
    <x v="2"/>
    <x v="0"/>
    <n v="31"/>
    <x v="2"/>
    <x v="2"/>
    <n v="527"/>
    <x v="224"/>
  </r>
  <r>
    <n v="257"/>
    <x v="245"/>
    <x v="241"/>
    <s v="Mr"/>
    <s v="M"/>
    <n v="30"/>
    <s v="Aylesham Close"/>
    <x v="234"/>
    <x v="2"/>
    <d v="2021-09-14T00:00:00"/>
    <x v="1"/>
    <x v="9"/>
    <n v="49"/>
    <x v="3"/>
    <x v="3"/>
    <n v="1176"/>
    <x v="225"/>
  </r>
  <r>
    <n v="258"/>
    <x v="246"/>
    <x v="242"/>
    <s v="Miss"/>
    <s v="F"/>
    <n v="60"/>
    <s v="Azenby Square"/>
    <x v="235"/>
    <x v="12"/>
    <d v="2021-02-08T00:00:00"/>
    <x v="1"/>
    <x v="10"/>
    <n v="11"/>
    <x v="4"/>
    <x v="4"/>
    <n v="198"/>
    <x v="226"/>
  </r>
  <r>
    <n v="259"/>
    <x v="247"/>
    <x v="243"/>
    <s v="Miss"/>
    <s v="F"/>
    <n v="60"/>
    <s v="Bachelor'S Hall"/>
    <x v="236"/>
    <x v="3"/>
    <d v="2020-05-22T00:00:00"/>
    <x v="2"/>
    <x v="11"/>
    <n v="6"/>
    <x v="7"/>
    <x v="7"/>
    <n v="120"/>
    <x v="227"/>
  </r>
  <r>
    <n v="260"/>
    <x v="248"/>
    <x v="244"/>
    <s v="Mrs"/>
    <s v="F"/>
    <n v="90"/>
    <s v="Back Church"/>
    <x v="237"/>
    <x v="35"/>
    <d v="2020-10-30T00:00:00"/>
    <x v="2"/>
    <x v="1"/>
    <n v="14"/>
    <x v="6"/>
    <x v="6"/>
    <n v="336"/>
    <x v="195"/>
  </r>
  <r>
    <n v="261"/>
    <x v="249"/>
    <x v="245"/>
    <s v="Mr"/>
    <s v="M"/>
    <n v="30"/>
    <s v="Bacons Lane"/>
    <x v="57"/>
    <x v="21"/>
    <d v="2020-07-02T00:00:00"/>
    <x v="2"/>
    <x v="0"/>
    <n v="40"/>
    <x v="9"/>
    <x v="9"/>
    <n v="960"/>
    <x v="228"/>
  </r>
  <r>
    <n v="262"/>
    <x v="250"/>
    <x v="246"/>
    <s v="Mrs"/>
    <s v="F"/>
    <n v="30"/>
    <s v="Bacton Street"/>
    <x v="238"/>
    <x v="2"/>
    <d v="2020-05-27T00:00:00"/>
    <x v="2"/>
    <x v="11"/>
    <n v="21"/>
    <x v="3"/>
    <x v="3"/>
    <n v="504"/>
    <x v="229"/>
  </r>
  <r>
    <n v="263"/>
    <x v="251"/>
    <x v="247"/>
    <s v="Miss"/>
    <s v="F"/>
    <n v="60"/>
    <s v="Bailey Place"/>
    <x v="219"/>
    <x v="2"/>
    <d v="2022-05-01T00:00:00"/>
    <x v="0"/>
    <x v="11"/>
    <n v="64"/>
    <x v="7"/>
    <x v="7"/>
    <n v="1280"/>
    <x v="230"/>
  </r>
  <r>
    <n v="264"/>
    <x v="252"/>
    <x v="248"/>
    <s v="Mrs"/>
    <s v="F"/>
    <n v="90"/>
    <s v="Baird Gardens"/>
    <x v="239"/>
    <x v="40"/>
    <d v="2021-09-11T00:00:00"/>
    <x v="1"/>
    <x v="9"/>
    <n v="30"/>
    <x v="5"/>
    <x v="5"/>
    <n v="720"/>
    <x v="231"/>
  </r>
  <r>
    <n v="265"/>
    <x v="253"/>
    <x v="249"/>
    <s v="Miss"/>
    <s v="F"/>
    <n v="60"/>
    <s v="Baker Terrace"/>
    <x v="240"/>
    <x v="41"/>
    <d v="2022-07-27T00:00:00"/>
    <x v="0"/>
    <x v="0"/>
    <n v="41"/>
    <x v="8"/>
    <x v="8"/>
    <n v="820"/>
    <x v="232"/>
  </r>
  <r>
    <n v="266"/>
    <x v="254"/>
    <x v="250"/>
    <s v="Mrs"/>
    <s v="F"/>
    <n v="90"/>
    <s v="Bakers Mews"/>
    <x v="241"/>
    <x v="26"/>
    <d v="2022-12-13T00:00:00"/>
    <x v="0"/>
    <x v="8"/>
    <n v="27"/>
    <x v="5"/>
    <x v="5"/>
    <n v="648"/>
    <x v="233"/>
  </r>
  <r>
    <n v="267"/>
    <x v="255"/>
    <x v="251"/>
    <s v="Miss"/>
    <s v="F"/>
    <n v="90"/>
    <s v="Baldwyn Gardens"/>
    <x v="242"/>
    <x v="2"/>
    <d v="2021-08-05T00:00:00"/>
    <x v="1"/>
    <x v="3"/>
    <n v="58"/>
    <x v="3"/>
    <x v="3"/>
    <n v="1392"/>
    <x v="102"/>
  </r>
  <r>
    <n v="268"/>
    <x v="256"/>
    <x v="252"/>
    <s v="Mrs"/>
    <s v="F"/>
    <n v="30"/>
    <s v="Balgonie Road"/>
    <x v="243"/>
    <x v="16"/>
    <d v="2021-10-11T00:00:00"/>
    <x v="1"/>
    <x v="1"/>
    <n v="3"/>
    <x v="9"/>
    <x v="9"/>
    <n v="72"/>
    <x v="234"/>
  </r>
  <r>
    <n v="269"/>
    <x v="257"/>
    <x v="253"/>
    <s v="Mr"/>
    <s v="M"/>
    <n v="30"/>
    <s v="Balham New"/>
    <x v="244"/>
    <x v="1"/>
    <d v="2021-06-13T00:00:00"/>
    <x v="1"/>
    <x v="2"/>
    <n v="38"/>
    <x v="9"/>
    <x v="9"/>
    <n v="912"/>
    <x v="107"/>
  </r>
  <r>
    <n v="270"/>
    <x v="258"/>
    <x v="254"/>
    <s v="Miss"/>
    <s v="F"/>
    <n v="30"/>
    <s v="Balham Place"/>
    <x v="245"/>
    <x v="1"/>
    <d v="2021-12-31T00:00:00"/>
    <x v="1"/>
    <x v="8"/>
    <n v="43"/>
    <x v="8"/>
    <x v="8"/>
    <n v="860"/>
    <x v="235"/>
  </r>
  <r>
    <n v="271"/>
    <x v="259"/>
    <x v="255"/>
    <s v="Mr"/>
    <s v="M"/>
    <n v="60"/>
    <s v="Balham Station"/>
    <x v="246"/>
    <x v="2"/>
    <d v="2021-04-19T00:00:00"/>
    <x v="1"/>
    <x v="4"/>
    <n v="36"/>
    <x v="5"/>
    <x v="5"/>
    <n v="864"/>
    <x v="236"/>
  </r>
  <r>
    <n v="272"/>
    <x v="260"/>
    <x v="256"/>
    <s v="Mr"/>
    <s v="M"/>
    <n v="60"/>
    <s v="Ball Court"/>
    <x v="247"/>
    <x v="2"/>
    <d v="2021-01-08T00:00:00"/>
    <x v="1"/>
    <x v="6"/>
    <n v="51"/>
    <x v="3"/>
    <x v="3"/>
    <n v="1224"/>
    <x v="237"/>
  </r>
  <r>
    <n v="273"/>
    <x v="261"/>
    <x v="257"/>
    <s v="Miss"/>
    <s v="F"/>
    <n v="60"/>
    <s v="Ballards Lane"/>
    <x v="248"/>
    <x v="2"/>
    <d v="2022-01-17T00:00:00"/>
    <x v="0"/>
    <x v="6"/>
    <n v="86"/>
    <x v="9"/>
    <x v="9"/>
    <n v="2064"/>
    <x v="238"/>
  </r>
  <r>
    <n v="274"/>
    <x v="262"/>
    <x v="258"/>
    <s v="Mr"/>
    <s v="M"/>
    <n v="30"/>
    <s v="Balliol Road"/>
    <x v="249"/>
    <x v="20"/>
    <d v="2021-08-08T00:00:00"/>
    <x v="1"/>
    <x v="3"/>
    <n v="6"/>
    <x v="7"/>
    <x v="7"/>
    <n v="120"/>
    <x v="227"/>
  </r>
  <r>
    <n v="275"/>
    <x v="263"/>
    <x v="259"/>
    <s v="Mr"/>
    <s v="M"/>
    <n v="60"/>
    <s v="Ball'S Buildings"/>
    <x v="204"/>
    <x v="2"/>
    <d v="2021-06-25T00:00:00"/>
    <x v="1"/>
    <x v="2"/>
    <n v="40"/>
    <x v="0"/>
    <x v="0"/>
    <n v="800"/>
    <x v="239"/>
  </r>
  <r>
    <n v="276"/>
    <x v="264"/>
    <x v="145"/>
    <s v="Miss"/>
    <s v="F"/>
    <n v="90"/>
    <s v="Balmoral Grove"/>
    <x v="250"/>
    <x v="42"/>
    <d v="2020-08-10T00:00:00"/>
    <x v="2"/>
    <x v="3"/>
    <n v="52"/>
    <x v="3"/>
    <x v="3"/>
    <n v="1248"/>
    <x v="240"/>
  </r>
  <r>
    <n v="277"/>
    <x v="90"/>
    <x v="172"/>
    <s v="Mrs"/>
    <s v="F"/>
    <n v="30"/>
    <s v="Balnacraig Avenue"/>
    <x v="228"/>
    <x v="21"/>
    <d v="2021-03-06T00:00:00"/>
    <x v="1"/>
    <x v="5"/>
    <n v="66"/>
    <x v="8"/>
    <x v="8"/>
    <n v="1320"/>
    <x v="241"/>
  </r>
  <r>
    <n v="278"/>
    <x v="265"/>
    <x v="260"/>
    <s v="Mr"/>
    <s v="M"/>
    <n v="60"/>
    <s v="Balvaird Place"/>
    <x v="251"/>
    <x v="2"/>
    <d v="2021-11-09T00:00:00"/>
    <x v="1"/>
    <x v="7"/>
    <n v="41"/>
    <x v="8"/>
    <x v="8"/>
    <n v="820"/>
    <x v="232"/>
  </r>
  <r>
    <n v="279"/>
    <x v="266"/>
    <x v="261"/>
    <s v="Mr"/>
    <s v="M"/>
    <n v="30"/>
    <s v="Balvernie Villas"/>
    <x v="252"/>
    <x v="3"/>
    <d v="2021-11-15T00:00:00"/>
    <x v="1"/>
    <x v="7"/>
    <n v="33"/>
    <x v="7"/>
    <x v="7"/>
    <n v="660"/>
    <x v="242"/>
  </r>
  <r>
    <n v="280"/>
    <x v="267"/>
    <x v="262"/>
    <s v="Miss"/>
    <s v="F"/>
    <n v="90"/>
    <s v="Balvernie Villas"/>
    <x v="253"/>
    <x v="11"/>
    <d v="2022-09-01T00:00:00"/>
    <x v="0"/>
    <x v="9"/>
    <n v="29"/>
    <x v="0"/>
    <x v="0"/>
    <n v="580"/>
    <x v="243"/>
  </r>
  <r>
    <n v="281"/>
    <x v="268"/>
    <x v="263"/>
    <s v="Mrs"/>
    <s v="F"/>
    <n v="30"/>
    <s v="Banbury Place"/>
    <x v="254"/>
    <x v="3"/>
    <d v="2022-10-28T00:00:00"/>
    <x v="0"/>
    <x v="1"/>
    <n v="38"/>
    <x v="5"/>
    <x v="5"/>
    <n v="912"/>
    <x v="244"/>
  </r>
  <r>
    <n v="282"/>
    <x v="193"/>
    <x v="81"/>
    <s v="Mrs"/>
    <s v="F"/>
    <n v="60"/>
    <s v="Banchory Road"/>
    <x v="212"/>
    <x v="8"/>
    <d v="2022-03-02T00:00:00"/>
    <x v="0"/>
    <x v="5"/>
    <n v="4"/>
    <x v="1"/>
    <x v="1"/>
    <n v="96"/>
    <x v="245"/>
  </r>
  <r>
    <n v="283"/>
    <x v="269"/>
    <x v="264"/>
    <s v="Prof"/>
    <s v="F"/>
    <n v="60"/>
    <s v="Bank Buildings"/>
    <x v="31"/>
    <x v="2"/>
    <d v="2022-06-21T00:00:00"/>
    <x v="0"/>
    <x v="2"/>
    <n v="29"/>
    <x v="7"/>
    <x v="7"/>
    <n v="580"/>
    <x v="246"/>
  </r>
  <r>
    <n v="284"/>
    <x v="270"/>
    <x v="265"/>
    <s v="Mr"/>
    <s v="M"/>
    <n v="30"/>
    <s v="Banner Square"/>
    <x v="255"/>
    <x v="2"/>
    <d v="2020-07-11T00:00:00"/>
    <x v="2"/>
    <x v="0"/>
    <n v="48"/>
    <x v="4"/>
    <x v="4"/>
    <n v="864"/>
    <x v="247"/>
  </r>
  <r>
    <n v="285"/>
    <x v="271"/>
    <x v="266"/>
    <s v="Mrs"/>
    <s v="F"/>
    <n v="30"/>
    <s v="Banning Street"/>
    <x v="204"/>
    <x v="2"/>
    <d v="2022-03-05T00:00:00"/>
    <x v="0"/>
    <x v="5"/>
    <n v="11"/>
    <x v="5"/>
    <x v="5"/>
    <n v="264"/>
    <x v="248"/>
  </r>
  <r>
    <n v="286"/>
    <x v="3"/>
    <x v="267"/>
    <s v="Mr"/>
    <s v="M"/>
    <n v="30"/>
    <s v="Banstead Street"/>
    <x v="256"/>
    <x v="43"/>
    <d v="2022-10-29T00:00:00"/>
    <x v="0"/>
    <x v="1"/>
    <n v="72"/>
    <x v="6"/>
    <x v="6"/>
    <n v="1728"/>
    <x v="249"/>
  </r>
  <r>
    <n v="287"/>
    <x v="272"/>
    <x v="268"/>
    <s v="Mr"/>
    <s v="M"/>
    <n v="60"/>
    <s v="Banstead Street"/>
    <x v="257"/>
    <x v="1"/>
    <d v="2020-07-06T00:00:00"/>
    <x v="2"/>
    <x v="0"/>
    <n v="14"/>
    <x v="1"/>
    <x v="1"/>
    <n v="336"/>
    <x v="250"/>
  </r>
  <r>
    <n v="288"/>
    <x v="273"/>
    <x v="269"/>
    <s v="Ms"/>
    <s v="F"/>
    <n v="30"/>
    <s v="Barbel Street"/>
    <x v="258"/>
    <x v="7"/>
    <d v="2022-05-20T00:00:00"/>
    <x v="0"/>
    <x v="11"/>
    <n v="70"/>
    <x v="8"/>
    <x v="8"/>
    <n v="1400"/>
    <x v="251"/>
  </r>
  <r>
    <n v="289"/>
    <x v="274"/>
    <x v="270"/>
    <s v="Ms"/>
    <s v="F"/>
    <n v="30"/>
    <s v="Barclay Close"/>
    <x v="259"/>
    <x v="2"/>
    <d v="2020-03-23T00:00:00"/>
    <x v="2"/>
    <x v="5"/>
    <n v="82"/>
    <x v="7"/>
    <x v="7"/>
    <n v="1640"/>
    <x v="252"/>
  </r>
  <r>
    <n v="290"/>
    <x v="275"/>
    <x v="271"/>
    <s v="Mr"/>
    <s v="M"/>
    <n v="60"/>
    <s v="Barclay Street"/>
    <x v="117"/>
    <x v="2"/>
    <d v="2021-10-24T00:00:00"/>
    <x v="1"/>
    <x v="1"/>
    <n v="44"/>
    <x v="3"/>
    <x v="3"/>
    <n v="1056"/>
    <x v="253"/>
  </r>
  <r>
    <n v="291"/>
    <x v="134"/>
    <x v="272"/>
    <s v="Mr"/>
    <s v="M"/>
    <n v="90"/>
    <s v="Barclay Street"/>
    <x v="260"/>
    <x v="2"/>
    <d v="2021-03-01T00:00:00"/>
    <x v="1"/>
    <x v="5"/>
    <n v="18"/>
    <x v="6"/>
    <x v="6"/>
    <n v="432"/>
    <x v="254"/>
  </r>
  <r>
    <n v="292"/>
    <x v="276"/>
    <x v="273"/>
    <s v="Mrs"/>
    <s v="F"/>
    <n v="30"/>
    <s v="Barford Street"/>
    <x v="261"/>
    <x v="2"/>
    <d v="2020-11-25T00:00:00"/>
    <x v="2"/>
    <x v="7"/>
    <n v="8"/>
    <x v="7"/>
    <x v="7"/>
    <n v="160"/>
    <x v="255"/>
  </r>
  <r>
    <n v="293"/>
    <x v="277"/>
    <x v="274"/>
    <s v="Miss"/>
    <s v="F"/>
    <n v="90"/>
    <s v="Barge House"/>
    <x v="157"/>
    <x v="30"/>
    <d v="2022-10-23T00:00:00"/>
    <x v="0"/>
    <x v="1"/>
    <n v="5"/>
    <x v="2"/>
    <x v="2"/>
    <n v="85"/>
    <x v="36"/>
  </r>
  <r>
    <n v="294"/>
    <x v="278"/>
    <x v="275"/>
    <s v="Mrs"/>
    <s v="F"/>
    <n v="90"/>
    <s v="Bargery Road"/>
    <x v="262"/>
    <x v="35"/>
    <d v="2022-11-26T00:00:00"/>
    <x v="0"/>
    <x v="7"/>
    <n v="36"/>
    <x v="7"/>
    <x v="7"/>
    <n v="720"/>
    <x v="256"/>
  </r>
  <r>
    <n v="295"/>
    <x v="214"/>
    <x v="276"/>
    <s v="Mr"/>
    <s v="M"/>
    <n v="30"/>
    <s v="Barili Lodge"/>
    <x v="263"/>
    <x v="2"/>
    <d v="2020-07-30T00:00:00"/>
    <x v="2"/>
    <x v="0"/>
    <n v="65"/>
    <x v="3"/>
    <x v="3"/>
    <n v="1560"/>
    <x v="257"/>
  </r>
  <r>
    <n v="296"/>
    <x v="279"/>
    <x v="277"/>
    <s v="Mr"/>
    <s v="M"/>
    <n v="30"/>
    <s v="Barkham Road"/>
    <x v="264"/>
    <x v="15"/>
    <d v="2022-04-30T00:00:00"/>
    <x v="0"/>
    <x v="4"/>
    <n v="3"/>
    <x v="7"/>
    <x v="7"/>
    <n v="60"/>
    <x v="258"/>
  </r>
  <r>
    <n v="297"/>
    <x v="280"/>
    <x v="278"/>
    <s v="Mr"/>
    <s v="M"/>
    <n v="90"/>
    <s v="Barlby Gardens"/>
    <x v="265"/>
    <x v="3"/>
    <d v="2021-12-26T00:00:00"/>
    <x v="1"/>
    <x v="8"/>
    <n v="22"/>
    <x v="8"/>
    <x v="8"/>
    <n v="440"/>
    <x v="259"/>
  </r>
  <r>
    <n v="298"/>
    <x v="281"/>
    <x v="279"/>
    <s v="Mrs"/>
    <s v="F"/>
    <n v="90"/>
    <s v="Barley Mow"/>
    <x v="266"/>
    <x v="44"/>
    <d v="2021-04-12T00:00:00"/>
    <x v="1"/>
    <x v="4"/>
    <n v="4"/>
    <x v="5"/>
    <x v="5"/>
    <n v="96"/>
    <x v="260"/>
  </r>
  <r>
    <n v="299"/>
    <x v="282"/>
    <x v="93"/>
    <s v="Mr"/>
    <s v="M"/>
    <n v="60"/>
    <s v="Barnardo Gardens"/>
    <x v="267"/>
    <x v="2"/>
    <d v="2021-12-04T00:00:00"/>
    <x v="1"/>
    <x v="8"/>
    <n v="60"/>
    <x v="3"/>
    <x v="3"/>
    <n v="1440"/>
    <x v="261"/>
  </r>
  <r>
    <n v="300"/>
    <x v="283"/>
    <x v="280"/>
    <s v="Miss"/>
    <s v="F"/>
    <n v="60"/>
    <s v="Barnardo Street"/>
    <x v="268"/>
    <x v="21"/>
    <d v="2021-06-12T00:00:00"/>
    <x v="1"/>
    <x v="2"/>
    <n v="4"/>
    <x v="9"/>
    <x v="9"/>
    <n v="96"/>
    <x v="181"/>
  </r>
  <r>
    <n v="301"/>
    <x v="284"/>
    <x v="281"/>
    <s v="Mr"/>
    <s v="M"/>
    <n v="90"/>
    <s v="Barnby Square"/>
    <x v="269"/>
    <x v="21"/>
    <d v="2022-12-25T00:00:00"/>
    <x v="0"/>
    <x v="8"/>
    <n v="104"/>
    <x v="4"/>
    <x v="4"/>
    <n v="1872"/>
    <x v="262"/>
  </r>
  <r>
    <n v="302"/>
    <x v="285"/>
    <x v="282"/>
    <s v="Mr"/>
    <s v="M"/>
    <n v="30"/>
    <s v="Barnes Alley"/>
    <x v="270"/>
    <x v="2"/>
    <d v="2020-05-02T00:00:00"/>
    <x v="2"/>
    <x v="11"/>
    <n v="82"/>
    <x v="8"/>
    <x v="8"/>
    <n v="1640"/>
    <x v="263"/>
  </r>
  <r>
    <n v="303"/>
    <x v="286"/>
    <x v="283"/>
    <s v="Miss"/>
    <s v="F"/>
    <n v="90"/>
    <s v="Barnet Lane"/>
    <x v="271"/>
    <x v="21"/>
    <d v="2022-12-04T00:00:00"/>
    <x v="0"/>
    <x v="8"/>
    <n v="2"/>
    <x v="8"/>
    <x v="8"/>
    <n v="40"/>
    <x v="264"/>
  </r>
  <r>
    <n v="304"/>
    <x v="287"/>
    <x v="284"/>
    <s v="Mr"/>
    <s v="M"/>
    <n v="90"/>
    <s v="Barnet Street"/>
    <x v="272"/>
    <x v="11"/>
    <d v="2021-02-22T00:00:00"/>
    <x v="1"/>
    <x v="10"/>
    <n v="71"/>
    <x v="4"/>
    <x v="4"/>
    <n v="1278"/>
    <x v="265"/>
  </r>
  <r>
    <n v="305"/>
    <x v="194"/>
    <x v="285"/>
    <s v="Mr"/>
    <s v="M"/>
    <n v="90"/>
    <s v="Barnston Walk"/>
    <x v="273"/>
    <x v="1"/>
    <d v="2020-07-24T00:00:00"/>
    <x v="2"/>
    <x v="0"/>
    <n v="75"/>
    <x v="1"/>
    <x v="1"/>
    <n v="1800"/>
    <x v="2"/>
  </r>
  <r>
    <n v="306"/>
    <x v="288"/>
    <x v="286"/>
    <s v="Mr"/>
    <s v="M"/>
    <n v="90"/>
    <s v="Barraud'S Wharf"/>
    <x v="274"/>
    <x v="1"/>
    <d v="2022-07-16T00:00:00"/>
    <x v="0"/>
    <x v="0"/>
    <n v="45"/>
    <x v="3"/>
    <x v="3"/>
    <n v="1080"/>
    <x v="266"/>
  </r>
  <r>
    <n v="307"/>
    <x v="289"/>
    <x v="287"/>
    <s v="Mr"/>
    <s v="M"/>
    <n v="30"/>
    <s v="Barriedale"/>
    <x v="275"/>
    <x v="45"/>
    <d v="2022-06-12T00:00:00"/>
    <x v="0"/>
    <x v="2"/>
    <n v="86"/>
    <x v="2"/>
    <x v="2"/>
    <n v="1462"/>
    <x v="267"/>
  </r>
  <r>
    <n v="308"/>
    <x v="290"/>
    <x v="107"/>
    <s v="Mr"/>
    <s v="M"/>
    <n v="60"/>
    <s v="Barrowgate Road"/>
    <x v="13"/>
    <x v="9"/>
    <d v="2022-10-04T00:00:00"/>
    <x v="0"/>
    <x v="1"/>
    <n v="19"/>
    <x v="5"/>
    <x v="5"/>
    <n v="456"/>
    <x v="268"/>
  </r>
  <r>
    <n v="309"/>
    <x v="291"/>
    <x v="288"/>
    <s v="Miss"/>
    <s v="F"/>
    <n v="90"/>
    <s v="Barrows Place"/>
    <x v="168"/>
    <x v="2"/>
    <d v="2021-06-11T00:00:00"/>
    <x v="1"/>
    <x v="2"/>
    <n v="85"/>
    <x v="4"/>
    <x v="4"/>
    <n v="1530"/>
    <x v="16"/>
  </r>
  <r>
    <n v="310"/>
    <x v="292"/>
    <x v="289"/>
    <s v="Mr"/>
    <s v="M"/>
    <n v="90"/>
    <s v="Barrydene"/>
    <x v="276"/>
    <x v="3"/>
    <d v="2022-03-05T00:00:00"/>
    <x v="0"/>
    <x v="5"/>
    <n v="104"/>
    <x v="5"/>
    <x v="5"/>
    <n v="2496"/>
    <x v="269"/>
  </r>
  <r>
    <n v="311"/>
    <x v="293"/>
    <x v="290"/>
    <s v="Mr"/>
    <s v="M"/>
    <n v="30"/>
    <s v="Barry'S Buildings"/>
    <x v="23"/>
    <x v="13"/>
    <d v="2020-02-26T00:00:00"/>
    <x v="2"/>
    <x v="10"/>
    <n v="18"/>
    <x v="6"/>
    <x v="6"/>
    <n v="432"/>
    <x v="254"/>
  </r>
  <r>
    <n v="312"/>
    <x v="294"/>
    <x v="291"/>
    <s v="Mr"/>
    <s v="M"/>
    <n v="60"/>
    <s v="Barson Close"/>
    <x v="277"/>
    <x v="13"/>
    <d v="2020-06-24T00:00:00"/>
    <x v="2"/>
    <x v="2"/>
    <n v="67"/>
    <x v="9"/>
    <x v="9"/>
    <n v="1608"/>
    <x v="270"/>
  </r>
  <r>
    <n v="313"/>
    <x v="295"/>
    <x v="292"/>
    <s v="Miss"/>
    <s v="F"/>
    <n v="30"/>
    <s v="Barth Road"/>
    <x v="278"/>
    <x v="2"/>
    <d v="2022-01-12T00:00:00"/>
    <x v="0"/>
    <x v="6"/>
    <n v="68"/>
    <x v="0"/>
    <x v="0"/>
    <n v="1360"/>
    <x v="271"/>
  </r>
  <r>
    <n v="314"/>
    <x v="296"/>
    <x v="293"/>
    <s v="Mrs"/>
    <s v="F"/>
    <n v="60"/>
    <s v="Bartholomew Close"/>
    <x v="279"/>
    <x v="2"/>
    <d v="2021-12-31T00:00:00"/>
    <x v="1"/>
    <x v="8"/>
    <n v="54"/>
    <x v="6"/>
    <x v="6"/>
    <n v="1296"/>
    <x v="144"/>
  </r>
  <r>
    <n v="315"/>
    <x v="297"/>
    <x v="81"/>
    <s v="Mr"/>
    <s v="M"/>
    <n v="60"/>
    <s v="Bartholomew Lane"/>
    <x v="280"/>
    <x v="2"/>
    <d v="2022-09-13T00:00:00"/>
    <x v="0"/>
    <x v="9"/>
    <n v="42"/>
    <x v="0"/>
    <x v="0"/>
    <n v="840"/>
    <x v="272"/>
  </r>
  <r>
    <n v="316"/>
    <x v="71"/>
    <x v="294"/>
    <s v="Miss"/>
    <s v="F"/>
    <n v="30"/>
    <s v="Bartholomew Villas"/>
    <x v="281"/>
    <x v="2"/>
    <d v="2022-09-16T00:00:00"/>
    <x v="0"/>
    <x v="9"/>
    <n v="86"/>
    <x v="8"/>
    <x v="8"/>
    <n v="1720"/>
    <x v="86"/>
  </r>
  <r>
    <n v="317"/>
    <x v="298"/>
    <x v="295"/>
    <s v="Mr"/>
    <s v="M"/>
    <n v="60"/>
    <s v="Barton Road"/>
    <x v="282"/>
    <x v="2"/>
    <d v="2020-04-18T00:00:00"/>
    <x v="2"/>
    <x v="4"/>
    <n v="49"/>
    <x v="2"/>
    <x v="2"/>
    <n v="833"/>
    <x v="273"/>
  </r>
  <r>
    <n v="318"/>
    <x v="299"/>
    <x v="296"/>
    <s v="Miss"/>
    <s v="F"/>
    <n v="90"/>
    <s v="Barton Street"/>
    <x v="283"/>
    <x v="17"/>
    <d v="2022-03-02T00:00:00"/>
    <x v="0"/>
    <x v="5"/>
    <n v="15"/>
    <x v="9"/>
    <x v="9"/>
    <n v="360"/>
    <x v="274"/>
  </r>
  <r>
    <n v="319"/>
    <x v="121"/>
    <x v="297"/>
    <s v="Miss"/>
    <s v="F"/>
    <n v="60"/>
    <s v="Barwick Road"/>
    <x v="284"/>
    <x v="4"/>
    <d v="2021-08-05T00:00:00"/>
    <x v="1"/>
    <x v="3"/>
    <n v="42"/>
    <x v="5"/>
    <x v="5"/>
    <n v="1008"/>
    <x v="275"/>
  </r>
  <r>
    <n v="320"/>
    <x v="300"/>
    <x v="298"/>
    <s v="Mr"/>
    <s v="M"/>
    <n v="60"/>
    <s v="Basil Street"/>
    <x v="285"/>
    <x v="2"/>
    <d v="2020-02-25T00:00:00"/>
    <x v="2"/>
    <x v="10"/>
    <n v="36"/>
    <x v="7"/>
    <x v="7"/>
    <n v="720"/>
    <x v="256"/>
  </r>
  <r>
    <n v="321"/>
    <x v="301"/>
    <x v="299"/>
    <s v="Miss"/>
    <s v="F"/>
    <n v="90"/>
    <s v="Basing House"/>
    <x v="286"/>
    <x v="8"/>
    <d v="2022-07-07T00:00:00"/>
    <x v="0"/>
    <x v="0"/>
    <n v="14"/>
    <x v="5"/>
    <x v="5"/>
    <n v="336"/>
    <x v="276"/>
  </r>
  <r>
    <n v="322"/>
    <x v="302"/>
    <x v="300"/>
    <s v="Mr"/>
    <s v="M"/>
    <n v="60"/>
    <s v="Basinghall Street"/>
    <x v="287"/>
    <x v="2"/>
    <d v="2020-01-11T00:00:00"/>
    <x v="2"/>
    <x v="6"/>
    <n v="73"/>
    <x v="5"/>
    <x v="5"/>
    <n v="1752"/>
    <x v="277"/>
  </r>
  <r>
    <n v="323"/>
    <x v="303"/>
    <x v="301"/>
    <s v="Mrs"/>
    <s v="F"/>
    <n v="90"/>
    <s v="Basketmakers' "/>
    <x v="270"/>
    <x v="2"/>
    <d v="2021-05-02T00:00:00"/>
    <x v="1"/>
    <x v="11"/>
    <n v="80"/>
    <x v="3"/>
    <x v="3"/>
    <n v="1920"/>
    <x v="278"/>
  </r>
  <r>
    <n v="324"/>
    <x v="304"/>
    <x v="302"/>
    <s v="Mrs"/>
    <s v="F"/>
    <n v="30"/>
    <s v="Bassingham Road"/>
    <x v="141"/>
    <x v="2"/>
    <d v="2020-01-03T00:00:00"/>
    <x v="2"/>
    <x v="6"/>
    <n v="60"/>
    <x v="6"/>
    <x v="6"/>
    <n v="1440"/>
    <x v="279"/>
  </r>
  <r>
    <n v="325"/>
    <x v="305"/>
    <x v="303"/>
    <s v="Mrs"/>
    <s v="F"/>
    <n v="60"/>
    <s v="Basswood Close"/>
    <x v="288"/>
    <x v="2"/>
    <d v="2021-10-13T00:00:00"/>
    <x v="1"/>
    <x v="1"/>
    <n v="58"/>
    <x v="1"/>
    <x v="1"/>
    <n v="1392"/>
    <x v="280"/>
  </r>
  <r>
    <n v="326"/>
    <x v="306"/>
    <x v="304"/>
    <s v="Miss"/>
    <s v="F"/>
    <n v="30"/>
    <s v="Batcup Terrace"/>
    <x v="289"/>
    <x v="2"/>
    <d v="2021-05-28T00:00:00"/>
    <x v="1"/>
    <x v="11"/>
    <n v="70"/>
    <x v="2"/>
    <x v="2"/>
    <n v="1190"/>
    <x v="281"/>
  </r>
  <r>
    <n v="327"/>
    <x v="307"/>
    <x v="305"/>
    <s v="Mr"/>
    <s v="M"/>
    <n v="30"/>
    <s v="Bath Close"/>
    <x v="290"/>
    <x v="44"/>
    <d v="2020-12-05T00:00:00"/>
    <x v="2"/>
    <x v="8"/>
    <n v="55"/>
    <x v="3"/>
    <x v="3"/>
    <n v="1320"/>
    <x v="65"/>
  </r>
  <r>
    <n v="328"/>
    <x v="308"/>
    <x v="306"/>
    <s v="Mr"/>
    <s v="M"/>
    <n v="90"/>
    <s v="Bath Court"/>
    <x v="281"/>
    <x v="2"/>
    <d v="2021-07-06T00:00:00"/>
    <x v="1"/>
    <x v="0"/>
    <n v="32"/>
    <x v="3"/>
    <x v="3"/>
    <n v="768"/>
    <x v="282"/>
  </r>
  <r>
    <n v="329"/>
    <x v="309"/>
    <x v="307"/>
    <s v="Ms"/>
    <s v="F"/>
    <n v="30"/>
    <s v="Bath Dairy"/>
    <x v="291"/>
    <x v="2"/>
    <d v="2020-10-19T00:00:00"/>
    <x v="2"/>
    <x v="1"/>
    <n v="77"/>
    <x v="5"/>
    <x v="5"/>
    <n v="1848"/>
    <x v="283"/>
  </r>
  <r>
    <n v="330"/>
    <x v="310"/>
    <x v="308"/>
    <s v="Mr"/>
    <s v="M"/>
    <n v="30"/>
    <s v="Bath Row"/>
    <x v="292"/>
    <x v="46"/>
    <d v="2020-01-31T00:00:00"/>
    <x v="2"/>
    <x v="6"/>
    <n v="57"/>
    <x v="8"/>
    <x v="8"/>
    <n v="1140"/>
    <x v="284"/>
  </r>
  <r>
    <n v="331"/>
    <x v="311"/>
    <x v="309"/>
    <s v="Mr"/>
    <s v="M"/>
    <n v="90"/>
    <s v="Batten Cottages"/>
    <x v="293"/>
    <x v="2"/>
    <d v="2021-04-18T00:00:00"/>
    <x v="1"/>
    <x v="4"/>
    <n v="5"/>
    <x v="5"/>
    <x v="5"/>
    <n v="120"/>
    <x v="64"/>
  </r>
  <r>
    <n v="332"/>
    <x v="312"/>
    <x v="310"/>
    <s v="Mr"/>
    <s v="M"/>
    <n v="60"/>
    <s v="Batten Cottages"/>
    <x v="294"/>
    <x v="2"/>
    <d v="2021-03-20T00:00:00"/>
    <x v="1"/>
    <x v="5"/>
    <n v="10"/>
    <x v="5"/>
    <x v="5"/>
    <n v="240"/>
    <x v="285"/>
  </r>
  <r>
    <n v="333"/>
    <x v="313"/>
    <x v="311"/>
    <s v="Mrs"/>
    <s v="F"/>
    <n v="90"/>
    <s v="Battersea Church"/>
    <x v="218"/>
    <x v="21"/>
    <d v="2021-03-03T00:00:00"/>
    <x v="1"/>
    <x v="5"/>
    <n v="58"/>
    <x v="8"/>
    <x v="8"/>
    <n v="1160"/>
    <x v="286"/>
  </r>
  <r>
    <n v="334"/>
    <x v="314"/>
    <x v="312"/>
    <s v="Mrs"/>
    <s v="F"/>
    <n v="60"/>
    <s v="Bayford Mews"/>
    <x v="295"/>
    <x v="17"/>
    <d v="2022-08-17T00:00:00"/>
    <x v="0"/>
    <x v="3"/>
    <n v="105"/>
    <x v="3"/>
    <x v="3"/>
    <n v="2520"/>
    <x v="287"/>
  </r>
  <r>
    <n v="335"/>
    <x v="315"/>
    <x v="313"/>
    <s v="Mr"/>
    <s v="M"/>
    <n v="30"/>
    <s v="Baynes Row"/>
    <x v="296"/>
    <x v="8"/>
    <d v="2020-03-08T00:00:00"/>
    <x v="2"/>
    <x v="5"/>
    <n v="84"/>
    <x v="4"/>
    <x v="4"/>
    <n v="1512"/>
    <x v="124"/>
  </r>
  <r>
    <n v="336"/>
    <x v="135"/>
    <x v="314"/>
    <s v="Mr"/>
    <s v="M"/>
    <n v="60"/>
    <s v="Beanacre Close"/>
    <x v="297"/>
    <x v="2"/>
    <d v="2020-04-16T00:00:00"/>
    <x v="2"/>
    <x v="4"/>
    <n v="35"/>
    <x v="8"/>
    <x v="8"/>
    <n v="700"/>
    <x v="288"/>
  </r>
  <r>
    <n v="337"/>
    <x v="316"/>
    <x v="315"/>
    <s v="Mr"/>
    <s v="M"/>
    <n v="90"/>
    <s v="Bearbinder Lane"/>
    <x v="298"/>
    <x v="12"/>
    <d v="2022-10-19T00:00:00"/>
    <x v="0"/>
    <x v="1"/>
    <n v="42"/>
    <x v="8"/>
    <x v="8"/>
    <n v="840"/>
    <x v="289"/>
  </r>
  <r>
    <n v="338"/>
    <x v="317"/>
    <x v="316"/>
    <s v="Mr"/>
    <s v="M"/>
    <n v="60"/>
    <s v="Bearstead Rise"/>
    <x v="35"/>
    <x v="2"/>
    <d v="2022-12-05T00:00:00"/>
    <x v="0"/>
    <x v="8"/>
    <n v="55"/>
    <x v="1"/>
    <x v="1"/>
    <n v="1320"/>
    <x v="290"/>
  </r>
  <r>
    <n v="339"/>
    <x v="318"/>
    <x v="317"/>
    <s v="Ms"/>
    <s v="F"/>
    <n v="30"/>
    <s v="Beatrice Road"/>
    <x v="299"/>
    <x v="21"/>
    <d v="2021-09-12T00:00:00"/>
    <x v="1"/>
    <x v="9"/>
    <n v="82"/>
    <x v="4"/>
    <x v="4"/>
    <n v="1476"/>
    <x v="291"/>
  </r>
  <r>
    <n v="340"/>
    <x v="319"/>
    <x v="318"/>
    <s v="Mrs"/>
    <s v="F"/>
    <n v="60"/>
    <s v="Beauchamp Close"/>
    <x v="300"/>
    <x v="2"/>
    <d v="2022-09-02T00:00:00"/>
    <x v="0"/>
    <x v="9"/>
    <n v="37"/>
    <x v="6"/>
    <x v="6"/>
    <n v="888"/>
    <x v="292"/>
  </r>
  <r>
    <n v="341"/>
    <x v="183"/>
    <x v="319"/>
    <s v="Mr"/>
    <s v="M"/>
    <n v="30"/>
    <s v="Beaufort"/>
    <x v="301"/>
    <x v="2"/>
    <d v="2020-12-24T00:00:00"/>
    <x v="2"/>
    <x v="8"/>
    <n v="81"/>
    <x v="2"/>
    <x v="2"/>
    <n v="1377"/>
    <x v="293"/>
  </r>
  <r>
    <n v="342"/>
    <x v="320"/>
    <x v="320"/>
    <s v="Mr"/>
    <s v="M"/>
    <n v="60"/>
    <s v="Beaufort Drive"/>
    <x v="302"/>
    <x v="21"/>
    <d v="2021-10-01T00:00:00"/>
    <x v="1"/>
    <x v="1"/>
    <n v="52"/>
    <x v="3"/>
    <x v="3"/>
    <n v="1248"/>
    <x v="240"/>
  </r>
  <r>
    <n v="343"/>
    <x v="321"/>
    <x v="321"/>
    <s v="Mrs"/>
    <s v="F"/>
    <n v="60"/>
    <s v="Beaufort Gardens"/>
    <x v="303"/>
    <x v="47"/>
    <d v="2020-07-03T00:00:00"/>
    <x v="2"/>
    <x v="0"/>
    <n v="83"/>
    <x v="6"/>
    <x v="6"/>
    <n v="1992"/>
    <x v="294"/>
  </r>
  <r>
    <n v="344"/>
    <x v="322"/>
    <x v="322"/>
    <s v="Miss"/>
    <s v="F"/>
    <n v="30"/>
    <s v="Beaufort Gardens"/>
    <x v="304"/>
    <x v="16"/>
    <d v="2020-01-21T00:00:00"/>
    <x v="2"/>
    <x v="6"/>
    <n v="29"/>
    <x v="8"/>
    <x v="8"/>
    <n v="580"/>
    <x v="295"/>
  </r>
  <r>
    <n v="345"/>
    <x v="323"/>
    <x v="323"/>
    <s v="Mr"/>
    <s v="M"/>
    <n v="90"/>
    <s v="Beaufort Wharf"/>
    <x v="305"/>
    <x v="48"/>
    <d v="2022-06-15T00:00:00"/>
    <x v="0"/>
    <x v="2"/>
    <n v="71"/>
    <x v="4"/>
    <x v="4"/>
    <n v="1278"/>
    <x v="265"/>
  </r>
  <r>
    <n v="346"/>
    <x v="324"/>
    <x v="324"/>
    <s v="Mrs"/>
    <s v="F"/>
    <n v="90"/>
    <s v="Beaumaris Green"/>
    <x v="306"/>
    <x v="2"/>
    <d v="2022-12-31T00:00:00"/>
    <x v="0"/>
    <x v="8"/>
    <n v="13"/>
    <x v="3"/>
    <x v="3"/>
    <n v="312"/>
    <x v="296"/>
  </r>
  <r>
    <n v="347"/>
    <x v="325"/>
    <x v="325"/>
    <s v="Mr"/>
    <s v="M"/>
    <n v="90"/>
    <s v="Beaumont Avenue"/>
    <x v="307"/>
    <x v="21"/>
    <d v="2021-08-22T00:00:00"/>
    <x v="1"/>
    <x v="3"/>
    <n v="92"/>
    <x v="0"/>
    <x v="0"/>
    <n v="1840"/>
    <x v="297"/>
  </r>
  <r>
    <n v="348"/>
    <x v="326"/>
    <x v="326"/>
    <s v="Mr"/>
    <s v="M"/>
    <n v="30"/>
    <s v="Beauvoir Terrace"/>
    <x v="308"/>
    <x v="2"/>
    <d v="2022-10-26T00:00:00"/>
    <x v="0"/>
    <x v="1"/>
    <n v="55"/>
    <x v="8"/>
    <x v="8"/>
    <n v="1100"/>
    <x v="298"/>
  </r>
  <r>
    <n v="349"/>
    <x v="327"/>
    <x v="327"/>
    <s v="Mr"/>
    <s v="M"/>
    <n v="90"/>
    <s v="Beaver Close"/>
    <x v="309"/>
    <x v="2"/>
    <d v="2020-05-11T00:00:00"/>
    <x v="2"/>
    <x v="11"/>
    <n v="39"/>
    <x v="6"/>
    <x v="6"/>
    <n v="936"/>
    <x v="299"/>
  </r>
  <r>
    <n v="350"/>
    <x v="328"/>
    <x v="328"/>
    <s v="Mr"/>
    <s v="M"/>
    <n v="60"/>
    <s v="Beckenham Place"/>
    <x v="213"/>
    <x v="8"/>
    <d v="2020-07-30T00:00:00"/>
    <x v="2"/>
    <x v="0"/>
    <n v="7"/>
    <x v="8"/>
    <x v="8"/>
    <n v="140"/>
    <x v="300"/>
  </r>
  <r>
    <n v="351"/>
    <x v="329"/>
    <x v="329"/>
    <s v="Rev"/>
    <s v="M"/>
    <n v="60"/>
    <s v="Becket Close"/>
    <x v="310"/>
    <x v="2"/>
    <d v="2020-10-27T00:00:00"/>
    <x v="2"/>
    <x v="1"/>
    <n v="50"/>
    <x v="2"/>
    <x v="2"/>
    <n v="850"/>
    <x v="301"/>
  </r>
  <r>
    <n v="352"/>
    <x v="330"/>
    <x v="330"/>
    <s v="Ms"/>
    <s v="F"/>
    <n v="30"/>
    <s v="Becket Close"/>
    <x v="311"/>
    <x v="2"/>
    <d v="2020-10-01T00:00:00"/>
    <x v="2"/>
    <x v="1"/>
    <n v="27"/>
    <x v="8"/>
    <x v="8"/>
    <n v="540"/>
    <x v="302"/>
  </r>
  <r>
    <n v="353"/>
    <x v="331"/>
    <x v="199"/>
    <s v="Mr"/>
    <s v="M"/>
    <n v="30"/>
    <s v="Beckway Street"/>
    <x v="312"/>
    <x v="44"/>
    <d v="2020-02-28T00:00:00"/>
    <x v="2"/>
    <x v="10"/>
    <n v="55"/>
    <x v="8"/>
    <x v="8"/>
    <n v="1100"/>
    <x v="298"/>
  </r>
  <r>
    <n v="354"/>
    <x v="332"/>
    <x v="331"/>
    <s v="Mrs"/>
    <s v="F"/>
    <n v="60"/>
    <s v="Beclands Road"/>
    <x v="117"/>
    <x v="2"/>
    <d v="2022-11-30T00:00:00"/>
    <x v="0"/>
    <x v="7"/>
    <n v="80"/>
    <x v="2"/>
    <x v="2"/>
    <n v="1360"/>
    <x v="175"/>
  </r>
  <r>
    <n v="355"/>
    <x v="333"/>
    <x v="332"/>
    <s v="Mrs"/>
    <s v="F"/>
    <n v="90"/>
    <s v="Bedford Hill"/>
    <x v="313"/>
    <x v="49"/>
    <d v="2021-04-11T00:00:00"/>
    <x v="1"/>
    <x v="4"/>
    <n v="34"/>
    <x v="7"/>
    <x v="7"/>
    <n v="680"/>
    <x v="303"/>
  </r>
  <r>
    <n v="356"/>
    <x v="334"/>
    <x v="54"/>
    <s v="Mr"/>
    <s v="M"/>
    <n v="60"/>
    <s v="Bedford Place"/>
    <x v="98"/>
    <x v="21"/>
    <d v="2020-04-03T00:00:00"/>
    <x v="2"/>
    <x v="4"/>
    <n v="49"/>
    <x v="8"/>
    <x v="8"/>
    <n v="980"/>
    <x v="13"/>
  </r>
  <r>
    <n v="357"/>
    <x v="335"/>
    <x v="333"/>
    <s v="Mr"/>
    <s v="M"/>
    <n v="60"/>
    <s v="Bedford Row"/>
    <x v="314"/>
    <x v="41"/>
    <d v="2020-12-01T00:00:00"/>
    <x v="2"/>
    <x v="8"/>
    <n v="18"/>
    <x v="4"/>
    <x v="4"/>
    <n v="324"/>
    <x v="304"/>
  </r>
  <r>
    <n v="358"/>
    <x v="336"/>
    <x v="334"/>
    <s v="Mr"/>
    <s v="M"/>
    <n v="30"/>
    <s v="Beech Hall"/>
    <x v="315"/>
    <x v="50"/>
    <d v="2022-10-31T00:00:00"/>
    <x v="0"/>
    <x v="1"/>
    <n v="101"/>
    <x v="0"/>
    <x v="0"/>
    <n v="2020"/>
    <x v="305"/>
  </r>
  <r>
    <n v="359"/>
    <x v="337"/>
    <x v="335"/>
    <s v="Mr"/>
    <s v="M"/>
    <n v="60"/>
    <s v="Beechcroft Road"/>
    <x v="316"/>
    <x v="2"/>
    <d v="2021-06-22T00:00:00"/>
    <x v="1"/>
    <x v="2"/>
    <n v="72"/>
    <x v="6"/>
    <x v="6"/>
    <n v="1728"/>
    <x v="249"/>
  </r>
  <r>
    <n v="360"/>
    <x v="290"/>
    <x v="336"/>
    <s v="Mr"/>
    <s v="M"/>
    <n v="30"/>
    <s v="Beechvale Close"/>
    <x v="14"/>
    <x v="2"/>
    <d v="2020-08-08T00:00:00"/>
    <x v="2"/>
    <x v="3"/>
    <n v="80"/>
    <x v="4"/>
    <x v="4"/>
    <n v="1440"/>
    <x v="75"/>
  </r>
  <r>
    <n v="361"/>
    <x v="338"/>
    <x v="196"/>
    <s v="Mrs"/>
    <s v="F"/>
    <n v="90"/>
    <s v="Beecroft Road"/>
    <x v="317"/>
    <x v="27"/>
    <d v="2022-09-09T00:00:00"/>
    <x v="0"/>
    <x v="9"/>
    <n v="27"/>
    <x v="4"/>
    <x v="4"/>
    <n v="486"/>
    <x v="306"/>
  </r>
  <r>
    <n v="362"/>
    <x v="339"/>
    <x v="337"/>
    <s v="Miss"/>
    <s v="F"/>
    <n v="30"/>
    <s v="Belgrave Cottages"/>
    <x v="318"/>
    <x v="2"/>
    <d v="2022-12-25T00:00:00"/>
    <x v="0"/>
    <x v="8"/>
    <n v="61"/>
    <x v="7"/>
    <x v="7"/>
    <n v="1220"/>
    <x v="307"/>
  </r>
  <r>
    <n v="363"/>
    <x v="340"/>
    <x v="338"/>
    <s v="Mr"/>
    <s v="M"/>
    <n v="90"/>
    <s v="Belgrave Gardens"/>
    <x v="319"/>
    <x v="2"/>
    <d v="2022-03-26T00:00:00"/>
    <x v="0"/>
    <x v="5"/>
    <n v="54"/>
    <x v="7"/>
    <x v="7"/>
    <n v="1080"/>
    <x v="308"/>
  </r>
  <r>
    <n v="364"/>
    <x v="341"/>
    <x v="339"/>
    <s v="Miss"/>
    <s v="F"/>
    <n v="90"/>
    <s v="Belgrave Road"/>
    <x v="320"/>
    <x v="51"/>
    <d v="2022-05-17T00:00:00"/>
    <x v="0"/>
    <x v="11"/>
    <n v="26"/>
    <x v="8"/>
    <x v="8"/>
    <n v="520"/>
    <x v="111"/>
  </r>
  <r>
    <n v="365"/>
    <x v="342"/>
    <x v="48"/>
    <s v="Mr"/>
    <s v="M"/>
    <n v="90"/>
    <s v="Belgrove Houses"/>
    <x v="184"/>
    <x v="11"/>
    <d v="2022-02-25T00:00:00"/>
    <x v="0"/>
    <x v="10"/>
    <n v="54"/>
    <x v="3"/>
    <x v="3"/>
    <n v="1296"/>
    <x v="309"/>
  </r>
  <r>
    <n v="366"/>
    <x v="343"/>
    <x v="340"/>
    <s v="Ms"/>
    <s v="F"/>
    <n v="60"/>
    <s v="Bell Gardens"/>
    <x v="321"/>
    <x v="44"/>
    <d v="2022-05-29T00:00:00"/>
    <x v="0"/>
    <x v="11"/>
    <n v="22"/>
    <x v="3"/>
    <x v="3"/>
    <n v="528"/>
    <x v="310"/>
  </r>
  <r>
    <n v="367"/>
    <x v="344"/>
    <x v="341"/>
    <s v="Mr"/>
    <s v="M"/>
    <n v="30"/>
    <s v="Bell Wharf"/>
    <x v="322"/>
    <x v="52"/>
    <d v="2021-12-16T00:00:00"/>
    <x v="1"/>
    <x v="8"/>
    <n v="7"/>
    <x v="4"/>
    <x v="4"/>
    <n v="126"/>
    <x v="311"/>
  </r>
  <r>
    <n v="368"/>
    <x v="345"/>
    <x v="342"/>
    <s v="Miss"/>
    <s v="F"/>
    <n v="60"/>
    <s v="Bell Yard"/>
    <x v="323"/>
    <x v="53"/>
    <d v="2022-03-13T00:00:00"/>
    <x v="0"/>
    <x v="5"/>
    <n v="48"/>
    <x v="1"/>
    <x v="1"/>
    <n v="1152"/>
    <x v="312"/>
  </r>
  <r>
    <n v="369"/>
    <x v="346"/>
    <x v="155"/>
    <s v="Miss"/>
    <s v="F"/>
    <n v="90"/>
    <s v="Bellair"/>
    <x v="324"/>
    <x v="17"/>
    <d v="2020-03-09T00:00:00"/>
    <x v="2"/>
    <x v="5"/>
    <n v="57"/>
    <x v="9"/>
    <x v="9"/>
    <n v="1368"/>
    <x v="313"/>
  </r>
  <r>
    <n v="370"/>
    <x v="347"/>
    <x v="343"/>
    <s v="Mr"/>
    <s v="M"/>
    <n v="90"/>
    <s v="Bellendon Road"/>
    <x v="148"/>
    <x v="2"/>
    <d v="2020-10-31T00:00:00"/>
    <x v="2"/>
    <x v="1"/>
    <n v="75"/>
    <x v="3"/>
    <x v="3"/>
    <n v="1800"/>
    <x v="314"/>
  </r>
  <r>
    <n v="371"/>
    <x v="236"/>
    <x v="344"/>
    <s v="Mr"/>
    <s v="M"/>
    <n v="60"/>
    <s v="Bellendon Villas"/>
    <x v="325"/>
    <x v="0"/>
    <d v="2022-05-26T00:00:00"/>
    <x v="0"/>
    <x v="11"/>
    <n v="37"/>
    <x v="8"/>
    <x v="8"/>
    <n v="740"/>
    <x v="99"/>
  </r>
  <r>
    <n v="372"/>
    <x v="348"/>
    <x v="345"/>
    <s v="Mr"/>
    <s v="M"/>
    <n v="90"/>
    <s v="Bellevue Mews"/>
    <x v="222"/>
    <x v="2"/>
    <d v="2022-03-24T00:00:00"/>
    <x v="0"/>
    <x v="5"/>
    <n v="32"/>
    <x v="0"/>
    <x v="0"/>
    <n v="640"/>
    <x v="315"/>
  </r>
  <r>
    <n v="373"/>
    <x v="349"/>
    <x v="346"/>
    <s v="Mr"/>
    <s v="M"/>
    <n v="90"/>
    <s v="Bellevue Road"/>
    <x v="308"/>
    <x v="2"/>
    <d v="2021-07-11T00:00:00"/>
    <x v="1"/>
    <x v="0"/>
    <n v="22"/>
    <x v="6"/>
    <x v="6"/>
    <n v="528"/>
    <x v="316"/>
  </r>
  <r>
    <n v="374"/>
    <x v="350"/>
    <x v="347"/>
    <s v="Mr"/>
    <s v="M"/>
    <n v="60"/>
    <s v="Bellgate Mews"/>
    <x v="326"/>
    <x v="3"/>
    <d v="2020-02-24T00:00:00"/>
    <x v="2"/>
    <x v="10"/>
    <n v="10"/>
    <x v="2"/>
    <x v="2"/>
    <n v="170"/>
    <x v="317"/>
  </r>
  <r>
    <n v="375"/>
    <x v="351"/>
    <x v="348"/>
    <s v="Mrs"/>
    <s v="F"/>
    <n v="60"/>
    <s v="Bellina Mews"/>
    <x v="327"/>
    <x v="54"/>
    <d v="2021-04-19T00:00:00"/>
    <x v="1"/>
    <x v="4"/>
    <n v="2"/>
    <x v="1"/>
    <x v="1"/>
    <n v="48"/>
    <x v="318"/>
  </r>
  <r>
    <n v="376"/>
    <x v="352"/>
    <x v="349"/>
    <s v="Mrs"/>
    <s v="F"/>
    <n v="60"/>
    <s v="Belltrees Grove"/>
    <x v="328"/>
    <x v="55"/>
    <d v="2021-09-08T00:00:00"/>
    <x v="1"/>
    <x v="9"/>
    <n v="12"/>
    <x v="6"/>
    <x v="6"/>
    <n v="288"/>
    <x v="319"/>
  </r>
  <r>
    <n v="377"/>
    <x v="353"/>
    <x v="350"/>
    <s v="Mrs"/>
    <s v="F"/>
    <n v="30"/>
    <s v="Belltrees Grove"/>
    <x v="329"/>
    <x v="2"/>
    <d v="2022-05-03T00:00:00"/>
    <x v="0"/>
    <x v="11"/>
    <n v="42"/>
    <x v="8"/>
    <x v="8"/>
    <n v="840"/>
    <x v="289"/>
  </r>
  <r>
    <n v="378"/>
    <x v="354"/>
    <x v="351"/>
    <s v="Mrs"/>
    <s v="F"/>
    <n v="30"/>
    <s v="Belmont Grove"/>
    <x v="330"/>
    <x v="21"/>
    <d v="2022-05-20T00:00:00"/>
    <x v="0"/>
    <x v="11"/>
    <n v="2"/>
    <x v="5"/>
    <x v="5"/>
    <n v="48"/>
    <x v="320"/>
  </r>
  <r>
    <n v="379"/>
    <x v="355"/>
    <x v="352"/>
    <s v="Miss"/>
    <s v="F"/>
    <n v="90"/>
    <s v="Belmore Lane"/>
    <x v="331"/>
    <x v="2"/>
    <d v="2021-07-09T00:00:00"/>
    <x v="1"/>
    <x v="0"/>
    <n v="83"/>
    <x v="3"/>
    <x v="3"/>
    <n v="1992"/>
    <x v="321"/>
  </r>
  <r>
    <n v="380"/>
    <x v="356"/>
    <x v="353"/>
    <s v="Miss"/>
    <s v="F"/>
    <n v="60"/>
    <s v="Belsize Crescent"/>
    <x v="166"/>
    <x v="3"/>
    <d v="2020-06-29T00:00:00"/>
    <x v="2"/>
    <x v="2"/>
    <n v="36"/>
    <x v="4"/>
    <x v="4"/>
    <n v="648"/>
    <x v="150"/>
  </r>
  <r>
    <n v="381"/>
    <x v="357"/>
    <x v="167"/>
    <s v="Mr"/>
    <s v="M"/>
    <n v="90"/>
    <s v="Belvedere Court"/>
    <x v="276"/>
    <x v="3"/>
    <d v="2020-12-24T00:00:00"/>
    <x v="2"/>
    <x v="8"/>
    <n v="12"/>
    <x v="1"/>
    <x v="1"/>
    <n v="288"/>
    <x v="322"/>
  </r>
  <r>
    <n v="382"/>
    <x v="358"/>
    <x v="354"/>
    <s v="Mr"/>
    <s v="M"/>
    <n v="30"/>
    <s v="Belvedere Grove"/>
    <x v="177"/>
    <x v="2"/>
    <d v="2022-11-11T00:00:00"/>
    <x v="0"/>
    <x v="7"/>
    <n v="98"/>
    <x v="7"/>
    <x v="7"/>
    <n v="1960"/>
    <x v="323"/>
  </r>
  <r>
    <n v="383"/>
    <x v="359"/>
    <x v="107"/>
    <s v="Dr"/>
    <s v="M"/>
    <n v="60"/>
    <s v="Belvedere Road"/>
    <x v="332"/>
    <x v="2"/>
    <d v="2022-10-08T00:00:00"/>
    <x v="0"/>
    <x v="1"/>
    <n v="87"/>
    <x v="8"/>
    <x v="8"/>
    <n v="1740"/>
    <x v="324"/>
  </r>
  <r>
    <n v="384"/>
    <x v="360"/>
    <x v="142"/>
    <s v="Miss"/>
    <s v="F"/>
    <n v="60"/>
    <s v="Belvidere Pl"/>
    <x v="333"/>
    <x v="2"/>
    <d v="2020-06-01T00:00:00"/>
    <x v="2"/>
    <x v="2"/>
    <n v="36"/>
    <x v="0"/>
    <x v="0"/>
    <n v="720"/>
    <x v="325"/>
  </r>
  <r>
    <n v="385"/>
    <x v="361"/>
    <x v="355"/>
    <s v="Mr"/>
    <s v="M"/>
    <n v="90"/>
    <s v="Bemerton Terrace"/>
    <x v="334"/>
    <x v="1"/>
    <d v="2021-12-07T00:00:00"/>
    <x v="1"/>
    <x v="8"/>
    <n v="79"/>
    <x v="8"/>
    <x v="8"/>
    <n v="1580"/>
    <x v="326"/>
  </r>
  <r>
    <n v="386"/>
    <x v="362"/>
    <x v="187"/>
    <s v="Mrs"/>
    <s v="F"/>
    <n v="60"/>
    <s v="Ben Jonson"/>
    <x v="335"/>
    <x v="11"/>
    <d v="2020-07-07T00:00:00"/>
    <x v="2"/>
    <x v="0"/>
    <n v="66"/>
    <x v="8"/>
    <x v="8"/>
    <n v="1320"/>
    <x v="241"/>
  </r>
  <r>
    <n v="387"/>
    <x v="363"/>
    <x v="356"/>
    <s v="Miss"/>
    <s v="F"/>
    <n v="30"/>
    <s v="Bendmore Avenue"/>
    <x v="336"/>
    <x v="2"/>
    <d v="2020-07-12T00:00:00"/>
    <x v="2"/>
    <x v="0"/>
    <n v="44"/>
    <x v="8"/>
    <x v="8"/>
    <n v="880"/>
    <x v="327"/>
  </r>
  <r>
    <n v="388"/>
    <x v="364"/>
    <x v="357"/>
    <s v="Mrs"/>
    <s v="F"/>
    <n v="90"/>
    <s v="Benhams Place"/>
    <x v="337"/>
    <x v="2"/>
    <d v="2021-12-10T00:00:00"/>
    <x v="1"/>
    <x v="8"/>
    <n v="14"/>
    <x v="2"/>
    <x v="2"/>
    <n v="238"/>
    <x v="328"/>
  </r>
  <r>
    <n v="389"/>
    <x v="365"/>
    <x v="77"/>
    <s v="Miss"/>
    <s v="F"/>
    <n v="60"/>
    <s v="Benhill Road"/>
    <x v="338"/>
    <x v="15"/>
    <d v="2020-02-15T00:00:00"/>
    <x v="2"/>
    <x v="10"/>
    <n v="58"/>
    <x v="3"/>
    <x v="3"/>
    <n v="1392"/>
    <x v="102"/>
  </r>
  <r>
    <n v="390"/>
    <x v="366"/>
    <x v="358"/>
    <s v="Ms"/>
    <s v="F"/>
    <n v="60"/>
    <s v="Benjamin Close"/>
    <x v="339"/>
    <x v="2"/>
    <d v="2021-12-29T00:00:00"/>
    <x v="1"/>
    <x v="8"/>
    <n v="42"/>
    <x v="5"/>
    <x v="5"/>
    <n v="1008"/>
    <x v="275"/>
  </r>
  <r>
    <n v="391"/>
    <x v="367"/>
    <x v="359"/>
    <s v="Miss"/>
    <s v="F"/>
    <n v="90"/>
    <s v="Bennets Court"/>
    <x v="340"/>
    <x v="2"/>
    <d v="2022-08-01T00:00:00"/>
    <x v="0"/>
    <x v="3"/>
    <n v="20"/>
    <x v="1"/>
    <x v="1"/>
    <n v="480"/>
    <x v="329"/>
  </r>
  <r>
    <n v="392"/>
    <x v="323"/>
    <x v="360"/>
    <s v="Mr"/>
    <s v="M"/>
    <n v="60"/>
    <s v="Bennets Place"/>
    <x v="341"/>
    <x v="21"/>
    <d v="2022-03-22T00:00:00"/>
    <x v="0"/>
    <x v="5"/>
    <n v="77"/>
    <x v="3"/>
    <x v="3"/>
    <n v="1848"/>
    <x v="330"/>
  </r>
  <r>
    <n v="393"/>
    <x v="368"/>
    <x v="361"/>
    <s v="Mrs"/>
    <s v="F"/>
    <n v="90"/>
    <s v="Bennett Park"/>
    <x v="342"/>
    <x v="2"/>
    <d v="2021-12-27T00:00:00"/>
    <x v="1"/>
    <x v="8"/>
    <n v="20"/>
    <x v="9"/>
    <x v="9"/>
    <n v="480"/>
    <x v="331"/>
  </r>
  <r>
    <n v="394"/>
    <x v="369"/>
    <x v="362"/>
    <s v="Ms"/>
    <s v="F"/>
    <n v="60"/>
    <s v="Bennett Road"/>
    <x v="212"/>
    <x v="8"/>
    <d v="2021-06-22T00:00:00"/>
    <x v="1"/>
    <x v="2"/>
    <n v="40"/>
    <x v="3"/>
    <x v="3"/>
    <n v="960"/>
    <x v="155"/>
  </r>
  <r>
    <n v="395"/>
    <x v="370"/>
    <x v="363"/>
    <s v="Mrs"/>
    <s v="F"/>
    <n v="90"/>
    <s v="Bentinck Mews"/>
    <x v="343"/>
    <x v="56"/>
    <d v="2021-09-28T00:00:00"/>
    <x v="1"/>
    <x v="9"/>
    <n v="21"/>
    <x v="6"/>
    <x v="6"/>
    <n v="504"/>
    <x v="332"/>
  </r>
  <r>
    <n v="396"/>
    <x v="371"/>
    <x v="364"/>
    <s v="Miss"/>
    <s v="F"/>
    <n v="60"/>
    <s v="Bentons Lane"/>
    <x v="237"/>
    <x v="35"/>
    <d v="2020-05-08T00:00:00"/>
    <x v="2"/>
    <x v="11"/>
    <n v="63"/>
    <x v="1"/>
    <x v="1"/>
    <n v="1512"/>
    <x v="333"/>
  </r>
  <r>
    <n v="397"/>
    <x v="372"/>
    <x v="365"/>
    <s v="Mr"/>
    <s v="M"/>
    <n v="90"/>
    <s v="Benworth Street"/>
    <x v="344"/>
    <x v="46"/>
    <d v="2022-11-22T00:00:00"/>
    <x v="0"/>
    <x v="7"/>
    <n v="65"/>
    <x v="8"/>
    <x v="8"/>
    <n v="1300"/>
    <x v="334"/>
  </r>
  <r>
    <n v="398"/>
    <x v="373"/>
    <x v="366"/>
    <s v="Mrs"/>
    <s v="F"/>
    <n v="60"/>
    <s v="Beresford Terrace"/>
    <x v="142"/>
    <x v="21"/>
    <d v="2020-11-30T00:00:00"/>
    <x v="2"/>
    <x v="7"/>
    <n v="71"/>
    <x v="3"/>
    <x v="3"/>
    <n v="1704"/>
    <x v="335"/>
  </r>
  <r>
    <n v="399"/>
    <x v="374"/>
    <x v="367"/>
    <s v="Mrs"/>
    <s v="F"/>
    <n v="30"/>
    <s v="Berkley Square"/>
    <x v="142"/>
    <x v="21"/>
    <d v="2021-02-16T00:00:00"/>
    <x v="1"/>
    <x v="10"/>
    <n v="27"/>
    <x v="0"/>
    <x v="0"/>
    <n v="540"/>
    <x v="336"/>
  </r>
  <r>
    <n v="400"/>
    <x v="375"/>
    <x v="368"/>
    <s v="Miss"/>
    <s v="F"/>
    <n v="90"/>
    <s v="Bermans Way"/>
    <x v="194"/>
    <x v="2"/>
    <d v="2022-01-28T00:00:00"/>
    <x v="0"/>
    <x v="6"/>
    <n v="19"/>
    <x v="2"/>
    <x v="2"/>
    <n v="323"/>
    <x v="337"/>
  </r>
  <r>
    <n v="401"/>
    <x v="100"/>
    <x v="369"/>
    <s v="Mr"/>
    <s v="M"/>
    <n v="90"/>
    <s v="Bermondsey Buildings"/>
    <x v="345"/>
    <x v="2"/>
    <d v="2020-06-15T00:00:00"/>
    <x v="2"/>
    <x v="2"/>
    <n v="30"/>
    <x v="5"/>
    <x v="5"/>
    <n v="720"/>
    <x v="231"/>
  </r>
  <r>
    <n v="402"/>
    <x v="376"/>
    <x v="292"/>
    <s v="Mrs"/>
    <s v="F"/>
    <n v="30"/>
    <s v="Bermondsey Trading"/>
    <x v="346"/>
    <x v="10"/>
    <d v="2022-07-24T00:00:00"/>
    <x v="0"/>
    <x v="0"/>
    <n v="41"/>
    <x v="4"/>
    <x v="4"/>
    <n v="738"/>
    <x v="338"/>
  </r>
  <r>
    <n v="403"/>
    <x v="377"/>
    <x v="370"/>
    <s v="Mr"/>
    <s v="M"/>
    <n v="30"/>
    <s v="Bermuda Street"/>
    <x v="347"/>
    <x v="57"/>
    <d v="2020-07-09T00:00:00"/>
    <x v="2"/>
    <x v="0"/>
    <n v="38"/>
    <x v="9"/>
    <x v="9"/>
    <n v="912"/>
    <x v="107"/>
  </r>
  <r>
    <n v="404"/>
    <x v="378"/>
    <x v="371"/>
    <s v="Mrs"/>
    <s v="F"/>
    <n v="30"/>
    <s v="Bernard Street"/>
    <x v="243"/>
    <x v="16"/>
    <d v="2022-01-31T00:00:00"/>
    <x v="0"/>
    <x v="6"/>
    <n v="31"/>
    <x v="2"/>
    <x v="2"/>
    <n v="527"/>
    <x v="224"/>
  </r>
  <r>
    <n v="405"/>
    <x v="379"/>
    <x v="372"/>
    <s v="Ms"/>
    <s v="F"/>
    <n v="30"/>
    <s v="Berners Mews"/>
    <x v="348"/>
    <x v="16"/>
    <d v="2020-04-29T00:00:00"/>
    <x v="2"/>
    <x v="4"/>
    <n v="5"/>
    <x v="8"/>
    <x v="8"/>
    <n v="100"/>
    <x v="71"/>
  </r>
  <r>
    <n v="406"/>
    <x v="380"/>
    <x v="373"/>
    <s v="Mrs"/>
    <s v="F"/>
    <n v="30"/>
    <s v="Berners Place"/>
    <x v="349"/>
    <x v="2"/>
    <d v="2020-06-15T00:00:00"/>
    <x v="2"/>
    <x v="2"/>
    <n v="37"/>
    <x v="6"/>
    <x v="6"/>
    <n v="888"/>
    <x v="292"/>
  </r>
  <r>
    <n v="407"/>
    <x v="360"/>
    <x v="374"/>
    <s v="Mrs"/>
    <s v="F"/>
    <n v="90"/>
    <s v="Berry Place"/>
    <x v="350"/>
    <x v="2"/>
    <d v="2021-01-27T00:00:00"/>
    <x v="1"/>
    <x v="6"/>
    <n v="66"/>
    <x v="0"/>
    <x v="0"/>
    <n v="1320"/>
    <x v="339"/>
  </r>
  <r>
    <n v="408"/>
    <x v="381"/>
    <x v="375"/>
    <s v="Mrs"/>
    <s v="F"/>
    <n v="90"/>
    <s v="Berthon Street"/>
    <x v="351"/>
    <x v="16"/>
    <d v="2021-07-26T00:00:00"/>
    <x v="1"/>
    <x v="0"/>
    <n v="32"/>
    <x v="0"/>
    <x v="0"/>
    <n v="640"/>
    <x v="315"/>
  </r>
  <r>
    <n v="409"/>
    <x v="382"/>
    <x v="376"/>
    <s v="Mrs"/>
    <s v="F"/>
    <n v="60"/>
    <s v="Berthons Gardens"/>
    <x v="352"/>
    <x v="2"/>
    <d v="2021-09-11T00:00:00"/>
    <x v="1"/>
    <x v="9"/>
    <n v="25"/>
    <x v="3"/>
    <x v="3"/>
    <n v="600"/>
    <x v="340"/>
  </r>
  <r>
    <n v="410"/>
    <x v="305"/>
    <x v="377"/>
    <s v="Miss"/>
    <s v="F"/>
    <n v="30"/>
    <s v="Bertram Street"/>
    <x v="353"/>
    <x v="2"/>
    <d v="2021-06-06T00:00:00"/>
    <x v="1"/>
    <x v="2"/>
    <n v="63"/>
    <x v="2"/>
    <x v="2"/>
    <n v="1071"/>
    <x v="341"/>
  </r>
  <r>
    <n v="411"/>
    <x v="383"/>
    <x v="378"/>
    <s v="Mrs"/>
    <s v="F"/>
    <n v="90"/>
    <s v="Beryl Road"/>
    <x v="354"/>
    <x v="2"/>
    <d v="2022-10-30T00:00:00"/>
    <x v="0"/>
    <x v="1"/>
    <n v="99"/>
    <x v="4"/>
    <x v="4"/>
    <n v="1782"/>
    <x v="342"/>
  </r>
  <r>
    <n v="412"/>
    <x v="384"/>
    <x v="379"/>
    <s v="Mr"/>
    <s v="M"/>
    <n v="60"/>
    <s v="Besant Road"/>
    <x v="355"/>
    <x v="2"/>
    <d v="2020-09-19T00:00:00"/>
    <x v="2"/>
    <x v="9"/>
    <n v="62"/>
    <x v="6"/>
    <x v="6"/>
    <n v="1488"/>
    <x v="343"/>
  </r>
  <r>
    <n v="413"/>
    <x v="385"/>
    <x v="235"/>
    <s v="Mr"/>
    <s v="M"/>
    <n v="90"/>
    <s v="Besant Way"/>
    <x v="356"/>
    <x v="20"/>
    <d v="2021-02-09T00:00:00"/>
    <x v="1"/>
    <x v="10"/>
    <n v="85"/>
    <x v="7"/>
    <x v="7"/>
    <n v="1700"/>
    <x v="344"/>
  </r>
  <r>
    <n v="414"/>
    <x v="386"/>
    <x v="380"/>
    <s v="Mr"/>
    <s v="M"/>
    <n v="60"/>
    <s v="Besant Way"/>
    <x v="357"/>
    <x v="2"/>
    <d v="2020-11-05T00:00:00"/>
    <x v="2"/>
    <x v="7"/>
    <n v="10"/>
    <x v="2"/>
    <x v="2"/>
    <n v="170"/>
    <x v="317"/>
  </r>
  <r>
    <n v="415"/>
    <x v="387"/>
    <x v="381"/>
    <s v="Mrs"/>
    <s v="F"/>
    <n v="60"/>
    <s v="Besley Street"/>
    <x v="358"/>
    <x v="58"/>
    <d v="2020-04-29T00:00:00"/>
    <x v="2"/>
    <x v="4"/>
    <n v="65"/>
    <x v="0"/>
    <x v="0"/>
    <n v="1300"/>
    <x v="345"/>
  </r>
  <r>
    <n v="416"/>
    <x v="74"/>
    <x v="382"/>
    <s v="Mr"/>
    <s v="M"/>
    <n v="90"/>
    <s v="Bessborough Gardens"/>
    <x v="359"/>
    <x v="13"/>
    <d v="2021-12-05T00:00:00"/>
    <x v="1"/>
    <x v="8"/>
    <n v="82"/>
    <x v="8"/>
    <x v="8"/>
    <n v="1640"/>
    <x v="263"/>
  </r>
  <r>
    <n v="417"/>
    <x v="388"/>
    <x v="383"/>
    <s v="Mr"/>
    <s v="M"/>
    <n v="60"/>
    <s v="Beswick Mews"/>
    <x v="360"/>
    <x v="2"/>
    <d v="2022-03-02T00:00:00"/>
    <x v="0"/>
    <x v="5"/>
    <n v="21"/>
    <x v="4"/>
    <x v="4"/>
    <n v="378"/>
    <x v="346"/>
  </r>
  <r>
    <n v="418"/>
    <x v="389"/>
    <x v="384"/>
    <s v="Miss"/>
    <s v="F"/>
    <n v="60"/>
    <s v="Betstyle Road"/>
    <x v="361"/>
    <x v="2"/>
    <d v="2022-02-05T00:00:00"/>
    <x v="0"/>
    <x v="10"/>
    <n v="19"/>
    <x v="0"/>
    <x v="0"/>
    <n v="380"/>
    <x v="44"/>
  </r>
  <r>
    <n v="419"/>
    <x v="390"/>
    <x v="157"/>
    <s v="Mr"/>
    <s v="M"/>
    <n v="60"/>
    <s v="Bettridge Road"/>
    <x v="362"/>
    <x v="2"/>
    <d v="2022-05-13T00:00:00"/>
    <x v="0"/>
    <x v="11"/>
    <n v="76"/>
    <x v="2"/>
    <x v="2"/>
    <n v="1292"/>
    <x v="347"/>
  </r>
  <r>
    <n v="420"/>
    <x v="31"/>
    <x v="385"/>
    <s v="Mr"/>
    <s v="M"/>
    <n v="90"/>
    <s v="Beulah Hill"/>
    <x v="169"/>
    <x v="1"/>
    <d v="2021-09-22T00:00:00"/>
    <x v="1"/>
    <x v="9"/>
    <n v="41"/>
    <x v="9"/>
    <x v="9"/>
    <n v="984"/>
    <x v="348"/>
  </r>
  <r>
    <n v="421"/>
    <x v="391"/>
    <x v="386"/>
    <s v="Mr"/>
    <s v="M"/>
    <n v="60"/>
    <s v="Beulah Place"/>
    <x v="21"/>
    <x v="2"/>
    <d v="2022-12-16T00:00:00"/>
    <x v="0"/>
    <x v="8"/>
    <n v="42"/>
    <x v="7"/>
    <x v="7"/>
    <n v="840"/>
    <x v="349"/>
  </r>
  <r>
    <n v="422"/>
    <x v="392"/>
    <x v="387"/>
    <s v="Mr"/>
    <s v="M"/>
    <n v="30"/>
    <s v="Bevan Road"/>
    <x v="108"/>
    <x v="2"/>
    <d v="2022-03-25T00:00:00"/>
    <x v="0"/>
    <x v="5"/>
    <n v="38"/>
    <x v="6"/>
    <x v="6"/>
    <n v="912"/>
    <x v="350"/>
  </r>
  <r>
    <n v="423"/>
    <x v="393"/>
    <x v="388"/>
    <s v="Miss"/>
    <s v="F"/>
    <n v="30"/>
    <s v="Bevan Street"/>
    <x v="363"/>
    <x v="11"/>
    <d v="2021-05-27T00:00:00"/>
    <x v="1"/>
    <x v="11"/>
    <n v="87"/>
    <x v="9"/>
    <x v="9"/>
    <n v="2088"/>
    <x v="351"/>
  </r>
  <r>
    <n v="424"/>
    <x v="394"/>
    <x v="389"/>
    <s v="Ms"/>
    <s v="F"/>
    <n v="90"/>
    <s v="Beverley Gardens"/>
    <x v="364"/>
    <x v="26"/>
    <d v="2022-05-28T00:00:00"/>
    <x v="0"/>
    <x v="11"/>
    <n v="96"/>
    <x v="9"/>
    <x v="9"/>
    <n v="2304"/>
    <x v="352"/>
  </r>
  <r>
    <n v="425"/>
    <x v="395"/>
    <x v="390"/>
    <s v="Ms"/>
    <s v="F"/>
    <n v="30"/>
    <s v="Bevin Close"/>
    <x v="365"/>
    <x v="59"/>
    <d v="2021-08-17T00:00:00"/>
    <x v="1"/>
    <x v="3"/>
    <n v="79"/>
    <x v="8"/>
    <x v="8"/>
    <n v="1580"/>
    <x v="326"/>
  </r>
  <r>
    <n v="426"/>
    <x v="396"/>
    <x v="391"/>
    <s v="Dr"/>
    <s v="F"/>
    <n v="30"/>
    <s v="Bevis Marks"/>
    <x v="366"/>
    <x v="17"/>
    <d v="2020-09-28T00:00:00"/>
    <x v="2"/>
    <x v="9"/>
    <n v="78"/>
    <x v="9"/>
    <x v="9"/>
    <n v="1872"/>
    <x v="353"/>
  </r>
  <r>
    <n v="427"/>
    <x v="397"/>
    <x v="392"/>
    <s v="Mr"/>
    <s v="M"/>
    <n v="60"/>
    <s v="Bewdley Street"/>
    <x v="367"/>
    <x v="2"/>
    <d v="2022-07-18T00:00:00"/>
    <x v="0"/>
    <x v="0"/>
    <n v="23"/>
    <x v="2"/>
    <x v="2"/>
    <n v="391"/>
    <x v="354"/>
  </r>
  <r>
    <n v="428"/>
    <x v="398"/>
    <x v="393"/>
    <s v="Mrs"/>
    <s v="F"/>
    <n v="60"/>
    <s v="Bickley Road"/>
    <x v="368"/>
    <x v="2"/>
    <d v="2021-04-02T00:00:00"/>
    <x v="1"/>
    <x v="4"/>
    <n v="63"/>
    <x v="9"/>
    <x v="9"/>
    <n v="1512"/>
    <x v="355"/>
  </r>
  <r>
    <n v="429"/>
    <x v="399"/>
    <x v="394"/>
    <s v="Mrs"/>
    <s v="F"/>
    <n v="30"/>
    <s v="Bickley Row"/>
    <x v="229"/>
    <x v="14"/>
    <d v="2021-06-01T00:00:00"/>
    <x v="1"/>
    <x v="2"/>
    <n v="22"/>
    <x v="6"/>
    <x v="6"/>
    <n v="528"/>
    <x v="316"/>
  </r>
  <r>
    <n v="430"/>
    <x v="400"/>
    <x v="395"/>
    <s v="Mr"/>
    <s v="M"/>
    <n v="90"/>
    <s v="Biggin Hill"/>
    <x v="369"/>
    <x v="1"/>
    <d v="2020-03-01T00:00:00"/>
    <x v="2"/>
    <x v="5"/>
    <n v="57"/>
    <x v="3"/>
    <x v="3"/>
    <n v="1368"/>
    <x v="356"/>
  </r>
  <r>
    <n v="431"/>
    <x v="401"/>
    <x v="160"/>
    <s v="Mrs"/>
    <s v="F"/>
    <n v="90"/>
    <s v="Bignold Road"/>
    <x v="146"/>
    <x v="2"/>
    <d v="2022-11-20T00:00:00"/>
    <x v="0"/>
    <x v="7"/>
    <n v="49"/>
    <x v="0"/>
    <x v="0"/>
    <n v="980"/>
    <x v="357"/>
  </r>
  <r>
    <n v="432"/>
    <x v="402"/>
    <x v="396"/>
    <s v="Mr"/>
    <s v="M"/>
    <n v="60"/>
    <s v="Bingham Street"/>
    <x v="370"/>
    <x v="0"/>
    <d v="2020-07-09T00:00:00"/>
    <x v="2"/>
    <x v="0"/>
    <n v="50"/>
    <x v="9"/>
    <x v="9"/>
    <n v="1200"/>
    <x v="84"/>
  </r>
  <r>
    <n v="433"/>
    <x v="403"/>
    <x v="397"/>
    <s v="Miss"/>
    <s v="F"/>
    <n v="90"/>
    <s v="Bircham Path"/>
    <x v="153"/>
    <x v="29"/>
    <d v="2020-11-15T00:00:00"/>
    <x v="2"/>
    <x v="7"/>
    <n v="59"/>
    <x v="5"/>
    <x v="5"/>
    <n v="1416"/>
    <x v="358"/>
  </r>
  <r>
    <n v="434"/>
    <x v="404"/>
    <x v="398"/>
    <s v="Mr"/>
    <s v="M"/>
    <n v="60"/>
    <s v="Birchen Close"/>
    <x v="111"/>
    <x v="2"/>
    <d v="2020-10-02T00:00:00"/>
    <x v="2"/>
    <x v="1"/>
    <n v="16"/>
    <x v="2"/>
    <x v="2"/>
    <n v="272"/>
    <x v="359"/>
  </r>
  <r>
    <n v="435"/>
    <x v="405"/>
    <x v="399"/>
    <s v="Prof"/>
    <s v="M"/>
    <n v="90"/>
    <s v="Birches"/>
    <x v="371"/>
    <x v="18"/>
    <d v="2020-01-16T00:00:00"/>
    <x v="2"/>
    <x v="6"/>
    <n v="74"/>
    <x v="1"/>
    <x v="1"/>
    <n v="1776"/>
    <x v="360"/>
  </r>
  <r>
    <n v="436"/>
    <x v="406"/>
    <x v="400"/>
    <s v="Mrs"/>
    <s v="F"/>
    <n v="90"/>
    <s v="Birchfield Terrace"/>
    <x v="372"/>
    <x v="2"/>
    <d v="2022-03-10T00:00:00"/>
    <x v="0"/>
    <x v="5"/>
    <n v="95"/>
    <x v="3"/>
    <x v="3"/>
    <n v="2280"/>
    <x v="361"/>
  </r>
  <r>
    <n v="437"/>
    <x v="407"/>
    <x v="401"/>
    <s v="Miss"/>
    <s v="F"/>
    <n v="60"/>
    <s v="Birkbeck Place"/>
    <x v="344"/>
    <x v="46"/>
    <d v="2021-11-24T00:00:00"/>
    <x v="1"/>
    <x v="7"/>
    <n v="34"/>
    <x v="1"/>
    <x v="1"/>
    <n v="816"/>
    <x v="362"/>
  </r>
  <r>
    <n v="438"/>
    <x v="397"/>
    <x v="402"/>
    <s v="Mr"/>
    <s v="M"/>
    <n v="30"/>
    <s v="Birkbeck Place"/>
    <x v="326"/>
    <x v="3"/>
    <d v="2020-02-26T00:00:00"/>
    <x v="2"/>
    <x v="10"/>
    <n v="61"/>
    <x v="4"/>
    <x v="4"/>
    <n v="1098"/>
    <x v="363"/>
  </r>
  <r>
    <n v="439"/>
    <x v="408"/>
    <x v="403"/>
    <s v="Mr"/>
    <s v="M"/>
    <n v="30"/>
    <s v="Birkbeck Terrace"/>
    <x v="153"/>
    <x v="29"/>
    <d v="2021-12-20T00:00:00"/>
    <x v="1"/>
    <x v="8"/>
    <n v="36"/>
    <x v="5"/>
    <x v="5"/>
    <n v="864"/>
    <x v="236"/>
  </r>
  <r>
    <n v="440"/>
    <x v="409"/>
    <x v="404"/>
    <s v="Miss"/>
    <s v="F"/>
    <n v="60"/>
    <s v="Birkenhead Street"/>
    <x v="261"/>
    <x v="2"/>
    <d v="2021-02-12T00:00:00"/>
    <x v="1"/>
    <x v="10"/>
    <n v="50"/>
    <x v="7"/>
    <x v="7"/>
    <n v="1000"/>
    <x v="364"/>
  </r>
  <r>
    <n v="441"/>
    <x v="410"/>
    <x v="405"/>
    <s v="Mrs"/>
    <s v="F"/>
    <n v="30"/>
    <s v="Birse Crescent"/>
    <x v="373"/>
    <x v="11"/>
    <d v="2022-07-01T00:00:00"/>
    <x v="0"/>
    <x v="0"/>
    <n v="94"/>
    <x v="0"/>
    <x v="0"/>
    <n v="1880"/>
    <x v="365"/>
  </r>
  <r>
    <n v="442"/>
    <x v="411"/>
    <x v="406"/>
    <s v="Miss"/>
    <s v="F"/>
    <n v="90"/>
    <s v="Bisham Gardens"/>
    <x v="374"/>
    <x v="17"/>
    <d v="2020-01-22T00:00:00"/>
    <x v="2"/>
    <x v="6"/>
    <n v="64"/>
    <x v="1"/>
    <x v="1"/>
    <n v="1536"/>
    <x v="366"/>
  </r>
  <r>
    <n v="443"/>
    <x v="412"/>
    <x v="407"/>
    <s v="Mrs"/>
    <s v="F"/>
    <n v="60"/>
    <s v="Bishops Court"/>
    <x v="375"/>
    <x v="24"/>
    <d v="2021-02-19T00:00:00"/>
    <x v="1"/>
    <x v="10"/>
    <n v="84"/>
    <x v="9"/>
    <x v="9"/>
    <n v="2016"/>
    <x v="367"/>
  </r>
  <r>
    <n v="444"/>
    <x v="140"/>
    <x v="408"/>
    <s v="Mr"/>
    <s v="M"/>
    <n v="90"/>
    <s v="Bishops Head"/>
    <x v="376"/>
    <x v="3"/>
    <d v="2022-10-13T00:00:00"/>
    <x v="0"/>
    <x v="1"/>
    <n v="89"/>
    <x v="3"/>
    <x v="3"/>
    <n v="2136"/>
    <x v="204"/>
  </r>
  <r>
    <n v="445"/>
    <x v="413"/>
    <x v="409"/>
    <s v="Mrs"/>
    <s v="F"/>
    <n v="30"/>
    <s v="Bishops Mews"/>
    <x v="377"/>
    <x v="15"/>
    <d v="2020-10-01T00:00:00"/>
    <x v="2"/>
    <x v="1"/>
    <n v="3"/>
    <x v="4"/>
    <x v="4"/>
    <n v="54"/>
    <x v="368"/>
  </r>
  <r>
    <n v="446"/>
    <x v="414"/>
    <x v="139"/>
    <s v="Mrs"/>
    <s v="F"/>
    <n v="60"/>
    <s v="Bishopsgate Buildings"/>
    <x v="14"/>
    <x v="2"/>
    <d v="2020-07-01T00:00:00"/>
    <x v="2"/>
    <x v="0"/>
    <n v="67"/>
    <x v="0"/>
    <x v="0"/>
    <n v="1340"/>
    <x v="142"/>
  </r>
  <r>
    <n v="447"/>
    <x v="415"/>
    <x v="410"/>
    <s v="Miss"/>
    <s v="F"/>
    <n v="30"/>
    <s v="Bittacy Road"/>
    <x v="378"/>
    <x v="2"/>
    <d v="2022-09-25T00:00:00"/>
    <x v="0"/>
    <x v="9"/>
    <n v="72"/>
    <x v="9"/>
    <x v="9"/>
    <n v="1728"/>
    <x v="369"/>
  </r>
  <r>
    <n v="448"/>
    <x v="33"/>
    <x v="411"/>
    <s v="Mrs"/>
    <s v="F"/>
    <n v="30"/>
    <s v="Bittern Place"/>
    <x v="379"/>
    <x v="60"/>
    <d v="2022-08-02T00:00:00"/>
    <x v="0"/>
    <x v="3"/>
    <n v="4"/>
    <x v="5"/>
    <x v="5"/>
    <n v="96"/>
    <x v="260"/>
  </r>
  <r>
    <n v="449"/>
    <x v="416"/>
    <x v="172"/>
    <s v="Mr"/>
    <s v="M"/>
    <n v="30"/>
    <s v="Bix Court"/>
    <x v="182"/>
    <x v="32"/>
    <d v="2021-01-17T00:00:00"/>
    <x v="1"/>
    <x v="6"/>
    <n v="68"/>
    <x v="7"/>
    <x v="7"/>
    <n v="1360"/>
    <x v="370"/>
  </r>
  <r>
    <n v="450"/>
    <x v="417"/>
    <x v="412"/>
    <s v="Mrs"/>
    <s v="F"/>
    <n v="30"/>
    <s v="Black Eagle"/>
    <x v="380"/>
    <x v="2"/>
    <d v="2020-04-14T00:00:00"/>
    <x v="2"/>
    <x v="4"/>
    <n v="52"/>
    <x v="8"/>
    <x v="8"/>
    <n v="1040"/>
    <x v="371"/>
  </r>
  <r>
    <n v="451"/>
    <x v="418"/>
    <x v="413"/>
    <s v="Mrs"/>
    <s v="F"/>
    <n v="90"/>
    <s v="Black Moor"/>
    <x v="381"/>
    <x v="61"/>
    <d v="2022-10-31T00:00:00"/>
    <x v="0"/>
    <x v="1"/>
    <n v="64"/>
    <x v="5"/>
    <x v="5"/>
    <n v="1536"/>
    <x v="372"/>
  </r>
  <r>
    <n v="452"/>
    <x v="419"/>
    <x v="414"/>
    <s v="Mrs"/>
    <s v="F"/>
    <n v="60"/>
    <s v="Black Moor"/>
    <x v="382"/>
    <x v="21"/>
    <d v="2022-01-01T00:00:00"/>
    <x v="0"/>
    <x v="6"/>
    <n v="5"/>
    <x v="1"/>
    <x v="1"/>
    <n v="120"/>
    <x v="373"/>
  </r>
  <r>
    <n v="453"/>
    <x v="420"/>
    <x v="415"/>
    <s v="Mr"/>
    <s v="M"/>
    <n v="30"/>
    <s v="Black Prince"/>
    <x v="383"/>
    <x v="2"/>
    <d v="2022-05-20T00:00:00"/>
    <x v="0"/>
    <x v="11"/>
    <n v="102"/>
    <x v="7"/>
    <x v="7"/>
    <n v="2040"/>
    <x v="374"/>
  </r>
  <r>
    <n v="454"/>
    <x v="421"/>
    <x v="1"/>
    <s v="Mrs"/>
    <s v="F"/>
    <n v="90"/>
    <s v="Blackheath Rise"/>
    <x v="384"/>
    <x v="1"/>
    <d v="2022-11-19T00:00:00"/>
    <x v="0"/>
    <x v="7"/>
    <n v="50"/>
    <x v="2"/>
    <x v="2"/>
    <n v="850"/>
    <x v="301"/>
  </r>
  <r>
    <n v="455"/>
    <x v="422"/>
    <x v="416"/>
    <s v="Mr"/>
    <s v="M"/>
    <n v="30"/>
    <s v="Blackheath Rise"/>
    <x v="385"/>
    <x v="21"/>
    <d v="2022-10-23T00:00:00"/>
    <x v="0"/>
    <x v="1"/>
    <n v="68"/>
    <x v="7"/>
    <x v="7"/>
    <n v="1360"/>
    <x v="370"/>
  </r>
  <r>
    <n v="456"/>
    <x v="423"/>
    <x v="417"/>
    <s v="Mrs"/>
    <s v="F"/>
    <n v="60"/>
    <s v="Blackhorse Place"/>
    <x v="386"/>
    <x v="3"/>
    <d v="2020-11-30T00:00:00"/>
    <x v="2"/>
    <x v="7"/>
    <n v="63"/>
    <x v="6"/>
    <x v="6"/>
    <n v="1512"/>
    <x v="375"/>
  </r>
  <r>
    <n v="457"/>
    <x v="280"/>
    <x v="418"/>
    <s v="Mr"/>
    <s v="M"/>
    <n v="60"/>
    <s v="Blackhorse Road"/>
    <x v="387"/>
    <x v="11"/>
    <d v="2020-02-28T00:00:00"/>
    <x v="2"/>
    <x v="10"/>
    <n v="11"/>
    <x v="9"/>
    <x v="9"/>
    <n v="264"/>
    <x v="376"/>
  </r>
  <r>
    <n v="458"/>
    <x v="424"/>
    <x v="419"/>
    <s v="Mr"/>
    <s v="M"/>
    <n v="90"/>
    <s v="Blackhorse Square"/>
    <x v="388"/>
    <x v="2"/>
    <d v="2021-12-02T00:00:00"/>
    <x v="1"/>
    <x v="8"/>
    <n v="11"/>
    <x v="6"/>
    <x v="6"/>
    <n v="264"/>
    <x v="377"/>
  </r>
  <r>
    <n v="459"/>
    <x v="425"/>
    <x v="420"/>
    <s v="Mr"/>
    <s v="M"/>
    <n v="30"/>
    <s v="Blackmans Court"/>
    <x v="389"/>
    <x v="16"/>
    <d v="2020-08-12T00:00:00"/>
    <x v="2"/>
    <x v="3"/>
    <n v="60"/>
    <x v="0"/>
    <x v="0"/>
    <n v="1200"/>
    <x v="378"/>
  </r>
  <r>
    <n v="460"/>
    <x v="426"/>
    <x v="421"/>
    <s v="Mrs"/>
    <s v="F"/>
    <n v="30"/>
    <s v="Blackman'S Crt"/>
    <x v="13"/>
    <x v="9"/>
    <d v="2020-05-18T00:00:00"/>
    <x v="2"/>
    <x v="11"/>
    <n v="37"/>
    <x v="8"/>
    <x v="8"/>
    <n v="740"/>
    <x v="99"/>
  </r>
  <r>
    <n v="461"/>
    <x v="272"/>
    <x v="422"/>
    <s v="Mr"/>
    <s v="M"/>
    <n v="90"/>
    <s v="Blackpool Road"/>
    <x v="323"/>
    <x v="53"/>
    <d v="2020-03-17T00:00:00"/>
    <x v="2"/>
    <x v="5"/>
    <n v="79"/>
    <x v="4"/>
    <x v="4"/>
    <n v="1422"/>
    <x v="5"/>
  </r>
  <r>
    <n v="462"/>
    <x v="427"/>
    <x v="423"/>
    <s v="Mrs"/>
    <s v="F"/>
    <n v="60"/>
    <s v="Blackstone Villas"/>
    <x v="390"/>
    <x v="2"/>
    <d v="2022-06-12T00:00:00"/>
    <x v="0"/>
    <x v="2"/>
    <n v="3"/>
    <x v="5"/>
    <x v="5"/>
    <n v="72"/>
    <x v="379"/>
  </r>
  <r>
    <n v="463"/>
    <x v="428"/>
    <x v="424"/>
    <s v="Mr"/>
    <s v="M"/>
    <n v="60"/>
    <s v="Blackwall Way"/>
    <x v="391"/>
    <x v="2"/>
    <d v="2022-09-13T00:00:00"/>
    <x v="0"/>
    <x v="9"/>
    <n v="54"/>
    <x v="1"/>
    <x v="1"/>
    <n v="1296"/>
    <x v="380"/>
  </r>
  <r>
    <n v="464"/>
    <x v="429"/>
    <x v="425"/>
    <s v="Mr"/>
    <s v="M"/>
    <n v="60"/>
    <s v="Blade Mews"/>
    <x v="53"/>
    <x v="17"/>
    <d v="2020-10-23T00:00:00"/>
    <x v="2"/>
    <x v="1"/>
    <n v="83"/>
    <x v="8"/>
    <x v="8"/>
    <n v="1660"/>
    <x v="14"/>
  </r>
  <r>
    <n v="465"/>
    <x v="430"/>
    <x v="426"/>
    <s v="Mr"/>
    <s v="M"/>
    <n v="30"/>
    <s v="Blagdens Close"/>
    <x v="392"/>
    <x v="2"/>
    <d v="2022-01-01T00:00:00"/>
    <x v="0"/>
    <x v="6"/>
    <n v="21"/>
    <x v="3"/>
    <x v="3"/>
    <n v="504"/>
    <x v="229"/>
  </r>
  <r>
    <n v="466"/>
    <x v="431"/>
    <x v="427"/>
    <s v="Mr"/>
    <s v="M"/>
    <n v="90"/>
    <s v="Blair Street"/>
    <x v="393"/>
    <x v="16"/>
    <d v="2022-06-21T00:00:00"/>
    <x v="0"/>
    <x v="2"/>
    <n v="52"/>
    <x v="4"/>
    <x v="4"/>
    <n v="936"/>
    <x v="381"/>
  </r>
  <r>
    <n v="467"/>
    <x v="432"/>
    <x v="428"/>
    <s v="Miss"/>
    <s v="F"/>
    <n v="60"/>
    <s v="Blake Close"/>
    <x v="394"/>
    <x v="2"/>
    <d v="2021-10-08T00:00:00"/>
    <x v="1"/>
    <x v="1"/>
    <n v="81"/>
    <x v="6"/>
    <x v="6"/>
    <n v="1944"/>
    <x v="382"/>
  </r>
  <r>
    <n v="468"/>
    <x v="433"/>
    <x v="429"/>
    <s v="Miss"/>
    <s v="F"/>
    <n v="90"/>
    <s v="Blake Hall"/>
    <x v="395"/>
    <x v="2"/>
    <d v="2020-07-27T00:00:00"/>
    <x v="2"/>
    <x v="0"/>
    <n v="14"/>
    <x v="8"/>
    <x v="8"/>
    <n v="280"/>
    <x v="35"/>
  </r>
  <r>
    <n v="469"/>
    <x v="434"/>
    <x v="430"/>
    <s v="Mr"/>
    <s v="M"/>
    <n v="90"/>
    <s v="Blake Road"/>
    <x v="396"/>
    <x v="11"/>
    <d v="2020-02-14T00:00:00"/>
    <x v="2"/>
    <x v="10"/>
    <n v="8"/>
    <x v="1"/>
    <x v="1"/>
    <n v="192"/>
    <x v="180"/>
  </r>
  <r>
    <n v="470"/>
    <x v="435"/>
    <x v="431"/>
    <s v="Mr"/>
    <s v="M"/>
    <n v="30"/>
    <s v="Blakeney Close"/>
    <x v="391"/>
    <x v="2"/>
    <d v="2020-10-20T00:00:00"/>
    <x v="2"/>
    <x v="1"/>
    <n v="16"/>
    <x v="0"/>
    <x v="0"/>
    <n v="320"/>
    <x v="12"/>
  </r>
  <r>
    <n v="471"/>
    <x v="436"/>
    <x v="432"/>
    <s v="Mr"/>
    <s v="M"/>
    <n v="90"/>
    <s v="Blanchard Close"/>
    <x v="397"/>
    <x v="2"/>
    <d v="2020-05-04T00:00:00"/>
    <x v="2"/>
    <x v="11"/>
    <n v="59"/>
    <x v="3"/>
    <x v="3"/>
    <n v="1416"/>
    <x v="383"/>
  </r>
  <r>
    <n v="472"/>
    <x v="437"/>
    <x v="433"/>
    <s v="Mrs"/>
    <s v="F"/>
    <n v="60"/>
    <s v="Bland Avenue"/>
    <x v="398"/>
    <x v="7"/>
    <d v="2020-01-01T00:00:00"/>
    <x v="2"/>
    <x v="6"/>
    <n v="60"/>
    <x v="8"/>
    <x v="8"/>
    <n v="1200"/>
    <x v="384"/>
  </r>
  <r>
    <n v="473"/>
    <x v="438"/>
    <x v="434"/>
    <s v="Mr"/>
    <s v="M"/>
    <n v="30"/>
    <s v="Blandford Close"/>
    <x v="399"/>
    <x v="62"/>
    <d v="2021-04-30T00:00:00"/>
    <x v="1"/>
    <x v="4"/>
    <n v="51"/>
    <x v="2"/>
    <x v="2"/>
    <n v="867"/>
    <x v="385"/>
  </r>
  <r>
    <n v="474"/>
    <x v="439"/>
    <x v="435"/>
    <s v="Miss"/>
    <s v="F"/>
    <n v="30"/>
    <s v="Blandford Close"/>
    <x v="400"/>
    <x v="1"/>
    <d v="2021-07-21T00:00:00"/>
    <x v="1"/>
    <x v="0"/>
    <n v="13"/>
    <x v="1"/>
    <x v="1"/>
    <n v="312"/>
    <x v="127"/>
  </r>
  <r>
    <n v="475"/>
    <x v="440"/>
    <x v="436"/>
    <s v="Mr"/>
    <s v="M"/>
    <n v="90"/>
    <s v="Blandford Close"/>
    <x v="401"/>
    <x v="2"/>
    <d v="2022-04-09T00:00:00"/>
    <x v="0"/>
    <x v="4"/>
    <n v="13"/>
    <x v="3"/>
    <x v="3"/>
    <n v="312"/>
    <x v="296"/>
  </r>
  <r>
    <n v="476"/>
    <x v="441"/>
    <x v="437"/>
    <s v="Mr"/>
    <s v="M"/>
    <n v="30"/>
    <s v="Blantyre Street"/>
    <x v="402"/>
    <x v="2"/>
    <d v="2020-02-28T00:00:00"/>
    <x v="2"/>
    <x v="10"/>
    <n v="35"/>
    <x v="2"/>
    <x v="2"/>
    <n v="595"/>
    <x v="386"/>
  </r>
  <r>
    <n v="477"/>
    <x v="315"/>
    <x v="438"/>
    <s v="Mr"/>
    <s v="M"/>
    <n v="90"/>
    <s v="Blenheim Grove"/>
    <x v="403"/>
    <x v="15"/>
    <d v="2022-10-02T00:00:00"/>
    <x v="0"/>
    <x v="1"/>
    <n v="89"/>
    <x v="2"/>
    <x v="2"/>
    <n v="1513"/>
    <x v="387"/>
  </r>
  <r>
    <n v="478"/>
    <x v="442"/>
    <x v="349"/>
    <s v="Mr"/>
    <s v="M"/>
    <n v="30"/>
    <s v="Blenheim Grove"/>
    <x v="404"/>
    <x v="21"/>
    <d v="2021-01-18T00:00:00"/>
    <x v="1"/>
    <x v="6"/>
    <n v="91"/>
    <x v="9"/>
    <x v="9"/>
    <n v="2184"/>
    <x v="388"/>
  </r>
  <r>
    <n v="479"/>
    <x v="443"/>
    <x v="439"/>
    <s v="Mrs"/>
    <s v="F"/>
    <n v="90"/>
    <s v="Blenheim Mews"/>
    <x v="367"/>
    <x v="2"/>
    <d v="2022-08-26T00:00:00"/>
    <x v="0"/>
    <x v="3"/>
    <n v="65"/>
    <x v="4"/>
    <x v="4"/>
    <n v="1170"/>
    <x v="389"/>
  </r>
  <r>
    <n v="480"/>
    <x v="444"/>
    <x v="440"/>
    <s v="Miss"/>
    <s v="F"/>
    <n v="30"/>
    <s v="Blenheim Passage"/>
    <x v="405"/>
    <x v="21"/>
    <d v="2022-12-16T00:00:00"/>
    <x v="0"/>
    <x v="8"/>
    <n v="18"/>
    <x v="9"/>
    <x v="9"/>
    <n v="432"/>
    <x v="390"/>
  </r>
  <r>
    <n v="481"/>
    <x v="49"/>
    <x v="441"/>
    <s v="Mr"/>
    <s v="M"/>
    <n v="30"/>
    <s v="Blenheim Shopping"/>
    <x v="406"/>
    <x v="33"/>
    <d v="2022-08-13T00:00:00"/>
    <x v="0"/>
    <x v="3"/>
    <n v="19"/>
    <x v="7"/>
    <x v="7"/>
    <n v="380"/>
    <x v="391"/>
  </r>
  <r>
    <n v="482"/>
    <x v="445"/>
    <x v="442"/>
    <s v="Mr"/>
    <s v="M"/>
    <n v="30"/>
    <s v="Blenheim Shopping"/>
    <x v="239"/>
    <x v="40"/>
    <d v="2020-10-28T00:00:00"/>
    <x v="2"/>
    <x v="1"/>
    <n v="57"/>
    <x v="0"/>
    <x v="0"/>
    <n v="1140"/>
    <x v="392"/>
  </r>
  <r>
    <n v="483"/>
    <x v="446"/>
    <x v="443"/>
    <s v="Mr"/>
    <s v="M"/>
    <n v="60"/>
    <s v="Blenhiem Lodge"/>
    <x v="119"/>
    <x v="15"/>
    <d v="2021-02-02T00:00:00"/>
    <x v="1"/>
    <x v="10"/>
    <n v="62"/>
    <x v="8"/>
    <x v="8"/>
    <n v="1240"/>
    <x v="393"/>
  </r>
  <r>
    <n v="484"/>
    <x v="75"/>
    <x v="444"/>
    <s v="Mr"/>
    <s v="M"/>
    <n v="30"/>
    <s v="Blenhiem Villas"/>
    <x v="407"/>
    <x v="1"/>
    <d v="2022-08-26T00:00:00"/>
    <x v="0"/>
    <x v="3"/>
    <n v="59"/>
    <x v="1"/>
    <x v="1"/>
    <n v="1416"/>
    <x v="394"/>
  </r>
  <r>
    <n v="485"/>
    <x v="447"/>
    <x v="445"/>
    <s v="Miss"/>
    <s v="F"/>
    <n v="90"/>
    <s v="Bloomfield Road"/>
    <x v="408"/>
    <x v="7"/>
    <d v="2020-04-23T00:00:00"/>
    <x v="2"/>
    <x v="4"/>
    <n v="35"/>
    <x v="9"/>
    <x v="9"/>
    <n v="840"/>
    <x v="395"/>
  </r>
  <r>
    <n v="486"/>
    <x v="448"/>
    <x v="446"/>
    <s v="Mr"/>
    <s v="M"/>
    <n v="60"/>
    <s v="Bloomfield Road"/>
    <x v="409"/>
    <x v="17"/>
    <d v="2020-10-06T00:00:00"/>
    <x v="2"/>
    <x v="1"/>
    <n v="14"/>
    <x v="4"/>
    <x v="4"/>
    <n v="252"/>
    <x v="396"/>
  </r>
  <r>
    <n v="487"/>
    <x v="72"/>
    <x v="447"/>
    <s v="Mr"/>
    <s v="M"/>
    <n v="30"/>
    <s v="Bloomfield Road"/>
    <x v="410"/>
    <x v="21"/>
    <d v="2020-06-05T00:00:00"/>
    <x v="2"/>
    <x v="2"/>
    <n v="46"/>
    <x v="4"/>
    <x v="4"/>
    <n v="828"/>
    <x v="223"/>
  </r>
  <r>
    <n v="488"/>
    <x v="449"/>
    <x v="448"/>
    <s v="Miss"/>
    <s v="F"/>
    <n v="90"/>
    <s v="Blossom Close"/>
    <x v="411"/>
    <x v="63"/>
    <d v="2021-12-05T00:00:00"/>
    <x v="1"/>
    <x v="8"/>
    <n v="34"/>
    <x v="0"/>
    <x v="0"/>
    <n v="680"/>
    <x v="397"/>
  </r>
  <r>
    <n v="489"/>
    <x v="330"/>
    <x v="449"/>
    <s v="Miss"/>
    <s v="F"/>
    <n v="30"/>
    <s v="Blossom Inn"/>
    <x v="412"/>
    <x v="11"/>
    <d v="2022-05-24T00:00:00"/>
    <x v="0"/>
    <x v="11"/>
    <n v="37"/>
    <x v="7"/>
    <x v="7"/>
    <n v="740"/>
    <x v="398"/>
  </r>
  <r>
    <n v="490"/>
    <x v="450"/>
    <x v="450"/>
    <s v="Miss"/>
    <s v="F"/>
    <n v="60"/>
    <s v="Bloxam Gardens"/>
    <x v="413"/>
    <x v="2"/>
    <d v="2022-09-29T00:00:00"/>
    <x v="0"/>
    <x v="9"/>
    <n v="54"/>
    <x v="6"/>
    <x v="6"/>
    <n v="1296"/>
    <x v="144"/>
  </r>
  <r>
    <n v="491"/>
    <x v="451"/>
    <x v="451"/>
    <s v="Mr"/>
    <s v="M"/>
    <n v="30"/>
    <s v="Blucher Street"/>
    <x v="414"/>
    <x v="2"/>
    <d v="2021-09-21T00:00:00"/>
    <x v="1"/>
    <x v="9"/>
    <n v="70"/>
    <x v="7"/>
    <x v="7"/>
    <n v="1400"/>
    <x v="399"/>
  </r>
  <r>
    <n v="492"/>
    <x v="452"/>
    <x v="452"/>
    <s v="Mr"/>
    <s v="M"/>
    <n v="30"/>
    <s v="Blue Anchor"/>
    <x v="415"/>
    <x v="64"/>
    <d v="2021-10-14T00:00:00"/>
    <x v="1"/>
    <x v="1"/>
    <n v="49"/>
    <x v="8"/>
    <x v="8"/>
    <n v="980"/>
    <x v="13"/>
  </r>
  <r>
    <n v="493"/>
    <x v="453"/>
    <x v="218"/>
    <s v="Miss"/>
    <s v="F"/>
    <n v="60"/>
    <s v="Blue Cross"/>
    <x v="416"/>
    <x v="65"/>
    <d v="2021-09-01T00:00:00"/>
    <x v="1"/>
    <x v="9"/>
    <n v="54"/>
    <x v="6"/>
    <x v="6"/>
    <n v="1296"/>
    <x v="144"/>
  </r>
  <r>
    <n v="494"/>
    <x v="454"/>
    <x v="453"/>
    <s v="Miss"/>
    <s v="F"/>
    <n v="60"/>
    <s v="Blue Lion"/>
    <x v="417"/>
    <x v="21"/>
    <d v="2022-01-11T00:00:00"/>
    <x v="0"/>
    <x v="6"/>
    <n v="81"/>
    <x v="0"/>
    <x v="0"/>
    <n v="1620"/>
    <x v="116"/>
  </r>
  <r>
    <n v="495"/>
    <x v="168"/>
    <x v="454"/>
    <s v="Mr"/>
    <s v="M"/>
    <n v="60"/>
    <s v="Bluecross Street"/>
    <x v="418"/>
    <x v="21"/>
    <d v="2022-05-24T00:00:00"/>
    <x v="0"/>
    <x v="11"/>
    <n v="103"/>
    <x v="7"/>
    <x v="7"/>
    <n v="2060"/>
    <x v="400"/>
  </r>
  <r>
    <n v="496"/>
    <x v="455"/>
    <x v="455"/>
    <s v="Miss"/>
    <s v="F"/>
    <n v="90"/>
    <s v="Blythe Hill"/>
    <x v="134"/>
    <x v="2"/>
    <d v="2021-05-28T00:00:00"/>
    <x v="1"/>
    <x v="11"/>
    <n v="45"/>
    <x v="7"/>
    <x v="7"/>
    <n v="900"/>
    <x v="401"/>
  </r>
  <r>
    <n v="497"/>
    <x v="456"/>
    <x v="456"/>
    <s v="Mrs"/>
    <s v="F"/>
    <n v="90"/>
    <s v="Blythe Road"/>
    <x v="309"/>
    <x v="2"/>
    <d v="2021-01-27T00:00:00"/>
    <x v="1"/>
    <x v="6"/>
    <n v="50"/>
    <x v="3"/>
    <x v="3"/>
    <n v="1200"/>
    <x v="11"/>
  </r>
  <r>
    <n v="498"/>
    <x v="457"/>
    <x v="230"/>
    <s v="Mrs"/>
    <s v="F"/>
    <n v="60"/>
    <s v="Blythell Cottages"/>
    <x v="419"/>
    <x v="17"/>
    <d v="2021-10-02T00:00:00"/>
    <x v="1"/>
    <x v="1"/>
    <n v="8"/>
    <x v="9"/>
    <x v="9"/>
    <n v="192"/>
    <x v="402"/>
  </r>
  <r>
    <n v="499"/>
    <x v="458"/>
    <x v="457"/>
    <s v="Miss"/>
    <s v="F"/>
    <n v="30"/>
    <s v="Bodley Manor"/>
    <x v="234"/>
    <x v="2"/>
    <d v="2022-11-05T00:00:00"/>
    <x v="0"/>
    <x v="7"/>
    <n v="73"/>
    <x v="6"/>
    <x v="6"/>
    <n v="1752"/>
    <x v="164"/>
  </r>
  <r>
    <n v="500"/>
    <x v="459"/>
    <x v="42"/>
    <s v="Mr"/>
    <s v="M"/>
    <n v="60"/>
    <s v="Bodmin Street"/>
    <x v="420"/>
    <x v="2"/>
    <d v="2022-11-27T00:00:00"/>
    <x v="0"/>
    <x v="7"/>
    <n v="96"/>
    <x v="3"/>
    <x v="3"/>
    <n v="2304"/>
    <x v="403"/>
  </r>
  <r>
    <n v="501"/>
    <x v="460"/>
    <x v="458"/>
    <s v="Miss"/>
    <s v="F"/>
    <n v="30"/>
    <s v="Bolan Street"/>
    <x v="421"/>
    <x v="0"/>
    <d v="2020-06-12T00:00:00"/>
    <x v="2"/>
    <x v="2"/>
    <n v="5"/>
    <x v="5"/>
    <x v="5"/>
    <n v="120"/>
    <x v="64"/>
  </r>
  <r>
    <n v="502"/>
    <x v="75"/>
    <x v="189"/>
    <s v="Mr"/>
    <s v="M"/>
    <n v="90"/>
    <s v="Bold Place"/>
    <x v="105"/>
    <x v="2"/>
    <d v="2022-01-06T00:00:00"/>
    <x v="0"/>
    <x v="6"/>
    <n v="66"/>
    <x v="9"/>
    <x v="9"/>
    <n v="1584"/>
    <x v="404"/>
  </r>
  <r>
    <n v="503"/>
    <x v="461"/>
    <x v="459"/>
    <s v="Mrs"/>
    <s v="F"/>
    <n v="60"/>
    <s v="Bolina Road"/>
    <x v="422"/>
    <x v="66"/>
    <d v="2020-05-23T00:00:00"/>
    <x v="2"/>
    <x v="11"/>
    <n v="75"/>
    <x v="0"/>
    <x v="0"/>
    <n v="1500"/>
    <x v="20"/>
  </r>
  <r>
    <n v="504"/>
    <x v="462"/>
    <x v="460"/>
    <s v="Mrs"/>
    <s v="F"/>
    <n v="90"/>
    <s v="Bollo Lane"/>
    <x v="423"/>
    <x v="53"/>
    <d v="2021-12-03T00:00:00"/>
    <x v="1"/>
    <x v="8"/>
    <n v="45"/>
    <x v="7"/>
    <x v="7"/>
    <n v="900"/>
    <x v="401"/>
  </r>
  <r>
    <n v="505"/>
    <x v="463"/>
    <x v="132"/>
    <s v="Ms"/>
    <s v="F"/>
    <n v="60"/>
    <s v="Bolney Gate"/>
    <x v="424"/>
    <x v="9"/>
    <d v="2022-01-16T00:00:00"/>
    <x v="0"/>
    <x v="6"/>
    <n v="76"/>
    <x v="5"/>
    <x v="5"/>
    <n v="1824"/>
    <x v="405"/>
  </r>
  <r>
    <n v="506"/>
    <x v="464"/>
    <x v="461"/>
    <s v="Mr"/>
    <s v="M"/>
    <n v="60"/>
    <s v="Bolt Court"/>
    <x v="425"/>
    <x v="2"/>
    <d v="2022-11-01T00:00:00"/>
    <x v="0"/>
    <x v="7"/>
    <n v="30"/>
    <x v="7"/>
    <x v="7"/>
    <n v="600"/>
    <x v="406"/>
  </r>
  <r>
    <n v="507"/>
    <x v="114"/>
    <x v="462"/>
    <s v="Miss"/>
    <s v="F"/>
    <n v="30"/>
    <s v="Bolton Cl"/>
    <x v="87"/>
    <x v="2"/>
    <d v="2021-07-11T00:00:00"/>
    <x v="1"/>
    <x v="0"/>
    <n v="13"/>
    <x v="9"/>
    <x v="9"/>
    <n v="312"/>
    <x v="407"/>
  </r>
  <r>
    <n v="508"/>
    <x v="465"/>
    <x v="463"/>
    <s v="Miss"/>
    <s v="F"/>
    <n v="60"/>
    <s v="Bolwell Street"/>
    <x v="426"/>
    <x v="1"/>
    <d v="2022-12-22T00:00:00"/>
    <x v="0"/>
    <x v="8"/>
    <n v="42"/>
    <x v="4"/>
    <x v="4"/>
    <n v="756"/>
    <x v="408"/>
  </r>
  <r>
    <n v="509"/>
    <x v="466"/>
    <x v="100"/>
    <s v="Mrs"/>
    <s v="F"/>
    <n v="90"/>
    <s v="Bon March"/>
    <x v="427"/>
    <x v="21"/>
    <d v="2021-04-20T00:00:00"/>
    <x v="1"/>
    <x v="4"/>
    <n v="21"/>
    <x v="1"/>
    <x v="1"/>
    <n v="504"/>
    <x v="409"/>
  </r>
  <r>
    <n v="510"/>
    <x v="253"/>
    <x v="464"/>
    <s v="Mrs"/>
    <s v="F"/>
    <n v="60"/>
    <s v="Bonany Street"/>
    <x v="48"/>
    <x v="13"/>
    <d v="2022-12-11T00:00:00"/>
    <x v="0"/>
    <x v="8"/>
    <n v="66"/>
    <x v="6"/>
    <x v="6"/>
    <n v="1584"/>
    <x v="7"/>
  </r>
  <r>
    <n v="511"/>
    <x v="467"/>
    <x v="465"/>
    <s v="Miss"/>
    <s v="F"/>
    <n v="30"/>
    <s v="Bond Place"/>
    <x v="428"/>
    <x v="2"/>
    <d v="2021-04-09T00:00:00"/>
    <x v="1"/>
    <x v="4"/>
    <n v="43"/>
    <x v="7"/>
    <x v="7"/>
    <n v="860"/>
    <x v="410"/>
  </r>
  <r>
    <n v="512"/>
    <x v="468"/>
    <x v="59"/>
    <s v="Mr"/>
    <s v="M"/>
    <n v="60"/>
    <s v="Bonding Yard"/>
    <x v="429"/>
    <x v="1"/>
    <d v="2021-03-09T00:00:00"/>
    <x v="1"/>
    <x v="5"/>
    <n v="56"/>
    <x v="3"/>
    <x v="3"/>
    <n v="1344"/>
    <x v="118"/>
  </r>
  <r>
    <n v="513"/>
    <x v="469"/>
    <x v="466"/>
    <s v="Miss"/>
    <s v="F"/>
    <n v="30"/>
    <s v="Bondway"/>
    <x v="430"/>
    <x v="2"/>
    <d v="2020-10-27T00:00:00"/>
    <x v="2"/>
    <x v="1"/>
    <n v="48"/>
    <x v="0"/>
    <x v="0"/>
    <n v="960"/>
    <x v="411"/>
  </r>
  <r>
    <n v="514"/>
    <x v="470"/>
    <x v="467"/>
    <s v="Miss"/>
    <s v="F"/>
    <n v="90"/>
    <s v="Bonsall Terrace"/>
    <x v="431"/>
    <x v="2"/>
    <d v="2022-04-06T00:00:00"/>
    <x v="0"/>
    <x v="4"/>
    <n v="11"/>
    <x v="2"/>
    <x v="2"/>
    <n v="187"/>
    <x v="412"/>
  </r>
  <r>
    <n v="515"/>
    <x v="471"/>
    <x v="468"/>
    <s v="Mr"/>
    <s v="M"/>
    <n v="90"/>
    <s v="Boot Street"/>
    <x v="387"/>
    <x v="11"/>
    <d v="2020-04-09T00:00:00"/>
    <x v="2"/>
    <x v="4"/>
    <n v="45"/>
    <x v="8"/>
    <x v="8"/>
    <n v="900"/>
    <x v="413"/>
  </r>
  <r>
    <n v="516"/>
    <x v="472"/>
    <x v="339"/>
    <s v="Mrs"/>
    <s v="F"/>
    <n v="60"/>
    <s v="Boothby Road"/>
    <x v="2"/>
    <x v="2"/>
    <d v="2020-03-26T00:00:00"/>
    <x v="2"/>
    <x v="5"/>
    <n v="45"/>
    <x v="1"/>
    <x v="1"/>
    <n v="1080"/>
    <x v="414"/>
  </r>
  <r>
    <n v="517"/>
    <x v="473"/>
    <x v="4"/>
    <s v="Miss"/>
    <s v="F"/>
    <n v="30"/>
    <s v="Boothby Road"/>
    <x v="106"/>
    <x v="2"/>
    <d v="2020-12-14T00:00:00"/>
    <x v="2"/>
    <x v="8"/>
    <n v="54"/>
    <x v="3"/>
    <x v="3"/>
    <n v="1296"/>
    <x v="309"/>
  </r>
  <r>
    <n v="518"/>
    <x v="474"/>
    <x v="469"/>
    <s v="Mrs"/>
    <s v="F"/>
    <n v="30"/>
    <s v="Boreham Road"/>
    <x v="432"/>
    <x v="2"/>
    <d v="2021-09-06T00:00:00"/>
    <x v="1"/>
    <x v="9"/>
    <n v="34"/>
    <x v="8"/>
    <x v="8"/>
    <n v="680"/>
    <x v="415"/>
  </r>
  <r>
    <n v="519"/>
    <x v="475"/>
    <x v="470"/>
    <s v="Mrs"/>
    <s v="F"/>
    <n v="90"/>
    <s v="Borland Road"/>
    <x v="433"/>
    <x v="2"/>
    <d v="2020-05-31T00:00:00"/>
    <x v="2"/>
    <x v="11"/>
    <n v="81"/>
    <x v="4"/>
    <x v="4"/>
    <n v="1458"/>
    <x v="416"/>
  </r>
  <r>
    <n v="520"/>
    <x v="476"/>
    <x v="471"/>
    <s v="Miss"/>
    <s v="F"/>
    <n v="60"/>
    <s v="Bosbury Road"/>
    <x v="434"/>
    <x v="10"/>
    <d v="2021-12-26T00:00:00"/>
    <x v="1"/>
    <x v="8"/>
    <n v="22"/>
    <x v="6"/>
    <x v="6"/>
    <n v="528"/>
    <x v="316"/>
  </r>
  <r>
    <n v="521"/>
    <x v="477"/>
    <x v="74"/>
    <s v="Miss"/>
    <s v="F"/>
    <n v="90"/>
    <s v="Boss Street"/>
    <x v="339"/>
    <x v="2"/>
    <d v="2022-10-26T00:00:00"/>
    <x v="0"/>
    <x v="1"/>
    <n v="31"/>
    <x v="9"/>
    <x v="9"/>
    <n v="744"/>
    <x v="417"/>
  </r>
  <r>
    <n v="522"/>
    <x v="317"/>
    <x v="341"/>
    <s v="Mr"/>
    <s v="M"/>
    <n v="90"/>
    <s v="Bostal Hill"/>
    <x v="435"/>
    <x v="11"/>
    <d v="2022-02-23T00:00:00"/>
    <x v="0"/>
    <x v="10"/>
    <n v="19"/>
    <x v="9"/>
    <x v="9"/>
    <n v="456"/>
    <x v="418"/>
  </r>
  <r>
    <n v="523"/>
    <x v="478"/>
    <x v="472"/>
    <s v="Ms"/>
    <s v="F"/>
    <n v="90"/>
    <s v="Bostock Street"/>
    <x v="436"/>
    <x v="17"/>
    <d v="2020-02-08T00:00:00"/>
    <x v="2"/>
    <x v="10"/>
    <n v="73"/>
    <x v="0"/>
    <x v="0"/>
    <n v="1460"/>
    <x v="0"/>
  </r>
  <r>
    <n v="524"/>
    <x v="479"/>
    <x v="73"/>
    <s v="Mr"/>
    <s v="M"/>
    <n v="60"/>
    <s v="Boston Gardens"/>
    <x v="326"/>
    <x v="3"/>
    <d v="2021-04-06T00:00:00"/>
    <x v="1"/>
    <x v="4"/>
    <n v="95"/>
    <x v="0"/>
    <x v="0"/>
    <n v="1900"/>
    <x v="136"/>
  </r>
  <r>
    <n v="525"/>
    <x v="480"/>
    <x v="473"/>
    <s v="Miss"/>
    <s v="F"/>
    <n v="30"/>
    <s v="Boston Street"/>
    <x v="437"/>
    <x v="0"/>
    <d v="2021-01-25T00:00:00"/>
    <x v="1"/>
    <x v="6"/>
    <n v="64"/>
    <x v="6"/>
    <x v="6"/>
    <n v="1536"/>
    <x v="419"/>
  </r>
  <r>
    <n v="526"/>
    <x v="481"/>
    <x v="474"/>
    <s v="Mrs"/>
    <s v="F"/>
    <n v="90"/>
    <s v="Bostonthorpe Road"/>
    <x v="326"/>
    <x v="3"/>
    <d v="2022-10-05T00:00:00"/>
    <x v="0"/>
    <x v="1"/>
    <n v="54"/>
    <x v="1"/>
    <x v="1"/>
    <n v="1296"/>
    <x v="380"/>
  </r>
  <r>
    <n v="527"/>
    <x v="482"/>
    <x v="475"/>
    <s v="Mr"/>
    <s v="M"/>
    <n v="60"/>
    <s v="Bostonthorpe Road"/>
    <x v="438"/>
    <x v="2"/>
    <d v="2020-05-14T00:00:00"/>
    <x v="2"/>
    <x v="11"/>
    <n v="4"/>
    <x v="2"/>
    <x v="2"/>
    <n v="68"/>
    <x v="420"/>
  </r>
  <r>
    <n v="528"/>
    <x v="483"/>
    <x v="476"/>
    <s v="Ms"/>
    <s v="F"/>
    <n v="60"/>
    <s v="Boswell Street"/>
    <x v="439"/>
    <x v="18"/>
    <d v="2022-12-18T00:00:00"/>
    <x v="0"/>
    <x v="8"/>
    <n v="29"/>
    <x v="8"/>
    <x v="8"/>
    <n v="580"/>
    <x v="295"/>
  </r>
  <r>
    <n v="529"/>
    <x v="228"/>
    <x v="477"/>
    <s v="Mr"/>
    <s v="M"/>
    <n v="90"/>
    <s v="Boswell Street"/>
    <x v="184"/>
    <x v="11"/>
    <d v="2022-06-20T00:00:00"/>
    <x v="0"/>
    <x v="2"/>
    <n v="80"/>
    <x v="3"/>
    <x v="3"/>
    <n v="1920"/>
    <x v="278"/>
  </r>
  <r>
    <n v="530"/>
    <x v="484"/>
    <x v="478"/>
    <s v="Mr"/>
    <s v="M"/>
    <n v="90"/>
    <s v="Bosworth Road"/>
    <x v="177"/>
    <x v="2"/>
    <d v="2021-05-20T00:00:00"/>
    <x v="1"/>
    <x v="11"/>
    <n v="61"/>
    <x v="2"/>
    <x v="2"/>
    <n v="1037"/>
    <x v="81"/>
  </r>
  <r>
    <n v="531"/>
    <x v="485"/>
    <x v="9"/>
    <s v="Mr"/>
    <s v="M"/>
    <n v="90"/>
    <s v="Bothwell Close"/>
    <x v="95"/>
    <x v="2"/>
    <d v="2021-10-31T00:00:00"/>
    <x v="1"/>
    <x v="1"/>
    <n v="3"/>
    <x v="9"/>
    <x v="9"/>
    <n v="72"/>
    <x v="234"/>
  </r>
  <r>
    <n v="532"/>
    <x v="486"/>
    <x v="479"/>
    <s v="Mrs"/>
    <s v="F"/>
    <n v="60"/>
    <s v="Bourds Buildings"/>
    <x v="440"/>
    <x v="12"/>
    <d v="2021-08-13T00:00:00"/>
    <x v="1"/>
    <x v="3"/>
    <n v="47"/>
    <x v="0"/>
    <x v="0"/>
    <n v="940"/>
    <x v="421"/>
  </r>
  <r>
    <n v="533"/>
    <x v="487"/>
    <x v="480"/>
    <s v="Mr"/>
    <s v="M"/>
    <n v="30"/>
    <s v="Bourne Estate"/>
    <x v="441"/>
    <x v="2"/>
    <d v="2022-08-02T00:00:00"/>
    <x v="0"/>
    <x v="3"/>
    <n v="44"/>
    <x v="6"/>
    <x v="6"/>
    <n v="1056"/>
    <x v="422"/>
  </r>
  <r>
    <n v="534"/>
    <x v="488"/>
    <x v="481"/>
    <s v="Mrs"/>
    <s v="F"/>
    <n v="90"/>
    <s v="Bourne Place"/>
    <x v="195"/>
    <x v="16"/>
    <d v="2022-12-13T00:00:00"/>
    <x v="0"/>
    <x v="8"/>
    <n v="20"/>
    <x v="5"/>
    <x v="5"/>
    <n v="480"/>
    <x v="423"/>
  </r>
  <r>
    <n v="535"/>
    <x v="489"/>
    <x v="482"/>
    <s v="Miss"/>
    <s v="F"/>
    <n v="60"/>
    <s v="Bourne Place"/>
    <x v="234"/>
    <x v="2"/>
    <d v="2020-07-08T00:00:00"/>
    <x v="2"/>
    <x v="0"/>
    <n v="44"/>
    <x v="5"/>
    <x v="5"/>
    <n v="1056"/>
    <x v="424"/>
  </r>
  <r>
    <n v="536"/>
    <x v="490"/>
    <x v="483"/>
    <s v="Mr"/>
    <s v="M"/>
    <n v="30"/>
    <s v="Bourne Terrace"/>
    <x v="442"/>
    <x v="67"/>
    <d v="2022-02-19T00:00:00"/>
    <x v="0"/>
    <x v="10"/>
    <n v="56"/>
    <x v="8"/>
    <x v="8"/>
    <n v="1120"/>
    <x v="40"/>
  </r>
  <r>
    <n v="537"/>
    <x v="491"/>
    <x v="484"/>
    <s v="Mrs"/>
    <s v="F"/>
    <n v="90"/>
    <s v="Bournemouth Road"/>
    <x v="443"/>
    <x v="40"/>
    <d v="2020-05-14T00:00:00"/>
    <x v="2"/>
    <x v="11"/>
    <n v="43"/>
    <x v="5"/>
    <x v="5"/>
    <n v="1032"/>
    <x v="425"/>
  </r>
  <r>
    <n v="538"/>
    <x v="492"/>
    <x v="485"/>
    <s v="Mr"/>
    <s v="M"/>
    <n v="60"/>
    <s v="Boutique Hall"/>
    <x v="116"/>
    <x v="11"/>
    <d v="2022-10-30T00:00:00"/>
    <x v="0"/>
    <x v="1"/>
    <n v="85"/>
    <x v="7"/>
    <x v="7"/>
    <n v="1700"/>
    <x v="344"/>
  </r>
  <r>
    <n v="539"/>
    <x v="120"/>
    <x v="486"/>
    <s v="Mr"/>
    <s v="M"/>
    <n v="60"/>
    <s v="Bow Common"/>
    <x v="444"/>
    <x v="15"/>
    <d v="2022-08-02T00:00:00"/>
    <x v="0"/>
    <x v="3"/>
    <n v="104"/>
    <x v="7"/>
    <x v="7"/>
    <n v="2080"/>
    <x v="426"/>
  </r>
  <r>
    <n v="540"/>
    <x v="429"/>
    <x v="487"/>
    <s v="Mr"/>
    <s v="M"/>
    <n v="90"/>
    <s v="Bow Court"/>
    <x v="445"/>
    <x v="2"/>
    <d v="2020-11-18T00:00:00"/>
    <x v="2"/>
    <x v="7"/>
    <n v="10"/>
    <x v="4"/>
    <x v="4"/>
    <n v="180"/>
    <x v="427"/>
  </r>
  <r>
    <n v="541"/>
    <x v="493"/>
    <x v="488"/>
    <s v="Miss"/>
    <s v="F"/>
    <n v="90"/>
    <s v="Bowater Place"/>
    <x v="446"/>
    <x v="44"/>
    <d v="2022-07-23T00:00:00"/>
    <x v="0"/>
    <x v="0"/>
    <n v="56"/>
    <x v="0"/>
    <x v="0"/>
    <n v="1120"/>
    <x v="428"/>
  </r>
  <r>
    <n v="542"/>
    <x v="494"/>
    <x v="489"/>
    <s v="Ms"/>
    <s v="F"/>
    <n v="30"/>
    <s v="Bowen Street"/>
    <x v="345"/>
    <x v="2"/>
    <d v="2022-10-09T00:00:00"/>
    <x v="0"/>
    <x v="1"/>
    <n v="76"/>
    <x v="7"/>
    <x v="7"/>
    <n v="1520"/>
    <x v="429"/>
  </r>
  <r>
    <n v="543"/>
    <x v="495"/>
    <x v="264"/>
    <s v="Mr"/>
    <s v="M"/>
    <n v="60"/>
    <s v="Bowl Court"/>
    <x v="447"/>
    <x v="3"/>
    <d v="2022-01-03T00:00:00"/>
    <x v="0"/>
    <x v="6"/>
    <n v="105"/>
    <x v="8"/>
    <x v="8"/>
    <n v="2100"/>
    <x v="430"/>
  </r>
  <r>
    <n v="544"/>
    <x v="496"/>
    <x v="490"/>
    <s v="Mr"/>
    <s v="M"/>
    <n v="30"/>
    <s v="Bowyer Street"/>
    <x v="448"/>
    <x v="2"/>
    <d v="2020-09-01T00:00:00"/>
    <x v="2"/>
    <x v="9"/>
    <n v="81"/>
    <x v="0"/>
    <x v="0"/>
    <n v="1620"/>
    <x v="116"/>
  </r>
  <r>
    <n v="545"/>
    <x v="497"/>
    <x v="491"/>
    <s v="Mr"/>
    <s v="M"/>
    <n v="90"/>
    <s v="Bowyers Street"/>
    <x v="449"/>
    <x v="17"/>
    <d v="2020-11-04T00:00:00"/>
    <x v="2"/>
    <x v="7"/>
    <n v="27"/>
    <x v="2"/>
    <x v="2"/>
    <n v="459"/>
    <x v="431"/>
  </r>
  <r>
    <n v="546"/>
    <x v="328"/>
    <x v="492"/>
    <s v="Mr"/>
    <s v="M"/>
    <n v="90"/>
    <s v="Boxall Row"/>
    <x v="450"/>
    <x v="2"/>
    <d v="2020-09-30T00:00:00"/>
    <x v="2"/>
    <x v="9"/>
    <n v="55"/>
    <x v="0"/>
    <x v="0"/>
    <n v="1100"/>
    <x v="432"/>
  </r>
  <r>
    <n v="547"/>
    <x v="498"/>
    <x v="493"/>
    <s v="Miss"/>
    <s v="F"/>
    <n v="60"/>
    <s v="Boxley Street"/>
    <x v="451"/>
    <x v="13"/>
    <d v="2021-08-21T00:00:00"/>
    <x v="1"/>
    <x v="3"/>
    <n v="42"/>
    <x v="9"/>
    <x v="9"/>
    <n v="1008"/>
    <x v="433"/>
  </r>
  <r>
    <n v="548"/>
    <x v="499"/>
    <x v="27"/>
    <s v="Mrs"/>
    <s v="F"/>
    <n v="60"/>
    <s v="Boyce Way"/>
    <x v="452"/>
    <x v="17"/>
    <d v="2021-05-03T00:00:00"/>
    <x v="1"/>
    <x v="11"/>
    <n v="20"/>
    <x v="0"/>
    <x v="0"/>
    <n v="400"/>
    <x v="210"/>
  </r>
  <r>
    <n v="549"/>
    <x v="500"/>
    <x v="494"/>
    <s v="Mr"/>
    <s v="M"/>
    <n v="60"/>
    <s v="Boys Industrial"/>
    <x v="453"/>
    <x v="21"/>
    <d v="2021-04-15T00:00:00"/>
    <x v="1"/>
    <x v="4"/>
    <n v="86"/>
    <x v="3"/>
    <x v="3"/>
    <n v="2064"/>
    <x v="434"/>
  </r>
  <r>
    <n v="550"/>
    <x v="501"/>
    <x v="158"/>
    <s v="Mrs"/>
    <s v="F"/>
    <n v="60"/>
    <s v="Boys Refuge"/>
    <x v="454"/>
    <x v="39"/>
    <d v="2022-10-16T00:00:00"/>
    <x v="0"/>
    <x v="1"/>
    <n v="37"/>
    <x v="7"/>
    <x v="7"/>
    <n v="740"/>
    <x v="398"/>
  </r>
  <r>
    <n v="551"/>
    <x v="502"/>
    <x v="495"/>
    <s v="Miss"/>
    <s v="F"/>
    <n v="60"/>
    <s v="Boys Refuge"/>
    <x v="455"/>
    <x v="2"/>
    <d v="2020-09-11T00:00:00"/>
    <x v="2"/>
    <x v="9"/>
    <n v="63"/>
    <x v="8"/>
    <x v="8"/>
    <n v="1260"/>
    <x v="435"/>
  </r>
  <r>
    <n v="552"/>
    <x v="503"/>
    <x v="496"/>
    <s v="Mr"/>
    <s v="M"/>
    <n v="30"/>
    <s v="Brabant Road"/>
    <x v="456"/>
    <x v="68"/>
    <d v="2021-11-21T00:00:00"/>
    <x v="1"/>
    <x v="7"/>
    <n v="43"/>
    <x v="6"/>
    <x v="6"/>
    <n v="1032"/>
    <x v="27"/>
  </r>
  <r>
    <n v="553"/>
    <x v="504"/>
    <x v="497"/>
    <s v="Mr"/>
    <s v="M"/>
    <n v="60"/>
    <s v="Brabazon Street"/>
    <x v="457"/>
    <x v="11"/>
    <d v="2020-11-27T00:00:00"/>
    <x v="2"/>
    <x v="7"/>
    <n v="57"/>
    <x v="1"/>
    <x v="1"/>
    <n v="1368"/>
    <x v="436"/>
  </r>
  <r>
    <n v="554"/>
    <x v="505"/>
    <x v="498"/>
    <s v="Mrs"/>
    <s v="F"/>
    <n v="90"/>
    <s v="Brabourne Grove"/>
    <x v="458"/>
    <x v="21"/>
    <d v="2022-03-01T00:00:00"/>
    <x v="0"/>
    <x v="5"/>
    <n v="25"/>
    <x v="1"/>
    <x v="1"/>
    <n v="600"/>
    <x v="437"/>
  </r>
  <r>
    <n v="555"/>
    <x v="270"/>
    <x v="324"/>
    <s v="Mr"/>
    <s v="M"/>
    <n v="90"/>
    <s v="Bracken Avenue"/>
    <x v="84"/>
    <x v="2"/>
    <d v="2022-09-11T00:00:00"/>
    <x v="0"/>
    <x v="9"/>
    <n v="59"/>
    <x v="2"/>
    <x v="2"/>
    <n v="1003"/>
    <x v="438"/>
  </r>
  <r>
    <n v="556"/>
    <x v="506"/>
    <x v="365"/>
    <s v="Mr"/>
    <s v="M"/>
    <n v="90"/>
    <s v="Brackendale"/>
    <x v="127"/>
    <x v="2"/>
    <d v="2021-12-29T00:00:00"/>
    <x v="1"/>
    <x v="8"/>
    <n v="65"/>
    <x v="9"/>
    <x v="9"/>
    <n v="1560"/>
    <x v="439"/>
  </r>
  <r>
    <n v="557"/>
    <x v="507"/>
    <x v="499"/>
    <s v="Mr"/>
    <s v="M"/>
    <n v="60"/>
    <s v="Bradford Villas"/>
    <x v="6"/>
    <x v="2"/>
    <d v="2020-09-30T00:00:00"/>
    <x v="2"/>
    <x v="9"/>
    <n v="84"/>
    <x v="9"/>
    <x v="9"/>
    <n v="2016"/>
    <x v="367"/>
  </r>
  <r>
    <n v="558"/>
    <x v="307"/>
    <x v="500"/>
    <s v="Mr"/>
    <s v="M"/>
    <n v="90"/>
    <s v="Brading Crescent"/>
    <x v="459"/>
    <x v="2"/>
    <d v="2020-11-15T00:00:00"/>
    <x v="2"/>
    <x v="7"/>
    <n v="32"/>
    <x v="8"/>
    <x v="8"/>
    <n v="640"/>
    <x v="440"/>
  </r>
  <r>
    <n v="559"/>
    <x v="508"/>
    <x v="501"/>
    <s v="Miss"/>
    <s v="F"/>
    <n v="30"/>
    <s v="Bradmore Park"/>
    <x v="460"/>
    <x v="16"/>
    <d v="2021-08-06T00:00:00"/>
    <x v="1"/>
    <x v="3"/>
    <n v="16"/>
    <x v="1"/>
    <x v="1"/>
    <n v="384"/>
    <x v="441"/>
  </r>
  <r>
    <n v="560"/>
    <x v="509"/>
    <x v="139"/>
    <s v="Mr"/>
    <s v="M"/>
    <n v="90"/>
    <s v="Bradstock Road"/>
    <x v="461"/>
    <x v="32"/>
    <d v="2021-11-24T00:00:00"/>
    <x v="1"/>
    <x v="7"/>
    <n v="33"/>
    <x v="3"/>
    <x v="3"/>
    <n v="792"/>
    <x v="442"/>
  </r>
  <r>
    <n v="561"/>
    <x v="510"/>
    <x v="156"/>
    <s v="Mr"/>
    <s v="M"/>
    <n v="90"/>
    <s v="Braeside Road"/>
    <x v="108"/>
    <x v="2"/>
    <d v="2022-08-22T00:00:00"/>
    <x v="0"/>
    <x v="3"/>
    <n v="44"/>
    <x v="8"/>
    <x v="8"/>
    <n v="880"/>
    <x v="327"/>
  </r>
  <r>
    <n v="562"/>
    <x v="511"/>
    <x v="129"/>
    <s v="Miss"/>
    <s v="F"/>
    <n v="60"/>
    <s v="Braid Avenue"/>
    <x v="462"/>
    <x v="10"/>
    <d v="2021-05-04T00:00:00"/>
    <x v="1"/>
    <x v="11"/>
    <n v="88"/>
    <x v="9"/>
    <x v="9"/>
    <n v="2112"/>
    <x v="443"/>
  </r>
  <r>
    <n v="563"/>
    <x v="512"/>
    <x v="502"/>
    <s v="Mr"/>
    <s v="M"/>
    <n v="60"/>
    <s v="Brailsford Road"/>
    <x v="463"/>
    <x v="2"/>
    <d v="2022-04-23T00:00:00"/>
    <x v="0"/>
    <x v="4"/>
    <n v="70"/>
    <x v="8"/>
    <x v="8"/>
    <n v="1400"/>
    <x v="251"/>
  </r>
  <r>
    <n v="564"/>
    <x v="513"/>
    <x v="404"/>
    <s v="Mr"/>
    <s v="M"/>
    <n v="60"/>
    <s v="Bramah Green"/>
    <x v="464"/>
    <x v="1"/>
    <d v="2022-08-12T00:00:00"/>
    <x v="0"/>
    <x v="3"/>
    <n v="42"/>
    <x v="1"/>
    <x v="1"/>
    <n v="1008"/>
    <x v="185"/>
  </r>
  <r>
    <n v="565"/>
    <x v="514"/>
    <x v="503"/>
    <s v="Miss"/>
    <s v="F"/>
    <n v="90"/>
    <s v="Bramfield Road"/>
    <x v="14"/>
    <x v="2"/>
    <d v="2022-11-29T00:00:00"/>
    <x v="0"/>
    <x v="7"/>
    <n v="100"/>
    <x v="3"/>
    <x v="3"/>
    <n v="2400"/>
    <x v="444"/>
  </r>
  <r>
    <n v="566"/>
    <x v="515"/>
    <x v="376"/>
    <s v="Prof"/>
    <s v="M"/>
    <n v="90"/>
    <s v="Bramlands Close"/>
    <x v="465"/>
    <x v="35"/>
    <d v="2020-03-31T00:00:00"/>
    <x v="2"/>
    <x v="5"/>
    <n v="65"/>
    <x v="7"/>
    <x v="7"/>
    <n v="1300"/>
    <x v="445"/>
  </r>
  <r>
    <n v="567"/>
    <x v="516"/>
    <x v="504"/>
    <s v="Mr"/>
    <s v="M"/>
    <n v="30"/>
    <s v="Bramley Court"/>
    <x v="466"/>
    <x v="3"/>
    <d v="2021-08-19T00:00:00"/>
    <x v="1"/>
    <x v="3"/>
    <n v="7"/>
    <x v="4"/>
    <x v="4"/>
    <n v="126"/>
    <x v="311"/>
  </r>
  <r>
    <n v="568"/>
    <x v="339"/>
    <x v="22"/>
    <s v="Miss"/>
    <s v="F"/>
    <n v="90"/>
    <s v="Bramley Terrace"/>
    <x v="467"/>
    <x v="17"/>
    <d v="2021-09-24T00:00:00"/>
    <x v="1"/>
    <x v="9"/>
    <n v="46"/>
    <x v="8"/>
    <x v="8"/>
    <n v="920"/>
    <x v="166"/>
  </r>
  <r>
    <n v="569"/>
    <x v="517"/>
    <x v="505"/>
    <s v="Mrs"/>
    <s v="F"/>
    <n v="30"/>
    <s v="Bramshot Avenue"/>
    <x v="468"/>
    <x v="2"/>
    <d v="2022-10-19T00:00:00"/>
    <x v="0"/>
    <x v="1"/>
    <n v="86"/>
    <x v="5"/>
    <x v="5"/>
    <n v="2064"/>
    <x v="6"/>
  </r>
  <r>
    <n v="570"/>
    <x v="518"/>
    <x v="353"/>
    <s v="Mr"/>
    <s v="M"/>
    <n v="90"/>
    <s v="Branch Hill"/>
    <x v="469"/>
    <x v="2"/>
    <d v="2020-12-01T00:00:00"/>
    <x v="2"/>
    <x v="8"/>
    <n v="45"/>
    <x v="2"/>
    <x v="2"/>
    <n v="765"/>
    <x v="446"/>
  </r>
  <r>
    <n v="571"/>
    <x v="519"/>
    <x v="506"/>
    <s v="Mrs"/>
    <s v="F"/>
    <n v="30"/>
    <s v="Branch Hill"/>
    <x v="470"/>
    <x v="2"/>
    <d v="2022-07-20T00:00:00"/>
    <x v="0"/>
    <x v="0"/>
    <n v="15"/>
    <x v="5"/>
    <x v="5"/>
    <n v="360"/>
    <x v="447"/>
  </r>
  <r>
    <n v="572"/>
    <x v="520"/>
    <x v="507"/>
    <s v="Mrs"/>
    <s v="F"/>
    <n v="30"/>
    <s v="Brandon Row"/>
    <x v="471"/>
    <x v="17"/>
    <d v="2022-10-26T00:00:00"/>
    <x v="0"/>
    <x v="1"/>
    <n v="103"/>
    <x v="0"/>
    <x v="0"/>
    <n v="2060"/>
    <x v="448"/>
  </r>
  <r>
    <n v="573"/>
    <x v="521"/>
    <x v="508"/>
    <s v="Mr"/>
    <s v="M"/>
    <n v="60"/>
    <s v="Branksome Road"/>
    <x v="472"/>
    <x v="40"/>
    <d v="2020-06-07T00:00:00"/>
    <x v="2"/>
    <x v="2"/>
    <n v="12"/>
    <x v="7"/>
    <x v="7"/>
    <n v="240"/>
    <x v="449"/>
  </r>
  <r>
    <n v="574"/>
    <x v="522"/>
    <x v="509"/>
    <s v="Mr"/>
    <s v="M"/>
    <n v="30"/>
    <s v="Brantwood Close"/>
    <x v="239"/>
    <x v="40"/>
    <d v="2020-05-02T00:00:00"/>
    <x v="2"/>
    <x v="11"/>
    <n v="56"/>
    <x v="8"/>
    <x v="8"/>
    <n v="1120"/>
    <x v="40"/>
  </r>
  <r>
    <n v="575"/>
    <x v="170"/>
    <x v="510"/>
    <s v="Mr"/>
    <s v="M"/>
    <n v="30"/>
    <s v="Brassey Road"/>
    <x v="334"/>
    <x v="1"/>
    <d v="2022-06-14T00:00:00"/>
    <x v="0"/>
    <x v="2"/>
    <n v="31"/>
    <x v="6"/>
    <x v="6"/>
    <n v="744"/>
    <x v="450"/>
  </r>
  <r>
    <n v="576"/>
    <x v="523"/>
    <x v="511"/>
    <s v="Mr"/>
    <s v="M"/>
    <n v="30"/>
    <s v="Brassey Square"/>
    <x v="407"/>
    <x v="1"/>
    <d v="2022-02-28T00:00:00"/>
    <x v="0"/>
    <x v="10"/>
    <n v="58"/>
    <x v="4"/>
    <x v="4"/>
    <n v="1044"/>
    <x v="132"/>
  </r>
  <r>
    <n v="577"/>
    <x v="524"/>
    <x v="347"/>
    <s v="Prof"/>
    <s v="F"/>
    <n v="30"/>
    <s v="Brathway Road"/>
    <x v="473"/>
    <x v="2"/>
    <d v="2020-04-15T00:00:00"/>
    <x v="2"/>
    <x v="4"/>
    <n v="62"/>
    <x v="9"/>
    <x v="9"/>
    <n v="1488"/>
    <x v="451"/>
  </r>
  <r>
    <n v="578"/>
    <x v="525"/>
    <x v="512"/>
    <s v="Mr"/>
    <s v="M"/>
    <n v="60"/>
    <s v="Bray Drive"/>
    <x v="474"/>
    <x v="2"/>
    <d v="2022-11-08T00:00:00"/>
    <x v="0"/>
    <x v="7"/>
    <n v="67"/>
    <x v="8"/>
    <x v="8"/>
    <n v="1340"/>
    <x v="452"/>
  </r>
  <r>
    <n v="579"/>
    <x v="526"/>
    <x v="513"/>
    <s v="Mrs"/>
    <s v="F"/>
    <n v="90"/>
    <s v="Brayard Road"/>
    <x v="203"/>
    <x v="36"/>
    <d v="2021-02-15T00:00:00"/>
    <x v="1"/>
    <x v="10"/>
    <n v="87"/>
    <x v="6"/>
    <x v="6"/>
    <n v="2088"/>
    <x v="453"/>
  </r>
  <r>
    <n v="580"/>
    <x v="527"/>
    <x v="514"/>
    <s v="Miss"/>
    <s v="F"/>
    <n v="30"/>
    <s v="Bream Close"/>
    <x v="475"/>
    <x v="62"/>
    <d v="2021-01-27T00:00:00"/>
    <x v="1"/>
    <x v="6"/>
    <n v="24"/>
    <x v="5"/>
    <x v="5"/>
    <n v="576"/>
    <x v="454"/>
  </r>
  <r>
    <n v="581"/>
    <x v="528"/>
    <x v="458"/>
    <s v="Dr"/>
    <s v="F"/>
    <n v="30"/>
    <s v="Brechin Plc+F1570"/>
    <x v="433"/>
    <x v="2"/>
    <d v="2022-09-17T00:00:00"/>
    <x v="0"/>
    <x v="9"/>
    <n v="77"/>
    <x v="3"/>
    <x v="3"/>
    <n v="1848"/>
    <x v="330"/>
  </r>
  <r>
    <n v="582"/>
    <x v="529"/>
    <x v="515"/>
    <s v="Mr"/>
    <s v="M"/>
    <n v="60"/>
    <s v="Brecknock Street"/>
    <x v="476"/>
    <x v="2"/>
    <d v="2022-09-01T00:00:00"/>
    <x v="0"/>
    <x v="9"/>
    <n v="65"/>
    <x v="1"/>
    <x v="1"/>
    <n v="1560"/>
    <x v="455"/>
  </r>
  <r>
    <n v="583"/>
    <x v="530"/>
    <x v="194"/>
    <s v="Mrs"/>
    <s v="F"/>
    <n v="90"/>
    <s v="Brent Terrace"/>
    <x v="477"/>
    <x v="2"/>
    <d v="2021-04-18T00:00:00"/>
    <x v="1"/>
    <x v="4"/>
    <n v="6"/>
    <x v="3"/>
    <x v="3"/>
    <n v="144"/>
    <x v="456"/>
  </r>
  <r>
    <n v="584"/>
    <x v="531"/>
    <x v="516"/>
    <s v="Miss"/>
    <s v="F"/>
    <n v="90"/>
    <s v="Brent Way"/>
    <x v="388"/>
    <x v="2"/>
    <d v="2020-02-23T00:00:00"/>
    <x v="2"/>
    <x v="10"/>
    <n v="67"/>
    <x v="3"/>
    <x v="3"/>
    <n v="1608"/>
    <x v="457"/>
  </r>
  <r>
    <n v="585"/>
    <x v="532"/>
    <x v="517"/>
    <s v="Mrs"/>
    <s v="F"/>
    <n v="60"/>
    <s v="Brenthouse Road"/>
    <x v="478"/>
    <x v="21"/>
    <d v="2020-08-02T00:00:00"/>
    <x v="2"/>
    <x v="3"/>
    <n v="59"/>
    <x v="1"/>
    <x v="1"/>
    <n v="1416"/>
    <x v="394"/>
  </r>
  <r>
    <n v="586"/>
    <x v="533"/>
    <x v="518"/>
    <s v="Miss"/>
    <s v="F"/>
    <n v="60"/>
    <s v="Brett Villas"/>
    <x v="479"/>
    <x v="11"/>
    <d v="2021-02-07T00:00:00"/>
    <x v="1"/>
    <x v="10"/>
    <n v="35"/>
    <x v="5"/>
    <x v="5"/>
    <n v="840"/>
    <x v="182"/>
  </r>
  <r>
    <n v="587"/>
    <x v="534"/>
    <x v="182"/>
    <s v="Mr"/>
    <s v="M"/>
    <n v="90"/>
    <s v="Brettenham Road"/>
    <x v="480"/>
    <x v="17"/>
    <d v="2020-12-11T00:00:00"/>
    <x v="2"/>
    <x v="8"/>
    <n v="56"/>
    <x v="0"/>
    <x v="0"/>
    <n v="1120"/>
    <x v="428"/>
  </r>
  <r>
    <n v="588"/>
    <x v="535"/>
    <x v="499"/>
    <s v="Miss"/>
    <s v="F"/>
    <n v="60"/>
    <s v="Brettenham Road"/>
    <x v="154"/>
    <x v="2"/>
    <d v="2022-10-22T00:00:00"/>
    <x v="0"/>
    <x v="1"/>
    <n v="104"/>
    <x v="2"/>
    <x v="2"/>
    <n v="1768"/>
    <x v="458"/>
  </r>
  <r>
    <n v="589"/>
    <x v="47"/>
    <x v="519"/>
    <s v="Miss"/>
    <s v="F"/>
    <n v="90"/>
    <s v="Brewers Lane"/>
    <x v="466"/>
    <x v="3"/>
    <d v="2020-09-28T00:00:00"/>
    <x v="2"/>
    <x v="9"/>
    <n v="51"/>
    <x v="3"/>
    <x v="3"/>
    <n v="1224"/>
    <x v="237"/>
  </r>
  <r>
    <n v="590"/>
    <x v="482"/>
    <x v="520"/>
    <s v="Mr"/>
    <s v="M"/>
    <n v="60"/>
    <s v="Brewers Lane"/>
    <x v="481"/>
    <x v="2"/>
    <d v="2020-12-20T00:00:00"/>
    <x v="2"/>
    <x v="8"/>
    <n v="64"/>
    <x v="2"/>
    <x v="2"/>
    <n v="1088"/>
    <x v="98"/>
  </r>
  <r>
    <n v="591"/>
    <x v="536"/>
    <x v="172"/>
    <s v="Mr"/>
    <s v="M"/>
    <n v="30"/>
    <s v="Brewer'S Quay"/>
    <x v="30"/>
    <x v="16"/>
    <d v="2020-07-04T00:00:00"/>
    <x v="2"/>
    <x v="0"/>
    <n v="49"/>
    <x v="9"/>
    <x v="9"/>
    <n v="1176"/>
    <x v="459"/>
  </r>
  <r>
    <n v="592"/>
    <x v="142"/>
    <x v="521"/>
    <s v="Miss"/>
    <s v="F"/>
    <n v="60"/>
    <s v="Brewers Street"/>
    <x v="482"/>
    <x v="2"/>
    <d v="2020-02-20T00:00:00"/>
    <x v="2"/>
    <x v="10"/>
    <n v="53"/>
    <x v="2"/>
    <x v="2"/>
    <n v="901"/>
    <x v="460"/>
  </r>
  <r>
    <n v="593"/>
    <x v="11"/>
    <x v="522"/>
    <s v="Mr"/>
    <s v="M"/>
    <n v="90"/>
    <s v="Brewhouse Road"/>
    <x v="442"/>
    <x v="67"/>
    <d v="2022-07-19T00:00:00"/>
    <x v="0"/>
    <x v="0"/>
    <n v="100"/>
    <x v="0"/>
    <x v="0"/>
    <n v="2000"/>
    <x v="461"/>
  </r>
  <r>
    <n v="594"/>
    <x v="537"/>
    <x v="523"/>
    <s v="Mr"/>
    <s v="M"/>
    <n v="90"/>
    <s v="Brewhouse Road"/>
    <x v="483"/>
    <x v="2"/>
    <d v="2020-03-11T00:00:00"/>
    <x v="2"/>
    <x v="5"/>
    <n v="57"/>
    <x v="5"/>
    <x v="5"/>
    <n v="1368"/>
    <x v="462"/>
  </r>
  <r>
    <n v="595"/>
    <x v="538"/>
    <x v="97"/>
    <s v="Mr"/>
    <s v="M"/>
    <n v="60"/>
    <s v="Brewhouse Walk"/>
    <x v="119"/>
    <x v="15"/>
    <d v="2021-08-11T00:00:00"/>
    <x v="1"/>
    <x v="3"/>
    <n v="46"/>
    <x v="5"/>
    <x v="5"/>
    <n v="1104"/>
    <x v="463"/>
  </r>
  <r>
    <n v="596"/>
    <x v="539"/>
    <x v="524"/>
    <s v="Dr"/>
    <s v="F"/>
    <n v="30"/>
    <s v="Brewhouse Yard"/>
    <x v="348"/>
    <x v="16"/>
    <d v="2021-03-29T00:00:00"/>
    <x v="1"/>
    <x v="5"/>
    <n v="34"/>
    <x v="3"/>
    <x v="3"/>
    <n v="816"/>
    <x v="464"/>
  </r>
  <r>
    <n v="597"/>
    <x v="540"/>
    <x v="523"/>
    <s v="Miss"/>
    <s v="F"/>
    <n v="30"/>
    <s v="Brewhouse Yard"/>
    <x v="294"/>
    <x v="2"/>
    <d v="2020-02-21T00:00:00"/>
    <x v="2"/>
    <x v="10"/>
    <n v="75"/>
    <x v="2"/>
    <x v="2"/>
    <n v="1275"/>
    <x v="465"/>
  </r>
  <r>
    <n v="598"/>
    <x v="541"/>
    <x v="525"/>
    <s v="Mr"/>
    <s v="M"/>
    <n v="30"/>
    <s v="Brewster Road"/>
    <x v="161"/>
    <x v="29"/>
    <d v="2022-08-01T00:00:00"/>
    <x v="0"/>
    <x v="3"/>
    <n v="82"/>
    <x v="7"/>
    <x v="7"/>
    <n v="1640"/>
    <x v="252"/>
  </r>
  <r>
    <n v="599"/>
    <x v="542"/>
    <x v="526"/>
    <s v="Mr"/>
    <s v="M"/>
    <n v="30"/>
    <s v="Briary Close"/>
    <x v="484"/>
    <x v="2"/>
    <d v="2020-02-14T00:00:00"/>
    <x v="2"/>
    <x v="10"/>
    <n v="25"/>
    <x v="1"/>
    <x v="1"/>
    <n v="600"/>
    <x v="437"/>
  </r>
  <r>
    <n v="600"/>
    <x v="543"/>
    <x v="473"/>
    <s v="Mr"/>
    <s v="M"/>
    <n v="90"/>
    <s v="Briary Lane"/>
    <x v="21"/>
    <x v="2"/>
    <d v="2022-06-12T00:00:00"/>
    <x v="0"/>
    <x v="2"/>
    <n v="6"/>
    <x v="1"/>
    <x v="1"/>
    <n v="144"/>
    <x v="466"/>
  </r>
  <r>
    <n v="601"/>
    <x v="105"/>
    <x v="466"/>
    <s v="Mr"/>
    <s v="M"/>
    <n v="60"/>
    <s v="Bridge Close"/>
    <x v="382"/>
    <x v="21"/>
    <d v="2020-02-14T00:00:00"/>
    <x v="2"/>
    <x v="10"/>
    <n v="78"/>
    <x v="1"/>
    <x v="1"/>
    <n v="1872"/>
    <x v="100"/>
  </r>
  <r>
    <n v="602"/>
    <x v="21"/>
    <x v="527"/>
    <s v="Mr"/>
    <s v="M"/>
    <n v="60"/>
    <s v="Bridge Lane"/>
    <x v="485"/>
    <x v="15"/>
    <d v="2020-12-31T00:00:00"/>
    <x v="2"/>
    <x v="8"/>
    <n v="10"/>
    <x v="2"/>
    <x v="2"/>
    <n v="170"/>
    <x v="317"/>
  </r>
  <r>
    <n v="603"/>
    <x v="544"/>
    <x v="528"/>
    <s v="Mrs"/>
    <s v="F"/>
    <n v="90"/>
    <s v="Bridge Place"/>
    <x v="295"/>
    <x v="17"/>
    <d v="2022-08-29T00:00:00"/>
    <x v="0"/>
    <x v="3"/>
    <n v="46"/>
    <x v="8"/>
    <x v="8"/>
    <n v="920"/>
    <x v="166"/>
  </r>
  <r>
    <n v="604"/>
    <x v="545"/>
    <x v="529"/>
    <s v="Miss"/>
    <s v="F"/>
    <n v="90"/>
    <s v="Bridgwater Road"/>
    <x v="142"/>
    <x v="21"/>
    <d v="2021-10-25T00:00:00"/>
    <x v="1"/>
    <x v="1"/>
    <n v="62"/>
    <x v="1"/>
    <x v="1"/>
    <n v="1488"/>
    <x v="467"/>
  </r>
  <r>
    <n v="605"/>
    <x v="546"/>
    <x v="214"/>
    <s v="Mrs"/>
    <s v="F"/>
    <n v="60"/>
    <s v="Bridport Street"/>
    <x v="486"/>
    <x v="3"/>
    <d v="2022-06-27T00:00:00"/>
    <x v="0"/>
    <x v="2"/>
    <n v="16"/>
    <x v="1"/>
    <x v="1"/>
    <n v="384"/>
    <x v="441"/>
  </r>
  <r>
    <n v="606"/>
    <x v="252"/>
    <x v="530"/>
    <s v="Mrs"/>
    <s v="F"/>
    <n v="30"/>
    <s v="Brierley Street"/>
    <x v="487"/>
    <x v="2"/>
    <d v="2022-04-25T00:00:00"/>
    <x v="0"/>
    <x v="4"/>
    <n v="89"/>
    <x v="5"/>
    <x v="5"/>
    <n v="2136"/>
    <x v="468"/>
  </r>
  <r>
    <n v="607"/>
    <x v="547"/>
    <x v="180"/>
    <s v="Mr"/>
    <s v="M"/>
    <n v="60"/>
    <s v="Bright Terrace"/>
    <x v="488"/>
    <x v="17"/>
    <d v="2022-07-04T00:00:00"/>
    <x v="0"/>
    <x v="0"/>
    <n v="33"/>
    <x v="4"/>
    <x v="4"/>
    <n v="594"/>
    <x v="469"/>
  </r>
  <r>
    <n v="608"/>
    <x v="548"/>
    <x v="233"/>
    <s v="Mrs"/>
    <s v="F"/>
    <n v="60"/>
    <s v="Brightlingsea Place"/>
    <x v="489"/>
    <x v="69"/>
    <d v="2020-04-01T00:00:00"/>
    <x v="2"/>
    <x v="4"/>
    <n v="38"/>
    <x v="0"/>
    <x v="0"/>
    <n v="760"/>
    <x v="470"/>
  </r>
  <r>
    <n v="609"/>
    <x v="549"/>
    <x v="85"/>
    <s v="Miss"/>
    <s v="F"/>
    <n v="90"/>
    <s v="Brightman Road"/>
    <x v="490"/>
    <x v="2"/>
    <d v="2021-01-20T00:00:00"/>
    <x v="1"/>
    <x v="6"/>
    <n v="59"/>
    <x v="6"/>
    <x v="6"/>
    <n v="1416"/>
    <x v="471"/>
  </r>
  <r>
    <n v="610"/>
    <x v="550"/>
    <x v="92"/>
    <s v="Miss"/>
    <s v="F"/>
    <n v="30"/>
    <s v="Brighton Place"/>
    <x v="491"/>
    <x v="2"/>
    <d v="2022-10-18T00:00:00"/>
    <x v="0"/>
    <x v="1"/>
    <n v="47"/>
    <x v="3"/>
    <x v="3"/>
    <n v="1128"/>
    <x v="472"/>
  </r>
  <r>
    <n v="611"/>
    <x v="551"/>
    <x v="419"/>
    <s v="Mr"/>
    <s v="M"/>
    <n v="60"/>
    <s v="Brights Buildings"/>
    <x v="149"/>
    <x v="1"/>
    <d v="2021-05-23T00:00:00"/>
    <x v="1"/>
    <x v="11"/>
    <n v="17"/>
    <x v="9"/>
    <x v="9"/>
    <n v="408"/>
    <x v="473"/>
  </r>
  <r>
    <n v="612"/>
    <x v="552"/>
    <x v="531"/>
    <s v="Dr"/>
    <s v="M"/>
    <n v="60"/>
    <s v="Brill Crescent"/>
    <x v="423"/>
    <x v="53"/>
    <d v="2022-11-02T00:00:00"/>
    <x v="0"/>
    <x v="7"/>
    <n v="15"/>
    <x v="1"/>
    <x v="1"/>
    <n v="360"/>
    <x v="474"/>
  </r>
  <r>
    <n v="613"/>
    <x v="553"/>
    <x v="519"/>
    <s v="Mr"/>
    <s v="M"/>
    <n v="60"/>
    <s v="Brill Crescent"/>
    <x v="492"/>
    <x v="17"/>
    <d v="2021-07-31T00:00:00"/>
    <x v="1"/>
    <x v="0"/>
    <n v="32"/>
    <x v="1"/>
    <x v="1"/>
    <n v="768"/>
    <x v="475"/>
  </r>
  <r>
    <n v="614"/>
    <x v="554"/>
    <x v="532"/>
    <s v="Mr"/>
    <s v="M"/>
    <n v="30"/>
    <s v="Brill Crescent"/>
    <x v="136"/>
    <x v="2"/>
    <d v="2020-01-24T00:00:00"/>
    <x v="2"/>
    <x v="6"/>
    <n v="25"/>
    <x v="9"/>
    <x v="9"/>
    <n v="600"/>
    <x v="120"/>
  </r>
  <r>
    <n v="615"/>
    <x v="555"/>
    <x v="533"/>
    <s v="Dr"/>
    <s v="M"/>
    <n v="30"/>
    <s v="Brill Terrace"/>
    <x v="493"/>
    <x v="21"/>
    <d v="2020-10-22T00:00:00"/>
    <x v="2"/>
    <x v="1"/>
    <n v="37"/>
    <x v="6"/>
    <x v="6"/>
    <n v="888"/>
    <x v="292"/>
  </r>
  <r>
    <n v="616"/>
    <x v="556"/>
    <x v="534"/>
    <s v="Mr"/>
    <s v="M"/>
    <n v="60"/>
    <s v="Brinkburn Close"/>
    <x v="150"/>
    <x v="2"/>
    <d v="2020-03-26T00:00:00"/>
    <x v="2"/>
    <x v="5"/>
    <n v="78"/>
    <x v="9"/>
    <x v="9"/>
    <n v="1872"/>
    <x v="353"/>
  </r>
  <r>
    <n v="617"/>
    <x v="557"/>
    <x v="535"/>
    <s v="Mr"/>
    <s v="M"/>
    <n v="30"/>
    <s v="Britannia Cottages"/>
    <x v="494"/>
    <x v="2"/>
    <d v="2022-11-02T00:00:00"/>
    <x v="0"/>
    <x v="7"/>
    <n v="69"/>
    <x v="6"/>
    <x v="6"/>
    <n v="1656"/>
    <x v="476"/>
  </r>
  <r>
    <n v="618"/>
    <x v="558"/>
    <x v="536"/>
    <s v="Mrs"/>
    <s v="F"/>
    <n v="60"/>
    <s v="Britannia Gardens"/>
    <x v="495"/>
    <x v="41"/>
    <d v="2022-10-10T00:00:00"/>
    <x v="0"/>
    <x v="1"/>
    <n v="65"/>
    <x v="4"/>
    <x v="4"/>
    <n v="1170"/>
    <x v="389"/>
  </r>
  <r>
    <n v="619"/>
    <x v="543"/>
    <x v="537"/>
    <s v="Mr"/>
    <s v="M"/>
    <n v="60"/>
    <s v="Britannia Gardens"/>
    <x v="496"/>
    <x v="11"/>
    <d v="2020-04-08T00:00:00"/>
    <x v="2"/>
    <x v="4"/>
    <n v="12"/>
    <x v="5"/>
    <x v="5"/>
    <n v="288"/>
    <x v="477"/>
  </r>
  <r>
    <n v="620"/>
    <x v="559"/>
    <x v="538"/>
    <s v="Miss"/>
    <s v="F"/>
    <n v="90"/>
    <s v="Britannia Walk"/>
    <x v="497"/>
    <x v="18"/>
    <d v="2020-02-18T00:00:00"/>
    <x v="2"/>
    <x v="10"/>
    <n v="40"/>
    <x v="8"/>
    <x v="8"/>
    <n v="800"/>
    <x v="478"/>
  </r>
  <r>
    <n v="621"/>
    <x v="560"/>
    <x v="539"/>
    <s v="Mrs"/>
    <s v="F"/>
    <n v="90"/>
    <s v="Brixton Road"/>
    <x v="431"/>
    <x v="2"/>
    <d v="2022-10-13T00:00:00"/>
    <x v="0"/>
    <x v="1"/>
    <n v="98"/>
    <x v="1"/>
    <x v="1"/>
    <n v="2352"/>
    <x v="479"/>
  </r>
  <r>
    <n v="622"/>
    <x v="561"/>
    <x v="540"/>
    <s v="Mr"/>
    <s v="M"/>
    <n v="30"/>
    <s v="Broadgates Road"/>
    <x v="463"/>
    <x v="2"/>
    <d v="2021-03-18T00:00:00"/>
    <x v="1"/>
    <x v="5"/>
    <n v="59"/>
    <x v="1"/>
    <x v="1"/>
    <n v="1416"/>
    <x v="394"/>
  </r>
  <r>
    <n v="623"/>
    <x v="562"/>
    <x v="541"/>
    <s v="Mr"/>
    <s v="M"/>
    <n v="30"/>
    <s v="Broadhead Strand"/>
    <x v="345"/>
    <x v="2"/>
    <d v="2022-04-14T00:00:00"/>
    <x v="0"/>
    <x v="4"/>
    <n v="73"/>
    <x v="1"/>
    <x v="1"/>
    <n v="1752"/>
    <x v="480"/>
  </r>
  <r>
    <n v="624"/>
    <x v="563"/>
    <x v="542"/>
    <s v="Mr"/>
    <s v="M"/>
    <n v="30"/>
    <s v="Broadlands Close"/>
    <x v="498"/>
    <x v="2"/>
    <d v="2021-08-20T00:00:00"/>
    <x v="1"/>
    <x v="3"/>
    <n v="58"/>
    <x v="4"/>
    <x v="4"/>
    <n v="1044"/>
    <x v="132"/>
  </r>
  <r>
    <n v="625"/>
    <x v="564"/>
    <x v="543"/>
    <s v="Mrs"/>
    <s v="F"/>
    <n v="30"/>
    <s v="Broadley Street"/>
    <x v="499"/>
    <x v="2"/>
    <d v="2020-11-24T00:00:00"/>
    <x v="2"/>
    <x v="7"/>
    <n v="29"/>
    <x v="2"/>
    <x v="2"/>
    <n v="493"/>
    <x v="481"/>
  </r>
  <r>
    <n v="626"/>
    <x v="565"/>
    <x v="344"/>
    <s v="Mr"/>
    <s v="M"/>
    <n v="60"/>
    <s v="Broadwater Road"/>
    <x v="500"/>
    <x v="1"/>
    <d v="2022-04-29T00:00:00"/>
    <x v="0"/>
    <x v="4"/>
    <n v="61"/>
    <x v="8"/>
    <x v="8"/>
    <n v="1220"/>
    <x v="482"/>
  </r>
  <r>
    <n v="627"/>
    <x v="566"/>
    <x v="544"/>
    <s v="Mr"/>
    <s v="M"/>
    <n v="30"/>
    <s v="Broadwater Road"/>
    <x v="501"/>
    <x v="2"/>
    <d v="2020-06-18T00:00:00"/>
    <x v="2"/>
    <x v="2"/>
    <n v="68"/>
    <x v="1"/>
    <x v="1"/>
    <n v="1632"/>
    <x v="160"/>
  </r>
  <r>
    <n v="628"/>
    <x v="567"/>
    <x v="545"/>
    <s v="Mrs"/>
    <s v="F"/>
    <n v="90"/>
    <s v="Broadway Court"/>
    <x v="379"/>
    <x v="60"/>
    <d v="2022-05-29T00:00:00"/>
    <x v="0"/>
    <x v="11"/>
    <n v="67"/>
    <x v="8"/>
    <x v="8"/>
    <n v="1340"/>
    <x v="452"/>
  </r>
  <r>
    <n v="629"/>
    <x v="568"/>
    <x v="372"/>
    <s v="Mr"/>
    <s v="M"/>
    <n v="30"/>
    <s v="Broadwick Street"/>
    <x v="352"/>
    <x v="2"/>
    <d v="2022-06-03T00:00:00"/>
    <x v="0"/>
    <x v="2"/>
    <n v="98"/>
    <x v="2"/>
    <x v="2"/>
    <n v="1666"/>
    <x v="483"/>
  </r>
  <r>
    <n v="630"/>
    <x v="569"/>
    <x v="546"/>
    <s v="Mrs"/>
    <s v="F"/>
    <n v="30"/>
    <s v="Brockley Cottages"/>
    <x v="391"/>
    <x v="2"/>
    <d v="2022-12-06T00:00:00"/>
    <x v="0"/>
    <x v="8"/>
    <n v="97"/>
    <x v="7"/>
    <x v="7"/>
    <n v="1940"/>
    <x v="484"/>
  </r>
  <r>
    <n v="631"/>
    <x v="570"/>
    <x v="121"/>
    <s v="Mr"/>
    <s v="M"/>
    <n v="90"/>
    <s v="Brockley Cross"/>
    <x v="502"/>
    <x v="1"/>
    <d v="2020-03-31T00:00:00"/>
    <x v="2"/>
    <x v="5"/>
    <n v="23"/>
    <x v="8"/>
    <x v="8"/>
    <n v="460"/>
    <x v="485"/>
  </r>
  <r>
    <n v="632"/>
    <x v="548"/>
    <x v="547"/>
    <s v="Miss"/>
    <s v="F"/>
    <n v="60"/>
    <s v="Brockley Mews"/>
    <x v="503"/>
    <x v="3"/>
    <d v="2022-06-13T00:00:00"/>
    <x v="0"/>
    <x v="2"/>
    <n v="101"/>
    <x v="3"/>
    <x v="3"/>
    <n v="2424"/>
    <x v="106"/>
  </r>
  <r>
    <n v="633"/>
    <x v="571"/>
    <x v="548"/>
    <s v="Miss"/>
    <s v="F"/>
    <n v="30"/>
    <s v="Brockwell Terrace"/>
    <x v="504"/>
    <x v="2"/>
    <d v="2022-02-16T00:00:00"/>
    <x v="0"/>
    <x v="10"/>
    <n v="22"/>
    <x v="6"/>
    <x v="6"/>
    <n v="528"/>
    <x v="316"/>
  </r>
  <r>
    <n v="634"/>
    <x v="572"/>
    <x v="373"/>
    <s v="Mr"/>
    <s v="M"/>
    <n v="60"/>
    <s v="Broderick Road"/>
    <x v="140"/>
    <x v="2"/>
    <d v="2022-07-30T00:00:00"/>
    <x v="0"/>
    <x v="0"/>
    <n v="4"/>
    <x v="4"/>
    <x v="4"/>
    <n v="72"/>
    <x v="486"/>
  </r>
  <r>
    <n v="635"/>
    <x v="573"/>
    <x v="213"/>
    <s v="Mrs"/>
    <s v="F"/>
    <n v="90"/>
    <s v="Broker'S Alley"/>
    <x v="157"/>
    <x v="30"/>
    <d v="2021-08-23T00:00:00"/>
    <x v="1"/>
    <x v="3"/>
    <n v="59"/>
    <x v="9"/>
    <x v="9"/>
    <n v="1416"/>
    <x v="62"/>
  </r>
  <r>
    <n v="636"/>
    <x v="574"/>
    <x v="549"/>
    <s v="Ms"/>
    <s v="F"/>
    <n v="30"/>
    <s v="Brompton Arcade"/>
    <x v="239"/>
    <x v="40"/>
    <d v="2021-11-02T00:00:00"/>
    <x v="1"/>
    <x v="7"/>
    <n v="74"/>
    <x v="1"/>
    <x v="1"/>
    <n v="1776"/>
    <x v="360"/>
  </r>
  <r>
    <n v="637"/>
    <x v="350"/>
    <x v="550"/>
    <s v="Mr"/>
    <s v="M"/>
    <n v="60"/>
    <s v="Brompton Square"/>
    <x v="505"/>
    <x v="12"/>
    <d v="2022-04-16T00:00:00"/>
    <x v="0"/>
    <x v="4"/>
    <n v="96"/>
    <x v="2"/>
    <x v="2"/>
    <n v="1632"/>
    <x v="160"/>
  </r>
  <r>
    <n v="638"/>
    <x v="575"/>
    <x v="551"/>
    <s v="Mrs"/>
    <s v="F"/>
    <n v="60"/>
    <s v="Brompton Terrace"/>
    <x v="506"/>
    <x v="15"/>
    <d v="2020-04-25T00:00:00"/>
    <x v="2"/>
    <x v="4"/>
    <n v="48"/>
    <x v="6"/>
    <x v="6"/>
    <n v="1152"/>
    <x v="487"/>
  </r>
  <r>
    <n v="639"/>
    <x v="576"/>
    <x v="25"/>
    <s v="Mrs"/>
    <s v="F"/>
    <n v="60"/>
    <s v="Brompton Terrace"/>
    <x v="288"/>
    <x v="2"/>
    <d v="2020-01-06T00:00:00"/>
    <x v="2"/>
    <x v="6"/>
    <n v="13"/>
    <x v="0"/>
    <x v="0"/>
    <n v="260"/>
    <x v="1"/>
  </r>
  <r>
    <n v="640"/>
    <x v="167"/>
    <x v="552"/>
    <s v="Mr"/>
    <s v="M"/>
    <n v="60"/>
    <s v="Brondesbury Mews"/>
    <x v="507"/>
    <x v="70"/>
    <d v="2021-10-04T00:00:00"/>
    <x v="1"/>
    <x v="1"/>
    <n v="50"/>
    <x v="5"/>
    <x v="5"/>
    <n v="1200"/>
    <x v="159"/>
  </r>
  <r>
    <n v="641"/>
    <x v="577"/>
    <x v="553"/>
    <s v="Miss"/>
    <s v="F"/>
    <n v="30"/>
    <s v="Bronhill Terrace"/>
    <x v="508"/>
    <x v="2"/>
    <d v="2020-05-18T00:00:00"/>
    <x v="2"/>
    <x v="11"/>
    <n v="9"/>
    <x v="7"/>
    <x v="7"/>
    <n v="180"/>
    <x v="488"/>
  </r>
  <r>
    <n v="642"/>
    <x v="578"/>
    <x v="554"/>
    <s v="Mr"/>
    <s v="M"/>
    <n v="90"/>
    <s v="Bronti Close"/>
    <x v="509"/>
    <x v="20"/>
    <d v="2022-04-26T00:00:00"/>
    <x v="0"/>
    <x v="4"/>
    <n v="60"/>
    <x v="6"/>
    <x v="6"/>
    <n v="1440"/>
    <x v="279"/>
  </r>
  <r>
    <n v="643"/>
    <x v="140"/>
    <x v="555"/>
    <s v="Ms"/>
    <s v="F"/>
    <n v="90"/>
    <s v="Brook Crescent"/>
    <x v="510"/>
    <x v="71"/>
    <d v="2022-08-19T00:00:00"/>
    <x v="0"/>
    <x v="3"/>
    <n v="57"/>
    <x v="2"/>
    <x v="2"/>
    <n v="969"/>
    <x v="489"/>
  </r>
  <r>
    <n v="644"/>
    <x v="579"/>
    <x v="556"/>
    <s v="Mrs"/>
    <s v="F"/>
    <n v="30"/>
    <s v="Brookdale Road"/>
    <x v="80"/>
    <x v="2"/>
    <d v="2020-05-23T00:00:00"/>
    <x v="2"/>
    <x v="11"/>
    <n v="24"/>
    <x v="3"/>
    <x v="3"/>
    <n v="576"/>
    <x v="215"/>
  </r>
  <r>
    <n v="645"/>
    <x v="580"/>
    <x v="249"/>
    <s v="Mr"/>
    <s v="M"/>
    <n v="90"/>
    <s v="Brooke Road"/>
    <x v="511"/>
    <x v="2"/>
    <d v="2020-10-06T00:00:00"/>
    <x v="2"/>
    <x v="1"/>
    <n v="61"/>
    <x v="1"/>
    <x v="1"/>
    <n v="1464"/>
    <x v="490"/>
  </r>
  <r>
    <n v="646"/>
    <x v="54"/>
    <x v="557"/>
    <s v="Mrs"/>
    <s v="F"/>
    <n v="60"/>
    <s v="Brookland Garth"/>
    <x v="512"/>
    <x v="2"/>
    <d v="2020-08-17T00:00:00"/>
    <x v="2"/>
    <x v="3"/>
    <n v="84"/>
    <x v="4"/>
    <x v="4"/>
    <n v="1512"/>
    <x v="124"/>
  </r>
  <r>
    <n v="647"/>
    <x v="581"/>
    <x v="439"/>
    <s v="Mrs"/>
    <s v="F"/>
    <n v="30"/>
    <s v="Brookland Rise"/>
    <x v="513"/>
    <x v="16"/>
    <d v="2022-04-24T00:00:00"/>
    <x v="0"/>
    <x v="4"/>
    <n v="17"/>
    <x v="2"/>
    <x v="2"/>
    <n v="289"/>
    <x v="491"/>
  </r>
  <r>
    <n v="648"/>
    <x v="249"/>
    <x v="558"/>
    <s v="Mr"/>
    <s v="M"/>
    <n v="30"/>
    <s v="Brookland Villas"/>
    <x v="514"/>
    <x v="2"/>
    <d v="2021-07-09T00:00:00"/>
    <x v="1"/>
    <x v="0"/>
    <n v="75"/>
    <x v="1"/>
    <x v="1"/>
    <n v="1800"/>
    <x v="2"/>
  </r>
  <r>
    <n v="649"/>
    <x v="582"/>
    <x v="559"/>
    <s v="Mr"/>
    <s v="M"/>
    <n v="30"/>
    <s v="Brooklyn Avenue"/>
    <x v="515"/>
    <x v="10"/>
    <d v="2021-07-01T00:00:00"/>
    <x v="1"/>
    <x v="0"/>
    <n v="66"/>
    <x v="3"/>
    <x v="3"/>
    <n v="1584"/>
    <x v="158"/>
  </r>
  <r>
    <n v="650"/>
    <x v="578"/>
    <x v="560"/>
    <s v="Mr"/>
    <s v="M"/>
    <n v="90"/>
    <s v="Brooklyn Villas"/>
    <x v="379"/>
    <x v="60"/>
    <d v="2021-07-08T00:00:00"/>
    <x v="1"/>
    <x v="0"/>
    <n v="17"/>
    <x v="6"/>
    <x v="6"/>
    <n v="408"/>
    <x v="492"/>
  </r>
  <r>
    <n v="651"/>
    <x v="583"/>
    <x v="561"/>
    <s v="Mr"/>
    <s v="M"/>
    <n v="30"/>
    <s v="Brooklyn Villas"/>
    <x v="516"/>
    <x v="48"/>
    <d v="2021-08-31T00:00:00"/>
    <x v="1"/>
    <x v="3"/>
    <n v="37"/>
    <x v="7"/>
    <x v="7"/>
    <n v="740"/>
    <x v="398"/>
  </r>
  <r>
    <n v="652"/>
    <x v="584"/>
    <x v="562"/>
    <s v="Mr"/>
    <s v="M"/>
    <n v="30"/>
    <s v="Brook'S Mews"/>
    <x v="212"/>
    <x v="8"/>
    <d v="2020-07-02T00:00:00"/>
    <x v="2"/>
    <x v="0"/>
    <n v="84"/>
    <x v="9"/>
    <x v="9"/>
    <n v="2016"/>
    <x v="367"/>
  </r>
  <r>
    <n v="653"/>
    <x v="585"/>
    <x v="563"/>
    <s v="Miss"/>
    <s v="F"/>
    <n v="30"/>
    <s v="Brook'S Yard"/>
    <x v="517"/>
    <x v="2"/>
    <d v="2020-07-22T00:00:00"/>
    <x v="2"/>
    <x v="0"/>
    <n v="9"/>
    <x v="7"/>
    <x v="7"/>
    <n v="180"/>
    <x v="488"/>
  </r>
  <r>
    <n v="654"/>
    <x v="586"/>
    <x v="321"/>
    <s v="Miss"/>
    <s v="F"/>
    <n v="60"/>
    <s v="Brookscroft Road"/>
    <x v="518"/>
    <x v="2"/>
    <d v="2020-03-08T00:00:00"/>
    <x v="2"/>
    <x v="5"/>
    <n v="10"/>
    <x v="9"/>
    <x v="9"/>
    <n v="240"/>
    <x v="34"/>
  </r>
  <r>
    <n v="655"/>
    <x v="587"/>
    <x v="564"/>
    <s v="Ms"/>
    <s v="F"/>
    <n v="30"/>
    <s v="Broomfield"/>
    <x v="519"/>
    <x v="15"/>
    <d v="2020-08-31T00:00:00"/>
    <x v="2"/>
    <x v="3"/>
    <n v="76"/>
    <x v="2"/>
    <x v="2"/>
    <n v="1292"/>
    <x v="347"/>
  </r>
  <r>
    <n v="656"/>
    <x v="588"/>
    <x v="565"/>
    <s v="Mr"/>
    <s v="M"/>
    <n v="30"/>
    <s v="Broomsleigh Street"/>
    <x v="142"/>
    <x v="21"/>
    <d v="2022-09-22T00:00:00"/>
    <x v="0"/>
    <x v="9"/>
    <n v="7"/>
    <x v="4"/>
    <x v="4"/>
    <n v="126"/>
    <x v="311"/>
  </r>
  <r>
    <n v="657"/>
    <x v="589"/>
    <x v="566"/>
    <s v="Mr"/>
    <s v="M"/>
    <n v="60"/>
    <s v="Broughton Road"/>
    <x v="520"/>
    <x v="13"/>
    <d v="2022-11-16T00:00:00"/>
    <x v="0"/>
    <x v="7"/>
    <n v="101"/>
    <x v="9"/>
    <x v="9"/>
    <n v="2424"/>
    <x v="493"/>
  </r>
  <r>
    <n v="658"/>
    <x v="590"/>
    <x v="567"/>
    <s v="Mr"/>
    <s v="M"/>
    <n v="60"/>
    <s v="Brownfield Street"/>
    <x v="358"/>
    <x v="58"/>
    <d v="2021-04-04T00:00:00"/>
    <x v="1"/>
    <x v="4"/>
    <n v="61"/>
    <x v="8"/>
    <x v="8"/>
    <n v="1220"/>
    <x v="482"/>
  </r>
  <r>
    <n v="659"/>
    <x v="591"/>
    <x v="568"/>
    <s v="Mrs"/>
    <s v="F"/>
    <n v="30"/>
    <s v="Brownfield Street"/>
    <x v="521"/>
    <x v="52"/>
    <d v="2021-09-18T00:00:00"/>
    <x v="1"/>
    <x v="9"/>
    <n v="91"/>
    <x v="5"/>
    <x v="5"/>
    <n v="2184"/>
    <x v="494"/>
  </r>
  <r>
    <n v="660"/>
    <x v="592"/>
    <x v="569"/>
    <s v="Mrs"/>
    <s v="F"/>
    <n v="30"/>
    <s v="Browning Place"/>
    <x v="522"/>
    <x v="17"/>
    <d v="2022-06-09T00:00:00"/>
    <x v="0"/>
    <x v="2"/>
    <n v="86"/>
    <x v="7"/>
    <x v="7"/>
    <n v="1720"/>
    <x v="495"/>
  </r>
  <r>
    <n v="661"/>
    <x v="593"/>
    <x v="570"/>
    <s v="Mr"/>
    <s v="M"/>
    <n v="90"/>
    <s v="Browns Lane"/>
    <x v="523"/>
    <x v="16"/>
    <d v="2021-06-11T00:00:00"/>
    <x v="1"/>
    <x v="2"/>
    <n v="60"/>
    <x v="3"/>
    <x v="3"/>
    <n v="1440"/>
    <x v="261"/>
  </r>
  <r>
    <n v="662"/>
    <x v="594"/>
    <x v="447"/>
    <s v="Mr"/>
    <s v="M"/>
    <n v="60"/>
    <s v="Browns Road"/>
    <x v="524"/>
    <x v="35"/>
    <d v="2021-05-21T00:00:00"/>
    <x v="1"/>
    <x v="11"/>
    <n v="68"/>
    <x v="9"/>
    <x v="9"/>
    <n v="1632"/>
    <x v="496"/>
  </r>
  <r>
    <n v="663"/>
    <x v="595"/>
    <x v="571"/>
    <s v="Mr"/>
    <s v="M"/>
    <n v="90"/>
    <s v="Brunel Road"/>
    <x v="525"/>
    <x v="17"/>
    <d v="2021-09-24T00:00:00"/>
    <x v="1"/>
    <x v="9"/>
    <n v="61"/>
    <x v="1"/>
    <x v="1"/>
    <n v="1464"/>
    <x v="490"/>
  </r>
  <r>
    <n v="664"/>
    <x v="596"/>
    <x v="572"/>
    <s v="Mr"/>
    <s v="M"/>
    <n v="90"/>
    <s v="Brunel Road"/>
    <x v="526"/>
    <x v="1"/>
    <d v="2021-12-05T00:00:00"/>
    <x v="1"/>
    <x v="8"/>
    <n v="69"/>
    <x v="0"/>
    <x v="0"/>
    <n v="1380"/>
    <x v="497"/>
  </r>
  <r>
    <n v="665"/>
    <x v="597"/>
    <x v="573"/>
    <s v="Mr"/>
    <s v="M"/>
    <n v="60"/>
    <s v="Brunel Walk"/>
    <x v="96"/>
    <x v="21"/>
    <d v="2021-04-06T00:00:00"/>
    <x v="1"/>
    <x v="4"/>
    <n v="27"/>
    <x v="4"/>
    <x v="4"/>
    <n v="486"/>
    <x v="306"/>
  </r>
  <r>
    <n v="666"/>
    <x v="598"/>
    <x v="574"/>
    <s v="Mr"/>
    <s v="M"/>
    <n v="30"/>
    <s v="Brunner Close"/>
    <x v="527"/>
    <x v="2"/>
    <d v="2021-07-02T00:00:00"/>
    <x v="1"/>
    <x v="0"/>
    <n v="64"/>
    <x v="0"/>
    <x v="0"/>
    <n v="1280"/>
    <x v="498"/>
  </r>
  <r>
    <n v="667"/>
    <x v="599"/>
    <x v="301"/>
    <s v="Mrs"/>
    <s v="F"/>
    <n v="90"/>
    <s v="Brunswick Crescent"/>
    <x v="435"/>
    <x v="11"/>
    <d v="2020-07-27T00:00:00"/>
    <x v="2"/>
    <x v="0"/>
    <n v="7"/>
    <x v="5"/>
    <x v="5"/>
    <n v="168"/>
    <x v="499"/>
  </r>
  <r>
    <n v="668"/>
    <x v="600"/>
    <x v="575"/>
    <s v="Miss"/>
    <s v="F"/>
    <n v="90"/>
    <s v="Brunton Place"/>
    <x v="106"/>
    <x v="2"/>
    <d v="2021-12-18T00:00:00"/>
    <x v="1"/>
    <x v="8"/>
    <n v="70"/>
    <x v="3"/>
    <x v="3"/>
    <n v="1680"/>
    <x v="500"/>
  </r>
  <r>
    <n v="669"/>
    <x v="601"/>
    <x v="394"/>
    <s v="Mr"/>
    <s v="M"/>
    <n v="90"/>
    <s v="Brunton'S Place"/>
    <x v="174"/>
    <x v="31"/>
    <d v="2020-08-21T00:00:00"/>
    <x v="2"/>
    <x v="3"/>
    <n v="57"/>
    <x v="7"/>
    <x v="7"/>
    <n v="1140"/>
    <x v="501"/>
  </r>
  <r>
    <n v="670"/>
    <x v="602"/>
    <x v="576"/>
    <s v="Mr"/>
    <s v="M"/>
    <n v="60"/>
    <s v="Brunton'S Place"/>
    <x v="109"/>
    <x v="21"/>
    <d v="2022-04-11T00:00:00"/>
    <x v="0"/>
    <x v="4"/>
    <n v="42"/>
    <x v="4"/>
    <x v="4"/>
    <n v="756"/>
    <x v="408"/>
  </r>
  <r>
    <n v="671"/>
    <x v="208"/>
    <x v="577"/>
    <s v="Mr"/>
    <s v="M"/>
    <n v="60"/>
    <s v="Bruton Way"/>
    <x v="510"/>
    <x v="71"/>
    <d v="2021-05-04T00:00:00"/>
    <x v="1"/>
    <x v="11"/>
    <n v="24"/>
    <x v="5"/>
    <x v="5"/>
    <n v="576"/>
    <x v="454"/>
  </r>
  <r>
    <n v="672"/>
    <x v="603"/>
    <x v="578"/>
    <s v="Mr"/>
    <s v="M"/>
    <n v="30"/>
    <s v="Bryant Street"/>
    <x v="0"/>
    <x v="0"/>
    <d v="2022-08-10T00:00:00"/>
    <x v="0"/>
    <x v="3"/>
    <n v="82"/>
    <x v="4"/>
    <x v="4"/>
    <n v="1476"/>
    <x v="291"/>
  </r>
  <r>
    <n v="673"/>
    <x v="604"/>
    <x v="579"/>
    <s v="Miss"/>
    <s v="F"/>
    <n v="30"/>
    <s v="Brycedale Crescent"/>
    <x v="528"/>
    <x v="21"/>
    <d v="2022-06-17T00:00:00"/>
    <x v="0"/>
    <x v="2"/>
    <n v="34"/>
    <x v="2"/>
    <x v="2"/>
    <n v="578"/>
    <x v="502"/>
  </r>
  <r>
    <n v="674"/>
    <x v="605"/>
    <x v="580"/>
    <s v="Mr"/>
    <s v="M"/>
    <n v="30"/>
    <s v="Brycedale Crescent"/>
    <x v="61"/>
    <x v="2"/>
    <d v="2020-10-13T00:00:00"/>
    <x v="2"/>
    <x v="1"/>
    <n v="34"/>
    <x v="4"/>
    <x v="4"/>
    <n v="612"/>
    <x v="503"/>
  </r>
  <r>
    <n v="675"/>
    <x v="606"/>
    <x v="267"/>
    <s v="Mrs"/>
    <s v="F"/>
    <n v="90"/>
    <s v="Bryn Towy"/>
    <x v="529"/>
    <x v="44"/>
    <d v="2020-11-19T00:00:00"/>
    <x v="2"/>
    <x v="7"/>
    <n v="11"/>
    <x v="2"/>
    <x v="2"/>
    <n v="187"/>
    <x v="412"/>
  </r>
  <r>
    <n v="676"/>
    <x v="607"/>
    <x v="463"/>
    <s v="Dr"/>
    <s v="F"/>
    <n v="90"/>
    <s v="Brynmaer Road"/>
    <x v="530"/>
    <x v="2"/>
    <d v="2020-03-19T00:00:00"/>
    <x v="2"/>
    <x v="5"/>
    <n v="85"/>
    <x v="2"/>
    <x v="2"/>
    <n v="1445"/>
    <x v="214"/>
  </r>
  <r>
    <n v="677"/>
    <x v="608"/>
    <x v="292"/>
    <s v="Mr"/>
    <s v="M"/>
    <n v="90"/>
    <s v="Bryony Road"/>
    <x v="531"/>
    <x v="63"/>
    <d v="2020-12-10T00:00:00"/>
    <x v="2"/>
    <x v="8"/>
    <n v="20"/>
    <x v="0"/>
    <x v="0"/>
    <n v="400"/>
    <x v="210"/>
  </r>
  <r>
    <n v="678"/>
    <x v="609"/>
    <x v="581"/>
    <s v="Mr"/>
    <s v="M"/>
    <n v="30"/>
    <s v="Buccleugh Road"/>
    <x v="405"/>
    <x v="21"/>
    <d v="2021-11-16T00:00:00"/>
    <x v="1"/>
    <x v="7"/>
    <n v="31"/>
    <x v="8"/>
    <x v="8"/>
    <n v="620"/>
    <x v="504"/>
  </r>
  <r>
    <n v="679"/>
    <x v="541"/>
    <x v="582"/>
    <s v="Mr"/>
    <s v="M"/>
    <n v="90"/>
    <s v="Buccleugh Road"/>
    <x v="54"/>
    <x v="2"/>
    <d v="2021-05-06T00:00:00"/>
    <x v="1"/>
    <x v="11"/>
    <n v="18"/>
    <x v="1"/>
    <x v="1"/>
    <n v="432"/>
    <x v="39"/>
  </r>
  <r>
    <n v="680"/>
    <x v="610"/>
    <x v="583"/>
    <s v="Mrs"/>
    <s v="F"/>
    <n v="90"/>
    <s v="Buckingham Avenue"/>
    <x v="532"/>
    <x v="2"/>
    <d v="2022-02-28T00:00:00"/>
    <x v="0"/>
    <x v="10"/>
    <n v="10"/>
    <x v="3"/>
    <x v="3"/>
    <n v="240"/>
    <x v="103"/>
  </r>
  <r>
    <n v="681"/>
    <x v="611"/>
    <x v="406"/>
    <s v="Miss"/>
    <s v="F"/>
    <n v="30"/>
    <s v="Buckingham Market"/>
    <x v="142"/>
    <x v="21"/>
    <d v="2022-12-30T00:00:00"/>
    <x v="0"/>
    <x v="8"/>
    <n v="17"/>
    <x v="7"/>
    <x v="7"/>
    <n v="340"/>
    <x v="505"/>
  </r>
  <r>
    <n v="682"/>
    <x v="612"/>
    <x v="584"/>
    <s v="Miss"/>
    <s v="F"/>
    <n v="30"/>
    <s v="Buckingham Palace"/>
    <x v="70"/>
    <x v="2"/>
    <d v="2020-06-03T00:00:00"/>
    <x v="2"/>
    <x v="2"/>
    <n v="44"/>
    <x v="6"/>
    <x v="6"/>
    <n v="1056"/>
    <x v="422"/>
  </r>
  <r>
    <n v="683"/>
    <x v="613"/>
    <x v="585"/>
    <s v="Miss"/>
    <s v="F"/>
    <n v="90"/>
    <s v="Buckleigh Avenue"/>
    <x v="448"/>
    <x v="2"/>
    <d v="2022-11-22T00:00:00"/>
    <x v="0"/>
    <x v="7"/>
    <n v="53"/>
    <x v="2"/>
    <x v="2"/>
    <n v="901"/>
    <x v="460"/>
  </r>
  <r>
    <n v="684"/>
    <x v="614"/>
    <x v="370"/>
    <s v="Mrs"/>
    <s v="F"/>
    <n v="60"/>
    <s v="Buckley Road"/>
    <x v="405"/>
    <x v="21"/>
    <d v="2022-08-02T00:00:00"/>
    <x v="0"/>
    <x v="3"/>
    <n v="17"/>
    <x v="3"/>
    <x v="3"/>
    <n v="408"/>
    <x v="506"/>
  </r>
  <r>
    <n v="685"/>
    <x v="615"/>
    <x v="194"/>
    <s v="Miss"/>
    <s v="F"/>
    <n v="90"/>
    <s v="Buckton Street"/>
    <x v="142"/>
    <x v="21"/>
    <d v="2020-02-21T00:00:00"/>
    <x v="2"/>
    <x v="10"/>
    <n v="70"/>
    <x v="0"/>
    <x v="0"/>
    <n v="1400"/>
    <x v="507"/>
  </r>
  <r>
    <n v="686"/>
    <x v="36"/>
    <x v="586"/>
    <s v="Mrs"/>
    <s v="F"/>
    <n v="30"/>
    <s v="Budge Row"/>
    <x v="533"/>
    <x v="2"/>
    <d v="2022-01-10T00:00:00"/>
    <x v="0"/>
    <x v="6"/>
    <n v="78"/>
    <x v="9"/>
    <x v="9"/>
    <n v="1872"/>
    <x v="353"/>
  </r>
  <r>
    <n v="687"/>
    <x v="616"/>
    <x v="587"/>
    <s v="Mr"/>
    <s v="M"/>
    <n v="90"/>
    <s v="Bulinga Street"/>
    <x v="18"/>
    <x v="11"/>
    <d v="2021-08-12T00:00:00"/>
    <x v="1"/>
    <x v="3"/>
    <n v="47"/>
    <x v="6"/>
    <x v="6"/>
    <n v="1128"/>
    <x v="508"/>
  </r>
  <r>
    <n v="688"/>
    <x v="617"/>
    <x v="588"/>
    <s v="Miss"/>
    <s v="F"/>
    <n v="90"/>
    <s v="Bull Inn"/>
    <x v="534"/>
    <x v="3"/>
    <d v="2022-04-22T00:00:00"/>
    <x v="0"/>
    <x v="4"/>
    <n v="87"/>
    <x v="0"/>
    <x v="0"/>
    <n v="1740"/>
    <x v="184"/>
  </r>
  <r>
    <n v="689"/>
    <x v="618"/>
    <x v="472"/>
    <s v="Mr"/>
    <s v="M"/>
    <n v="90"/>
    <s v="Bullens Road"/>
    <x v="535"/>
    <x v="45"/>
    <d v="2021-08-31T00:00:00"/>
    <x v="1"/>
    <x v="3"/>
    <n v="88"/>
    <x v="2"/>
    <x v="2"/>
    <n v="1496"/>
    <x v="509"/>
  </r>
  <r>
    <n v="690"/>
    <x v="619"/>
    <x v="516"/>
    <s v="Mr"/>
    <s v="M"/>
    <n v="90"/>
    <s v="Bullens Road"/>
    <x v="142"/>
    <x v="21"/>
    <d v="2022-05-10T00:00:00"/>
    <x v="0"/>
    <x v="11"/>
    <n v="100"/>
    <x v="3"/>
    <x v="3"/>
    <n v="2400"/>
    <x v="444"/>
  </r>
  <r>
    <n v="691"/>
    <x v="620"/>
    <x v="589"/>
    <s v="Miss"/>
    <s v="F"/>
    <n v="90"/>
    <s v="Bulling Court"/>
    <x v="536"/>
    <x v="44"/>
    <d v="2021-08-16T00:00:00"/>
    <x v="1"/>
    <x v="3"/>
    <n v="35"/>
    <x v="6"/>
    <x v="6"/>
    <n v="840"/>
    <x v="510"/>
  </r>
  <r>
    <n v="692"/>
    <x v="621"/>
    <x v="590"/>
    <s v="Mrs"/>
    <s v="F"/>
    <n v="30"/>
    <s v="Bull'S Head"/>
    <x v="374"/>
    <x v="17"/>
    <d v="2021-05-20T00:00:00"/>
    <x v="1"/>
    <x v="11"/>
    <n v="45"/>
    <x v="5"/>
    <x v="5"/>
    <n v="1080"/>
    <x v="112"/>
  </r>
  <r>
    <n v="693"/>
    <x v="622"/>
    <x v="591"/>
    <s v="Ms"/>
    <s v="F"/>
    <n v="60"/>
    <s v="Bulstrode Street"/>
    <x v="537"/>
    <x v="2"/>
    <d v="2022-08-10T00:00:00"/>
    <x v="0"/>
    <x v="3"/>
    <n v="68"/>
    <x v="3"/>
    <x v="3"/>
    <n v="1632"/>
    <x v="511"/>
  </r>
  <r>
    <n v="694"/>
    <x v="623"/>
    <x v="592"/>
    <s v="Mr"/>
    <s v="M"/>
    <n v="60"/>
    <s v="Burcham Street"/>
    <x v="538"/>
    <x v="1"/>
    <d v="2022-02-13T00:00:00"/>
    <x v="0"/>
    <x v="10"/>
    <n v="73"/>
    <x v="7"/>
    <x v="7"/>
    <n v="1460"/>
    <x v="512"/>
  </r>
  <r>
    <n v="695"/>
    <x v="624"/>
    <x v="593"/>
    <s v="Mr"/>
    <s v="M"/>
    <n v="90"/>
    <s v="Burden Street"/>
    <x v="539"/>
    <x v="36"/>
    <d v="2022-01-06T00:00:00"/>
    <x v="0"/>
    <x v="6"/>
    <n v="12"/>
    <x v="8"/>
    <x v="8"/>
    <n v="240"/>
    <x v="220"/>
  </r>
  <r>
    <n v="696"/>
    <x v="181"/>
    <x v="594"/>
    <s v="Mrs"/>
    <s v="F"/>
    <n v="30"/>
    <s v="Burdett Mews"/>
    <x v="165"/>
    <x v="2"/>
    <d v="2022-12-19T00:00:00"/>
    <x v="0"/>
    <x v="8"/>
    <n v="59"/>
    <x v="9"/>
    <x v="9"/>
    <n v="1416"/>
    <x v="62"/>
  </r>
  <r>
    <n v="697"/>
    <x v="625"/>
    <x v="495"/>
    <s v="Mr"/>
    <s v="M"/>
    <n v="90"/>
    <s v="Burdett Place"/>
    <x v="540"/>
    <x v="17"/>
    <d v="2022-06-10T00:00:00"/>
    <x v="0"/>
    <x v="2"/>
    <n v="10"/>
    <x v="2"/>
    <x v="2"/>
    <n v="170"/>
    <x v="317"/>
  </r>
  <r>
    <n v="698"/>
    <x v="626"/>
    <x v="595"/>
    <s v="Miss"/>
    <s v="F"/>
    <n v="30"/>
    <s v="Burdett Place"/>
    <x v="541"/>
    <x v="2"/>
    <d v="2022-10-26T00:00:00"/>
    <x v="0"/>
    <x v="1"/>
    <n v="95"/>
    <x v="5"/>
    <x v="5"/>
    <n v="2280"/>
    <x v="217"/>
  </r>
  <r>
    <n v="699"/>
    <x v="1"/>
    <x v="596"/>
    <s v="Miss"/>
    <s v="F"/>
    <n v="90"/>
    <s v="Burford Gardens"/>
    <x v="542"/>
    <x v="2"/>
    <d v="2021-01-01T00:00:00"/>
    <x v="1"/>
    <x v="6"/>
    <n v="71"/>
    <x v="4"/>
    <x v="4"/>
    <n v="1278"/>
    <x v="265"/>
  </r>
  <r>
    <n v="700"/>
    <x v="627"/>
    <x v="327"/>
    <s v="Dr"/>
    <s v="M"/>
    <n v="90"/>
    <s v="Burford Walk"/>
    <x v="543"/>
    <x v="2"/>
    <d v="2022-08-30T00:00:00"/>
    <x v="0"/>
    <x v="3"/>
    <n v="54"/>
    <x v="5"/>
    <x v="5"/>
    <n v="1296"/>
    <x v="97"/>
  </r>
  <r>
    <n v="701"/>
    <x v="628"/>
    <x v="475"/>
    <s v="Miss"/>
    <s v="F"/>
    <n v="30"/>
    <s v="Burgers Place"/>
    <x v="156"/>
    <x v="19"/>
    <d v="2022-09-06T00:00:00"/>
    <x v="0"/>
    <x v="9"/>
    <n v="103"/>
    <x v="4"/>
    <x v="4"/>
    <n v="1854"/>
    <x v="513"/>
  </r>
  <r>
    <n v="702"/>
    <x v="583"/>
    <x v="597"/>
    <s v="Mr"/>
    <s v="M"/>
    <n v="30"/>
    <s v="Burgers Place"/>
    <x v="544"/>
    <x v="2"/>
    <d v="2021-10-07T00:00:00"/>
    <x v="1"/>
    <x v="1"/>
    <n v="35"/>
    <x v="2"/>
    <x v="2"/>
    <n v="595"/>
    <x v="386"/>
  </r>
  <r>
    <n v="703"/>
    <x v="629"/>
    <x v="598"/>
    <s v="Mrs"/>
    <s v="F"/>
    <n v="30"/>
    <s v="Burghley Terrace"/>
    <x v="142"/>
    <x v="21"/>
    <d v="2022-11-22T00:00:00"/>
    <x v="0"/>
    <x v="7"/>
    <n v="39"/>
    <x v="9"/>
    <x v="9"/>
    <n v="936"/>
    <x v="514"/>
  </r>
  <r>
    <n v="704"/>
    <x v="630"/>
    <x v="599"/>
    <s v="Mr"/>
    <s v="M"/>
    <n v="90"/>
    <s v="Burland Road"/>
    <x v="249"/>
    <x v="20"/>
    <d v="2022-03-27T00:00:00"/>
    <x v="0"/>
    <x v="5"/>
    <n v="83"/>
    <x v="6"/>
    <x v="6"/>
    <n v="1992"/>
    <x v="294"/>
  </r>
  <r>
    <n v="705"/>
    <x v="631"/>
    <x v="600"/>
    <s v="Mr"/>
    <s v="M"/>
    <n v="60"/>
    <s v="Burleigh Court"/>
    <x v="545"/>
    <x v="8"/>
    <d v="2022-01-31T00:00:00"/>
    <x v="0"/>
    <x v="6"/>
    <n v="61"/>
    <x v="5"/>
    <x v="5"/>
    <n v="1464"/>
    <x v="515"/>
  </r>
  <r>
    <n v="706"/>
    <x v="632"/>
    <x v="601"/>
    <s v="Mr"/>
    <s v="M"/>
    <n v="60"/>
    <s v="Burleigh Parade"/>
    <x v="546"/>
    <x v="2"/>
    <d v="2021-04-22T00:00:00"/>
    <x v="1"/>
    <x v="4"/>
    <n v="53"/>
    <x v="7"/>
    <x v="7"/>
    <n v="1060"/>
    <x v="516"/>
  </r>
  <r>
    <n v="707"/>
    <x v="633"/>
    <x v="143"/>
    <s v="Ms"/>
    <s v="F"/>
    <n v="60"/>
    <s v="Burlington Buildings"/>
    <x v="547"/>
    <x v="72"/>
    <d v="2021-06-14T00:00:00"/>
    <x v="1"/>
    <x v="2"/>
    <n v="15"/>
    <x v="8"/>
    <x v="8"/>
    <n v="300"/>
    <x v="517"/>
  </r>
  <r>
    <n v="708"/>
    <x v="608"/>
    <x v="556"/>
    <s v="Mr"/>
    <s v="M"/>
    <n v="60"/>
    <s v="Burlington Place"/>
    <x v="548"/>
    <x v="11"/>
    <d v="2020-12-09T00:00:00"/>
    <x v="2"/>
    <x v="8"/>
    <n v="58"/>
    <x v="4"/>
    <x v="4"/>
    <n v="1044"/>
    <x v="132"/>
  </r>
  <r>
    <n v="709"/>
    <x v="634"/>
    <x v="265"/>
    <s v="Miss"/>
    <s v="F"/>
    <n v="30"/>
    <s v="Burnell Walk"/>
    <x v="549"/>
    <x v="16"/>
    <d v="2022-05-21T00:00:00"/>
    <x v="0"/>
    <x v="11"/>
    <n v="35"/>
    <x v="8"/>
    <x v="8"/>
    <n v="700"/>
    <x v="288"/>
  </r>
  <r>
    <n v="710"/>
    <x v="635"/>
    <x v="51"/>
    <s v="Mr"/>
    <s v="M"/>
    <n v="30"/>
    <s v="Burnell Walk"/>
    <x v="479"/>
    <x v="11"/>
    <d v="2022-04-25T00:00:00"/>
    <x v="0"/>
    <x v="4"/>
    <n v="7"/>
    <x v="7"/>
    <x v="7"/>
    <n v="140"/>
    <x v="518"/>
  </r>
  <r>
    <n v="711"/>
    <x v="636"/>
    <x v="482"/>
    <s v="Mr"/>
    <s v="M"/>
    <n v="60"/>
    <s v="Burntwood Terrace"/>
    <x v="550"/>
    <x v="73"/>
    <d v="2022-02-09T00:00:00"/>
    <x v="0"/>
    <x v="10"/>
    <n v="60"/>
    <x v="5"/>
    <x v="5"/>
    <n v="1440"/>
    <x v="519"/>
  </r>
  <r>
    <n v="712"/>
    <x v="637"/>
    <x v="597"/>
    <s v="Miss"/>
    <s v="F"/>
    <n v="90"/>
    <s v="Burrells Wharf"/>
    <x v="403"/>
    <x v="15"/>
    <d v="2021-02-01T00:00:00"/>
    <x v="1"/>
    <x v="10"/>
    <n v="52"/>
    <x v="6"/>
    <x v="6"/>
    <n v="1248"/>
    <x v="119"/>
  </r>
  <r>
    <n v="713"/>
    <x v="638"/>
    <x v="602"/>
    <s v="Mrs"/>
    <s v="F"/>
    <n v="60"/>
    <s v="Burslem Street"/>
    <x v="388"/>
    <x v="2"/>
    <d v="2020-07-19T00:00:00"/>
    <x v="2"/>
    <x v="0"/>
    <n v="73"/>
    <x v="4"/>
    <x v="4"/>
    <n v="1314"/>
    <x v="520"/>
  </r>
  <r>
    <n v="714"/>
    <x v="639"/>
    <x v="603"/>
    <s v="Mrs"/>
    <s v="F"/>
    <n v="60"/>
    <s v="Burtts Wharf"/>
    <x v="551"/>
    <x v="2"/>
    <d v="2022-10-08T00:00:00"/>
    <x v="0"/>
    <x v="1"/>
    <n v="17"/>
    <x v="3"/>
    <x v="3"/>
    <n v="408"/>
    <x v="506"/>
  </r>
  <r>
    <n v="715"/>
    <x v="151"/>
    <x v="604"/>
    <s v="Mr"/>
    <s v="M"/>
    <n v="30"/>
    <s v="Bushey Down"/>
    <x v="552"/>
    <x v="2"/>
    <d v="2022-04-30T00:00:00"/>
    <x v="0"/>
    <x v="4"/>
    <n v="87"/>
    <x v="0"/>
    <x v="0"/>
    <n v="1740"/>
    <x v="184"/>
  </r>
  <r>
    <n v="716"/>
    <x v="640"/>
    <x v="605"/>
    <s v="Mr"/>
    <s v="M"/>
    <n v="60"/>
    <s v="Bushey Hill"/>
    <x v="553"/>
    <x v="11"/>
    <d v="2020-08-30T00:00:00"/>
    <x v="2"/>
    <x v="3"/>
    <n v="60"/>
    <x v="2"/>
    <x v="2"/>
    <n v="1020"/>
    <x v="521"/>
  </r>
  <r>
    <n v="717"/>
    <x v="641"/>
    <x v="606"/>
    <s v="Mrs"/>
    <s v="F"/>
    <n v="60"/>
    <s v="Bushey Hill"/>
    <x v="336"/>
    <x v="2"/>
    <d v="2020-03-30T00:00:00"/>
    <x v="2"/>
    <x v="5"/>
    <n v="50"/>
    <x v="4"/>
    <x v="4"/>
    <n v="900"/>
    <x v="157"/>
  </r>
  <r>
    <n v="718"/>
    <x v="642"/>
    <x v="607"/>
    <s v="Mr"/>
    <s v="M"/>
    <n v="90"/>
    <s v="Bushy Square"/>
    <x v="175"/>
    <x v="21"/>
    <d v="2020-11-04T00:00:00"/>
    <x v="2"/>
    <x v="7"/>
    <n v="32"/>
    <x v="8"/>
    <x v="8"/>
    <n v="640"/>
    <x v="440"/>
  </r>
  <r>
    <n v="719"/>
    <x v="643"/>
    <x v="608"/>
    <s v="Mr"/>
    <s v="M"/>
    <n v="30"/>
    <s v="Butcher Road"/>
    <x v="175"/>
    <x v="21"/>
    <d v="2020-06-16T00:00:00"/>
    <x v="2"/>
    <x v="2"/>
    <n v="44"/>
    <x v="6"/>
    <x v="6"/>
    <n v="1056"/>
    <x v="422"/>
  </r>
  <r>
    <n v="720"/>
    <x v="644"/>
    <x v="81"/>
    <s v="Mrs"/>
    <s v="F"/>
    <n v="30"/>
    <s v="Butchers Lane"/>
    <x v="554"/>
    <x v="2"/>
    <d v="2020-12-25T00:00:00"/>
    <x v="2"/>
    <x v="8"/>
    <n v="62"/>
    <x v="1"/>
    <x v="1"/>
    <n v="1488"/>
    <x v="467"/>
  </r>
  <r>
    <n v="721"/>
    <x v="645"/>
    <x v="609"/>
    <s v="Mrs"/>
    <s v="F"/>
    <n v="30"/>
    <s v="Butchers Road"/>
    <x v="471"/>
    <x v="17"/>
    <d v="2020-11-01T00:00:00"/>
    <x v="2"/>
    <x v="7"/>
    <n v="7"/>
    <x v="0"/>
    <x v="0"/>
    <n v="140"/>
    <x v="522"/>
  </r>
  <r>
    <n v="722"/>
    <x v="646"/>
    <x v="610"/>
    <s v="Mr"/>
    <s v="M"/>
    <n v="30"/>
    <s v="Butchers Row"/>
    <x v="555"/>
    <x v="28"/>
    <d v="2022-02-20T00:00:00"/>
    <x v="0"/>
    <x v="10"/>
    <n v="33"/>
    <x v="5"/>
    <x v="5"/>
    <n v="792"/>
    <x v="523"/>
  </r>
  <r>
    <n v="723"/>
    <x v="630"/>
    <x v="15"/>
    <s v="Mr"/>
    <s v="M"/>
    <n v="60"/>
    <s v="Butler Terrace"/>
    <x v="556"/>
    <x v="24"/>
    <d v="2022-02-11T00:00:00"/>
    <x v="0"/>
    <x v="10"/>
    <n v="70"/>
    <x v="3"/>
    <x v="3"/>
    <n v="1680"/>
    <x v="500"/>
  </r>
  <r>
    <n v="724"/>
    <x v="647"/>
    <x v="611"/>
    <s v="Miss"/>
    <s v="F"/>
    <n v="60"/>
    <s v="Buttermere Close"/>
    <x v="557"/>
    <x v="2"/>
    <d v="2021-10-27T00:00:00"/>
    <x v="1"/>
    <x v="1"/>
    <n v="58"/>
    <x v="1"/>
    <x v="1"/>
    <n v="1392"/>
    <x v="280"/>
  </r>
  <r>
    <n v="725"/>
    <x v="648"/>
    <x v="612"/>
    <s v="Mr"/>
    <s v="M"/>
    <n v="60"/>
    <s v="Buxton Street"/>
    <x v="558"/>
    <x v="11"/>
    <d v="2022-07-05T00:00:00"/>
    <x v="0"/>
    <x v="0"/>
    <n v="81"/>
    <x v="4"/>
    <x v="4"/>
    <n v="1458"/>
    <x v="416"/>
  </r>
  <r>
    <n v="726"/>
    <x v="649"/>
    <x v="613"/>
    <s v="Mrs"/>
    <s v="F"/>
    <n v="90"/>
    <s v="Byam Street"/>
    <x v="559"/>
    <x v="3"/>
    <d v="2021-01-23T00:00:00"/>
    <x v="1"/>
    <x v="6"/>
    <n v="72"/>
    <x v="9"/>
    <x v="9"/>
    <n v="1728"/>
    <x v="369"/>
  </r>
  <r>
    <n v="727"/>
    <x v="60"/>
    <x v="604"/>
    <s v="Mrs"/>
    <s v="F"/>
    <n v="60"/>
    <s v="Bywell Place"/>
    <x v="560"/>
    <x v="74"/>
    <d v="2021-02-21T00:00:00"/>
    <x v="1"/>
    <x v="10"/>
    <n v="26"/>
    <x v="3"/>
    <x v="3"/>
    <n v="624"/>
    <x v="524"/>
  </r>
  <r>
    <n v="728"/>
    <x v="47"/>
    <x v="614"/>
    <s v="Mr"/>
    <s v="M"/>
    <n v="60"/>
    <s v="Caddington Road"/>
    <x v="201"/>
    <x v="2"/>
    <d v="2021-11-02T00:00:00"/>
    <x v="1"/>
    <x v="7"/>
    <n v="11"/>
    <x v="6"/>
    <x v="6"/>
    <n v="264"/>
    <x v="377"/>
  </r>
  <r>
    <n v="729"/>
    <x v="650"/>
    <x v="615"/>
    <s v="Miss"/>
    <s v="F"/>
    <n v="90"/>
    <s v="Cage Lane"/>
    <x v="561"/>
    <x v="1"/>
    <d v="2022-10-27T00:00:00"/>
    <x v="0"/>
    <x v="1"/>
    <n v="9"/>
    <x v="7"/>
    <x v="7"/>
    <n v="180"/>
    <x v="488"/>
  </r>
  <r>
    <n v="730"/>
    <x v="651"/>
    <x v="616"/>
    <s v="Miss"/>
    <s v="F"/>
    <n v="30"/>
    <s v="Cairn Avenue"/>
    <x v="562"/>
    <x v="75"/>
    <d v="2020-12-04T00:00:00"/>
    <x v="2"/>
    <x v="8"/>
    <n v="74"/>
    <x v="9"/>
    <x v="9"/>
    <n v="1776"/>
    <x v="525"/>
  </r>
  <r>
    <n v="731"/>
    <x v="652"/>
    <x v="617"/>
    <s v="Mr"/>
    <s v="M"/>
    <n v="90"/>
    <s v="Cairns Road"/>
    <x v="563"/>
    <x v="3"/>
    <d v="2022-09-08T00:00:00"/>
    <x v="0"/>
    <x v="9"/>
    <n v="102"/>
    <x v="6"/>
    <x v="6"/>
    <n v="2448"/>
    <x v="526"/>
  </r>
  <r>
    <n v="732"/>
    <x v="298"/>
    <x v="267"/>
    <s v="Mr"/>
    <s v="M"/>
    <n v="90"/>
    <s v="Caistor Park"/>
    <x v="44"/>
    <x v="13"/>
    <d v="2022-03-06T00:00:00"/>
    <x v="0"/>
    <x v="5"/>
    <n v="91"/>
    <x v="6"/>
    <x v="6"/>
    <n v="2184"/>
    <x v="527"/>
  </r>
  <r>
    <n v="733"/>
    <x v="538"/>
    <x v="9"/>
    <s v="Mr"/>
    <s v="M"/>
    <n v="30"/>
    <s v="Caithness Road"/>
    <x v="116"/>
    <x v="11"/>
    <d v="2022-01-16T00:00:00"/>
    <x v="0"/>
    <x v="6"/>
    <n v="105"/>
    <x v="4"/>
    <x v="4"/>
    <n v="1890"/>
    <x v="31"/>
  </r>
  <r>
    <n v="734"/>
    <x v="217"/>
    <x v="618"/>
    <s v="Mr"/>
    <s v="M"/>
    <n v="30"/>
    <s v="Caldecot Road"/>
    <x v="564"/>
    <x v="2"/>
    <d v="2021-12-10T00:00:00"/>
    <x v="1"/>
    <x v="8"/>
    <n v="92"/>
    <x v="9"/>
    <x v="9"/>
    <n v="2208"/>
    <x v="528"/>
  </r>
  <r>
    <n v="735"/>
    <x v="653"/>
    <x v="446"/>
    <s v="Miss"/>
    <s v="F"/>
    <n v="30"/>
    <s v="Caldwell Terrace"/>
    <x v="565"/>
    <x v="35"/>
    <d v="2022-12-28T00:00:00"/>
    <x v="0"/>
    <x v="8"/>
    <n v="88"/>
    <x v="2"/>
    <x v="2"/>
    <n v="1496"/>
    <x v="509"/>
  </r>
  <r>
    <n v="736"/>
    <x v="654"/>
    <x v="619"/>
    <s v="Mr"/>
    <s v="M"/>
    <n v="90"/>
    <s v="Caletock Way"/>
    <x v="183"/>
    <x v="17"/>
    <d v="2021-02-11T00:00:00"/>
    <x v="1"/>
    <x v="10"/>
    <n v="39"/>
    <x v="6"/>
    <x v="6"/>
    <n v="936"/>
    <x v="299"/>
  </r>
  <r>
    <n v="737"/>
    <x v="269"/>
    <x v="6"/>
    <s v="Miss"/>
    <s v="F"/>
    <n v="60"/>
    <s v="Callcott Street"/>
    <x v="210"/>
    <x v="2"/>
    <d v="2022-07-22T00:00:00"/>
    <x v="0"/>
    <x v="0"/>
    <n v="47"/>
    <x v="1"/>
    <x v="1"/>
    <n v="1128"/>
    <x v="147"/>
  </r>
  <r>
    <n v="738"/>
    <x v="655"/>
    <x v="230"/>
    <s v="Mr"/>
    <s v="M"/>
    <n v="30"/>
    <s v="Calvin Street"/>
    <x v="566"/>
    <x v="21"/>
    <d v="2020-10-12T00:00:00"/>
    <x v="2"/>
    <x v="1"/>
    <n v="16"/>
    <x v="3"/>
    <x v="3"/>
    <n v="384"/>
    <x v="189"/>
  </r>
  <r>
    <n v="739"/>
    <x v="656"/>
    <x v="526"/>
    <s v="Miss"/>
    <s v="F"/>
    <n v="60"/>
    <s v="Calvin Street"/>
    <x v="567"/>
    <x v="2"/>
    <d v="2020-10-25T00:00:00"/>
    <x v="2"/>
    <x v="1"/>
    <n v="32"/>
    <x v="0"/>
    <x v="0"/>
    <n v="640"/>
    <x v="315"/>
  </r>
  <r>
    <n v="740"/>
    <x v="657"/>
    <x v="130"/>
    <s v="Miss"/>
    <s v="F"/>
    <n v="60"/>
    <s v="Camberwell Arms"/>
    <x v="166"/>
    <x v="3"/>
    <d v="2020-09-24T00:00:00"/>
    <x v="2"/>
    <x v="9"/>
    <n v="59"/>
    <x v="1"/>
    <x v="1"/>
    <n v="1416"/>
    <x v="394"/>
  </r>
  <r>
    <n v="741"/>
    <x v="658"/>
    <x v="620"/>
    <s v="Mrs"/>
    <s v="F"/>
    <n v="30"/>
    <s v="Camberwell Grammar"/>
    <x v="568"/>
    <x v="8"/>
    <d v="2020-05-15T00:00:00"/>
    <x v="2"/>
    <x v="11"/>
    <n v="20"/>
    <x v="6"/>
    <x v="6"/>
    <n v="480"/>
    <x v="167"/>
  </r>
  <r>
    <n v="742"/>
    <x v="659"/>
    <x v="621"/>
    <s v="Miss"/>
    <s v="F"/>
    <n v="90"/>
    <s v="Camberwell House"/>
    <x v="569"/>
    <x v="2"/>
    <d v="2022-03-11T00:00:00"/>
    <x v="0"/>
    <x v="5"/>
    <n v="105"/>
    <x v="3"/>
    <x v="3"/>
    <n v="2520"/>
    <x v="287"/>
  </r>
  <r>
    <n v="743"/>
    <x v="660"/>
    <x v="622"/>
    <s v="Mrs"/>
    <s v="F"/>
    <n v="90"/>
    <s v="Cambrian Green"/>
    <x v="474"/>
    <x v="2"/>
    <d v="2022-08-02T00:00:00"/>
    <x v="0"/>
    <x v="3"/>
    <n v="44"/>
    <x v="0"/>
    <x v="0"/>
    <n v="880"/>
    <x v="529"/>
  </r>
  <r>
    <n v="744"/>
    <x v="652"/>
    <x v="623"/>
    <s v="Mr"/>
    <s v="M"/>
    <n v="90"/>
    <s v="Cambridge Green"/>
    <x v="452"/>
    <x v="17"/>
    <d v="2020-07-18T00:00:00"/>
    <x v="2"/>
    <x v="0"/>
    <n v="36"/>
    <x v="7"/>
    <x v="7"/>
    <n v="720"/>
    <x v="256"/>
  </r>
  <r>
    <n v="745"/>
    <x v="661"/>
    <x v="624"/>
    <s v="Mr"/>
    <s v="M"/>
    <n v="90"/>
    <s v="Cambridge Place"/>
    <x v="354"/>
    <x v="2"/>
    <d v="2022-06-20T00:00:00"/>
    <x v="0"/>
    <x v="2"/>
    <n v="18"/>
    <x v="6"/>
    <x v="6"/>
    <n v="432"/>
    <x v="254"/>
  </r>
  <r>
    <n v="746"/>
    <x v="662"/>
    <x v="625"/>
    <s v="Mrs"/>
    <s v="F"/>
    <n v="30"/>
    <s v="Camden Alms"/>
    <x v="570"/>
    <x v="2"/>
    <d v="2021-08-02T00:00:00"/>
    <x v="1"/>
    <x v="3"/>
    <n v="71"/>
    <x v="5"/>
    <x v="5"/>
    <n v="1704"/>
    <x v="530"/>
  </r>
  <r>
    <n v="747"/>
    <x v="663"/>
    <x v="626"/>
    <s v="Miss"/>
    <s v="F"/>
    <n v="60"/>
    <s v="Camden Almshouse"/>
    <x v="571"/>
    <x v="2"/>
    <d v="2022-01-30T00:00:00"/>
    <x v="0"/>
    <x v="6"/>
    <n v="85"/>
    <x v="1"/>
    <x v="1"/>
    <n v="2040"/>
    <x v="531"/>
  </r>
  <r>
    <n v="748"/>
    <x v="576"/>
    <x v="627"/>
    <s v="Dr"/>
    <s v="F"/>
    <n v="90"/>
    <s v="Camden Avenue"/>
    <x v="54"/>
    <x v="2"/>
    <d v="2022-05-15T00:00:00"/>
    <x v="0"/>
    <x v="11"/>
    <n v="66"/>
    <x v="8"/>
    <x v="8"/>
    <n v="1320"/>
    <x v="241"/>
  </r>
  <r>
    <n v="749"/>
    <x v="664"/>
    <x v="628"/>
    <s v="Mr"/>
    <s v="M"/>
    <n v="60"/>
    <s v="Camden Court"/>
    <x v="572"/>
    <x v="41"/>
    <d v="2020-04-19T00:00:00"/>
    <x v="2"/>
    <x v="4"/>
    <n v="15"/>
    <x v="3"/>
    <x v="3"/>
    <n v="360"/>
    <x v="532"/>
  </r>
  <r>
    <n v="750"/>
    <x v="665"/>
    <x v="525"/>
    <s v="Mrs"/>
    <s v="F"/>
    <n v="90"/>
    <s v="Camden Gardens"/>
    <x v="573"/>
    <x v="15"/>
    <d v="2022-10-05T00:00:00"/>
    <x v="0"/>
    <x v="1"/>
    <n v="57"/>
    <x v="0"/>
    <x v="0"/>
    <n v="1140"/>
    <x v="392"/>
  </r>
  <r>
    <n v="751"/>
    <x v="666"/>
    <x v="538"/>
    <s v="Miss"/>
    <s v="F"/>
    <n v="30"/>
    <s v="Camden Girls"/>
    <x v="574"/>
    <x v="17"/>
    <d v="2020-08-21T00:00:00"/>
    <x v="2"/>
    <x v="3"/>
    <n v="46"/>
    <x v="3"/>
    <x v="3"/>
    <n v="1104"/>
    <x v="177"/>
  </r>
  <r>
    <n v="752"/>
    <x v="136"/>
    <x v="130"/>
    <s v="Mr"/>
    <s v="M"/>
    <n v="30"/>
    <s v="Camden High"/>
    <x v="117"/>
    <x v="2"/>
    <d v="2020-09-01T00:00:00"/>
    <x v="2"/>
    <x v="9"/>
    <n v="22"/>
    <x v="1"/>
    <x v="1"/>
    <n v="528"/>
    <x v="533"/>
  </r>
  <r>
    <n v="753"/>
    <x v="623"/>
    <x v="629"/>
    <s v="Mr"/>
    <s v="M"/>
    <n v="90"/>
    <s v="Camden High"/>
    <x v="575"/>
    <x v="2"/>
    <d v="2022-03-23T00:00:00"/>
    <x v="0"/>
    <x v="5"/>
    <n v="50"/>
    <x v="3"/>
    <x v="3"/>
    <n v="1200"/>
    <x v="11"/>
  </r>
  <r>
    <n v="754"/>
    <x v="667"/>
    <x v="630"/>
    <s v="Mr"/>
    <s v="M"/>
    <n v="90"/>
    <s v="Camden Park"/>
    <x v="576"/>
    <x v="17"/>
    <d v="2020-10-03T00:00:00"/>
    <x v="2"/>
    <x v="1"/>
    <n v="53"/>
    <x v="5"/>
    <x v="5"/>
    <n v="1272"/>
    <x v="534"/>
  </r>
  <r>
    <n v="755"/>
    <x v="668"/>
    <x v="631"/>
    <s v="Mrs"/>
    <s v="F"/>
    <n v="90"/>
    <s v="Campion Place"/>
    <x v="577"/>
    <x v="43"/>
    <d v="2021-07-19T00:00:00"/>
    <x v="1"/>
    <x v="0"/>
    <n v="61"/>
    <x v="4"/>
    <x v="4"/>
    <n v="1098"/>
    <x v="363"/>
  </r>
  <r>
    <n v="756"/>
    <x v="109"/>
    <x v="529"/>
    <s v="Miss"/>
    <s v="F"/>
    <n v="90"/>
    <s v="Campshill Place"/>
    <x v="578"/>
    <x v="0"/>
    <d v="2022-08-05T00:00:00"/>
    <x v="0"/>
    <x v="3"/>
    <n v="54"/>
    <x v="9"/>
    <x v="9"/>
    <n v="1296"/>
    <x v="535"/>
  </r>
  <r>
    <n v="757"/>
    <x v="669"/>
    <x v="227"/>
    <s v="Mrs"/>
    <s v="F"/>
    <n v="60"/>
    <s v="Canada Road"/>
    <x v="579"/>
    <x v="2"/>
    <d v="2021-09-19T00:00:00"/>
    <x v="1"/>
    <x v="9"/>
    <n v="3"/>
    <x v="4"/>
    <x v="4"/>
    <n v="54"/>
    <x v="368"/>
  </r>
  <r>
    <n v="758"/>
    <x v="292"/>
    <x v="632"/>
    <s v="Mr"/>
    <s v="M"/>
    <n v="90"/>
    <s v="Canada Road"/>
    <x v="580"/>
    <x v="2"/>
    <d v="2020-07-02T00:00:00"/>
    <x v="2"/>
    <x v="0"/>
    <n v="35"/>
    <x v="3"/>
    <x v="3"/>
    <n v="840"/>
    <x v="536"/>
  </r>
  <r>
    <n v="759"/>
    <x v="670"/>
    <x v="99"/>
    <s v="Mr"/>
    <s v="M"/>
    <n v="90"/>
    <s v="Canadian Avenue"/>
    <x v="581"/>
    <x v="29"/>
    <d v="2022-02-15T00:00:00"/>
    <x v="0"/>
    <x v="10"/>
    <n v="11"/>
    <x v="5"/>
    <x v="5"/>
    <n v="264"/>
    <x v="248"/>
  </r>
  <r>
    <n v="760"/>
    <x v="671"/>
    <x v="633"/>
    <s v="Mr"/>
    <s v="M"/>
    <n v="30"/>
    <s v="Canal Place"/>
    <x v="582"/>
    <x v="2"/>
    <d v="2022-09-22T00:00:00"/>
    <x v="0"/>
    <x v="9"/>
    <n v="93"/>
    <x v="4"/>
    <x v="4"/>
    <n v="1674"/>
    <x v="537"/>
  </r>
  <r>
    <n v="761"/>
    <x v="205"/>
    <x v="634"/>
    <s v="Mr"/>
    <s v="M"/>
    <n v="90"/>
    <s v="Canal Street"/>
    <x v="583"/>
    <x v="44"/>
    <d v="2020-04-13T00:00:00"/>
    <x v="2"/>
    <x v="4"/>
    <n v="16"/>
    <x v="6"/>
    <x v="6"/>
    <n v="384"/>
    <x v="538"/>
  </r>
  <r>
    <n v="762"/>
    <x v="672"/>
    <x v="635"/>
    <s v="Miss"/>
    <s v="F"/>
    <n v="60"/>
    <s v="Canal Walk"/>
    <x v="300"/>
    <x v="2"/>
    <d v="2020-04-19T00:00:00"/>
    <x v="2"/>
    <x v="4"/>
    <n v="8"/>
    <x v="5"/>
    <x v="5"/>
    <n v="192"/>
    <x v="539"/>
  </r>
  <r>
    <n v="763"/>
    <x v="131"/>
    <x v="636"/>
    <s v="Mrs"/>
    <s v="F"/>
    <n v="30"/>
    <s v="Candahar Road"/>
    <x v="398"/>
    <x v="7"/>
    <d v="2020-12-10T00:00:00"/>
    <x v="2"/>
    <x v="8"/>
    <n v="17"/>
    <x v="6"/>
    <x v="6"/>
    <n v="408"/>
    <x v="492"/>
  </r>
  <r>
    <n v="764"/>
    <x v="673"/>
    <x v="637"/>
    <s v="Mrs"/>
    <s v="F"/>
    <n v="30"/>
    <s v="Candahar Road"/>
    <x v="584"/>
    <x v="8"/>
    <d v="2022-10-07T00:00:00"/>
    <x v="0"/>
    <x v="1"/>
    <n v="81"/>
    <x v="7"/>
    <x v="7"/>
    <n v="1620"/>
    <x v="540"/>
  </r>
  <r>
    <n v="765"/>
    <x v="210"/>
    <x v="638"/>
    <s v="Mr"/>
    <s v="M"/>
    <n v="90"/>
    <s v="Cann Hall"/>
    <x v="311"/>
    <x v="2"/>
    <d v="2021-05-27T00:00:00"/>
    <x v="1"/>
    <x v="11"/>
    <n v="2"/>
    <x v="4"/>
    <x v="4"/>
    <n v="36"/>
    <x v="541"/>
  </r>
  <r>
    <n v="766"/>
    <x v="674"/>
    <x v="178"/>
    <s v="Mr"/>
    <s v="M"/>
    <n v="60"/>
    <s v="Canning Cross"/>
    <x v="361"/>
    <x v="2"/>
    <d v="2022-01-10T00:00:00"/>
    <x v="0"/>
    <x v="6"/>
    <n v="47"/>
    <x v="7"/>
    <x v="7"/>
    <n v="940"/>
    <x v="542"/>
  </r>
  <r>
    <n v="767"/>
    <x v="675"/>
    <x v="252"/>
    <s v="Mr"/>
    <s v="M"/>
    <n v="90"/>
    <s v="Canning Pass"/>
    <x v="585"/>
    <x v="2"/>
    <d v="2020-06-09T00:00:00"/>
    <x v="2"/>
    <x v="2"/>
    <n v="13"/>
    <x v="7"/>
    <x v="7"/>
    <n v="260"/>
    <x v="70"/>
  </r>
  <r>
    <n v="768"/>
    <x v="676"/>
    <x v="334"/>
    <s v="Mrs"/>
    <s v="F"/>
    <n v="30"/>
    <s v="Canningham Place"/>
    <x v="586"/>
    <x v="21"/>
    <d v="2021-12-28T00:00:00"/>
    <x v="1"/>
    <x v="8"/>
    <n v="54"/>
    <x v="4"/>
    <x v="4"/>
    <n v="972"/>
    <x v="196"/>
  </r>
  <r>
    <n v="769"/>
    <x v="677"/>
    <x v="639"/>
    <s v="Mrs"/>
    <s v="F"/>
    <n v="90"/>
    <s v="Cannon Close"/>
    <x v="587"/>
    <x v="21"/>
    <d v="2021-08-18T00:00:00"/>
    <x v="1"/>
    <x v="3"/>
    <n v="11"/>
    <x v="5"/>
    <x v="5"/>
    <n v="264"/>
    <x v="248"/>
  </r>
  <r>
    <n v="770"/>
    <x v="678"/>
    <x v="194"/>
    <s v="Miss"/>
    <s v="F"/>
    <n v="60"/>
    <s v="Cannon Road"/>
    <x v="588"/>
    <x v="3"/>
    <d v="2022-02-03T00:00:00"/>
    <x v="0"/>
    <x v="10"/>
    <n v="77"/>
    <x v="8"/>
    <x v="8"/>
    <n v="1540"/>
    <x v="543"/>
  </r>
  <r>
    <n v="771"/>
    <x v="679"/>
    <x v="640"/>
    <s v="Miss"/>
    <s v="F"/>
    <n v="90"/>
    <s v="Cannon Street"/>
    <x v="589"/>
    <x v="65"/>
    <d v="2022-04-04T00:00:00"/>
    <x v="0"/>
    <x v="4"/>
    <n v="32"/>
    <x v="2"/>
    <x v="2"/>
    <n v="544"/>
    <x v="544"/>
  </r>
  <r>
    <n v="772"/>
    <x v="680"/>
    <x v="641"/>
    <s v="Mrs"/>
    <s v="F"/>
    <n v="90"/>
    <s v="Cannon Street"/>
    <x v="590"/>
    <x v="2"/>
    <d v="2021-10-21T00:00:00"/>
    <x v="1"/>
    <x v="1"/>
    <n v="10"/>
    <x v="5"/>
    <x v="5"/>
    <n v="240"/>
    <x v="285"/>
  </r>
  <r>
    <n v="773"/>
    <x v="681"/>
    <x v="642"/>
    <s v="Mr"/>
    <s v="M"/>
    <n v="30"/>
    <s v="Cannons Place"/>
    <x v="591"/>
    <x v="2"/>
    <d v="2020-09-06T00:00:00"/>
    <x v="2"/>
    <x v="9"/>
    <n v="30"/>
    <x v="2"/>
    <x v="2"/>
    <n v="510"/>
    <x v="545"/>
  </r>
  <r>
    <n v="774"/>
    <x v="367"/>
    <x v="127"/>
    <s v="Miss"/>
    <s v="F"/>
    <n v="60"/>
    <s v="Canon Alley"/>
    <x v="538"/>
    <x v="1"/>
    <d v="2022-09-29T00:00:00"/>
    <x v="0"/>
    <x v="9"/>
    <n v="34"/>
    <x v="0"/>
    <x v="0"/>
    <n v="680"/>
    <x v="397"/>
  </r>
  <r>
    <n v="775"/>
    <x v="349"/>
    <x v="321"/>
    <s v="Mr"/>
    <s v="M"/>
    <n v="60"/>
    <s v="Canonbury Crescent"/>
    <x v="592"/>
    <x v="70"/>
    <d v="2022-02-12T00:00:00"/>
    <x v="0"/>
    <x v="10"/>
    <n v="28"/>
    <x v="7"/>
    <x v="7"/>
    <n v="560"/>
    <x v="546"/>
  </r>
  <r>
    <n v="776"/>
    <x v="682"/>
    <x v="535"/>
    <s v="Mr"/>
    <s v="M"/>
    <n v="90"/>
    <s v="Canonbury Terrace"/>
    <x v="265"/>
    <x v="3"/>
    <d v="2022-08-20T00:00:00"/>
    <x v="0"/>
    <x v="3"/>
    <n v="58"/>
    <x v="6"/>
    <x v="6"/>
    <n v="1392"/>
    <x v="547"/>
  </r>
  <r>
    <n v="777"/>
    <x v="683"/>
    <x v="643"/>
    <s v="Mrs"/>
    <s v="F"/>
    <n v="30"/>
    <s v="Canonbury Villas"/>
    <x v="593"/>
    <x v="1"/>
    <d v="2020-01-25T00:00:00"/>
    <x v="2"/>
    <x v="6"/>
    <n v="40"/>
    <x v="1"/>
    <x v="1"/>
    <n v="960"/>
    <x v="548"/>
  </r>
  <r>
    <n v="778"/>
    <x v="684"/>
    <x v="644"/>
    <s v="Mrs"/>
    <s v="F"/>
    <n v="90"/>
    <s v="Canterbury Crescent"/>
    <x v="594"/>
    <x v="2"/>
    <d v="2021-02-08T00:00:00"/>
    <x v="1"/>
    <x v="10"/>
    <n v="21"/>
    <x v="8"/>
    <x v="8"/>
    <n v="420"/>
    <x v="549"/>
  </r>
  <r>
    <n v="779"/>
    <x v="122"/>
    <x v="645"/>
    <s v="Mr"/>
    <s v="M"/>
    <n v="90"/>
    <s v="Canterbury Grove"/>
    <x v="507"/>
    <x v="70"/>
    <d v="2020-12-17T00:00:00"/>
    <x v="2"/>
    <x v="8"/>
    <n v="11"/>
    <x v="9"/>
    <x v="9"/>
    <n v="264"/>
    <x v="376"/>
  </r>
  <r>
    <n v="780"/>
    <x v="685"/>
    <x v="30"/>
    <s v="Mr"/>
    <s v="M"/>
    <n v="60"/>
    <s v="Canterbury Place"/>
    <x v="595"/>
    <x v="11"/>
    <d v="2021-10-09T00:00:00"/>
    <x v="1"/>
    <x v="1"/>
    <n v="39"/>
    <x v="2"/>
    <x v="2"/>
    <n v="663"/>
    <x v="550"/>
  </r>
  <r>
    <n v="781"/>
    <x v="686"/>
    <x v="489"/>
    <s v="Mr"/>
    <s v="M"/>
    <n v="30"/>
    <s v="Canterbury Row"/>
    <x v="596"/>
    <x v="2"/>
    <d v="2021-09-04T00:00:00"/>
    <x v="1"/>
    <x v="9"/>
    <n v="71"/>
    <x v="0"/>
    <x v="0"/>
    <n v="1420"/>
    <x v="209"/>
  </r>
  <r>
    <n v="782"/>
    <x v="687"/>
    <x v="646"/>
    <s v="Miss"/>
    <s v="F"/>
    <n v="30"/>
    <s v="Canute Gardens"/>
    <x v="597"/>
    <x v="17"/>
    <d v="2021-07-04T00:00:00"/>
    <x v="1"/>
    <x v="0"/>
    <n v="71"/>
    <x v="0"/>
    <x v="0"/>
    <n v="1420"/>
    <x v="209"/>
  </r>
  <r>
    <n v="783"/>
    <x v="688"/>
    <x v="647"/>
    <s v="Mr"/>
    <s v="M"/>
    <n v="90"/>
    <s v="Capeners Close"/>
    <x v="598"/>
    <x v="11"/>
    <d v="2020-02-15T00:00:00"/>
    <x v="2"/>
    <x v="10"/>
    <n v="81"/>
    <x v="3"/>
    <x v="3"/>
    <n v="1944"/>
    <x v="551"/>
  </r>
  <r>
    <n v="784"/>
    <x v="689"/>
    <x v="388"/>
    <s v="Mrs"/>
    <s v="F"/>
    <n v="30"/>
    <s v="Caple Road"/>
    <x v="359"/>
    <x v="13"/>
    <d v="2022-02-25T00:00:00"/>
    <x v="0"/>
    <x v="10"/>
    <n v="18"/>
    <x v="6"/>
    <x v="6"/>
    <n v="432"/>
    <x v="254"/>
  </r>
  <r>
    <n v="785"/>
    <x v="690"/>
    <x v="648"/>
    <s v="Miss"/>
    <s v="F"/>
    <n v="30"/>
    <s v="Capstan Way"/>
    <x v="599"/>
    <x v="2"/>
    <d v="2021-01-31T00:00:00"/>
    <x v="1"/>
    <x v="6"/>
    <n v="90"/>
    <x v="1"/>
    <x v="1"/>
    <n v="2160"/>
    <x v="552"/>
  </r>
  <r>
    <n v="786"/>
    <x v="691"/>
    <x v="649"/>
    <s v="Miss"/>
    <s v="F"/>
    <n v="30"/>
    <s v="Caravel Mews"/>
    <x v="600"/>
    <x v="21"/>
    <d v="2021-08-01T00:00:00"/>
    <x v="1"/>
    <x v="3"/>
    <n v="68"/>
    <x v="1"/>
    <x v="1"/>
    <n v="1632"/>
    <x v="160"/>
  </r>
  <r>
    <n v="787"/>
    <x v="692"/>
    <x v="175"/>
    <s v="Ms"/>
    <s v="F"/>
    <n v="30"/>
    <s v="Carbery Avenue"/>
    <x v="601"/>
    <x v="21"/>
    <d v="2021-02-25T00:00:00"/>
    <x v="1"/>
    <x v="10"/>
    <n v="52"/>
    <x v="6"/>
    <x v="6"/>
    <n v="1248"/>
    <x v="119"/>
  </r>
  <r>
    <n v="788"/>
    <x v="228"/>
    <x v="392"/>
    <s v="Mr"/>
    <s v="M"/>
    <n v="90"/>
    <s v="Cardale Street"/>
    <x v="602"/>
    <x v="26"/>
    <d v="2021-06-14T00:00:00"/>
    <x v="1"/>
    <x v="2"/>
    <n v="16"/>
    <x v="2"/>
    <x v="2"/>
    <n v="272"/>
    <x v="359"/>
  </r>
  <r>
    <n v="789"/>
    <x v="693"/>
    <x v="650"/>
    <s v="Mrs"/>
    <s v="F"/>
    <n v="90"/>
    <s v="Cardiff Street"/>
    <x v="603"/>
    <x v="2"/>
    <d v="2022-03-28T00:00:00"/>
    <x v="0"/>
    <x v="5"/>
    <n v="6"/>
    <x v="9"/>
    <x v="9"/>
    <n v="144"/>
    <x v="553"/>
  </r>
  <r>
    <n v="790"/>
    <x v="478"/>
    <x v="651"/>
    <s v="Mrs"/>
    <s v="F"/>
    <n v="60"/>
    <s v="Cargill Road"/>
    <x v="149"/>
    <x v="1"/>
    <d v="2021-02-05T00:00:00"/>
    <x v="1"/>
    <x v="10"/>
    <n v="2"/>
    <x v="5"/>
    <x v="5"/>
    <n v="48"/>
    <x v="320"/>
  </r>
  <r>
    <n v="791"/>
    <x v="694"/>
    <x v="652"/>
    <s v="Miss"/>
    <s v="F"/>
    <n v="30"/>
    <s v="Carleton Gardens"/>
    <x v="319"/>
    <x v="2"/>
    <d v="2022-11-17T00:00:00"/>
    <x v="0"/>
    <x v="7"/>
    <n v="24"/>
    <x v="0"/>
    <x v="0"/>
    <n v="480"/>
    <x v="46"/>
  </r>
  <r>
    <n v="792"/>
    <x v="189"/>
    <x v="23"/>
    <s v="Mr"/>
    <s v="M"/>
    <n v="30"/>
    <s v="Carleton Road"/>
    <x v="145"/>
    <x v="2"/>
    <d v="2021-10-11T00:00:00"/>
    <x v="1"/>
    <x v="1"/>
    <n v="72"/>
    <x v="5"/>
    <x v="5"/>
    <n v="1728"/>
    <x v="554"/>
  </r>
  <r>
    <n v="793"/>
    <x v="695"/>
    <x v="103"/>
    <s v="Mr"/>
    <s v="M"/>
    <n v="60"/>
    <s v="Carlile Close"/>
    <x v="604"/>
    <x v="12"/>
    <d v="2020-08-18T00:00:00"/>
    <x v="2"/>
    <x v="3"/>
    <n v="51"/>
    <x v="4"/>
    <x v="4"/>
    <n v="918"/>
    <x v="555"/>
  </r>
  <r>
    <n v="794"/>
    <x v="696"/>
    <x v="112"/>
    <s v="Mr"/>
    <s v="M"/>
    <n v="30"/>
    <s v="Carline Court"/>
    <x v="464"/>
    <x v="1"/>
    <d v="2022-06-03T00:00:00"/>
    <x v="0"/>
    <x v="2"/>
    <n v="70"/>
    <x v="9"/>
    <x v="9"/>
    <n v="1680"/>
    <x v="556"/>
  </r>
  <r>
    <n v="795"/>
    <x v="697"/>
    <x v="653"/>
    <s v="Mr"/>
    <s v="M"/>
    <n v="30"/>
    <s v="Carling'S Row"/>
    <x v="605"/>
    <x v="2"/>
    <d v="2022-04-28T00:00:00"/>
    <x v="0"/>
    <x v="4"/>
    <n v="46"/>
    <x v="3"/>
    <x v="3"/>
    <n v="1104"/>
    <x v="177"/>
  </r>
  <r>
    <n v="796"/>
    <x v="698"/>
    <x v="654"/>
    <s v="Mr"/>
    <s v="M"/>
    <n v="60"/>
    <s v="Carlisle Way"/>
    <x v="606"/>
    <x v="16"/>
    <d v="2021-04-26T00:00:00"/>
    <x v="1"/>
    <x v="4"/>
    <n v="73"/>
    <x v="2"/>
    <x v="2"/>
    <n v="1241"/>
    <x v="557"/>
  </r>
  <r>
    <n v="797"/>
    <x v="699"/>
    <x v="655"/>
    <s v="Mrs"/>
    <s v="F"/>
    <n v="60"/>
    <s v="Carlton Vale"/>
    <x v="607"/>
    <x v="3"/>
    <d v="2020-08-13T00:00:00"/>
    <x v="2"/>
    <x v="3"/>
    <n v="49"/>
    <x v="1"/>
    <x v="1"/>
    <n v="1176"/>
    <x v="558"/>
  </r>
  <r>
    <n v="798"/>
    <x v="700"/>
    <x v="656"/>
    <s v="Mr"/>
    <s v="M"/>
    <n v="30"/>
    <s v="Carlton Villas"/>
    <x v="608"/>
    <x v="2"/>
    <d v="2020-07-18T00:00:00"/>
    <x v="2"/>
    <x v="0"/>
    <n v="26"/>
    <x v="5"/>
    <x v="5"/>
    <n v="624"/>
    <x v="559"/>
  </r>
  <r>
    <n v="799"/>
    <x v="701"/>
    <x v="524"/>
    <s v="Dr"/>
    <s v="F"/>
    <n v="30"/>
    <s v="Carlyle Pl"/>
    <x v="357"/>
    <x v="2"/>
    <d v="2022-06-24T00:00:00"/>
    <x v="0"/>
    <x v="2"/>
    <n v="11"/>
    <x v="4"/>
    <x v="4"/>
    <n v="198"/>
    <x v="226"/>
  </r>
  <r>
    <n v="800"/>
    <x v="702"/>
    <x v="224"/>
    <s v="Miss"/>
    <s v="F"/>
    <n v="60"/>
    <s v="Carlyle Road"/>
    <x v="609"/>
    <x v="11"/>
    <d v="2022-11-26T00:00:00"/>
    <x v="0"/>
    <x v="7"/>
    <n v="36"/>
    <x v="0"/>
    <x v="0"/>
    <n v="720"/>
    <x v="325"/>
  </r>
  <r>
    <n v="801"/>
    <x v="703"/>
    <x v="657"/>
    <s v="Mr"/>
    <s v="M"/>
    <n v="90"/>
    <s v="Carmichael Road"/>
    <x v="345"/>
    <x v="2"/>
    <d v="2020-11-22T00:00:00"/>
    <x v="2"/>
    <x v="7"/>
    <n v="72"/>
    <x v="0"/>
    <x v="0"/>
    <n v="1440"/>
    <x v="560"/>
  </r>
  <r>
    <n v="802"/>
    <x v="704"/>
    <x v="658"/>
    <s v="Mrs"/>
    <s v="F"/>
    <n v="60"/>
    <s v="Carnaby Market"/>
    <x v="610"/>
    <x v="2"/>
    <d v="2022-06-22T00:00:00"/>
    <x v="0"/>
    <x v="2"/>
    <n v="70"/>
    <x v="1"/>
    <x v="1"/>
    <n v="1680"/>
    <x v="561"/>
  </r>
  <r>
    <n v="803"/>
    <x v="705"/>
    <x v="659"/>
    <s v="Miss"/>
    <s v="F"/>
    <n v="60"/>
    <s v="Carnac Street"/>
    <x v="576"/>
    <x v="17"/>
    <d v="2022-10-03T00:00:00"/>
    <x v="0"/>
    <x v="1"/>
    <n v="40"/>
    <x v="8"/>
    <x v="8"/>
    <n v="800"/>
    <x v="478"/>
  </r>
  <r>
    <n v="804"/>
    <x v="706"/>
    <x v="660"/>
    <s v="Mr"/>
    <s v="M"/>
    <n v="90"/>
    <s v="Caroline Close"/>
    <x v="611"/>
    <x v="2"/>
    <d v="2022-12-09T00:00:00"/>
    <x v="0"/>
    <x v="8"/>
    <n v="37"/>
    <x v="3"/>
    <x v="3"/>
    <n v="888"/>
    <x v="562"/>
  </r>
  <r>
    <n v="805"/>
    <x v="707"/>
    <x v="661"/>
    <s v="Mr"/>
    <s v="M"/>
    <n v="60"/>
    <s v="Carr Road"/>
    <x v="612"/>
    <x v="2"/>
    <d v="2022-09-11T00:00:00"/>
    <x v="0"/>
    <x v="9"/>
    <n v="96"/>
    <x v="3"/>
    <x v="3"/>
    <n v="2304"/>
    <x v="403"/>
  </r>
  <r>
    <n v="806"/>
    <x v="708"/>
    <x v="662"/>
    <s v="Mrs"/>
    <s v="F"/>
    <n v="30"/>
    <s v="Carrick Gardens"/>
    <x v="268"/>
    <x v="21"/>
    <d v="2021-04-14T00:00:00"/>
    <x v="1"/>
    <x v="4"/>
    <n v="51"/>
    <x v="7"/>
    <x v="7"/>
    <n v="1020"/>
    <x v="563"/>
  </r>
  <r>
    <n v="807"/>
    <x v="571"/>
    <x v="663"/>
    <s v="Miss"/>
    <s v="F"/>
    <n v="30"/>
    <s v="Carrington Place"/>
    <x v="157"/>
    <x v="30"/>
    <d v="2020-04-07T00:00:00"/>
    <x v="2"/>
    <x v="4"/>
    <n v="64"/>
    <x v="8"/>
    <x v="8"/>
    <n v="1280"/>
    <x v="149"/>
  </r>
  <r>
    <n v="808"/>
    <x v="709"/>
    <x v="664"/>
    <s v="Mr"/>
    <s v="M"/>
    <n v="90"/>
    <s v="Carron Close"/>
    <x v="613"/>
    <x v="2"/>
    <d v="2020-09-06T00:00:00"/>
    <x v="2"/>
    <x v="9"/>
    <n v="6"/>
    <x v="8"/>
    <x v="8"/>
    <n v="120"/>
    <x v="564"/>
  </r>
  <r>
    <n v="809"/>
    <x v="671"/>
    <x v="665"/>
    <s v="Mr"/>
    <s v="M"/>
    <n v="60"/>
    <s v="Carroun Road"/>
    <x v="614"/>
    <x v="0"/>
    <d v="2022-01-16T00:00:00"/>
    <x v="0"/>
    <x v="6"/>
    <n v="101"/>
    <x v="7"/>
    <x v="7"/>
    <n v="2020"/>
    <x v="565"/>
  </r>
  <r>
    <n v="810"/>
    <x v="710"/>
    <x v="412"/>
    <s v="Mr"/>
    <s v="M"/>
    <n v="90"/>
    <s v="Carthew Road"/>
    <x v="492"/>
    <x v="17"/>
    <d v="2022-04-18T00:00:00"/>
    <x v="0"/>
    <x v="4"/>
    <n v="4"/>
    <x v="7"/>
    <x v="7"/>
    <n v="80"/>
    <x v="192"/>
  </r>
  <r>
    <n v="811"/>
    <x v="711"/>
    <x v="666"/>
    <s v="Mr"/>
    <s v="M"/>
    <n v="90"/>
    <s v="Cartwright Way"/>
    <x v="52"/>
    <x v="2"/>
    <d v="2022-12-29T00:00:00"/>
    <x v="0"/>
    <x v="8"/>
    <n v="6"/>
    <x v="1"/>
    <x v="1"/>
    <n v="144"/>
    <x v="466"/>
  </r>
  <r>
    <n v="812"/>
    <x v="712"/>
    <x v="667"/>
    <s v="Mr"/>
    <s v="M"/>
    <n v="30"/>
    <s v="Carver Road"/>
    <x v="254"/>
    <x v="3"/>
    <d v="2021-09-05T00:00:00"/>
    <x v="1"/>
    <x v="9"/>
    <n v="73"/>
    <x v="0"/>
    <x v="0"/>
    <n v="1460"/>
    <x v="0"/>
  </r>
  <r>
    <n v="813"/>
    <x v="713"/>
    <x v="668"/>
    <s v="Dr"/>
    <s v="F"/>
    <n v="90"/>
    <s v="Caryle Terrace"/>
    <x v="615"/>
    <x v="2"/>
    <d v="2021-08-02T00:00:00"/>
    <x v="1"/>
    <x v="3"/>
    <n v="63"/>
    <x v="5"/>
    <x v="5"/>
    <n v="1512"/>
    <x v="566"/>
  </r>
  <r>
    <n v="814"/>
    <x v="667"/>
    <x v="23"/>
    <s v="Mr"/>
    <s v="M"/>
    <n v="30"/>
    <s v="Cashers Grounds"/>
    <x v="616"/>
    <x v="12"/>
    <d v="2020-03-11T00:00:00"/>
    <x v="2"/>
    <x v="5"/>
    <n v="17"/>
    <x v="4"/>
    <x v="4"/>
    <n v="306"/>
    <x v="567"/>
  </r>
  <r>
    <n v="815"/>
    <x v="714"/>
    <x v="34"/>
    <s v="Mr"/>
    <s v="M"/>
    <n v="60"/>
    <s v="Casimir Road"/>
    <x v="617"/>
    <x v="2"/>
    <d v="2021-05-06T00:00:00"/>
    <x v="1"/>
    <x v="11"/>
    <n v="21"/>
    <x v="5"/>
    <x v="5"/>
    <n v="504"/>
    <x v="568"/>
  </r>
  <r>
    <n v="816"/>
    <x v="715"/>
    <x v="669"/>
    <s v="Mrs"/>
    <s v="F"/>
    <n v="90"/>
    <s v="Casslee Road"/>
    <x v="618"/>
    <x v="10"/>
    <d v="2022-05-20T00:00:00"/>
    <x v="0"/>
    <x v="11"/>
    <n v="5"/>
    <x v="8"/>
    <x v="8"/>
    <n v="100"/>
    <x v="71"/>
  </r>
  <r>
    <n v="817"/>
    <x v="716"/>
    <x v="670"/>
    <s v="Mr"/>
    <s v="M"/>
    <n v="30"/>
    <s v="Castalia Street"/>
    <x v="47"/>
    <x v="16"/>
    <d v="2020-06-20T00:00:00"/>
    <x v="2"/>
    <x v="2"/>
    <n v="77"/>
    <x v="2"/>
    <x v="2"/>
    <n v="1309"/>
    <x v="79"/>
  </r>
  <r>
    <n v="818"/>
    <x v="228"/>
    <x v="671"/>
    <s v="Mr"/>
    <s v="M"/>
    <n v="60"/>
    <s v="Castello Avenue"/>
    <x v="619"/>
    <x v="2"/>
    <d v="2021-06-08T00:00:00"/>
    <x v="1"/>
    <x v="2"/>
    <n v="9"/>
    <x v="1"/>
    <x v="1"/>
    <n v="216"/>
    <x v="67"/>
  </r>
  <r>
    <n v="819"/>
    <x v="717"/>
    <x v="672"/>
    <s v="Miss"/>
    <s v="F"/>
    <n v="90"/>
    <s v="Castelnau Mansions"/>
    <x v="620"/>
    <x v="17"/>
    <d v="2020-10-09T00:00:00"/>
    <x v="2"/>
    <x v="1"/>
    <n v="18"/>
    <x v="0"/>
    <x v="0"/>
    <n v="360"/>
    <x v="18"/>
  </r>
  <r>
    <n v="820"/>
    <x v="718"/>
    <x v="673"/>
    <s v="Miss"/>
    <s v="F"/>
    <n v="90"/>
    <s v="Caster Street"/>
    <x v="229"/>
    <x v="14"/>
    <d v="2020-10-04T00:00:00"/>
    <x v="2"/>
    <x v="1"/>
    <n v="4"/>
    <x v="5"/>
    <x v="5"/>
    <n v="96"/>
    <x v="260"/>
  </r>
  <r>
    <n v="821"/>
    <x v="719"/>
    <x v="514"/>
    <s v="Miss"/>
    <s v="F"/>
    <n v="30"/>
    <s v="Castle Court"/>
    <x v="164"/>
    <x v="17"/>
    <d v="2020-04-02T00:00:00"/>
    <x v="2"/>
    <x v="4"/>
    <n v="84"/>
    <x v="6"/>
    <x v="6"/>
    <n v="2016"/>
    <x v="68"/>
  </r>
  <r>
    <n v="822"/>
    <x v="720"/>
    <x v="598"/>
    <s v="Miss"/>
    <s v="F"/>
    <n v="90"/>
    <s v="Castle Mews"/>
    <x v="621"/>
    <x v="21"/>
    <d v="2021-01-19T00:00:00"/>
    <x v="1"/>
    <x v="6"/>
    <n v="23"/>
    <x v="2"/>
    <x v="2"/>
    <n v="391"/>
    <x v="354"/>
  </r>
  <r>
    <n v="823"/>
    <x v="721"/>
    <x v="674"/>
    <s v="Miss"/>
    <s v="F"/>
    <n v="90"/>
    <s v="Castle Mews"/>
    <x v="622"/>
    <x v="2"/>
    <d v="2021-11-07T00:00:00"/>
    <x v="1"/>
    <x v="7"/>
    <n v="27"/>
    <x v="1"/>
    <x v="1"/>
    <n v="648"/>
    <x v="569"/>
  </r>
  <r>
    <n v="824"/>
    <x v="236"/>
    <x v="11"/>
    <s v="Mr"/>
    <s v="M"/>
    <n v="90"/>
    <s v="Castlebar Park"/>
    <x v="623"/>
    <x v="76"/>
    <d v="2021-03-04T00:00:00"/>
    <x v="1"/>
    <x v="5"/>
    <n v="59"/>
    <x v="9"/>
    <x v="9"/>
    <n v="1416"/>
    <x v="62"/>
  </r>
  <r>
    <n v="825"/>
    <x v="722"/>
    <x v="675"/>
    <s v="Mrs"/>
    <s v="F"/>
    <n v="30"/>
    <s v="Castles Buildings"/>
    <x v="218"/>
    <x v="21"/>
    <d v="2022-02-16T00:00:00"/>
    <x v="0"/>
    <x v="10"/>
    <n v="99"/>
    <x v="0"/>
    <x v="0"/>
    <n v="1980"/>
    <x v="203"/>
  </r>
  <r>
    <n v="826"/>
    <x v="723"/>
    <x v="676"/>
    <s v="Miss"/>
    <s v="F"/>
    <n v="60"/>
    <s v="Castlewood Drive"/>
    <x v="84"/>
    <x v="2"/>
    <d v="2022-08-16T00:00:00"/>
    <x v="0"/>
    <x v="3"/>
    <n v="22"/>
    <x v="1"/>
    <x v="1"/>
    <n v="528"/>
    <x v="533"/>
  </r>
  <r>
    <n v="827"/>
    <x v="506"/>
    <x v="677"/>
    <s v="Mr"/>
    <s v="M"/>
    <n v="90"/>
    <s v="Caterham Road"/>
    <x v="441"/>
    <x v="2"/>
    <d v="2022-01-07T00:00:00"/>
    <x v="0"/>
    <x v="6"/>
    <n v="45"/>
    <x v="6"/>
    <x v="6"/>
    <n v="1080"/>
    <x v="570"/>
  </r>
  <r>
    <n v="828"/>
    <x v="724"/>
    <x v="678"/>
    <s v="Mr"/>
    <s v="M"/>
    <n v="90"/>
    <s v="Cathcart Road"/>
    <x v="624"/>
    <x v="2"/>
    <d v="2022-12-10T00:00:00"/>
    <x v="0"/>
    <x v="8"/>
    <n v="25"/>
    <x v="6"/>
    <x v="6"/>
    <n v="600"/>
    <x v="130"/>
  </r>
  <r>
    <n v="829"/>
    <x v="725"/>
    <x v="307"/>
    <s v="Mr"/>
    <s v="M"/>
    <n v="60"/>
    <s v="Catherine Court"/>
    <x v="625"/>
    <x v="2"/>
    <d v="2021-05-27T00:00:00"/>
    <x v="1"/>
    <x v="11"/>
    <n v="11"/>
    <x v="2"/>
    <x v="2"/>
    <n v="187"/>
    <x v="412"/>
  </r>
  <r>
    <n v="830"/>
    <x v="726"/>
    <x v="161"/>
    <s v="Mrs"/>
    <s v="F"/>
    <n v="60"/>
    <s v="Cathles Road"/>
    <x v="626"/>
    <x v="10"/>
    <d v="2022-10-21T00:00:00"/>
    <x v="0"/>
    <x v="1"/>
    <n v="53"/>
    <x v="5"/>
    <x v="5"/>
    <n v="1272"/>
    <x v="534"/>
  </r>
  <r>
    <n v="831"/>
    <x v="727"/>
    <x v="679"/>
    <s v="Miss"/>
    <s v="F"/>
    <n v="60"/>
    <s v="Cato Road"/>
    <x v="214"/>
    <x v="1"/>
    <d v="2021-11-11T00:00:00"/>
    <x v="1"/>
    <x v="7"/>
    <n v="64"/>
    <x v="6"/>
    <x v="6"/>
    <n v="1536"/>
    <x v="419"/>
  </r>
  <r>
    <n v="832"/>
    <x v="728"/>
    <x v="137"/>
    <s v="Miss"/>
    <s v="F"/>
    <n v="30"/>
    <s v="Cator Road"/>
    <x v="627"/>
    <x v="2"/>
    <d v="2022-05-29T00:00:00"/>
    <x v="0"/>
    <x v="11"/>
    <n v="64"/>
    <x v="0"/>
    <x v="0"/>
    <n v="1280"/>
    <x v="498"/>
  </r>
  <r>
    <n v="833"/>
    <x v="729"/>
    <x v="680"/>
    <s v="Mr"/>
    <s v="M"/>
    <n v="90"/>
    <s v="Cattle Market"/>
    <x v="628"/>
    <x v="58"/>
    <d v="2022-05-12T00:00:00"/>
    <x v="0"/>
    <x v="11"/>
    <n v="97"/>
    <x v="3"/>
    <x v="3"/>
    <n v="2328"/>
    <x v="571"/>
  </r>
  <r>
    <n v="834"/>
    <x v="298"/>
    <x v="681"/>
    <s v="Mr"/>
    <s v="M"/>
    <n v="60"/>
    <s v="Cattle Market"/>
    <x v="224"/>
    <x v="2"/>
    <d v="2020-12-15T00:00:00"/>
    <x v="2"/>
    <x v="8"/>
    <n v="77"/>
    <x v="9"/>
    <x v="9"/>
    <n v="1848"/>
    <x v="572"/>
  </r>
  <r>
    <n v="835"/>
    <x v="730"/>
    <x v="239"/>
    <s v="Mr"/>
    <s v="M"/>
    <n v="60"/>
    <s v="Catton Street"/>
    <x v="629"/>
    <x v="1"/>
    <d v="2021-11-02T00:00:00"/>
    <x v="1"/>
    <x v="7"/>
    <n v="44"/>
    <x v="8"/>
    <x v="8"/>
    <n v="880"/>
    <x v="327"/>
  </r>
  <r>
    <n v="836"/>
    <x v="731"/>
    <x v="682"/>
    <s v="Mr"/>
    <s v="M"/>
    <n v="30"/>
    <s v="Caudwell Terrace"/>
    <x v="531"/>
    <x v="63"/>
    <d v="2021-02-27T00:00:00"/>
    <x v="1"/>
    <x v="10"/>
    <n v="64"/>
    <x v="0"/>
    <x v="0"/>
    <n v="1280"/>
    <x v="498"/>
  </r>
  <r>
    <n v="837"/>
    <x v="732"/>
    <x v="683"/>
    <s v="Miss"/>
    <s v="F"/>
    <n v="90"/>
    <s v="Caudwell Terrace"/>
    <x v="630"/>
    <x v="39"/>
    <d v="2020-06-07T00:00:00"/>
    <x v="2"/>
    <x v="2"/>
    <n v="85"/>
    <x v="3"/>
    <x v="3"/>
    <n v="2040"/>
    <x v="573"/>
  </r>
  <r>
    <n v="838"/>
    <x v="733"/>
    <x v="684"/>
    <s v="Mr"/>
    <s v="M"/>
    <n v="60"/>
    <s v="Cavendish Retreat"/>
    <x v="631"/>
    <x v="8"/>
    <d v="2020-02-23T00:00:00"/>
    <x v="2"/>
    <x v="10"/>
    <n v="39"/>
    <x v="1"/>
    <x v="1"/>
    <n v="936"/>
    <x v="574"/>
  </r>
  <r>
    <n v="839"/>
    <x v="731"/>
    <x v="22"/>
    <s v="Miss"/>
    <s v="F"/>
    <n v="60"/>
    <s v="Caversham Avenue"/>
    <x v="239"/>
    <x v="40"/>
    <d v="2021-01-24T00:00:00"/>
    <x v="1"/>
    <x v="6"/>
    <n v="90"/>
    <x v="5"/>
    <x v="5"/>
    <n v="2160"/>
    <x v="575"/>
  </r>
  <r>
    <n v="840"/>
    <x v="734"/>
    <x v="685"/>
    <s v="Mr"/>
    <s v="M"/>
    <n v="60"/>
    <s v="Caxton Street"/>
    <x v="156"/>
    <x v="19"/>
    <d v="2022-08-08T00:00:00"/>
    <x v="0"/>
    <x v="3"/>
    <n v="42"/>
    <x v="8"/>
    <x v="8"/>
    <n v="840"/>
    <x v="289"/>
  </r>
  <r>
    <n v="841"/>
    <x v="735"/>
    <x v="686"/>
    <s v="Mrs"/>
    <s v="F"/>
    <n v="60"/>
    <s v="Cecil Court"/>
    <x v="632"/>
    <x v="2"/>
    <d v="2021-08-26T00:00:00"/>
    <x v="1"/>
    <x v="3"/>
    <n v="84"/>
    <x v="5"/>
    <x v="5"/>
    <n v="2016"/>
    <x v="576"/>
  </r>
  <r>
    <n v="842"/>
    <x v="736"/>
    <x v="306"/>
    <s v="Mrs"/>
    <s v="F"/>
    <n v="60"/>
    <s v="Cecile Park"/>
    <x v="178"/>
    <x v="21"/>
    <d v="2021-05-29T00:00:00"/>
    <x v="1"/>
    <x v="11"/>
    <n v="54"/>
    <x v="5"/>
    <x v="5"/>
    <n v="1296"/>
    <x v="97"/>
  </r>
  <r>
    <n v="843"/>
    <x v="162"/>
    <x v="687"/>
    <s v="Mr"/>
    <s v="M"/>
    <n v="30"/>
    <s v="Cedarhurst Drive"/>
    <x v="341"/>
    <x v="21"/>
    <d v="2022-05-13T00:00:00"/>
    <x v="0"/>
    <x v="11"/>
    <n v="87"/>
    <x v="8"/>
    <x v="8"/>
    <n v="1740"/>
    <x v="324"/>
  </r>
  <r>
    <n v="844"/>
    <x v="737"/>
    <x v="586"/>
    <s v="Mr"/>
    <s v="M"/>
    <n v="30"/>
    <s v="Cedarne Road"/>
    <x v="633"/>
    <x v="2"/>
    <d v="2021-03-12T00:00:00"/>
    <x v="1"/>
    <x v="5"/>
    <n v="20"/>
    <x v="8"/>
    <x v="8"/>
    <n v="400"/>
    <x v="577"/>
  </r>
  <r>
    <n v="845"/>
    <x v="738"/>
    <x v="578"/>
    <s v="Mr"/>
    <s v="M"/>
    <n v="90"/>
    <s v="Cedars Row"/>
    <x v="634"/>
    <x v="2"/>
    <d v="2020-11-14T00:00:00"/>
    <x v="2"/>
    <x v="7"/>
    <n v="12"/>
    <x v="2"/>
    <x v="2"/>
    <n v="204"/>
    <x v="578"/>
  </r>
  <r>
    <n v="846"/>
    <x v="739"/>
    <x v="688"/>
    <s v="Miss"/>
    <s v="F"/>
    <n v="60"/>
    <s v="Cedars Terrace"/>
    <x v="408"/>
    <x v="7"/>
    <d v="2020-02-28T00:00:00"/>
    <x v="2"/>
    <x v="10"/>
    <n v="70"/>
    <x v="1"/>
    <x v="1"/>
    <n v="1680"/>
    <x v="561"/>
  </r>
  <r>
    <n v="847"/>
    <x v="740"/>
    <x v="689"/>
    <s v="Miss"/>
    <s v="F"/>
    <n v="90"/>
    <s v="Celandine Way"/>
    <x v="400"/>
    <x v="1"/>
    <d v="2020-08-04T00:00:00"/>
    <x v="2"/>
    <x v="3"/>
    <n v="79"/>
    <x v="5"/>
    <x v="5"/>
    <n v="1896"/>
    <x v="94"/>
  </r>
  <r>
    <n v="848"/>
    <x v="741"/>
    <x v="690"/>
    <s v="Mr"/>
    <s v="M"/>
    <n v="60"/>
    <s v="Celbridge Mews"/>
    <x v="203"/>
    <x v="36"/>
    <d v="2022-12-15T00:00:00"/>
    <x v="0"/>
    <x v="8"/>
    <n v="93"/>
    <x v="8"/>
    <x v="8"/>
    <n v="1860"/>
    <x v="579"/>
  </r>
  <r>
    <n v="849"/>
    <x v="742"/>
    <x v="691"/>
    <s v="Mrs"/>
    <s v="F"/>
    <n v="90"/>
    <s v="Cenacle Close"/>
    <x v="142"/>
    <x v="21"/>
    <d v="2022-12-13T00:00:00"/>
    <x v="0"/>
    <x v="8"/>
    <n v="48"/>
    <x v="0"/>
    <x v="0"/>
    <n v="960"/>
    <x v="411"/>
  </r>
  <r>
    <n v="850"/>
    <x v="743"/>
    <x v="692"/>
    <s v="Mr"/>
    <s v="M"/>
    <n v="90"/>
    <s v="Centurion Close"/>
    <x v="635"/>
    <x v="3"/>
    <d v="2022-08-04T00:00:00"/>
    <x v="0"/>
    <x v="3"/>
    <n v="47"/>
    <x v="9"/>
    <x v="9"/>
    <n v="1128"/>
    <x v="580"/>
  </r>
  <r>
    <n v="851"/>
    <x v="744"/>
    <x v="315"/>
    <s v="Mr"/>
    <s v="M"/>
    <n v="30"/>
    <s v="Ceylon Street"/>
    <x v="636"/>
    <x v="11"/>
    <d v="2021-09-27T00:00:00"/>
    <x v="1"/>
    <x v="9"/>
    <n v="52"/>
    <x v="3"/>
    <x v="3"/>
    <n v="1248"/>
    <x v="240"/>
  </r>
  <r>
    <n v="852"/>
    <x v="745"/>
    <x v="693"/>
    <s v="Miss"/>
    <s v="F"/>
    <n v="60"/>
    <s v="Chaddesdon Villas"/>
    <x v="368"/>
    <x v="2"/>
    <d v="2020-05-25T00:00:00"/>
    <x v="2"/>
    <x v="11"/>
    <n v="73"/>
    <x v="2"/>
    <x v="2"/>
    <n v="1241"/>
    <x v="557"/>
  </r>
  <r>
    <n v="853"/>
    <x v="746"/>
    <x v="183"/>
    <s v="Mr"/>
    <s v="M"/>
    <n v="90"/>
    <s v="Chadwick Street"/>
    <x v="259"/>
    <x v="2"/>
    <d v="2020-10-13T00:00:00"/>
    <x v="2"/>
    <x v="1"/>
    <n v="9"/>
    <x v="1"/>
    <x v="1"/>
    <n v="216"/>
    <x v="67"/>
  </r>
  <r>
    <n v="854"/>
    <x v="747"/>
    <x v="81"/>
    <s v="Mrs"/>
    <s v="F"/>
    <n v="30"/>
    <s v="Chalet"/>
    <x v="360"/>
    <x v="2"/>
    <d v="2021-08-11T00:00:00"/>
    <x v="1"/>
    <x v="3"/>
    <n v="41"/>
    <x v="9"/>
    <x v="9"/>
    <n v="984"/>
    <x v="348"/>
  </r>
  <r>
    <n v="855"/>
    <x v="748"/>
    <x v="566"/>
    <s v="Mr"/>
    <s v="M"/>
    <n v="60"/>
    <s v="Chalet Estate"/>
    <x v="501"/>
    <x v="2"/>
    <d v="2022-11-22T00:00:00"/>
    <x v="0"/>
    <x v="7"/>
    <n v="21"/>
    <x v="4"/>
    <x v="4"/>
    <n v="378"/>
    <x v="346"/>
  </r>
  <r>
    <n v="856"/>
    <x v="749"/>
    <x v="694"/>
    <s v="Mr"/>
    <s v="M"/>
    <n v="90"/>
    <s v="Chalford Road"/>
    <x v="637"/>
    <x v="1"/>
    <d v="2021-05-18T00:00:00"/>
    <x v="1"/>
    <x v="11"/>
    <n v="86"/>
    <x v="1"/>
    <x v="1"/>
    <n v="2064"/>
    <x v="201"/>
  </r>
  <r>
    <n v="857"/>
    <x v="750"/>
    <x v="363"/>
    <s v="Miss"/>
    <s v="F"/>
    <n v="30"/>
    <s v="Chalgrove Gardens"/>
    <x v="456"/>
    <x v="68"/>
    <d v="2020-07-07T00:00:00"/>
    <x v="2"/>
    <x v="0"/>
    <n v="70"/>
    <x v="6"/>
    <x v="6"/>
    <n v="1680"/>
    <x v="581"/>
  </r>
  <r>
    <n v="858"/>
    <x v="15"/>
    <x v="497"/>
    <s v="Rev"/>
    <s v="M"/>
    <n v="60"/>
    <s v="Challissfield"/>
    <x v="599"/>
    <x v="2"/>
    <d v="2021-10-17T00:00:00"/>
    <x v="1"/>
    <x v="1"/>
    <n v="40"/>
    <x v="5"/>
    <x v="5"/>
    <n v="960"/>
    <x v="582"/>
  </r>
  <r>
    <n v="859"/>
    <x v="751"/>
    <x v="695"/>
    <s v="Miss"/>
    <s v="F"/>
    <n v="90"/>
    <s v="Challoner Street"/>
    <x v="638"/>
    <x v="2"/>
    <d v="2021-07-04T00:00:00"/>
    <x v="1"/>
    <x v="0"/>
    <n v="74"/>
    <x v="7"/>
    <x v="7"/>
    <n v="1480"/>
    <x v="583"/>
  </r>
  <r>
    <n v="860"/>
    <x v="752"/>
    <x v="696"/>
    <s v="Mrs"/>
    <s v="F"/>
    <n v="60"/>
    <s v="Chalsey Road"/>
    <x v="639"/>
    <x v="13"/>
    <d v="2021-12-08T00:00:00"/>
    <x v="1"/>
    <x v="8"/>
    <n v="66"/>
    <x v="9"/>
    <x v="9"/>
    <n v="1584"/>
    <x v="404"/>
  </r>
  <r>
    <n v="861"/>
    <x v="753"/>
    <x v="697"/>
    <s v="Mr"/>
    <s v="M"/>
    <n v="60"/>
    <s v="Chamber Street"/>
    <x v="510"/>
    <x v="71"/>
    <d v="2020-04-04T00:00:00"/>
    <x v="2"/>
    <x v="4"/>
    <n v="35"/>
    <x v="3"/>
    <x v="3"/>
    <n v="840"/>
    <x v="536"/>
  </r>
  <r>
    <n v="862"/>
    <x v="754"/>
    <x v="698"/>
    <s v="Miss"/>
    <s v="F"/>
    <n v="30"/>
    <s v="Chamber Street"/>
    <x v="640"/>
    <x v="77"/>
    <d v="2022-03-13T00:00:00"/>
    <x v="0"/>
    <x v="5"/>
    <n v="59"/>
    <x v="6"/>
    <x v="6"/>
    <n v="1416"/>
    <x v="471"/>
  </r>
  <r>
    <n v="863"/>
    <x v="755"/>
    <x v="699"/>
    <s v="Mr"/>
    <s v="M"/>
    <n v="30"/>
    <s v="Chamberlens Garages"/>
    <x v="641"/>
    <x v="2"/>
    <d v="2022-03-30T00:00:00"/>
    <x v="0"/>
    <x v="5"/>
    <n v="20"/>
    <x v="8"/>
    <x v="8"/>
    <n v="400"/>
    <x v="577"/>
  </r>
  <r>
    <n v="864"/>
    <x v="756"/>
    <x v="58"/>
    <s v="Miss"/>
    <s v="F"/>
    <n v="30"/>
    <s v="Chambers Street"/>
    <x v="642"/>
    <x v="3"/>
    <d v="2021-06-12T00:00:00"/>
    <x v="1"/>
    <x v="2"/>
    <n v="42"/>
    <x v="9"/>
    <x v="9"/>
    <n v="1008"/>
    <x v="433"/>
  </r>
  <r>
    <n v="865"/>
    <x v="757"/>
    <x v="700"/>
    <s v="Mr"/>
    <s v="M"/>
    <n v="30"/>
    <s v="Chambord Street"/>
    <x v="643"/>
    <x v="2"/>
    <d v="2022-07-27T00:00:00"/>
    <x v="0"/>
    <x v="0"/>
    <n v="99"/>
    <x v="4"/>
    <x v="4"/>
    <n v="1782"/>
    <x v="342"/>
  </r>
  <r>
    <n v="866"/>
    <x v="758"/>
    <x v="701"/>
    <s v="Mr"/>
    <s v="M"/>
    <n v="60"/>
    <s v="Champion Street"/>
    <x v="644"/>
    <x v="2"/>
    <d v="2021-01-26T00:00:00"/>
    <x v="1"/>
    <x v="6"/>
    <n v="13"/>
    <x v="0"/>
    <x v="0"/>
    <n v="260"/>
    <x v="1"/>
  </r>
  <r>
    <n v="867"/>
    <x v="488"/>
    <x v="702"/>
    <s v="Miss"/>
    <s v="F"/>
    <n v="90"/>
    <s v="Chancellor Place"/>
    <x v="272"/>
    <x v="11"/>
    <d v="2022-02-05T00:00:00"/>
    <x v="0"/>
    <x v="10"/>
    <n v="76"/>
    <x v="2"/>
    <x v="2"/>
    <n v="1292"/>
    <x v="347"/>
  </r>
  <r>
    <n v="868"/>
    <x v="759"/>
    <x v="203"/>
    <s v="Mrs"/>
    <s v="F"/>
    <n v="30"/>
    <s v="Chancellors Wharf"/>
    <x v="645"/>
    <x v="2"/>
    <d v="2022-11-25T00:00:00"/>
    <x v="0"/>
    <x v="7"/>
    <n v="9"/>
    <x v="5"/>
    <x v="5"/>
    <n v="216"/>
    <x v="584"/>
  </r>
  <r>
    <n v="869"/>
    <x v="760"/>
    <x v="659"/>
    <s v="Miss"/>
    <s v="F"/>
    <n v="30"/>
    <s v="Chandos Street"/>
    <x v="483"/>
    <x v="2"/>
    <d v="2020-02-12T00:00:00"/>
    <x v="2"/>
    <x v="10"/>
    <n v="28"/>
    <x v="7"/>
    <x v="7"/>
    <n v="560"/>
    <x v="546"/>
  </r>
  <r>
    <n v="870"/>
    <x v="761"/>
    <x v="384"/>
    <s v="Mr"/>
    <s v="M"/>
    <n v="30"/>
    <s v="Chandos Way"/>
    <x v="646"/>
    <x v="26"/>
    <d v="2021-08-14T00:00:00"/>
    <x v="1"/>
    <x v="3"/>
    <n v="72"/>
    <x v="3"/>
    <x v="3"/>
    <n v="1728"/>
    <x v="173"/>
  </r>
  <r>
    <n v="871"/>
    <x v="762"/>
    <x v="703"/>
    <s v="Mr"/>
    <s v="M"/>
    <n v="90"/>
    <s v="Chandos Way"/>
    <x v="647"/>
    <x v="17"/>
    <d v="2022-02-11T00:00:00"/>
    <x v="0"/>
    <x v="10"/>
    <n v="29"/>
    <x v="3"/>
    <x v="3"/>
    <n v="696"/>
    <x v="63"/>
  </r>
  <r>
    <n v="872"/>
    <x v="681"/>
    <x v="704"/>
    <s v="Mr"/>
    <s v="M"/>
    <n v="90"/>
    <s v="Chantrey Road"/>
    <x v="543"/>
    <x v="2"/>
    <d v="2021-04-14T00:00:00"/>
    <x v="1"/>
    <x v="4"/>
    <n v="61"/>
    <x v="3"/>
    <x v="3"/>
    <n v="1464"/>
    <x v="585"/>
  </r>
  <r>
    <n v="873"/>
    <x v="763"/>
    <x v="705"/>
    <s v="Miss"/>
    <s v="F"/>
    <n v="90"/>
    <s v="Chapel Alley"/>
    <x v="54"/>
    <x v="2"/>
    <d v="2020-12-21T00:00:00"/>
    <x v="2"/>
    <x v="8"/>
    <n v="16"/>
    <x v="9"/>
    <x v="9"/>
    <n v="384"/>
    <x v="586"/>
  </r>
  <r>
    <n v="874"/>
    <x v="602"/>
    <x v="706"/>
    <s v="Mr"/>
    <s v="M"/>
    <n v="30"/>
    <s v="Chapel House"/>
    <x v="403"/>
    <x v="15"/>
    <d v="2022-10-18T00:00:00"/>
    <x v="0"/>
    <x v="1"/>
    <n v="53"/>
    <x v="3"/>
    <x v="3"/>
    <n v="1272"/>
    <x v="587"/>
  </r>
  <r>
    <n v="875"/>
    <x v="419"/>
    <x v="707"/>
    <s v="Mrs"/>
    <s v="F"/>
    <n v="60"/>
    <s v="Chapel Row"/>
    <x v="259"/>
    <x v="2"/>
    <d v="2020-04-19T00:00:00"/>
    <x v="2"/>
    <x v="4"/>
    <n v="38"/>
    <x v="7"/>
    <x v="7"/>
    <n v="760"/>
    <x v="121"/>
  </r>
  <r>
    <n v="876"/>
    <x v="764"/>
    <x v="708"/>
    <s v="Mr"/>
    <s v="M"/>
    <n v="90"/>
    <s v="Chapel Walk"/>
    <x v="648"/>
    <x v="2"/>
    <d v="2021-07-31T00:00:00"/>
    <x v="1"/>
    <x v="0"/>
    <n v="38"/>
    <x v="1"/>
    <x v="1"/>
    <n v="912"/>
    <x v="17"/>
  </r>
  <r>
    <n v="877"/>
    <x v="765"/>
    <x v="709"/>
    <s v="Miss"/>
    <s v="F"/>
    <n v="60"/>
    <s v="Chapman Road"/>
    <x v="531"/>
    <x v="63"/>
    <d v="2020-07-22T00:00:00"/>
    <x v="2"/>
    <x v="0"/>
    <n v="22"/>
    <x v="7"/>
    <x v="7"/>
    <n v="440"/>
    <x v="588"/>
  </r>
  <r>
    <n v="878"/>
    <x v="766"/>
    <x v="710"/>
    <s v="Mrs"/>
    <s v="F"/>
    <n v="30"/>
    <s v="Chapterhouse Court"/>
    <x v="245"/>
    <x v="1"/>
    <d v="2020-06-18T00:00:00"/>
    <x v="2"/>
    <x v="2"/>
    <n v="55"/>
    <x v="3"/>
    <x v="3"/>
    <n v="1320"/>
    <x v="65"/>
  </r>
  <r>
    <n v="879"/>
    <x v="767"/>
    <x v="711"/>
    <s v="Miss"/>
    <s v="F"/>
    <n v="30"/>
    <s v="Charldane Road"/>
    <x v="649"/>
    <x v="2"/>
    <d v="2022-03-31T00:00:00"/>
    <x v="0"/>
    <x v="5"/>
    <n v="63"/>
    <x v="9"/>
    <x v="9"/>
    <n v="1512"/>
    <x v="355"/>
  </r>
  <r>
    <n v="880"/>
    <x v="768"/>
    <x v="712"/>
    <s v="Miss"/>
    <s v="F"/>
    <n v="30"/>
    <s v="Charlecote Grove"/>
    <x v="650"/>
    <x v="2"/>
    <d v="2021-10-30T00:00:00"/>
    <x v="1"/>
    <x v="1"/>
    <n v="57"/>
    <x v="6"/>
    <x v="6"/>
    <n v="1368"/>
    <x v="589"/>
  </r>
  <r>
    <n v="881"/>
    <x v="311"/>
    <x v="713"/>
    <s v="Mr"/>
    <s v="M"/>
    <n v="90"/>
    <s v="Charles Dickens"/>
    <x v="475"/>
    <x v="62"/>
    <d v="2021-12-28T00:00:00"/>
    <x v="1"/>
    <x v="8"/>
    <n v="76"/>
    <x v="9"/>
    <x v="9"/>
    <n v="1824"/>
    <x v="590"/>
  </r>
  <r>
    <n v="882"/>
    <x v="769"/>
    <x v="155"/>
    <s v="Mrs"/>
    <s v="F"/>
    <n v="90"/>
    <s v="Charles Grinling"/>
    <x v="651"/>
    <x v="11"/>
    <d v="2021-01-19T00:00:00"/>
    <x v="1"/>
    <x v="6"/>
    <n v="32"/>
    <x v="8"/>
    <x v="8"/>
    <n v="640"/>
    <x v="440"/>
  </r>
  <r>
    <n v="883"/>
    <x v="770"/>
    <x v="557"/>
    <s v="Mrs"/>
    <s v="F"/>
    <n v="30"/>
    <s v="Charles Ii"/>
    <x v="652"/>
    <x v="50"/>
    <d v="2021-06-23T00:00:00"/>
    <x v="1"/>
    <x v="2"/>
    <n v="54"/>
    <x v="7"/>
    <x v="7"/>
    <n v="1080"/>
    <x v="308"/>
  </r>
  <r>
    <n v="884"/>
    <x v="771"/>
    <x v="714"/>
    <s v="Miss"/>
    <s v="F"/>
    <n v="90"/>
    <s v="Charleswood Terrace"/>
    <x v="47"/>
    <x v="16"/>
    <d v="2022-05-16T00:00:00"/>
    <x v="0"/>
    <x v="11"/>
    <n v="90"/>
    <x v="4"/>
    <x v="4"/>
    <n v="1620"/>
    <x v="591"/>
  </r>
  <r>
    <n v="885"/>
    <x v="772"/>
    <x v="622"/>
    <s v="Miss"/>
    <s v="F"/>
    <n v="60"/>
    <s v="Charlesworth Villas"/>
    <x v="161"/>
    <x v="29"/>
    <d v="2022-10-23T00:00:00"/>
    <x v="0"/>
    <x v="1"/>
    <n v="48"/>
    <x v="2"/>
    <x v="2"/>
    <n v="816"/>
    <x v="362"/>
  </r>
  <r>
    <n v="886"/>
    <x v="773"/>
    <x v="715"/>
    <s v="Mr"/>
    <s v="M"/>
    <n v="60"/>
    <s v="Charlmont Road"/>
    <x v="653"/>
    <x v="2"/>
    <d v="2021-05-28T00:00:00"/>
    <x v="1"/>
    <x v="11"/>
    <n v="18"/>
    <x v="3"/>
    <x v="3"/>
    <n v="432"/>
    <x v="8"/>
  </r>
  <r>
    <n v="887"/>
    <x v="774"/>
    <x v="579"/>
    <s v="Miss"/>
    <s v="F"/>
    <n v="30"/>
    <s v="Charlotte Street"/>
    <x v="654"/>
    <x v="17"/>
    <d v="2020-11-11T00:00:00"/>
    <x v="2"/>
    <x v="7"/>
    <n v="17"/>
    <x v="1"/>
    <x v="1"/>
    <n v="408"/>
    <x v="179"/>
  </r>
  <r>
    <n v="888"/>
    <x v="198"/>
    <x v="716"/>
    <s v="Miss"/>
    <s v="F"/>
    <n v="30"/>
    <s v="Charlwood Street"/>
    <x v="655"/>
    <x v="17"/>
    <d v="2022-07-11T00:00:00"/>
    <x v="0"/>
    <x v="0"/>
    <n v="80"/>
    <x v="5"/>
    <x v="5"/>
    <n v="1920"/>
    <x v="592"/>
  </r>
  <r>
    <n v="889"/>
    <x v="447"/>
    <x v="717"/>
    <s v="Miss"/>
    <s v="F"/>
    <n v="30"/>
    <s v="Charminster Road"/>
    <x v="656"/>
    <x v="2"/>
    <d v="2021-09-03T00:00:00"/>
    <x v="1"/>
    <x v="9"/>
    <n v="87"/>
    <x v="7"/>
    <x v="7"/>
    <n v="1740"/>
    <x v="114"/>
  </r>
  <r>
    <n v="890"/>
    <x v="775"/>
    <x v="718"/>
    <s v="Mr"/>
    <s v="M"/>
    <n v="30"/>
    <s v="Charnwood Drive"/>
    <x v="657"/>
    <x v="2"/>
    <d v="2020-10-18T00:00:00"/>
    <x v="2"/>
    <x v="1"/>
    <n v="20"/>
    <x v="0"/>
    <x v="0"/>
    <n v="400"/>
    <x v="210"/>
  </r>
  <r>
    <n v="891"/>
    <x v="776"/>
    <x v="719"/>
    <s v="Mr"/>
    <s v="M"/>
    <n v="30"/>
    <s v="Chatsworth Avenue"/>
    <x v="272"/>
    <x v="11"/>
    <d v="2022-04-21T00:00:00"/>
    <x v="0"/>
    <x v="4"/>
    <n v="98"/>
    <x v="5"/>
    <x v="5"/>
    <n v="2352"/>
    <x v="593"/>
  </r>
  <r>
    <n v="892"/>
    <x v="777"/>
    <x v="707"/>
    <s v="Ms"/>
    <s v="F"/>
    <n v="60"/>
    <s v="Chelmsford Road"/>
    <x v="658"/>
    <x v="27"/>
    <d v="2020-05-15T00:00:00"/>
    <x v="2"/>
    <x v="11"/>
    <n v="82"/>
    <x v="3"/>
    <x v="3"/>
    <n v="1968"/>
    <x v="594"/>
  </r>
  <r>
    <n v="893"/>
    <x v="275"/>
    <x v="720"/>
    <s v="Mr"/>
    <s v="M"/>
    <n v="60"/>
    <s v="Chelsea Cloisters"/>
    <x v="227"/>
    <x v="2"/>
    <d v="2020-03-07T00:00:00"/>
    <x v="2"/>
    <x v="5"/>
    <n v="64"/>
    <x v="8"/>
    <x v="8"/>
    <n v="1280"/>
    <x v="149"/>
  </r>
  <r>
    <n v="894"/>
    <x v="778"/>
    <x v="721"/>
    <s v="Mr"/>
    <s v="M"/>
    <n v="90"/>
    <s v="Chelsea Harbour"/>
    <x v="15"/>
    <x v="10"/>
    <d v="2020-08-20T00:00:00"/>
    <x v="2"/>
    <x v="3"/>
    <n v="23"/>
    <x v="6"/>
    <x v="6"/>
    <n v="552"/>
    <x v="595"/>
  </r>
  <r>
    <n v="895"/>
    <x v="779"/>
    <x v="722"/>
    <s v="Miss"/>
    <s v="F"/>
    <n v="90"/>
    <s v="Chelsfield Green"/>
    <x v="113"/>
    <x v="2"/>
    <d v="2020-10-09T00:00:00"/>
    <x v="2"/>
    <x v="1"/>
    <n v="69"/>
    <x v="8"/>
    <x v="8"/>
    <n v="1380"/>
    <x v="596"/>
  </r>
  <r>
    <n v="896"/>
    <x v="780"/>
    <x v="175"/>
    <s v="Mrs"/>
    <s v="F"/>
    <n v="60"/>
    <s v="Cheltenham Road"/>
    <x v="71"/>
    <x v="1"/>
    <d v="2022-07-09T00:00:00"/>
    <x v="0"/>
    <x v="0"/>
    <n v="79"/>
    <x v="4"/>
    <x v="4"/>
    <n v="1422"/>
    <x v="5"/>
  </r>
  <r>
    <n v="897"/>
    <x v="781"/>
    <x v="57"/>
    <s v="Mrs"/>
    <s v="F"/>
    <n v="30"/>
    <s v="Cheney Street"/>
    <x v="145"/>
    <x v="2"/>
    <d v="2022-09-03T00:00:00"/>
    <x v="0"/>
    <x v="9"/>
    <n v="49"/>
    <x v="1"/>
    <x v="1"/>
    <n v="1176"/>
    <x v="558"/>
  </r>
  <r>
    <n v="898"/>
    <x v="782"/>
    <x v="723"/>
    <s v="Mr"/>
    <s v="M"/>
    <n v="60"/>
    <s v="Chenies Mews"/>
    <x v="268"/>
    <x v="21"/>
    <d v="2021-11-19T00:00:00"/>
    <x v="1"/>
    <x v="7"/>
    <n v="21"/>
    <x v="3"/>
    <x v="3"/>
    <n v="504"/>
    <x v="229"/>
  </r>
  <r>
    <n v="899"/>
    <x v="471"/>
    <x v="724"/>
    <s v="Mr"/>
    <s v="M"/>
    <n v="30"/>
    <s v="Cheniston Gardens"/>
    <x v="25"/>
    <x v="1"/>
    <d v="2021-12-13T00:00:00"/>
    <x v="1"/>
    <x v="8"/>
    <n v="53"/>
    <x v="8"/>
    <x v="8"/>
    <n v="1060"/>
    <x v="597"/>
  </r>
  <r>
    <n v="900"/>
    <x v="783"/>
    <x v="725"/>
    <s v="Mr"/>
    <s v="M"/>
    <n v="30"/>
    <s v="Chequer Street"/>
    <x v="659"/>
    <x v="35"/>
    <d v="2022-12-26T00:00:00"/>
    <x v="0"/>
    <x v="8"/>
    <n v="40"/>
    <x v="6"/>
    <x v="6"/>
    <n v="960"/>
    <x v="598"/>
  </r>
  <r>
    <n v="901"/>
    <x v="117"/>
    <x v="578"/>
    <s v="Mrs"/>
    <s v="F"/>
    <n v="90"/>
    <s v="Chequer Yard"/>
    <x v="182"/>
    <x v="32"/>
    <d v="2020-10-14T00:00:00"/>
    <x v="2"/>
    <x v="1"/>
    <n v="84"/>
    <x v="2"/>
    <x v="2"/>
    <n v="1428"/>
    <x v="599"/>
  </r>
  <r>
    <n v="902"/>
    <x v="784"/>
    <x v="726"/>
    <s v="Miss"/>
    <s v="F"/>
    <n v="30"/>
    <s v="Cheries Villas"/>
    <x v="127"/>
    <x v="2"/>
    <d v="2022-03-26T00:00:00"/>
    <x v="0"/>
    <x v="5"/>
    <n v="100"/>
    <x v="3"/>
    <x v="3"/>
    <n v="2400"/>
    <x v="444"/>
  </r>
  <r>
    <n v="903"/>
    <x v="785"/>
    <x v="727"/>
    <s v="Mr"/>
    <s v="M"/>
    <n v="60"/>
    <s v="Cheriton Square"/>
    <x v="660"/>
    <x v="2"/>
    <d v="2020-08-04T00:00:00"/>
    <x v="2"/>
    <x v="3"/>
    <n v="72"/>
    <x v="5"/>
    <x v="5"/>
    <n v="1728"/>
    <x v="554"/>
  </r>
  <r>
    <n v="904"/>
    <x v="786"/>
    <x v="728"/>
    <s v="Mr"/>
    <s v="M"/>
    <n v="90"/>
    <s v="Cheriton Square"/>
    <x v="255"/>
    <x v="2"/>
    <d v="2021-11-21T00:00:00"/>
    <x v="1"/>
    <x v="7"/>
    <n v="92"/>
    <x v="3"/>
    <x v="3"/>
    <n v="2208"/>
    <x v="82"/>
  </r>
  <r>
    <n v="905"/>
    <x v="787"/>
    <x v="729"/>
    <s v="Mrs"/>
    <s v="F"/>
    <n v="30"/>
    <s v="Cherrylands Close"/>
    <x v="33"/>
    <x v="7"/>
    <d v="2020-09-13T00:00:00"/>
    <x v="2"/>
    <x v="9"/>
    <n v="22"/>
    <x v="4"/>
    <x v="4"/>
    <n v="396"/>
    <x v="600"/>
  </r>
  <r>
    <n v="906"/>
    <x v="788"/>
    <x v="730"/>
    <s v="Mrs"/>
    <s v="F"/>
    <n v="30"/>
    <s v="Cherrywood Close"/>
    <x v="410"/>
    <x v="21"/>
    <d v="2020-09-04T00:00:00"/>
    <x v="2"/>
    <x v="9"/>
    <n v="35"/>
    <x v="5"/>
    <x v="5"/>
    <n v="840"/>
    <x v="182"/>
  </r>
  <r>
    <n v="907"/>
    <x v="789"/>
    <x v="731"/>
    <s v="Mrs"/>
    <s v="F"/>
    <n v="90"/>
    <s v="Chertsey Road"/>
    <x v="579"/>
    <x v="2"/>
    <d v="2020-12-05T00:00:00"/>
    <x v="2"/>
    <x v="8"/>
    <n v="51"/>
    <x v="5"/>
    <x v="5"/>
    <n v="1224"/>
    <x v="601"/>
  </r>
  <r>
    <n v="908"/>
    <x v="790"/>
    <x v="109"/>
    <s v="Mr"/>
    <s v="M"/>
    <n v="60"/>
    <s v="Cherwood Street"/>
    <x v="336"/>
    <x v="2"/>
    <d v="2020-04-10T00:00:00"/>
    <x v="2"/>
    <x v="4"/>
    <n v="34"/>
    <x v="1"/>
    <x v="1"/>
    <n v="816"/>
    <x v="362"/>
  </r>
  <r>
    <n v="909"/>
    <x v="791"/>
    <x v="732"/>
    <s v="Mr"/>
    <s v="M"/>
    <n v="90"/>
    <s v="Chesham Close"/>
    <x v="661"/>
    <x v="2"/>
    <d v="2020-06-01T00:00:00"/>
    <x v="2"/>
    <x v="2"/>
    <n v="11"/>
    <x v="9"/>
    <x v="9"/>
    <n v="264"/>
    <x v="376"/>
  </r>
  <r>
    <n v="910"/>
    <x v="792"/>
    <x v="733"/>
    <s v="Mr"/>
    <s v="M"/>
    <n v="30"/>
    <s v="Chesnut Terrace"/>
    <x v="55"/>
    <x v="19"/>
    <d v="2022-07-09T00:00:00"/>
    <x v="0"/>
    <x v="0"/>
    <n v="31"/>
    <x v="9"/>
    <x v="9"/>
    <n v="744"/>
    <x v="417"/>
  </r>
  <r>
    <n v="911"/>
    <x v="130"/>
    <x v="734"/>
    <s v="Mr"/>
    <s v="M"/>
    <n v="60"/>
    <s v="Chesson Road"/>
    <x v="662"/>
    <x v="39"/>
    <d v="2021-10-29T00:00:00"/>
    <x v="1"/>
    <x v="1"/>
    <n v="85"/>
    <x v="3"/>
    <x v="3"/>
    <n v="2040"/>
    <x v="573"/>
  </r>
  <r>
    <n v="912"/>
    <x v="793"/>
    <x v="47"/>
    <s v="Mr"/>
    <s v="M"/>
    <n v="30"/>
    <s v="Chester Cottages"/>
    <x v="521"/>
    <x v="52"/>
    <d v="2022-02-22T00:00:00"/>
    <x v="0"/>
    <x v="10"/>
    <n v="25"/>
    <x v="2"/>
    <x v="2"/>
    <n v="425"/>
    <x v="602"/>
  </r>
  <r>
    <n v="913"/>
    <x v="794"/>
    <x v="705"/>
    <s v="Mr"/>
    <s v="M"/>
    <n v="30"/>
    <s v="Chester Terrace"/>
    <x v="663"/>
    <x v="2"/>
    <d v="2020-12-23T00:00:00"/>
    <x v="2"/>
    <x v="8"/>
    <n v="10"/>
    <x v="2"/>
    <x v="2"/>
    <n v="170"/>
    <x v="317"/>
  </r>
  <r>
    <n v="914"/>
    <x v="522"/>
    <x v="735"/>
    <s v="Mr"/>
    <s v="M"/>
    <n v="30"/>
    <s v="Chesterfield Grove"/>
    <x v="318"/>
    <x v="2"/>
    <d v="2021-06-09T00:00:00"/>
    <x v="1"/>
    <x v="2"/>
    <n v="17"/>
    <x v="6"/>
    <x v="6"/>
    <n v="408"/>
    <x v="492"/>
  </r>
  <r>
    <n v="915"/>
    <x v="795"/>
    <x v="736"/>
    <s v="Miss"/>
    <s v="F"/>
    <n v="30"/>
    <s v="Chestnut Rise"/>
    <x v="511"/>
    <x v="2"/>
    <d v="2022-08-02T00:00:00"/>
    <x v="0"/>
    <x v="3"/>
    <n v="74"/>
    <x v="8"/>
    <x v="8"/>
    <n v="1480"/>
    <x v="603"/>
  </r>
  <r>
    <n v="916"/>
    <x v="796"/>
    <x v="433"/>
    <s v="Miss"/>
    <s v="F"/>
    <n v="90"/>
    <s v="Chetwynd Road"/>
    <x v="664"/>
    <x v="21"/>
    <d v="2021-01-03T00:00:00"/>
    <x v="1"/>
    <x v="6"/>
    <n v="37"/>
    <x v="3"/>
    <x v="3"/>
    <n v="888"/>
    <x v="562"/>
  </r>
  <r>
    <n v="917"/>
    <x v="420"/>
    <x v="401"/>
    <s v="Mr"/>
    <s v="M"/>
    <n v="90"/>
    <s v="Cheval Pl"/>
    <x v="572"/>
    <x v="41"/>
    <d v="2020-02-12T00:00:00"/>
    <x v="2"/>
    <x v="10"/>
    <n v="67"/>
    <x v="6"/>
    <x v="6"/>
    <n v="1608"/>
    <x v="604"/>
  </r>
  <r>
    <n v="918"/>
    <x v="797"/>
    <x v="737"/>
    <s v="Mrs"/>
    <s v="F"/>
    <n v="60"/>
    <s v="Cheyne Gardens"/>
    <x v="560"/>
    <x v="74"/>
    <d v="2021-03-04T00:00:00"/>
    <x v="1"/>
    <x v="5"/>
    <n v="9"/>
    <x v="2"/>
    <x v="2"/>
    <n v="153"/>
    <x v="89"/>
  </r>
  <r>
    <n v="919"/>
    <x v="311"/>
    <x v="474"/>
    <s v="Mr"/>
    <s v="M"/>
    <n v="30"/>
    <s v="Cheyne Mews"/>
    <x v="527"/>
    <x v="2"/>
    <d v="2020-06-02T00:00:00"/>
    <x v="2"/>
    <x v="2"/>
    <n v="40"/>
    <x v="8"/>
    <x v="8"/>
    <n v="800"/>
    <x v="478"/>
  </r>
  <r>
    <n v="920"/>
    <x v="798"/>
    <x v="738"/>
    <s v="Mr"/>
    <s v="M"/>
    <n v="30"/>
    <s v="Cheyne Place"/>
    <x v="406"/>
    <x v="33"/>
    <d v="2022-05-15T00:00:00"/>
    <x v="0"/>
    <x v="11"/>
    <n v="44"/>
    <x v="9"/>
    <x v="9"/>
    <n v="1056"/>
    <x v="605"/>
  </r>
  <r>
    <n v="921"/>
    <x v="525"/>
    <x v="739"/>
    <s v="Mr"/>
    <s v="M"/>
    <n v="30"/>
    <s v="Chichester Rents"/>
    <x v="590"/>
    <x v="2"/>
    <d v="2021-09-19T00:00:00"/>
    <x v="1"/>
    <x v="9"/>
    <n v="50"/>
    <x v="9"/>
    <x v="9"/>
    <n v="1200"/>
    <x v="84"/>
  </r>
  <r>
    <n v="922"/>
    <x v="799"/>
    <x v="740"/>
    <s v="Mrs"/>
    <s v="F"/>
    <n v="90"/>
    <s v="Chigwell Hill"/>
    <x v="665"/>
    <x v="13"/>
    <d v="2020-06-04T00:00:00"/>
    <x v="2"/>
    <x v="2"/>
    <n v="19"/>
    <x v="8"/>
    <x v="8"/>
    <n v="380"/>
    <x v="606"/>
  </r>
  <r>
    <n v="923"/>
    <x v="800"/>
    <x v="152"/>
    <s v="Mr"/>
    <s v="M"/>
    <n v="90"/>
    <s v="Childebert Road"/>
    <x v="666"/>
    <x v="2"/>
    <d v="2020-12-29T00:00:00"/>
    <x v="2"/>
    <x v="8"/>
    <n v="26"/>
    <x v="4"/>
    <x v="4"/>
    <n v="468"/>
    <x v="607"/>
  </r>
  <r>
    <n v="924"/>
    <x v="801"/>
    <x v="38"/>
    <s v="Miss"/>
    <s v="F"/>
    <n v="60"/>
    <s v="Childeric Road"/>
    <x v="311"/>
    <x v="2"/>
    <d v="2022-05-31T00:00:00"/>
    <x v="0"/>
    <x v="11"/>
    <n v="13"/>
    <x v="4"/>
    <x v="4"/>
    <n v="234"/>
    <x v="143"/>
  </r>
  <r>
    <n v="925"/>
    <x v="802"/>
    <x v="741"/>
    <s v="Mrs"/>
    <s v="F"/>
    <n v="90"/>
    <s v="Childers Street"/>
    <x v="667"/>
    <x v="2"/>
    <d v="2020-12-09T00:00:00"/>
    <x v="2"/>
    <x v="8"/>
    <n v="33"/>
    <x v="2"/>
    <x v="2"/>
    <n v="561"/>
    <x v="608"/>
  </r>
  <r>
    <n v="926"/>
    <x v="803"/>
    <x v="742"/>
    <s v="Mr"/>
    <s v="M"/>
    <n v="90"/>
    <s v="Childs Way"/>
    <x v="668"/>
    <x v="2"/>
    <d v="2021-08-04T00:00:00"/>
    <x v="1"/>
    <x v="3"/>
    <n v="92"/>
    <x v="4"/>
    <x v="4"/>
    <n v="1656"/>
    <x v="609"/>
  </r>
  <r>
    <n v="927"/>
    <x v="455"/>
    <x v="743"/>
    <s v="Mrs"/>
    <s v="F"/>
    <n v="90"/>
    <s v="Chillerton Road"/>
    <x v="224"/>
    <x v="2"/>
    <d v="2020-10-11T00:00:00"/>
    <x v="2"/>
    <x v="1"/>
    <n v="75"/>
    <x v="2"/>
    <x v="2"/>
    <n v="1275"/>
    <x v="465"/>
  </r>
  <r>
    <n v="928"/>
    <x v="307"/>
    <x v="744"/>
    <s v="Mrs"/>
    <s v="F"/>
    <n v="60"/>
    <s v="Chillerton Road"/>
    <x v="669"/>
    <x v="2"/>
    <d v="2021-01-18T00:00:00"/>
    <x v="1"/>
    <x v="6"/>
    <n v="75"/>
    <x v="9"/>
    <x v="9"/>
    <n v="1800"/>
    <x v="146"/>
  </r>
  <r>
    <n v="929"/>
    <x v="804"/>
    <x v="745"/>
    <s v="Mr"/>
    <s v="M"/>
    <n v="90"/>
    <s v="Chiltern Court"/>
    <x v="670"/>
    <x v="10"/>
    <d v="2022-05-27T00:00:00"/>
    <x v="0"/>
    <x v="11"/>
    <n v="2"/>
    <x v="5"/>
    <x v="5"/>
    <n v="48"/>
    <x v="320"/>
  </r>
  <r>
    <n v="930"/>
    <x v="805"/>
    <x v="746"/>
    <s v="Mr"/>
    <s v="M"/>
    <n v="60"/>
    <s v="Chilton Avenue"/>
    <x v="190"/>
    <x v="34"/>
    <d v="2021-10-30T00:00:00"/>
    <x v="1"/>
    <x v="1"/>
    <n v="30"/>
    <x v="5"/>
    <x v="5"/>
    <n v="720"/>
    <x v="231"/>
  </r>
  <r>
    <n v="931"/>
    <x v="400"/>
    <x v="747"/>
    <s v="Mr"/>
    <s v="M"/>
    <n v="90"/>
    <s v="Chilton Avenue"/>
    <x v="362"/>
    <x v="2"/>
    <d v="2021-05-30T00:00:00"/>
    <x v="1"/>
    <x v="11"/>
    <n v="71"/>
    <x v="5"/>
    <x v="5"/>
    <n v="1704"/>
    <x v="530"/>
  </r>
  <r>
    <n v="932"/>
    <x v="197"/>
    <x v="11"/>
    <s v="Mrs"/>
    <s v="F"/>
    <n v="60"/>
    <s v="Chilworth Mews"/>
    <x v="671"/>
    <x v="45"/>
    <d v="2022-06-25T00:00:00"/>
    <x v="0"/>
    <x v="2"/>
    <n v="94"/>
    <x v="6"/>
    <x v="6"/>
    <n v="2256"/>
    <x v="610"/>
  </r>
  <r>
    <n v="933"/>
    <x v="806"/>
    <x v="748"/>
    <s v="Mr"/>
    <s v="M"/>
    <n v="60"/>
    <s v="China Hall"/>
    <x v="672"/>
    <x v="17"/>
    <d v="2020-02-15T00:00:00"/>
    <x v="2"/>
    <x v="10"/>
    <n v="69"/>
    <x v="3"/>
    <x v="3"/>
    <n v="1656"/>
    <x v="611"/>
  </r>
  <r>
    <n v="934"/>
    <x v="807"/>
    <x v="749"/>
    <s v="Mr"/>
    <s v="M"/>
    <n v="90"/>
    <s v="Chingford Avenue"/>
    <x v="673"/>
    <x v="2"/>
    <d v="2020-04-11T00:00:00"/>
    <x v="2"/>
    <x v="4"/>
    <n v="8"/>
    <x v="8"/>
    <x v="8"/>
    <n v="160"/>
    <x v="612"/>
  </r>
  <r>
    <n v="935"/>
    <x v="28"/>
    <x v="316"/>
    <s v="Miss"/>
    <s v="F"/>
    <n v="90"/>
    <s v="Chingford Road"/>
    <x v="86"/>
    <x v="17"/>
    <d v="2021-06-10T00:00:00"/>
    <x v="1"/>
    <x v="2"/>
    <n v="33"/>
    <x v="4"/>
    <x v="4"/>
    <n v="594"/>
    <x v="469"/>
  </r>
  <r>
    <n v="936"/>
    <x v="808"/>
    <x v="750"/>
    <s v="Miss"/>
    <s v="F"/>
    <n v="90"/>
    <s v="Chip Street"/>
    <x v="362"/>
    <x v="2"/>
    <d v="2022-07-07T00:00:00"/>
    <x v="0"/>
    <x v="0"/>
    <n v="44"/>
    <x v="4"/>
    <x v="4"/>
    <n v="792"/>
    <x v="613"/>
  </r>
  <r>
    <n v="937"/>
    <x v="809"/>
    <x v="751"/>
    <s v="Mrs"/>
    <s v="F"/>
    <n v="30"/>
    <s v="Chippendale Street"/>
    <x v="674"/>
    <x v="15"/>
    <d v="2022-12-15T00:00:00"/>
    <x v="0"/>
    <x v="8"/>
    <n v="2"/>
    <x v="2"/>
    <x v="2"/>
    <n v="34"/>
    <x v="614"/>
  </r>
  <r>
    <n v="938"/>
    <x v="810"/>
    <x v="752"/>
    <s v="Ms"/>
    <s v="F"/>
    <n v="30"/>
    <s v="Chippenham Mews"/>
    <x v="675"/>
    <x v="32"/>
    <d v="2021-08-09T00:00:00"/>
    <x v="1"/>
    <x v="3"/>
    <n v="10"/>
    <x v="4"/>
    <x v="4"/>
    <n v="180"/>
    <x v="427"/>
  </r>
  <r>
    <n v="939"/>
    <x v="811"/>
    <x v="344"/>
    <s v="Mrs"/>
    <s v="F"/>
    <n v="30"/>
    <s v="Chiswell Street"/>
    <x v="676"/>
    <x v="2"/>
    <d v="2020-04-29T00:00:00"/>
    <x v="2"/>
    <x v="4"/>
    <n v="34"/>
    <x v="6"/>
    <x v="6"/>
    <n v="816"/>
    <x v="615"/>
  </r>
  <r>
    <n v="940"/>
    <x v="812"/>
    <x v="460"/>
    <s v="Mrs"/>
    <s v="F"/>
    <n v="60"/>
    <s v="Chiswick Quay"/>
    <x v="677"/>
    <x v="2"/>
    <d v="2021-07-08T00:00:00"/>
    <x v="1"/>
    <x v="0"/>
    <n v="34"/>
    <x v="1"/>
    <x v="1"/>
    <n v="816"/>
    <x v="362"/>
  </r>
  <r>
    <n v="941"/>
    <x v="813"/>
    <x v="753"/>
    <s v="Mr"/>
    <s v="M"/>
    <n v="90"/>
    <s v="Chiswick Staithe"/>
    <x v="678"/>
    <x v="2"/>
    <d v="2022-02-28T00:00:00"/>
    <x v="0"/>
    <x v="10"/>
    <n v="75"/>
    <x v="9"/>
    <x v="9"/>
    <n v="1800"/>
    <x v="146"/>
  </r>
  <r>
    <n v="942"/>
    <x v="814"/>
    <x v="494"/>
    <s v="Mr"/>
    <s v="M"/>
    <n v="90"/>
    <s v="Chivers Road"/>
    <x v="679"/>
    <x v="44"/>
    <d v="2022-08-02T00:00:00"/>
    <x v="0"/>
    <x v="3"/>
    <n v="73"/>
    <x v="6"/>
    <x v="6"/>
    <n v="1752"/>
    <x v="164"/>
  </r>
  <r>
    <n v="943"/>
    <x v="459"/>
    <x v="673"/>
    <s v="Mr"/>
    <s v="M"/>
    <n v="90"/>
    <s v="Cholmeley Close"/>
    <x v="680"/>
    <x v="2"/>
    <d v="2022-12-12T00:00:00"/>
    <x v="0"/>
    <x v="8"/>
    <n v="95"/>
    <x v="0"/>
    <x v="0"/>
    <n v="1900"/>
    <x v="136"/>
  </r>
  <r>
    <n v="944"/>
    <x v="815"/>
    <x v="754"/>
    <s v="Mrs"/>
    <s v="F"/>
    <n v="60"/>
    <s v="Cholmley Gardens"/>
    <x v="681"/>
    <x v="1"/>
    <d v="2020-08-28T00:00:00"/>
    <x v="2"/>
    <x v="3"/>
    <n v="82"/>
    <x v="7"/>
    <x v="7"/>
    <n v="1640"/>
    <x v="252"/>
  </r>
  <r>
    <n v="945"/>
    <x v="816"/>
    <x v="593"/>
    <s v="Mrs"/>
    <s v="F"/>
    <n v="60"/>
    <s v="Chrisp Street"/>
    <x v="682"/>
    <x v="2"/>
    <d v="2022-01-19T00:00:00"/>
    <x v="0"/>
    <x v="6"/>
    <n v="73"/>
    <x v="2"/>
    <x v="2"/>
    <n v="1241"/>
    <x v="557"/>
  </r>
  <r>
    <n v="946"/>
    <x v="817"/>
    <x v="755"/>
    <s v="Mr"/>
    <s v="M"/>
    <n v="90"/>
    <s v="Christ Church"/>
    <x v="683"/>
    <x v="78"/>
    <d v="2020-06-18T00:00:00"/>
    <x v="2"/>
    <x v="2"/>
    <n v="33"/>
    <x v="2"/>
    <x v="2"/>
    <n v="561"/>
    <x v="608"/>
  </r>
  <r>
    <n v="947"/>
    <x v="818"/>
    <x v="756"/>
    <s v="Mrs"/>
    <s v="F"/>
    <n v="90"/>
    <s v="Christchurch Villas"/>
    <x v="684"/>
    <x v="67"/>
    <d v="2022-09-21T00:00:00"/>
    <x v="0"/>
    <x v="9"/>
    <n v="99"/>
    <x v="2"/>
    <x v="2"/>
    <n v="1683"/>
    <x v="616"/>
  </r>
  <r>
    <n v="948"/>
    <x v="819"/>
    <x v="757"/>
    <s v="Mrs"/>
    <s v="F"/>
    <n v="90"/>
    <s v="Christian Street"/>
    <x v="685"/>
    <x v="21"/>
    <d v="2022-09-17T00:00:00"/>
    <x v="0"/>
    <x v="9"/>
    <n v="94"/>
    <x v="4"/>
    <x v="4"/>
    <n v="1692"/>
    <x v="617"/>
  </r>
  <r>
    <n v="949"/>
    <x v="731"/>
    <x v="284"/>
    <s v="Mr"/>
    <s v="M"/>
    <n v="90"/>
    <s v="Christina Street"/>
    <x v="111"/>
    <x v="2"/>
    <d v="2020-03-14T00:00:00"/>
    <x v="2"/>
    <x v="5"/>
    <n v="4"/>
    <x v="5"/>
    <x v="5"/>
    <n v="96"/>
    <x v="260"/>
  </r>
  <r>
    <n v="950"/>
    <x v="820"/>
    <x v="558"/>
    <s v="Ms"/>
    <s v="F"/>
    <n v="90"/>
    <s v="Chryssel Road"/>
    <x v="319"/>
    <x v="2"/>
    <d v="2022-05-25T00:00:00"/>
    <x v="0"/>
    <x v="11"/>
    <n v="85"/>
    <x v="2"/>
    <x v="2"/>
    <n v="1445"/>
    <x v="214"/>
  </r>
  <r>
    <n v="951"/>
    <x v="821"/>
    <x v="231"/>
    <s v="Mr"/>
    <s v="M"/>
    <n v="60"/>
    <s v="Chryssoll Road"/>
    <x v="686"/>
    <x v="1"/>
    <d v="2022-06-12T00:00:00"/>
    <x v="0"/>
    <x v="2"/>
    <n v="26"/>
    <x v="5"/>
    <x v="5"/>
    <n v="624"/>
    <x v="559"/>
  </r>
  <r>
    <n v="952"/>
    <x v="822"/>
    <x v="758"/>
    <s v="Mrs"/>
    <s v="F"/>
    <n v="60"/>
    <s v="Chryssoll Road"/>
    <x v="687"/>
    <x v="2"/>
    <d v="2020-08-31T00:00:00"/>
    <x v="2"/>
    <x v="3"/>
    <n v="82"/>
    <x v="7"/>
    <x v="7"/>
    <n v="1640"/>
    <x v="252"/>
  </r>
  <r>
    <n v="953"/>
    <x v="344"/>
    <x v="610"/>
    <s v="Mr"/>
    <s v="M"/>
    <n v="90"/>
    <s v="Church"/>
    <x v="688"/>
    <x v="15"/>
    <d v="2022-09-22T00:00:00"/>
    <x v="0"/>
    <x v="9"/>
    <n v="95"/>
    <x v="5"/>
    <x v="5"/>
    <n v="2280"/>
    <x v="217"/>
  </r>
  <r>
    <n v="954"/>
    <x v="221"/>
    <x v="92"/>
    <s v="Mr"/>
    <s v="M"/>
    <n v="30"/>
    <s v="Church Place"/>
    <x v="689"/>
    <x v="17"/>
    <d v="2021-01-14T00:00:00"/>
    <x v="1"/>
    <x v="6"/>
    <n v="23"/>
    <x v="6"/>
    <x v="6"/>
    <n v="552"/>
    <x v="595"/>
  </r>
  <r>
    <n v="955"/>
    <x v="38"/>
    <x v="133"/>
    <s v="Mr"/>
    <s v="M"/>
    <n v="60"/>
    <s v="Churchbury Road"/>
    <x v="690"/>
    <x v="2"/>
    <d v="2021-06-24T00:00:00"/>
    <x v="1"/>
    <x v="2"/>
    <n v="32"/>
    <x v="4"/>
    <x v="4"/>
    <n v="576"/>
    <x v="58"/>
  </r>
  <r>
    <n v="956"/>
    <x v="823"/>
    <x v="398"/>
    <s v="Mr"/>
    <s v="M"/>
    <n v="60"/>
    <s v="Churchcroft Close"/>
    <x v="691"/>
    <x v="2"/>
    <d v="2021-11-01T00:00:00"/>
    <x v="1"/>
    <x v="7"/>
    <n v="82"/>
    <x v="2"/>
    <x v="2"/>
    <n v="1394"/>
    <x v="618"/>
  </r>
  <r>
    <n v="957"/>
    <x v="824"/>
    <x v="476"/>
    <s v="Mr"/>
    <s v="M"/>
    <n v="30"/>
    <s v="Cicada Road"/>
    <x v="692"/>
    <x v="3"/>
    <d v="2021-12-26T00:00:00"/>
    <x v="1"/>
    <x v="8"/>
    <n v="67"/>
    <x v="5"/>
    <x v="5"/>
    <n v="1608"/>
    <x v="619"/>
  </r>
  <r>
    <n v="958"/>
    <x v="52"/>
    <x v="409"/>
    <s v="Mr"/>
    <s v="M"/>
    <n v="90"/>
    <s v="Cicely Road"/>
    <x v="693"/>
    <x v="2"/>
    <d v="2020-08-14T00:00:00"/>
    <x v="2"/>
    <x v="3"/>
    <n v="38"/>
    <x v="3"/>
    <x v="3"/>
    <n v="912"/>
    <x v="117"/>
  </r>
  <r>
    <n v="959"/>
    <x v="75"/>
    <x v="759"/>
    <s v="Mr"/>
    <s v="M"/>
    <n v="90"/>
    <s v="Cintra Park"/>
    <x v="383"/>
    <x v="2"/>
    <d v="2021-11-02T00:00:00"/>
    <x v="1"/>
    <x v="7"/>
    <n v="77"/>
    <x v="4"/>
    <x v="4"/>
    <n v="1386"/>
    <x v="620"/>
  </r>
  <r>
    <n v="960"/>
    <x v="755"/>
    <x v="760"/>
    <s v="Mr"/>
    <s v="M"/>
    <n v="60"/>
    <s v="Circus Road"/>
    <x v="487"/>
    <x v="2"/>
    <d v="2022-07-23T00:00:00"/>
    <x v="0"/>
    <x v="0"/>
    <n v="11"/>
    <x v="6"/>
    <x v="6"/>
    <n v="264"/>
    <x v="377"/>
  </r>
  <r>
    <n v="961"/>
    <x v="108"/>
    <x v="42"/>
    <s v="Mr"/>
    <s v="M"/>
    <n v="60"/>
    <s v="Cirencester Street"/>
    <x v="609"/>
    <x v="11"/>
    <d v="2022-05-27T00:00:00"/>
    <x v="0"/>
    <x v="11"/>
    <n v="101"/>
    <x v="1"/>
    <x v="1"/>
    <n v="2424"/>
    <x v="621"/>
  </r>
  <r>
    <n v="962"/>
    <x v="825"/>
    <x v="761"/>
    <s v="Mr"/>
    <s v="M"/>
    <n v="30"/>
    <s v="City Barracks"/>
    <x v="676"/>
    <x v="2"/>
    <d v="2021-04-29T00:00:00"/>
    <x v="1"/>
    <x v="4"/>
    <n v="26"/>
    <x v="1"/>
    <x v="1"/>
    <n v="624"/>
    <x v="622"/>
  </r>
  <r>
    <n v="963"/>
    <x v="282"/>
    <x v="762"/>
    <s v="Dr"/>
    <s v="M"/>
    <n v="90"/>
    <s v="Clack Street"/>
    <x v="21"/>
    <x v="2"/>
    <d v="2022-09-23T00:00:00"/>
    <x v="0"/>
    <x v="9"/>
    <n v="70"/>
    <x v="9"/>
    <x v="9"/>
    <n v="1680"/>
    <x v="556"/>
  </r>
  <r>
    <n v="964"/>
    <x v="826"/>
    <x v="500"/>
    <s v="Mr"/>
    <s v="M"/>
    <n v="90"/>
    <s v="Clapham Manor"/>
    <x v="694"/>
    <x v="11"/>
    <d v="2022-08-23T00:00:00"/>
    <x v="0"/>
    <x v="3"/>
    <n v="72"/>
    <x v="3"/>
    <x v="3"/>
    <n v="1728"/>
    <x v="173"/>
  </r>
  <r>
    <n v="965"/>
    <x v="827"/>
    <x v="193"/>
    <s v="Mr"/>
    <s v="M"/>
    <n v="90"/>
    <s v="Clapham Manor"/>
    <x v="695"/>
    <x v="2"/>
    <d v="2022-02-21T00:00:00"/>
    <x v="0"/>
    <x v="10"/>
    <n v="7"/>
    <x v="3"/>
    <x v="3"/>
    <n v="168"/>
    <x v="33"/>
  </r>
  <r>
    <n v="966"/>
    <x v="828"/>
    <x v="763"/>
    <s v="Mrs"/>
    <s v="F"/>
    <n v="90"/>
    <s v="Clapham Road"/>
    <x v="696"/>
    <x v="11"/>
    <d v="2020-07-15T00:00:00"/>
    <x v="2"/>
    <x v="0"/>
    <n v="50"/>
    <x v="2"/>
    <x v="2"/>
    <n v="850"/>
    <x v="301"/>
  </r>
  <r>
    <n v="967"/>
    <x v="829"/>
    <x v="764"/>
    <s v="Miss"/>
    <s v="F"/>
    <n v="90"/>
    <s v="Clapham Terrace"/>
    <x v="697"/>
    <x v="15"/>
    <d v="2020-06-18T00:00:00"/>
    <x v="2"/>
    <x v="2"/>
    <n v="65"/>
    <x v="7"/>
    <x v="7"/>
    <n v="1300"/>
    <x v="445"/>
  </r>
  <r>
    <n v="968"/>
    <x v="830"/>
    <x v="765"/>
    <s v="Miss"/>
    <s v="F"/>
    <n v="90"/>
    <s v="Clapham Terrace"/>
    <x v="698"/>
    <x v="2"/>
    <d v="2020-09-24T00:00:00"/>
    <x v="2"/>
    <x v="9"/>
    <n v="10"/>
    <x v="6"/>
    <x v="6"/>
    <n v="240"/>
    <x v="172"/>
  </r>
  <r>
    <n v="969"/>
    <x v="75"/>
    <x v="766"/>
    <s v="Mr"/>
    <s v="M"/>
    <n v="90"/>
    <s v="Claps Gate"/>
    <x v="496"/>
    <x v="11"/>
    <d v="2022-05-31T00:00:00"/>
    <x v="0"/>
    <x v="11"/>
    <n v="75"/>
    <x v="6"/>
    <x v="6"/>
    <n v="1800"/>
    <x v="623"/>
  </r>
  <r>
    <n v="970"/>
    <x v="831"/>
    <x v="767"/>
    <s v="Mrs"/>
    <s v="F"/>
    <n v="60"/>
    <s v="Clapton Common"/>
    <x v="676"/>
    <x v="2"/>
    <d v="2022-06-04T00:00:00"/>
    <x v="0"/>
    <x v="2"/>
    <n v="100"/>
    <x v="1"/>
    <x v="1"/>
    <n v="2400"/>
    <x v="624"/>
  </r>
  <r>
    <n v="971"/>
    <x v="832"/>
    <x v="768"/>
    <s v="Ms"/>
    <s v="F"/>
    <n v="90"/>
    <s v="Clapton Square"/>
    <x v="699"/>
    <x v="2"/>
    <d v="2021-09-21T00:00:00"/>
    <x v="1"/>
    <x v="9"/>
    <n v="83"/>
    <x v="3"/>
    <x v="3"/>
    <n v="1992"/>
    <x v="321"/>
  </r>
  <r>
    <n v="972"/>
    <x v="833"/>
    <x v="769"/>
    <s v="Miss"/>
    <s v="F"/>
    <n v="90"/>
    <s v="Clapton Square"/>
    <x v="700"/>
    <x v="2"/>
    <d v="2021-12-28T00:00:00"/>
    <x v="1"/>
    <x v="8"/>
    <n v="22"/>
    <x v="9"/>
    <x v="9"/>
    <n v="528"/>
    <x v="625"/>
  </r>
  <r>
    <n v="973"/>
    <x v="834"/>
    <x v="770"/>
    <s v="Mr"/>
    <s v="M"/>
    <n v="90"/>
    <s v="Clarelawn Avenue"/>
    <x v="701"/>
    <x v="11"/>
    <d v="2020-10-15T00:00:00"/>
    <x v="2"/>
    <x v="1"/>
    <n v="35"/>
    <x v="0"/>
    <x v="0"/>
    <n v="700"/>
    <x v="626"/>
  </r>
  <r>
    <n v="974"/>
    <x v="835"/>
    <x v="771"/>
    <s v="Mr"/>
    <s v="M"/>
    <n v="30"/>
    <s v="Claremont Square"/>
    <x v="523"/>
    <x v="16"/>
    <d v="2021-07-28T00:00:00"/>
    <x v="1"/>
    <x v="0"/>
    <n v="47"/>
    <x v="3"/>
    <x v="3"/>
    <n v="1128"/>
    <x v="472"/>
  </r>
  <r>
    <n v="975"/>
    <x v="19"/>
    <x v="772"/>
    <s v="Mr"/>
    <s v="M"/>
    <n v="60"/>
    <s v="Claremont Street"/>
    <x v="702"/>
    <x v="2"/>
    <d v="2020-12-06T00:00:00"/>
    <x v="2"/>
    <x v="8"/>
    <n v="76"/>
    <x v="5"/>
    <x v="5"/>
    <n v="1824"/>
    <x v="405"/>
  </r>
  <r>
    <n v="976"/>
    <x v="238"/>
    <x v="773"/>
    <s v="Mr"/>
    <s v="M"/>
    <n v="90"/>
    <s v="Clarence Farm"/>
    <x v="703"/>
    <x v="2"/>
    <d v="2022-08-10T00:00:00"/>
    <x v="0"/>
    <x v="3"/>
    <n v="79"/>
    <x v="5"/>
    <x v="5"/>
    <n v="1896"/>
    <x v="94"/>
  </r>
  <r>
    <n v="977"/>
    <x v="836"/>
    <x v="774"/>
    <s v="Mr"/>
    <s v="M"/>
    <n v="30"/>
    <s v="Clarence Road"/>
    <x v="704"/>
    <x v="21"/>
    <d v="2021-04-03T00:00:00"/>
    <x v="1"/>
    <x v="4"/>
    <n v="4"/>
    <x v="9"/>
    <x v="9"/>
    <n v="96"/>
    <x v="181"/>
  </r>
  <r>
    <n v="978"/>
    <x v="837"/>
    <x v="11"/>
    <s v="Mrs"/>
    <s v="F"/>
    <n v="60"/>
    <s v="Clarence Street"/>
    <x v="662"/>
    <x v="39"/>
    <d v="2020-09-27T00:00:00"/>
    <x v="2"/>
    <x v="9"/>
    <n v="69"/>
    <x v="7"/>
    <x v="7"/>
    <n v="1380"/>
    <x v="627"/>
  </r>
  <r>
    <n v="979"/>
    <x v="72"/>
    <x v="26"/>
    <s v="Ms"/>
    <s v="F"/>
    <n v="90"/>
    <s v="Clarence Yard"/>
    <x v="705"/>
    <x v="2"/>
    <d v="2021-12-21T00:00:00"/>
    <x v="1"/>
    <x v="8"/>
    <n v="92"/>
    <x v="8"/>
    <x v="8"/>
    <n v="1840"/>
    <x v="628"/>
  </r>
  <r>
    <n v="980"/>
    <x v="838"/>
    <x v="161"/>
    <s v="Mrs"/>
    <s v="F"/>
    <n v="60"/>
    <s v="Clarendon Place"/>
    <x v="93"/>
    <x v="1"/>
    <d v="2020-11-02T00:00:00"/>
    <x v="2"/>
    <x v="7"/>
    <n v="31"/>
    <x v="7"/>
    <x v="7"/>
    <n v="620"/>
    <x v="43"/>
  </r>
  <r>
    <n v="981"/>
    <x v="839"/>
    <x v="775"/>
    <s v="Mr"/>
    <s v="M"/>
    <n v="30"/>
    <s v="Clarendon Road"/>
    <x v="49"/>
    <x v="2"/>
    <d v="2021-04-13T00:00:00"/>
    <x v="1"/>
    <x v="4"/>
    <n v="7"/>
    <x v="1"/>
    <x v="1"/>
    <n v="168"/>
    <x v="629"/>
  </r>
  <r>
    <n v="982"/>
    <x v="840"/>
    <x v="776"/>
    <s v="Mr"/>
    <s v="M"/>
    <n v="90"/>
    <s v="Clarkson Road"/>
    <x v="706"/>
    <x v="2"/>
    <d v="2022-10-29T00:00:00"/>
    <x v="0"/>
    <x v="1"/>
    <n v="67"/>
    <x v="2"/>
    <x v="2"/>
    <n v="1139"/>
    <x v="96"/>
  </r>
  <r>
    <n v="983"/>
    <x v="147"/>
    <x v="777"/>
    <s v="Mr"/>
    <s v="M"/>
    <n v="30"/>
    <s v="Claude Street"/>
    <x v="84"/>
    <x v="2"/>
    <d v="2021-10-01T00:00:00"/>
    <x v="1"/>
    <x v="1"/>
    <n v="90"/>
    <x v="2"/>
    <x v="2"/>
    <n v="1530"/>
    <x v="630"/>
  </r>
  <r>
    <n v="984"/>
    <x v="841"/>
    <x v="196"/>
    <s v="Miss"/>
    <s v="F"/>
    <n v="60"/>
    <s v="Clave Street"/>
    <x v="707"/>
    <x v="2"/>
    <d v="2021-01-10T00:00:00"/>
    <x v="1"/>
    <x v="6"/>
    <n v="4"/>
    <x v="3"/>
    <x v="3"/>
    <n v="96"/>
    <x v="631"/>
  </r>
  <r>
    <n v="985"/>
    <x v="842"/>
    <x v="778"/>
    <s v="Mrs"/>
    <s v="F"/>
    <n v="30"/>
    <s v="Claybrook Road"/>
    <x v="708"/>
    <x v="2"/>
    <d v="2022-07-31T00:00:00"/>
    <x v="0"/>
    <x v="0"/>
    <n v="62"/>
    <x v="0"/>
    <x v="0"/>
    <n v="1240"/>
    <x v="632"/>
  </r>
  <r>
    <n v="986"/>
    <x v="376"/>
    <x v="779"/>
    <s v="Mrs"/>
    <s v="F"/>
    <n v="60"/>
    <s v="Claylands Road"/>
    <x v="698"/>
    <x v="2"/>
    <d v="2020-08-15T00:00:00"/>
    <x v="2"/>
    <x v="3"/>
    <n v="29"/>
    <x v="3"/>
    <x v="3"/>
    <n v="696"/>
    <x v="63"/>
  </r>
  <r>
    <n v="987"/>
    <x v="843"/>
    <x v="780"/>
    <s v="Miss"/>
    <s v="F"/>
    <n v="90"/>
    <s v="Clayton Close"/>
    <x v="18"/>
    <x v="11"/>
    <d v="2020-08-24T00:00:00"/>
    <x v="2"/>
    <x v="3"/>
    <n v="58"/>
    <x v="1"/>
    <x v="1"/>
    <n v="1392"/>
    <x v="280"/>
  </r>
  <r>
    <n v="988"/>
    <x v="844"/>
    <x v="781"/>
    <s v="Mr"/>
    <s v="M"/>
    <n v="30"/>
    <s v="Clayton Street"/>
    <x v="388"/>
    <x v="2"/>
    <d v="2020-06-24T00:00:00"/>
    <x v="2"/>
    <x v="2"/>
    <n v="42"/>
    <x v="5"/>
    <x v="5"/>
    <n v="1008"/>
    <x v="275"/>
  </r>
  <r>
    <n v="989"/>
    <x v="845"/>
    <x v="678"/>
    <s v="Mrs"/>
    <s v="F"/>
    <n v="60"/>
    <s v="Clearwater Terrace"/>
    <x v="709"/>
    <x v="2"/>
    <d v="2022-06-06T00:00:00"/>
    <x v="0"/>
    <x v="2"/>
    <n v="21"/>
    <x v="0"/>
    <x v="0"/>
    <n v="420"/>
    <x v="165"/>
  </r>
  <r>
    <n v="990"/>
    <x v="846"/>
    <x v="782"/>
    <s v="Mr"/>
    <s v="M"/>
    <n v="60"/>
    <s v="Clement'S Inn"/>
    <x v="506"/>
    <x v="15"/>
    <d v="2022-01-23T00:00:00"/>
    <x v="0"/>
    <x v="6"/>
    <n v="33"/>
    <x v="9"/>
    <x v="9"/>
    <n v="792"/>
    <x v="633"/>
  </r>
  <r>
    <n v="991"/>
    <x v="238"/>
    <x v="783"/>
    <s v="Mr"/>
    <s v="M"/>
    <n v="60"/>
    <s v="Clements Yard"/>
    <x v="9"/>
    <x v="6"/>
    <d v="2020-08-16T00:00:00"/>
    <x v="2"/>
    <x v="3"/>
    <n v="15"/>
    <x v="7"/>
    <x v="7"/>
    <n v="300"/>
    <x v="634"/>
  </r>
  <r>
    <n v="992"/>
    <x v="847"/>
    <x v="784"/>
    <s v="Mrs"/>
    <s v="F"/>
    <n v="60"/>
    <s v="Clermont Place"/>
    <x v="710"/>
    <x v="44"/>
    <d v="2020-08-17T00:00:00"/>
    <x v="2"/>
    <x v="3"/>
    <n v="57"/>
    <x v="2"/>
    <x v="2"/>
    <n v="969"/>
    <x v="489"/>
  </r>
  <r>
    <n v="993"/>
    <x v="734"/>
    <x v="577"/>
    <s v="Mr"/>
    <s v="M"/>
    <n v="60"/>
    <s v="Clermont Place"/>
    <x v="215"/>
    <x v="17"/>
    <d v="2020-08-05T00:00:00"/>
    <x v="2"/>
    <x v="3"/>
    <n v="50"/>
    <x v="1"/>
    <x v="1"/>
    <n v="1200"/>
    <x v="19"/>
  </r>
  <r>
    <n v="994"/>
    <x v="7"/>
    <x v="416"/>
    <s v="Miss"/>
    <s v="F"/>
    <n v="90"/>
    <s v="Clevedon Row"/>
    <x v="441"/>
    <x v="2"/>
    <d v="2020-05-01T00:00:00"/>
    <x v="2"/>
    <x v="11"/>
    <n v="47"/>
    <x v="6"/>
    <x v="6"/>
    <n v="1128"/>
    <x v="508"/>
  </r>
  <r>
    <n v="995"/>
    <x v="848"/>
    <x v="785"/>
    <s v="Mr"/>
    <s v="M"/>
    <n v="30"/>
    <s v="Cleveland Road"/>
    <x v="227"/>
    <x v="2"/>
    <d v="2020-05-21T00:00:00"/>
    <x v="2"/>
    <x v="11"/>
    <n v="51"/>
    <x v="7"/>
    <x v="7"/>
    <n v="1020"/>
    <x v="563"/>
  </r>
  <r>
    <n v="996"/>
    <x v="593"/>
    <x v="786"/>
    <s v="Mr"/>
    <s v="M"/>
    <n v="30"/>
    <s v="Cleveley Close"/>
    <x v="334"/>
    <x v="1"/>
    <d v="2020-10-16T00:00:00"/>
    <x v="2"/>
    <x v="1"/>
    <n v="74"/>
    <x v="8"/>
    <x v="8"/>
    <n v="1480"/>
    <x v="603"/>
  </r>
  <r>
    <n v="997"/>
    <x v="712"/>
    <x v="787"/>
    <s v="Mr"/>
    <s v="M"/>
    <n v="90"/>
    <s v="Cleveley Close"/>
    <x v="711"/>
    <x v="2"/>
    <d v="2020-12-09T00:00:00"/>
    <x v="2"/>
    <x v="8"/>
    <n v="44"/>
    <x v="4"/>
    <x v="4"/>
    <n v="792"/>
    <x v="613"/>
  </r>
  <r>
    <n v="998"/>
    <x v="288"/>
    <x v="788"/>
    <s v="Mr"/>
    <s v="M"/>
    <n v="30"/>
    <s v="Clide Villas"/>
    <x v="668"/>
    <x v="2"/>
    <d v="2022-09-13T00:00:00"/>
    <x v="0"/>
    <x v="9"/>
    <n v="28"/>
    <x v="0"/>
    <x v="0"/>
    <n v="560"/>
    <x v="635"/>
  </r>
  <r>
    <n v="999"/>
    <x v="792"/>
    <x v="789"/>
    <s v="Mr"/>
    <s v="M"/>
    <n v="90"/>
    <s v="Cliff Terrace"/>
    <x v="712"/>
    <x v="2"/>
    <d v="2020-08-20T00:00:00"/>
    <x v="2"/>
    <x v="3"/>
    <n v="78"/>
    <x v="2"/>
    <x v="2"/>
    <n v="1326"/>
    <x v="636"/>
  </r>
  <r>
    <n v="1000"/>
    <x v="640"/>
    <x v="790"/>
    <s v="Mr"/>
    <s v="M"/>
    <n v="30"/>
    <s v="Cliff Walk"/>
    <x v="648"/>
    <x v="2"/>
    <d v="2020-06-30T00:00:00"/>
    <x v="2"/>
    <x v="2"/>
    <n v="80"/>
    <x v="6"/>
    <x v="6"/>
    <n v="1920"/>
    <x v="205"/>
  </r>
  <r>
    <n v="1001"/>
    <x v="636"/>
    <x v="791"/>
    <s v="Mr"/>
    <s v="M"/>
    <n v="90"/>
    <s v="Clifford Gardens"/>
    <x v="713"/>
    <x v="8"/>
    <d v="2022-07-27T00:00:00"/>
    <x v="0"/>
    <x v="0"/>
    <n v="74"/>
    <x v="7"/>
    <x v="7"/>
    <n v="1480"/>
    <x v="583"/>
  </r>
  <r>
    <n v="1002"/>
    <x v="849"/>
    <x v="792"/>
    <s v="Mr"/>
    <s v="M"/>
    <n v="60"/>
    <s v="Clift Street"/>
    <x v="714"/>
    <x v="13"/>
    <d v="2022-06-26T00:00:00"/>
    <x v="0"/>
    <x v="2"/>
    <n v="62"/>
    <x v="3"/>
    <x v="3"/>
    <n v="1488"/>
    <x v="637"/>
  </r>
  <r>
    <n v="1003"/>
    <x v="850"/>
    <x v="175"/>
    <s v="Rev"/>
    <s v="M"/>
    <n v="30"/>
    <s v="Clifton Court"/>
    <x v="560"/>
    <x v="74"/>
    <d v="2021-11-13T00:00:00"/>
    <x v="1"/>
    <x v="7"/>
    <n v="55"/>
    <x v="4"/>
    <x v="4"/>
    <n v="990"/>
    <x v="638"/>
  </r>
  <r>
    <n v="1004"/>
    <x v="851"/>
    <x v="793"/>
    <s v="Miss"/>
    <s v="F"/>
    <n v="90"/>
    <s v="Clifton Court"/>
    <x v="544"/>
    <x v="2"/>
    <d v="2021-11-26T00:00:00"/>
    <x v="1"/>
    <x v="7"/>
    <n v="20"/>
    <x v="7"/>
    <x v="7"/>
    <n v="400"/>
    <x v="639"/>
  </r>
  <r>
    <n v="1005"/>
    <x v="852"/>
    <x v="794"/>
    <s v="Mr"/>
    <s v="M"/>
    <n v="60"/>
    <s v="Cline Road"/>
    <x v="715"/>
    <x v="2"/>
    <d v="2021-01-25T00:00:00"/>
    <x v="1"/>
    <x v="6"/>
    <n v="92"/>
    <x v="2"/>
    <x v="2"/>
    <n v="1564"/>
    <x v="640"/>
  </r>
  <r>
    <n v="1006"/>
    <x v="853"/>
    <x v="795"/>
    <s v="Mrs"/>
    <s v="F"/>
    <n v="60"/>
    <s v="Clinton Road"/>
    <x v="716"/>
    <x v="2"/>
    <d v="2022-05-22T00:00:00"/>
    <x v="0"/>
    <x v="11"/>
    <n v="58"/>
    <x v="4"/>
    <x v="4"/>
    <n v="1044"/>
    <x v="132"/>
  </r>
  <r>
    <n v="1007"/>
    <x v="854"/>
    <x v="796"/>
    <s v="Miss"/>
    <s v="F"/>
    <n v="90"/>
    <s v="Clissold Park"/>
    <x v="300"/>
    <x v="2"/>
    <d v="2022-09-23T00:00:00"/>
    <x v="0"/>
    <x v="9"/>
    <n v="51"/>
    <x v="2"/>
    <x v="2"/>
    <n v="867"/>
    <x v="385"/>
  </r>
  <r>
    <n v="1008"/>
    <x v="855"/>
    <x v="797"/>
    <s v="Miss"/>
    <s v="F"/>
    <n v="90"/>
    <s v="Cloak Lane"/>
    <x v="717"/>
    <x v="2"/>
    <d v="2021-12-19T00:00:00"/>
    <x v="1"/>
    <x v="8"/>
    <n v="31"/>
    <x v="0"/>
    <x v="0"/>
    <n v="620"/>
    <x v="641"/>
  </r>
  <r>
    <n v="1009"/>
    <x v="856"/>
    <x v="798"/>
    <s v="Mr"/>
    <s v="M"/>
    <n v="60"/>
    <s v="Clockhouse Close"/>
    <x v="718"/>
    <x v="76"/>
    <d v="2022-08-10T00:00:00"/>
    <x v="0"/>
    <x v="3"/>
    <n v="12"/>
    <x v="6"/>
    <x v="6"/>
    <n v="288"/>
    <x v="319"/>
  </r>
  <r>
    <n v="1010"/>
    <x v="857"/>
    <x v="799"/>
    <s v="Miss"/>
    <s v="F"/>
    <n v="60"/>
    <s v="Cloister Gardens"/>
    <x v="719"/>
    <x v="79"/>
    <d v="2022-06-08T00:00:00"/>
    <x v="0"/>
    <x v="2"/>
    <n v="65"/>
    <x v="3"/>
    <x v="3"/>
    <n v="1560"/>
    <x v="257"/>
  </r>
  <r>
    <n v="1011"/>
    <x v="858"/>
    <x v="800"/>
    <s v="Miss"/>
    <s v="F"/>
    <n v="30"/>
    <s v="Clonmell Road"/>
    <x v="720"/>
    <x v="2"/>
    <d v="2022-06-28T00:00:00"/>
    <x v="0"/>
    <x v="2"/>
    <n v="96"/>
    <x v="2"/>
    <x v="2"/>
    <n v="1632"/>
    <x v="160"/>
  </r>
  <r>
    <n v="1012"/>
    <x v="859"/>
    <x v="84"/>
    <s v="Mr"/>
    <s v="M"/>
    <n v="90"/>
    <s v="Clorane Gardens"/>
    <x v="721"/>
    <x v="11"/>
    <d v="2021-04-18T00:00:00"/>
    <x v="1"/>
    <x v="4"/>
    <n v="32"/>
    <x v="1"/>
    <x v="1"/>
    <n v="768"/>
    <x v="475"/>
  </r>
  <r>
    <n v="1013"/>
    <x v="860"/>
    <x v="286"/>
    <s v="Miss"/>
    <s v="F"/>
    <n v="90"/>
    <s v="Clove Crescent"/>
    <x v="722"/>
    <x v="2"/>
    <d v="2020-03-12T00:00:00"/>
    <x v="2"/>
    <x v="5"/>
    <n v="47"/>
    <x v="3"/>
    <x v="3"/>
    <n v="1128"/>
    <x v="472"/>
  </r>
  <r>
    <n v="1014"/>
    <x v="861"/>
    <x v="705"/>
    <s v="Miss"/>
    <s v="F"/>
    <n v="60"/>
    <s v="Clovelly Gardens"/>
    <x v="723"/>
    <x v="2"/>
    <d v="2021-01-25T00:00:00"/>
    <x v="1"/>
    <x v="6"/>
    <n v="59"/>
    <x v="0"/>
    <x v="0"/>
    <n v="1180"/>
    <x v="642"/>
  </r>
  <r>
    <n v="1015"/>
    <x v="862"/>
    <x v="801"/>
    <s v="Miss"/>
    <s v="F"/>
    <n v="60"/>
    <s v="Clowders Road"/>
    <x v="724"/>
    <x v="8"/>
    <d v="2022-01-20T00:00:00"/>
    <x v="0"/>
    <x v="6"/>
    <n v="74"/>
    <x v="5"/>
    <x v="5"/>
    <n v="1776"/>
    <x v="122"/>
  </r>
  <r>
    <n v="1016"/>
    <x v="863"/>
    <x v="647"/>
    <s v="Mr"/>
    <s v="M"/>
    <n v="30"/>
    <s v="Clowders Road"/>
    <x v="86"/>
    <x v="17"/>
    <d v="2021-10-29T00:00:00"/>
    <x v="1"/>
    <x v="1"/>
    <n v="11"/>
    <x v="4"/>
    <x v="4"/>
    <n v="198"/>
    <x v="226"/>
  </r>
  <r>
    <n v="1017"/>
    <x v="548"/>
    <x v="734"/>
    <s v="Mrs"/>
    <s v="F"/>
    <n v="30"/>
    <s v="Clyde Place"/>
    <x v="114"/>
    <x v="2"/>
    <d v="2020-06-14T00:00:00"/>
    <x v="2"/>
    <x v="2"/>
    <n v="26"/>
    <x v="7"/>
    <x v="7"/>
    <n v="520"/>
    <x v="110"/>
  </r>
  <r>
    <n v="1018"/>
    <x v="864"/>
    <x v="802"/>
    <s v="Mrs"/>
    <s v="F"/>
    <n v="60"/>
    <s v="Coats Cottages"/>
    <x v="725"/>
    <x v="2"/>
    <d v="2022-08-16T00:00:00"/>
    <x v="0"/>
    <x v="3"/>
    <n v="65"/>
    <x v="3"/>
    <x v="3"/>
    <n v="1560"/>
    <x v="257"/>
  </r>
  <r>
    <n v="1019"/>
    <x v="601"/>
    <x v="803"/>
    <s v="Mr"/>
    <s v="M"/>
    <n v="30"/>
    <s v="Cobbetts Lane"/>
    <x v="726"/>
    <x v="1"/>
    <d v="2022-10-01T00:00:00"/>
    <x v="0"/>
    <x v="1"/>
    <n v="78"/>
    <x v="0"/>
    <x v="0"/>
    <n v="1560"/>
    <x v="643"/>
  </r>
  <r>
    <n v="1020"/>
    <x v="741"/>
    <x v="804"/>
    <s v="Mr"/>
    <s v="M"/>
    <n v="30"/>
    <s v="Cobbold Road"/>
    <x v="727"/>
    <x v="2"/>
    <d v="2020-10-16T00:00:00"/>
    <x v="2"/>
    <x v="1"/>
    <n v="63"/>
    <x v="3"/>
    <x v="3"/>
    <n v="1512"/>
    <x v="50"/>
  </r>
  <r>
    <n v="1021"/>
    <x v="865"/>
    <x v="805"/>
    <s v="Mrs"/>
    <s v="F"/>
    <n v="30"/>
    <s v="Cobden Street"/>
    <x v="728"/>
    <x v="3"/>
    <d v="2022-08-11T00:00:00"/>
    <x v="0"/>
    <x v="3"/>
    <n v="100"/>
    <x v="2"/>
    <x v="2"/>
    <n v="1700"/>
    <x v="644"/>
  </r>
  <r>
    <n v="1022"/>
    <x v="866"/>
    <x v="806"/>
    <s v="Mr"/>
    <s v="M"/>
    <n v="30"/>
    <s v="Cobham Place"/>
    <x v="581"/>
    <x v="29"/>
    <d v="2020-05-04T00:00:00"/>
    <x v="2"/>
    <x v="11"/>
    <n v="5"/>
    <x v="0"/>
    <x v="0"/>
    <n v="100"/>
    <x v="645"/>
  </r>
  <r>
    <n v="1023"/>
    <x v="402"/>
    <x v="285"/>
    <s v="Mr"/>
    <s v="M"/>
    <n v="90"/>
    <s v="Cobham Row"/>
    <x v="729"/>
    <x v="44"/>
    <d v="2020-09-24T00:00:00"/>
    <x v="2"/>
    <x v="9"/>
    <n v="18"/>
    <x v="9"/>
    <x v="9"/>
    <n v="432"/>
    <x v="390"/>
  </r>
  <r>
    <n v="1024"/>
    <x v="867"/>
    <x v="807"/>
    <s v="Miss"/>
    <s v="F"/>
    <n v="60"/>
    <s v="Coborn New"/>
    <x v="730"/>
    <x v="9"/>
    <d v="2021-07-20T00:00:00"/>
    <x v="1"/>
    <x v="0"/>
    <n v="17"/>
    <x v="3"/>
    <x v="3"/>
    <n v="408"/>
    <x v="506"/>
  </r>
  <r>
    <n v="1025"/>
    <x v="868"/>
    <x v="808"/>
    <s v="Mr"/>
    <s v="M"/>
    <n v="30"/>
    <s v="Coborn Road"/>
    <x v="568"/>
    <x v="8"/>
    <d v="2022-08-02T00:00:00"/>
    <x v="0"/>
    <x v="3"/>
    <n v="7"/>
    <x v="5"/>
    <x v="5"/>
    <n v="168"/>
    <x v="499"/>
  </r>
  <r>
    <n v="1026"/>
    <x v="869"/>
    <x v="516"/>
    <s v="Mr"/>
    <s v="M"/>
    <n v="30"/>
    <s v="Coburg Close"/>
    <x v="485"/>
    <x v="15"/>
    <d v="2020-11-04T00:00:00"/>
    <x v="2"/>
    <x v="7"/>
    <n v="15"/>
    <x v="0"/>
    <x v="0"/>
    <n v="300"/>
    <x v="646"/>
  </r>
  <r>
    <n v="1027"/>
    <x v="870"/>
    <x v="809"/>
    <s v="Mr"/>
    <s v="M"/>
    <n v="30"/>
    <s v="Coburg Court"/>
    <x v="731"/>
    <x v="2"/>
    <d v="2021-07-01T00:00:00"/>
    <x v="1"/>
    <x v="0"/>
    <n v="13"/>
    <x v="5"/>
    <x v="5"/>
    <n v="312"/>
    <x v="647"/>
  </r>
  <r>
    <n v="1028"/>
    <x v="397"/>
    <x v="810"/>
    <s v="Mr"/>
    <s v="M"/>
    <n v="90"/>
    <s v="Coburg Dwellings"/>
    <x v="732"/>
    <x v="17"/>
    <d v="2021-04-01T00:00:00"/>
    <x v="1"/>
    <x v="4"/>
    <n v="66"/>
    <x v="5"/>
    <x v="5"/>
    <n v="1584"/>
    <x v="648"/>
  </r>
  <r>
    <n v="1029"/>
    <x v="871"/>
    <x v="533"/>
    <s v="Miss"/>
    <s v="F"/>
    <n v="60"/>
    <s v="Coburg Dwellings"/>
    <x v="664"/>
    <x v="21"/>
    <d v="2021-12-06T00:00:00"/>
    <x v="1"/>
    <x v="8"/>
    <n v="5"/>
    <x v="4"/>
    <x v="4"/>
    <n v="90"/>
    <x v="10"/>
  </r>
  <r>
    <n v="1030"/>
    <x v="872"/>
    <x v="811"/>
    <s v="Miss"/>
    <s v="F"/>
    <n v="60"/>
    <s v="Coburg Road"/>
    <x v="127"/>
    <x v="2"/>
    <d v="2022-05-02T00:00:00"/>
    <x v="0"/>
    <x v="11"/>
    <n v="105"/>
    <x v="5"/>
    <x v="5"/>
    <n v="2520"/>
    <x v="649"/>
  </r>
  <r>
    <n v="1031"/>
    <x v="873"/>
    <x v="812"/>
    <s v="Mrs"/>
    <s v="F"/>
    <n v="90"/>
    <s v="Coburg Terrace"/>
    <x v="367"/>
    <x v="2"/>
    <d v="2021-02-06T00:00:00"/>
    <x v="1"/>
    <x v="10"/>
    <n v="22"/>
    <x v="0"/>
    <x v="0"/>
    <n v="440"/>
    <x v="650"/>
  </r>
  <r>
    <n v="1032"/>
    <x v="874"/>
    <x v="813"/>
    <s v="Miss"/>
    <s v="F"/>
    <n v="90"/>
    <s v="Cock And"/>
    <x v="733"/>
    <x v="16"/>
    <d v="2020-06-07T00:00:00"/>
    <x v="2"/>
    <x v="2"/>
    <n v="78"/>
    <x v="5"/>
    <x v="5"/>
    <n v="1872"/>
    <x v="651"/>
  </r>
  <r>
    <n v="1033"/>
    <x v="875"/>
    <x v="398"/>
    <s v="Mr"/>
    <s v="M"/>
    <n v="30"/>
    <s v="Cock Public"/>
    <x v="734"/>
    <x v="2"/>
    <d v="2022-08-09T00:00:00"/>
    <x v="0"/>
    <x v="3"/>
    <n v="63"/>
    <x v="0"/>
    <x v="0"/>
    <n v="1260"/>
    <x v="41"/>
  </r>
  <r>
    <n v="1034"/>
    <x v="876"/>
    <x v="814"/>
    <s v="Mr"/>
    <s v="M"/>
    <n v="30"/>
    <s v="Cockerell Road"/>
    <x v="735"/>
    <x v="2"/>
    <d v="2021-12-20T00:00:00"/>
    <x v="1"/>
    <x v="8"/>
    <n v="83"/>
    <x v="8"/>
    <x v="8"/>
    <n v="1660"/>
    <x v="14"/>
  </r>
  <r>
    <n v="1035"/>
    <x v="209"/>
    <x v="815"/>
    <s v="Mrs"/>
    <s v="F"/>
    <n v="30"/>
    <s v="Codling Close"/>
    <x v="465"/>
    <x v="35"/>
    <d v="2022-07-01T00:00:00"/>
    <x v="0"/>
    <x v="0"/>
    <n v="42"/>
    <x v="9"/>
    <x v="9"/>
    <n v="1008"/>
    <x v="433"/>
  </r>
  <r>
    <n v="1036"/>
    <x v="877"/>
    <x v="816"/>
    <s v="Mr"/>
    <s v="M"/>
    <n v="60"/>
    <s v="Codrington Mews"/>
    <x v="730"/>
    <x v="9"/>
    <d v="2021-02-21T00:00:00"/>
    <x v="1"/>
    <x v="10"/>
    <n v="35"/>
    <x v="3"/>
    <x v="3"/>
    <n v="840"/>
    <x v="536"/>
  </r>
  <r>
    <n v="1037"/>
    <x v="878"/>
    <x v="671"/>
    <s v="Mrs"/>
    <s v="F"/>
    <n v="90"/>
    <s v="Cody Road"/>
    <x v="736"/>
    <x v="44"/>
    <d v="2020-07-04T00:00:00"/>
    <x v="2"/>
    <x v="0"/>
    <n v="75"/>
    <x v="9"/>
    <x v="9"/>
    <n v="1800"/>
    <x v="146"/>
  </r>
  <r>
    <n v="1038"/>
    <x v="440"/>
    <x v="817"/>
    <s v="Mr"/>
    <s v="M"/>
    <n v="30"/>
    <s v="Coe Avenue"/>
    <x v="215"/>
    <x v="17"/>
    <d v="2020-05-26T00:00:00"/>
    <x v="2"/>
    <x v="11"/>
    <n v="83"/>
    <x v="7"/>
    <x v="7"/>
    <n v="1660"/>
    <x v="148"/>
  </r>
  <r>
    <n v="1039"/>
    <x v="879"/>
    <x v="407"/>
    <s v="Miss"/>
    <s v="F"/>
    <n v="90"/>
    <s v="Coes Cottage"/>
    <x v="97"/>
    <x v="17"/>
    <d v="2022-03-25T00:00:00"/>
    <x v="0"/>
    <x v="5"/>
    <n v="25"/>
    <x v="7"/>
    <x v="7"/>
    <n v="500"/>
    <x v="191"/>
  </r>
  <r>
    <n v="1040"/>
    <x v="880"/>
    <x v="787"/>
    <s v="Mr"/>
    <s v="M"/>
    <n v="90"/>
    <s v="Coity Road"/>
    <x v="737"/>
    <x v="17"/>
    <d v="2020-11-24T00:00:00"/>
    <x v="2"/>
    <x v="7"/>
    <n v="68"/>
    <x v="3"/>
    <x v="3"/>
    <n v="1632"/>
    <x v="511"/>
  </r>
  <r>
    <n v="1041"/>
    <x v="79"/>
    <x v="518"/>
    <s v="Mr"/>
    <s v="M"/>
    <n v="60"/>
    <s v="Cokers Lane"/>
    <x v="738"/>
    <x v="1"/>
    <d v="2020-06-30T00:00:00"/>
    <x v="2"/>
    <x v="2"/>
    <n v="50"/>
    <x v="6"/>
    <x v="6"/>
    <n v="1200"/>
    <x v="652"/>
  </r>
  <r>
    <n v="1042"/>
    <x v="881"/>
    <x v="189"/>
    <s v="Mr"/>
    <s v="M"/>
    <n v="30"/>
    <s v="Colas Mews"/>
    <x v="521"/>
    <x v="52"/>
    <d v="2020-09-30T00:00:00"/>
    <x v="2"/>
    <x v="9"/>
    <n v="66"/>
    <x v="6"/>
    <x v="6"/>
    <n v="1584"/>
    <x v="7"/>
  </r>
  <r>
    <n v="1043"/>
    <x v="873"/>
    <x v="818"/>
    <s v="Mrs"/>
    <s v="F"/>
    <n v="60"/>
    <s v="Colby Terrace"/>
    <x v="739"/>
    <x v="21"/>
    <d v="2022-08-24T00:00:00"/>
    <x v="0"/>
    <x v="3"/>
    <n v="97"/>
    <x v="2"/>
    <x v="2"/>
    <n v="1649"/>
    <x v="653"/>
  </r>
  <r>
    <n v="1044"/>
    <x v="402"/>
    <x v="819"/>
    <s v="Mr"/>
    <s v="M"/>
    <n v="60"/>
    <s v="Colchester Street"/>
    <x v="556"/>
    <x v="24"/>
    <d v="2020-09-27T00:00:00"/>
    <x v="2"/>
    <x v="9"/>
    <n v="4"/>
    <x v="3"/>
    <x v="3"/>
    <n v="96"/>
    <x v="631"/>
  </r>
  <r>
    <n v="1045"/>
    <x v="882"/>
    <x v="10"/>
    <s v="Mrs"/>
    <s v="F"/>
    <n v="30"/>
    <s v="Coldbath Square"/>
    <x v="696"/>
    <x v="11"/>
    <d v="2021-08-27T00:00:00"/>
    <x v="1"/>
    <x v="3"/>
    <n v="81"/>
    <x v="3"/>
    <x v="3"/>
    <n v="1944"/>
    <x v="551"/>
  </r>
  <r>
    <n v="1046"/>
    <x v="883"/>
    <x v="820"/>
    <s v="Ms"/>
    <s v="F"/>
    <n v="60"/>
    <s v="Colegrove Road"/>
    <x v="740"/>
    <x v="41"/>
    <d v="2021-05-09T00:00:00"/>
    <x v="1"/>
    <x v="11"/>
    <n v="7"/>
    <x v="6"/>
    <x v="6"/>
    <n v="168"/>
    <x v="654"/>
  </r>
  <r>
    <n v="1047"/>
    <x v="630"/>
    <x v="821"/>
    <s v="Mr"/>
    <s v="M"/>
    <n v="30"/>
    <s v="Coleherne Mews"/>
    <x v="741"/>
    <x v="2"/>
    <d v="2020-08-11T00:00:00"/>
    <x v="2"/>
    <x v="3"/>
    <n v="58"/>
    <x v="9"/>
    <x v="9"/>
    <n v="1392"/>
    <x v="655"/>
  </r>
  <r>
    <n v="1048"/>
    <x v="884"/>
    <x v="65"/>
    <s v="Mr"/>
    <s v="M"/>
    <n v="90"/>
    <s v="Colehill Gardens"/>
    <x v="742"/>
    <x v="1"/>
    <d v="2022-06-13T00:00:00"/>
    <x v="0"/>
    <x v="2"/>
    <n v="65"/>
    <x v="1"/>
    <x v="1"/>
    <n v="1560"/>
    <x v="455"/>
  </r>
  <r>
    <n v="1049"/>
    <x v="885"/>
    <x v="810"/>
    <s v="Mr"/>
    <s v="M"/>
    <n v="30"/>
    <s v="Coleraine Road"/>
    <x v="353"/>
    <x v="2"/>
    <d v="2020-03-16T00:00:00"/>
    <x v="2"/>
    <x v="5"/>
    <n v="73"/>
    <x v="5"/>
    <x v="5"/>
    <n v="1752"/>
    <x v="277"/>
  </r>
  <r>
    <n v="1050"/>
    <x v="886"/>
    <x v="822"/>
    <s v="Mrs"/>
    <s v="F"/>
    <n v="90"/>
    <s v="Coleridge Square"/>
    <x v="743"/>
    <x v="11"/>
    <d v="2022-04-26T00:00:00"/>
    <x v="0"/>
    <x v="4"/>
    <n v="105"/>
    <x v="4"/>
    <x v="4"/>
    <n v="1890"/>
    <x v="31"/>
  </r>
  <r>
    <n v="1051"/>
    <x v="887"/>
    <x v="54"/>
    <s v="Mrs"/>
    <s v="F"/>
    <n v="90"/>
    <s v="Coles Terrace"/>
    <x v="283"/>
    <x v="17"/>
    <d v="2020-05-07T00:00:00"/>
    <x v="2"/>
    <x v="11"/>
    <n v="45"/>
    <x v="7"/>
    <x v="7"/>
    <n v="900"/>
    <x v="401"/>
  </r>
  <r>
    <n v="1052"/>
    <x v="888"/>
    <x v="823"/>
    <s v="Mr"/>
    <s v="M"/>
    <n v="60"/>
    <s v="Colestown Street"/>
    <x v="744"/>
    <x v="2"/>
    <d v="2022-07-16T00:00:00"/>
    <x v="0"/>
    <x v="0"/>
    <n v="103"/>
    <x v="9"/>
    <x v="9"/>
    <n v="2472"/>
    <x v="656"/>
  </r>
  <r>
    <n v="1053"/>
    <x v="889"/>
    <x v="824"/>
    <s v="Miss"/>
    <s v="F"/>
    <n v="90"/>
    <s v="Colina Road"/>
    <x v="668"/>
    <x v="2"/>
    <d v="2021-09-14T00:00:00"/>
    <x v="1"/>
    <x v="9"/>
    <n v="94"/>
    <x v="9"/>
    <x v="9"/>
    <n v="2256"/>
    <x v="657"/>
  </r>
  <r>
    <n v="1054"/>
    <x v="890"/>
    <x v="328"/>
    <s v="Mr"/>
    <s v="M"/>
    <n v="60"/>
    <s v="Colindeep Gardens"/>
    <x v="745"/>
    <x v="73"/>
    <d v="2022-10-30T00:00:00"/>
    <x v="0"/>
    <x v="1"/>
    <n v="7"/>
    <x v="0"/>
    <x v="0"/>
    <n v="140"/>
    <x v="522"/>
  </r>
  <r>
    <n v="1055"/>
    <x v="891"/>
    <x v="825"/>
    <s v="Ms"/>
    <s v="F"/>
    <n v="60"/>
    <s v="Collamore Avenue"/>
    <x v="208"/>
    <x v="37"/>
    <d v="2020-10-29T00:00:00"/>
    <x v="2"/>
    <x v="1"/>
    <n v="43"/>
    <x v="4"/>
    <x v="4"/>
    <n v="774"/>
    <x v="658"/>
  </r>
  <r>
    <n v="1056"/>
    <x v="892"/>
    <x v="826"/>
    <s v="Mrs"/>
    <s v="F"/>
    <n v="90"/>
    <s v="Collards Almshouses"/>
    <x v="433"/>
    <x v="2"/>
    <d v="2021-07-26T00:00:00"/>
    <x v="1"/>
    <x v="0"/>
    <n v="50"/>
    <x v="1"/>
    <x v="1"/>
    <n v="1200"/>
    <x v="19"/>
  </r>
  <r>
    <n v="1057"/>
    <x v="420"/>
    <x v="650"/>
    <s v="Mr"/>
    <s v="M"/>
    <n v="60"/>
    <s v="College Road"/>
    <x v="552"/>
    <x v="2"/>
    <d v="2021-12-19T00:00:00"/>
    <x v="1"/>
    <x v="8"/>
    <n v="6"/>
    <x v="9"/>
    <x v="9"/>
    <n v="144"/>
    <x v="553"/>
  </r>
  <r>
    <n v="1058"/>
    <x v="893"/>
    <x v="827"/>
    <s v="Miss"/>
    <s v="F"/>
    <n v="30"/>
    <s v="Collington Street"/>
    <x v="616"/>
    <x v="12"/>
    <d v="2020-01-04T00:00:00"/>
    <x v="2"/>
    <x v="6"/>
    <n v="38"/>
    <x v="0"/>
    <x v="0"/>
    <n v="760"/>
    <x v="470"/>
  </r>
  <r>
    <n v="1059"/>
    <x v="711"/>
    <x v="828"/>
    <s v="Mr"/>
    <s v="M"/>
    <n v="60"/>
    <s v="Collington Street"/>
    <x v="743"/>
    <x v="11"/>
    <d v="2020-01-03T00:00:00"/>
    <x v="2"/>
    <x v="6"/>
    <n v="75"/>
    <x v="4"/>
    <x v="4"/>
    <n v="1350"/>
    <x v="23"/>
  </r>
  <r>
    <n v="1060"/>
    <x v="635"/>
    <x v="829"/>
    <s v="Mr"/>
    <s v="M"/>
    <n v="90"/>
    <s v="Collingtree Road"/>
    <x v="746"/>
    <x v="2"/>
    <d v="2022-10-14T00:00:00"/>
    <x v="0"/>
    <x v="1"/>
    <n v="42"/>
    <x v="8"/>
    <x v="8"/>
    <n v="840"/>
    <x v="289"/>
  </r>
  <r>
    <n v="1061"/>
    <x v="894"/>
    <x v="548"/>
    <s v="Mr"/>
    <s v="M"/>
    <n v="60"/>
    <s v="Collingwood Plc+F4393"/>
    <x v="747"/>
    <x v="0"/>
    <d v="2021-03-20T00:00:00"/>
    <x v="1"/>
    <x v="5"/>
    <n v="54"/>
    <x v="3"/>
    <x v="3"/>
    <n v="1296"/>
    <x v="309"/>
  </r>
  <r>
    <n v="1062"/>
    <x v="512"/>
    <x v="830"/>
    <s v="Mr"/>
    <s v="M"/>
    <n v="60"/>
    <s v="Collins Road"/>
    <x v="632"/>
    <x v="2"/>
    <d v="2020-06-20T00:00:00"/>
    <x v="2"/>
    <x v="2"/>
    <n v="22"/>
    <x v="3"/>
    <x v="3"/>
    <n v="528"/>
    <x v="310"/>
  </r>
  <r>
    <n v="1063"/>
    <x v="895"/>
    <x v="831"/>
    <s v="Mr"/>
    <s v="M"/>
    <n v="60"/>
    <s v="Collins Square"/>
    <x v="369"/>
    <x v="1"/>
    <d v="2022-05-03T00:00:00"/>
    <x v="0"/>
    <x v="11"/>
    <n v="74"/>
    <x v="1"/>
    <x v="1"/>
    <n v="1776"/>
    <x v="360"/>
  </r>
  <r>
    <n v="1064"/>
    <x v="896"/>
    <x v="371"/>
    <s v="Mr"/>
    <s v="M"/>
    <n v="30"/>
    <s v="Collins Square"/>
    <x v="748"/>
    <x v="2"/>
    <d v="2022-06-26T00:00:00"/>
    <x v="0"/>
    <x v="2"/>
    <n v="96"/>
    <x v="9"/>
    <x v="9"/>
    <n v="2304"/>
    <x v="352"/>
  </r>
  <r>
    <n v="1065"/>
    <x v="328"/>
    <x v="832"/>
    <s v="Mr"/>
    <s v="M"/>
    <n v="30"/>
    <s v="Collinson Street"/>
    <x v="86"/>
    <x v="17"/>
    <d v="2021-08-07T00:00:00"/>
    <x v="1"/>
    <x v="3"/>
    <n v="94"/>
    <x v="0"/>
    <x v="0"/>
    <n v="1880"/>
    <x v="365"/>
  </r>
  <r>
    <n v="1066"/>
    <x v="897"/>
    <x v="833"/>
    <s v="Mr"/>
    <s v="M"/>
    <n v="90"/>
    <s v="Collinson Street"/>
    <x v="749"/>
    <x v="2"/>
    <d v="2020-06-29T00:00:00"/>
    <x v="2"/>
    <x v="2"/>
    <n v="35"/>
    <x v="5"/>
    <x v="5"/>
    <n v="840"/>
    <x v="182"/>
  </r>
  <r>
    <n v="1067"/>
    <x v="735"/>
    <x v="834"/>
    <s v="Miss"/>
    <s v="F"/>
    <n v="90"/>
    <s v="Collyer Cottages"/>
    <x v="7"/>
    <x v="5"/>
    <d v="2021-08-28T00:00:00"/>
    <x v="1"/>
    <x v="3"/>
    <n v="81"/>
    <x v="6"/>
    <x v="6"/>
    <n v="1944"/>
    <x v="382"/>
  </r>
  <r>
    <n v="1068"/>
    <x v="898"/>
    <x v="835"/>
    <s v="Mr"/>
    <s v="M"/>
    <n v="60"/>
    <s v="Colmore Mews"/>
    <x v="750"/>
    <x v="2"/>
    <d v="2022-12-22T00:00:00"/>
    <x v="0"/>
    <x v="8"/>
    <n v="66"/>
    <x v="3"/>
    <x v="3"/>
    <n v="1584"/>
    <x v="158"/>
  </r>
  <r>
    <n v="1069"/>
    <x v="47"/>
    <x v="836"/>
    <s v="Mr"/>
    <s v="M"/>
    <n v="60"/>
    <s v="Colonial Chambers"/>
    <x v="751"/>
    <x v="2"/>
    <d v="2022-05-23T00:00:00"/>
    <x v="0"/>
    <x v="11"/>
    <n v="67"/>
    <x v="7"/>
    <x v="7"/>
    <n v="1340"/>
    <x v="659"/>
  </r>
  <r>
    <n v="1070"/>
    <x v="899"/>
    <x v="837"/>
    <s v="Miss"/>
    <s v="F"/>
    <n v="30"/>
    <s v="Colonial House"/>
    <x v="752"/>
    <x v="2"/>
    <d v="2020-11-05T00:00:00"/>
    <x v="2"/>
    <x v="7"/>
    <n v="18"/>
    <x v="1"/>
    <x v="1"/>
    <n v="432"/>
    <x v="39"/>
  </r>
  <r>
    <n v="1071"/>
    <x v="900"/>
    <x v="838"/>
    <s v="Mrs"/>
    <s v="F"/>
    <n v="60"/>
    <s v="Colquhoun Place"/>
    <x v="156"/>
    <x v="19"/>
    <d v="2022-02-15T00:00:00"/>
    <x v="0"/>
    <x v="10"/>
    <n v="63"/>
    <x v="2"/>
    <x v="2"/>
    <n v="1071"/>
    <x v="341"/>
  </r>
  <r>
    <n v="1072"/>
    <x v="778"/>
    <x v="838"/>
    <s v="Mr"/>
    <s v="M"/>
    <n v="30"/>
    <s v="Colsterworth Road"/>
    <x v="643"/>
    <x v="2"/>
    <d v="2022-12-23T00:00:00"/>
    <x v="0"/>
    <x v="8"/>
    <n v="66"/>
    <x v="3"/>
    <x v="3"/>
    <n v="1584"/>
    <x v="158"/>
  </r>
  <r>
    <n v="1073"/>
    <x v="901"/>
    <x v="839"/>
    <s v="Mr"/>
    <s v="M"/>
    <n v="90"/>
    <s v="Colston Road"/>
    <x v="354"/>
    <x v="2"/>
    <d v="2021-07-02T00:00:00"/>
    <x v="1"/>
    <x v="0"/>
    <n v="33"/>
    <x v="6"/>
    <x v="6"/>
    <n v="792"/>
    <x v="660"/>
  </r>
  <r>
    <n v="1074"/>
    <x v="902"/>
    <x v="257"/>
    <s v="Dr"/>
    <s v="M"/>
    <n v="30"/>
    <s v="Colvill Place"/>
    <x v="678"/>
    <x v="2"/>
    <d v="2021-06-22T00:00:00"/>
    <x v="1"/>
    <x v="2"/>
    <n v="8"/>
    <x v="2"/>
    <x v="2"/>
    <n v="136"/>
    <x v="661"/>
  </r>
  <r>
    <n v="1075"/>
    <x v="504"/>
    <x v="840"/>
    <s v="Mr"/>
    <s v="M"/>
    <n v="60"/>
    <s v="Colville Place"/>
    <x v="753"/>
    <x v="2"/>
    <d v="2022-06-17T00:00:00"/>
    <x v="0"/>
    <x v="2"/>
    <n v="76"/>
    <x v="0"/>
    <x v="0"/>
    <n v="1520"/>
    <x v="662"/>
  </r>
  <r>
    <n v="1076"/>
    <x v="903"/>
    <x v="52"/>
    <s v="Mr"/>
    <s v="M"/>
    <n v="60"/>
    <s v="Colville Road"/>
    <x v="750"/>
    <x v="2"/>
    <d v="2020-09-06T00:00:00"/>
    <x v="2"/>
    <x v="9"/>
    <n v="39"/>
    <x v="6"/>
    <x v="6"/>
    <n v="936"/>
    <x v="299"/>
  </r>
  <r>
    <n v="1077"/>
    <x v="904"/>
    <x v="841"/>
    <s v="Mrs"/>
    <s v="F"/>
    <n v="90"/>
    <s v="Colville Villas"/>
    <x v="754"/>
    <x v="2"/>
    <d v="2022-01-28T00:00:00"/>
    <x v="0"/>
    <x v="6"/>
    <n v="46"/>
    <x v="3"/>
    <x v="3"/>
    <n v="1104"/>
    <x v="177"/>
  </r>
  <r>
    <n v="1078"/>
    <x v="217"/>
    <x v="842"/>
    <s v="Mr"/>
    <s v="M"/>
    <n v="60"/>
    <s v="Colvin Close"/>
    <x v="755"/>
    <x v="57"/>
    <d v="2021-01-07T00:00:00"/>
    <x v="1"/>
    <x v="6"/>
    <n v="26"/>
    <x v="9"/>
    <x v="9"/>
    <n v="624"/>
    <x v="663"/>
  </r>
  <r>
    <n v="1079"/>
    <x v="905"/>
    <x v="843"/>
    <s v="Miss"/>
    <s v="F"/>
    <n v="60"/>
    <s v="Colvin Gardens"/>
    <x v="543"/>
    <x v="2"/>
    <d v="2021-09-15T00:00:00"/>
    <x v="1"/>
    <x v="9"/>
    <n v="29"/>
    <x v="0"/>
    <x v="0"/>
    <n v="580"/>
    <x v="243"/>
  </r>
  <r>
    <n v="1080"/>
    <x v="906"/>
    <x v="844"/>
    <s v="Mr"/>
    <s v="M"/>
    <n v="60"/>
    <s v="Colvin Road"/>
    <x v="507"/>
    <x v="70"/>
    <d v="2020-07-01T00:00:00"/>
    <x v="2"/>
    <x v="0"/>
    <n v="78"/>
    <x v="7"/>
    <x v="7"/>
    <n v="1560"/>
    <x v="664"/>
  </r>
  <r>
    <n v="1081"/>
    <x v="907"/>
    <x v="309"/>
    <s v="Miss"/>
    <s v="F"/>
    <n v="30"/>
    <s v="Colworth Road"/>
    <x v="522"/>
    <x v="17"/>
    <d v="2021-04-13T00:00:00"/>
    <x v="1"/>
    <x v="4"/>
    <n v="95"/>
    <x v="1"/>
    <x v="1"/>
    <n v="2280"/>
    <x v="665"/>
  </r>
  <r>
    <n v="1082"/>
    <x v="908"/>
    <x v="845"/>
    <s v="Mr"/>
    <s v="M"/>
    <n v="60"/>
    <s v="Combe Mews"/>
    <x v="269"/>
    <x v="21"/>
    <d v="2020-03-02T00:00:00"/>
    <x v="2"/>
    <x v="5"/>
    <n v="10"/>
    <x v="3"/>
    <x v="3"/>
    <n v="240"/>
    <x v="103"/>
  </r>
  <r>
    <n v="1083"/>
    <x v="711"/>
    <x v="846"/>
    <s v="Mr"/>
    <s v="M"/>
    <n v="30"/>
    <s v="Comber Grove"/>
    <x v="756"/>
    <x v="11"/>
    <d v="2020-06-22T00:00:00"/>
    <x v="2"/>
    <x v="2"/>
    <n v="35"/>
    <x v="4"/>
    <x v="4"/>
    <n v="630"/>
    <x v="134"/>
  </r>
  <r>
    <n v="1084"/>
    <x v="588"/>
    <x v="847"/>
    <s v="Mr"/>
    <s v="M"/>
    <n v="60"/>
    <s v="Commerce Place"/>
    <x v="757"/>
    <x v="2"/>
    <d v="2021-02-06T00:00:00"/>
    <x v="1"/>
    <x v="10"/>
    <n v="86"/>
    <x v="6"/>
    <x v="6"/>
    <n v="2064"/>
    <x v="666"/>
  </r>
  <r>
    <n v="1085"/>
    <x v="909"/>
    <x v="278"/>
    <s v="Miss"/>
    <s v="F"/>
    <n v="90"/>
    <s v="Commerell Street"/>
    <x v="142"/>
    <x v="21"/>
    <d v="2021-11-02T00:00:00"/>
    <x v="1"/>
    <x v="7"/>
    <n v="30"/>
    <x v="7"/>
    <x v="7"/>
    <n v="600"/>
    <x v="406"/>
  </r>
  <r>
    <n v="1086"/>
    <x v="910"/>
    <x v="848"/>
    <s v="Mr"/>
    <s v="M"/>
    <n v="30"/>
    <s v="Commodore Terrace"/>
    <x v="419"/>
    <x v="17"/>
    <d v="2020-01-08T00:00:00"/>
    <x v="2"/>
    <x v="6"/>
    <n v="4"/>
    <x v="7"/>
    <x v="7"/>
    <n v="80"/>
    <x v="192"/>
  </r>
  <r>
    <n v="1087"/>
    <x v="662"/>
    <x v="849"/>
    <s v="Mr"/>
    <s v="M"/>
    <n v="30"/>
    <s v="Common South"/>
    <x v="500"/>
    <x v="1"/>
    <d v="2020-03-07T00:00:00"/>
    <x v="2"/>
    <x v="5"/>
    <n v="42"/>
    <x v="3"/>
    <x v="3"/>
    <n v="1008"/>
    <x v="667"/>
  </r>
  <r>
    <n v="1088"/>
    <x v="911"/>
    <x v="850"/>
    <s v="Mr"/>
    <s v="M"/>
    <n v="90"/>
    <s v="Commondale"/>
    <x v="427"/>
    <x v="21"/>
    <d v="2021-11-14T00:00:00"/>
    <x v="1"/>
    <x v="7"/>
    <n v="31"/>
    <x v="6"/>
    <x v="6"/>
    <n v="744"/>
    <x v="450"/>
  </r>
  <r>
    <n v="1089"/>
    <x v="912"/>
    <x v="851"/>
    <s v="Mr"/>
    <s v="M"/>
    <n v="90"/>
    <s v="Compton Crescent"/>
    <x v="758"/>
    <x v="2"/>
    <d v="2022-10-15T00:00:00"/>
    <x v="0"/>
    <x v="1"/>
    <n v="48"/>
    <x v="9"/>
    <x v="9"/>
    <n v="1152"/>
    <x v="668"/>
  </r>
  <r>
    <n v="1090"/>
    <x v="913"/>
    <x v="852"/>
    <s v="Mr"/>
    <s v="M"/>
    <n v="90"/>
    <s v="Compton Road"/>
    <x v="115"/>
    <x v="2"/>
    <d v="2022-11-12T00:00:00"/>
    <x v="0"/>
    <x v="7"/>
    <n v="62"/>
    <x v="6"/>
    <x v="6"/>
    <n v="1488"/>
    <x v="343"/>
  </r>
  <r>
    <n v="1091"/>
    <x v="159"/>
    <x v="853"/>
    <s v="Mr"/>
    <s v="M"/>
    <n v="90"/>
    <s v="Conduit Court"/>
    <x v="82"/>
    <x v="2"/>
    <d v="2020-04-04T00:00:00"/>
    <x v="2"/>
    <x v="4"/>
    <n v="17"/>
    <x v="8"/>
    <x v="8"/>
    <n v="340"/>
    <x v="669"/>
  </r>
  <r>
    <n v="1092"/>
    <x v="914"/>
    <x v="854"/>
    <s v="Mr"/>
    <s v="M"/>
    <n v="90"/>
    <s v="Coney Way"/>
    <x v="759"/>
    <x v="27"/>
    <d v="2020-05-10T00:00:00"/>
    <x v="2"/>
    <x v="11"/>
    <n v="47"/>
    <x v="2"/>
    <x v="2"/>
    <n v="799"/>
    <x v="670"/>
  </r>
  <r>
    <n v="1093"/>
    <x v="915"/>
    <x v="855"/>
    <s v="Mrs"/>
    <s v="F"/>
    <n v="60"/>
    <s v="Conington Road"/>
    <x v="173"/>
    <x v="2"/>
    <d v="2020-01-04T00:00:00"/>
    <x v="2"/>
    <x v="6"/>
    <n v="50"/>
    <x v="0"/>
    <x v="0"/>
    <n v="1000"/>
    <x v="671"/>
  </r>
  <r>
    <n v="1094"/>
    <x v="916"/>
    <x v="856"/>
    <s v="Mr"/>
    <s v="M"/>
    <n v="90"/>
    <s v="Connaught Avenue"/>
    <x v="200"/>
    <x v="13"/>
    <d v="2020-01-20T00:00:00"/>
    <x v="2"/>
    <x v="6"/>
    <n v="34"/>
    <x v="7"/>
    <x v="7"/>
    <n v="680"/>
    <x v="303"/>
  </r>
  <r>
    <n v="1095"/>
    <x v="917"/>
    <x v="689"/>
    <s v="Miss"/>
    <s v="F"/>
    <n v="30"/>
    <s v="Connaught Mews"/>
    <x v="760"/>
    <x v="2"/>
    <d v="2021-12-18T00:00:00"/>
    <x v="1"/>
    <x v="8"/>
    <n v="86"/>
    <x v="3"/>
    <x v="3"/>
    <n v="2064"/>
    <x v="434"/>
  </r>
  <r>
    <n v="1096"/>
    <x v="918"/>
    <x v="857"/>
    <s v="Miss"/>
    <s v="F"/>
    <n v="60"/>
    <s v="Constable Crescent"/>
    <x v="761"/>
    <x v="2"/>
    <d v="2022-09-10T00:00:00"/>
    <x v="0"/>
    <x v="9"/>
    <n v="60"/>
    <x v="0"/>
    <x v="0"/>
    <n v="1200"/>
    <x v="378"/>
  </r>
  <r>
    <n v="1097"/>
    <x v="919"/>
    <x v="187"/>
    <s v="Prof"/>
    <s v="F"/>
    <n v="90"/>
    <s v="Content Street"/>
    <x v="762"/>
    <x v="43"/>
    <d v="2021-01-09T00:00:00"/>
    <x v="1"/>
    <x v="6"/>
    <n v="26"/>
    <x v="4"/>
    <x v="4"/>
    <n v="468"/>
    <x v="607"/>
  </r>
  <r>
    <n v="1098"/>
    <x v="340"/>
    <x v="663"/>
    <s v="Mr"/>
    <s v="M"/>
    <n v="90"/>
    <s v="Cook &amp;"/>
    <x v="763"/>
    <x v="3"/>
    <d v="2020-04-13T00:00:00"/>
    <x v="2"/>
    <x v="4"/>
    <n v="70"/>
    <x v="4"/>
    <x v="4"/>
    <n v="1260"/>
    <x v="202"/>
  </r>
  <r>
    <n v="1099"/>
    <x v="920"/>
    <x v="142"/>
    <s v="Miss"/>
    <s v="F"/>
    <n v="30"/>
    <s v="Cooks Cottages"/>
    <x v="764"/>
    <x v="17"/>
    <d v="2022-11-27T00:00:00"/>
    <x v="0"/>
    <x v="7"/>
    <n v="41"/>
    <x v="7"/>
    <x v="7"/>
    <n v="820"/>
    <x v="672"/>
  </r>
  <r>
    <n v="1100"/>
    <x v="921"/>
    <x v="347"/>
    <s v="Mrs"/>
    <s v="F"/>
    <n v="90"/>
    <s v="Cooks Ground"/>
    <x v="98"/>
    <x v="21"/>
    <d v="2021-01-13T00:00:00"/>
    <x v="1"/>
    <x v="6"/>
    <n v="13"/>
    <x v="4"/>
    <x v="4"/>
    <n v="234"/>
    <x v="143"/>
  </r>
  <r>
    <n v="1101"/>
    <x v="922"/>
    <x v="184"/>
    <s v="Mr"/>
    <s v="M"/>
    <n v="60"/>
    <s v="Coolgardie Avenue"/>
    <x v="179"/>
    <x v="16"/>
    <d v="2021-08-16T00:00:00"/>
    <x v="1"/>
    <x v="3"/>
    <n v="13"/>
    <x v="0"/>
    <x v="0"/>
    <n v="260"/>
    <x v="1"/>
  </r>
  <r>
    <n v="1102"/>
    <x v="923"/>
    <x v="625"/>
    <s v="Mr"/>
    <s v="M"/>
    <n v="60"/>
    <s v="Coomassie Road"/>
    <x v="765"/>
    <x v="2"/>
    <d v="2021-09-05T00:00:00"/>
    <x v="1"/>
    <x v="9"/>
    <n v="23"/>
    <x v="6"/>
    <x v="6"/>
    <n v="552"/>
    <x v="595"/>
  </r>
  <r>
    <n v="1103"/>
    <x v="392"/>
    <x v="858"/>
    <s v="Mr"/>
    <s v="M"/>
    <n v="90"/>
    <s v="Coombe Lane"/>
    <x v="87"/>
    <x v="2"/>
    <d v="2020-02-02T00:00:00"/>
    <x v="2"/>
    <x v="10"/>
    <n v="11"/>
    <x v="9"/>
    <x v="9"/>
    <n v="264"/>
    <x v="376"/>
  </r>
  <r>
    <n v="1104"/>
    <x v="924"/>
    <x v="299"/>
    <s v="Mrs"/>
    <s v="F"/>
    <n v="30"/>
    <s v="Cope Street"/>
    <x v="766"/>
    <x v="21"/>
    <d v="2020-06-09T00:00:00"/>
    <x v="2"/>
    <x v="2"/>
    <n v="31"/>
    <x v="9"/>
    <x v="9"/>
    <n v="744"/>
    <x v="417"/>
  </r>
  <r>
    <n v="1105"/>
    <x v="190"/>
    <x v="859"/>
    <s v="Mr"/>
    <s v="M"/>
    <n v="90"/>
    <s v="Copleston Mews"/>
    <x v="248"/>
    <x v="2"/>
    <d v="2021-07-12T00:00:00"/>
    <x v="1"/>
    <x v="0"/>
    <n v="70"/>
    <x v="6"/>
    <x v="6"/>
    <n v="1680"/>
    <x v="581"/>
  </r>
  <r>
    <n v="1106"/>
    <x v="436"/>
    <x v="860"/>
    <s v="Mr"/>
    <s v="M"/>
    <n v="90"/>
    <s v="Copnor Way"/>
    <x v="715"/>
    <x v="2"/>
    <d v="2022-10-14T00:00:00"/>
    <x v="0"/>
    <x v="1"/>
    <n v="31"/>
    <x v="6"/>
    <x v="6"/>
    <n v="744"/>
    <x v="450"/>
  </r>
  <r>
    <n v="1107"/>
    <x v="925"/>
    <x v="412"/>
    <s v="Mr"/>
    <s v="M"/>
    <n v="30"/>
    <s v="Coppelia Road"/>
    <x v="767"/>
    <x v="21"/>
    <d v="2020-08-04T00:00:00"/>
    <x v="2"/>
    <x v="3"/>
    <n v="2"/>
    <x v="7"/>
    <x v="7"/>
    <n v="40"/>
    <x v="37"/>
  </r>
  <r>
    <n v="1108"/>
    <x v="869"/>
    <x v="318"/>
    <s v="Mr"/>
    <s v="M"/>
    <n v="60"/>
    <s v="Copper Close"/>
    <x v="768"/>
    <x v="80"/>
    <d v="2021-10-25T00:00:00"/>
    <x v="1"/>
    <x v="1"/>
    <n v="29"/>
    <x v="4"/>
    <x v="4"/>
    <n v="522"/>
    <x v="673"/>
  </r>
  <r>
    <n v="1109"/>
    <x v="513"/>
    <x v="742"/>
    <s v="Mr"/>
    <s v="M"/>
    <n v="90"/>
    <s v="Copper Mead"/>
    <x v="27"/>
    <x v="14"/>
    <d v="2022-08-01T00:00:00"/>
    <x v="0"/>
    <x v="3"/>
    <n v="30"/>
    <x v="2"/>
    <x v="2"/>
    <n v="510"/>
    <x v="545"/>
  </r>
  <r>
    <n v="1110"/>
    <x v="376"/>
    <x v="861"/>
    <s v="Miss"/>
    <s v="F"/>
    <n v="60"/>
    <s v="Copperbeech Close"/>
    <x v="485"/>
    <x v="15"/>
    <d v="2022-08-28T00:00:00"/>
    <x v="0"/>
    <x v="3"/>
    <n v="32"/>
    <x v="4"/>
    <x v="4"/>
    <n v="576"/>
    <x v="58"/>
  </r>
  <r>
    <n v="1111"/>
    <x v="542"/>
    <x v="862"/>
    <s v="Mr"/>
    <s v="M"/>
    <n v="60"/>
    <s v="Copperfield Street"/>
    <x v="769"/>
    <x v="55"/>
    <d v="2020-10-16T00:00:00"/>
    <x v="2"/>
    <x v="1"/>
    <n v="14"/>
    <x v="6"/>
    <x v="6"/>
    <n v="336"/>
    <x v="195"/>
  </r>
  <r>
    <n v="1112"/>
    <x v="926"/>
    <x v="863"/>
    <s v="Mr"/>
    <s v="M"/>
    <n v="90"/>
    <s v="Coppice Row"/>
    <x v="770"/>
    <x v="81"/>
    <d v="2020-07-05T00:00:00"/>
    <x v="2"/>
    <x v="0"/>
    <n v="34"/>
    <x v="8"/>
    <x v="8"/>
    <n v="680"/>
    <x v="415"/>
  </r>
  <r>
    <n v="1113"/>
    <x v="927"/>
    <x v="622"/>
    <s v="Mr"/>
    <s v="M"/>
    <n v="60"/>
    <s v="Coppice Row"/>
    <x v="771"/>
    <x v="31"/>
    <d v="2021-09-22T00:00:00"/>
    <x v="1"/>
    <x v="9"/>
    <n v="43"/>
    <x v="1"/>
    <x v="1"/>
    <n v="1032"/>
    <x v="76"/>
  </r>
  <r>
    <n v="1114"/>
    <x v="928"/>
    <x v="855"/>
    <s v="Mrs"/>
    <s v="F"/>
    <n v="60"/>
    <s v="Coppies Grove"/>
    <x v="505"/>
    <x v="12"/>
    <d v="2020-01-16T00:00:00"/>
    <x v="2"/>
    <x v="6"/>
    <n v="4"/>
    <x v="9"/>
    <x v="9"/>
    <n v="96"/>
    <x v="181"/>
  </r>
  <r>
    <n v="1115"/>
    <x v="891"/>
    <x v="864"/>
    <s v="Mrs"/>
    <s v="F"/>
    <n v="90"/>
    <s v="Copthall Buildings"/>
    <x v="772"/>
    <x v="2"/>
    <d v="2021-11-14T00:00:00"/>
    <x v="1"/>
    <x v="7"/>
    <n v="5"/>
    <x v="9"/>
    <x v="9"/>
    <n v="120"/>
    <x v="674"/>
  </r>
  <r>
    <n v="1116"/>
    <x v="929"/>
    <x v="865"/>
    <s v="Miss"/>
    <s v="F"/>
    <n v="60"/>
    <s v="Copthall Chambers"/>
    <x v="773"/>
    <x v="16"/>
    <d v="2021-12-17T00:00:00"/>
    <x v="1"/>
    <x v="8"/>
    <n v="22"/>
    <x v="9"/>
    <x v="9"/>
    <n v="528"/>
    <x v="625"/>
  </r>
  <r>
    <n v="1117"/>
    <x v="930"/>
    <x v="565"/>
    <s v="Mr"/>
    <s v="M"/>
    <n v="30"/>
    <s v="Coran Close"/>
    <x v="774"/>
    <x v="21"/>
    <d v="2020-02-26T00:00:00"/>
    <x v="2"/>
    <x v="10"/>
    <n v="80"/>
    <x v="5"/>
    <x v="5"/>
    <n v="1920"/>
    <x v="592"/>
  </r>
  <r>
    <n v="1118"/>
    <x v="931"/>
    <x v="520"/>
    <s v="Miss"/>
    <s v="F"/>
    <n v="30"/>
    <s v="Corbicum"/>
    <x v="674"/>
    <x v="15"/>
    <d v="2020-11-12T00:00:00"/>
    <x v="2"/>
    <x v="7"/>
    <n v="27"/>
    <x v="7"/>
    <x v="7"/>
    <n v="540"/>
    <x v="675"/>
  </r>
  <r>
    <n v="1119"/>
    <x v="905"/>
    <x v="866"/>
    <s v="Miss"/>
    <s v="F"/>
    <n v="90"/>
    <s v="Cordelia Close"/>
    <x v="245"/>
    <x v="1"/>
    <d v="2021-10-16T00:00:00"/>
    <x v="1"/>
    <x v="1"/>
    <n v="35"/>
    <x v="7"/>
    <x v="7"/>
    <n v="700"/>
    <x v="676"/>
  </r>
  <r>
    <n v="1120"/>
    <x v="932"/>
    <x v="867"/>
    <s v="Mr"/>
    <s v="M"/>
    <n v="30"/>
    <s v="Cordelia Close"/>
    <x v="142"/>
    <x v="21"/>
    <d v="2021-06-27T00:00:00"/>
    <x v="1"/>
    <x v="2"/>
    <n v="37"/>
    <x v="1"/>
    <x v="1"/>
    <n v="888"/>
    <x v="677"/>
  </r>
  <r>
    <n v="1121"/>
    <x v="933"/>
    <x v="392"/>
    <s v="Mrs"/>
    <s v="F"/>
    <n v="60"/>
    <s v="Cordova Road"/>
    <x v="493"/>
    <x v="21"/>
    <d v="2021-09-30T00:00:00"/>
    <x v="1"/>
    <x v="9"/>
    <n v="76"/>
    <x v="1"/>
    <x v="1"/>
    <n v="1824"/>
    <x v="678"/>
  </r>
  <r>
    <n v="1122"/>
    <x v="934"/>
    <x v="689"/>
    <s v="Ms"/>
    <s v="F"/>
    <n v="90"/>
    <s v="Corliss Place"/>
    <x v="632"/>
    <x v="2"/>
    <d v="2022-05-20T00:00:00"/>
    <x v="0"/>
    <x v="11"/>
    <n v="19"/>
    <x v="7"/>
    <x v="7"/>
    <n v="380"/>
    <x v="391"/>
  </r>
  <r>
    <n v="1123"/>
    <x v="935"/>
    <x v="598"/>
    <s v="Dr"/>
    <s v="M"/>
    <n v="90"/>
    <s v="Corn Way"/>
    <x v="775"/>
    <x v="15"/>
    <d v="2020-07-26T00:00:00"/>
    <x v="2"/>
    <x v="0"/>
    <n v="39"/>
    <x v="6"/>
    <x v="6"/>
    <n v="936"/>
    <x v="299"/>
  </r>
  <r>
    <n v="1124"/>
    <x v="936"/>
    <x v="337"/>
    <s v="Mrs"/>
    <s v="F"/>
    <n v="90"/>
    <s v="Cornelius Place"/>
    <x v="776"/>
    <x v="21"/>
    <d v="2020-07-25T00:00:00"/>
    <x v="2"/>
    <x v="0"/>
    <n v="9"/>
    <x v="6"/>
    <x v="6"/>
    <n v="216"/>
    <x v="171"/>
  </r>
  <r>
    <n v="1125"/>
    <x v="937"/>
    <x v="868"/>
    <s v="Mrs"/>
    <s v="F"/>
    <n v="60"/>
    <s v="Cornford Grove"/>
    <x v="777"/>
    <x v="1"/>
    <d v="2020-09-27T00:00:00"/>
    <x v="2"/>
    <x v="9"/>
    <n v="55"/>
    <x v="9"/>
    <x v="9"/>
    <n v="1320"/>
    <x v="679"/>
  </r>
  <r>
    <n v="1126"/>
    <x v="917"/>
    <x v="710"/>
    <s v="Miss"/>
    <s v="F"/>
    <n v="90"/>
    <s v="Cornick Street"/>
    <x v="743"/>
    <x v="11"/>
    <d v="2021-07-09T00:00:00"/>
    <x v="1"/>
    <x v="0"/>
    <n v="92"/>
    <x v="0"/>
    <x v="0"/>
    <n v="1840"/>
    <x v="297"/>
  </r>
  <r>
    <n v="1127"/>
    <x v="938"/>
    <x v="3"/>
    <s v="Miss"/>
    <s v="F"/>
    <n v="30"/>
    <s v="Cornwall Street"/>
    <x v="762"/>
    <x v="43"/>
    <d v="2021-03-26T00:00:00"/>
    <x v="1"/>
    <x v="5"/>
    <n v="45"/>
    <x v="3"/>
    <x v="3"/>
    <n v="1080"/>
    <x v="266"/>
  </r>
  <r>
    <n v="1128"/>
    <x v="939"/>
    <x v="869"/>
    <s v="Mr"/>
    <s v="M"/>
    <n v="60"/>
    <s v="Cornwallis Avenue"/>
    <x v="701"/>
    <x v="11"/>
    <d v="2022-03-17T00:00:00"/>
    <x v="0"/>
    <x v="5"/>
    <n v="35"/>
    <x v="2"/>
    <x v="2"/>
    <n v="595"/>
    <x v="386"/>
  </r>
  <r>
    <n v="1129"/>
    <x v="940"/>
    <x v="870"/>
    <s v="Miss"/>
    <s v="F"/>
    <n v="60"/>
    <s v="Cornwell Terrace"/>
    <x v="75"/>
    <x v="2"/>
    <d v="2022-08-19T00:00:00"/>
    <x v="0"/>
    <x v="3"/>
    <n v="34"/>
    <x v="8"/>
    <x v="8"/>
    <n v="680"/>
    <x v="415"/>
  </r>
  <r>
    <n v="1130"/>
    <x v="941"/>
    <x v="871"/>
    <s v="Mr"/>
    <s v="M"/>
    <n v="30"/>
    <s v="Cornwell Terrace"/>
    <x v="778"/>
    <x v="2"/>
    <d v="2021-02-11T00:00:00"/>
    <x v="1"/>
    <x v="10"/>
    <n v="27"/>
    <x v="0"/>
    <x v="0"/>
    <n v="540"/>
    <x v="336"/>
  </r>
  <r>
    <n v="1131"/>
    <x v="942"/>
    <x v="668"/>
    <s v="Mr"/>
    <s v="M"/>
    <n v="90"/>
    <s v="Corrance Road"/>
    <x v="66"/>
    <x v="2"/>
    <d v="2021-01-17T00:00:00"/>
    <x v="1"/>
    <x v="6"/>
    <n v="49"/>
    <x v="4"/>
    <x v="4"/>
    <n v="882"/>
    <x v="680"/>
  </r>
  <r>
    <n v="1132"/>
    <x v="943"/>
    <x v="872"/>
    <s v="Miss"/>
    <s v="F"/>
    <n v="30"/>
    <s v="Corri Avenue"/>
    <x v="568"/>
    <x v="8"/>
    <d v="2020-11-27T00:00:00"/>
    <x v="2"/>
    <x v="7"/>
    <n v="46"/>
    <x v="7"/>
    <x v="7"/>
    <n v="920"/>
    <x v="681"/>
  </r>
  <r>
    <n v="1133"/>
    <x v="452"/>
    <x v="873"/>
    <s v="Mr"/>
    <s v="M"/>
    <n v="30"/>
    <s v="Corringway"/>
    <x v="484"/>
    <x v="2"/>
    <d v="2021-04-10T00:00:00"/>
    <x v="1"/>
    <x v="4"/>
    <n v="82"/>
    <x v="5"/>
    <x v="5"/>
    <n v="1968"/>
    <x v="682"/>
  </r>
  <r>
    <n v="1134"/>
    <x v="944"/>
    <x v="874"/>
    <s v="Miss"/>
    <s v="F"/>
    <n v="60"/>
    <s v="Corsham Street"/>
    <x v="779"/>
    <x v="40"/>
    <d v="2022-09-19T00:00:00"/>
    <x v="0"/>
    <x v="9"/>
    <n v="86"/>
    <x v="2"/>
    <x v="2"/>
    <n v="1462"/>
    <x v="267"/>
  </r>
  <r>
    <n v="1135"/>
    <x v="107"/>
    <x v="177"/>
    <s v="Miss"/>
    <s v="F"/>
    <n v="30"/>
    <s v="Coryton Path"/>
    <x v="495"/>
    <x v="41"/>
    <d v="2022-07-14T00:00:00"/>
    <x v="0"/>
    <x v="0"/>
    <n v="50"/>
    <x v="1"/>
    <x v="1"/>
    <n v="1200"/>
    <x v="19"/>
  </r>
  <r>
    <n v="1136"/>
    <x v="945"/>
    <x v="875"/>
    <s v="Mrs"/>
    <s v="F"/>
    <n v="90"/>
    <s v="Cosgrove Close"/>
    <x v="168"/>
    <x v="2"/>
    <d v="2022-02-17T00:00:00"/>
    <x v="0"/>
    <x v="10"/>
    <n v="29"/>
    <x v="0"/>
    <x v="0"/>
    <n v="580"/>
    <x v="243"/>
  </r>
  <r>
    <n v="1137"/>
    <x v="946"/>
    <x v="335"/>
    <s v="Mr"/>
    <s v="M"/>
    <n v="60"/>
    <s v="Cossall Walk"/>
    <x v="780"/>
    <x v="2"/>
    <d v="2021-08-24T00:00:00"/>
    <x v="1"/>
    <x v="3"/>
    <n v="18"/>
    <x v="8"/>
    <x v="8"/>
    <n v="360"/>
    <x v="24"/>
  </r>
  <r>
    <n v="1138"/>
    <x v="947"/>
    <x v="876"/>
    <s v="Mr"/>
    <s v="M"/>
    <n v="60"/>
    <s v="Cotall Street"/>
    <x v="634"/>
    <x v="2"/>
    <d v="2021-03-10T00:00:00"/>
    <x v="1"/>
    <x v="5"/>
    <n v="59"/>
    <x v="6"/>
    <x v="6"/>
    <n v="1416"/>
    <x v="471"/>
  </r>
  <r>
    <n v="1139"/>
    <x v="229"/>
    <x v="538"/>
    <s v="Mr"/>
    <s v="M"/>
    <n v="60"/>
    <s v="Cotford Place"/>
    <x v="256"/>
    <x v="43"/>
    <d v="2020-09-20T00:00:00"/>
    <x v="2"/>
    <x v="9"/>
    <n v="23"/>
    <x v="4"/>
    <x v="4"/>
    <n v="414"/>
    <x v="683"/>
  </r>
  <r>
    <n v="1140"/>
    <x v="476"/>
    <x v="877"/>
    <s v="Miss"/>
    <s v="F"/>
    <n v="30"/>
    <s v="Cotherstone Road"/>
    <x v="580"/>
    <x v="2"/>
    <d v="2022-08-19T00:00:00"/>
    <x v="0"/>
    <x v="3"/>
    <n v="3"/>
    <x v="0"/>
    <x v="0"/>
    <n v="60"/>
    <x v="684"/>
  </r>
  <r>
    <n v="1141"/>
    <x v="948"/>
    <x v="878"/>
    <s v="Mrs"/>
    <s v="F"/>
    <n v="30"/>
    <s v="Cotswold Gate"/>
    <x v="350"/>
    <x v="2"/>
    <d v="2020-11-06T00:00:00"/>
    <x v="2"/>
    <x v="7"/>
    <n v="34"/>
    <x v="6"/>
    <x v="6"/>
    <n v="816"/>
    <x v="615"/>
  </r>
  <r>
    <n v="1142"/>
    <x v="949"/>
    <x v="485"/>
    <s v="Mrs"/>
    <s v="F"/>
    <n v="60"/>
    <s v="Cotswold Street"/>
    <x v="235"/>
    <x v="12"/>
    <d v="2022-03-12T00:00:00"/>
    <x v="0"/>
    <x v="5"/>
    <n v="98"/>
    <x v="9"/>
    <x v="9"/>
    <n v="2352"/>
    <x v="685"/>
  </r>
  <r>
    <n v="1143"/>
    <x v="950"/>
    <x v="280"/>
    <s v="Mr"/>
    <s v="M"/>
    <n v="30"/>
    <s v="Cottage Court"/>
    <x v="483"/>
    <x v="2"/>
    <d v="2020-07-18T00:00:00"/>
    <x v="2"/>
    <x v="0"/>
    <n v="51"/>
    <x v="1"/>
    <x v="1"/>
    <n v="1224"/>
    <x v="61"/>
  </r>
  <r>
    <n v="1144"/>
    <x v="813"/>
    <x v="879"/>
    <s v="Mr"/>
    <s v="M"/>
    <n v="60"/>
    <s v="Cottage Down"/>
    <x v="781"/>
    <x v="2"/>
    <d v="2022-01-14T00:00:00"/>
    <x v="0"/>
    <x v="6"/>
    <n v="83"/>
    <x v="5"/>
    <x v="5"/>
    <n v="1992"/>
    <x v="686"/>
  </r>
  <r>
    <n v="1145"/>
    <x v="951"/>
    <x v="880"/>
    <s v="Mrs"/>
    <s v="F"/>
    <n v="30"/>
    <s v="Cottage Down"/>
    <x v="192"/>
    <x v="2"/>
    <d v="2022-01-12T00:00:00"/>
    <x v="0"/>
    <x v="6"/>
    <n v="71"/>
    <x v="5"/>
    <x v="5"/>
    <n v="1704"/>
    <x v="530"/>
  </r>
  <r>
    <n v="1146"/>
    <x v="952"/>
    <x v="881"/>
    <s v="Mrs"/>
    <s v="F"/>
    <n v="90"/>
    <s v="Cottage Hospital"/>
    <x v="395"/>
    <x v="2"/>
    <d v="2022-02-20T00:00:00"/>
    <x v="0"/>
    <x v="10"/>
    <n v="81"/>
    <x v="0"/>
    <x v="0"/>
    <n v="1620"/>
    <x v="116"/>
  </r>
  <r>
    <n v="1147"/>
    <x v="729"/>
    <x v="771"/>
    <s v="Mr"/>
    <s v="M"/>
    <n v="30"/>
    <s v="Cottage Row"/>
    <x v="504"/>
    <x v="2"/>
    <d v="2020-01-30T00:00:00"/>
    <x v="2"/>
    <x v="6"/>
    <n v="47"/>
    <x v="2"/>
    <x v="2"/>
    <n v="799"/>
    <x v="670"/>
  </r>
  <r>
    <n v="1148"/>
    <x v="249"/>
    <x v="524"/>
    <s v="Mr"/>
    <s v="M"/>
    <n v="60"/>
    <s v="Cottington Street"/>
    <x v="782"/>
    <x v="11"/>
    <d v="2020-02-05T00:00:00"/>
    <x v="2"/>
    <x v="10"/>
    <n v="14"/>
    <x v="7"/>
    <x v="7"/>
    <n v="280"/>
    <x v="72"/>
  </r>
  <r>
    <n v="1149"/>
    <x v="953"/>
    <x v="633"/>
    <s v="Mr"/>
    <s v="M"/>
    <n v="90"/>
    <s v="Cotton Row"/>
    <x v="783"/>
    <x v="16"/>
    <d v="2020-06-21T00:00:00"/>
    <x v="2"/>
    <x v="2"/>
    <n v="14"/>
    <x v="1"/>
    <x v="1"/>
    <n v="336"/>
    <x v="250"/>
  </r>
  <r>
    <n v="1150"/>
    <x v="954"/>
    <x v="882"/>
    <s v="Mrs"/>
    <s v="F"/>
    <n v="90"/>
    <s v="Cotton Street"/>
    <x v="784"/>
    <x v="82"/>
    <d v="2022-10-05T00:00:00"/>
    <x v="0"/>
    <x v="1"/>
    <n v="30"/>
    <x v="2"/>
    <x v="2"/>
    <n v="510"/>
    <x v="545"/>
  </r>
  <r>
    <n v="1151"/>
    <x v="955"/>
    <x v="776"/>
    <s v="Mrs"/>
    <s v="F"/>
    <n v="90"/>
    <s v="Cotts Close"/>
    <x v="220"/>
    <x v="3"/>
    <d v="2022-05-28T00:00:00"/>
    <x v="0"/>
    <x v="11"/>
    <n v="99"/>
    <x v="0"/>
    <x v="0"/>
    <n v="1980"/>
    <x v="203"/>
  </r>
  <r>
    <n v="1152"/>
    <x v="129"/>
    <x v="883"/>
    <s v="Mr"/>
    <s v="M"/>
    <n v="60"/>
    <s v="Cotts Close"/>
    <x v="785"/>
    <x v="2"/>
    <d v="2021-01-26T00:00:00"/>
    <x v="1"/>
    <x v="6"/>
    <n v="19"/>
    <x v="0"/>
    <x v="0"/>
    <n v="380"/>
    <x v="44"/>
  </r>
  <r>
    <n v="1153"/>
    <x v="956"/>
    <x v="789"/>
    <s v="Miss"/>
    <s v="F"/>
    <n v="30"/>
    <s v="Counagmara"/>
    <x v="209"/>
    <x v="1"/>
    <d v="2020-10-02T00:00:00"/>
    <x v="2"/>
    <x v="1"/>
    <n v="68"/>
    <x v="2"/>
    <x v="2"/>
    <n v="1156"/>
    <x v="21"/>
  </r>
  <r>
    <n v="1154"/>
    <x v="334"/>
    <x v="884"/>
    <s v="Rev"/>
    <s v="M"/>
    <n v="90"/>
    <s v="Counter Street"/>
    <x v="268"/>
    <x v="21"/>
    <d v="2021-09-20T00:00:00"/>
    <x v="1"/>
    <x v="9"/>
    <n v="40"/>
    <x v="5"/>
    <x v="5"/>
    <n v="960"/>
    <x v="582"/>
  </r>
  <r>
    <n v="1155"/>
    <x v="716"/>
    <x v="810"/>
    <s v="Mr"/>
    <s v="M"/>
    <n v="30"/>
    <s v="Counting House"/>
    <x v="786"/>
    <x v="2"/>
    <d v="2020-01-09T00:00:00"/>
    <x v="2"/>
    <x v="6"/>
    <n v="18"/>
    <x v="7"/>
    <x v="7"/>
    <n v="360"/>
    <x v="687"/>
  </r>
  <r>
    <n v="1156"/>
    <x v="957"/>
    <x v="430"/>
    <s v="Mrs"/>
    <s v="F"/>
    <n v="90"/>
    <s v="Coupland Place"/>
    <x v="787"/>
    <x v="17"/>
    <d v="2021-02-20T00:00:00"/>
    <x v="1"/>
    <x v="10"/>
    <n v="75"/>
    <x v="1"/>
    <x v="1"/>
    <n v="1800"/>
    <x v="2"/>
  </r>
  <r>
    <n v="1157"/>
    <x v="958"/>
    <x v="885"/>
    <s v="Mrs"/>
    <s v="F"/>
    <n v="90"/>
    <s v="Coupland Terrace"/>
    <x v="274"/>
    <x v="1"/>
    <d v="2022-01-08T00:00:00"/>
    <x v="0"/>
    <x v="6"/>
    <n v="36"/>
    <x v="7"/>
    <x v="7"/>
    <n v="720"/>
    <x v="256"/>
  </r>
  <r>
    <n v="1158"/>
    <x v="959"/>
    <x v="886"/>
    <s v="Mrs"/>
    <s v="F"/>
    <n v="60"/>
    <s v="Court"/>
    <x v="333"/>
    <x v="2"/>
    <d v="2021-06-30T00:00:00"/>
    <x v="1"/>
    <x v="2"/>
    <n v="2"/>
    <x v="0"/>
    <x v="0"/>
    <n v="40"/>
    <x v="156"/>
  </r>
  <r>
    <n v="1159"/>
    <x v="960"/>
    <x v="625"/>
    <s v="Ms"/>
    <s v="F"/>
    <n v="60"/>
    <s v="Court View"/>
    <x v="788"/>
    <x v="11"/>
    <d v="2022-09-09T00:00:00"/>
    <x v="0"/>
    <x v="9"/>
    <n v="4"/>
    <x v="8"/>
    <x v="8"/>
    <n v="80"/>
    <x v="688"/>
  </r>
  <r>
    <n v="1160"/>
    <x v="961"/>
    <x v="887"/>
    <s v="Miss"/>
    <s v="F"/>
    <n v="60"/>
    <s v="Court Way"/>
    <x v="531"/>
    <x v="63"/>
    <d v="2022-02-02T00:00:00"/>
    <x v="0"/>
    <x v="10"/>
    <n v="20"/>
    <x v="0"/>
    <x v="0"/>
    <n v="400"/>
    <x v="210"/>
  </r>
  <r>
    <n v="1161"/>
    <x v="962"/>
    <x v="888"/>
    <s v="Mr"/>
    <s v="M"/>
    <n v="30"/>
    <s v="Court Yard"/>
    <x v="631"/>
    <x v="8"/>
    <d v="2022-12-21T00:00:00"/>
    <x v="0"/>
    <x v="8"/>
    <n v="31"/>
    <x v="6"/>
    <x v="6"/>
    <n v="744"/>
    <x v="450"/>
  </r>
  <r>
    <n v="1162"/>
    <x v="681"/>
    <x v="379"/>
    <s v="Rev"/>
    <s v="M"/>
    <n v="60"/>
    <s v="Courtauld Close"/>
    <x v="789"/>
    <x v="2"/>
    <d v="2020-04-01T00:00:00"/>
    <x v="2"/>
    <x v="4"/>
    <n v="38"/>
    <x v="0"/>
    <x v="0"/>
    <n v="760"/>
    <x v="470"/>
  </r>
  <r>
    <n v="1163"/>
    <x v="963"/>
    <x v="889"/>
    <s v="Mr"/>
    <s v="M"/>
    <n v="90"/>
    <s v="Courtenay Street"/>
    <x v="790"/>
    <x v="15"/>
    <d v="2022-12-06T00:00:00"/>
    <x v="0"/>
    <x v="8"/>
    <n v="97"/>
    <x v="0"/>
    <x v="0"/>
    <n v="1940"/>
    <x v="123"/>
  </r>
  <r>
    <n v="1164"/>
    <x v="964"/>
    <x v="400"/>
    <s v="Mr"/>
    <s v="M"/>
    <n v="30"/>
    <s v="Courtfield Mews"/>
    <x v="720"/>
    <x v="2"/>
    <d v="2022-11-25T00:00:00"/>
    <x v="0"/>
    <x v="7"/>
    <n v="102"/>
    <x v="1"/>
    <x v="1"/>
    <n v="2448"/>
    <x v="689"/>
  </r>
  <r>
    <n v="1165"/>
    <x v="965"/>
    <x v="890"/>
    <s v="Miss"/>
    <s v="F"/>
    <n v="90"/>
    <s v="Courthope Road"/>
    <x v="791"/>
    <x v="2"/>
    <d v="2020-11-17T00:00:00"/>
    <x v="2"/>
    <x v="7"/>
    <n v="80"/>
    <x v="7"/>
    <x v="7"/>
    <n v="1600"/>
    <x v="690"/>
  </r>
  <r>
    <n v="1166"/>
    <x v="966"/>
    <x v="59"/>
    <s v="Mrs"/>
    <s v="F"/>
    <n v="60"/>
    <s v="Courtland Avenue"/>
    <x v="136"/>
    <x v="2"/>
    <d v="2020-10-27T00:00:00"/>
    <x v="2"/>
    <x v="1"/>
    <n v="3"/>
    <x v="1"/>
    <x v="1"/>
    <n v="72"/>
    <x v="691"/>
  </r>
  <r>
    <n v="1167"/>
    <x v="967"/>
    <x v="891"/>
    <s v="Miss"/>
    <s v="F"/>
    <n v="60"/>
    <s v="Courtland Villas"/>
    <x v="58"/>
    <x v="1"/>
    <d v="2021-07-17T00:00:00"/>
    <x v="1"/>
    <x v="0"/>
    <n v="73"/>
    <x v="3"/>
    <x v="3"/>
    <n v="1752"/>
    <x v="105"/>
  </r>
  <r>
    <n v="1168"/>
    <x v="968"/>
    <x v="892"/>
    <s v="Mr"/>
    <s v="M"/>
    <n v="60"/>
    <s v="Courtlands Avenue"/>
    <x v="679"/>
    <x v="44"/>
    <d v="2020-12-22T00:00:00"/>
    <x v="2"/>
    <x v="8"/>
    <n v="84"/>
    <x v="9"/>
    <x v="9"/>
    <n v="2016"/>
    <x v="367"/>
  </r>
  <r>
    <n v="1169"/>
    <x v="534"/>
    <x v="893"/>
    <s v="Mr"/>
    <s v="M"/>
    <n v="30"/>
    <s v="Courtney Road"/>
    <x v="792"/>
    <x v="2"/>
    <d v="2022-02-02T00:00:00"/>
    <x v="0"/>
    <x v="10"/>
    <n v="60"/>
    <x v="0"/>
    <x v="0"/>
    <n v="1200"/>
    <x v="378"/>
  </r>
  <r>
    <n v="1170"/>
    <x v="969"/>
    <x v="894"/>
    <s v="Mr"/>
    <s v="M"/>
    <n v="90"/>
    <s v="Coverdale Road"/>
    <x v="793"/>
    <x v="2"/>
    <d v="2021-08-17T00:00:00"/>
    <x v="1"/>
    <x v="3"/>
    <n v="20"/>
    <x v="8"/>
    <x v="8"/>
    <n v="400"/>
    <x v="577"/>
  </r>
  <r>
    <n v="1171"/>
    <x v="970"/>
    <x v="488"/>
    <s v="Mrs"/>
    <s v="F"/>
    <n v="60"/>
    <s v="Cow Yard"/>
    <x v="794"/>
    <x v="2"/>
    <d v="2022-09-07T00:00:00"/>
    <x v="0"/>
    <x v="9"/>
    <n v="34"/>
    <x v="5"/>
    <x v="5"/>
    <n v="816"/>
    <x v="692"/>
  </r>
  <r>
    <n v="1172"/>
    <x v="971"/>
    <x v="373"/>
    <s v="Miss"/>
    <s v="F"/>
    <n v="30"/>
    <s v="Cowper Avenue"/>
    <x v="287"/>
    <x v="2"/>
    <d v="2022-02-15T00:00:00"/>
    <x v="0"/>
    <x v="10"/>
    <n v="95"/>
    <x v="2"/>
    <x v="2"/>
    <n v="1615"/>
    <x v="693"/>
  </r>
  <r>
    <n v="1173"/>
    <x v="972"/>
    <x v="27"/>
    <s v="Mrs"/>
    <s v="F"/>
    <n v="60"/>
    <s v="Cowslip Villa"/>
    <x v="795"/>
    <x v="53"/>
    <d v="2022-10-07T00:00:00"/>
    <x v="0"/>
    <x v="1"/>
    <n v="48"/>
    <x v="1"/>
    <x v="1"/>
    <n v="1152"/>
    <x v="312"/>
  </r>
  <r>
    <n v="1174"/>
    <x v="973"/>
    <x v="895"/>
    <s v="Miss"/>
    <s v="F"/>
    <n v="60"/>
    <s v="Cox'S Quay"/>
    <x v="796"/>
    <x v="83"/>
    <d v="2020-05-15T00:00:00"/>
    <x v="2"/>
    <x v="11"/>
    <n v="78"/>
    <x v="4"/>
    <x v="4"/>
    <n v="1404"/>
    <x v="694"/>
  </r>
  <r>
    <n v="1175"/>
    <x v="974"/>
    <x v="148"/>
    <s v="Miss"/>
    <s v="F"/>
    <n v="30"/>
    <s v="Coxson Way"/>
    <x v="519"/>
    <x v="15"/>
    <d v="2021-08-14T00:00:00"/>
    <x v="1"/>
    <x v="3"/>
    <n v="23"/>
    <x v="4"/>
    <x v="4"/>
    <n v="414"/>
    <x v="683"/>
  </r>
  <r>
    <n v="1176"/>
    <x v="975"/>
    <x v="896"/>
    <s v="Mr"/>
    <s v="M"/>
    <n v="30"/>
    <s v="Crace Street"/>
    <x v="304"/>
    <x v="16"/>
    <d v="2021-12-06T00:00:00"/>
    <x v="1"/>
    <x v="8"/>
    <n v="21"/>
    <x v="6"/>
    <x v="6"/>
    <n v="504"/>
    <x v="332"/>
  </r>
  <r>
    <n v="1177"/>
    <x v="359"/>
    <x v="897"/>
    <s v="Mr"/>
    <s v="M"/>
    <n v="90"/>
    <s v="Crace Street"/>
    <x v="655"/>
    <x v="17"/>
    <d v="2022-02-28T00:00:00"/>
    <x v="0"/>
    <x v="10"/>
    <n v="39"/>
    <x v="7"/>
    <x v="7"/>
    <n v="780"/>
    <x v="145"/>
  </r>
  <r>
    <n v="1178"/>
    <x v="976"/>
    <x v="399"/>
    <s v="Miss"/>
    <s v="F"/>
    <n v="30"/>
    <s v="Crafton Place"/>
    <x v="797"/>
    <x v="2"/>
    <d v="2020-08-19T00:00:00"/>
    <x v="2"/>
    <x v="3"/>
    <n v="72"/>
    <x v="4"/>
    <x v="4"/>
    <n v="1296"/>
    <x v="695"/>
  </r>
  <r>
    <n v="1179"/>
    <x v="977"/>
    <x v="898"/>
    <s v="Mr"/>
    <s v="M"/>
    <n v="60"/>
    <s v="Craig Park"/>
    <x v="555"/>
    <x v="28"/>
    <d v="2021-03-12T00:00:00"/>
    <x v="1"/>
    <x v="5"/>
    <n v="66"/>
    <x v="5"/>
    <x v="5"/>
    <n v="1584"/>
    <x v="648"/>
  </r>
  <r>
    <n v="1180"/>
    <x v="978"/>
    <x v="899"/>
    <s v="Miss"/>
    <s v="F"/>
    <n v="90"/>
    <s v="Cranberry Lane"/>
    <x v="450"/>
    <x v="2"/>
    <d v="2022-12-04T00:00:00"/>
    <x v="0"/>
    <x v="8"/>
    <n v="70"/>
    <x v="7"/>
    <x v="7"/>
    <n v="1400"/>
    <x v="399"/>
  </r>
  <r>
    <n v="1181"/>
    <x v="979"/>
    <x v="4"/>
    <s v="Ms"/>
    <s v="F"/>
    <n v="30"/>
    <s v="Cranbourn Alley"/>
    <x v="264"/>
    <x v="15"/>
    <d v="2021-03-25T00:00:00"/>
    <x v="1"/>
    <x v="5"/>
    <n v="44"/>
    <x v="2"/>
    <x v="2"/>
    <n v="748"/>
    <x v="696"/>
  </r>
  <r>
    <n v="1182"/>
    <x v="20"/>
    <x v="900"/>
    <s v="Mr"/>
    <s v="M"/>
    <n v="60"/>
    <s v="Cranbourn Alley"/>
    <x v="593"/>
    <x v="1"/>
    <d v="2020-03-16T00:00:00"/>
    <x v="2"/>
    <x v="5"/>
    <n v="79"/>
    <x v="5"/>
    <x v="5"/>
    <n v="1896"/>
    <x v="94"/>
  </r>
  <r>
    <n v="1183"/>
    <x v="980"/>
    <x v="901"/>
    <s v="Mrs"/>
    <s v="F"/>
    <n v="90"/>
    <s v="Crane Grove"/>
    <x v="374"/>
    <x v="17"/>
    <d v="2021-05-05T00:00:00"/>
    <x v="1"/>
    <x v="11"/>
    <n v="88"/>
    <x v="3"/>
    <x v="3"/>
    <n v="2112"/>
    <x v="697"/>
  </r>
  <r>
    <n v="1184"/>
    <x v="981"/>
    <x v="902"/>
    <s v="Mrs"/>
    <s v="F"/>
    <n v="60"/>
    <s v="Crane Mead"/>
    <x v="389"/>
    <x v="16"/>
    <d v="2020-02-05T00:00:00"/>
    <x v="2"/>
    <x v="10"/>
    <n v="31"/>
    <x v="3"/>
    <x v="3"/>
    <n v="744"/>
    <x v="53"/>
  </r>
  <r>
    <n v="1185"/>
    <x v="317"/>
    <x v="817"/>
    <s v="Mr"/>
    <s v="M"/>
    <n v="90"/>
    <s v="Cranford Close"/>
    <x v="798"/>
    <x v="2"/>
    <d v="2022-01-21T00:00:00"/>
    <x v="0"/>
    <x v="6"/>
    <n v="31"/>
    <x v="4"/>
    <x v="4"/>
    <n v="558"/>
    <x v="163"/>
  </r>
  <r>
    <n v="1186"/>
    <x v="982"/>
    <x v="701"/>
    <s v="Mrs"/>
    <s v="F"/>
    <n v="30"/>
    <s v="Cranham Road"/>
    <x v="799"/>
    <x v="3"/>
    <d v="2020-07-13T00:00:00"/>
    <x v="2"/>
    <x v="0"/>
    <n v="66"/>
    <x v="6"/>
    <x v="6"/>
    <n v="1584"/>
    <x v="7"/>
  </r>
  <r>
    <n v="1187"/>
    <x v="983"/>
    <x v="686"/>
    <s v="Mr"/>
    <s v="M"/>
    <n v="30"/>
    <s v="Cranworth Crescent"/>
    <x v="570"/>
    <x v="2"/>
    <d v="2020-01-14T00:00:00"/>
    <x v="2"/>
    <x v="6"/>
    <n v="8"/>
    <x v="7"/>
    <x v="7"/>
    <n v="160"/>
    <x v="255"/>
  </r>
  <r>
    <n v="1188"/>
    <x v="984"/>
    <x v="576"/>
    <s v="Miss"/>
    <s v="F"/>
    <n v="30"/>
    <s v="Cranworth Gardens"/>
    <x v="800"/>
    <x v="11"/>
    <d v="2020-09-21T00:00:00"/>
    <x v="2"/>
    <x v="9"/>
    <n v="11"/>
    <x v="1"/>
    <x v="1"/>
    <n v="264"/>
    <x v="54"/>
  </r>
  <r>
    <n v="1189"/>
    <x v="985"/>
    <x v="478"/>
    <s v="Mrs"/>
    <s v="F"/>
    <n v="30"/>
    <s v="Craven Avenue"/>
    <x v="801"/>
    <x v="73"/>
    <d v="2021-04-15T00:00:00"/>
    <x v="1"/>
    <x v="4"/>
    <n v="50"/>
    <x v="7"/>
    <x v="7"/>
    <n v="1000"/>
    <x v="364"/>
  </r>
  <r>
    <n v="1190"/>
    <x v="986"/>
    <x v="903"/>
    <s v="Dr"/>
    <s v="F"/>
    <n v="30"/>
    <s v="Craven Mews"/>
    <x v="802"/>
    <x v="2"/>
    <d v="2020-08-05T00:00:00"/>
    <x v="2"/>
    <x v="3"/>
    <n v="75"/>
    <x v="8"/>
    <x v="8"/>
    <n v="1500"/>
    <x v="133"/>
  </r>
  <r>
    <n v="1191"/>
    <x v="987"/>
    <x v="756"/>
    <s v="Mr"/>
    <s v="M"/>
    <n v="60"/>
    <s v="Craven Terrace"/>
    <x v="89"/>
    <x v="24"/>
    <d v="2022-06-01T00:00:00"/>
    <x v="0"/>
    <x v="2"/>
    <n v="68"/>
    <x v="4"/>
    <x v="4"/>
    <n v="1224"/>
    <x v="698"/>
  </r>
  <r>
    <n v="1192"/>
    <x v="158"/>
    <x v="31"/>
    <s v="Mr"/>
    <s v="M"/>
    <n v="90"/>
    <s v="Craven'S Buildings"/>
    <x v="803"/>
    <x v="11"/>
    <d v="2021-02-24T00:00:00"/>
    <x v="1"/>
    <x v="10"/>
    <n v="76"/>
    <x v="1"/>
    <x v="1"/>
    <n v="1824"/>
    <x v="678"/>
  </r>
  <r>
    <n v="1193"/>
    <x v="988"/>
    <x v="904"/>
    <s v="Mr"/>
    <s v="M"/>
    <n v="90"/>
    <s v="Crawford Place"/>
    <x v="387"/>
    <x v="11"/>
    <d v="2021-11-03T00:00:00"/>
    <x v="1"/>
    <x v="7"/>
    <n v="14"/>
    <x v="0"/>
    <x v="0"/>
    <n v="280"/>
    <x v="22"/>
  </r>
  <r>
    <n v="1194"/>
    <x v="989"/>
    <x v="377"/>
    <s v="Mrs"/>
    <s v="F"/>
    <n v="90"/>
    <s v="Crawley Wharf"/>
    <x v="804"/>
    <x v="2"/>
    <d v="2020-02-09T00:00:00"/>
    <x v="2"/>
    <x v="10"/>
    <n v="79"/>
    <x v="2"/>
    <x v="2"/>
    <n v="1343"/>
    <x v="699"/>
  </r>
  <r>
    <n v="1195"/>
    <x v="990"/>
    <x v="243"/>
    <s v="Mrs"/>
    <s v="F"/>
    <n v="30"/>
    <s v="Crebor Street"/>
    <x v="428"/>
    <x v="2"/>
    <d v="2020-07-17T00:00:00"/>
    <x v="2"/>
    <x v="0"/>
    <n v="77"/>
    <x v="3"/>
    <x v="3"/>
    <n v="1848"/>
    <x v="330"/>
  </r>
  <r>
    <n v="1196"/>
    <x v="991"/>
    <x v="905"/>
    <s v="Mr"/>
    <s v="M"/>
    <n v="90"/>
    <s v="Crebos Street"/>
    <x v="637"/>
    <x v="1"/>
    <d v="2021-02-13T00:00:00"/>
    <x v="1"/>
    <x v="10"/>
    <n v="87"/>
    <x v="2"/>
    <x v="2"/>
    <n v="1479"/>
    <x v="700"/>
  </r>
  <r>
    <n v="1197"/>
    <x v="992"/>
    <x v="176"/>
    <s v="Mr"/>
    <s v="M"/>
    <n v="60"/>
    <s v="Creek Bridge"/>
    <x v="805"/>
    <x v="3"/>
    <d v="2021-08-26T00:00:00"/>
    <x v="1"/>
    <x v="3"/>
    <n v="95"/>
    <x v="9"/>
    <x v="9"/>
    <n v="2280"/>
    <x v="701"/>
  </r>
  <r>
    <n v="1198"/>
    <x v="993"/>
    <x v="906"/>
    <s v="Miss"/>
    <s v="F"/>
    <n v="60"/>
    <s v="Crescent Way"/>
    <x v="55"/>
    <x v="19"/>
    <d v="2020-08-29T00:00:00"/>
    <x v="2"/>
    <x v="3"/>
    <n v="32"/>
    <x v="9"/>
    <x v="9"/>
    <n v="768"/>
    <x v="702"/>
  </r>
  <r>
    <n v="1199"/>
    <x v="994"/>
    <x v="907"/>
    <s v="Miss"/>
    <s v="F"/>
    <n v="90"/>
    <s v="Creswick Road"/>
    <x v="83"/>
    <x v="23"/>
    <d v="2022-01-02T00:00:00"/>
    <x v="0"/>
    <x v="6"/>
    <n v="46"/>
    <x v="6"/>
    <x v="6"/>
    <n v="1104"/>
    <x v="199"/>
  </r>
  <r>
    <n v="1200"/>
    <x v="995"/>
    <x v="908"/>
    <s v="Miss"/>
    <s v="F"/>
    <n v="60"/>
    <s v="Crewe Place"/>
    <x v="806"/>
    <x v="11"/>
    <d v="2020-06-22T00:00:00"/>
    <x v="2"/>
    <x v="2"/>
    <n v="30"/>
    <x v="8"/>
    <x v="8"/>
    <n v="600"/>
    <x v="32"/>
  </r>
  <r>
    <n v="1201"/>
    <x v="798"/>
    <x v="909"/>
    <s v="Mr"/>
    <s v="M"/>
    <n v="90"/>
    <s v="Cricket Row"/>
    <x v="807"/>
    <x v="10"/>
    <d v="2022-01-14T00:00:00"/>
    <x v="0"/>
    <x v="6"/>
    <n v="105"/>
    <x v="0"/>
    <x v="0"/>
    <n v="2100"/>
    <x v="703"/>
  </r>
  <r>
    <n v="1202"/>
    <x v="996"/>
    <x v="374"/>
    <s v="Mrs"/>
    <s v="F"/>
    <n v="90"/>
    <s v="Cricketers Court"/>
    <x v="808"/>
    <x v="84"/>
    <d v="2021-07-14T00:00:00"/>
    <x v="1"/>
    <x v="0"/>
    <n v="2"/>
    <x v="1"/>
    <x v="1"/>
    <n v="48"/>
    <x v="318"/>
  </r>
  <r>
    <n v="1203"/>
    <x v="997"/>
    <x v="910"/>
    <s v="Mrs"/>
    <s v="F"/>
    <n v="30"/>
    <s v="Cricketer'S Court"/>
    <x v="18"/>
    <x v="11"/>
    <d v="2021-01-23T00:00:00"/>
    <x v="1"/>
    <x v="6"/>
    <n v="33"/>
    <x v="2"/>
    <x v="2"/>
    <n v="561"/>
    <x v="608"/>
  </r>
  <r>
    <n v="1204"/>
    <x v="998"/>
    <x v="223"/>
    <s v="Mr"/>
    <s v="M"/>
    <n v="90"/>
    <s v="Cricklade Avenue"/>
    <x v="651"/>
    <x v="11"/>
    <d v="2021-12-25T00:00:00"/>
    <x v="1"/>
    <x v="8"/>
    <n v="80"/>
    <x v="8"/>
    <x v="8"/>
    <n v="1600"/>
    <x v="704"/>
  </r>
  <r>
    <n v="1205"/>
    <x v="999"/>
    <x v="911"/>
    <s v="Dr"/>
    <s v="F"/>
    <n v="30"/>
    <s v="Cringle Street"/>
    <x v="477"/>
    <x v="2"/>
    <d v="2020-02-27T00:00:00"/>
    <x v="2"/>
    <x v="10"/>
    <n v="8"/>
    <x v="8"/>
    <x v="8"/>
    <n v="160"/>
    <x v="612"/>
  </r>
  <r>
    <n v="1206"/>
    <x v="794"/>
    <x v="912"/>
    <s v="Mr"/>
    <s v="M"/>
    <n v="90"/>
    <s v="Crisps Terrace"/>
    <x v="332"/>
    <x v="2"/>
    <d v="2020-12-12T00:00:00"/>
    <x v="2"/>
    <x v="8"/>
    <n v="72"/>
    <x v="1"/>
    <x v="1"/>
    <n v="1728"/>
    <x v="705"/>
  </r>
  <r>
    <n v="1207"/>
    <x v="229"/>
    <x v="590"/>
    <s v="Mr"/>
    <s v="M"/>
    <n v="60"/>
    <s v="Crisps Terrace"/>
    <x v="809"/>
    <x v="2"/>
    <d v="2022-12-04T00:00:00"/>
    <x v="0"/>
    <x v="8"/>
    <n v="79"/>
    <x v="3"/>
    <x v="3"/>
    <n v="1896"/>
    <x v="706"/>
  </r>
  <r>
    <n v="1208"/>
    <x v="1000"/>
    <x v="913"/>
    <s v="Mr"/>
    <s v="M"/>
    <n v="90"/>
    <s v="Croft Close"/>
    <x v="539"/>
    <x v="36"/>
    <d v="2021-11-12T00:00:00"/>
    <x v="1"/>
    <x v="7"/>
    <n v="74"/>
    <x v="1"/>
    <x v="1"/>
    <n v="1776"/>
    <x v="360"/>
  </r>
  <r>
    <n v="1209"/>
    <x v="652"/>
    <x v="914"/>
    <s v="Mrs"/>
    <s v="F"/>
    <n v="90"/>
    <s v="Crofton Road"/>
    <x v="810"/>
    <x v="15"/>
    <d v="2021-10-11T00:00:00"/>
    <x v="1"/>
    <x v="1"/>
    <n v="28"/>
    <x v="9"/>
    <x v="9"/>
    <n v="672"/>
    <x v="55"/>
  </r>
  <r>
    <n v="1210"/>
    <x v="1001"/>
    <x v="915"/>
    <s v="Mrs"/>
    <s v="F"/>
    <n v="90"/>
    <s v="Crogsland Road"/>
    <x v="59"/>
    <x v="22"/>
    <d v="2022-11-11T00:00:00"/>
    <x v="0"/>
    <x v="7"/>
    <n v="38"/>
    <x v="9"/>
    <x v="9"/>
    <n v="912"/>
    <x v="107"/>
  </r>
  <r>
    <n v="1211"/>
    <x v="1002"/>
    <x v="916"/>
    <s v="Miss"/>
    <s v="F"/>
    <n v="30"/>
    <s v="Cromwell Grove"/>
    <x v="498"/>
    <x v="2"/>
    <d v="2020-09-09T00:00:00"/>
    <x v="2"/>
    <x v="9"/>
    <n v="22"/>
    <x v="7"/>
    <x v="7"/>
    <n v="440"/>
    <x v="588"/>
  </r>
  <r>
    <n v="1212"/>
    <x v="291"/>
    <x v="917"/>
    <s v="Mrs"/>
    <s v="F"/>
    <n v="90"/>
    <s v="Crondall Street"/>
    <x v="375"/>
    <x v="24"/>
    <d v="2020-01-01T00:00:00"/>
    <x v="2"/>
    <x v="6"/>
    <n v="14"/>
    <x v="2"/>
    <x v="2"/>
    <n v="238"/>
    <x v="328"/>
  </r>
  <r>
    <n v="1213"/>
    <x v="1003"/>
    <x v="687"/>
    <s v="Mrs"/>
    <s v="F"/>
    <n v="90"/>
    <s v="Crooked Passage"/>
    <x v="163"/>
    <x v="2"/>
    <d v="2020-06-19T00:00:00"/>
    <x v="2"/>
    <x v="2"/>
    <n v="29"/>
    <x v="6"/>
    <x v="6"/>
    <n v="696"/>
    <x v="92"/>
  </r>
  <r>
    <n v="1214"/>
    <x v="1004"/>
    <x v="790"/>
    <s v="Mr"/>
    <s v="M"/>
    <n v="60"/>
    <s v="Crooms Hill"/>
    <x v="684"/>
    <x v="67"/>
    <d v="2022-01-22T00:00:00"/>
    <x v="0"/>
    <x v="6"/>
    <n v="54"/>
    <x v="1"/>
    <x v="1"/>
    <n v="1296"/>
    <x v="380"/>
  </r>
  <r>
    <n v="1215"/>
    <x v="1005"/>
    <x v="918"/>
    <s v="Prof"/>
    <s v="M"/>
    <n v="90"/>
    <s v="Crosby Square"/>
    <x v="197"/>
    <x v="16"/>
    <d v="2022-12-16T00:00:00"/>
    <x v="0"/>
    <x v="8"/>
    <n v="19"/>
    <x v="7"/>
    <x v="7"/>
    <n v="380"/>
    <x v="391"/>
  </r>
  <r>
    <n v="1216"/>
    <x v="1006"/>
    <x v="919"/>
    <s v="Mr"/>
    <s v="M"/>
    <n v="30"/>
    <s v="Cross Close"/>
    <x v="811"/>
    <x v="2"/>
    <d v="2021-04-22T00:00:00"/>
    <x v="1"/>
    <x v="4"/>
    <n v="56"/>
    <x v="6"/>
    <x v="6"/>
    <n v="1344"/>
    <x v="707"/>
  </r>
  <r>
    <n v="1217"/>
    <x v="506"/>
    <x v="920"/>
    <s v="Mr"/>
    <s v="M"/>
    <n v="90"/>
    <s v="Crossmead"/>
    <x v="174"/>
    <x v="31"/>
    <d v="2022-11-25T00:00:00"/>
    <x v="0"/>
    <x v="7"/>
    <n v="93"/>
    <x v="6"/>
    <x v="6"/>
    <n v="2232"/>
    <x v="93"/>
  </r>
  <r>
    <n v="1218"/>
    <x v="597"/>
    <x v="921"/>
    <s v="Mr"/>
    <s v="M"/>
    <n v="30"/>
    <s v="Crossness Lane"/>
    <x v="427"/>
    <x v="21"/>
    <d v="2020-10-11T00:00:00"/>
    <x v="2"/>
    <x v="1"/>
    <n v="75"/>
    <x v="8"/>
    <x v="8"/>
    <n v="1500"/>
    <x v="133"/>
  </r>
  <r>
    <n v="1219"/>
    <x v="1007"/>
    <x v="922"/>
    <s v="Miss"/>
    <s v="F"/>
    <n v="90"/>
    <s v="Crossthwaite Avenue"/>
    <x v="1"/>
    <x v="1"/>
    <d v="2020-01-23T00:00:00"/>
    <x v="2"/>
    <x v="6"/>
    <n v="76"/>
    <x v="6"/>
    <x v="6"/>
    <n v="1824"/>
    <x v="708"/>
  </r>
  <r>
    <n v="1220"/>
    <x v="1008"/>
    <x v="923"/>
    <s v="Mr"/>
    <s v="M"/>
    <n v="30"/>
    <s v="Crossthwaite Avenue"/>
    <x v="812"/>
    <x v="21"/>
    <d v="2021-06-20T00:00:00"/>
    <x v="1"/>
    <x v="2"/>
    <n v="87"/>
    <x v="7"/>
    <x v="7"/>
    <n v="1740"/>
    <x v="114"/>
  </r>
  <r>
    <n v="1221"/>
    <x v="1009"/>
    <x v="924"/>
    <s v="Mr"/>
    <s v="M"/>
    <n v="90"/>
    <s v="Crosswall"/>
    <x v="652"/>
    <x v="50"/>
    <d v="2022-04-24T00:00:00"/>
    <x v="0"/>
    <x v="4"/>
    <n v="29"/>
    <x v="9"/>
    <x v="9"/>
    <n v="696"/>
    <x v="709"/>
  </r>
  <r>
    <n v="1222"/>
    <x v="1010"/>
    <x v="925"/>
    <s v="Mr"/>
    <s v="M"/>
    <n v="60"/>
    <s v="Crouch Road"/>
    <x v="431"/>
    <x v="2"/>
    <d v="2022-02-18T00:00:00"/>
    <x v="0"/>
    <x v="10"/>
    <n v="64"/>
    <x v="3"/>
    <x v="3"/>
    <n v="1536"/>
    <x v="710"/>
  </r>
  <r>
    <n v="1223"/>
    <x v="1011"/>
    <x v="879"/>
    <s v="Mrs"/>
    <s v="F"/>
    <n v="60"/>
    <s v="Crowden Way"/>
    <x v="813"/>
    <x v="57"/>
    <d v="2022-01-19T00:00:00"/>
    <x v="0"/>
    <x v="6"/>
    <n v="31"/>
    <x v="3"/>
    <x v="3"/>
    <n v="744"/>
    <x v="53"/>
  </r>
  <r>
    <n v="1224"/>
    <x v="1012"/>
    <x v="926"/>
    <s v="Mr"/>
    <s v="M"/>
    <n v="30"/>
    <s v="Crowland Road"/>
    <x v="324"/>
    <x v="17"/>
    <d v="2021-07-28T00:00:00"/>
    <x v="1"/>
    <x v="0"/>
    <n v="85"/>
    <x v="6"/>
    <x v="6"/>
    <n v="2040"/>
    <x v="711"/>
  </r>
  <r>
    <n v="1225"/>
    <x v="1013"/>
    <x v="927"/>
    <s v="Ms"/>
    <s v="F"/>
    <n v="90"/>
    <s v="Crown Square"/>
    <x v="814"/>
    <x v="2"/>
    <d v="2022-05-13T00:00:00"/>
    <x v="0"/>
    <x v="11"/>
    <n v="36"/>
    <x v="4"/>
    <x v="4"/>
    <n v="648"/>
    <x v="150"/>
  </r>
  <r>
    <n v="1226"/>
    <x v="1014"/>
    <x v="88"/>
    <s v="Mr"/>
    <s v="M"/>
    <n v="90"/>
    <s v="Crown Terrace"/>
    <x v="625"/>
    <x v="2"/>
    <d v="2021-07-18T00:00:00"/>
    <x v="1"/>
    <x v="0"/>
    <n v="54"/>
    <x v="8"/>
    <x v="8"/>
    <n v="1080"/>
    <x v="712"/>
  </r>
  <r>
    <n v="1227"/>
    <x v="31"/>
    <x v="274"/>
    <s v="Mr"/>
    <s v="M"/>
    <n v="30"/>
    <s v="Crows Court"/>
    <x v="307"/>
    <x v="21"/>
    <d v="2020-03-20T00:00:00"/>
    <x v="2"/>
    <x v="5"/>
    <n v="38"/>
    <x v="8"/>
    <x v="8"/>
    <n v="760"/>
    <x v="85"/>
  </r>
  <r>
    <n v="1228"/>
    <x v="1015"/>
    <x v="54"/>
    <s v="Mr"/>
    <s v="M"/>
    <n v="30"/>
    <s v="Crows Court"/>
    <x v="569"/>
    <x v="2"/>
    <d v="2021-11-22T00:00:00"/>
    <x v="1"/>
    <x v="7"/>
    <n v="35"/>
    <x v="2"/>
    <x v="2"/>
    <n v="595"/>
    <x v="386"/>
  </r>
  <r>
    <n v="1229"/>
    <x v="1016"/>
    <x v="230"/>
    <s v="Miss"/>
    <s v="F"/>
    <n v="90"/>
    <s v="Crows Road"/>
    <x v="188"/>
    <x v="11"/>
    <d v="2021-09-30T00:00:00"/>
    <x v="1"/>
    <x v="9"/>
    <n v="26"/>
    <x v="6"/>
    <x v="6"/>
    <n v="624"/>
    <x v="52"/>
  </r>
  <r>
    <n v="1230"/>
    <x v="949"/>
    <x v="928"/>
    <s v="Mrs"/>
    <s v="F"/>
    <n v="60"/>
    <s v="Crowthorne Road"/>
    <x v="74"/>
    <x v="10"/>
    <d v="2020-05-26T00:00:00"/>
    <x v="2"/>
    <x v="11"/>
    <n v="78"/>
    <x v="3"/>
    <x v="3"/>
    <n v="1872"/>
    <x v="713"/>
  </r>
  <r>
    <n v="1231"/>
    <x v="1017"/>
    <x v="929"/>
    <s v="Mr"/>
    <s v="M"/>
    <n v="90"/>
    <s v="Croxford Gardens"/>
    <x v="10"/>
    <x v="2"/>
    <d v="2022-10-24T00:00:00"/>
    <x v="0"/>
    <x v="1"/>
    <n v="90"/>
    <x v="3"/>
    <x v="3"/>
    <n v="2160"/>
    <x v="714"/>
  </r>
  <r>
    <n v="1232"/>
    <x v="1018"/>
    <x v="930"/>
    <s v="Mrs"/>
    <s v="F"/>
    <n v="60"/>
    <s v="Croxted Lane"/>
    <x v="231"/>
    <x v="39"/>
    <d v="2020-09-19T00:00:00"/>
    <x v="2"/>
    <x v="9"/>
    <n v="85"/>
    <x v="2"/>
    <x v="2"/>
    <n v="1445"/>
    <x v="214"/>
  </r>
  <r>
    <n v="1233"/>
    <x v="1019"/>
    <x v="703"/>
    <s v="Mr"/>
    <s v="M"/>
    <n v="90"/>
    <s v="Croydon Road"/>
    <x v="271"/>
    <x v="21"/>
    <d v="2022-04-25T00:00:00"/>
    <x v="0"/>
    <x v="4"/>
    <n v="77"/>
    <x v="8"/>
    <x v="8"/>
    <n v="1540"/>
    <x v="543"/>
  </r>
  <r>
    <n v="1234"/>
    <x v="347"/>
    <x v="843"/>
    <s v="Mr"/>
    <s v="M"/>
    <n v="30"/>
    <s v="Cruikshank Street"/>
    <x v="815"/>
    <x v="15"/>
    <d v="2022-05-31T00:00:00"/>
    <x v="0"/>
    <x v="11"/>
    <n v="37"/>
    <x v="7"/>
    <x v="7"/>
    <n v="740"/>
    <x v="398"/>
  </r>
  <r>
    <n v="1235"/>
    <x v="1020"/>
    <x v="622"/>
    <s v="Mrs"/>
    <s v="F"/>
    <n v="30"/>
    <s v="Cuba Cottages"/>
    <x v="466"/>
    <x v="3"/>
    <d v="2020-08-08T00:00:00"/>
    <x v="2"/>
    <x v="3"/>
    <n v="43"/>
    <x v="6"/>
    <x v="6"/>
    <n v="1032"/>
    <x v="27"/>
  </r>
  <r>
    <n v="1236"/>
    <x v="1021"/>
    <x v="753"/>
    <s v="Mrs"/>
    <s v="F"/>
    <n v="30"/>
    <s v="Cuckoo Lane"/>
    <x v="569"/>
    <x v="2"/>
    <d v="2022-08-08T00:00:00"/>
    <x v="0"/>
    <x v="3"/>
    <n v="21"/>
    <x v="9"/>
    <x v="9"/>
    <n v="504"/>
    <x v="715"/>
  </r>
  <r>
    <n v="1237"/>
    <x v="1022"/>
    <x v="931"/>
    <s v="Miss"/>
    <s v="F"/>
    <n v="30"/>
    <s v="Cullum Street"/>
    <x v="177"/>
    <x v="2"/>
    <d v="2021-12-20T00:00:00"/>
    <x v="1"/>
    <x v="8"/>
    <n v="91"/>
    <x v="0"/>
    <x v="0"/>
    <n v="1820"/>
    <x v="716"/>
  </r>
  <r>
    <n v="1238"/>
    <x v="511"/>
    <x v="245"/>
    <s v="Dr"/>
    <s v="F"/>
    <n v="30"/>
    <s v="Culmore Terrace"/>
    <x v="816"/>
    <x v="2"/>
    <d v="2020-11-09T00:00:00"/>
    <x v="2"/>
    <x v="7"/>
    <n v="38"/>
    <x v="6"/>
    <x v="6"/>
    <n v="912"/>
    <x v="350"/>
  </r>
  <r>
    <n v="1239"/>
    <x v="1023"/>
    <x v="500"/>
    <s v="Mrs"/>
    <s v="F"/>
    <n v="30"/>
    <s v="Culverden Road"/>
    <x v="817"/>
    <x v="26"/>
    <d v="2020-09-13T00:00:00"/>
    <x v="2"/>
    <x v="9"/>
    <n v="26"/>
    <x v="6"/>
    <x v="6"/>
    <n v="624"/>
    <x v="52"/>
  </r>
  <r>
    <n v="1240"/>
    <x v="1024"/>
    <x v="932"/>
    <s v="Miss"/>
    <s v="F"/>
    <n v="90"/>
    <s v="Cumberland Buildings"/>
    <x v="818"/>
    <x v="2"/>
    <d v="2020-07-21T00:00:00"/>
    <x v="2"/>
    <x v="0"/>
    <n v="50"/>
    <x v="5"/>
    <x v="5"/>
    <n v="1200"/>
    <x v="159"/>
  </r>
  <r>
    <n v="1241"/>
    <x v="1025"/>
    <x v="60"/>
    <s v="Mr"/>
    <s v="M"/>
    <n v="30"/>
    <s v="Cumberland Park"/>
    <x v="562"/>
    <x v="75"/>
    <d v="2021-07-31T00:00:00"/>
    <x v="1"/>
    <x v="0"/>
    <n v="18"/>
    <x v="8"/>
    <x v="8"/>
    <n v="360"/>
    <x v="24"/>
  </r>
  <r>
    <n v="1242"/>
    <x v="1026"/>
    <x v="900"/>
    <s v="Mrs"/>
    <s v="F"/>
    <n v="30"/>
    <s v="Cumberland Row"/>
    <x v="819"/>
    <x v="21"/>
    <d v="2021-02-15T00:00:00"/>
    <x v="1"/>
    <x v="10"/>
    <n v="59"/>
    <x v="6"/>
    <x v="6"/>
    <n v="1416"/>
    <x v="471"/>
  </r>
  <r>
    <n v="1243"/>
    <x v="554"/>
    <x v="933"/>
    <s v="Mr"/>
    <s v="M"/>
    <n v="30"/>
    <s v="Cundell'S Place"/>
    <x v="142"/>
    <x v="21"/>
    <d v="2021-05-09T00:00:00"/>
    <x v="1"/>
    <x v="11"/>
    <n v="86"/>
    <x v="2"/>
    <x v="2"/>
    <n v="1462"/>
    <x v="267"/>
  </r>
  <r>
    <n v="1244"/>
    <x v="1027"/>
    <x v="934"/>
    <s v="Mr"/>
    <s v="M"/>
    <n v="30"/>
    <s v="Cunliffe Street"/>
    <x v="320"/>
    <x v="51"/>
    <d v="2022-11-11T00:00:00"/>
    <x v="0"/>
    <x v="7"/>
    <n v="2"/>
    <x v="7"/>
    <x v="7"/>
    <n v="40"/>
    <x v="37"/>
  </r>
  <r>
    <n v="1245"/>
    <x v="1028"/>
    <x v="253"/>
    <s v="Miss"/>
    <s v="F"/>
    <n v="90"/>
    <s v="Cunningham Road"/>
    <x v="443"/>
    <x v="40"/>
    <d v="2022-11-03T00:00:00"/>
    <x v="0"/>
    <x v="7"/>
    <n v="19"/>
    <x v="2"/>
    <x v="2"/>
    <n v="323"/>
    <x v="337"/>
  </r>
  <r>
    <n v="1246"/>
    <x v="1029"/>
    <x v="935"/>
    <s v="Mr"/>
    <s v="M"/>
    <n v="30"/>
    <s v="Curtain Place"/>
    <x v="820"/>
    <x v="21"/>
    <d v="2021-07-10T00:00:00"/>
    <x v="1"/>
    <x v="0"/>
    <n v="22"/>
    <x v="8"/>
    <x v="8"/>
    <n v="440"/>
    <x v="259"/>
  </r>
  <r>
    <n v="1247"/>
    <x v="1030"/>
    <x v="936"/>
    <s v="Mr"/>
    <s v="M"/>
    <n v="30"/>
    <s v="Curtis Street"/>
    <x v="821"/>
    <x v="2"/>
    <d v="2020-04-04T00:00:00"/>
    <x v="2"/>
    <x v="4"/>
    <n v="79"/>
    <x v="4"/>
    <x v="4"/>
    <n v="1422"/>
    <x v="5"/>
  </r>
  <r>
    <n v="1248"/>
    <x v="41"/>
    <x v="810"/>
    <s v="Mr"/>
    <s v="M"/>
    <n v="90"/>
    <s v="Cutler Street"/>
    <x v="820"/>
    <x v="21"/>
    <d v="2022-08-17T00:00:00"/>
    <x v="0"/>
    <x v="3"/>
    <n v="93"/>
    <x v="3"/>
    <x v="3"/>
    <n v="2232"/>
    <x v="717"/>
  </r>
  <r>
    <n v="1249"/>
    <x v="1031"/>
    <x v="937"/>
    <s v="Mrs"/>
    <s v="F"/>
    <n v="30"/>
    <s v="Cutlers' Yard"/>
    <x v="645"/>
    <x v="2"/>
    <d v="2022-09-25T00:00:00"/>
    <x v="0"/>
    <x v="9"/>
    <n v="57"/>
    <x v="6"/>
    <x v="6"/>
    <n v="1368"/>
    <x v="589"/>
  </r>
  <r>
    <n v="1250"/>
    <x v="1032"/>
    <x v="435"/>
    <s v="Mr"/>
    <s v="M"/>
    <n v="60"/>
    <s v="Cyril Street"/>
    <x v="717"/>
    <x v="2"/>
    <d v="2020-09-12T00:00:00"/>
    <x v="2"/>
    <x v="9"/>
    <n v="72"/>
    <x v="8"/>
    <x v="8"/>
    <n v="1440"/>
    <x v="718"/>
  </r>
  <r>
    <n v="1251"/>
    <x v="1033"/>
    <x v="698"/>
    <s v="Mr"/>
    <s v="M"/>
    <n v="60"/>
    <s v="Cyrus Street"/>
    <x v="822"/>
    <x v="15"/>
    <d v="2021-06-07T00:00:00"/>
    <x v="1"/>
    <x v="2"/>
    <n v="71"/>
    <x v="0"/>
    <x v="0"/>
    <n v="1420"/>
    <x v="209"/>
  </r>
  <r>
    <n v="1252"/>
    <x v="1034"/>
    <x v="295"/>
    <s v="Mrs"/>
    <s v="F"/>
    <n v="30"/>
    <s v="Dacre Gardens"/>
    <x v="737"/>
    <x v="17"/>
    <d v="2021-03-28T00:00:00"/>
    <x v="1"/>
    <x v="5"/>
    <n v="58"/>
    <x v="9"/>
    <x v="9"/>
    <n v="1392"/>
    <x v="655"/>
  </r>
  <r>
    <n v="1253"/>
    <x v="1035"/>
    <x v="753"/>
    <s v="Mr"/>
    <s v="M"/>
    <n v="90"/>
    <s v="Dacre Square"/>
    <x v="823"/>
    <x v="16"/>
    <d v="2020-01-07T00:00:00"/>
    <x v="2"/>
    <x v="6"/>
    <n v="54"/>
    <x v="5"/>
    <x v="5"/>
    <n v="1296"/>
    <x v="97"/>
  </r>
  <r>
    <n v="1254"/>
    <x v="1036"/>
    <x v="938"/>
    <s v="Miss"/>
    <s v="F"/>
    <n v="30"/>
    <s v="Dagenham Road"/>
    <x v="824"/>
    <x v="2"/>
    <d v="2022-05-19T00:00:00"/>
    <x v="0"/>
    <x v="11"/>
    <n v="36"/>
    <x v="8"/>
    <x v="8"/>
    <n v="720"/>
    <x v="719"/>
  </r>
  <r>
    <n v="1255"/>
    <x v="282"/>
    <x v="939"/>
    <s v="Mr"/>
    <s v="M"/>
    <n v="60"/>
    <s v="Dagenham Road"/>
    <x v="825"/>
    <x v="2"/>
    <d v="2022-06-28T00:00:00"/>
    <x v="0"/>
    <x v="2"/>
    <n v="84"/>
    <x v="7"/>
    <x v="7"/>
    <n v="1680"/>
    <x v="206"/>
  </r>
  <r>
    <n v="1256"/>
    <x v="1037"/>
    <x v="940"/>
    <s v="Mr"/>
    <s v="M"/>
    <n v="90"/>
    <s v="Dagmar Terrace"/>
    <x v="826"/>
    <x v="16"/>
    <d v="2021-11-07T00:00:00"/>
    <x v="1"/>
    <x v="7"/>
    <n v="48"/>
    <x v="5"/>
    <x v="5"/>
    <n v="1152"/>
    <x v="720"/>
  </r>
  <r>
    <n v="1257"/>
    <x v="453"/>
    <x v="941"/>
    <s v="Mrs"/>
    <s v="F"/>
    <n v="30"/>
    <s v="Dagmar Villas"/>
    <x v="40"/>
    <x v="2"/>
    <d v="2022-02-17T00:00:00"/>
    <x v="0"/>
    <x v="10"/>
    <n v="68"/>
    <x v="8"/>
    <x v="8"/>
    <n v="1360"/>
    <x v="721"/>
  </r>
  <r>
    <n v="1258"/>
    <x v="708"/>
    <x v="942"/>
    <s v="Mrs"/>
    <s v="F"/>
    <n v="30"/>
    <s v="Daisy Lane"/>
    <x v="827"/>
    <x v="2"/>
    <d v="2020-12-01T00:00:00"/>
    <x v="2"/>
    <x v="8"/>
    <n v="25"/>
    <x v="6"/>
    <x v="6"/>
    <n v="600"/>
    <x v="130"/>
  </r>
  <r>
    <n v="1259"/>
    <x v="744"/>
    <x v="105"/>
    <s v="Mr"/>
    <s v="M"/>
    <n v="60"/>
    <s v="Dale Close"/>
    <x v="248"/>
    <x v="2"/>
    <d v="2020-05-08T00:00:00"/>
    <x v="2"/>
    <x v="11"/>
    <n v="39"/>
    <x v="6"/>
    <x v="6"/>
    <n v="936"/>
    <x v="299"/>
  </r>
  <r>
    <n v="1260"/>
    <x v="1038"/>
    <x v="943"/>
    <s v="Mrs"/>
    <s v="F"/>
    <n v="60"/>
    <s v="Dale Green"/>
    <x v="713"/>
    <x v="8"/>
    <d v="2020-02-03T00:00:00"/>
    <x v="2"/>
    <x v="10"/>
    <n v="67"/>
    <x v="6"/>
    <x v="6"/>
    <n v="1608"/>
    <x v="604"/>
  </r>
  <r>
    <n v="1261"/>
    <x v="1039"/>
    <x v="944"/>
    <s v="Miss"/>
    <s v="F"/>
    <n v="30"/>
    <s v="Dale Green"/>
    <x v="828"/>
    <x v="15"/>
    <d v="2020-04-28T00:00:00"/>
    <x v="2"/>
    <x v="4"/>
    <n v="43"/>
    <x v="3"/>
    <x v="3"/>
    <n v="1032"/>
    <x v="722"/>
  </r>
  <r>
    <n v="1262"/>
    <x v="1012"/>
    <x v="945"/>
    <s v="Mr"/>
    <s v="M"/>
    <n v="90"/>
    <s v="Dale Road"/>
    <x v="829"/>
    <x v="2"/>
    <d v="2020-03-02T00:00:00"/>
    <x v="2"/>
    <x v="5"/>
    <n v="31"/>
    <x v="3"/>
    <x v="3"/>
    <n v="744"/>
    <x v="53"/>
  </r>
  <r>
    <n v="1263"/>
    <x v="40"/>
    <x v="946"/>
    <s v="Mr"/>
    <s v="M"/>
    <n v="90"/>
    <s v="Dale View"/>
    <x v="546"/>
    <x v="2"/>
    <d v="2021-04-02T00:00:00"/>
    <x v="1"/>
    <x v="4"/>
    <n v="64"/>
    <x v="3"/>
    <x v="3"/>
    <n v="1536"/>
    <x v="710"/>
  </r>
  <r>
    <n v="1264"/>
    <x v="1040"/>
    <x v="512"/>
    <s v="Mr"/>
    <s v="M"/>
    <n v="90"/>
    <s v="Dalebury Road"/>
    <x v="106"/>
    <x v="2"/>
    <d v="2020-03-25T00:00:00"/>
    <x v="2"/>
    <x v="5"/>
    <n v="60"/>
    <x v="8"/>
    <x v="8"/>
    <n v="1200"/>
    <x v="384"/>
  </r>
  <r>
    <n v="1265"/>
    <x v="1041"/>
    <x v="11"/>
    <s v="Miss"/>
    <s v="F"/>
    <n v="30"/>
    <s v="Daling Way"/>
    <x v="830"/>
    <x v="11"/>
    <d v="2021-01-17T00:00:00"/>
    <x v="1"/>
    <x v="6"/>
    <n v="5"/>
    <x v="0"/>
    <x v="0"/>
    <n v="100"/>
    <x v="645"/>
  </r>
  <r>
    <n v="1266"/>
    <x v="204"/>
    <x v="947"/>
    <s v="Mr"/>
    <s v="M"/>
    <n v="90"/>
    <s v="Dallinger Road"/>
    <x v="400"/>
    <x v="1"/>
    <d v="2021-09-25T00:00:00"/>
    <x v="1"/>
    <x v="9"/>
    <n v="26"/>
    <x v="2"/>
    <x v="2"/>
    <n v="442"/>
    <x v="723"/>
  </r>
  <r>
    <n v="1267"/>
    <x v="1042"/>
    <x v="948"/>
    <s v="Mrs"/>
    <s v="F"/>
    <n v="60"/>
    <s v="Dalmain Road"/>
    <x v="328"/>
    <x v="55"/>
    <d v="2021-05-15T00:00:00"/>
    <x v="1"/>
    <x v="11"/>
    <n v="25"/>
    <x v="5"/>
    <x v="5"/>
    <n v="600"/>
    <x v="724"/>
  </r>
  <r>
    <n v="1268"/>
    <x v="1043"/>
    <x v="949"/>
    <s v="Miss"/>
    <s v="F"/>
    <n v="30"/>
    <s v="Dalmain Road"/>
    <x v="281"/>
    <x v="2"/>
    <d v="2021-03-21T00:00:00"/>
    <x v="1"/>
    <x v="5"/>
    <n v="5"/>
    <x v="0"/>
    <x v="0"/>
    <n v="100"/>
    <x v="645"/>
  </r>
  <r>
    <n v="1269"/>
    <x v="1044"/>
    <x v="646"/>
    <s v="Miss"/>
    <s v="F"/>
    <n v="90"/>
    <s v="Dalston Green"/>
    <x v="129"/>
    <x v="1"/>
    <d v="2022-01-27T00:00:00"/>
    <x v="0"/>
    <x v="6"/>
    <n v="41"/>
    <x v="2"/>
    <x v="2"/>
    <n v="697"/>
    <x v="725"/>
  </r>
  <r>
    <n v="1270"/>
    <x v="1045"/>
    <x v="913"/>
    <s v="Mrs"/>
    <s v="F"/>
    <n v="90"/>
    <s v="Dalwood Street"/>
    <x v="831"/>
    <x v="85"/>
    <d v="2020-06-27T00:00:00"/>
    <x v="2"/>
    <x v="2"/>
    <n v="71"/>
    <x v="2"/>
    <x v="2"/>
    <n v="1207"/>
    <x v="726"/>
  </r>
  <r>
    <n v="1271"/>
    <x v="1046"/>
    <x v="950"/>
    <s v="Mr"/>
    <s v="M"/>
    <n v="90"/>
    <s v="Damascene Walk"/>
    <x v="832"/>
    <x v="35"/>
    <d v="2021-07-27T00:00:00"/>
    <x v="1"/>
    <x v="0"/>
    <n v="56"/>
    <x v="4"/>
    <x v="4"/>
    <n v="1008"/>
    <x v="48"/>
  </r>
  <r>
    <n v="1272"/>
    <x v="1047"/>
    <x v="297"/>
    <s v="Mr"/>
    <s v="M"/>
    <n v="60"/>
    <s v="Damask Crescent"/>
    <x v="833"/>
    <x v="0"/>
    <d v="2021-06-16T00:00:00"/>
    <x v="1"/>
    <x v="2"/>
    <n v="54"/>
    <x v="5"/>
    <x v="5"/>
    <n v="1296"/>
    <x v="97"/>
  </r>
  <r>
    <n v="1273"/>
    <x v="712"/>
    <x v="951"/>
    <s v="Mr"/>
    <s v="M"/>
    <n v="60"/>
    <s v="Dames Road"/>
    <x v="834"/>
    <x v="26"/>
    <d v="2021-02-20T00:00:00"/>
    <x v="1"/>
    <x v="10"/>
    <n v="93"/>
    <x v="0"/>
    <x v="0"/>
    <n v="1860"/>
    <x v="727"/>
  </r>
  <r>
    <n v="1274"/>
    <x v="1048"/>
    <x v="952"/>
    <s v="Mr"/>
    <s v="M"/>
    <n v="60"/>
    <s v="Damon Place"/>
    <x v="835"/>
    <x v="2"/>
    <d v="2022-09-04T00:00:00"/>
    <x v="0"/>
    <x v="9"/>
    <n v="97"/>
    <x v="7"/>
    <x v="7"/>
    <n v="1940"/>
    <x v="484"/>
  </r>
  <r>
    <n v="1275"/>
    <x v="1049"/>
    <x v="953"/>
    <s v="Miss"/>
    <s v="F"/>
    <n v="60"/>
    <s v="Dane Hill"/>
    <x v="836"/>
    <x v="20"/>
    <d v="2022-12-15T00:00:00"/>
    <x v="0"/>
    <x v="8"/>
    <n v="2"/>
    <x v="6"/>
    <x v="6"/>
    <n v="48"/>
    <x v="728"/>
  </r>
  <r>
    <n v="1276"/>
    <x v="138"/>
    <x v="370"/>
    <s v="Mrs"/>
    <s v="F"/>
    <n v="60"/>
    <s v="Danemere Street"/>
    <x v="799"/>
    <x v="3"/>
    <d v="2020-01-10T00:00:00"/>
    <x v="2"/>
    <x v="6"/>
    <n v="67"/>
    <x v="7"/>
    <x v="7"/>
    <n v="1340"/>
    <x v="659"/>
  </r>
  <r>
    <n v="1277"/>
    <x v="1050"/>
    <x v="954"/>
    <s v="Miss"/>
    <s v="F"/>
    <n v="60"/>
    <s v="Danescroft Avenue"/>
    <x v="837"/>
    <x v="2"/>
    <d v="2021-09-21T00:00:00"/>
    <x v="1"/>
    <x v="9"/>
    <n v="71"/>
    <x v="5"/>
    <x v="5"/>
    <n v="1704"/>
    <x v="530"/>
  </r>
  <r>
    <n v="1278"/>
    <x v="1051"/>
    <x v="955"/>
    <s v="Mr"/>
    <s v="M"/>
    <n v="60"/>
    <s v="Daniel Road"/>
    <x v="763"/>
    <x v="3"/>
    <d v="2020-02-08T00:00:00"/>
    <x v="2"/>
    <x v="10"/>
    <n v="36"/>
    <x v="3"/>
    <x v="3"/>
    <n v="864"/>
    <x v="729"/>
  </r>
  <r>
    <n v="1279"/>
    <x v="1052"/>
    <x v="956"/>
    <s v="Mr"/>
    <s v="M"/>
    <n v="90"/>
    <s v="Dansey Place"/>
    <x v="694"/>
    <x v="11"/>
    <d v="2020-04-08T00:00:00"/>
    <x v="2"/>
    <x v="4"/>
    <n v="16"/>
    <x v="8"/>
    <x v="8"/>
    <n v="320"/>
    <x v="730"/>
  </r>
  <r>
    <n v="1280"/>
    <x v="564"/>
    <x v="941"/>
    <s v="Mrs"/>
    <s v="F"/>
    <n v="60"/>
    <s v="Darling Row"/>
    <x v="838"/>
    <x v="65"/>
    <d v="2021-06-05T00:00:00"/>
    <x v="1"/>
    <x v="2"/>
    <n v="14"/>
    <x v="0"/>
    <x v="0"/>
    <n v="280"/>
    <x v="22"/>
  </r>
  <r>
    <n v="1281"/>
    <x v="1053"/>
    <x v="539"/>
    <s v="Mr"/>
    <s v="M"/>
    <n v="90"/>
    <s v="Darling Row"/>
    <x v="839"/>
    <x v="21"/>
    <d v="2022-03-21T00:00:00"/>
    <x v="0"/>
    <x v="5"/>
    <n v="100"/>
    <x v="3"/>
    <x v="3"/>
    <n v="2400"/>
    <x v="444"/>
  </r>
  <r>
    <n v="1282"/>
    <x v="1054"/>
    <x v="957"/>
    <s v="Mrs"/>
    <s v="F"/>
    <n v="60"/>
    <s v="Darrell Street"/>
    <x v="389"/>
    <x v="16"/>
    <d v="2022-11-26T00:00:00"/>
    <x v="0"/>
    <x v="7"/>
    <n v="39"/>
    <x v="9"/>
    <x v="9"/>
    <n v="936"/>
    <x v="514"/>
  </r>
  <r>
    <n v="1283"/>
    <x v="1055"/>
    <x v="587"/>
    <s v="Mrs"/>
    <s v="F"/>
    <n v="30"/>
    <s v="Dartford Street"/>
    <x v="256"/>
    <x v="43"/>
    <d v="2021-11-01T00:00:00"/>
    <x v="1"/>
    <x v="7"/>
    <n v="16"/>
    <x v="5"/>
    <x v="5"/>
    <n v="384"/>
    <x v="731"/>
  </r>
  <r>
    <n v="1284"/>
    <x v="67"/>
    <x v="129"/>
    <s v="Mr"/>
    <s v="M"/>
    <n v="90"/>
    <s v="Dartmouth Chambers"/>
    <x v="233"/>
    <x v="2"/>
    <d v="2022-03-26T00:00:00"/>
    <x v="0"/>
    <x v="5"/>
    <n v="105"/>
    <x v="9"/>
    <x v="9"/>
    <n v="2520"/>
    <x v="732"/>
  </r>
  <r>
    <n v="1285"/>
    <x v="713"/>
    <x v="870"/>
    <s v="Miss"/>
    <s v="F"/>
    <n v="30"/>
    <s v="Dartmouth Hill"/>
    <x v="840"/>
    <x v="53"/>
    <d v="2022-06-12T00:00:00"/>
    <x v="0"/>
    <x v="2"/>
    <n v="105"/>
    <x v="2"/>
    <x v="2"/>
    <n v="1785"/>
    <x v="57"/>
  </r>
  <r>
    <n v="1286"/>
    <x v="1056"/>
    <x v="248"/>
    <s v="Mrs"/>
    <s v="F"/>
    <n v="30"/>
    <s v="Dartmouth Place"/>
    <x v="841"/>
    <x v="8"/>
    <d v="2021-11-25T00:00:00"/>
    <x v="1"/>
    <x v="7"/>
    <n v="25"/>
    <x v="9"/>
    <x v="9"/>
    <n v="600"/>
    <x v="120"/>
  </r>
  <r>
    <n v="1287"/>
    <x v="1057"/>
    <x v="958"/>
    <s v="Mr"/>
    <s v="M"/>
    <n v="30"/>
    <s v="Dartmouth Road"/>
    <x v="449"/>
    <x v="17"/>
    <d v="2020-12-03T00:00:00"/>
    <x v="2"/>
    <x v="8"/>
    <n v="4"/>
    <x v="1"/>
    <x v="1"/>
    <n v="96"/>
    <x v="245"/>
  </r>
  <r>
    <n v="1288"/>
    <x v="1058"/>
    <x v="959"/>
    <s v="Mr"/>
    <s v="M"/>
    <n v="90"/>
    <s v="Dartrey Terrace"/>
    <x v="36"/>
    <x v="2"/>
    <d v="2022-06-28T00:00:00"/>
    <x v="0"/>
    <x v="2"/>
    <n v="85"/>
    <x v="9"/>
    <x v="9"/>
    <n v="2040"/>
    <x v="222"/>
  </r>
  <r>
    <n v="1289"/>
    <x v="1059"/>
    <x v="480"/>
    <s v="Mr"/>
    <s v="M"/>
    <n v="90"/>
    <s v="Daubeney Road"/>
    <x v="569"/>
    <x v="2"/>
    <d v="2022-04-24T00:00:00"/>
    <x v="0"/>
    <x v="4"/>
    <n v="81"/>
    <x v="3"/>
    <x v="3"/>
    <n v="1944"/>
    <x v="551"/>
  </r>
  <r>
    <n v="1290"/>
    <x v="1060"/>
    <x v="960"/>
    <s v="Miss"/>
    <s v="F"/>
    <n v="90"/>
    <s v="Dault Road"/>
    <x v="842"/>
    <x v="17"/>
    <d v="2022-06-10T00:00:00"/>
    <x v="0"/>
    <x v="2"/>
    <n v="74"/>
    <x v="4"/>
    <x v="4"/>
    <n v="1332"/>
    <x v="733"/>
  </r>
  <r>
    <n v="1291"/>
    <x v="1061"/>
    <x v="961"/>
    <s v="Miss"/>
    <s v="F"/>
    <n v="90"/>
    <s v="Daveys Buildings"/>
    <x v="122"/>
    <x v="2"/>
    <d v="2021-11-06T00:00:00"/>
    <x v="1"/>
    <x v="7"/>
    <n v="4"/>
    <x v="5"/>
    <x v="5"/>
    <n v="96"/>
    <x v="260"/>
  </r>
  <r>
    <n v="1292"/>
    <x v="1062"/>
    <x v="842"/>
    <s v="Mr"/>
    <s v="M"/>
    <n v="30"/>
    <s v="Dawer Lane"/>
    <x v="465"/>
    <x v="35"/>
    <d v="2021-07-08T00:00:00"/>
    <x v="1"/>
    <x v="0"/>
    <n v="93"/>
    <x v="6"/>
    <x v="6"/>
    <n v="2232"/>
    <x v="93"/>
  </r>
  <r>
    <n v="1293"/>
    <x v="1063"/>
    <x v="23"/>
    <s v="Mrs"/>
    <s v="F"/>
    <n v="30"/>
    <s v="Dawson Place"/>
    <x v="453"/>
    <x v="21"/>
    <d v="2020-07-28T00:00:00"/>
    <x v="2"/>
    <x v="0"/>
    <n v="82"/>
    <x v="8"/>
    <x v="8"/>
    <n v="1640"/>
    <x v="263"/>
  </r>
  <r>
    <n v="1294"/>
    <x v="1064"/>
    <x v="962"/>
    <s v="Miss"/>
    <s v="F"/>
    <n v="30"/>
    <s v="Dawsons Terrace"/>
    <x v="843"/>
    <x v="2"/>
    <d v="2021-05-15T00:00:00"/>
    <x v="1"/>
    <x v="11"/>
    <n v="20"/>
    <x v="1"/>
    <x v="1"/>
    <n v="480"/>
    <x v="329"/>
  </r>
  <r>
    <n v="1295"/>
    <x v="1065"/>
    <x v="963"/>
    <s v="Mr"/>
    <s v="M"/>
    <n v="60"/>
    <s v="De Lucy"/>
    <x v="758"/>
    <x v="2"/>
    <d v="2022-05-28T00:00:00"/>
    <x v="0"/>
    <x v="11"/>
    <n v="50"/>
    <x v="8"/>
    <x v="8"/>
    <n v="1000"/>
    <x v="734"/>
  </r>
  <r>
    <n v="1296"/>
    <x v="897"/>
    <x v="964"/>
    <s v="Mr"/>
    <s v="M"/>
    <n v="60"/>
    <s v="De Quincey"/>
    <x v="21"/>
    <x v="2"/>
    <d v="2020-06-14T00:00:00"/>
    <x v="2"/>
    <x v="2"/>
    <n v="14"/>
    <x v="1"/>
    <x v="1"/>
    <n v="336"/>
    <x v="250"/>
  </r>
  <r>
    <n v="1297"/>
    <x v="1066"/>
    <x v="153"/>
    <s v="Miss"/>
    <s v="F"/>
    <n v="90"/>
    <s v="De Vierville"/>
    <x v="472"/>
    <x v="40"/>
    <d v="2020-03-16T00:00:00"/>
    <x v="2"/>
    <x v="5"/>
    <n v="71"/>
    <x v="1"/>
    <x v="1"/>
    <n v="1704"/>
    <x v="77"/>
  </r>
  <r>
    <n v="1298"/>
    <x v="323"/>
    <x v="964"/>
    <s v="Mr"/>
    <s v="M"/>
    <n v="90"/>
    <s v="De Vierville"/>
    <x v="369"/>
    <x v="1"/>
    <d v="2021-06-17T00:00:00"/>
    <x v="1"/>
    <x v="2"/>
    <n v="8"/>
    <x v="5"/>
    <x v="5"/>
    <n v="192"/>
    <x v="539"/>
  </r>
  <r>
    <n v="1299"/>
    <x v="407"/>
    <x v="751"/>
    <s v="Mrs"/>
    <s v="F"/>
    <n v="90"/>
    <s v="Deacon Road"/>
    <x v="656"/>
    <x v="2"/>
    <d v="2020-08-13T00:00:00"/>
    <x v="2"/>
    <x v="3"/>
    <n v="77"/>
    <x v="6"/>
    <x v="6"/>
    <n v="1848"/>
    <x v="735"/>
  </r>
  <r>
    <n v="1300"/>
    <x v="1067"/>
    <x v="965"/>
    <s v="Mrs"/>
    <s v="F"/>
    <n v="60"/>
    <s v="Deacon Road"/>
    <x v="844"/>
    <x v="2"/>
    <d v="2020-08-26T00:00:00"/>
    <x v="2"/>
    <x v="3"/>
    <n v="46"/>
    <x v="4"/>
    <x v="4"/>
    <n v="828"/>
    <x v="223"/>
  </r>
  <r>
    <n v="1301"/>
    <x v="1068"/>
    <x v="225"/>
    <s v="Miss"/>
    <s v="F"/>
    <n v="30"/>
    <s v="Deal Street"/>
    <x v="629"/>
    <x v="1"/>
    <d v="2020-02-04T00:00:00"/>
    <x v="2"/>
    <x v="10"/>
    <n v="17"/>
    <x v="3"/>
    <x v="3"/>
    <n v="408"/>
    <x v="506"/>
  </r>
  <r>
    <n v="1302"/>
    <x v="1069"/>
    <x v="966"/>
    <s v="Miss"/>
    <s v="F"/>
    <n v="90"/>
    <s v="Dealtry Road"/>
    <x v="638"/>
    <x v="2"/>
    <d v="2022-07-18T00:00:00"/>
    <x v="0"/>
    <x v="0"/>
    <n v="35"/>
    <x v="1"/>
    <x v="1"/>
    <n v="840"/>
    <x v="736"/>
  </r>
  <r>
    <n v="1303"/>
    <x v="1070"/>
    <x v="967"/>
    <s v="Miss"/>
    <s v="F"/>
    <n v="30"/>
    <s v="Dean Close"/>
    <x v="444"/>
    <x v="15"/>
    <d v="2020-08-27T00:00:00"/>
    <x v="2"/>
    <x v="3"/>
    <n v="51"/>
    <x v="2"/>
    <x v="2"/>
    <n v="867"/>
    <x v="385"/>
  </r>
  <r>
    <n v="1304"/>
    <x v="1071"/>
    <x v="968"/>
    <s v="Dr"/>
    <s v="M"/>
    <n v="90"/>
    <s v="Dean Gardens"/>
    <x v="443"/>
    <x v="40"/>
    <d v="2022-02-26T00:00:00"/>
    <x v="0"/>
    <x v="10"/>
    <n v="96"/>
    <x v="4"/>
    <x v="4"/>
    <n v="1728"/>
    <x v="737"/>
  </r>
  <r>
    <n v="1305"/>
    <x v="1072"/>
    <x v="969"/>
    <s v="Mr"/>
    <s v="M"/>
    <n v="60"/>
    <s v="Dean Stanley"/>
    <x v="845"/>
    <x v="2"/>
    <d v="2021-10-07T00:00:00"/>
    <x v="1"/>
    <x v="1"/>
    <n v="7"/>
    <x v="3"/>
    <x v="3"/>
    <n v="168"/>
    <x v="33"/>
  </r>
  <r>
    <n v="1306"/>
    <x v="1073"/>
    <x v="350"/>
    <s v="Mrs"/>
    <s v="F"/>
    <n v="60"/>
    <s v="Dean Trench"/>
    <x v="846"/>
    <x v="2"/>
    <d v="2021-08-23T00:00:00"/>
    <x v="1"/>
    <x v="3"/>
    <n v="95"/>
    <x v="0"/>
    <x v="0"/>
    <n v="1900"/>
    <x v="136"/>
  </r>
  <r>
    <n v="1307"/>
    <x v="1025"/>
    <x v="386"/>
    <s v="Mr"/>
    <s v="M"/>
    <n v="90"/>
    <s v="Deane Street"/>
    <x v="847"/>
    <x v="11"/>
    <d v="2022-05-02T00:00:00"/>
    <x v="0"/>
    <x v="11"/>
    <n v="82"/>
    <x v="8"/>
    <x v="8"/>
    <n v="1640"/>
    <x v="263"/>
  </r>
  <r>
    <n v="1308"/>
    <x v="1074"/>
    <x v="410"/>
    <s v="Mrs"/>
    <s v="F"/>
    <n v="30"/>
    <s v="Deans Close"/>
    <x v="10"/>
    <x v="2"/>
    <d v="2022-05-31T00:00:00"/>
    <x v="0"/>
    <x v="11"/>
    <n v="70"/>
    <x v="0"/>
    <x v="0"/>
    <n v="1400"/>
    <x v="507"/>
  </r>
  <r>
    <n v="1309"/>
    <x v="577"/>
    <x v="970"/>
    <s v="Mrs"/>
    <s v="F"/>
    <n v="90"/>
    <s v="Dean'S Place"/>
    <x v="744"/>
    <x v="2"/>
    <d v="2020-01-26T00:00:00"/>
    <x v="2"/>
    <x v="6"/>
    <n v="5"/>
    <x v="0"/>
    <x v="0"/>
    <n v="100"/>
    <x v="645"/>
  </r>
  <r>
    <n v="1310"/>
    <x v="1075"/>
    <x v="971"/>
    <s v="Mr"/>
    <s v="M"/>
    <n v="30"/>
    <s v="Deburgh Road"/>
    <x v="653"/>
    <x v="2"/>
    <d v="2022-02-25T00:00:00"/>
    <x v="0"/>
    <x v="10"/>
    <n v="72"/>
    <x v="5"/>
    <x v="5"/>
    <n v="1728"/>
    <x v="554"/>
  </r>
  <r>
    <n v="1311"/>
    <x v="1076"/>
    <x v="465"/>
    <s v="Mr"/>
    <s v="M"/>
    <n v="90"/>
    <s v="Decima Street"/>
    <x v="319"/>
    <x v="2"/>
    <d v="2021-08-18T00:00:00"/>
    <x v="1"/>
    <x v="3"/>
    <n v="22"/>
    <x v="9"/>
    <x v="9"/>
    <n v="528"/>
    <x v="625"/>
  </r>
  <r>
    <n v="1312"/>
    <x v="1077"/>
    <x v="972"/>
    <s v="Miss"/>
    <s v="F"/>
    <n v="60"/>
    <s v="Deer Park"/>
    <x v="848"/>
    <x v="1"/>
    <d v="2022-08-05T00:00:00"/>
    <x v="0"/>
    <x v="3"/>
    <n v="82"/>
    <x v="2"/>
    <x v="2"/>
    <n v="1394"/>
    <x v="618"/>
  </r>
  <r>
    <n v="1313"/>
    <x v="1078"/>
    <x v="674"/>
    <s v="Miss"/>
    <s v="F"/>
    <n v="30"/>
    <s v="Deerhurst Road"/>
    <x v="191"/>
    <x v="0"/>
    <d v="2021-11-10T00:00:00"/>
    <x v="1"/>
    <x v="7"/>
    <n v="7"/>
    <x v="2"/>
    <x v="2"/>
    <n v="119"/>
    <x v="208"/>
  </r>
  <r>
    <n v="1314"/>
    <x v="1079"/>
    <x v="973"/>
    <s v="Mrs"/>
    <s v="F"/>
    <n v="60"/>
    <s v="Defoe Close"/>
    <x v="849"/>
    <x v="17"/>
    <d v="2020-04-29T00:00:00"/>
    <x v="2"/>
    <x v="4"/>
    <n v="74"/>
    <x v="1"/>
    <x v="1"/>
    <n v="1776"/>
    <x v="360"/>
  </r>
  <r>
    <n v="1315"/>
    <x v="520"/>
    <x v="974"/>
    <s v="Mrs"/>
    <s v="F"/>
    <n v="30"/>
    <s v="Defoe Close"/>
    <x v="850"/>
    <x v="2"/>
    <d v="2020-08-17T00:00:00"/>
    <x v="2"/>
    <x v="3"/>
    <n v="73"/>
    <x v="7"/>
    <x v="7"/>
    <n v="1460"/>
    <x v="512"/>
  </r>
  <r>
    <n v="1316"/>
    <x v="1080"/>
    <x v="948"/>
    <s v="Mrs"/>
    <s v="F"/>
    <n v="90"/>
    <s v="Defoe Road"/>
    <x v="245"/>
    <x v="1"/>
    <d v="2020-05-30T00:00:00"/>
    <x v="2"/>
    <x v="11"/>
    <n v="42"/>
    <x v="5"/>
    <x v="5"/>
    <n v="1008"/>
    <x v="275"/>
  </r>
  <r>
    <n v="1317"/>
    <x v="1081"/>
    <x v="975"/>
    <s v="Mr"/>
    <s v="M"/>
    <n v="90"/>
    <s v="Delaford Street"/>
    <x v="469"/>
    <x v="2"/>
    <d v="2020-12-27T00:00:00"/>
    <x v="2"/>
    <x v="8"/>
    <n v="22"/>
    <x v="1"/>
    <x v="1"/>
    <n v="528"/>
    <x v="533"/>
  </r>
  <r>
    <n v="1318"/>
    <x v="1082"/>
    <x v="89"/>
    <s v="Miss"/>
    <s v="F"/>
    <n v="60"/>
    <s v="Delancey Street"/>
    <x v="332"/>
    <x v="2"/>
    <d v="2021-11-11T00:00:00"/>
    <x v="1"/>
    <x v="7"/>
    <n v="49"/>
    <x v="8"/>
    <x v="8"/>
    <n v="980"/>
    <x v="13"/>
  </r>
  <r>
    <n v="1319"/>
    <x v="1083"/>
    <x v="976"/>
    <s v="Mrs"/>
    <s v="F"/>
    <n v="30"/>
    <s v="Delays Yard"/>
    <x v="88"/>
    <x v="2"/>
    <d v="2021-07-19T00:00:00"/>
    <x v="1"/>
    <x v="0"/>
    <n v="46"/>
    <x v="3"/>
    <x v="3"/>
    <n v="1104"/>
    <x v="177"/>
  </r>
  <r>
    <n v="1320"/>
    <x v="1084"/>
    <x v="977"/>
    <s v="Mr"/>
    <s v="M"/>
    <n v="90"/>
    <s v="Delius Grove"/>
    <x v="851"/>
    <x v="20"/>
    <d v="2020-11-24T00:00:00"/>
    <x v="2"/>
    <x v="7"/>
    <n v="34"/>
    <x v="9"/>
    <x v="9"/>
    <n v="816"/>
    <x v="738"/>
  </r>
  <r>
    <n v="1321"/>
    <x v="1085"/>
    <x v="740"/>
    <s v="Mrs"/>
    <s v="F"/>
    <n v="90"/>
    <s v="Dellow Street"/>
    <x v="623"/>
    <x v="76"/>
    <d v="2020-10-25T00:00:00"/>
    <x v="2"/>
    <x v="1"/>
    <n v="8"/>
    <x v="9"/>
    <x v="9"/>
    <n v="192"/>
    <x v="402"/>
  </r>
  <r>
    <n v="1322"/>
    <x v="523"/>
    <x v="978"/>
    <s v="Prof"/>
    <s v="M"/>
    <n v="30"/>
    <s v="Dells Close"/>
    <x v="726"/>
    <x v="1"/>
    <d v="2020-06-24T00:00:00"/>
    <x v="2"/>
    <x v="2"/>
    <n v="3"/>
    <x v="6"/>
    <x v="6"/>
    <n v="72"/>
    <x v="183"/>
  </r>
  <r>
    <n v="1323"/>
    <x v="1086"/>
    <x v="501"/>
    <s v="Mrs"/>
    <s v="F"/>
    <n v="30"/>
    <s v="Delorme Street"/>
    <x v="592"/>
    <x v="70"/>
    <d v="2020-05-13T00:00:00"/>
    <x v="2"/>
    <x v="11"/>
    <n v="55"/>
    <x v="8"/>
    <x v="8"/>
    <n v="1100"/>
    <x v="298"/>
  </r>
  <r>
    <n v="1324"/>
    <x v="20"/>
    <x v="979"/>
    <s v="Mr"/>
    <s v="M"/>
    <n v="30"/>
    <s v="Denbigh Mews"/>
    <x v="852"/>
    <x v="65"/>
    <d v="2022-05-13T00:00:00"/>
    <x v="0"/>
    <x v="11"/>
    <n v="55"/>
    <x v="4"/>
    <x v="4"/>
    <n v="990"/>
    <x v="638"/>
  </r>
  <r>
    <n v="1325"/>
    <x v="257"/>
    <x v="980"/>
    <s v="Mr"/>
    <s v="M"/>
    <n v="60"/>
    <s v="Denbigh Terrace"/>
    <x v="509"/>
    <x v="20"/>
    <d v="2022-05-23T00:00:00"/>
    <x v="0"/>
    <x v="11"/>
    <n v="70"/>
    <x v="7"/>
    <x v="7"/>
    <n v="1400"/>
    <x v="399"/>
  </r>
  <r>
    <n v="1326"/>
    <x v="508"/>
    <x v="29"/>
    <s v="Miss"/>
    <s v="F"/>
    <n v="90"/>
    <s v="Denewood Road"/>
    <x v="853"/>
    <x v="58"/>
    <d v="2020-12-04T00:00:00"/>
    <x v="2"/>
    <x v="8"/>
    <n v="79"/>
    <x v="1"/>
    <x v="1"/>
    <n v="1896"/>
    <x v="739"/>
  </r>
  <r>
    <n v="1327"/>
    <x v="941"/>
    <x v="507"/>
    <s v="Mr"/>
    <s v="M"/>
    <n v="30"/>
    <s v="Denison Close"/>
    <x v="655"/>
    <x v="17"/>
    <d v="2022-11-11T00:00:00"/>
    <x v="0"/>
    <x v="7"/>
    <n v="50"/>
    <x v="0"/>
    <x v="0"/>
    <n v="1000"/>
    <x v="671"/>
  </r>
  <r>
    <n v="1328"/>
    <x v="1087"/>
    <x v="622"/>
    <s v="Miss"/>
    <s v="F"/>
    <n v="30"/>
    <s v="Denman Arms"/>
    <x v="681"/>
    <x v="1"/>
    <d v="2021-04-16T00:00:00"/>
    <x v="1"/>
    <x v="4"/>
    <n v="8"/>
    <x v="4"/>
    <x v="4"/>
    <n v="144"/>
    <x v="740"/>
  </r>
  <r>
    <n v="1329"/>
    <x v="1088"/>
    <x v="469"/>
    <s v="Dr"/>
    <s v="F"/>
    <n v="90"/>
    <s v="Denman Road"/>
    <x v="838"/>
    <x v="65"/>
    <d v="2022-05-03T00:00:00"/>
    <x v="0"/>
    <x v="11"/>
    <n v="21"/>
    <x v="9"/>
    <x v="9"/>
    <n v="504"/>
    <x v="715"/>
  </r>
  <r>
    <n v="1330"/>
    <x v="1089"/>
    <x v="716"/>
    <s v="Mr"/>
    <s v="M"/>
    <n v="90"/>
    <s v="Denman Road"/>
    <x v="854"/>
    <x v="17"/>
    <d v="2021-04-08T00:00:00"/>
    <x v="1"/>
    <x v="4"/>
    <n v="76"/>
    <x v="1"/>
    <x v="1"/>
    <n v="1824"/>
    <x v="678"/>
  </r>
  <r>
    <n v="1331"/>
    <x v="1090"/>
    <x v="981"/>
    <s v="Miss"/>
    <s v="F"/>
    <n v="30"/>
    <s v="Dennis Way"/>
    <x v="65"/>
    <x v="1"/>
    <d v="2021-03-24T00:00:00"/>
    <x v="1"/>
    <x v="5"/>
    <n v="12"/>
    <x v="8"/>
    <x v="8"/>
    <n v="240"/>
    <x v="220"/>
  </r>
  <r>
    <n v="1332"/>
    <x v="1091"/>
    <x v="185"/>
    <s v="Mr"/>
    <s v="M"/>
    <n v="90"/>
    <s v="Denvers Buildings"/>
    <x v="855"/>
    <x v="73"/>
    <d v="2021-10-27T00:00:00"/>
    <x v="1"/>
    <x v="1"/>
    <n v="94"/>
    <x v="2"/>
    <x v="2"/>
    <n v="1598"/>
    <x v="741"/>
  </r>
  <r>
    <n v="1333"/>
    <x v="1092"/>
    <x v="982"/>
    <s v="Ms"/>
    <s v="F"/>
    <n v="30"/>
    <s v="Deodara Close"/>
    <x v="538"/>
    <x v="1"/>
    <d v="2021-04-18T00:00:00"/>
    <x v="1"/>
    <x v="4"/>
    <n v="68"/>
    <x v="4"/>
    <x v="4"/>
    <n v="1224"/>
    <x v="698"/>
  </r>
  <r>
    <n v="1334"/>
    <x v="1093"/>
    <x v="671"/>
    <s v="Mr"/>
    <s v="M"/>
    <n v="30"/>
    <s v="Deptford Bridge"/>
    <x v="515"/>
    <x v="10"/>
    <d v="2022-09-05T00:00:00"/>
    <x v="0"/>
    <x v="9"/>
    <n v="48"/>
    <x v="9"/>
    <x v="9"/>
    <n v="1152"/>
    <x v="668"/>
  </r>
  <r>
    <n v="1335"/>
    <x v="45"/>
    <x v="983"/>
    <s v="Miss"/>
    <s v="F"/>
    <n v="30"/>
    <s v="Deptford Green"/>
    <x v="529"/>
    <x v="44"/>
    <d v="2020-05-06T00:00:00"/>
    <x v="2"/>
    <x v="11"/>
    <n v="18"/>
    <x v="9"/>
    <x v="9"/>
    <n v="432"/>
    <x v="390"/>
  </r>
  <r>
    <n v="1336"/>
    <x v="807"/>
    <x v="901"/>
    <s v="Mr"/>
    <s v="M"/>
    <n v="30"/>
    <s v="Deptford Lower"/>
    <x v="268"/>
    <x v="21"/>
    <d v="2021-01-18T00:00:00"/>
    <x v="1"/>
    <x v="6"/>
    <n v="56"/>
    <x v="0"/>
    <x v="0"/>
    <n v="1120"/>
    <x v="428"/>
  </r>
  <r>
    <n v="1337"/>
    <x v="1094"/>
    <x v="773"/>
    <s v="Miss"/>
    <s v="F"/>
    <n v="60"/>
    <s v="Deptford Wharf"/>
    <x v="624"/>
    <x v="2"/>
    <d v="2021-05-25T00:00:00"/>
    <x v="1"/>
    <x v="11"/>
    <n v="19"/>
    <x v="2"/>
    <x v="2"/>
    <n v="323"/>
    <x v="337"/>
  </r>
  <r>
    <n v="1338"/>
    <x v="1095"/>
    <x v="631"/>
    <s v="Miss"/>
    <s v="F"/>
    <n v="60"/>
    <s v="Derby Road"/>
    <x v="769"/>
    <x v="55"/>
    <d v="2021-11-26T00:00:00"/>
    <x v="1"/>
    <x v="7"/>
    <n v="65"/>
    <x v="2"/>
    <x v="2"/>
    <n v="1105"/>
    <x v="742"/>
  </r>
  <r>
    <n v="1339"/>
    <x v="1096"/>
    <x v="984"/>
    <s v="Mr"/>
    <s v="M"/>
    <n v="30"/>
    <s v="Derek Walcott"/>
    <x v="468"/>
    <x v="2"/>
    <d v="2021-12-28T00:00:00"/>
    <x v="1"/>
    <x v="8"/>
    <n v="6"/>
    <x v="8"/>
    <x v="8"/>
    <n v="120"/>
    <x v="564"/>
  </r>
  <r>
    <n v="1340"/>
    <x v="1097"/>
    <x v="985"/>
    <s v="Mrs"/>
    <s v="F"/>
    <n v="30"/>
    <s v="Derinton Road"/>
    <x v="851"/>
    <x v="20"/>
    <d v="2020-10-19T00:00:00"/>
    <x v="2"/>
    <x v="1"/>
    <n v="51"/>
    <x v="5"/>
    <x v="5"/>
    <n v="1224"/>
    <x v="601"/>
  </r>
  <r>
    <n v="1341"/>
    <x v="1098"/>
    <x v="567"/>
    <s v="Mr"/>
    <s v="M"/>
    <n v="30"/>
    <s v="Derwent Avenue"/>
    <x v="141"/>
    <x v="2"/>
    <d v="2021-03-20T00:00:00"/>
    <x v="1"/>
    <x v="5"/>
    <n v="51"/>
    <x v="5"/>
    <x v="5"/>
    <n v="1224"/>
    <x v="601"/>
  </r>
  <r>
    <n v="1342"/>
    <x v="1099"/>
    <x v="986"/>
    <s v="Miss"/>
    <s v="F"/>
    <n v="90"/>
    <s v="Derwent Crescent"/>
    <x v="298"/>
    <x v="12"/>
    <d v="2020-05-24T00:00:00"/>
    <x v="2"/>
    <x v="11"/>
    <n v="18"/>
    <x v="0"/>
    <x v="0"/>
    <n v="360"/>
    <x v="18"/>
  </r>
  <r>
    <n v="1343"/>
    <x v="1100"/>
    <x v="866"/>
    <s v="Mrs"/>
    <s v="F"/>
    <n v="90"/>
    <s v="Derwent Grove"/>
    <x v="315"/>
    <x v="50"/>
    <d v="2022-01-13T00:00:00"/>
    <x v="0"/>
    <x v="6"/>
    <n v="7"/>
    <x v="9"/>
    <x v="9"/>
    <n v="168"/>
    <x v="743"/>
  </r>
  <r>
    <n v="1344"/>
    <x v="1101"/>
    <x v="98"/>
    <s v="Miss"/>
    <s v="F"/>
    <n v="30"/>
    <s v="Derwent Grove"/>
    <x v="176"/>
    <x v="16"/>
    <d v="2021-05-09T00:00:00"/>
    <x v="1"/>
    <x v="11"/>
    <n v="15"/>
    <x v="3"/>
    <x v="3"/>
    <n v="360"/>
    <x v="532"/>
  </r>
  <r>
    <n v="1345"/>
    <x v="1102"/>
    <x v="628"/>
    <s v="Miss"/>
    <s v="F"/>
    <n v="30"/>
    <s v="Desenfans Road"/>
    <x v="736"/>
    <x v="44"/>
    <d v="2020-06-06T00:00:00"/>
    <x v="2"/>
    <x v="2"/>
    <n v="46"/>
    <x v="2"/>
    <x v="2"/>
    <n v="782"/>
    <x v="38"/>
  </r>
  <r>
    <n v="1346"/>
    <x v="714"/>
    <x v="976"/>
    <s v="Mr"/>
    <s v="M"/>
    <n v="30"/>
    <s v="Devon Cottages"/>
    <x v="339"/>
    <x v="2"/>
    <d v="2022-06-28T00:00:00"/>
    <x v="0"/>
    <x v="2"/>
    <n v="87"/>
    <x v="5"/>
    <x v="5"/>
    <n v="2088"/>
    <x v="744"/>
  </r>
  <r>
    <n v="1347"/>
    <x v="1103"/>
    <x v="987"/>
    <s v="Mr"/>
    <s v="M"/>
    <n v="90"/>
    <s v="Devon Place"/>
    <x v="115"/>
    <x v="2"/>
    <d v="2022-11-30T00:00:00"/>
    <x v="0"/>
    <x v="7"/>
    <n v="8"/>
    <x v="0"/>
    <x v="0"/>
    <n v="160"/>
    <x v="211"/>
  </r>
  <r>
    <n v="1348"/>
    <x v="1104"/>
    <x v="988"/>
    <s v="Miss"/>
    <s v="F"/>
    <n v="90"/>
    <s v="Devonhurst Place"/>
    <x v="856"/>
    <x v="53"/>
    <d v="2020-04-30T00:00:00"/>
    <x v="2"/>
    <x v="4"/>
    <n v="33"/>
    <x v="0"/>
    <x v="0"/>
    <n v="660"/>
    <x v="745"/>
  </r>
  <r>
    <n v="1349"/>
    <x v="1105"/>
    <x v="989"/>
    <s v="Mr"/>
    <s v="M"/>
    <n v="90"/>
    <s v="Devonshire Drive"/>
    <x v="328"/>
    <x v="55"/>
    <d v="2020-08-02T00:00:00"/>
    <x v="2"/>
    <x v="3"/>
    <n v="17"/>
    <x v="0"/>
    <x v="0"/>
    <n v="340"/>
    <x v="746"/>
  </r>
  <r>
    <n v="1350"/>
    <x v="1106"/>
    <x v="990"/>
    <s v="Mr"/>
    <s v="M"/>
    <n v="30"/>
    <s v="Devonshire Street"/>
    <x v="285"/>
    <x v="2"/>
    <d v="2022-01-16T00:00:00"/>
    <x v="0"/>
    <x v="6"/>
    <n v="15"/>
    <x v="3"/>
    <x v="3"/>
    <n v="360"/>
    <x v="532"/>
  </r>
  <r>
    <n v="1351"/>
    <x v="1107"/>
    <x v="991"/>
    <s v="Dr"/>
    <s v="F"/>
    <n v="60"/>
    <s v="Dewhurst Road"/>
    <x v="857"/>
    <x v="1"/>
    <d v="2021-02-25T00:00:00"/>
    <x v="1"/>
    <x v="10"/>
    <n v="80"/>
    <x v="9"/>
    <x v="9"/>
    <n v="1920"/>
    <x v="176"/>
  </r>
  <r>
    <n v="1352"/>
    <x v="776"/>
    <x v="483"/>
    <s v="Mr"/>
    <s v="M"/>
    <n v="60"/>
    <s v="Dewsbury Road"/>
    <x v="650"/>
    <x v="2"/>
    <d v="2020-06-24T00:00:00"/>
    <x v="2"/>
    <x v="2"/>
    <n v="15"/>
    <x v="6"/>
    <x v="6"/>
    <n v="360"/>
    <x v="747"/>
  </r>
  <r>
    <n v="1353"/>
    <x v="1108"/>
    <x v="992"/>
    <s v="Miss"/>
    <s v="F"/>
    <n v="60"/>
    <s v="Deynecourt Gardens"/>
    <x v="162"/>
    <x v="20"/>
    <d v="2022-08-09T00:00:00"/>
    <x v="0"/>
    <x v="3"/>
    <n v="51"/>
    <x v="4"/>
    <x v="4"/>
    <n v="918"/>
    <x v="555"/>
  </r>
  <r>
    <n v="1354"/>
    <x v="17"/>
    <x v="20"/>
    <s v="Mr"/>
    <s v="M"/>
    <n v="60"/>
    <s v="Diana Place"/>
    <x v="858"/>
    <x v="59"/>
    <d v="2021-01-31T00:00:00"/>
    <x v="1"/>
    <x v="6"/>
    <n v="79"/>
    <x v="1"/>
    <x v="1"/>
    <n v="1896"/>
    <x v="739"/>
  </r>
  <r>
    <n v="1355"/>
    <x v="274"/>
    <x v="993"/>
    <s v="Mrs"/>
    <s v="F"/>
    <n v="90"/>
    <s v="Dianthus Close"/>
    <x v="705"/>
    <x v="2"/>
    <d v="2021-11-25T00:00:00"/>
    <x v="1"/>
    <x v="7"/>
    <n v="23"/>
    <x v="6"/>
    <x v="6"/>
    <n v="552"/>
    <x v="595"/>
  </r>
  <r>
    <n v="1356"/>
    <x v="1109"/>
    <x v="674"/>
    <s v="Mrs"/>
    <s v="F"/>
    <n v="60"/>
    <s v="Dickens Estate"/>
    <x v="859"/>
    <x v="2"/>
    <d v="2022-12-31T00:00:00"/>
    <x v="0"/>
    <x v="8"/>
    <n v="94"/>
    <x v="1"/>
    <x v="1"/>
    <n v="2256"/>
    <x v="153"/>
  </r>
  <r>
    <n v="1357"/>
    <x v="1110"/>
    <x v="712"/>
    <s v="Mr"/>
    <s v="M"/>
    <n v="90"/>
    <s v="Digby Road"/>
    <x v="209"/>
    <x v="1"/>
    <d v="2021-03-05T00:00:00"/>
    <x v="1"/>
    <x v="5"/>
    <n v="43"/>
    <x v="5"/>
    <x v="5"/>
    <n v="1032"/>
    <x v="425"/>
  </r>
  <r>
    <n v="1358"/>
    <x v="1111"/>
    <x v="994"/>
    <s v="Miss"/>
    <s v="F"/>
    <n v="90"/>
    <s v="Digby Walk"/>
    <x v="860"/>
    <x v="16"/>
    <d v="2020-07-03T00:00:00"/>
    <x v="2"/>
    <x v="0"/>
    <n v="29"/>
    <x v="5"/>
    <x v="5"/>
    <n v="696"/>
    <x v="748"/>
  </r>
  <r>
    <n v="1359"/>
    <x v="556"/>
    <x v="542"/>
    <s v="Dr"/>
    <s v="M"/>
    <n v="30"/>
    <s v="Dilston Grove"/>
    <x v="861"/>
    <x v="11"/>
    <d v="2020-07-12T00:00:00"/>
    <x v="2"/>
    <x v="0"/>
    <n v="11"/>
    <x v="0"/>
    <x v="0"/>
    <n v="220"/>
    <x v="749"/>
  </r>
  <r>
    <n v="1360"/>
    <x v="1112"/>
    <x v="995"/>
    <s v="Mr"/>
    <s v="M"/>
    <n v="60"/>
    <s v="Dimond Close"/>
    <x v="862"/>
    <x v="2"/>
    <d v="2020-12-29T00:00:00"/>
    <x v="2"/>
    <x v="8"/>
    <n v="57"/>
    <x v="6"/>
    <x v="6"/>
    <n v="1368"/>
    <x v="589"/>
  </r>
  <r>
    <n v="1361"/>
    <x v="1113"/>
    <x v="996"/>
    <s v="Mrs"/>
    <s v="F"/>
    <n v="60"/>
    <s v="Dimsdale Walk"/>
    <x v="863"/>
    <x v="3"/>
    <d v="2022-05-18T00:00:00"/>
    <x v="0"/>
    <x v="11"/>
    <n v="89"/>
    <x v="2"/>
    <x v="2"/>
    <n v="1513"/>
    <x v="387"/>
  </r>
  <r>
    <n v="1362"/>
    <x v="1114"/>
    <x v="403"/>
    <s v="Miss"/>
    <s v="F"/>
    <n v="90"/>
    <s v="Dingle Gardens"/>
    <x v="74"/>
    <x v="10"/>
    <d v="2021-08-11T00:00:00"/>
    <x v="1"/>
    <x v="3"/>
    <n v="59"/>
    <x v="4"/>
    <x v="4"/>
    <n v="1062"/>
    <x v="750"/>
  </r>
  <r>
    <n v="1363"/>
    <x v="1115"/>
    <x v="997"/>
    <s v="Mr"/>
    <s v="M"/>
    <n v="90"/>
    <s v="Dinsdale Gardens"/>
    <x v="864"/>
    <x v="2"/>
    <d v="2021-04-26T00:00:00"/>
    <x v="1"/>
    <x v="4"/>
    <n v="7"/>
    <x v="3"/>
    <x v="3"/>
    <n v="168"/>
    <x v="33"/>
  </r>
  <r>
    <n v="1364"/>
    <x v="497"/>
    <x v="748"/>
    <s v="Mr"/>
    <s v="M"/>
    <n v="60"/>
    <s v="Dirty Lane"/>
    <x v="731"/>
    <x v="2"/>
    <d v="2020-12-01T00:00:00"/>
    <x v="2"/>
    <x v="8"/>
    <n v="15"/>
    <x v="9"/>
    <x v="9"/>
    <n v="360"/>
    <x v="274"/>
  </r>
  <r>
    <n v="1365"/>
    <x v="1116"/>
    <x v="133"/>
    <s v="Mr"/>
    <s v="M"/>
    <n v="60"/>
    <s v="Distin Street"/>
    <x v="636"/>
    <x v="11"/>
    <d v="2022-10-20T00:00:00"/>
    <x v="0"/>
    <x v="1"/>
    <n v="69"/>
    <x v="0"/>
    <x v="0"/>
    <n v="1380"/>
    <x v="497"/>
  </r>
  <r>
    <n v="1366"/>
    <x v="1117"/>
    <x v="188"/>
    <s v="Mrs"/>
    <s v="F"/>
    <n v="30"/>
    <s v="Dllwyn Road"/>
    <x v="739"/>
    <x v="21"/>
    <d v="2022-01-29T00:00:00"/>
    <x v="0"/>
    <x v="6"/>
    <n v="98"/>
    <x v="7"/>
    <x v="7"/>
    <n v="1960"/>
    <x v="323"/>
  </r>
  <r>
    <n v="1367"/>
    <x v="1118"/>
    <x v="198"/>
    <s v="Mr"/>
    <s v="M"/>
    <n v="90"/>
    <s v="Dobell Road"/>
    <x v="838"/>
    <x v="65"/>
    <d v="2022-02-19T00:00:00"/>
    <x v="0"/>
    <x v="10"/>
    <n v="63"/>
    <x v="4"/>
    <x v="4"/>
    <n v="1134"/>
    <x v="751"/>
  </r>
  <r>
    <n v="1368"/>
    <x v="1119"/>
    <x v="998"/>
    <s v="Mr"/>
    <s v="M"/>
    <n v="30"/>
    <s v="Dockland Street"/>
    <x v="454"/>
    <x v="39"/>
    <d v="2021-05-13T00:00:00"/>
    <x v="1"/>
    <x v="11"/>
    <n v="20"/>
    <x v="9"/>
    <x v="9"/>
    <n v="480"/>
    <x v="331"/>
  </r>
  <r>
    <n v="1369"/>
    <x v="1120"/>
    <x v="720"/>
    <s v="Ms"/>
    <s v="F"/>
    <n v="60"/>
    <s v="Doctor Johnson"/>
    <x v="865"/>
    <x v="2"/>
    <d v="2021-07-31T00:00:00"/>
    <x v="1"/>
    <x v="0"/>
    <n v="72"/>
    <x v="8"/>
    <x v="8"/>
    <n v="1440"/>
    <x v="718"/>
  </r>
  <r>
    <n v="1370"/>
    <x v="445"/>
    <x v="684"/>
    <s v="Mr"/>
    <s v="M"/>
    <n v="30"/>
    <s v="Dodds Place"/>
    <x v="578"/>
    <x v="0"/>
    <d v="2022-10-07T00:00:00"/>
    <x v="0"/>
    <x v="1"/>
    <n v="83"/>
    <x v="7"/>
    <x v="7"/>
    <n v="1660"/>
    <x v="148"/>
  </r>
  <r>
    <n v="1371"/>
    <x v="1121"/>
    <x v="999"/>
    <s v="Ms"/>
    <s v="F"/>
    <n v="60"/>
    <s v="Dodds Place"/>
    <x v="638"/>
    <x v="2"/>
    <d v="2022-12-15T00:00:00"/>
    <x v="0"/>
    <x v="8"/>
    <n v="79"/>
    <x v="5"/>
    <x v="5"/>
    <n v="1896"/>
    <x v="94"/>
  </r>
  <r>
    <n v="1372"/>
    <x v="1122"/>
    <x v="1000"/>
    <s v="Mr"/>
    <s v="M"/>
    <n v="90"/>
    <s v="Dodds Place"/>
    <x v="866"/>
    <x v="2"/>
    <d v="2022-02-13T00:00:00"/>
    <x v="0"/>
    <x v="10"/>
    <n v="8"/>
    <x v="6"/>
    <x v="6"/>
    <n v="192"/>
    <x v="752"/>
  </r>
  <r>
    <n v="1373"/>
    <x v="1047"/>
    <x v="1001"/>
    <s v="Mr"/>
    <s v="M"/>
    <n v="90"/>
    <s v="Dog And"/>
    <x v="867"/>
    <x v="20"/>
    <d v="2020-08-29T00:00:00"/>
    <x v="2"/>
    <x v="3"/>
    <n v="76"/>
    <x v="2"/>
    <x v="2"/>
    <n v="1292"/>
    <x v="347"/>
  </r>
  <r>
    <n v="1374"/>
    <x v="1123"/>
    <x v="1002"/>
    <s v="Mrs"/>
    <s v="F"/>
    <n v="30"/>
    <s v="Dog Lane"/>
    <x v="785"/>
    <x v="2"/>
    <d v="2021-10-16T00:00:00"/>
    <x v="1"/>
    <x v="1"/>
    <n v="84"/>
    <x v="9"/>
    <x v="9"/>
    <n v="2016"/>
    <x v="367"/>
  </r>
  <r>
    <n v="1375"/>
    <x v="308"/>
    <x v="1003"/>
    <s v="Mr"/>
    <s v="M"/>
    <n v="60"/>
    <s v="Dolland Street"/>
    <x v="868"/>
    <x v="40"/>
    <d v="2020-06-24T00:00:00"/>
    <x v="2"/>
    <x v="2"/>
    <n v="78"/>
    <x v="0"/>
    <x v="0"/>
    <n v="1560"/>
    <x v="643"/>
  </r>
  <r>
    <n v="1376"/>
    <x v="1124"/>
    <x v="23"/>
    <s v="Miss"/>
    <s v="F"/>
    <n v="60"/>
    <s v="Dollings Place"/>
    <x v="828"/>
    <x v="15"/>
    <d v="2020-07-11T00:00:00"/>
    <x v="2"/>
    <x v="0"/>
    <n v="30"/>
    <x v="7"/>
    <x v="7"/>
    <n v="600"/>
    <x v="406"/>
  </r>
  <r>
    <n v="1377"/>
    <x v="1125"/>
    <x v="102"/>
    <s v="Mr"/>
    <s v="M"/>
    <n v="60"/>
    <s v="Dollings Place"/>
    <x v="869"/>
    <x v="17"/>
    <d v="2022-05-25T00:00:00"/>
    <x v="0"/>
    <x v="11"/>
    <n v="83"/>
    <x v="5"/>
    <x v="5"/>
    <n v="1992"/>
    <x v="686"/>
  </r>
  <r>
    <n v="1378"/>
    <x v="1126"/>
    <x v="1004"/>
    <s v="Mrs"/>
    <s v="F"/>
    <n v="60"/>
    <s v="Dollis Mews"/>
    <x v="870"/>
    <x v="18"/>
    <d v="2021-03-13T00:00:00"/>
    <x v="1"/>
    <x v="5"/>
    <n v="62"/>
    <x v="6"/>
    <x v="6"/>
    <n v="1488"/>
    <x v="343"/>
  </r>
  <r>
    <n v="1379"/>
    <x v="639"/>
    <x v="243"/>
    <s v="Ms"/>
    <s v="F"/>
    <n v="30"/>
    <s v="Dome Hill"/>
    <x v="871"/>
    <x v="44"/>
    <d v="2021-11-27T00:00:00"/>
    <x v="1"/>
    <x v="7"/>
    <n v="10"/>
    <x v="0"/>
    <x v="0"/>
    <n v="200"/>
    <x v="753"/>
  </r>
  <r>
    <n v="1380"/>
    <x v="1127"/>
    <x v="363"/>
    <s v="Mrs"/>
    <s v="F"/>
    <n v="60"/>
    <s v="Domett Close"/>
    <x v="872"/>
    <x v="1"/>
    <d v="2020-09-11T00:00:00"/>
    <x v="2"/>
    <x v="9"/>
    <n v="14"/>
    <x v="3"/>
    <x v="3"/>
    <n v="336"/>
    <x v="754"/>
  </r>
  <r>
    <n v="1381"/>
    <x v="846"/>
    <x v="497"/>
    <s v="Mr"/>
    <s v="M"/>
    <n v="30"/>
    <s v="Donald Road"/>
    <x v="39"/>
    <x v="11"/>
    <d v="2022-03-05T00:00:00"/>
    <x v="0"/>
    <x v="5"/>
    <n v="99"/>
    <x v="8"/>
    <x v="8"/>
    <n v="1980"/>
    <x v="755"/>
  </r>
  <r>
    <n v="1382"/>
    <x v="1128"/>
    <x v="1005"/>
    <s v="Mrs"/>
    <s v="F"/>
    <n v="30"/>
    <s v="Donnington Road"/>
    <x v="539"/>
    <x v="36"/>
    <d v="2020-08-04T00:00:00"/>
    <x v="2"/>
    <x v="3"/>
    <n v="60"/>
    <x v="0"/>
    <x v="0"/>
    <n v="1200"/>
    <x v="378"/>
  </r>
  <r>
    <n v="1383"/>
    <x v="468"/>
    <x v="1006"/>
    <s v="Mr"/>
    <s v="M"/>
    <n v="30"/>
    <s v="Donovan Avenue"/>
    <x v="125"/>
    <x v="17"/>
    <d v="2020-11-02T00:00:00"/>
    <x v="2"/>
    <x v="7"/>
    <n v="28"/>
    <x v="4"/>
    <x v="4"/>
    <n v="504"/>
    <x v="756"/>
  </r>
  <r>
    <n v="1384"/>
    <x v="371"/>
    <x v="540"/>
    <s v="Mr"/>
    <s v="M"/>
    <n v="90"/>
    <s v="Dorchester Parade"/>
    <x v="631"/>
    <x v="8"/>
    <d v="2021-05-29T00:00:00"/>
    <x v="1"/>
    <x v="11"/>
    <n v="76"/>
    <x v="5"/>
    <x v="5"/>
    <n v="1824"/>
    <x v="405"/>
  </r>
  <r>
    <n v="1385"/>
    <x v="1129"/>
    <x v="259"/>
    <s v="Miss"/>
    <s v="F"/>
    <n v="90"/>
    <s v="Doris Place"/>
    <x v="803"/>
    <x v="11"/>
    <d v="2020-11-16T00:00:00"/>
    <x v="2"/>
    <x v="7"/>
    <n v="51"/>
    <x v="7"/>
    <x v="7"/>
    <n v="1020"/>
    <x v="563"/>
  </r>
  <r>
    <n v="1386"/>
    <x v="1130"/>
    <x v="523"/>
    <s v="Ms"/>
    <s v="F"/>
    <n v="30"/>
    <s v="Dorman Way"/>
    <x v="63"/>
    <x v="18"/>
    <d v="2022-11-21T00:00:00"/>
    <x v="0"/>
    <x v="7"/>
    <n v="67"/>
    <x v="3"/>
    <x v="3"/>
    <n v="1608"/>
    <x v="457"/>
  </r>
  <r>
    <n v="1387"/>
    <x v="1131"/>
    <x v="687"/>
    <s v="Mrs"/>
    <s v="F"/>
    <n v="30"/>
    <s v="Dormays Cottages"/>
    <x v="111"/>
    <x v="2"/>
    <d v="2020-07-19T00:00:00"/>
    <x v="2"/>
    <x v="0"/>
    <n v="61"/>
    <x v="7"/>
    <x v="7"/>
    <n v="1220"/>
    <x v="307"/>
  </r>
  <r>
    <n v="1388"/>
    <x v="1132"/>
    <x v="1007"/>
    <s v="Mrs"/>
    <s v="F"/>
    <n v="60"/>
    <s v="Dornberg Cls+F687"/>
    <x v="503"/>
    <x v="3"/>
    <d v="2020-08-20T00:00:00"/>
    <x v="2"/>
    <x v="3"/>
    <n v="29"/>
    <x v="3"/>
    <x v="3"/>
    <n v="696"/>
    <x v="63"/>
  </r>
  <r>
    <n v="1389"/>
    <x v="453"/>
    <x v="1008"/>
    <s v="Miss"/>
    <s v="F"/>
    <n v="60"/>
    <s v="Dorset Court"/>
    <x v="873"/>
    <x v="13"/>
    <d v="2022-12-15T00:00:00"/>
    <x v="0"/>
    <x v="8"/>
    <n v="71"/>
    <x v="2"/>
    <x v="2"/>
    <n v="1207"/>
    <x v="726"/>
  </r>
  <r>
    <n v="1390"/>
    <x v="1133"/>
    <x v="76"/>
    <s v="Mr"/>
    <s v="M"/>
    <n v="90"/>
    <s v="Dorset Mews"/>
    <x v="874"/>
    <x v="86"/>
    <d v="2021-09-21T00:00:00"/>
    <x v="1"/>
    <x v="9"/>
    <n v="85"/>
    <x v="3"/>
    <x v="3"/>
    <n v="2040"/>
    <x v="573"/>
  </r>
  <r>
    <n v="1391"/>
    <x v="1134"/>
    <x v="519"/>
    <s v="Mr"/>
    <s v="M"/>
    <n v="60"/>
    <s v="Dorset Villas"/>
    <x v="622"/>
    <x v="2"/>
    <d v="2022-08-14T00:00:00"/>
    <x v="0"/>
    <x v="3"/>
    <n v="105"/>
    <x v="4"/>
    <x v="4"/>
    <n v="1890"/>
    <x v="31"/>
  </r>
  <r>
    <n v="1392"/>
    <x v="1135"/>
    <x v="1009"/>
    <s v="Mr"/>
    <s v="M"/>
    <n v="90"/>
    <s v="Douglas Mews"/>
    <x v="304"/>
    <x v="16"/>
    <d v="2022-08-28T00:00:00"/>
    <x v="0"/>
    <x v="3"/>
    <n v="93"/>
    <x v="7"/>
    <x v="7"/>
    <n v="1860"/>
    <x v="757"/>
  </r>
  <r>
    <n v="1393"/>
    <x v="1136"/>
    <x v="1010"/>
    <s v="Mr"/>
    <s v="M"/>
    <n v="90"/>
    <s v="Douglas Road"/>
    <x v="34"/>
    <x v="17"/>
    <d v="2020-03-30T00:00:00"/>
    <x v="2"/>
    <x v="5"/>
    <n v="59"/>
    <x v="9"/>
    <x v="9"/>
    <n v="1416"/>
    <x v="62"/>
  </r>
  <r>
    <n v="1394"/>
    <x v="1137"/>
    <x v="35"/>
    <s v="Miss"/>
    <s v="F"/>
    <n v="30"/>
    <s v="Dovercourt Road"/>
    <x v="813"/>
    <x v="57"/>
    <d v="2022-04-11T00:00:00"/>
    <x v="0"/>
    <x v="4"/>
    <n v="76"/>
    <x v="1"/>
    <x v="1"/>
    <n v="1824"/>
    <x v="678"/>
  </r>
  <r>
    <n v="1395"/>
    <x v="1138"/>
    <x v="1011"/>
    <s v="Mr"/>
    <s v="M"/>
    <n v="60"/>
    <s v="Doverfield Road"/>
    <x v="142"/>
    <x v="21"/>
    <d v="2022-12-04T00:00:00"/>
    <x v="0"/>
    <x v="8"/>
    <n v="59"/>
    <x v="9"/>
    <x v="9"/>
    <n v="1416"/>
    <x v="62"/>
  </r>
  <r>
    <n v="1396"/>
    <x v="1139"/>
    <x v="1012"/>
    <s v="Mr"/>
    <s v="M"/>
    <n v="30"/>
    <s v="Dowgate Dock"/>
    <x v="687"/>
    <x v="2"/>
    <d v="2020-03-16T00:00:00"/>
    <x v="2"/>
    <x v="5"/>
    <n v="2"/>
    <x v="1"/>
    <x v="1"/>
    <n v="48"/>
    <x v="318"/>
  </r>
  <r>
    <n v="1397"/>
    <x v="1140"/>
    <x v="1013"/>
    <s v="Mr"/>
    <s v="M"/>
    <n v="30"/>
    <s v="Downes St"/>
    <x v="875"/>
    <x v="35"/>
    <d v="2021-11-20T00:00:00"/>
    <x v="1"/>
    <x v="7"/>
    <n v="71"/>
    <x v="0"/>
    <x v="0"/>
    <n v="1420"/>
    <x v="209"/>
  </r>
  <r>
    <n v="1398"/>
    <x v="1141"/>
    <x v="393"/>
    <s v="Miss"/>
    <s v="F"/>
    <n v="30"/>
    <s v="Downings"/>
    <x v="25"/>
    <x v="1"/>
    <d v="2020-06-27T00:00:00"/>
    <x v="2"/>
    <x v="2"/>
    <n v="30"/>
    <x v="8"/>
    <x v="8"/>
    <n v="600"/>
    <x v="32"/>
  </r>
  <r>
    <n v="1399"/>
    <x v="294"/>
    <x v="1014"/>
    <s v="Mr"/>
    <s v="M"/>
    <n v="90"/>
    <s v="Downland Close"/>
    <x v="876"/>
    <x v="2"/>
    <d v="2020-01-03T00:00:00"/>
    <x v="2"/>
    <x v="6"/>
    <n v="55"/>
    <x v="7"/>
    <x v="7"/>
    <n v="1100"/>
    <x v="216"/>
  </r>
  <r>
    <n v="1400"/>
    <x v="12"/>
    <x v="1015"/>
    <s v="Miss"/>
    <s v="F"/>
    <n v="60"/>
    <s v="Downton Avenue"/>
    <x v="877"/>
    <x v="2"/>
    <d v="2021-01-10T00:00:00"/>
    <x v="1"/>
    <x v="6"/>
    <n v="82"/>
    <x v="9"/>
    <x v="9"/>
    <n v="1968"/>
    <x v="758"/>
  </r>
  <r>
    <n v="1401"/>
    <x v="1142"/>
    <x v="1003"/>
    <s v="Mr"/>
    <s v="M"/>
    <n v="60"/>
    <s v="Doyle Gardens"/>
    <x v="21"/>
    <x v="2"/>
    <d v="2022-07-22T00:00:00"/>
    <x v="0"/>
    <x v="0"/>
    <n v="35"/>
    <x v="5"/>
    <x v="5"/>
    <n v="840"/>
    <x v="182"/>
  </r>
  <r>
    <n v="1402"/>
    <x v="1143"/>
    <x v="1016"/>
    <s v="Prof"/>
    <s v="M"/>
    <n v="90"/>
    <s v="Doyle Road"/>
    <x v="624"/>
    <x v="2"/>
    <d v="2022-11-27T00:00:00"/>
    <x v="0"/>
    <x v="7"/>
    <n v="32"/>
    <x v="4"/>
    <x v="4"/>
    <n v="576"/>
    <x v="58"/>
  </r>
  <r>
    <n v="1403"/>
    <x v="1144"/>
    <x v="1017"/>
    <s v="Mr"/>
    <s v="M"/>
    <n v="30"/>
    <s v="Dr Johnson'S"/>
    <x v="263"/>
    <x v="2"/>
    <d v="2022-10-12T00:00:00"/>
    <x v="0"/>
    <x v="1"/>
    <n v="13"/>
    <x v="3"/>
    <x v="3"/>
    <n v="312"/>
    <x v="296"/>
  </r>
  <r>
    <n v="1404"/>
    <x v="262"/>
    <x v="1018"/>
    <s v="Mr"/>
    <s v="M"/>
    <n v="90"/>
    <s v="Drakes Walk"/>
    <x v="808"/>
    <x v="84"/>
    <d v="2020-06-17T00:00:00"/>
    <x v="2"/>
    <x v="2"/>
    <n v="14"/>
    <x v="9"/>
    <x v="9"/>
    <n v="336"/>
    <x v="759"/>
  </r>
  <r>
    <n v="1405"/>
    <x v="335"/>
    <x v="1019"/>
    <s v="Mr"/>
    <s v="M"/>
    <n v="30"/>
    <s v="Draper'S Court"/>
    <x v="690"/>
    <x v="2"/>
    <d v="2022-02-14T00:00:00"/>
    <x v="0"/>
    <x v="10"/>
    <n v="5"/>
    <x v="9"/>
    <x v="9"/>
    <n v="120"/>
    <x v="674"/>
  </r>
  <r>
    <n v="1406"/>
    <x v="1145"/>
    <x v="1020"/>
    <s v="Mr"/>
    <s v="M"/>
    <n v="30"/>
    <s v="Drapers Road"/>
    <x v="878"/>
    <x v="2"/>
    <d v="2021-07-06T00:00:00"/>
    <x v="1"/>
    <x v="0"/>
    <n v="15"/>
    <x v="2"/>
    <x v="2"/>
    <n v="255"/>
    <x v="760"/>
  </r>
  <r>
    <n v="1407"/>
    <x v="1146"/>
    <x v="969"/>
    <s v="Mrs"/>
    <s v="F"/>
    <n v="60"/>
    <s v="Dray Gardens"/>
    <x v="734"/>
    <x v="2"/>
    <d v="2022-02-22T00:00:00"/>
    <x v="0"/>
    <x v="10"/>
    <n v="2"/>
    <x v="5"/>
    <x v="5"/>
    <n v="48"/>
    <x v="320"/>
  </r>
  <r>
    <n v="1408"/>
    <x v="1147"/>
    <x v="1021"/>
    <s v="Ms"/>
    <s v="F"/>
    <n v="30"/>
    <s v="Drayton Court"/>
    <x v="879"/>
    <x v="21"/>
    <d v="2021-02-02T00:00:00"/>
    <x v="1"/>
    <x v="10"/>
    <n v="34"/>
    <x v="0"/>
    <x v="0"/>
    <n v="680"/>
    <x v="397"/>
  </r>
  <r>
    <n v="1409"/>
    <x v="316"/>
    <x v="1022"/>
    <s v="Miss"/>
    <s v="F"/>
    <n v="30"/>
    <s v="Drayton Court"/>
    <x v="206"/>
    <x v="2"/>
    <d v="2020-03-20T00:00:00"/>
    <x v="2"/>
    <x v="5"/>
    <n v="41"/>
    <x v="9"/>
    <x v="9"/>
    <n v="984"/>
    <x v="348"/>
  </r>
  <r>
    <n v="1410"/>
    <x v="1148"/>
    <x v="314"/>
    <s v="Mr"/>
    <s v="M"/>
    <n v="30"/>
    <s v="Dressington Avenue"/>
    <x v="880"/>
    <x v="2"/>
    <d v="2020-09-07T00:00:00"/>
    <x v="2"/>
    <x v="9"/>
    <n v="45"/>
    <x v="0"/>
    <x v="0"/>
    <n v="900"/>
    <x v="761"/>
  </r>
  <r>
    <n v="1411"/>
    <x v="1149"/>
    <x v="715"/>
    <s v="Mr"/>
    <s v="M"/>
    <n v="30"/>
    <s v="Dressington Avenue"/>
    <x v="881"/>
    <x v="2"/>
    <d v="2020-11-14T00:00:00"/>
    <x v="2"/>
    <x v="7"/>
    <n v="32"/>
    <x v="7"/>
    <x v="7"/>
    <n v="640"/>
    <x v="762"/>
  </r>
  <r>
    <n v="1412"/>
    <x v="279"/>
    <x v="1023"/>
    <s v="Mr"/>
    <s v="M"/>
    <n v="60"/>
    <s v="Drewstead Road"/>
    <x v="165"/>
    <x v="2"/>
    <d v="2022-11-06T00:00:00"/>
    <x v="0"/>
    <x v="7"/>
    <n v="4"/>
    <x v="0"/>
    <x v="0"/>
    <n v="80"/>
    <x v="763"/>
  </r>
  <r>
    <n v="1413"/>
    <x v="1150"/>
    <x v="606"/>
    <s v="Mrs"/>
    <s v="F"/>
    <n v="60"/>
    <s v="Drewstead Road"/>
    <x v="641"/>
    <x v="2"/>
    <d v="2021-08-05T00:00:00"/>
    <x v="1"/>
    <x v="3"/>
    <n v="22"/>
    <x v="0"/>
    <x v="0"/>
    <n v="440"/>
    <x v="650"/>
  </r>
  <r>
    <n v="1414"/>
    <x v="1151"/>
    <x v="1024"/>
    <s v="Mrs"/>
    <s v="F"/>
    <n v="60"/>
    <s v="Drifield Road"/>
    <x v="478"/>
    <x v="21"/>
    <d v="2022-11-12T00:00:00"/>
    <x v="0"/>
    <x v="7"/>
    <n v="41"/>
    <x v="2"/>
    <x v="2"/>
    <n v="697"/>
    <x v="725"/>
  </r>
  <r>
    <n v="1415"/>
    <x v="730"/>
    <x v="1025"/>
    <s v="Mr"/>
    <s v="M"/>
    <n v="60"/>
    <s v="Drovers Place"/>
    <x v="882"/>
    <x v="1"/>
    <d v="2020-01-29T00:00:00"/>
    <x v="2"/>
    <x v="6"/>
    <n v="12"/>
    <x v="1"/>
    <x v="1"/>
    <n v="288"/>
    <x v="322"/>
  </r>
  <r>
    <n v="1416"/>
    <x v="1005"/>
    <x v="1026"/>
    <s v="Mr"/>
    <s v="M"/>
    <n v="30"/>
    <s v="Drum Alley"/>
    <x v="203"/>
    <x v="36"/>
    <d v="2022-03-18T00:00:00"/>
    <x v="0"/>
    <x v="5"/>
    <n v="14"/>
    <x v="2"/>
    <x v="2"/>
    <n v="238"/>
    <x v="328"/>
  </r>
  <r>
    <n v="1417"/>
    <x v="1152"/>
    <x v="683"/>
    <s v="Mrs"/>
    <s v="F"/>
    <n v="60"/>
    <s v="Drum Yard"/>
    <x v="129"/>
    <x v="1"/>
    <d v="2021-09-09T00:00:00"/>
    <x v="1"/>
    <x v="9"/>
    <n v="74"/>
    <x v="0"/>
    <x v="0"/>
    <n v="1480"/>
    <x v="178"/>
  </r>
  <r>
    <n v="1418"/>
    <x v="711"/>
    <x v="776"/>
    <s v="Mr"/>
    <s v="M"/>
    <n v="90"/>
    <s v="Drummond Place"/>
    <x v="495"/>
    <x v="41"/>
    <d v="2021-06-16T00:00:00"/>
    <x v="1"/>
    <x v="2"/>
    <n v="25"/>
    <x v="8"/>
    <x v="8"/>
    <n v="500"/>
    <x v="764"/>
  </r>
  <r>
    <n v="1419"/>
    <x v="1153"/>
    <x v="610"/>
    <s v="Mr"/>
    <s v="M"/>
    <n v="30"/>
    <s v="Drylands Road"/>
    <x v="883"/>
    <x v="2"/>
    <d v="2020-04-12T00:00:00"/>
    <x v="2"/>
    <x v="4"/>
    <n v="45"/>
    <x v="4"/>
    <x v="4"/>
    <n v="810"/>
    <x v="765"/>
  </r>
  <r>
    <n v="1420"/>
    <x v="687"/>
    <x v="426"/>
    <s v="Miss"/>
    <s v="F"/>
    <n v="30"/>
    <s v="Duchy Street"/>
    <x v="553"/>
    <x v="11"/>
    <d v="2021-01-12T00:00:00"/>
    <x v="1"/>
    <x v="6"/>
    <n v="80"/>
    <x v="4"/>
    <x v="4"/>
    <n v="1440"/>
    <x v="75"/>
  </r>
  <r>
    <n v="1421"/>
    <x v="497"/>
    <x v="1027"/>
    <s v="Dr"/>
    <s v="M"/>
    <n v="30"/>
    <s v="Duchy Wharf"/>
    <x v="778"/>
    <x v="2"/>
    <d v="2020-05-09T00:00:00"/>
    <x v="2"/>
    <x v="11"/>
    <n v="5"/>
    <x v="1"/>
    <x v="1"/>
    <n v="120"/>
    <x v="373"/>
  </r>
  <r>
    <n v="1422"/>
    <x v="1154"/>
    <x v="105"/>
    <s v="Mrs"/>
    <s v="F"/>
    <n v="30"/>
    <s v="Duck Place"/>
    <x v="313"/>
    <x v="49"/>
    <d v="2022-04-12T00:00:00"/>
    <x v="0"/>
    <x v="4"/>
    <n v="63"/>
    <x v="0"/>
    <x v="0"/>
    <n v="1260"/>
    <x v="41"/>
  </r>
  <r>
    <n v="1423"/>
    <x v="1155"/>
    <x v="1028"/>
    <s v="Mr"/>
    <s v="M"/>
    <n v="90"/>
    <s v="Dudmaston Mews"/>
    <x v="884"/>
    <x v="13"/>
    <d v="2021-11-09T00:00:00"/>
    <x v="1"/>
    <x v="7"/>
    <n v="76"/>
    <x v="1"/>
    <x v="1"/>
    <n v="1824"/>
    <x v="678"/>
  </r>
  <r>
    <n v="1424"/>
    <x v="1052"/>
    <x v="383"/>
    <s v="Mr"/>
    <s v="M"/>
    <n v="60"/>
    <s v="Duffield Drive"/>
    <x v="638"/>
    <x v="2"/>
    <d v="2021-02-28T00:00:00"/>
    <x v="1"/>
    <x v="10"/>
    <n v="80"/>
    <x v="3"/>
    <x v="3"/>
    <n v="1920"/>
    <x v="278"/>
  </r>
  <r>
    <n v="1425"/>
    <x v="932"/>
    <x v="915"/>
    <s v="Mr"/>
    <s v="M"/>
    <n v="60"/>
    <s v="Duke Street"/>
    <x v="156"/>
    <x v="19"/>
    <d v="2021-10-04T00:00:00"/>
    <x v="1"/>
    <x v="1"/>
    <n v="79"/>
    <x v="9"/>
    <x v="9"/>
    <n v="1896"/>
    <x v="219"/>
  </r>
  <r>
    <n v="1426"/>
    <x v="521"/>
    <x v="1029"/>
    <s v="Mr"/>
    <s v="M"/>
    <n v="60"/>
    <s v="Dukes Gate"/>
    <x v="655"/>
    <x v="17"/>
    <d v="2022-09-07T00:00:00"/>
    <x v="0"/>
    <x v="9"/>
    <n v="47"/>
    <x v="6"/>
    <x v="6"/>
    <n v="1128"/>
    <x v="508"/>
  </r>
  <r>
    <n v="1427"/>
    <x v="1156"/>
    <x v="810"/>
    <s v="Miss"/>
    <s v="F"/>
    <n v="90"/>
    <s v="Dukes Head"/>
    <x v="885"/>
    <x v="11"/>
    <d v="2021-02-04T00:00:00"/>
    <x v="1"/>
    <x v="10"/>
    <n v="14"/>
    <x v="6"/>
    <x v="6"/>
    <n v="336"/>
    <x v="195"/>
  </r>
  <r>
    <n v="1428"/>
    <x v="728"/>
    <x v="619"/>
    <s v="Mrs"/>
    <s v="F"/>
    <n v="60"/>
    <s v="Dukes Lane"/>
    <x v="753"/>
    <x v="2"/>
    <d v="2020-05-04T00:00:00"/>
    <x v="2"/>
    <x v="11"/>
    <n v="34"/>
    <x v="7"/>
    <x v="7"/>
    <n v="680"/>
    <x v="303"/>
  </r>
  <r>
    <n v="1429"/>
    <x v="1157"/>
    <x v="776"/>
    <s v="Mrs"/>
    <s v="F"/>
    <n v="60"/>
    <s v="Dukes Lane"/>
    <x v="886"/>
    <x v="2"/>
    <d v="2020-10-05T00:00:00"/>
    <x v="2"/>
    <x v="1"/>
    <n v="8"/>
    <x v="7"/>
    <x v="7"/>
    <n v="160"/>
    <x v="255"/>
  </r>
  <r>
    <n v="1430"/>
    <x v="1158"/>
    <x v="990"/>
    <s v="Mr"/>
    <s v="M"/>
    <n v="90"/>
    <s v="Dulcet Street"/>
    <x v="678"/>
    <x v="2"/>
    <d v="2021-02-08T00:00:00"/>
    <x v="1"/>
    <x v="10"/>
    <n v="31"/>
    <x v="9"/>
    <x v="9"/>
    <n v="744"/>
    <x v="417"/>
  </r>
  <r>
    <n v="1431"/>
    <x v="572"/>
    <x v="91"/>
    <s v="Mr"/>
    <s v="M"/>
    <n v="30"/>
    <s v="Dulwich Lawn"/>
    <x v="602"/>
    <x v="26"/>
    <d v="2020-04-21T00:00:00"/>
    <x v="2"/>
    <x v="4"/>
    <n v="18"/>
    <x v="0"/>
    <x v="0"/>
    <n v="360"/>
    <x v="18"/>
  </r>
  <r>
    <n v="1432"/>
    <x v="1159"/>
    <x v="1030"/>
    <s v="Mrs"/>
    <s v="F"/>
    <n v="90"/>
    <s v="Dumbreck Road"/>
    <x v="317"/>
    <x v="27"/>
    <d v="2020-09-07T00:00:00"/>
    <x v="2"/>
    <x v="9"/>
    <n v="44"/>
    <x v="7"/>
    <x v="7"/>
    <n v="880"/>
    <x v="766"/>
  </r>
  <r>
    <n v="1433"/>
    <x v="1160"/>
    <x v="152"/>
    <s v="Ms"/>
    <s v="F"/>
    <n v="60"/>
    <s v="Dumpton Place"/>
    <x v="530"/>
    <x v="2"/>
    <d v="2020-04-12T00:00:00"/>
    <x v="2"/>
    <x v="4"/>
    <n v="64"/>
    <x v="6"/>
    <x v="6"/>
    <n v="1536"/>
    <x v="419"/>
  </r>
  <r>
    <n v="1434"/>
    <x v="1161"/>
    <x v="1031"/>
    <s v="Mr"/>
    <s v="M"/>
    <n v="30"/>
    <s v="Dunbridge Street"/>
    <x v="887"/>
    <x v="2"/>
    <d v="2022-09-26T00:00:00"/>
    <x v="0"/>
    <x v="9"/>
    <n v="79"/>
    <x v="0"/>
    <x v="0"/>
    <n v="1580"/>
    <x v="767"/>
  </r>
  <r>
    <n v="1435"/>
    <x v="763"/>
    <x v="1032"/>
    <s v="Miss"/>
    <s v="F"/>
    <n v="60"/>
    <s v="Duncombe Hill"/>
    <x v="67"/>
    <x v="11"/>
    <d v="2022-07-06T00:00:00"/>
    <x v="0"/>
    <x v="0"/>
    <n v="11"/>
    <x v="8"/>
    <x v="8"/>
    <n v="220"/>
    <x v="768"/>
  </r>
  <r>
    <n v="1436"/>
    <x v="1162"/>
    <x v="180"/>
    <s v="Miss"/>
    <s v="F"/>
    <n v="30"/>
    <s v="Duncrievie Road"/>
    <x v="336"/>
    <x v="2"/>
    <d v="2022-01-10T00:00:00"/>
    <x v="0"/>
    <x v="6"/>
    <n v="41"/>
    <x v="7"/>
    <x v="7"/>
    <n v="820"/>
    <x v="672"/>
  </r>
  <r>
    <n v="1437"/>
    <x v="220"/>
    <x v="41"/>
    <s v="Mr"/>
    <s v="M"/>
    <n v="90"/>
    <s v="Dundonald Close"/>
    <x v="70"/>
    <x v="2"/>
    <d v="2020-06-27T00:00:00"/>
    <x v="2"/>
    <x v="2"/>
    <n v="23"/>
    <x v="4"/>
    <x v="4"/>
    <n v="414"/>
    <x v="683"/>
  </r>
  <r>
    <n v="1438"/>
    <x v="939"/>
    <x v="1033"/>
    <s v="Mr"/>
    <s v="M"/>
    <n v="90"/>
    <s v="Dunkeld Road"/>
    <x v="384"/>
    <x v="1"/>
    <d v="2020-12-24T00:00:00"/>
    <x v="2"/>
    <x v="8"/>
    <n v="77"/>
    <x v="5"/>
    <x v="5"/>
    <n v="1848"/>
    <x v="283"/>
  </r>
  <r>
    <n v="1439"/>
    <x v="1163"/>
    <x v="846"/>
    <s v="Mrs"/>
    <s v="F"/>
    <n v="30"/>
    <s v="Dunmow Road"/>
    <x v="219"/>
    <x v="2"/>
    <d v="2022-08-27T00:00:00"/>
    <x v="0"/>
    <x v="3"/>
    <n v="23"/>
    <x v="1"/>
    <x v="1"/>
    <n v="552"/>
    <x v="769"/>
  </r>
  <r>
    <n v="1440"/>
    <x v="56"/>
    <x v="1034"/>
    <s v="Mrs"/>
    <s v="F"/>
    <n v="60"/>
    <s v="Dunnock Close"/>
    <x v="813"/>
    <x v="57"/>
    <d v="2020-03-01T00:00:00"/>
    <x v="2"/>
    <x v="5"/>
    <n v="70"/>
    <x v="0"/>
    <x v="0"/>
    <n v="1400"/>
    <x v="507"/>
  </r>
  <r>
    <n v="1441"/>
    <x v="1164"/>
    <x v="1035"/>
    <s v="Miss"/>
    <s v="F"/>
    <n v="60"/>
    <s v="Dunoon Road"/>
    <x v="888"/>
    <x v="31"/>
    <d v="2020-05-15T00:00:00"/>
    <x v="2"/>
    <x v="11"/>
    <n v="76"/>
    <x v="7"/>
    <x v="7"/>
    <n v="1520"/>
    <x v="429"/>
  </r>
  <r>
    <n v="1442"/>
    <x v="1165"/>
    <x v="390"/>
    <s v="Mr"/>
    <s v="M"/>
    <n v="60"/>
    <s v="Dunoon Road"/>
    <x v="889"/>
    <x v="2"/>
    <d v="2021-03-16T00:00:00"/>
    <x v="1"/>
    <x v="5"/>
    <n v="2"/>
    <x v="7"/>
    <x v="7"/>
    <n v="40"/>
    <x v="37"/>
  </r>
  <r>
    <n v="1443"/>
    <x v="1166"/>
    <x v="1036"/>
    <s v="Miss"/>
    <s v="F"/>
    <n v="60"/>
    <s v="Dunstall Road"/>
    <x v="543"/>
    <x v="2"/>
    <d v="2021-08-23T00:00:00"/>
    <x v="1"/>
    <x v="3"/>
    <n v="53"/>
    <x v="9"/>
    <x v="9"/>
    <n v="1272"/>
    <x v="770"/>
  </r>
  <r>
    <n v="1444"/>
    <x v="1100"/>
    <x v="511"/>
    <s v="Dr"/>
    <s v="F"/>
    <n v="90"/>
    <s v="Dunton Road"/>
    <x v="890"/>
    <x v="2"/>
    <d v="2022-11-19T00:00:00"/>
    <x v="0"/>
    <x v="7"/>
    <n v="93"/>
    <x v="7"/>
    <x v="7"/>
    <n v="1860"/>
    <x v="757"/>
  </r>
  <r>
    <n v="1445"/>
    <x v="485"/>
    <x v="1037"/>
    <s v="Miss"/>
    <s v="F"/>
    <n v="30"/>
    <s v="Dunts Hill"/>
    <x v="887"/>
    <x v="2"/>
    <d v="2020-01-15T00:00:00"/>
    <x v="2"/>
    <x v="6"/>
    <n v="66"/>
    <x v="2"/>
    <x v="2"/>
    <n v="1122"/>
    <x v="771"/>
  </r>
  <r>
    <n v="1446"/>
    <x v="1167"/>
    <x v="981"/>
    <s v="Mrs"/>
    <s v="F"/>
    <n v="30"/>
    <s v="Durham Farm"/>
    <x v="528"/>
    <x v="21"/>
    <d v="2022-06-05T00:00:00"/>
    <x v="0"/>
    <x v="2"/>
    <n v="28"/>
    <x v="1"/>
    <x v="1"/>
    <n v="672"/>
    <x v="772"/>
  </r>
  <r>
    <n v="1447"/>
    <x v="1168"/>
    <x v="1038"/>
    <s v="Mr"/>
    <s v="M"/>
    <n v="90"/>
    <s v="Durham Rise"/>
    <x v="240"/>
    <x v="41"/>
    <d v="2020-12-23T00:00:00"/>
    <x v="2"/>
    <x v="8"/>
    <n v="58"/>
    <x v="7"/>
    <x v="7"/>
    <n v="1160"/>
    <x v="141"/>
  </r>
  <r>
    <n v="1448"/>
    <x v="969"/>
    <x v="990"/>
    <s v="Mr"/>
    <s v="M"/>
    <n v="90"/>
    <s v="Durrell Road"/>
    <x v="891"/>
    <x v="2"/>
    <d v="2020-11-21T00:00:00"/>
    <x v="2"/>
    <x v="7"/>
    <n v="55"/>
    <x v="2"/>
    <x v="2"/>
    <n v="935"/>
    <x v="773"/>
  </r>
  <r>
    <n v="1449"/>
    <x v="1169"/>
    <x v="1039"/>
    <s v="Mr"/>
    <s v="M"/>
    <n v="60"/>
    <s v="Dursley Close"/>
    <x v="235"/>
    <x v="12"/>
    <d v="2022-10-27T00:00:00"/>
    <x v="0"/>
    <x v="1"/>
    <n v="45"/>
    <x v="7"/>
    <x v="7"/>
    <n v="900"/>
    <x v="401"/>
  </r>
  <r>
    <n v="1450"/>
    <x v="1170"/>
    <x v="200"/>
    <s v="Ms"/>
    <s v="F"/>
    <n v="30"/>
    <s v="Dursley Gardens"/>
    <x v="447"/>
    <x v="3"/>
    <d v="2021-03-13T00:00:00"/>
    <x v="1"/>
    <x v="5"/>
    <n v="47"/>
    <x v="4"/>
    <x v="4"/>
    <n v="846"/>
    <x v="78"/>
  </r>
  <r>
    <n v="1451"/>
    <x v="1171"/>
    <x v="75"/>
    <s v="Mr"/>
    <s v="M"/>
    <n v="60"/>
    <s v="Durward Street"/>
    <x v="736"/>
    <x v="44"/>
    <d v="2021-05-04T00:00:00"/>
    <x v="1"/>
    <x v="11"/>
    <n v="21"/>
    <x v="6"/>
    <x v="6"/>
    <n v="504"/>
    <x v="332"/>
  </r>
  <r>
    <n v="1452"/>
    <x v="151"/>
    <x v="1040"/>
    <s v="Mr"/>
    <s v="M"/>
    <n v="30"/>
    <s v="Dyers Buildings"/>
    <x v="892"/>
    <x v="24"/>
    <d v="2021-04-15T00:00:00"/>
    <x v="1"/>
    <x v="4"/>
    <n v="35"/>
    <x v="0"/>
    <x v="0"/>
    <n v="700"/>
    <x v="626"/>
  </r>
  <r>
    <n v="1453"/>
    <x v="611"/>
    <x v="1041"/>
    <s v="Miss"/>
    <s v="F"/>
    <n v="60"/>
    <s v="Eaden Place"/>
    <x v="268"/>
    <x v="21"/>
    <d v="2020-05-17T00:00:00"/>
    <x v="2"/>
    <x v="11"/>
    <n v="16"/>
    <x v="1"/>
    <x v="1"/>
    <n v="384"/>
    <x v="441"/>
  </r>
  <r>
    <n v="1454"/>
    <x v="1172"/>
    <x v="885"/>
    <s v="Miss"/>
    <s v="F"/>
    <n v="90"/>
    <s v="Eagle Court"/>
    <x v="893"/>
    <x v="2"/>
    <d v="2021-09-23T00:00:00"/>
    <x v="1"/>
    <x v="9"/>
    <n v="38"/>
    <x v="2"/>
    <x v="2"/>
    <n v="646"/>
    <x v="161"/>
  </r>
  <r>
    <n v="1455"/>
    <x v="1173"/>
    <x v="384"/>
    <s v="Mr"/>
    <s v="M"/>
    <n v="30"/>
    <s v="Eagle Drive"/>
    <x v="268"/>
    <x v="21"/>
    <d v="2022-08-25T00:00:00"/>
    <x v="0"/>
    <x v="3"/>
    <n v="16"/>
    <x v="8"/>
    <x v="8"/>
    <n v="320"/>
    <x v="730"/>
  </r>
  <r>
    <n v="1456"/>
    <x v="840"/>
    <x v="856"/>
    <s v="Mr"/>
    <s v="M"/>
    <n v="60"/>
    <s v="Eagle Street"/>
    <x v="262"/>
    <x v="35"/>
    <d v="2022-12-03T00:00:00"/>
    <x v="0"/>
    <x v="8"/>
    <n v="97"/>
    <x v="3"/>
    <x v="3"/>
    <n v="2328"/>
    <x v="571"/>
  </r>
  <r>
    <n v="1457"/>
    <x v="855"/>
    <x v="1042"/>
    <s v="Miss"/>
    <s v="F"/>
    <n v="90"/>
    <s v="Eagles Street"/>
    <x v="184"/>
    <x v="11"/>
    <d v="2022-04-09T00:00:00"/>
    <x v="0"/>
    <x v="4"/>
    <n v="29"/>
    <x v="6"/>
    <x v="6"/>
    <n v="696"/>
    <x v="92"/>
  </r>
  <r>
    <n v="1458"/>
    <x v="381"/>
    <x v="40"/>
    <s v="Mr"/>
    <s v="M"/>
    <n v="90"/>
    <s v="Ealing Park"/>
    <x v="680"/>
    <x v="2"/>
    <d v="2020-08-08T00:00:00"/>
    <x v="2"/>
    <x v="3"/>
    <n v="19"/>
    <x v="9"/>
    <x v="9"/>
    <n v="456"/>
    <x v="418"/>
  </r>
  <r>
    <n v="1459"/>
    <x v="706"/>
    <x v="118"/>
    <s v="Mr"/>
    <s v="M"/>
    <n v="90"/>
    <s v="Earl Rise"/>
    <x v="607"/>
    <x v="3"/>
    <d v="2020-06-25T00:00:00"/>
    <x v="2"/>
    <x v="2"/>
    <n v="40"/>
    <x v="0"/>
    <x v="0"/>
    <n v="800"/>
    <x v="239"/>
  </r>
  <r>
    <n v="1460"/>
    <x v="229"/>
    <x v="421"/>
    <s v="Prof"/>
    <s v="M"/>
    <n v="90"/>
    <s v="Earl Road"/>
    <x v="894"/>
    <x v="15"/>
    <d v="2020-10-30T00:00:00"/>
    <x v="2"/>
    <x v="1"/>
    <n v="27"/>
    <x v="2"/>
    <x v="2"/>
    <n v="459"/>
    <x v="431"/>
  </r>
  <r>
    <n v="1461"/>
    <x v="183"/>
    <x v="1043"/>
    <s v="Mr"/>
    <s v="M"/>
    <n v="30"/>
    <s v="Earlham Grove"/>
    <x v="895"/>
    <x v="2"/>
    <d v="2021-02-20T00:00:00"/>
    <x v="1"/>
    <x v="10"/>
    <n v="17"/>
    <x v="4"/>
    <x v="4"/>
    <n v="306"/>
    <x v="567"/>
  </r>
  <r>
    <n v="1462"/>
    <x v="1174"/>
    <x v="1044"/>
    <s v="Miss"/>
    <s v="F"/>
    <n v="90"/>
    <s v="Earlham Street"/>
    <x v="259"/>
    <x v="2"/>
    <d v="2020-12-03T00:00:00"/>
    <x v="2"/>
    <x v="8"/>
    <n v="69"/>
    <x v="3"/>
    <x v="3"/>
    <n v="1656"/>
    <x v="611"/>
  </r>
  <r>
    <n v="1463"/>
    <x v="1175"/>
    <x v="1021"/>
    <s v="Mrs"/>
    <s v="F"/>
    <n v="60"/>
    <s v="Earl'S Place"/>
    <x v="652"/>
    <x v="50"/>
    <d v="2021-06-03T00:00:00"/>
    <x v="1"/>
    <x v="2"/>
    <n v="65"/>
    <x v="3"/>
    <x v="3"/>
    <n v="1560"/>
    <x v="257"/>
  </r>
  <r>
    <n v="1464"/>
    <x v="1176"/>
    <x v="380"/>
    <s v="Miss"/>
    <s v="F"/>
    <n v="30"/>
    <s v="Earlsferry Way"/>
    <x v="896"/>
    <x v="2"/>
    <d v="2021-06-20T00:00:00"/>
    <x v="1"/>
    <x v="2"/>
    <n v="47"/>
    <x v="1"/>
    <x v="1"/>
    <n v="1128"/>
    <x v="147"/>
  </r>
  <r>
    <n v="1465"/>
    <x v="886"/>
    <x v="1045"/>
    <s v="Miss"/>
    <s v="F"/>
    <n v="90"/>
    <s v="Earsby Street"/>
    <x v="847"/>
    <x v="11"/>
    <d v="2022-03-31T00:00:00"/>
    <x v="0"/>
    <x v="5"/>
    <n v="22"/>
    <x v="4"/>
    <x v="4"/>
    <n v="396"/>
    <x v="600"/>
  </r>
  <r>
    <n v="1466"/>
    <x v="1030"/>
    <x v="1046"/>
    <s v="Mr"/>
    <s v="M"/>
    <n v="90"/>
    <s v="Easington Buildings"/>
    <x v="186"/>
    <x v="33"/>
    <d v="2020-05-12T00:00:00"/>
    <x v="2"/>
    <x v="11"/>
    <n v="4"/>
    <x v="7"/>
    <x v="7"/>
    <n v="80"/>
    <x v="192"/>
  </r>
  <r>
    <n v="1467"/>
    <x v="298"/>
    <x v="1047"/>
    <s v="Mr"/>
    <s v="M"/>
    <n v="60"/>
    <s v="East Coombe"/>
    <x v="360"/>
    <x v="2"/>
    <d v="2020-04-08T00:00:00"/>
    <x v="2"/>
    <x v="4"/>
    <n v="21"/>
    <x v="7"/>
    <x v="7"/>
    <n v="420"/>
    <x v="774"/>
  </r>
  <r>
    <n v="1468"/>
    <x v="1177"/>
    <x v="1048"/>
    <s v="Mrs"/>
    <s v="F"/>
    <n v="90"/>
    <s v="East Cross"/>
    <x v="117"/>
    <x v="2"/>
    <d v="2020-08-21T00:00:00"/>
    <x v="2"/>
    <x v="3"/>
    <n v="48"/>
    <x v="5"/>
    <x v="5"/>
    <n v="1152"/>
    <x v="720"/>
  </r>
  <r>
    <n v="1469"/>
    <x v="1178"/>
    <x v="1049"/>
    <s v="Mr"/>
    <s v="M"/>
    <n v="90"/>
    <s v="East India"/>
    <x v="770"/>
    <x v="81"/>
    <d v="2022-01-15T00:00:00"/>
    <x v="0"/>
    <x v="6"/>
    <n v="101"/>
    <x v="6"/>
    <x v="6"/>
    <n v="2424"/>
    <x v="775"/>
  </r>
  <r>
    <n v="1470"/>
    <x v="433"/>
    <x v="1050"/>
    <s v="Miss"/>
    <s v="F"/>
    <n v="90"/>
    <s v="East Market"/>
    <x v="897"/>
    <x v="7"/>
    <d v="2020-08-27T00:00:00"/>
    <x v="2"/>
    <x v="3"/>
    <n v="36"/>
    <x v="5"/>
    <x v="5"/>
    <n v="864"/>
    <x v="236"/>
  </r>
  <r>
    <n v="1471"/>
    <x v="1179"/>
    <x v="1051"/>
    <s v="Mr"/>
    <s v="M"/>
    <n v="90"/>
    <s v="Eastbourne Gardens"/>
    <x v="898"/>
    <x v="15"/>
    <d v="2020-04-15T00:00:00"/>
    <x v="2"/>
    <x v="4"/>
    <n v="62"/>
    <x v="7"/>
    <x v="7"/>
    <n v="1240"/>
    <x v="776"/>
  </r>
  <r>
    <n v="1472"/>
    <x v="829"/>
    <x v="636"/>
    <s v="Miss"/>
    <s v="F"/>
    <n v="30"/>
    <s v="Eastbourne Terrace"/>
    <x v="427"/>
    <x v="21"/>
    <d v="2020-03-14T00:00:00"/>
    <x v="2"/>
    <x v="5"/>
    <n v="25"/>
    <x v="7"/>
    <x v="7"/>
    <n v="500"/>
    <x v="191"/>
  </r>
  <r>
    <n v="1473"/>
    <x v="1180"/>
    <x v="747"/>
    <s v="Mrs"/>
    <s v="F"/>
    <n v="60"/>
    <s v="Eastbrook Road"/>
    <x v="895"/>
    <x v="2"/>
    <d v="2021-06-13T00:00:00"/>
    <x v="1"/>
    <x v="2"/>
    <n v="17"/>
    <x v="8"/>
    <x v="8"/>
    <n v="340"/>
    <x v="669"/>
  </r>
  <r>
    <n v="1474"/>
    <x v="1181"/>
    <x v="1052"/>
    <s v="Mrs"/>
    <s v="F"/>
    <n v="30"/>
    <s v="Eastgate Close"/>
    <x v="287"/>
    <x v="2"/>
    <d v="2022-09-30T00:00:00"/>
    <x v="0"/>
    <x v="9"/>
    <n v="45"/>
    <x v="1"/>
    <x v="1"/>
    <n v="1080"/>
    <x v="414"/>
  </r>
  <r>
    <n v="1475"/>
    <x v="1182"/>
    <x v="75"/>
    <s v="Mr"/>
    <s v="M"/>
    <n v="30"/>
    <s v="Eastlake Road"/>
    <x v="899"/>
    <x v="3"/>
    <d v="2020-11-27T00:00:00"/>
    <x v="2"/>
    <x v="7"/>
    <n v="58"/>
    <x v="6"/>
    <x v="6"/>
    <n v="1392"/>
    <x v="547"/>
  </r>
  <r>
    <n v="1476"/>
    <x v="51"/>
    <x v="1042"/>
    <s v="Miss"/>
    <s v="F"/>
    <n v="60"/>
    <s v="Eastlea Mews"/>
    <x v="454"/>
    <x v="39"/>
    <d v="2020-10-10T00:00:00"/>
    <x v="2"/>
    <x v="1"/>
    <n v="33"/>
    <x v="0"/>
    <x v="0"/>
    <n v="660"/>
    <x v="745"/>
  </r>
  <r>
    <n v="1477"/>
    <x v="1183"/>
    <x v="453"/>
    <s v="Miss"/>
    <s v="F"/>
    <n v="60"/>
    <s v="Eastway Commercial"/>
    <x v="257"/>
    <x v="1"/>
    <d v="2021-07-08T00:00:00"/>
    <x v="1"/>
    <x v="0"/>
    <n v="62"/>
    <x v="5"/>
    <x v="5"/>
    <n v="1488"/>
    <x v="777"/>
  </r>
  <r>
    <n v="1478"/>
    <x v="1184"/>
    <x v="1053"/>
    <s v="Mrs"/>
    <s v="F"/>
    <n v="60"/>
    <s v="Eaton Square"/>
    <x v="390"/>
    <x v="2"/>
    <d v="2021-06-15T00:00:00"/>
    <x v="1"/>
    <x v="2"/>
    <n v="48"/>
    <x v="0"/>
    <x v="0"/>
    <n v="960"/>
    <x v="411"/>
  </r>
  <r>
    <n v="1479"/>
    <x v="1185"/>
    <x v="1054"/>
    <s v="Mr"/>
    <s v="M"/>
    <n v="30"/>
    <s v="Eatons Mead"/>
    <x v="780"/>
    <x v="2"/>
    <d v="2020-12-19T00:00:00"/>
    <x v="2"/>
    <x v="8"/>
    <n v="36"/>
    <x v="8"/>
    <x v="8"/>
    <n v="720"/>
    <x v="719"/>
  </r>
  <r>
    <n v="1480"/>
    <x v="1186"/>
    <x v="1055"/>
    <s v="Miss"/>
    <s v="F"/>
    <n v="60"/>
    <s v="Eburne Road"/>
    <x v="900"/>
    <x v="62"/>
    <d v="2020-06-07T00:00:00"/>
    <x v="2"/>
    <x v="2"/>
    <n v="68"/>
    <x v="6"/>
    <x v="6"/>
    <n v="1632"/>
    <x v="778"/>
  </r>
  <r>
    <n v="1481"/>
    <x v="1187"/>
    <x v="620"/>
    <s v="Miss"/>
    <s v="F"/>
    <n v="60"/>
    <s v="Ebury Street"/>
    <x v="440"/>
    <x v="12"/>
    <d v="2022-10-22T00:00:00"/>
    <x v="0"/>
    <x v="1"/>
    <n v="77"/>
    <x v="0"/>
    <x v="0"/>
    <n v="1540"/>
    <x v="779"/>
  </r>
  <r>
    <n v="1482"/>
    <x v="914"/>
    <x v="470"/>
    <s v="Mr"/>
    <s v="M"/>
    <n v="30"/>
    <s v="Echo Heights"/>
    <x v="901"/>
    <x v="3"/>
    <d v="2021-10-02T00:00:00"/>
    <x v="1"/>
    <x v="1"/>
    <n v="8"/>
    <x v="3"/>
    <x v="3"/>
    <n v="192"/>
    <x v="213"/>
  </r>
  <r>
    <n v="1483"/>
    <x v="1188"/>
    <x v="103"/>
    <s v="Mr"/>
    <s v="M"/>
    <n v="90"/>
    <s v="Eckstein Road"/>
    <x v="21"/>
    <x v="2"/>
    <d v="2021-05-06T00:00:00"/>
    <x v="1"/>
    <x v="11"/>
    <n v="48"/>
    <x v="3"/>
    <x v="3"/>
    <n v="1152"/>
    <x v="780"/>
  </r>
  <r>
    <n v="1484"/>
    <x v="1189"/>
    <x v="1056"/>
    <s v="Mr"/>
    <s v="M"/>
    <n v="30"/>
    <s v="Edbrooke Road"/>
    <x v="422"/>
    <x v="66"/>
    <d v="2021-10-17T00:00:00"/>
    <x v="1"/>
    <x v="1"/>
    <n v="31"/>
    <x v="5"/>
    <x v="5"/>
    <n v="744"/>
    <x v="781"/>
  </r>
  <r>
    <n v="1485"/>
    <x v="1190"/>
    <x v="254"/>
    <s v="Mr"/>
    <s v="M"/>
    <n v="30"/>
    <s v="Edgar Kail"/>
    <x v="331"/>
    <x v="2"/>
    <d v="2020-01-10T00:00:00"/>
    <x v="2"/>
    <x v="6"/>
    <n v="32"/>
    <x v="3"/>
    <x v="3"/>
    <n v="768"/>
    <x v="282"/>
  </r>
  <r>
    <n v="1486"/>
    <x v="962"/>
    <x v="1057"/>
    <s v="Mr"/>
    <s v="M"/>
    <n v="30"/>
    <s v="Edgar Road"/>
    <x v="268"/>
    <x v="21"/>
    <d v="2020-02-26T00:00:00"/>
    <x v="2"/>
    <x v="10"/>
    <n v="26"/>
    <x v="4"/>
    <x v="4"/>
    <n v="468"/>
    <x v="607"/>
  </r>
  <r>
    <n v="1487"/>
    <x v="1191"/>
    <x v="1058"/>
    <s v="Miss"/>
    <s v="F"/>
    <n v="30"/>
    <s v="Edge Terrace"/>
    <x v="887"/>
    <x v="2"/>
    <d v="2021-08-24T00:00:00"/>
    <x v="1"/>
    <x v="3"/>
    <n v="66"/>
    <x v="5"/>
    <x v="5"/>
    <n v="1584"/>
    <x v="648"/>
  </r>
  <r>
    <n v="1488"/>
    <x v="1192"/>
    <x v="1059"/>
    <s v="Miss"/>
    <s v="F"/>
    <n v="30"/>
    <s v="Edington Road"/>
    <x v="269"/>
    <x v="21"/>
    <d v="2022-10-24T00:00:00"/>
    <x v="0"/>
    <x v="1"/>
    <n v="99"/>
    <x v="5"/>
    <x v="5"/>
    <n v="2376"/>
    <x v="782"/>
  </r>
  <r>
    <n v="1489"/>
    <x v="377"/>
    <x v="642"/>
    <s v="Mr"/>
    <s v="M"/>
    <n v="30"/>
    <s v="Edison Road"/>
    <x v="430"/>
    <x v="2"/>
    <d v="2020-09-18T00:00:00"/>
    <x v="2"/>
    <x v="9"/>
    <n v="46"/>
    <x v="9"/>
    <x v="9"/>
    <n v="1104"/>
    <x v="783"/>
  </r>
  <r>
    <n v="1490"/>
    <x v="805"/>
    <x v="1060"/>
    <s v="Miss"/>
    <s v="F"/>
    <n v="90"/>
    <s v="Edith Terrace"/>
    <x v="902"/>
    <x v="1"/>
    <d v="2020-11-01T00:00:00"/>
    <x v="2"/>
    <x v="7"/>
    <n v="83"/>
    <x v="0"/>
    <x v="0"/>
    <n v="1660"/>
    <x v="784"/>
  </r>
  <r>
    <n v="1491"/>
    <x v="327"/>
    <x v="197"/>
    <s v="Mr"/>
    <s v="M"/>
    <n v="90"/>
    <s v="Edith Villas"/>
    <x v="903"/>
    <x v="2"/>
    <d v="2020-12-15T00:00:00"/>
    <x v="2"/>
    <x v="8"/>
    <n v="21"/>
    <x v="7"/>
    <x v="7"/>
    <n v="420"/>
    <x v="774"/>
  </r>
  <r>
    <n v="1492"/>
    <x v="1193"/>
    <x v="557"/>
    <s v="Mrs"/>
    <s v="F"/>
    <n v="60"/>
    <s v="Edwin'S Mead"/>
    <x v="182"/>
    <x v="32"/>
    <d v="2022-11-11T00:00:00"/>
    <x v="0"/>
    <x v="7"/>
    <n v="62"/>
    <x v="0"/>
    <x v="0"/>
    <n v="1240"/>
    <x v="632"/>
  </r>
  <r>
    <n v="1493"/>
    <x v="1194"/>
    <x v="1061"/>
    <s v="Mrs"/>
    <s v="F"/>
    <n v="90"/>
    <s v="Effort Street"/>
    <x v="690"/>
    <x v="2"/>
    <d v="2020-10-28T00:00:00"/>
    <x v="2"/>
    <x v="1"/>
    <n v="34"/>
    <x v="6"/>
    <x v="6"/>
    <n v="816"/>
    <x v="615"/>
  </r>
  <r>
    <n v="1494"/>
    <x v="459"/>
    <x v="1062"/>
    <s v="Mr"/>
    <s v="M"/>
    <n v="90"/>
    <s v="Effra Road"/>
    <x v="904"/>
    <x v="3"/>
    <d v="2022-11-08T00:00:00"/>
    <x v="0"/>
    <x v="7"/>
    <n v="89"/>
    <x v="0"/>
    <x v="0"/>
    <n v="1780"/>
    <x v="785"/>
  </r>
  <r>
    <n v="1495"/>
    <x v="290"/>
    <x v="450"/>
    <s v="Mr"/>
    <s v="M"/>
    <n v="60"/>
    <s v="Eglantine Road"/>
    <x v="595"/>
    <x v="11"/>
    <d v="2022-10-03T00:00:00"/>
    <x v="0"/>
    <x v="1"/>
    <n v="60"/>
    <x v="6"/>
    <x v="6"/>
    <n v="1440"/>
    <x v="279"/>
  </r>
  <r>
    <n v="1496"/>
    <x v="1195"/>
    <x v="952"/>
    <s v="Mr"/>
    <s v="M"/>
    <n v="90"/>
    <s v="Egliston Road"/>
    <x v="905"/>
    <x v="17"/>
    <d v="2020-05-12T00:00:00"/>
    <x v="2"/>
    <x v="11"/>
    <n v="72"/>
    <x v="0"/>
    <x v="0"/>
    <n v="1440"/>
    <x v="560"/>
  </r>
  <r>
    <n v="1497"/>
    <x v="1196"/>
    <x v="1063"/>
    <s v="Mr"/>
    <s v="M"/>
    <n v="30"/>
    <s v="Eider Close"/>
    <x v="837"/>
    <x v="2"/>
    <d v="2022-05-06T00:00:00"/>
    <x v="0"/>
    <x v="11"/>
    <n v="66"/>
    <x v="1"/>
    <x v="1"/>
    <n v="1584"/>
    <x v="786"/>
  </r>
  <r>
    <n v="1498"/>
    <x v="1197"/>
    <x v="1064"/>
    <s v="Mrs"/>
    <s v="F"/>
    <n v="30"/>
    <s v="Elborough Road"/>
    <x v="188"/>
    <x v="11"/>
    <d v="2021-05-15T00:00:00"/>
    <x v="1"/>
    <x v="11"/>
    <n v="86"/>
    <x v="4"/>
    <x v="4"/>
    <n v="1548"/>
    <x v="787"/>
  </r>
  <r>
    <n v="1499"/>
    <x v="1198"/>
    <x v="436"/>
    <s v="Rev"/>
    <s v="M"/>
    <n v="30"/>
    <s v="Elborough Street"/>
    <x v="906"/>
    <x v="1"/>
    <d v="2021-12-25T00:00:00"/>
    <x v="1"/>
    <x v="8"/>
    <n v="11"/>
    <x v="7"/>
    <x v="7"/>
    <n v="220"/>
    <x v="788"/>
  </r>
  <r>
    <n v="1500"/>
    <x v="1199"/>
    <x v="1065"/>
    <s v="Mrs"/>
    <s v="F"/>
    <n v="60"/>
    <s v="Elbow Lane"/>
    <x v="907"/>
    <x v="3"/>
    <d v="2022-09-03T00:00:00"/>
    <x v="0"/>
    <x v="9"/>
    <n v="73"/>
    <x v="9"/>
    <x v="9"/>
    <n v="1752"/>
    <x v="152"/>
  </r>
  <r>
    <n v="1501"/>
    <x v="1200"/>
    <x v="111"/>
    <s v="Miss"/>
    <s v="F"/>
    <n v="90"/>
    <s v="Elder Cottages"/>
    <x v="77"/>
    <x v="13"/>
    <d v="2021-09-24T00:00:00"/>
    <x v="1"/>
    <x v="9"/>
    <n v="29"/>
    <x v="2"/>
    <x v="2"/>
    <n v="493"/>
    <x v="481"/>
  </r>
  <r>
    <n v="1502"/>
    <x v="1201"/>
    <x v="1066"/>
    <s v="Miss"/>
    <s v="F"/>
    <n v="90"/>
    <s v="Elder Walk"/>
    <x v="624"/>
    <x v="2"/>
    <d v="2021-12-01T00:00:00"/>
    <x v="1"/>
    <x v="8"/>
    <n v="62"/>
    <x v="7"/>
    <x v="7"/>
    <n v="1240"/>
    <x v="776"/>
  </r>
  <r>
    <n v="1503"/>
    <x v="1202"/>
    <x v="7"/>
    <s v="Mrs"/>
    <s v="F"/>
    <n v="30"/>
    <s v="Eldon House"/>
    <x v="510"/>
    <x v="71"/>
    <d v="2020-11-29T00:00:00"/>
    <x v="2"/>
    <x v="7"/>
    <n v="83"/>
    <x v="3"/>
    <x v="3"/>
    <n v="1992"/>
    <x v="321"/>
  </r>
  <r>
    <n v="1504"/>
    <x v="1203"/>
    <x v="1067"/>
    <s v="Mr"/>
    <s v="M"/>
    <n v="90"/>
    <s v="Elem Street"/>
    <x v="908"/>
    <x v="16"/>
    <d v="2020-11-08T00:00:00"/>
    <x v="2"/>
    <x v="7"/>
    <n v="80"/>
    <x v="9"/>
    <x v="9"/>
    <n v="1920"/>
    <x v="176"/>
  </r>
  <r>
    <n v="1505"/>
    <x v="1204"/>
    <x v="1068"/>
    <s v="Mrs"/>
    <s v="F"/>
    <n v="30"/>
    <s v="Elf Row"/>
    <x v="854"/>
    <x v="17"/>
    <d v="2022-06-22T00:00:00"/>
    <x v="0"/>
    <x v="2"/>
    <n v="16"/>
    <x v="0"/>
    <x v="0"/>
    <n v="320"/>
    <x v="12"/>
  </r>
  <r>
    <n v="1506"/>
    <x v="1205"/>
    <x v="1069"/>
    <s v="Ms"/>
    <s v="F"/>
    <n v="30"/>
    <s v="Elford Close"/>
    <x v="506"/>
    <x v="15"/>
    <d v="2020-06-01T00:00:00"/>
    <x v="2"/>
    <x v="2"/>
    <n v="42"/>
    <x v="8"/>
    <x v="8"/>
    <n v="840"/>
    <x v="289"/>
  </r>
  <r>
    <n v="1507"/>
    <x v="1206"/>
    <x v="1070"/>
    <s v="Mr"/>
    <s v="M"/>
    <n v="90"/>
    <s v="Elfwine Road"/>
    <x v="909"/>
    <x v="17"/>
    <d v="2020-06-07T00:00:00"/>
    <x v="2"/>
    <x v="2"/>
    <n v="34"/>
    <x v="7"/>
    <x v="7"/>
    <n v="680"/>
    <x v="303"/>
  </r>
  <r>
    <n v="1508"/>
    <x v="818"/>
    <x v="1071"/>
    <s v="Miss"/>
    <s v="F"/>
    <n v="60"/>
    <s v="Elgin Chambers"/>
    <x v="648"/>
    <x v="2"/>
    <d v="2022-08-23T00:00:00"/>
    <x v="0"/>
    <x v="3"/>
    <n v="81"/>
    <x v="1"/>
    <x v="1"/>
    <n v="1944"/>
    <x v="125"/>
  </r>
  <r>
    <n v="1509"/>
    <x v="1207"/>
    <x v="1072"/>
    <s v="Miss"/>
    <s v="F"/>
    <n v="90"/>
    <s v="Elias Place"/>
    <x v="811"/>
    <x v="2"/>
    <d v="2021-07-17T00:00:00"/>
    <x v="1"/>
    <x v="0"/>
    <n v="23"/>
    <x v="6"/>
    <x v="6"/>
    <n v="552"/>
    <x v="595"/>
  </r>
  <r>
    <n v="1510"/>
    <x v="909"/>
    <x v="1073"/>
    <s v="Mr"/>
    <s v="M"/>
    <n v="90"/>
    <s v="Elim Street"/>
    <x v="29"/>
    <x v="15"/>
    <d v="2021-03-11T00:00:00"/>
    <x v="1"/>
    <x v="5"/>
    <n v="55"/>
    <x v="7"/>
    <x v="7"/>
    <n v="1100"/>
    <x v="216"/>
  </r>
  <r>
    <n v="1511"/>
    <x v="1208"/>
    <x v="1074"/>
    <s v="Miss"/>
    <s v="F"/>
    <n v="30"/>
    <s v="Elizabeth Avenue"/>
    <x v="730"/>
    <x v="9"/>
    <d v="2022-04-18T00:00:00"/>
    <x v="0"/>
    <x v="4"/>
    <n v="32"/>
    <x v="6"/>
    <x v="6"/>
    <n v="768"/>
    <x v="789"/>
  </r>
  <r>
    <n v="1512"/>
    <x v="1209"/>
    <x v="910"/>
    <s v="Miss"/>
    <s v="F"/>
    <n v="60"/>
    <s v="Elizabeth Clyde"/>
    <x v="877"/>
    <x v="2"/>
    <d v="2022-12-15T00:00:00"/>
    <x v="0"/>
    <x v="8"/>
    <n v="40"/>
    <x v="9"/>
    <x v="9"/>
    <n v="960"/>
    <x v="228"/>
  </r>
  <r>
    <n v="1513"/>
    <x v="178"/>
    <x v="1075"/>
    <s v="Mr"/>
    <s v="M"/>
    <n v="90"/>
    <s v="Elizabeth Place"/>
    <x v="364"/>
    <x v="26"/>
    <d v="2022-10-27T00:00:00"/>
    <x v="0"/>
    <x v="1"/>
    <n v="75"/>
    <x v="5"/>
    <x v="5"/>
    <n v="1800"/>
    <x v="790"/>
  </r>
  <r>
    <n v="1514"/>
    <x v="773"/>
    <x v="1025"/>
    <s v="Mr"/>
    <s v="M"/>
    <n v="30"/>
    <s v="Elizabeth Row"/>
    <x v="437"/>
    <x v="0"/>
    <d v="2020-11-12T00:00:00"/>
    <x v="2"/>
    <x v="7"/>
    <n v="71"/>
    <x v="7"/>
    <x v="7"/>
    <n v="1420"/>
    <x v="131"/>
  </r>
  <r>
    <n v="1515"/>
    <x v="1210"/>
    <x v="1036"/>
    <s v="Mr"/>
    <s v="M"/>
    <n v="30"/>
    <s v="Ellanby Crescent"/>
    <x v="698"/>
    <x v="2"/>
    <d v="2022-04-09T00:00:00"/>
    <x v="0"/>
    <x v="4"/>
    <n v="57"/>
    <x v="2"/>
    <x v="2"/>
    <n v="969"/>
    <x v="489"/>
  </r>
  <r>
    <n v="1516"/>
    <x v="1211"/>
    <x v="566"/>
    <s v="Mr"/>
    <s v="M"/>
    <n v="60"/>
    <s v="Ellerby Street"/>
    <x v="910"/>
    <x v="2"/>
    <d v="2022-06-20T00:00:00"/>
    <x v="0"/>
    <x v="2"/>
    <n v="39"/>
    <x v="7"/>
    <x v="7"/>
    <n v="780"/>
    <x v="145"/>
  </r>
  <r>
    <n v="1517"/>
    <x v="1212"/>
    <x v="1076"/>
    <s v="Mr"/>
    <s v="M"/>
    <n v="90"/>
    <s v="Ellesmere Terrace"/>
    <x v="911"/>
    <x v="2"/>
    <d v="2020-12-10T00:00:00"/>
    <x v="2"/>
    <x v="8"/>
    <n v="46"/>
    <x v="2"/>
    <x v="2"/>
    <n v="782"/>
    <x v="38"/>
  </r>
  <r>
    <n v="1518"/>
    <x v="1213"/>
    <x v="1077"/>
    <s v="Mrs"/>
    <s v="F"/>
    <n v="90"/>
    <s v="Elliots Row"/>
    <x v="371"/>
    <x v="18"/>
    <d v="2021-08-21T00:00:00"/>
    <x v="1"/>
    <x v="3"/>
    <n v="19"/>
    <x v="3"/>
    <x v="3"/>
    <n v="456"/>
    <x v="69"/>
  </r>
  <r>
    <n v="1519"/>
    <x v="1214"/>
    <x v="176"/>
    <s v="Mrs"/>
    <s v="F"/>
    <n v="30"/>
    <s v="Ellis Close"/>
    <x v="90"/>
    <x v="2"/>
    <d v="2020-08-08T00:00:00"/>
    <x v="2"/>
    <x v="3"/>
    <n v="69"/>
    <x v="0"/>
    <x v="0"/>
    <n v="1380"/>
    <x v="497"/>
  </r>
  <r>
    <n v="1520"/>
    <x v="1215"/>
    <x v="1026"/>
    <s v="Miss"/>
    <s v="F"/>
    <n v="30"/>
    <s v="Ellis Street"/>
    <x v="912"/>
    <x v="2"/>
    <d v="2020-12-01T00:00:00"/>
    <x v="2"/>
    <x v="8"/>
    <n v="50"/>
    <x v="1"/>
    <x v="1"/>
    <n v="1200"/>
    <x v="19"/>
  </r>
  <r>
    <n v="1521"/>
    <x v="1216"/>
    <x v="1078"/>
    <s v="Mr"/>
    <s v="M"/>
    <n v="90"/>
    <s v="Elliscombe Mount"/>
    <x v="833"/>
    <x v="0"/>
    <d v="2020-10-12T00:00:00"/>
    <x v="2"/>
    <x v="1"/>
    <n v="15"/>
    <x v="0"/>
    <x v="0"/>
    <n v="300"/>
    <x v="646"/>
  </r>
  <r>
    <n v="1522"/>
    <x v="988"/>
    <x v="1034"/>
    <s v="Mr"/>
    <s v="M"/>
    <n v="60"/>
    <s v="Elm House"/>
    <x v="913"/>
    <x v="87"/>
    <d v="2022-01-04T00:00:00"/>
    <x v="0"/>
    <x v="6"/>
    <n v="48"/>
    <x v="5"/>
    <x v="5"/>
    <n v="1152"/>
    <x v="720"/>
  </r>
  <r>
    <n v="1523"/>
    <x v="740"/>
    <x v="880"/>
    <s v="Miss"/>
    <s v="F"/>
    <n v="30"/>
    <s v="Elm House"/>
    <x v="914"/>
    <x v="17"/>
    <d v="2020-11-29T00:00:00"/>
    <x v="2"/>
    <x v="7"/>
    <n v="47"/>
    <x v="9"/>
    <x v="9"/>
    <n v="1128"/>
    <x v="580"/>
  </r>
  <r>
    <n v="1524"/>
    <x v="1217"/>
    <x v="1079"/>
    <s v="Mr"/>
    <s v="M"/>
    <n v="90"/>
    <s v="Elm Walk"/>
    <x v="915"/>
    <x v="21"/>
    <d v="2021-09-15T00:00:00"/>
    <x v="1"/>
    <x v="9"/>
    <n v="58"/>
    <x v="0"/>
    <x v="0"/>
    <n v="1160"/>
    <x v="791"/>
  </r>
  <r>
    <n v="1525"/>
    <x v="102"/>
    <x v="159"/>
    <s v="Mrs"/>
    <s v="F"/>
    <n v="60"/>
    <s v="Elms"/>
    <x v="916"/>
    <x v="16"/>
    <d v="2020-03-28T00:00:00"/>
    <x v="2"/>
    <x v="5"/>
    <n v="28"/>
    <x v="2"/>
    <x v="2"/>
    <n v="476"/>
    <x v="194"/>
  </r>
  <r>
    <n v="1526"/>
    <x v="1218"/>
    <x v="20"/>
    <s v="Miss"/>
    <s v="F"/>
    <n v="60"/>
    <s v="Elmshurst Crescent"/>
    <x v="917"/>
    <x v="35"/>
    <d v="2022-08-15T00:00:00"/>
    <x v="0"/>
    <x v="3"/>
    <n v="79"/>
    <x v="5"/>
    <x v="5"/>
    <n v="1896"/>
    <x v="94"/>
  </r>
  <r>
    <n v="1527"/>
    <x v="601"/>
    <x v="1080"/>
    <s v="Mr"/>
    <s v="M"/>
    <n v="90"/>
    <s v="Elmshurst Crescent"/>
    <x v="772"/>
    <x v="2"/>
    <d v="2022-03-17T00:00:00"/>
    <x v="0"/>
    <x v="5"/>
    <n v="79"/>
    <x v="1"/>
    <x v="1"/>
    <n v="1896"/>
    <x v="739"/>
  </r>
  <r>
    <n v="1528"/>
    <x v="1219"/>
    <x v="1081"/>
    <s v="Mrs"/>
    <s v="F"/>
    <n v="30"/>
    <s v="Elmstead Lane"/>
    <x v="918"/>
    <x v="16"/>
    <d v="2020-10-26T00:00:00"/>
    <x v="2"/>
    <x v="1"/>
    <n v="55"/>
    <x v="2"/>
    <x v="2"/>
    <n v="935"/>
    <x v="773"/>
  </r>
  <r>
    <n v="1529"/>
    <x v="80"/>
    <x v="1082"/>
    <s v="Ms"/>
    <s v="F"/>
    <n v="90"/>
    <s v="Elrington Road"/>
    <x v="769"/>
    <x v="55"/>
    <d v="2020-09-22T00:00:00"/>
    <x v="2"/>
    <x v="9"/>
    <n v="4"/>
    <x v="4"/>
    <x v="4"/>
    <n v="72"/>
    <x v="486"/>
  </r>
  <r>
    <n v="1530"/>
    <x v="1220"/>
    <x v="445"/>
    <s v="Miss"/>
    <s v="F"/>
    <n v="90"/>
    <s v="Elsbone Terrace"/>
    <x v="440"/>
    <x v="12"/>
    <d v="2021-04-25T00:00:00"/>
    <x v="1"/>
    <x v="4"/>
    <n v="80"/>
    <x v="4"/>
    <x v="4"/>
    <n v="1440"/>
    <x v="75"/>
  </r>
  <r>
    <n v="1531"/>
    <x v="1221"/>
    <x v="74"/>
    <s v="Mrs"/>
    <s v="F"/>
    <n v="60"/>
    <s v="Elscott House"/>
    <x v="700"/>
    <x v="2"/>
    <d v="2022-08-26T00:00:00"/>
    <x v="0"/>
    <x v="3"/>
    <n v="17"/>
    <x v="0"/>
    <x v="0"/>
    <n v="340"/>
    <x v="746"/>
  </r>
  <r>
    <n v="1532"/>
    <x v="1222"/>
    <x v="419"/>
    <s v="Mr"/>
    <s v="M"/>
    <n v="30"/>
    <s v="Elsham Road"/>
    <x v="858"/>
    <x v="59"/>
    <d v="2022-08-12T00:00:00"/>
    <x v="0"/>
    <x v="3"/>
    <n v="17"/>
    <x v="9"/>
    <x v="9"/>
    <n v="408"/>
    <x v="473"/>
  </r>
  <r>
    <n v="1533"/>
    <x v="302"/>
    <x v="1083"/>
    <s v="Mrs"/>
    <s v="F"/>
    <n v="90"/>
    <s v="Elsinore Gardens"/>
    <x v="16"/>
    <x v="3"/>
    <d v="2020-10-01T00:00:00"/>
    <x v="2"/>
    <x v="1"/>
    <n v="49"/>
    <x v="2"/>
    <x v="2"/>
    <n v="833"/>
    <x v="273"/>
  </r>
  <r>
    <n v="1534"/>
    <x v="1223"/>
    <x v="472"/>
    <s v="Mrs"/>
    <s v="F"/>
    <n v="60"/>
    <s v="Elsinore Gardens"/>
    <x v="290"/>
    <x v="44"/>
    <d v="2021-05-12T00:00:00"/>
    <x v="1"/>
    <x v="11"/>
    <n v="62"/>
    <x v="3"/>
    <x v="3"/>
    <n v="1488"/>
    <x v="637"/>
  </r>
  <r>
    <n v="1535"/>
    <x v="1224"/>
    <x v="1084"/>
    <s v="Ms"/>
    <s v="F"/>
    <n v="30"/>
    <s v="Elstree Street"/>
    <x v="279"/>
    <x v="2"/>
    <d v="2021-03-24T00:00:00"/>
    <x v="1"/>
    <x v="5"/>
    <n v="11"/>
    <x v="1"/>
    <x v="1"/>
    <n v="264"/>
    <x v="54"/>
  </r>
  <r>
    <n v="1536"/>
    <x v="1225"/>
    <x v="402"/>
    <s v="Mr"/>
    <s v="M"/>
    <n v="60"/>
    <s v="Elsworthy Rise"/>
    <x v="919"/>
    <x v="2"/>
    <d v="2020-03-27T00:00:00"/>
    <x v="2"/>
    <x v="5"/>
    <n v="25"/>
    <x v="4"/>
    <x v="4"/>
    <n v="450"/>
    <x v="792"/>
  </r>
  <r>
    <n v="1537"/>
    <x v="198"/>
    <x v="161"/>
    <s v="Mrs"/>
    <s v="F"/>
    <n v="60"/>
    <s v="Elveden Place"/>
    <x v="305"/>
    <x v="48"/>
    <d v="2020-05-17T00:00:00"/>
    <x v="2"/>
    <x v="11"/>
    <n v="29"/>
    <x v="7"/>
    <x v="7"/>
    <n v="580"/>
    <x v="246"/>
  </r>
  <r>
    <n v="1538"/>
    <x v="1226"/>
    <x v="162"/>
    <s v="Ms"/>
    <s v="F"/>
    <n v="60"/>
    <s v="Ely Terrace"/>
    <x v="746"/>
    <x v="2"/>
    <d v="2020-02-18T00:00:00"/>
    <x v="2"/>
    <x v="10"/>
    <n v="60"/>
    <x v="3"/>
    <x v="3"/>
    <n v="1440"/>
    <x v="261"/>
  </r>
  <r>
    <n v="1539"/>
    <x v="1227"/>
    <x v="805"/>
    <s v="Mr"/>
    <s v="M"/>
    <n v="30"/>
    <s v="Elystan Place"/>
    <x v="805"/>
    <x v="3"/>
    <d v="2022-04-16T00:00:00"/>
    <x v="0"/>
    <x v="4"/>
    <n v="11"/>
    <x v="3"/>
    <x v="3"/>
    <n v="264"/>
    <x v="80"/>
  </r>
  <r>
    <n v="1540"/>
    <x v="1228"/>
    <x v="1085"/>
    <s v="Mrs"/>
    <s v="F"/>
    <n v="90"/>
    <s v="Elystan Place"/>
    <x v="873"/>
    <x v="13"/>
    <d v="2022-05-14T00:00:00"/>
    <x v="0"/>
    <x v="11"/>
    <n v="51"/>
    <x v="2"/>
    <x v="2"/>
    <n v="867"/>
    <x v="385"/>
  </r>
  <r>
    <n v="1541"/>
    <x v="1205"/>
    <x v="565"/>
    <s v="Dr"/>
    <s v="M"/>
    <n v="60"/>
    <s v="Elystan Plc"/>
    <x v="562"/>
    <x v="75"/>
    <d v="2021-01-01T00:00:00"/>
    <x v="1"/>
    <x v="6"/>
    <n v="21"/>
    <x v="4"/>
    <x v="4"/>
    <n v="378"/>
    <x v="346"/>
  </r>
  <r>
    <n v="1542"/>
    <x v="1229"/>
    <x v="283"/>
    <s v="Miss"/>
    <s v="F"/>
    <n v="30"/>
    <s v="Emanuel Avenue"/>
    <x v="673"/>
    <x v="2"/>
    <d v="2021-11-01T00:00:00"/>
    <x v="1"/>
    <x v="7"/>
    <n v="9"/>
    <x v="5"/>
    <x v="5"/>
    <n v="216"/>
    <x v="584"/>
  </r>
  <r>
    <n v="1543"/>
    <x v="1230"/>
    <x v="396"/>
    <s v="Mrs"/>
    <s v="F"/>
    <n v="30"/>
    <s v="Embankment Gardens"/>
    <x v="723"/>
    <x v="2"/>
    <d v="2022-04-26T00:00:00"/>
    <x v="0"/>
    <x v="4"/>
    <n v="104"/>
    <x v="9"/>
    <x v="9"/>
    <n v="2496"/>
    <x v="793"/>
  </r>
  <r>
    <n v="1544"/>
    <x v="763"/>
    <x v="237"/>
    <s v="Miss"/>
    <s v="F"/>
    <n v="90"/>
    <s v="Emma Cottages"/>
    <x v="920"/>
    <x v="21"/>
    <d v="2022-04-14T00:00:00"/>
    <x v="0"/>
    <x v="4"/>
    <n v="84"/>
    <x v="2"/>
    <x v="2"/>
    <n v="1428"/>
    <x v="599"/>
  </r>
  <r>
    <n v="1545"/>
    <x v="1231"/>
    <x v="762"/>
    <s v="Mrs"/>
    <s v="F"/>
    <n v="30"/>
    <s v="Emma Road"/>
    <x v="621"/>
    <x v="21"/>
    <d v="2022-09-20T00:00:00"/>
    <x v="0"/>
    <x v="9"/>
    <n v="30"/>
    <x v="3"/>
    <x v="3"/>
    <n v="720"/>
    <x v="794"/>
  </r>
  <r>
    <n v="1546"/>
    <x v="1232"/>
    <x v="1086"/>
    <s v="Ms"/>
    <s v="F"/>
    <n v="90"/>
    <s v="Emmanuel Church"/>
    <x v="921"/>
    <x v="2"/>
    <d v="2021-11-28T00:00:00"/>
    <x v="1"/>
    <x v="7"/>
    <n v="71"/>
    <x v="6"/>
    <x v="6"/>
    <n v="1704"/>
    <x v="795"/>
  </r>
  <r>
    <n v="1547"/>
    <x v="1233"/>
    <x v="763"/>
    <s v="Miss"/>
    <s v="F"/>
    <n v="90"/>
    <s v="Emmanuel Schoolhouse"/>
    <x v="207"/>
    <x v="12"/>
    <d v="2020-12-06T00:00:00"/>
    <x v="2"/>
    <x v="8"/>
    <n v="45"/>
    <x v="5"/>
    <x v="5"/>
    <n v="1080"/>
    <x v="112"/>
  </r>
  <r>
    <n v="1548"/>
    <x v="1234"/>
    <x v="1087"/>
    <s v="Mr"/>
    <s v="M"/>
    <n v="30"/>
    <s v="Emmetts Buildings"/>
    <x v="284"/>
    <x v="4"/>
    <d v="2021-11-28T00:00:00"/>
    <x v="1"/>
    <x v="7"/>
    <n v="65"/>
    <x v="9"/>
    <x v="9"/>
    <n v="1560"/>
    <x v="439"/>
  </r>
  <r>
    <n v="1549"/>
    <x v="1235"/>
    <x v="1088"/>
    <s v="Mr"/>
    <s v="M"/>
    <n v="30"/>
    <s v="Emmetts Buildings"/>
    <x v="364"/>
    <x v="26"/>
    <d v="2021-02-09T00:00:00"/>
    <x v="1"/>
    <x v="10"/>
    <n v="61"/>
    <x v="4"/>
    <x v="4"/>
    <n v="1098"/>
    <x v="363"/>
  </r>
  <r>
    <n v="1550"/>
    <x v="1236"/>
    <x v="1089"/>
    <s v="Mrs"/>
    <s v="F"/>
    <n v="60"/>
    <s v="Emmetts Yard"/>
    <x v="922"/>
    <x v="2"/>
    <d v="2021-12-29T00:00:00"/>
    <x v="1"/>
    <x v="8"/>
    <n v="30"/>
    <x v="6"/>
    <x v="6"/>
    <n v="720"/>
    <x v="796"/>
  </r>
  <r>
    <n v="1551"/>
    <x v="1237"/>
    <x v="1038"/>
    <s v="Ms"/>
    <s v="F"/>
    <n v="90"/>
    <s v="Empire Avenue"/>
    <x v="598"/>
    <x v="11"/>
    <d v="2020-10-19T00:00:00"/>
    <x v="2"/>
    <x v="1"/>
    <n v="62"/>
    <x v="8"/>
    <x v="8"/>
    <n v="1240"/>
    <x v="393"/>
  </r>
  <r>
    <n v="1552"/>
    <x v="890"/>
    <x v="1090"/>
    <s v="Mr"/>
    <s v="M"/>
    <n v="90"/>
    <s v="Empress Street"/>
    <x v="923"/>
    <x v="3"/>
    <d v="2021-02-04T00:00:00"/>
    <x v="1"/>
    <x v="10"/>
    <n v="92"/>
    <x v="1"/>
    <x v="1"/>
    <n v="2208"/>
    <x v="797"/>
  </r>
  <r>
    <n v="1553"/>
    <x v="1238"/>
    <x v="638"/>
    <s v="Miss"/>
    <s v="F"/>
    <n v="30"/>
    <s v="Emsworth Close"/>
    <x v="412"/>
    <x v="11"/>
    <d v="2022-11-26T00:00:00"/>
    <x v="0"/>
    <x v="7"/>
    <n v="100"/>
    <x v="7"/>
    <x v="7"/>
    <n v="2000"/>
    <x v="798"/>
  </r>
  <r>
    <n v="1554"/>
    <x v="104"/>
    <x v="486"/>
    <s v="Mr"/>
    <s v="M"/>
    <n v="90"/>
    <s v="Emsworth Close"/>
    <x v="160"/>
    <x v="2"/>
    <d v="2021-01-02T00:00:00"/>
    <x v="1"/>
    <x v="6"/>
    <n v="93"/>
    <x v="9"/>
    <x v="9"/>
    <n v="2232"/>
    <x v="186"/>
  </r>
  <r>
    <n v="1555"/>
    <x v="1239"/>
    <x v="771"/>
    <s v="Mr"/>
    <s v="M"/>
    <n v="90"/>
    <s v="Endsleigh Gardens"/>
    <x v="553"/>
    <x v="11"/>
    <d v="2022-06-12T00:00:00"/>
    <x v="0"/>
    <x v="2"/>
    <n v="81"/>
    <x v="5"/>
    <x v="5"/>
    <n v="1944"/>
    <x v="799"/>
  </r>
  <r>
    <n v="1556"/>
    <x v="1240"/>
    <x v="708"/>
    <s v="Mr"/>
    <s v="M"/>
    <n v="30"/>
    <s v="Engineer Road"/>
    <x v="924"/>
    <x v="4"/>
    <d v="2020-06-20T00:00:00"/>
    <x v="2"/>
    <x v="2"/>
    <n v="47"/>
    <x v="0"/>
    <x v="0"/>
    <n v="940"/>
    <x v="421"/>
  </r>
  <r>
    <n v="1557"/>
    <x v="1241"/>
    <x v="760"/>
    <s v="Mrs"/>
    <s v="F"/>
    <n v="60"/>
    <s v="Enid Street"/>
    <x v="676"/>
    <x v="2"/>
    <d v="2022-07-31T00:00:00"/>
    <x v="0"/>
    <x v="0"/>
    <n v="28"/>
    <x v="3"/>
    <x v="3"/>
    <n v="672"/>
    <x v="800"/>
  </r>
  <r>
    <n v="1558"/>
    <x v="1242"/>
    <x v="1091"/>
    <s v="Mrs"/>
    <s v="F"/>
    <n v="60"/>
    <s v="Enmore Avenue"/>
    <x v="876"/>
    <x v="2"/>
    <d v="2020-07-13T00:00:00"/>
    <x v="2"/>
    <x v="0"/>
    <n v="8"/>
    <x v="5"/>
    <x v="5"/>
    <n v="192"/>
    <x v="539"/>
  </r>
  <r>
    <n v="1559"/>
    <x v="912"/>
    <x v="657"/>
    <s v="Mr"/>
    <s v="M"/>
    <n v="30"/>
    <s v="Enmore Road"/>
    <x v="90"/>
    <x v="2"/>
    <d v="2020-05-25T00:00:00"/>
    <x v="2"/>
    <x v="11"/>
    <n v="20"/>
    <x v="2"/>
    <x v="2"/>
    <n v="340"/>
    <x v="801"/>
  </r>
  <r>
    <n v="1560"/>
    <x v="541"/>
    <x v="953"/>
    <s v="Mr"/>
    <s v="M"/>
    <n v="30"/>
    <s v="Enslin Road"/>
    <x v="585"/>
    <x v="2"/>
    <d v="2022-02-16T00:00:00"/>
    <x v="0"/>
    <x v="10"/>
    <n v="80"/>
    <x v="5"/>
    <x v="5"/>
    <n v="1920"/>
    <x v="592"/>
  </r>
  <r>
    <n v="1561"/>
    <x v="636"/>
    <x v="918"/>
    <s v="Mr"/>
    <s v="M"/>
    <n v="30"/>
    <s v="Ensor Mews"/>
    <x v="925"/>
    <x v="2"/>
    <d v="2020-07-17T00:00:00"/>
    <x v="2"/>
    <x v="0"/>
    <n v="2"/>
    <x v="1"/>
    <x v="1"/>
    <n v="48"/>
    <x v="318"/>
  </r>
  <r>
    <n v="1562"/>
    <x v="1243"/>
    <x v="1092"/>
    <s v="Miss"/>
    <s v="F"/>
    <n v="30"/>
    <s v="Epirus Road"/>
    <x v="372"/>
    <x v="2"/>
    <d v="2021-04-16T00:00:00"/>
    <x v="1"/>
    <x v="4"/>
    <n v="44"/>
    <x v="1"/>
    <x v="1"/>
    <n v="1056"/>
    <x v="45"/>
  </r>
  <r>
    <n v="1563"/>
    <x v="1244"/>
    <x v="1093"/>
    <s v="Miss"/>
    <s v="F"/>
    <n v="60"/>
    <s v="Epping Place"/>
    <x v="815"/>
    <x v="15"/>
    <d v="2020-07-19T00:00:00"/>
    <x v="2"/>
    <x v="0"/>
    <n v="7"/>
    <x v="5"/>
    <x v="5"/>
    <n v="168"/>
    <x v="499"/>
  </r>
  <r>
    <n v="1564"/>
    <x v="1171"/>
    <x v="1094"/>
    <s v="Mr"/>
    <s v="M"/>
    <n v="30"/>
    <s v="Epsom Road"/>
    <x v="510"/>
    <x v="71"/>
    <d v="2022-10-25T00:00:00"/>
    <x v="0"/>
    <x v="1"/>
    <n v="97"/>
    <x v="0"/>
    <x v="0"/>
    <n v="1940"/>
    <x v="123"/>
  </r>
  <r>
    <n v="1565"/>
    <x v="1245"/>
    <x v="99"/>
    <s v="Mr"/>
    <s v="M"/>
    <n v="90"/>
    <s v="Equity Buildings"/>
    <x v="34"/>
    <x v="17"/>
    <d v="2022-12-14T00:00:00"/>
    <x v="0"/>
    <x v="8"/>
    <n v="56"/>
    <x v="9"/>
    <x v="9"/>
    <n v="1344"/>
    <x v="87"/>
  </r>
  <r>
    <n v="1566"/>
    <x v="1246"/>
    <x v="828"/>
    <s v="Miss"/>
    <s v="F"/>
    <n v="30"/>
    <s v="Equity Buildings"/>
    <x v="926"/>
    <x v="2"/>
    <d v="2021-08-30T00:00:00"/>
    <x v="1"/>
    <x v="3"/>
    <n v="62"/>
    <x v="2"/>
    <x v="2"/>
    <n v="1054"/>
    <x v="802"/>
  </r>
  <r>
    <n v="1567"/>
    <x v="1247"/>
    <x v="1095"/>
    <s v="Mrs"/>
    <s v="F"/>
    <n v="90"/>
    <s v="Erbury Place"/>
    <x v="231"/>
    <x v="39"/>
    <d v="2022-12-16T00:00:00"/>
    <x v="0"/>
    <x v="8"/>
    <n v="42"/>
    <x v="5"/>
    <x v="5"/>
    <n v="1008"/>
    <x v="275"/>
  </r>
  <r>
    <n v="1568"/>
    <x v="59"/>
    <x v="273"/>
    <s v="Mrs"/>
    <s v="F"/>
    <n v="90"/>
    <s v="Eresby Place"/>
    <x v="735"/>
    <x v="2"/>
    <d v="2022-10-26T00:00:00"/>
    <x v="0"/>
    <x v="1"/>
    <n v="45"/>
    <x v="0"/>
    <x v="0"/>
    <n v="900"/>
    <x v="761"/>
  </r>
  <r>
    <n v="1569"/>
    <x v="1248"/>
    <x v="1096"/>
    <s v="Mrs"/>
    <s v="F"/>
    <n v="90"/>
    <s v="Erindale Terrace"/>
    <x v="228"/>
    <x v="21"/>
    <d v="2020-10-19T00:00:00"/>
    <x v="2"/>
    <x v="1"/>
    <n v="60"/>
    <x v="1"/>
    <x v="1"/>
    <n v="1440"/>
    <x v="51"/>
  </r>
  <r>
    <n v="1570"/>
    <x v="1249"/>
    <x v="459"/>
    <s v="Mr"/>
    <s v="M"/>
    <n v="60"/>
    <s v="Erlam Road"/>
    <x v="927"/>
    <x v="21"/>
    <d v="2020-05-13T00:00:00"/>
    <x v="2"/>
    <x v="11"/>
    <n v="36"/>
    <x v="6"/>
    <x v="6"/>
    <n v="864"/>
    <x v="73"/>
  </r>
  <r>
    <n v="1571"/>
    <x v="1250"/>
    <x v="149"/>
    <s v="Mr"/>
    <s v="M"/>
    <n v="30"/>
    <s v="Erlam Road"/>
    <x v="204"/>
    <x v="2"/>
    <d v="2020-09-29T00:00:00"/>
    <x v="2"/>
    <x v="9"/>
    <n v="30"/>
    <x v="2"/>
    <x v="2"/>
    <n v="510"/>
    <x v="545"/>
  </r>
  <r>
    <n v="1572"/>
    <x v="1251"/>
    <x v="630"/>
    <s v="Ms"/>
    <s v="F"/>
    <n v="90"/>
    <s v="Erlich Cottages"/>
    <x v="116"/>
    <x v="11"/>
    <d v="2020-02-16T00:00:00"/>
    <x v="2"/>
    <x v="10"/>
    <n v="19"/>
    <x v="6"/>
    <x v="6"/>
    <n v="456"/>
    <x v="115"/>
  </r>
  <r>
    <n v="1573"/>
    <x v="903"/>
    <x v="9"/>
    <s v="Mr"/>
    <s v="M"/>
    <n v="30"/>
    <s v="Erlich Cottages"/>
    <x v="233"/>
    <x v="2"/>
    <d v="2021-10-03T00:00:00"/>
    <x v="1"/>
    <x v="1"/>
    <n v="79"/>
    <x v="2"/>
    <x v="2"/>
    <n v="1343"/>
    <x v="699"/>
  </r>
  <r>
    <n v="1574"/>
    <x v="763"/>
    <x v="203"/>
    <s v="Miss"/>
    <s v="F"/>
    <n v="30"/>
    <s v="Ermine Road"/>
    <x v="918"/>
    <x v="16"/>
    <d v="2021-01-04T00:00:00"/>
    <x v="1"/>
    <x v="6"/>
    <n v="84"/>
    <x v="2"/>
    <x v="2"/>
    <n v="1428"/>
    <x v="599"/>
  </r>
  <r>
    <n v="1575"/>
    <x v="1252"/>
    <x v="914"/>
    <s v="Mr"/>
    <s v="M"/>
    <n v="90"/>
    <s v="Erskine Hill"/>
    <x v="386"/>
    <x v="3"/>
    <d v="2021-03-19T00:00:00"/>
    <x v="1"/>
    <x v="5"/>
    <n v="74"/>
    <x v="6"/>
    <x v="6"/>
    <n v="1776"/>
    <x v="803"/>
  </r>
  <r>
    <n v="1576"/>
    <x v="1253"/>
    <x v="1097"/>
    <s v="Mr"/>
    <s v="M"/>
    <n v="60"/>
    <s v="Erwood Road"/>
    <x v="928"/>
    <x v="29"/>
    <d v="2022-06-14T00:00:00"/>
    <x v="0"/>
    <x v="2"/>
    <n v="45"/>
    <x v="7"/>
    <x v="7"/>
    <n v="900"/>
    <x v="401"/>
  </r>
  <r>
    <n v="1577"/>
    <x v="1254"/>
    <x v="16"/>
    <s v="Mr"/>
    <s v="M"/>
    <n v="30"/>
    <s v="Eskdale Villas"/>
    <x v="780"/>
    <x v="2"/>
    <d v="2020-05-18T00:00:00"/>
    <x v="2"/>
    <x v="11"/>
    <n v="51"/>
    <x v="9"/>
    <x v="9"/>
    <n v="1224"/>
    <x v="804"/>
  </r>
  <r>
    <n v="1578"/>
    <x v="645"/>
    <x v="1098"/>
    <s v="Mr"/>
    <s v="M"/>
    <n v="30"/>
    <s v="Esmeralda Road"/>
    <x v="389"/>
    <x v="16"/>
    <d v="2020-07-10T00:00:00"/>
    <x v="2"/>
    <x v="0"/>
    <n v="75"/>
    <x v="2"/>
    <x v="2"/>
    <n v="1275"/>
    <x v="465"/>
  </r>
  <r>
    <n v="1579"/>
    <x v="631"/>
    <x v="131"/>
    <s v="Mr"/>
    <s v="M"/>
    <n v="90"/>
    <s v="Esmerelda Road"/>
    <x v="539"/>
    <x v="36"/>
    <d v="2022-10-22T00:00:00"/>
    <x v="0"/>
    <x v="1"/>
    <n v="94"/>
    <x v="9"/>
    <x v="9"/>
    <n v="2256"/>
    <x v="657"/>
  </r>
  <r>
    <n v="1580"/>
    <x v="1171"/>
    <x v="658"/>
    <s v="Mr"/>
    <s v="M"/>
    <n v="30"/>
    <s v="Essendine Road"/>
    <x v="349"/>
    <x v="2"/>
    <d v="2020-01-27T00:00:00"/>
    <x v="2"/>
    <x v="6"/>
    <n v="17"/>
    <x v="5"/>
    <x v="5"/>
    <n v="408"/>
    <x v="154"/>
  </r>
  <r>
    <n v="1581"/>
    <x v="1255"/>
    <x v="1099"/>
    <s v="Prof"/>
    <s v="M"/>
    <n v="90"/>
    <s v="Ester Cottages"/>
    <x v="850"/>
    <x v="2"/>
    <d v="2022-11-12T00:00:00"/>
    <x v="0"/>
    <x v="7"/>
    <n v="67"/>
    <x v="2"/>
    <x v="2"/>
    <n v="1139"/>
    <x v="96"/>
  </r>
  <r>
    <n v="1582"/>
    <x v="522"/>
    <x v="388"/>
    <s v="Mr"/>
    <s v="M"/>
    <n v="90"/>
    <s v="Esterbrooke Street"/>
    <x v="606"/>
    <x v="16"/>
    <d v="2022-04-21T00:00:00"/>
    <x v="0"/>
    <x v="4"/>
    <n v="57"/>
    <x v="9"/>
    <x v="9"/>
    <n v="1368"/>
    <x v="313"/>
  </r>
  <r>
    <n v="1583"/>
    <x v="1256"/>
    <x v="1100"/>
    <s v="Ms"/>
    <s v="F"/>
    <n v="90"/>
    <s v="Etham Street"/>
    <x v="429"/>
    <x v="1"/>
    <d v="2022-10-17T00:00:00"/>
    <x v="0"/>
    <x v="1"/>
    <n v="91"/>
    <x v="3"/>
    <x v="3"/>
    <n v="2184"/>
    <x v="805"/>
  </r>
  <r>
    <n v="1584"/>
    <x v="675"/>
    <x v="1101"/>
    <s v="Mr"/>
    <s v="M"/>
    <n v="60"/>
    <s v="Ethelden Road"/>
    <x v="929"/>
    <x v="2"/>
    <d v="2021-01-25T00:00:00"/>
    <x v="1"/>
    <x v="6"/>
    <n v="85"/>
    <x v="6"/>
    <x v="6"/>
    <n v="2040"/>
    <x v="711"/>
  </r>
  <r>
    <n v="1585"/>
    <x v="1102"/>
    <x v="1102"/>
    <s v="Ms"/>
    <s v="F"/>
    <n v="60"/>
    <s v="Etloe Road"/>
    <x v="790"/>
    <x v="15"/>
    <d v="2020-03-06T00:00:00"/>
    <x v="2"/>
    <x v="5"/>
    <n v="68"/>
    <x v="1"/>
    <x v="1"/>
    <n v="1632"/>
    <x v="160"/>
  </r>
  <r>
    <n v="1586"/>
    <x v="1257"/>
    <x v="1103"/>
    <s v="Mr"/>
    <s v="M"/>
    <n v="60"/>
    <s v="Eton Close"/>
    <x v="930"/>
    <x v="1"/>
    <d v="2021-06-27T00:00:00"/>
    <x v="1"/>
    <x v="2"/>
    <n v="15"/>
    <x v="9"/>
    <x v="9"/>
    <n v="360"/>
    <x v="274"/>
  </r>
  <r>
    <n v="1587"/>
    <x v="1258"/>
    <x v="219"/>
    <s v="Mrs"/>
    <s v="F"/>
    <n v="60"/>
    <s v="Eton Grove"/>
    <x v="663"/>
    <x v="2"/>
    <d v="2020-09-28T00:00:00"/>
    <x v="2"/>
    <x v="9"/>
    <n v="18"/>
    <x v="9"/>
    <x v="9"/>
    <n v="432"/>
    <x v="390"/>
  </r>
  <r>
    <n v="1588"/>
    <x v="1259"/>
    <x v="425"/>
    <s v="Mr"/>
    <s v="M"/>
    <n v="30"/>
    <s v="Euston Road"/>
    <x v="931"/>
    <x v="2"/>
    <d v="2022-08-20T00:00:00"/>
    <x v="0"/>
    <x v="3"/>
    <n v="14"/>
    <x v="8"/>
    <x v="8"/>
    <n v="280"/>
    <x v="35"/>
  </r>
  <r>
    <n v="1589"/>
    <x v="1260"/>
    <x v="935"/>
    <s v="Mrs"/>
    <s v="F"/>
    <n v="90"/>
    <s v="Euston Road"/>
    <x v="105"/>
    <x v="2"/>
    <d v="2020-07-16T00:00:00"/>
    <x v="2"/>
    <x v="0"/>
    <n v="8"/>
    <x v="4"/>
    <x v="4"/>
    <n v="144"/>
    <x v="740"/>
  </r>
  <r>
    <n v="1590"/>
    <x v="1261"/>
    <x v="123"/>
    <s v="Miss"/>
    <s v="F"/>
    <n v="90"/>
    <s v="Euston Station"/>
    <x v="475"/>
    <x v="62"/>
    <d v="2022-04-09T00:00:00"/>
    <x v="0"/>
    <x v="4"/>
    <n v="12"/>
    <x v="1"/>
    <x v="1"/>
    <n v="288"/>
    <x v="322"/>
  </r>
  <r>
    <n v="1591"/>
    <x v="233"/>
    <x v="1104"/>
    <s v="Mr"/>
    <s v="M"/>
    <n v="30"/>
    <s v="Everest Road"/>
    <x v="318"/>
    <x v="2"/>
    <d v="2021-07-08T00:00:00"/>
    <x v="1"/>
    <x v="0"/>
    <n v="25"/>
    <x v="9"/>
    <x v="9"/>
    <n v="600"/>
    <x v="120"/>
  </r>
  <r>
    <n v="1592"/>
    <x v="1052"/>
    <x v="1105"/>
    <s v="Mr"/>
    <s v="M"/>
    <n v="30"/>
    <s v="Evershall Street"/>
    <x v="387"/>
    <x v="11"/>
    <d v="2020-09-10T00:00:00"/>
    <x v="2"/>
    <x v="9"/>
    <n v="27"/>
    <x v="6"/>
    <x v="6"/>
    <n v="648"/>
    <x v="806"/>
  </r>
  <r>
    <n v="1593"/>
    <x v="1262"/>
    <x v="292"/>
    <s v="Mr"/>
    <s v="M"/>
    <n v="90"/>
    <s v="Eversley Park"/>
    <x v="429"/>
    <x v="1"/>
    <d v="2021-08-02T00:00:00"/>
    <x v="1"/>
    <x v="3"/>
    <n v="39"/>
    <x v="3"/>
    <x v="3"/>
    <n v="936"/>
    <x v="807"/>
  </r>
  <r>
    <n v="1594"/>
    <x v="113"/>
    <x v="996"/>
    <s v="Mr"/>
    <s v="M"/>
    <n v="60"/>
    <s v="Everthorpe Road"/>
    <x v="868"/>
    <x v="40"/>
    <d v="2021-05-30T00:00:00"/>
    <x v="1"/>
    <x v="11"/>
    <n v="76"/>
    <x v="8"/>
    <x v="8"/>
    <n v="1520"/>
    <x v="808"/>
  </r>
  <r>
    <n v="1595"/>
    <x v="1263"/>
    <x v="209"/>
    <s v="Mrs"/>
    <s v="F"/>
    <n v="30"/>
    <s v="Eve'S Place"/>
    <x v="339"/>
    <x v="2"/>
    <d v="2020-04-25T00:00:00"/>
    <x v="2"/>
    <x v="4"/>
    <n v="78"/>
    <x v="2"/>
    <x v="2"/>
    <n v="1326"/>
    <x v="636"/>
  </r>
  <r>
    <n v="1596"/>
    <x v="783"/>
    <x v="1106"/>
    <s v="Mr"/>
    <s v="M"/>
    <n v="60"/>
    <s v="Ewe Close"/>
    <x v="269"/>
    <x v="21"/>
    <d v="2020-04-24T00:00:00"/>
    <x v="2"/>
    <x v="4"/>
    <n v="70"/>
    <x v="0"/>
    <x v="0"/>
    <n v="1400"/>
    <x v="507"/>
  </r>
  <r>
    <n v="1597"/>
    <x v="1264"/>
    <x v="485"/>
    <s v="Miss"/>
    <s v="F"/>
    <n v="90"/>
    <s v="Excelsior Gardens"/>
    <x v="407"/>
    <x v="1"/>
    <d v="2021-10-05T00:00:00"/>
    <x v="1"/>
    <x v="1"/>
    <n v="10"/>
    <x v="7"/>
    <x v="7"/>
    <n v="200"/>
    <x v="809"/>
  </r>
  <r>
    <n v="1598"/>
    <x v="1265"/>
    <x v="238"/>
    <s v="Mrs"/>
    <s v="F"/>
    <n v="60"/>
    <s v="Excelsior Terrace"/>
    <x v="932"/>
    <x v="2"/>
    <d v="2021-09-24T00:00:00"/>
    <x v="1"/>
    <x v="9"/>
    <n v="55"/>
    <x v="4"/>
    <x v="4"/>
    <n v="990"/>
    <x v="638"/>
  </r>
  <r>
    <n v="1599"/>
    <x v="1266"/>
    <x v="944"/>
    <s v="Miss"/>
    <s v="F"/>
    <n v="60"/>
    <s v="Exchange Arcade"/>
    <x v="896"/>
    <x v="2"/>
    <d v="2022-07-01T00:00:00"/>
    <x v="0"/>
    <x v="0"/>
    <n v="58"/>
    <x v="2"/>
    <x v="2"/>
    <n v="986"/>
    <x v="810"/>
  </r>
  <r>
    <n v="1600"/>
    <x v="1267"/>
    <x v="1107"/>
    <s v="Mrs"/>
    <s v="F"/>
    <n v="30"/>
    <s v="Exeter Street"/>
    <x v="350"/>
    <x v="2"/>
    <d v="2021-04-21T00:00:00"/>
    <x v="1"/>
    <x v="4"/>
    <n v="45"/>
    <x v="1"/>
    <x v="1"/>
    <n v="1080"/>
    <x v="414"/>
  </r>
  <r>
    <n v="1601"/>
    <x v="980"/>
    <x v="375"/>
    <s v="Miss"/>
    <s v="F"/>
    <n v="60"/>
    <s v="Exeter Villas"/>
    <x v="129"/>
    <x v="1"/>
    <d v="2020-03-17T00:00:00"/>
    <x v="2"/>
    <x v="5"/>
    <n v="11"/>
    <x v="9"/>
    <x v="9"/>
    <n v="264"/>
    <x v="376"/>
  </r>
  <r>
    <n v="1602"/>
    <x v="898"/>
    <x v="384"/>
    <s v="Mr"/>
    <s v="M"/>
    <n v="30"/>
    <s v="Exeter Way"/>
    <x v="569"/>
    <x v="2"/>
    <d v="2021-04-12T00:00:00"/>
    <x v="1"/>
    <x v="4"/>
    <n v="8"/>
    <x v="7"/>
    <x v="7"/>
    <n v="160"/>
    <x v="255"/>
  </r>
  <r>
    <n v="1603"/>
    <x v="1268"/>
    <x v="131"/>
    <s v="Miss"/>
    <s v="F"/>
    <n v="30"/>
    <s v="Exford Road"/>
    <x v="933"/>
    <x v="2"/>
    <d v="2022-02-18T00:00:00"/>
    <x v="0"/>
    <x v="10"/>
    <n v="25"/>
    <x v="1"/>
    <x v="1"/>
    <n v="600"/>
    <x v="437"/>
  </r>
  <r>
    <n v="1604"/>
    <x v="743"/>
    <x v="1108"/>
    <s v="Mr"/>
    <s v="M"/>
    <n v="90"/>
    <s v="Exmoor Street"/>
    <x v="298"/>
    <x v="12"/>
    <d v="2021-02-15T00:00:00"/>
    <x v="1"/>
    <x v="10"/>
    <n v="47"/>
    <x v="6"/>
    <x v="6"/>
    <n v="1128"/>
    <x v="508"/>
  </r>
  <r>
    <n v="1605"/>
    <x v="546"/>
    <x v="881"/>
    <s v="Mrs"/>
    <s v="F"/>
    <n v="30"/>
    <s v="Eyhurst Close"/>
    <x v="582"/>
    <x v="2"/>
    <d v="2022-09-24T00:00:00"/>
    <x v="0"/>
    <x v="9"/>
    <n v="43"/>
    <x v="1"/>
    <x v="1"/>
    <n v="1032"/>
    <x v="76"/>
  </r>
  <r>
    <n v="1606"/>
    <x v="1269"/>
    <x v="553"/>
    <s v="Mrs"/>
    <s v="F"/>
    <n v="30"/>
    <s v="Eynella Road"/>
    <x v="759"/>
    <x v="27"/>
    <d v="2022-05-28T00:00:00"/>
    <x v="0"/>
    <x v="11"/>
    <n v="61"/>
    <x v="5"/>
    <x v="5"/>
    <n v="1464"/>
    <x v="515"/>
  </r>
  <r>
    <n v="1607"/>
    <x v="1270"/>
    <x v="906"/>
    <s v="Mr"/>
    <s v="M"/>
    <n v="90"/>
    <s v="Eynsham Drive"/>
    <x v="746"/>
    <x v="2"/>
    <d v="2020-12-08T00:00:00"/>
    <x v="2"/>
    <x v="8"/>
    <n v="83"/>
    <x v="2"/>
    <x v="2"/>
    <n v="1411"/>
    <x v="811"/>
  </r>
  <r>
    <n v="1608"/>
    <x v="879"/>
    <x v="1109"/>
    <s v="Miss"/>
    <s v="F"/>
    <n v="60"/>
    <s v="Eyot Gardens"/>
    <x v="626"/>
    <x v="10"/>
    <d v="2021-08-04T00:00:00"/>
    <x v="1"/>
    <x v="3"/>
    <n v="88"/>
    <x v="4"/>
    <x v="4"/>
    <n v="1584"/>
    <x v="812"/>
  </r>
  <r>
    <n v="1609"/>
    <x v="1271"/>
    <x v="1110"/>
    <s v="Mr"/>
    <s v="M"/>
    <n v="60"/>
    <s v="Eyot Green"/>
    <x v="105"/>
    <x v="2"/>
    <d v="2021-12-09T00:00:00"/>
    <x v="1"/>
    <x v="8"/>
    <n v="74"/>
    <x v="8"/>
    <x v="8"/>
    <n v="1480"/>
    <x v="603"/>
  </r>
  <r>
    <n v="1610"/>
    <x v="788"/>
    <x v="1111"/>
    <s v="Miss"/>
    <s v="F"/>
    <n v="60"/>
    <s v="Eythorn Road"/>
    <x v="934"/>
    <x v="21"/>
    <d v="2020-09-04T00:00:00"/>
    <x v="2"/>
    <x v="9"/>
    <n v="42"/>
    <x v="4"/>
    <x v="4"/>
    <n v="756"/>
    <x v="408"/>
  </r>
  <r>
    <n v="1611"/>
    <x v="547"/>
    <x v="642"/>
    <s v="Mr"/>
    <s v="M"/>
    <n v="60"/>
    <s v="Eythorne Road"/>
    <x v="935"/>
    <x v="73"/>
    <d v="2022-12-04T00:00:00"/>
    <x v="0"/>
    <x v="8"/>
    <n v="91"/>
    <x v="0"/>
    <x v="0"/>
    <n v="1820"/>
    <x v="716"/>
  </r>
  <r>
    <n v="1612"/>
    <x v="220"/>
    <x v="926"/>
    <s v="Mr"/>
    <s v="M"/>
    <n v="30"/>
    <s v="Ezra Street"/>
    <x v="936"/>
    <x v="16"/>
    <d v="2022-01-22T00:00:00"/>
    <x v="0"/>
    <x v="6"/>
    <n v="24"/>
    <x v="9"/>
    <x v="9"/>
    <n v="576"/>
    <x v="813"/>
  </r>
  <r>
    <n v="1613"/>
    <x v="1239"/>
    <x v="803"/>
    <s v="Mr"/>
    <s v="M"/>
    <n v="30"/>
    <s v="Factory Lane"/>
    <x v="91"/>
    <x v="2"/>
    <d v="2022-09-19T00:00:00"/>
    <x v="0"/>
    <x v="9"/>
    <n v="72"/>
    <x v="6"/>
    <x v="6"/>
    <n v="1728"/>
    <x v="249"/>
  </r>
  <r>
    <n v="1614"/>
    <x v="1272"/>
    <x v="50"/>
    <s v="Mrs"/>
    <s v="F"/>
    <n v="90"/>
    <s v="Fairbairn Green"/>
    <x v="627"/>
    <x v="2"/>
    <d v="2020-01-27T00:00:00"/>
    <x v="2"/>
    <x v="6"/>
    <n v="35"/>
    <x v="1"/>
    <x v="1"/>
    <n v="840"/>
    <x v="736"/>
  </r>
  <r>
    <n v="1615"/>
    <x v="1273"/>
    <x v="1112"/>
    <s v="Ms"/>
    <s v="F"/>
    <n v="60"/>
    <s v="Fairchild Close"/>
    <x v="937"/>
    <x v="2"/>
    <d v="2022-04-18T00:00:00"/>
    <x v="0"/>
    <x v="4"/>
    <n v="15"/>
    <x v="3"/>
    <x v="3"/>
    <n v="360"/>
    <x v="532"/>
  </r>
  <r>
    <n v="1616"/>
    <x v="31"/>
    <x v="1113"/>
    <s v="Mr"/>
    <s v="M"/>
    <n v="60"/>
    <s v="Faireys Buildings"/>
    <x v="938"/>
    <x v="2"/>
    <d v="2022-01-12T00:00:00"/>
    <x v="0"/>
    <x v="6"/>
    <n v="11"/>
    <x v="8"/>
    <x v="8"/>
    <n v="220"/>
    <x v="768"/>
  </r>
  <r>
    <n v="1617"/>
    <x v="1274"/>
    <x v="808"/>
    <s v="Ms"/>
    <s v="F"/>
    <n v="60"/>
    <s v="Fairlawn Avenue"/>
    <x v="939"/>
    <x v="13"/>
    <d v="2022-10-07T00:00:00"/>
    <x v="0"/>
    <x v="1"/>
    <n v="86"/>
    <x v="5"/>
    <x v="5"/>
    <n v="2064"/>
    <x v="6"/>
  </r>
  <r>
    <n v="1618"/>
    <x v="1275"/>
    <x v="1114"/>
    <s v="Miss"/>
    <s v="F"/>
    <n v="90"/>
    <s v="Fairlea Place"/>
    <x v="750"/>
    <x v="2"/>
    <d v="2020-04-30T00:00:00"/>
    <x v="2"/>
    <x v="4"/>
    <n v="46"/>
    <x v="9"/>
    <x v="9"/>
    <n v="1104"/>
    <x v="783"/>
  </r>
  <r>
    <n v="1619"/>
    <x v="1183"/>
    <x v="183"/>
    <s v="Mrs"/>
    <s v="F"/>
    <n v="90"/>
    <s v="Fairlie Gardens"/>
    <x v="940"/>
    <x v="2"/>
    <d v="2021-09-14T00:00:00"/>
    <x v="1"/>
    <x v="9"/>
    <n v="5"/>
    <x v="0"/>
    <x v="0"/>
    <n v="100"/>
    <x v="645"/>
  </r>
  <r>
    <n v="1620"/>
    <x v="1276"/>
    <x v="1115"/>
    <s v="Mr"/>
    <s v="M"/>
    <n v="90"/>
    <s v="Fairlight Terrace"/>
    <x v="941"/>
    <x v="17"/>
    <d v="2022-09-21T00:00:00"/>
    <x v="0"/>
    <x v="9"/>
    <n v="22"/>
    <x v="8"/>
    <x v="8"/>
    <n v="440"/>
    <x v="259"/>
  </r>
  <r>
    <n v="1621"/>
    <x v="1277"/>
    <x v="1116"/>
    <s v="Mrs"/>
    <s v="F"/>
    <n v="90"/>
    <s v="Fairway Close"/>
    <x v="942"/>
    <x v="13"/>
    <d v="2021-10-04T00:00:00"/>
    <x v="1"/>
    <x v="1"/>
    <n v="45"/>
    <x v="9"/>
    <x v="9"/>
    <n v="1080"/>
    <x v="814"/>
  </r>
  <r>
    <n v="1622"/>
    <x v="1278"/>
    <x v="88"/>
    <s v="Mr"/>
    <s v="M"/>
    <n v="90"/>
    <s v="Falcon Road"/>
    <x v="179"/>
    <x v="16"/>
    <d v="2021-10-11T00:00:00"/>
    <x v="1"/>
    <x v="1"/>
    <n v="78"/>
    <x v="5"/>
    <x v="5"/>
    <n v="1872"/>
    <x v="651"/>
  </r>
  <r>
    <n v="1623"/>
    <x v="1279"/>
    <x v="1078"/>
    <s v="Miss"/>
    <s v="F"/>
    <n v="60"/>
    <s v="Falcon Yard"/>
    <x v="943"/>
    <x v="2"/>
    <d v="2022-04-02T00:00:00"/>
    <x v="0"/>
    <x v="4"/>
    <n v="84"/>
    <x v="3"/>
    <x v="3"/>
    <n v="2016"/>
    <x v="815"/>
  </r>
  <r>
    <n v="1624"/>
    <x v="462"/>
    <x v="990"/>
    <s v="Miss"/>
    <s v="F"/>
    <n v="90"/>
    <s v="Falkland Avenue"/>
    <x v="714"/>
    <x v="13"/>
    <d v="2021-09-29T00:00:00"/>
    <x v="1"/>
    <x v="9"/>
    <n v="42"/>
    <x v="8"/>
    <x v="8"/>
    <n v="840"/>
    <x v="289"/>
  </r>
  <r>
    <n v="1625"/>
    <x v="290"/>
    <x v="1046"/>
    <s v="Mr"/>
    <s v="M"/>
    <n v="30"/>
    <s v="Fallowfields Drive"/>
    <x v="944"/>
    <x v="10"/>
    <d v="2020-10-22T00:00:00"/>
    <x v="2"/>
    <x v="1"/>
    <n v="62"/>
    <x v="0"/>
    <x v="0"/>
    <n v="1240"/>
    <x v="632"/>
  </r>
  <r>
    <n v="1626"/>
    <x v="37"/>
    <x v="344"/>
    <s v="Mr"/>
    <s v="M"/>
    <n v="90"/>
    <s v="Fallows Close"/>
    <x v="544"/>
    <x v="2"/>
    <d v="2020-10-10T00:00:00"/>
    <x v="2"/>
    <x v="1"/>
    <n v="18"/>
    <x v="9"/>
    <x v="9"/>
    <n v="432"/>
    <x v="390"/>
  </r>
  <r>
    <n v="1627"/>
    <x v="1280"/>
    <x v="1117"/>
    <s v="Mrs"/>
    <s v="F"/>
    <n v="30"/>
    <s v="Falmouth Avenue"/>
    <x v="289"/>
    <x v="2"/>
    <d v="2021-05-06T00:00:00"/>
    <x v="1"/>
    <x v="11"/>
    <n v="70"/>
    <x v="3"/>
    <x v="3"/>
    <n v="1680"/>
    <x v="500"/>
  </r>
  <r>
    <n v="1628"/>
    <x v="1281"/>
    <x v="271"/>
    <s v="Ms"/>
    <s v="F"/>
    <n v="60"/>
    <s v="Fandon Row"/>
    <x v="746"/>
    <x v="2"/>
    <d v="2021-12-08T00:00:00"/>
    <x v="1"/>
    <x v="8"/>
    <n v="81"/>
    <x v="7"/>
    <x v="7"/>
    <n v="1620"/>
    <x v="540"/>
  </r>
  <r>
    <n v="1629"/>
    <x v="282"/>
    <x v="466"/>
    <s v="Mr"/>
    <s v="M"/>
    <n v="60"/>
    <s v="Faraday Street"/>
    <x v="857"/>
    <x v="1"/>
    <d v="2020-04-16T00:00:00"/>
    <x v="2"/>
    <x v="4"/>
    <n v="70"/>
    <x v="9"/>
    <x v="9"/>
    <n v="1680"/>
    <x v="556"/>
  </r>
  <r>
    <n v="1630"/>
    <x v="1282"/>
    <x v="33"/>
    <s v="Mr"/>
    <s v="M"/>
    <n v="30"/>
    <s v="Fardon Row"/>
    <x v="945"/>
    <x v="9"/>
    <d v="2020-11-30T00:00:00"/>
    <x v="2"/>
    <x v="7"/>
    <n v="23"/>
    <x v="2"/>
    <x v="2"/>
    <n v="391"/>
    <x v="354"/>
  </r>
  <r>
    <n v="1631"/>
    <x v="559"/>
    <x v="280"/>
    <s v="Mrs"/>
    <s v="F"/>
    <n v="90"/>
    <s v="Faringford Road"/>
    <x v="694"/>
    <x v="11"/>
    <d v="2022-10-19T00:00:00"/>
    <x v="0"/>
    <x v="1"/>
    <n v="66"/>
    <x v="1"/>
    <x v="1"/>
    <n v="1584"/>
    <x v="786"/>
  </r>
  <r>
    <n v="1632"/>
    <x v="164"/>
    <x v="864"/>
    <s v="Mr"/>
    <s v="M"/>
    <n v="30"/>
    <s v="Faringford Road"/>
    <x v="946"/>
    <x v="2"/>
    <d v="2020-03-06T00:00:00"/>
    <x v="2"/>
    <x v="5"/>
    <n v="84"/>
    <x v="8"/>
    <x v="8"/>
    <n v="1680"/>
    <x v="816"/>
  </r>
  <r>
    <n v="1633"/>
    <x v="1283"/>
    <x v="1118"/>
    <s v="Mrs"/>
    <s v="F"/>
    <n v="30"/>
    <s v="Farleigh Place"/>
    <x v="325"/>
    <x v="0"/>
    <d v="2021-07-11T00:00:00"/>
    <x v="1"/>
    <x v="0"/>
    <n v="10"/>
    <x v="3"/>
    <x v="3"/>
    <n v="240"/>
    <x v="103"/>
  </r>
  <r>
    <n v="1634"/>
    <x v="1284"/>
    <x v="635"/>
    <s v="Mr"/>
    <s v="M"/>
    <n v="90"/>
    <s v="Farleigh Place"/>
    <x v="432"/>
    <x v="2"/>
    <d v="2020-10-19T00:00:00"/>
    <x v="2"/>
    <x v="1"/>
    <n v="74"/>
    <x v="1"/>
    <x v="1"/>
    <n v="1776"/>
    <x v="360"/>
  </r>
  <r>
    <n v="1635"/>
    <x v="1285"/>
    <x v="201"/>
    <s v="Miss"/>
    <s v="F"/>
    <n v="60"/>
    <s v="Farlington Place"/>
    <x v="362"/>
    <x v="2"/>
    <d v="2021-05-17T00:00:00"/>
    <x v="1"/>
    <x v="11"/>
    <n v="8"/>
    <x v="6"/>
    <x v="6"/>
    <n v="192"/>
    <x v="752"/>
  </r>
  <r>
    <n v="1636"/>
    <x v="783"/>
    <x v="640"/>
    <s v="Mr"/>
    <s v="M"/>
    <n v="90"/>
    <s v="Farm Avenue"/>
    <x v="204"/>
    <x v="2"/>
    <d v="2022-03-24T00:00:00"/>
    <x v="0"/>
    <x v="5"/>
    <n v="71"/>
    <x v="1"/>
    <x v="1"/>
    <n v="1704"/>
    <x v="77"/>
  </r>
  <r>
    <n v="1637"/>
    <x v="1286"/>
    <x v="895"/>
    <s v="Mrs"/>
    <s v="F"/>
    <n v="30"/>
    <s v="Farm Walk"/>
    <x v="947"/>
    <x v="8"/>
    <d v="2020-02-19T00:00:00"/>
    <x v="2"/>
    <x v="10"/>
    <n v="48"/>
    <x v="9"/>
    <x v="9"/>
    <n v="1152"/>
    <x v="668"/>
  </r>
  <r>
    <n v="1638"/>
    <x v="1212"/>
    <x v="459"/>
    <s v="Mr"/>
    <s v="M"/>
    <n v="30"/>
    <s v="Farm Walk"/>
    <x v="119"/>
    <x v="15"/>
    <d v="2021-07-05T00:00:00"/>
    <x v="1"/>
    <x v="0"/>
    <n v="7"/>
    <x v="2"/>
    <x v="2"/>
    <n v="119"/>
    <x v="208"/>
  </r>
  <r>
    <n v="1639"/>
    <x v="1287"/>
    <x v="1119"/>
    <s v="Mrs"/>
    <s v="F"/>
    <n v="30"/>
    <s v="Farmdale Road"/>
    <x v="948"/>
    <x v="2"/>
    <d v="2020-12-27T00:00:00"/>
    <x v="2"/>
    <x v="8"/>
    <n v="61"/>
    <x v="0"/>
    <x v="0"/>
    <n v="1220"/>
    <x v="817"/>
  </r>
  <r>
    <n v="1640"/>
    <x v="1288"/>
    <x v="1120"/>
    <s v="Mr"/>
    <s v="M"/>
    <n v="90"/>
    <s v="Farmer'S Road"/>
    <x v="949"/>
    <x v="22"/>
    <d v="2020-07-09T00:00:00"/>
    <x v="2"/>
    <x v="0"/>
    <n v="31"/>
    <x v="8"/>
    <x v="8"/>
    <n v="620"/>
    <x v="504"/>
  </r>
  <r>
    <n v="1641"/>
    <x v="1289"/>
    <x v="781"/>
    <s v="Mrs"/>
    <s v="F"/>
    <n v="90"/>
    <s v="Farnaby Road"/>
    <x v="775"/>
    <x v="15"/>
    <d v="2021-07-09T00:00:00"/>
    <x v="1"/>
    <x v="0"/>
    <n v="76"/>
    <x v="2"/>
    <x v="2"/>
    <n v="1292"/>
    <x v="347"/>
  </r>
  <r>
    <n v="1642"/>
    <x v="1290"/>
    <x v="783"/>
    <s v="Miss"/>
    <s v="F"/>
    <n v="60"/>
    <s v="Farnham Close"/>
    <x v="950"/>
    <x v="2"/>
    <d v="2021-10-25T00:00:00"/>
    <x v="1"/>
    <x v="1"/>
    <n v="6"/>
    <x v="5"/>
    <x v="5"/>
    <n v="144"/>
    <x v="212"/>
  </r>
  <r>
    <n v="1643"/>
    <x v="1103"/>
    <x v="511"/>
    <s v="Mr"/>
    <s v="M"/>
    <n v="30"/>
    <s v="Farningham Road"/>
    <x v="35"/>
    <x v="2"/>
    <d v="2022-12-13T00:00:00"/>
    <x v="0"/>
    <x v="8"/>
    <n v="37"/>
    <x v="7"/>
    <x v="7"/>
    <n v="740"/>
    <x v="398"/>
  </r>
  <r>
    <n v="1644"/>
    <x v="1291"/>
    <x v="1121"/>
    <s v="Mrs"/>
    <s v="F"/>
    <n v="90"/>
    <s v="Farquhar Terrace"/>
    <x v="718"/>
    <x v="76"/>
    <d v="2021-06-20T00:00:00"/>
    <x v="1"/>
    <x v="2"/>
    <n v="14"/>
    <x v="6"/>
    <x v="6"/>
    <n v="336"/>
    <x v="195"/>
  </r>
  <r>
    <n v="1645"/>
    <x v="1292"/>
    <x v="186"/>
    <s v="Mrs"/>
    <s v="F"/>
    <n v="90"/>
    <s v="Farrance Street"/>
    <x v="239"/>
    <x v="40"/>
    <d v="2022-09-24T00:00:00"/>
    <x v="0"/>
    <x v="9"/>
    <n v="65"/>
    <x v="9"/>
    <x v="9"/>
    <n v="1560"/>
    <x v="439"/>
  </r>
  <r>
    <n v="1646"/>
    <x v="566"/>
    <x v="697"/>
    <s v="Prof"/>
    <s v="M"/>
    <n v="90"/>
    <s v="Farrant Avenue"/>
    <x v="951"/>
    <x v="3"/>
    <d v="2022-03-03T00:00:00"/>
    <x v="0"/>
    <x v="5"/>
    <n v="55"/>
    <x v="4"/>
    <x v="4"/>
    <n v="990"/>
    <x v="638"/>
  </r>
  <r>
    <n v="1647"/>
    <x v="161"/>
    <x v="1122"/>
    <s v="Mr"/>
    <s v="M"/>
    <n v="30"/>
    <s v="Farthing Alley"/>
    <x v="952"/>
    <x v="11"/>
    <d v="2020-01-30T00:00:00"/>
    <x v="2"/>
    <x v="6"/>
    <n v="78"/>
    <x v="1"/>
    <x v="1"/>
    <n v="1872"/>
    <x v="100"/>
  </r>
  <r>
    <n v="1648"/>
    <x v="1293"/>
    <x v="731"/>
    <s v="Mr"/>
    <s v="M"/>
    <n v="60"/>
    <s v="Farthingale Walk"/>
    <x v="953"/>
    <x v="2"/>
    <d v="2021-07-04T00:00:00"/>
    <x v="1"/>
    <x v="0"/>
    <n v="92"/>
    <x v="1"/>
    <x v="1"/>
    <n v="2208"/>
    <x v="797"/>
  </r>
  <r>
    <n v="1649"/>
    <x v="1294"/>
    <x v="300"/>
    <s v="Mr"/>
    <s v="M"/>
    <n v="30"/>
    <s v="Fauconberg Road"/>
    <x v="954"/>
    <x v="2"/>
    <d v="2022-12-20T00:00:00"/>
    <x v="0"/>
    <x v="8"/>
    <n v="88"/>
    <x v="7"/>
    <x v="7"/>
    <n v="1760"/>
    <x v="113"/>
  </r>
  <r>
    <n v="1650"/>
    <x v="1295"/>
    <x v="333"/>
    <s v="Ms"/>
    <s v="F"/>
    <n v="60"/>
    <s v="Faulkner Street"/>
    <x v="955"/>
    <x v="33"/>
    <d v="2022-05-10T00:00:00"/>
    <x v="0"/>
    <x v="11"/>
    <n v="99"/>
    <x v="0"/>
    <x v="0"/>
    <n v="1980"/>
    <x v="203"/>
  </r>
  <r>
    <n v="1651"/>
    <x v="1165"/>
    <x v="1123"/>
    <s v="Mr"/>
    <s v="M"/>
    <n v="90"/>
    <s v="Faulkners Alley"/>
    <x v="161"/>
    <x v="29"/>
    <d v="2021-09-05T00:00:00"/>
    <x v="1"/>
    <x v="9"/>
    <n v="68"/>
    <x v="0"/>
    <x v="0"/>
    <n v="1360"/>
    <x v="271"/>
  </r>
  <r>
    <n v="1652"/>
    <x v="452"/>
    <x v="1124"/>
    <s v="Mr"/>
    <s v="M"/>
    <n v="90"/>
    <s v="Faulkners Alley"/>
    <x v="956"/>
    <x v="2"/>
    <d v="2022-02-04T00:00:00"/>
    <x v="0"/>
    <x v="10"/>
    <n v="75"/>
    <x v="5"/>
    <x v="5"/>
    <n v="1800"/>
    <x v="790"/>
  </r>
  <r>
    <n v="1653"/>
    <x v="1296"/>
    <x v="1125"/>
    <s v="Mrs"/>
    <s v="F"/>
    <n v="90"/>
    <s v="Fawcett Estate"/>
    <x v="957"/>
    <x v="77"/>
    <d v="2021-04-27T00:00:00"/>
    <x v="1"/>
    <x v="4"/>
    <n v="95"/>
    <x v="6"/>
    <x v="6"/>
    <n v="2280"/>
    <x v="818"/>
  </r>
  <r>
    <n v="1654"/>
    <x v="1297"/>
    <x v="304"/>
    <s v="Mrs"/>
    <s v="F"/>
    <n v="90"/>
    <s v="Fawcett Road"/>
    <x v="179"/>
    <x v="16"/>
    <d v="2022-10-13T00:00:00"/>
    <x v="0"/>
    <x v="1"/>
    <n v="72"/>
    <x v="4"/>
    <x v="4"/>
    <n v="1296"/>
    <x v="695"/>
  </r>
  <r>
    <n v="1655"/>
    <x v="1298"/>
    <x v="1126"/>
    <s v="Mrs"/>
    <s v="F"/>
    <n v="60"/>
    <s v="Fawley Road"/>
    <x v="958"/>
    <x v="28"/>
    <d v="2022-12-06T00:00:00"/>
    <x v="0"/>
    <x v="8"/>
    <n v="56"/>
    <x v="1"/>
    <x v="1"/>
    <n v="1344"/>
    <x v="819"/>
  </r>
  <r>
    <n v="1656"/>
    <x v="675"/>
    <x v="787"/>
    <s v="Mr"/>
    <s v="M"/>
    <n v="90"/>
    <s v="Fawley Road"/>
    <x v="223"/>
    <x v="10"/>
    <d v="2020-12-14T00:00:00"/>
    <x v="2"/>
    <x v="8"/>
    <n v="53"/>
    <x v="2"/>
    <x v="2"/>
    <n v="901"/>
    <x v="460"/>
  </r>
  <r>
    <n v="1657"/>
    <x v="1299"/>
    <x v="549"/>
    <s v="Mrs"/>
    <s v="F"/>
    <n v="90"/>
    <s v="Fayland Avenue"/>
    <x v="959"/>
    <x v="8"/>
    <d v="2022-08-02T00:00:00"/>
    <x v="0"/>
    <x v="3"/>
    <n v="103"/>
    <x v="9"/>
    <x v="9"/>
    <n v="2472"/>
    <x v="656"/>
  </r>
  <r>
    <n v="1658"/>
    <x v="225"/>
    <x v="971"/>
    <s v="Mr"/>
    <s v="M"/>
    <n v="30"/>
    <s v="Fearegg"/>
    <x v="541"/>
    <x v="2"/>
    <d v="2022-02-07T00:00:00"/>
    <x v="0"/>
    <x v="10"/>
    <n v="87"/>
    <x v="5"/>
    <x v="5"/>
    <n v="2088"/>
    <x v="744"/>
  </r>
  <r>
    <n v="1659"/>
    <x v="793"/>
    <x v="1127"/>
    <s v="Mr"/>
    <s v="M"/>
    <n v="60"/>
    <s v="Feathers Court"/>
    <x v="204"/>
    <x v="2"/>
    <d v="2022-07-26T00:00:00"/>
    <x v="0"/>
    <x v="0"/>
    <n v="48"/>
    <x v="3"/>
    <x v="3"/>
    <n v="1152"/>
    <x v="780"/>
  </r>
  <r>
    <n v="1660"/>
    <x v="1300"/>
    <x v="1128"/>
    <s v="Mr"/>
    <s v="M"/>
    <n v="30"/>
    <s v="Featherstone Court"/>
    <x v="17"/>
    <x v="2"/>
    <d v="2020-07-08T00:00:00"/>
    <x v="2"/>
    <x v="0"/>
    <n v="3"/>
    <x v="5"/>
    <x v="5"/>
    <n v="72"/>
    <x v="379"/>
  </r>
  <r>
    <n v="1661"/>
    <x v="1301"/>
    <x v="986"/>
    <s v="Mr"/>
    <s v="M"/>
    <n v="30"/>
    <s v="Featley Road"/>
    <x v="960"/>
    <x v="2"/>
    <d v="2021-05-31T00:00:00"/>
    <x v="1"/>
    <x v="11"/>
    <n v="89"/>
    <x v="6"/>
    <x v="6"/>
    <n v="2136"/>
    <x v="820"/>
  </r>
  <r>
    <n v="1662"/>
    <x v="1047"/>
    <x v="402"/>
    <s v="Miss"/>
    <s v="F"/>
    <n v="30"/>
    <s v="Felbridge Close"/>
    <x v="168"/>
    <x v="2"/>
    <d v="2022-09-10T00:00:00"/>
    <x v="0"/>
    <x v="9"/>
    <n v="81"/>
    <x v="5"/>
    <x v="5"/>
    <n v="1944"/>
    <x v="799"/>
  </r>
  <r>
    <n v="1663"/>
    <x v="297"/>
    <x v="559"/>
    <s v="Mr"/>
    <s v="M"/>
    <n v="30"/>
    <s v="Felix Place"/>
    <x v="948"/>
    <x v="2"/>
    <d v="2022-10-13T00:00:00"/>
    <x v="0"/>
    <x v="1"/>
    <n v="28"/>
    <x v="0"/>
    <x v="0"/>
    <n v="560"/>
    <x v="635"/>
  </r>
  <r>
    <n v="1664"/>
    <x v="1302"/>
    <x v="1129"/>
    <s v="Miss"/>
    <s v="F"/>
    <n v="30"/>
    <s v="Felix Street"/>
    <x v="712"/>
    <x v="2"/>
    <d v="2022-05-21T00:00:00"/>
    <x v="0"/>
    <x v="11"/>
    <n v="19"/>
    <x v="2"/>
    <x v="2"/>
    <n v="323"/>
    <x v="337"/>
  </r>
  <r>
    <n v="1665"/>
    <x v="1303"/>
    <x v="1130"/>
    <s v="Mr"/>
    <s v="M"/>
    <n v="90"/>
    <s v="Felix Terrace"/>
    <x v="158"/>
    <x v="17"/>
    <d v="2021-10-12T00:00:00"/>
    <x v="1"/>
    <x v="1"/>
    <n v="20"/>
    <x v="5"/>
    <x v="5"/>
    <n v="480"/>
    <x v="423"/>
  </r>
  <r>
    <n v="1666"/>
    <x v="1304"/>
    <x v="250"/>
    <s v="Mr"/>
    <s v="M"/>
    <n v="60"/>
    <s v="Fenchurch Place"/>
    <x v="244"/>
    <x v="1"/>
    <d v="2020-03-12T00:00:00"/>
    <x v="2"/>
    <x v="5"/>
    <n v="46"/>
    <x v="5"/>
    <x v="5"/>
    <n v="1104"/>
    <x v="463"/>
  </r>
  <r>
    <n v="1667"/>
    <x v="1305"/>
    <x v="224"/>
    <s v="Mrs"/>
    <s v="F"/>
    <n v="30"/>
    <s v="Fentons Avenue"/>
    <x v="961"/>
    <x v="21"/>
    <d v="2022-09-30T00:00:00"/>
    <x v="0"/>
    <x v="9"/>
    <n v="36"/>
    <x v="8"/>
    <x v="8"/>
    <n v="720"/>
    <x v="719"/>
  </r>
  <r>
    <n v="1668"/>
    <x v="1306"/>
    <x v="490"/>
    <s v="Miss"/>
    <s v="F"/>
    <n v="60"/>
    <s v="Fenwick Street"/>
    <x v="610"/>
    <x v="2"/>
    <d v="2021-12-13T00:00:00"/>
    <x v="1"/>
    <x v="8"/>
    <n v="57"/>
    <x v="9"/>
    <x v="9"/>
    <n v="1368"/>
    <x v="313"/>
  </r>
  <r>
    <n v="1669"/>
    <x v="1307"/>
    <x v="455"/>
    <s v="Miss"/>
    <s v="F"/>
    <n v="60"/>
    <s v="Fergus Road"/>
    <x v="742"/>
    <x v="1"/>
    <d v="2020-08-09T00:00:00"/>
    <x v="2"/>
    <x v="3"/>
    <n v="68"/>
    <x v="6"/>
    <x v="6"/>
    <n v="1632"/>
    <x v="778"/>
  </r>
  <r>
    <n v="1670"/>
    <x v="1308"/>
    <x v="290"/>
    <s v="Mr"/>
    <s v="M"/>
    <n v="60"/>
    <s v="Fern Close"/>
    <x v="336"/>
    <x v="2"/>
    <d v="2021-06-15T00:00:00"/>
    <x v="1"/>
    <x v="2"/>
    <n v="74"/>
    <x v="6"/>
    <x v="6"/>
    <n v="1776"/>
    <x v="803"/>
  </r>
  <r>
    <n v="1671"/>
    <x v="1309"/>
    <x v="1115"/>
    <s v="Mr"/>
    <s v="M"/>
    <n v="30"/>
    <s v="Fernhurst Road"/>
    <x v="375"/>
    <x v="24"/>
    <d v="2021-04-02T00:00:00"/>
    <x v="1"/>
    <x v="4"/>
    <n v="86"/>
    <x v="2"/>
    <x v="2"/>
    <n v="1462"/>
    <x v="267"/>
  </r>
  <r>
    <n v="1672"/>
    <x v="1310"/>
    <x v="1131"/>
    <s v="Miss"/>
    <s v="F"/>
    <n v="30"/>
    <s v="Ferns Road"/>
    <x v="174"/>
    <x v="31"/>
    <d v="2020-06-10T00:00:00"/>
    <x v="2"/>
    <x v="2"/>
    <n v="69"/>
    <x v="3"/>
    <x v="3"/>
    <n v="1656"/>
    <x v="611"/>
  </r>
  <r>
    <n v="1673"/>
    <x v="964"/>
    <x v="1132"/>
    <s v="Mr"/>
    <s v="M"/>
    <n v="90"/>
    <s v="Ferns Road"/>
    <x v="962"/>
    <x v="21"/>
    <d v="2022-06-02T00:00:00"/>
    <x v="0"/>
    <x v="2"/>
    <n v="76"/>
    <x v="8"/>
    <x v="8"/>
    <n v="1520"/>
    <x v="808"/>
  </r>
  <r>
    <n v="1674"/>
    <x v="1311"/>
    <x v="733"/>
    <s v="Mrs"/>
    <s v="F"/>
    <n v="90"/>
    <s v="Ferns Road"/>
    <x v="782"/>
    <x v="11"/>
    <d v="2020-04-01T00:00:00"/>
    <x v="2"/>
    <x v="4"/>
    <n v="72"/>
    <x v="8"/>
    <x v="8"/>
    <n v="1440"/>
    <x v="718"/>
  </r>
  <r>
    <n v="1675"/>
    <x v="880"/>
    <x v="1133"/>
    <s v="Mr"/>
    <s v="M"/>
    <n v="60"/>
    <s v="Fernsbury Street"/>
    <x v="963"/>
    <x v="2"/>
    <d v="2021-03-17T00:00:00"/>
    <x v="1"/>
    <x v="5"/>
    <n v="75"/>
    <x v="9"/>
    <x v="9"/>
    <n v="1800"/>
    <x v="146"/>
  </r>
  <r>
    <n v="1676"/>
    <x v="1312"/>
    <x v="1134"/>
    <s v="Mr"/>
    <s v="M"/>
    <n v="90"/>
    <s v="Fernside Road"/>
    <x v="587"/>
    <x v="21"/>
    <d v="2022-06-01T00:00:00"/>
    <x v="0"/>
    <x v="2"/>
    <n v="96"/>
    <x v="0"/>
    <x v="0"/>
    <n v="1920"/>
    <x v="821"/>
  </r>
  <r>
    <n v="1677"/>
    <x v="572"/>
    <x v="399"/>
    <s v="Mr"/>
    <s v="M"/>
    <n v="30"/>
    <s v="Fernside Road"/>
    <x v="964"/>
    <x v="2"/>
    <d v="2021-08-15T00:00:00"/>
    <x v="1"/>
    <x v="3"/>
    <n v="93"/>
    <x v="9"/>
    <x v="9"/>
    <n v="2232"/>
    <x v="186"/>
  </r>
  <r>
    <n v="1678"/>
    <x v="1313"/>
    <x v="1135"/>
    <s v="Mr"/>
    <s v="M"/>
    <n v="30"/>
    <s v="Fernwood Crescent"/>
    <x v="323"/>
    <x v="53"/>
    <d v="2020-09-28T00:00:00"/>
    <x v="2"/>
    <x v="9"/>
    <n v="63"/>
    <x v="4"/>
    <x v="4"/>
    <n v="1134"/>
    <x v="751"/>
  </r>
  <r>
    <n v="1679"/>
    <x v="1314"/>
    <x v="1041"/>
    <s v="Miss"/>
    <s v="F"/>
    <n v="30"/>
    <s v="Ferrand Street"/>
    <x v="13"/>
    <x v="9"/>
    <d v="2022-10-19T00:00:00"/>
    <x v="0"/>
    <x v="1"/>
    <n v="62"/>
    <x v="9"/>
    <x v="9"/>
    <n v="1488"/>
    <x v="451"/>
  </r>
  <r>
    <n v="1680"/>
    <x v="823"/>
    <x v="528"/>
    <s v="Mr"/>
    <s v="M"/>
    <n v="90"/>
    <s v="Ferrand Street"/>
    <x v="965"/>
    <x v="7"/>
    <d v="2020-05-14T00:00:00"/>
    <x v="2"/>
    <x v="11"/>
    <n v="79"/>
    <x v="7"/>
    <x v="7"/>
    <n v="1580"/>
    <x v="822"/>
  </r>
  <r>
    <n v="1681"/>
    <x v="1315"/>
    <x v="826"/>
    <s v="Miss"/>
    <s v="F"/>
    <n v="90"/>
    <s v="Field Lane"/>
    <x v="966"/>
    <x v="2"/>
    <d v="2021-04-27T00:00:00"/>
    <x v="1"/>
    <x v="4"/>
    <n v="37"/>
    <x v="1"/>
    <x v="1"/>
    <n v="888"/>
    <x v="677"/>
  </r>
  <r>
    <n v="1682"/>
    <x v="1316"/>
    <x v="1136"/>
    <s v="Miss"/>
    <s v="F"/>
    <n v="30"/>
    <s v="Field Lane"/>
    <x v="727"/>
    <x v="2"/>
    <d v="2021-01-19T00:00:00"/>
    <x v="1"/>
    <x v="6"/>
    <n v="45"/>
    <x v="6"/>
    <x v="6"/>
    <n v="1080"/>
    <x v="570"/>
  </r>
  <r>
    <n v="1683"/>
    <x v="897"/>
    <x v="746"/>
    <s v="Mr"/>
    <s v="M"/>
    <n v="90"/>
    <s v="Fieldfare Road"/>
    <x v="328"/>
    <x v="55"/>
    <d v="2021-01-03T00:00:00"/>
    <x v="1"/>
    <x v="6"/>
    <n v="10"/>
    <x v="0"/>
    <x v="0"/>
    <n v="200"/>
    <x v="753"/>
  </r>
  <r>
    <n v="1684"/>
    <x v="1317"/>
    <x v="1137"/>
    <s v="Ms"/>
    <s v="F"/>
    <n v="90"/>
    <s v="Fielding Mews"/>
    <x v="751"/>
    <x v="2"/>
    <d v="2021-05-07T00:00:00"/>
    <x v="1"/>
    <x v="11"/>
    <n v="45"/>
    <x v="0"/>
    <x v="0"/>
    <n v="900"/>
    <x v="761"/>
  </r>
  <r>
    <n v="1685"/>
    <x v="425"/>
    <x v="684"/>
    <s v="Mr"/>
    <s v="M"/>
    <n v="30"/>
    <s v="Fielding Street"/>
    <x v="306"/>
    <x v="2"/>
    <d v="2021-09-27T00:00:00"/>
    <x v="1"/>
    <x v="9"/>
    <n v="61"/>
    <x v="5"/>
    <x v="5"/>
    <n v="1464"/>
    <x v="515"/>
  </r>
  <r>
    <n v="1686"/>
    <x v="1318"/>
    <x v="932"/>
    <s v="Mrs"/>
    <s v="F"/>
    <n v="60"/>
    <s v="Fife Court"/>
    <x v="13"/>
    <x v="9"/>
    <d v="2022-01-02T00:00:00"/>
    <x v="0"/>
    <x v="6"/>
    <n v="97"/>
    <x v="5"/>
    <x v="5"/>
    <n v="2328"/>
    <x v="823"/>
  </r>
  <r>
    <n v="1687"/>
    <x v="1319"/>
    <x v="1138"/>
    <s v="Miss"/>
    <s v="F"/>
    <n v="60"/>
    <s v="Finchley Road"/>
    <x v="509"/>
    <x v="20"/>
    <d v="2021-07-09T00:00:00"/>
    <x v="1"/>
    <x v="0"/>
    <n v="28"/>
    <x v="4"/>
    <x v="4"/>
    <n v="504"/>
    <x v="756"/>
  </r>
  <r>
    <n v="1688"/>
    <x v="1320"/>
    <x v="694"/>
    <s v="Mrs"/>
    <s v="F"/>
    <n v="30"/>
    <s v="Finchley Villas"/>
    <x v="967"/>
    <x v="2"/>
    <d v="2022-10-26T00:00:00"/>
    <x v="0"/>
    <x v="1"/>
    <n v="43"/>
    <x v="3"/>
    <x v="3"/>
    <n v="1032"/>
    <x v="722"/>
  </r>
  <r>
    <n v="1689"/>
    <x v="46"/>
    <x v="145"/>
    <s v="Mr"/>
    <s v="M"/>
    <n v="30"/>
    <s v="Finchley Way"/>
    <x v="743"/>
    <x v="11"/>
    <d v="2020-10-08T00:00:00"/>
    <x v="2"/>
    <x v="1"/>
    <n v="20"/>
    <x v="4"/>
    <x v="4"/>
    <n v="360"/>
    <x v="824"/>
  </r>
  <r>
    <n v="1690"/>
    <x v="473"/>
    <x v="83"/>
    <s v="Prof"/>
    <s v="F"/>
    <n v="90"/>
    <s v="Findon Road"/>
    <x v="115"/>
    <x v="2"/>
    <d v="2020-08-15T00:00:00"/>
    <x v="2"/>
    <x v="3"/>
    <n v="28"/>
    <x v="8"/>
    <x v="8"/>
    <n v="560"/>
    <x v="825"/>
  </r>
  <r>
    <n v="1691"/>
    <x v="1321"/>
    <x v="1139"/>
    <s v="Mr"/>
    <s v="M"/>
    <n v="90"/>
    <s v="Finsbury Market"/>
    <x v="55"/>
    <x v="19"/>
    <d v="2020-12-29T00:00:00"/>
    <x v="2"/>
    <x v="8"/>
    <n v="60"/>
    <x v="9"/>
    <x v="9"/>
    <n v="1440"/>
    <x v="101"/>
  </r>
  <r>
    <n v="1692"/>
    <x v="1322"/>
    <x v="1140"/>
    <s v="Mr"/>
    <s v="M"/>
    <n v="60"/>
    <s v="Finsbury Market"/>
    <x v="968"/>
    <x v="73"/>
    <d v="2021-06-14T00:00:00"/>
    <x v="1"/>
    <x v="2"/>
    <n v="3"/>
    <x v="0"/>
    <x v="0"/>
    <n v="60"/>
    <x v="684"/>
  </r>
  <r>
    <n v="1693"/>
    <x v="1323"/>
    <x v="387"/>
    <s v="Mr"/>
    <s v="M"/>
    <n v="90"/>
    <s v="Finsbury Pavement"/>
    <x v="969"/>
    <x v="2"/>
    <d v="2020-11-24T00:00:00"/>
    <x v="2"/>
    <x v="7"/>
    <n v="5"/>
    <x v="7"/>
    <x v="7"/>
    <n v="100"/>
    <x v="826"/>
  </r>
  <r>
    <n v="1694"/>
    <x v="1065"/>
    <x v="1141"/>
    <s v="Mr"/>
    <s v="M"/>
    <n v="30"/>
    <s v="Finsbury Road"/>
    <x v="970"/>
    <x v="2"/>
    <d v="2022-06-10T00:00:00"/>
    <x v="0"/>
    <x v="2"/>
    <n v="70"/>
    <x v="1"/>
    <x v="1"/>
    <n v="1680"/>
    <x v="561"/>
  </r>
  <r>
    <n v="1695"/>
    <x v="1324"/>
    <x v="743"/>
    <s v="Mrs"/>
    <s v="F"/>
    <n v="30"/>
    <s v="Finsbury Square"/>
    <x v="127"/>
    <x v="2"/>
    <d v="2021-10-19T00:00:00"/>
    <x v="1"/>
    <x v="1"/>
    <n v="7"/>
    <x v="8"/>
    <x v="8"/>
    <n v="140"/>
    <x v="300"/>
  </r>
  <r>
    <n v="1696"/>
    <x v="1325"/>
    <x v="1142"/>
    <s v="Mr"/>
    <s v="M"/>
    <n v="90"/>
    <s v="Firecrest Drive"/>
    <x v="850"/>
    <x v="2"/>
    <d v="2022-09-04T00:00:00"/>
    <x v="0"/>
    <x v="9"/>
    <n v="67"/>
    <x v="6"/>
    <x v="6"/>
    <n v="1608"/>
    <x v="604"/>
  </r>
  <r>
    <n v="1697"/>
    <x v="1326"/>
    <x v="504"/>
    <s v="Mrs"/>
    <s v="F"/>
    <n v="90"/>
    <s v="Firhill Road"/>
    <x v="971"/>
    <x v="16"/>
    <d v="2022-03-06T00:00:00"/>
    <x v="0"/>
    <x v="5"/>
    <n v="34"/>
    <x v="9"/>
    <x v="9"/>
    <n v="816"/>
    <x v="738"/>
  </r>
  <r>
    <n v="1698"/>
    <x v="1327"/>
    <x v="561"/>
    <s v="Miss"/>
    <s v="F"/>
    <n v="90"/>
    <s v="Firs Close"/>
    <x v="972"/>
    <x v="11"/>
    <d v="2022-10-04T00:00:00"/>
    <x v="0"/>
    <x v="1"/>
    <n v="48"/>
    <x v="6"/>
    <x v="6"/>
    <n v="1152"/>
    <x v="487"/>
  </r>
  <r>
    <n v="1699"/>
    <x v="1328"/>
    <x v="1143"/>
    <s v="Mrs"/>
    <s v="F"/>
    <n v="30"/>
    <s v="First Avenue"/>
    <x v="600"/>
    <x v="21"/>
    <d v="2021-12-17T00:00:00"/>
    <x v="1"/>
    <x v="8"/>
    <n v="67"/>
    <x v="4"/>
    <x v="4"/>
    <n v="1206"/>
    <x v="827"/>
  </r>
  <r>
    <n v="1700"/>
    <x v="941"/>
    <x v="1144"/>
    <s v="Mr"/>
    <s v="M"/>
    <n v="30"/>
    <s v="Fish Street"/>
    <x v="860"/>
    <x v="16"/>
    <d v="2022-10-02T00:00:00"/>
    <x v="0"/>
    <x v="1"/>
    <n v="75"/>
    <x v="3"/>
    <x v="3"/>
    <n v="1800"/>
    <x v="314"/>
  </r>
  <r>
    <n v="1701"/>
    <x v="106"/>
    <x v="794"/>
    <s v="Miss"/>
    <s v="F"/>
    <n v="90"/>
    <s v="Fishermans Walk"/>
    <x v="115"/>
    <x v="2"/>
    <d v="2020-04-29T00:00:00"/>
    <x v="2"/>
    <x v="4"/>
    <n v="78"/>
    <x v="3"/>
    <x v="3"/>
    <n v="1872"/>
    <x v="713"/>
  </r>
  <r>
    <n v="1702"/>
    <x v="1329"/>
    <x v="346"/>
    <s v="Mr"/>
    <s v="M"/>
    <n v="60"/>
    <s v="Fishers Rents"/>
    <x v="973"/>
    <x v="21"/>
    <d v="2020-03-06T00:00:00"/>
    <x v="2"/>
    <x v="5"/>
    <n v="2"/>
    <x v="6"/>
    <x v="6"/>
    <n v="48"/>
    <x v="728"/>
  </r>
  <r>
    <n v="1703"/>
    <x v="1330"/>
    <x v="894"/>
    <s v="Mr"/>
    <s v="M"/>
    <n v="30"/>
    <s v="Fitzroy Street"/>
    <x v="896"/>
    <x v="2"/>
    <d v="2020-11-21T00:00:00"/>
    <x v="2"/>
    <x v="7"/>
    <n v="76"/>
    <x v="5"/>
    <x v="5"/>
    <n v="1824"/>
    <x v="405"/>
  </r>
  <r>
    <n v="1704"/>
    <x v="1331"/>
    <x v="379"/>
    <s v="Rev"/>
    <s v="M"/>
    <n v="90"/>
    <s v="Five Acre"/>
    <x v="25"/>
    <x v="1"/>
    <d v="2020-04-25T00:00:00"/>
    <x v="2"/>
    <x v="4"/>
    <n v="18"/>
    <x v="4"/>
    <x v="4"/>
    <n v="324"/>
    <x v="304"/>
  </r>
  <r>
    <n v="1705"/>
    <x v="1299"/>
    <x v="979"/>
    <s v="Ms"/>
    <s v="F"/>
    <n v="30"/>
    <s v="Flanders Crescent"/>
    <x v="786"/>
    <x v="2"/>
    <d v="2022-04-12T00:00:00"/>
    <x v="0"/>
    <x v="4"/>
    <n v="47"/>
    <x v="3"/>
    <x v="3"/>
    <n v="1128"/>
    <x v="472"/>
  </r>
  <r>
    <n v="1706"/>
    <x v="1332"/>
    <x v="465"/>
    <s v="Ms"/>
    <s v="F"/>
    <n v="30"/>
    <s v="Fleet Road"/>
    <x v="702"/>
    <x v="2"/>
    <d v="2020-05-22T00:00:00"/>
    <x v="2"/>
    <x v="11"/>
    <n v="51"/>
    <x v="1"/>
    <x v="1"/>
    <n v="1224"/>
    <x v="61"/>
  </r>
  <r>
    <n v="1707"/>
    <x v="1304"/>
    <x v="1145"/>
    <s v="Mr"/>
    <s v="M"/>
    <n v="60"/>
    <s v="Fleming Drive"/>
    <x v="974"/>
    <x v="2"/>
    <d v="2021-08-08T00:00:00"/>
    <x v="1"/>
    <x v="3"/>
    <n v="4"/>
    <x v="2"/>
    <x v="2"/>
    <n v="68"/>
    <x v="420"/>
  </r>
  <r>
    <n v="1708"/>
    <x v="1333"/>
    <x v="762"/>
    <s v="Mr"/>
    <s v="M"/>
    <n v="30"/>
    <s v="Fleming Walk"/>
    <x v="311"/>
    <x v="2"/>
    <d v="2021-12-29T00:00:00"/>
    <x v="1"/>
    <x v="8"/>
    <n v="20"/>
    <x v="5"/>
    <x v="5"/>
    <n v="480"/>
    <x v="423"/>
  </r>
  <r>
    <n v="1709"/>
    <x v="1334"/>
    <x v="1146"/>
    <s v="Mr"/>
    <s v="M"/>
    <n v="60"/>
    <s v="Fleming Way"/>
    <x v="832"/>
    <x v="35"/>
    <d v="2021-10-24T00:00:00"/>
    <x v="1"/>
    <x v="1"/>
    <n v="45"/>
    <x v="5"/>
    <x v="5"/>
    <n v="1080"/>
    <x v="112"/>
  </r>
  <r>
    <n v="1710"/>
    <x v="1335"/>
    <x v="384"/>
    <s v="Mrs"/>
    <s v="F"/>
    <n v="30"/>
    <s v="Fletcher Row"/>
    <x v="276"/>
    <x v="3"/>
    <d v="2022-01-11T00:00:00"/>
    <x v="0"/>
    <x v="6"/>
    <n v="82"/>
    <x v="8"/>
    <x v="8"/>
    <n v="1640"/>
    <x v="263"/>
  </r>
  <r>
    <n v="1711"/>
    <x v="1336"/>
    <x v="1147"/>
    <s v="Mrs"/>
    <s v="F"/>
    <n v="60"/>
    <s v="Fletton Road"/>
    <x v="975"/>
    <x v="21"/>
    <d v="2022-10-10T00:00:00"/>
    <x v="0"/>
    <x v="1"/>
    <n v="50"/>
    <x v="8"/>
    <x v="8"/>
    <n v="1000"/>
    <x v="734"/>
  </r>
  <r>
    <n v="1712"/>
    <x v="844"/>
    <x v="1148"/>
    <s v="Mr"/>
    <s v="M"/>
    <n v="60"/>
    <s v="Flexmere Road"/>
    <x v="708"/>
    <x v="2"/>
    <d v="2022-11-05T00:00:00"/>
    <x v="0"/>
    <x v="7"/>
    <n v="98"/>
    <x v="4"/>
    <x v="4"/>
    <n v="1764"/>
    <x v="828"/>
  </r>
  <r>
    <n v="1713"/>
    <x v="1337"/>
    <x v="1149"/>
    <s v="Mr"/>
    <s v="M"/>
    <n v="30"/>
    <s v="Flockton Street"/>
    <x v="783"/>
    <x v="16"/>
    <d v="2020-01-14T00:00:00"/>
    <x v="2"/>
    <x v="6"/>
    <n v="34"/>
    <x v="8"/>
    <x v="8"/>
    <n v="680"/>
    <x v="415"/>
  </r>
  <r>
    <n v="1714"/>
    <x v="1338"/>
    <x v="130"/>
    <s v="Mr"/>
    <s v="M"/>
    <n v="90"/>
    <s v="Florence Terrace"/>
    <x v="803"/>
    <x v="11"/>
    <d v="2022-05-28T00:00:00"/>
    <x v="0"/>
    <x v="11"/>
    <n v="18"/>
    <x v="9"/>
    <x v="9"/>
    <n v="432"/>
    <x v="390"/>
  </r>
  <r>
    <n v="1715"/>
    <x v="1339"/>
    <x v="97"/>
    <s v="Mr"/>
    <s v="M"/>
    <n v="90"/>
    <s v="Flower &amp;"/>
    <x v="58"/>
    <x v="1"/>
    <d v="2021-11-22T00:00:00"/>
    <x v="1"/>
    <x v="7"/>
    <n v="65"/>
    <x v="7"/>
    <x v="7"/>
    <n v="1300"/>
    <x v="445"/>
  </r>
  <r>
    <n v="1716"/>
    <x v="335"/>
    <x v="1150"/>
    <s v="Mr"/>
    <s v="M"/>
    <n v="90"/>
    <s v="Flower And"/>
    <x v="390"/>
    <x v="2"/>
    <d v="2022-10-10T00:00:00"/>
    <x v="0"/>
    <x v="1"/>
    <n v="26"/>
    <x v="4"/>
    <x v="4"/>
    <n v="468"/>
    <x v="607"/>
  </r>
  <r>
    <n v="1717"/>
    <x v="1340"/>
    <x v="1151"/>
    <s v="Mr"/>
    <s v="M"/>
    <n v="30"/>
    <s v="Flowers Mews"/>
    <x v="733"/>
    <x v="16"/>
    <d v="2020-11-25T00:00:00"/>
    <x v="2"/>
    <x v="7"/>
    <n v="73"/>
    <x v="6"/>
    <x v="6"/>
    <n v="1752"/>
    <x v="164"/>
  </r>
  <r>
    <n v="1718"/>
    <x v="449"/>
    <x v="404"/>
    <s v="Ms"/>
    <s v="F"/>
    <n v="30"/>
    <s v="Folgate Street"/>
    <x v="166"/>
    <x v="3"/>
    <d v="2021-02-13T00:00:00"/>
    <x v="1"/>
    <x v="10"/>
    <n v="28"/>
    <x v="2"/>
    <x v="2"/>
    <n v="476"/>
    <x v="194"/>
  </r>
  <r>
    <n v="1719"/>
    <x v="1341"/>
    <x v="1152"/>
    <s v="Miss"/>
    <s v="F"/>
    <n v="90"/>
    <s v="Foliot Street"/>
    <x v="544"/>
    <x v="2"/>
    <d v="2021-06-21T00:00:00"/>
    <x v="1"/>
    <x v="2"/>
    <n v="66"/>
    <x v="3"/>
    <x v="3"/>
    <n v="1584"/>
    <x v="158"/>
  </r>
  <r>
    <n v="1720"/>
    <x v="651"/>
    <x v="265"/>
    <s v="Miss"/>
    <s v="F"/>
    <n v="90"/>
    <s v="Folkington Corner"/>
    <x v="976"/>
    <x v="2"/>
    <d v="2021-01-15T00:00:00"/>
    <x v="1"/>
    <x v="6"/>
    <n v="51"/>
    <x v="8"/>
    <x v="8"/>
    <n v="1020"/>
    <x v="126"/>
  </r>
  <r>
    <n v="1721"/>
    <x v="836"/>
    <x v="1153"/>
    <s v="Mr"/>
    <s v="M"/>
    <n v="60"/>
    <s v="Fontarabia Road"/>
    <x v="606"/>
    <x v="16"/>
    <d v="2021-03-20T00:00:00"/>
    <x v="1"/>
    <x v="5"/>
    <n v="9"/>
    <x v="2"/>
    <x v="2"/>
    <n v="153"/>
    <x v="89"/>
  </r>
  <r>
    <n v="1722"/>
    <x v="1342"/>
    <x v="450"/>
    <s v="Mrs"/>
    <s v="F"/>
    <n v="60"/>
    <s v="Ford Close"/>
    <x v="170"/>
    <x v="1"/>
    <d v="2022-11-25T00:00:00"/>
    <x v="0"/>
    <x v="7"/>
    <n v="20"/>
    <x v="7"/>
    <x v="7"/>
    <n v="400"/>
    <x v="639"/>
  </r>
  <r>
    <n v="1723"/>
    <x v="580"/>
    <x v="110"/>
    <s v="Mr"/>
    <s v="M"/>
    <n v="60"/>
    <s v="Fordhook Ave"/>
    <x v="583"/>
    <x v="44"/>
    <d v="2020-10-11T00:00:00"/>
    <x v="2"/>
    <x v="1"/>
    <n v="48"/>
    <x v="1"/>
    <x v="1"/>
    <n v="1152"/>
    <x v="312"/>
  </r>
  <r>
    <n v="1724"/>
    <x v="1343"/>
    <x v="1154"/>
    <s v="Miss"/>
    <s v="F"/>
    <n v="30"/>
    <s v="Fordwych Road"/>
    <x v="977"/>
    <x v="3"/>
    <d v="2022-03-16T00:00:00"/>
    <x v="0"/>
    <x v="5"/>
    <n v="39"/>
    <x v="0"/>
    <x v="0"/>
    <n v="780"/>
    <x v="829"/>
  </r>
  <r>
    <n v="1725"/>
    <x v="16"/>
    <x v="143"/>
    <s v="Mr"/>
    <s v="M"/>
    <n v="60"/>
    <s v="Forest Approach"/>
    <x v="822"/>
    <x v="15"/>
    <d v="2021-11-19T00:00:00"/>
    <x v="1"/>
    <x v="7"/>
    <n v="81"/>
    <x v="0"/>
    <x v="0"/>
    <n v="1620"/>
    <x v="116"/>
  </r>
  <r>
    <n v="1726"/>
    <x v="1344"/>
    <x v="1155"/>
    <s v="Mrs"/>
    <s v="F"/>
    <n v="30"/>
    <s v="Forest Court"/>
    <x v="25"/>
    <x v="1"/>
    <d v="2020-12-05T00:00:00"/>
    <x v="2"/>
    <x v="8"/>
    <n v="19"/>
    <x v="6"/>
    <x v="6"/>
    <n v="456"/>
    <x v="115"/>
  </r>
  <r>
    <n v="1727"/>
    <x v="1025"/>
    <x v="1156"/>
    <s v="Mr"/>
    <s v="M"/>
    <n v="90"/>
    <s v="Forest Grove"/>
    <x v="454"/>
    <x v="39"/>
    <d v="2021-08-13T00:00:00"/>
    <x v="1"/>
    <x v="3"/>
    <n v="42"/>
    <x v="1"/>
    <x v="1"/>
    <n v="1008"/>
    <x v="185"/>
  </r>
  <r>
    <n v="1728"/>
    <x v="1345"/>
    <x v="354"/>
    <s v="Mr"/>
    <s v="M"/>
    <n v="90"/>
    <s v="Forest Grove"/>
    <x v="547"/>
    <x v="72"/>
    <d v="2022-04-06T00:00:00"/>
    <x v="0"/>
    <x v="4"/>
    <n v="18"/>
    <x v="9"/>
    <x v="9"/>
    <n v="432"/>
    <x v="390"/>
  </r>
  <r>
    <n v="1729"/>
    <x v="1346"/>
    <x v="495"/>
    <s v="Mr"/>
    <s v="M"/>
    <n v="60"/>
    <s v="Forest Hill"/>
    <x v="554"/>
    <x v="2"/>
    <d v="2020-10-13T00:00:00"/>
    <x v="2"/>
    <x v="1"/>
    <n v="74"/>
    <x v="5"/>
    <x v="5"/>
    <n v="1776"/>
    <x v="122"/>
  </r>
  <r>
    <n v="1730"/>
    <x v="1225"/>
    <x v="850"/>
    <s v="Mr"/>
    <s v="M"/>
    <n v="30"/>
    <s v="Forest Lane"/>
    <x v="160"/>
    <x v="2"/>
    <d v="2021-08-17T00:00:00"/>
    <x v="1"/>
    <x v="3"/>
    <n v="23"/>
    <x v="4"/>
    <x v="4"/>
    <n v="414"/>
    <x v="683"/>
  </r>
  <r>
    <n v="1731"/>
    <x v="1347"/>
    <x v="1157"/>
    <s v="Miss"/>
    <s v="F"/>
    <n v="60"/>
    <s v="Forston Street"/>
    <x v="727"/>
    <x v="2"/>
    <d v="2022-04-06T00:00:00"/>
    <x v="0"/>
    <x v="4"/>
    <n v="57"/>
    <x v="7"/>
    <x v="7"/>
    <n v="1140"/>
    <x v="501"/>
  </r>
  <r>
    <n v="1732"/>
    <x v="1348"/>
    <x v="602"/>
    <s v="Miss"/>
    <s v="F"/>
    <n v="90"/>
    <s v="Forsyte Crescent"/>
    <x v="978"/>
    <x v="1"/>
    <d v="2020-07-24T00:00:00"/>
    <x v="2"/>
    <x v="0"/>
    <n v="19"/>
    <x v="0"/>
    <x v="0"/>
    <n v="380"/>
    <x v="44"/>
  </r>
  <r>
    <n v="1733"/>
    <x v="1349"/>
    <x v="252"/>
    <s v="Mrs"/>
    <s v="F"/>
    <n v="60"/>
    <s v="Fortescue Avenue"/>
    <x v="498"/>
    <x v="2"/>
    <d v="2021-03-30T00:00:00"/>
    <x v="1"/>
    <x v="5"/>
    <n v="73"/>
    <x v="8"/>
    <x v="8"/>
    <n v="1460"/>
    <x v="830"/>
  </r>
  <r>
    <n v="1734"/>
    <x v="1350"/>
    <x v="871"/>
    <s v="Mr"/>
    <s v="M"/>
    <n v="60"/>
    <s v="Fortess Road"/>
    <x v="743"/>
    <x v="11"/>
    <d v="2021-04-09T00:00:00"/>
    <x v="1"/>
    <x v="4"/>
    <n v="45"/>
    <x v="3"/>
    <x v="3"/>
    <n v="1080"/>
    <x v="266"/>
  </r>
  <r>
    <n v="1735"/>
    <x v="1351"/>
    <x v="1158"/>
    <s v="Miss"/>
    <s v="F"/>
    <n v="90"/>
    <s v="Fortune Street"/>
    <x v="670"/>
    <x v="10"/>
    <d v="2021-12-06T00:00:00"/>
    <x v="1"/>
    <x v="8"/>
    <n v="47"/>
    <x v="3"/>
    <x v="3"/>
    <n v="1128"/>
    <x v="472"/>
  </r>
  <r>
    <n v="1736"/>
    <x v="1290"/>
    <x v="641"/>
    <s v="Miss"/>
    <s v="F"/>
    <n v="30"/>
    <s v="Fortune Street"/>
    <x v="599"/>
    <x v="2"/>
    <d v="2021-08-04T00:00:00"/>
    <x v="1"/>
    <x v="3"/>
    <n v="30"/>
    <x v="2"/>
    <x v="2"/>
    <n v="510"/>
    <x v="545"/>
  </r>
  <r>
    <n v="1737"/>
    <x v="250"/>
    <x v="1159"/>
    <s v="Mrs"/>
    <s v="F"/>
    <n v="60"/>
    <s v="Foskett Road"/>
    <x v="979"/>
    <x v="2"/>
    <d v="2022-01-26T00:00:00"/>
    <x v="0"/>
    <x v="6"/>
    <n v="89"/>
    <x v="0"/>
    <x v="0"/>
    <n v="1780"/>
    <x v="785"/>
  </r>
  <r>
    <n v="1738"/>
    <x v="1352"/>
    <x v="111"/>
    <s v="Mr"/>
    <s v="M"/>
    <n v="60"/>
    <s v="Foss Buildings"/>
    <x v="980"/>
    <x v="2"/>
    <d v="2020-02-05T00:00:00"/>
    <x v="2"/>
    <x v="10"/>
    <n v="43"/>
    <x v="8"/>
    <x v="8"/>
    <n v="860"/>
    <x v="235"/>
  </r>
  <r>
    <n v="1739"/>
    <x v="705"/>
    <x v="86"/>
    <s v="Mrs"/>
    <s v="F"/>
    <n v="30"/>
    <s v="Fosse Way"/>
    <x v="414"/>
    <x v="2"/>
    <d v="2021-05-02T00:00:00"/>
    <x v="1"/>
    <x v="11"/>
    <n v="14"/>
    <x v="0"/>
    <x v="0"/>
    <n v="280"/>
    <x v="22"/>
  </r>
  <r>
    <n v="1740"/>
    <x v="360"/>
    <x v="1088"/>
    <s v="Mrs"/>
    <s v="F"/>
    <n v="90"/>
    <s v="Foston Villas"/>
    <x v="350"/>
    <x v="2"/>
    <d v="2021-01-02T00:00:00"/>
    <x v="1"/>
    <x v="6"/>
    <n v="66"/>
    <x v="4"/>
    <x v="4"/>
    <n v="1188"/>
    <x v="15"/>
  </r>
  <r>
    <n v="1741"/>
    <x v="1353"/>
    <x v="1160"/>
    <s v="Ms"/>
    <s v="F"/>
    <n v="90"/>
    <s v="Fothergill Drive"/>
    <x v="365"/>
    <x v="59"/>
    <d v="2020-02-23T00:00:00"/>
    <x v="2"/>
    <x v="10"/>
    <n v="16"/>
    <x v="1"/>
    <x v="1"/>
    <n v="384"/>
    <x v="441"/>
  </r>
  <r>
    <n v="1742"/>
    <x v="1354"/>
    <x v="1084"/>
    <s v="Mr"/>
    <s v="M"/>
    <n v="90"/>
    <s v="Foulis Terrace"/>
    <x v="658"/>
    <x v="27"/>
    <d v="2020-10-01T00:00:00"/>
    <x v="2"/>
    <x v="1"/>
    <n v="29"/>
    <x v="0"/>
    <x v="0"/>
    <n v="580"/>
    <x v="243"/>
  </r>
  <r>
    <n v="1743"/>
    <x v="1355"/>
    <x v="1161"/>
    <s v="Mr"/>
    <s v="M"/>
    <n v="30"/>
    <s v="Founder Close"/>
    <x v="8"/>
    <x v="2"/>
    <d v="2022-03-03T00:00:00"/>
    <x v="0"/>
    <x v="5"/>
    <n v="74"/>
    <x v="4"/>
    <x v="4"/>
    <n v="1332"/>
    <x v="733"/>
  </r>
  <r>
    <n v="1744"/>
    <x v="1356"/>
    <x v="1162"/>
    <s v="Mrs"/>
    <s v="F"/>
    <n v="90"/>
    <s v="Founders' Court"/>
    <x v="884"/>
    <x v="13"/>
    <d v="2020-06-25T00:00:00"/>
    <x v="2"/>
    <x v="2"/>
    <n v="16"/>
    <x v="1"/>
    <x v="1"/>
    <n v="384"/>
    <x v="441"/>
  </r>
  <r>
    <n v="1745"/>
    <x v="1357"/>
    <x v="894"/>
    <s v="Mr"/>
    <s v="M"/>
    <n v="90"/>
    <s v="Founders' Court"/>
    <x v="981"/>
    <x v="2"/>
    <d v="2021-02-28T00:00:00"/>
    <x v="1"/>
    <x v="10"/>
    <n v="92"/>
    <x v="4"/>
    <x v="4"/>
    <n v="1656"/>
    <x v="609"/>
  </r>
  <r>
    <n v="1746"/>
    <x v="1358"/>
    <x v="930"/>
    <s v="Miss"/>
    <s v="F"/>
    <n v="90"/>
    <s v="Fountain Green"/>
    <x v="774"/>
    <x v="21"/>
    <d v="2021-04-23T00:00:00"/>
    <x v="1"/>
    <x v="4"/>
    <n v="13"/>
    <x v="9"/>
    <x v="9"/>
    <n v="312"/>
    <x v="407"/>
  </r>
  <r>
    <n v="1747"/>
    <x v="1359"/>
    <x v="820"/>
    <s v="Mrs"/>
    <s v="F"/>
    <n v="60"/>
    <s v="Fountain Mews"/>
    <x v="937"/>
    <x v="2"/>
    <d v="2020-11-24T00:00:00"/>
    <x v="2"/>
    <x v="7"/>
    <n v="58"/>
    <x v="5"/>
    <x v="5"/>
    <n v="1392"/>
    <x v="831"/>
  </r>
  <r>
    <n v="1748"/>
    <x v="1360"/>
    <x v="686"/>
    <s v="Miss"/>
    <s v="F"/>
    <n v="90"/>
    <s v="Fourth Avenue"/>
    <x v="819"/>
    <x v="21"/>
    <d v="2020-04-13T00:00:00"/>
    <x v="2"/>
    <x v="4"/>
    <n v="36"/>
    <x v="2"/>
    <x v="2"/>
    <n v="612"/>
    <x v="832"/>
  </r>
  <r>
    <n v="1749"/>
    <x v="1361"/>
    <x v="493"/>
    <s v="Mr"/>
    <s v="M"/>
    <n v="60"/>
    <s v="Fowler Street"/>
    <x v="80"/>
    <x v="2"/>
    <d v="2022-09-05T00:00:00"/>
    <x v="0"/>
    <x v="9"/>
    <n v="68"/>
    <x v="0"/>
    <x v="0"/>
    <n v="1360"/>
    <x v="271"/>
  </r>
  <r>
    <n v="1750"/>
    <x v="1149"/>
    <x v="1163"/>
    <s v="Mr"/>
    <s v="M"/>
    <n v="30"/>
    <s v="Fox Tavern"/>
    <x v="982"/>
    <x v="88"/>
    <d v="2022-12-31T00:00:00"/>
    <x v="0"/>
    <x v="8"/>
    <n v="51"/>
    <x v="5"/>
    <x v="5"/>
    <n v="1224"/>
    <x v="601"/>
  </r>
  <r>
    <n v="1751"/>
    <x v="1362"/>
    <x v="1164"/>
    <s v="Mrs"/>
    <s v="F"/>
    <n v="90"/>
    <s v="Foxberry Grove"/>
    <x v="602"/>
    <x v="26"/>
    <d v="2020-06-08T00:00:00"/>
    <x v="2"/>
    <x v="2"/>
    <n v="7"/>
    <x v="0"/>
    <x v="0"/>
    <n v="140"/>
    <x v="522"/>
  </r>
  <r>
    <n v="1752"/>
    <x v="1363"/>
    <x v="1165"/>
    <s v="Mr"/>
    <s v="M"/>
    <n v="30"/>
    <s v="Foxes Buildnijs"/>
    <x v="47"/>
    <x v="16"/>
    <d v="2021-11-10T00:00:00"/>
    <x v="1"/>
    <x v="7"/>
    <n v="72"/>
    <x v="0"/>
    <x v="0"/>
    <n v="1440"/>
    <x v="560"/>
  </r>
  <r>
    <n v="1753"/>
    <x v="1160"/>
    <x v="825"/>
    <s v="Mr"/>
    <s v="M"/>
    <n v="90"/>
    <s v="Foxhole Road"/>
    <x v="983"/>
    <x v="2"/>
    <d v="2022-01-28T00:00:00"/>
    <x v="0"/>
    <x v="6"/>
    <n v="7"/>
    <x v="9"/>
    <x v="9"/>
    <n v="168"/>
    <x v="743"/>
  </r>
  <r>
    <n v="1754"/>
    <x v="636"/>
    <x v="1166"/>
    <s v="Mr"/>
    <s v="M"/>
    <n v="30"/>
    <s v="Foxley Close"/>
    <x v="984"/>
    <x v="21"/>
    <d v="2022-08-30T00:00:00"/>
    <x v="0"/>
    <x v="3"/>
    <n v="32"/>
    <x v="6"/>
    <x v="6"/>
    <n v="768"/>
    <x v="789"/>
  </r>
  <r>
    <n v="1755"/>
    <x v="1364"/>
    <x v="729"/>
    <s v="Miss"/>
    <s v="F"/>
    <n v="90"/>
    <s v="Foxley Road"/>
    <x v="985"/>
    <x v="29"/>
    <d v="2020-02-01T00:00:00"/>
    <x v="2"/>
    <x v="10"/>
    <n v="47"/>
    <x v="5"/>
    <x v="5"/>
    <n v="1128"/>
    <x v="833"/>
  </r>
  <r>
    <n v="1756"/>
    <x v="655"/>
    <x v="1167"/>
    <s v="Mr"/>
    <s v="M"/>
    <n v="60"/>
    <s v="Foxwood Close"/>
    <x v="110"/>
    <x v="2"/>
    <d v="2021-05-21T00:00:00"/>
    <x v="1"/>
    <x v="11"/>
    <n v="92"/>
    <x v="7"/>
    <x v="7"/>
    <n v="1840"/>
    <x v="834"/>
  </r>
  <r>
    <n v="1757"/>
    <x v="1365"/>
    <x v="55"/>
    <s v="Miss"/>
    <s v="F"/>
    <n v="60"/>
    <s v="Fran Place"/>
    <x v="986"/>
    <x v="1"/>
    <d v="2022-07-27T00:00:00"/>
    <x v="0"/>
    <x v="0"/>
    <n v="93"/>
    <x v="3"/>
    <x v="3"/>
    <n v="2232"/>
    <x v="717"/>
  </r>
  <r>
    <n v="1758"/>
    <x v="1366"/>
    <x v="1168"/>
    <s v="Mrs"/>
    <s v="F"/>
    <n v="90"/>
    <s v="Franconia Road"/>
    <x v="241"/>
    <x v="26"/>
    <d v="2022-09-07T00:00:00"/>
    <x v="0"/>
    <x v="9"/>
    <n v="95"/>
    <x v="1"/>
    <x v="1"/>
    <n v="2280"/>
    <x v="665"/>
  </r>
  <r>
    <n v="1759"/>
    <x v="1367"/>
    <x v="1013"/>
    <s v="Miss"/>
    <s v="F"/>
    <n v="90"/>
    <s v="Frankfurt Road"/>
    <x v="623"/>
    <x v="76"/>
    <d v="2020-09-03T00:00:00"/>
    <x v="2"/>
    <x v="9"/>
    <n v="11"/>
    <x v="9"/>
    <x v="9"/>
    <n v="264"/>
    <x v="376"/>
  </r>
  <r>
    <n v="1760"/>
    <x v="1368"/>
    <x v="175"/>
    <s v="Miss"/>
    <s v="F"/>
    <n v="60"/>
    <s v="Frankfurt Road"/>
    <x v="60"/>
    <x v="2"/>
    <d v="2020-05-29T00:00:00"/>
    <x v="2"/>
    <x v="11"/>
    <n v="28"/>
    <x v="7"/>
    <x v="7"/>
    <n v="560"/>
    <x v="546"/>
  </r>
  <r>
    <n v="1761"/>
    <x v="1369"/>
    <x v="943"/>
    <s v="Mr"/>
    <s v="M"/>
    <n v="60"/>
    <s v="Franklin Road"/>
    <x v="234"/>
    <x v="2"/>
    <d v="2020-11-18T00:00:00"/>
    <x v="2"/>
    <x v="7"/>
    <n v="63"/>
    <x v="0"/>
    <x v="0"/>
    <n v="1260"/>
    <x v="41"/>
  </r>
  <r>
    <n v="1762"/>
    <x v="658"/>
    <x v="886"/>
    <s v="Miss"/>
    <s v="F"/>
    <n v="30"/>
    <s v="Franlaw Crescent"/>
    <x v="150"/>
    <x v="2"/>
    <d v="2022-04-03T00:00:00"/>
    <x v="0"/>
    <x v="4"/>
    <n v="66"/>
    <x v="3"/>
    <x v="3"/>
    <n v="1584"/>
    <x v="158"/>
  </r>
  <r>
    <n v="1763"/>
    <x v="1370"/>
    <x v="443"/>
    <s v="Ms"/>
    <s v="F"/>
    <n v="30"/>
    <s v="Fraser Close"/>
    <x v="987"/>
    <x v="2"/>
    <d v="2022-11-10T00:00:00"/>
    <x v="0"/>
    <x v="7"/>
    <n v="37"/>
    <x v="5"/>
    <x v="5"/>
    <n v="888"/>
    <x v="835"/>
  </r>
  <r>
    <n v="1764"/>
    <x v="1371"/>
    <x v="1169"/>
    <s v="Ms"/>
    <s v="F"/>
    <n v="60"/>
    <s v="Fraser Road"/>
    <x v="90"/>
    <x v="2"/>
    <d v="2020-07-07T00:00:00"/>
    <x v="2"/>
    <x v="0"/>
    <n v="73"/>
    <x v="9"/>
    <x v="9"/>
    <n v="1752"/>
    <x v="152"/>
  </r>
  <r>
    <n v="1765"/>
    <x v="473"/>
    <x v="1170"/>
    <s v="Miss"/>
    <s v="F"/>
    <n v="90"/>
    <s v="Frederick Close"/>
    <x v="251"/>
    <x v="2"/>
    <d v="2022-01-02T00:00:00"/>
    <x v="0"/>
    <x v="6"/>
    <n v="93"/>
    <x v="7"/>
    <x v="7"/>
    <n v="1860"/>
    <x v="757"/>
  </r>
  <r>
    <n v="1766"/>
    <x v="1372"/>
    <x v="1171"/>
    <s v="Mr"/>
    <s v="M"/>
    <n v="60"/>
    <s v="Frederick Cottages"/>
    <x v="258"/>
    <x v="7"/>
    <d v="2021-10-30T00:00:00"/>
    <x v="1"/>
    <x v="1"/>
    <n v="26"/>
    <x v="2"/>
    <x v="2"/>
    <n v="442"/>
    <x v="723"/>
  </r>
  <r>
    <n v="1767"/>
    <x v="1373"/>
    <x v="1172"/>
    <s v="Miss"/>
    <s v="F"/>
    <n v="30"/>
    <s v="Frederick Place"/>
    <x v="141"/>
    <x v="2"/>
    <d v="2022-08-27T00:00:00"/>
    <x v="0"/>
    <x v="3"/>
    <n v="96"/>
    <x v="2"/>
    <x v="2"/>
    <n v="1632"/>
    <x v="160"/>
  </r>
  <r>
    <n v="1768"/>
    <x v="1000"/>
    <x v="1092"/>
    <s v="Mr"/>
    <s v="M"/>
    <n v="60"/>
    <s v="Freeling Street"/>
    <x v="674"/>
    <x v="15"/>
    <d v="2021-07-14T00:00:00"/>
    <x v="1"/>
    <x v="0"/>
    <n v="81"/>
    <x v="9"/>
    <x v="9"/>
    <n v="1944"/>
    <x v="836"/>
  </r>
  <r>
    <n v="1769"/>
    <x v="925"/>
    <x v="554"/>
    <s v="Mr"/>
    <s v="M"/>
    <n v="90"/>
    <s v="Fremont Street"/>
    <x v="625"/>
    <x v="2"/>
    <d v="2020-07-03T00:00:00"/>
    <x v="2"/>
    <x v="0"/>
    <n v="66"/>
    <x v="2"/>
    <x v="2"/>
    <n v="1122"/>
    <x v="771"/>
  </r>
  <r>
    <n v="1770"/>
    <x v="1310"/>
    <x v="1173"/>
    <s v="Mrs"/>
    <s v="F"/>
    <n v="60"/>
    <s v="French School"/>
    <x v="703"/>
    <x v="2"/>
    <d v="2022-07-23T00:00:00"/>
    <x v="0"/>
    <x v="0"/>
    <n v="51"/>
    <x v="9"/>
    <x v="9"/>
    <n v="1224"/>
    <x v="804"/>
  </r>
  <r>
    <n v="1771"/>
    <x v="1374"/>
    <x v="484"/>
    <s v="Mrs"/>
    <s v="F"/>
    <n v="90"/>
    <s v="Frensham Drive"/>
    <x v="988"/>
    <x v="3"/>
    <d v="2022-11-11T00:00:00"/>
    <x v="0"/>
    <x v="7"/>
    <n v="39"/>
    <x v="7"/>
    <x v="7"/>
    <n v="780"/>
    <x v="145"/>
  </r>
  <r>
    <n v="1772"/>
    <x v="1375"/>
    <x v="741"/>
    <s v="Mr"/>
    <s v="M"/>
    <n v="60"/>
    <s v="Freshwater Road"/>
    <x v="102"/>
    <x v="25"/>
    <d v="2021-03-26T00:00:00"/>
    <x v="1"/>
    <x v="5"/>
    <n v="24"/>
    <x v="1"/>
    <x v="1"/>
    <n v="576"/>
    <x v="837"/>
  </r>
  <r>
    <n v="1773"/>
    <x v="1376"/>
    <x v="1174"/>
    <s v="Miss"/>
    <s v="F"/>
    <n v="30"/>
    <s v="Freston Road"/>
    <x v="967"/>
    <x v="2"/>
    <d v="2021-08-18T00:00:00"/>
    <x v="1"/>
    <x v="3"/>
    <n v="51"/>
    <x v="9"/>
    <x v="9"/>
    <n v="1224"/>
    <x v="804"/>
  </r>
  <r>
    <n v="1774"/>
    <x v="1377"/>
    <x v="1175"/>
    <s v="Miss"/>
    <s v="F"/>
    <n v="30"/>
    <s v="Freston Road"/>
    <x v="932"/>
    <x v="2"/>
    <d v="2021-04-01T00:00:00"/>
    <x v="1"/>
    <x v="4"/>
    <n v="16"/>
    <x v="4"/>
    <x v="4"/>
    <n v="288"/>
    <x v="838"/>
  </r>
  <r>
    <n v="1775"/>
    <x v="397"/>
    <x v="1176"/>
    <s v="Mr"/>
    <s v="M"/>
    <n v="30"/>
    <s v="Frewin Road"/>
    <x v="809"/>
    <x v="2"/>
    <d v="2020-12-28T00:00:00"/>
    <x v="2"/>
    <x v="8"/>
    <n v="42"/>
    <x v="4"/>
    <x v="4"/>
    <n v="756"/>
    <x v="408"/>
  </r>
  <r>
    <n v="1776"/>
    <x v="1378"/>
    <x v="1177"/>
    <s v="Mr"/>
    <s v="M"/>
    <n v="60"/>
    <s v="Friary Way"/>
    <x v="759"/>
    <x v="27"/>
    <d v="2022-04-27T00:00:00"/>
    <x v="0"/>
    <x v="4"/>
    <n v="105"/>
    <x v="5"/>
    <x v="5"/>
    <n v="2520"/>
    <x v="649"/>
  </r>
  <r>
    <n v="1777"/>
    <x v="1379"/>
    <x v="65"/>
    <s v="Miss"/>
    <s v="F"/>
    <n v="60"/>
    <s v="Frigate Mews"/>
    <x v="502"/>
    <x v="1"/>
    <d v="2022-08-30T00:00:00"/>
    <x v="0"/>
    <x v="3"/>
    <n v="85"/>
    <x v="1"/>
    <x v="1"/>
    <n v="2040"/>
    <x v="531"/>
  </r>
  <r>
    <n v="1778"/>
    <x v="1289"/>
    <x v="1175"/>
    <s v="Miss"/>
    <s v="F"/>
    <n v="90"/>
    <s v="Frimley Way"/>
    <x v="989"/>
    <x v="2"/>
    <d v="2020-04-17T00:00:00"/>
    <x v="2"/>
    <x v="4"/>
    <n v="42"/>
    <x v="3"/>
    <x v="3"/>
    <n v="1008"/>
    <x v="667"/>
  </r>
  <r>
    <n v="1779"/>
    <x v="1380"/>
    <x v="140"/>
    <s v="Miss"/>
    <s v="F"/>
    <n v="30"/>
    <s v="Frithville Gardens"/>
    <x v="495"/>
    <x v="41"/>
    <d v="2020-08-05T00:00:00"/>
    <x v="2"/>
    <x v="3"/>
    <n v="73"/>
    <x v="0"/>
    <x v="0"/>
    <n v="1460"/>
    <x v="0"/>
  </r>
  <r>
    <n v="1780"/>
    <x v="1216"/>
    <x v="1178"/>
    <s v="Mr"/>
    <s v="M"/>
    <n v="60"/>
    <s v="Fritton Place"/>
    <x v="529"/>
    <x v="44"/>
    <d v="2020-11-27T00:00:00"/>
    <x v="2"/>
    <x v="7"/>
    <n v="7"/>
    <x v="9"/>
    <x v="9"/>
    <n v="168"/>
    <x v="743"/>
  </r>
  <r>
    <n v="1781"/>
    <x v="1381"/>
    <x v="1036"/>
    <s v="Mr"/>
    <s v="M"/>
    <n v="90"/>
    <s v="Frognal"/>
    <x v="889"/>
    <x v="2"/>
    <d v="2021-03-23T00:00:00"/>
    <x v="1"/>
    <x v="5"/>
    <n v="11"/>
    <x v="7"/>
    <x v="7"/>
    <n v="220"/>
    <x v="788"/>
  </r>
  <r>
    <n v="1782"/>
    <x v="731"/>
    <x v="43"/>
    <s v="Mr"/>
    <s v="M"/>
    <n v="90"/>
    <s v="Frognal Parade"/>
    <x v="896"/>
    <x v="2"/>
    <d v="2022-09-18T00:00:00"/>
    <x v="0"/>
    <x v="9"/>
    <n v="104"/>
    <x v="2"/>
    <x v="2"/>
    <n v="1768"/>
    <x v="458"/>
  </r>
  <r>
    <n v="1783"/>
    <x v="1382"/>
    <x v="285"/>
    <s v="Miss"/>
    <s v="F"/>
    <n v="60"/>
    <s v="Frogs Island"/>
    <x v="990"/>
    <x v="13"/>
    <d v="2020-01-05T00:00:00"/>
    <x v="2"/>
    <x v="6"/>
    <n v="52"/>
    <x v="5"/>
    <x v="5"/>
    <n v="1248"/>
    <x v="839"/>
  </r>
  <r>
    <n v="1784"/>
    <x v="1383"/>
    <x v="756"/>
    <s v="Mrs"/>
    <s v="F"/>
    <n v="60"/>
    <s v="Frostic Place"/>
    <x v="131"/>
    <x v="11"/>
    <d v="2020-04-14T00:00:00"/>
    <x v="2"/>
    <x v="4"/>
    <n v="71"/>
    <x v="2"/>
    <x v="2"/>
    <n v="1207"/>
    <x v="726"/>
  </r>
  <r>
    <n v="1785"/>
    <x v="1384"/>
    <x v="8"/>
    <s v="Miss"/>
    <s v="F"/>
    <n v="90"/>
    <s v="Fulham Palace"/>
    <x v="709"/>
    <x v="2"/>
    <d v="2020-10-25T00:00:00"/>
    <x v="2"/>
    <x v="1"/>
    <n v="68"/>
    <x v="7"/>
    <x v="7"/>
    <n v="1360"/>
    <x v="370"/>
  </r>
  <r>
    <n v="1786"/>
    <x v="1385"/>
    <x v="453"/>
    <s v="Mr"/>
    <s v="M"/>
    <n v="30"/>
    <s v="Fulham'S Green"/>
    <x v="216"/>
    <x v="17"/>
    <d v="2021-03-23T00:00:00"/>
    <x v="1"/>
    <x v="5"/>
    <n v="83"/>
    <x v="2"/>
    <x v="2"/>
    <n v="1411"/>
    <x v="811"/>
  </r>
  <r>
    <n v="1787"/>
    <x v="1386"/>
    <x v="1179"/>
    <s v="Miss"/>
    <s v="F"/>
    <n v="30"/>
    <s v="Fulmer Road"/>
    <x v="991"/>
    <x v="2"/>
    <d v="2020-05-08T00:00:00"/>
    <x v="2"/>
    <x v="11"/>
    <n v="43"/>
    <x v="9"/>
    <x v="9"/>
    <n v="1032"/>
    <x v="840"/>
  </r>
  <r>
    <n v="1788"/>
    <x v="904"/>
    <x v="967"/>
    <s v="Mrs"/>
    <s v="F"/>
    <n v="30"/>
    <s v="Fulwood'S Rents"/>
    <x v="992"/>
    <x v="1"/>
    <d v="2021-04-14T00:00:00"/>
    <x v="1"/>
    <x v="4"/>
    <n v="75"/>
    <x v="5"/>
    <x v="5"/>
    <n v="1800"/>
    <x v="790"/>
  </r>
  <r>
    <n v="1789"/>
    <x v="1387"/>
    <x v="568"/>
    <s v="Mr"/>
    <s v="M"/>
    <n v="30"/>
    <s v="Furlong Road"/>
    <x v="890"/>
    <x v="2"/>
    <d v="2022-07-03T00:00:00"/>
    <x v="0"/>
    <x v="0"/>
    <n v="17"/>
    <x v="7"/>
    <x v="7"/>
    <n v="340"/>
    <x v="505"/>
  </r>
  <r>
    <n v="1790"/>
    <x v="186"/>
    <x v="287"/>
    <s v="Mr"/>
    <s v="M"/>
    <n v="90"/>
    <s v="Furnivals Inn"/>
    <x v="22"/>
    <x v="2"/>
    <d v="2020-09-09T00:00:00"/>
    <x v="2"/>
    <x v="9"/>
    <n v="85"/>
    <x v="9"/>
    <x v="9"/>
    <n v="2040"/>
    <x v="222"/>
  </r>
  <r>
    <n v="1791"/>
    <x v="1388"/>
    <x v="1130"/>
    <s v="Miss"/>
    <s v="F"/>
    <n v="90"/>
    <s v="Furrow Lane"/>
    <x v="993"/>
    <x v="2"/>
    <d v="2022-09-02T00:00:00"/>
    <x v="0"/>
    <x v="9"/>
    <n v="4"/>
    <x v="7"/>
    <x v="7"/>
    <n v="80"/>
    <x v="192"/>
  </r>
  <r>
    <n v="1792"/>
    <x v="1389"/>
    <x v="1180"/>
    <s v="Dr"/>
    <s v="F"/>
    <n v="60"/>
    <s v="Further Green"/>
    <x v="994"/>
    <x v="2"/>
    <d v="2020-02-10T00:00:00"/>
    <x v="2"/>
    <x v="10"/>
    <n v="53"/>
    <x v="6"/>
    <x v="6"/>
    <n v="1272"/>
    <x v="841"/>
  </r>
  <r>
    <n v="1793"/>
    <x v="1228"/>
    <x v="446"/>
    <s v="Ms"/>
    <s v="F"/>
    <n v="60"/>
    <s v="Furze Down"/>
    <x v="217"/>
    <x v="2"/>
    <d v="2022-08-01T00:00:00"/>
    <x v="0"/>
    <x v="3"/>
    <n v="63"/>
    <x v="7"/>
    <x v="7"/>
    <n v="1260"/>
    <x v="842"/>
  </r>
  <r>
    <n v="1794"/>
    <x v="1390"/>
    <x v="1181"/>
    <s v="Miss"/>
    <s v="F"/>
    <n v="60"/>
    <s v="Furzefield Road"/>
    <x v="425"/>
    <x v="2"/>
    <d v="2021-06-19T00:00:00"/>
    <x v="1"/>
    <x v="2"/>
    <n v="38"/>
    <x v="4"/>
    <x v="4"/>
    <n v="684"/>
    <x v="843"/>
  </r>
  <r>
    <n v="1795"/>
    <x v="325"/>
    <x v="128"/>
    <s v="Mr"/>
    <s v="M"/>
    <n v="60"/>
    <s v="Fyfield Road"/>
    <x v="947"/>
    <x v="8"/>
    <d v="2020-06-17T00:00:00"/>
    <x v="2"/>
    <x v="2"/>
    <n v="67"/>
    <x v="5"/>
    <x v="5"/>
    <n v="1608"/>
    <x v="619"/>
  </r>
  <r>
    <n v="1796"/>
    <x v="1391"/>
    <x v="1182"/>
    <s v="Miss"/>
    <s v="F"/>
    <n v="90"/>
    <s v="Fyfield Road"/>
    <x v="23"/>
    <x v="13"/>
    <d v="2022-03-16T00:00:00"/>
    <x v="0"/>
    <x v="5"/>
    <n v="102"/>
    <x v="5"/>
    <x v="5"/>
    <n v="2448"/>
    <x v="844"/>
  </r>
  <r>
    <n v="1797"/>
    <x v="1392"/>
    <x v="1183"/>
    <s v="Mrs"/>
    <s v="F"/>
    <n v="60"/>
    <s v="Gad Close"/>
    <x v="551"/>
    <x v="2"/>
    <d v="2020-09-07T00:00:00"/>
    <x v="2"/>
    <x v="9"/>
    <n v="49"/>
    <x v="6"/>
    <x v="6"/>
    <n v="1176"/>
    <x v="56"/>
  </r>
  <r>
    <n v="1798"/>
    <x v="1393"/>
    <x v="131"/>
    <s v="Mr"/>
    <s v="M"/>
    <n v="30"/>
    <s v="Gage Road"/>
    <x v="672"/>
    <x v="17"/>
    <d v="2020-05-28T00:00:00"/>
    <x v="2"/>
    <x v="11"/>
    <n v="32"/>
    <x v="2"/>
    <x v="2"/>
    <n v="544"/>
    <x v="544"/>
  </r>
  <r>
    <n v="1799"/>
    <x v="331"/>
    <x v="136"/>
    <s v="Mr"/>
    <s v="M"/>
    <n v="90"/>
    <s v="Gainsborough Avenue"/>
    <x v="351"/>
    <x v="16"/>
    <d v="2022-09-17T00:00:00"/>
    <x v="0"/>
    <x v="9"/>
    <n v="44"/>
    <x v="1"/>
    <x v="1"/>
    <n v="1056"/>
    <x v="45"/>
  </r>
  <r>
    <n v="1800"/>
    <x v="1239"/>
    <x v="445"/>
    <s v="Mr"/>
    <s v="M"/>
    <n v="90"/>
    <s v="Gainsborough Gardens"/>
    <x v="565"/>
    <x v="35"/>
    <d v="2020-04-19T00:00:00"/>
    <x v="2"/>
    <x v="4"/>
    <n v="19"/>
    <x v="1"/>
    <x v="1"/>
    <n v="456"/>
    <x v="845"/>
  </r>
  <r>
    <n v="1801"/>
    <x v="1394"/>
    <x v="1184"/>
    <s v="Miss"/>
    <s v="F"/>
    <n v="60"/>
    <s v="Galleon Close"/>
    <x v="134"/>
    <x v="2"/>
    <d v="2022-12-11T00:00:00"/>
    <x v="0"/>
    <x v="8"/>
    <n v="80"/>
    <x v="3"/>
    <x v="3"/>
    <n v="1920"/>
    <x v="278"/>
  </r>
  <r>
    <n v="1802"/>
    <x v="1395"/>
    <x v="745"/>
    <s v="Miss"/>
    <s v="F"/>
    <n v="60"/>
    <s v="Galleywall Road"/>
    <x v="995"/>
    <x v="17"/>
    <d v="2020-11-08T00:00:00"/>
    <x v="2"/>
    <x v="7"/>
    <n v="3"/>
    <x v="7"/>
    <x v="7"/>
    <n v="60"/>
    <x v="258"/>
  </r>
  <r>
    <n v="1803"/>
    <x v="1396"/>
    <x v="1185"/>
    <s v="Mr"/>
    <s v="M"/>
    <n v="60"/>
    <s v="Gambia Street"/>
    <x v="226"/>
    <x v="2"/>
    <d v="2021-10-06T00:00:00"/>
    <x v="1"/>
    <x v="1"/>
    <n v="40"/>
    <x v="8"/>
    <x v="8"/>
    <n v="800"/>
    <x v="478"/>
  </r>
  <r>
    <n v="1804"/>
    <x v="1397"/>
    <x v="91"/>
    <s v="Miss"/>
    <s v="F"/>
    <n v="90"/>
    <s v="Garden Court"/>
    <x v="996"/>
    <x v="2"/>
    <d v="2020-07-21T00:00:00"/>
    <x v="2"/>
    <x v="0"/>
    <n v="16"/>
    <x v="6"/>
    <x v="6"/>
    <n v="384"/>
    <x v="538"/>
  </r>
  <r>
    <n v="1805"/>
    <x v="1398"/>
    <x v="1186"/>
    <s v="Miss"/>
    <s v="F"/>
    <n v="60"/>
    <s v="Garden Walk"/>
    <x v="373"/>
    <x v="11"/>
    <d v="2022-08-21T00:00:00"/>
    <x v="0"/>
    <x v="3"/>
    <n v="13"/>
    <x v="6"/>
    <x v="6"/>
    <n v="312"/>
    <x v="846"/>
  </r>
  <r>
    <n v="1806"/>
    <x v="1399"/>
    <x v="970"/>
    <s v="Mrs"/>
    <s v="F"/>
    <n v="30"/>
    <s v="Gardeners Yard"/>
    <x v="997"/>
    <x v="2"/>
    <d v="2021-09-14T00:00:00"/>
    <x v="1"/>
    <x v="9"/>
    <n v="50"/>
    <x v="2"/>
    <x v="2"/>
    <n v="850"/>
    <x v="301"/>
  </r>
  <r>
    <n v="1807"/>
    <x v="132"/>
    <x v="290"/>
    <s v="Ms"/>
    <s v="F"/>
    <n v="60"/>
    <s v="Gardner Close"/>
    <x v="715"/>
    <x v="2"/>
    <d v="2020-07-21T00:00:00"/>
    <x v="2"/>
    <x v="0"/>
    <n v="22"/>
    <x v="7"/>
    <x v="7"/>
    <n v="440"/>
    <x v="588"/>
  </r>
  <r>
    <n v="1808"/>
    <x v="1400"/>
    <x v="581"/>
    <s v="Mr"/>
    <s v="M"/>
    <n v="30"/>
    <s v="Gardner'S Lane"/>
    <x v="81"/>
    <x v="2"/>
    <d v="2022-04-26T00:00:00"/>
    <x v="0"/>
    <x v="4"/>
    <n v="38"/>
    <x v="6"/>
    <x v="6"/>
    <n v="912"/>
    <x v="350"/>
  </r>
  <r>
    <n v="1809"/>
    <x v="1401"/>
    <x v="463"/>
    <s v="Miss"/>
    <s v="F"/>
    <n v="90"/>
    <s v="Garfield Rd"/>
    <x v="46"/>
    <x v="20"/>
    <d v="2021-01-17T00:00:00"/>
    <x v="1"/>
    <x v="6"/>
    <n v="14"/>
    <x v="7"/>
    <x v="7"/>
    <n v="280"/>
    <x v="72"/>
  </r>
  <r>
    <n v="1810"/>
    <x v="1402"/>
    <x v="1187"/>
    <s v="Miss"/>
    <s v="F"/>
    <n v="60"/>
    <s v="Garlinge Road"/>
    <x v="831"/>
    <x v="85"/>
    <d v="2022-06-10T00:00:00"/>
    <x v="0"/>
    <x v="2"/>
    <n v="6"/>
    <x v="4"/>
    <x v="4"/>
    <n v="108"/>
    <x v="168"/>
  </r>
  <r>
    <n v="1811"/>
    <x v="1403"/>
    <x v="784"/>
    <s v="Mr"/>
    <s v="M"/>
    <n v="60"/>
    <s v="Garner Street"/>
    <x v="944"/>
    <x v="10"/>
    <d v="2020-08-16T00:00:00"/>
    <x v="2"/>
    <x v="3"/>
    <n v="30"/>
    <x v="2"/>
    <x v="2"/>
    <n v="510"/>
    <x v="545"/>
  </r>
  <r>
    <n v="1812"/>
    <x v="1404"/>
    <x v="1188"/>
    <s v="Mrs"/>
    <s v="F"/>
    <n v="90"/>
    <s v="Garnett Close"/>
    <x v="998"/>
    <x v="2"/>
    <d v="2022-09-20T00:00:00"/>
    <x v="0"/>
    <x v="9"/>
    <n v="73"/>
    <x v="3"/>
    <x v="3"/>
    <n v="1752"/>
    <x v="105"/>
  </r>
  <r>
    <n v="1813"/>
    <x v="74"/>
    <x v="1101"/>
    <s v="Mr"/>
    <s v="M"/>
    <n v="90"/>
    <s v="Garrick Way"/>
    <x v="268"/>
    <x v="21"/>
    <d v="2022-09-13T00:00:00"/>
    <x v="0"/>
    <x v="9"/>
    <n v="32"/>
    <x v="0"/>
    <x v="0"/>
    <n v="640"/>
    <x v="315"/>
  </r>
  <r>
    <n v="1814"/>
    <x v="1096"/>
    <x v="1189"/>
    <s v="Mr"/>
    <s v="M"/>
    <n v="90"/>
    <s v="Garter Way"/>
    <x v="999"/>
    <x v="15"/>
    <d v="2021-05-18T00:00:00"/>
    <x v="1"/>
    <x v="11"/>
    <n v="10"/>
    <x v="4"/>
    <x v="4"/>
    <n v="180"/>
    <x v="427"/>
  </r>
  <r>
    <n v="1815"/>
    <x v="1209"/>
    <x v="1175"/>
    <s v="Miss"/>
    <s v="F"/>
    <n v="90"/>
    <s v="Garth Road"/>
    <x v="577"/>
    <x v="43"/>
    <d v="2022-08-24T00:00:00"/>
    <x v="0"/>
    <x v="3"/>
    <n v="73"/>
    <x v="2"/>
    <x v="2"/>
    <n v="1241"/>
    <x v="557"/>
  </r>
  <r>
    <n v="1816"/>
    <x v="1405"/>
    <x v="1190"/>
    <s v="Mrs"/>
    <s v="F"/>
    <n v="30"/>
    <s v="Gas Works"/>
    <x v="199"/>
    <x v="2"/>
    <d v="2021-12-05T00:00:00"/>
    <x v="1"/>
    <x v="8"/>
    <n v="10"/>
    <x v="9"/>
    <x v="9"/>
    <n v="240"/>
    <x v="34"/>
  </r>
  <r>
    <n v="1817"/>
    <x v="1406"/>
    <x v="1191"/>
    <s v="Mr"/>
    <s v="M"/>
    <n v="60"/>
    <s v="Gaspar Close"/>
    <x v="811"/>
    <x v="2"/>
    <d v="2020-09-02T00:00:00"/>
    <x v="2"/>
    <x v="9"/>
    <n v="20"/>
    <x v="3"/>
    <x v="3"/>
    <n v="480"/>
    <x v="847"/>
  </r>
  <r>
    <n v="1818"/>
    <x v="1327"/>
    <x v="358"/>
    <s v="Miss"/>
    <s v="F"/>
    <n v="30"/>
    <s v="Gassiot Road"/>
    <x v="688"/>
    <x v="15"/>
    <d v="2021-02-07T00:00:00"/>
    <x v="1"/>
    <x v="10"/>
    <n v="15"/>
    <x v="6"/>
    <x v="6"/>
    <n v="360"/>
    <x v="747"/>
  </r>
  <r>
    <n v="1819"/>
    <x v="1407"/>
    <x v="1192"/>
    <s v="Mrs"/>
    <s v="F"/>
    <n v="90"/>
    <s v="Gatcombe Villas"/>
    <x v="34"/>
    <x v="17"/>
    <d v="2020-11-18T00:00:00"/>
    <x v="2"/>
    <x v="7"/>
    <n v="36"/>
    <x v="0"/>
    <x v="0"/>
    <n v="720"/>
    <x v="325"/>
  </r>
  <r>
    <n v="1820"/>
    <x v="1408"/>
    <x v="72"/>
    <s v="Miss"/>
    <s v="F"/>
    <n v="30"/>
    <s v="Gateway Mews"/>
    <x v="597"/>
    <x v="17"/>
    <d v="2020-05-30T00:00:00"/>
    <x v="2"/>
    <x v="11"/>
    <n v="38"/>
    <x v="8"/>
    <x v="8"/>
    <n v="760"/>
    <x v="85"/>
  </r>
  <r>
    <n v="1821"/>
    <x v="1409"/>
    <x v="1193"/>
    <s v="Mr"/>
    <s v="M"/>
    <n v="60"/>
    <s v="Gateway Mews"/>
    <x v="1000"/>
    <x v="1"/>
    <d v="2020-11-25T00:00:00"/>
    <x v="2"/>
    <x v="7"/>
    <n v="71"/>
    <x v="8"/>
    <x v="8"/>
    <n v="1420"/>
    <x v="848"/>
  </r>
  <r>
    <n v="1822"/>
    <x v="1410"/>
    <x v="1194"/>
    <s v="Mrs"/>
    <s v="F"/>
    <n v="30"/>
    <s v="Gatton Road"/>
    <x v="214"/>
    <x v="1"/>
    <d v="2020-08-31T00:00:00"/>
    <x v="2"/>
    <x v="3"/>
    <n v="80"/>
    <x v="2"/>
    <x v="2"/>
    <n v="1360"/>
    <x v="175"/>
  </r>
  <r>
    <n v="1823"/>
    <x v="1411"/>
    <x v="1195"/>
    <s v="Miss"/>
    <s v="F"/>
    <n v="90"/>
    <s v="Gatward Green"/>
    <x v="523"/>
    <x v="16"/>
    <d v="2020-10-06T00:00:00"/>
    <x v="2"/>
    <x v="1"/>
    <n v="31"/>
    <x v="7"/>
    <x v="7"/>
    <n v="620"/>
    <x v="43"/>
  </r>
  <r>
    <n v="1824"/>
    <x v="423"/>
    <x v="1196"/>
    <s v="Mr"/>
    <s v="M"/>
    <n v="30"/>
    <s v="Gautrey Road"/>
    <x v="967"/>
    <x v="2"/>
    <d v="2022-10-30T00:00:00"/>
    <x v="0"/>
    <x v="1"/>
    <n v="67"/>
    <x v="8"/>
    <x v="8"/>
    <n v="1340"/>
    <x v="452"/>
  </r>
  <r>
    <n v="1825"/>
    <x v="482"/>
    <x v="1045"/>
    <s v="Ms"/>
    <s v="F"/>
    <n v="30"/>
    <s v="Gautrey Road"/>
    <x v="78"/>
    <x v="2"/>
    <d v="2020-02-04T00:00:00"/>
    <x v="2"/>
    <x v="10"/>
    <n v="84"/>
    <x v="7"/>
    <x v="7"/>
    <n v="1680"/>
    <x v="206"/>
  </r>
  <r>
    <n v="1826"/>
    <x v="1182"/>
    <x v="1197"/>
    <s v="Mr"/>
    <s v="M"/>
    <n v="90"/>
    <s v="Gautrey Square"/>
    <x v="1001"/>
    <x v="17"/>
    <d v="2021-09-12T00:00:00"/>
    <x v="1"/>
    <x v="9"/>
    <n v="61"/>
    <x v="9"/>
    <x v="9"/>
    <n v="1464"/>
    <x v="849"/>
  </r>
  <r>
    <n v="1827"/>
    <x v="1155"/>
    <x v="1198"/>
    <s v="Mr"/>
    <s v="M"/>
    <n v="60"/>
    <s v="Gaverick Street"/>
    <x v="923"/>
    <x v="3"/>
    <d v="2021-03-17T00:00:00"/>
    <x v="1"/>
    <x v="5"/>
    <n v="25"/>
    <x v="5"/>
    <x v="5"/>
    <n v="600"/>
    <x v="724"/>
  </r>
  <r>
    <n v="1828"/>
    <x v="35"/>
    <x v="1199"/>
    <s v="Mr"/>
    <s v="M"/>
    <n v="60"/>
    <s v="Gaverick Street"/>
    <x v="1002"/>
    <x v="21"/>
    <d v="2021-02-03T00:00:00"/>
    <x v="1"/>
    <x v="10"/>
    <n v="64"/>
    <x v="3"/>
    <x v="3"/>
    <n v="1536"/>
    <x v="710"/>
  </r>
  <r>
    <n v="1829"/>
    <x v="1412"/>
    <x v="1200"/>
    <s v="Miss"/>
    <s v="F"/>
    <n v="60"/>
    <s v="Gaynesford Road"/>
    <x v="598"/>
    <x v="11"/>
    <d v="2020-02-18T00:00:00"/>
    <x v="2"/>
    <x v="10"/>
    <n v="27"/>
    <x v="5"/>
    <x v="5"/>
    <n v="648"/>
    <x v="233"/>
  </r>
  <r>
    <n v="1830"/>
    <x v="1413"/>
    <x v="1201"/>
    <s v="Mr"/>
    <s v="M"/>
    <n v="90"/>
    <s v="Gayton Road"/>
    <x v="1003"/>
    <x v="2"/>
    <d v="2021-08-04T00:00:00"/>
    <x v="1"/>
    <x v="3"/>
    <n v="42"/>
    <x v="8"/>
    <x v="8"/>
    <n v="840"/>
    <x v="289"/>
  </r>
  <r>
    <n v="1831"/>
    <x v="1414"/>
    <x v="1202"/>
    <s v="Miss"/>
    <s v="F"/>
    <n v="60"/>
    <s v="Gayville Road"/>
    <x v="1004"/>
    <x v="2"/>
    <d v="2020-02-14T00:00:00"/>
    <x v="2"/>
    <x v="10"/>
    <n v="70"/>
    <x v="9"/>
    <x v="9"/>
    <n v="1680"/>
    <x v="556"/>
  </r>
  <r>
    <n v="1832"/>
    <x v="1415"/>
    <x v="807"/>
    <s v="Mrs"/>
    <s v="F"/>
    <n v="90"/>
    <s v="Gaywood Road"/>
    <x v="649"/>
    <x v="2"/>
    <d v="2022-01-13T00:00:00"/>
    <x v="0"/>
    <x v="6"/>
    <n v="16"/>
    <x v="9"/>
    <x v="9"/>
    <n v="384"/>
    <x v="586"/>
  </r>
  <r>
    <n v="1833"/>
    <x v="1416"/>
    <x v="1203"/>
    <s v="Miss"/>
    <s v="F"/>
    <n v="90"/>
    <s v="Gedling Street"/>
    <x v="267"/>
    <x v="2"/>
    <d v="2020-09-07T00:00:00"/>
    <x v="2"/>
    <x v="9"/>
    <n v="84"/>
    <x v="3"/>
    <x v="3"/>
    <n v="2016"/>
    <x v="815"/>
  </r>
  <r>
    <n v="1834"/>
    <x v="1417"/>
    <x v="1204"/>
    <s v="Miss"/>
    <s v="F"/>
    <n v="30"/>
    <s v="Gee'S Court"/>
    <x v="120"/>
    <x v="24"/>
    <d v="2020-09-27T00:00:00"/>
    <x v="2"/>
    <x v="9"/>
    <n v="45"/>
    <x v="0"/>
    <x v="0"/>
    <n v="900"/>
    <x v="761"/>
  </r>
  <r>
    <n v="1835"/>
    <x v="1418"/>
    <x v="758"/>
    <s v="Mr"/>
    <s v="M"/>
    <n v="30"/>
    <s v="Gee'S Court"/>
    <x v="435"/>
    <x v="11"/>
    <d v="2020-04-12T00:00:00"/>
    <x v="2"/>
    <x v="4"/>
    <n v="56"/>
    <x v="3"/>
    <x v="3"/>
    <n v="1344"/>
    <x v="118"/>
  </r>
  <r>
    <n v="1836"/>
    <x v="249"/>
    <x v="49"/>
    <s v="Mr"/>
    <s v="M"/>
    <n v="90"/>
    <s v="Geldeston Road"/>
    <x v="858"/>
    <x v="59"/>
    <d v="2022-03-24T00:00:00"/>
    <x v="0"/>
    <x v="5"/>
    <n v="84"/>
    <x v="1"/>
    <x v="1"/>
    <n v="2016"/>
    <x v="850"/>
  </r>
  <r>
    <n v="1837"/>
    <x v="1419"/>
    <x v="1085"/>
    <s v="Mr"/>
    <s v="M"/>
    <n v="90"/>
    <s v="Genista Road"/>
    <x v="187"/>
    <x v="2"/>
    <d v="2020-05-12T00:00:00"/>
    <x v="2"/>
    <x v="11"/>
    <n v="73"/>
    <x v="3"/>
    <x v="3"/>
    <n v="1752"/>
    <x v="105"/>
  </r>
  <r>
    <n v="1838"/>
    <x v="1420"/>
    <x v="1088"/>
    <s v="Mr"/>
    <s v="M"/>
    <n v="90"/>
    <s v="George Lane"/>
    <x v="205"/>
    <x v="16"/>
    <d v="2020-07-05T00:00:00"/>
    <x v="2"/>
    <x v="0"/>
    <n v="81"/>
    <x v="0"/>
    <x v="0"/>
    <n v="1620"/>
    <x v="116"/>
  </r>
  <r>
    <n v="1839"/>
    <x v="1421"/>
    <x v="1205"/>
    <s v="Mrs"/>
    <s v="F"/>
    <n v="90"/>
    <s v="George Road"/>
    <x v="944"/>
    <x v="10"/>
    <d v="2021-03-27T00:00:00"/>
    <x v="1"/>
    <x v="5"/>
    <n v="35"/>
    <x v="5"/>
    <x v="5"/>
    <n v="840"/>
    <x v="182"/>
  </r>
  <r>
    <n v="1840"/>
    <x v="1422"/>
    <x v="529"/>
    <s v="Ms"/>
    <s v="F"/>
    <n v="30"/>
    <s v="George Square"/>
    <x v="949"/>
    <x v="22"/>
    <d v="2021-09-29T00:00:00"/>
    <x v="1"/>
    <x v="9"/>
    <n v="63"/>
    <x v="1"/>
    <x v="1"/>
    <n v="1512"/>
    <x v="333"/>
  </r>
  <r>
    <n v="1841"/>
    <x v="1423"/>
    <x v="1206"/>
    <s v="Mr"/>
    <s v="M"/>
    <n v="60"/>
    <s v="George'S Row"/>
    <x v="3"/>
    <x v="3"/>
    <d v="2021-12-29T00:00:00"/>
    <x v="1"/>
    <x v="8"/>
    <n v="5"/>
    <x v="5"/>
    <x v="5"/>
    <n v="120"/>
    <x v="64"/>
  </r>
  <r>
    <n v="1842"/>
    <x v="1424"/>
    <x v="1207"/>
    <s v="Mrs"/>
    <s v="F"/>
    <n v="30"/>
    <s v="Georges Terrace"/>
    <x v="978"/>
    <x v="1"/>
    <d v="2021-11-14T00:00:00"/>
    <x v="1"/>
    <x v="7"/>
    <n v="70"/>
    <x v="8"/>
    <x v="8"/>
    <n v="1400"/>
    <x v="251"/>
  </r>
  <r>
    <n v="1843"/>
    <x v="1425"/>
    <x v="917"/>
    <s v="Mr"/>
    <s v="M"/>
    <n v="90"/>
    <s v="Georgette Place"/>
    <x v="991"/>
    <x v="2"/>
    <d v="2020-01-25T00:00:00"/>
    <x v="2"/>
    <x v="6"/>
    <n v="6"/>
    <x v="6"/>
    <x v="6"/>
    <n v="144"/>
    <x v="851"/>
  </r>
  <r>
    <n v="1844"/>
    <x v="1096"/>
    <x v="1208"/>
    <s v="Mr"/>
    <s v="M"/>
    <n v="90"/>
    <s v="Germander Way"/>
    <x v="609"/>
    <x v="11"/>
    <d v="2022-03-12T00:00:00"/>
    <x v="0"/>
    <x v="5"/>
    <n v="92"/>
    <x v="4"/>
    <x v="4"/>
    <n v="1656"/>
    <x v="609"/>
  </r>
  <r>
    <n v="1845"/>
    <x v="1426"/>
    <x v="907"/>
    <s v="Mrs"/>
    <s v="F"/>
    <n v="90"/>
    <s v="Gibbins Road"/>
    <x v="923"/>
    <x v="3"/>
    <d v="2021-02-09T00:00:00"/>
    <x v="1"/>
    <x v="10"/>
    <n v="43"/>
    <x v="4"/>
    <x v="4"/>
    <n v="774"/>
    <x v="658"/>
  </r>
  <r>
    <n v="1846"/>
    <x v="1427"/>
    <x v="1209"/>
    <s v="Miss"/>
    <s v="F"/>
    <n v="60"/>
    <s v="Gibbs Avenue"/>
    <x v="506"/>
    <x v="15"/>
    <d v="2021-08-25T00:00:00"/>
    <x v="1"/>
    <x v="3"/>
    <n v="2"/>
    <x v="3"/>
    <x v="3"/>
    <n v="48"/>
    <x v="852"/>
  </r>
  <r>
    <n v="1847"/>
    <x v="803"/>
    <x v="121"/>
    <s v="Mr"/>
    <s v="M"/>
    <n v="90"/>
    <s v="Gibbs Close"/>
    <x v="826"/>
    <x v="16"/>
    <d v="2021-04-25T00:00:00"/>
    <x v="1"/>
    <x v="4"/>
    <n v="91"/>
    <x v="7"/>
    <x v="7"/>
    <n v="1820"/>
    <x v="151"/>
  </r>
  <r>
    <n v="1848"/>
    <x v="1428"/>
    <x v="1210"/>
    <s v="Ms"/>
    <s v="F"/>
    <n v="90"/>
    <s v="Gibraltar Gardens"/>
    <x v="1005"/>
    <x v="2"/>
    <d v="2022-01-17T00:00:00"/>
    <x v="0"/>
    <x v="6"/>
    <n v="6"/>
    <x v="2"/>
    <x v="2"/>
    <n v="102"/>
    <x v="853"/>
  </r>
  <r>
    <n v="1849"/>
    <x v="1429"/>
    <x v="222"/>
    <s v="Mrs"/>
    <s v="F"/>
    <n v="30"/>
    <s v="Gilbert Close"/>
    <x v="1006"/>
    <x v="44"/>
    <d v="2020-01-02T00:00:00"/>
    <x v="2"/>
    <x v="6"/>
    <n v="74"/>
    <x v="6"/>
    <x v="6"/>
    <n v="1776"/>
    <x v="803"/>
  </r>
  <r>
    <n v="1850"/>
    <x v="1430"/>
    <x v="1211"/>
    <s v="Dr"/>
    <s v="M"/>
    <n v="60"/>
    <s v="Gilbeys Yard"/>
    <x v="212"/>
    <x v="8"/>
    <d v="2020-05-01T00:00:00"/>
    <x v="2"/>
    <x v="11"/>
    <n v="80"/>
    <x v="7"/>
    <x v="7"/>
    <n v="1600"/>
    <x v="690"/>
  </r>
  <r>
    <n v="1851"/>
    <x v="890"/>
    <x v="1212"/>
    <s v="Mr"/>
    <s v="M"/>
    <n v="30"/>
    <s v="Gilham'S Court"/>
    <x v="916"/>
    <x v="16"/>
    <d v="2020-01-29T00:00:00"/>
    <x v="2"/>
    <x v="6"/>
    <n v="13"/>
    <x v="7"/>
    <x v="7"/>
    <n v="260"/>
    <x v="70"/>
  </r>
  <r>
    <n v="1852"/>
    <x v="1319"/>
    <x v="1213"/>
    <s v="Miss"/>
    <s v="F"/>
    <n v="30"/>
    <s v="Gillam'S Yard"/>
    <x v="752"/>
    <x v="2"/>
    <d v="2021-07-08T00:00:00"/>
    <x v="1"/>
    <x v="0"/>
    <n v="93"/>
    <x v="6"/>
    <x v="6"/>
    <n v="2232"/>
    <x v="93"/>
  </r>
  <r>
    <n v="1853"/>
    <x v="1431"/>
    <x v="999"/>
    <s v="Mrs"/>
    <s v="F"/>
    <n v="60"/>
    <s v="Gillards Mews"/>
    <x v="760"/>
    <x v="2"/>
    <d v="2021-08-23T00:00:00"/>
    <x v="1"/>
    <x v="3"/>
    <n v="76"/>
    <x v="4"/>
    <x v="4"/>
    <n v="1368"/>
    <x v="233"/>
  </r>
  <r>
    <n v="1854"/>
    <x v="1225"/>
    <x v="1214"/>
    <s v="Mr"/>
    <s v="M"/>
    <n v="60"/>
    <s v="Gillender Street"/>
    <x v="246"/>
    <x v="2"/>
    <d v="2020-07-19T00:00:00"/>
    <x v="2"/>
    <x v="0"/>
    <n v="85"/>
    <x v="4"/>
    <x v="4"/>
    <n v="1530"/>
    <x v="16"/>
  </r>
  <r>
    <n v="1855"/>
    <x v="290"/>
    <x v="1215"/>
    <s v="Mr"/>
    <s v="M"/>
    <n v="90"/>
    <s v="Gillingham Row"/>
    <x v="988"/>
    <x v="3"/>
    <d v="2021-04-07T00:00:00"/>
    <x v="1"/>
    <x v="4"/>
    <n v="65"/>
    <x v="3"/>
    <x v="3"/>
    <n v="1560"/>
    <x v="257"/>
  </r>
  <r>
    <n v="1856"/>
    <x v="1432"/>
    <x v="1177"/>
    <s v="Mrs"/>
    <s v="F"/>
    <n v="30"/>
    <s v="Gillingham Street"/>
    <x v="701"/>
    <x v="11"/>
    <d v="2022-01-27T00:00:00"/>
    <x v="0"/>
    <x v="6"/>
    <n v="89"/>
    <x v="8"/>
    <x v="8"/>
    <n v="1780"/>
    <x v="854"/>
  </r>
  <r>
    <n v="1857"/>
    <x v="1433"/>
    <x v="1216"/>
    <s v="Mr"/>
    <s v="M"/>
    <n v="60"/>
    <s v="Gilstead Road"/>
    <x v="678"/>
    <x v="2"/>
    <d v="2021-10-04T00:00:00"/>
    <x v="1"/>
    <x v="1"/>
    <n v="2"/>
    <x v="7"/>
    <x v="7"/>
    <n v="40"/>
    <x v="37"/>
  </r>
  <r>
    <n v="1858"/>
    <x v="1434"/>
    <x v="1047"/>
    <s v="Mrs"/>
    <s v="F"/>
    <n v="30"/>
    <s v="Gimber'S Rents"/>
    <x v="1007"/>
    <x v="2"/>
    <d v="2022-03-09T00:00:00"/>
    <x v="0"/>
    <x v="5"/>
    <n v="59"/>
    <x v="7"/>
    <x v="7"/>
    <n v="1180"/>
    <x v="855"/>
  </r>
  <r>
    <n v="1859"/>
    <x v="1435"/>
    <x v="334"/>
    <s v="Mrs"/>
    <s v="F"/>
    <n v="30"/>
    <s v="Gin Alley"/>
    <x v="303"/>
    <x v="47"/>
    <d v="2022-01-17T00:00:00"/>
    <x v="0"/>
    <x v="6"/>
    <n v="16"/>
    <x v="5"/>
    <x v="5"/>
    <n v="384"/>
    <x v="731"/>
  </r>
  <r>
    <n v="1860"/>
    <x v="453"/>
    <x v="219"/>
    <s v="Miss"/>
    <s v="F"/>
    <n v="60"/>
    <s v="Gipsy Road"/>
    <x v="1008"/>
    <x v="89"/>
    <d v="2021-02-07T00:00:00"/>
    <x v="1"/>
    <x v="10"/>
    <n v="71"/>
    <x v="7"/>
    <x v="7"/>
    <n v="1420"/>
    <x v="131"/>
  </r>
  <r>
    <n v="1861"/>
    <x v="1436"/>
    <x v="1107"/>
    <s v="Mrs"/>
    <s v="F"/>
    <n v="60"/>
    <s v="Gipsy Road"/>
    <x v="1009"/>
    <x v="2"/>
    <d v="2022-11-06T00:00:00"/>
    <x v="0"/>
    <x v="7"/>
    <n v="99"/>
    <x v="7"/>
    <x v="7"/>
    <n v="1980"/>
    <x v="856"/>
  </r>
  <r>
    <n v="1862"/>
    <x v="1437"/>
    <x v="1217"/>
    <s v="Miss"/>
    <s v="F"/>
    <n v="60"/>
    <s v="Girdler Or"/>
    <x v="597"/>
    <x v="17"/>
    <d v="2020-03-20T00:00:00"/>
    <x v="2"/>
    <x v="5"/>
    <n v="70"/>
    <x v="1"/>
    <x v="1"/>
    <n v="1680"/>
    <x v="561"/>
  </r>
  <r>
    <n v="1863"/>
    <x v="1438"/>
    <x v="1161"/>
    <s v="Mrs"/>
    <s v="F"/>
    <n v="90"/>
    <s v="Girdwood Road"/>
    <x v="25"/>
    <x v="1"/>
    <d v="2022-02-11T00:00:00"/>
    <x v="0"/>
    <x v="10"/>
    <n v="103"/>
    <x v="9"/>
    <x v="9"/>
    <n v="2472"/>
    <x v="656"/>
  </r>
  <r>
    <n v="1864"/>
    <x v="515"/>
    <x v="551"/>
    <s v="Mr"/>
    <s v="M"/>
    <n v="60"/>
    <s v="Gladstone Avenue"/>
    <x v="694"/>
    <x v="11"/>
    <d v="2021-03-26T00:00:00"/>
    <x v="1"/>
    <x v="5"/>
    <n v="12"/>
    <x v="5"/>
    <x v="5"/>
    <n v="288"/>
    <x v="477"/>
  </r>
  <r>
    <n v="1865"/>
    <x v="1334"/>
    <x v="1218"/>
    <s v="Mr"/>
    <s v="M"/>
    <n v="90"/>
    <s v="Gladstone House"/>
    <x v="251"/>
    <x v="2"/>
    <d v="2020-09-17T00:00:00"/>
    <x v="2"/>
    <x v="9"/>
    <n v="19"/>
    <x v="6"/>
    <x v="6"/>
    <n v="456"/>
    <x v="115"/>
  </r>
  <r>
    <n v="1866"/>
    <x v="1439"/>
    <x v="457"/>
    <s v="Miss"/>
    <s v="F"/>
    <n v="30"/>
    <s v="Glanton House"/>
    <x v="846"/>
    <x v="2"/>
    <d v="2020-06-29T00:00:00"/>
    <x v="2"/>
    <x v="2"/>
    <n v="37"/>
    <x v="4"/>
    <x v="4"/>
    <n v="666"/>
    <x v="28"/>
  </r>
  <r>
    <n v="1867"/>
    <x v="1329"/>
    <x v="1219"/>
    <s v="Mr"/>
    <s v="M"/>
    <n v="90"/>
    <s v="Glanywerene Lodge"/>
    <x v="222"/>
    <x v="2"/>
    <d v="2022-10-13T00:00:00"/>
    <x v="0"/>
    <x v="1"/>
    <n v="59"/>
    <x v="3"/>
    <x v="3"/>
    <n v="1416"/>
    <x v="383"/>
  </r>
  <r>
    <n v="1868"/>
    <x v="1440"/>
    <x v="402"/>
    <s v="Miss"/>
    <s v="F"/>
    <n v="90"/>
    <s v="Glanywerene Lodge"/>
    <x v="1010"/>
    <x v="2"/>
    <d v="2020-02-17T00:00:00"/>
    <x v="2"/>
    <x v="10"/>
    <n v="36"/>
    <x v="6"/>
    <x v="6"/>
    <n v="864"/>
    <x v="73"/>
  </r>
  <r>
    <n v="1869"/>
    <x v="1441"/>
    <x v="822"/>
    <s v="Mr"/>
    <s v="M"/>
    <n v="90"/>
    <s v="Glaserton Road"/>
    <x v="817"/>
    <x v="26"/>
    <d v="2022-07-27T00:00:00"/>
    <x v="0"/>
    <x v="0"/>
    <n v="34"/>
    <x v="1"/>
    <x v="1"/>
    <n v="816"/>
    <x v="362"/>
  </r>
  <r>
    <n v="1870"/>
    <x v="1000"/>
    <x v="1220"/>
    <s v="Mr"/>
    <s v="M"/>
    <n v="90"/>
    <s v="Glasgow Road"/>
    <x v="857"/>
    <x v="1"/>
    <d v="2021-09-17T00:00:00"/>
    <x v="1"/>
    <x v="9"/>
    <n v="34"/>
    <x v="6"/>
    <x v="6"/>
    <n v="816"/>
    <x v="615"/>
  </r>
  <r>
    <n v="1871"/>
    <x v="1442"/>
    <x v="384"/>
    <s v="Mrs"/>
    <s v="F"/>
    <n v="90"/>
    <s v="Glaskin Street"/>
    <x v="1011"/>
    <x v="2"/>
    <d v="2022-01-04T00:00:00"/>
    <x v="0"/>
    <x v="6"/>
    <n v="43"/>
    <x v="4"/>
    <x v="4"/>
    <n v="774"/>
    <x v="658"/>
  </r>
  <r>
    <n v="1872"/>
    <x v="1443"/>
    <x v="1221"/>
    <s v="Miss"/>
    <s v="F"/>
    <n v="90"/>
    <s v="Glasshouse Buildings"/>
    <x v="258"/>
    <x v="7"/>
    <d v="2021-04-02T00:00:00"/>
    <x v="1"/>
    <x v="4"/>
    <n v="40"/>
    <x v="0"/>
    <x v="0"/>
    <n v="800"/>
    <x v="239"/>
  </r>
  <r>
    <n v="1873"/>
    <x v="1444"/>
    <x v="1222"/>
    <s v="Ms"/>
    <s v="F"/>
    <n v="30"/>
    <s v="Glasshouse Street"/>
    <x v="224"/>
    <x v="2"/>
    <d v="2020-08-29T00:00:00"/>
    <x v="2"/>
    <x v="3"/>
    <n v="22"/>
    <x v="1"/>
    <x v="1"/>
    <n v="528"/>
    <x v="533"/>
  </r>
  <r>
    <n v="1874"/>
    <x v="1445"/>
    <x v="1171"/>
    <s v="Mr"/>
    <s v="M"/>
    <n v="60"/>
    <s v="Glasshouse Yard"/>
    <x v="508"/>
    <x v="2"/>
    <d v="2020-02-08T00:00:00"/>
    <x v="2"/>
    <x v="10"/>
    <n v="23"/>
    <x v="2"/>
    <x v="2"/>
    <n v="391"/>
    <x v="354"/>
  </r>
  <r>
    <n v="1875"/>
    <x v="1446"/>
    <x v="315"/>
    <s v="Dr"/>
    <s v="F"/>
    <n v="90"/>
    <s v="Glebelands"/>
    <x v="813"/>
    <x v="57"/>
    <d v="2020-10-22T00:00:00"/>
    <x v="2"/>
    <x v="1"/>
    <n v="46"/>
    <x v="6"/>
    <x v="6"/>
    <n v="1104"/>
    <x v="199"/>
  </r>
  <r>
    <n v="1876"/>
    <x v="1447"/>
    <x v="1223"/>
    <s v="Miss"/>
    <s v="F"/>
    <n v="60"/>
    <s v="Glendale Close"/>
    <x v="132"/>
    <x v="2"/>
    <d v="2022-11-26T00:00:00"/>
    <x v="0"/>
    <x v="7"/>
    <n v="3"/>
    <x v="9"/>
    <x v="9"/>
    <n v="72"/>
    <x v="234"/>
  </r>
  <r>
    <n v="1877"/>
    <x v="555"/>
    <x v="1224"/>
    <s v="Mr"/>
    <s v="M"/>
    <n v="90"/>
    <s v="Glendale Drive"/>
    <x v="1012"/>
    <x v="16"/>
    <d v="2021-08-27T00:00:00"/>
    <x v="1"/>
    <x v="3"/>
    <n v="33"/>
    <x v="9"/>
    <x v="9"/>
    <n v="792"/>
    <x v="633"/>
  </r>
  <r>
    <n v="1878"/>
    <x v="725"/>
    <x v="1225"/>
    <s v="Mr"/>
    <s v="M"/>
    <n v="60"/>
    <s v="Glendall Street"/>
    <x v="259"/>
    <x v="2"/>
    <d v="2020-03-11T00:00:00"/>
    <x v="2"/>
    <x v="5"/>
    <n v="35"/>
    <x v="4"/>
    <x v="4"/>
    <n v="630"/>
    <x v="134"/>
  </r>
  <r>
    <n v="1879"/>
    <x v="1448"/>
    <x v="1226"/>
    <s v="Mr"/>
    <s v="M"/>
    <n v="90"/>
    <s v="Glenfarg Road"/>
    <x v="349"/>
    <x v="2"/>
    <d v="2020-01-04T00:00:00"/>
    <x v="2"/>
    <x v="6"/>
    <n v="69"/>
    <x v="5"/>
    <x v="5"/>
    <n v="1656"/>
    <x v="857"/>
  </r>
  <r>
    <n v="1880"/>
    <x v="1449"/>
    <x v="551"/>
    <s v="Ms"/>
    <s v="F"/>
    <n v="60"/>
    <s v="Glengarry Road"/>
    <x v="1013"/>
    <x v="2"/>
    <d v="2020-03-24T00:00:00"/>
    <x v="2"/>
    <x v="5"/>
    <n v="53"/>
    <x v="8"/>
    <x v="8"/>
    <n v="1060"/>
    <x v="597"/>
  </r>
  <r>
    <n v="1881"/>
    <x v="144"/>
    <x v="260"/>
    <s v="Miss"/>
    <s v="F"/>
    <n v="60"/>
    <s v="Glenhill Close"/>
    <x v="1014"/>
    <x v="2"/>
    <d v="2022-05-30T00:00:00"/>
    <x v="0"/>
    <x v="11"/>
    <n v="88"/>
    <x v="3"/>
    <x v="3"/>
    <n v="2112"/>
    <x v="697"/>
  </r>
  <r>
    <n v="1882"/>
    <x v="1262"/>
    <x v="1227"/>
    <s v="Mr"/>
    <s v="M"/>
    <n v="90"/>
    <s v="Glenhurst House"/>
    <x v="637"/>
    <x v="1"/>
    <d v="2020-05-23T00:00:00"/>
    <x v="2"/>
    <x v="11"/>
    <n v="32"/>
    <x v="8"/>
    <x v="8"/>
    <n v="640"/>
    <x v="440"/>
  </r>
  <r>
    <n v="1883"/>
    <x v="1450"/>
    <x v="399"/>
    <s v="Mrs"/>
    <s v="F"/>
    <n v="30"/>
    <s v="Glenloch Road"/>
    <x v="173"/>
    <x v="2"/>
    <d v="2022-11-22T00:00:00"/>
    <x v="0"/>
    <x v="7"/>
    <n v="72"/>
    <x v="2"/>
    <x v="2"/>
    <n v="1224"/>
    <x v="61"/>
  </r>
  <r>
    <n v="1884"/>
    <x v="678"/>
    <x v="38"/>
    <s v="Mrs"/>
    <s v="F"/>
    <n v="60"/>
    <s v="Glentanner Way"/>
    <x v="826"/>
    <x v="16"/>
    <d v="2022-08-11T00:00:00"/>
    <x v="0"/>
    <x v="3"/>
    <n v="91"/>
    <x v="9"/>
    <x v="9"/>
    <n v="2184"/>
    <x v="388"/>
  </r>
  <r>
    <n v="1885"/>
    <x v="1451"/>
    <x v="26"/>
    <s v="Mr"/>
    <s v="M"/>
    <n v="90"/>
    <s v="Glenthorne"/>
    <x v="1015"/>
    <x v="54"/>
    <d v="2020-10-02T00:00:00"/>
    <x v="2"/>
    <x v="1"/>
    <n v="35"/>
    <x v="7"/>
    <x v="7"/>
    <n v="700"/>
    <x v="676"/>
  </r>
  <r>
    <n v="1886"/>
    <x v="1452"/>
    <x v="1228"/>
    <s v="Mr"/>
    <s v="M"/>
    <n v="90"/>
    <s v="Glenview"/>
    <x v="950"/>
    <x v="2"/>
    <d v="2022-06-04T00:00:00"/>
    <x v="0"/>
    <x v="2"/>
    <n v="101"/>
    <x v="3"/>
    <x v="3"/>
    <n v="2424"/>
    <x v="106"/>
  </r>
  <r>
    <n v="1887"/>
    <x v="1143"/>
    <x v="1091"/>
    <s v="Mr"/>
    <s v="M"/>
    <n v="60"/>
    <s v="Glenville Cottages"/>
    <x v="1016"/>
    <x v="11"/>
    <d v="2021-02-20T00:00:00"/>
    <x v="1"/>
    <x v="10"/>
    <n v="20"/>
    <x v="4"/>
    <x v="4"/>
    <n v="360"/>
    <x v="824"/>
  </r>
  <r>
    <n v="1888"/>
    <x v="1453"/>
    <x v="1229"/>
    <s v="Mr"/>
    <s v="M"/>
    <n v="30"/>
    <s v="Glenwood Avenue"/>
    <x v="1017"/>
    <x v="8"/>
    <d v="2021-12-21T00:00:00"/>
    <x v="1"/>
    <x v="8"/>
    <n v="50"/>
    <x v="0"/>
    <x v="0"/>
    <n v="1000"/>
    <x v="671"/>
  </r>
  <r>
    <n v="1889"/>
    <x v="294"/>
    <x v="202"/>
    <s v="Mr"/>
    <s v="M"/>
    <n v="60"/>
    <s v="Gloster Villas"/>
    <x v="471"/>
    <x v="17"/>
    <d v="2021-08-25T00:00:00"/>
    <x v="1"/>
    <x v="3"/>
    <n v="32"/>
    <x v="4"/>
    <x v="4"/>
    <n v="576"/>
    <x v="58"/>
  </r>
  <r>
    <n v="1890"/>
    <x v="1454"/>
    <x v="723"/>
    <s v="Mr"/>
    <s v="M"/>
    <n v="60"/>
    <s v="Gloucester Buildings"/>
    <x v="210"/>
    <x v="2"/>
    <d v="2020-11-13T00:00:00"/>
    <x v="2"/>
    <x v="7"/>
    <n v="27"/>
    <x v="9"/>
    <x v="9"/>
    <n v="648"/>
    <x v="858"/>
  </r>
  <r>
    <n v="1891"/>
    <x v="894"/>
    <x v="1230"/>
    <s v="Mr"/>
    <s v="M"/>
    <n v="60"/>
    <s v="Gloucester Drive"/>
    <x v="975"/>
    <x v="21"/>
    <d v="2020-09-08T00:00:00"/>
    <x v="2"/>
    <x v="9"/>
    <n v="66"/>
    <x v="3"/>
    <x v="3"/>
    <n v="1584"/>
    <x v="158"/>
  </r>
  <r>
    <n v="1892"/>
    <x v="5"/>
    <x v="1231"/>
    <s v="Mr"/>
    <s v="M"/>
    <n v="30"/>
    <s v="Gloucester Gardens"/>
    <x v="1018"/>
    <x v="20"/>
    <d v="2021-07-01T00:00:00"/>
    <x v="1"/>
    <x v="0"/>
    <n v="6"/>
    <x v="4"/>
    <x v="4"/>
    <n v="108"/>
    <x v="168"/>
  </r>
  <r>
    <n v="1893"/>
    <x v="1455"/>
    <x v="1232"/>
    <s v="Mrs"/>
    <s v="F"/>
    <n v="90"/>
    <s v="Gloucester House"/>
    <x v="1019"/>
    <x v="17"/>
    <d v="2021-06-11T00:00:00"/>
    <x v="1"/>
    <x v="2"/>
    <n v="67"/>
    <x v="3"/>
    <x v="3"/>
    <n v="1608"/>
    <x v="457"/>
  </r>
  <r>
    <n v="1894"/>
    <x v="916"/>
    <x v="1083"/>
    <s v="Mr"/>
    <s v="M"/>
    <n v="90"/>
    <s v="Gloucester Mews"/>
    <x v="62"/>
    <x v="2"/>
    <d v="2021-09-19T00:00:00"/>
    <x v="1"/>
    <x v="9"/>
    <n v="69"/>
    <x v="1"/>
    <x v="1"/>
    <n v="1656"/>
    <x v="138"/>
  </r>
  <r>
    <n v="1895"/>
    <x v="1456"/>
    <x v="1233"/>
    <s v="Mr"/>
    <s v="M"/>
    <n v="30"/>
    <s v="Gloucestershire Place"/>
    <x v="78"/>
    <x v="2"/>
    <d v="2021-08-08T00:00:00"/>
    <x v="1"/>
    <x v="3"/>
    <n v="10"/>
    <x v="8"/>
    <x v="8"/>
    <n v="200"/>
    <x v="859"/>
  </r>
  <r>
    <n v="1896"/>
    <x v="1457"/>
    <x v="1234"/>
    <s v="Mrs"/>
    <s v="F"/>
    <n v="60"/>
    <s v="Glover Close"/>
    <x v="763"/>
    <x v="3"/>
    <d v="2021-04-09T00:00:00"/>
    <x v="1"/>
    <x v="4"/>
    <n v="57"/>
    <x v="8"/>
    <x v="8"/>
    <n v="1140"/>
    <x v="284"/>
  </r>
  <r>
    <n v="1897"/>
    <x v="1458"/>
    <x v="1057"/>
    <s v="Mr"/>
    <s v="M"/>
    <n v="60"/>
    <s v="Glovers' Hall"/>
    <x v="913"/>
    <x v="87"/>
    <d v="2021-12-14T00:00:00"/>
    <x v="1"/>
    <x v="8"/>
    <n v="66"/>
    <x v="3"/>
    <x v="3"/>
    <n v="1584"/>
    <x v="158"/>
  </r>
  <r>
    <n v="1898"/>
    <x v="1382"/>
    <x v="1235"/>
    <s v="Mrs"/>
    <s v="F"/>
    <n v="60"/>
    <s v="Glovers Place"/>
    <x v="82"/>
    <x v="2"/>
    <d v="2020-01-17T00:00:00"/>
    <x v="2"/>
    <x v="6"/>
    <n v="42"/>
    <x v="6"/>
    <x v="6"/>
    <n v="1008"/>
    <x v="162"/>
  </r>
  <r>
    <n v="1899"/>
    <x v="379"/>
    <x v="275"/>
    <s v="Mrs"/>
    <s v="F"/>
    <n v="30"/>
    <s v="Glyn Close"/>
    <x v="205"/>
    <x v="16"/>
    <d v="2021-04-26T00:00:00"/>
    <x v="1"/>
    <x v="4"/>
    <n v="21"/>
    <x v="5"/>
    <x v="5"/>
    <n v="504"/>
    <x v="568"/>
  </r>
  <r>
    <n v="1900"/>
    <x v="671"/>
    <x v="1236"/>
    <s v="Mr"/>
    <s v="M"/>
    <n v="60"/>
    <s v="Glyndon Street"/>
    <x v="879"/>
    <x v="21"/>
    <d v="2021-01-18T00:00:00"/>
    <x v="1"/>
    <x v="6"/>
    <n v="76"/>
    <x v="9"/>
    <x v="9"/>
    <n v="1824"/>
    <x v="590"/>
  </r>
  <r>
    <n v="1901"/>
    <x v="977"/>
    <x v="1237"/>
    <s v="Mrs"/>
    <s v="F"/>
    <n v="90"/>
    <s v="Goad'S Place"/>
    <x v="178"/>
    <x v="21"/>
    <d v="2021-01-01T00:00:00"/>
    <x v="1"/>
    <x v="6"/>
    <n v="13"/>
    <x v="0"/>
    <x v="0"/>
    <n v="260"/>
    <x v="1"/>
  </r>
  <r>
    <n v="1902"/>
    <x v="1459"/>
    <x v="1238"/>
    <s v="Mrs"/>
    <s v="F"/>
    <n v="30"/>
    <s v="Godfrey Place"/>
    <x v="484"/>
    <x v="2"/>
    <d v="2022-01-18T00:00:00"/>
    <x v="0"/>
    <x v="6"/>
    <n v="46"/>
    <x v="7"/>
    <x v="7"/>
    <n v="920"/>
    <x v="681"/>
  </r>
  <r>
    <n v="1903"/>
    <x v="1460"/>
    <x v="1105"/>
    <s v="Mrs"/>
    <s v="F"/>
    <n v="90"/>
    <s v="Godfrey Street"/>
    <x v="550"/>
    <x v="73"/>
    <d v="2020-12-04T00:00:00"/>
    <x v="2"/>
    <x v="8"/>
    <n v="58"/>
    <x v="0"/>
    <x v="0"/>
    <n v="1160"/>
    <x v="791"/>
  </r>
  <r>
    <n v="1904"/>
    <x v="1461"/>
    <x v="444"/>
    <s v="Mr"/>
    <s v="M"/>
    <n v="60"/>
    <s v="Godman Road"/>
    <x v="1020"/>
    <x v="2"/>
    <d v="2021-07-04T00:00:00"/>
    <x v="1"/>
    <x v="0"/>
    <n v="95"/>
    <x v="0"/>
    <x v="0"/>
    <n v="1900"/>
    <x v="136"/>
  </r>
  <r>
    <n v="1905"/>
    <x v="1462"/>
    <x v="580"/>
    <s v="Mr"/>
    <s v="M"/>
    <n v="60"/>
    <s v="Godolphin Close"/>
    <x v="718"/>
    <x v="76"/>
    <d v="2020-06-30T00:00:00"/>
    <x v="2"/>
    <x v="2"/>
    <n v="60"/>
    <x v="5"/>
    <x v="5"/>
    <n v="1440"/>
    <x v="519"/>
  </r>
  <r>
    <n v="1906"/>
    <x v="1248"/>
    <x v="1239"/>
    <s v="Miss"/>
    <s v="F"/>
    <n v="60"/>
    <s v="Golborne Road"/>
    <x v="152"/>
    <x v="2"/>
    <d v="2020-03-03T00:00:00"/>
    <x v="2"/>
    <x v="5"/>
    <n v="33"/>
    <x v="1"/>
    <x v="1"/>
    <n v="792"/>
    <x v="860"/>
  </r>
  <r>
    <n v="1907"/>
    <x v="640"/>
    <x v="423"/>
    <s v="Mr"/>
    <s v="M"/>
    <n v="30"/>
    <s v="Golden Cottage"/>
    <x v="1021"/>
    <x v="20"/>
    <d v="2022-09-02T00:00:00"/>
    <x v="0"/>
    <x v="9"/>
    <n v="100"/>
    <x v="5"/>
    <x v="5"/>
    <n v="2400"/>
    <x v="861"/>
  </r>
  <r>
    <n v="1908"/>
    <x v="1463"/>
    <x v="111"/>
    <s v="Mr"/>
    <s v="M"/>
    <n v="90"/>
    <s v="Golden Manor"/>
    <x v="807"/>
    <x v="10"/>
    <d v="2020-07-03T00:00:00"/>
    <x v="2"/>
    <x v="0"/>
    <n v="70"/>
    <x v="5"/>
    <x v="5"/>
    <n v="1680"/>
    <x v="104"/>
  </r>
  <r>
    <n v="1909"/>
    <x v="1464"/>
    <x v="460"/>
    <s v="Mrs"/>
    <s v="F"/>
    <n v="60"/>
    <s v="Golden Parade"/>
    <x v="760"/>
    <x v="2"/>
    <d v="2020-03-31T00:00:00"/>
    <x v="2"/>
    <x v="5"/>
    <n v="61"/>
    <x v="1"/>
    <x v="1"/>
    <n v="1464"/>
    <x v="490"/>
  </r>
  <r>
    <n v="1910"/>
    <x v="1465"/>
    <x v="1240"/>
    <s v="Miss"/>
    <s v="F"/>
    <n v="30"/>
    <s v="Golders Hill"/>
    <x v="80"/>
    <x v="2"/>
    <d v="2022-04-01T00:00:00"/>
    <x v="0"/>
    <x v="4"/>
    <n v="101"/>
    <x v="1"/>
    <x v="1"/>
    <n v="2424"/>
    <x v="621"/>
  </r>
  <r>
    <n v="1911"/>
    <x v="1466"/>
    <x v="1241"/>
    <s v="Miss"/>
    <s v="F"/>
    <n v="90"/>
    <s v="Golders Rise"/>
    <x v="609"/>
    <x v="11"/>
    <d v="2021-02-06T00:00:00"/>
    <x v="1"/>
    <x v="10"/>
    <n v="77"/>
    <x v="0"/>
    <x v="0"/>
    <n v="1540"/>
    <x v="779"/>
  </r>
  <r>
    <n v="1912"/>
    <x v="323"/>
    <x v="127"/>
    <s v="Mr"/>
    <s v="M"/>
    <n v="60"/>
    <s v="Golders Rise"/>
    <x v="206"/>
    <x v="2"/>
    <d v="2020-11-17T00:00:00"/>
    <x v="2"/>
    <x v="7"/>
    <n v="66"/>
    <x v="8"/>
    <x v="8"/>
    <n v="1320"/>
    <x v="241"/>
  </r>
  <r>
    <n v="1913"/>
    <x v="1023"/>
    <x v="1062"/>
    <s v="Mrs"/>
    <s v="F"/>
    <n v="30"/>
    <s v="Golders Rise"/>
    <x v="177"/>
    <x v="2"/>
    <d v="2022-02-16T00:00:00"/>
    <x v="0"/>
    <x v="10"/>
    <n v="94"/>
    <x v="2"/>
    <x v="2"/>
    <n v="1598"/>
    <x v="741"/>
  </r>
  <r>
    <n v="1914"/>
    <x v="1467"/>
    <x v="480"/>
    <s v="Mr"/>
    <s v="M"/>
    <n v="60"/>
    <s v="Goldhawk Road"/>
    <x v="275"/>
    <x v="45"/>
    <d v="2020-02-12T00:00:00"/>
    <x v="2"/>
    <x v="10"/>
    <n v="10"/>
    <x v="4"/>
    <x v="4"/>
    <n v="180"/>
    <x v="427"/>
  </r>
  <r>
    <n v="1915"/>
    <x v="555"/>
    <x v="979"/>
    <s v="Mr"/>
    <s v="M"/>
    <n v="30"/>
    <s v="Goldhurst Terrace"/>
    <x v="639"/>
    <x v="13"/>
    <d v="2021-12-14T00:00:00"/>
    <x v="1"/>
    <x v="8"/>
    <n v="5"/>
    <x v="0"/>
    <x v="0"/>
    <n v="100"/>
    <x v="645"/>
  </r>
  <r>
    <n v="1916"/>
    <x v="1468"/>
    <x v="1242"/>
    <s v="Mr"/>
    <s v="M"/>
    <n v="90"/>
    <s v="Golding Street"/>
    <x v="1022"/>
    <x v="1"/>
    <d v="2020-12-10T00:00:00"/>
    <x v="2"/>
    <x v="8"/>
    <n v="26"/>
    <x v="0"/>
    <x v="0"/>
    <n v="520"/>
    <x v="862"/>
  </r>
  <r>
    <n v="1917"/>
    <x v="1469"/>
    <x v="81"/>
    <s v="Mrs"/>
    <s v="F"/>
    <n v="90"/>
    <s v="Goldington Street"/>
    <x v="970"/>
    <x v="2"/>
    <d v="2020-07-18T00:00:00"/>
    <x v="2"/>
    <x v="0"/>
    <n v="19"/>
    <x v="2"/>
    <x v="2"/>
    <n v="323"/>
    <x v="337"/>
  </r>
  <r>
    <n v="1918"/>
    <x v="1089"/>
    <x v="901"/>
    <s v="Mrs"/>
    <s v="F"/>
    <n v="30"/>
    <s v="Goldsmith Lane"/>
    <x v="873"/>
    <x v="13"/>
    <d v="2021-08-09T00:00:00"/>
    <x v="1"/>
    <x v="3"/>
    <n v="83"/>
    <x v="5"/>
    <x v="5"/>
    <n v="1992"/>
    <x v="686"/>
  </r>
  <r>
    <n v="1919"/>
    <x v="1470"/>
    <x v="1243"/>
    <s v="Mrs"/>
    <s v="F"/>
    <n v="90"/>
    <s v="Goldsmith Place"/>
    <x v="234"/>
    <x v="2"/>
    <d v="2021-03-12T00:00:00"/>
    <x v="1"/>
    <x v="5"/>
    <n v="94"/>
    <x v="0"/>
    <x v="0"/>
    <n v="1880"/>
    <x v="365"/>
  </r>
  <r>
    <n v="1920"/>
    <x v="1471"/>
    <x v="797"/>
    <s v="Mr"/>
    <s v="M"/>
    <n v="90"/>
    <s v="Goldsmiths Green"/>
    <x v="59"/>
    <x v="22"/>
    <d v="2022-10-31T00:00:00"/>
    <x v="0"/>
    <x v="1"/>
    <n v="70"/>
    <x v="6"/>
    <x v="6"/>
    <n v="1680"/>
    <x v="581"/>
  </r>
  <r>
    <n v="1921"/>
    <x v="1472"/>
    <x v="1244"/>
    <s v="Mrs"/>
    <s v="F"/>
    <n v="90"/>
    <s v="Goldsmiths Green"/>
    <x v="752"/>
    <x v="2"/>
    <d v="2022-09-19T00:00:00"/>
    <x v="0"/>
    <x v="9"/>
    <n v="10"/>
    <x v="2"/>
    <x v="2"/>
    <n v="170"/>
    <x v="317"/>
  </r>
  <r>
    <n v="1922"/>
    <x v="1473"/>
    <x v="20"/>
    <s v="Miss"/>
    <s v="F"/>
    <n v="90"/>
    <s v="Goldsmiths Plc"/>
    <x v="460"/>
    <x v="16"/>
    <d v="2020-08-18T00:00:00"/>
    <x v="2"/>
    <x v="3"/>
    <n v="61"/>
    <x v="8"/>
    <x v="8"/>
    <n v="1220"/>
    <x v="482"/>
  </r>
  <r>
    <n v="1923"/>
    <x v="1410"/>
    <x v="1225"/>
    <s v="Ms"/>
    <s v="F"/>
    <n v="60"/>
    <s v="Gomm Road"/>
    <x v="151"/>
    <x v="2"/>
    <d v="2021-11-21T00:00:00"/>
    <x v="1"/>
    <x v="7"/>
    <n v="3"/>
    <x v="8"/>
    <x v="8"/>
    <n v="60"/>
    <x v="863"/>
  </r>
  <r>
    <n v="1924"/>
    <x v="308"/>
    <x v="153"/>
    <s v="Mr"/>
    <s v="M"/>
    <n v="30"/>
    <s v="Gonsalva Road"/>
    <x v="509"/>
    <x v="20"/>
    <d v="2022-12-10T00:00:00"/>
    <x v="0"/>
    <x v="8"/>
    <n v="86"/>
    <x v="1"/>
    <x v="1"/>
    <n v="2064"/>
    <x v="201"/>
  </r>
  <r>
    <n v="1925"/>
    <x v="1016"/>
    <x v="1245"/>
    <s v="Ms"/>
    <s v="F"/>
    <n v="60"/>
    <s v="Gonston Close"/>
    <x v="1023"/>
    <x v="35"/>
    <d v="2020-01-25T00:00:00"/>
    <x v="2"/>
    <x v="6"/>
    <n v="54"/>
    <x v="8"/>
    <x v="8"/>
    <n v="1080"/>
    <x v="712"/>
  </r>
  <r>
    <n v="1926"/>
    <x v="1474"/>
    <x v="696"/>
    <s v="Mrs"/>
    <s v="F"/>
    <n v="90"/>
    <s v="Goodenough Road"/>
    <x v="856"/>
    <x v="53"/>
    <d v="2022-06-28T00:00:00"/>
    <x v="0"/>
    <x v="2"/>
    <n v="86"/>
    <x v="3"/>
    <x v="3"/>
    <n v="2064"/>
    <x v="434"/>
  </r>
  <r>
    <n v="1927"/>
    <x v="1475"/>
    <x v="185"/>
    <s v="Mrs"/>
    <s v="F"/>
    <n v="30"/>
    <s v="Goode'S Court"/>
    <x v="416"/>
    <x v="65"/>
    <d v="2022-03-19T00:00:00"/>
    <x v="0"/>
    <x v="5"/>
    <n v="25"/>
    <x v="0"/>
    <x v="0"/>
    <n v="500"/>
    <x v="864"/>
  </r>
  <r>
    <n v="1928"/>
    <x v="492"/>
    <x v="1246"/>
    <s v="Mr"/>
    <s v="M"/>
    <n v="30"/>
    <s v="Goode'S Court"/>
    <x v="40"/>
    <x v="2"/>
    <d v="2021-08-09T00:00:00"/>
    <x v="1"/>
    <x v="3"/>
    <n v="67"/>
    <x v="1"/>
    <x v="1"/>
    <n v="1608"/>
    <x v="865"/>
  </r>
  <r>
    <n v="1929"/>
    <x v="1476"/>
    <x v="1247"/>
    <s v="Miss"/>
    <s v="F"/>
    <n v="60"/>
    <s v="Goodge Place"/>
    <x v="183"/>
    <x v="17"/>
    <d v="2022-04-23T00:00:00"/>
    <x v="0"/>
    <x v="4"/>
    <n v="68"/>
    <x v="2"/>
    <x v="2"/>
    <n v="1156"/>
    <x v="21"/>
  </r>
  <r>
    <n v="1930"/>
    <x v="1477"/>
    <x v="1248"/>
    <s v="Ms"/>
    <s v="F"/>
    <n v="30"/>
    <s v="Goodliffe Street"/>
    <x v="773"/>
    <x v="16"/>
    <d v="2021-06-09T00:00:00"/>
    <x v="1"/>
    <x v="2"/>
    <n v="50"/>
    <x v="9"/>
    <x v="9"/>
    <n v="1200"/>
    <x v="84"/>
  </r>
  <r>
    <n v="1931"/>
    <x v="1478"/>
    <x v="1099"/>
    <s v="Mrs"/>
    <s v="F"/>
    <n v="60"/>
    <s v="Goodman Crescent"/>
    <x v="313"/>
    <x v="49"/>
    <d v="2021-10-30T00:00:00"/>
    <x v="1"/>
    <x v="1"/>
    <n v="24"/>
    <x v="7"/>
    <x v="7"/>
    <n v="480"/>
    <x v="866"/>
  </r>
  <r>
    <n v="1932"/>
    <x v="1479"/>
    <x v="1249"/>
    <s v="Miss"/>
    <s v="F"/>
    <n v="30"/>
    <s v="Goodwyns Vale"/>
    <x v="515"/>
    <x v="10"/>
    <d v="2020-08-18T00:00:00"/>
    <x v="2"/>
    <x v="3"/>
    <n v="37"/>
    <x v="1"/>
    <x v="1"/>
    <n v="888"/>
    <x v="677"/>
  </r>
  <r>
    <n v="1933"/>
    <x v="1480"/>
    <x v="1250"/>
    <s v="Mrs"/>
    <s v="F"/>
    <n v="60"/>
    <s v="Goodyers Gardens"/>
    <x v="905"/>
    <x v="17"/>
    <d v="2021-11-24T00:00:00"/>
    <x v="1"/>
    <x v="7"/>
    <n v="3"/>
    <x v="4"/>
    <x v="4"/>
    <n v="54"/>
    <x v="368"/>
  </r>
  <r>
    <n v="1934"/>
    <x v="1481"/>
    <x v="243"/>
    <s v="Mrs"/>
    <s v="F"/>
    <n v="90"/>
    <s v="Gorden Grove"/>
    <x v="587"/>
    <x v="21"/>
    <d v="2020-05-09T00:00:00"/>
    <x v="2"/>
    <x v="11"/>
    <n v="67"/>
    <x v="6"/>
    <x v="6"/>
    <n v="1608"/>
    <x v="604"/>
  </r>
  <r>
    <n v="1935"/>
    <x v="699"/>
    <x v="769"/>
    <s v="Miss"/>
    <s v="F"/>
    <n v="60"/>
    <s v="Gordon Close"/>
    <x v="695"/>
    <x v="2"/>
    <d v="2021-12-07T00:00:00"/>
    <x v="1"/>
    <x v="8"/>
    <n v="57"/>
    <x v="3"/>
    <x v="3"/>
    <n v="1368"/>
    <x v="356"/>
  </r>
  <r>
    <n v="1936"/>
    <x v="1482"/>
    <x v="765"/>
    <s v="Mr"/>
    <s v="M"/>
    <n v="30"/>
    <s v="Gordon Terraces"/>
    <x v="606"/>
    <x v="16"/>
    <d v="2020-07-12T00:00:00"/>
    <x v="2"/>
    <x v="0"/>
    <n v="8"/>
    <x v="9"/>
    <x v="9"/>
    <n v="192"/>
    <x v="402"/>
  </r>
  <r>
    <n v="1937"/>
    <x v="1483"/>
    <x v="664"/>
    <s v="Mrs"/>
    <s v="F"/>
    <n v="60"/>
    <s v="Gore Terrace"/>
    <x v="411"/>
    <x v="63"/>
    <d v="2021-08-31T00:00:00"/>
    <x v="1"/>
    <x v="3"/>
    <n v="37"/>
    <x v="2"/>
    <x v="2"/>
    <n v="629"/>
    <x v="867"/>
  </r>
  <r>
    <n v="1938"/>
    <x v="1173"/>
    <x v="96"/>
    <s v="Prof"/>
    <s v="M"/>
    <n v="30"/>
    <s v="Goschen Street"/>
    <x v="410"/>
    <x v="21"/>
    <d v="2020-11-17T00:00:00"/>
    <x v="2"/>
    <x v="7"/>
    <n v="33"/>
    <x v="6"/>
    <x v="6"/>
    <n v="792"/>
    <x v="660"/>
  </r>
  <r>
    <n v="1939"/>
    <x v="1484"/>
    <x v="1251"/>
    <s v="Mrs"/>
    <s v="F"/>
    <n v="60"/>
    <s v="Goslin'S Yard"/>
    <x v="34"/>
    <x v="17"/>
    <d v="2021-02-01T00:00:00"/>
    <x v="1"/>
    <x v="10"/>
    <n v="25"/>
    <x v="8"/>
    <x v="8"/>
    <n v="500"/>
    <x v="764"/>
  </r>
  <r>
    <n v="1940"/>
    <x v="1485"/>
    <x v="1252"/>
    <s v="Mr"/>
    <s v="M"/>
    <n v="30"/>
    <s v="Gossett Street"/>
    <x v="613"/>
    <x v="2"/>
    <d v="2020-09-11T00:00:00"/>
    <x v="2"/>
    <x v="9"/>
    <n v="4"/>
    <x v="3"/>
    <x v="3"/>
    <n v="96"/>
    <x v="631"/>
  </r>
  <r>
    <n v="1941"/>
    <x v="618"/>
    <x v="35"/>
    <s v="Mr"/>
    <s v="M"/>
    <n v="60"/>
    <s v="Gothic House"/>
    <x v="10"/>
    <x v="2"/>
    <d v="2020-03-07T00:00:00"/>
    <x v="2"/>
    <x v="5"/>
    <n v="85"/>
    <x v="2"/>
    <x v="2"/>
    <n v="1445"/>
    <x v="214"/>
  </r>
  <r>
    <n v="1942"/>
    <x v="1486"/>
    <x v="172"/>
    <s v="Miss"/>
    <s v="F"/>
    <n v="60"/>
    <s v="Goulston Square"/>
    <x v="324"/>
    <x v="17"/>
    <d v="2021-07-12T00:00:00"/>
    <x v="1"/>
    <x v="0"/>
    <n v="23"/>
    <x v="2"/>
    <x v="2"/>
    <n v="391"/>
    <x v="354"/>
  </r>
  <r>
    <n v="1943"/>
    <x v="1487"/>
    <x v="702"/>
    <s v="Miss"/>
    <s v="F"/>
    <n v="60"/>
    <s v="Gourley Street"/>
    <x v="491"/>
    <x v="2"/>
    <d v="2020-07-07T00:00:00"/>
    <x v="2"/>
    <x v="0"/>
    <n v="12"/>
    <x v="0"/>
    <x v="0"/>
    <n v="240"/>
    <x v="868"/>
  </r>
  <r>
    <n v="1944"/>
    <x v="1227"/>
    <x v="1253"/>
    <s v="Mr"/>
    <s v="M"/>
    <n v="60"/>
    <s v="Goveys Place"/>
    <x v="62"/>
    <x v="2"/>
    <d v="2021-11-26T00:00:00"/>
    <x v="1"/>
    <x v="7"/>
    <n v="94"/>
    <x v="1"/>
    <x v="1"/>
    <n v="2256"/>
    <x v="153"/>
  </r>
  <r>
    <n v="1945"/>
    <x v="1488"/>
    <x v="18"/>
    <s v="Mrs"/>
    <s v="F"/>
    <n v="90"/>
    <s v="Govier Close"/>
    <x v="192"/>
    <x v="2"/>
    <d v="2021-12-01T00:00:00"/>
    <x v="1"/>
    <x v="8"/>
    <n v="74"/>
    <x v="5"/>
    <x v="5"/>
    <n v="1776"/>
    <x v="122"/>
  </r>
  <r>
    <n v="1946"/>
    <x v="282"/>
    <x v="1254"/>
    <s v="Prof"/>
    <s v="M"/>
    <n v="60"/>
    <s v="Gowan Road"/>
    <x v="1024"/>
    <x v="17"/>
    <d v="2021-07-06T00:00:00"/>
    <x v="1"/>
    <x v="0"/>
    <n v="2"/>
    <x v="0"/>
    <x v="0"/>
    <n v="40"/>
    <x v="156"/>
  </r>
  <r>
    <n v="1947"/>
    <x v="1489"/>
    <x v="1255"/>
    <s v="Miss"/>
    <s v="F"/>
    <n v="90"/>
    <s v="Graces Mews"/>
    <x v="528"/>
    <x v="21"/>
    <d v="2022-10-10T00:00:00"/>
    <x v="0"/>
    <x v="1"/>
    <n v="60"/>
    <x v="0"/>
    <x v="0"/>
    <n v="1200"/>
    <x v="378"/>
  </r>
  <r>
    <n v="1948"/>
    <x v="1490"/>
    <x v="1256"/>
    <s v="Miss"/>
    <s v="F"/>
    <n v="60"/>
    <s v="Grace'S Road"/>
    <x v="909"/>
    <x v="17"/>
    <d v="2020-01-27T00:00:00"/>
    <x v="2"/>
    <x v="6"/>
    <n v="22"/>
    <x v="6"/>
    <x v="6"/>
    <n v="528"/>
    <x v="316"/>
  </r>
  <r>
    <n v="1949"/>
    <x v="1491"/>
    <x v="408"/>
    <s v="Miss"/>
    <s v="F"/>
    <n v="60"/>
    <s v="Grafton Crescent"/>
    <x v="1018"/>
    <x v="20"/>
    <d v="2022-04-21T00:00:00"/>
    <x v="0"/>
    <x v="4"/>
    <n v="43"/>
    <x v="7"/>
    <x v="7"/>
    <n v="860"/>
    <x v="410"/>
  </r>
  <r>
    <n v="1950"/>
    <x v="509"/>
    <x v="1257"/>
    <s v="Mr"/>
    <s v="M"/>
    <n v="90"/>
    <s v="Grafton House"/>
    <x v="105"/>
    <x v="2"/>
    <d v="2021-05-12T00:00:00"/>
    <x v="1"/>
    <x v="11"/>
    <n v="78"/>
    <x v="4"/>
    <x v="4"/>
    <n v="1404"/>
    <x v="694"/>
  </r>
  <r>
    <n v="1951"/>
    <x v="1492"/>
    <x v="483"/>
    <s v="Mrs"/>
    <s v="F"/>
    <n v="60"/>
    <s v="Grainger Street"/>
    <x v="440"/>
    <x v="12"/>
    <d v="2022-12-17T00:00:00"/>
    <x v="0"/>
    <x v="8"/>
    <n v="84"/>
    <x v="2"/>
    <x v="2"/>
    <n v="1428"/>
    <x v="599"/>
  </r>
  <r>
    <n v="1952"/>
    <x v="1493"/>
    <x v="165"/>
    <s v="Miss"/>
    <s v="F"/>
    <n v="90"/>
    <s v="Granby Cottages"/>
    <x v="1025"/>
    <x v="2"/>
    <d v="2021-09-18T00:00:00"/>
    <x v="1"/>
    <x v="9"/>
    <n v="17"/>
    <x v="8"/>
    <x v="8"/>
    <n v="340"/>
    <x v="669"/>
  </r>
  <r>
    <n v="1953"/>
    <x v="987"/>
    <x v="1223"/>
    <s v="Mr"/>
    <s v="M"/>
    <n v="30"/>
    <s v="Granby Road"/>
    <x v="320"/>
    <x v="51"/>
    <d v="2021-09-25T00:00:00"/>
    <x v="1"/>
    <x v="9"/>
    <n v="62"/>
    <x v="3"/>
    <x v="3"/>
    <n v="1488"/>
    <x v="637"/>
  </r>
  <r>
    <n v="1954"/>
    <x v="183"/>
    <x v="1258"/>
    <s v="Mr"/>
    <s v="M"/>
    <n v="60"/>
    <s v="Granby Terrace"/>
    <x v="413"/>
    <x v="2"/>
    <d v="2020-11-17T00:00:00"/>
    <x v="2"/>
    <x v="7"/>
    <n v="21"/>
    <x v="0"/>
    <x v="0"/>
    <n v="420"/>
    <x v="165"/>
  </r>
  <r>
    <n v="1955"/>
    <x v="1433"/>
    <x v="1259"/>
    <s v="Mr"/>
    <s v="M"/>
    <n v="90"/>
    <s v="Grand Junction"/>
    <x v="531"/>
    <x v="63"/>
    <d v="2021-12-19T00:00:00"/>
    <x v="1"/>
    <x v="8"/>
    <n v="29"/>
    <x v="0"/>
    <x v="0"/>
    <n v="580"/>
    <x v="243"/>
  </r>
  <r>
    <n v="1956"/>
    <x v="1494"/>
    <x v="268"/>
    <s v="Mr"/>
    <s v="M"/>
    <n v="30"/>
    <s v="Granden Road"/>
    <x v="1026"/>
    <x v="2"/>
    <d v="2022-05-17T00:00:00"/>
    <x v="0"/>
    <x v="11"/>
    <n v="40"/>
    <x v="0"/>
    <x v="0"/>
    <n v="800"/>
    <x v="239"/>
  </r>
  <r>
    <n v="1957"/>
    <x v="1495"/>
    <x v="535"/>
    <s v="Mr"/>
    <s v="M"/>
    <n v="60"/>
    <s v="Grange Cottages"/>
    <x v="880"/>
    <x v="2"/>
    <d v="2022-08-26T00:00:00"/>
    <x v="0"/>
    <x v="3"/>
    <n v="75"/>
    <x v="8"/>
    <x v="8"/>
    <n v="1500"/>
    <x v="133"/>
  </r>
  <r>
    <n v="1958"/>
    <x v="109"/>
    <x v="105"/>
    <s v="Miss"/>
    <s v="F"/>
    <n v="30"/>
    <s v="Grange Grove"/>
    <x v="768"/>
    <x v="80"/>
    <d v="2022-08-08T00:00:00"/>
    <x v="0"/>
    <x v="3"/>
    <n v="51"/>
    <x v="6"/>
    <x v="6"/>
    <n v="1224"/>
    <x v="869"/>
  </r>
  <r>
    <n v="1959"/>
    <x v="19"/>
    <x v="1087"/>
    <s v="Mrs"/>
    <s v="F"/>
    <n v="30"/>
    <s v="Grange Grove"/>
    <x v="209"/>
    <x v="1"/>
    <d v="2021-09-23T00:00:00"/>
    <x v="1"/>
    <x v="9"/>
    <n v="57"/>
    <x v="2"/>
    <x v="2"/>
    <n v="969"/>
    <x v="489"/>
  </r>
  <r>
    <n v="1960"/>
    <x v="426"/>
    <x v="599"/>
    <s v="Mr"/>
    <s v="M"/>
    <n v="60"/>
    <s v="Grange Grove"/>
    <x v="561"/>
    <x v="1"/>
    <d v="2020-06-09T00:00:00"/>
    <x v="2"/>
    <x v="2"/>
    <n v="62"/>
    <x v="1"/>
    <x v="1"/>
    <n v="1488"/>
    <x v="467"/>
  </r>
  <r>
    <n v="1961"/>
    <x v="1496"/>
    <x v="1260"/>
    <s v="Miss"/>
    <s v="F"/>
    <n v="90"/>
    <s v="Grange Park"/>
    <x v="1027"/>
    <x v="0"/>
    <d v="2022-10-21T00:00:00"/>
    <x v="0"/>
    <x v="1"/>
    <n v="45"/>
    <x v="0"/>
    <x v="0"/>
    <n v="900"/>
    <x v="761"/>
  </r>
  <r>
    <n v="1962"/>
    <x v="33"/>
    <x v="234"/>
    <s v="Mr"/>
    <s v="M"/>
    <n v="30"/>
    <s v="Grange Terrace"/>
    <x v="1028"/>
    <x v="2"/>
    <d v="2022-04-07T00:00:00"/>
    <x v="0"/>
    <x v="4"/>
    <n v="84"/>
    <x v="9"/>
    <x v="9"/>
    <n v="2016"/>
    <x v="367"/>
  </r>
  <r>
    <n v="1963"/>
    <x v="1497"/>
    <x v="356"/>
    <s v="Mrs"/>
    <s v="F"/>
    <n v="90"/>
    <s v="Grange View"/>
    <x v="616"/>
    <x v="12"/>
    <d v="2022-01-03T00:00:00"/>
    <x v="0"/>
    <x v="6"/>
    <n v="72"/>
    <x v="3"/>
    <x v="3"/>
    <n v="1728"/>
    <x v="173"/>
  </r>
  <r>
    <n v="1964"/>
    <x v="1498"/>
    <x v="485"/>
    <s v="Mr"/>
    <s v="M"/>
    <n v="60"/>
    <s v="Grangehill Road"/>
    <x v="222"/>
    <x v="2"/>
    <d v="2020-02-02T00:00:00"/>
    <x v="2"/>
    <x v="10"/>
    <n v="17"/>
    <x v="7"/>
    <x v="7"/>
    <n v="340"/>
    <x v="505"/>
  </r>
  <r>
    <n v="1965"/>
    <x v="1033"/>
    <x v="410"/>
    <s v="Mr"/>
    <s v="M"/>
    <n v="90"/>
    <s v="Grangewood Terrace"/>
    <x v="919"/>
    <x v="2"/>
    <d v="2022-12-24T00:00:00"/>
    <x v="0"/>
    <x v="8"/>
    <n v="97"/>
    <x v="0"/>
    <x v="0"/>
    <n v="1940"/>
    <x v="123"/>
  </r>
  <r>
    <n v="1966"/>
    <x v="1499"/>
    <x v="475"/>
    <s v="Miss"/>
    <s v="F"/>
    <n v="30"/>
    <s v="Granley Gardens"/>
    <x v="1029"/>
    <x v="2"/>
    <d v="2021-07-11T00:00:00"/>
    <x v="1"/>
    <x v="0"/>
    <n v="22"/>
    <x v="9"/>
    <x v="9"/>
    <n v="528"/>
    <x v="625"/>
  </r>
  <r>
    <n v="1967"/>
    <x v="335"/>
    <x v="986"/>
    <s v="Mr"/>
    <s v="M"/>
    <n v="30"/>
    <s v="Grantham Place"/>
    <x v="145"/>
    <x v="2"/>
    <d v="2021-07-30T00:00:00"/>
    <x v="1"/>
    <x v="0"/>
    <n v="16"/>
    <x v="8"/>
    <x v="8"/>
    <n v="320"/>
    <x v="730"/>
  </r>
  <r>
    <n v="1968"/>
    <x v="1500"/>
    <x v="694"/>
    <s v="Miss"/>
    <s v="F"/>
    <n v="30"/>
    <s v="Grants Close"/>
    <x v="480"/>
    <x v="17"/>
    <d v="2020-09-04T00:00:00"/>
    <x v="2"/>
    <x v="9"/>
    <n v="7"/>
    <x v="3"/>
    <x v="3"/>
    <n v="168"/>
    <x v="33"/>
  </r>
  <r>
    <n v="1969"/>
    <x v="1501"/>
    <x v="1261"/>
    <s v="Mr"/>
    <s v="M"/>
    <n v="30"/>
    <s v="Grantully Road"/>
    <x v="439"/>
    <x v="18"/>
    <d v="2021-03-18T00:00:00"/>
    <x v="1"/>
    <x v="5"/>
    <n v="74"/>
    <x v="1"/>
    <x v="1"/>
    <n v="1776"/>
    <x v="360"/>
  </r>
  <r>
    <n v="1970"/>
    <x v="1490"/>
    <x v="1262"/>
    <s v="Ms"/>
    <s v="F"/>
    <n v="30"/>
    <s v="Granville Gardens"/>
    <x v="1030"/>
    <x v="2"/>
    <d v="2020-12-06T00:00:00"/>
    <x v="2"/>
    <x v="8"/>
    <n v="33"/>
    <x v="3"/>
    <x v="3"/>
    <n v="792"/>
    <x v="442"/>
  </r>
  <r>
    <n v="1971"/>
    <x v="1502"/>
    <x v="906"/>
    <s v="Mrs"/>
    <s v="F"/>
    <n v="90"/>
    <s v="Granville House"/>
    <x v="1031"/>
    <x v="12"/>
    <d v="2021-01-23T00:00:00"/>
    <x v="1"/>
    <x v="6"/>
    <n v="83"/>
    <x v="0"/>
    <x v="0"/>
    <n v="1660"/>
    <x v="784"/>
  </r>
  <r>
    <n v="1972"/>
    <x v="1503"/>
    <x v="754"/>
    <s v="Mrs"/>
    <s v="F"/>
    <n v="60"/>
    <s v="Grape Vine"/>
    <x v="1032"/>
    <x v="2"/>
    <d v="2020-01-30T00:00:00"/>
    <x v="2"/>
    <x v="6"/>
    <n v="41"/>
    <x v="0"/>
    <x v="0"/>
    <n v="820"/>
    <x v="870"/>
  </r>
  <r>
    <n v="1973"/>
    <x v="1504"/>
    <x v="1145"/>
    <s v="Miss"/>
    <s v="F"/>
    <n v="30"/>
    <s v="Graphite Square"/>
    <x v="1033"/>
    <x v="2"/>
    <d v="2022-07-22T00:00:00"/>
    <x v="0"/>
    <x v="0"/>
    <n v="2"/>
    <x v="1"/>
    <x v="1"/>
    <n v="48"/>
    <x v="318"/>
  </r>
  <r>
    <n v="1974"/>
    <x v="812"/>
    <x v="1263"/>
    <s v="Mr"/>
    <s v="M"/>
    <n v="90"/>
    <s v="Graves Place"/>
    <x v="789"/>
    <x v="2"/>
    <d v="2020-06-06T00:00:00"/>
    <x v="2"/>
    <x v="2"/>
    <n v="50"/>
    <x v="2"/>
    <x v="2"/>
    <n v="850"/>
    <x v="301"/>
  </r>
  <r>
    <n v="1975"/>
    <x v="1153"/>
    <x v="1252"/>
    <s v="Mr"/>
    <s v="M"/>
    <n v="30"/>
    <s v="Gravesend Road"/>
    <x v="117"/>
    <x v="2"/>
    <d v="2020-08-03T00:00:00"/>
    <x v="2"/>
    <x v="3"/>
    <n v="3"/>
    <x v="8"/>
    <x v="8"/>
    <n v="60"/>
    <x v="863"/>
  </r>
  <r>
    <n v="1976"/>
    <x v="1505"/>
    <x v="543"/>
    <s v="Miss"/>
    <s v="F"/>
    <n v="30"/>
    <s v="Great Arthur"/>
    <x v="1034"/>
    <x v="35"/>
    <d v="2021-01-01T00:00:00"/>
    <x v="1"/>
    <x v="6"/>
    <n v="29"/>
    <x v="0"/>
    <x v="0"/>
    <n v="580"/>
    <x v="243"/>
  </r>
  <r>
    <n v="1977"/>
    <x v="1506"/>
    <x v="1264"/>
    <s v="Mr"/>
    <s v="M"/>
    <n v="60"/>
    <s v="Great Brownings"/>
    <x v="1035"/>
    <x v="3"/>
    <d v="2022-05-01T00:00:00"/>
    <x v="0"/>
    <x v="11"/>
    <n v="71"/>
    <x v="1"/>
    <x v="1"/>
    <n v="1704"/>
    <x v="77"/>
  </r>
  <r>
    <n v="1978"/>
    <x v="1507"/>
    <x v="1265"/>
    <s v="Ms"/>
    <s v="F"/>
    <n v="30"/>
    <s v="Great Chapel"/>
    <x v="914"/>
    <x v="17"/>
    <d v="2020-11-12T00:00:00"/>
    <x v="2"/>
    <x v="7"/>
    <n v="33"/>
    <x v="2"/>
    <x v="2"/>
    <n v="561"/>
    <x v="608"/>
  </r>
  <r>
    <n v="1979"/>
    <x v="1508"/>
    <x v="267"/>
    <s v="Mr"/>
    <s v="M"/>
    <n v="30"/>
    <s v="Great Chertsey"/>
    <x v="1036"/>
    <x v="2"/>
    <d v="2022-04-06T00:00:00"/>
    <x v="0"/>
    <x v="4"/>
    <n v="96"/>
    <x v="4"/>
    <x v="4"/>
    <n v="1728"/>
    <x v="737"/>
  </r>
  <r>
    <n v="1980"/>
    <x v="1318"/>
    <x v="1266"/>
    <s v="Mrs"/>
    <s v="F"/>
    <n v="30"/>
    <s v="Great Church"/>
    <x v="503"/>
    <x v="3"/>
    <d v="2020-06-25T00:00:00"/>
    <x v="2"/>
    <x v="2"/>
    <n v="55"/>
    <x v="9"/>
    <x v="9"/>
    <n v="1320"/>
    <x v="679"/>
  </r>
  <r>
    <n v="1981"/>
    <x v="1195"/>
    <x v="1168"/>
    <s v="Mr"/>
    <s v="M"/>
    <n v="90"/>
    <s v="Great Marlboro"/>
    <x v="526"/>
    <x v="1"/>
    <d v="2020-02-25T00:00:00"/>
    <x v="2"/>
    <x v="10"/>
    <n v="3"/>
    <x v="9"/>
    <x v="9"/>
    <n v="72"/>
    <x v="234"/>
  </r>
  <r>
    <n v="1982"/>
    <x v="1509"/>
    <x v="400"/>
    <s v="Prof"/>
    <s v="F"/>
    <n v="90"/>
    <s v="Great Pearl"/>
    <x v="102"/>
    <x v="25"/>
    <d v="2020-07-18T00:00:00"/>
    <x v="2"/>
    <x v="0"/>
    <n v="22"/>
    <x v="2"/>
    <x v="2"/>
    <n v="374"/>
    <x v="871"/>
  </r>
  <r>
    <n v="1983"/>
    <x v="1510"/>
    <x v="1267"/>
    <s v="Miss"/>
    <s v="F"/>
    <n v="30"/>
    <s v="Great Rider"/>
    <x v="21"/>
    <x v="2"/>
    <d v="2022-06-27T00:00:00"/>
    <x v="0"/>
    <x v="2"/>
    <n v="50"/>
    <x v="3"/>
    <x v="3"/>
    <n v="1200"/>
    <x v="11"/>
  </r>
  <r>
    <n v="1984"/>
    <x v="1448"/>
    <x v="1198"/>
    <s v="Miss"/>
    <s v="F"/>
    <n v="90"/>
    <s v="Great Sanctuary"/>
    <x v="268"/>
    <x v="21"/>
    <d v="2020-04-03T00:00:00"/>
    <x v="2"/>
    <x v="4"/>
    <n v="17"/>
    <x v="9"/>
    <x v="9"/>
    <n v="408"/>
    <x v="473"/>
  </r>
  <r>
    <n v="1985"/>
    <x v="1511"/>
    <x v="236"/>
    <s v="Mr"/>
    <s v="M"/>
    <n v="30"/>
    <s v="Great Strand"/>
    <x v="1037"/>
    <x v="17"/>
    <d v="2022-09-27T00:00:00"/>
    <x v="0"/>
    <x v="9"/>
    <n v="17"/>
    <x v="3"/>
    <x v="3"/>
    <n v="408"/>
    <x v="506"/>
  </r>
  <r>
    <n v="1986"/>
    <x v="787"/>
    <x v="1268"/>
    <s v="Miss"/>
    <s v="F"/>
    <n v="90"/>
    <s v="Great Warner"/>
    <x v="1038"/>
    <x v="2"/>
    <d v="2020-03-27T00:00:00"/>
    <x v="2"/>
    <x v="5"/>
    <n v="15"/>
    <x v="3"/>
    <x v="3"/>
    <n v="360"/>
    <x v="532"/>
  </r>
  <r>
    <n v="1987"/>
    <x v="654"/>
    <x v="1269"/>
    <s v="Mr"/>
    <s v="M"/>
    <n v="60"/>
    <s v="Great York"/>
    <x v="479"/>
    <x v="11"/>
    <d v="2021-11-01T00:00:00"/>
    <x v="1"/>
    <x v="7"/>
    <n v="62"/>
    <x v="7"/>
    <x v="7"/>
    <n v="1240"/>
    <x v="776"/>
  </r>
  <r>
    <n v="1988"/>
    <x v="1512"/>
    <x v="1270"/>
    <s v="Mr"/>
    <s v="M"/>
    <n v="30"/>
    <s v="Greatdown Road"/>
    <x v="563"/>
    <x v="3"/>
    <d v="2020-07-08T00:00:00"/>
    <x v="2"/>
    <x v="0"/>
    <n v="69"/>
    <x v="6"/>
    <x v="6"/>
    <n v="1656"/>
    <x v="476"/>
  </r>
  <r>
    <n v="1989"/>
    <x v="1513"/>
    <x v="1271"/>
    <s v="Miss"/>
    <s v="F"/>
    <n v="90"/>
    <s v="Greatfield Avenue"/>
    <x v="216"/>
    <x v="17"/>
    <d v="2022-11-03T00:00:00"/>
    <x v="0"/>
    <x v="7"/>
    <n v="2"/>
    <x v="9"/>
    <x v="9"/>
    <n v="48"/>
    <x v="872"/>
  </r>
  <r>
    <n v="1990"/>
    <x v="1514"/>
    <x v="1272"/>
    <s v="Miss"/>
    <s v="F"/>
    <n v="60"/>
    <s v="Greaves Place"/>
    <x v="502"/>
    <x v="1"/>
    <d v="2021-08-02T00:00:00"/>
    <x v="1"/>
    <x v="3"/>
    <n v="91"/>
    <x v="7"/>
    <x v="7"/>
    <n v="1820"/>
    <x v="151"/>
  </r>
  <r>
    <n v="1991"/>
    <x v="26"/>
    <x v="783"/>
    <s v="Mr"/>
    <s v="M"/>
    <n v="90"/>
    <s v="Grebe Close"/>
    <x v="213"/>
    <x v="8"/>
    <d v="2021-02-22T00:00:00"/>
    <x v="1"/>
    <x v="10"/>
    <n v="53"/>
    <x v="2"/>
    <x v="2"/>
    <n v="901"/>
    <x v="460"/>
  </r>
  <r>
    <n v="1992"/>
    <x v="1515"/>
    <x v="1273"/>
    <s v="Rev"/>
    <s v="M"/>
    <n v="30"/>
    <s v="Greeg'S Street"/>
    <x v="1039"/>
    <x v="15"/>
    <d v="2020-06-12T00:00:00"/>
    <x v="2"/>
    <x v="2"/>
    <n v="42"/>
    <x v="1"/>
    <x v="1"/>
    <n v="1008"/>
    <x v="185"/>
  </r>
  <r>
    <n v="1993"/>
    <x v="1516"/>
    <x v="1033"/>
    <s v="Ms"/>
    <s v="F"/>
    <n v="60"/>
    <s v="Green Avenue"/>
    <x v="1040"/>
    <x v="2"/>
    <d v="2020-10-09T00:00:00"/>
    <x v="2"/>
    <x v="1"/>
    <n v="6"/>
    <x v="9"/>
    <x v="9"/>
    <n v="144"/>
    <x v="553"/>
  </r>
  <r>
    <n v="1994"/>
    <x v="1517"/>
    <x v="439"/>
    <s v="Miss"/>
    <s v="F"/>
    <n v="30"/>
    <s v="Green Close"/>
    <x v="46"/>
    <x v="20"/>
    <d v="2020-02-25T00:00:00"/>
    <x v="2"/>
    <x v="10"/>
    <n v="79"/>
    <x v="2"/>
    <x v="2"/>
    <n v="1343"/>
    <x v="699"/>
  </r>
  <r>
    <n v="1995"/>
    <x v="1518"/>
    <x v="1274"/>
    <s v="Mr"/>
    <s v="M"/>
    <n v="30"/>
    <s v="Green Lanes"/>
    <x v="718"/>
    <x v="76"/>
    <d v="2022-09-13T00:00:00"/>
    <x v="0"/>
    <x v="9"/>
    <n v="71"/>
    <x v="1"/>
    <x v="1"/>
    <n v="1704"/>
    <x v="77"/>
  </r>
  <r>
    <n v="1996"/>
    <x v="25"/>
    <x v="430"/>
    <s v="Mrs"/>
    <s v="F"/>
    <n v="30"/>
    <s v="Green Yard"/>
    <x v="945"/>
    <x v="9"/>
    <d v="2020-12-17T00:00:00"/>
    <x v="2"/>
    <x v="8"/>
    <n v="25"/>
    <x v="5"/>
    <x v="5"/>
    <n v="600"/>
    <x v="724"/>
  </r>
  <r>
    <n v="1997"/>
    <x v="1374"/>
    <x v="824"/>
    <s v="Mrs"/>
    <s v="F"/>
    <n v="60"/>
    <s v="Greenacre Gardens"/>
    <x v="92"/>
    <x v="2"/>
    <d v="2021-06-28T00:00:00"/>
    <x v="1"/>
    <x v="2"/>
    <n v="59"/>
    <x v="8"/>
    <x v="8"/>
    <n v="1180"/>
    <x v="873"/>
  </r>
  <r>
    <n v="1998"/>
    <x v="1519"/>
    <x v="338"/>
    <s v="Mr"/>
    <s v="M"/>
    <n v="90"/>
    <s v="Greenacre Square"/>
    <x v="479"/>
    <x v="11"/>
    <d v="2021-01-15T00:00:00"/>
    <x v="1"/>
    <x v="6"/>
    <n v="93"/>
    <x v="5"/>
    <x v="5"/>
    <n v="2232"/>
    <x v="874"/>
  </r>
  <r>
    <n v="1999"/>
    <x v="1520"/>
    <x v="914"/>
    <s v="Mr"/>
    <s v="M"/>
    <n v="60"/>
    <s v="Greenhill"/>
    <x v="481"/>
    <x v="2"/>
    <d v="2020-07-07T00:00:00"/>
    <x v="2"/>
    <x v="0"/>
    <n v="46"/>
    <x v="2"/>
    <x v="2"/>
    <n v="782"/>
    <x v="38"/>
  </r>
  <r>
    <n v="2000"/>
    <x v="667"/>
    <x v="860"/>
    <s v="Mr"/>
    <s v="M"/>
    <n v="90"/>
    <s v="Greenmans Lane"/>
    <x v="222"/>
    <x v="2"/>
    <d v="2022-06-28T00:00:00"/>
    <x v="0"/>
    <x v="2"/>
    <n v="81"/>
    <x v="5"/>
    <x v="5"/>
    <n v="1944"/>
    <x v="799"/>
  </r>
  <r>
    <n v="2001"/>
    <x v="1521"/>
    <x v="1275"/>
    <s v="Miss"/>
    <s v="F"/>
    <n v="90"/>
    <s v="Greenoak Way"/>
    <x v="937"/>
    <x v="2"/>
    <d v="2021-06-08T00:00:00"/>
    <x v="1"/>
    <x v="2"/>
    <n v="69"/>
    <x v="2"/>
    <x v="2"/>
    <n v="1173"/>
    <x v="875"/>
  </r>
  <r>
    <n v="2002"/>
    <x v="1522"/>
    <x v="132"/>
    <s v="Mr"/>
    <s v="M"/>
    <n v="90"/>
    <s v="Green'S Alley"/>
    <x v="679"/>
    <x v="44"/>
    <d v="2021-01-16T00:00:00"/>
    <x v="1"/>
    <x v="6"/>
    <n v="34"/>
    <x v="5"/>
    <x v="5"/>
    <n v="816"/>
    <x v="692"/>
  </r>
  <r>
    <n v="2003"/>
    <x v="1523"/>
    <x v="1276"/>
    <s v="Mr"/>
    <s v="M"/>
    <n v="60"/>
    <s v="Greens Court"/>
    <x v="489"/>
    <x v="69"/>
    <d v="2022-07-01T00:00:00"/>
    <x v="0"/>
    <x v="0"/>
    <n v="21"/>
    <x v="0"/>
    <x v="0"/>
    <n v="420"/>
    <x v="165"/>
  </r>
  <r>
    <n v="2004"/>
    <x v="853"/>
    <x v="753"/>
    <s v="Miss"/>
    <s v="F"/>
    <n v="90"/>
    <s v="Greenshield Industrial"/>
    <x v="1041"/>
    <x v="2"/>
    <d v="2022-03-16T00:00:00"/>
    <x v="0"/>
    <x v="5"/>
    <n v="22"/>
    <x v="3"/>
    <x v="3"/>
    <n v="528"/>
    <x v="310"/>
  </r>
  <r>
    <n v="2005"/>
    <x v="136"/>
    <x v="104"/>
    <s v="Mr"/>
    <s v="M"/>
    <n v="30"/>
    <s v="Greenside Close"/>
    <x v="487"/>
    <x v="2"/>
    <d v="2020-01-19T00:00:00"/>
    <x v="2"/>
    <x v="6"/>
    <n v="11"/>
    <x v="9"/>
    <x v="9"/>
    <n v="264"/>
    <x v="376"/>
  </r>
  <r>
    <n v="2006"/>
    <x v="1524"/>
    <x v="750"/>
    <s v="Mrs"/>
    <s v="F"/>
    <n v="60"/>
    <s v="Greenway"/>
    <x v="59"/>
    <x v="22"/>
    <d v="2021-08-20T00:00:00"/>
    <x v="1"/>
    <x v="3"/>
    <n v="77"/>
    <x v="7"/>
    <x v="7"/>
    <n v="1540"/>
    <x v="9"/>
  </r>
  <r>
    <n v="2007"/>
    <x v="702"/>
    <x v="878"/>
    <s v="Miss"/>
    <s v="F"/>
    <n v="30"/>
    <s v="Greenwell Street"/>
    <x v="1042"/>
    <x v="1"/>
    <d v="2021-09-23T00:00:00"/>
    <x v="1"/>
    <x v="9"/>
    <n v="52"/>
    <x v="6"/>
    <x v="6"/>
    <n v="1248"/>
    <x v="119"/>
  </r>
  <r>
    <n v="2008"/>
    <x v="1220"/>
    <x v="1277"/>
    <s v="Mrs"/>
    <s v="F"/>
    <n v="60"/>
    <s v="Greenwich Park"/>
    <x v="1043"/>
    <x v="17"/>
    <d v="2021-02-02T00:00:00"/>
    <x v="1"/>
    <x v="10"/>
    <n v="25"/>
    <x v="0"/>
    <x v="0"/>
    <n v="500"/>
    <x v="864"/>
  </r>
  <r>
    <n v="2009"/>
    <x v="1525"/>
    <x v="1278"/>
    <s v="Mr"/>
    <s v="M"/>
    <n v="30"/>
    <s v="Greenwich Street"/>
    <x v="1044"/>
    <x v="21"/>
    <d v="2021-07-27T00:00:00"/>
    <x v="1"/>
    <x v="0"/>
    <n v="57"/>
    <x v="9"/>
    <x v="9"/>
    <n v="1368"/>
    <x v="313"/>
  </r>
  <r>
    <n v="2010"/>
    <x v="1526"/>
    <x v="882"/>
    <s v="Miss"/>
    <s v="F"/>
    <n v="60"/>
    <s v="Greenwood Road"/>
    <x v="442"/>
    <x v="67"/>
    <d v="2021-09-07T00:00:00"/>
    <x v="1"/>
    <x v="9"/>
    <n v="88"/>
    <x v="0"/>
    <x v="0"/>
    <n v="1760"/>
    <x v="170"/>
  </r>
  <r>
    <n v="2011"/>
    <x v="1527"/>
    <x v="1153"/>
    <s v="Mrs"/>
    <s v="F"/>
    <n v="30"/>
    <s v="Greig Terrace"/>
    <x v="1045"/>
    <x v="17"/>
    <d v="2022-12-28T00:00:00"/>
    <x v="0"/>
    <x v="8"/>
    <n v="90"/>
    <x v="6"/>
    <x v="6"/>
    <n v="2160"/>
    <x v="876"/>
  </r>
  <r>
    <n v="2012"/>
    <x v="776"/>
    <x v="799"/>
    <s v="Mr"/>
    <s v="M"/>
    <n v="90"/>
    <s v="Grenada Road"/>
    <x v="730"/>
    <x v="9"/>
    <d v="2022-09-27T00:00:00"/>
    <x v="0"/>
    <x v="9"/>
    <n v="44"/>
    <x v="6"/>
    <x v="6"/>
    <n v="1056"/>
    <x v="422"/>
  </r>
  <r>
    <n v="2013"/>
    <x v="1528"/>
    <x v="1269"/>
    <s v="Mr"/>
    <s v="M"/>
    <n v="90"/>
    <s v="Grenada Terrace"/>
    <x v="726"/>
    <x v="1"/>
    <d v="2020-07-18T00:00:00"/>
    <x v="2"/>
    <x v="0"/>
    <n v="13"/>
    <x v="2"/>
    <x v="2"/>
    <n v="221"/>
    <x v="877"/>
  </r>
  <r>
    <n v="2014"/>
    <x v="551"/>
    <x v="1279"/>
    <s v="Mr"/>
    <s v="M"/>
    <n v="60"/>
    <s v="Grenade Street"/>
    <x v="1046"/>
    <x v="2"/>
    <d v="2020-03-02T00:00:00"/>
    <x v="2"/>
    <x v="5"/>
    <n v="66"/>
    <x v="5"/>
    <x v="5"/>
    <n v="1584"/>
    <x v="648"/>
  </r>
  <r>
    <n v="2015"/>
    <x v="1529"/>
    <x v="1085"/>
    <s v="Miss"/>
    <s v="F"/>
    <n v="30"/>
    <s v="Grenville Place"/>
    <x v="1038"/>
    <x v="2"/>
    <d v="2022-05-04T00:00:00"/>
    <x v="0"/>
    <x v="11"/>
    <n v="75"/>
    <x v="1"/>
    <x v="1"/>
    <n v="1800"/>
    <x v="2"/>
  </r>
  <r>
    <n v="2016"/>
    <x v="536"/>
    <x v="1280"/>
    <s v="Mr"/>
    <s v="M"/>
    <n v="90"/>
    <s v="Gresham Street"/>
    <x v="309"/>
    <x v="2"/>
    <d v="2021-07-11T00:00:00"/>
    <x v="1"/>
    <x v="0"/>
    <n v="95"/>
    <x v="5"/>
    <x v="5"/>
    <n v="2280"/>
    <x v="217"/>
  </r>
  <r>
    <n v="2017"/>
    <x v="1103"/>
    <x v="1281"/>
    <s v="Mr"/>
    <s v="M"/>
    <n v="60"/>
    <s v="Greys Place"/>
    <x v="1047"/>
    <x v="8"/>
    <d v="2022-06-28T00:00:00"/>
    <x v="0"/>
    <x v="2"/>
    <n v="46"/>
    <x v="7"/>
    <x v="7"/>
    <n v="920"/>
    <x v="681"/>
  </r>
  <r>
    <n v="2018"/>
    <x v="1530"/>
    <x v="372"/>
    <s v="Mr"/>
    <s v="M"/>
    <n v="60"/>
    <s v="Greystead Road"/>
    <x v="603"/>
    <x v="2"/>
    <d v="2020-07-25T00:00:00"/>
    <x v="2"/>
    <x v="0"/>
    <n v="44"/>
    <x v="2"/>
    <x v="2"/>
    <n v="748"/>
    <x v="696"/>
  </r>
  <r>
    <n v="2019"/>
    <x v="1531"/>
    <x v="597"/>
    <s v="Miss"/>
    <s v="F"/>
    <n v="90"/>
    <s v="Greystone Passage"/>
    <x v="153"/>
    <x v="29"/>
    <d v="2020-09-05T00:00:00"/>
    <x v="2"/>
    <x v="9"/>
    <n v="72"/>
    <x v="6"/>
    <x v="6"/>
    <n v="1728"/>
    <x v="249"/>
  </r>
  <r>
    <n v="2020"/>
    <x v="1532"/>
    <x v="1282"/>
    <s v="Mrs"/>
    <s v="F"/>
    <n v="90"/>
    <s v="Grilse Close"/>
    <x v="130"/>
    <x v="2"/>
    <d v="2022-05-11T00:00:00"/>
    <x v="0"/>
    <x v="11"/>
    <n v="81"/>
    <x v="9"/>
    <x v="9"/>
    <n v="1944"/>
    <x v="836"/>
  </r>
  <r>
    <n v="2021"/>
    <x v="1454"/>
    <x v="57"/>
    <s v="Mr"/>
    <s v="M"/>
    <n v="90"/>
    <s v="Grindal Street"/>
    <x v="401"/>
    <x v="2"/>
    <d v="2021-06-06T00:00:00"/>
    <x v="1"/>
    <x v="2"/>
    <n v="28"/>
    <x v="3"/>
    <x v="3"/>
    <n v="672"/>
    <x v="800"/>
  </r>
  <r>
    <n v="2022"/>
    <x v="43"/>
    <x v="507"/>
    <s v="Mr"/>
    <s v="M"/>
    <n v="30"/>
    <s v="Grocers Hall"/>
    <x v="555"/>
    <x v="28"/>
    <d v="2021-03-02T00:00:00"/>
    <x v="1"/>
    <x v="5"/>
    <n v="24"/>
    <x v="8"/>
    <x v="8"/>
    <n v="480"/>
    <x v="190"/>
  </r>
  <r>
    <n v="2023"/>
    <x v="1533"/>
    <x v="114"/>
    <s v="Ms"/>
    <s v="F"/>
    <n v="60"/>
    <s v="Groomfield Close"/>
    <x v="1048"/>
    <x v="11"/>
    <d v="2020-11-08T00:00:00"/>
    <x v="2"/>
    <x v="7"/>
    <n v="20"/>
    <x v="3"/>
    <x v="3"/>
    <n v="480"/>
    <x v="847"/>
  </r>
  <r>
    <n v="2024"/>
    <x v="1534"/>
    <x v="1283"/>
    <s v="Mr"/>
    <s v="M"/>
    <n v="90"/>
    <s v="Grosse Way"/>
    <x v="1049"/>
    <x v="16"/>
    <d v="2021-03-05T00:00:00"/>
    <x v="1"/>
    <x v="5"/>
    <n v="12"/>
    <x v="8"/>
    <x v="8"/>
    <n v="240"/>
    <x v="220"/>
  </r>
  <r>
    <n v="2025"/>
    <x v="1535"/>
    <x v="656"/>
    <s v="Mrs"/>
    <s v="F"/>
    <n v="30"/>
    <s v="Grosvenor Hill"/>
    <x v="181"/>
    <x v="11"/>
    <d v="2020-01-02T00:00:00"/>
    <x v="2"/>
    <x v="6"/>
    <n v="12"/>
    <x v="8"/>
    <x v="8"/>
    <n v="240"/>
    <x v="220"/>
  </r>
  <r>
    <n v="2026"/>
    <x v="569"/>
    <x v="538"/>
    <s v="Mr"/>
    <s v="M"/>
    <n v="90"/>
    <s v="Grosvenor House"/>
    <x v="660"/>
    <x v="2"/>
    <d v="2021-10-19T00:00:00"/>
    <x v="1"/>
    <x v="1"/>
    <n v="30"/>
    <x v="5"/>
    <x v="5"/>
    <n v="720"/>
    <x v="231"/>
  </r>
  <r>
    <n v="2027"/>
    <x v="1536"/>
    <x v="1284"/>
    <s v="Mr"/>
    <s v="M"/>
    <n v="90"/>
    <s v="Grosvenor Park"/>
    <x v="1050"/>
    <x v="2"/>
    <d v="2022-06-21T00:00:00"/>
    <x v="0"/>
    <x v="2"/>
    <n v="65"/>
    <x v="1"/>
    <x v="1"/>
    <n v="1560"/>
    <x v="455"/>
  </r>
  <r>
    <n v="2028"/>
    <x v="1537"/>
    <x v="422"/>
    <s v="Miss"/>
    <s v="F"/>
    <n v="90"/>
    <s v="Grosvenor Terrace"/>
    <x v="298"/>
    <x v="12"/>
    <d v="2021-12-18T00:00:00"/>
    <x v="1"/>
    <x v="8"/>
    <n v="78"/>
    <x v="9"/>
    <x v="9"/>
    <n v="1872"/>
    <x v="353"/>
  </r>
  <r>
    <n v="2029"/>
    <x v="1301"/>
    <x v="906"/>
    <s v="Mr"/>
    <s v="M"/>
    <n v="60"/>
    <s v="Grosvenor Way"/>
    <x v="490"/>
    <x v="2"/>
    <d v="2021-04-18T00:00:00"/>
    <x v="1"/>
    <x v="4"/>
    <n v="25"/>
    <x v="6"/>
    <x v="6"/>
    <n v="600"/>
    <x v="130"/>
  </r>
  <r>
    <n v="2030"/>
    <x v="1538"/>
    <x v="610"/>
    <s v="Ms"/>
    <s v="F"/>
    <n v="30"/>
    <s v="Ground Street"/>
    <x v="287"/>
    <x v="2"/>
    <d v="2022-05-29T00:00:00"/>
    <x v="0"/>
    <x v="11"/>
    <n v="50"/>
    <x v="4"/>
    <x v="4"/>
    <n v="900"/>
    <x v="157"/>
  </r>
  <r>
    <n v="2031"/>
    <x v="103"/>
    <x v="1285"/>
    <s v="Miss"/>
    <s v="F"/>
    <n v="60"/>
    <s v="Grove Crescent"/>
    <x v="137"/>
    <x v="17"/>
    <d v="2020-05-03T00:00:00"/>
    <x v="2"/>
    <x v="11"/>
    <n v="18"/>
    <x v="0"/>
    <x v="0"/>
    <n v="360"/>
    <x v="18"/>
  </r>
  <r>
    <n v="2032"/>
    <x v="1539"/>
    <x v="1286"/>
    <s v="Mr"/>
    <s v="M"/>
    <n v="90"/>
    <s v="Grove Crescent"/>
    <x v="268"/>
    <x v="21"/>
    <d v="2020-10-17T00:00:00"/>
    <x v="2"/>
    <x v="1"/>
    <n v="44"/>
    <x v="6"/>
    <x v="6"/>
    <n v="1056"/>
    <x v="422"/>
  </r>
  <r>
    <n v="2033"/>
    <x v="1540"/>
    <x v="150"/>
    <s v="Mrs"/>
    <s v="F"/>
    <n v="30"/>
    <s v="Grove Hall"/>
    <x v="777"/>
    <x v="1"/>
    <d v="2022-04-29T00:00:00"/>
    <x v="0"/>
    <x v="4"/>
    <n v="11"/>
    <x v="1"/>
    <x v="1"/>
    <n v="264"/>
    <x v="54"/>
  </r>
  <r>
    <n v="2034"/>
    <x v="1541"/>
    <x v="1257"/>
    <s v="Miss"/>
    <s v="F"/>
    <n v="30"/>
    <s v="Grove House"/>
    <x v="770"/>
    <x v="81"/>
    <d v="2020-11-25T00:00:00"/>
    <x v="2"/>
    <x v="7"/>
    <n v="31"/>
    <x v="5"/>
    <x v="5"/>
    <n v="744"/>
    <x v="781"/>
  </r>
  <r>
    <n v="2035"/>
    <x v="708"/>
    <x v="524"/>
    <s v="Mr"/>
    <s v="M"/>
    <n v="30"/>
    <s v="Grove Passage"/>
    <x v="154"/>
    <x v="2"/>
    <d v="2020-08-26T00:00:00"/>
    <x v="2"/>
    <x v="3"/>
    <n v="57"/>
    <x v="5"/>
    <x v="5"/>
    <n v="1368"/>
    <x v="462"/>
  </r>
  <r>
    <n v="2036"/>
    <x v="144"/>
    <x v="995"/>
    <s v="Mrs"/>
    <s v="F"/>
    <n v="30"/>
    <s v="Grovehall Terrace"/>
    <x v="250"/>
    <x v="42"/>
    <d v="2021-08-01T00:00:00"/>
    <x v="1"/>
    <x v="3"/>
    <n v="16"/>
    <x v="1"/>
    <x v="1"/>
    <n v="384"/>
    <x v="441"/>
  </r>
  <r>
    <n v="2037"/>
    <x v="1542"/>
    <x v="526"/>
    <s v="Mr"/>
    <s v="M"/>
    <n v="90"/>
    <s v="Grovesnor Street"/>
    <x v="404"/>
    <x v="21"/>
    <d v="2021-04-20T00:00:00"/>
    <x v="1"/>
    <x v="4"/>
    <n v="79"/>
    <x v="7"/>
    <x v="7"/>
    <n v="1580"/>
    <x v="822"/>
  </r>
  <r>
    <n v="2038"/>
    <x v="1543"/>
    <x v="1147"/>
    <s v="Mrs"/>
    <s v="F"/>
    <n v="30"/>
    <s v="Gruens Terrace"/>
    <x v="79"/>
    <x v="21"/>
    <d v="2021-01-22T00:00:00"/>
    <x v="1"/>
    <x v="6"/>
    <n v="60"/>
    <x v="9"/>
    <x v="9"/>
    <n v="1440"/>
    <x v="101"/>
  </r>
  <r>
    <n v="2039"/>
    <x v="635"/>
    <x v="769"/>
    <s v="Mr"/>
    <s v="M"/>
    <n v="60"/>
    <s v="Guerin Square"/>
    <x v="339"/>
    <x v="2"/>
    <d v="2020-08-28T00:00:00"/>
    <x v="2"/>
    <x v="3"/>
    <n v="53"/>
    <x v="6"/>
    <x v="6"/>
    <n v="1272"/>
    <x v="841"/>
  </r>
  <r>
    <n v="2040"/>
    <x v="500"/>
    <x v="1042"/>
    <s v="Mr"/>
    <s v="M"/>
    <n v="30"/>
    <s v="Guernsey Grove"/>
    <x v="1051"/>
    <x v="46"/>
    <d v="2020-11-27T00:00:00"/>
    <x v="2"/>
    <x v="7"/>
    <n v="68"/>
    <x v="6"/>
    <x v="6"/>
    <n v="1632"/>
    <x v="778"/>
  </r>
  <r>
    <n v="2041"/>
    <x v="962"/>
    <x v="992"/>
    <s v="Mr"/>
    <s v="M"/>
    <n v="60"/>
    <s v="Guernsey Grove"/>
    <x v="670"/>
    <x v="10"/>
    <d v="2020-10-02T00:00:00"/>
    <x v="2"/>
    <x v="1"/>
    <n v="41"/>
    <x v="5"/>
    <x v="5"/>
    <n v="984"/>
    <x v="878"/>
  </r>
  <r>
    <n v="2042"/>
    <x v="1497"/>
    <x v="301"/>
    <s v="Mrs"/>
    <s v="F"/>
    <n v="60"/>
    <s v="Guild Road"/>
    <x v="236"/>
    <x v="3"/>
    <d v="2020-11-08T00:00:00"/>
    <x v="2"/>
    <x v="7"/>
    <n v="2"/>
    <x v="4"/>
    <x v="4"/>
    <n v="36"/>
    <x v="541"/>
  </r>
  <r>
    <n v="2043"/>
    <x v="698"/>
    <x v="734"/>
    <s v="Mr"/>
    <s v="M"/>
    <n v="30"/>
    <s v="Guildford Cottages"/>
    <x v="1052"/>
    <x v="2"/>
    <d v="2022-01-18T00:00:00"/>
    <x v="0"/>
    <x v="6"/>
    <n v="24"/>
    <x v="3"/>
    <x v="3"/>
    <n v="576"/>
    <x v="215"/>
  </r>
  <r>
    <n v="2044"/>
    <x v="1544"/>
    <x v="226"/>
    <s v="Miss"/>
    <s v="F"/>
    <n v="90"/>
    <s v="Guildford Grove"/>
    <x v="896"/>
    <x v="2"/>
    <d v="2022-02-19T00:00:00"/>
    <x v="0"/>
    <x v="10"/>
    <n v="43"/>
    <x v="3"/>
    <x v="3"/>
    <n v="1032"/>
    <x v="722"/>
  </r>
  <r>
    <n v="2045"/>
    <x v="1545"/>
    <x v="25"/>
    <s v="Mr"/>
    <s v="M"/>
    <n v="60"/>
    <s v="Guinness Square"/>
    <x v="184"/>
    <x v="11"/>
    <d v="2021-06-01T00:00:00"/>
    <x v="1"/>
    <x v="2"/>
    <n v="70"/>
    <x v="9"/>
    <x v="9"/>
    <n v="1680"/>
    <x v="556"/>
  </r>
  <r>
    <n v="2046"/>
    <x v="1546"/>
    <x v="1287"/>
    <s v="Mr"/>
    <s v="M"/>
    <n v="30"/>
    <s v="Gulston Walk"/>
    <x v="472"/>
    <x v="40"/>
    <d v="2020-10-08T00:00:00"/>
    <x v="2"/>
    <x v="1"/>
    <n v="19"/>
    <x v="5"/>
    <x v="5"/>
    <n v="456"/>
    <x v="268"/>
  </r>
  <r>
    <n v="2047"/>
    <x v="1158"/>
    <x v="1288"/>
    <s v="Mr"/>
    <s v="M"/>
    <n v="30"/>
    <s v="Gulston Walk"/>
    <x v="450"/>
    <x v="2"/>
    <d v="2021-04-21T00:00:00"/>
    <x v="1"/>
    <x v="4"/>
    <n v="87"/>
    <x v="8"/>
    <x v="8"/>
    <n v="1740"/>
    <x v="324"/>
  </r>
  <r>
    <n v="2048"/>
    <x v="1547"/>
    <x v="948"/>
    <s v="Mr"/>
    <s v="M"/>
    <n v="30"/>
    <s v="Gunnersbury Close"/>
    <x v="830"/>
    <x v="11"/>
    <d v="2022-07-13T00:00:00"/>
    <x v="0"/>
    <x v="0"/>
    <n v="48"/>
    <x v="0"/>
    <x v="0"/>
    <n v="960"/>
    <x v="411"/>
  </r>
  <r>
    <n v="2049"/>
    <x v="846"/>
    <x v="1054"/>
    <s v="Mr"/>
    <s v="M"/>
    <n v="60"/>
    <s v="Gunnersbury Close"/>
    <x v="311"/>
    <x v="2"/>
    <d v="2021-01-05T00:00:00"/>
    <x v="1"/>
    <x v="6"/>
    <n v="40"/>
    <x v="5"/>
    <x v="5"/>
    <n v="960"/>
    <x v="582"/>
  </r>
  <r>
    <n v="2050"/>
    <x v="589"/>
    <x v="189"/>
    <s v="Mr"/>
    <s v="M"/>
    <n v="90"/>
    <s v="Gunnersbury Drive"/>
    <x v="201"/>
    <x v="2"/>
    <d v="2020-01-28T00:00:00"/>
    <x v="2"/>
    <x v="6"/>
    <n v="33"/>
    <x v="7"/>
    <x v="7"/>
    <n v="660"/>
    <x v="242"/>
  </r>
  <r>
    <n v="2051"/>
    <x v="931"/>
    <x v="1289"/>
    <s v="Miss"/>
    <s v="F"/>
    <n v="30"/>
    <s v="Gunnersbury Lane"/>
    <x v="1053"/>
    <x v="21"/>
    <d v="2020-09-13T00:00:00"/>
    <x v="2"/>
    <x v="9"/>
    <n v="33"/>
    <x v="4"/>
    <x v="4"/>
    <n v="594"/>
    <x v="469"/>
  </r>
  <r>
    <n v="2052"/>
    <x v="1548"/>
    <x v="198"/>
    <s v="Ms"/>
    <s v="F"/>
    <n v="60"/>
    <s v="Gunstor Road"/>
    <x v="78"/>
    <x v="2"/>
    <d v="2020-02-08T00:00:00"/>
    <x v="2"/>
    <x v="10"/>
    <n v="72"/>
    <x v="5"/>
    <x v="5"/>
    <n v="1728"/>
    <x v="554"/>
  </r>
  <r>
    <n v="2053"/>
    <x v="1549"/>
    <x v="620"/>
    <s v="Mr"/>
    <s v="M"/>
    <n v="90"/>
    <s v="Gurney Drive"/>
    <x v="838"/>
    <x v="65"/>
    <d v="2021-02-07T00:00:00"/>
    <x v="1"/>
    <x v="10"/>
    <n v="4"/>
    <x v="6"/>
    <x v="6"/>
    <n v="96"/>
    <x v="879"/>
  </r>
  <r>
    <n v="2054"/>
    <x v="1550"/>
    <x v="837"/>
    <s v="Mrs"/>
    <s v="F"/>
    <n v="60"/>
    <s v="Gutter Buildings"/>
    <x v="914"/>
    <x v="17"/>
    <d v="2020-06-19T00:00:00"/>
    <x v="2"/>
    <x v="2"/>
    <n v="17"/>
    <x v="4"/>
    <x v="4"/>
    <n v="306"/>
    <x v="567"/>
  </r>
  <r>
    <n v="2055"/>
    <x v="1551"/>
    <x v="1099"/>
    <s v="Miss"/>
    <s v="F"/>
    <n v="30"/>
    <s v="Guy Court"/>
    <x v="1054"/>
    <x v="21"/>
    <d v="2021-07-08T00:00:00"/>
    <x v="1"/>
    <x v="0"/>
    <n v="93"/>
    <x v="6"/>
    <x v="6"/>
    <n v="2232"/>
    <x v="93"/>
  </r>
  <r>
    <n v="2056"/>
    <x v="1552"/>
    <x v="1012"/>
    <s v="Miss"/>
    <s v="F"/>
    <n v="30"/>
    <s v="Guy Of"/>
    <x v="487"/>
    <x v="2"/>
    <d v="2020-03-01T00:00:00"/>
    <x v="2"/>
    <x v="5"/>
    <n v="44"/>
    <x v="3"/>
    <x v="3"/>
    <n v="1056"/>
    <x v="253"/>
  </r>
  <r>
    <n v="2057"/>
    <x v="655"/>
    <x v="611"/>
    <s v="Dr"/>
    <s v="M"/>
    <n v="60"/>
    <s v="Gwendolen Close"/>
    <x v="899"/>
    <x v="3"/>
    <d v="2021-12-18T00:00:00"/>
    <x v="1"/>
    <x v="8"/>
    <n v="43"/>
    <x v="4"/>
    <x v="4"/>
    <n v="774"/>
    <x v="658"/>
  </r>
  <r>
    <n v="2058"/>
    <x v="791"/>
    <x v="1290"/>
    <s v="Ms"/>
    <s v="F"/>
    <n v="30"/>
    <s v="Gwudon Lodge"/>
    <x v="1055"/>
    <x v="8"/>
    <d v="2021-09-08T00:00:00"/>
    <x v="1"/>
    <x v="9"/>
    <n v="58"/>
    <x v="6"/>
    <x v="6"/>
    <n v="1392"/>
    <x v="547"/>
  </r>
  <r>
    <n v="2059"/>
    <x v="1553"/>
    <x v="1209"/>
    <s v="Mrs"/>
    <s v="F"/>
    <n v="30"/>
    <s v="Gwynnes Place"/>
    <x v="1056"/>
    <x v="21"/>
    <d v="2022-10-16T00:00:00"/>
    <x v="0"/>
    <x v="1"/>
    <n v="42"/>
    <x v="1"/>
    <x v="1"/>
    <n v="1008"/>
    <x v="185"/>
  </r>
  <r>
    <n v="2060"/>
    <x v="1554"/>
    <x v="762"/>
    <s v="Miss"/>
    <s v="F"/>
    <n v="60"/>
    <s v="Haarlem Road"/>
    <x v="213"/>
    <x v="8"/>
    <d v="2021-01-17T00:00:00"/>
    <x v="1"/>
    <x v="6"/>
    <n v="90"/>
    <x v="1"/>
    <x v="1"/>
    <n v="2160"/>
    <x v="552"/>
  </r>
  <r>
    <n v="2061"/>
    <x v="1555"/>
    <x v="1119"/>
    <s v="Miss"/>
    <s v="F"/>
    <n v="90"/>
    <s v="Haddington Terrace"/>
    <x v="347"/>
    <x v="57"/>
    <d v="2022-03-07T00:00:00"/>
    <x v="0"/>
    <x v="5"/>
    <n v="66"/>
    <x v="3"/>
    <x v="3"/>
    <n v="1584"/>
    <x v="158"/>
  </r>
  <r>
    <n v="2062"/>
    <x v="1556"/>
    <x v="133"/>
    <s v="Miss"/>
    <s v="F"/>
    <n v="30"/>
    <s v="Haddo Villas"/>
    <x v="417"/>
    <x v="21"/>
    <d v="2022-12-28T00:00:00"/>
    <x v="0"/>
    <x v="8"/>
    <n v="50"/>
    <x v="2"/>
    <x v="2"/>
    <n v="850"/>
    <x v="301"/>
  </r>
  <r>
    <n v="2063"/>
    <x v="704"/>
    <x v="1291"/>
    <s v="Mrs"/>
    <s v="F"/>
    <n v="30"/>
    <s v="Hadleigh Road"/>
    <x v="1057"/>
    <x v="90"/>
    <d v="2020-01-04T00:00:00"/>
    <x v="2"/>
    <x v="6"/>
    <n v="13"/>
    <x v="8"/>
    <x v="8"/>
    <n v="260"/>
    <x v="880"/>
  </r>
  <r>
    <n v="2064"/>
    <x v="938"/>
    <x v="1285"/>
    <s v="Miss"/>
    <s v="F"/>
    <n v="30"/>
    <s v="Hadleigh Walk"/>
    <x v="1058"/>
    <x v="10"/>
    <d v="2022-10-31T00:00:00"/>
    <x v="0"/>
    <x v="1"/>
    <n v="102"/>
    <x v="2"/>
    <x v="2"/>
    <n v="1734"/>
    <x v="881"/>
  </r>
  <r>
    <n v="2065"/>
    <x v="1091"/>
    <x v="1292"/>
    <s v="Mr"/>
    <s v="M"/>
    <n v="90"/>
    <s v="Hadley Close"/>
    <x v="1059"/>
    <x v="2"/>
    <d v="2022-08-28T00:00:00"/>
    <x v="0"/>
    <x v="3"/>
    <n v="38"/>
    <x v="0"/>
    <x v="0"/>
    <n v="760"/>
    <x v="470"/>
  </r>
  <r>
    <n v="2066"/>
    <x v="1557"/>
    <x v="1089"/>
    <s v="Ms"/>
    <s v="F"/>
    <n v="60"/>
    <s v="Hague Place"/>
    <x v="134"/>
    <x v="2"/>
    <d v="2020-06-22T00:00:00"/>
    <x v="2"/>
    <x v="2"/>
    <n v="70"/>
    <x v="5"/>
    <x v="5"/>
    <n v="1680"/>
    <x v="104"/>
  </r>
  <r>
    <n v="2067"/>
    <x v="597"/>
    <x v="427"/>
    <s v="Mr"/>
    <s v="M"/>
    <n v="90"/>
    <s v="Haig Road"/>
    <x v="499"/>
    <x v="2"/>
    <d v="2021-06-10T00:00:00"/>
    <x v="1"/>
    <x v="2"/>
    <n v="95"/>
    <x v="7"/>
    <x v="7"/>
    <n v="1900"/>
    <x v="108"/>
  </r>
  <r>
    <n v="2068"/>
    <x v="275"/>
    <x v="1087"/>
    <s v="Mr"/>
    <s v="M"/>
    <n v="30"/>
    <s v="Hainault Road"/>
    <x v="363"/>
    <x v="11"/>
    <d v="2020-06-24T00:00:00"/>
    <x v="2"/>
    <x v="2"/>
    <n v="75"/>
    <x v="1"/>
    <x v="1"/>
    <n v="1800"/>
    <x v="2"/>
  </r>
  <r>
    <n v="2069"/>
    <x v="1558"/>
    <x v="1293"/>
    <s v="Mrs"/>
    <s v="F"/>
    <n v="60"/>
    <s v="Haldane Place"/>
    <x v="688"/>
    <x v="15"/>
    <d v="2022-02-13T00:00:00"/>
    <x v="0"/>
    <x v="10"/>
    <n v="91"/>
    <x v="7"/>
    <x v="7"/>
    <n v="1820"/>
    <x v="151"/>
  </r>
  <r>
    <n v="2070"/>
    <x v="1559"/>
    <x v="1294"/>
    <s v="Miss"/>
    <s v="F"/>
    <n v="90"/>
    <s v="Hale Gardens"/>
    <x v="308"/>
    <x v="2"/>
    <d v="2022-03-15T00:00:00"/>
    <x v="0"/>
    <x v="5"/>
    <n v="13"/>
    <x v="3"/>
    <x v="3"/>
    <n v="312"/>
    <x v="296"/>
  </r>
  <r>
    <n v="2071"/>
    <x v="1560"/>
    <x v="1295"/>
    <s v="Mr"/>
    <s v="M"/>
    <n v="60"/>
    <s v="Hale Grove"/>
    <x v="841"/>
    <x v="8"/>
    <d v="2020-05-20T00:00:00"/>
    <x v="2"/>
    <x v="11"/>
    <n v="56"/>
    <x v="9"/>
    <x v="9"/>
    <n v="1344"/>
    <x v="87"/>
  </r>
  <r>
    <n v="2072"/>
    <x v="1561"/>
    <x v="938"/>
    <s v="Miss"/>
    <s v="F"/>
    <n v="60"/>
    <s v="Halkin Place"/>
    <x v="924"/>
    <x v="4"/>
    <d v="2022-09-22T00:00:00"/>
    <x v="0"/>
    <x v="9"/>
    <n v="17"/>
    <x v="7"/>
    <x v="7"/>
    <n v="340"/>
    <x v="505"/>
  </r>
  <r>
    <n v="2073"/>
    <x v="305"/>
    <x v="1219"/>
    <s v="Mrs"/>
    <s v="F"/>
    <n v="60"/>
    <s v="Hall Lane"/>
    <x v="1060"/>
    <x v="1"/>
    <d v="2020-04-20T00:00:00"/>
    <x v="2"/>
    <x v="4"/>
    <n v="78"/>
    <x v="3"/>
    <x v="3"/>
    <n v="1872"/>
    <x v="713"/>
  </r>
  <r>
    <n v="2074"/>
    <x v="1546"/>
    <x v="963"/>
    <s v="Mr"/>
    <s v="M"/>
    <n v="90"/>
    <s v="Halliford Terrace"/>
    <x v="740"/>
    <x v="41"/>
    <d v="2021-02-26T00:00:00"/>
    <x v="1"/>
    <x v="10"/>
    <n v="21"/>
    <x v="9"/>
    <x v="9"/>
    <n v="504"/>
    <x v="715"/>
  </r>
  <r>
    <n v="2075"/>
    <x v="326"/>
    <x v="104"/>
    <s v="Mr"/>
    <s v="M"/>
    <n v="60"/>
    <s v="Hallswelle Road"/>
    <x v="186"/>
    <x v="33"/>
    <d v="2022-09-25T00:00:00"/>
    <x v="0"/>
    <x v="9"/>
    <n v="70"/>
    <x v="7"/>
    <x v="7"/>
    <n v="1400"/>
    <x v="399"/>
  </r>
  <r>
    <n v="2076"/>
    <x v="618"/>
    <x v="1011"/>
    <s v="Mr"/>
    <s v="M"/>
    <n v="60"/>
    <s v="Halpin Place"/>
    <x v="485"/>
    <x v="15"/>
    <d v="2020-12-10T00:00:00"/>
    <x v="2"/>
    <x v="8"/>
    <n v="30"/>
    <x v="4"/>
    <x v="4"/>
    <n v="540"/>
    <x v="882"/>
  </r>
  <r>
    <n v="2077"/>
    <x v="1562"/>
    <x v="286"/>
    <s v="Mrs"/>
    <s v="F"/>
    <n v="90"/>
    <s v="Halton Cross"/>
    <x v="644"/>
    <x v="2"/>
    <d v="2022-11-21T00:00:00"/>
    <x v="0"/>
    <x v="7"/>
    <n v="26"/>
    <x v="8"/>
    <x v="8"/>
    <n v="520"/>
    <x v="111"/>
  </r>
  <r>
    <n v="2078"/>
    <x v="1563"/>
    <x v="1296"/>
    <s v="Mr"/>
    <s v="M"/>
    <n v="60"/>
    <s v="Hambledon Court"/>
    <x v="93"/>
    <x v="1"/>
    <d v="2021-10-05T00:00:00"/>
    <x v="1"/>
    <x v="1"/>
    <n v="72"/>
    <x v="9"/>
    <x v="9"/>
    <n v="1728"/>
    <x v="369"/>
  </r>
  <r>
    <n v="2079"/>
    <x v="1564"/>
    <x v="1297"/>
    <s v="Miss"/>
    <s v="F"/>
    <n v="90"/>
    <s v="Hambledon Gardens"/>
    <x v="845"/>
    <x v="2"/>
    <d v="2022-02-23T00:00:00"/>
    <x v="0"/>
    <x v="10"/>
    <n v="84"/>
    <x v="8"/>
    <x v="8"/>
    <n v="1680"/>
    <x v="816"/>
  </r>
  <r>
    <n v="2080"/>
    <x v="1565"/>
    <x v="151"/>
    <s v="Miss"/>
    <s v="F"/>
    <n v="60"/>
    <s v="Hambridge Way"/>
    <x v="886"/>
    <x v="2"/>
    <d v="2021-01-10T00:00:00"/>
    <x v="1"/>
    <x v="6"/>
    <n v="76"/>
    <x v="5"/>
    <x v="5"/>
    <n v="1824"/>
    <x v="405"/>
  </r>
  <r>
    <n v="2081"/>
    <x v="1566"/>
    <x v="1214"/>
    <s v="Prof"/>
    <s v="M"/>
    <n v="30"/>
    <s v="Hambro Road"/>
    <x v="944"/>
    <x v="10"/>
    <d v="2022-04-02T00:00:00"/>
    <x v="0"/>
    <x v="4"/>
    <n v="10"/>
    <x v="3"/>
    <x v="3"/>
    <n v="240"/>
    <x v="103"/>
  </r>
  <r>
    <n v="2082"/>
    <x v="1567"/>
    <x v="1298"/>
    <s v="Mrs"/>
    <s v="F"/>
    <n v="90"/>
    <s v="Hamilton Gardens"/>
    <x v="68"/>
    <x v="15"/>
    <d v="2020-03-18T00:00:00"/>
    <x v="2"/>
    <x v="5"/>
    <n v="45"/>
    <x v="4"/>
    <x v="4"/>
    <n v="810"/>
    <x v="765"/>
  </r>
  <r>
    <n v="2083"/>
    <x v="250"/>
    <x v="861"/>
    <s v="Miss"/>
    <s v="F"/>
    <n v="30"/>
    <s v="Hamilton Park"/>
    <x v="278"/>
    <x v="2"/>
    <d v="2021-02-07T00:00:00"/>
    <x v="1"/>
    <x v="10"/>
    <n v="83"/>
    <x v="9"/>
    <x v="9"/>
    <n v="1992"/>
    <x v="883"/>
  </r>
  <r>
    <n v="2084"/>
    <x v="1568"/>
    <x v="1299"/>
    <s v="Miss"/>
    <s v="F"/>
    <n v="30"/>
    <s v="Hamilton Road"/>
    <x v="877"/>
    <x v="2"/>
    <d v="2020-05-25T00:00:00"/>
    <x v="2"/>
    <x v="11"/>
    <n v="11"/>
    <x v="8"/>
    <x v="8"/>
    <n v="220"/>
    <x v="768"/>
  </r>
  <r>
    <n v="2085"/>
    <x v="1569"/>
    <x v="798"/>
    <s v="Mr"/>
    <s v="M"/>
    <n v="60"/>
    <s v="Hammond Court"/>
    <x v="41"/>
    <x v="11"/>
    <d v="2020-07-08T00:00:00"/>
    <x v="2"/>
    <x v="0"/>
    <n v="39"/>
    <x v="7"/>
    <x v="7"/>
    <n v="780"/>
    <x v="145"/>
  </r>
  <r>
    <n v="2086"/>
    <x v="1035"/>
    <x v="624"/>
    <s v="Mr"/>
    <s v="M"/>
    <n v="30"/>
    <s v="Hamors Court"/>
    <x v="1061"/>
    <x v="2"/>
    <d v="2021-03-06T00:00:00"/>
    <x v="1"/>
    <x v="5"/>
    <n v="27"/>
    <x v="3"/>
    <x v="3"/>
    <n v="648"/>
    <x v="884"/>
  </r>
  <r>
    <n v="2087"/>
    <x v="949"/>
    <x v="1300"/>
    <s v="Mrs"/>
    <s v="F"/>
    <n v="90"/>
    <s v="Hampshire Cottages"/>
    <x v="1059"/>
    <x v="2"/>
    <d v="2021-05-13T00:00:00"/>
    <x v="1"/>
    <x v="11"/>
    <n v="7"/>
    <x v="9"/>
    <x v="9"/>
    <n v="168"/>
    <x v="743"/>
  </r>
  <r>
    <n v="2088"/>
    <x v="1546"/>
    <x v="1301"/>
    <s v="Mr"/>
    <s v="M"/>
    <n v="30"/>
    <s v="Hampson Way"/>
    <x v="498"/>
    <x v="2"/>
    <d v="2021-04-11T00:00:00"/>
    <x v="1"/>
    <x v="4"/>
    <n v="78"/>
    <x v="3"/>
    <x v="3"/>
    <n v="1872"/>
    <x v="713"/>
  </r>
  <r>
    <n v="2089"/>
    <x v="554"/>
    <x v="196"/>
    <s v="Mr"/>
    <s v="M"/>
    <n v="60"/>
    <s v="Hampstead Square"/>
    <x v="779"/>
    <x v="40"/>
    <d v="2022-07-10T00:00:00"/>
    <x v="0"/>
    <x v="0"/>
    <n v="36"/>
    <x v="7"/>
    <x v="7"/>
    <n v="720"/>
    <x v="256"/>
  </r>
  <r>
    <n v="2090"/>
    <x v="1570"/>
    <x v="525"/>
    <s v="Miss"/>
    <s v="F"/>
    <n v="60"/>
    <s v="Hampstead Walk"/>
    <x v="1062"/>
    <x v="33"/>
    <d v="2020-05-02T00:00:00"/>
    <x v="2"/>
    <x v="11"/>
    <n v="63"/>
    <x v="2"/>
    <x v="2"/>
    <n v="1071"/>
    <x v="341"/>
  </r>
  <r>
    <n v="2091"/>
    <x v="1571"/>
    <x v="1302"/>
    <s v="Miss"/>
    <s v="F"/>
    <n v="60"/>
    <s v="Hanbury Drive"/>
    <x v="893"/>
    <x v="2"/>
    <d v="2020-08-03T00:00:00"/>
    <x v="2"/>
    <x v="3"/>
    <n v="37"/>
    <x v="0"/>
    <x v="0"/>
    <n v="740"/>
    <x v="885"/>
  </r>
  <r>
    <n v="2092"/>
    <x v="1572"/>
    <x v="495"/>
    <s v="Mr"/>
    <s v="M"/>
    <n v="90"/>
    <s v="Hancock Road"/>
    <x v="405"/>
    <x v="21"/>
    <d v="2022-07-10T00:00:00"/>
    <x v="0"/>
    <x v="0"/>
    <n v="82"/>
    <x v="8"/>
    <x v="8"/>
    <n v="1640"/>
    <x v="263"/>
  </r>
  <r>
    <n v="2093"/>
    <x v="639"/>
    <x v="1019"/>
    <s v="Miss"/>
    <s v="F"/>
    <n v="30"/>
    <s v="Hand Court"/>
    <x v="931"/>
    <x v="2"/>
    <d v="2022-04-14T00:00:00"/>
    <x v="0"/>
    <x v="4"/>
    <n v="61"/>
    <x v="3"/>
    <x v="3"/>
    <n v="1464"/>
    <x v="585"/>
  </r>
  <r>
    <n v="2094"/>
    <x v="479"/>
    <x v="579"/>
    <s v="Mr"/>
    <s v="M"/>
    <n v="90"/>
    <s v="Hanlon Street"/>
    <x v="1063"/>
    <x v="2"/>
    <d v="2022-06-28T00:00:00"/>
    <x v="0"/>
    <x v="2"/>
    <n v="36"/>
    <x v="5"/>
    <x v="5"/>
    <n v="864"/>
    <x v="236"/>
  </r>
  <r>
    <n v="2095"/>
    <x v="827"/>
    <x v="1303"/>
    <s v="Mrs"/>
    <s v="F"/>
    <n v="90"/>
    <s v="Hanmer Walk"/>
    <x v="92"/>
    <x v="2"/>
    <d v="2022-10-21T00:00:00"/>
    <x v="0"/>
    <x v="1"/>
    <n v="13"/>
    <x v="9"/>
    <x v="9"/>
    <n v="312"/>
    <x v="407"/>
  </r>
  <r>
    <n v="2096"/>
    <x v="176"/>
    <x v="379"/>
    <s v="Mr"/>
    <s v="M"/>
    <n v="90"/>
    <s v="Hannah Place"/>
    <x v="1064"/>
    <x v="17"/>
    <d v="2022-10-03T00:00:00"/>
    <x v="0"/>
    <x v="1"/>
    <n v="92"/>
    <x v="4"/>
    <x v="4"/>
    <n v="1656"/>
    <x v="609"/>
  </r>
  <r>
    <n v="2097"/>
    <x v="1441"/>
    <x v="284"/>
    <s v="Mr"/>
    <s v="M"/>
    <n v="90"/>
    <s v="Hannah Place"/>
    <x v="816"/>
    <x v="2"/>
    <d v="2021-07-17T00:00:00"/>
    <x v="1"/>
    <x v="0"/>
    <n v="78"/>
    <x v="7"/>
    <x v="7"/>
    <n v="1560"/>
    <x v="664"/>
  </r>
  <r>
    <n v="2098"/>
    <x v="1573"/>
    <x v="987"/>
    <s v="Mr"/>
    <s v="M"/>
    <n v="30"/>
    <s v="Hanover Court"/>
    <x v="369"/>
    <x v="1"/>
    <d v="2021-05-03T00:00:00"/>
    <x v="1"/>
    <x v="11"/>
    <n v="20"/>
    <x v="5"/>
    <x v="5"/>
    <n v="480"/>
    <x v="423"/>
  </r>
  <r>
    <n v="2099"/>
    <x v="1506"/>
    <x v="600"/>
    <s v="Mr"/>
    <s v="M"/>
    <n v="60"/>
    <s v="Hanover Flats"/>
    <x v="496"/>
    <x v="11"/>
    <d v="2020-12-03T00:00:00"/>
    <x v="2"/>
    <x v="8"/>
    <n v="17"/>
    <x v="1"/>
    <x v="1"/>
    <n v="408"/>
    <x v="179"/>
  </r>
  <r>
    <n v="2100"/>
    <x v="1574"/>
    <x v="1304"/>
    <s v="Mrs"/>
    <s v="F"/>
    <n v="60"/>
    <s v="Hanover Street"/>
    <x v="64"/>
    <x v="2"/>
    <d v="2022-06-12T00:00:00"/>
    <x v="0"/>
    <x v="2"/>
    <n v="31"/>
    <x v="0"/>
    <x v="0"/>
    <n v="620"/>
    <x v="641"/>
  </r>
  <r>
    <n v="2101"/>
    <x v="14"/>
    <x v="1305"/>
    <s v="Miss"/>
    <s v="F"/>
    <n v="30"/>
    <s v="Hanway Place"/>
    <x v="1065"/>
    <x v="2"/>
    <d v="2022-04-29T00:00:00"/>
    <x v="0"/>
    <x v="4"/>
    <n v="31"/>
    <x v="6"/>
    <x v="6"/>
    <n v="744"/>
    <x v="450"/>
  </r>
  <r>
    <n v="2102"/>
    <x v="227"/>
    <x v="1052"/>
    <s v="Mr"/>
    <s v="M"/>
    <n v="90"/>
    <s v="Hanway Road"/>
    <x v="959"/>
    <x v="8"/>
    <d v="2020-08-17T00:00:00"/>
    <x v="2"/>
    <x v="3"/>
    <n v="45"/>
    <x v="2"/>
    <x v="2"/>
    <n v="765"/>
    <x v="446"/>
  </r>
  <r>
    <n v="2103"/>
    <x v="1118"/>
    <x v="978"/>
    <s v="Mr"/>
    <s v="M"/>
    <n v="60"/>
    <s v="Harberson Road"/>
    <x v="817"/>
    <x v="26"/>
    <d v="2022-06-25T00:00:00"/>
    <x v="0"/>
    <x v="2"/>
    <n v="39"/>
    <x v="7"/>
    <x v="7"/>
    <n v="780"/>
    <x v="145"/>
  </r>
  <r>
    <n v="2104"/>
    <x v="813"/>
    <x v="1101"/>
    <s v="Mr"/>
    <s v="M"/>
    <n v="90"/>
    <s v="Hardens Manorway"/>
    <x v="285"/>
    <x v="2"/>
    <d v="2021-09-22T00:00:00"/>
    <x v="1"/>
    <x v="9"/>
    <n v="2"/>
    <x v="8"/>
    <x v="8"/>
    <n v="40"/>
    <x v="264"/>
  </r>
  <r>
    <n v="2105"/>
    <x v="225"/>
    <x v="357"/>
    <s v="Mr"/>
    <s v="M"/>
    <n v="30"/>
    <s v="Harder'S Place"/>
    <x v="679"/>
    <x v="44"/>
    <d v="2021-03-01T00:00:00"/>
    <x v="1"/>
    <x v="5"/>
    <n v="34"/>
    <x v="7"/>
    <x v="7"/>
    <n v="680"/>
    <x v="303"/>
  </r>
  <r>
    <n v="2106"/>
    <x v="1575"/>
    <x v="1"/>
    <s v="Mr"/>
    <s v="M"/>
    <n v="60"/>
    <s v="Harder'S Place"/>
    <x v="321"/>
    <x v="44"/>
    <d v="2022-01-28T00:00:00"/>
    <x v="0"/>
    <x v="6"/>
    <n v="91"/>
    <x v="3"/>
    <x v="3"/>
    <n v="2184"/>
    <x v="805"/>
  </r>
  <r>
    <n v="2107"/>
    <x v="407"/>
    <x v="225"/>
    <s v="Mrs"/>
    <s v="F"/>
    <n v="60"/>
    <s v="Hardie Close"/>
    <x v="572"/>
    <x v="41"/>
    <d v="2022-11-01T00:00:00"/>
    <x v="0"/>
    <x v="7"/>
    <n v="38"/>
    <x v="7"/>
    <x v="7"/>
    <n v="760"/>
    <x v="121"/>
  </r>
  <r>
    <n v="2108"/>
    <x v="789"/>
    <x v="978"/>
    <s v="Miss"/>
    <s v="F"/>
    <n v="30"/>
    <s v="Hardinge Terrace"/>
    <x v="522"/>
    <x v="17"/>
    <d v="2020-09-02T00:00:00"/>
    <x v="2"/>
    <x v="9"/>
    <n v="30"/>
    <x v="9"/>
    <x v="9"/>
    <n v="720"/>
    <x v="886"/>
  </r>
  <r>
    <n v="2109"/>
    <x v="1576"/>
    <x v="1170"/>
    <s v="Mrs"/>
    <s v="F"/>
    <n v="30"/>
    <s v="Hardwick Place"/>
    <x v="955"/>
    <x v="33"/>
    <d v="2021-02-04T00:00:00"/>
    <x v="1"/>
    <x v="10"/>
    <n v="33"/>
    <x v="6"/>
    <x v="6"/>
    <n v="792"/>
    <x v="660"/>
  </r>
  <r>
    <n v="2110"/>
    <x v="1577"/>
    <x v="396"/>
    <s v="Miss"/>
    <s v="F"/>
    <n v="30"/>
    <s v="Hare Court"/>
    <x v="1029"/>
    <x v="2"/>
    <d v="2022-12-13T00:00:00"/>
    <x v="0"/>
    <x v="8"/>
    <n v="14"/>
    <x v="5"/>
    <x v="5"/>
    <n v="336"/>
    <x v="276"/>
  </r>
  <r>
    <n v="2111"/>
    <x v="1578"/>
    <x v="566"/>
    <s v="Mrs"/>
    <s v="F"/>
    <n v="30"/>
    <s v="Hare Walk"/>
    <x v="753"/>
    <x v="2"/>
    <d v="2020-09-03T00:00:00"/>
    <x v="2"/>
    <x v="9"/>
    <n v="47"/>
    <x v="3"/>
    <x v="3"/>
    <n v="1128"/>
    <x v="472"/>
  </r>
  <r>
    <n v="2112"/>
    <x v="141"/>
    <x v="888"/>
    <s v="Mr"/>
    <s v="M"/>
    <n v="30"/>
    <s v="Harford Road"/>
    <x v="556"/>
    <x v="24"/>
    <d v="2022-02-26T00:00:00"/>
    <x v="0"/>
    <x v="10"/>
    <n v="9"/>
    <x v="8"/>
    <x v="8"/>
    <n v="180"/>
    <x v="198"/>
  </r>
  <r>
    <n v="2113"/>
    <x v="1355"/>
    <x v="1306"/>
    <s v="Mr"/>
    <s v="M"/>
    <n v="90"/>
    <s v="Hargreave Square"/>
    <x v="153"/>
    <x v="29"/>
    <d v="2021-08-17T00:00:00"/>
    <x v="1"/>
    <x v="3"/>
    <n v="42"/>
    <x v="1"/>
    <x v="1"/>
    <n v="1008"/>
    <x v="185"/>
  </r>
  <r>
    <n v="2114"/>
    <x v="658"/>
    <x v="846"/>
    <s v="Mrs"/>
    <s v="F"/>
    <n v="30"/>
    <s v="Harlesden Lane"/>
    <x v="323"/>
    <x v="53"/>
    <d v="2022-03-07T00:00:00"/>
    <x v="0"/>
    <x v="5"/>
    <n v="12"/>
    <x v="7"/>
    <x v="7"/>
    <n v="240"/>
    <x v="449"/>
  </r>
  <r>
    <n v="2115"/>
    <x v="1168"/>
    <x v="1307"/>
    <s v="Mr"/>
    <s v="M"/>
    <n v="90"/>
    <s v="Harley Road"/>
    <x v="1066"/>
    <x v="2"/>
    <d v="2022-02-05T00:00:00"/>
    <x v="0"/>
    <x v="10"/>
    <n v="104"/>
    <x v="8"/>
    <x v="8"/>
    <n v="2080"/>
    <x v="887"/>
  </r>
  <r>
    <n v="2116"/>
    <x v="1579"/>
    <x v="901"/>
    <s v="Mr"/>
    <s v="M"/>
    <n v="60"/>
    <s v="Harley Street"/>
    <x v="176"/>
    <x v="16"/>
    <d v="2020-12-04T00:00:00"/>
    <x v="2"/>
    <x v="8"/>
    <n v="22"/>
    <x v="8"/>
    <x v="8"/>
    <n v="440"/>
    <x v="259"/>
  </r>
  <r>
    <n v="2117"/>
    <x v="1580"/>
    <x v="195"/>
    <s v="Mr"/>
    <s v="M"/>
    <n v="90"/>
    <s v="Harley Villas"/>
    <x v="828"/>
    <x v="15"/>
    <d v="2021-01-04T00:00:00"/>
    <x v="1"/>
    <x v="6"/>
    <n v="83"/>
    <x v="2"/>
    <x v="2"/>
    <n v="1411"/>
    <x v="811"/>
  </r>
  <r>
    <n v="2118"/>
    <x v="1581"/>
    <x v="1288"/>
    <s v="Miss"/>
    <s v="F"/>
    <n v="60"/>
    <s v="Harold Terrace"/>
    <x v="786"/>
    <x v="2"/>
    <d v="2021-03-19T00:00:00"/>
    <x v="1"/>
    <x v="5"/>
    <n v="44"/>
    <x v="9"/>
    <x v="9"/>
    <n v="1056"/>
    <x v="605"/>
  </r>
  <r>
    <n v="2119"/>
    <x v="1582"/>
    <x v="1308"/>
    <s v="Mrs"/>
    <s v="F"/>
    <n v="90"/>
    <s v="Harold Terrace"/>
    <x v="394"/>
    <x v="2"/>
    <d v="2022-03-28T00:00:00"/>
    <x v="0"/>
    <x v="5"/>
    <n v="57"/>
    <x v="5"/>
    <x v="5"/>
    <n v="1368"/>
    <x v="462"/>
  </r>
  <r>
    <n v="2120"/>
    <x v="227"/>
    <x v="616"/>
    <s v="Mr"/>
    <s v="M"/>
    <n v="30"/>
    <s v="Harolds Place"/>
    <x v="966"/>
    <x v="2"/>
    <d v="2022-05-14T00:00:00"/>
    <x v="0"/>
    <x v="11"/>
    <n v="96"/>
    <x v="3"/>
    <x v="3"/>
    <n v="2304"/>
    <x v="403"/>
  </r>
  <r>
    <n v="2121"/>
    <x v="1583"/>
    <x v="1309"/>
    <s v="Mrs"/>
    <s v="F"/>
    <n v="30"/>
    <s v="Harp Alley"/>
    <x v="77"/>
    <x v="13"/>
    <d v="2021-02-03T00:00:00"/>
    <x v="1"/>
    <x v="10"/>
    <n v="90"/>
    <x v="0"/>
    <x v="0"/>
    <n v="1800"/>
    <x v="888"/>
  </r>
  <r>
    <n v="2122"/>
    <x v="1584"/>
    <x v="505"/>
    <s v="Mr"/>
    <s v="M"/>
    <n v="60"/>
    <s v="Harp Island"/>
    <x v="761"/>
    <x v="2"/>
    <d v="2022-02-06T00:00:00"/>
    <x v="0"/>
    <x v="10"/>
    <n v="92"/>
    <x v="8"/>
    <x v="8"/>
    <n v="1840"/>
    <x v="628"/>
  </r>
  <r>
    <n v="2123"/>
    <x v="123"/>
    <x v="1310"/>
    <s v="Mr"/>
    <s v="M"/>
    <n v="30"/>
    <s v="Harper Mews"/>
    <x v="418"/>
    <x v="21"/>
    <d v="2020-05-08T00:00:00"/>
    <x v="2"/>
    <x v="11"/>
    <n v="27"/>
    <x v="8"/>
    <x v="8"/>
    <n v="540"/>
    <x v="302"/>
  </r>
  <r>
    <n v="2124"/>
    <x v="1189"/>
    <x v="1311"/>
    <s v="Mr"/>
    <s v="M"/>
    <n v="90"/>
    <s v="Harper Street"/>
    <x v="1067"/>
    <x v="15"/>
    <d v="2021-04-11T00:00:00"/>
    <x v="1"/>
    <x v="4"/>
    <n v="18"/>
    <x v="2"/>
    <x v="2"/>
    <n v="306"/>
    <x v="889"/>
  </r>
  <r>
    <n v="2125"/>
    <x v="1585"/>
    <x v="989"/>
    <s v="Mrs"/>
    <s v="F"/>
    <n v="60"/>
    <s v="Harpur Street"/>
    <x v="427"/>
    <x v="21"/>
    <d v="2021-07-27T00:00:00"/>
    <x v="1"/>
    <x v="0"/>
    <n v="64"/>
    <x v="5"/>
    <x v="5"/>
    <n v="1536"/>
    <x v="372"/>
  </r>
  <r>
    <n v="2126"/>
    <x v="1586"/>
    <x v="1291"/>
    <s v="Mrs"/>
    <s v="F"/>
    <n v="30"/>
    <s v="Harriet Lane"/>
    <x v="1024"/>
    <x v="17"/>
    <d v="2021-08-19T00:00:00"/>
    <x v="1"/>
    <x v="3"/>
    <n v="62"/>
    <x v="7"/>
    <x v="7"/>
    <n v="1240"/>
    <x v="776"/>
  </r>
  <r>
    <n v="2127"/>
    <x v="1413"/>
    <x v="1312"/>
    <s v="Dr"/>
    <s v="M"/>
    <n v="60"/>
    <s v="Harringay Gardens"/>
    <x v="177"/>
    <x v="2"/>
    <d v="2021-09-26T00:00:00"/>
    <x v="1"/>
    <x v="9"/>
    <n v="89"/>
    <x v="9"/>
    <x v="9"/>
    <n v="2136"/>
    <x v="26"/>
  </r>
  <r>
    <n v="2128"/>
    <x v="1392"/>
    <x v="992"/>
    <s v="Mrs"/>
    <s v="F"/>
    <n v="60"/>
    <s v="Harrington Hill"/>
    <x v="415"/>
    <x v="64"/>
    <d v="2020-11-03T00:00:00"/>
    <x v="2"/>
    <x v="7"/>
    <n v="45"/>
    <x v="1"/>
    <x v="1"/>
    <n v="1080"/>
    <x v="414"/>
  </r>
  <r>
    <n v="2129"/>
    <x v="1587"/>
    <x v="1173"/>
    <s v="Mr"/>
    <s v="M"/>
    <n v="60"/>
    <s v="Harrington Hill"/>
    <x v="324"/>
    <x v="17"/>
    <d v="2022-05-13T00:00:00"/>
    <x v="0"/>
    <x v="11"/>
    <n v="72"/>
    <x v="8"/>
    <x v="8"/>
    <n v="1440"/>
    <x v="718"/>
  </r>
  <r>
    <n v="2130"/>
    <x v="1588"/>
    <x v="1313"/>
    <s v="Miss"/>
    <s v="F"/>
    <n v="60"/>
    <s v="Harrington Square"/>
    <x v="593"/>
    <x v="1"/>
    <d v="2022-08-09T00:00:00"/>
    <x v="0"/>
    <x v="3"/>
    <n v="67"/>
    <x v="4"/>
    <x v="4"/>
    <n v="1206"/>
    <x v="827"/>
  </r>
  <r>
    <n v="2131"/>
    <x v="1589"/>
    <x v="1016"/>
    <s v="Miss"/>
    <s v="F"/>
    <n v="60"/>
    <s v="Harrington Street"/>
    <x v="577"/>
    <x v="43"/>
    <d v="2022-11-20T00:00:00"/>
    <x v="0"/>
    <x v="7"/>
    <n v="36"/>
    <x v="7"/>
    <x v="7"/>
    <n v="720"/>
    <x v="256"/>
  </r>
  <r>
    <n v="2132"/>
    <x v="1590"/>
    <x v="560"/>
    <s v="Mrs"/>
    <s v="F"/>
    <n v="30"/>
    <s v="Harrison Street"/>
    <x v="54"/>
    <x v="2"/>
    <d v="2021-05-25T00:00:00"/>
    <x v="1"/>
    <x v="11"/>
    <n v="20"/>
    <x v="7"/>
    <x v="7"/>
    <n v="400"/>
    <x v="639"/>
  </r>
  <r>
    <n v="2133"/>
    <x v="1591"/>
    <x v="1020"/>
    <s v="Mrs"/>
    <s v="F"/>
    <n v="90"/>
    <s v="Harrold Street"/>
    <x v="1068"/>
    <x v="2"/>
    <d v="2021-08-09T00:00:00"/>
    <x v="1"/>
    <x v="3"/>
    <n v="79"/>
    <x v="0"/>
    <x v="0"/>
    <n v="1580"/>
    <x v="767"/>
  </r>
  <r>
    <n v="2134"/>
    <x v="1592"/>
    <x v="65"/>
    <s v="Miss"/>
    <s v="F"/>
    <n v="60"/>
    <s v="Harrop Villas"/>
    <x v="627"/>
    <x v="2"/>
    <d v="2021-02-13T00:00:00"/>
    <x v="1"/>
    <x v="10"/>
    <n v="53"/>
    <x v="2"/>
    <x v="2"/>
    <n v="901"/>
    <x v="460"/>
  </r>
  <r>
    <n v="2135"/>
    <x v="1593"/>
    <x v="1314"/>
    <s v="Mr"/>
    <s v="M"/>
    <n v="90"/>
    <s v="Harrow Green"/>
    <x v="1069"/>
    <x v="17"/>
    <d v="2020-05-21T00:00:00"/>
    <x v="2"/>
    <x v="11"/>
    <n v="35"/>
    <x v="3"/>
    <x v="3"/>
    <n v="840"/>
    <x v="536"/>
  </r>
  <r>
    <n v="2136"/>
    <x v="1594"/>
    <x v="641"/>
    <s v="Mr"/>
    <s v="M"/>
    <n v="90"/>
    <s v="Harrow Street"/>
    <x v="431"/>
    <x v="2"/>
    <d v="2020-08-20T00:00:00"/>
    <x v="2"/>
    <x v="3"/>
    <n v="20"/>
    <x v="8"/>
    <x v="8"/>
    <n v="400"/>
    <x v="577"/>
  </r>
  <r>
    <n v="2137"/>
    <x v="1595"/>
    <x v="725"/>
    <s v="Mr"/>
    <s v="M"/>
    <n v="60"/>
    <s v="Harroway Road"/>
    <x v="1070"/>
    <x v="2"/>
    <d v="2020-12-01T00:00:00"/>
    <x v="2"/>
    <x v="8"/>
    <n v="42"/>
    <x v="6"/>
    <x v="6"/>
    <n v="1008"/>
    <x v="162"/>
  </r>
  <r>
    <n v="2138"/>
    <x v="1596"/>
    <x v="981"/>
    <s v="Mrs"/>
    <s v="F"/>
    <n v="90"/>
    <s v="Harrowgate Road"/>
    <x v="731"/>
    <x v="2"/>
    <d v="2020-11-22T00:00:00"/>
    <x v="2"/>
    <x v="7"/>
    <n v="9"/>
    <x v="7"/>
    <x v="7"/>
    <n v="180"/>
    <x v="488"/>
  </r>
  <r>
    <n v="2139"/>
    <x v="1597"/>
    <x v="1315"/>
    <s v="Mrs"/>
    <s v="F"/>
    <n v="30"/>
    <s v="Hart Street"/>
    <x v="828"/>
    <x v="15"/>
    <d v="2022-10-22T00:00:00"/>
    <x v="0"/>
    <x v="1"/>
    <n v="44"/>
    <x v="2"/>
    <x v="2"/>
    <n v="748"/>
    <x v="696"/>
  </r>
  <r>
    <n v="2140"/>
    <x v="1144"/>
    <x v="1316"/>
    <s v="Mr"/>
    <s v="M"/>
    <n v="90"/>
    <s v="Hartford Place"/>
    <x v="1018"/>
    <x v="20"/>
    <d v="2021-12-03T00:00:00"/>
    <x v="1"/>
    <x v="8"/>
    <n v="23"/>
    <x v="6"/>
    <x v="6"/>
    <n v="552"/>
    <x v="595"/>
  </r>
  <r>
    <n v="2141"/>
    <x v="34"/>
    <x v="1317"/>
    <s v="Miss"/>
    <s v="F"/>
    <n v="90"/>
    <s v="Hartham Close"/>
    <x v="1071"/>
    <x v="3"/>
    <d v="2020-08-23T00:00:00"/>
    <x v="2"/>
    <x v="3"/>
    <n v="51"/>
    <x v="8"/>
    <x v="8"/>
    <n v="1020"/>
    <x v="126"/>
  </r>
  <r>
    <n v="2142"/>
    <x v="1518"/>
    <x v="1314"/>
    <s v="Mrs"/>
    <s v="F"/>
    <n v="90"/>
    <s v="Hartham Close"/>
    <x v="474"/>
    <x v="2"/>
    <d v="2022-04-24T00:00:00"/>
    <x v="0"/>
    <x v="4"/>
    <n v="89"/>
    <x v="8"/>
    <x v="8"/>
    <n v="1780"/>
    <x v="854"/>
  </r>
  <r>
    <n v="2143"/>
    <x v="1598"/>
    <x v="1255"/>
    <s v="Mr"/>
    <s v="M"/>
    <n v="60"/>
    <s v="Hartland Close"/>
    <x v="1072"/>
    <x v="0"/>
    <d v="2021-11-05T00:00:00"/>
    <x v="1"/>
    <x v="7"/>
    <n v="76"/>
    <x v="6"/>
    <x v="6"/>
    <n v="1824"/>
    <x v="708"/>
  </r>
  <r>
    <n v="2144"/>
    <x v="1599"/>
    <x v="1072"/>
    <s v="Mr"/>
    <s v="M"/>
    <n v="90"/>
    <s v="Hartley Close"/>
    <x v="900"/>
    <x v="62"/>
    <d v="2020-09-10T00:00:00"/>
    <x v="2"/>
    <x v="9"/>
    <n v="45"/>
    <x v="1"/>
    <x v="1"/>
    <n v="1080"/>
    <x v="414"/>
  </r>
  <r>
    <n v="2145"/>
    <x v="1600"/>
    <x v="865"/>
    <s v="Mrs"/>
    <s v="F"/>
    <n v="30"/>
    <s v="Hartley Close"/>
    <x v="440"/>
    <x v="12"/>
    <d v="2021-07-27T00:00:00"/>
    <x v="1"/>
    <x v="0"/>
    <n v="91"/>
    <x v="7"/>
    <x v="7"/>
    <n v="1820"/>
    <x v="151"/>
  </r>
  <r>
    <n v="2146"/>
    <x v="1601"/>
    <x v="1318"/>
    <s v="Mrs"/>
    <s v="F"/>
    <n v="30"/>
    <s v="Hartley Close"/>
    <x v="656"/>
    <x v="2"/>
    <d v="2022-11-25T00:00:00"/>
    <x v="0"/>
    <x v="7"/>
    <n v="62"/>
    <x v="2"/>
    <x v="2"/>
    <n v="1054"/>
    <x v="802"/>
  </r>
  <r>
    <n v="2147"/>
    <x v="430"/>
    <x v="659"/>
    <s v="Mr"/>
    <s v="M"/>
    <n v="90"/>
    <s v="Hart'S Court"/>
    <x v="532"/>
    <x v="2"/>
    <d v="2022-03-17T00:00:00"/>
    <x v="0"/>
    <x v="5"/>
    <n v="13"/>
    <x v="0"/>
    <x v="0"/>
    <n v="260"/>
    <x v="1"/>
  </r>
  <r>
    <n v="2148"/>
    <x v="1602"/>
    <x v="461"/>
    <s v="Mrs"/>
    <s v="F"/>
    <n v="90"/>
    <s v="Hartsborn Lane"/>
    <x v="725"/>
    <x v="2"/>
    <d v="2020-10-30T00:00:00"/>
    <x v="2"/>
    <x v="1"/>
    <n v="7"/>
    <x v="3"/>
    <x v="3"/>
    <n v="168"/>
    <x v="33"/>
  </r>
  <r>
    <n v="2149"/>
    <x v="143"/>
    <x v="1092"/>
    <s v="Mr"/>
    <s v="M"/>
    <n v="30"/>
    <s v="Hartswood Gardens"/>
    <x v="575"/>
    <x v="2"/>
    <d v="2021-12-15T00:00:00"/>
    <x v="1"/>
    <x v="8"/>
    <n v="85"/>
    <x v="5"/>
    <x v="5"/>
    <n v="2040"/>
    <x v="88"/>
  </r>
  <r>
    <n v="2150"/>
    <x v="1603"/>
    <x v="968"/>
    <s v="Miss"/>
    <s v="F"/>
    <n v="30"/>
    <s v="Hartswood Gardens"/>
    <x v="294"/>
    <x v="2"/>
    <d v="2022-04-18T00:00:00"/>
    <x v="0"/>
    <x v="4"/>
    <n v="8"/>
    <x v="0"/>
    <x v="0"/>
    <n v="160"/>
    <x v="211"/>
  </r>
  <r>
    <n v="2151"/>
    <x v="1325"/>
    <x v="1319"/>
    <s v="Mr"/>
    <s v="M"/>
    <n v="60"/>
    <s v="Hartwell Drive"/>
    <x v="2"/>
    <x v="2"/>
    <d v="2020-02-02T00:00:00"/>
    <x v="2"/>
    <x v="10"/>
    <n v="17"/>
    <x v="7"/>
    <x v="7"/>
    <n v="340"/>
    <x v="505"/>
  </r>
  <r>
    <n v="2152"/>
    <x v="1604"/>
    <x v="309"/>
    <s v="Mrs"/>
    <s v="F"/>
    <n v="60"/>
    <s v="Harvard Court"/>
    <x v="353"/>
    <x v="2"/>
    <d v="2021-07-06T00:00:00"/>
    <x v="1"/>
    <x v="0"/>
    <n v="12"/>
    <x v="7"/>
    <x v="7"/>
    <n v="240"/>
    <x v="449"/>
  </r>
  <r>
    <n v="2153"/>
    <x v="1605"/>
    <x v="1182"/>
    <s v="Mr"/>
    <s v="M"/>
    <n v="30"/>
    <s v="Harveys Cottages"/>
    <x v="567"/>
    <x v="2"/>
    <d v="2022-05-08T00:00:00"/>
    <x v="0"/>
    <x v="11"/>
    <n v="33"/>
    <x v="3"/>
    <x v="3"/>
    <n v="792"/>
    <x v="442"/>
  </r>
  <r>
    <n v="2154"/>
    <x v="297"/>
    <x v="1320"/>
    <s v="Mr"/>
    <s v="M"/>
    <n v="30"/>
    <s v="Harwood Place"/>
    <x v="1037"/>
    <x v="17"/>
    <d v="2020-05-10T00:00:00"/>
    <x v="2"/>
    <x v="11"/>
    <n v="37"/>
    <x v="6"/>
    <x v="6"/>
    <n v="888"/>
    <x v="292"/>
  </r>
  <r>
    <n v="2155"/>
    <x v="399"/>
    <x v="510"/>
    <s v="Mrs"/>
    <s v="F"/>
    <n v="60"/>
    <s v="Harwood Place"/>
    <x v="1073"/>
    <x v="1"/>
    <d v="2020-02-01T00:00:00"/>
    <x v="2"/>
    <x v="10"/>
    <n v="44"/>
    <x v="3"/>
    <x v="3"/>
    <n v="1056"/>
    <x v="253"/>
  </r>
  <r>
    <n v="2156"/>
    <x v="1006"/>
    <x v="1321"/>
    <s v="Mr"/>
    <s v="M"/>
    <n v="30"/>
    <s v="Haseltine Road"/>
    <x v="1074"/>
    <x v="17"/>
    <d v="2021-03-14T00:00:00"/>
    <x v="1"/>
    <x v="5"/>
    <n v="69"/>
    <x v="9"/>
    <x v="9"/>
    <n v="1656"/>
    <x v="174"/>
  </r>
  <r>
    <n v="2157"/>
    <x v="233"/>
    <x v="1322"/>
    <s v="Mr"/>
    <s v="M"/>
    <n v="30"/>
    <s v="Haslam Close"/>
    <x v="86"/>
    <x v="17"/>
    <d v="2021-05-31T00:00:00"/>
    <x v="1"/>
    <x v="11"/>
    <n v="27"/>
    <x v="8"/>
    <x v="8"/>
    <n v="540"/>
    <x v="302"/>
  </r>
  <r>
    <n v="2158"/>
    <x v="13"/>
    <x v="1323"/>
    <s v="Mr"/>
    <s v="M"/>
    <n v="30"/>
    <s v="Haslemere Gardens"/>
    <x v="1075"/>
    <x v="16"/>
    <d v="2022-06-19T00:00:00"/>
    <x v="0"/>
    <x v="2"/>
    <n v="55"/>
    <x v="5"/>
    <x v="5"/>
    <n v="1320"/>
    <x v="29"/>
  </r>
  <r>
    <n v="2159"/>
    <x v="1606"/>
    <x v="814"/>
    <s v="Mrs"/>
    <s v="F"/>
    <n v="90"/>
    <s v="Hassop Road"/>
    <x v="547"/>
    <x v="72"/>
    <d v="2020-10-20T00:00:00"/>
    <x v="2"/>
    <x v="1"/>
    <n v="28"/>
    <x v="1"/>
    <x v="1"/>
    <n v="672"/>
    <x v="772"/>
  </r>
  <r>
    <n v="2160"/>
    <x v="640"/>
    <x v="1290"/>
    <s v="Mr"/>
    <s v="M"/>
    <n v="60"/>
    <s v="Hassop Road"/>
    <x v="78"/>
    <x v="2"/>
    <d v="2021-01-11T00:00:00"/>
    <x v="1"/>
    <x v="6"/>
    <n v="46"/>
    <x v="9"/>
    <x v="9"/>
    <n v="1104"/>
    <x v="783"/>
  </r>
  <r>
    <n v="2161"/>
    <x v="1607"/>
    <x v="1324"/>
    <s v="Mr"/>
    <s v="M"/>
    <n v="60"/>
    <s v="Hastings Road"/>
    <x v="210"/>
    <x v="2"/>
    <d v="2021-05-27T00:00:00"/>
    <x v="1"/>
    <x v="11"/>
    <n v="36"/>
    <x v="0"/>
    <x v="0"/>
    <n v="720"/>
    <x v="325"/>
  </r>
  <r>
    <n v="2162"/>
    <x v="136"/>
    <x v="69"/>
    <s v="Mr"/>
    <s v="M"/>
    <n v="60"/>
    <s v="Hatcham Soap"/>
    <x v="961"/>
    <x v="21"/>
    <d v="2021-09-13T00:00:00"/>
    <x v="1"/>
    <x v="9"/>
    <n v="88"/>
    <x v="3"/>
    <x v="3"/>
    <n v="2112"/>
    <x v="697"/>
  </r>
  <r>
    <n v="2163"/>
    <x v="73"/>
    <x v="723"/>
    <s v="Mr"/>
    <s v="M"/>
    <n v="60"/>
    <s v="Hatcham Soap"/>
    <x v="345"/>
    <x v="2"/>
    <d v="2020-06-09T00:00:00"/>
    <x v="2"/>
    <x v="2"/>
    <n v="85"/>
    <x v="3"/>
    <x v="3"/>
    <n v="2040"/>
    <x v="573"/>
  </r>
  <r>
    <n v="2164"/>
    <x v="169"/>
    <x v="848"/>
    <s v="Mr"/>
    <s v="M"/>
    <n v="90"/>
    <s v="Hatchard Road"/>
    <x v="707"/>
    <x v="2"/>
    <d v="2020-11-03T00:00:00"/>
    <x v="2"/>
    <x v="7"/>
    <n v="35"/>
    <x v="2"/>
    <x v="2"/>
    <n v="595"/>
    <x v="386"/>
  </r>
  <r>
    <n v="2165"/>
    <x v="1600"/>
    <x v="1303"/>
    <s v="Mrs"/>
    <s v="F"/>
    <n v="60"/>
    <s v="Hatherley Street"/>
    <x v="1042"/>
    <x v="1"/>
    <d v="2020-02-25T00:00:00"/>
    <x v="2"/>
    <x v="10"/>
    <n v="39"/>
    <x v="1"/>
    <x v="1"/>
    <n v="936"/>
    <x v="574"/>
  </r>
  <r>
    <n v="2166"/>
    <x v="1608"/>
    <x v="900"/>
    <s v="Miss"/>
    <s v="F"/>
    <n v="30"/>
    <s v="Haths Buildings"/>
    <x v="544"/>
    <x v="2"/>
    <d v="2022-12-04T00:00:00"/>
    <x v="0"/>
    <x v="8"/>
    <n v="5"/>
    <x v="4"/>
    <x v="4"/>
    <n v="90"/>
    <x v="10"/>
  </r>
  <r>
    <n v="2167"/>
    <x v="1140"/>
    <x v="705"/>
    <s v="Mr"/>
    <s v="M"/>
    <n v="30"/>
    <s v="Hatton Yard"/>
    <x v="529"/>
    <x v="44"/>
    <d v="2021-07-16T00:00:00"/>
    <x v="1"/>
    <x v="0"/>
    <n v="18"/>
    <x v="8"/>
    <x v="8"/>
    <n v="360"/>
    <x v="24"/>
  </r>
  <r>
    <n v="2168"/>
    <x v="1609"/>
    <x v="40"/>
    <s v="Ms"/>
    <s v="F"/>
    <n v="30"/>
    <s v="Hauchmond"/>
    <x v="723"/>
    <x v="2"/>
    <d v="2021-10-09T00:00:00"/>
    <x v="1"/>
    <x v="1"/>
    <n v="44"/>
    <x v="0"/>
    <x v="0"/>
    <n v="880"/>
    <x v="529"/>
  </r>
  <r>
    <n v="2169"/>
    <x v="1610"/>
    <x v="1325"/>
    <s v="Miss"/>
    <s v="F"/>
    <n v="60"/>
    <s v="Havelock Cottages"/>
    <x v="423"/>
    <x v="53"/>
    <d v="2021-12-28T00:00:00"/>
    <x v="1"/>
    <x v="8"/>
    <n v="31"/>
    <x v="6"/>
    <x v="6"/>
    <n v="744"/>
    <x v="450"/>
  </r>
  <r>
    <n v="2170"/>
    <x v="9"/>
    <x v="197"/>
    <s v="Mr"/>
    <s v="M"/>
    <n v="30"/>
    <s v="Havelock Place"/>
    <x v="446"/>
    <x v="44"/>
    <d v="2021-04-24T00:00:00"/>
    <x v="1"/>
    <x v="4"/>
    <n v="51"/>
    <x v="9"/>
    <x v="9"/>
    <n v="1224"/>
    <x v="804"/>
  </r>
  <r>
    <n v="2171"/>
    <x v="1611"/>
    <x v="173"/>
    <s v="Miss"/>
    <s v="F"/>
    <n v="60"/>
    <s v="Haverstock Hill"/>
    <x v="527"/>
    <x v="2"/>
    <d v="2022-11-05T00:00:00"/>
    <x v="0"/>
    <x v="7"/>
    <n v="65"/>
    <x v="5"/>
    <x v="5"/>
    <n v="1560"/>
    <x v="140"/>
  </r>
  <r>
    <n v="2172"/>
    <x v="1612"/>
    <x v="1326"/>
    <s v="Mr"/>
    <s v="M"/>
    <n v="30"/>
    <s v="Havil Place"/>
    <x v="1076"/>
    <x v="2"/>
    <d v="2022-07-31T00:00:00"/>
    <x v="0"/>
    <x v="0"/>
    <n v="2"/>
    <x v="6"/>
    <x v="6"/>
    <n v="48"/>
    <x v="728"/>
  </r>
  <r>
    <n v="2173"/>
    <x v="1613"/>
    <x v="1327"/>
    <s v="Miss"/>
    <s v="F"/>
    <n v="60"/>
    <s v="Hawarden Hill"/>
    <x v="149"/>
    <x v="1"/>
    <d v="2020-02-23T00:00:00"/>
    <x v="2"/>
    <x v="10"/>
    <n v="46"/>
    <x v="7"/>
    <x v="7"/>
    <n v="920"/>
    <x v="681"/>
  </r>
  <r>
    <n v="2174"/>
    <x v="320"/>
    <x v="808"/>
    <s v="Mr"/>
    <s v="M"/>
    <n v="90"/>
    <s v="Hawarden Hill"/>
    <x v="316"/>
    <x v="2"/>
    <d v="2020-10-04T00:00:00"/>
    <x v="2"/>
    <x v="1"/>
    <n v="16"/>
    <x v="5"/>
    <x v="5"/>
    <n v="384"/>
    <x v="731"/>
  </r>
  <r>
    <n v="2175"/>
    <x v="1614"/>
    <x v="426"/>
    <s v="Mrs"/>
    <s v="F"/>
    <n v="30"/>
    <s v="Hawarden Road"/>
    <x v="1001"/>
    <x v="17"/>
    <d v="2022-12-06T00:00:00"/>
    <x v="0"/>
    <x v="8"/>
    <n v="19"/>
    <x v="5"/>
    <x v="5"/>
    <n v="456"/>
    <x v="268"/>
  </r>
  <r>
    <n v="2176"/>
    <x v="1394"/>
    <x v="171"/>
    <s v="Mr"/>
    <s v="M"/>
    <n v="30"/>
    <s v="Hawbridge Road"/>
    <x v="99"/>
    <x v="2"/>
    <d v="2020-09-11T00:00:00"/>
    <x v="2"/>
    <x v="9"/>
    <n v="14"/>
    <x v="0"/>
    <x v="0"/>
    <n v="280"/>
    <x v="22"/>
  </r>
  <r>
    <n v="2177"/>
    <x v="1615"/>
    <x v="1328"/>
    <s v="Miss"/>
    <s v="F"/>
    <n v="90"/>
    <s v="Hawes Lane"/>
    <x v="1077"/>
    <x v="2"/>
    <d v="2020-05-12T00:00:00"/>
    <x v="2"/>
    <x v="11"/>
    <n v="9"/>
    <x v="4"/>
    <x v="4"/>
    <n v="162"/>
    <x v="890"/>
  </r>
  <r>
    <n v="2178"/>
    <x v="1616"/>
    <x v="490"/>
    <s v="Mrs"/>
    <s v="F"/>
    <n v="30"/>
    <s v="Hawkins Street"/>
    <x v="1078"/>
    <x v="2"/>
    <d v="2020-10-08T00:00:00"/>
    <x v="2"/>
    <x v="1"/>
    <n v="10"/>
    <x v="1"/>
    <x v="1"/>
    <n v="240"/>
    <x v="891"/>
  </r>
  <r>
    <n v="2179"/>
    <x v="1612"/>
    <x v="406"/>
    <s v="Mr"/>
    <s v="M"/>
    <n v="90"/>
    <s v="Hawkley Gardens"/>
    <x v="1079"/>
    <x v="0"/>
    <d v="2022-10-20T00:00:00"/>
    <x v="0"/>
    <x v="1"/>
    <n v="14"/>
    <x v="8"/>
    <x v="8"/>
    <n v="280"/>
    <x v="35"/>
  </r>
  <r>
    <n v="2180"/>
    <x v="1617"/>
    <x v="1329"/>
    <s v="Mrs"/>
    <s v="F"/>
    <n v="90"/>
    <s v="Hawkshaw Close"/>
    <x v="893"/>
    <x v="2"/>
    <d v="2021-04-18T00:00:00"/>
    <x v="1"/>
    <x v="4"/>
    <n v="84"/>
    <x v="8"/>
    <x v="8"/>
    <n v="1680"/>
    <x v="816"/>
  </r>
  <r>
    <n v="2181"/>
    <x v="939"/>
    <x v="1330"/>
    <s v="Mr"/>
    <s v="M"/>
    <n v="60"/>
    <s v="Hawkwell Walk"/>
    <x v="691"/>
    <x v="2"/>
    <d v="2020-08-24T00:00:00"/>
    <x v="2"/>
    <x v="3"/>
    <n v="84"/>
    <x v="8"/>
    <x v="8"/>
    <n v="1680"/>
    <x v="816"/>
  </r>
  <r>
    <n v="2182"/>
    <x v="1618"/>
    <x v="410"/>
    <s v="Mr"/>
    <s v="M"/>
    <n v="60"/>
    <s v="Hawkwood Crescent"/>
    <x v="475"/>
    <x v="62"/>
    <d v="2022-08-18T00:00:00"/>
    <x v="0"/>
    <x v="3"/>
    <n v="3"/>
    <x v="4"/>
    <x v="4"/>
    <n v="54"/>
    <x v="368"/>
  </r>
  <r>
    <n v="2183"/>
    <x v="1619"/>
    <x v="149"/>
    <s v="Mrs"/>
    <s v="F"/>
    <n v="60"/>
    <s v="Hawkwood Mount"/>
    <x v="695"/>
    <x v="2"/>
    <d v="2021-10-05T00:00:00"/>
    <x v="1"/>
    <x v="1"/>
    <n v="78"/>
    <x v="9"/>
    <x v="9"/>
    <n v="1872"/>
    <x v="353"/>
  </r>
  <r>
    <n v="2184"/>
    <x v="1620"/>
    <x v="317"/>
    <s v="Mr"/>
    <s v="M"/>
    <n v="60"/>
    <s v="Hawthorn Crescent"/>
    <x v="1080"/>
    <x v="44"/>
    <d v="2021-01-22T00:00:00"/>
    <x v="1"/>
    <x v="6"/>
    <n v="13"/>
    <x v="2"/>
    <x v="2"/>
    <n v="221"/>
    <x v="877"/>
  </r>
  <r>
    <n v="2185"/>
    <x v="1621"/>
    <x v="184"/>
    <s v="Miss"/>
    <s v="F"/>
    <n v="90"/>
    <s v="Hawthorn Crescent"/>
    <x v="80"/>
    <x v="2"/>
    <d v="2020-11-14T00:00:00"/>
    <x v="2"/>
    <x v="7"/>
    <n v="62"/>
    <x v="5"/>
    <x v="5"/>
    <n v="1488"/>
    <x v="777"/>
  </r>
  <r>
    <n v="2186"/>
    <x v="235"/>
    <x v="747"/>
    <s v="Mr"/>
    <s v="M"/>
    <n v="30"/>
    <s v="Hawthorn Mews"/>
    <x v="997"/>
    <x v="2"/>
    <d v="2020-12-06T00:00:00"/>
    <x v="2"/>
    <x v="8"/>
    <n v="80"/>
    <x v="9"/>
    <x v="9"/>
    <n v="1920"/>
    <x v="176"/>
  </r>
  <r>
    <n v="2187"/>
    <x v="229"/>
    <x v="843"/>
    <s v="Mr"/>
    <s v="M"/>
    <n v="60"/>
    <s v="Hawthorne Close"/>
    <x v="651"/>
    <x v="11"/>
    <d v="2020-03-06T00:00:00"/>
    <x v="2"/>
    <x v="5"/>
    <n v="7"/>
    <x v="6"/>
    <x v="6"/>
    <n v="168"/>
    <x v="654"/>
  </r>
  <r>
    <n v="2188"/>
    <x v="1622"/>
    <x v="1331"/>
    <s v="Mrs"/>
    <s v="F"/>
    <n v="90"/>
    <s v="Hawtrey Road"/>
    <x v="717"/>
    <x v="2"/>
    <d v="2020-09-06T00:00:00"/>
    <x v="2"/>
    <x v="9"/>
    <n v="2"/>
    <x v="9"/>
    <x v="9"/>
    <n v="48"/>
    <x v="872"/>
  </r>
  <r>
    <n v="2189"/>
    <x v="1623"/>
    <x v="197"/>
    <s v="Prof"/>
    <s v="M"/>
    <n v="90"/>
    <s v="Hay Street"/>
    <x v="1081"/>
    <x v="2"/>
    <d v="2021-09-12T00:00:00"/>
    <x v="1"/>
    <x v="9"/>
    <n v="76"/>
    <x v="6"/>
    <x v="6"/>
    <n v="1824"/>
    <x v="708"/>
  </r>
  <r>
    <n v="2190"/>
    <x v="937"/>
    <x v="188"/>
    <s v="Mr"/>
    <s v="M"/>
    <n v="60"/>
    <s v="Haydon Park"/>
    <x v="988"/>
    <x v="3"/>
    <d v="2022-03-18T00:00:00"/>
    <x v="0"/>
    <x v="5"/>
    <n v="18"/>
    <x v="1"/>
    <x v="1"/>
    <n v="432"/>
    <x v="39"/>
  </r>
  <r>
    <n v="2191"/>
    <x v="908"/>
    <x v="676"/>
    <s v="Mr"/>
    <s v="M"/>
    <n v="60"/>
    <s v="Hayes Cottages"/>
    <x v="695"/>
    <x v="2"/>
    <d v="2022-06-19T00:00:00"/>
    <x v="0"/>
    <x v="2"/>
    <n v="70"/>
    <x v="5"/>
    <x v="5"/>
    <n v="1680"/>
    <x v="104"/>
  </r>
  <r>
    <n v="2192"/>
    <x v="43"/>
    <x v="1332"/>
    <s v="Mr"/>
    <s v="M"/>
    <n v="60"/>
    <s v="Hayles Terrace"/>
    <x v="351"/>
    <x v="16"/>
    <d v="2021-06-12T00:00:00"/>
    <x v="1"/>
    <x v="2"/>
    <n v="19"/>
    <x v="9"/>
    <x v="9"/>
    <n v="456"/>
    <x v="418"/>
  </r>
  <r>
    <n v="2193"/>
    <x v="1624"/>
    <x v="1333"/>
    <s v="Mrs"/>
    <s v="F"/>
    <n v="30"/>
    <s v="Haymerle Road"/>
    <x v="803"/>
    <x v="11"/>
    <d v="2020-05-06T00:00:00"/>
    <x v="2"/>
    <x v="11"/>
    <n v="77"/>
    <x v="2"/>
    <x v="2"/>
    <n v="1309"/>
    <x v="79"/>
  </r>
  <r>
    <n v="2194"/>
    <x v="1625"/>
    <x v="133"/>
    <s v="Miss"/>
    <s v="F"/>
    <n v="30"/>
    <s v="Haynes Court"/>
    <x v="1082"/>
    <x v="21"/>
    <d v="2020-03-25T00:00:00"/>
    <x v="2"/>
    <x v="5"/>
    <n v="45"/>
    <x v="1"/>
    <x v="1"/>
    <n v="1080"/>
    <x v="414"/>
  </r>
  <r>
    <n v="2195"/>
    <x v="1626"/>
    <x v="1029"/>
    <s v="Mrs"/>
    <s v="F"/>
    <n v="60"/>
    <s v="Hays Court"/>
    <x v="620"/>
    <x v="17"/>
    <d v="2022-07-07T00:00:00"/>
    <x v="0"/>
    <x v="0"/>
    <n v="76"/>
    <x v="8"/>
    <x v="8"/>
    <n v="1520"/>
    <x v="808"/>
  </r>
  <r>
    <n v="2196"/>
    <x v="1627"/>
    <x v="1334"/>
    <s v="Mr"/>
    <s v="M"/>
    <n v="90"/>
    <s v="Haysleigh Gardens"/>
    <x v="41"/>
    <x v="11"/>
    <d v="2022-03-26T00:00:00"/>
    <x v="0"/>
    <x v="5"/>
    <n v="81"/>
    <x v="1"/>
    <x v="1"/>
    <n v="1944"/>
    <x v="125"/>
  </r>
  <r>
    <n v="2197"/>
    <x v="1628"/>
    <x v="1335"/>
    <s v="Mr"/>
    <s v="M"/>
    <n v="90"/>
    <s v="Haywards Yard"/>
    <x v="247"/>
    <x v="2"/>
    <d v="2021-12-02T00:00:00"/>
    <x v="1"/>
    <x v="8"/>
    <n v="47"/>
    <x v="0"/>
    <x v="0"/>
    <n v="940"/>
    <x v="421"/>
  </r>
  <r>
    <n v="2198"/>
    <x v="1194"/>
    <x v="1336"/>
    <s v="Miss"/>
    <s v="F"/>
    <n v="90"/>
    <s v="Hazel Court"/>
    <x v="1083"/>
    <x v="2"/>
    <d v="2020-12-30T00:00:00"/>
    <x v="2"/>
    <x v="8"/>
    <n v="33"/>
    <x v="4"/>
    <x v="4"/>
    <n v="594"/>
    <x v="469"/>
  </r>
  <r>
    <n v="2199"/>
    <x v="1629"/>
    <x v="1337"/>
    <s v="Miss"/>
    <s v="F"/>
    <n v="30"/>
    <s v="Hazeldean Road"/>
    <x v="75"/>
    <x v="2"/>
    <d v="2021-07-13T00:00:00"/>
    <x v="1"/>
    <x v="0"/>
    <n v="3"/>
    <x v="7"/>
    <x v="7"/>
    <n v="60"/>
    <x v="258"/>
  </r>
  <r>
    <n v="2200"/>
    <x v="1630"/>
    <x v="1338"/>
    <s v="Miss"/>
    <s v="F"/>
    <n v="30"/>
    <s v="Hazellville Road"/>
    <x v="1084"/>
    <x v="11"/>
    <d v="2020-11-08T00:00:00"/>
    <x v="2"/>
    <x v="7"/>
    <n v="46"/>
    <x v="2"/>
    <x v="2"/>
    <n v="782"/>
    <x v="38"/>
  </r>
  <r>
    <n v="2201"/>
    <x v="1631"/>
    <x v="1339"/>
    <s v="Mr"/>
    <s v="M"/>
    <n v="60"/>
    <s v="Hazlitt Mews"/>
    <x v="727"/>
    <x v="2"/>
    <d v="2022-02-11T00:00:00"/>
    <x v="0"/>
    <x v="10"/>
    <n v="62"/>
    <x v="2"/>
    <x v="2"/>
    <n v="1054"/>
    <x v="802"/>
  </r>
  <r>
    <n v="2202"/>
    <x v="1632"/>
    <x v="1175"/>
    <s v="Mrs"/>
    <s v="F"/>
    <n v="30"/>
    <s v="Hearns Or"/>
    <x v="664"/>
    <x v="21"/>
    <d v="2020-08-21T00:00:00"/>
    <x v="2"/>
    <x v="3"/>
    <n v="64"/>
    <x v="3"/>
    <x v="3"/>
    <n v="1536"/>
    <x v="710"/>
  </r>
  <r>
    <n v="2203"/>
    <x v="1471"/>
    <x v="1340"/>
    <s v="Mr"/>
    <s v="M"/>
    <n v="30"/>
    <s v="Hearns Place"/>
    <x v="628"/>
    <x v="58"/>
    <d v="2021-07-01T00:00:00"/>
    <x v="1"/>
    <x v="0"/>
    <n v="26"/>
    <x v="5"/>
    <x v="5"/>
    <n v="624"/>
    <x v="559"/>
  </r>
  <r>
    <n v="2204"/>
    <x v="1633"/>
    <x v="838"/>
    <s v="Miss"/>
    <s v="F"/>
    <n v="30"/>
    <s v="Hearsey Place"/>
    <x v="513"/>
    <x v="16"/>
    <d v="2021-03-27T00:00:00"/>
    <x v="1"/>
    <x v="5"/>
    <n v="23"/>
    <x v="9"/>
    <x v="9"/>
    <n v="552"/>
    <x v="60"/>
  </r>
  <r>
    <n v="2205"/>
    <x v="1634"/>
    <x v="288"/>
    <s v="Mr"/>
    <s v="M"/>
    <n v="30"/>
    <s v="Hearsey Place"/>
    <x v="141"/>
    <x v="2"/>
    <d v="2020-05-24T00:00:00"/>
    <x v="2"/>
    <x v="11"/>
    <n v="37"/>
    <x v="3"/>
    <x v="3"/>
    <n v="888"/>
    <x v="562"/>
  </r>
  <r>
    <n v="2206"/>
    <x v="189"/>
    <x v="877"/>
    <s v="Mr"/>
    <s v="M"/>
    <n v="90"/>
    <s v="Heath Hurst"/>
    <x v="790"/>
    <x v="15"/>
    <d v="2021-02-19T00:00:00"/>
    <x v="1"/>
    <x v="10"/>
    <n v="72"/>
    <x v="3"/>
    <x v="3"/>
    <n v="1728"/>
    <x v="173"/>
  </r>
  <r>
    <n v="2207"/>
    <x v="1635"/>
    <x v="680"/>
    <s v="Mrs"/>
    <s v="F"/>
    <n v="30"/>
    <s v="Heathcote Street"/>
    <x v="60"/>
    <x v="2"/>
    <d v="2020-05-08T00:00:00"/>
    <x v="2"/>
    <x v="11"/>
    <n v="17"/>
    <x v="1"/>
    <x v="1"/>
    <n v="408"/>
    <x v="179"/>
  </r>
  <r>
    <n v="2208"/>
    <x v="102"/>
    <x v="1341"/>
    <s v="Mrs"/>
    <s v="F"/>
    <n v="60"/>
    <s v="Heatherbank"/>
    <x v="1085"/>
    <x v="2"/>
    <d v="2020-11-18T00:00:00"/>
    <x v="2"/>
    <x v="7"/>
    <n v="71"/>
    <x v="8"/>
    <x v="8"/>
    <n v="1420"/>
    <x v="848"/>
  </r>
  <r>
    <n v="2209"/>
    <x v="340"/>
    <x v="334"/>
    <s v="Mr"/>
    <s v="M"/>
    <n v="90"/>
    <s v="Heathpoool Street"/>
    <x v="987"/>
    <x v="2"/>
    <d v="2021-04-19T00:00:00"/>
    <x v="1"/>
    <x v="4"/>
    <n v="69"/>
    <x v="0"/>
    <x v="0"/>
    <n v="1380"/>
    <x v="497"/>
  </r>
  <r>
    <n v="2210"/>
    <x v="1636"/>
    <x v="1064"/>
    <s v="Miss"/>
    <s v="F"/>
    <n v="30"/>
    <s v="Heathview Gardens"/>
    <x v="1086"/>
    <x v="2"/>
    <d v="2022-02-18T00:00:00"/>
    <x v="0"/>
    <x v="10"/>
    <n v="17"/>
    <x v="4"/>
    <x v="4"/>
    <n v="306"/>
    <x v="567"/>
  </r>
  <r>
    <n v="2211"/>
    <x v="50"/>
    <x v="1330"/>
    <s v="Mr"/>
    <s v="M"/>
    <n v="60"/>
    <s v="Heathwood Gardens"/>
    <x v="363"/>
    <x v="11"/>
    <d v="2020-02-03T00:00:00"/>
    <x v="2"/>
    <x v="10"/>
    <n v="25"/>
    <x v="6"/>
    <x v="6"/>
    <n v="600"/>
    <x v="130"/>
  </r>
  <r>
    <n v="2212"/>
    <x v="454"/>
    <x v="394"/>
    <s v="Miss"/>
    <s v="F"/>
    <n v="90"/>
    <s v="Hebden Terrace"/>
    <x v="679"/>
    <x v="44"/>
    <d v="2020-01-04T00:00:00"/>
    <x v="2"/>
    <x v="6"/>
    <n v="62"/>
    <x v="6"/>
    <x v="6"/>
    <n v="1488"/>
    <x v="343"/>
  </r>
  <r>
    <n v="2213"/>
    <x v="1637"/>
    <x v="861"/>
    <s v="Mrs"/>
    <s v="F"/>
    <n v="60"/>
    <s v="Hebron Road"/>
    <x v="97"/>
    <x v="17"/>
    <d v="2021-08-25T00:00:00"/>
    <x v="1"/>
    <x v="3"/>
    <n v="73"/>
    <x v="8"/>
    <x v="8"/>
    <n v="1460"/>
    <x v="830"/>
  </r>
  <r>
    <n v="2214"/>
    <x v="1638"/>
    <x v="154"/>
    <s v="Mrs"/>
    <s v="F"/>
    <n v="30"/>
    <s v="Heddington Grove"/>
    <x v="945"/>
    <x v="9"/>
    <d v="2020-03-08T00:00:00"/>
    <x v="2"/>
    <x v="5"/>
    <n v="40"/>
    <x v="6"/>
    <x v="6"/>
    <n v="960"/>
    <x v="598"/>
  </r>
  <r>
    <n v="2215"/>
    <x v="598"/>
    <x v="710"/>
    <s v="Mr"/>
    <s v="M"/>
    <n v="30"/>
    <s v="Heiron Street"/>
    <x v="873"/>
    <x v="13"/>
    <d v="2021-12-05T00:00:00"/>
    <x v="1"/>
    <x v="8"/>
    <n v="34"/>
    <x v="7"/>
    <x v="7"/>
    <n v="680"/>
    <x v="303"/>
  </r>
  <r>
    <n v="2216"/>
    <x v="1639"/>
    <x v="506"/>
    <s v="Mrs"/>
    <s v="F"/>
    <n v="60"/>
    <s v="Heliport Industrial"/>
    <x v="304"/>
    <x v="16"/>
    <d v="2021-08-20T00:00:00"/>
    <x v="1"/>
    <x v="3"/>
    <n v="52"/>
    <x v="5"/>
    <x v="5"/>
    <n v="1248"/>
    <x v="839"/>
  </r>
  <r>
    <n v="2217"/>
    <x v="1640"/>
    <x v="317"/>
    <s v="Miss"/>
    <s v="F"/>
    <n v="30"/>
    <s v="Helmet Court"/>
    <x v="836"/>
    <x v="20"/>
    <d v="2021-05-03T00:00:00"/>
    <x v="1"/>
    <x v="11"/>
    <n v="83"/>
    <x v="8"/>
    <x v="8"/>
    <n v="1660"/>
    <x v="14"/>
  </r>
  <r>
    <n v="2218"/>
    <x v="257"/>
    <x v="491"/>
    <s v="Mr"/>
    <s v="M"/>
    <n v="30"/>
    <s v="Helmsley Place"/>
    <x v="589"/>
    <x v="65"/>
    <d v="2020-08-07T00:00:00"/>
    <x v="2"/>
    <x v="3"/>
    <n v="52"/>
    <x v="7"/>
    <x v="7"/>
    <n v="1040"/>
    <x v="892"/>
  </r>
  <r>
    <n v="2219"/>
    <x v="306"/>
    <x v="1166"/>
    <s v="Mrs"/>
    <s v="F"/>
    <n v="60"/>
    <s v="Hemings Row"/>
    <x v="104"/>
    <x v="2"/>
    <d v="2021-08-16T00:00:00"/>
    <x v="1"/>
    <x v="3"/>
    <n v="37"/>
    <x v="6"/>
    <x v="6"/>
    <n v="888"/>
    <x v="292"/>
  </r>
  <r>
    <n v="2220"/>
    <x v="1153"/>
    <x v="911"/>
    <s v="Mr"/>
    <s v="M"/>
    <n v="90"/>
    <s v="Hemus Terrace"/>
    <x v="311"/>
    <x v="2"/>
    <d v="2022-05-04T00:00:00"/>
    <x v="0"/>
    <x v="11"/>
    <n v="54"/>
    <x v="8"/>
    <x v="8"/>
    <n v="1080"/>
    <x v="712"/>
  </r>
  <r>
    <n v="2221"/>
    <x v="1278"/>
    <x v="477"/>
    <s v="Mr"/>
    <s v="M"/>
    <n v="30"/>
    <s v="Hen &amp;"/>
    <x v="1087"/>
    <x v="1"/>
    <d v="2020-10-16T00:00:00"/>
    <x v="2"/>
    <x v="1"/>
    <n v="81"/>
    <x v="9"/>
    <x v="9"/>
    <n v="1944"/>
    <x v="836"/>
  </r>
  <r>
    <n v="2222"/>
    <x v="1485"/>
    <x v="515"/>
    <s v="Mr"/>
    <s v="M"/>
    <n v="30"/>
    <s v="Hendham Road"/>
    <x v="12"/>
    <x v="8"/>
    <d v="2020-03-11T00:00:00"/>
    <x v="2"/>
    <x v="5"/>
    <n v="26"/>
    <x v="7"/>
    <x v="7"/>
    <n v="520"/>
    <x v="110"/>
  </r>
  <r>
    <n v="2223"/>
    <x v="1013"/>
    <x v="650"/>
    <s v="Mrs"/>
    <s v="F"/>
    <n v="30"/>
    <s v="Hendon Wood"/>
    <x v="32"/>
    <x v="17"/>
    <d v="2021-05-23T00:00:00"/>
    <x v="1"/>
    <x v="11"/>
    <n v="89"/>
    <x v="6"/>
    <x v="6"/>
    <n v="2136"/>
    <x v="820"/>
  </r>
  <r>
    <n v="2224"/>
    <x v="193"/>
    <x v="763"/>
    <s v="Mrs"/>
    <s v="F"/>
    <n v="60"/>
    <s v="Henerietta Cottages"/>
    <x v="856"/>
    <x v="53"/>
    <d v="2020-11-28T00:00:00"/>
    <x v="2"/>
    <x v="7"/>
    <n v="83"/>
    <x v="5"/>
    <x v="5"/>
    <n v="1992"/>
    <x v="686"/>
  </r>
  <r>
    <n v="2225"/>
    <x v="1641"/>
    <x v="407"/>
    <s v="Mr"/>
    <s v="M"/>
    <n v="60"/>
    <s v="Henerietta Cottages"/>
    <x v="86"/>
    <x v="17"/>
    <d v="2020-05-05T00:00:00"/>
    <x v="2"/>
    <x v="11"/>
    <n v="18"/>
    <x v="0"/>
    <x v="0"/>
    <n v="360"/>
    <x v="18"/>
  </r>
  <r>
    <n v="2226"/>
    <x v="1642"/>
    <x v="1342"/>
    <s v="Miss"/>
    <s v="F"/>
    <n v="30"/>
    <s v="Hengrave Road"/>
    <x v="334"/>
    <x v="1"/>
    <d v="2020-09-18T00:00:00"/>
    <x v="2"/>
    <x v="9"/>
    <n v="55"/>
    <x v="7"/>
    <x v="7"/>
    <n v="1100"/>
    <x v="216"/>
  </r>
  <r>
    <n v="2227"/>
    <x v="1643"/>
    <x v="1343"/>
    <s v="Miss"/>
    <s v="F"/>
    <n v="90"/>
    <s v="Henniker Gardens"/>
    <x v="1076"/>
    <x v="2"/>
    <d v="2020-05-25T00:00:00"/>
    <x v="2"/>
    <x v="11"/>
    <n v="22"/>
    <x v="9"/>
    <x v="9"/>
    <n v="528"/>
    <x v="625"/>
  </r>
  <r>
    <n v="2228"/>
    <x v="1644"/>
    <x v="1344"/>
    <s v="Prof"/>
    <s v="M"/>
    <n v="30"/>
    <s v="Henning Street"/>
    <x v="146"/>
    <x v="2"/>
    <d v="2022-03-30T00:00:00"/>
    <x v="0"/>
    <x v="5"/>
    <n v="44"/>
    <x v="1"/>
    <x v="1"/>
    <n v="1056"/>
    <x v="45"/>
  </r>
  <r>
    <n v="2229"/>
    <x v="1645"/>
    <x v="590"/>
    <s v="Miss"/>
    <s v="F"/>
    <n v="60"/>
    <s v="Henrietta Place"/>
    <x v="787"/>
    <x v="17"/>
    <d v="2022-07-22T00:00:00"/>
    <x v="0"/>
    <x v="0"/>
    <n v="87"/>
    <x v="3"/>
    <x v="3"/>
    <n v="2088"/>
    <x v="893"/>
  </r>
  <r>
    <n v="2230"/>
    <x v="1646"/>
    <x v="1345"/>
    <s v="Ms"/>
    <s v="F"/>
    <n v="90"/>
    <s v="Henry Street"/>
    <x v="825"/>
    <x v="2"/>
    <d v="2022-12-23T00:00:00"/>
    <x v="0"/>
    <x v="8"/>
    <n v="22"/>
    <x v="7"/>
    <x v="7"/>
    <n v="440"/>
    <x v="588"/>
  </r>
  <r>
    <n v="2231"/>
    <x v="1647"/>
    <x v="1346"/>
    <s v="Ms"/>
    <s v="F"/>
    <n v="60"/>
    <s v="Hensford Gardens"/>
    <x v="251"/>
    <x v="2"/>
    <d v="2021-06-13T00:00:00"/>
    <x v="1"/>
    <x v="2"/>
    <n v="12"/>
    <x v="2"/>
    <x v="2"/>
    <n v="204"/>
    <x v="578"/>
  </r>
  <r>
    <n v="2232"/>
    <x v="1648"/>
    <x v="833"/>
    <s v="Mr"/>
    <s v="M"/>
    <n v="30"/>
    <s v="Henton Court"/>
    <x v="920"/>
    <x v="21"/>
    <d v="2022-02-24T00:00:00"/>
    <x v="0"/>
    <x v="10"/>
    <n v="73"/>
    <x v="9"/>
    <x v="9"/>
    <n v="1752"/>
    <x v="152"/>
  </r>
  <r>
    <n v="2233"/>
    <x v="1649"/>
    <x v="1347"/>
    <s v="Mr"/>
    <s v="M"/>
    <n v="30"/>
    <s v="Henty Walk"/>
    <x v="1088"/>
    <x v="10"/>
    <d v="2020-06-29T00:00:00"/>
    <x v="2"/>
    <x v="2"/>
    <n v="58"/>
    <x v="9"/>
    <x v="9"/>
    <n v="1392"/>
    <x v="655"/>
  </r>
  <r>
    <n v="2234"/>
    <x v="1650"/>
    <x v="1221"/>
    <s v="Mr"/>
    <s v="M"/>
    <n v="30"/>
    <s v="Henwick Rd"/>
    <x v="146"/>
    <x v="2"/>
    <d v="2020-07-02T00:00:00"/>
    <x v="2"/>
    <x v="0"/>
    <n v="31"/>
    <x v="1"/>
    <x v="1"/>
    <n v="744"/>
    <x v="59"/>
  </r>
  <r>
    <n v="2235"/>
    <x v="1651"/>
    <x v="1055"/>
    <s v="Mr"/>
    <s v="M"/>
    <n v="30"/>
    <s v="Henwick Road"/>
    <x v="429"/>
    <x v="1"/>
    <d v="2022-01-22T00:00:00"/>
    <x v="0"/>
    <x v="6"/>
    <n v="74"/>
    <x v="3"/>
    <x v="3"/>
    <n v="1776"/>
    <x v="894"/>
  </r>
  <r>
    <n v="2236"/>
    <x v="1559"/>
    <x v="657"/>
    <s v="Mrs"/>
    <s v="F"/>
    <n v="30"/>
    <s v="Henwood Road"/>
    <x v="1089"/>
    <x v="3"/>
    <d v="2021-02-26T00:00:00"/>
    <x v="1"/>
    <x v="10"/>
    <n v="30"/>
    <x v="9"/>
    <x v="9"/>
    <n v="720"/>
    <x v="886"/>
  </r>
  <r>
    <n v="2237"/>
    <x v="1196"/>
    <x v="921"/>
    <s v="Mr"/>
    <s v="M"/>
    <n v="90"/>
    <s v="Hepworth Road"/>
    <x v="343"/>
    <x v="56"/>
    <d v="2020-12-01T00:00:00"/>
    <x v="2"/>
    <x v="8"/>
    <n v="73"/>
    <x v="9"/>
    <x v="9"/>
    <n v="1752"/>
    <x v="152"/>
  </r>
  <r>
    <n v="2238"/>
    <x v="898"/>
    <x v="933"/>
    <s v="Mr"/>
    <s v="M"/>
    <n v="30"/>
    <s v="Herbert Cottages"/>
    <x v="418"/>
    <x v="21"/>
    <d v="2021-09-03T00:00:00"/>
    <x v="1"/>
    <x v="9"/>
    <n v="75"/>
    <x v="5"/>
    <x v="5"/>
    <n v="1800"/>
    <x v="790"/>
  </r>
  <r>
    <n v="2239"/>
    <x v="207"/>
    <x v="823"/>
    <s v="Mr"/>
    <s v="M"/>
    <n v="90"/>
    <s v="Herbert Place"/>
    <x v="211"/>
    <x v="38"/>
    <d v="2020-01-30T00:00:00"/>
    <x v="2"/>
    <x v="6"/>
    <n v="48"/>
    <x v="6"/>
    <x v="6"/>
    <n v="1152"/>
    <x v="487"/>
  </r>
  <r>
    <n v="2240"/>
    <x v="1652"/>
    <x v="397"/>
    <s v="Miss"/>
    <s v="F"/>
    <n v="90"/>
    <s v="Herchell Road"/>
    <x v="714"/>
    <x v="13"/>
    <d v="2020-06-30T00:00:00"/>
    <x v="2"/>
    <x v="2"/>
    <n v="6"/>
    <x v="9"/>
    <x v="9"/>
    <n v="144"/>
    <x v="553"/>
  </r>
  <r>
    <n v="2241"/>
    <x v="619"/>
    <x v="1348"/>
    <s v="Mrs"/>
    <s v="F"/>
    <n v="30"/>
    <s v="Hercules Terrace"/>
    <x v="774"/>
    <x v="21"/>
    <d v="2022-11-12T00:00:00"/>
    <x v="0"/>
    <x v="7"/>
    <n v="93"/>
    <x v="5"/>
    <x v="5"/>
    <n v="2232"/>
    <x v="874"/>
  </r>
  <r>
    <n v="2242"/>
    <x v="1653"/>
    <x v="1349"/>
    <s v="Miss"/>
    <s v="F"/>
    <n v="60"/>
    <s v="Hereford Street"/>
    <x v="243"/>
    <x v="16"/>
    <d v="2020-02-28T00:00:00"/>
    <x v="2"/>
    <x v="10"/>
    <n v="23"/>
    <x v="3"/>
    <x v="3"/>
    <n v="552"/>
    <x v="895"/>
  </r>
  <r>
    <n v="2243"/>
    <x v="1654"/>
    <x v="1036"/>
    <s v="Mrs"/>
    <s v="F"/>
    <n v="30"/>
    <s v="Heriot Avenue"/>
    <x v="622"/>
    <x v="2"/>
    <d v="2022-08-04T00:00:00"/>
    <x v="0"/>
    <x v="3"/>
    <n v="59"/>
    <x v="6"/>
    <x v="6"/>
    <n v="1416"/>
    <x v="471"/>
  </r>
  <r>
    <n v="2244"/>
    <x v="484"/>
    <x v="423"/>
    <s v="Mr"/>
    <s v="M"/>
    <n v="30"/>
    <s v="Herlwyn Gardens"/>
    <x v="202"/>
    <x v="27"/>
    <d v="2022-08-27T00:00:00"/>
    <x v="0"/>
    <x v="3"/>
    <n v="36"/>
    <x v="2"/>
    <x v="2"/>
    <n v="612"/>
    <x v="832"/>
  </r>
  <r>
    <n v="2245"/>
    <x v="1655"/>
    <x v="635"/>
    <s v="Miss"/>
    <s v="F"/>
    <n v="60"/>
    <s v="Herlwyn Gardens"/>
    <x v="1004"/>
    <x v="2"/>
    <d v="2020-04-04T00:00:00"/>
    <x v="2"/>
    <x v="4"/>
    <n v="27"/>
    <x v="6"/>
    <x v="6"/>
    <n v="648"/>
    <x v="806"/>
  </r>
  <r>
    <n v="2246"/>
    <x v="1656"/>
    <x v="575"/>
    <s v="Mr"/>
    <s v="M"/>
    <n v="60"/>
    <s v="Herne Grove"/>
    <x v="1090"/>
    <x v="21"/>
    <d v="2020-05-12T00:00:00"/>
    <x v="2"/>
    <x v="11"/>
    <n v="25"/>
    <x v="9"/>
    <x v="9"/>
    <n v="600"/>
    <x v="120"/>
  </r>
  <r>
    <n v="2247"/>
    <x v="249"/>
    <x v="1350"/>
    <s v="Mr"/>
    <s v="M"/>
    <n v="90"/>
    <s v="Herne Grove"/>
    <x v="974"/>
    <x v="2"/>
    <d v="2022-07-27T00:00:00"/>
    <x v="0"/>
    <x v="0"/>
    <n v="37"/>
    <x v="8"/>
    <x v="8"/>
    <n v="740"/>
    <x v="99"/>
  </r>
  <r>
    <n v="2248"/>
    <x v="1657"/>
    <x v="1246"/>
    <s v="Mr"/>
    <s v="M"/>
    <n v="30"/>
    <s v="Herne Place"/>
    <x v="264"/>
    <x v="15"/>
    <d v="2020-06-06T00:00:00"/>
    <x v="2"/>
    <x v="2"/>
    <n v="16"/>
    <x v="3"/>
    <x v="3"/>
    <n v="384"/>
    <x v="189"/>
  </r>
  <r>
    <n v="2249"/>
    <x v="1658"/>
    <x v="71"/>
    <s v="Mr"/>
    <s v="M"/>
    <n v="90"/>
    <s v="Herrip Street"/>
    <x v="245"/>
    <x v="1"/>
    <d v="2021-02-03T00:00:00"/>
    <x v="1"/>
    <x v="10"/>
    <n v="49"/>
    <x v="7"/>
    <x v="7"/>
    <n v="980"/>
    <x v="896"/>
  </r>
  <r>
    <n v="2250"/>
    <x v="825"/>
    <x v="1242"/>
    <s v="Mr"/>
    <s v="M"/>
    <n v="60"/>
    <s v="Hertford Road"/>
    <x v="1002"/>
    <x v="21"/>
    <d v="2021-12-04T00:00:00"/>
    <x v="1"/>
    <x v="8"/>
    <n v="2"/>
    <x v="2"/>
    <x v="2"/>
    <n v="34"/>
    <x v="614"/>
  </r>
  <r>
    <n v="2251"/>
    <x v="684"/>
    <x v="943"/>
    <s v="Ms"/>
    <s v="F"/>
    <n v="30"/>
    <s v="Hertsmere Road"/>
    <x v="670"/>
    <x v="10"/>
    <d v="2020-10-10T00:00:00"/>
    <x v="2"/>
    <x v="1"/>
    <n v="26"/>
    <x v="3"/>
    <x v="3"/>
    <n v="624"/>
    <x v="524"/>
  </r>
  <r>
    <n v="2252"/>
    <x v="1659"/>
    <x v="1096"/>
    <s v="Mr"/>
    <s v="M"/>
    <n v="90"/>
    <s v="Hesketh Place"/>
    <x v="454"/>
    <x v="39"/>
    <d v="2021-02-28T00:00:00"/>
    <x v="1"/>
    <x v="10"/>
    <n v="10"/>
    <x v="0"/>
    <x v="0"/>
    <n v="200"/>
    <x v="753"/>
  </r>
  <r>
    <n v="2253"/>
    <x v="630"/>
    <x v="326"/>
    <s v="Mr"/>
    <s v="M"/>
    <n v="90"/>
    <s v="Heslop Road"/>
    <x v="268"/>
    <x v="21"/>
    <d v="2021-01-09T00:00:00"/>
    <x v="1"/>
    <x v="6"/>
    <n v="65"/>
    <x v="7"/>
    <x v="7"/>
    <n v="1300"/>
    <x v="445"/>
  </r>
  <r>
    <n v="2254"/>
    <x v="691"/>
    <x v="110"/>
    <s v="Mrs"/>
    <s v="F"/>
    <n v="60"/>
    <s v="Hesperus Crescent"/>
    <x v="1026"/>
    <x v="2"/>
    <d v="2021-03-12T00:00:00"/>
    <x v="1"/>
    <x v="5"/>
    <n v="35"/>
    <x v="3"/>
    <x v="3"/>
    <n v="840"/>
    <x v="536"/>
  </r>
  <r>
    <n v="2255"/>
    <x v="1033"/>
    <x v="1002"/>
    <s v="Mr"/>
    <s v="M"/>
    <n v="90"/>
    <s v="Hessel Street"/>
    <x v="1091"/>
    <x v="2"/>
    <d v="2022-08-30T00:00:00"/>
    <x v="0"/>
    <x v="3"/>
    <n v="18"/>
    <x v="4"/>
    <x v="4"/>
    <n v="324"/>
    <x v="304"/>
  </r>
  <r>
    <n v="2256"/>
    <x v="660"/>
    <x v="959"/>
    <s v="Mrs"/>
    <s v="F"/>
    <n v="60"/>
    <s v="Heston Street"/>
    <x v="1033"/>
    <x v="2"/>
    <d v="2020-04-17T00:00:00"/>
    <x v="2"/>
    <x v="4"/>
    <n v="25"/>
    <x v="6"/>
    <x v="6"/>
    <n v="600"/>
    <x v="130"/>
  </r>
  <r>
    <n v="2257"/>
    <x v="1660"/>
    <x v="720"/>
    <s v="Miss"/>
    <s v="F"/>
    <n v="90"/>
    <s v="Hetley Road"/>
    <x v="327"/>
    <x v="54"/>
    <d v="2021-05-20T00:00:00"/>
    <x v="1"/>
    <x v="11"/>
    <n v="68"/>
    <x v="6"/>
    <x v="6"/>
    <n v="1632"/>
    <x v="778"/>
  </r>
  <r>
    <n v="2258"/>
    <x v="1661"/>
    <x v="144"/>
    <s v="Mr"/>
    <s v="M"/>
    <n v="60"/>
    <s v="Hewit'S Corner"/>
    <x v="1031"/>
    <x v="12"/>
    <d v="2021-10-15T00:00:00"/>
    <x v="1"/>
    <x v="1"/>
    <n v="17"/>
    <x v="3"/>
    <x v="3"/>
    <n v="408"/>
    <x v="506"/>
  </r>
  <r>
    <n v="2259"/>
    <x v="1662"/>
    <x v="1038"/>
    <s v="Mr"/>
    <s v="M"/>
    <n v="90"/>
    <s v="Hewitt'S Court"/>
    <x v="156"/>
    <x v="19"/>
    <d v="2022-03-28T00:00:00"/>
    <x v="0"/>
    <x v="5"/>
    <n v="105"/>
    <x v="5"/>
    <x v="5"/>
    <n v="2520"/>
    <x v="649"/>
  </r>
  <r>
    <n v="2260"/>
    <x v="1663"/>
    <x v="1250"/>
    <s v="Miss"/>
    <s v="F"/>
    <n v="90"/>
    <s v="Hexal Road"/>
    <x v="905"/>
    <x v="17"/>
    <d v="2022-06-06T00:00:00"/>
    <x v="0"/>
    <x v="2"/>
    <n v="75"/>
    <x v="8"/>
    <x v="8"/>
    <n v="1500"/>
    <x v="133"/>
  </r>
  <r>
    <n v="2261"/>
    <x v="169"/>
    <x v="1351"/>
    <s v="Mr"/>
    <s v="M"/>
    <n v="60"/>
    <s v="Heyford Avenue"/>
    <x v="1038"/>
    <x v="2"/>
    <d v="2022-03-05T00:00:00"/>
    <x v="0"/>
    <x v="5"/>
    <n v="96"/>
    <x v="4"/>
    <x v="4"/>
    <n v="1728"/>
    <x v="737"/>
  </r>
  <r>
    <n v="2262"/>
    <x v="1664"/>
    <x v="510"/>
    <s v="Miss"/>
    <s v="F"/>
    <n v="90"/>
    <s v="Hickly Road"/>
    <x v="967"/>
    <x v="2"/>
    <d v="2022-06-22T00:00:00"/>
    <x v="0"/>
    <x v="2"/>
    <n v="50"/>
    <x v="9"/>
    <x v="9"/>
    <n v="1200"/>
    <x v="84"/>
  </r>
  <r>
    <n v="2263"/>
    <x v="1665"/>
    <x v="784"/>
    <s v="Miss"/>
    <s v="F"/>
    <n v="30"/>
    <s v="Hickman Close"/>
    <x v="28"/>
    <x v="2"/>
    <d v="2021-06-04T00:00:00"/>
    <x v="1"/>
    <x v="2"/>
    <n v="52"/>
    <x v="0"/>
    <x v="0"/>
    <n v="1040"/>
    <x v="897"/>
  </r>
  <r>
    <n v="2264"/>
    <x v="1666"/>
    <x v="853"/>
    <s v="Miss"/>
    <s v="F"/>
    <n v="60"/>
    <s v="Hickman'S Folly"/>
    <x v="315"/>
    <x v="50"/>
    <d v="2020-07-10T00:00:00"/>
    <x v="2"/>
    <x v="0"/>
    <n v="60"/>
    <x v="2"/>
    <x v="2"/>
    <n v="1020"/>
    <x v="521"/>
  </r>
  <r>
    <n v="2265"/>
    <x v="1667"/>
    <x v="704"/>
    <s v="Mr"/>
    <s v="M"/>
    <n v="60"/>
    <s v="Hidcote Gardens"/>
    <x v="1042"/>
    <x v="1"/>
    <d v="2022-04-05T00:00:00"/>
    <x v="0"/>
    <x v="4"/>
    <n v="64"/>
    <x v="4"/>
    <x v="4"/>
    <n v="1152"/>
    <x v="898"/>
  </r>
  <r>
    <n v="2266"/>
    <x v="1145"/>
    <x v="1352"/>
    <s v="Mr"/>
    <s v="M"/>
    <n v="90"/>
    <s v="Hides Street"/>
    <x v="1092"/>
    <x v="21"/>
    <d v="2021-07-25T00:00:00"/>
    <x v="1"/>
    <x v="0"/>
    <n v="62"/>
    <x v="9"/>
    <x v="9"/>
    <n v="1488"/>
    <x v="451"/>
  </r>
  <r>
    <n v="2267"/>
    <x v="1668"/>
    <x v="1353"/>
    <s v="Mr"/>
    <s v="M"/>
    <n v="90"/>
    <s v="High Lane"/>
    <x v="809"/>
    <x v="2"/>
    <d v="2020-04-28T00:00:00"/>
    <x v="2"/>
    <x v="4"/>
    <n v="81"/>
    <x v="9"/>
    <x v="9"/>
    <n v="1944"/>
    <x v="836"/>
  </r>
  <r>
    <n v="2268"/>
    <x v="1523"/>
    <x v="1321"/>
    <s v="Miss"/>
    <s v="F"/>
    <n v="30"/>
    <s v="High Meadow"/>
    <x v="773"/>
    <x v="16"/>
    <d v="2022-08-31T00:00:00"/>
    <x v="0"/>
    <x v="3"/>
    <n v="8"/>
    <x v="5"/>
    <x v="5"/>
    <n v="192"/>
    <x v="539"/>
  </r>
  <r>
    <n v="2269"/>
    <x v="1669"/>
    <x v="1297"/>
    <s v="Miss"/>
    <s v="F"/>
    <n v="60"/>
    <s v="Higham Hill"/>
    <x v="677"/>
    <x v="2"/>
    <d v="2020-02-24T00:00:00"/>
    <x v="2"/>
    <x v="10"/>
    <n v="41"/>
    <x v="7"/>
    <x v="7"/>
    <n v="820"/>
    <x v="672"/>
  </r>
  <r>
    <n v="2270"/>
    <x v="1670"/>
    <x v="62"/>
    <s v="Mrs"/>
    <s v="F"/>
    <n v="30"/>
    <s v="Higham Station"/>
    <x v="1003"/>
    <x v="2"/>
    <d v="2022-05-04T00:00:00"/>
    <x v="0"/>
    <x v="11"/>
    <n v="98"/>
    <x v="5"/>
    <x v="5"/>
    <n v="2352"/>
    <x v="593"/>
  </r>
  <r>
    <n v="2271"/>
    <x v="1671"/>
    <x v="1354"/>
    <s v="Mrs"/>
    <s v="F"/>
    <n v="90"/>
    <s v="Highfield Avenue"/>
    <x v="856"/>
    <x v="53"/>
    <d v="2021-06-02T00:00:00"/>
    <x v="1"/>
    <x v="2"/>
    <n v="20"/>
    <x v="6"/>
    <x v="6"/>
    <n v="480"/>
    <x v="167"/>
  </r>
  <r>
    <n v="2272"/>
    <x v="1210"/>
    <x v="797"/>
    <s v="Mr"/>
    <s v="M"/>
    <n v="90"/>
    <s v="Highfield Road"/>
    <x v="732"/>
    <x v="17"/>
    <d v="2021-01-27T00:00:00"/>
    <x v="1"/>
    <x v="6"/>
    <n v="63"/>
    <x v="7"/>
    <x v="7"/>
    <n v="1260"/>
    <x v="842"/>
  </r>
  <r>
    <n v="2273"/>
    <x v="1672"/>
    <x v="1355"/>
    <s v="Mrs"/>
    <s v="F"/>
    <n v="60"/>
    <s v="Highgate Hill"/>
    <x v="529"/>
    <x v="44"/>
    <d v="2021-09-26T00:00:00"/>
    <x v="1"/>
    <x v="9"/>
    <n v="5"/>
    <x v="2"/>
    <x v="2"/>
    <n v="85"/>
    <x v="36"/>
  </r>
  <r>
    <n v="2274"/>
    <x v="1673"/>
    <x v="1295"/>
    <s v="Ms"/>
    <s v="F"/>
    <n v="90"/>
    <s v="Highgate Road"/>
    <x v="218"/>
    <x v="21"/>
    <d v="2021-12-20T00:00:00"/>
    <x v="1"/>
    <x v="8"/>
    <n v="72"/>
    <x v="0"/>
    <x v="0"/>
    <n v="1440"/>
    <x v="560"/>
  </r>
  <r>
    <n v="2275"/>
    <x v="1674"/>
    <x v="1356"/>
    <s v="Mrs"/>
    <s v="F"/>
    <n v="90"/>
    <s v="Highgate Walk"/>
    <x v="730"/>
    <x v="9"/>
    <d v="2022-11-12T00:00:00"/>
    <x v="0"/>
    <x v="7"/>
    <n v="70"/>
    <x v="5"/>
    <x v="5"/>
    <n v="1680"/>
    <x v="104"/>
  </r>
  <r>
    <n v="2276"/>
    <x v="1675"/>
    <x v="281"/>
    <s v="Miss"/>
    <s v="F"/>
    <n v="90"/>
    <s v="Highgate Walk"/>
    <x v="1093"/>
    <x v="21"/>
    <d v="2021-08-11T00:00:00"/>
    <x v="1"/>
    <x v="3"/>
    <n v="82"/>
    <x v="5"/>
    <x v="5"/>
    <n v="1968"/>
    <x v="682"/>
  </r>
  <r>
    <n v="2277"/>
    <x v="148"/>
    <x v="444"/>
    <s v="Mrs"/>
    <s v="F"/>
    <n v="30"/>
    <s v="Highlands Close"/>
    <x v="654"/>
    <x v="17"/>
    <d v="2021-05-24T00:00:00"/>
    <x v="1"/>
    <x v="11"/>
    <n v="24"/>
    <x v="8"/>
    <x v="8"/>
    <n v="480"/>
    <x v="190"/>
  </r>
  <r>
    <n v="2278"/>
    <x v="163"/>
    <x v="1357"/>
    <s v="Mr"/>
    <s v="M"/>
    <n v="90"/>
    <s v="Highlea Close"/>
    <x v="1094"/>
    <x v="17"/>
    <d v="2021-06-02T00:00:00"/>
    <x v="1"/>
    <x v="2"/>
    <n v="80"/>
    <x v="3"/>
    <x v="3"/>
    <n v="1920"/>
    <x v="278"/>
  </r>
  <r>
    <n v="2279"/>
    <x v="1676"/>
    <x v="391"/>
    <s v="Miss"/>
    <s v="F"/>
    <n v="60"/>
    <s v="Highwood Grove"/>
    <x v="733"/>
    <x v="16"/>
    <d v="2021-10-03T00:00:00"/>
    <x v="1"/>
    <x v="1"/>
    <n v="38"/>
    <x v="7"/>
    <x v="7"/>
    <n v="760"/>
    <x v="121"/>
  </r>
  <r>
    <n v="2280"/>
    <x v="1677"/>
    <x v="1358"/>
    <s v="Miss"/>
    <s v="F"/>
    <n v="90"/>
    <s v="Highwood Road"/>
    <x v="1095"/>
    <x v="2"/>
    <d v="2021-04-27T00:00:00"/>
    <x v="1"/>
    <x v="4"/>
    <n v="12"/>
    <x v="2"/>
    <x v="2"/>
    <n v="204"/>
    <x v="578"/>
  </r>
  <r>
    <n v="2281"/>
    <x v="1678"/>
    <x v="1181"/>
    <s v="Miss"/>
    <s v="F"/>
    <n v="60"/>
    <s v="Hildreth Street"/>
    <x v="253"/>
    <x v="11"/>
    <d v="2022-10-09T00:00:00"/>
    <x v="0"/>
    <x v="1"/>
    <n v="21"/>
    <x v="6"/>
    <x v="6"/>
    <n v="504"/>
    <x v="332"/>
  </r>
  <r>
    <n v="2282"/>
    <x v="233"/>
    <x v="1359"/>
    <s v="Miss"/>
    <s v="F"/>
    <n v="60"/>
    <s v="Hill Close"/>
    <x v="592"/>
    <x v="70"/>
    <d v="2021-08-29T00:00:00"/>
    <x v="1"/>
    <x v="3"/>
    <n v="64"/>
    <x v="8"/>
    <x v="8"/>
    <n v="1280"/>
    <x v="149"/>
  </r>
  <r>
    <n v="2283"/>
    <x v="265"/>
    <x v="1335"/>
    <s v="Mr"/>
    <s v="M"/>
    <n v="30"/>
    <s v="Hill Drive"/>
    <x v="992"/>
    <x v="1"/>
    <d v="2020-08-18T00:00:00"/>
    <x v="2"/>
    <x v="3"/>
    <n v="19"/>
    <x v="5"/>
    <x v="5"/>
    <n v="456"/>
    <x v="268"/>
  </r>
  <r>
    <n v="2284"/>
    <x v="1679"/>
    <x v="1192"/>
    <s v="Miss"/>
    <s v="F"/>
    <n v="60"/>
    <s v="Hill Farm"/>
    <x v="1010"/>
    <x v="2"/>
    <d v="2022-11-17T00:00:00"/>
    <x v="0"/>
    <x v="7"/>
    <n v="5"/>
    <x v="5"/>
    <x v="5"/>
    <n v="120"/>
    <x v="64"/>
  </r>
  <r>
    <n v="2285"/>
    <x v="1680"/>
    <x v="414"/>
    <s v="Mrs"/>
    <s v="F"/>
    <n v="90"/>
    <s v="Hill Top"/>
    <x v="275"/>
    <x v="45"/>
    <d v="2021-12-15T00:00:00"/>
    <x v="1"/>
    <x v="8"/>
    <n v="64"/>
    <x v="6"/>
    <x v="6"/>
    <n v="1536"/>
    <x v="419"/>
  </r>
  <r>
    <n v="2286"/>
    <x v="1581"/>
    <x v="1130"/>
    <s v="Mr"/>
    <s v="M"/>
    <n v="30"/>
    <s v="Hillbrook Road"/>
    <x v="270"/>
    <x v="2"/>
    <d v="2020-07-13T00:00:00"/>
    <x v="2"/>
    <x v="0"/>
    <n v="59"/>
    <x v="9"/>
    <x v="9"/>
    <n v="1416"/>
    <x v="62"/>
  </r>
  <r>
    <n v="2287"/>
    <x v="1681"/>
    <x v="1354"/>
    <s v="Miss"/>
    <s v="F"/>
    <n v="60"/>
    <s v="Hillbury Road"/>
    <x v="287"/>
    <x v="2"/>
    <d v="2020-09-22T00:00:00"/>
    <x v="2"/>
    <x v="9"/>
    <n v="19"/>
    <x v="1"/>
    <x v="1"/>
    <n v="456"/>
    <x v="845"/>
  </r>
  <r>
    <n v="2288"/>
    <x v="1520"/>
    <x v="1360"/>
    <s v="Mr"/>
    <s v="M"/>
    <n v="90"/>
    <s v="Hillcourt Road"/>
    <x v="259"/>
    <x v="2"/>
    <d v="2022-03-26T00:00:00"/>
    <x v="0"/>
    <x v="5"/>
    <n v="22"/>
    <x v="0"/>
    <x v="0"/>
    <n v="440"/>
    <x v="650"/>
  </r>
  <r>
    <n v="2289"/>
    <x v="1682"/>
    <x v="1361"/>
    <s v="Mr"/>
    <s v="M"/>
    <n v="60"/>
    <s v="Hilldrop Crescent"/>
    <x v="220"/>
    <x v="3"/>
    <d v="2020-07-09T00:00:00"/>
    <x v="2"/>
    <x v="0"/>
    <n v="50"/>
    <x v="7"/>
    <x v="7"/>
    <n v="1000"/>
    <x v="364"/>
  </r>
  <r>
    <n v="2290"/>
    <x v="1683"/>
    <x v="238"/>
    <s v="Mrs"/>
    <s v="F"/>
    <n v="60"/>
    <s v="Hillery Close"/>
    <x v="204"/>
    <x v="2"/>
    <d v="2022-04-11T00:00:00"/>
    <x v="0"/>
    <x v="4"/>
    <n v="22"/>
    <x v="3"/>
    <x v="3"/>
    <n v="528"/>
    <x v="310"/>
  </r>
  <r>
    <n v="2291"/>
    <x v="1684"/>
    <x v="669"/>
    <s v="Mr"/>
    <s v="M"/>
    <n v="30"/>
    <s v="Hillfield Avenue"/>
    <x v="511"/>
    <x v="2"/>
    <d v="2022-07-09T00:00:00"/>
    <x v="0"/>
    <x v="0"/>
    <n v="75"/>
    <x v="7"/>
    <x v="7"/>
    <n v="1500"/>
    <x v="899"/>
  </r>
  <r>
    <n v="2292"/>
    <x v="984"/>
    <x v="1362"/>
    <s v="Miss"/>
    <s v="F"/>
    <n v="90"/>
    <s v="Hillman Street"/>
    <x v="564"/>
    <x v="2"/>
    <d v="2021-08-05T00:00:00"/>
    <x v="1"/>
    <x v="3"/>
    <n v="75"/>
    <x v="2"/>
    <x v="2"/>
    <n v="1275"/>
    <x v="465"/>
  </r>
  <r>
    <n v="2293"/>
    <x v="1195"/>
    <x v="1304"/>
    <s v="Mr"/>
    <s v="M"/>
    <n v="30"/>
    <s v="Hillmore Grove"/>
    <x v="897"/>
    <x v="7"/>
    <d v="2020-10-29T00:00:00"/>
    <x v="2"/>
    <x v="1"/>
    <n v="49"/>
    <x v="4"/>
    <x v="4"/>
    <n v="882"/>
    <x v="680"/>
  </r>
  <r>
    <n v="2294"/>
    <x v="168"/>
    <x v="1287"/>
    <s v="Miss"/>
    <s v="F"/>
    <n v="30"/>
    <s v="Hillway"/>
    <x v="1096"/>
    <x v="91"/>
    <d v="2020-04-24T00:00:00"/>
    <x v="2"/>
    <x v="4"/>
    <n v="36"/>
    <x v="6"/>
    <x v="6"/>
    <n v="864"/>
    <x v="73"/>
  </r>
  <r>
    <n v="2295"/>
    <x v="1176"/>
    <x v="1363"/>
    <s v="Mr"/>
    <s v="M"/>
    <n v="60"/>
    <s v="Hillyfield"/>
    <x v="551"/>
    <x v="2"/>
    <d v="2020-09-25T00:00:00"/>
    <x v="2"/>
    <x v="9"/>
    <n v="72"/>
    <x v="6"/>
    <x v="6"/>
    <n v="1728"/>
    <x v="249"/>
  </r>
  <r>
    <n v="2296"/>
    <x v="1053"/>
    <x v="166"/>
    <s v="Mrs"/>
    <s v="F"/>
    <n v="90"/>
    <s v="Hind Court"/>
    <x v="838"/>
    <x v="65"/>
    <d v="2021-05-01T00:00:00"/>
    <x v="1"/>
    <x v="11"/>
    <n v="8"/>
    <x v="5"/>
    <x v="5"/>
    <n v="192"/>
    <x v="539"/>
  </r>
  <r>
    <n v="2297"/>
    <x v="1685"/>
    <x v="76"/>
    <s v="Mr"/>
    <s v="M"/>
    <n v="30"/>
    <s v="Hind Street"/>
    <x v="40"/>
    <x v="2"/>
    <d v="2021-07-16T00:00:00"/>
    <x v="1"/>
    <x v="0"/>
    <n v="91"/>
    <x v="7"/>
    <x v="7"/>
    <n v="1820"/>
    <x v="151"/>
  </r>
  <r>
    <n v="2298"/>
    <x v="969"/>
    <x v="1069"/>
    <s v="Mr"/>
    <s v="M"/>
    <n v="90"/>
    <s v="Hindes Mews"/>
    <x v="847"/>
    <x v="11"/>
    <d v="2020-02-12T00:00:00"/>
    <x v="2"/>
    <x v="10"/>
    <n v="19"/>
    <x v="8"/>
    <x v="8"/>
    <n v="380"/>
    <x v="606"/>
  </r>
  <r>
    <n v="2299"/>
    <x v="1686"/>
    <x v="922"/>
    <s v="Miss"/>
    <s v="F"/>
    <n v="90"/>
    <s v="Hiver Street"/>
    <x v="307"/>
    <x v="21"/>
    <d v="2022-10-27T00:00:00"/>
    <x v="0"/>
    <x v="1"/>
    <n v="103"/>
    <x v="9"/>
    <x v="9"/>
    <n v="2472"/>
    <x v="656"/>
  </r>
  <r>
    <n v="2300"/>
    <x v="671"/>
    <x v="670"/>
    <s v="Mr"/>
    <s v="M"/>
    <n v="60"/>
    <s v="Hocroft Avenue"/>
    <x v="382"/>
    <x v="21"/>
    <d v="2021-11-20T00:00:00"/>
    <x v="1"/>
    <x v="7"/>
    <n v="50"/>
    <x v="8"/>
    <x v="8"/>
    <n v="1000"/>
    <x v="734"/>
  </r>
  <r>
    <n v="2301"/>
    <x v="703"/>
    <x v="187"/>
    <s v="Mr"/>
    <s v="M"/>
    <n v="30"/>
    <s v="Hodgkin Close"/>
    <x v="352"/>
    <x v="2"/>
    <d v="2020-12-24T00:00:00"/>
    <x v="2"/>
    <x v="8"/>
    <n v="28"/>
    <x v="3"/>
    <x v="3"/>
    <n v="672"/>
    <x v="800"/>
  </r>
  <r>
    <n v="2302"/>
    <x v="1687"/>
    <x v="1364"/>
    <s v="Mrs"/>
    <s v="F"/>
    <n v="90"/>
    <s v="Hog Yard"/>
    <x v="21"/>
    <x v="2"/>
    <d v="2020-06-03T00:00:00"/>
    <x v="2"/>
    <x v="2"/>
    <n v="82"/>
    <x v="6"/>
    <x v="6"/>
    <n v="1968"/>
    <x v="900"/>
  </r>
  <r>
    <n v="2303"/>
    <x v="1688"/>
    <x v="1365"/>
    <s v="Mr"/>
    <s v="M"/>
    <n v="30"/>
    <s v="Hogarth Lane"/>
    <x v="34"/>
    <x v="17"/>
    <d v="2022-07-12T00:00:00"/>
    <x v="0"/>
    <x v="0"/>
    <n v="105"/>
    <x v="1"/>
    <x v="1"/>
    <n v="2520"/>
    <x v="901"/>
  </r>
  <r>
    <n v="2304"/>
    <x v="445"/>
    <x v="1083"/>
    <s v="Mr"/>
    <s v="M"/>
    <n v="90"/>
    <s v="Hogarth Place"/>
    <x v="753"/>
    <x v="2"/>
    <d v="2021-08-01T00:00:00"/>
    <x v="1"/>
    <x v="3"/>
    <n v="82"/>
    <x v="3"/>
    <x v="3"/>
    <n v="1968"/>
    <x v="594"/>
  </r>
  <r>
    <n v="2305"/>
    <x v="150"/>
    <x v="508"/>
    <s v="Mrs"/>
    <s v="F"/>
    <n v="60"/>
    <s v="Holbeach Mews"/>
    <x v="695"/>
    <x v="2"/>
    <d v="2021-06-20T00:00:00"/>
    <x v="1"/>
    <x v="2"/>
    <n v="4"/>
    <x v="0"/>
    <x v="0"/>
    <n v="80"/>
    <x v="763"/>
  </r>
  <r>
    <n v="2306"/>
    <x v="1584"/>
    <x v="1366"/>
    <s v="Mr"/>
    <s v="M"/>
    <n v="30"/>
    <s v="Holborn"/>
    <x v="410"/>
    <x v="21"/>
    <d v="2020-10-22T00:00:00"/>
    <x v="2"/>
    <x v="1"/>
    <n v="55"/>
    <x v="2"/>
    <x v="2"/>
    <n v="935"/>
    <x v="773"/>
  </r>
  <r>
    <n v="2307"/>
    <x v="1689"/>
    <x v="480"/>
    <s v="Miss"/>
    <s v="F"/>
    <n v="90"/>
    <s v="Holborn Buildings"/>
    <x v="1097"/>
    <x v="2"/>
    <d v="2021-02-05T00:00:00"/>
    <x v="1"/>
    <x v="10"/>
    <n v="9"/>
    <x v="6"/>
    <x v="6"/>
    <n v="216"/>
    <x v="171"/>
  </r>
  <r>
    <n v="2308"/>
    <x v="447"/>
    <x v="1200"/>
    <s v="Miss"/>
    <s v="F"/>
    <n v="90"/>
    <s v="Holborn Hill"/>
    <x v="295"/>
    <x v="17"/>
    <d v="2022-07-12T00:00:00"/>
    <x v="0"/>
    <x v="0"/>
    <n v="73"/>
    <x v="5"/>
    <x v="5"/>
    <n v="1752"/>
    <x v="277"/>
  </r>
  <r>
    <n v="2309"/>
    <x v="173"/>
    <x v="307"/>
    <s v="Mrs"/>
    <s v="F"/>
    <n v="60"/>
    <s v="Holbrook Close"/>
    <x v="1083"/>
    <x v="2"/>
    <d v="2020-01-06T00:00:00"/>
    <x v="2"/>
    <x v="6"/>
    <n v="61"/>
    <x v="9"/>
    <x v="9"/>
    <n v="1464"/>
    <x v="849"/>
  </r>
  <r>
    <n v="2310"/>
    <x v="1690"/>
    <x v="994"/>
    <s v="Mrs"/>
    <s v="F"/>
    <n v="90"/>
    <s v="Holburne Road"/>
    <x v="269"/>
    <x v="21"/>
    <d v="2022-04-16T00:00:00"/>
    <x v="0"/>
    <x v="4"/>
    <n v="26"/>
    <x v="5"/>
    <x v="5"/>
    <n v="624"/>
    <x v="559"/>
  </r>
  <r>
    <n v="2311"/>
    <x v="1691"/>
    <x v="1051"/>
    <s v="Miss"/>
    <s v="F"/>
    <n v="30"/>
    <s v="Holcombe Buildings"/>
    <x v="268"/>
    <x v="21"/>
    <d v="2022-08-22T00:00:00"/>
    <x v="0"/>
    <x v="3"/>
    <n v="69"/>
    <x v="0"/>
    <x v="0"/>
    <n v="1380"/>
    <x v="497"/>
  </r>
  <r>
    <n v="2312"/>
    <x v="1692"/>
    <x v="1367"/>
    <s v="Mrs"/>
    <s v="F"/>
    <n v="60"/>
    <s v="Holdenhurst Av+F1402"/>
    <x v="1098"/>
    <x v="2"/>
    <d v="2020-01-01T00:00:00"/>
    <x v="2"/>
    <x v="6"/>
    <n v="69"/>
    <x v="3"/>
    <x v="3"/>
    <n v="1656"/>
    <x v="611"/>
  </r>
  <r>
    <n v="2313"/>
    <x v="397"/>
    <x v="1071"/>
    <s v="Mr"/>
    <s v="M"/>
    <n v="90"/>
    <s v="Holland Grove"/>
    <x v="919"/>
    <x v="2"/>
    <d v="2021-07-05T00:00:00"/>
    <x v="1"/>
    <x v="0"/>
    <n v="47"/>
    <x v="7"/>
    <x v="7"/>
    <n v="940"/>
    <x v="542"/>
  </r>
  <r>
    <n v="2314"/>
    <x v="1693"/>
    <x v="1368"/>
    <s v="Mr"/>
    <s v="M"/>
    <n v="30"/>
    <s v="Holland Passage"/>
    <x v="596"/>
    <x v="2"/>
    <d v="2022-12-05T00:00:00"/>
    <x v="0"/>
    <x v="8"/>
    <n v="90"/>
    <x v="3"/>
    <x v="3"/>
    <n v="2160"/>
    <x v="714"/>
  </r>
  <r>
    <n v="2315"/>
    <x v="1227"/>
    <x v="1369"/>
    <s v="Mr"/>
    <s v="M"/>
    <n v="30"/>
    <s v="Holland Villas"/>
    <x v="304"/>
    <x v="16"/>
    <d v="2021-02-19T00:00:00"/>
    <x v="1"/>
    <x v="10"/>
    <n v="52"/>
    <x v="1"/>
    <x v="1"/>
    <n v="1248"/>
    <x v="902"/>
  </r>
  <r>
    <n v="2316"/>
    <x v="1694"/>
    <x v="3"/>
    <s v="Miss"/>
    <s v="F"/>
    <n v="90"/>
    <s v="Holliday Square"/>
    <x v="167"/>
    <x v="11"/>
    <d v="2020-02-22T00:00:00"/>
    <x v="2"/>
    <x v="10"/>
    <n v="31"/>
    <x v="5"/>
    <x v="5"/>
    <n v="744"/>
    <x v="781"/>
  </r>
  <r>
    <n v="2317"/>
    <x v="1014"/>
    <x v="1224"/>
    <s v="Mr"/>
    <s v="M"/>
    <n v="90"/>
    <s v="Hollies"/>
    <x v="1014"/>
    <x v="2"/>
    <d v="2021-09-01T00:00:00"/>
    <x v="1"/>
    <x v="9"/>
    <n v="78"/>
    <x v="8"/>
    <x v="8"/>
    <n v="1560"/>
    <x v="903"/>
  </r>
  <r>
    <n v="2318"/>
    <x v="1695"/>
    <x v="307"/>
    <s v="Miss"/>
    <s v="F"/>
    <n v="60"/>
    <s v="Hollies Close"/>
    <x v="1099"/>
    <x v="2"/>
    <d v="2022-08-02T00:00:00"/>
    <x v="0"/>
    <x v="3"/>
    <n v="86"/>
    <x v="2"/>
    <x v="2"/>
    <n v="1462"/>
    <x v="267"/>
  </r>
  <r>
    <n v="2319"/>
    <x v="1696"/>
    <x v="1370"/>
    <s v="Mr"/>
    <s v="M"/>
    <n v="30"/>
    <s v="Holly Bush"/>
    <x v="597"/>
    <x v="17"/>
    <d v="2020-11-11T00:00:00"/>
    <x v="2"/>
    <x v="7"/>
    <n v="46"/>
    <x v="3"/>
    <x v="3"/>
    <n v="1104"/>
    <x v="177"/>
  </r>
  <r>
    <n v="2320"/>
    <x v="1322"/>
    <x v="984"/>
    <s v="Mr"/>
    <s v="M"/>
    <n v="60"/>
    <s v="Holly Bush"/>
    <x v="839"/>
    <x v="21"/>
    <d v="2021-08-14T00:00:00"/>
    <x v="1"/>
    <x v="3"/>
    <n v="27"/>
    <x v="7"/>
    <x v="7"/>
    <n v="540"/>
    <x v="675"/>
  </r>
  <r>
    <n v="2321"/>
    <x v="629"/>
    <x v="1371"/>
    <s v="Ms"/>
    <s v="F"/>
    <n v="30"/>
    <s v="Holly Terrace"/>
    <x v="416"/>
    <x v="65"/>
    <d v="2022-10-03T00:00:00"/>
    <x v="0"/>
    <x v="1"/>
    <n v="55"/>
    <x v="4"/>
    <x v="4"/>
    <n v="990"/>
    <x v="638"/>
  </r>
  <r>
    <n v="2322"/>
    <x v="1697"/>
    <x v="1372"/>
    <s v="Mr"/>
    <s v="M"/>
    <n v="90"/>
    <s v="Holly Terrace"/>
    <x v="1100"/>
    <x v="15"/>
    <d v="2021-01-18T00:00:00"/>
    <x v="1"/>
    <x v="6"/>
    <n v="8"/>
    <x v="9"/>
    <x v="9"/>
    <n v="192"/>
    <x v="402"/>
  </r>
  <r>
    <n v="2323"/>
    <x v="182"/>
    <x v="1362"/>
    <s v="Mrs"/>
    <s v="F"/>
    <n v="60"/>
    <s v="Holly Villas"/>
    <x v="1024"/>
    <x v="17"/>
    <d v="2021-01-13T00:00:00"/>
    <x v="1"/>
    <x v="6"/>
    <n v="45"/>
    <x v="7"/>
    <x v="7"/>
    <n v="900"/>
    <x v="401"/>
  </r>
  <r>
    <n v="2324"/>
    <x v="433"/>
    <x v="1373"/>
    <s v="Mrs"/>
    <s v="F"/>
    <n v="60"/>
    <s v="Holly Walk"/>
    <x v="86"/>
    <x v="17"/>
    <d v="2021-05-07T00:00:00"/>
    <x v="1"/>
    <x v="11"/>
    <n v="66"/>
    <x v="8"/>
    <x v="8"/>
    <n v="1320"/>
    <x v="241"/>
  </r>
  <r>
    <n v="2325"/>
    <x v="1698"/>
    <x v="723"/>
    <s v="Mrs"/>
    <s v="F"/>
    <n v="30"/>
    <s v="Holly Walk"/>
    <x v="173"/>
    <x v="2"/>
    <d v="2022-07-11T00:00:00"/>
    <x v="0"/>
    <x v="0"/>
    <n v="58"/>
    <x v="8"/>
    <x v="8"/>
    <n v="1160"/>
    <x v="286"/>
  </r>
  <r>
    <n v="2326"/>
    <x v="1699"/>
    <x v="1246"/>
    <s v="Mrs"/>
    <s v="F"/>
    <n v="60"/>
    <s v="Hollybush Gardens"/>
    <x v="1101"/>
    <x v="2"/>
    <d v="2021-01-09T00:00:00"/>
    <x v="1"/>
    <x v="6"/>
    <n v="41"/>
    <x v="8"/>
    <x v="8"/>
    <n v="820"/>
    <x v="232"/>
  </r>
  <r>
    <n v="2327"/>
    <x v="821"/>
    <x v="1176"/>
    <s v="Mr"/>
    <s v="M"/>
    <n v="30"/>
    <s v="Hollybush Hill"/>
    <x v="643"/>
    <x v="2"/>
    <d v="2021-08-10T00:00:00"/>
    <x v="1"/>
    <x v="3"/>
    <n v="12"/>
    <x v="8"/>
    <x v="8"/>
    <n v="240"/>
    <x v="220"/>
  </r>
  <r>
    <n v="2328"/>
    <x v="1004"/>
    <x v="211"/>
    <s v="Mr"/>
    <s v="M"/>
    <n v="90"/>
    <s v="Hollyhedge Terrace"/>
    <x v="502"/>
    <x v="1"/>
    <d v="2021-09-16T00:00:00"/>
    <x v="1"/>
    <x v="9"/>
    <n v="80"/>
    <x v="7"/>
    <x v="7"/>
    <n v="1600"/>
    <x v="690"/>
  </r>
  <r>
    <n v="2329"/>
    <x v="126"/>
    <x v="1374"/>
    <s v="Mr"/>
    <s v="M"/>
    <n v="90"/>
    <s v="Hollywood Villas"/>
    <x v="799"/>
    <x v="3"/>
    <d v="2022-05-06T00:00:00"/>
    <x v="0"/>
    <x v="11"/>
    <n v="29"/>
    <x v="0"/>
    <x v="0"/>
    <n v="580"/>
    <x v="243"/>
  </r>
  <r>
    <n v="2330"/>
    <x v="1700"/>
    <x v="318"/>
    <s v="Miss"/>
    <s v="F"/>
    <n v="30"/>
    <s v="Holmside Road"/>
    <x v="28"/>
    <x v="2"/>
    <d v="2022-12-08T00:00:00"/>
    <x v="0"/>
    <x v="8"/>
    <n v="68"/>
    <x v="5"/>
    <x v="5"/>
    <n v="1632"/>
    <x v="197"/>
  </r>
  <r>
    <n v="2331"/>
    <x v="1701"/>
    <x v="186"/>
    <s v="Miss"/>
    <s v="F"/>
    <n v="90"/>
    <s v="Holwood Place"/>
    <x v="450"/>
    <x v="2"/>
    <d v="2022-06-05T00:00:00"/>
    <x v="0"/>
    <x v="2"/>
    <n v="5"/>
    <x v="5"/>
    <x v="5"/>
    <n v="120"/>
    <x v="64"/>
  </r>
  <r>
    <n v="2332"/>
    <x v="1702"/>
    <x v="1348"/>
    <s v="Mr"/>
    <s v="M"/>
    <n v="60"/>
    <s v="Holyrood Street"/>
    <x v="348"/>
    <x v="16"/>
    <d v="2022-10-22T00:00:00"/>
    <x v="0"/>
    <x v="1"/>
    <n v="37"/>
    <x v="8"/>
    <x v="8"/>
    <n v="740"/>
    <x v="99"/>
  </r>
  <r>
    <n v="2333"/>
    <x v="1703"/>
    <x v="1375"/>
    <s v="Mr"/>
    <s v="M"/>
    <n v="60"/>
    <s v="Homefield"/>
    <x v="86"/>
    <x v="17"/>
    <d v="2021-08-18T00:00:00"/>
    <x v="1"/>
    <x v="3"/>
    <n v="18"/>
    <x v="0"/>
    <x v="0"/>
    <n v="360"/>
    <x v="18"/>
  </r>
  <r>
    <n v="2334"/>
    <x v="1704"/>
    <x v="375"/>
    <s v="Miss"/>
    <s v="F"/>
    <n v="90"/>
    <s v="Homelands"/>
    <x v="836"/>
    <x v="20"/>
    <d v="2021-11-05T00:00:00"/>
    <x v="1"/>
    <x v="7"/>
    <n v="70"/>
    <x v="9"/>
    <x v="9"/>
    <n v="1680"/>
    <x v="556"/>
  </r>
  <r>
    <n v="2335"/>
    <x v="624"/>
    <x v="1323"/>
    <s v="Mr"/>
    <s v="M"/>
    <n v="60"/>
    <s v="Homer Row"/>
    <x v="827"/>
    <x v="2"/>
    <d v="2022-09-25T00:00:00"/>
    <x v="0"/>
    <x v="9"/>
    <n v="17"/>
    <x v="8"/>
    <x v="8"/>
    <n v="340"/>
    <x v="669"/>
  </r>
  <r>
    <n v="2336"/>
    <x v="1705"/>
    <x v="1227"/>
    <s v="Miss"/>
    <s v="F"/>
    <n v="60"/>
    <s v="Homer Street"/>
    <x v="259"/>
    <x v="2"/>
    <d v="2021-12-09T00:00:00"/>
    <x v="1"/>
    <x v="8"/>
    <n v="75"/>
    <x v="5"/>
    <x v="5"/>
    <n v="1800"/>
    <x v="790"/>
  </r>
  <r>
    <n v="2337"/>
    <x v="1706"/>
    <x v="1292"/>
    <s v="Miss"/>
    <s v="F"/>
    <n v="90"/>
    <s v="Homestead Paddock"/>
    <x v="140"/>
    <x v="2"/>
    <d v="2021-09-23T00:00:00"/>
    <x v="1"/>
    <x v="9"/>
    <n v="46"/>
    <x v="2"/>
    <x v="2"/>
    <n v="782"/>
    <x v="38"/>
  </r>
  <r>
    <n v="2338"/>
    <x v="1506"/>
    <x v="1305"/>
    <s v="Mr"/>
    <s v="M"/>
    <n v="90"/>
    <s v="Homestead Park"/>
    <x v="872"/>
    <x v="1"/>
    <d v="2021-08-01T00:00:00"/>
    <x v="1"/>
    <x v="3"/>
    <n v="37"/>
    <x v="3"/>
    <x v="3"/>
    <n v="888"/>
    <x v="562"/>
  </r>
  <r>
    <n v="2339"/>
    <x v="158"/>
    <x v="116"/>
    <s v="Mr"/>
    <s v="M"/>
    <n v="90"/>
    <s v="Homestead Terrace"/>
    <x v="254"/>
    <x v="3"/>
    <d v="2020-09-24T00:00:00"/>
    <x v="2"/>
    <x v="9"/>
    <n v="46"/>
    <x v="8"/>
    <x v="8"/>
    <n v="920"/>
    <x v="166"/>
  </r>
  <r>
    <n v="2340"/>
    <x v="1707"/>
    <x v="493"/>
    <s v="Mr"/>
    <s v="M"/>
    <n v="90"/>
    <s v="Homestead Villas"/>
    <x v="1102"/>
    <x v="2"/>
    <d v="2021-07-28T00:00:00"/>
    <x v="1"/>
    <x v="0"/>
    <n v="33"/>
    <x v="2"/>
    <x v="2"/>
    <n v="561"/>
    <x v="608"/>
  </r>
  <r>
    <n v="2341"/>
    <x v="1708"/>
    <x v="1376"/>
    <s v="Mrs"/>
    <s v="F"/>
    <n v="90"/>
    <s v="Homewillow Close"/>
    <x v="442"/>
    <x v="67"/>
    <d v="2020-09-14T00:00:00"/>
    <x v="2"/>
    <x v="9"/>
    <n v="13"/>
    <x v="1"/>
    <x v="1"/>
    <n v="312"/>
    <x v="127"/>
  </r>
  <r>
    <n v="2342"/>
    <x v="372"/>
    <x v="805"/>
    <s v="Mr"/>
    <s v="M"/>
    <n v="60"/>
    <s v="Honiton Gardens"/>
    <x v="1103"/>
    <x v="2"/>
    <d v="2022-04-30T00:00:00"/>
    <x v="0"/>
    <x v="4"/>
    <n v="23"/>
    <x v="8"/>
    <x v="8"/>
    <n v="460"/>
    <x v="485"/>
  </r>
  <r>
    <n v="2343"/>
    <x v="1298"/>
    <x v="1377"/>
    <s v="Miss"/>
    <s v="F"/>
    <n v="90"/>
    <s v="Hookers Road"/>
    <x v="268"/>
    <x v="21"/>
    <d v="2022-06-12T00:00:00"/>
    <x v="0"/>
    <x v="2"/>
    <n v="5"/>
    <x v="9"/>
    <x v="9"/>
    <n v="120"/>
    <x v="674"/>
  </r>
  <r>
    <n v="2344"/>
    <x v="661"/>
    <x v="1378"/>
    <s v="Mr"/>
    <s v="M"/>
    <n v="60"/>
    <s v="Hooks Road"/>
    <x v="1104"/>
    <x v="2"/>
    <d v="2022-08-02T00:00:00"/>
    <x v="0"/>
    <x v="3"/>
    <n v="23"/>
    <x v="2"/>
    <x v="2"/>
    <n v="391"/>
    <x v="354"/>
  </r>
  <r>
    <n v="2345"/>
    <x v="813"/>
    <x v="78"/>
    <s v="Mr"/>
    <s v="M"/>
    <n v="30"/>
    <s v="Hook'S Road"/>
    <x v="544"/>
    <x v="2"/>
    <d v="2022-09-25T00:00:00"/>
    <x v="0"/>
    <x v="9"/>
    <n v="71"/>
    <x v="4"/>
    <x v="4"/>
    <n v="1278"/>
    <x v="265"/>
  </r>
  <r>
    <n v="2346"/>
    <x v="32"/>
    <x v="1379"/>
    <s v="Mr"/>
    <s v="M"/>
    <n v="90"/>
    <s v="Hoopers Terrace"/>
    <x v="638"/>
    <x v="2"/>
    <d v="2021-02-25T00:00:00"/>
    <x v="1"/>
    <x v="10"/>
    <n v="94"/>
    <x v="4"/>
    <x v="4"/>
    <n v="1692"/>
    <x v="617"/>
  </r>
  <r>
    <n v="2347"/>
    <x v="1276"/>
    <x v="1380"/>
    <s v="Mr"/>
    <s v="M"/>
    <n v="90"/>
    <s v="Hop Gardens"/>
    <x v="371"/>
    <x v="18"/>
    <d v="2021-02-13T00:00:00"/>
    <x v="1"/>
    <x v="10"/>
    <n v="45"/>
    <x v="6"/>
    <x v="6"/>
    <n v="1080"/>
    <x v="570"/>
  </r>
  <r>
    <n v="2348"/>
    <x v="1709"/>
    <x v="645"/>
    <s v="Mrs"/>
    <s v="F"/>
    <n v="30"/>
    <s v="Hop Gardens"/>
    <x v="931"/>
    <x v="2"/>
    <d v="2022-02-08T00:00:00"/>
    <x v="0"/>
    <x v="10"/>
    <n v="85"/>
    <x v="7"/>
    <x v="7"/>
    <n v="1700"/>
    <x v="344"/>
  </r>
  <r>
    <n v="2349"/>
    <x v="1710"/>
    <x v="1381"/>
    <s v="Mrs"/>
    <s v="F"/>
    <n v="60"/>
    <s v="Hopedale Road"/>
    <x v="1105"/>
    <x v="24"/>
    <d v="2020-04-14T00:00:00"/>
    <x v="2"/>
    <x v="4"/>
    <n v="62"/>
    <x v="6"/>
    <x v="6"/>
    <n v="1488"/>
    <x v="343"/>
  </r>
  <r>
    <n v="2350"/>
    <x v="1341"/>
    <x v="686"/>
    <s v="Mrs"/>
    <s v="F"/>
    <n v="30"/>
    <s v="Hopedale Road"/>
    <x v="799"/>
    <x v="3"/>
    <d v="2021-11-06T00:00:00"/>
    <x v="1"/>
    <x v="7"/>
    <n v="61"/>
    <x v="2"/>
    <x v="2"/>
    <n v="1037"/>
    <x v="81"/>
  </r>
  <r>
    <n v="2351"/>
    <x v="671"/>
    <x v="1382"/>
    <s v="Mr"/>
    <s v="M"/>
    <n v="30"/>
    <s v="Hopefield Avenue"/>
    <x v="102"/>
    <x v="25"/>
    <d v="2020-06-27T00:00:00"/>
    <x v="2"/>
    <x v="2"/>
    <n v="42"/>
    <x v="4"/>
    <x v="4"/>
    <n v="756"/>
    <x v="408"/>
  </r>
  <r>
    <n v="2352"/>
    <x v="1711"/>
    <x v="17"/>
    <s v="Mr"/>
    <s v="M"/>
    <n v="30"/>
    <s v="Hopetown Street"/>
    <x v="658"/>
    <x v="27"/>
    <d v="2020-03-20T00:00:00"/>
    <x v="2"/>
    <x v="5"/>
    <n v="66"/>
    <x v="1"/>
    <x v="1"/>
    <n v="1584"/>
    <x v="786"/>
  </r>
  <r>
    <n v="2353"/>
    <x v="1712"/>
    <x v="1107"/>
    <s v="Miss"/>
    <s v="F"/>
    <n v="60"/>
    <s v="Hopetown Street"/>
    <x v="36"/>
    <x v="2"/>
    <d v="2021-05-22T00:00:00"/>
    <x v="1"/>
    <x v="11"/>
    <n v="49"/>
    <x v="1"/>
    <x v="1"/>
    <n v="1176"/>
    <x v="558"/>
  </r>
  <r>
    <n v="2354"/>
    <x v="1713"/>
    <x v="648"/>
    <s v="Miss"/>
    <s v="F"/>
    <n v="90"/>
    <s v="Hopkins Street"/>
    <x v="916"/>
    <x v="16"/>
    <d v="2020-07-10T00:00:00"/>
    <x v="2"/>
    <x v="0"/>
    <n v="22"/>
    <x v="7"/>
    <x v="7"/>
    <n v="440"/>
    <x v="588"/>
  </r>
  <r>
    <n v="2355"/>
    <x v="1139"/>
    <x v="906"/>
    <s v="Mr"/>
    <s v="M"/>
    <n v="30"/>
    <s v="Hoppers Road"/>
    <x v="474"/>
    <x v="2"/>
    <d v="2020-11-03T00:00:00"/>
    <x v="2"/>
    <x v="7"/>
    <n v="14"/>
    <x v="2"/>
    <x v="2"/>
    <n v="238"/>
    <x v="328"/>
  </r>
  <r>
    <n v="2356"/>
    <x v="1714"/>
    <x v="667"/>
    <s v="Mrs"/>
    <s v="F"/>
    <n v="30"/>
    <s v="Hopperton'S Cottages"/>
    <x v="468"/>
    <x v="2"/>
    <d v="2021-11-17T00:00:00"/>
    <x v="1"/>
    <x v="7"/>
    <n v="4"/>
    <x v="6"/>
    <x v="6"/>
    <n v="96"/>
    <x v="879"/>
  </r>
  <r>
    <n v="2357"/>
    <x v="763"/>
    <x v="670"/>
    <s v="Miss"/>
    <s v="F"/>
    <n v="60"/>
    <s v="Hopwood Walk"/>
    <x v="205"/>
    <x v="16"/>
    <d v="2020-06-21T00:00:00"/>
    <x v="2"/>
    <x v="2"/>
    <n v="35"/>
    <x v="9"/>
    <x v="9"/>
    <n v="840"/>
    <x v="395"/>
  </r>
  <r>
    <n v="2358"/>
    <x v="1715"/>
    <x v="1383"/>
    <s v="Ms"/>
    <s v="F"/>
    <n v="60"/>
    <s v="Hopwood Walk"/>
    <x v="492"/>
    <x v="17"/>
    <d v="2021-08-25T00:00:00"/>
    <x v="1"/>
    <x v="3"/>
    <n v="78"/>
    <x v="1"/>
    <x v="1"/>
    <n v="1872"/>
    <x v="100"/>
  </r>
  <r>
    <n v="2359"/>
    <x v="953"/>
    <x v="487"/>
    <s v="Mr"/>
    <s v="M"/>
    <n v="30"/>
    <s v="Hordle Promenade"/>
    <x v="330"/>
    <x v="21"/>
    <d v="2020-06-19T00:00:00"/>
    <x v="2"/>
    <x v="2"/>
    <n v="20"/>
    <x v="6"/>
    <x v="6"/>
    <n v="480"/>
    <x v="167"/>
  </r>
  <r>
    <n v="2360"/>
    <x v="564"/>
    <x v="644"/>
    <s v="Mrs"/>
    <s v="F"/>
    <n v="90"/>
    <s v="Hornbeams Rise"/>
    <x v="1106"/>
    <x v="14"/>
    <d v="2022-06-17T00:00:00"/>
    <x v="0"/>
    <x v="2"/>
    <n v="104"/>
    <x v="3"/>
    <x v="3"/>
    <n v="2496"/>
    <x v="4"/>
  </r>
  <r>
    <n v="2361"/>
    <x v="1716"/>
    <x v="79"/>
    <s v="Mr"/>
    <s v="M"/>
    <n v="30"/>
    <s v="Hornblower Close"/>
    <x v="177"/>
    <x v="2"/>
    <d v="2020-07-27T00:00:00"/>
    <x v="2"/>
    <x v="0"/>
    <n v="23"/>
    <x v="1"/>
    <x v="1"/>
    <n v="552"/>
    <x v="769"/>
  </r>
  <r>
    <n v="2362"/>
    <x v="1717"/>
    <x v="226"/>
    <s v="Mrs"/>
    <s v="F"/>
    <n v="90"/>
    <s v="Hornleigh Villas"/>
    <x v="146"/>
    <x v="2"/>
    <d v="2020-11-12T00:00:00"/>
    <x v="2"/>
    <x v="7"/>
    <n v="23"/>
    <x v="2"/>
    <x v="2"/>
    <n v="391"/>
    <x v="354"/>
  </r>
  <r>
    <n v="2363"/>
    <x v="385"/>
    <x v="1165"/>
    <s v="Mr"/>
    <s v="M"/>
    <n v="30"/>
    <s v="Horse And"/>
    <x v="944"/>
    <x v="10"/>
    <d v="2020-10-15T00:00:00"/>
    <x v="2"/>
    <x v="1"/>
    <n v="85"/>
    <x v="8"/>
    <x v="8"/>
    <n v="1700"/>
    <x v="47"/>
  </r>
  <r>
    <n v="2364"/>
    <x v="89"/>
    <x v="1326"/>
    <s v="Ms"/>
    <s v="F"/>
    <n v="30"/>
    <s v="Horse And"/>
    <x v="206"/>
    <x v="2"/>
    <d v="2022-04-24T00:00:00"/>
    <x v="0"/>
    <x v="4"/>
    <n v="18"/>
    <x v="7"/>
    <x v="7"/>
    <n v="360"/>
    <x v="687"/>
  </r>
  <r>
    <n v="2365"/>
    <x v="1718"/>
    <x v="683"/>
    <s v="Miss"/>
    <s v="F"/>
    <n v="60"/>
    <s v="Horse Guards"/>
    <x v="142"/>
    <x v="21"/>
    <d v="2020-03-15T00:00:00"/>
    <x v="2"/>
    <x v="5"/>
    <n v="44"/>
    <x v="2"/>
    <x v="2"/>
    <n v="748"/>
    <x v="696"/>
  </r>
  <r>
    <n v="2366"/>
    <x v="1719"/>
    <x v="1384"/>
    <s v="Miss"/>
    <s v="F"/>
    <n v="60"/>
    <s v="Horse Yard"/>
    <x v="1107"/>
    <x v="2"/>
    <d v="2020-11-29T00:00:00"/>
    <x v="2"/>
    <x v="7"/>
    <n v="2"/>
    <x v="6"/>
    <x v="6"/>
    <n v="48"/>
    <x v="728"/>
  </r>
  <r>
    <n v="2367"/>
    <x v="939"/>
    <x v="35"/>
    <s v="Mr"/>
    <s v="M"/>
    <n v="90"/>
    <s v="Horseferry"/>
    <x v="318"/>
    <x v="2"/>
    <d v="2020-07-29T00:00:00"/>
    <x v="2"/>
    <x v="0"/>
    <n v="13"/>
    <x v="6"/>
    <x v="6"/>
    <n v="312"/>
    <x v="846"/>
  </r>
  <r>
    <n v="2368"/>
    <x v="1410"/>
    <x v="1385"/>
    <s v="Mrs"/>
    <s v="F"/>
    <n v="60"/>
    <s v="Horseferry Wharf"/>
    <x v="298"/>
    <x v="12"/>
    <d v="2020-12-25T00:00:00"/>
    <x v="2"/>
    <x v="8"/>
    <n v="3"/>
    <x v="7"/>
    <x v="7"/>
    <n v="60"/>
    <x v="258"/>
  </r>
  <r>
    <n v="2369"/>
    <x v="1587"/>
    <x v="1386"/>
    <s v="Mr"/>
    <s v="M"/>
    <n v="90"/>
    <s v="Horselydown Place"/>
    <x v="341"/>
    <x v="21"/>
    <d v="2020-09-17T00:00:00"/>
    <x v="2"/>
    <x v="9"/>
    <n v="64"/>
    <x v="2"/>
    <x v="2"/>
    <n v="1088"/>
    <x v="98"/>
  </r>
  <r>
    <n v="2370"/>
    <x v="1720"/>
    <x v="706"/>
    <s v="Mrs"/>
    <s v="F"/>
    <n v="90"/>
    <s v="Horseshoe Lane"/>
    <x v="946"/>
    <x v="2"/>
    <d v="2021-08-30T00:00:00"/>
    <x v="1"/>
    <x v="3"/>
    <n v="73"/>
    <x v="9"/>
    <x v="9"/>
    <n v="1752"/>
    <x v="152"/>
  </r>
  <r>
    <n v="2371"/>
    <x v="1721"/>
    <x v="1175"/>
    <s v="Mrs"/>
    <s v="F"/>
    <n v="30"/>
    <s v="Horsfeld Road"/>
    <x v="866"/>
    <x v="2"/>
    <d v="2021-09-21T00:00:00"/>
    <x v="1"/>
    <x v="9"/>
    <n v="94"/>
    <x v="2"/>
    <x v="2"/>
    <n v="1598"/>
    <x v="741"/>
  </r>
  <r>
    <n v="2372"/>
    <x v="1722"/>
    <x v="641"/>
    <s v="Ms"/>
    <s v="F"/>
    <n v="30"/>
    <s v="Horsley Road"/>
    <x v="1013"/>
    <x v="2"/>
    <d v="2021-06-26T00:00:00"/>
    <x v="1"/>
    <x v="2"/>
    <n v="34"/>
    <x v="3"/>
    <x v="3"/>
    <n v="816"/>
    <x v="464"/>
  </r>
  <r>
    <n v="2373"/>
    <x v="5"/>
    <x v="383"/>
    <s v="Mr"/>
    <s v="M"/>
    <n v="30"/>
    <s v="Horsley Street"/>
    <x v="84"/>
    <x v="2"/>
    <d v="2021-12-26T00:00:00"/>
    <x v="1"/>
    <x v="8"/>
    <n v="92"/>
    <x v="3"/>
    <x v="3"/>
    <n v="2208"/>
    <x v="82"/>
  </r>
  <r>
    <n v="2374"/>
    <x v="863"/>
    <x v="1063"/>
    <s v="Mr"/>
    <s v="M"/>
    <n v="30"/>
    <s v="Horsleydown Lane"/>
    <x v="917"/>
    <x v="35"/>
    <d v="2020-03-16T00:00:00"/>
    <x v="2"/>
    <x v="5"/>
    <n v="60"/>
    <x v="4"/>
    <x v="4"/>
    <n v="1080"/>
    <x v="904"/>
  </r>
  <r>
    <n v="2375"/>
    <x v="479"/>
    <x v="141"/>
    <s v="Mr"/>
    <s v="M"/>
    <n v="60"/>
    <s v="Horticultural Place"/>
    <x v="1062"/>
    <x v="33"/>
    <d v="2021-03-01T00:00:00"/>
    <x v="1"/>
    <x v="5"/>
    <n v="79"/>
    <x v="6"/>
    <x v="6"/>
    <n v="1896"/>
    <x v="74"/>
  </r>
  <r>
    <n v="2376"/>
    <x v="1570"/>
    <x v="1387"/>
    <s v="Mr"/>
    <s v="M"/>
    <n v="60"/>
    <s v="Hosier Street"/>
    <x v="1082"/>
    <x v="21"/>
    <d v="2020-01-18T00:00:00"/>
    <x v="2"/>
    <x v="6"/>
    <n v="13"/>
    <x v="0"/>
    <x v="0"/>
    <n v="260"/>
    <x v="1"/>
  </r>
  <r>
    <n v="2377"/>
    <x v="1723"/>
    <x v="776"/>
    <s v="Mr"/>
    <s v="M"/>
    <n v="60"/>
    <s v="Hotham Street"/>
    <x v="4"/>
    <x v="2"/>
    <d v="2022-09-30T00:00:00"/>
    <x v="0"/>
    <x v="9"/>
    <n v="95"/>
    <x v="3"/>
    <x v="3"/>
    <n v="2280"/>
    <x v="361"/>
  </r>
  <r>
    <n v="2378"/>
    <x v="1008"/>
    <x v="509"/>
    <s v="Mr"/>
    <s v="M"/>
    <n v="30"/>
    <s v="Hove Street"/>
    <x v="240"/>
    <x v="41"/>
    <d v="2022-11-11T00:00:00"/>
    <x v="0"/>
    <x v="7"/>
    <n v="19"/>
    <x v="1"/>
    <x v="1"/>
    <n v="456"/>
    <x v="845"/>
  </r>
  <r>
    <n v="2379"/>
    <x v="1388"/>
    <x v="1123"/>
    <s v="Miss"/>
    <s v="F"/>
    <n v="30"/>
    <s v="Hoveton Road"/>
    <x v="331"/>
    <x v="2"/>
    <d v="2021-01-06T00:00:00"/>
    <x v="1"/>
    <x v="6"/>
    <n v="72"/>
    <x v="9"/>
    <x v="9"/>
    <n v="1728"/>
    <x v="369"/>
  </r>
  <r>
    <n v="2380"/>
    <x v="1593"/>
    <x v="762"/>
    <s v="Mr"/>
    <s v="M"/>
    <n v="90"/>
    <s v="Howard Buildings"/>
    <x v="161"/>
    <x v="29"/>
    <d v="2020-12-14T00:00:00"/>
    <x v="2"/>
    <x v="8"/>
    <n v="15"/>
    <x v="5"/>
    <x v="5"/>
    <n v="360"/>
    <x v="447"/>
  </r>
  <r>
    <n v="2381"/>
    <x v="1724"/>
    <x v="3"/>
    <s v="Miss"/>
    <s v="F"/>
    <n v="30"/>
    <s v="Howey Terrace"/>
    <x v="873"/>
    <x v="13"/>
    <d v="2020-05-06T00:00:00"/>
    <x v="2"/>
    <x v="11"/>
    <n v="24"/>
    <x v="7"/>
    <x v="7"/>
    <n v="480"/>
    <x v="866"/>
  </r>
  <r>
    <n v="2382"/>
    <x v="1541"/>
    <x v="1388"/>
    <s v="Miss"/>
    <s v="F"/>
    <n v="30"/>
    <s v="Howgate R+F1024D"/>
    <x v="1108"/>
    <x v="2"/>
    <d v="2020-05-26T00:00:00"/>
    <x v="2"/>
    <x v="11"/>
    <n v="33"/>
    <x v="0"/>
    <x v="0"/>
    <n v="660"/>
    <x v="745"/>
  </r>
  <r>
    <n v="2383"/>
    <x v="1725"/>
    <x v="1218"/>
    <s v="Mr"/>
    <s v="M"/>
    <n v="90"/>
    <s v="Howie Street"/>
    <x v="280"/>
    <x v="2"/>
    <d v="2020-12-31T00:00:00"/>
    <x v="2"/>
    <x v="8"/>
    <n v="36"/>
    <x v="2"/>
    <x v="2"/>
    <n v="612"/>
    <x v="832"/>
  </r>
  <r>
    <n v="2384"/>
    <x v="1726"/>
    <x v="437"/>
    <s v="Mr"/>
    <s v="M"/>
    <n v="90"/>
    <s v="Howitt Road"/>
    <x v="532"/>
    <x v="2"/>
    <d v="2021-09-25T00:00:00"/>
    <x v="1"/>
    <x v="9"/>
    <n v="31"/>
    <x v="4"/>
    <x v="4"/>
    <n v="558"/>
    <x v="163"/>
  </r>
  <r>
    <n v="2385"/>
    <x v="1727"/>
    <x v="1389"/>
    <s v="Miss"/>
    <s v="F"/>
    <n v="90"/>
    <s v="Hoylake Road"/>
    <x v="1109"/>
    <x v="20"/>
    <d v="2021-11-25T00:00:00"/>
    <x v="1"/>
    <x v="7"/>
    <n v="14"/>
    <x v="0"/>
    <x v="0"/>
    <n v="280"/>
    <x v="22"/>
  </r>
  <r>
    <n v="2386"/>
    <x v="1728"/>
    <x v="1390"/>
    <s v="Mr"/>
    <s v="M"/>
    <n v="30"/>
    <s v="Huddart Street"/>
    <x v="378"/>
    <x v="2"/>
    <d v="2021-10-27T00:00:00"/>
    <x v="1"/>
    <x v="1"/>
    <n v="13"/>
    <x v="4"/>
    <x v="4"/>
    <n v="234"/>
    <x v="143"/>
  </r>
  <r>
    <n v="2387"/>
    <x v="151"/>
    <x v="429"/>
    <s v="Mr"/>
    <s v="M"/>
    <n v="30"/>
    <s v="Hudsons Court"/>
    <x v="301"/>
    <x v="2"/>
    <d v="2022-01-30T00:00:00"/>
    <x v="0"/>
    <x v="6"/>
    <n v="79"/>
    <x v="0"/>
    <x v="0"/>
    <n v="1580"/>
    <x v="767"/>
  </r>
  <r>
    <n v="2388"/>
    <x v="1149"/>
    <x v="1391"/>
    <s v="Mr"/>
    <s v="M"/>
    <n v="90"/>
    <s v="Huets Corner"/>
    <x v="354"/>
    <x v="2"/>
    <d v="2022-10-30T00:00:00"/>
    <x v="0"/>
    <x v="1"/>
    <n v="47"/>
    <x v="0"/>
    <x v="0"/>
    <n v="940"/>
    <x v="421"/>
  </r>
  <r>
    <n v="2389"/>
    <x v="1309"/>
    <x v="54"/>
    <s v="Mr"/>
    <s v="M"/>
    <n v="30"/>
    <s v="Hughes Mews"/>
    <x v="698"/>
    <x v="2"/>
    <d v="2022-08-28T00:00:00"/>
    <x v="0"/>
    <x v="3"/>
    <n v="94"/>
    <x v="5"/>
    <x v="5"/>
    <n v="2256"/>
    <x v="905"/>
  </r>
  <r>
    <n v="2390"/>
    <x v="1729"/>
    <x v="283"/>
    <s v="Miss"/>
    <s v="F"/>
    <n v="90"/>
    <s v="Hughes Place"/>
    <x v="1110"/>
    <x v="2"/>
    <d v="2020-06-16T00:00:00"/>
    <x v="2"/>
    <x v="2"/>
    <n v="43"/>
    <x v="6"/>
    <x v="6"/>
    <n v="1032"/>
    <x v="27"/>
  </r>
  <r>
    <n v="2391"/>
    <x v="1499"/>
    <x v="210"/>
    <s v="Miss"/>
    <s v="F"/>
    <n v="90"/>
    <s v="Hughes Terrace"/>
    <x v="491"/>
    <x v="2"/>
    <d v="2021-07-26T00:00:00"/>
    <x v="1"/>
    <x v="0"/>
    <n v="62"/>
    <x v="1"/>
    <x v="1"/>
    <n v="1488"/>
    <x v="467"/>
  </r>
  <r>
    <n v="2392"/>
    <x v="1730"/>
    <x v="491"/>
    <s v="Mrs"/>
    <s v="F"/>
    <n v="60"/>
    <s v="Hull Place"/>
    <x v="469"/>
    <x v="2"/>
    <d v="2020-08-02T00:00:00"/>
    <x v="2"/>
    <x v="3"/>
    <n v="69"/>
    <x v="4"/>
    <x v="4"/>
    <n v="1242"/>
    <x v="906"/>
  </r>
  <r>
    <n v="2393"/>
    <x v="1731"/>
    <x v="361"/>
    <s v="Miss"/>
    <s v="F"/>
    <n v="30"/>
    <s v="Hullbridge Mews"/>
    <x v="460"/>
    <x v="16"/>
    <d v="2022-09-09T00:00:00"/>
    <x v="0"/>
    <x v="9"/>
    <n v="11"/>
    <x v="8"/>
    <x v="8"/>
    <n v="220"/>
    <x v="768"/>
  </r>
  <r>
    <n v="2394"/>
    <x v="1223"/>
    <x v="175"/>
    <s v="Miss"/>
    <s v="F"/>
    <n v="60"/>
    <s v="Hullbridge Mews"/>
    <x v="86"/>
    <x v="17"/>
    <d v="2020-03-06T00:00:00"/>
    <x v="2"/>
    <x v="5"/>
    <n v="42"/>
    <x v="4"/>
    <x v="4"/>
    <n v="756"/>
    <x v="408"/>
  </r>
  <r>
    <n v="2395"/>
    <x v="175"/>
    <x v="1392"/>
    <s v="Mr"/>
    <s v="M"/>
    <n v="60"/>
    <s v="Humber Trading"/>
    <x v="1000"/>
    <x v="1"/>
    <d v="2021-10-02T00:00:00"/>
    <x v="1"/>
    <x v="1"/>
    <n v="37"/>
    <x v="0"/>
    <x v="0"/>
    <n v="740"/>
    <x v="885"/>
  </r>
  <r>
    <n v="2396"/>
    <x v="1732"/>
    <x v="1393"/>
    <s v="Mrs"/>
    <s v="F"/>
    <n v="90"/>
    <s v="Hunt Street"/>
    <x v="670"/>
    <x v="10"/>
    <d v="2021-11-04T00:00:00"/>
    <x v="1"/>
    <x v="7"/>
    <n v="95"/>
    <x v="4"/>
    <x v="4"/>
    <n v="1710"/>
    <x v="907"/>
  </r>
  <r>
    <n v="2397"/>
    <x v="515"/>
    <x v="670"/>
    <s v="Mr"/>
    <s v="M"/>
    <n v="90"/>
    <s v="Hunter Street"/>
    <x v="1111"/>
    <x v="21"/>
    <d v="2020-04-05T00:00:00"/>
    <x v="2"/>
    <x v="4"/>
    <n v="49"/>
    <x v="5"/>
    <x v="5"/>
    <n v="1176"/>
    <x v="908"/>
  </r>
  <r>
    <n v="2398"/>
    <x v="186"/>
    <x v="241"/>
    <s v="Mr"/>
    <s v="M"/>
    <n v="60"/>
    <s v="Huntingdon Street"/>
    <x v="738"/>
    <x v="1"/>
    <d v="2021-08-13T00:00:00"/>
    <x v="1"/>
    <x v="3"/>
    <n v="10"/>
    <x v="2"/>
    <x v="2"/>
    <n v="170"/>
    <x v="317"/>
  </r>
  <r>
    <n v="2399"/>
    <x v="1733"/>
    <x v="256"/>
    <s v="Mrs"/>
    <s v="F"/>
    <n v="90"/>
    <s v="Huntley Way"/>
    <x v="453"/>
    <x v="21"/>
    <d v="2022-09-02T00:00:00"/>
    <x v="0"/>
    <x v="9"/>
    <n v="94"/>
    <x v="5"/>
    <x v="5"/>
    <n v="2256"/>
    <x v="905"/>
  </r>
  <r>
    <n v="2400"/>
    <x v="1734"/>
    <x v="1394"/>
    <s v="Mr"/>
    <s v="M"/>
    <n v="30"/>
    <s v="Huntspill Street"/>
    <x v="31"/>
    <x v="2"/>
    <d v="2021-12-25T00:00:00"/>
    <x v="1"/>
    <x v="8"/>
    <n v="35"/>
    <x v="3"/>
    <x v="3"/>
    <n v="840"/>
    <x v="536"/>
  </r>
  <r>
    <n v="2401"/>
    <x v="1168"/>
    <x v="1395"/>
    <s v="Mr"/>
    <s v="M"/>
    <n v="60"/>
    <s v="Huntsworth Mews"/>
    <x v="763"/>
    <x v="3"/>
    <d v="2020-03-18T00:00:00"/>
    <x v="2"/>
    <x v="5"/>
    <n v="19"/>
    <x v="8"/>
    <x v="8"/>
    <n v="380"/>
    <x v="606"/>
  </r>
  <r>
    <n v="2402"/>
    <x v="1735"/>
    <x v="1396"/>
    <s v="Mrs"/>
    <s v="F"/>
    <n v="90"/>
    <s v="Huntsworth Terrace"/>
    <x v="241"/>
    <x v="26"/>
    <d v="2020-11-10T00:00:00"/>
    <x v="2"/>
    <x v="7"/>
    <n v="5"/>
    <x v="0"/>
    <x v="0"/>
    <n v="100"/>
    <x v="645"/>
  </r>
  <r>
    <n v="2403"/>
    <x v="1252"/>
    <x v="1397"/>
    <s v="Mr"/>
    <s v="M"/>
    <n v="30"/>
    <s v="Hurlingham Business"/>
    <x v="22"/>
    <x v="2"/>
    <d v="2020-07-22T00:00:00"/>
    <x v="2"/>
    <x v="0"/>
    <n v="23"/>
    <x v="7"/>
    <x v="7"/>
    <n v="460"/>
    <x v="909"/>
  </r>
  <r>
    <n v="2404"/>
    <x v="257"/>
    <x v="119"/>
    <s v="Mr"/>
    <s v="M"/>
    <n v="90"/>
    <s v="Hurst Road"/>
    <x v="813"/>
    <x v="57"/>
    <d v="2022-12-20T00:00:00"/>
    <x v="0"/>
    <x v="8"/>
    <n v="36"/>
    <x v="2"/>
    <x v="2"/>
    <n v="612"/>
    <x v="832"/>
  </r>
  <r>
    <n v="2405"/>
    <x v="456"/>
    <x v="66"/>
    <s v="Miss"/>
    <s v="F"/>
    <n v="90"/>
    <s v="Hyde Grove"/>
    <x v="392"/>
    <x v="2"/>
    <d v="2021-10-16T00:00:00"/>
    <x v="1"/>
    <x v="1"/>
    <n v="47"/>
    <x v="1"/>
    <x v="1"/>
    <n v="1128"/>
    <x v="147"/>
  </r>
  <r>
    <n v="2406"/>
    <x v="50"/>
    <x v="1398"/>
    <s v="Mr"/>
    <s v="M"/>
    <n v="30"/>
    <s v="Hyde Vale"/>
    <x v="246"/>
    <x v="2"/>
    <d v="2020-09-15T00:00:00"/>
    <x v="2"/>
    <x v="9"/>
    <n v="58"/>
    <x v="1"/>
    <x v="1"/>
    <n v="1392"/>
    <x v="280"/>
  </r>
  <r>
    <n v="2407"/>
    <x v="1736"/>
    <x v="1073"/>
    <s v="Mrs"/>
    <s v="F"/>
    <n v="90"/>
    <s v="Hyde Way"/>
    <x v="549"/>
    <x v="16"/>
    <d v="2022-05-06T00:00:00"/>
    <x v="0"/>
    <x v="11"/>
    <n v="44"/>
    <x v="7"/>
    <x v="7"/>
    <n v="880"/>
    <x v="766"/>
  </r>
  <r>
    <n v="2408"/>
    <x v="154"/>
    <x v="685"/>
    <s v="Mrs"/>
    <s v="F"/>
    <n v="30"/>
    <s v="Hyderabad House"/>
    <x v="774"/>
    <x v="21"/>
    <d v="2021-12-28T00:00:00"/>
    <x v="1"/>
    <x v="8"/>
    <n v="61"/>
    <x v="8"/>
    <x v="8"/>
    <n v="1220"/>
    <x v="482"/>
  </r>
  <r>
    <n v="2409"/>
    <x v="130"/>
    <x v="609"/>
    <s v="Prof"/>
    <s v="M"/>
    <n v="60"/>
    <s v="Hyndman Green"/>
    <x v="873"/>
    <x v="13"/>
    <d v="2020-07-20T00:00:00"/>
    <x v="2"/>
    <x v="0"/>
    <n v="42"/>
    <x v="5"/>
    <x v="5"/>
    <n v="1008"/>
    <x v="275"/>
  </r>
  <r>
    <n v="2410"/>
    <x v="1737"/>
    <x v="1248"/>
    <s v="Mrs"/>
    <s v="F"/>
    <n v="60"/>
    <s v="Ickleton Road"/>
    <x v="146"/>
    <x v="2"/>
    <d v="2022-01-20T00:00:00"/>
    <x v="0"/>
    <x v="6"/>
    <n v="6"/>
    <x v="1"/>
    <x v="1"/>
    <n v="144"/>
    <x v="466"/>
  </r>
  <r>
    <n v="2411"/>
    <x v="1648"/>
    <x v="222"/>
    <s v="Mr"/>
    <s v="M"/>
    <n v="30"/>
    <s v="Idonia Street"/>
    <x v="1090"/>
    <x v="21"/>
    <d v="2022-11-17T00:00:00"/>
    <x v="0"/>
    <x v="7"/>
    <n v="93"/>
    <x v="9"/>
    <x v="9"/>
    <n v="2232"/>
    <x v="186"/>
  </r>
  <r>
    <n v="2412"/>
    <x v="1738"/>
    <x v="1399"/>
    <s v="Miss"/>
    <s v="F"/>
    <n v="60"/>
    <s v="Iliffe Street"/>
    <x v="1066"/>
    <x v="2"/>
    <d v="2020-03-22T00:00:00"/>
    <x v="2"/>
    <x v="5"/>
    <n v="11"/>
    <x v="5"/>
    <x v="5"/>
    <n v="264"/>
    <x v="248"/>
  </r>
  <r>
    <n v="2413"/>
    <x v="1197"/>
    <x v="559"/>
    <s v="Miss"/>
    <s v="F"/>
    <n v="30"/>
    <s v="Ilkley Close"/>
    <x v="536"/>
    <x v="44"/>
    <d v="2021-01-29T00:00:00"/>
    <x v="1"/>
    <x v="6"/>
    <n v="79"/>
    <x v="4"/>
    <x v="4"/>
    <n v="1422"/>
    <x v="5"/>
  </r>
  <r>
    <n v="2414"/>
    <x v="1739"/>
    <x v="1299"/>
    <s v="Mrs"/>
    <s v="F"/>
    <n v="30"/>
    <s v="Ilminster Gardens"/>
    <x v="74"/>
    <x v="10"/>
    <d v="2020-07-10T00:00:00"/>
    <x v="2"/>
    <x v="0"/>
    <n v="26"/>
    <x v="7"/>
    <x v="7"/>
    <n v="520"/>
    <x v="110"/>
  </r>
  <r>
    <n v="2415"/>
    <x v="348"/>
    <x v="653"/>
    <s v="Mr"/>
    <s v="M"/>
    <n v="90"/>
    <s v="Imperial Av"/>
    <x v="638"/>
    <x v="2"/>
    <d v="2020-01-21T00:00:00"/>
    <x v="2"/>
    <x v="6"/>
    <n v="79"/>
    <x v="1"/>
    <x v="1"/>
    <n v="1896"/>
    <x v="739"/>
  </r>
  <r>
    <n v="2416"/>
    <x v="1046"/>
    <x v="360"/>
    <s v="Mr"/>
    <s v="M"/>
    <n v="60"/>
    <s v="Inca Drive"/>
    <x v="279"/>
    <x v="2"/>
    <d v="2022-09-17T00:00:00"/>
    <x v="0"/>
    <x v="9"/>
    <n v="15"/>
    <x v="9"/>
    <x v="9"/>
    <n v="360"/>
    <x v="274"/>
  </r>
  <r>
    <n v="2417"/>
    <x v="1740"/>
    <x v="1400"/>
    <s v="Mr"/>
    <s v="M"/>
    <n v="60"/>
    <s v="Independents Road"/>
    <x v="1112"/>
    <x v="17"/>
    <d v="2021-05-14T00:00:00"/>
    <x v="1"/>
    <x v="11"/>
    <n v="33"/>
    <x v="3"/>
    <x v="3"/>
    <n v="792"/>
    <x v="442"/>
  </r>
  <r>
    <n v="2418"/>
    <x v="1741"/>
    <x v="334"/>
    <s v="Mrs"/>
    <s v="F"/>
    <n v="90"/>
    <s v="India House"/>
    <x v="471"/>
    <x v="17"/>
    <d v="2021-03-14T00:00:00"/>
    <x v="1"/>
    <x v="5"/>
    <n v="92"/>
    <x v="3"/>
    <x v="3"/>
    <n v="2208"/>
    <x v="82"/>
  </r>
  <r>
    <n v="2419"/>
    <x v="1155"/>
    <x v="1008"/>
    <s v="Mr"/>
    <s v="M"/>
    <n v="60"/>
    <s v="India Street"/>
    <x v="439"/>
    <x v="18"/>
    <d v="2020-05-05T00:00:00"/>
    <x v="2"/>
    <x v="11"/>
    <n v="2"/>
    <x v="8"/>
    <x v="8"/>
    <n v="40"/>
    <x v="264"/>
  </r>
  <r>
    <n v="2420"/>
    <x v="963"/>
    <x v="575"/>
    <s v="Mr"/>
    <s v="M"/>
    <n v="60"/>
    <s v="India Terrace"/>
    <x v="139"/>
    <x v="21"/>
    <d v="2020-05-08T00:00:00"/>
    <x v="2"/>
    <x v="11"/>
    <n v="58"/>
    <x v="2"/>
    <x v="2"/>
    <n v="986"/>
    <x v="810"/>
  </r>
  <r>
    <n v="2421"/>
    <x v="1742"/>
    <x v="814"/>
    <s v="Mr"/>
    <s v="M"/>
    <n v="30"/>
    <s v="Ingleton Street"/>
    <x v="1113"/>
    <x v="15"/>
    <d v="2020-10-07T00:00:00"/>
    <x v="2"/>
    <x v="1"/>
    <n v="7"/>
    <x v="4"/>
    <x v="4"/>
    <n v="126"/>
    <x v="311"/>
  </r>
  <r>
    <n v="2422"/>
    <x v="1743"/>
    <x v="1394"/>
    <s v="Mrs"/>
    <s v="F"/>
    <n v="60"/>
    <s v="Ingleway"/>
    <x v="339"/>
    <x v="2"/>
    <d v="2022-05-29T00:00:00"/>
    <x v="0"/>
    <x v="11"/>
    <n v="39"/>
    <x v="5"/>
    <x v="5"/>
    <n v="936"/>
    <x v="910"/>
  </r>
  <r>
    <n v="2423"/>
    <x v="1744"/>
    <x v="169"/>
    <s v="Miss"/>
    <s v="F"/>
    <n v="30"/>
    <s v="Ingram Lodge"/>
    <x v="596"/>
    <x v="2"/>
    <d v="2022-09-25T00:00:00"/>
    <x v="0"/>
    <x v="9"/>
    <n v="92"/>
    <x v="9"/>
    <x v="9"/>
    <n v="2208"/>
    <x v="528"/>
  </r>
  <r>
    <n v="2424"/>
    <x v="1612"/>
    <x v="965"/>
    <s v="Mr"/>
    <s v="M"/>
    <n v="90"/>
    <s v="Ingram Place"/>
    <x v="829"/>
    <x v="2"/>
    <d v="2021-03-07T00:00:00"/>
    <x v="1"/>
    <x v="5"/>
    <n v="20"/>
    <x v="0"/>
    <x v="0"/>
    <n v="400"/>
    <x v="210"/>
  </r>
  <r>
    <n v="2425"/>
    <x v="1745"/>
    <x v="510"/>
    <s v="Mr"/>
    <s v="M"/>
    <n v="60"/>
    <s v="Inkerman Road"/>
    <x v="84"/>
    <x v="2"/>
    <d v="2021-09-06T00:00:00"/>
    <x v="1"/>
    <x v="9"/>
    <n v="56"/>
    <x v="0"/>
    <x v="0"/>
    <n v="1120"/>
    <x v="428"/>
  </r>
  <r>
    <n v="2426"/>
    <x v="570"/>
    <x v="795"/>
    <s v="Mr"/>
    <s v="M"/>
    <n v="60"/>
    <s v="Inn Passage"/>
    <x v="639"/>
    <x v="13"/>
    <d v="2020-10-17T00:00:00"/>
    <x v="2"/>
    <x v="1"/>
    <n v="73"/>
    <x v="2"/>
    <x v="2"/>
    <n v="1241"/>
    <x v="557"/>
  </r>
  <r>
    <n v="2427"/>
    <x v="291"/>
    <x v="706"/>
    <s v="Ms"/>
    <s v="F"/>
    <n v="30"/>
    <s v="Inverforth Close"/>
    <x v="115"/>
    <x v="2"/>
    <d v="2022-10-23T00:00:00"/>
    <x v="0"/>
    <x v="1"/>
    <n v="68"/>
    <x v="3"/>
    <x v="3"/>
    <n v="1632"/>
    <x v="511"/>
  </r>
  <r>
    <n v="2428"/>
    <x v="1418"/>
    <x v="1004"/>
    <s v="Mr"/>
    <s v="M"/>
    <n v="90"/>
    <s v="Invermore Place"/>
    <x v="313"/>
    <x v="49"/>
    <d v="2022-03-11T00:00:00"/>
    <x v="0"/>
    <x v="5"/>
    <n v="55"/>
    <x v="5"/>
    <x v="5"/>
    <n v="1320"/>
    <x v="29"/>
  </r>
  <r>
    <n v="2429"/>
    <x v="1703"/>
    <x v="156"/>
    <s v="Mr"/>
    <s v="M"/>
    <n v="30"/>
    <s v="Inverness Street"/>
    <x v="1114"/>
    <x v="11"/>
    <d v="2022-04-22T00:00:00"/>
    <x v="0"/>
    <x v="4"/>
    <n v="89"/>
    <x v="2"/>
    <x v="2"/>
    <n v="1513"/>
    <x v="387"/>
  </r>
  <r>
    <n v="2430"/>
    <x v="703"/>
    <x v="701"/>
    <s v="Mr"/>
    <s v="M"/>
    <n v="60"/>
    <s v="Inverton Road"/>
    <x v="317"/>
    <x v="27"/>
    <d v="2021-10-13T00:00:00"/>
    <x v="1"/>
    <x v="1"/>
    <n v="90"/>
    <x v="4"/>
    <x v="4"/>
    <n v="1620"/>
    <x v="591"/>
  </r>
  <r>
    <n v="2431"/>
    <x v="1746"/>
    <x v="1114"/>
    <s v="Miss"/>
    <s v="F"/>
    <n v="60"/>
    <s v="Ipswich Road"/>
    <x v="841"/>
    <x v="8"/>
    <d v="2020-09-22T00:00:00"/>
    <x v="2"/>
    <x v="9"/>
    <n v="61"/>
    <x v="8"/>
    <x v="8"/>
    <n v="1220"/>
    <x v="482"/>
  </r>
  <r>
    <n v="2432"/>
    <x v="448"/>
    <x v="437"/>
    <s v="Mr"/>
    <s v="M"/>
    <n v="30"/>
    <s v="Irish Court"/>
    <x v="315"/>
    <x v="50"/>
    <d v="2020-09-29T00:00:00"/>
    <x v="2"/>
    <x v="9"/>
    <n v="12"/>
    <x v="7"/>
    <x v="7"/>
    <n v="240"/>
    <x v="449"/>
  </r>
  <r>
    <n v="2433"/>
    <x v="1747"/>
    <x v="939"/>
    <s v="Mr"/>
    <s v="M"/>
    <n v="30"/>
    <s v="Ironmonger Row"/>
    <x v="511"/>
    <x v="2"/>
    <d v="2020-03-28T00:00:00"/>
    <x v="2"/>
    <x v="5"/>
    <n v="66"/>
    <x v="2"/>
    <x v="2"/>
    <n v="1122"/>
    <x v="771"/>
  </r>
  <r>
    <n v="2434"/>
    <x v="1748"/>
    <x v="816"/>
    <s v="Miss"/>
    <s v="F"/>
    <n v="90"/>
    <s v="Ironmongers Place"/>
    <x v="1115"/>
    <x v="17"/>
    <d v="2022-12-16T00:00:00"/>
    <x v="0"/>
    <x v="8"/>
    <n v="86"/>
    <x v="4"/>
    <x v="4"/>
    <n v="1548"/>
    <x v="787"/>
  </r>
  <r>
    <n v="2435"/>
    <x v="1749"/>
    <x v="1401"/>
    <s v="Mr"/>
    <s v="M"/>
    <n v="60"/>
    <s v="Irwell Place"/>
    <x v="640"/>
    <x v="77"/>
    <d v="2020-04-02T00:00:00"/>
    <x v="2"/>
    <x v="4"/>
    <n v="7"/>
    <x v="3"/>
    <x v="3"/>
    <n v="168"/>
    <x v="33"/>
  </r>
  <r>
    <n v="2436"/>
    <x v="800"/>
    <x v="1402"/>
    <s v="Mr"/>
    <s v="M"/>
    <n v="60"/>
    <s v="Isabella Place"/>
    <x v="239"/>
    <x v="40"/>
    <d v="2022-01-03T00:00:00"/>
    <x v="0"/>
    <x v="6"/>
    <n v="73"/>
    <x v="7"/>
    <x v="7"/>
    <n v="1460"/>
    <x v="512"/>
  </r>
  <r>
    <n v="2437"/>
    <x v="1750"/>
    <x v="1403"/>
    <s v="Miss"/>
    <s v="F"/>
    <n v="60"/>
    <s v="Isabella Place"/>
    <x v="1116"/>
    <x v="2"/>
    <d v="2020-01-28T00:00:00"/>
    <x v="2"/>
    <x v="6"/>
    <n v="9"/>
    <x v="8"/>
    <x v="8"/>
    <n v="180"/>
    <x v="198"/>
  </r>
  <r>
    <n v="2438"/>
    <x v="1751"/>
    <x v="1365"/>
    <s v="Miss"/>
    <s v="F"/>
    <n v="30"/>
    <s v="Isel Way"/>
    <x v="523"/>
    <x v="16"/>
    <d v="2020-08-12T00:00:00"/>
    <x v="2"/>
    <x v="3"/>
    <n v="56"/>
    <x v="6"/>
    <x v="6"/>
    <n v="1344"/>
    <x v="707"/>
  </r>
  <r>
    <n v="2439"/>
    <x v="1752"/>
    <x v="964"/>
    <s v="Miss"/>
    <s v="F"/>
    <n v="90"/>
    <s v="Isis Close"/>
    <x v="849"/>
    <x v="17"/>
    <d v="2022-08-21T00:00:00"/>
    <x v="0"/>
    <x v="3"/>
    <n v="105"/>
    <x v="0"/>
    <x v="0"/>
    <n v="2100"/>
    <x v="703"/>
  </r>
  <r>
    <n v="2440"/>
    <x v="1046"/>
    <x v="951"/>
    <s v="Mr"/>
    <s v="M"/>
    <n v="90"/>
    <s v="Islington Place"/>
    <x v="1047"/>
    <x v="8"/>
    <d v="2021-06-04T00:00:00"/>
    <x v="1"/>
    <x v="2"/>
    <n v="43"/>
    <x v="3"/>
    <x v="3"/>
    <n v="1032"/>
    <x v="722"/>
  </r>
  <r>
    <n v="2441"/>
    <x v="1753"/>
    <x v="1404"/>
    <s v="Mr"/>
    <s v="M"/>
    <n v="30"/>
    <s v="Ismailia Road"/>
    <x v="686"/>
    <x v="1"/>
    <d v="2020-08-02T00:00:00"/>
    <x v="2"/>
    <x v="3"/>
    <n v="81"/>
    <x v="8"/>
    <x v="8"/>
    <n v="1620"/>
    <x v="83"/>
  </r>
  <r>
    <n v="2442"/>
    <x v="262"/>
    <x v="262"/>
    <s v="Mr"/>
    <s v="M"/>
    <n v="90"/>
    <s v="Iveagh Avenue"/>
    <x v="442"/>
    <x v="67"/>
    <d v="2020-12-03T00:00:00"/>
    <x v="2"/>
    <x v="8"/>
    <n v="81"/>
    <x v="8"/>
    <x v="8"/>
    <n v="1620"/>
    <x v="83"/>
  </r>
  <r>
    <n v="2443"/>
    <x v="1754"/>
    <x v="1405"/>
    <s v="Miss"/>
    <s v="F"/>
    <n v="60"/>
    <s v="Iveagh Avenue"/>
    <x v="1116"/>
    <x v="2"/>
    <d v="2022-09-03T00:00:00"/>
    <x v="0"/>
    <x v="9"/>
    <n v="29"/>
    <x v="8"/>
    <x v="8"/>
    <n v="580"/>
    <x v="295"/>
  </r>
  <r>
    <n v="2444"/>
    <x v="1755"/>
    <x v="919"/>
    <s v="Mr"/>
    <s v="M"/>
    <n v="60"/>
    <s v="Iverson Road"/>
    <x v="1070"/>
    <x v="2"/>
    <d v="2022-05-07T00:00:00"/>
    <x v="0"/>
    <x v="11"/>
    <n v="67"/>
    <x v="3"/>
    <x v="3"/>
    <n v="1608"/>
    <x v="457"/>
  </r>
  <r>
    <n v="2445"/>
    <x v="1036"/>
    <x v="895"/>
    <s v="Mrs"/>
    <s v="F"/>
    <n v="60"/>
    <s v="Ivimey Street"/>
    <x v="746"/>
    <x v="2"/>
    <d v="2021-02-14T00:00:00"/>
    <x v="1"/>
    <x v="10"/>
    <n v="10"/>
    <x v="9"/>
    <x v="9"/>
    <n v="240"/>
    <x v="34"/>
  </r>
  <r>
    <n v="2446"/>
    <x v="188"/>
    <x v="1246"/>
    <s v="Mr"/>
    <s v="M"/>
    <n v="90"/>
    <s v="Ivor Street"/>
    <x v="1078"/>
    <x v="2"/>
    <d v="2021-12-28T00:00:00"/>
    <x v="1"/>
    <x v="8"/>
    <n v="5"/>
    <x v="4"/>
    <x v="4"/>
    <n v="90"/>
    <x v="10"/>
  </r>
  <r>
    <n v="2447"/>
    <x v="1756"/>
    <x v="936"/>
    <s v="Mr"/>
    <s v="M"/>
    <n v="90"/>
    <s v="Ivory Square"/>
    <x v="959"/>
    <x v="8"/>
    <d v="2020-05-13T00:00:00"/>
    <x v="2"/>
    <x v="11"/>
    <n v="47"/>
    <x v="7"/>
    <x v="7"/>
    <n v="940"/>
    <x v="542"/>
  </r>
  <r>
    <n v="2448"/>
    <x v="1565"/>
    <x v="1406"/>
    <s v="Mr"/>
    <s v="M"/>
    <n v="90"/>
    <s v="Ivydale Road"/>
    <x v="1038"/>
    <x v="2"/>
    <d v="2021-07-30T00:00:00"/>
    <x v="1"/>
    <x v="0"/>
    <n v="70"/>
    <x v="4"/>
    <x v="4"/>
    <n v="1260"/>
    <x v="202"/>
  </r>
  <r>
    <n v="2449"/>
    <x v="1523"/>
    <x v="826"/>
    <s v="Mr"/>
    <s v="M"/>
    <n v="90"/>
    <s v="Jack Clow"/>
    <x v="508"/>
    <x v="2"/>
    <d v="2022-10-03T00:00:00"/>
    <x v="0"/>
    <x v="1"/>
    <n v="37"/>
    <x v="4"/>
    <x v="4"/>
    <n v="666"/>
    <x v="28"/>
  </r>
  <r>
    <n v="2450"/>
    <x v="1757"/>
    <x v="1407"/>
    <s v="Mrs"/>
    <s v="F"/>
    <n v="90"/>
    <s v="Jackman Street"/>
    <x v="679"/>
    <x v="44"/>
    <d v="2022-10-17T00:00:00"/>
    <x v="0"/>
    <x v="1"/>
    <n v="77"/>
    <x v="9"/>
    <x v="9"/>
    <n v="1848"/>
    <x v="572"/>
  </r>
  <r>
    <n v="2451"/>
    <x v="1758"/>
    <x v="1408"/>
    <s v="Mr"/>
    <s v="M"/>
    <n v="90"/>
    <s v="Jackson'S Alley"/>
    <x v="1067"/>
    <x v="15"/>
    <d v="2021-02-12T00:00:00"/>
    <x v="1"/>
    <x v="10"/>
    <n v="94"/>
    <x v="7"/>
    <x v="7"/>
    <n v="1880"/>
    <x v="911"/>
  </r>
  <r>
    <n v="2452"/>
    <x v="128"/>
    <x v="363"/>
    <s v="Miss"/>
    <s v="F"/>
    <n v="90"/>
    <s v="Jacqueline Villas"/>
    <x v="684"/>
    <x v="67"/>
    <d v="2022-09-02T00:00:00"/>
    <x v="0"/>
    <x v="9"/>
    <n v="18"/>
    <x v="4"/>
    <x v="4"/>
    <n v="324"/>
    <x v="304"/>
  </r>
  <r>
    <n v="2453"/>
    <x v="64"/>
    <x v="351"/>
    <s v="Mr"/>
    <s v="M"/>
    <n v="60"/>
    <s v="Jacqueline Villas"/>
    <x v="1117"/>
    <x v="2"/>
    <d v="2020-07-31T00:00:00"/>
    <x v="2"/>
    <x v="0"/>
    <n v="58"/>
    <x v="0"/>
    <x v="0"/>
    <n v="1160"/>
    <x v="791"/>
  </r>
  <r>
    <n v="2454"/>
    <x v="1145"/>
    <x v="422"/>
    <s v="Mr"/>
    <s v="M"/>
    <n v="90"/>
    <s v="Jago Close"/>
    <x v="1118"/>
    <x v="73"/>
    <d v="2020-01-30T00:00:00"/>
    <x v="2"/>
    <x v="6"/>
    <n v="68"/>
    <x v="1"/>
    <x v="1"/>
    <n v="1632"/>
    <x v="160"/>
  </r>
  <r>
    <n v="2455"/>
    <x v="1759"/>
    <x v="648"/>
    <s v="Mr"/>
    <s v="M"/>
    <n v="90"/>
    <s v="Jamaica Place"/>
    <x v="396"/>
    <x v="11"/>
    <d v="2020-06-01T00:00:00"/>
    <x v="2"/>
    <x v="2"/>
    <n v="52"/>
    <x v="4"/>
    <x v="4"/>
    <n v="936"/>
    <x v="381"/>
  </r>
  <r>
    <n v="2456"/>
    <x v="1760"/>
    <x v="153"/>
    <s v="Mrs"/>
    <s v="F"/>
    <n v="90"/>
    <s v="Jamaica Row"/>
    <x v="1119"/>
    <x v="16"/>
    <d v="2021-12-27T00:00:00"/>
    <x v="1"/>
    <x v="8"/>
    <n v="19"/>
    <x v="5"/>
    <x v="5"/>
    <n v="456"/>
    <x v="268"/>
  </r>
  <r>
    <n v="2457"/>
    <x v="1761"/>
    <x v="15"/>
    <s v="Mrs"/>
    <s v="F"/>
    <n v="90"/>
    <s v="James Avenue"/>
    <x v="119"/>
    <x v="15"/>
    <d v="2021-10-19T00:00:00"/>
    <x v="1"/>
    <x v="1"/>
    <n v="93"/>
    <x v="7"/>
    <x v="7"/>
    <n v="1860"/>
    <x v="757"/>
  </r>
  <r>
    <n v="2458"/>
    <x v="861"/>
    <x v="1016"/>
    <s v="Miss"/>
    <s v="F"/>
    <n v="90"/>
    <s v="James Collins"/>
    <x v="235"/>
    <x v="12"/>
    <d v="2020-07-11T00:00:00"/>
    <x v="2"/>
    <x v="0"/>
    <n v="2"/>
    <x v="8"/>
    <x v="8"/>
    <n v="40"/>
    <x v="264"/>
  </r>
  <r>
    <n v="2459"/>
    <x v="173"/>
    <x v="1409"/>
    <s v="Mr"/>
    <s v="M"/>
    <n v="60"/>
    <s v="James' Street"/>
    <x v="45"/>
    <x v="20"/>
    <d v="2020-09-26T00:00:00"/>
    <x v="2"/>
    <x v="9"/>
    <n v="13"/>
    <x v="9"/>
    <x v="9"/>
    <n v="312"/>
    <x v="407"/>
  </r>
  <r>
    <n v="2460"/>
    <x v="1762"/>
    <x v="1410"/>
    <s v="Mr"/>
    <s v="M"/>
    <n v="30"/>
    <s v="Jane Street"/>
    <x v="605"/>
    <x v="2"/>
    <d v="2020-04-12T00:00:00"/>
    <x v="2"/>
    <x v="4"/>
    <n v="66"/>
    <x v="0"/>
    <x v="0"/>
    <n v="1320"/>
    <x v="339"/>
  </r>
  <r>
    <n v="2461"/>
    <x v="1763"/>
    <x v="1411"/>
    <s v="Miss"/>
    <s v="F"/>
    <n v="60"/>
    <s v="Janeway Place"/>
    <x v="1120"/>
    <x v="2"/>
    <d v="2020-03-30T00:00:00"/>
    <x v="2"/>
    <x v="5"/>
    <n v="28"/>
    <x v="6"/>
    <x v="6"/>
    <n v="672"/>
    <x v="912"/>
  </r>
  <r>
    <n v="2462"/>
    <x v="794"/>
    <x v="1412"/>
    <s v="Mr"/>
    <s v="M"/>
    <n v="30"/>
    <s v="Jansen Walk"/>
    <x v="358"/>
    <x v="58"/>
    <d v="2021-06-08T00:00:00"/>
    <x v="1"/>
    <x v="2"/>
    <n v="52"/>
    <x v="0"/>
    <x v="0"/>
    <n v="1040"/>
    <x v="897"/>
  </r>
  <r>
    <n v="2463"/>
    <x v="1764"/>
    <x v="1334"/>
    <s v="Dr"/>
    <s v="F"/>
    <n v="60"/>
    <s v="Jarretts Place"/>
    <x v="259"/>
    <x v="2"/>
    <d v="2022-05-04T00:00:00"/>
    <x v="0"/>
    <x v="11"/>
    <n v="92"/>
    <x v="1"/>
    <x v="1"/>
    <n v="2208"/>
    <x v="797"/>
  </r>
  <r>
    <n v="2464"/>
    <x v="1765"/>
    <x v="1413"/>
    <s v="Mrs"/>
    <s v="F"/>
    <n v="60"/>
    <s v="Jassemine Cottages"/>
    <x v="940"/>
    <x v="2"/>
    <d v="2020-05-17T00:00:00"/>
    <x v="2"/>
    <x v="11"/>
    <n v="60"/>
    <x v="0"/>
    <x v="0"/>
    <n v="1200"/>
    <x v="378"/>
  </r>
  <r>
    <n v="2465"/>
    <x v="1105"/>
    <x v="649"/>
    <s v="Mr"/>
    <s v="M"/>
    <n v="30"/>
    <s v="Jassemine Cottages"/>
    <x v="650"/>
    <x v="2"/>
    <d v="2020-12-25T00:00:00"/>
    <x v="2"/>
    <x v="8"/>
    <n v="67"/>
    <x v="3"/>
    <x v="3"/>
    <n v="1608"/>
    <x v="457"/>
  </r>
  <r>
    <n v="2466"/>
    <x v="1766"/>
    <x v="988"/>
    <s v="Mrs"/>
    <s v="F"/>
    <n v="30"/>
    <s v="Jefferson Walk"/>
    <x v="872"/>
    <x v="1"/>
    <d v="2020-03-12T00:00:00"/>
    <x v="2"/>
    <x v="5"/>
    <n v="78"/>
    <x v="5"/>
    <x v="5"/>
    <n v="1872"/>
    <x v="651"/>
  </r>
  <r>
    <n v="2467"/>
    <x v="1052"/>
    <x v="444"/>
    <s v="Mr"/>
    <s v="M"/>
    <n v="90"/>
    <s v="Jefferson Walk"/>
    <x v="141"/>
    <x v="2"/>
    <d v="2022-01-09T00:00:00"/>
    <x v="0"/>
    <x v="6"/>
    <n v="19"/>
    <x v="5"/>
    <x v="5"/>
    <n v="456"/>
    <x v="268"/>
  </r>
  <r>
    <n v="2468"/>
    <x v="1767"/>
    <x v="1389"/>
    <s v="Miss"/>
    <s v="F"/>
    <n v="30"/>
    <s v="Jenner Place"/>
    <x v="947"/>
    <x v="8"/>
    <d v="2021-02-11T00:00:00"/>
    <x v="1"/>
    <x v="10"/>
    <n v="34"/>
    <x v="5"/>
    <x v="5"/>
    <n v="816"/>
    <x v="692"/>
  </r>
  <r>
    <n v="2469"/>
    <x v="789"/>
    <x v="474"/>
    <s v="Mrs"/>
    <s v="F"/>
    <n v="60"/>
    <s v="Jennings Buildings"/>
    <x v="853"/>
    <x v="58"/>
    <d v="2020-02-21T00:00:00"/>
    <x v="2"/>
    <x v="10"/>
    <n v="22"/>
    <x v="2"/>
    <x v="2"/>
    <n v="374"/>
    <x v="871"/>
  </r>
  <r>
    <n v="2470"/>
    <x v="1768"/>
    <x v="1414"/>
    <s v="Mrs"/>
    <s v="F"/>
    <n v="60"/>
    <s v="Jenny Hammond"/>
    <x v="269"/>
    <x v="21"/>
    <d v="2022-08-06T00:00:00"/>
    <x v="0"/>
    <x v="3"/>
    <n v="54"/>
    <x v="9"/>
    <x v="9"/>
    <n v="1296"/>
    <x v="535"/>
  </r>
  <r>
    <n v="2471"/>
    <x v="1769"/>
    <x v="350"/>
    <s v="Miss"/>
    <s v="F"/>
    <n v="90"/>
    <s v="Jerman Street"/>
    <x v="459"/>
    <x v="2"/>
    <d v="2020-10-11T00:00:00"/>
    <x v="2"/>
    <x v="1"/>
    <n v="37"/>
    <x v="1"/>
    <x v="1"/>
    <n v="888"/>
    <x v="677"/>
  </r>
  <r>
    <n v="2472"/>
    <x v="1770"/>
    <x v="293"/>
    <s v="Mr"/>
    <s v="M"/>
    <n v="30"/>
    <s v="Jerusalem Passage"/>
    <x v="894"/>
    <x v="15"/>
    <d v="2022-04-01T00:00:00"/>
    <x v="0"/>
    <x v="4"/>
    <n v="77"/>
    <x v="8"/>
    <x v="8"/>
    <n v="1540"/>
    <x v="543"/>
  </r>
  <r>
    <n v="2473"/>
    <x v="1771"/>
    <x v="416"/>
    <s v="Mr"/>
    <s v="M"/>
    <n v="90"/>
    <s v="Jewel Road"/>
    <x v="591"/>
    <x v="2"/>
    <d v="2021-06-15T00:00:00"/>
    <x v="1"/>
    <x v="2"/>
    <n v="5"/>
    <x v="1"/>
    <x v="1"/>
    <n v="120"/>
    <x v="373"/>
  </r>
  <r>
    <n v="2474"/>
    <x v="67"/>
    <x v="235"/>
    <s v="Mr"/>
    <s v="M"/>
    <n v="30"/>
    <s v="Jeymer Avenue"/>
    <x v="374"/>
    <x v="17"/>
    <d v="2022-10-03T00:00:00"/>
    <x v="0"/>
    <x v="1"/>
    <n v="90"/>
    <x v="8"/>
    <x v="8"/>
    <n v="1800"/>
    <x v="913"/>
  </r>
  <r>
    <n v="2475"/>
    <x v="32"/>
    <x v="571"/>
    <s v="Mrs"/>
    <s v="F"/>
    <n v="60"/>
    <s v="Jimpsons Villas"/>
    <x v="503"/>
    <x v="3"/>
    <d v="2022-09-28T00:00:00"/>
    <x v="0"/>
    <x v="9"/>
    <n v="27"/>
    <x v="4"/>
    <x v="4"/>
    <n v="486"/>
    <x v="306"/>
  </r>
  <r>
    <n v="2476"/>
    <x v="1291"/>
    <x v="1415"/>
    <s v="Mrs"/>
    <s v="F"/>
    <n v="30"/>
    <s v="Joan Street"/>
    <x v="773"/>
    <x v="16"/>
    <d v="2022-09-08T00:00:00"/>
    <x v="0"/>
    <x v="9"/>
    <n v="94"/>
    <x v="3"/>
    <x v="3"/>
    <n v="2256"/>
    <x v="914"/>
  </r>
  <r>
    <n v="2477"/>
    <x v="446"/>
    <x v="1380"/>
    <s v="Mr"/>
    <s v="M"/>
    <n v="90"/>
    <s v="John Roll"/>
    <x v="419"/>
    <x v="17"/>
    <d v="2021-08-28T00:00:00"/>
    <x v="1"/>
    <x v="3"/>
    <n v="73"/>
    <x v="1"/>
    <x v="1"/>
    <n v="1752"/>
    <x v="480"/>
  </r>
  <r>
    <n v="2478"/>
    <x v="1772"/>
    <x v="1416"/>
    <s v="Miss"/>
    <s v="F"/>
    <n v="90"/>
    <s v="John Ruskin"/>
    <x v="616"/>
    <x v="12"/>
    <d v="2022-08-28T00:00:00"/>
    <x v="0"/>
    <x v="3"/>
    <n v="2"/>
    <x v="1"/>
    <x v="1"/>
    <n v="48"/>
    <x v="318"/>
  </r>
  <r>
    <n v="2479"/>
    <x v="938"/>
    <x v="615"/>
    <s v="Miss"/>
    <s v="F"/>
    <n v="60"/>
    <s v="John Terrace"/>
    <x v="1121"/>
    <x v="11"/>
    <d v="2022-01-19T00:00:00"/>
    <x v="0"/>
    <x v="6"/>
    <n v="26"/>
    <x v="6"/>
    <x v="6"/>
    <n v="624"/>
    <x v="52"/>
  </r>
  <r>
    <n v="2480"/>
    <x v="1773"/>
    <x v="1321"/>
    <s v="Mr"/>
    <s v="M"/>
    <n v="90"/>
    <s v="Johns Place"/>
    <x v="225"/>
    <x v="16"/>
    <d v="2020-02-20T00:00:00"/>
    <x v="2"/>
    <x v="10"/>
    <n v="52"/>
    <x v="9"/>
    <x v="9"/>
    <n v="1248"/>
    <x v="915"/>
  </r>
  <r>
    <n v="2481"/>
    <x v="1774"/>
    <x v="1417"/>
    <s v="Prof"/>
    <s v="F"/>
    <n v="90"/>
    <s v="Johns Street"/>
    <x v="914"/>
    <x v="17"/>
    <d v="2021-03-19T00:00:00"/>
    <x v="1"/>
    <x v="5"/>
    <n v="66"/>
    <x v="7"/>
    <x v="7"/>
    <n v="1320"/>
    <x v="916"/>
  </r>
  <r>
    <n v="2482"/>
    <x v="1775"/>
    <x v="123"/>
    <s v="Miss"/>
    <s v="F"/>
    <n v="30"/>
    <s v="Johns Terrace"/>
    <x v="88"/>
    <x v="2"/>
    <d v="2020-08-26T00:00:00"/>
    <x v="2"/>
    <x v="3"/>
    <n v="4"/>
    <x v="1"/>
    <x v="1"/>
    <n v="96"/>
    <x v="245"/>
  </r>
  <r>
    <n v="2483"/>
    <x v="738"/>
    <x v="1418"/>
    <s v="Mr"/>
    <s v="M"/>
    <n v="30"/>
    <s v="Johnson Close"/>
    <x v="385"/>
    <x v="21"/>
    <d v="2021-01-05T00:00:00"/>
    <x v="1"/>
    <x v="6"/>
    <n v="23"/>
    <x v="0"/>
    <x v="0"/>
    <n v="460"/>
    <x v="917"/>
  </r>
  <r>
    <n v="2484"/>
    <x v="1776"/>
    <x v="258"/>
    <s v="Mr"/>
    <s v="M"/>
    <n v="30"/>
    <s v="Johnson'S Court"/>
    <x v="1122"/>
    <x v="2"/>
    <d v="2021-05-15T00:00:00"/>
    <x v="1"/>
    <x v="11"/>
    <n v="73"/>
    <x v="3"/>
    <x v="3"/>
    <n v="1752"/>
    <x v="105"/>
  </r>
  <r>
    <n v="2485"/>
    <x v="1777"/>
    <x v="322"/>
    <s v="Mrs"/>
    <s v="F"/>
    <n v="30"/>
    <s v="Joiner Arms"/>
    <x v="270"/>
    <x v="2"/>
    <d v="2022-11-08T00:00:00"/>
    <x v="0"/>
    <x v="7"/>
    <n v="71"/>
    <x v="4"/>
    <x v="4"/>
    <n v="1278"/>
    <x v="265"/>
  </r>
  <r>
    <n v="2486"/>
    <x v="1778"/>
    <x v="620"/>
    <s v="Dr"/>
    <s v="M"/>
    <n v="30"/>
    <s v="Joiners Street"/>
    <x v="1123"/>
    <x v="2"/>
    <d v="2020-09-26T00:00:00"/>
    <x v="2"/>
    <x v="9"/>
    <n v="46"/>
    <x v="9"/>
    <x v="9"/>
    <n v="1104"/>
    <x v="783"/>
  </r>
  <r>
    <n v="2487"/>
    <x v="1779"/>
    <x v="484"/>
    <s v="Miss"/>
    <s v="F"/>
    <n v="90"/>
    <s v="Joseph Powell"/>
    <x v="1060"/>
    <x v="1"/>
    <d v="2022-08-21T00:00:00"/>
    <x v="0"/>
    <x v="3"/>
    <n v="79"/>
    <x v="7"/>
    <x v="7"/>
    <n v="1580"/>
    <x v="822"/>
  </r>
  <r>
    <n v="2488"/>
    <x v="1780"/>
    <x v="106"/>
    <s v="Dr"/>
    <s v="F"/>
    <n v="60"/>
    <s v="Joshua Street"/>
    <x v="1124"/>
    <x v="1"/>
    <d v="2020-12-06T00:00:00"/>
    <x v="2"/>
    <x v="8"/>
    <n v="43"/>
    <x v="4"/>
    <x v="4"/>
    <n v="774"/>
    <x v="658"/>
  </r>
  <r>
    <n v="2489"/>
    <x v="172"/>
    <x v="1396"/>
    <s v="Miss"/>
    <s v="F"/>
    <n v="90"/>
    <s v="Joubert Street"/>
    <x v="379"/>
    <x v="60"/>
    <d v="2021-02-05T00:00:00"/>
    <x v="1"/>
    <x v="10"/>
    <n v="60"/>
    <x v="4"/>
    <x v="4"/>
    <n v="1080"/>
    <x v="904"/>
  </r>
  <r>
    <n v="2490"/>
    <x v="1781"/>
    <x v="576"/>
    <s v="Mrs"/>
    <s v="F"/>
    <n v="60"/>
    <s v="Jubilee Cottages"/>
    <x v="225"/>
    <x v="16"/>
    <d v="2020-06-15T00:00:00"/>
    <x v="2"/>
    <x v="2"/>
    <n v="51"/>
    <x v="4"/>
    <x v="4"/>
    <n v="918"/>
    <x v="555"/>
  </r>
  <r>
    <n v="2491"/>
    <x v="1782"/>
    <x v="767"/>
    <s v="Mrs"/>
    <s v="F"/>
    <n v="90"/>
    <s v="Jubilee Cottages"/>
    <x v="979"/>
    <x v="2"/>
    <d v="2020-01-15T00:00:00"/>
    <x v="2"/>
    <x v="6"/>
    <n v="4"/>
    <x v="4"/>
    <x v="4"/>
    <n v="72"/>
    <x v="486"/>
  </r>
  <r>
    <n v="2492"/>
    <x v="1105"/>
    <x v="251"/>
    <s v="Mr"/>
    <s v="M"/>
    <n v="30"/>
    <s v="Jubilee Gardens"/>
    <x v="1125"/>
    <x v="2"/>
    <d v="2021-03-28T00:00:00"/>
    <x v="1"/>
    <x v="5"/>
    <n v="47"/>
    <x v="3"/>
    <x v="3"/>
    <n v="1128"/>
    <x v="472"/>
  </r>
  <r>
    <n v="2493"/>
    <x v="1783"/>
    <x v="1042"/>
    <s v="Dr"/>
    <s v="F"/>
    <n v="30"/>
    <s v="Jubilee Market"/>
    <x v="55"/>
    <x v="19"/>
    <d v="2022-01-29T00:00:00"/>
    <x v="0"/>
    <x v="6"/>
    <n v="31"/>
    <x v="9"/>
    <x v="9"/>
    <n v="744"/>
    <x v="417"/>
  </r>
  <r>
    <n v="2494"/>
    <x v="724"/>
    <x v="1270"/>
    <s v="Mr"/>
    <s v="M"/>
    <n v="30"/>
    <s v="Jubilee Market"/>
    <x v="1126"/>
    <x v="3"/>
    <d v="2021-05-26T00:00:00"/>
    <x v="1"/>
    <x v="11"/>
    <n v="89"/>
    <x v="7"/>
    <x v="7"/>
    <n v="1780"/>
    <x v="25"/>
  </r>
  <r>
    <n v="2495"/>
    <x v="738"/>
    <x v="234"/>
    <s v="Mr"/>
    <s v="M"/>
    <n v="30"/>
    <s v="Jubilee Place"/>
    <x v="653"/>
    <x v="2"/>
    <d v="2021-07-21T00:00:00"/>
    <x v="1"/>
    <x v="0"/>
    <n v="26"/>
    <x v="8"/>
    <x v="8"/>
    <n v="520"/>
    <x v="111"/>
  </r>
  <r>
    <n v="2496"/>
    <x v="1040"/>
    <x v="1045"/>
    <s v="Mr"/>
    <s v="M"/>
    <n v="30"/>
    <s v="Jubilee Plate"/>
    <x v="969"/>
    <x v="2"/>
    <d v="2021-12-25T00:00:00"/>
    <x v="1"/>
    <x v="8"/>
    <n v="59"/>
    <x v="7"/>
    <x v="7"/>
    <n v="1180"/>
    <x v="855"/>
  </r>
  <r>
    <n v="2497"/>
    <x v="1784"/>
    <x v="1224"/>
    <s v="Mrs"/>
    <s v="F"/>
    <n v="60"/>
    <s v="Jubilee Way"/>
    <x v="621"/>
    <x v="21"/>
    <d v="2020-02-10T00:00:00"/>
    <x v="2"/>
    <x v="10"/>
    <n v="22"/>
    <x v="4"/>
    <x v="4"/>
    <n v="396"/>
    <x v="600"/>
  </r>
  <r>
    <n v="2498"/>
    <x v="1785"/>
    <x v="273"/>
    <s v="Miss"/>
    <s v="F"/>
    <n v="30"/>
    <s v="Judd Street"/>
    <x v="842"/>
    <x v="17"/>
    <d v="2022-11-08T00:00:00"/>
    <x v="0"/>
    <x v="7"/>
    <n v="15"/>
    <x v="1"/>
    <x v="1"/>
    <n v="360"/>
    <x v="474"/>
  </r>
  <r>
    <n v="2499"/>
    <x v="1786"/>
    <x v="606"/>
    <s v="Mrs"/>
    <s v="F"/>
    <n v="30"/>
    <s v="Juliana Close"/>
    <x v="858"/>
    <x v="59"/>
    <d v="2020-04-19T00:00:00"/>
    <x v="2"/>
    <x v="4"/>
    <n v="14"/>
    <x v="2"/>
    <x v="2"/>
    <n v="238"/>
    <x v="328"/>
  </r>
  <r>
    <n v="2500"/>
    <x v="1787"/>
    <x v="403"/>
    <s v="Prof"/>
    <s v="F"/>
    <n v="30"/>
    <s v="Juliette Road"/>
    <x v="857"/>
    <x v="1"/>
    <d v="2022-12-22T00:00:00"/>
    <x v="0"/>
    <x v="8"/>
    <n v="35"/>
    <x v="8"/>
    <x v="8"/>
    <n v="700"/>
    <x v="288"/>
  </r>
  <r>
    <n v="2501"/>
    <x v="1788"/>
    <x v="1417"/>
    <s v="Mrs"/>
    <s v="F"/>
    <n v="30"/>
    <s v="Juliette Road"/>
    <x v="146"/>
    <x v="2"/>
    <d v="2022-10-13T00:00:00"/>
    <x v="0"/>
    <x v="1"/>
    <n v="85"/>
    <x v="0"/>
    <x v="0"/>
    <n v="1700"/>
    <x v="918"/>
  </r>
  <r>
    <n v="2502"/>
    <x v="1789"/>
    <x v="573"/>
    <s v="Miss"/>
    <s v="F"/>
    <n v="30"/>
    <s v="Junction Villas"/>
    <x v="1046"/>
    <x v="2"/>
    <d v="2022-02-16T00:00:00"/>
    <x v="0"/>
    <x v="10"/>
    <n v="37"/>
    <x v="4"/>
    <x v="4"/>
    <n v="666"/>
    <x v="28"/>
  </r>
  <r>
    <n v="2503"/>
    <x v="630"/>
    <x v="1419"/>
    <s v="Mr"/>
    <s v="M"/>
    <n v="90"/>
    <s v="Juniper Gardens"/>
    <x v="453"/>
    <x v="21"/>
    <d v="2022-11-18T00:00:00"/>
    <x v="0"/>
    <x v="7"/>
    <n v="76"/>
    <x v="0"/>
    <x v="0"/>
    <n v="1520"/>
    <x v="662"/>
  </r>
  <r>
    <n v="2504"/>
    <x v="1790"/>
    <x v="1420"/>
    <s v="Miss"/>
    <s v="F"/>
    <n v="30"/>
    <s v="Juno Way"/>
    <x v="1127"/>
    <x v="2"/>
    <d v="2022-11-25T00:00:00"/>
    <x v="0"/>
    <x v="7"/>
    <n v="21"/>
    <x v="2"/>
    <x v="2"/>
    <n v="357"/>
    <x v="919"/>
  </r>
  <r>
    <n v="2505"/>
    <x v="49"/>
    <x v="1421"/>
    <s v="Miss"/>
    <s v="F"/>
    <n v="60"/>
    <s v="Jupiter Way"/>
    <x v="439"/>
    <x v="18"/>
    <d v="2020-08-31T00:00:00"/>
    <x v="2"/>
    <x v="3"/>
    <n v="52"/>
    <x v="7"/>
    <x v="7"/>
    <n v="1040"/>
    <x v="892"/>
  </r>
  <r>
    <n v="2506"/>
    <x v="1791"/>
    <x v="158"/>
    <s v="Mrs"/>
    <s v="F"/>
    <n v="30"/>
    <s v="Justice Walk"/>
    <x v="200"/>
    <x v="13"/>
    <d v="2022-10-14T00:00:00"/>
    <x v="0"/>
    <x v="1"/>
    <n v="85"/>
    <x v="1"/>
    <x v="1"/>
    <n v="2040"/>
    <x v="531"/>
  </r>
  <r>
    <n v="2507"/>
    <x v="691"/>
    <x v="806"/>
    <s v="Miss"/>
    <s v="F"/>
    <n v="30"/>
    <s v="Karl Place"/>
    <x v="115"/>
    <x v="2"/>
    <d v="2022-11-28T00:00:00"/>
    <x v="0"/>
    <x v="7"/>
    <n v="105"/>
    <x v="8"/>
    <x v="8"/>
    <n v="2100"/>
    <x v="430"/>
  </r>
  <r>
    <n v="2508"/>
    <x v="1792"/>
    <x v="983"/>
    <s v="Mrs"/>
    <s v="F"/>
    <n v="90"/>
    <s v="Karslake Terrace"/>
    <x v="1074"/>
    <x v="17"/>
    <d v="2021-08-21T00:00:00"/>
    <x v="1"/>
    <x v="3"/>
    <n v="57"/>
    <x v="4"/>
    <x v="4"/>
    <n v="1026"/>
    <x v="920"/>
  </r>
  <r>
    <n v="2509"/>
    <x v="1793"/>
    <x v="952"/>
    <s v="Miss"/>
    <s v="F"/>
    <n v="30"/>
    <s v="Kashmir Road"/>
    <x v="737"/>
    <x v="17"/>
    <d v="2022-12-12T00:00:00"/>
    <x v="0"/>
    <x v="8"/>
    <n v="99"/>
    <x v="1"/>
    <x v="1"/>
    <n v="2376"/>
    <x v="921"/>
  </r>
  <r>
    <n v="2510"/>
    <x v="1794"/>
    <x v="1422"/>
    <s v="Mrs"/>
    <s v="F"/>
    <n v="60"/>
    <s v="Kean Street"/>
    <x v="782"/>
    <x v="11"/>
    <d v="2022-04-30T00:00:00"/>
    <x v="0"/>
    <x v="4"/>
    <n v="34"/>
    <x v="8"/>
    <x v="8"/>
    <n v="680"/>
    <x v="415"/>
  </r>
  <r>
    <n v="2511"/>
    <x v="1795"/>
    <x v="408"/>
    <s v="Mrs"/>
    <s v="F"/>
    <n v="30"/>
    <s v="Kedleston Walk"/>
    <x v="484"/>
    <x v="2"/>
    <d v="2022-04-23T00:00:00"/>
    <x v="0"/>
    <x v="4"/>
    <n v="57"/>
    <x v="0"/>
    <x v="0"/>
    <n v="1140"/>
    <x v="392"/>
  </r>
  <r>
    <n v="2512"/>
    <x v="1796"/>
    <x v="1041"/>
    <s v="Miss"/>
    <s v="F"/>
    <n v="30"/>
    <s v="Keeling Road"/>
    <x v="689"/>
    <x v="17"/>
    <d v="2022-12-29T00:00:00"/>
    <x v="0"/>
    <x v="8"/>
    <n v="22"/>
    <x v="8"/>
    <x v="8"/>
    <n v="440"/>
    <x v="259"/>
  </r>
  <r>
    <n v="2513"/>
    <x v="1714"/>
    <x v="1423"/>
    <s v="Mrs"/>
    <s v="F"/>
    <n v="30"/>
    <s v="Kelland Road"/>
    <x v="1128"/>
    <x v="18"/>
    <d v="2021-04-24T00:00:00"/>
    <x v="1"/>
    <x v="4"/>
    <n v="23"/>
    <x v="5"/>
    <x v="5"/>
    <n v="552"/>
    <x v="922"/>
  </r>
  <r>
    <n v="2514"/>
    <x v="1797"/>
    <x v="1424"/>
    <s v="Mr"/>
    <s v="M"/>
    <n v="90"/>
    <s v="Kellett Road"/>
    <x v="157"/>
    <x v="30"/>
    <d v="2021-06-02T00:00:00"/>
    <x v="1"/>
    <x v="2"/>
    <n v="31"/>
    <x v="2"/>
    <x v="2"/>
    <n v="527"/>
    <x v="224"/>
  </r>
  <r>
    <n v="2515"/>
    <x v="1387"/>
    <x v="1425"/>
    <s v="Mr"/>
    <s v="M"/>
    <n v="60"/>
    <s v="Kellett Road"/>
    <x v="117"/>
    <x v="2"/>
    <d v="2022-08-22T00:00:00"/>
    <x v="0"/>
    <x v="3"/>
    <n v="7"/>
    <x v="1"/>
    <x v="1"/>
    <n v="168"/>
    <x v="629"/>
  </r>
  <r>
    <n v="2516"/>
    <x v="1798"/>
    <x v="9"/>
    <s v="Dr"/>
    <s v="F"/>
    <n v="60"/>
    <s v="Kellett Road"/>
    <x v="291"/>
    <x v="2"/>
    <d v="2022-03-22T00:00:00"/>
    <x v="0"/>
    <x v="5"/>
    <n v="98"/>
    <x v="5"/>
    <x v="5"/>
    <n v="2352"/>
    <x v="593"/>
  </r>
  <r>
    <n v="2517"/>
    <x v="1799"/>
    <x v="646"/>
    <s v="Miss"/>
    <s v="F"/>
    <n v="30"/>
    <s v="Kelmscott Gardens"/>
    <x v="703"/>
    <x v="2"/>
    <d v="2021-08-26T00:00:00"/>
    <x v="1"/>
    <x v="3"/>
    <n v="52"/>
    <x v="1"/>
    <x v="1"/>
    <n v="1248"/>
    <x v="902"/>
  </r>
  <r>
    <n v="2518"/>
    <x v="596"/>
    <x v="1054"/>
    <s v="Mr"/>
    <s v="M"/>
    <n v="60"/>
    <s v="Kempson Road"/>
    <x v="298"/>
    <x v="12"/>
    <d v="2021-04-21T00:00:00"/>
    <x v="1"/>
    <x v="4"/>
    <n v="26"/>
    <x v="9"/>
    <x v="9"/>
    <n v="624"/>
    <x v="663"/>
  </r>
  <r>
    <n v="2519"/>
    <x v="1800"/>
    <x v="1426"/>
    <s v="Mr"/>
    <s v="M"/>
    <n v="60"/>
    <s v="Kempson Road"/>
    <x v="728"/>
    <x v="3"/>
    <d v="2021-02-24T00:00:00"/>
    <x v="1"/>
    <x v="10"/>
    <n v="47"/>
    <x v="5"/>
    <x v="5"/>
    <n v="1128"/>
    <x v="833"/>
  </r>
  <r>
    <n v="2520"/>
    <x v="1801"/>
    <x v="1393"/>
    <s v="Mrs"/>
    <s v="F"/>
    <n v="90"/>
    <s v="Kendal Place"/>
    <x v="68"/>
    <x v="15"/>
    <d v="2022-01-23T00:00:00"/>
    <x v="0"/>
    <x v="6"/>
    <n v="73"/>
    <x v="9"/>
    <x v="9"/>
    <n v="1752"/>
    <x v="152"/>
  </r>
  <r>
    <n v="2521"/>
    <x v="1122"/>
    <x v="487"/>
    <s v="Mr"/>
    <s v="M"/>
    <n v="30"/>
    <s v="Kender Place"/>
    <x v="831"/>
    <x v="85"/>
    <d v="2020-04-16T00:00:00"/>
    <x v="2"/>
    <x v="4"/>
    <n v="73"/>
    <x v="8"/>
    <x v="8"/>
    <n v="1460"/>
    <x v="830"/>
  </r>
  <r>
    <n v="2522"/>
    <x v="1089"/>
    <x v="1112"/>
    <s v="Prof"/>
    <s v="F"/>
    <n v="90"/>
    <s v="Kender Street"/>
    <x v="755"/>
    <x v="57"/>
    <d v="2022-10-08T00:00:00"/>
    <x v="0"/>
    <x v="1"/>
    <n v="41"/>
    <x v="4"/>
    <x v="4"/>
    <n v="738"/>
    <x v="338"/>
  </r>
  <r>
    <n v="2523"/>
    <x v="431"/>
    <x v="745"/>
    <s v="Mr"/>
    <s v="M"/>
    <n v="90"/>
    <s v="Kendoa Road"/>
    <x v="1129"/>
    <x v="2"/>
    <d v="2020-08-25T00:00:00"/>
    <x v="2"/>
    <x v="3"/>
    <n v="80"/>
    <x v="6"/>
    <x v="6"/>
    <n v="1920"/>
    <x v="205"/>
  </r>
  <r>
    <n v="2524"/>
    <x v="1802"/>
    <x v="518"/>
    <s v="Miss"/>
    <s v="F"/>
    <n v="90"/>
    <s v="Kendrick Mews"/>
    <x v="292"/>
    <x v="46"/>
    <d v="2020-09-14T00:00:00"/>
    <x v="2"/>
    <x v="9"/>
    <n v="5"/>
    <x v="8"/>
    <x v="8"/>
    <n v="100"/>
    <x v="71"/>
  </r>
  <r>
    <n v="2525"/>
    <x v="1802"/>
    <x v="376"/>
    <s v="Ms"/>
    <s v="F"/>
    <n v="30"/>
    <s v="Kendrick Mews"/>
    <x v="31"/>
    <x v="2"/>
    <d v="2020-08-03T00:00:00"/>
    <x v="2"/>
    <x v="3"/>
    <n v="77"/>
    <x v="5"/>
    <x v="5"/>
    <n v="1848"/>
    <x v="283"/>
  </r>
  <r>
    <n v="2526"/>
    <x v="640"/>
    <x v="521"/>
    <s v="Mr"/>
    <s v="M"/>
    <n v="30"/>
    <s v="Kennard Street"/>
    <x v="918"/>
    <x v="16"/>
    <d v="2020-03-19T00:00:00"/>
    <x v="2"/>
    <x v="5"/>
    <n v="30"/>
    <x v="2"/>
    <x v="2"/>
    <n v="510"/>
    <x v="545"/>
  </r>
  <r>
    <n v="2527"/>
    <x v="5"/>
    <x v="960"/>
    <s v="Mr"/>
    <s v="M"/>
    <n v="60"/>
    <s v="Kennedy Close"/>
    <x v="883"/>
    <x v="2"/>
    <d v="2022-09-11T00:00:00"/>
    <x v="0"/>
    <x v="9"/>
    <n v="47"/>
    <x v="4"/>
    <x v="4"/>
    <n v="846"/>
    <x v="78"/>
  </r>
  <r>
    <n v="2528"/>
    <x v="1118"/>
    <x v="178"/>
    <s v="Mr"/>
    <s v="M"/>
    <n v="30"/>
    <s v="Kennedy Path"/>
    <x v="576"/>
    <x v="17"/>
    <d v="2021-07-14T00:00:00"/>
    <x v="1"/>
    <x v="0"/>
    <n v="89"/>
    <x v="4"/>
    <x v="4"/>
    <n v="1602"/>
    <x v="923"/>
  </r>
  <r>
    <n v="2529"/>
    <x v="1803"/>
    <x v="736"/>
    <s v="Mrs"/>
    <s v="F"/>
    <n v="90"/>
    <s v="Kenneth Crescent"/>
    <x v="684"/>
    <x v="67"/>
    <d v="2022-04-14T00:00:00"/>
    <x v="0"/>
    <x v="4"/>
    <n v="99"/>
    <x v="0"/>
    <x v="0"/>
    <n v="1980"/>
    <x v="203"/>
  </r>
  <r>
    <n v="2530"/>
    <x v="1804"/>
    <x v="1427"/>
    <s v="Miss"/>
    <s v="F"/>
    <n v="90"/>
    <s v="Kenning Place"/>
    <x v="944"/>
    <x v="10"/>
    <d v="2020-04-23T00:00:00"/>
    <x v="2"/>
    <x v="4"/>
    <n v="50"/>
    <x v="3"/>
    <x v="3"/>
    <n v="1200"/>
    <x v="11"/>
  </r>
  <r>
    <n v="2531"/>
    <x v="331"/>
    <x v="1428"/>
    <s v="Mr"/>
    <s v="M"/>
    <n v="60"/>
    <s v="Kennington Place"/>
    <x v="1130"/>
    <x v="2"/>
    <d v="2021-06-30T00:00:00"/>
    <x v="1"/>
    <x v="2"/>
    <n v="60"/>
    <x v="9"/>
    <x v="9"/>
    <n v="1440"/>
    <x v="101"/>
  </r>
  <r>
    <n v="2532"/>
    <x v="1572"/>
    <x v="1238"/>
    <s v="Mr"/>
    <s v="M"/>
    <n v="60"/>
    <s v="Kennington Road"/>
    <x v="353"/>
    <x v="2"/>
    <d v="2021-01-17T00:00:00"/>
    <x v="1"/>
    <x v="6"/>
    <n v="53"/>
    <x v="8"/>
    <x v="8"/>
    <n v="1060"/>
    <x v="597"/>
  </r>
  <r>
    <n v="2533"/>
    <x v="881"/>
    <x v="483"/>
    <s v="Mr"/>
    <s v="M"/>
    <n v="90"/>
    <s v="Kenny Road"/>
    <x v="1131"/>
    <x v="21"/>
    <d v="2022-10-05T00:00:00"/>
    <x v="0"/>
    <x v="1"/>
    <n v="70"/>
    <x v="9"/>
    <x v="9"/>
    <n v="1680"/>
    <x v="556"/>
  </r>
  <r>
    <n v="2534"/>
    <x v="584"/>
    <x v="97"/>
    <s v="Mr"/>
    <s v="M"/>
    <n v="60"/>
    <s v="Kenrick Place"/>
    <x v="290"/>
    <x v="44"/>
    <d v="2020-10-03T00:00:00"/>
    <x v="2"/>
    <x v="1"/>
    <n v="31"/>
    <x v="6"/>
    <x v="6"/>
    <n v="744"/>
    <x v="450"/>
  </r>
  <r>
    <n v="2535"/>
    <x v="375"/>
    <x v="312"/>
    <s v="Mr"/>
    <s v="M"/>
    <n v="30"/>
    <s v="Kensal Road"/>
    <x v="1132"/>
    <x v="1"/>
    <d v="2021-03-09T00:00:00"/>
    <x v="1"/>
    <x v="5"/>
    <n v="68"/>
    <x v="5"/>
    <x v="5"/>
    <n v="1632"/>
    <x v="197"/>
  </r>
  <r>
    <n v="2536"/>
    <x v="761"/>
    <x v="1388"/>
    <s v="Mr"/>
    <s v="M"/>
    <n v="60"/>
    <s v="Kensington"/>
    <x v="781"/>
    <x v="2"/>
    <d v="2022-12-23T00:00:00"/>
    <x v="0"/>
    <x v="8"/>
    <n v="70"/>
    <x v="2"/>
    <x v="2"/>
    <n v="1190"/>
    <x v="281"/>
  </r>
  <r>
    <n v="2537"/>
    <x v="1805"/>
    <x v="1227"/>
    <s v="Miss"/>
    <s v="F"/>
    <n v="30"/>
    <s v="Kensington Buildings"/>
    <x v="781"/>
    <x v="2"/>
    <d v="2020-05-15T00:00:00"/>
    <x v="2"/>
    <x v="11"/>
    <n v="43"/>
    <x v="0"/>
    <x v="0"/>
    <n v="860"/>
    <x v="109"/>
  </r>
  <r>
    <n v="2538"/>
    <x v="866"/>
    <x v="1178"/>
    <s v="Mr"/>
    <s v="M"/>
    <n v="90"/>
    <s v="Kent Walk"/>
    <x v="546"/>
    <x v="2"/>
    <d v="2020-03-11T00:00:00"/>
    <x v="2"/>
    <x v="5"/>
    <n v="14"/>
    <x v="6"/>
    <x v="6"/>
    <n v="336"/>
    <x v="195"/>
  </r>
  <r>
    <n v="2539"/>
    <x v="706"/>
    <x v="480"/>
    <s v="Mr"/>
    <s v="M"/>
    <n v="90"/>
    <s v="Kentish ?"/>
    <x v="322"/>
    <x v="52"/>
    <d v="2020-07-26T00:00:00"/>
    <x v="2"/>
    <x v="0"/>
    <n v="62"/>
    <x v="2"/>
    <x v="2"/>
    <n v="1054"/>
    <x v="802"/>
  </r>
  <r>
    <n v="2540"/>
    <x v="1806"/>
    <x v="913"/>
    <s v="Mr"/>
    <s v="M"/>
    <n v="30"/>
    <s v="Kenwood Close"/>
    <x v="519"/>
    <x v="15"/>
    <d v="2022-08-29T00:00:00"/>
    <x v="0"/>
    <x v="3"/>
    <n v="95"/>
    <x v="2"/>
    <x v="2"/>
    <n v="1615"/>
    <x v="693"/>
  </r>
  <r>
    <n v="2541"/>
    <x v="1508"/>
    <x v="1429"/>
    <s v="Mr"/>
    <s v="M"/>
    <n v="90"/>
    <s v="Kenwood Close"/>
    <x v="941"/>
    <x v="17"/>
    <d v="2022-07-05T00:00:00"/>
    <x v="0"/>
    <x v="0"/>
    <n v="15"/>
    <x v="7"/>
    <x v="7"/>
    <n v="300"/>
    <x v="634"/>
  </r>
  <r>
    <n v="2542"/>
    <x v="1052"/>
    <x v="217"/>
    <s v="Mr"/>
    <s v="M"/>
    <n v="30"/>
    <s v="Kenwood Close"/>
    <x v="865"/>
    <x v="2"/>
    <d v="2021-05-28T00:00:00"/>
    <x v="1"/>
    <x v="11"/>
    <n v="10"/>
    <x v="2"/>
    <x v="2"/>
    <n v="170"/>
    <x v="317"/>
  </r>
  <r>
    <n v="2543"/>
    <x v="1807"/>
    <x v="1083"/>
    <s v="Mr"/>
    <s v="M"/>
    <n v="90"/>
    <s v="Kenya Road"/>
    <x v="118"/>
    <x v="2"/>
    <d v="2022-07-22T00:00:00"/>
    <x v="0"/>
    <x v="0"/>
    <n v="79"/>
    <x v="0"/>
    <x v="0"/>
    <n v="1580"/>
    <x v="767"/>
  </r>
  <r>
    <n v="2544"/>
    <x v="1808"/>
    <x v="1430"/>
    <s v="Miss"/>
    <s v="F"/>
    <n v="90"/>
    <s v="Kerbela Street"/>
    <x v="1100"/>
    <x v="15"/>
    <d v="2020-09-02T00:00:00"/>
    <x v="2"/>
    <x v="9"/>
    <n v="8"/>
    <x v="8"/>
    <x v="8"/>
    <n v="160"/>
    <x v="612"/>
  </r>
  <r>
    <n v="2545"/>
    <x v="1078"/>
    <x v="247"/>
    <s v="Prof"/>
    <s v="F"/>
    <n v="60"/>
    <s v="Kersfield Road"/>
    <x v="134"/>
    <x v="2"/>
    <d v="2022-02-10T00:00:00"/>
    <x v="0"/>
    <x v="10"/>
    <n v="45"/>
    <x v="7"/>
    <x v="7"/>
    <n v="900"/>
    <x v="401"/>
  </r>
  <r>
    <n v="2546"/>
    <x v="806"/>
    <x v="484"/>
    <s v="Mr"/>
    <s v="M"/>
    <n v="90"/>
    <s v="Kershaw Close"/>
    <x v="142"/>
    <x v="21"/>
    <d v="2021-09-15T00:00:00"/>
    <x v="1"/>
    <x v="9"/>
    <n v="10"/>
    <x v="9"/>
    <x v="9"/>
    <n v="240"/>
    <x v="34"/>
  </r>
  <r>
    <n v="2547"/>
    <x v="123"/>
    <x v="1431"/>
    <s v="Mr"/>
    <s v="M"/>
    <n v="90"/>
    <s v="Kersley Street"/>
    <x v="1133"/>
    <x v="2"/>
    <d v="2020-10-12T00:00:00"/>
    <x v="2"/>
    <x v="1"/>
    <n v="37"/>
    <x v="7"/>
    <x v="7"/>
    <n v="740"/>
    <x v="398"/>
  </r>
  <r>
    <n v="2548"/>
    <x v="1809"/>
    <x v="1432"/>
    <s v="Miss"/>
    <s v="F"/>
    <n v="90"/>
    <s v="Keswick Broadway"/>
    <x v="1134"/>
    <x v="12"/>
    <d v="2021-06-21T00:00:00"/>
    <x v="1"/>
    <x v="2"/>
    <n v="91"/>
    <x v="1"/>
    <x v="1"/>
    <n v="2184"/>
    <x v="924"/>
  </r>
  <r>
    <n v="2549"/>
    <x v="567"/>
    <x v="1284"/>
    <s v="Miss"/>
    <s v="F"/>
    <n v="30"/>
    <s v="Keswick Broadway"/>
    <x v="336"/>
    <x v="2"/>
    <d v="2021-06-08T00:00:00"/>
    <x v="1"/>
    <x v="2"/>
    <n v="31"/>
    <x v="2"/>
    <x v="2"/>
    <n v="527"/>
    <x v="224"/>
  </r>
  <r>
    <n v="2550"/>
    <x v="1810"/>
    <x v="1170"/>
    <s v="Mr"/>
    <s v="M"/>
    <n v="60"/>
    <s v="Keynsham Road"/>
    <x v="646"/>
    <x v="26"/>
    <d v="2021-10-14T00:00:00"/>
    <x v="1"/>
    <x v="1"/>
    <n v="41"/>
    <x v="7"/>
    <x v="7"/>
    <n v="820"/>
    <x v="672"/>
  </r>
  <r>
    <n v="2551"/>
    <x v="1811"/>
    <x v="384"/>
    <s v="Ms"/>
    <s v="F"/>
    <n v="90"/>
    <s v="Keystone Crescent"/>
    <x v="516"/>
    <x v="48"/>
    <d v="2020-12-16T00:00:00"/>
    <x v="2"/>
    <x v="8"/>
    <n v="36"/>
    <x v="7"/>
    <x v="7"/>
    <n v="720"/>
    <x v="256"/>
  </r>
  <r>
    <n v="2552"/>
    <x v="1812"/>
    <x v="1433"/>
    <s v="Miss"/>
    <s v="F"/>
    <n v="90"/>
    <s v="Kezia Street"/>
    <x v="371"/>
    <x v="18"/>
    <d v="2020-06-14T00:00:00"/>
    <x v="2"/>
    <x v="2"/>
    <n v="37"/>
    <x v="7"/>
    <x v="7"/>
    <n v="740"/>
    <x v="398"/>
  </r>
  <r>
    <n v="2553"/>
    <x v="1813"/>
    <x v="1434"/>
    <s v="Miss"/>
    <s v="F"/>
    <n v="30"/>
    <s v="Kidbrook Lane"/>
    <x v="975"/>
    <x v="21"/>
    <d v="2021-01-24T00:00:00"/>
    <x v="1"/>
    <x v="6"/>
    <n v="26"/>
    <x v="1"/>
    <x v="1"/>
    <n v="624"/>
    <x v="622"/>
  </r>
  <r>
    <n v="2554"/>
    <x v="1814"/>
    <x v="1119"/>
    <s v="Mr"/>
    <s v="M"/>
    <n v="90"/>
    <s v="Kidron Way"/>
    <x v="975"/>
    <x v="21"/>
    <d v="2021-01-21T00:00:00"/>
    <x v="1"/>
    <x v="6"/>
    <n v="27"/>
    <x v="6"/>
    <x v="6"/>
    <n v="648"/>
    <x v="806"/>
  </r>
  <r>
    <n v="2555"/>
    <x v="33"/>
    <x v="160"/>
    <s v="Mr"/>
    <s v="M"/>
    <n v="90"/>
    <s v="Killowen Road"/>
    <x v="455"/>
    <x v="2"/>
    <d v="2022-05-21T00:00:00"/>
    <x v="0"/>
    <x v="11"/>
    <n v="103"/>
    <x v="7"/>
    <x v="7"/>
    <n v="2060"/>
    <x v="400"/>
  </r>
  <r>
    <n v="2556"/>
    <x v="1271"/>
    <x v="1318"/>
    <s v="Mr"/>
    <s v="M"/>
    <n v="90"/>
    <s v="Kilton Street"/>
    <x v="88"/>
    <x v="2"/>
    <d v="2020-08-28T00:00:00"/>
    <x v="2"/>
    <x v="3"/>
    <n v="55"/>
    <x v="9"/>
    <x v="9"/>
    <n v="1320"/>
    <x v="679"/>
  </r>
  <r>
    <n v="2557"/>
    <x v="793"/>
    <x v="1435"/>
    <s v="Mrs"/>
    <s v="F"/>
    <n v="60"/>
    <s v="Kimberly Rd"/>
    <x v="963"/>
    <x v="2"/>
    <d v="2020-05-21T00:00:00"/>
    <x v="2"/>
    <x v="11"/>
    <n v="58"/>
    <x v="8"/>
    <x v="8"/>
    <n v="1160"/>
    <x v="286"/>
  </r>
  <r>
    <n v="2558"/>
    <x v="1815"/>
    <x v="1436"/>
    <s v="Mrs"/>
    <s v="F"/>
    <n v="60"/>
    <s v="Kimberly Road"/>
    <x v="1135"/>
    <x v="2"/>
    <d v="2021-10-02T00:00:00"/>
    <x v="1"/>
    <x v="1"/>
    <n v="48"/>
    <x v="6"/>
    <x v="6"/>
    <n v="1152"/>
    <x v="487"/>
  </r>
  <r>
    <n v="2559"/>
    <x v="605"/>
    <x v="966"/>
    <s v="Mr"/>
    <s v="M"/>
    <n v="90"/>
    <s v="Kincaid Road"/>
    <x v="670"/>
    <x v="10"/>
    <d v="2020-04-21T00:00:00"/>
    <x v="2"/>
    <x v="4"/>
    <n v="11"/>
    <x v="8"/>
    <x v="8"/>
    <n v="220"/>
    <x v="768"/>
  </r>
  <r>
    <n v="2560"/>
    <x v="1816"/>
    <x v="1392"/>
    <s v="Miss"/>
    <s v="F"/>
    <n v="30"/>
    <s v="King David'S"/>
    <x v="1136"/>
    <x v="2"/>
    <d v="2021-08-27T00:00:00"/>
    <x v="1"/>
    <x v="3"/>
    <n v="16"/>
    <x v="7"/>
    <x v="7"/>
    <n v="320"/>
    <x v="925"/>
  </r>
  <r>
    <n v="2561"/>
    <x v="1817"/>
    <x v="632"/>
    <s v="Miss"/>
    <s v="F"/>
    <n v="60"/>
    <s v="King Henry"/>
    <x v="63"/>
    <x v="18"/>
    <d v="2022-04-21T00:00:00"/>
    <x v="0"/>
    <x v="4"/>
    <n v="21"/>
    <x v="2"/>
    <x v="2"/>
    <n v="357"/>
    <x v="919"/>
  </r>
  <r>
    <n v="2562"/>
    <x v="1818"/>
    <x v="1437"/>
    <s v="Mrs"/>
    <s v="F"/>
    <n v="30"/>
    <s v="King Johns"/>
    <x v="609"/>
    <x v="11"/>
    <d v="2020-05-12T00:00:00"/>
    <x v="2"/>
    <x v="11"/>
    <n v="57"/>
    <x v="1"/>
    <x v="1"/>
    <n v="1368"/>
    <x v="436"/>
  </r>
  <r>
    <n v="2563"/>
    <x v="1690"/>
    <x v="1438"/>
    <s v="Miss"/>
    <s v="F"/>
    <n v="90"/>
    <s v="King Stables"/>
    <x v="227"/>
    <x v="2"/>
    <d v="2021-07-21T00:00:00"/>
    <x v="1"/>
    <x v="0"/>
    <n v="83"/>
    <x v="2"/>
    <x v="2"/>
    <n v="1411"/>
    <x v="811"/>
  </r>
  <r>
    <n v="2564"/>
    <x v="1819"/>
    <x v="1127"/>
    <s v="Mrs"/>
    <s v="F"/>
    <n v="30"/>
    <s v="King Stairs"/>
    <x v="1129"/>
    <x v="2"/>
    <d v="2021-07-23T00:00:00"/>
    <x v="1"/>
    <x v="0"/>
    <n v="95"/>
    <x v="2"/>
    <x v="2"/>
    <n v="1615"/>
    <x v="693"/>
  </r>
  <r>
    <n v="2565"/>
    <x v="1820"/>
    <x v="1145"/>
    <s v="Mrs"/>
    <s v="F"/>
    <n v="90"/>
    <s v="Kings Avenue"/>
    <x v="603"/>
    <x v="2"/>
    <d v="2020-09-18T00:00:00"/>
    <x v="2"/>
    <x v="9"/>
    <n v="19"/>
    <x v="4"/>
    <x v="4"/>
    <n v="342"/>
    <x v="926"/>
  </r>
  <r>
    <n v="2566"/>
    <x v="1821"/>
    <x v="1439"/>
    <s v="Mr"/>
    <s v="M"/>
    <n v="90"/>
    <s v="King'S Avenue"/>
    <x v="344"/>
    <x v="46"/>
    <d v="2022-08-14T00:00:00"/>
    <x v="0"/>
    <x v="3"/>
    <n v="96"/>
    <x v="5"/>
    <x v="5"/>
    <n v="2304"/>
    <x v="927"/>
  </r>
  <r>
    <n v="2567"/>
    <x v="790"/>
    <x v="259"/>
    <s v="Mr"/>
    <s v="M"/>
    <n v="30"/>
    <s v="Kings Cottages"/>
    <x v="934"/>
    <x v="21"/>
    <d v="2020-12-23T00:00:00"/>
    <x v="2"/>
    <x v="8"/>
    <n v="54"/>
    <x v="4"/>
    <x v="4"/>
    <n v="972"/>
    <x v="196"/>
  </r>
  <r>
    <n v="2568"/>
    <x v="1405"/>
    <x v="305"/>
    <s v="Ms"/>
    <s v="F"/>
    <n v="90"/>
    <s v="Kings Passage"/>
    <x v="443"/>
    <x v="40"/>
    <d v="2021-11-13T00:00:00"/>
    <x v="1"/>
    <x v="7"/>
    <n v="12"/>
    <x v="9"/>
    <x v="9"/>
    <n v="288"/>
    <x v="928"/>
  </r>
  <r>
    <n v="2569"/>
    <x v="430"/>
    <x v="1440"/>
    <s v="Mr"/>
    <s v="M"/>
    <n v="90"/>
    <s v="Kings Place"/>
    <x v="1137"/>
    <x v="2"/>
    <d v="2020-07-05T00:00:00"/>
    <x v="2"/>
    <x v="0"/>
    <n v="82"/>
    <x v="3"/>
    <x v="3"/>
    <n v="1968"/>
    <x v="594"/>
  </r>
  <r>
    <n v="2570"/>
    <x v="1822"/>
    <x v="1150"/>
    <s v="Miss"/>
    <s v="F"/>
    <n v="90"/>
    <s v="Kings Row"/>
    <x v="146"/>
    <x v="2"/>
    <d v="2022-05-26T00:00:00"/>
    <x v="0"/>
    <x v="11"/>
    <n v="47"/>
    <x v="4"/>
    <x v="4"/>
    <n v="846"/>
    <x v="78"/>
  </r>
  <r>
    <n v="2571"/>
    <x v="431"/>
    <x v="589"/>
    <s v="Mr"/>
    <s v="M"/>
    <n v="60"/>
    <s v="Kings Square"/>
    <x v="1036"/>
    <x v="2"/>
    <d v="2022-11-29T00:00:00"/>
    <x v="0"/>
    <x v="7"/>
    <n v="91"/>
    <x v="2"/>
    <x v="2"/>
    <n v="1547"/>
    <x v="3"/>
  </r>
  <r>
    <n v="2572"/>
    <x v="1196"/>
    <x v="815"/>
    <s v="Miss"/>
    <s v="F"/>
    <n v="60"/>
    <s v="Kingsdown Close"/>
    <x v="192"/>
    <x v="2"/>
    <d v="2022-05-16T00:00:00"/>
    <x v="0"/>
    <x v="11"/>
    <n v="14"/>
    <x v="9"/>
    <x v="9"/>
    <n v="336"/>
    <x v="759"/>
  </r>
  <r>
    <n v="2573"/>
    <x v="1823"/>
    <x v="746"/>
    <s v="Miss"/>
    <s v="F"/>
    <n v="30"/>
    <s v="Kingsdown Villas"/>
    <x v="44"/>
    <x v="13"/>
    <d v="2022-12-15T00:00:00"/>
    <x v="0"/>
    <x v="8"/>
    <n v="85"/>
    <x v="9"/>
    <x v="9"/>
    <n v="2040"/>
    <x v="222"/>
  </r>
  <r>
    <n v="2574"/>
    <x v="1824"/>
    <x v="1441"/>
    <s v="Mrs"/>
    <s v="F"/>
    <n v="60"/>
    <s v="Kingsdown Villas"/>
    <x v="993"/>
    <x v="2"/>
    <d v="2021-03-31T00:00:00"/>
    <x v="1"/>
    <x v="5"/>
    <n v="25"/>
    <x v="0"/>
    <x v="0"/>
    <n v="500"/>
    <x v="864"/>
  </r>
  <r>
    <n v="2575"/>
    <x v="1593"/>
    <x v="1419"/>
    <s v="Mr"/>
    <s v="M"/>
    <n v="90"/>
    <s v="Kingsford Street"/>
    <x v="1138"/>
    <x v="3"/>
    <d v="2021-02-10T00:00:00"/>
    <x v="1"/>
    <x v="10"/>
    <n v="90"/>
    <x v="7"/>
    <x v="7"/>
    <n v="1800"/>
    <x v="929"/>
  </r>
  <r>
    <n v="2576"/>
    <x v="1825"/>
    <x v="760"/>
    <s v="Mr"/>
    <s v="M"/>
    <n v="30"/>
    <s v="Kingsland Green"/>
    <x v="40"/>
    <x v="2"/>
    <d v="2021-07-26T00:00:00"/>
    <x v="1"/>
    <x v="0"/>
    <n v="38"/>
    <x v="1"/>
    <x v="1"/>
    <n v="912"/>
    <x v="17"/>
  </r>
  <r>
    <n v="2577"/>
    <x v="640"/>
    <x v="117"/>
    <s v="Mr"/>
    <s v="M"/>
    <n v="30"/>
    <s v="Kingsland High"/>
    <x v="359"/>
    <x v="13"/>
    <d v="2020-12-05T00:00:00"/>
    <x v="2"/>
    <x v="8"/>
    <n v="31"/>
    <x v="2"/>
    <x v="2"/>
    <n v="527"/>
    <x v="224"/>
  </r>
  <r>
    <n v="2578"/>
    <x v="1435"/>
    <x v="288"/>
    <s v="Mrs"/>
    <s v="F"/>
    <n v="30"/>
    <s v="Kingsley Avenue"/>
    <x v="902"/>
    <x v="1"/>
    <d v="2021-07-17T00:00:00"/>
    <x v="1"/>
    <x v="0"/>
    <n v="19"/>
    <x v="3"/>
    <x v="3"/>
    <n v="456"/>
    <x v="69"/>
  </r>
  <r>
    <n v="2579"/>
    <x v="377"/>
    <x v="1442"/>
    <s v="Mr"/>
    <s v="M"/>
    <n v="30"/>
    <s v="Kingsley Place"/>
    <x v="1051"/>
    <x v="46"/>
    <d v="2021-11-08T00:00:00"/>
    <x v="1"/>
    <x v="7"/>
    <n v="16"/>
    <x v="2"/>
    <x v="2"/>
    <n v="272"/>
    <x v="359"/>
  </r>
  <r>
    <n v="2580"/>
    <x v="16"/>
    <x v="928"/>
    <s v="Mr"/>
    <s v="M"/>
    <n v="30"/>
    <s v="Kingsley Wood"/>
    <x v="1139"/>
    <x v="11"/>
    <d v="2022-06-29T00:00:00"/>
    <x v="0"/>
    <x v="2"/>
    <n v="42"/>
    <x v="5"/>
    <x v="5"/>
    <n v="1008"/>
    <x v="275"/>
  </r>
  <r>
    <n v="2581"/>
    <x v="1242"/>
    <x v="307"/>
    <s v="Miss"/>
    <s v="F"/>
    <n v="30"/>
    <s v="Kingslyn Crescent"/>
    <x v="1140"/>
    <x v="2"/>
    <d v="2021-01-21T00:00:00"/>
    <x v="1"/>
    <x v="6"/>
    <n v="41"/>
    <x v="6"/>
    <x v="6"/>
    <n v="984"/>
    <x v="930"/>
  </r>
  <r>
    <n v="2582"/>
    <x v="1826"/>
    <x v="581"/>
    <s v="Ms"/>
    <s v="F"/>
    <n v="30"/>
    <s v="Kingsmead Road"/>
    <x v="1141"/>
    <x v="1"/>
    <d v="2022-01-16T00:00:00"/>
    <x v="0"/>
    <x v="6"/>
    <n v="54"/>
    <x v="7"/>
    <x v="7"/>
    <n v="1080"/>
    <x v="308"/>
  </r>
  <r>
    <n v="2583"/>
    <x v="1138"/>
    <x v="1443"/>
    <s v="Mr"/>
    <s v="M"/>
    <n v="90"/>
    <s v="Kingston Place"/>
    <x v="1142"/>
    <x v="3"/>
    <d v="2021-03-07T00:00:00"/>
    <x v="1"/>
    <x v="5"/>
    <n v="36"/>
    <x v="4"/>
    <x v="4"/>
    <n v="648"/>
    <x v="150"/>
  </r>
  <r>
    <n v="2584"/>
    <x v="1827"/>
    <x v="1444"/>
    <s v="Miss"/>
    <s v="F"/>
    <n v="60"/>
    <s v="Kingsway Parade"/>
    <x v="1143"/>
    <x v="2"/>
    <d v="2020-01-09T00:00:00"/>
    <x v="2"/>
    <x v="6"/>
    <n v="15"/>
    <x v="0"/>
    <x v="0"/>
    <n v="300"/>
    <x v="646"/>
  </r>
  <r>
    <n v="2585"/>
    <x v="388"/>
    <x v="1445"/>
    <s v="Mr"/>
    <s v="M"/>
    <n v="90"/>
    <s v="Kingthorpe Terrace"/>
    <x v="513"/>
    <x v="16"/>
    <d v="2022-12-24T00:00:00"/>
    <x v="0"/>
    <x v="8"/>
    <n v="104"/>
    <x v="3"/>
    <x v="3"/>
    <n v="2496"/>
    <x v="4"/>
  </r>
  <r>
    <n v="2586"/>
    <x v="1158"/>
    <x v="1446"/>
    <s v="Mr"/>
    <s v="M"/>
    <n v="30"/>
    <s v="Kinnoul Road"/>
    <x v="1144"/>
    <x v="39"/>
    <d v="2022-02-13T00:00:00"/>
    <x v="0"/>
    <x v="10"/>
    <n v="102"/>
    <x v="2"/>
    <x v="2"/>
    <n v="1734"/>
    <x v="881"/>
  </r>
  <r>
    <n v="2587"/>
    <x v="1828"/>
    <x v="119"/>
    <s v="Mrs"/>
    <s v="F"/>
    <n v="60"/>
    <s v="Kinnoul Road"/>
    <x v="908"/>
    <x v="16"/>
    <d v="2020-11-14T00:00:00"/>
    <x v="2"/>
    <x v="7"/>
    <n v="25"/>
    <x v="2"/>
    <x v="2"/>
    <n v="425"/>
    <x v="602"/>
  </r>
  <r>
    <n v="2588"/>
    <x v="1829"/>
    <x v="1447"/>
    <s v="Mr"/>
    <s v="M"/>
    <n v="90"/>
    <s v="Kinnoul Road"/>
    <x v="224"/>
    <x v="2"/>
    <d v="2021-06-11T00:00:00"/>
    <x v="1"/>
    <x v="2"/>
    <n v="18"/>
    <x v="4"/>
    <x v="4"/>
    <n v="324"/>
    <x v="304"/>
  </r>
  <r>
    <n v="2589"/>
    <x v="1830"/>
    <x v="891"/>
    <s v="Mr"/>
    <s v="M"/>
    <n v="30"/>
    <s v="Kinsale Road"/>
    <x v="660"/>
    <x v="2"/>
    <d v="2022-04-03T00:00:00"/>
    <x v="0"/>
    <x v="4"/>
    <n v="3"/>
    <x v="1"/>
    <x v="1"/>
    <n v="72"/>
    <x v="691"/>
  </r>
  <r>
    <n v="2590"/>
    <x v="1831"/>
    <x v="1448"/>
    <s v="Miss"/>
    <s v="F"/>
    <n v="90"/>
    <s v="Kintore Street"/>
    <x v="1145"/>
    <x v="13"/>
    <d v="2021-09-10T00:00:00"/>
    <x v="1"/>
    <x v="9"/>
    <n v="35"/>
    <x v="4"/>
    <x v="4"/>
    <n v="630"/>
    <x v="134"/>
  </r>
  <r>
    <n v="2591"/>
    <x v="1832"/>
    <x v="952"/>
    <s v="Mr"/>
    <s v="M"/>
    <n v="90"/>
    <s v="Kirby Grove"/>
    <x v="655"/>
    <x v="17"/>
    <d v="2022-03-10T00:00:00"/>
    <x v="0"/>
    <x v="5"/>
    <n v="86"/>
    <x v="1"/>
    <x v="1"/>
    <n v="2064"/>
    <x v="201"/>
  </r>
  <r>
    <n v="2592"/>
    <x v="231"/>
    <x v="1449"/>
    <s v="Mr"/>
    <s v="M"/>
    <n v="60"/>
    <s v="Kirchen Road"/>
    <x v="692"/>
    <x v="3"/>
    <d v="2020-07-15T00:00:00"/>
    <x v="2"/>
    <x v="0"/>
    <n v="41"/>
    <x v="4"/>
    <x v="4"/>
    <n v="738"/>
    <x v="338"/>
  </r>
  <r>
    <n v="2593"/>
    <x v="1833"/>
    <x v="858"/>
    <s v="Mrs"/>
    <s v="F"/>
    <n v="90"/>
    <s v="Kirkland Walk"/>
    <x v="178"/>
    <x v="21"/>
    <d v="2021-03-06T00:00:00"/>
    <x v="1"/>
    <x v="5"/>
    <n v="3"/>
    <x v="9"/>
    <x v="9"/>
    <n v="72"/>
    <x v="234"/>
  </r>
  <r>
    <n v="2594"/>
    <x v="165"/>
    <x v="1450"/>
    <s v="Mr"/>
    <s v="M"/>
    <n v="30"/>
    <s v="Kirkside Road"/>
    <x v="1011"/>
    <x v="2"/>
    <d v="2020-11-20T00:00:00"/>
    <x v="2"/>
    <x v="7"/>
    <n v="3"/>
    <x v="2"/>
    <x v="2"/>
    <n v="51"/>
    <x v="931"/>
  </r>
  <r>
    <n v="2595"/>
    <x v="447"/>
    <x v="1451"/>
    <s v="Miss"/>
    <s v="F"/>
    <n v="30"/>
    <s v="Kirkton Road"/>
    <x v="180"/>
    <x v="2"/>
    <d v="2021-10-01T00:00:00"/>
    <x v="1"/>
    <x v="1"/>
    <n v="81"/>
    <x v="7"/>
    <x v="7"/>
    <n v="1620"/>
    <x v="540"/>
  </r>
  <r>
    <n v="2596"/>
    <x v="131"/>
    <x v="100"/>
    <s v="Mrs"/>
    <s v="F"/>
    <n v="30"/>
    <s v="Knighton Road"/>
    <x v="153"/>
    <x v="29"/>
    <d v="2022-08-01T00:00:00"/>
    <x v="0"/>
    <x v="3"/>
    <n v="98"/>
    <x v="8"/>
    <x v="8"/>
    <n v="1960"/>
    <x v="932"/>
  </r>
  <r>
    <n v="2597"/>
    <x v="1834"/>
    <x v="119"/>
    <s v="Mrs"/>
    <s v="F"/>
    <n v="30"/>
    <s v="Knockholt Road"/>
    <x v="671"/>
    <x v="45"/>
    <d v="2021-12-13T00:00:00"/>
    <x v="1"/>
    <x v="8"/>
    <n v="67"/>
    <x v="9"/>
    <x v="9"/>
    <n v="1608"/>
    <x v="270"/>
  </r>
  <r>
    <n v="2598"/>
    <x v="1835"/>
    <x v="1452"/>
    <s v="Miss"/>
    <s v="F"/>
    <n v="90"/>
    <s v="Knotts Buildings"/>
    <x v="822"/>
    <x v="15"/>
    <d v="2022-12-19T00:00:00"/>
    <x v="0"/>
    <x v="8"/>
    <n v="7"/>
    <x v="5"/>
    <x v="5"/>
    <n v="168"/>
    <x v="499"/>
  </r>
  <r>
    <n v="2599"/>
    <x v="1565"/>
    <x v="1453"/>
    <s v="Miss"/>
    <s v="F"/>
    <n v="30"/>
    <s v="Knowsley Cottages"/>
    <x v="936"/>
    <x v="16"/>
    <d v="2021-01-18T00:00:00"/>
    <x v="1"/>
    <x v="6"/>
    <n v="12"/>
    <x v="5"/>
    <x v="5"/>
    <n v="288"/>
    <x v="477"/>
  </r>
  <r>
    <n v="2600"/>
    <x v="737"/>
    <x v="1454"/>
    <s v="Mr"/>
    <s v="M"/>
    <n v="60"/>
    <s v="Kynaston Road"/>
    <x v="447"/>
    <x v="3"/>
    <d v="2021-02-08T00:00:00"/>
    <x v="1"/>
    <x v="10"/>
    <n v="64"/>
    <x v="3"/>
    <x v="3"/>
    <n v="1536"/>
    <x v="710"/>
  </r>
  <r>
    <n v="2601"/>
    <x v="1350"/>
    <x v="273"/>
    <s v="Mr"/>
    <s v="M"/>
    <n v="30"/>
    <s v="Labgley Street"/>
    <x v="204"/>
    <x v="2"/>
    <d v="2021-12-21T00:00:00"/>
    <x v="1"/>
    <x v="8"/>
    <n v="7"/>
    <x v="9"/>
    <x v="9"/>
    <n v="168"/>
    <x v="743"/>
  </r>
  <r>
    <n v="2602"/>
    <x v="943"/>
    <x v="1455"/>
    <s v="Miss"/>
    <s v="F"/>
    <n v="90"/>
    <s v="Laburnam Villas"/>
    <x v="537"/>
    <x v="2"/>
    <d v="2021-05-29T00:00:00"/>
    <x v="1"/>
    <x v="11"/>
    <n v="4"/>
    <x v="1"/>
    <x v="1"/>
    <n v="96"/>
    <x v="245"/>
  </r>
  <r>
    <n v="2603"/>
    <x v="110"/>
    <x v="606"/>
    <s v="Miss"/>
    <s v="F"/>
    <n v="60"/>
    <s v="Laburnum Avenue"/>
    <x v="1146"/>
    <x v="21"/>
    <d v="2020-05-25T00:00:00"/>
    <x v="2"/>
    <x v="11"/>
    <n v="26"/>
    <x v="1"/>
    <x v="1"/>
    <n v="624"/>
    <x v="622"/>
  </r>
  <r>
    <n v="2604"/>
    <x v="889"/>
    <x v="1456"/>
    <s v="Mrs"/>
    <s v="F"/>
    <n v="90"/>
    <s v="Laburnum Street"/>
    <x v="589"/>
    <x v="65"/>
    <d v="2021-12-08T00:00:00"/>
    <x v="1"/>
    <x v="8"/>
    <n v="54"/>
    <x v="8"/>
    <x v="8"/>
    <n v="1080"/>
    <x v="712"/>
  </r>
  <r>
    <n v="2605"/>
    <x v="1836"/>
    <x v="1457"/>
    <s v="Miss"/>
    <s v="F"/>
    <n v="90"/>
    <s v="Laburnum Villas"/>
    <x v="1147"/>
    <x v="2"/>
    <d v="2022-08-21T00:00:00"/>
    <x v="0"/>
    <x v="3"/>
    <n v="41"/>
    <x v="6"/>
    <x v="6"/>
    <n v="984"/>
    <x v="930"/>
  </r>
  <r>
    <n v="2606"/>
    <x v="1837"/>
    <x v="218"/>
    <s v="Mrs"/>
    <s v="F"/>
    <n v="60"/>
    <s v="Ladbroke Crescent"/>
    <x v="41"/>
    <x v="11"/>
    <d v="2022-04-12T00:00:00"/>
    <x v="0"/>
    <x v="4"/>
    <n v="46"/>
    <x v="8"/>
    <x v="8"/>
    <n v="920"/>
    <x v="166"/>
  </r>
  <r>
    <n v="2607"/>
    <x v="894"/>
    <x v="1458"/>
    <s v="Mr"/>
    <s v="M"/>
    <n v="90"/>
    <s v="Ladbroke Walk"/>
    <x v="513"/>
    <x v="16"/>
    <d v="2021-12-30T00:00:00"/>
    <x v="1"/>
    <x v="8"/>
    <n v="64"/>
    <x v="5"/>
    <x v="5"/>
    <n v="1536"/>
    <x v="372"/>
  </r>
  <r>
    <n v="2608"/>
    <x v="1308"/>
    <x v="1296"/>
    <s v="Mr"/>
    <s v="M"/>
    <n v="60"/>
    <s v="Ladderswood Way"/>
    <x v="539"/>
    <x v="36"/>
    <d v="2022-04-25T00:00:00"/>
    <x v="0"/>
    <x v="4"/>
    <n v="105"/>
    <x v="6"/>
    <x v="6"/>
    <n v="2520"/>
    <x v="933"/>
  </r>
  <r>
    <n v="2609"/>
    <x v="870"/>
    <x v="3"/>
    <s v="Mr"/>
    <s v="M"/>
    <n v="90"/>
    <s v="Ladds Court"/>
    <x v="391"/>
    <x v="2"/>
    <d v="2022-07-06T00:00:00"/>
    <x v="0"/>
    <x v="0"/>
    <n v="68"/>
    <x v="4"/>
    <x v="4"/>
    <n v="1224"/>
    <x v="698"/>
  </r>
  <r>
    <n v="2610"/>
    <x v="688"/>
    <x v="1034"/>
    <s v="Mr"/>
    <s v="M"/>
    <n v="60"/>
    <s v="Ladywell Park"/>
    <x v="613"/>
    <x v="2"/>
    <d v="2021-04-07T00:00:00"/>
    <x v="1"/>
    <x v="4"/>
    <n v="73"/>
    <x v="0"/>
    <x v="0"/>
    <n v="1460"/>
    <x v="0"/>
  </r>
  <r>
    <n v="2611"/>
    <x v="1838"/>
    <x v="873"/>
    <s v="Mrs"/>
    <s v="F"/>
    <n v="90"/>
    <s v="Ladywell Park"/>
    <x v="246"/>
    <x v="2"/>
    <d v="2020-09-24T00:00:00"/>
    <x v="2"/>
    <x v="9"/>
    <n v="44"/>
    <x v="9"/>
    <x v="9"/>
    <n v="1056"/>
    <x v="605"/>
  </r>
  <r>
    <n v="2612"/>
    <x v="311"/>
    <x v="1017"/>
    <s v="Mr"/>
    <s v="M"/>
    <n v="60"/>
    <s v="Laidlaw Drive"/>
    <x v="886"/>
    <x v="2"/>
    <d v="2021-12-24T00:00:00"/>
    <x v="1"/>
    <x v="8"/>
    <n v="14"/>
    <x v="3"/>
    <x v="3"/>
    <n v="336"/>
    <x v="754"/>
  </r>
  <r>
    <n v="2613"/>
    <x v="1839"/>
    <x v="1360"/>
    <s v="Mr"/>
    <s v="M"/>
    <n v="60"/>
    <s v="Lairdale Close"/>
    <x v="168"/>
    <x v="2"/>
    <d v="2021-06-20T00:00:00"/>
    <x v="1"/>
    <x v="2"/>
    <n v="45"/>
    <x v="7"/>
    <x v="7"/>
    <n v="900"/>
    <x v="401"/>
  </r>
  <r>
    <n v="2614"/>
    <x v="1840"/>
    <x v="893"/>
    <s v="Mr"/>
    <s v="M"/>
    <n v="90"/>
    <s v="Lakeside Road"/>
    <x v="1148"/>
    <x v="17"/>
    <d v="2022-11-20T00:00:00"/>
    <x v="0"/>
    <x v="7"/>
    <n v="18"/>
    <x v="2"/>
    <x v="2"/>
    <n v="306"/>
    <x v="889"/>
  </r>
  <r>
    <n v="2615"/>
    <x v="1756"/>
    <x v="1127"/>
    <s v="Mr"/>
    <s v="M"/>
    <n v="30"/>
    <s v="Lambert Court"/>
    <x v="1053"/>
    <x v="21"/>
    <d v="2022-07-25T00:00:00"/>
    <x v="0"/>
    <x v="0"/>
    <n v="83"/>
    <x v="2"/>
    <x v="2"/>
    <n v="1411"/>
    <x v="811"/>
  </r>
  <r>
    <n v="2616"/>
    <x v="1841"/>
    <x v="1422"/>
    <s v="Mr"/>
    <s v="M"/>
    <n v="30"/>
    <s v="Lambert Street"/>
    <x v="52"/>
    <x v="2"/>
    <d v="2021-09-05T00:00:00"/>
    <x v="1"/>
    <x v="9"/>
    <n v="41"/>
    <x v="9"/>
    <x v="9"/>
    <n v="984"/>
    <x v="348"/>
  </r>
  <r>
    <n v="2617"/>
    <x v="1842"/>
    <x v="927"/>
    <s v="Miss"/>
    <s v="F"/>
    <n v="90"/>
    <s v="Lambeth High"/>
    <x v="576"/>
    <x v="17"/>
    <d v="2021-09-29T00:00:00"/>
    <x v="1"/>
    <x v="9"/>
    <n v="73"/>
    <x v="7"/>
    <x v="7"/>
    <n v="1460"/>
    <x v="512"/>
  </r>
  <r>
    <n v="2618"/>
    <x v="1843"/>
    <x v="343"/>
    <s v="Mrs"/>
    <s v="F"/>
    <n v="90"/>
    <s v="Lambeth Pier"/>
    <x v="153"/>
    <x v="29"/>
    <d v="2020-07-12T00:00:00"/>
    <x v="2"/>
    <x v="0"/>
    <n v="77"/>
    <x v="5"/>
    <x v="5"/>
    <n v="1848"/>
    <x v="283"/>
  </r>
  <r>
    <n v="2619"/>
    <x v="1844"/>
    <x v="338"/>
    <s v="Miss"/>
    <s v="F"/>
    <n v="30"/>
    <s v="Lambeth Square"/>
    <x v="1149"/>
    <x v="2"/>
    <d v="2022-09-19T00:00:00"/>
    <x v="0"/>
    <x v="9"/>
    <n v="27"/>
    <x v="4"/>
    <x v="4"/>
    <n v="486"/>
    <x v="306"/>
  </r>
  <r>
    <n v="2620"/>
    <x v="1649"/>
    <x v="871"/>
    <s v="Mr"/>
    <s v="M"/>
    <n v="60"/>
    <s v="Lambeth Street"/>
    <x v="778"/>
    <x v="2"/>
    <d v="2020-05-14T00:00:00"/>
    <x v="2"/>
    <x v="11"/>
    <n v="55"/>
    <x v="5"/>
    <x v="5"/>
    <n v="1320"/>
    <x v="29"/>
  </r>
  <r>
    <n v="2621"/>
    <x v="1745"/>
    <x v="1024"/>
    <s v="Mr"/>
    <s v="M"/>
    <n v="90"/>
    <s v="Lambourn Road"/>
    <x v="934"/>
    <x v="21"/>
    <d v="2020-04-12T00:00:00"/>
    <x v="2"/>
    <x v="4"/>
    <n v="35"/>
    <x v="1"/>
    <x v="1"/>
    <n v="840"/>
    <x v="736"/>
  </r>
  <r>
    <n v="2622"/>
    <x v="850"/>
    <x v="1459"/>
    <s v="Mr"/>
    <s v="M"/>
    <n v="30"/>
    <s v="Lambourne Place"/>
    <x v="1054"/>
    <x v="21"/>
    <d v="2020-05-18T00:00:00"/>
    <x v="2"/>
    <x v="11"/>
    <n v="33"/>
    <x v="5"/>
    <x v="5"/>
    <n v="792"/>
    <x v="523"/>
  </r>
  <r>
    <n v="2623"/>
    <x v="54"/>
    <x v="1351"/>
    <s v="Miss"/>
    <s v="F"/>
    <n v="30"/>
    <s v="Lambourne Road"/>
    <x v="859"/>
    <x v="2"/>
    <d v="2021-07-09T00:00:00"/>
    <x v="1"/>
    <x v="0"/>
    <n v="58"/>
    <x v="6"/>
    <x v="6"/>
    <n v="1392"/>
    <x v="547"/>
  </r>
  <r>
    <n v="2624"/>
    <x v="312"/>
    <x v="299"/>
    <s v="Mr"/>
    <s v="M"/>
    <n v="60"/>
    <s v="Lambrook Terrace"/>
    <x v="80"/>
    <x v="2"/>
    <d v="2022-08-05T00:00:00"/>
    <x v="0"/>
    <x v="3"/>
    <n v="14"/>
    <x v="7"/>
    <x v="7"/>
    <n v="280"/>
    <x v="72"/>
  </r>
  <r>
    <n v="2625"/>
    <x v="1845"/>
    <x v="1051"/>
    <s v="Ms"/>
    <s v="F"/>
    <n v="60"/>
    <s v="Lambs Mews"/>
    <x v="431"/>
    <x v="2"/>
    <d v="2022-12-20T00:00:00"/>
    <x v="0"/>
    <x v="8"/>
    <n v="72"/>
    <x v="4"/>
    <x v="4"/>
    <n v="1296"/>
    <x v="695"/>
  </r>
  <r>
    <n v="2626"/>
    <x v="112"/>
    <x v="414"/>
    <s v="Miss"/>
    <s v="F"/>
    <n v="30"/>
    <s v="Lambs Terrace"/>
    <x v="142"/>
    <x v="21"/>
    <d v="2021-08-27T00:00:00"/>
    <x v="1"/>
    <x v="3"/>
    <n v="81"/>
    <x v="2"/>
    <x v="2"/>
    <n v="1377"/>
    <x v="293"/>
  </r>
  <r>
    <n v="2627"/>
    <x v="1846"/>
    <x v="696"/>
    <s v="Mr"/>
    <s v="M"/>
    <n v="90"/>
    <s v="Lamford Close"/>
    <x v="624"/>
    <x v="2"/>
    <d v="2022-06-06T00:00:00"/>
    <x v="0"/>
    <x v="2"/>
    <n v="27"/>
    <x v="7"/>
    <x v="7"/>
    <n v="540"/>
    <x v="675"/>
  </r>
  <r>
    <n v="2628"/>
    <x v="1847"/>
    <x v="770"/>
    <s v="Mrs"/>
    <s v="F"/>
    <n v="90"/>
    <s v="Lammas Road"/>
    <x v="1047"/>
    <x v="8"/>
    <d v="2022-08-30T00:00:00"/>
    <x v="0"/>
    <x v="3"/>
    <n v="76"/>
    <x v="2"/>
    <x v="2"/>
    <n v="1292"/>
    <x v="347"/>
  </r>
  <r>
    <n v="2629"/>
    <x v="1848"/>
    <x v="687"/>
    <s v="Miss"/>
    <s v="F"/>
    <n v="30"/>
    <s v="Lanark Close"/>
    <x v="195"/>
    <x v="16"/>
    <d v="2021-11-09T00:00:00"/>
    <x v="1"/>
    <x v="7"/>
    <n v="24"/>
    <x v="3"/>
    <x v="3"/>
    <n v="576"/>
    <x v="215"/>
  </r>
  <r>
    <n v="2630"/>
    <x v="1849"/>
    <x v="1460"/>
    <s v="Miss"/>
    <s v="F"/>
    <n v="60"/>
    <s v="Lanark Close"/>
    <x v="1080"/>
    <x v="44"/>
    <d v="2022-10-22T00:00:00"/>
    <x v="0"/>
    <x v="1"/>
    <n v="53"/>
    <x v="1"/>
    <x v="1"/>
    <n v="1272"/>
    <x v="934"/>
  </r>
  <r>
    <n v="2631"/>
    <x v="998"/>
    <x v="0"/>
    <s v="Mr"/>
    <s v="M"/>
    <n v="30"/>
    <s v="Lanbury Road"/>
    <x v="331"/>
    <x v="2"/>
    <d v="2021-02-21T00:00:00"/>
    <x v="1"/>
    <x v="10"/>
    <n v="95"/>
    <x v="1"/>
    <x v="1"/>
    <n v="2280"/>
    <x v="665"/>
  </r>
  <r>
    <n v="2632"/>
    <x v="1566"/>
    <x v="922"/>
    <s v="Mr"/>
    <s v="M"/>
    <n v="90"/>
    <s v="Lancaster Cottages"/>
    <x v="1128"/>
    <x v="18"/>
    <d v="2020-08-21T00:00:00"/>
    <x v="2"/>
    <x v="3"/>
    <n v="49"/>
    <x v="5"/>
    <x v="5"/>
    <n v="1176"/>
    <x v="908"/>
  </r>
  <r>
    <n v="2633"/>
    <x v="1595"/>
    <x v="409"/>
    <s v="Mr"/>
    <s v="M"/>
    <n v="90"/>
    <s v="Lancaster Drive"/>
    <x v="617"/>
    <x v="2"/>
    <d v="2020-09-25T00:00:00"/>
    <x v="2"/>
    <x v="9"/>
    <n v="37"/>
    <x v="0"/>
    <x v="0"/>
    <n v="740"/>
    <x v="885"/>
  </r>
  <r>
    <n v="2634"/>
    <x v="1850"/>
    <x v="1264"/>
    <s v="Miss"/>
    <s v="F"/>
    <n v="60"/>
    <s v="Lancaster Drive"/>
    <x v="91"/>
    <x v="2"/>
    <d v="2020-10-20T00:00:00"/>
    <x v="2"/>
    <x v="1"/>
    <n v="13"/>
    <x v="1"/>
    <x v="1"/>
    <n v="312"/>
    <x v="127"/>
  </r>
  <r>
    <n v="2635"/>
    <x v="1851"/>
    <x v="408"/>
    <s v="Mrs"/>
    <s v="F"/>
    <n v="30"/>
    <s v="Lancaster Grove"/>
    <x v="352"/>
    <x v="2"/>
    <d v="2022-08-13T00:00:00"/>
    <x v="0"/>
    <x v="3"/>
    <n v="71"/>
    <x v="3"/>
    <x v="3"/>
    <n v="1704"/>
    <x v="335"/>
  </r>
  <r>
    <n v="2636"/>
    <x v="126"/>
    <x v="1160"/>
    <s v="Mr"/>
    <s v="M"/>
    <n v="30"/>
    <s v="Landels Road"/>
    <x v="692"/>
    <x v="3"/>
    <d v="2020-08-24T00:00:00"/>
    <x v="2"/>
    <x v="3"/>
    <n v="75"/>
    <x v="1"/>
    <x v="1"/>
    <n v="1800"/>
    <x v="2"/>
  </r>
  <r>
    <n v="2637"/>
    <x v="159"/>
    <x v="210"/>
    <s v="Mr"/>
    <s v="M"/>
    <n v="60"/>
    <s v="Landgrove Road"/>
    <x v="35"/>
    <x v="2"/>
    <d v="2022-08-28T00:00:00"/>
    <x v="0"/>
    <x v="3"/>
    <n v="7"/>
    <x v="5"/>
    <x v="5"/>
    <n v="168"/>
    <x v="499"/>
  </r>
  <r>
    <n v="2638"/>
    <x v="1852"/>
    <x v="259"/>
    <s v="Mrs"/>
    <s v="F"/>
    <n v="60"/>
    <s v="Landons Close"/>
    <x v="291"/>
    <x v="2"/>
    <d v="2020-06-02T00:00:00"/>
    <x v="2"/>
    <x v="2"/>
    <n v="57"/>
    <x v="0"/>
    <x v="0"/>
    <n v="1140"/>
    <x v="392"/>
  </r>
  <r>
    <n v="2639"/>
    <x v="1099"/>
    <x v="181"/>
    <s v="Miss"/>
    <s v="F"/>
    <n v="60"/>
    <s v="Landsdowne Mews"/>
    <x v="967"/>
    <x v="2"/>
    <d v="2021-03-22T00:00:00"/>
    <x v="1"/>
    <x v="5"/>
    <n v="21"/>
    <x v="6"/>
    <x v="6"/>
    <n v="504"/>
    <x v="332"/>
  </r>
  <r>
    <n v="2640"/>
    <x v="1853"/>
    <x v="170"/>
    <s v="Mrs"/>
    <s v="F"/>
    <n v="90"/>
    <s v="Lane Road"/>
    <x v="352"/>
    <x v="2"/>
    <d v="2021-10-27T00:00:00"/>
    <x v="1"/>
    <x v="1"/>
    <n v="2"/>
    <x v="1"/>
    <x v="1"/>
    <n v="48"/>
    <x v="318"/>
  </r>
  <r>
    <n v="2641"/>
    <x v="437"/>
    <x v="285"/>
    <s v="Miss"/>
    <s v="F"/>
    <n v="90"/>
    <s v="Lanercost Gardens"/>
    <x v="1150"/>
    <x v="2"/>
    <d v="2020-09-13T00:00:00"/>
    <x v="2"/>
    <x v="9"/>
    <n v="69"/>
    <x v="2"/>
    <x v="2"/>
    <n v="1173"/>
    <x v="875"/>
  </r>
  <r>
    <n v="2642"/>
    <x v="1854"/>
    <x v="6"/>
    <s v="Mr"/>
    <s v="M"/>
    <n v="30"/>
    <s v="Langdale Road"/>
    <x v="454"/>
    <x v="39"/>
    <d v="2020-08-07T00:00:00"/>
    <x v="2"/>
    <x v="3"/>
    <n v="62"/>
    <x v="4"/>
    <x v="4"/>
    <n v="1116"/>
    <x v="135"/>
  </r>
  <r>
    <n v="2643"/>
    <x v="1855"/>
    <x v="254"/>
    <s v="Mr"/>
    <s v="M"/>
    <n v="90"/>
    <s v="Langdale Villas"/>
    <x v="166"/>
    <x v="3"/>
    <d v="2022-04-22T00:00:00"/>
    <x v="0"/>
    <x v="4"/>
    <n v="96"/>
    <x v="3"/>
    <x v="3"/>
    <n v="2304"/>
    <x v="403"/>
  </r>
  <r>
    <n v="2644"/>
    <x v="1856"/>
    <x v="1176"/>
    <s v="Miss"/>
    <s v="F"/>
    <n v="30"/>
    <s v="Langdon Road"/>
    <x v="752"/>
    <x v="2"/>
    <d v="2020-10-15T00:00:00"/>
    <x v="2"/>
    <x v="1"/>
    <n v="7"/>
    <x v="8"/>
    <x v="8"/>
    <n v="140"/>
    <x v="300"/>
  </r>
  <r>
    <n v="2645"/>
    <x v="99"/>
    <x v="416"/>
    <s v="Mr"/>
    <s v="M"/>
    <n v="60"/>
    <s v="Langham Road"/>
    <x v="870"/>
    <x v="18"/>
    <d v="2022-04-29T00:00:00"/>
    <x v="0"/>
    <x v="4"/>
    <n v="55"/>
    <x v="6"/>
    <x v="6"/>
    <n v="1320"/>
    <x v="935"/>
  </r>
  <r>
    <n v="2646"/>
    <x v="1496"/>
    <x v="194"/>
    <s v="Mrs"/>
    <s v="F"/>
    <n v="60"/>
    <s v="Langhedge Lane"/>
    <x v="420"/>
    <x v="2"/>
    <d v="2022-09-14T00:00:00"/>
    <x v="0"/>
    <x v="9"/>
    <n v="9"/>
    <x v="0"/>
    <x v="0"/>
    <n v="180"/>
    <x v="936"/>
  </r>
  <r>
    <n v="2647"/>
    <x v="1628"/>
    <x v="1461"/>
    <s v="Mr"/>
    <s v="M"/>
    <n v="90"/>
    <s v="Langley"/>
    <x v="285"/>
    <x v="2"/>
    <d v="2022-04-12T00:00:00"/>
    <x v="0"/>
    <x v="4"/>
    <n v="56"/>
    <x v="0"/>
    <x v="0"/>
    <n v="1120"/>
    <x v="428"/>
  </r>
  <r>
    <n v="2648"/>
    <x v="1857"/>
    <x v="1462"/>
    <s v="Miss"/>
    <s v="F"/>
    <n v="90"/>
    <s v="Langley Road"/>
    <x v="495"/>
    <x v="41"/>
    <d v="2021-09-07T00:00:00"/>
    <x v="1"/>
    <x v="9"/>
    <n v="6"/>
    <x v="5"/>
    <x v="5"/>
    <n v="144"/>
    <x v="212"/>
  </r>
  <r>
    <n v="2649"/>
    <x v="1858"/>
    <x v="945"/>
    <s v="Mrs"/>
    <s v="F"/>
    <n v="60"/>
    <s v="Langton Rise"/>
    <x v="136"/>
    <x v="2"/>
    <d v="2021-03-04T00:00:00"/>
    <x v="1"/>
    <x v="5"/>
    <n v="8"/>
    <x v="9"/>
    <x v="9"/>
    <n v="192"/>
    <x v="402"/>
  </r>
  <r>
    <n v="2650"/>
    <x v="1859"/>
    <x v="1094"/>
    <s v="Mrs"/>
    <s v="F"/>
    <n v="60"/>
    <s v="Langton Way"/>
    <x v="224"/>
    <x v="2"/>
    <d v="2020-05-03T00:00:00"/>
    <x v="2"/>
    <x v="11"/>
    <n v="13"/>
    <x v="6"/>
    <x v="6"/>
    <n v="312"/>
    <x v="846"/>
  </r>
  <r>
    <n v="2651"/>
    <x v="1860"/>
    <x v="753"/>
    <s v="Ms"/>
    <s v="F"/>
    <n v="30"/>
    <s v="Lansbury Gardens"/>
    <x v="1119"/>
    <x v="16"/>
    <d v="2022-05-30T00:00:00"/>
    <x v="0"/>
    <x v="11"/>
    <n v="89"/>
    <x v="3"/>
    <x v="3"/>
    <n v="2136"/>
    <x v="204"/>
  </r>
  <r>
    <n v="2652"/>
    <x v="479"/>
    <x v="306"/>
    <s v="Mr"/>
    <s v="M"/>
    <n v="60"/>
    <s v="Lanscombe Walk"/>
    <x v="936"/>
    <x v="16"/>
    <d v="2022-04-06T00:00:00"/>
    <x v="0"/>
    <x v="4"/>
    <n v="21"/>
    <x v="6"/>
    <x v="6"/>
    <n v="504"/>
    <x v="332"/>
  </r>
  <r>
    <n v="2653"/>
    <x v="1861"/>
    <x v="1163"/>
    <s v="Mr"/>
    <s v="M"/>
    <n v="30"/>
    <s v="Lansdale Villas"/>
    <x v="225"/>
    <x v="16"/>
    <d v="2021-04-15T00:00:00"/>
    <x v="1"/>
    <x v="4"/>
    <n v="51"/>
    <x v="1"/>
    <x v="1"/>
    <n v="1224"/>
    <x v="61"/>
  </r>
  <r>
    <n v="2654"/>
    <x v="243"/>
    <x v="275"/>
    <s v="Miss"/>
    <s v="F"/>
    <n v="30"/>
    <s v="Lansdowne Gardens"/>
    <x v="839"/>
    <x v="21"/>
    <d v="2022-06-17T00:00:00"/>
    <x v="0"/>
    <x v="2"/>
    <n v="102"/>
    <x v="5"/>
    <x v="5"/>
    <n v="2448"/>
    <x v="844"/>
  </r>
  <r>
    <n v="2655"/>
    <x v="1862"/>
    <x v="691"/>
    <s v="Mrs"/>
    <s v="F"/>
    <n v="90"/>
    <s v="Lansfield Terrace"/>
    <x v="470"/>
    <x v="2"/>
    <d v="2020-10-04T00:00:00"/>
    <x v="2"/>
    <x v="1"/>
    <n v="29"/>
    <x v="3"/>
    <x v="3"/>
    <n v="696"/>
    <x v="63"/>
  </r>
  <r>
    <n v="2656"/>
    <x v="751"/>
    <x v="548"/>
    <s v="Mrs"/>
    <s v="F"/>
    <n v="90"/>
    <s v="Lant Place"/>
    <x v="268"/>
    <x v="21"/>
    <d v="2020-06-08T00:00:00"/>
    <x v="2"/>
    <x v="2"/>
    <n v="7"/>
    <x v="6"/>
    <x v="6"/>
    <n v="168"/>
    <x v="654"/>
  </r>
  <r>
    <n v="2657"/>
    <x v="572"/>
    <x v="1463"/>
    <s v="Mr"/>
    <s v="M"/>
    <n v="30"/>
    <s v="Lant Street"/>
    <x v="518"/>
    <x v="2"/>
    <d v="2022-12-28T00:00:00"/>
    <x v="0"/>
    <x v="8"/>
    <n v="104"/>
    <x v="2"/>
    <x v="2"/>
    <n v="1768"/>
    <x v="458"/>
  </r>
  <r>
    <n v="2658"/>
    <x v="1863"/>
    <x v="265"/>
    <s v="Mr"/>
    <s v="M"/>
    <n v="60"/>
    <s v="Lant Street"/>
    <x v="1151"/>
    <x v="2"/>
    <d v="2021-12-04T00:00:00"/>
    <x v="1"/>
    <x v="8"/>
    <n v="15"/>
    <x v="7"/>
    <x v="7"/>
    <n v="300"/>
    <x v="634"/>
  </r>
  <r>
    <n v="2659"/>
    <x v="1864"/>
    <x v="13"/>
    <s v="Mrs"/>
    <s v="F"/>
    <n v="90"/>
    <s v="Lapford Place"/>
    <x v="1091"/>
    <x v="2"/>
    <d v="2022-01-04T00:00:00"/>
    <x v="0"/>
    <x v="6"/>
    <n v="101"/>
    <x v="7"/>
    <x v="7"/>
    <n v="2020"/>
    <x v="565"/>
  </r>
  <r>
    <n v="2660"/>
    <x v="1865"/>
    <x v="1436"/>
    <s v="Mrs"/>
    <s v="F"/>
    <n v="30"/>
    <s v="Larch Road"/>
    <x v="1089"/>
    <x v="3"/>
    <d v="2020-10-15T00:00:00"/>
    <x v="2"/>
    <x v="1"/>
    <n v="16"/>
    <x v="6"/>
    <x v="6"/>
    <n v="384"/>
    <x v="538"/>
  </r>
  <r>
    <n v="2661"/>
    <x v="1866"/>
    <x v="1023"/>
    <s v="Ms"/>
    <s v="F"/>
    <n v="60"/>
    <s v="Larkfield Villas"/>
    <x v="649"/>
    <x v="2"/>
    <d v="2021-10-27T00:00:00"/>
    <x v="1"/>
    <x v="1"/>
    <n v="43"/>
    <x v="4"/>
    <x v="4"/>
    <n v="774"/>
    <x v="658"/>
  </r>
  <r>
    <n v="2662"/>
    <x v="1632"/>
    <x v="1448"/>
    <s v="Ms"/>
    <s v="F"/>
    <n v="60"/>
    <s v="Larkhill Terrace"/>
    <x v="613"/>
    <x v="2"/>
    <d v="2022-11-15T00:00:00"/>
    <x v="0"/>
    <x v="7"/>
    <n v="72"/>
    <x v="9"/>
    <x v="9"/>
    <n v="1728"/>
    <x v="369"/>
  </r>
  <r>
    <n v="2663"/>
    <x v="1867"/>
    <x v="902"/>
    <s v="Mr"/>
    <s v="M"/>
    <n v="30"/>
    <s v="Lascelles Place"/>
    <x v="1096"/>
    <x v="91"/>
    <d v="2020-12-16T00:00:00"/>
    <x v="2"/>
    <x v="8"/>
    <n v="43"/>
    <x v="9"/>
    <x v="9"/>
    <n v="1032"/>
    <x v="840"/>
  </r>
  <r>
    <n v="2664"/>
    <x v="1195"/>
    <x v="1464"/>
    <s v="Mr"/>
    <s v="M"/>
    <n v="90"/>
    <s v="Latchmere Grove"/>
    <x v="773"/>
    <x v="16"/>
    <d v="2022-05-31T00:00:00"/>
    <x v="0"/>
    <x v="11"/>
    <n v="73"/>
    <x v="0"/>
    <x v="0"/>
    <n v="1460"/>
    <x v="0"/>
  </r>
  <r>
    <n v="2665"/>
    <x v="876"/>
    <x v="1462"/>
    <s v="Mr"/>
    <s v="M"/>
    <n v="60"/>
    <s v="Latchmere Grove"/>
    <x v="131"/>
    <x v="11"/>
    <d v="2020-03-04T00:00:00"/>
    <x v="2"/>
    <x v="5"/>
    <n v="47"/>
    <x v="8"/>
    <x v="8"/>
    <n v="940"/>
    <x v="937"/>
  </r>
  <r>
    <n v="2666"/>
    <x v="107"/>
    <x v="1157"/>
    <s v="Miss"/>
    <s v="F"/>
    <n v="90"/>
    <s v="Latchmere Lane"/>
    <x v="421"/>
    <x v="0"/>
    <d v="2022-10-05T00:00:00"/>
    <x v="0"/>
    <x v="1"/>
    <n v="58"/>
    <x v="2"/>
    <x v="2"/>
    <n v="986"/>
    <x v="810"/>
  </r>
  <r>
    <n v="2667"/>
    <x v="159"/>
    <x v="701"/>
    <s v="Mr"/>
    <s v="M"/>
    <n v="60"/>
    <s v="Laud Street"/>
    <x v="553"/>
    <x v="11"/>
    <d v="2020-01-20T00:00:00"/>
    <x v="2"/>
    <x v="6"/>
    <n v="16"/>
    <x v="9"/>
    <x v="9"/>
    <n v="384"/>
    <x v="586"/>
  </r>
  <r>
    <n v="2668"/>
    <x v="1868"/>
    <x v="1465"/>
    <s v="Ms"/>
    <s v="F"/>
    <n v="90"/>
    <s v="Laura Close"/>
    <x v="290"/>
    <x v="44"/>
    <d v="2022-12-22T00:00:00"/>
    <x v="0"/>
    <x v="8"/>
    <n v="97"/>
    <x v="6"/>
    <x v="6"/>
    <n v="2328"/>
    <x v="938"/>
  </r>
  <r>
    <n v="2669"/>
    <x v="608"/>
    <x v="1466"/>
    <s v="Mr"/>
    <s v="M"/>
    <n v="30"/>
    <s v="Laurel Drive"/>
    <x v="107"/>
    <x v="15"/>
    <d v="2022-09-28T00:00:00"/>
    <x v="0"/>
    <x v="9"/>
    <n v="62"/>
    <x v="1"/>
    <x v="1"/>
    <n v="1488"/>
    <x v="467"/>
  </r>
  <r>
    <n v="2670"/>
    <x v="895"/>
    <x v="17"/>
    <s v="Mrs"/>
    <s v="F"/>
    <n v="30"/>
    <s v="Laurel Gardens"/>
    <x v="502"/>
    <x v="1"/>
    <d v="2021-05-10T00:00:00"/>
    <x v="1"/>
    <x v="11"/>
    <n v="5"/>
    <x v="4"/>
    <x v="4"/>
    <n v="90"/>
    <x v="10"/>
  </r>
  <r>
    <n v="2671"/>
    <x v="199"/>
    <x v="1467"/>
    <s v="Mr"/>
    <s v="M"/>
    <n v="90"/>
    <s v="Laurel Grove"/>
    <x v="526"/>
    <x v="1"/>
    <d v="2022-02-13T00:00:00"/>
    <x v="0"/>
    <x v="10"/>
    <n v="49"/>
    <x v="8"/>
    <x v="8"/>
    <n v="980"/>
    <x v="13"/>
  </r>
  <r>
    <n v="2672"/>
    <x v="1084"/>
    <x v="284"/>
    <s v="Mr"/>
    <s v="M"/>
    <n v="60"/>
    <s v="Laurel Road"/>
    <x v="213"/>
    <x v="8"/>
    <d v="2020-11-30T00:00:00"/>
    <x v="2"/>
    <x v="7"/>
    <n v="55"/>
    <x v="5"/>
    <x v="5"/>
    <n v="1320"/>
    <x v="29"/>
  </r>
  <r>
    <n v="2673"/>
    <x v="1212"/>
    <x v="721"/>
    <s v="Mr"/>
    <s v="M"/>
    <n v="30"/>
    <s v="Laurel Villas"/>
    <x v="341"/>
    <x v="21"/>
    <d v="2022-01-20T00:00:00"/>
    <x v="0"/>
    <x v="6"/>
    <n v="7"/>
    <x v="7"/>
    <x v="7"/>
    <n v="140"/>
    <x v="518"/>
  </r>
  <r>
    <n v="2674"/>
    <x v="280"/>
    <x v="444"/>
    <s v="Mr"/>
    <s v="M"/>
    <n v="30"/>
    <s v="Lauriston Road"/>
    <x v="308"/>
    <x v="2"/>
    <d v="2022-10-02T00:00:00"/>
    <x v="0"/>
    <x v="1"/>
    <n v="29"/>
    <x v="5"/>
    <x v="5"/>
    <n v="696"/>
    <x v="748"/>
  </r>
  <r>
    <n v="2675"/>
    <x v="1869"/>
    <x v="1468"/>
    <s v="Mr"/>
    <s v="M"/>
    <n v="30"/>
    <s v="Lausanne Terrace"/>
    <x v="420"/>
    <x v="2"/>
    <d v="2022-11-30T00:00:00"/>
    <x v="0"/>
    <x v="7"/>
    <n v="30"/>
    <x v="9"/>
    <x v="9"/>
    <n v="720"/>
    <x v="886"/>
  </r>
  <r>
    <n v="2676"/>
    <x v="1870"/>
    <x v="1172"/>
    <s v="Mr"/>
    <s v="M"/>
    <n v="90"/>
    <s v="Lausanne Villas"/>
    <x v="718"/>
    <x v="76"/>
    <d v="2022-06-21T00:00:00"/>
    <x v="0"/>
    <x v="2"/>
    <n v="80"/>
    <x v="7"/>
    <x v="7"/>
    <n v="1600"/>
    <x v="690"/>
  </r>
  <r>
    <n v="2677"/>
    <x v="1460"/>
    <x v="1207"/>
    <s v="Ms"/>
    <s v="F"/>
    <n v="90"/>
    <s v="Lavell Street"/>
    <x v="629"/>
    <x v="1"/>
    <d v="2021-10-31T00:00:00"/>
    <x v="1"/>
    <x v="1"/>
    <n v="68"/>
    <x v="9"/>
    <x v="9"/>
    <n v="1632"/>
    <x v="496"/>
  </r>
  <r>
    <n v="2678"/>
    <x v="1829"/>
    <x v="822"/>
    <s v="Mr"/>
    <s v="M"/>
    <n v="90"/>
    <s v="Lavender Gardens"/>
    <x v="770"/>
    <x v="81"/>
    <d v="2022-10-08T00:00:00"/>
    <x v="0"/>
    <x v="1"/>
    <n v="40"/>
    <x v="4"/>
    <x v="4"/>
    <n v="720"/>
    <x v="939"/>
  </r>
  <r>
    <n v="2679"/>
    <x v="1871"/>
    <x v="1157"/>
    <s v="Mrs"/>
    <s v="F"/>
    <n v="60"/>
    <s v="Lavender Sweep"/>
    <x v="1134"/>
    <x v="12"/>
    <d v="2022-12-26T00:00:00"/>
    <x v="0"/>
    <x v="8"/>
    <n v="71"/>
    <x v="3"/>
    <x v="3"/>
    <n v="1704"/>
    <x v="335"/>
  </r>
  <r>
    <n v="2680"/>
    <x v="552"/>
    <x v="875"/>
    <s v="Mr"/>
    <s v="M"/>
    <n v="60"/>
    <s v="Lavengro Road"/>
    <x v="348"/>
    <x v="16"/>
    <d v="2022-11-07T00:00:00"/>
    <x v="0"/>
    <x v="7"/>
    <n v="40"/>
    <x v="1"/>
    <x v="1"/>
    <n v="960"/>
    <x v="548"/>
  </r>
  <r>
    <n v="2681"/>
    <x v="386"/>
    <x v="1469"/>
    <s v="Mr"/>
    <s v="M"/>
    <n v="60"/>
    <s v="Lavers Road"/>
    <x v="40"/>
    <x v="2"/>
    <d v="2021-10-07T00:00:00"/>
    <x v="1"/>
    <x v="1"/>
    <n v="25"/>
    <x v="5"/>
    <x v="5"/>
    <n v="600"/>
    <x v="724"/>
  </r>
  <r>
    <n v="2682"/>
    <x v="708"/>
    <x v="1166"/>
    <s v="Mr"/>
    <s v="M"/>
    <n v="30"/>
    <s v="Laverton Mews"/>
    <x v="887"/>
    <x v="2"/>
    <d v="2020-04-06T00:00:00"/>
    <x v="2"/>
    <x v="4"/>
    <n v="49"/>
    <x v="1"/>
    <x v="1"/>
    <n v="1176"/>
    <x v="558"/>
  </r>
  <r>
    <n v="2683"/>
    <x v="1872"/>
    <x v="1283"/>
    <s v="Mrs"/>
    <s v="F"/>
    <n v="30"/>
    <s v="Lavington Road"/>
    <x v="737"/>
    <x v="17"/>
    <d v="2021-12-22T00:00:00"/>
    <x v="1"/>
    <x v="8"/>
    <n v="84"/>
    <x v="2"/>
    <x v="2"/>
    <n v="1428"/>
    <x v="599"/>
  </r>
  <r>
    <n v="2684"/>
    <x v="1873"/>
    <x v="169"/>
    <s v="Mrs"/>
    <s v="F"/>
    <n v="90"/>
    <s v="Lawford Road"/>
    <x v="196"/>
    <x v="35"/>
    <d v="2022-11-24T00:00:00"/>
    <x v="0"/>
    <x v="7"/>
    <n v="99"/>
    <x v="7"/>
    <x v="7"/>
    <n v="1980"/>
    <x v="856"/>
  </r>
  <r>
    <n v="2685"/>
    <x v="1874"/>
    <x v="52"/>
    <s v="Mrs"/>
    <s v="F"/>
    <n v="60"/>
    <s v="Lawn"/>
    <x v="1152"/>
    <x v="3"/>
    <d v="2022-04-09T00:00:00"/>
    <x v="0"/>
    <x v="4"/>
    <n v="9"/>
    <x v="1"/>
    <x v="1"/>
    <n v="216"/>
    <x v="67"/>
  </r>
  <r>
    <n v="2686"/>
    <x v="53"/>
    <x v="1111"/>
    <s v="Mrs"/>
    <s v="F"/>
    <n v="60"/>
    <s v="Lawn"/>
    <x v="967"/>
    <x v="2"/>
    <d v="2022-02-12T00:00:00"/>
    <x v="0"/>
    <x v="10"/>
    <n v="32"/>
    <x v="0"/>
    <x v="0"/>
    <n v="640"/>
    <x v="315"/>
  </r>
  <r>
    <n v="2687"/>
    <x v="1875"/>
    <x v="949"/>
    <s v="Ms"/>
    <s v="F"/>
    <n v="60"/>
    <s v="Lawn House"/>
    <x v="1034"/>
    <x v="35"/>
    <d v="2021-10-09T00:00:00"/>
    <x v="1"/>
    <x v="1"/>
    <n v="25"/>
    <x v="5"/>
    <x v="5"/>
    <n v="600"/>
    <x v="724"/>
  </r>
  <r>
    <n v="2688"/>
    <x v="1579"/>
    <x v="142"/>
    <s v="Mr"/>
    <s v="M"/>
    <n v="30"/>
    <s v="Lawrence Campe"/>
    <x v="259"/>
    <x v="2"/>
    <d v="2022-05-05T00:00:00"/>
    <x v="0"/>
    <x v="11"/>
    <n v="11"/>
    <x v="9"/>
    <x v="9"/>
    <n v="264"/>
    <x v="376"/>
  </r>
  <r>
    <n v="2689"/>
    <x v="1876"/>
    <x v="1006"/>
    <s v="Miss"/>
    <s v="F"/>
    <n v="90"/>
    <s v="Lawrie Grove"/>
    <x v="130"/>
    <x v="2"/>
    <d v="2021-02-16T00:00:00"/>
    <x v="1"/>
    <x v="10"/>
    <n v="93"/>
    <x v="4"/>
    <x v="4"/>
    <n v="1674"/>
    <x v="537"/>
  </r>
  <r>
    <n v="2690"/>
    <x v="1877"/>
    <x v="1470"/>
    <s v="Ms"/>
    <s v="F"/>
    <n v="90"/>
    <s v="Lea Valley"/>
    <x v="330"/>
    <x v="21"/>
    <d v="2021-04-21T00:00:00"/>
    <x v="1"/>
    <x v="4"/>
    <n v="87"/>
    <x v="0"/>
    <x v="0"/>
    <n v="1740"/>
    <x v="184"/>
  </r>
  <r>
    <n v="2691"/>
    <x v="1661"/>
    <x v="34"/>
    <s v="Mr"/>
    <s v="M"/>
    <n v="30"/>
    <s v="Lea Villas"/>
    <x v="513"/>
    <x v="16"/>
    <d v="2021-04-12T00:00:00"/>
    <x v="1"/>
    <x v="4"/>
    <n v="50"/>
    <x v="9"/>
    <x v="9"/>
    <n v="1200"/>
    <x v="84"/>
  </r>
  <r>
    <n v="2692"/>
    <x v="49"/>
    <x v="1229"/>
    <s v="Mr"/>
    <s v="M"/>
    <n v="90"/>
    <s v="Lea Works"/>
    <x v="1012"/>
    <x v="16"/>
    <d v="2020-01-13T00:00:00"/>
    <x v="2"/>
    <x v="6"/>
    <n v="81"/>
    <x v="9"/>
    <x v="9"/>
    <n v="1944"/>
    <x v="836"/>
  </r>
  <r>
    <n v="2693"/>
    <x v="366"/>
    <x v="1164"/>
    <s v="Mrs"/>
    <s v="F"/>
    <n v="60"/>
    <s v="Leabank Square"/>
    <x v="860"/>
    <x v="16"/>
    <d v="2022-01-19T00:00:00"/>
    <x v="0"/>
    <x v="6"/>
    <n v="65"/>
    <x v="1"/>
    <x v="1"/>
    <n v="1560"/>
    <x v="455"/>
  </r>
  <r>
    <n v="2694"/>
    <x v="1462"/>
    <x v="878"/>
    <s v="Mr"/>
    <s v="M"/>
    <n v="60"/>
    <s v="Leadenhall Street"/>
    <x v="828"/>
    <x v="15"/>
    <d v="2022-02-27T00:00:00"/>
    <x v="0"/>
    <x v="10"/>
    <n v="48"/>
    <x v="4"/>
    <x v="4"/>
    <n v="864"/>
    <x v="247"/>
  </r>
  <r>
    <n v="2695"/>
    <x v="643"/>
    <x v="715"/>
    <s v="Dr"/>
    <s v="M"/>
    <n v="90"/>
    <s v="Leading Street"/>
    <x v="576"/>
    <x v="17"/>
    <d v="2020-03-31T00:00:00"/>
    <x v="2"/>
    <x v="5"/>
    <n v="75"/>
    <x v="8"/>
    <x v="8"/>
    <n v="1500"/>
    <x v="133"/>
  </r>
  <r>
    <n v="2696"/>
    <x v="1878"/>
    <x v="1209"/>
    <s v="Miss"/>
    <s v="F"/>
    <n v="90"/>
    <s v="Leading Street"/>
    <x v="786"/>
    <x v="2"/>
    <d v="2022-05-16T00:00:00"/>
    <x v="0"/>
    <x v="11"/>
    <n v="2"/>
    <x v="6"/>
    <x v="6"/>
    <n v="48"/>
    <x v="728"/>
  </r>
  <r>
    <n v="2697"/>
    <x v="484"/>
    <x v="1471"/>
    <s v="Mr"/>
    <s v="M"/>
    <n v="30"/>
    <s v="Lealand Road"/>
    <x v="422"/>
    <x v="66"/>
    <d v="2020-04-23T00:00:00"/>
    <x v="2"/>
    <x v="4"/>
    <n v="36"/>
    <x v="1"/>
    <x v="1"/>
    <n v="864"/>
    <x v="940"/>
  </r>
  <r>
    <n v="2698"/>
    <x v="1879"/>
    <x v="517"/>
    <s v="Mrs"/>
    <s v="F"/>
    <n v="90"/>
    <s v="Leamington Villas"/>
    <x v="176"/>
    <x v="16"/>
    <d v="2021-09-05T00:00:00"/>
    <x v="1"/>
    <x v="9"/>
    <n v="94"/>
    <x v="2"/>
    <x v="2"/>
    <n v="1598"/>
    <x v="741"/>
  </r>
  <r>
    <n v="2699"/>
    <x v="1168"/>
    <x v="1139"/>
    <s v="Mr"/>
    <s v="M"/>
    <n v="90"/>
    <s v="Lebanon Terrace"/>
    <x v="416"/>
    <x v="65"/>
    <d v="2020-05-21T00:00:00"/>
    <x v="2"/>
    <x v="11"/>
    <n v="54"/>
    <x v="6"/>
    <x v="6"/>
    <n v="1296"/>
    <x v="144"/>
  </r>
  <r>
    <n v="2700"/>
    <x v="1880"/>
    <x v="1472"/>
    <s v="Mrs"/>
    <s v="F"/>
    <n v="90"/>
    <s v="Leda Road"/>
    <x v="284"/>
    <x v="4"/>
    <d v="2020-10-28T00:00:00"/>
    <x v="2"/>
    <x v="1"/>
    <n v="83"/>
    <x v="5"/>
    <x v="5"/>
    <n v="1992"/>
    <x v="686"/>
  </r>
  <r>
    <n v="2701"/>
    <x v="1881"/>
    <x v="583"/>
    <s v="Mrs"/>
    <s v="F"/>
    <n v="90"/>
    <s v="Ledrington Road"/>
    <x v="871"/>
    <x v="44"/>
    <d v="2021-08-19T00:00:00"/>
    <x v="1"/>
    <x v="3"/>
    <n v="85"/>
    <x v="9"/>
    <x v="9"/>
    <n v="2040"/>
    <x v="222"/>
  </r>
  <r>
    <n v="2702"/>
    <x v="1882"/>
    <x v="601"/>
    <s v="Miss"/>
    <s v="F"/>
    <n v="30"/>
    <s v="Lee Place"/>
    <x v="521"/>
    <x v="52"/>
    <d v="2020-03-20T00:00:00"/>
    <x v="2"/>
    <x v="5"/>
    <n v="50"/>
    <x v="7"/>
    <x v="7"/>
    <n v="1000"/>
    <x v="364"/>
  </r>
  <r>
    <n v="2703"/>
    <x v="1883"/>
    <x v="1473"/>
    <s v="Mrs"/>
    <s v="F"/>
    <n v="60"/>
    <s v="Lee Place"/>
    <x v="141"/>
    <x v="2"/>
    <d v="2020-09-30T00:00:00"/>
    <x v="2"/>
    <x v="9"/>
    <n v="62"/>
    <x v="1"/>
    <x v="1"/>
    <n v="1488"/>
    <x v="467"/>
  </r>
  <r>
    <n v="2704"/>
    <x v="769"/>
    <x v="1474"/>
    <s v="Miss"/>
    <s v="F"/>
    <n v="30"/>
    <s v="Lee Road"/>
    <x v="323"/>
    <x v="53"/>
    <d v="2020-08-20T00:00:00"/>
    <x v="2"/>
    <x v="3"/>
    <n v="60"/>
    <x v="6"/>
    <x v="6"/>
    <n v="1440"/>
    <x v="279"/>
  </r>
  <r>
    <n v="2705"/>
    <x v="1884"/>
    <x v="1167"/>
    <s v="Mr"/>
    <s v="M"/>
    <n v="30"/>
    <s v="Leeland Terrace"/>
    <x v="677"/>
    <x v="2"/>
    <d v="2021-03-16T00:00:00"/>
    <x v="1"/>
    <x v="5"/>
    <n v="93"/>
    <x v="7"/>
    <x v="7"/>
    <n v="1860"/>
    <x v="757"/>
  </r>
  <r>
    <n v="2706"/>
    <x v="487"/>
    <x v="1475"/>
    <s v="Mr"/>
    <s v="M"/>
    <n v="90"/>
    <s v="Leerdam Drive"/>
    <x v="984"/>
    <x v="21"/>
    <d v="2022-07-22T00:00:00"/>
    <x v="0"/>
    <x v="0"/>
    <n v="67"/>
    <x v="3"/>
    <x v="3"/>
    <n v="1608"/>
    <x v="457"/>
  </r>
  <r>
    <n v="2707"/>
    <x v="1885"/>
    <x v="1266"/>
    <s v="Mr"/>
    <s v="M"/>
    <n v="30"/>
    <s v="Lees Mews"/>
    <x v="1019"/>
    <x v="17"/>
    <d v="2021-09-23T00:00:00"/>
    <x v="1"/>
    <x v="9"/>
    <n v="60"/>
    <x v="6"/>
    <x v="6"/>
    <n v="1440"/>
    <x v="279"/>
  </r>
  <r>
    <n v="2708"/>
    <x v="731"/>
    <x v="906"/>
    <s v="Mr"/>
    <s v="M"/>
    <n v="30"/>
    <s v="Leeside Road"/>
    <x v="789"/>
    <x v="2"/>
    <d v="2020-09-09T00:00:00"/>
    <x v="2"/>
    <x v="9"/>
    <n v="80"/>
    <x v="4"/>
    <x v="4"/>
    <n v="1440"/>
    <x v="75"/>
  </r>
  <r>
    <n v="2709"/>
    <x v="1886"/>
    <x v="219"/>
    <s v="Mrs"/>
    <s v="F"/>
    <n v="30"/>
    <s v="Leeward Gardens"/>
    <x v="72"/>
    <x v="16"/>
    <d v="2022-01-18T00:00:00"/>
    <x v="0"/>
    <x v="6"/>
    <n v="30"/>
    <x v="3"/>
    <x v="3"/>
    <n v="720"/>
    <x v="794"/>
  </r>
  <r>
    <n v="2710"/>
    <x v="1887"/>
    <x v="1386"/>
    <s v="Mr"/>
    <s v="M"/>
    <n v="30"/>
    <s v="Leeway"/>
    <x v="774"/>
    <x v="21"/>
    <d v="2021-11-28T00:00:00"/>
    <x v="1"/>
    <x v="7"/>
    <n v="29"/>
    <x v="9"/>
    <x v="9"/>
    <n v="696"/>
    <x v="709"/>
  </r>
  <r>
    <n v="2711"/>
    <x v="1888"/>
    <x v="936"/>
    <s v="Ms"/>
    <s v="F"/>
    <n v="90"/>
    <s v="Legge Street"/>
    <x v="625"/>
    <x v="2"/>
    <d v="2021-08-06T00:00:00"/>
    <x v="1"/>
    <x v="3"/>
    <n v="56"/>
    <x v="0"/>
    <x v="0"/>
    <n v="1120"/>
    <x v="428"/>
  </r>
  <r>
    <n v="2712"/>
    <x v="1889"/>
    <x v="523"/>
    <s v="Mr"/>
    <s v="M"/>
    <n v="30"/>
    <s v="Legion Way"/>
    <x v="614"/>
    <x v="0"/>
    <d v="2020-08-18T00:00:00"/>
    <x v="2"/>
    <x v="3"/>
    <n v="14"/>
    <x v="7"/>
    <x v="7"/>
    <n v="280"/>
    <x v="72"/>
  </r>
  <r>
    <n v="2713"/>
    <x v="1890"/>
    <x v="21"/>
    <s v="Miss"/>
    <s v="F"/>
    <n v="90"/>
    <s v="Leigham Court"/>
    <x v="717"/>
    <x v="2"/>
    <d v="2021-08-23T00:00:00"/>
    <x v="1"/>
    <x v="3"/>
    <n v="33"/>
    <x v="3"/>
    <x v="3"/>
    <n v="792"/>
    <x v="442"/>
  </r>
  <r>
    <n v="2714"/>
    <x v="1891"/>
    <x v="1125"/>
    <s v="Miss"/>
    <s v="F"/>
    <n v="90"/>
    <s v="Leigham Lane"/>
    <x v="421"/>
    <x v="0"/>
    <d v="2021-10-09T00:00:00"/>
    <x v="1"/>
    <x v="1"/>
    <n v="26"/>
    <x v="5"/>
    <x v="5"/>
    <n v="624"/>
    <x v="559"/>
  </r>
  <r>
    <n v="2715"/>
    <x v="1832"/>
    <x v="1476"/>
    <s v="Mr"/>
    <s v="M"/>
    <n v="90"/>
    <s v="Leigham Lane"/>
    <x v="274"/>
    <x v="1"/>
    <d v="2021-04-12T00:00:00"/>
    <x v="1"/>
    <x v="4"/>
    <n v="31"/>
    <x v="0"/>
    <x v="0"/>
    <n v="620"/>
    <x v="641"/>
  </r>
  <r>
    <n v="2716"/>
    <x v="569"/>
    <x v="1314"/>
    <s v="Mr"/>
    <s v="M"/>
    <n v="90"/>
    <s v="Leith Close"/>
    <x v="644"/>
    <x v="2"/>
    <d v="2022-07-20T00:00:00"/>
    <x v="0"/>
    <x v="0"/>
    <n v="97"/>
    <x v="8"/>
    <x v="8"/>
    <n v="1940"/>
    <x v="941"/>
  </r>
  <r>
    <n v="2717"/>
    <x v="1478"/>
    <x v="1477"/>
    <s v="Ms"/>
    <s v="F"/>
    <n v="60"/>
    <s v="Lemon Valley"/>
    <x v="387"/>
    <x v="11"/>
    <d v="2020-11-20T00:00:00"/>
    <x v="2"/>
    <x v="7"/>
    <n v="79"/>
    <x v="4"/>
    <x v="4"/>
    <n v="1422"/>
    <x v="5"/>
  </r>
  <r>
    <n v="2718"/>
    <x v="1892"/>
    <x v="1478"/>
    <s v="Miss"/>
    <s v="F"/>
    <n v="90"/>
    <s v="Lemon Valley"/>
    <x v="1153"/>
    <x v="2"/>
    <d v="2021-03-25T00:00:00"/>
    <x v="1"/>
    <x v="5"/>
    <n v="63"/>
    <x v="8"/>
    <x v="8"/>
    <n v="1260"/>
    <x v="435"/>
  </r>
  <r>
    <n v="2719"/>
    <x v="417"/>
    <x v="1279"/>
    <s v="Miss"/>
    <s v="F"/>
    <n v="90"/>
    <s v="Lendal Terrace"/>
    <x v="849"/>
    <x v="17"/>
    <d v="2022-08-29T00:00:00"/>
    <x v="0"/>
    <x v="3"/>
    <n v="48"/>
    <x v="3"/>
    <x v="3"/>
    <n v="1152"/>
    <x v="780"/>
  </r>
  <r>
    <n v="2720"/>
    <x v="1403"/>
    <x v="1479"/>
    <s v="Mr"/>
    <s v="M"/>
    <n v="90"/>
    <s v="Lenthorp Road"/>
    <x v="1154"/>
    <x v="18"/>
    <d v="2020-11-18T00:00:00"/>
    <x v="2"/>
    <x v="7"/>
    <n v="59"/>
    <x v="4"/>
    <x v="4"/>
    <n v="1062"/>
    <x v="750"/>
  </r>
  <r>
    <n v="2721"/>
    <x v="1584"/>
    <x v="578"/>
    <s v="Mr"/>
    <s v="M"/>
    <n v="30"/>
    <s v="Leo Street"/>
    <x v="302"/>
    <x v="21"/>
    <d v="2022-07-27T00:00:00"/>
    <x v="0"/>
    <x v="0"/>
    <n v="44"/>
    <x v="8"/>
    <x v="8"/>
    <n v="880"/>
    <x v="327"/>
  </r>
  <r>
    <n v="2722"/>
    <x v="1893"/>
    <x v="445"/>
    <s v="Mr"/>
    <s v="M"/>
    <n v="60"/>
    <s v="Leopold Street"/>
    <x v="1155"/>
    <x v="1"/>
    <d v="2020-07-28T00:00:00"/>
    <x v="2"/>
    <x v="0"/>
    <n v="78"/>
    <x v="8"/>
    <x v="8"/>
    <n v="1560"/>
    <x v="903"/>
  </r>
  <r>
    <n v="2723"/>
    <x v="1894"/>
    <x v="1383"/>
    <s v="Mr"/>
    <s v="M"/>
    <n v="30"/>
    <s v="Leroy Street"/>
    <x v="566"/>
    <x v="21"/>
    <d v="2021-03-04T00:00:00"/>
    <x v="1"/>
    <x v="5"/>
    <n v="49"/>
    <x v="7"/>
    <x v="7"/>
    <n v="980"/>
    <x v="896"/>
  </r>
  <r>
    <n v="2724"/>
    <x v="1895"/>
    <x v="1194"/>
    <s v="Miss"/>
    <s v="F"/>
    <n v="60"/>
    <s v="Leroy Street"/>
    <x v="744"/>
    <x v="2"/>
    <d v="2021-03-17T00:00:00"/>
    <x v="1"/>
    <x v="5"/>
    <n v="15"/>
    <x v="1"/>
    <x v="1"/>
    <n v="360"/>
    <x v="474"/>
  </r>
  <r>
    <n v="2725"/>
    <x v="513"/>
    <x v="61"/>
    <s v="Mr"/>
    <s v="M"/>
    <n v="90"/>
    <s v="Lessada Street"/>
    <x v="650"/>
    <x v="2"/>
    <d v="2022-03-19T00:00:00"/>
    <x v="0"/>
    <x v="5"/>
    <n v="74"/>
    <x v="5"/>
    <x v="5"/>
    <n v="1776"/>
    <x v="122"/>
  </r>
  <r>
    <n v="2726"/>
    <x v="853"/>
    <x v="1360"/>
    <s v="Mrs"/>
    <s v="F"/>
    <n v="60"/>
    <s v="Leswin Place"/>
    <x v="741"/>
    <x v="2"/>
    <d v="2022-04-06T00:00:00"/>
    <x v="0"/>
    <x v="4"/>
    <n v="93"/>
    <x v="3"/>
    <x v="3"/>
    <n v="2232"/>
    <x v="717"/>
  </r>
  <r>
    <n v="2727"/>
    <x v="1776"/>
    <x v="1480"/>
    <s v="Mr"/>
    <s v="M"/>
    <n v="30"/>
    <s v="Lettison Street"/>
    <x v="18"/>
    <x v="11"/>
    <d v="2020-02-14T00:00:00"/>
    <x v="2"/>
    <x v="10"/>
    <n v="9"/>
    <x v="6"/>
    <x v="6"/>
    <n v="216"/>
    <x v="171"/>
  </r>
  <r>
    <n v="2728"/>
    <x v="1644"/>
    <x v="1481"/>
    <s v="Mr"/>
    <s v="M"/>
    <n v="90"/>
    <s v="Lever Street"/>
    <x v="167"/>
    <x v="11"/>
    <d v="2022-06-22T00:00:00"/>
    <x v="0"/>
    <x v="2"/>
    <n v="22"/>
    <x v="1"/>
    <x v="1"/>
    <n v="528"/>
    <x v="533"/>
  </r>
  <r>
    <n v="2729"/>
    <x v="1896"/>
    <x v="1076"/>
    <s v="Mrs"/>
    <s v="F"/>
    <n v="30"/>
    <s v="Leverson Street"/>
    <x v="1156"/>
    <x v="2"/>
    <d v="2021-06-04T00:00:00"/>
    <x v="1"/>
    <x v="2"/>
    <n v="27"/>
    <x v="8"/>
    <x v="8"/>
    <n v="540"/>
    <x v="302"/>
  </r>
  <r>
    <n v="2730"/>
    <x v="1275"/>
    <x v="1231"/>
    <s v="Miss"/>
    <s v="F"/>
    <n v="60"/>
    <s v="Lewes Road"/>
    <x v="345"/>
    <x v="2"/>
    <d v="2021-03-11T00:00:00"/>
    <x v="1"/>
    <x v="5"/>
    <n v="71"/>
    <x v="7"/>
    <x v="7"/>
    <n v="1420"/>
    <x v="131"/>
  </r>
  <r>
    <n v="2731"/>
    <x v="1897"/>
    <x v="560"/>
    <s v="Mrs"/>
    <s v="F"/>
    <n v="60"/>
    <s v="Lewis Close"/>
    <x v="1157"/>
    <x v="16"/>
    <d v="2021-03-31T00:00:00"/>
    <x v="1"/>
    <x v="5"/>
    <n v="5"/>
    <x v="4"/>
    <x v="4"/>
    <n v="90"/>
    <x v="10"/>
  </r>
  <r>
    <n v="2732"/>
    <x v="1563"/>
    <x v="224"/>
    <s v="Mr"/>
    <s v="M"/>
    <n v="30"/>
    <s v="Lewis Street"/>
    <x v="948"/>
    <x v="2"/>
    <d v="2021-09-08T00:00:00"/>
    <x v="1"/>
    <x v="9"/>
    <n v="90"/>
    <x v="8"/>
    <x v="8"/>
    <n v="1800"/>
    <x v="913"/>
  </r>
  <r>
    <n v="2733"/>
    <x v="869"/>
    <x v="1252"/>
    <s v="Mr"/>
    <s v="M"/>
    <n v="30"/>
    <s v="Lewisham Hill"/>
    <x v="1158"/>
    <x v="15"/>
    <d v="2021-12-12T00:00:00"/>
    <x v="1"/>
    <x v="8"/>
    <n v="77"/>
    <x v="7"/>
    <x v="7"/>
    <n v="1540"/>
    <x v="9"/>
  </r>
  <r>
    <n v="2734"/>
    <x v="521"/>
    <x v="57"/>
    <s v="Mr"/>
    <s v="M"/>
    <n v="60"/>
    <s v="Lewisham Union"/>
    <x v="952"/>
    <x v="11"/>
    <d v="2022-09-06T00:00:00"/>
    <x v="0"/>
    <x v="9"/>
    <n v="49"/>
    <x v="4"/>
    <x v="4"/>
    <n v="882"/>
    <x v="680"/>
  </r>
  <r>
    <n v="2735"/>
    <x v="1898"/>
    <x v="65"/>
    <s v="Mr"/>
    <s v="M"/>
    <n v="60"/>
    <s v="Leyburn Close"/>
    <x v="1159"/>
    <x v="21"/>
    <d v="2022-10-27T00:00:00"/>
    <x v="0"/>
    <x v="1"/>
    <n v="61"/>
    <x v="6"/>
    <x v="6"/>
    <n v="1464"/>
    <x v="942"/>
  </r>
  <r>
    <n v="2736"/>
    <x v="259"/>
    <x v="1482"/>
    <s v="Mr"/>
    <s v="M"/>
    <n v="60"/>
    <s v="Leyel Terrace"/>
    <x v="146"/>
    <x v="2"/>
    <d v="2021-07-01T00:00:00"/>
    <x v="1"/>
    <x v="0"/>
    <n v="36"/>
    <x v="5"/>
    <x v="5"/>
    <n v="864"/>
    <x v="236"/>
  </r>
  <r>
    <n v="2737"/>
    <x v="1899"/>
    <x v="1483"/>
    <s v="Mr"/>
    <s v="M"/>
    <n v="60"/>
    <s v="Leylang Road"/>
    <x v="614"/>
    <x v="0"/>
    <d v="2022-05-07T00:00:00"/>
    <x v="0"/>
    <x v="11"/>
    <n v="89"/>
    <x v="4"/>
    <x v="4"/>
    <n v="1602"/>
    <x v="923"/>
  </r>
  <r>
    <n v="2738"/>
    <x v="1900"/>
    <x v="1416"/>
    <s v="Mr"/>
    <s v="M"/>
    <n v="60"/>
    <s v="Leysfield Road"/>
    <x v="800"/>
    <x v="11"/>
    <d v="2020-10-08T00:00:00"/>
    <x v="2"/>
    <x v="1"/>
    <n v="66"/>
    <x v="4"/>
    <x v="4"/>
    <n v="1188"/>
    <x v="15"/>
  </r>
  <r>
    <n v="2739"/>
    <x v="1901"/>
    <x v="529"/>
    <s v="Miss"/>
    <s v="F"/>
    <n v="90"/>
    <s v="Leyton Industrial"/>
    <x v="1016"/>
    <x v="11"/>
    <d v="2020-11-01T00:00:00"/>
    <x v="2"/>
    <x v="7"/>
    <n v="58"/>
    <x v="1"/>
    <x v="1"/>
    <n v="1392"/>
    <x v="280"/>
  </r>
  <r>
    <n v="2740"/>
    <x v="1859"/>
    <x v="1030"/>
    <s v="Mrs"/>
    <s v="F"/>
    <n v="90"/>
    <s v="Libella Road"/>
    <x v="1160"/>
    <x v="64"/>
    <d v="2022-02-20T00:00:00"/>
    <x v="0"/>
    <x v="10"/>
    <n v="90"/>
    <x v="3"/>
    <x v="3"/>
    <n v="2160"/>
    <x v="714"/>
  </r>
  <r>
    <n v="2741"/>
    <x v="1902"/>
    <x v="1484"/>
    <s v="Mr"/>
    <s v="M"/>
    <n v="90"/>
    <s v="Liddon Road"/>
    <x v="1128"/>
    <x v="18"/>
    <d v="2021-12-10T00:00:00"/>
    <x v="1"/>
    <x v="8"/>
    <n v="10"/>
    <x v="0"/>
    <x v="0"/>
    <n v="200"/>
    <x v="753"/>
  </r>
  <r>
    <n v="2742"/>
    <x v="1594"/>
    <x v="1485"/>
    <s v="Mr"/>
    <s v="M"/>
    <n v="60"/>
    <s v="Lidgate Road"/>
    <x v="315"/>
    <x v="50"/>
    <d v="2020-12-24T00:00:00"/>
    <x v="2"/>
    <x v="8"/>
    <n v="67"/>
    <x v="7"/>
    <x v="7"/>
    <n v="1340"/>
    <x v="659"/>
  </r>
  <r>
    <n v="2743"/>
    <x v="1903"/>
    <x v="210"/>
    <s v="Dr"/>
    <s v="F"/>
    <n v="60"/>
    <s v="Lidiard Road"/>
    <x v="633"/>
    <x v="2"/>
    <d v="2021-04-15T00:00:00"/>
    <x v="1"/>
    <x v="4"/>
    <n v="85"/>
    <x v="4"/>
    <x v="4"/>
    <n v="1530"/>
    <x v="16"/>
  </r>
  <r>
    <n v="2744"/>
    <x v="631"/>
    <x v="599"/>
    <s v="Mr"/>
    <s v="M"/>
    <n v="90"/>
    <s v="Lidyard Road"/>
    <x v="1161"/>
    <x v="2"/>
    <d v="2020-03-05T00:00:00"/>
    <x v="2"/>
    <x v="5"/>
    <n v="32"/>
    <x v="5"/>
    <x v="5"/>
    <n v="768"/>
    <x v="943"/>
  </r>
  <r>
    <n v="2745"/>
    <x v="791"/>
    <x v="583"/>
    <s v="Miss"/>
    <s v="F"/>
    <n v="90"/>
    <s v="Lilburne Road"/>
    <x v="282"/>
    <x v="2"/>
    <d v="2022-08-25T00:00:00"/>
    <x v="0"/>
    <x v="3"/>
    <n v="51"/>
    <x v="3"/>
    <x v="3"/>
    <n v="1224"/>
    <x v="237"/>
  </r>
  <r>
    <n v="2746"/>
    <x v="1904"/>
    <x v="752"/>
    <s v="Mrs"/>
    <s v="F"/>
    <n v="60"/>
    <s v="Lilian Barker"/>
    <x v="204"/>
    <x v="2"/>
    <d v="2020-06-24T00:00:00"/>
    <x v="2"/>
    <x v="2"/>
    <n v="68"/>
    <x v="2"/>
    <x v="2"/>
    <n v="1156"/>
    <x v="21"/>
  </r>
  <r>
    <n v="2747"/>
    <x v="1905"/>
    <x v="1127"/>
    <s v="Miss"/>
    <s v="F"/>
    <n v="60"/>
    <s v="Lillian Road"/>
    <x v="758"/>
    <x v="2"/>
    <d v="2021-02-21T00:00:00"/>
    <x v="1"/>
    <x v="10"/>
    <n v="59"/>
    <x v="8"/>
    <x v="8"/>
    <n v="1180"/>
    <x v="873"/>
  </r>
  <r>
    <n v="2748"/>
    <x v="1654"/>
    <x v="852"/>
    <s v="Mrs"/>
    <s v="F"/>
    <n v="30"/>
    <s v="Lily Road"/>
    <x v="1162"/>
    <x v="8"/>
    <d v="2021-12-06T00:00:00"/>
    <x v="1"/>
    <x v="8"/>
    <n v="37"/>
    <x v="6"/>
    <x v="6"/>
    <n v="888"/>
    <x v="292"/>
  </r>
  <r>
    <n v="2749"/>
    <x v="826"/>
    <x v="373"/>
    <s v="Mr"/>
    <s v="M"/>
    <n v="90"/>
    <s v="Lily Road"/>
    <x v="162"/>
    <x v="20"/>
    <d v="2020-06-14T00:00:00"/>
    <x v="2"/>
    <x v="2"/>
    <n v="46"/>
    <x v="5"/>
    <x v="5"/>
    <n v="1104"/>
    <x v="463"/>
  </r>
  <r>
    <n v="2750"/>
    <x v="1287"/>
    <x v="1136"/>
    <s v="Mrs"/>
    <s v="F"/>
    <n v="30"/>
    <s v="Limeharbour"/>
    <x v="969"/>
    <x v="2"/>
    <d v="2022-02-08T00:00:00"/>
    <x v="0"/>
    <x v="10"/>
    <n v="92"/>
    <x v="6"/>
    <x v="6"/>
    <n v="2208"/>
    <x v="944"/>
  </r>
  <r>
    <n v="2751"/>
    <x v="1906"/>
    <x v="576"/>
    <s v="Mrs"/>
    <s v="F"/>
    <n v="30"/>
    <s v="Lincoln Mews"/>
    <x v="276"/>
    <x v="3"/>
    <d v="2020-09-18T00:00:00"/>
    <x v="2"/>
    <x v="9"/>
    <n v="25"/>
    <x v="1"/>
    <x v="1"/>
    <n v="600"/>
    <x v="437"/>
  </r>
  <r>
    <n v="2752"/>
    <x v="507"/>
    <x v="720"/>
    <s v="Miss"/>
    <s v="F"/>
    <n v="60"/>
    <s v="Lincoln Mews"/>
    <x v="66"/>
    <x v="2"/>
    <d v="2022-08-12T00:00:00"/>
    <x v="0"/>
    <x v="3"/>
    <n v="27"/>
    <x v="6"/>
    <x v="6"/>
    <n v="648"/>
    <x v="806"/>
  </r>
  <r>
    <n v="2753"/>
    <x v="1357"/>
    <x v="1486"/>
    <s v="Mr"/>
    <s v="M"/>
    <n v="60"/>
    <s v="Lincoln Villas"/>
    <x v="286"/>
    <x v="8"/>
    <d v="2022-12-16T00:00:00"/>
    <x v="0"/>
    <x v="8"/>
    <n v="77"/>
    <x v="6"/>
    <x v="6"/>
    <n v="1848"/>
    <x v="735"/>
  </r>
  <r>
    <n v="2754"/>
    <x v="1907"/>
    <x v="1478"/>
    <s v="Mr"/>
    <s v="M"/>
    <n v="90"/>
    <s v="Lincoln Villas"/>
    <x v="260"/>
    <x v="2"/>
    <d v="2022-03-12T00:00:00"/>
    <x v="0"/>
    <x v="5"/>
    <n v="92"/>
    <x v="9"/>
    <x v="9"/>
    <n v="2208"/>
    <x v="528"/>
  </r>
  <r>
    <n v="2755"/>
    <x v="868"/>
    <x v="1487"/>
    <s v="Mr"/>
    <s v="M"/>
    <n v="60"/>
    <s v="Linda Street"/>
    <x v="374"/>
    <x v="17"/>
    <d v="2022-05-20T00:00:00"/>
    <x v="0"/>
    <x v="11"/>
    <n v="50"/>
    <x v="5"/>
    <x v="5"/>
    <n v="1200"/>
    <x v="159"/>
  </r>
  <r>
    <n v="2756"/>
    <x v="1908"/>
    <x v="1357"/>
    <s v="Miss"/>
    <s v="F"/>
    <n v="60"/>
    <s v="Linden Place"/>
    <x v="527"/>
    <x v="2"/>
    <d v="2022-01-01T00:00:00"/>
    <x v="0"/>
    <x v="6"/>
    <n v="6"/>
    <x v="2"/>
    <x v="2"/>
    <n v="102"/>
    <x v="853"/>
  </r>
  <r>
    <n v="2757"/>
    <x v="1909"/>
    <x v="737"/>
    <s v="Ms"/>
    <s v="F"/>
    <n v="30"/>
    <s v="Linden Terrace"/>
    <x v="700"/>
    <x v="2"/>
    <d v="2021-07-24T00:00:00"/>
    <x v="1"/>
    <x v="0"/>
    <n v="9"/>
    <x v="5"/>
    <x v="5"/>
    <n v="216"/>
    <x v="584"/>
  </r>
  <r>
    <n v="2758"/>
    <x v="670"/>
    <x v="808"/>
    <s v="Mr"/>
    <s v="M"/>
    <n v="60"/>
    <s v="Lindfield Street"/>
    <x v="1139"/>
    <x v="11"/>
    <d v="2020-01-07T00:00:00"/>
    <x v="2"/>
    <x v="6"/>
    <n v="72"/>
    <x v="8"/>
    <x v="8"/>
    <n v="1440"/>
    <x v="718"/>
  </r>
  <r>
    <n v="2759"/>
    <x v="1910"/>
    <x v="1488"/>
    <s v="Mr"/>
    <s v="M"/>
    <n v="30"/>
    <s v="Lindley Street"/>
    <x v="272"/>
    <x v="11"/>
    <d v="2022-08-03T00:00:00"/>
    <x v="0"/>
    <x v="3"/>
    <n v="25"/>
    <x v="2"/>
    <x v="2"/>
    <n v="425"/>
    <x v="602"/>
  </r>
  <r>
    <n v="2760"/>
    <x v="839"/>
    <x v="623"/>
    <s v="Mr"/>
    <s v="M"/>
    <n v="90"/>
    <s v="Linds Street"/>
    <x v="234"/>
    <x v="2"/>
    <d v="2022-10-11T00:00:00"/>
    <x v="0"/>
    <x v="1"/>
    <n v="87"/>
    <x v="7"/>
    <x v="7"/>
    <n v="1740"/>
    <x v="114"/>
  </r>
  <r>
    <n v="2761"/>
    <x v="1461"/>
    <x v="1489"/>
    <s v="Mr"/>
    <s v="M"/>
    <n v="60"/>
    <s v="Lindsell Street"/>
    <x v="132"/>
    <x v="2"/>
    <d v="2022-10-17T00:00:00"/>
    <x v="0"/>
    <x v="1"/>
    <n v="78"/>
    <x v="6"/>
    <x v="6"/>
    <n v="1872"/>
    <x v="945"/>
  </r>
  <r>
    <n v="2762"/>
    <x v="1579"/>
    <x v="855"/>
    <s v="Mr"/>
    <s v="M"/>
    <n v="90"/>
    <s v="Lingards Road"/>
    <x v="749"/>
    <x v="2"/>
    <d v="2021-04-10T00:00:00"/>
    <x v="1"/>
    <x v="4"/>
    <n v="9"/>
    <x v="2"/>
    <x v="2"/>
    <n v="153"/>
    <x v="89"/>
  </r>
  <r>
    <n v="2763"/>
    <x v="1911"/>
    <x v="302"/>
    <s v="Mr"/>
    <s v="M"/>
    <n v="30"/>
    <s v="Lingfield Crescent"/>
    <x v="445"/>
    <x v="2"/>
    <d v="2022-07-01T00:00:00"/>
    <x v="0"/>
    <x v="0"/>
    <n v="40"/>
    <x v="4"/>
    <x v="4"/>
    <n v="720"/>
    <x v="939"/>
  </r>
  <r>
    <n v="2764"/>
    <x v="1912"/>
    <x v="1490"/>
    <s v="Mr"/>
    <s v="M"/>
    <n v="90"/>
    <s v="Linhope Street"/>
    <x v="532"/>
    <x v="2"/>
    <d v="2021-07-26T00:00:00"/>
    <x v="1"/>
    <x v="0"/>
    <n v="74"/>
    <x v="1"/>
    <x v="1"/>
    <n v="1776"/>
    <x v="360"/>
  </r>
  <r>
    <n v="2765"/>
    <x v="1913"/>
    <x v="625"/>
    <s v="Mrs"/>
    <s v="F"/>
    <n v="90"/>
    <s v="Link Road"/>
    <x v="95"/>
    <x v="2"/>
    <d v="2022-04-03T00:00:00"/>
    <x v="0"/>
    <x v="4"/>
    <n v="85"/>
    <x v="4"/>
    <x v="4"/>
    <n v="1530"/>
    <x v="16"/>
  </r>
  <r>
    <n v="2766"/>
    <x v="1770"/>
    <x v="1084"/>
    <s v="Mr"/>
    <s v="M"/>
    <n v="60"/>
    <s v="Links Yard"/>
    <x v="203"/>
    <x v="36"/>
    <d v="2020-04-30T00:00:00"/>
    <x v="2"/>
    <x v="4"/>
    <n v="55"/>
    <x v="5"/>
    <x v="5"/>
    <n v="1320"/>
    <x v="29"/>
  </r>
  <r>
    <n v="2767"/>
    <x v="1235"/>
    <x v="394"/>
    <s v="Mr"/>
    <s v="M"/>
    <n v="90"/>
    <s v="Links Yard"/>
    <x v="1163"/>
    <x v="21"/>
    <d v="2021-03-01T00:00:00"/>
    <x v="1"/>
    <x v="5"/>
    <n v="31"/>
    <x v="0"/>
    <x v="0"/>
    <n v="620"/>
    <x v="641"/>
  </r>
  <r>
    <n v="2768"/>
    <x v="394"/>
    <x v="848"/>
    <s v="Mrs"/>
    <s v="F"/>
    <n v="90"/>
    <s v="Linnell Drive"/>
    <x v="514"/>
    <x v="2"/>
    <d v="2022-08-17T00:00:00"/>
    <x v="0"/>
    <x v="3"/>
    <n v="21"/>
    <x v="7"/>
    <x v="7"/>
    <n v="420"/>
    <x v="774"/>
  </r>
  <r>
    <n v="2769"/>
    <x v="1914"/>
    <x v="1491"/>
    <s v="Mrs"/>
    <s v="F"/>
    <n v="60"/>
    <s v="Linsey Road"/>
    <x v="950"/>
    <x v="2"/>
    <d v="2021-03-20T00:00:00"/>
    <x v="1"/>
    <x v="5"/>
    <n v="95"/>
    <x v="7"/>
    <x v="7"/>
    <n v="1900"/>
    <x v="108"/>
  </r>
  <r>
    <n v="2770"/>
    <x v="1309"/>
    <x v="382"/>
    <s v="Miss"/>
    <s v="F"/>
    <n v="30"/>
    <s v="Linton Place"/>
    <x v="545"/>
    <x v="8"/>
    <d v="2021-08-02T00:00:00"/>
    <x v="1"/>
    <x v="3"/>
    <n v="8"/>
    <x v="5"/>
    <x v="5"/>
    <n v="192"/>
    <x v="539"/>
  </r>
  <r>
    <n v="2771"/>
    <x v="1915"/>
    <x v="1393"/>
    <s v="Dr"/>
    <s v="F"/>
    <n v="60"/>
    <s v="Lionel Gardens"/>
    <x v="404"/>
    <x v="21"/>
    <d v="2021-07-28T00:00:00"/>
    <x v="1"/>
    <x v="0"/>
    <n v="16"/>
    <x v="6"/>
    <x v="6"/>
    <n v="384"/>
    <x v="538"/>
  </r>
  <r>
    <n v="2772"/>
    <x v="936"/>
    <x v="983"/>
    <s v="Mrs"/>
    <s v="F"/>
    <n v="60"/>
    <s v="Liphook Crescent"/>
    <x v="1164"/>
    <x v="2"/>
    <d v="2020-12-18T00:00:00"/>
    <x v="2"/>
    <x v="8"/>
    <n v="71"/>
    <x v="2"/>
    <x v="2"/>
    <n v="1207"/>
    <x v="726"/>
  </r>
  <r>
    <n v="2773"/>
    <x v="3"/>
    <x v="588"/>
    <s v="Mr"/>
    <s v="M"/>
    <n v="30"/>
    <s v="Lipton Road"/>
    <x v="23"/>
    <x v="13"/>
    <d v="2020-02-06T00:00:00"/>
    <x v="2"/>
    <x v="10"/>
    <n v="17"/>
    <x v="5"/>
    <x v="5"/>
    <n v="408"/>
    <x v="154"/>
  </r>
  <r>
    <n v="2774"/>
    <x v="857"/>
    <x v="414"/>
    <s v="Mrs"/>
    <s v="F"/>
    <n v="60"/>
    <s v="Lisban Street"/>
    <x v="176"/>
    <x v="16"/>
    <d v="2022-05-24T00:00:00"/>
    <x v="0"/>
    <x v="11"/>
    <n v="46"/>
    <x v="3"/>
    <x v="3"/>
    <n v="1104"/>
    <x v="177"/>
  </r>
  <r>
    <n v="2775"/>
    <x v="1916"/>
    <x v="87"/>
    <s v="Mr"/>
    <s v="M"/>
    <n v="60"/>
    <s v="Lisle Street"/>
    <x v="697"/>
    <x v="15"/>
    <d v="2022-12-11T00:00:00"/>
    <x v="0"/>
    <x v="8"/>
    <n v="84"/>
    <x v="4"/>
    <x v="4"/>
    <n v="1512"/>
    <x v="124"/>
  </r>
  <r>
    <n v="2776"/>
    <x v="1917"/>
    <x v="558"/>
    <s v="Mr"/>
    <s v="M"/>
    <n v="60"/>
    <s v="Lismore Road"/>
    <x v="265"/>
    <x v="3"/>
    <d v="2021-06-10T00:00:00"/>
    <x v="1"/>
    <x v="2"/>
    <n v="53"/>
    <x v="4"/>
    <x v="4"/>
    <n v="954"/>
    <x v="946"/>
  </r>
  <r>
    <n v="2777"/>
    <x v="1918"/>
    <x v="1492"/>
    <s v="Mrs"/>
    <s v="F"/>
    <n v="90"/>
    <s v="Little Alie"/>
    <x v="23"/>
    <x v="13"/>
    <d v="2021-03-13T00:00:00"/>
    <x v="1"/>
    <x v="5"/>
    <n v="83"/>
    <x v="5"/>
    <x v="5"/>
    <n v="1992"/>
    <x v="686"/>
  </r>
  <r>
    <n v="2778"/>
    <x v="1919"/>
    <x v="1392"/>
    <s v="Miss"/>
    <s v="F"/>
    <n v="60"/>
    <s v="Little Bacon"/>
    <x v="626"/>
    <x v="10"/>
    <d v="2020-01-03T00:00:00"/>
    <x v="2"/>
    <x v="6"/>
    <n v="51"/>
    <x v="6"/>
    <x v="6"/>
    <n v="1224"/>
    <x v="869"/>
  </r>
  <r>
    <n v="2779"/>
    <x v="1627"/>
    <x v="591"/>
    <s v="Mr"/>
    <s v="M"/>
    <n v="30"/>
    <s v="Little Belgrave"/>
    <x v="268"/>
    <x v="21"/>
    <d v="2020-11-23T00:00:00"/>
    <x v="2"/>
    <x v="7"/>
    <n v="34"/>
    <x v="2"/>
    <x v="2"/>
    <n v="578"/>
    <x v="502"/>
  </r>
  <r>
    <n v="2780"/>
    <x v="1920"/>
    <x v="1054"/>
    <s v="Mr"/>
    <s v="M"/>
    <n v="60"/>
    <s v="Little Bolton"/>
    <x v="950"/>
    <x v="2"/>
    <d v="2021-07-09T00:00:00"/>
    <x v="1"/>
    <x v="0"/>
    <n v="3"/>
    <x v="9"/>
    <x v="9"/>
    <n v="72"/>
    <x v="234"/>
  </r>
  <r>
    <n v="2781"/>
    <x v="1921"/>
    <x v="80"/>
    <s v="Mrs"/>
    <s v="F"/>
    <n v="30"/>
    <s v="Little Cambridge"/>
    <x v="204"/>
    <x v="2"/>
    <d v="2020-01-11T00:00:00"/>
    <x v="2"/>
    <x v="6"/>
    <n v="28"/>
    <x v="1"/>
    <x v="1"/>
    <n v="672"/>
    <x v="772"/>
  </r>
  <r>
    <n v="2782"/>
    <x v="1922"/>
    <x v="362"/>
    <s v="Dr"/>
    <s v="M"/>
    <n v="90"/>
    <s v="Little Century"/>
    <x v="657"/>
    <x v="2"/>
    <d v="2021-09-04T00:00:00"/>
    <x v="1"/>
    <x v="9"/>
    <n v="57"/>
    <x v="3"/>
    <x v="3"/>
    <n v="1368"/>
    <x v="356"/>
  </r>
  <r>
    <n v="2783"/>
    <x v="1112"/>
    <x v="1299"/>
    <s v="Mr"/>
    <s v="M"/>
    <n v="30"/>
    <s v="Little Clarence"/>
    <x v="1161"/>
    <x v="2"/>
    <d v="2022-08-01T00:00:00"/>
    <x v="0"/>
    <x v="3"/>
    <n v="98"/>
    <x v="8"/>
    <x v="8"/>
    <n v="1960"/>
    <x v="932"/>
  </r>
  <r>
    <n v="2784"/>
    <x v="312"/>
    <x v="1493"/>
    <s v="Mr"/>
    <s v="M"/>
    <n v="90"/>
    <s v="Little Collingwood"/>
    <x v="731"/>
    <x v="2"/>
    <d v="2021-04-04T00:00:00"/>
    <x v="1"/>
    <x v="4"/>
    <n v="59"/>
    <x v="7"/>
    <x v="7"/>
    <n v="1180"/>
    <x v="855"/>
  </r>
  <r>
    <n v="2785"/>
    <x v="1352"/>
    <x v="1424"/>
    <s v="Mr"/>
    <s v="M"/>
    <n v="90"/>
    <s v="Little Coram"/>
    <x v="477"/>
    <x v="2"/>
    <d v="2022-04-22T00:00:00"/>
    <x v="0"/>
    <x v="4"/>
    <n v="31"/>
    <x v="4"/>
    <x v="4"/>
    <n v="558"/>
    <x v="163"/>
  </r>
  <r>
    <n v="2786"/>
    <x v="1923"/>
    <x v="112"/>
    <s v="Mr"/>
    <s v="M"/>
    <n v="60"/>
    <s v="Little Dimocks"/>
    <x v="589"/>
    <x v="65"/>
    <d v="2021-05-11T00:00:00"/>
    <x v="1"/>
    <x v="11"/>
    <n v="33"/>
    <x v="6"/>
    <x v="6"/>
    <n v="792"/>
    <x v="660"/>
  </r>
  <r>
    <n v="2787"/>
    <x v="1924"/>
    <x v="800"/>
    <s v="Miss"/>
    <s v="F"/>
    <n v="90"/>
    <s v="Little Drummond"/>
    <x v="1165"/>
    <x v="67"/>
    <d v="2022-08-17T00:00:00"/>
    <x v="0"/>
    <x v="3"/>
    <n v="98"/>
    <x v="5"/>
    <x v="5"/>
    <n v="2352"/>
    <x v="593"/>
  </r>
  <r>
    <n v="2788"/>
    <x v="1814"/>
    <x v="801"/>
    <s v="Mr"/>
    <s v="M"/>
    <n v="90"/>
    <s v="Little Ealing"/>
    <x v="1166"/>
    <x v="21"/>
    <d v="2021-03-29T00:00:00"/>
    <x v="1"/>
    <x v="5"/>
    <n v="38"/>
    <x v="2"/>
    <x v="2"/>
    <n v="646"/>
    <x v="161"/>
  </r>
  <r>
    <n v="2789"/>
    <x v="1925"/>
    <x v="682"/>
    <s v="Mr"/>
    <s v="M"/>
    <n v="60"/>
    <s v="Little Grosvenor"/>
    <x v="873"/>
    <x v="13"/>
    <d v="2022-04-13T00:00:00"/>
    <x v="0"/>
    <x v="4"/>
    <n v="30"/>
    <x v="3"/>
    <x v="3"/>
    <n v="720"/>
    <x v="794"/>
  </r>
  <r>
    <n v="2790"/>
    <x v="104"/>
    <x v="1494"/>
    <s v="Mr"/>
    <s v="M"/>
    <n v="90"/>
    <s v="Little Grosvenor"/>
    <x v="369"/>
    <x v="1"/>
    <d v="2021-02-06T00:00:00"/>
    <x v="1"/>
    <x v="10"/>
    <n v="29"/>
    <x v="3"/>
    <x v="3"/>
    <n v="696"/>
    <x v="63"/>
  </r>
  <r>
    <n v="2791"/>
    <x v="1926"/>
    <x v="586"/>
    <s v="Miss"/>
    <s v="F"/>
    <n v="30"/>
    <s v="Little Lant"/>
    <x v="158"/>
    <x v="17"/>
    <d v="2021-06-29T00:00:00"/>
    <x v="1"/>
    <x v="2"/>
    <n v="16"/>
    <x v="4"/>
    <x v="4"/>
    <n v="288"/>
    <x v="838"/>
  </r>
  <r>
    <n v="2792"/>
    <x v="440"/>
    <x v="631"/>
    <s v="Mr"/>
    <s v="M"/>
    <n v="60"/>
    <s v="Little Marlborough"/>
    <x v="837"/>
    <x v="2"/>
    <d v="2021-12-18T00:00:00"/>
    <x v="1"/>
    <x v="8"/>
    <n v="2"/>
    <x v="6"/>
    <x v="6"/>
    <n v="48"/>
    <x v="728"/>
  </r>
  <r>
    <n v="2793"/>
    <x v="1927"/>
    <x v="1052"/>
    <s v="Mrs"/>
    <s v="F"/>
    <n v="60"/>
    <s v="Little Middlesex"/>
    <x v="700"/>
    <x v="2"/>
    <d v="2021-05-14T00:00:00"/>
    <x v="1"/>
    <x v="11"/>
    <n v="45"/>
    <x v="3"/>
    <x v="3"/>
    <n v="1080"/>
    <x v="266"/>
  </r>
  <r>
    <n v="2794"/>
    <x v="1928"/>
    <x v="17"/>
    <s v="Mrs"/>
    <s v="F"/>
    <n v="30"/>
    <s v="Little Monro"/>
    <x v="701"/>
    <x v="11"/>
    <d v="2021-09-04T00:00:00"/>
    <x v="1"/>
    <x v="9"/>
    <n v="14"/>
    <x v="4"/>
    <x v="4"/>
    <n v="252"/>
    <x v="396"/>
  </r>
  <r>
    <n v="2795"/>
    <x v="1929"/>
    <x v="1130"/>
    <s v="Mrs"/>
    <s v="F"/>
    <n v="90"/>
    <s v="Little Moorfields"/>
    <x v="907"/>
    <x v="3"/>
    <d v="2020-05-28T00:00:00"/>
    <x v="2"/>
    <x v="11"/>
    <n v="62"/>
    <x v="5"/>
    <x v="5"/>
    <n v="1488"/>
    <x v="777"/>
  </r>
  <r>
    <n v="2796"/>
    <x v="681"/>
    <x v="289"/>
    <s v="Mr"/>
    <s v="M"/>
    <n v="60"/>
    <s v="Little Newport"/>
    <x v="107"/>
    <x v="15"/>
    <d v="2022-06-18T00:00:00"/>
    <x v="0"/>
    <x v="2"/>
    <n v="81"/>
    <x v="3"/>
    <x v="3"/>
    <n v="1944"/>
    <x v="551"/>
  </r>
  <r>
    <n v="2797"/>
    <x v="1930"/>
    <x v="1063"/>
    <s v="Miss"/>
    <s v="F"/>
    <n v="30"/>
    <s v="Little Norris"/>
    <x v="73"/>
    <x v="1"/>
    <d v="2022-12-18T00:00:00"/>
    <x v="0"/>
    <x v="8"/>
    <n v="100"/>
    <x v="7"/>
    <x v="7"/>
    <n v="2000"/>
    <x v="798"/>
  </r>
  <r>
    <n v="2798"/>
    <x v="1931"/>
    <x v="1053"/>
    <s v="Prof"/>
    <s v="F"/>
    <n v="90"/>
    <s v="Little Park"/>
    <x v="460"/>
    <x v="16"/>
    <d v="2020-07-09T00:00:00"/>
    <x v="2"/>
    <x v="0"/>
    <n v="38"/>
    <x v="2"/>
    <x v="2"/>
    <n v="646"/>
    <x v="161"/>
  </r>
  <r>
    <n v="2799"/>
    <x v="1294"/>
    <x v="1495"/>
    <s v="Mr"/>
    <s v="M"/>
    <n v="60"/>
    <s v="Little Portland"/>
    <x v="1167"/>
    <x v="21"/>
    <d v="2022-02-07T00:00:00"/>
    <x v="0"/>
    <x v="10"/>
    <n v="60"/>
    <x v="4"/>
    <x v="4"/>
    <n v="1080"/>
    <x v="904"/>
  </r>
  <r>
    <n v="2800"/>
    <x v="1932"/>
    <x v="56"/>
    <s v="Mrs"/>
    <s v="F"/>
    <n v="60"/>
    <s v="Little Randolph"/>
    <x v="629"/>
    <x v="1"/>
    <d v="2021-12-09T00:00:00"/>
    <x v="1"/>
    <x v="8"/>
    <n v="72"/>
    <x v="2"/>
    <x v="2"/>
    <n v="1224"/>
    <x v="61"/>
  </r>
  <r>
    <n v="2801"/>
    <x v="1933"/>
    <x v="991"/>
    <s v="Miss"/>
    <s v="F"/>
    <n v="60"/>
    <s v="Little Randolph"/>
    <x v="648"/>
    <x v="2"/>
    <d v="2022-09-01T00:00:00"/>
    <x v="0"/>
    <x v="9"/>
    <n v="102"/>
    <x v="1"/>
    <x v="1"/>
    <n v="2448"/>
    <x v="689"/>
  </r>
  <r>
    <n v="2802"/>
    <x v="1463"/>
    <x v="1496"/>
    <s v="Mr"/>
    <s v="M"/>
    <n v="90"/>
    <s v="Little Somerset"/>
    <x v="1161"/>
    <x v="2"/>
    <d v="2022-11-15T00:00:00"/>
    <x v="0"/>
    <x v="7"/>
    <n v="103"/>
    <x v="8"/>
    <x v="8"/>
    <n v="2060"/>
    <x v="947"/>
  </r>
  <r>
    <n v="2803"/>
    <x v="1934"/>
    <x v="1048"/>
    <s v="Mr"/>
    <s v="M"/>
    <n v="90"/>
    <s v="Little Tongue"/>
    <x v="870"/>
    <x v="18"/>
    <d v="2022-03-28T00:00:00"/>
    <x v="0"/>
    <x v="5"/>
    <n v="99"/>
    <x v="6"/>
    <x v="6"/>
    <n v="2376"/>
    <x v="948"/>
  </r>
  <r>
    <n v="2804"/>
    <x v="589"/>
    <x v="392"/>
    <s v="Mr"/>
    <s v="M"/>
    <n v="90"/>
    <s v="Little Tongue"/>
    <x v="973"/>
    <x v="21"/>
    <d v="2021-11-21T00:00:00"/>
    <x v="1"/>
    <x v="7"/>
    <n v="9"/>
    <x v="3"/>
    <x v="3"/>
    <n v="216"/>
    <x v="949"/>
  </r>
  <r>
    <n v="2805"/>
    <x v="1935"/>
    <x v="1497"/>
    <s v="Miss"/>
    <s v="F"/>
    <n v="90"/>
    <s v="Littlecombe"/>
    <x v="1168"/>
    <x v="3"/>
    <d v="2021-03-25T00:00:00"/>
    <x v="1"/>
    <x v="5"/>
    <n v="9"/>
    <x v="8"/>
    <x v="8"/>
    <n v="180"/>
    <x v="198"/>
  </r>
  <r>
    <n v="2806"/>
    <x v="1687"/>
    <x v="246"/>
    <s v="Mrs"/>
    <s v="F"/>
    <n v="90"/>
    <s v="Littlecombe"/>
    <x v="483"/>
    <x v="2"/>
    <d v="2021-02-12T00:00:00"/>
    <x v="1"/>
    <x v="10"/>
    <n v="8"/>
    <x v="4"/>
    <x v="4"/>
    <n v="144"/>
    <x v="740"/>
  </r>
  <r>
    <n v="2807"/>
    <x v="1565"/>
    <x v="1498"/>
    <s v="Mr"/>
    <s v="M"/>
    <n v="30"/>
    <s v="Littleton Street"/>
    <x v="1169"/>
    <x v="2"/>
    <d v="2022-10-31T00:00:00"/>
    <x v="0"/>
    <x v="1"/>
    <n v="73"/>
    <x v="7"/>
    <x v="7"/>
    <n v="1460"/>
    <x v="512"/>
  </r>
  <r>
    <n v="2808"/>
    <x v="326"/>
    <x v="794"/>
    <s v="Mr"/>
    <s v="M"/>
    <n v="30"/>
    <s v="Littleton Villas"/>
    <x v="643"/>
    <x v="2"/>
    <d v="2021-08-28T00:00:00"/>
    <x v="1"/>
    <x v="3"/>
    <n v="38"/>
    <x v="3"/>
    <x v="3"/>
    <n v="912"/>
    <x v="117"/>
  </r>
  <r>
    <n v="2809"/>
    <x v="631"/>
    <x v="1219"/>
    <s v="Mr"/>
    <s v="M"/>
    <n v="30"/>
    <s v="Littlewood Close"/>
    <x v="839"/>
    <x v="21"/>
    <d v="2022-10-10T00:00:00"/>
    <x v="0"/>
    <x v="1"/>
    <n v="24"/>
    <x v="5"/>
    <x v="5"/>
    <n v="576"/>
    <x v="454"/>
  </r>
  <r>
    <n v="2810"/>
    <x v="1936"/>
    <x v="635"/>
    <s v="Mrs"/>
    <s v="F"/>
    <n v="60"/>
    <s v="Livermere Road"/>
    <x v="1093"/>
    <x v="21"/>
    <d v="2020-08-28T00:00:00"/>
    <x v="2"/>
    <x v="3"/>
    <n v="76"/>
    <x v="3"/>
    <x v="3"/>
    <n v="1824"/>
    <x v="950"/>
  </r>
  <r>
    <n v="2811"/>
    <x v="1509"/>
    <x v="839"/>
    <s v="Dr"/>
    <s v="F"/>
    <n v="90"/>
    <s v="Liverpool Street"/>
    <x v="719"/>
    <x v="79"/>
    <d v="2021-08-07T00:00:00"/>
    <x v="1"/>
    <x v="3"/>
    <n v="64"/>
    <x v="6"/>
    <x v="6"/>
    <n v="1536"/>
    <x v="419"/>
  </r>
  <r>
    <n v="2812"/>
    <x v="1937"/>
    <x v="265"/>
    <s v="Mr"/>
    <s v="M"/>
    <n v="30"/>
    <s v="Liverpool Terrace"/>
    <x v="1170"/>
    <x v="2"/>
    <d v="2022-06-27T00:00:00"/>
    <x v="0"/>
    <x v="2"/>
    <n v="36"/>
    <x v="2"/>
    <x v="2"/>
    <n v="612"/>
    <x v="832"/>
  </r>
  <r>
    <n v="2813"/>
    <x v="1566"/>
    <x v="1073"/>
    <s v="Mr"/>
    <s v="M"/>
    <n v="60"/>
    <s v="Lizard Street"/>
    <x v="484"/>
    <x v="2"/>
    <d v="2022-07-17T00:00:00"/>
    <x v="0"/>
    <x v="0"/>
    <n v="21"/>
    <x v="0"/>
    <x v="0"/>
    <n v="420"/>
    <x v="165"/>
  </r>
  <r>
    <n v="2814"/>
    <x v="1938"/>
    <x v="19"/>
    <s v="Mr"/>
    <s v="M"/>
    <n v="90"/>
    <s v="Lloyd Mews"/>
    <x v="324"/>
    <x v="17"/>
    <d v="2021-06-04T00:00:00"/>
    <x v="1"/>
    <x v="2"/>
    <n v="89"/>
    <x v="3"/>
    <x v="3"/>
    <n v="2136"/>
    <x v="204"/>
  </r>
  <r>
    <n v="2815"/>
    <x v="1939"/>
    <x v="351"/>
    <s v="Miss"/>
    <s v="F"/>
    <n v="30"/>
    <s v="Lloyd'S Place"/>
    <x v="178"/>
    <x v="21"/>
    <d v="2022-08-08T00:00:00"/>
    <x v="0"/>
    <x v="3"/>
    <n v="58"/>
    <x v="6"/>
    <x v="6"/>
    <n v="1392"/>
    <x v="547"/>
  </r>
  <r>
    <n v="2816"/>
    <x v="1940"/>
    <x v="1499"/>
    <s v="Miss"/>
    <s v="F"/>
    <n v="90"/>
    <s v="Lock Chase"/>
    <x v="504"/>
    <x v="2"/>
    <d v="2021-09-28T00:00:00"/>
    <x v="1"/>
    <x v="9"/>
    <n v="69"/>
    <x v="8"/>
    <x v="8"/>
    <n v="1380"/>
    <x v="596"/>
  </r>
  <r>
    <n v="2817"/>
    <x v="1664"/>
    <x v="1500"/>
    <s v="Mr"/>
    <s v="M"/>
    <n v="60"/>
    <s v="Lock Square"/>
    <x v="336"/>
    <x v="2"/>
    <d v="2021-06-18T00:00:00"/>
    <x v="1"/>
    <x v="2"/>
    <n v="73"/>
    <x v="1"/>
    <x v="1"/>
    <n v="1752"/>
    <x v="480"/>
  </r>
  <r>
    <n v="2818"/>
    <x v="1941"/>
    <x v="1152"/>
    <s v="Miss"/>
    <s v="F"/>
    <n v="60"/>
    <s v="Lockhart Street"/>
    <x v="860"/>
    <x v="16"/>
    <d v="2021-10-04T00:00:00"/>
    <x v="1"/>
    <x v="1"/>
    <n v="78"/>
    <x v="3"/>
    <x v="3"/>
    <n v="1872"/>
    <x v="713"/>
  </r>
  <r>
    <n v="2819"/>
    <x v="709"/>
    <x v="1308"/>
    <s v="Mr"/>
    <s v="M"/>
    <n v="60"/>
    <s v="Lockwoods Cottages"/>
    <x v="1171"/>
    <x v="2"/>
    <d v="2020-11-18T00:00:00"/>
    <x v="2"/>
    <x v="7"/>
    <n v="8"/>
    <x v="1"/>
    <x v="1"/>
    <n v="192"/>
    <x v="180"/>
  </r>
  <r>
    <n v="2820"/>
    <x v="1942"/>
    <x v="1501"/>
    <s v="Mr"/>
    <s v="M"/>
    <n v="30"/>
    <s v="Loddiges Road"/>
    <x v="153"/>
    <x v="29"/>
    <d v="2021-09-10T00:00:00"/>
    <x v="1"/>
    <x v="9"/>
    <n v="53"/>
    <x v="7"/>
    <x v="7"/>
    <n v="1060"/>
    <x v="516"/>
  </r>
  <r>
    <n v="2821"/>
    <x v="1231"/>
    <x v="446"/>
    <s v="Mrs"/>
    <s v="F"/>
    <n v="90"/>
    <s v="Loder Street"/>
    <x v="587"/>
    <x v="21"/>
    <d v="2022-06-04T00:00:00"/>
    <x v="0"/>
    <x v="2"/>
    <n v="94"/>
    <x v="2"/>
    <x v="2"/>
    <n v="1598"/>
    <x v="741"/>
  </r>
  <r>
    <n v="2822"/>
    <x v="1671"/>
    <x v="1502"/>
    <s v="Miss"/>
    <s v="F"/>
    <n v="60"/>
    <s v="Lodge"/>
    <x v="1172"/>
    <x v="21"/>
    <d v="2021-02-28T00:00:00"/>
    <x v="1"/>
    <x v="10"/>
    <n v="11"/>
    <x v="0"/>
    <x v="0"/>
    <n v="220"/>
    <x v="749"/>
  </r>
  <r>
    <n v="2823"/>
    <x v="1943"/>
    <x v="411"/>
    <s v="Mrs"/>
    <s v="F"/>
    <n v="30"/>
    <s v="Lofting Road"/>
    <x v="710"/>
    <x v="44"/>
    <d v="2020-01-02T00:00:00"/>
    <x v="2"/>
    <x v="6"/>
    <n v="77"/>
    <x v="4"/>
    <x v="4"/>
    <n v="1386"/>
    <x v="620"/>
  </r>
  <r>
    <n v="2824"/>
    <x v="292"/>
    <x v="1503"/>
    <s v="Mr"/>
    <s v="M"/>
    <n v="90"/>
    <s v="Loman Villas"/>
    <x v="303"/>
    <x v="47"/>
    <d v="2021-02-18T00:00:00"/>
    <x v="1"/>
    <x v="10"/>
    <n v="80"/>
    <x v="9"/>
    <x v="9"/>
    <n v="1920"/>
    <x v="176"/>
  </r>
  <r>
    <n v="2825"/>
    <x v="1944"/>
    <x v="1504"/>
    <s v="Mrs"/>
    <s v="F"/>
    <n v="30"/>
    <s v="Lomas Buildings"/>
    <x v="309"/>
    <x v="2"/>
    <d v="2022-07-04T00:00:00"/>
    <x v="0"/>
    <x v="0"/>
    <n v="83"/>
    <x v="4"/>
    <x v="4"/>
    <n v="1494"/>
    <x v="90"/>
  </r>
  <r>
    <n v="2826"/>
    <x v="1340"/>
    <x v="602"/>
    <s v="Mr"/>
    <s v="M"/>
    <n v="90"/>
    <s v="Lombardy Place"/>
    <x v="7"/>
    <x v="5"/>
    <d v="2022-11-03T00:00:00"/>
    <x v="0"/>
    <x v="7"/>
    <n v="103"/>
    <x v="0"/>
    <x v="0"/>
    <n v="2060"/>
    <x v="448"/>
  </r>
  <r>
    <n v="2827"/>
    <x v="79"/>
    <x v="1505"/>
    <s v="Mr"/>
    <s v="M"/>
    <n v="30"/>
    <s v="Londesborough Road"/>
    <x v="415"/>
    <x v="64"/>
    <d v="2021-04-25T00:00:00"/>
    <x v="1"/>
    <x v="4"/>
    <n v="44"/>
    <x v="9"/>
    <x v="9"/>
    <n v="1056"/>
    <x v="605"/>
  </r>
  <r>
    <n v="2828"/>
    <x v="1945"/>
    <x v="1297"/>
    <s v="Mrs"/>
    <s v="F"/>
    <n v="30"/>
    <s v="London Passage"/>
    <x v="655"/>
    <x v="17"/>
    <d v="2020-07-06T00:00:00"/>
    <x v="2"/>
    <x v="0"/>
    <n v="46"/>
    <x v="4"/>
    <x v="4"/>
    <n v="828"/>
    <x v="223"/>
  </r>
  <r>
    <n v="2829"/>
    <x v="1946"/>
    <x v="300"/>
    <s v="Miss"/>
    <s v="F"/>
    <n v="90"/>
    <s v="London Place"/>
    <x v="695"/>
    <x v="2"/>
    <d v="2021-04-26T00:00:00"/>
    <x v="1"/>
    <x v="4"/>
    <n v="67"/>
    <x v="9"/>
    <x v="9"/>
    <n v="1608"/>
    <x v="270"/>
  </r>
  <r>
    <n v="2830"/>
    <x v="1947"/>
    <x v="204"/>
    <s v="Prof"/>
    <s v="F"/>
    <n v="60"/>
    <s v="London Terrace"/>
    <x v="1009"/>
    <x v="2"/>
    <d v="2021-07-15T00:00:00"/>
    <x v="1"/>
    <x v="0"/>
    <n v="78"/>
    <x v="2"/>
    <x v="2"/>
    <n v="1326"/>
    <x v="636"/>
  </r>
  <r>
    <n v="2831"/>
    <x v="1948"/>
    <x v="1506"/>
    <s v="Mr"/>
    <s v="M"/>
    <n v="90"/>
    <s v="Long Lane"/>
    <x v="638"/>
    <x v="2"/>
    <d v="2021-03-15T00:00:00"/>
    <x v="1"/>
    <x v="5"/>
    <n v="25"/>
    <x v="8"/>
    <x v="8"/>
    <n v="500"/>
    <x v="764"/>
  </r>
  <r>
    <n v="2832"/>
    <x v="1949"/>
    <x v="58"/>
    <s v="Mr"/>
    <s v="M"/>
    <n v="90"/>
    <s v="Long Leys"/>
    <x v="1049"/>
    <x v="16"/>
    <d v="2021-06-09T00:00:00"/>
    <x v="1"/>
    <x v="2"/>
    <n v="10"/>
    <x v="4"/>
    <x v="4"/>
    <n v="180"/>
    <x v="427"/>
  </r>
  <r>
    <n v="2833"/>
    <x v="1950"/>
    <x v="578"/>
    <s v="Mr"/>
    <s v="M"/>
    <n v="90"/>
    <s v="Long Leys"/>
    <x v="1173"/>
    <x v="2"/>
    <d v="2020-07-10T00:00:00"/>
    <x v="2"/>
    <x v="0"/>
    <n v="40"/>
    <x v="0"/>
    <x v="0"/>
    <n v="800"/>
    <x v="239"/>
  </r>
  <r>
    <n v="2834"/>
    <x v="1951"/>
    <x v="86"/>
    <s v="Mr"/>
    <s v="M"/>
    <n v="30"/>
    <s v="Longfield Estate"/>
    <x v="615"/>
    <x v="2"/>
    <d v="2020-04-10T00:00:00"/>
    <x v="2"/>
    <x v="4"/>
    <n v="78"/>
    <x v="0"/>
    <x v="0"/>
    <n v="1560"/>
    <x v="643"/>
  </r>
  <r>
    <n v="2835"/>
    <x v="129"/>
    <x v="1507"/>
    <s v="Mr"/>
    <s v="M"/>
    <n v="60"/>
    <s v="Longford Villas"/>
    <x v="1125"/>
    <x v="2"/>
    <d v="2022-10-10T00:00:00"/>
    <x v="0"/>
    <x v="1"/>
    <n v="5"/>
    <x v="0"/>
    <x v="0"/>
    <n v="100"/>
    <x v="645"/>
  </r>
  <r>
    <n v="2836"/>
    <x v="1952"/>
    <x v="695"/>
    <s v="Mrs"/>
    <s v="F"/>
    <n v="60"/>
    <s v="Longly Road"/>
    <x v="263"/>
    <x v="2"/>
    <d v="2021-12-05T00:00:00"/>
    <x v="1"/>
    <x v="8"/>
    <n v="7"/>
    <x v="1"/>
    <x v="1"/>
    <n v="168"/>
    <x v="629"/>
  </r>
  <r>
    <n v="2837"/>
    <x v="784"/>
    <x v="557"/>
    <s v="Mrs"/>
    <s v="F"/>
    <n v="60"/>
    <s v="Longmead Road"/>
    <x v="1150"/>
    <x v="2"/>
    <d v="2021-07-11T00:00:00"/>
    <x v="1"/>
    <x v="0"/>
    <n v="28"/>
    <x v="5"/>
    <x v="5"/>
    <n v="672"/>
    <x v="951"/>
  </r>
  <r>
    <n v="2838"/>
    <x v="1953"/>
    <x v="203"/>
    <s v="Mr"/>
    <s v="M"/>
    <n v="90"/>
    <s v="Longmead Square"/>
    <x v="240"/>
    <x v="41"/>
    <d v="2020-01-04T00:00:00"/>
    <x v="2"/>
    <x v="6"/>
    <n v="22"/>
    <x v="6"/>
    <x v="6"/>
    <n v="528"/>
    <x v="316"/>
  </r>
  <r>
    <n v="2839"/>
    <x v="144"/>
    <x v="528"/>
    <s v="Miss"/>
    <s v="F"/>
    <n v="90"/>
    <s v="Longmead Square"/>
    <x v="981"/>
    <x v="2"/>
    <d v="2022-07-22T00:00:00"/>
    <x v="0"/>
    <x v="0"/>
    <n v="7"/>
    <x v="2"/>
    <x v="2"/>
    <n v="119"/>
    <x v="208"/>
  </r>
  <r>
    <n v="2840"/>
    <x v="444"/>
    <x v="1299"/>
    <s v="Mr"/>
    <s v="M"/>
    <n v="90"/>
    <s v="Longmoore Street"/>
    <x v="589"/>
    <x v="65"/>
    <d v="2022-07-28T00:00:00"/>
    <x v="0"/>
    <x v="0"/>
    <n v="44"/>
    <x v="7"/>
    <x v="7"/>
    <n v="880"/>
    <x v="766"/>
  </r>
  <r>
    <n v="2841"/>
    <x v="226"/>
    <x v="1508"/>
    <s v="Mr"/>
    <s v="M"/>
    <n v="60"/>
    <s v="Longton Houses"/>
    <x v="132"/>
    <x v="2"/>
    <d v="2020-02-09T00:00:00"/>
    <x v="2"/>
    <x v="10"/>
    <n v="31"/>
    <x v="5"/>
    <x v="5"/>
    <n v="744"/>
    <x v="781"/>
  </r>
  <r>
    <n v="2842"/>
    <x v="1418"/>
    <x v="293"/>
    <s v="Mr"/>
    <s v="M"/>
    <n v="60"/>
    <s v="Lonsdale Square"/>
    <x v="152"/>
    <x v="2"/>
    <d v="2022-10-08T00:00:00"/>
    <x v="0"/>
    <x v="1"/>
    <n v="72"/>
    <x v="6"/>
    <x v="6"/>
    <n v="1728"/>
    <x v="249"/>
  </r>
  <r>
    <n v="2843"/>
    <x v="511"/>
    <x v="1323"/>
    <s v="Mrs"/>
    <s v="F"/>
    <n v="60"/>
    <s v="Loraine Cottages"/>
    <x v="586"/>
    <x v="21"/>
    <d v="2022-04-15T00:00:00"/>
    <x v="0"/>
    <x v="4"/>
    <n v="76"/>
    <x v="5"/>
    <x v="5"/>
    <n v="1824"/>
    <x v="405"/>
  </r>
  <r>
    <n v="2844"/>
    <x v="1954"/>
    <x v="1496"/>
    <s v="Mr"/>
    <s v="M"/>
    <n v="30"/>
    <s v="Lord Nelson"/>
    <x v="342"/>
    <x v="2"/>
    <d v="2020-12-05T00:00:00"/>
    <x v="2"/>
    <x v="8"/>
    <n v="28"/>
    <x v="6"/>
    <x v="6"/>
    <n v="672"/>
    <x v="912"/>
  </r>
  <r>
    <n v="2845"/>
    <x v="1682"/>
    <x v="26"/>
    <s v="Dr"/>
    <s v="M"/>
    <n v="60"/>
    <s v="Lordship Road"/>
    <x v="128"/>
    <x v="2"/>
    <d v="2022-12-23T00:00:00"/>
    <x v="0"/>
    <x v="8"/>
    <n v="21"/>
    <x v="4"/>
    <x v="4"/>
    <n v="378"/>
    <x v="346"/>
  </r>
  <r>
    <n v="2846"/>
    <x v="1955"/>
    <x v="1429"/>
    <s v="Miss"/>
    <s v="F"/>
    <n v="60"/>
    <s v="Lordship Terrace"/>
    <x v="950"/>
    <x v="2"/>
    <d v="2021-12-01T00:00:00"/>
    <x v="1"/>
    <x v="8"/>
    <n v="46"/>
    <x v="3"/>
    <x v="3"/>
    <n v="1104"/>
    <x v="177"/>
  </r>
  <r>
    <n v="2847"/>
    <x v="9"/>
    <x v="985"/>
    <s v="Mr"/>
    <s v="M"/>
    <n v="30"/>
    <s v="Lorraine Place"/>
    <x v="763"/>
    <x v="3"/>
    <d v="2020-01-21T00:00:00"/>
    <x v="2"/>
    <x v="6"/>
    <n v="24"/>
    <x v="5"/>
    <x v="5"/>
    <n v="576"/>
    <x v="454"/>
  </r>
  <r>
    <n v="2848"/>
    <x v="1032"/>
    <x v="668"/>
    <s v="Mr"/>
    <s v="M"/>
    <n v="60"/>
    <s v="Lorrimore Street"/>
    <x v="922"/>
    <x v="2"/>
    <d v="2020-02-14T00:00:00"/>
    <x v="2"/>
    <x v="10"/>
    <n v="16"/>
    <x v="6"/>
    <x v="6"/>
    <n v="384"/>
    <x v="538"/>
  </r>
  <r>
    <n v="2849"/>
    <x v="1956"/>
    <x v="1509"/>
    <s v="Miss"/>
    <s v="F"/>
    <n v="60"/>
    <s v="Loughborough Estate"/>
    <x v="283"/>
    <x v="17"/>
    <d v="2022-10-30T00:00:00"/>
    <x v="0"/>
    <x v="1"/>
    <n v="59"/>
    <x v="4"/>
    <x v="4"/>
    <n v="1062"/>
    <x v="750"/>
  </r>
  <r>
    <n v="2850"/>
    <x v="1957"/>
    <x v="216"/>
    <s v="Mrs"/>
    <s v="F"/>
    <n v="30"/>
    <s v="Louisa Gardens"/>
    <x v="541"/>
    <x v="2"/>
    <d v="2021-10-31T00:00:00"/>
    <x v="1"/>
    <x v="1"/>
    <n v="36"/>
    <x v="0"/>
    <x v="0"/>
    <n v="720"/>
    <x v="325"/>
  </r>
  <r>
    <n v="2851"/>
    <x v="298"/>
    <x v="710"/>
    <s v="Miss"/>
    <s v="F"/>
    <n v="30"/>
    <s v="Louise Aumonier"/>
    <x v="401"/>
    <x v="2"/>
    <d v="2022-04-25T00:00:00"/>
    <x v="0"/>
    <x v="4"/>
    <n v="29"/>
    <x v="1"/>
    <x v="1"/>
    <n v="696"/>
    <x v="952"/>
  </r>
  <r>
    <n v="2852"/>
    <x v="104"/>
    <x v="1510"/>
    <s v="Mr"/>
    <s v="M"/>
    <n v="60"/>
    <s v="Love Walk"/>
    <x v="1174"/>
    <x v="2"/>
    <d v="2021-01-31T00:00:00"/>
    <x v="1"/>
    <x v="6"/>
    <n v="95"/>
    <x v="4"/>
    <x v="4"/>
    <n v="1710"/>
    <x v="907"/>
  </r>
  <r>
    <n v="2853"/>
    <x v="1958"/>
    <x v="718"/>
    <s v="Miss"/>
    <s v="F"/>
    <n v="90"/>
    <s v="Lovelace Green"/>
    <x v="390"/>
    <x v="2"/>
    <d v="2020-03-09T00:00:00"/>
    <x v="2"/>
    <x v="5"/>
    <n v="4"/>
    <x v="8"/>
    <x v="8"/>
    <n v="80"/>
    <x v="688"/>
  </r>
  <r>
    <n v="2854"/>
    <x v="317"/>
    <x v="1100"/>
    <s v="Mr"/>
    <s v="M"/>
    <n v="60"/>
    <s v="Lovers Walk"/>
    <x v="186"/>
    <x v="33"/>
    <d v="2021-12-30T00:00:00"/>
    <x v="1"/>
    <x v="8"/>
    <n v="73"/>
    <x v="1"/>
    <x v="1"/>
    <n v="1752"/>
    <x v="480"/>
  </r>
  <r>
    <n v="2855"/>
    <x v="1005"/>
    <x v="696"/>
    <s v="Mr"/>
    <s v="M"/>
    <n v="60"/>
    <s v="Low Hall"/>
    <x v="642"/>
    <x v="3"/>
    <d v="2020-08-23T00:00:00"/>
    <x v="2"/>
    <x v="3"/>
    <n v="25"/>
    <x v="6"/>
    <x v="6"/>
    <n v="600"/>
    <x v="130"/>
  </r>
  <r>
    <n v="2856"/>
    <x v="603"/>
    <x v="778"/>
    <s v="Mr"/>
    <s v="M"/>
    <n v="30"/>
    <s v="Lower Agnes"/>
    <x v="950"/>
    <x v="2"/>
    <d v="2020-09-21T00:00:00"/>
    <x v="2"/>
    <x v="9"/>
    <n v="84"/>
    <x v="6"/>
    <x v="6"/>
    <n v="2016"/>
    <x v="68"/>
  </r>
  <r>
    <n v="2857"/>
    <x v="1959"/>
    <x v="899"/>
    <s v="Mr"/>
    <s v="M"/>
    <n v="90"/>
    <s v="Lower Belgrave"/>
    <x v="994"/>
    <x v="2"/>
    <d v="2022-05-29T00:00:00"/>
    <x v="0"/>
    <x v="11"/>
    <n v="16"/>
    <x v="5"/>
    <x v="5"/>
    <n v="384"/>
    <x v="731"/>
  </r>
  <r>
    <n v="2858"/>
    <x v="1116"/>
    <x v="64"/>
    <s v="Mr"/>
    <s v="M"/>
    <n v="90"/>
    <s v="Lower Chapman"/>
    <x v="164"/>
    <x v="17"/>
    <d v="2022-12-18T00:00:00"/>
    <x v="0"/>
    <x v="8"/>
    <n v="8"/>
    <x v="3"/>
    <x v="3"/>
    <n v="192"/>
    <x v="213"/>
  </r>
  <r>
    <n v="2859"/>
    <x v="1765"/>
    <x v="1330"/>
    <s v="Ms"/>
    <s v="F"/>
    <n v="90"/>
    <s v="Lower Chester"/>
    <x v="508"/>
    <x v="2"/>
    <d v="2021-04-21T00:00:00"/>
    <x v="1"/>
    <x v="4"/>
    <n v="48"/>
    <x v="7"/>
    <x v="7"/>
    <n v="960"/>
    <x v="953"/>
  </r>
  <r>
    <n v="2860"/>
    <x v="1960"/>
    <x v="1119"/>
    <s v="Miss"/>
    <s v="F"/>
    <n v="90"/>
    <s v="Lower Cornwall"/>
    <x v="859"/>
    <x v="2"/>
    <d v="2022-02-21T00:00:00"/>
    <x v="0"/>
    <x v="10"/>
    <n v="52"/>
    <x v="9"/>
    <x v="9"/>
    <n v="1248"/>
    <x v="915"/>
  </r>
  <r>
    <n v="2861"/>
    <x v="1961"/>
    <x v="228"/>
    <s v="Mrs"/>
    <s v="F"/>
    <n v="30"/>
    <s v="Lower Eglinton"/>
    <x v="1073"/>
    <x v="1"/>
    <d v="2022-05-07T00:00:00"/>
    <x v="0"/>
    <x v="11"/>
    <n v="105"/>
    <x v="0"/>
    <x v="0"/>
    <n v="2100"/>
    <x v="703"/>
  </r>
  <r>
    <n v="2862"/>
    <x v="1962"/>
    <x v="1511"/>
    <s v="Mrs"/>
    <s v="F"/>
    <n v="30"/>
    <s v="Lower Hall"/>
    <x v="1062"/>
    <x v="33"/>
    <d v="2020-01-08T00:00:00"/>
    <x v="2"/>
    <x v="6"/>
    <n v="53"/>
    <x v="0"/>
    <x v="0"/>
    <n v="1060"/>
    <x v="200"/>
  </r>
  <r>
    <n v="2863"/>
    <x v="1963"/>
    <x v="1512"/>
    <s v="Mrs"/>
    <s v="F"/>
    <n v="30"/>
    <s v="Lower Kennington"/>
    <x v="306"/>
    <x v="2"/>
    <d v="2021-03-01T00:00:00"/>
    <x v="1"/>
    <x v="5"/>
    <n v="15"/>
    <x v="6"/>
    <x v="6"/>
    <n v="360"/>
    <x v="747"/>
  </r>
  <r>
    <n v="2864"/>
    <x v="1448"/>
    <x v="1513"/>
    <s v="Mr"/>
    <s v="M"/>
    <n v="90"/>
    <s v="Lower Mansfield"/>
    <x v="989"/>
    <x v="2"/>
    <d v="2022-02-07T00:00:00"/>
    <x v="0"/>
    <x v="10"/>
    <n v="40"/>
    <x v="4"/>
    <x v="4"/>
    <n v="720"/>
    <x v="939"/>
  </r>
  <r>
    <n v="2865"/>
    <x v="1964"/>
    <x v="1231"/>
    <s v="Miss"/>
    <s v="F"/>
    <n v="90"/>
    <s v="Lower Place"/>
    <x v="1036"/>
    <x v="2"/>
    <d v="2022-06-11T00:00:00"/>
    <x v="0"/>
    <x v="2"/>
    <n v="72"/>
    <x v="0"/>
    <x v="0"/>
    <n v="1440"/>
    <x v="560"/>
  </r>
  <r>
    <n v="2866"/>
    <x v="1115"/>
    <x v="1329"/>
    <s v="Miss"/>
    <s v="F"/>
    <n v="90"/>
    <s v="Lower Shadwell"/>
    <x v="656"/>
    <x v="2"/>
    <d v="2020-07-29T00:00:00"/>
    <x v="2"/>
    <x v="0"/>
    <n v="63"/>
    <x v="6"/>
    <x v="6"/>
    <n v="1512"/>
    <x v="375"/>
  </r>
  <r>
    <n v="2867"/>
    <x v="1965"/>
    <x v="1514"/>
    <s v="Mr"/>
    <s v="M"/>
    <n v="90"/>
    <s v="Lowman Road"/>
    <x v="216"/>
    <x v="17"/>
    <d v="2020-06-04T00:00:00"/>
    <x v="2"/>
    <x v="2"/>
    <n v="51"/>
    <x v="6"/>
    <x v="6"/>
    <n v="1224"/>
    <x v="869"/>
  </r>
  <r>
    <n v="2868"/>
    <x v="1907"/>
    <x v="1059"/>
    <s v="Mr"/>
    <s v="M"/>
    <n v="90"/>
    <s v="Lowther Gardens"/>
    <x v="1175"/>
    <x v="2"/>
    <d v="2020-10-27T00:00:00"/>
    <x v="2"/>
    <x v="1"/>
    <n v="33"/>
    <x v="2"/>
    <x v="2"/>
    <n v="561"/>
    <x v="608"/>
  </r>
  <r>
    <n v="2869"/>
    <x v="790"/>
    <x v="1252"/>
    <s v="Mr"/>
    <s v="M"/>
    <n v="30"/>
    <s v="Lowther Hill"/>
    <x v="484"/>
    <x v="2"/>
    <d v="2022-12-15T00:00:00"/>
    <x v="0"/>
    <x v="8"/>
    <n v="65"/>
    <x v="5"/>
    <x v="5"/>
    <n v="1560"/>
    <x v="140"/>
  </r>
  <r>
    <n v="2870"/>
    <x v="1762"/>
    <x v="1461"/>
    <s v="Mr"/>
    <s v="M"/>
    <n v="60"/>
    <s v="Lucey Way"/>
    <x v="556"/>
    <x v="24"/>
    <d v="2021-07-12T00:00:00"/>
    <x v="1"/>
    <x v="0"/>
    <n v="91"/>
    <x v="9"/>
    <x v="9"/>
    <n v="2184"/>
    <x v="388"/>
  </r>
  <r>
    <n v="2871"/>
    <x v="1966"/>
    <x v="1056"/>
    <s v="Miss"/>
    <s v="F"/>
    <n v="60"/>
    <s v="Lucey Way"/>
    <x v="230"/>
    <x v="2"/>
    <d v="2020-12-03T00:00:00"/>
    <x v="2"/>
    <x v="8"/>
    <n v="37"/>
    <x v="7"/>
    <x v="7"/>
    <n v="740"/>
    <x v="398"/>
  </r>
  <r>
    <n v="2872"/>
    <x v="552"/>
    <x v="693"/>
    <s v="Mr"/>
    <s v="M"/>
    <n v="30"/>
    <s v="Ludgate Circus"/>
    <x v="590"/>
    <x v="2"/>
    <d v="2020-05-29T00:00:00"/>
    <x v="2"/>
    <x v="11"/>
    <n v="13"/>
    <x v="8"/>
    <x v="8"/>
    <n v="260"/>
    <x v="880"/>
  </r>
  <r>
    <n v="2873"/>
    <x v="1803"/>
    <x v="1378"/>
    <s v="Mrs"/>
    <s v="F"/>
    <n v="90"/>
    <s v="Ludgate Circus"/>
    <x v="383"/>
    <x v="2"/>
    <d v="2020-04-30T00:00:00"/>
    <x v="2"/>
    <x v="4"/>
    <n v="17"/>
    <x v="8"/>
    <x v="8"/>
    <n v="340"/>
    <x v="669"/>
  </r>
  <r>
    <n v="2874"/>
    <x v="453"/>
    <x v="1515"/>
    <s v="Miss"/>
    <s v="F"/>
    <n v="60"/>
    <s v="Lukin Crescent"/>
    <x v="1166"/>
    <x v="21"/>
    <d v="2021-11-07T00:00:00"/>
    <x v="1"/>
    <x v="7"/>
    <n v="5"/>
    <x v="3"/>
    <x v="3"/>
    <n v="120"/>
    <x v="954"/>
  </r>
  <r>
    <n v="2875"/>
    <x v="578"/>
    <x v="116"/>
    <s v="Mr"/>
    <s v="M"/>
    <n v="90"/>
    <s v="Lulworth Road"/>
    <x v="1176"/>
    <x v="17"/>
    <d v="2020-05-16T00:00:00"/>
    <x v="2"/>
    <x v="11"/>
    <n v="81"/>
    <x v="9"/>
    <x v="9"/>
    <n v="1944"/>
    <x v="836"/>
  </r>
  <r>
    <n v="2876"/>
    <x v="1762"/>
    <x v="1516"/>
    <s v="Mr"/>
    <s v="M"/>
    <n v="60"/>
    <s v="Lundy Walk"/>
    <x v="839"/>
    <x v="21"/>
    <d v="2021-12-28T00:00:00"/>
    <x v="1"/>
    <x v="8"/>
    <n v="15"/>
    <x v="0"/>
    <x v="0"/>
    <n v="300"/>
    <x v="646"/>
  </r>
  <r>
    <n v="2877"/>
    <x v="547"/>
    <x v="595"/>
    <s v="Mr"/>
    <s v="M"/>
    <n v="60"/>
    <s v="Lutheran Place"/>
    <x v="117"/>
    <x v="2"/>
    <d v="2021-10-06T00:00:00"/>
    <x v="1"/>
    <x v="1"/>
    <n v="66"/>
    <x v="2"/>
    <x v="2"/>
    <n v="1122"/>
    <x v="771"/>
  </r>
  <r>
    <n v="2878"/>
    <x v="471"/>
    <x v="264"/>
    <s v="Mr"/>
    <s v="M"/>
    <n v="60"/>
    <s v="Lutomer House"/>
    <x v="124"/>
    <x v="10"/>
    <d v="2020-07-22T00:00:00"/>
    <x v="2"/>
    <x v="0"/>
    <n v="27"/>
    <x v="9"/>
    <x v="9"/>
    <n v="648"/>
    <x v="858"/>
  </r>
  <r>
    <n v="2879"/>
    <x v="1967"/>
    <x v="1070"/>
    <s v="Mr"/>
    <s v="M"/>
    <n v="90"/>
    <s v="Luton House"/>
    <x v="876"/>
    <x v="2"/>
    <d v="2020-10-03T00:00:00"/>
    <x v="2"/>
    <x v="1"/>
    <n v="44"/>
    <x v="4"/>
    <x v="4"/>
    <n v="792"/>
    <x v="613"/>
  </r>
  <r>
    <n v="2880"/>
    <x v="122"/>
    <x v="788"/>
    <s v="Mrs"/>
    <s v="F"/>
    <n v="60"/>
    <s v="Luxemburg Gardens"/>
    <x v="823"/>
    <x v="16"/>
    <d v="2020-10-10T00:00:00"/>
    <x v="2"/>
    <x v="1"/>
    <n v="63"/>
    <x v="8"/>
    <x v="8"/>
    <n v="1260"/>
    <x v="435"/>
  </r>
  <r>
    <n v="2881"/>
    <x v="1968"/>
    <x v="93"/>
    <s v="Mrs"/>
    <s v="F"/>
    <n v="90"/>
    <s v="Luxford Street"/>
    <x v="1000"/>
    <x v="1"/>
    <d v="2021-09-17T00:00:00"/>
    <x v="1"/>
    <x v="9"/>
    <n v="79"/>
    <x v="7"/>
    <x v="7"/>
    <n v="1580"/>
    <x v="822"/>
  </r>
  <r>
    <n v="2882"/>
    <x v="1133"/>
    <x v="1517"/>
    <s v="Mr"/>
    <s v="M"/>
    <n v="90"/>
    <s v="Lyall Avenue"/>
    <x v="259"/>
    <x v="2"/>
    <d v="2022-05-25T00:00:00"/>
    <x v="0"/>
    <x v="11"/>
    <n v="53"/>
    <x v="6"/>
    <x v="6"/>
    <n v="1272"/>
    <x v="841"/>
  </r>
  <r>
    <n v="2883"/>
    <x v="1969"/>
    <x v="612"/>
    <s v="Prof"/>
    <s v="M"/>
    <n v="30"/>
    <s v="Lydden Road"/>
    <x v="1177"/>
    <x v="1"/>
    <d v="2020-06-28T00:00:00"/>
    <x v="2"/>
    <x v="2"/>
    <n v="52"/>
    <x v="5"/>
    <x v="5"/>
    <n v="1248"/>
    <x v="839"/>
  </r>
  <r>
    <n v="2884"/>
    <x v="464"/>
    <x v="470"/>
    <s v="Miss"/>
    <s v="F"/>
    <n v="30"/>
    <s v="Lydia'S Cottages"/>
    <x v="939"/>
    <x v="13"/>
    <d v="2022-07-01T00:00:00"/>
    <x v="0"/>
    <x v="0"/>
    <n v="102"/>
    <x v="5"/>
    <x v="5"/>
    <n v="2448"/>
    <x v="844"/>
  </r>
  <r>
    <n v="2885"/>
    <x v="1970"/>
    <x v="1301"/>
    <s v="Miss"/>
    <s v="F"/>
    <n v="60"/>
    <s v="Lydney Cls"/>
    <x v="363"/>
    <x v="11"/>
    <d v="2021-05-13T00:00:00"/>
    <x v="1"/>
    <x v="11"/>
    <n v="82"/>
    <x v="2"/>
    <x v="2"/>
    <n v="1394"/>
    <x v="618"/>
  </r>
  <r>
    <n v="2886"/>
    <x v="1970"/>
    <x v="1505"/>
    <s v="Miss"/>
    <s v="F"/>
    <n v="90"/>
    <s v="Lympstone Gardens"/>
    <x v="295"/>
    <x v="17"/>
    <d v="2020-03-05T00:00:00"/>
    <x v="2"/>
    <x v="5"/>
    <n v="56"/>
    <x v="1"/>
    <x v="1"/>
    <n v="1344"/>
    <x v="819"/>
  </r>
  <r>
    <n v="2887"/>
    <x v="1000"/>
    <x v="865"/>
    <s v="Mr"/>
    <s v="M"/>
    <n v="90"/>
    <s v="Lyn Mews"/>
    <x v="234"/>
    <x v="2"/>
    <d v="2020-03-09T00:00:00"/>
    <x v="2"/>
    <x v="5"/>
    <n v="75"/>
    <x v="0"/>
    <x v="0"/>
    <n v="1500"/>
    <x v="20"/>
  </r>
  <r>
    <n v="2888"/>
    <x v="538"/>
    <x v="1477"/>
    <s v="Mr"/>
    <s v="M"/>
    <n v="30"/>
    <s v="Lynbrook Close"/>
    <x v="844"/>
    <x v="2"/>
    <d v="2021-08-09T00:00:00"/>
    <x v="1"/>
    <x v="3"/>
    <n v="25"/>
    <x v="4"/>
    <x v="4"/>
    <n v="450"/>
    <x v="792"/>
  </r>
  <r>
    <n v="2889"/>
    <x v="681"/>
    <x v="1064"/>
    <s v="Mr"/>
    <s v="M"/>
    <n v="60"/>
    <s v="Lyndhurst Gardens"/>
    <x v="285"/>
    <x v="2"/>
    <d v="2022-02-04T00:00:00"/>
    <x v="0"/>
    <x v="10"/>
    <n v="82"/>
    <x v="5"/>
    <x v="5"/>
    <n v="1968"/>
    <x v="682"/>
  </r>
  <r>
    <n v="2890"/>
    <x v="1971"/>
    <x v="1518"/>
    <s v="Mrs"/>
    <s v="F"/>
    <n v="30"/>
    <s v="Lyndhurst Road"/>
    <x v="1178"/>
    <x v="2"/>
    <d v="2022-09-13T00:00:00"/>
    <x v="0"/>
    <x v="9"/>
    <n v="53"/>
    <x v="0"/>
    <x v="0"/>
    <n v="1060"/>
    <x v="200"/>
  </r>
  <r>
    <n v="2891"/>
    <x v="1812"/>
    <x v="1519"/>
    <s v="Mrs"/>
    <s v="F"/>
    <n v="60"/>
    <s v="Lynford Terrace"/>
    <x v="634"/>
    <x v="2"/>
    <d v="2022-10-07T00:00:00"/>
    <x v="0"/>
    <x v="1"/>
    <n v="62"/>
    <x v="1"/>
    <x v="1"/>
    <n v="1488"/>
    <x v="467"/>
  </r>
  <r>
    <n v="2892"/>
    <x v="1972"/>
    <x v="758"/>
    <s v="Mrs"/>
    <s v="F"/>
    <n v="60"/>
    <s v="Lynton Estate"/>
    <x v="762"/>
    <x v="43"/>
    <d v="2022-01-04T00:00:00"/>
    <x v="0"/>
    <x v="6"/>
    <n v="83"/>
    <x v="6"/>
    <x v="6"/>
    <n v="1992"/>
    <x v="294"/>
  </r>
  <r>
    <n v="2893"/>
    <x v="1091"/>
    <x v="735"/>
    <s v="Mr"/>
    <s v="M"/>
    <n v="60"/>
    <s v="Lynton Road"/>
    <x v="1179"/>
    <x v="16"/>
    <d v="2020-10-19T00:00:00"/>
    <x v="2"/>
    <x v="1"/>
    <n v="52"/>
    <x v="8"/>
    <x v="8"/>
    <n v="1040"/>
    <x v="371"/>
  </r>
  <r>
    <n v="2894"/>
    <x v="1973"/>
    <x v="727"/>
    <s v="Mr"/>
    <s v="M"/>
    <n v="60"/>
    <s v="Lynton Terrace"/>
    <x v="729"/>
    <x v="44"/>
    <d v="2021-09-20T00:00:00"/>
    <x v="1"/>
    <x v="9"/>
    <n v="34"/>
    <x v="2"/>
    <x v="2"/>
    <n v="578"/>
    <x v="502"/>
  </r>
  <r>
    <n v="2895"/>
    <x v="218"/>
    <x v="219"/>
    <s v="Mrs"/>
    <s v="F"/>
    <n v="60"/>
    <s v="Lyon Road"/>
    <x v="527"/>
    <x v="2"/>
    <d v="2021-03-24T00:00:00"/>
    <x v="1"/>
    <x v="5"/>
    <n v="57"/>
    <x v="2"/>
    <x v="2"/>
    <n v="969"/>
    <x v="489"/>
  </r>
  <r>
    <n v="2896"/>
    <x v="1974"/>
    <x v="247"/>
    <s v="Miss"/>
    <s v="F"/>
    <n v="30"/>
    <s v="Lyons Terrace"/>
    <x v="954"/>
    <x v="2"/>
    <d v="2022-10-17T00:00:00"/>
    <x v="0"/>
    <x v="1"/>
    <n v="85"/>
    <x v="0"/>
    <x v="0"/>
    <n v="1700"/>
    <x v="918"/>
  </r>
  <r>
    <n v="2897"/>
    <x v="1975"/>
    <x v="1182"/>
    <s v="Mr"/>
    <s v="M"/>
    <n v="60"/>
    <s v="Lyons Yard"/>
    <x v="554"/>
    <x v="2"/>
    <d v="2021-05-23T00:00:00"/>
    <x v="1"/>
    <x v="11"/>
    <n v="87"/>
    <x v="8"/>
    <x v="8"/>
    <n v="1740"/>
    <x v="324"/>
  </r>
  <r>
    <n v="2898"/>
    <x v="1976"/>
    <x v="1279"/>
    <s v="Mrs"/>
    <s v="F"/>
    <n v="60"/>
    <s v="Lysia Street"/>
    <x v="1180"/>
    <x v="1"/>
    <d v="2022-06-18T00:00:00"/>
    <x v="0"/>
    <x v="2"/>
    <n v="66"/>
    <x v="4"/>
    <x v="4"/>
    <n v="1188"/>
    <x v="15"/>
  </r>
  <r>
    <n v="2899"/>
    <x v="17"/>
    <x v="1379"/>
    <s v="Mr"/>
    <s v="M"/>
    <n v="30"/>
    <s v="Lytton Strachey"/>
    <x v="395"/>
    <x v="2"/>
    <d v="2020-09-14T00:00:00"/>
    <x v="2"/>
    <x v="9"/>
    <n v="65"/>
    <x v="1"/>
    <x v="1"/>
    <n v="1560"/>
    <x v="455"/>
  </r>
  <r>
    <n v="2900"/>
    <x v="1664"/>
    <x v="1235"/>
    <s v="Miss"/>
    <s v="F"/>
    <n v="60"/>
    <s v="Macartney House"/>
    <x v="670"/>
    <x v="10"/>
    <d v="2020-08-05T00:00:00"/>
    <x v="2"/>
    <x v="3"/>
    <n v="85"/>
    <x v="3"/>
    <x v="3"/>
    <n v="2040"/>
    <x v="573"/>
  </r>
  <r>
    <n v="2901"/>
    <x v="1977"/>
    <x v="1520"/>
    <s v="Mrs"/>
    <s v="F"/>
    <n v="30"/>
    <s v="Macartney House"/>
    <x v="458"/>
    <x v="21"/>
    <d v="2021-03-15T00:00:00"/>
    <x v="1"/>
    <x v="5"/>
    <n v="50"/>
    <x v="1"/>
    <x v="1"/>
    <n v="1200"/>
    <x v="19"/>
  </r>
  <r>
    <n v="2902"/>
    <x v="1978"/>
    <x v="1392"/>
    <s v="Mrs"/>
    <s v="F"/>
    <n v="90"/>
    <s v="Macartney House"/>
    <x v="595"/>
    <x v="11"/>
    <d v="2022-06-29T00:00:00"/>
    <x v="0"/>
    <x v="2"/>
    <n v="101"/>
    <x v="8"/>
    <x v="8"/>
    <n v="2020"/>
    <x v="955"/>
  </r>
  <r>
    <n v="2903"/>
    <x v="1979"/>
    <x v="497"/>
    <s v="Mrs"/>
    <s v="F"/>
    <n v="90"/>
    <s v="Macaulay Way"/>
    <x v="341"/>
    <x v="21"/>
    <d v="2021-07-26T00:00:00"/>
    <x v="1"/>
    <x v="0"/>
    <n v="28"/>
    <x v="8"/>
    <x v="8"/>
    <n v="560"/>
    <x v="825"/>
  </r>
  <r>
    <n v="2904"/>
    <x v="1980"/>
    <x v="1521"/>
    <s v="Mr"/>
    <s v="M"/>
    <n v="90"/>
    <s v="Macclesfield Road"/>
    <x v="80"/>
    <x v="2"/>
    <d v="2022-03-19T00:00:00"/>
    <x v="0"/>
    <x v="5"/>
    <n v="80"/>
    <x v="1"/>
    <x v="1"/>
    <n v="1920"/>
    <x v="956"/>
  </r>
  <r>
    <n v="2905"/>
    <x v="1451"/>
    <x v="1510"/>
    <s v="Mr"/>
    <s v="M"/>
    <n v="90"/>
    <s v="Macduff Road"/>
    <x v="1181"/>
    <x v="2"/>
    <d v="2020-08-10T00:00:00"/>
    <x v="2"/>
    <x v="3"/>
    <n v="26"/>
    <x v="9"/>
    <x v="9"/>
    <n v="624"/>
    <x v="663"/>
  </r>
  <r>
    <n v="2906"/>
    <x v="1981"/>
    <x v="930"/>
    <s v="Miss"/>
    <s v="F"/>
    <n v="90"/>
    <s v="Macduff Terrace"/>
    <x v="344"/>
    <x v="46"/>
    <d v="2022-04-02T00:00:00"/>
    <x v="0"/>
    <x v="4"/>
    <n v="16"/>
    <x v="8"/>
    <x v="8"/>
    <n v="320"/>
    <x v="730"/>
  </r>
  <r>
    <n v="2907"/>
    <x v="430"/>
    <x v="147"/>
    <s v="Mr"/>
    <s v="M"/>
    <n v="60"/>
    <s v="Mackintosh Lane"/>
    <x v="150"/>
    <x v="2"/>
    <d v="2020-05-08T00:00:00"/>
    <x v="2"/>
    <x v="11"/>
    <n v="27"/>
    <x v="3"/>
    <x v="3"/>
    <n v="648"/>
    <x v="884"/>
  </r>
  <r>
    <n v="2908"/>
    <x v="1982"/>
    <x v="1299"/>
    <s v="Ms"/>
    <s v="F"/>
    <n v="60"/>
    <s v="Maconochies Road"/>
    <x v="623"/>
    <x v="76"/>
    <d v="2022-06-27T00:00:00"/>
    <x v="0"/>
    <x v="2"/>
    <n v="65"/>
    <x v="4"/>
    <x v="4"/>
    <n v="1170"/>
    <x v="389"/>
  </r>
  <r>
    <n v="2909"/>
    <x v="8"/>
    <x v="1522"/>
    <s v="Mrs"/>
    <s v="F"/>
    <n v="60"/>
    <s v="Magdalen Passage"/>
    <x v="842"/>
    <x v="17"/>
    <d v="2022-02-02T00:00:00"/>
    <x v="0"/>
    <x v="10"/>
    <n v="17"/>
    <x v="4"/>
    <x v="4"/>
    <n v="306"/>
    <x v="567"/>
  </r>
  <r>
    <n v="2910"/>
    <x v="1983"/>
    <x v="1507"/>
    <s v="Miss"/>
    <s v="F"/>
    <n v="30"/>
    <s v="Magnolia Place"/>
    <x v="872"/>
    <x v="1"/>
    <d v="2022-08-21T00:00:00"/>
    <x v="0"/>
    <x v="3"/>
    <n v="17"/>
    <x v="9"/>
    <x v="9"/>
    <n v="408"/>
    <x v="473"/>
  </r>
  <r>
    <n v="2911"/>
    <x v="422"/>
    <x v="448"/>
    <s v="Mr"/>
    <s v="M"/>
    <n v="60"/>
    <s v="Maguire Street"/>
    <x v="207"/>
    <x v="12"/>
    <d v="2020-07-21T00:00:00"/>
    <x v="2"/>
    <x v="0"/>
    <n v="46"/>
    <x v="6"/>
    <x v="6"/>
    <n v="1104"/>
    <x v="199"/>
  </r>
  <r>
    <n v="2912"/>
    <x v="1842"/>
    <x v="87"/>
    <s v="Miss"/>
    <s v="F"/>
    <n v="60"/>
    <s v="Maidenhead Court"/>
    <x v="831"/>
    <x v="85"/>
    <d v="2021-02-19T00:00:00"/>
    <x v="1"/>
    <x v="10"/>
    <n v="16"/>
    <x v="9"/>
    <x v="9"/>
    <n v="384"/>
    <x v="586"/>
  </r>
  <r>
    <n v="2913"/>
    <x v="1240"/>
    <x v="475"/>
    <s v="Mr"/>
    <s v="M"/>
    <n v="90"/>
    <s v="Maismore Cottages"/>
    <x v="1182"/>
    <x v="90"/>
    <d v="2022-04-14T00:00:00"/>
    <x v="0"/>
    <x v="4"/>
    <n v="47"/>
    <x v="2"/>
    <x v="2"/>
    <n v="799"/>
    <x v="670"/>
  </r>
  <r>
    <n v="2914"/>
    <x v="484"/>
    <x v="22"/>
    <s v="Mr"/>
    <s v="M"/>
    <n v="90"/>
    <s v="Maize Row"/>
    <x v="572"/>
    <x v="41"/>
    <d v="2022-04-21T00:00:00"/>
    <x v="0"/>
    <x v="4"/>
    <n v="70"/>
    <x v="7"/>
    <x v="7"/>
    <n v="1400"/>
    <x v="399"/>
  </r>
  <r>
    <n v="2915"/>
    <x v="1984"/>
    <x v="810"/>
    <s v="Mr"/>
    <s v="M"/>
    <n v="60"/>
    <s v="Maizel Street"/>
    <x v="369"/>
    <x v="1"/>
    <d v="2022-08-15T00:00:00"/>
    <x v="0"/>
    <x v="3"/>
    <n v="105"/>
    <x v="8"/>
    <x v="8"/>
    <n v="2100"/>
    <x v="430"/>
  </r>
  <r>
    <n v="2916"/>
    <x v="142"/>
    <x v="451"/>
    <s v="Ms"/>
    <s v="F"/>
    <n v="90"/>
    <s v="Makepeace Road"/>
    <x v="800"/>
    <x v="11"/>
    <d v="2021-12-31T00:00:00"/>
    <x v="1"/>
    <x v="8"/>
    <n v="7"/>
    <x v="1"/>
    <x v="1"/>
    <n v="168"/>
    <x v="629"/>
  </r>
  <r>
    <n v="2917"/>
    <x v="1985"/>
    <x v="770"/>
    <s v="Miss"/>
    <s v="F"/>
    <n v="90"/>
    <s v="Malbrook Road"/>
    <x v="200"/>
    <x v="13"/>
    <d v="2021-08-16T00:00:00"/>
    <x v="1"/>
    <x v="3"/>
    <n v="2"/>
    <x v="8"/>
    <x v="8"/>
    <n v="40"/>
    <x v="264"/>
  </r>
  <r>
    <n v="2918"/>
    <x v="1131"/>
    <x v="638"/>
    <s v="Miss"/>
    <s v="F"/>
    <n v="30"/>
    <s v="Malcolm Crescent"/>
    <x v="658"/>
    <x v="27"/>
    <d v="2022-10-11T00:00:00"/>
    <x v="0"/>
    <x v="1"/>
    <n v="4"/>
    <x v="4"/>
    <x v="4"/>
    <n v="72"/>
    <x v="486"/>
  </r>
  <r>
    <n v="2919"/>
    <x v="1986"/>
    <x v="1288"/>
    <s v="Mr"/>
    <s v="M"/>
    <n v="30"/>
    <s v="Maldon Road"/>
    <x v="148"/>
    <x v="2"/>
    <d v="2022-08-02T00:00:00"/>
    <x v="0"/>
    <x v="3"/>
    <n v="105"/>
    <x v="6"/>
    <x v="6"/>
    <n v="2520"/>
    <x v="933"/>
  </r>
  <r>
    <n v="2920"/>
    <x v="1987"/>
    <x v="706"/>
    <s v="Mr"/>
    <s v="M"/>
    <n v="30"/>
    <s v="Maldon Road"/>
    <x v="829"/>
    <x v="2"/>
    <d v="2022-08-16T00:00:00"/>
    <x v="0"/>
    <x v="3"/>
    <n v="22"/>
    <x v="2"/>
    <x v="2"/>
    <n v="374"/>
    <x v="871"/>
  </r>
  <r>
    <n v="2921"/>
    <x v="1017"/>
    <x v="877"/>
    <s v="Mr"/>
    <s v="M"/>
    <n v="30"/>
    <s v="Malet Place"/>
    <x v="1183"/>
    <x v="42"/>
    <d v="2022-08-19T00:00:00"/>
    <x v="0"/>
    <x v="3"/>
    <n v="92"/>
    <x v="8"/>
    <x v="8"/>
    <n v="1840"/>
    <x v="628"/>
  </r>
  <r>
    <n v="2922"/>
    <x v="1988"/>
    <x v="1523"/>
    <s v="Mrs"/>
    <s v="F"/>
    <n v="60"/>
    <s v="Maley Avenue"/>
    <x v="1162"/>
    <x v="8"/>
    <d v="2022-06-16T00:00:00"/>
    <x v="0"/>
    <x v="2"/>
    <n v="87"/>
    <x v="2"/>
    <x v="2"/>
    <n v="1479"/>
    <x v="700"/>
  </r>
  <r>
    <n v="2923"/>
    <x v="323"/>
    <x v="466"/>
    <s v="Mr"/>
    <s v="M"/>
    <n v="90"/>
    <s v="Malford Court"/>
    <x v="861"/>
    <x v="11"/>
    <d v="2020-01-29T00:00:00"/>
    <x v="2"/>
    <x v="6"/>
    <n v="13"/>
    <x v="6"/>
    <x v="6"/>
    <n v="312"/>
    <x v="846"/>
  </r>
  <r>
    <n v="2924"/>
    <x v="950"/>
    <x v="839"/>
    <s v="Mr"/>
    <s v="M"/>
    <n v="60"/>
    <s v="Mallams Mews"/>
    <x v="568"/>
    <x v="8"/>
    <d v="2020-10-14T00:00:00"/>
    <x v="2"/>
    <x v="1"/>
    <n v="34"/>
    <x v="4"/>
    <x v="4"/>
    <n v="612"/>
    <x v="503"/>
  </r>
  <r>
    <n v="2925"/>
    <x v="1989"/>
    <x v="238"/>
    <s v="Mr"/>
    <s v="M"/>
    <n v="60"/>
    <s v="Mallard Way"/>
    <x v="489"/>
    <x v="69"/>
    <d v="2022-06-25T00:00:00"/>
    <x v="0"/>
    <x v="2"/>
    <n v="38"/>
    <x v="3"/>
    <x v="3"/>
    <n v="912"/>
    <x v="117"/>
  </r>
  <r>
    <n v="2926"/>
    <x v="1990"/>
    <x v="1518"/>
    <s v="Mrs"/>
    <s v="F"/>
    <n v="60"/>
    <s v="Mallet Road"/>
    <x v="1184"/>
    <x v="0"/>
    <d v="2022-09-22T00:00:00"/>
    <x v="0"/>
    <x v="9"/>
    <n v="91"/>
    <x v="2"/>
    <x v="2"/>
    <n v="1547"/>
    <x v="3"/>
  </r>
  <r>
    <n v="2927"/>
    <x v="1991"/>
    <x v="147"/>
    <s v="Ms"/>
    <s v="F"/>
    <n v="60"/>
    <s v="Mallord Street"/>
    <x v="36"/>
    <x v="2"/>
    <d v="2020-07-19T00:00:00"/>
    <x v="2"/>
    <x v="0"/>
    <n v="80"/>
    <x v="8"/>
    <x v="8"/>
    <n v="1600"/>
    <x v="704"/>
  </r>
  <r>
    <n v="2928"/>
    <x v="1992"/>
    <x v="556"/>
    <s v="Mrs"/>
    <s v="F"/>
    <n v="30"/>
    <s v="Malton Street"/>
    <x v="146"/>
    <x v="2"/>
    <d v="2020-12-06T00:00:00"/>
    <x v="2"/>
    <x v="8"/>
    <n v="7"/>
    <x v="9"/>
    <x v="9"/>
    <n v="168"/>
    <x v="743"/>
  </r>
  <r>
    <n v="2929"/>
    <x v="1993"/>
    <x v="1524"/>
    <s v="Mrs"/>
    <s v="F"/>
    <n v="90"/>
    <s v="Maltravers Street"/>
    <x v="523"/>
    <x v="16"/>
    <d v="2022-06-18T00:00:00"/>
    <x v="0"/>
    <x v="2"/>
    <n v="49"/>
    <x v="0"/>
    <x v="0"/>
    <n v="980"/>
    <x v="357"/>
  </r>
  <r>
    <n v="2930"/>
    <x v="1994"/>
    <x v="76"/>
    <s v="Miss"/>
    <s v="F"/>
    <n v="60"/>
    <s v="Manbey Road"/>
    <x v="153"/>
    <x v="29"/>
    <d v="2022-12-03T00:00:00"/>
    <x v="0"/>
    <x v="8"/>
    <n v="23"/>
    <x v="7"/>
    <x v="7"/>
    <n v="460"/>
    <x v="909"/>
  </r>
  <r>
    <n v="2931"/>
    <x v="1995"/>
    <x v="1270"/>
    <s v="Miss"/>
    <s v="F"/>
    <n v="60"/>
    <s v="Manchester Place"/>
    <x v="955"/>
    <x v="33"/>
    <d v="2020-06-25T00:00:00"/>
    <x v="2"/>
    <x v="2"/>
    <n v="69"/>
    <x v="0"/>
    <x v="0"/>
    <n v="1380"/>
    <x v="497"/>
  </r>
  <r>
    <n v="2932"/>
    <x v="1996"/>
    <x v="839"/>
    <s v="Mrs"/>
    <s v="F"/>
    <n v="60"/>
    <s v="Manciple Street"/>
    <x v="542"/>
    <x v="2"/>
    <d v="2022-12-05T00:00:00"/>
    <x v="0"/>
    <x v="8"/>
    <n v="4"/>
    <x v="3"/>
    <x v="3"/>
    <n v="96"/>
    <x v="631"/>
  </r>
  <r>
    <n v="2933"/>
    <x v="1997"/>
    <x v="258"/>
    <s v="Mrs"/>
    <s v="F"/>
    <n v="60"/>
    <s v="Mandela Way"/>
    <x v="1132"/>
    <x v="1"/>
    <d v="2022-05-02T00:00:00"/>
    <x v="0"/>
    <x v="11"/>
    <n v="5"/>
    <x v="2"/>
    <x v="2"/>
    <n v="85"/>
    <x v="36"/>
  </r>
  <r>
    <n v="2934"/>
    <x v="1810"/>
    <x v="1525"/>
    <s v="Mr"/>
    <s v="M"/>
    <n v="60"/>
    <s v="Manette Street"/>
    <x v="760"/>
    <x v="2"/>
    <d v="2020-06-11T00:00:00"/>
    <x v="2"/>
    <x v="2"/>
    <n v="59"/>
    <x v="7"/>
    <x v="7"/>
    <n v="1180"/>
    <x v="855"/>
  </r>
  <r>
    <n v="2935"/>
    <x v="1998"/>
    <x v="1308"/>
    <s v="Miss"/>
    <s v="F"/>
    <n v="30"/>
    <s v="Manette Street"/>
    <x v="1153"/>
    <x v="2"/>
    <d v="2022-08-24T00:00:00"/>
    <x v="0"/>
    <x v="3"/>
    <n v="22"/>
    <x v="0"/>
    <x v="0"/>
    <n v="440"/>
    <x v="650"/>
  </r>
  <r>
    <n v="2936"/>
    <x v="1999"/>
    <x v="1526"/>
    <s v="Miss"/>
    <s v="F"/>
    <n v="60"/>
    <s v="Manks Place"/>
    <x v="1035"/>
    <x v="3"/>
    <d v="2021-04-30T00:00:00"/>
    <x v="1"/>
    <x v="4"/>
    <n v="54"/>
    <x v="0"/>
    <x v="0"/>
    <n v="1080"/>
    <x v="957"/>
  </r>
  <r>
    <n v="2937"/>
    <x v="1542"/>
    <x v="1133"/>
    <s v="Mr"/>
    <s v="M"/>
    <n v="30"/>
    <s v="Manks Place"/>
    <x v="172"/>
    <x v="11"/>
    <d v="2021-10-14T00:00:00"/>
    <x v="1"/>
    <x v="1"/>
    <n v="83"/>
    <x v="6"/>
    <x v="6"/>
    <n v="1992"/>
    <x v="294"/>
  </r>
  <r>
    <n v="2938"/>
    <x v="201"/>
    <x v="687"/>
    <s v="Mr"/>
    <s v="M"/>
    <n v="30"/>
    <s v="Manor Mews"/>
    <x v="86"/>
    <x v="17"/>
    <d v="2021-01-05T00:00:00"/>
    <x v="1"/>
    <x v="6"/>
    <n v="34"/>
    <x v="8"/>
    <x v="8"/>
    <n v="680"/>
    <x v="415"/>
  </r>
  <r>
    <n v="2939"/>
    <x v="1267"/>
    <x v="1269"/>
    <s v="Mr"/>
    <s v="M"/>
    <n v="30"/>
    <s v="Manor Place"/>
    <x v="148"/>
    <x v="2"/>
    <d v="2020-08-04T00:00:00"/>
    <x v="2"/>
    <x v="3"/>
    <n v="74"/>
    <x v="0"/>
    <x v="0"/>
    <n v="1480"/>
    <x v="178"/>
  </r>
  <r>
    <n v="2940"/>
    <x v="1420"/>
    <x v="1018"/>
    <s v="Mr"/>
    <s v="M"/>
    <n v="30"/>
    <s v="Manor Rise"/>
    <x v="1185"/>
    <x v="16"/>
    <d v="2021-10-11T00:00:00"/>
    <x v="1"/>
    <x v="1"/>
    <n v="92"/>
    <x v="2"/>
    <x v="2"/>
    <n v="1564"/>
    <x v="640"/>
  </r>
  <r>
    <n v="2941"/>
    <x v="1618"/>
    <x v="1527"/>
    <s v="Mr"/>
    <s v="M"/>
    <n v="60"/>
    <s v="Manor Row"/>
    <x v="1001"/>
    <x v="17"/>
    <d v="2020-04-23T00:00:00"/>
    <x v="2"/>
    <x v="4"/>
    <n v="78"/>
    <x v="9"/>
    <x v="9"/>
    <n v="1872"/>
    <x v="353"/>
  </r>
  <r>
    <n v="2942"/>
    <x v="2000"/>
    <x v="143"/>
    <s v="Mr"/>
    <s v="M"/>
    <n v="30"/>
    <s v="Manor Terrace"/>
    <x v="1186"/>
    <x v="10"/>
    <d v="2021-06-05T00:00:00"/>
    <x v="1"/>
    <x v="2"/>
    <n v="29"/>
    <x v="4"/>
    <x v="4"/>
    <n v="522"/>
    <x v="673"/>
  </r>
  <r>
    <n v="2943"/>
    <x v="2001"/>
    <x v="1381"/>
    <s v="Mrs"/>
    <s v="F"/>
    <n v="60"/>
    <s v="Manorbrook"/>
    <x v="982"/>
    <x v="88"/>
    <d v="2020-10-23T00:00:00"/>
    <x v="2"/>
    <x v="1"/>
    <n v="62"/>
    <x v="6"/>
    <x v="6"/>
    <n v="1488"/>
    <x v="343"/>
  </r>
  <r>
    <n v="2944"/>
    <x v="27"/>
    <x v="1473"/>
    <s v="Mr"/>
    <s v="M"/>
    <n v="90"/>
    <s v="Manorside Close"/>
    <x v="194"/>
    <x v="2"/>
    <d v="2020-02-15T00:00:00"/>
    <x v="2"/>
    <x v="10"/>
    <n v="39"/>
    <x v="7"/>
    <x v="7"/>
    <n v="780"/>
    <x v="145"/>
  </r>
  <r>
    <n v="2945"/>
    <x v="1921"/>
    <x v="1504"/>
    <s v="Miss"/>
    <s v="F"/>
    <n v="60"/>
    <s v="Manresa House"/>
    <x v="209"/>
    <x v="1"/>
    <d v="2020-03-21T00:00:00"/>
    <x v="2"/>
    <x v="5"/>
    <n v="74"/>
    <x v="9"/>
    <x v="9"/>
    <n v="1776"/>
    <x v="525"/>
  </r>
  <r>
    <n v="2946"/>
    <x v="119"/>
    <x v="1424"/>
    <s v="Miss"/>
    <s v="F"/>
    <n v="60"/>
    <s v="Mans Buildings"/>
    <x v="662"/>
    <x v="39"/>
    <d v="2020-06-06T00:00:00"/>
    <x v="2"/>
    <x v="2"/>
    <n v="26"/>
    <x v="4"/>
    <x v="4"/>
    <n v="468"/>
    <x v="607"/>
  </r>
  <r>
    <n v="2947"/>
    <x v="2002"/>
    <x v="1369"/>
    <s v="Mrs"/>
    <s v="F"/>
    <n v="90"/>
    <s v="Mans Buildings"/>
    <x v="155"/>
    <x v="2"/>
    <d v="2021-11-27T00:00:00"/>
    <x v="1"/>
    <x v="7"/>
    <n v="56"/>
    <x v="5"/>
    <x v="5"/>
    <n v="1344"/>
    <x v="958"/>
  </r>
  <r>
    <n v="2948"/>
    <x v="2003"/>
    <x v="1528"/>
    <s v="Mrs"/>
    <s v="F"/>
    <n v="30"/>
    <s v="Mans Court"/>
    <x v="1067"/>
    <x v="15"/>
    <d v="2022-07-24T00:00:00"/>
    <x v="0"/>
    <x v="0"/>
    <n v="103"/>
    <x v="9"/>
    <x v="9"/>
    <n v="2472"/>
    <x v="656"/>
  </r>
  <r>
    <n v="2949"/>
    <x v="1863"/>
    <x v="515"/>
    <s v="Mr"/>
    <s v="M"/>
    <n v="90"/>
    <s v="Mansell Road"/>
    <x v="259"/>
    <x v="2"/>
    <d v="2021-04-19T00:00:00"/>
    <x v="1"/>
    <x v="4"/>
    <n v="43"/>
    <x v="7"/>
    <x v="7"/>
    <n v="860"/>
    <x v="410"/>
  </r>
  <r>
    <n v="2950"/>
    <x v="2004"/>
    <x v="491"/>
    <s v="Mr"/>
    <s v="M"/>
    <n v="60"/>
    <s v="Mansion Villas"/>
    <x v="386"/>
    <x v="3"/>
    <d v="2020-05-11T00:00:00"/>
    <x v="2"/>
    <x v="11"/>
    <n v="10"/>
    <x v="4"/>
    <x v="4"/>
    <n v="180"/>
    <x v="427"/>
  </r>
  <r>
    <n v="2951"/>
    <x v="752"/>
    <x v="938"/>
    <s v="Miss"/>
    <s v="F"/>
    <n v="30"/>
    <s v="Mantle Road"/>
    <x v="31"/>
    <x v="2"/>
    <d v="2021-08-17T00:00:00"/>
    <x v="1"/>
    <x v="3"/>
    <n v="44"/>
    <x v="2"/>
    <x v="2"/>
    <n v="748"/>
    <x v="696"/>
  </r>
  <r>
    <n v="2952"/>
    <x v="183"/>
    <x v="455"/>
    <s v="Mr"/>
    <s v="M"/>
    <n v="60"/>
    <s v="Manvers Terrace"/>
    <x v="1018"/>
    <x v="20"/>
    <d v="2022-04-20T00:00:00"/>
    <x v="0"/>
    <x v="4"/>
    <n v="9"/>
    <x v="2"/>
    <x v="2"/>
    <n v="153"/>
    <x v="89"/>
  </r>
  <r>
    <n v="2953"/>
    <x v="711"/>
    <x v="1529"/>
    <s v="Mr"/>
    <s v="M"/>
    <n v="30"/>
    <s v="Maple Road"/>
    <x v="1187"/>
    <x v="16"/>
    <d v="2021-06-28T00:00:00"/>
    <x v="1"/>
    <x v="2"/>
    <n v="64"/>
    <x v="7"/>
    <x v="7"/>
    <n v="1280"/>
    <x v="230"/>
  </r>
  <r>
    <n v="2954"/>
    <x v="1485"/>
    <x v="246"/>
    <s v="Mr"/>
    <s v="M"/>
    <n v="30"/>
    <s v="Marcon Place"/>
    <x v="225"/>
    <x v="16"/>
    <d v="2022-08-14T00:00:00"/>
    <x v="0"/>
    <x v="3"/>
    <n v="92"/>
    <x v="1"/>
    <x v="1"/>
    <n v="2208"/>
    <x v="797"/>
  </r>
  <r>
    <n v="2955"/>
    <x v="214"/>
    <x v="337"/>
    <s v="Mr"/>
    <s v="M"/>
    <n v="90"/>
    <s v="Marconi Road"/>
    <x v="708"/>
    <x v="2"/>
    <d v="2020-05-18T00:00:00"/>
    <x v="2"/>
    <x v="11"/>
    <n v="62"/>
    <x v="4"/>
    <x v="4"/>
    <n v="1116"/>
    <x v="135"/>
  </r>
  <r>
    <n v="2956"/>
    <x v="2"/>
    <x v="1530"/>
    <s v="Mr"/>
    <s v="M"/>
    <n v="60"/>
    <s v="Marcus Garvey"/>
    <x v="940"/>
    <x v="2"/>
    <d v="2021-06-04T00:00:00"/>
    <x v="1"/>
    <x v="2"/>
    <n v="81"/>
    <x v="7"/>
    <x v="7"/>
    <n v="1620"/>
    <x v="540"/>
  </r>
  <r>
    <n v="2957"/>
    <x v="2005"/>
    <x v="1519"/>
    <s v="Mrs"/>
    <s v="F"/>
    <n v="60"/>
    <s v="Marden Road"/>
    <x v="959"/>
    <x v="8"/>
    <d v="2022-10-27T00:00:00"/>
    <x v="0"/>
    <x v="1"/>
    <n v="41"/>
    <x v="8"/>
    <x v="8"/>
    <n v="820"/>
    <x v="232"/>
  </r>
  <r>
    <n v="2958"/>
    <x v="72"/>
    <x v="370"/>
    <s v="Mrs"/>
    <s v="F"/>
    <n v="30"/>
    <s v="Margaret Gardner"/>
    <x v="513"/>
    <x v="16"/>
    <d v="2021-12-11T00:00:00"/>
    <x v="1"/>
    <x v="8"/>
    <n v="85"/>
    <x v="6"/>
    <x v="6"/>
    <n v="2040"/>
    <x v="711"/>
  </r>
  <r>
    <n v="2959"/>
    <x v="434"/>
    <x v="985"/>
    <s v="Mr"/>
    <s v="M"/>
    <n v="60"/>
    <s v="Margery Terrace"/>
    <x v="32"/>
    <x v="17"/>
    <d v="2020-01-23T00:00:00"/>
    <x v="2"/>
    <x v="6"/>
    <n v="82"/>
    <x v="4"/>
    <x v="4"/>
    <n v="1476"/>
    <x v="291"/>
  </r>
  <r>
    <n v="2960"/>
    <x v="2006"/>
    <x v="1531"/>
    <s v="Miss"/>
    <s v="F"/>
    <n v="60"/>
    <s v="Margravine Road"/>
    <x v="261"/>
    <x v="2"/>
    <d v="2021-02-25T00:00:00"/>
    <x v="1"/>
    <x v="10"/>
    <n v="91"/>
    <x v="0"/>
    <x v="0"/>
    <n v="1820"/>
    <x v="716"/>
  </r>
  <r>
    <n v="2961"/>
    <x v="2007"/>
    <x v="1532"/>
    <s v="Mrs"/>
    <s v="F"/>
    <n v="90"/>
    <s v="Marian Way"/>
    <x v="67"/>
    <x v="11"/>
    <d v="2022-12-20T00:00:00"/>
    <x v="0"/>
    <x v="8"/>
    <n v="59"/>
    <x v="5"/>
    <x v="5"/>
    <n v="1416"/>
    <x v="358"/>
  </r>
  <r>
    <n v="2962"/>
    <x v="1017"/>
    <x v="1414"/>
    <s v="Mr"/>
    <s v="M"/>
    <n v="60"/>
    <s v="Mariner'S Buildings"/>
    <x v="1141"/>
    <x v="1"/>
    <d v="2021-10-13T00:00:00"/>
    <x v="1"/>
    <x v="1"/>
    <n v="15"/>
    <x v="3"/>
    <x v="3"/>
    <n v="360"/>
    <x v="532"/>
  </r>
  <r>
    <n v="2963"/>
    <x v="2008"/>
    <x v="1533"/>
    <s v="Mrs"/>
    <s v="F"/>
    <n v="60"/>
    <s v="Marius Road"/>
    <x v="92"/>
    <x v="2"/>
    <d v="2020-10-15T00:00:00"/>
    <x v="2"/>
    <x v="1"/>
    <n v="45"/>
    <x v="6"/>
    <x v="6"/>
    <n v="1080"/>
    <x v="570"/>
  </r>
  <r>
    <n v="2964"/>
    <x v="2009"/>
    <x v="1138"/>
    <s v="Mr"/>
    <s v="M"/>
    <n v="30"/>
    <s v="Mark Place"/>
    <x v="202"/>
    <x v="27"/>
    <d v="2022-02-15T00:00:00"/>
    <x v="0"/>
    <x v="10"/>
    <n v="3"/>
    <x v="6"/>
    <x v="6"/>
    <n v="72"/>
    <x v="183"/>
  </r>
  <r>
    <n v="2965"/>
    <x v="2010"/>
    <x v="1476"/>
    <s v="Miss"/>
    <s v="F"/>
    <n v="30"/>
    <s v="Markfield Gardens"/>
    <x v="1077"/>
    <x v="2"/>
    <d v="2020-12-12T00:00:00"/>
    <x v="2"/>
    <x v="8"/>
    <n v="5"/>
    <x v="3"/>
    <x v="3"/>
    <n v="120"/>
    <x v="954"/>
  </r>
  <r>
    <n v="2966"/>
    <x v="2011"/>
    <x v="1534"/>
    <s v="Mr"/>
    <s v="M"/>
    <n v="90"/>
    <s v="Markham Square"/>
    <x v="679"/>
    <x v="44"/>
    <d v="2022-09-06T00:00:00"/>
    <x v="0"/>
    <x v="9"/>
    <n v="67"/>
    <x v="4"/>
    <x v="4"/>
    <n v="1206"/>
    <x v="827"/>
  </r>
  <r>
    <n v="2967"/>
    <x v="2012"/>
    <x v="1470"/>
    <s v="Mr"/>
    <s v="M"/>
    <n v="90"/>
    <s v="Markwell Close"/>
    <x v="32"/>
    <x v="17"/>
    <d v="2022-04-04T00:00:00"/>
    <x v="0"/>
    <x v="4"/>
    <n v="36"/>
    <x v="4"/>
    <x v="4"/>
    <n v="648"/>
    <x v="150"/>
  </r>
  <r>
    <n v="2968"/>
    <x v="2013"/>
    <x v="1431"/>
    <s v="Miss"/>
    <s v="F"/>
    <n v="90"/>
    <s v="Marlborough Parade"/>
    <x v="766"/>
    <x v="21"/>
    <d v="2022-11-27T00:00:00"/>
    <x v="0"/>
    <x v="7"/>
    <n v="7"/>
    <x v="6"/>
    <x v="6"/>
    <n v="168"/>
    <x v="654"/>
  </r>
  <r>
    <n v="2969"/>
    <x v="2014"/>
    <x v="624"/>
    <s v="Miss"/>
    <s v="F"/>
    <n v="90"/>
    <s v="Marlborough Road"/>
    <x v="1188"/>
    <x v="2"/>
    <d v="2020-08-22T00:00:00"/>
    <x v="2"/>
    <x v="3"/>
    <n v="44"/>
    <x v="3"/>
    <x v="3"/>
    <n v="1056"/>
    <x v="253"/>
  </r>
  <r>
    <n v="2970"/>
    <x v="2015"/>
    <x v="1535"/>
    <s v="Miss"/>
    <s v="F"/>
    <n v="60"/>
    <s v="Marlborough Terrace"/>
    <x v="332"/>
    <x v="2"/>
    <d v="2022-01-06T00:00:00"/>
    <x v="0"/>
    <x v="6"/>
    <n v="23"/>
    <x v="0"/>
    <x v="0"/>
    <n v="460"/>
    <x v="917"/>
  </r>
  <r>
    <n v="2971"/>
    <x v="119"/>
    <x v="1536"/>
    <s v="Mrs"/>
    <s v="F"/>
    <n v="30"/>
    <s v="Marleys Yard"/>
    <x v="1069"/>
    <x v="17"/>
    <d v="2022-04-09T00:00:00"/>
    <x v="0"/>
    <x v="4"/>
    <n v="28"/>
    <x v="0"/>
    <x v="0"/>
    <n v="560"/>
    <x v="635"/>
  </r>
  <r>
    <n v="2972"/>
    <x v="2016"/>
    <x v="703"/>
    <s v="Mr"/>
    <s v="M"/>
    <n v="60"/>
    <s v="Marmion Mews"/>
    <x v="274"/>
    <x v="1"/>
    <d v="2022-05-28T00:00:00"/>
    <x v="0"/>
    <x v="11"/>
    <n v="47"/>
    <x v="3"/>
    <x v="3"/>
    <n v="1128"/>
    <x v="472"/>
  </r>
  <r>
    <n v="2973"/>
    <x v="1734"/>
    <x v="1537"/>
    <s v="Miss"/>
    <s v="F"/>
    <n v="60"/>
    <s v="Marmion Road"/>
    <x v="1189"/>
    <x v="2"/>
    <d v="2022-04-05T00:00:00"/>
    <x v="0"/>
    <x v="4"/>
    <n v="38"/>
    <x v="5"/>
    <x v="5"/>
    <n v="912"/>
    <x v="244"/>
  </r>
  <r>
    <n v="2974"/>
    <x v="2017"/>
    <x v="1538"/>
    <s v="Mr"/>
    <s v="M"/>
    <n v="30"/>
    <s v="Maroons Way"/>
    <x v="642"/>
    <x v="3"/>
    <d v="2021-01-18T00:00:00"/>
    <x v="1"/>
    <x v="6"/>
    <n v="35"/>
    <x v="8"/>
    <x v="8"/>
    <n v="700"/>
    <x v="288"/>
  </r>
  <r>
    <n v="2975"/>
    <x v="2018"/>
    <x v="177"/>
    <s v="Ms"/>
    <s v="F"/>
    <n v="30"/>
    <s v="Marriots Close"/>
    <x v="901"/>
    <x v="3"/>
    <d v="2021-04-15T00:00:00"/>
    <x v="1"/>
    <x v="4"/>
    <n v="48"/>
    <x v="0"/>
    <x v="0"/>
    <n v="960"/>
    <x v="411"/>
  </r>
  <r>
    <n v="2976"/>
    <x v="1948"/>
    <x v="1253"/>
    <s v="Mr"/>
    <s v="M"/>
    <n v="60"/>
    <s v="Marsala Road"/>
    <x v="1141"/>
    <x v="1"/>
    <d v="2020-07-27T00:00:00"/>
    <x v="2"/>
    <x v="0"/>
    <n v="60"/>
    <x v="3"/>
    <x v="3"/>
    <n v="1440"/>
    <x v="261"/>
  </r>
  <r>
    <n v="2977"/>
    <x v="763"/>
    <x v="1539"/>
    <s v="Ms"/>
    <s v="F"/>
    <n v="60"/>
    <s v="Marsh"/>
    <x v="1123"/>
    <x v="2"/>
    <d v="2020-12-31T00:00:00"/>
    <x v="2"/>
    <x v="8"/>
    <n v="85"/>
    <x v="3"/>
    <x v="3"/>
    <n v="2040"/>
    <x v="573"/>
  </r>
  <r>
    <n v="2978"/>
    <x v="2019"/>
    <x v="1116"/>
    <s v="Mr"/>
    <s v="M"/>
    <n v="30"/>
    <s v="Marsh Road"/>
    <x v="588"/>
    <x v="3"/>
    <d v="2022-04-25T00:00:00"/>
    <x v="0"/>
    <x v="4"/>
    <n v="30"/>
    <x v="8"/>
    <x v="8"/>
    <n v="600"/>
    <x v="32"/>
  </r>
  <r>
    <n v="2979"/>
    <x v="1631"/>
    <x v="1540"/>
    <s v="Mr"/>
    <s v="M"/>
    <n v="30"/>
    <s v="Marsh Road"/>
    <x v="537"/>
    <x v="2"/>
    <d v="2020-06-12T00:00:00"/>
    <x v="2"/>
    <x v="2"/>
    <n v="71"/>
    <x v="5"/>
    <x v="5"/>
    <n v="1704"/>
    <x v="530"/>
  </r>
  <r>
    <n v="2980"/>
    <x v="2020"/>
    <x v="1371"/>
    <s v="Mrs"/>
    <s v="F"/>
    <n v="60"/>
    <s v="Marshall Estate"/>
    <x v="153"/>
    <x v="29"/>
    <d v="2021-02-28T00:00:00"/>
    <x v="1"/>
    <x v="10"/>
    <n v="2"/>
    <x v="3"/>
    <x v="3"/>
    <n v="48"/>
    <x v="852"/>
  </r>
  <r>
    <n v="2981"/>
    <x v="2021"/>
    <x v="654"/>
    <s v="Mr"/>
    <s v="M"/>
    <n v="60"/>
    <s v="Marshall Estate"/>
    <x v="555"/>
    <x v="28"/>
    <d v="2021-08-30T00:00:00"/>
    <x v="1"/>
    <x v="3"/>
    <n v="61"/>
    <x v="3"/>
    <x v="3"/>
    <n v="1464"/>
    <x v="585"/>
  </r>
  <r>
    <n v="2982"/>
    <x v="2022"/>
    <x v="404"/>
    <s v="Mrs"/>
    <s v="F"/>
    <n v="90"/>
    <s v="Marshalsea"/>
    <x v="590"/>
    <x v="2"/>
    <d v="2020-02-19T00:00:00"/>
    <x v="2"/>
    <x v="10"/>
    <n v="27"/>
    <x v="4"/>
    <x v="4"/>
    <n v="486"/>
    <x v="306"/>
  </r>
  <r>
    <n v="2983"/>
    <x v="2023"/>
    <x v="492"/>
    <s v="Mr"/>
    <s v="M"/>
    <n v="30"/>
    <s v="Marshalsea Road"/>
    <x v="1190"/>
    <x v="11"/>
    <d v="2020-12-30T00:00:00"/>
    <x v="2"/>
    <x v="8"/>
    <n v="34"/>
    <x v="3"/>
    <x v="3"/>
    <n v="816"/>
    <x v="464"/>
  </r>
  <r>
    <n v="2984"/>
    <x v="14"/>
    <x v="639"/>
    <s v="Miss"/>
    <s v="F"/>
    <n v="90"/>
    <s v="Marshbrook Close"/>
    <x v="436"/>
    <x v="17"/>
    <d v="2021-02-18T00:00:00"/>
    <x v="1"/>
    <x v="10"/>
    <n v="53"/>
    <x v="4"/>
    <x v="4"/>
    <n v="954"/>
    <x v="946"/>
  </r>
  <r>
    <n v="2985"/>
    <x v="2024"/>
    <x v="734"/>
    <s v="Mr"/>
    <s v="M"/>
    <n v="60"/>
    <s v="Marshgate Lane"/>
    <x v="780"/>
    <x v="2"/>
    <d v="2020-10-24T00:00:00"/>
    <x v="2"/>
    <x v="1"/>
    <n v="73"/>
    <x v="2"/>
    <x v="2"/>
    <n v="1241"/>
    <x v="557"/>
  </r>
  <r>
    <n v="2986"/>
    <x v="1075"/>
    <x v="1541"/>
    <s v="Mr"/>
    <s v="M"/>
    <n v="60"/>
    <s v="Marsland Road"/>
    <x v="75"/>
    <x v="2"/>
    <d v="2022-07-06T00:00:00"/>
    <x v="0"/>
    <x v="0"/>
    <n v="85"/>
    <x v="7"/>
    <x v="7"/>
    <n v="1700"/>
    <x v="344"/>
  </r>
  <r>
    <n v="2987"/>
    <x v="2025"/>
    <x v="377"/>
    <s v="Mr"/>
    <s v="M"/>
    <n v="30"/>
    <s v="Martha Terrace"/>
    <x v="793"/>
    <x v="2"/>
    <d v="2021-08-15T00:00:00"/>
    <x v="1"/>
    <x v="3"/>
    <n v="44"/>
    <x v="5"/>
    <x v="5"/>
    <n v="1056"/>
    <x v="424"/>
  </r>
  <r>
    <n v="2988"/>
    <x v="2026"/>
    <x v="1138"/>
    <s v="Mr"/>
    <s v="M"/>
    <n v="30"/>
    <s v="Martin Way"/>
    <x v="1165"/>
    <x v="67"/>
    <d v="2021-06-15T00:00:00"/>
    <x v="1"/>
    <x v="2"/>
    <n v="27"/>
    <x v="6"/>
    <x v="6"/>
    <n v="648"/>
    <x v="806"/>
  </r>
  <r>
    <n v="2989"/>
    <x v="2027"/>
    <x v="1270"/>
    <s v="Mr"/>
    <s v="M"/>
    <n v="60"/>
    <s v="Martineau Road"/>
    <x v="963"/>
    <x v="2"/>
    <d v="2021-09-23T00:00:00"/>
    <x v="1"/>
    <x v="9"/>
    <n v="24"/>
    <x v="4"/>
    <x v="4"/>
    <n v="432"/>
    <x v="959"/>
  </r>
  <r>
    <n v="2990"/>
    <x v="2028"/>
    <x v="1329"/>
    <s v="Mrs"/>
    <s v="F"/>
    <n v="90"/>
    <s v="Martins Brickfield"/>
    <x v="447"/>
    <x v="3"/>
    <d v="2021-12-16T00:00:00"/>
    <x v="1"/>
    <x v="8"/>
    <n v="91"/>
    <x v="9"/>
    <x v="9"/>
    <n v="2184"/>
    <x v="388"/>
  </r>
  <r>
    <n v="2991"/>
    <x v="2029"/>
    <x v="1116"/>
    <s v="Miss"/>
    <s v="F"/>
    <n v="90"/>
    <s v="Marville Road"/>
    <x v="582"/>
    <x v="2"/>
    <d v="2021-10-12T00:00:00"/>
    <x v="1"/>
    <x v="1"/>
    <n v="88"/>
    <x v="3"/>
    <x v="3"/>
    <n v="2112"/>
    <x v="697"/>
  </r>
  <r>
    <n v="2992"/>
    <x v="976"/>
    <x v="1542"/>
    <s v="Miss"/>
    <s v="F"/>
    <n v="60"/>
    <s v="Mary Datchelor"/>
    <x v="1154"/>
    <x v="18"/>
    <d v="2022-09-17T00:00:00"/>
    <x v="0"/>
    <x v="9"/>
    <n v="69"/>
    <x v="9"/>
    <x v="9"/>
    <n v="1656"/>
    <x v="174"/>
  </r>
  <r>
    <n v="2993"/>
    <x v="1190"/>
    <x v="1090"/>
    <s v="Mr"/>
    <s v="M"/>
    <n v="30"/>
    <s v="Mary Rose"/>
    <x v="729"/>
    <x v="44"/>
    <d v="2022-08-20T00:00:00"/>
    <x v="0"/>
    <x v="3"/>
    <n v="3"/>
    <x v="6"/>
    <x v="6"/>
    <n v="72"/>
    <x v="183"/>
  </r>
  <r>
    <n v="2994"/>
    <x v="2030"/>
    <x v="517"/>
    <s v="Miss"/>
    <s v="F"/>
    <n v="60"/>
    <s v="Mary Terrace"/>
    <x v="128"/>
    <x v="2"/>
    <d v="2022-02-05T00:00:00"/>
    <x v="0"/>
    <x v="10"/>
    <n v="100"/>
    <x v="8"/>
    <x v="8"/>
    <n v="2000"/>
    <x v="960"/>
  </r>
  <r>
    <n v="2995"/>
    <x v="1762"/>
    <x v="260"/>
    <s v="Mr"/>
    <s v="M"/>
    <n v="60"/>
    <s v="Maryland Road"/>
    <x v="1043"/>
    <x v="17"/>
    <d v="2022-11-25T00:00:00"/>
    <x v="0"/>
    <x v="7"/>
    <n v="54"/>
    <x v="5"/>
    <x v="5"/>
    <n v="1296"/>
    <x v="97"/>
  </r>
  <r>
    <n v="2996"/>
    <x v="570"/>
    <x v="629"/>
    <s v="Mr"/>
    <s v="M"/>
    <n v="90"/>
    <s v="Marys Cottages"/>
    <x v="971"/>
    <x v="16"/>
    <d v="2021-08-12T00:00:00"/>
    <x v="1"/>
    <x v="3"/>
    <n v="7"/>
    <x v="8"/>
    <x v="8"/>
    <n v="140"/>
    <x v="300"/>
  </r>
  <r>
    <n v="2997"/>
    <x v="245"/>
    <x v="1046"/>
    <s v="Mr"/>
    <s v="M"/>
    <n v="90"/>
    <s v="Mascotts Close"/>
    <x v="1191"/>
    <x v="12"/>
    <d v="2020-04-29T00:00:00"/>
    <x v="2"/>
    <x v="4"/>
    <n v="80"/>
    <x v="5"/>
    <x v="5"/>
    <n v="1920"/>
    <x v="592"/>
  </r>
  <r>
    <n v="2998"/>
    <x v="1122"/>
    <x v="1543"/>
    <s v="Mr"/>
    <s v="M"/>
    <n v="60"/>
    <s v="Maskani Walk"/>
    <x v="118"/>
    <x v="2"/>
    <d v="2021-06-27T00:00:00"/>
    <x v="1"/>
    <x v="2"/>
    <n v="37"/>
    <x v="6"/>
    <x v="6"/>
    <n v="888"/>
    <x v="292"/>
  </r>
  <r>
    <n v="2999"/>
    <x v="2031"/>
    <x v="1544"/>
    <s v="Miss"/>
    <s v="F"/>
    <n v="60"/>
    <s v="Maskelyne Close"/>
    <x v="1075"/>
    <x v="16"/>
    <d v="2021-08-26T00:00:00"/>
    <x v="1"/>
    <x v="3"/>
    <n v="38"/>
    <x v="6"/>
    <x v="6"/>
    <n v="912"/>
    <x v="350"/>
  </r>
  <r>
    <n v="3000"/>
    <x v="2032"/>
    <x v="1184"/>
    <s v="Miss"/>
    <s v="F"/>
    <n v="90"/>
    <s v="Mason Close"/>
    <x v="115"/>
    <x v="2"/>
    <d v="2022-10-06T00:00:00"/>
    <x v="0"/>
    <x v="1"/>
    <n v="70"/>
    <x v="0"/>
    <x v="0"/>
    <n v="1400"/>
    <x v="507"/>
  </r>
  <r>
    <n v="3001"/>
    <x v="1471"/>
    <x v="1545"/>
    <s v="Mr"/>
    <s v="M"/>
    <n v="90"/>
    <s v="Masons Avenue"/>
    <x v="1192"/>
    <x v="11"/>
    <d v="2021-07-23T00:00:00"/>
    <x v="1"/>
    <x v="0"/>
    <n v="75"/>
    <x v="7"/>
    <x v="7"/>
    <n v="1500"/>
    <x v="899"/>
  </r>
  <r>
    <n v="3002"/>
    <x v="2033"/>
    <x v="295"/>
    <s v="Dr"/>
    <s v="M"/>
    <n v="60"/>
    <s v="Mason'S Avenue"/>
    <x v="217"/>
    <x v="2"/>
    <d v="2021-05-27T00:00:00"/>
    <x v="1"/>
    <x v="11"/>
    <n v="68"/>
    <x v="6"/>
    <x v="6"/>
    <n v="1632"/>
    <x v="778"/>
  </r>
  <r>
    <n v="3003"/>
    <x v="2034"/>
    <x v="273"/>
    <s v="Miss"/>
    <s v="F"/>
    <n v="90"/>
    <s v="Masons Court"/>
    <x v="371"/>
    <x v="18"/>
    <d v="2022-10-17T00:00:00"/>
    <x v="0"/>
    <x v="1"/>
    <n v="92"/>
    <x v="2"/>
    <x v="2"/>
    <n v="1564"/>
    <x v="640"/>
  </r>
  <r>
    <n v="3004"/>
    <x v="2035"/>
    <x v="713"/>
    <s v="Mr"/>
    <s v="M"/>
    <n v="90"/>
    <s v="Masons Grove"/>
    <x v="718"/>
    <x v="76"/>
    <d v="2022-07-05T00:00:00"/>
    <x v="0"/>
    <x v="0"/>
    <n v="84"/>
    <x v="5"/>
    <x v="5"/>
    <n v="2016"/>
    <x v="576"/>
  </r>
  <r>
    <n v="3005"/>
    <x v="2036"/>
    <x v="1166"/>
    <s v="Mr"/>
    <s v="M"/>
    <n v="60"/>
    <s v="Mason'S Grove"/>
    <x v="533"/>
    <x v="2"/>
    <d v="2020-11-07T00:00:00"/>
    <x v="2"/>
    <x v="7"/>
    <n v="72"/>
    <x v="0"/>
    <x v="0"/>
    <n v="1440"/>
    <x v="560"/>
  </r>
  <r>
    <n v="3006"/>
    <x v="914"/>
    <x v="160"/>
    <s v="Mr"/>
    <s v="M"/>
    <n v="90"/>
    <s v="Masons Place"/>
    <x v="2"/>
    <x v="2"/>
    <d v="2022-12-24T00:00:00"/>
    <x v="0"/>
    <x v="8"/>
    <n v="96"/>
    <x v="3"/>
    <x v="3"/>
    <n v="2304"/>
    <x v="403"/>
  </r>
  <r>
    <n v="3007"/>
    <x v="2037"/>
    <x v="1510"/>
    <s v="Mrs"/>
    <s v="F"/>
    <n v="90"/>
    <s v="Mason'S Place"/>
    <x v="881"/>
    <x v="2"/>
    <d v="2021-09-23T00:00:00"/>
    <x v="1"/>
    <x v="9"/>
    <n v="27"/>
    <x v="9"/>
    <x v="9"/>
    <n v="648"/>
    <x v="858"/>
  </r>
  <r>
    <n v="3008"/>
    <x v="2038"/>
    <x v="1532"/>
    <s v="Miss"/>
    <s v="F"/>
    <n v="60"/>
    <s v="Mathew Court"/>
    <x v="927"/>
    <x v="21"/>
    <d v="2022-07-08T00:00:00"/>
    <x v="0"/>
    <x v="0"/>
    <n v="39"/>
    <x v="1"/>
    <x v="1"/>
    <n v="936"/>
    <x v="574"/>
  </r>
  <r>
    <n v="3009"/>
    <x v="2039"/>
    <x v="562"/>
    <s v="Mr"/>
    <s v="M"/>
    <n v="90"/>
    <s v="Matlock Villas"/>
    <x v="434"/>
    <x v="10"/>
    <d v="2021-09-24T00:00:00"/>
    <x v="1"/>
    <x v="9"/>
    <n v="58"/>
    <x v="3"/>
    <x v="3"/>
    <n v="1392"/>
    <x v="102"/>
  </r>
  <r>
    <n v="3010"/>
    <x v="1110"/>
    <x v="583"/>
    <s v="Mr"/>
    <s v="M"/>
    <n v="90"/>
    <s v="Matsin Street"/>
    <x v="1193"/>
    <x v="20"/>
    <d v="2021-12-21T00:00:00"/>
    <x v="1"/>
    <x v="8"/>
    <n v="54"/>
    <x v="8"/>
    <x v="8"/>
    <n v="1080"/>
    <x v="712"/>
  </r>
  <r>
    <n v="3011"/>
    <x v="724"/>
    <x v="1546"/>
    <s v="Mr"/>
    <s v="M"/>
    <n v="90"/>
    <s v="Matsin Street"/>
    <x v="735"/>
    <x v="2"/>
    <d v="2020-01-27T00:00:00"/>
    <x v="2"/>
    <x v="6"/>
    <n v="4"/>
    <x v="7"/>
    <x v="7"/>
    <n v="80"/>
    <x v="192"/>
  </r>
  <r>
    <n v="3012"/>
    <x v="2040"/>
    <x v="1534"/>
    <s v="Mrs"/>
    <s v="F"/>
    <n v="60"/>
    <s v="Matthews Buildings"/>
    <x v="645"/>
    <x v="2"/>
    <d v="2021-03-21T00:00:00"/>
    <x v="1"/>
    <x v="5"/>
    <n v="66"/>
    <x v="2"/>
    <x v="2"/>
    <n v="1122"/>
    <x v="771"/>
  </r>
  <r>
    <n v="3013"/>
    <x v="2041"/>
    <x v="225"/>
    <s v="Mr"/>
    <s v="M"/>
    <n v="30"/>
    <s v="Mattison Road"/>
    <x v="462"/>
    <x v="10"/>
    <d v="2021-09-05T00:00:00"/>
    <x v="1"/>
    <x v="9"/>
    <n v="72"/>
    <x v="6"/>
    <x v="6"/>
    <n v="1728"/>
    <x v="249"/>
  </r>
  <r>
    <n v="3014"/>
    <x v="1946"/>
    <x v="1093"/>
    <s v="Miss"/>
    <s v="F"/>
    <n v="90"/>
    <s v="Maude Villas"/>
    <x v="142"/>
    <x v="21"/>
    <d v="2022-05-01T00:00:00"/>
    <x v="0"/>
    <x v="11"/>
    <n v="10"/>
    <x v="7"/>
    <x v="7"/>
    <n v="200"/>
    <x v="809"/>
  </r>
  <r>
    <n v="3015"/>
    <x v="2042"/>
    <x v="676"/>
    <s v="Mrs"/>
    <s v="F"/>
    <n v="60"/>
    <s v="Maudlins Green"/>
    <x v="26"/>
    <x v="2"/>
    <d v="2022-05-02T00:00:00"/>
    <x v="0"/>
    <x v="11"/>
    <n v="68"/>
    <x v="3"/>
    <x v="3"/>
    <n v="1632"/>
    <x v="511"/>
  </r>
  <r>
    <n v="3016"/>
    <x v="126"/>
    <x v="1547"/>
    <s v="Mr"/>
    <s v="M"/>
    <n v="30"/>
    <s v="Maudsville Cottages"/>
    <x v="627"/>
    <x v="2"/>
    <d v="2020-11-29T00:00:00"/>
    <x v="2"/>
    <x v="7"/>
    <n v="40"/>
    <x v="3"/>
    <x v="3"/>
    <n v="960"/>
    <x v="155"/>
  </r>
  <r>
    <n v="3017"/>
    <x v="1282"/>
    <x v="1548"/>
    <s v="Mr"/>
    <s v="M"/>
    <n v="30"/>
    <s v="Maurice Street"/>
    <x v="569"/>
    <x v="2"/>
    <d v="2020-12-23T00:00:00"/>
    <x v="2"/>
    <x v="8"/>
    <n v="48"/>
    <x v="8"/>
    <x v="8"/>
    <n v="960"/>
    <x v="961"/>
  </r>
  <r>
    <n v="3018"/>
    <x v="1950"/>
    <x v="1409"/>
    <s v="Mr"/>
    <s v="M"/>
    <n v="60"/>
    <s v="Mauritius Road"/>
    <x v="93"/>
    <x v="1"/>
    <d v="2022-09-30T00:00:00"/>
    <x v="0"/>
    <x v="9"/>
    <n v="83"/>
    <x v="7"/>
    <x v="7"/>
    <n v="1660"/>
    <x v="148"/>
  </r>
  <r>
    <n v="3019"/>
    <x v="425"/>
    <x v="1549"/>
    <s v="Mr"/>
    <s v="M"/>
    <n v="30"/>
    <s v="Mavis Walk"/>
    <x v="929"/>
    <x v="2"/>
    <d v="2022-07-03T00:00:00"/>
    <x v="0"/>
    <x v="0"/>
    <n v="4"/>
    <x v="3"/>
    <x v="3"/>
    <n v="96"/>
    <x v="631"/>
  </r>
  <r>
    <n v="3020"/>
    <x v="63"/>
    <x v="619"/>
    <s v="Miss"/>
    <s v="F"/>
    <n v="30"/>
    <s v="Maxim Road"/>
    <x v="29"/>
    <x v="15"/>
    <d v="2022-03-26T00:00:00"/>
    <x v="0"/>
    <x v="5"/>
    <n v="53"/>
    <x v="8"/>
    <x v="8"/>
    <n v="1060"/>
    <x v="597"/>
  </r>
  <r>
    <n v="3021"/>
    <x v="2043"/>
    <x v="445"/>
    <s v="Miss"/>
    <s v="F"/>
    <n v="60"/>
    <s v="Maxwell Road"/>
    <x v="268"/>
    <x v="21"/>
    <d v="2020-01-02T00:00:00"/>
    <x v="2"/>
    <x v="6"/>
    <n v="51"/>
    <x v="7"/>
    <x v="7"/>
    <n v="1020"/>
    <x v="563"/>
  </r>
  <r>
    <n v="3022"/>
    <x v="2044"/>
    <x v="535"/>
    <s v="Mrs"/>
    <s v="F"/>
    <n v="90"/>
    <s v="Maxwell Road"/>
    <x v="1194"/>
    <x v="2"/>
    <d v="2020-02-12T00:00:00"/>
    <x v="2"/>
    <x v="10"/>
    <n v="52"/>
    <x v="5"/>
    <x v="5"/>
    <n v="1248"/>
    <x v="839"/>
  </r>
  <r>
    <n v="3023"/>
    <x v="1969"/>
    <x v="1550"/>
    <s v="Mr"/>
    <s v="M"/>
    <n v="60"/>
    <s v="Maybury Cottages"/>
    <x v="576"/>
    <x v="17"/>
    <d v="2021-10-15T00:00:00"/>
    <x v="1"/>
    <x v="1"/>
    <n v="41"/>
    <x v="6"/>
    <x v="6"/>
    <n v="984"/>
    <x v="930"/>
  </r>
  <r>
    <n v="3024"/>
    <x v="2045"/>
    <x v="1551"/>
    <s v="Mrs"/>
    <s v="F"/>
    <n v="60"/>
    <s v="Mayeswood Road"/>
    <x v="158"/>
    <x v="17"/>
    <d v="2022-10-23T00:00:00"/>
    <x v="0"/>
    <x v="1"/>
    <n v="94"/>
    <x v="0"/>
    <x v="0"/>
    <n v="1880"/>
    <x v="365"/>
  </r>
  <r>
    <n v="3025"/>
    <x v="475"/>
    <x v="1321"/>
    <s v="Miss"/>
    <s v="F"/>
    <n v="60"/>
    <s v="Mayfair Gardens"/>
    <x v="122"/>
    <x v="2"/>
    <d v="2020-02-13T00:00:00"/>
    <x v="2"/>
    <x v="10"/>
    <n v="85"/>
    <x v="9"/>
    <x v="9"/>
    <n v="2040"/>
    <x v="222"/>
  </r>
  <r>
    <n v="3026"/>
    <x v="2046"/>
    <x v="1552"/>
    <s v="Mr"/>
    <s v="M"/>
    <n v="90"/>
    <s v="Mayfield Close"/>
    <x v="882"/>
    <x v="1"/>
    <d v="2022-05-05T00:00:00"/>
    <x v="0"/>
    <x v="11"/>
    <n v="77"/>
    <x v="2"/>
    <x v="2"/>
    <n v="1309"/>
    <x v="79"/>
  </r>
  <r>
    <n v="3027"/>
    <x v="2047"/>
    <x v="326"/>
    <s v="Mrs"/>
    <s v="F"/>
    <n v="90"/>
    <s v="Mayfield Road"/>
    <x v="242"/>
    <x v="2"/>
    <d v="2022-11-12T00:00:00"/>
    <x v="0"/>
    <x v="7"/>
    <n v="99"/>
    <x v="9"/>
    <x v="9"/>
    <n v="2376"/>
    <x v="962"/>
  </r>
  <r>
    <n v="3028"/>
    <x v="2048"/>
    <x v="1215"/>
    <s v="Mr"/>
    <s v="M"/>
    <n v="60"/>
    <s v="Maygood Street"/>
    <x v="622"/>
    <x v="2"/>
    <d v="2022-02-03T00:00:00"/>
    <x v="0"/>
    <x v="10"/>
    <n v="83"/>
    <x v="2"/>
    <x v="2"/>
    <n v="1411"/>
    <x v="811"/>
  </r>
  <r>
    <n v="3029"/>
    <x v="1791"/>
    <x v="1553"/>
    <s v="Miss"/>
    <s v="F"/>
    <n v="90"/>
    <s v="Maynards Quay"/>
    <x v="131"/>
    <x v="11"/>
    <d v="2020-06-02T00:00:00"/>
    <x v="2"/>
    <x v="2"/>
    <n v="69"/>
    <x v="0"/>
    <x v="0"/>
    <n v="1380"/>
    <x v="497"/>
  </r>
  <r>
    <n v="3030"/>
    <x v="2049"/>
    <x v="450"/>
    <s v="Mr"/>
    <s v="M"/>
    <n v="90"/>
    <s v="Mays &amp;"/>
    <x v="1021"/>
    <x v="20"/>
    <d v="2021-07-31T00:00:00"/>
    <x v="1"/>
    <x v="0"/>
    <n v="25"/>
    <x v="4"/>
    <x v="4"/>
    <n v="450"/>
    <x v="792"/>
  </r>
  <r>
    <n v="3031"/>
    <x v="245"/>
    <x v="1432"/>
    <s v="Mr"/>
    <s v="M"/>
    <n v="90"/>
    <s v="Maytree Walk"/>
    <x v="532"/>
    <x v="2"/>
    <d v="2022-09-09T00:00:00"/>
    <x v="0"/>
    <x v="9"/>
    <n v="95"/>
    <x v="8"/>
    <x v="8"/>
    <n v="1900"/>
    <x v="963"/>
  </r>
  <r>
    <n v="3032"/>
    <x v="203"/>
    <x v="1554"/>
    <s v="Mr"/>
    <s v="M"/>
    <n v="30"/>
    <s v="Mayville Estate"/>
    <x v="925"/>
    <x v="2"/>
    <d v="2020-04-19T00:00:00"/>
    <x v="2"/>
    <x v="4"/>
    <n v="84"/>
    <x v="9"/>
    <x v="9"/>
    <n v="2016"/>
    <x v="367"/>
  </r>
  <r>
    <n v="3033"/>
    <x v="1724"/>
    <x v="370"/>
    <s v="Miss"/>
    <s v="F"/>
    <n v="90"/>
    <s v="Maze Hill"/>
    <x v="1195"/>
    <x v="17"/>
    <d v="2021-04-07T00:00:00"/>
    <x v="1"/>
    <x v="4"/>
    <n v="58"/>
    <x v="8"/>
    <x v="8"/>
    <n v="1160"/>
    <x v="286"/>
  </r>
  <r>
    <n v="3034"/>
    <x v="238"/>
    <x v="862"/>
    <s v="Mr"/>
    <s v="M"/>
    <n v="30"/>
    <s v="Mazow Road"/>
    <x v="901"/>
    <x v="3"/>
    <d v="2022-11-23T00:00:00"/>
    <x v="0"/>
    <x v="7"/>
    <n v="44"/>
    <x v="9"/>
    <x v="9"/>
    <n v="1056"/>
    <x v="605"/>
  </r>
  <r>
    <n v="3035"/>
    <x v="885"/>
    <x v="1401"/>
    <s v="Mr"/>
    <s v="M"/>
    <n v="90"/>
    <s v="Mccall Crescent"/>
    <x v="1125"/>
    <x v="2"/>
    <d v="2022-10-14T00:00:00"/>
    <x v="0"/>
    <x v="1"/>
    <n v="94"/>
    <x v="2"/>
    <x v="2"/>
    <n v="1598"/>
    <x v="741"/>
  </r>
  <r>
    <n v="3036"/>
    <x v="1310"/>
    <x v="299"/>
    <s v="Mrs"/>
    <s v="F"/>
    <n v="30"/>
    <s v="Meadow Garth"/>
    <x v="541"/>
    <x v="2"/>
    <d v="2022-08-25T00:00:00"/>
    <x v="0"/>
    <x v="3"/>
    <n v="91"/>
    <x v="7"/>
    <x v="7"/>
    <n v="1820"/>
    <x v="151"/>
  </r>
  <r>
    <n v="3037"/>
    <x v="2050"/>
    <x v="37"/>
    <s v="Ms"/>
    <s v="F"/>
    <n v="30"/>
    <s v="Meadway"/>
    <x v="469"/>
    <x v="2"/>
    <d v="2022-08-26T00:00:00"/>
    <x v="0"/>
    <x v="3"/>
    <n v="7"/>
    <x v="3"/>
    <x v="3"/>
    <n v="168"/>
    <x v="33"/>
  </r>
  <r>
    <n v="3038"/>
    <x v="2051"/>
    <x v="1365"/>
    <s v="Dr"/>
    <s v="M"/>
    <n v="90"/>
    <s v="Meards Court"/>
    <x v="1124"/>
    <x v="1"/>
    <d v="2021-04-14T00:00:00"/>
    <x v="1"/>
    <x v="4"/>
    <n v="41"/>
    <x v="0"/>
    <x v="0"/>
    <n v="820"/>
    <x v="870"/>
  </r>
  <r>
    <n v="3039"/>
    <x v="1032"/>
    <x v="1114"/>
    <s v="Mr"/>
    <s v="M"/>
    <n v="60"/>
    <s v="Meard'S Court"/>
    <x v="1002"/>
    <x v="21"/>
    <d v="2022-11-27T00:00:00"/>
    <x v="0"/>
    <x v="7"/>
    <n v="84"/>
    <x v="7"/>
    <x v="7"/>
    <n v="1680"/>
    <x v="206"/>
  </r>
  <r>
    <n v="3040"/>
    <x v="424"/>
    <x v="301"/>
    <s v="Mr"/>
    <s v="M"/>
    <n v="30"/>
    <s v="Meards Street"/>
    <x v="1196"/>
    <x v="12"/>
    <d v="2020-04-06T00:00:00"/>
    <x v="2"/>
    <x v="4"/>
    <n v="76"/>
    <x v="5"/>
    <x v="5"/>
    <n v="1824"/>
    <x v="405"/>
  </r>
  <r>
    <n v="3041"/>
    <x v="1386"/>
    <x v="1555"/>
    <s v="Mrs"/>
    <s v="F"/>
    <n v="30"/>
    <s v="Meards Street"/>
    <x v="964"/>
    <x v="2"/>
    <d v="2021-11-11T00:00:00"/>
    <x v="1"/>
    <x v="7"/>
    <n v="94"/>
    <x v="0"/>
    <x v="0"/>
    <n v="1880"/>
    <x v="365"/>
  </r>
  <r>
    <n v="3042"/>
    <x v="2052"/>
    <x v="703"/>
    <s v="Mr"/>
    <s v="M"/>
    <n v="90"/>
    <s v="Mecklenburg Square"/>
    <x v="435"/>
    <x v="11"/>
    <d v="2020-08-07T00:00:00"/>
    <x v="2"/>
    <x v="3"/>
    <n v="23"/>
    <x v="5"/>
    <x v="5"/>
    <n v="552"/>
    <x v="922"/>
  </r>
  <r>
    <n v="3043"/>
    <x v="1363"/>
    <x v="640"/>
    <s v="Mr"/>
    <s v="M"/>
    <n v="90"/>
    <s v="Medcalf Place"/>
    <x v="415"/>
    <x v="64"/>
    <d v="2022-05-03T00:00:00"/>
    <x v="0"/>
    <x v="11"/>
    <n v="18"/>
    <x v="6"/>
    <x v="6"/>
    <n v="432"/>
    <x v="254"/>
  </r>
  <r>
    <n v="3044"/>
    <x v="1599"/>
    <x v="1556"/>
    <s v="Mr"/>
    <s v="M"/>
    <n v="90"/>
    <s v="Medfield Street"/>
    <x v="654"/>
    <x v="17"/>
    <d v="2020-12-24T00:00:00"/>
    <x v="2"/>
    <x v="8"/>
    <n v="28"/>
    <x v="8"/>
    <x v="8"/>
    <n v="560"/>
    <x v="825"/>
  </r>
  <r>
    <n v="3045"/>
    <x v="2053"/>
    <x v="584"/>
    <s v="Mr"/>
    <s v="M"/>
    <n v="30"/>
    <s v="Melbourne Place"/>
    <x v="926"/>
    <x v="2"/>
    <d v="2021-09-16T00:00:00"/>
    <x v="1"/>
    <x v="9"/>
    <n v="65"/>
    <x v="5"/>
    <x v="5"/>
    <n v="1560"/>
    <x v="140"/>
  </r>
  <r>
    <n v="3046"/>
    <x v="68"/>
    <x v="1422"/>
    <s v="Mrs"/>
    <s v="F"/>
    <n v="30"/>
    <s v="Melcombe Place"/>
    <x v="990"/>
    <x v="13"/>
    <d v="2022-08-23T00:00:00"/>
    <x v="0"/>
    <x v="3"/>
    <n v="102"/>
    <x v="4"/>
    <x v="4"/>
    <n v="1836"/>
    <x v="964"/>
  </r>
  <r>
    <n v="3047"/>
    <x v="40"/>
    <x v="67"/>
    <s v="Dr"/>
    <s v="F"/>
    <n v="90"/>
    <s v="Melford Lallas"/>
    <x v="622"/>
    <x v="2"/>
    <d v="2021-12-21T00:00:00"/>
    <x v="1"/>
    <x v="8"/>
    <n v="5"/>
    <x v="1"/>
    <x v="1"/>
    <n v="120"/>
    <x v="373"/>
  </r>
  <r>
    <n v="3048"/>
    <x v="200"/>
    <x v="178"/>
    <s v="Mr"/>
    <s v="M"/>
    <n v="90"/>
    <s v="Melford Road"/>
    <x v="846"/>
    <x v="2"/>
    <d v="2021-04-26T00:00:00"/>
    <x v="1"/>
    <x v="4"/>
    <n v="62"/>
    <x v="0"/>
    <x v="0"/>
    <n v="1240"/>
    <x v="632"/>
  </r>
  <r>
    <n v="3049"/>
    <x v="2054"/>
    <x v="1162"/>
    <s v="Mr"/>
    <s v="M"/>
    <n v="60"/>
    <s v="Melina Place"/>
    <x v="78"/>
    <x v="2"/>
    <d v="2022-03-20T00:00:00"/>
    <x v="0"/>
    <x v="5"/>
    <n v="13"/>
    <x v="1"/>
    <x v="1"/>
    <n v="312"/>
    <x v="127"/>
  </r>
  <r>
    <n v="3050"/>
    <x v="909"/>
    <x v="1037"/>
    <s v="Mrs"/>
    <s v="F"/>
    <n v="90"/>
    <s v="Mellick'S Place"/>
    <x v="377"/>
    <x v="15"/>
    <d v="2022-11-30T00:00:00"/>
    <x v="0"/>
    <x v="7"/>
    <n v="60"/>
    <x v="2"/>
    <x v="2"/>
    <n v="1020"/>
    <x v="521"/>
  </r>
  <r>
    <n v="3051"/>
    <x v="1716"/>
    <x v="1468"/>
    <s v="Mr"/>
    <s v="M"/>
    <n v="60"/>
    <s v="Mellison Road"/>
    <x v="355"/>
    <x v="2"/>
    <d v="2021-07-30T00:00:00"/>
    <x v="1"/>
    <x v="0"/>
    <n v="2"/>
    <x v="8"/>
    <x v="8"/>
    <n v="40"/>
    <x v="264"/>
  </r>
  <r>
    <n v="3052"/>
    <x v="468"/>
    <x v="761"/>
    <s v="Mr"/>
    <s v="M"/>
    <n v="60"/>
    <s v="Mells Crescent"/>
    <x v="787"/>
    <x v="17"/>
    <d v="2020-09-25T00:00:00"/>
    <x v="2"/>
    <x v="9"/>
    <n v="72"/>
    <x v="0"/>
    <x v="0"/>
    <n v="1440"/>
    <x v="560"/>
  </r>
  <r>
    <n v="3053"/>
    <x v="1252"/>
    <x v="665"/>
    <s v="Mr"/>
    <s v="M"/>
    <n v="90"/>
    <s v="Melon Ground"/>
    <x v="1197"/>
    <x v="35"/>
    <d v="2021-02-09T00:00:00"/>
    <x v="1"/>
    <x v="10"/>
    <n v="81"/>
    <x v="3"/>
    <x v="3"/>
    <n v="1944"/>
    <x v="551"/>
  </r>
  <r>
    <n v="3054"/>
    <x v="2055"/>
    <x v="978"/>
    <s v="Mrs"/>
    <s v="F"/>
    <n v="60"/>
    <s v="Melrose Avenue"/>
    <x v="122"/>
    <x v="2"/>
    <d v="2021-06-07T00:00:00"/>
    <x v="1"/>
    <x v="2"/>
    <n v="82"/>
    <x v="3"/>
    <x v="3"/>
    <n v="1968"/>
    <x v="594"/>
  </r>
  <r>
    <n v="3055"/>
    <x v="220"/>
    <x v="1053"/>
    <s v="Mr"/>
    <s v="M"/>
    <n v="90"/>
    <s v="Melton House"/>
    <x v="631"/>
    <x v="8"/>
    <d v="2022-07-26T00:00:00"/>
    <x v="0"/>
    <x v="0"/>
    <n v="38"/>
    <x v="1"/>
    <x v="1"/>
    <n v="912"/>
    <x v="17"/>
  </r>
  <r>
    <n v="3056"/>
    <x v="731"/>
    <x v="218"/>
    <s v="Mr"/>
    <s v="M"/>
    <n v="90"/>
    <s v="Melton Street"/>
    <x v="755"/>
    <x v="57"/>
    <d v="2021-04-27T00:00:00"/>
    <x v="1"/>
    <x v="4"/>
    <n v="75"/>
    <x v="0"/>
    <x v="0"/>
    <n v="1500"/>
    <x v="20"/>
  </r>
  <r>
    <n v="3057"/>
    <x v="375"/>
    <x v="1557"/>
    <s v="Mr"/>
    <s v="M"/>
    <n v="60"/>
    <s v="Melville Gardens"/>
    <x v="1056"/>
    <x v="21"/>
    <d v="2022-04-16T00:00:00"/>
    <x v="0"/>
    <x v="4"/>
    <n v="55"/>
    <x v="9"/>
    <x v="9"/>
    <n v="1320"/>
    <x v="679"/>
  </r>
  <r>
    <n v="3058"/>
    <x v="320"/>
    <x v="1023"/>
    <s v="Mr"/>
    <s v="M"/>
    <n v="60"/>
    <s v="Melville Terrace"/>
    <x v="841"/>
    <x v="8"/>
    <d v="2022-07-29T00:00:00"/>
    <x v="0"/>
    <x v="0"/>
    <n v="82"/>
    <x v="4"/>
    <x v="4"/>
    <n v="1476"/>
    <x v="291"/>
  </r>
  <r>
    <n v="3059"/>
    <x v="877"/>
    <x v="605"/>
    <s v="Mr"/>
    <s v="M"/>
    <n v="60"/>
    <s v="Melville Terrace"/>
    <x v="829"/>
    <x v="2"/>
    <d v="2022-03-27T00:00:00"/>
    <x v="0"/>
    <x v="5"/>
    <n v="64"/>
    <x v="1"/>
    <x v="1"/>
    <n v="1536"/>
    <x v="366"/>
  </r>
  <r>
    <n v="3060"/>
    <x v="2056"/>
    <x v="778"/>
    <s v="Miss"/>
    <s v="F"/>
    <n v="60"/>
    <s v="Melyn Close"/>
    <x v="1061"/>
    <x v="2"/>
    <d v="2022-05-13T00:00:00"/>
    <x v="0"/>
    <x v="11"/>
    <n v="57"/>
    <x v="3"/>
    <x v="3"/>
    <n v="1368"/>
    <x v="356"/>
  </r>
  <r>
    <n v="3061"/>
    <x v="2057"/>
    <x v="985"/>
    <s v="Mr"/>
    <s v="M"/>
    <n v="60"/>
    <s v="Memorial Avenue"/>
    <x v="1198"/>
    <x v="2"/>
    <d v="2022-05-26T00:00:00"/>
    <x v="0"/>
    <x v="11"/>
    <n v="97"/>
    <x v="5"/>
    <x v="5"/>
    <n v="2328"/>
    <x v="823"/>
  </r>
  <r>
    <n v="3062"/>
    <x v="2058"/>
    <x v="443"/>
    <s v="Miss"/>
    <s v="F"/>
    <n v="90"/>
    <s v="Mendora Road"/>
    <x v="769"/>
    <x v="55"/>
    <d v="2021-09-06T00:00:00"/>
    <x v="1"/>
    <x v="9"/>
    <n v="13"/>
    <x v="2"/>
    <x v="2"/>
    <n v="221"/>
    <x v="877"/>
  </r>
  <r>
    <n v="3063"/>
    <x v="2059"/>
    <x v="1558"/>
    <s v="Miss"/>
    <s v="F"/>
    <n v="30"/>
    <s v="Menelik Road"/>
    <x v="217"/>
    <x v="2"/>
    <d v="2022-03-22T00:00:00"/>
    <x v="0"/>
    <x v="5"/>
    <n v="99"/>
    <x v="9"/>
    <x v="9"/>
    <n v="2376"/>
    <x v="962"/>
  </r>
  <r>
    <n v="3064"/>
    <x v="946"/>
    <x v="240"/>
    <s v="Mr"/>
    <s v="M"/>
    <n v="30"/>
    <s v="Merbury Close"/>
    <x v="185"/>
    <x v="2"/>
    <d v="2022-07-05T00:00:00"/>
    <x v="0"/>
    <x v="0"/>
    <n v="54"/>
    <x v="0"/>
    <x v="0"/>
    <n v="1080"/>
    <x v="957"/>
  </r>
  <r>
    <n v="3065"/>
    <x v="1205"/>
    <x v="929"/>
    <s v="Mr"/>
    <s v="M"/>
    <n v="30"/>
    <s v="Merceron Houses"/>
    <x v="357"/>
    <x v="2"/>
    <d v="2020-11-29T00:00:00"/>
    <x v="2"/>
    <x v="7"/>
    <n v="62"/>
    <x v="1"/>
    <x v="1"/>
    <n v="1488"/>
    <x v="467"/>
  </r>
  <r>
    <n v="3066"/>
    <x v="2060"/>
    <x v="1559"/>
    <s v="Mrs"/>
    <s v="F"/>
    <n v="90"/>
    <s v="Mercers Terrace"/>
    <x v="269"/>
    <x v="21"/>
    <d v="2021-12-17T00:00:00"/>
    <x v="1"/>
    <x v="8"/>
    <n v="15"/>
    <x v="7"/>
    <x v="7"/>
    <n v="300"/>
    <x v="634"/>
  </r>
  <r>
    <n v="3067"/>
    <x v="2061"/>
    <x v="86"/>
    <s v="Mr"/>
    <s v="M"/>
    <n v="60"/>
    <s v="Mercury Houses"/>
    <x v="368"/>
    <x v="2"/>
    <d v="2022-07-20T00:00:00"/>
    <x v="0"/>
    <x v="0"/>
    <n v="75"/>
    <x v="7"/>
    <x v="7"/>
    <n v="1500"/>
    <x v="899"/>
  </r>
  <r>
    <n v="3068"/>
    <x v="1942"/>
    <x v="53"/>
    <s v="Mr"/>
    <s v="M"/>
    <n v="60"/>
    <s v="Mere Close"/>
    <x v="838"/>
    <x v="65"/>
    <d v="2020-11-29T00:00:00"/>
    <x v="2"/>
    <x v="7"/>
    <n v="15"/>
    <x v="5"/>
    <x v="5"/>
    <n v="360"/>
    <x v="447"/>
  </r>
  <r>
    <n v="3069"/>
    <x v="925"/>
    <x v="1019"/>
    <s v="Mr"/>
    <s v="M"/>
    <n v="60"/>
    <s v="Mere Close"/>
    <x v="1199"/>
    <x v="17"/>
    <d v="2020-10-19T00:00:00"/>
    <x v="2"/>
    <x v="1"/>
    <n v="50"/>
    <x v="3"/>
    <x v="3"/>
    <n v="1200"/>
    <x v="11"/>
  </r>
  <r>
    <n v="3070"/>
    <x v="1071"/>
    <x v="20"/>
    <s v="Mr"/>
    <s v="M"/>
    <n v="30"/>
    <s v="Meredith Mews"/>
    <x v="134"/>
    <x v="2"/>
    <d v="2021-06-21T00:00:00"/>
    <x v="1"/>
    <x v="2"/>
    <n v="44"/>
    <x v="3"/>
    <x v="3"/>
    <n v="1056"/>
    <x v="253"/>
  </r>
  <r>
    <n v="3071"/>
    <x v="1961"/>
    <x v="27"/>
    <s v="Miss"/>
    <s v="F"/>
    <n v="30"/>
    <s v="Meretone Close"/>
    <x v="335"/>
    <x v="11"/>
    <d v="2020-10-12T00:00:00"/>
    <x v="2"/>
    <x v="1"/>
    <n v="53"/>
    <x v="8"/>
    <x v="8"/>
    <n v="1060"/>
    <x v="597"/>
  </r>
  <r>
    <n v="3072"/>
    <x v="1782"/>
    <x v="598"/>
    <s v="Mrs"/>
    <s v="F"/>
    <n v="60"/>
    <s v="Merganser Gardens"/>
    <x v="679"/>
    <x v="44"/>
    <d v="2021-05-26T00:00:00"/>
    <x v="1"/>
    <x v="11"/>
    <n v="89"/>
    <x v="9"/>
    <x v="9"/>
    <n v="2136"/>
    <x v="26"/>
  </r>
  <r>
    <n v="3073"/>
    <x v="1093"/>
    <x v="38"/>
    <s v="Mr"/>
    <s v="M"/>
    <n v="60"/>
    <s v="Merrington Road"/>
    <x v="405"/>
    <x v="21"/>
    <d v="2021-10-23T00:00:00"/>
    <x v="1"/>
    <x v="1"/>
    <n v="67"/>
    <x v="3"/>
    <x v="3"/>
    <n v="1608"/>
    <x v="457"/>
  </r>
  <r>
    <n v="3074"/>
    <x v="1019"/>
    <x v="1162"/>
    <s v="Mr"/>
    <s v="M"/>
    <n v="30"/>
    <s v="Mersey Road"/>
    <x v="884"/>
    <x v="13"/>
    <d v="2022-06-03T00:00:00"/>
    <x v="0"/>
    <x v="2"/>
    <n v="31"/>
    <x v="5"/>
    <x v="5"/>
    <n v="744"/>
    <x v="781"/>
  </r>
  <r>
    <n v="3075"/>
    <x v="212"/>
    <x v="1277"/>
    <s v="Mr"/>
    <s v="M"/>
    <n v="90"/>
    <s v="Merton Villas"/>
    <x v="612"/>
    <x v="2"/>
    <d v="2022-08-14T00:00:00"/>
    <x v="0"/>
    <x v="3"/>
    <n v="8"/>
    <x v="0"/>
    <x v="0"/>
    <n v="160"/>
    <x v="211"/>
  </r>
  <r>
    <n v="3076"/>
    <x v="285"/>
    <x v="580"/>
    <s v="Mr"/>
    <s v="M"/>
    <n v="90"/>
    <s v="Messaline Avenue"/>
    <x v="296"/>
    <x v="8"/>
    <d v="2021-12-16T00:00:00"/>
    <x v="1"/>
    <x v="8"/>
    <n v="89"/>
    <x v="0"/>
    <x v="0"/>
    <n v="1780"/>
    <x v="785"/>
  </r>
  <r>
    <n v="3077"/>
    <x v="2062"/>
    <x v="1560"/>
    <s v="Mrs"/>
    <s v="F"/>
    <n v="60"/>
    <s v="Messeter Place"/>
    <x v="1022"/>
    <x v="1"/>
    <d v="2020-10-03T00:00:00"/>
    <x v="2"/>
    <x v="1"/>
    <n v="58"/>
    <x v="9"/>
    <x v="9"/>
    <n v="1392"/>
    <x v="655"/>
  </r>
  <r>
    <n v="3078"/>
    <x v="1967"/>
    <x v="1504"/>
    <s v="Miss"/>
    <s v="F"/>
    <n v="30"/>
    <s v="Meteor Street"/>
    <x v="1096"/>
    <x v="91"/>
    <d v="2021-09-13T00:00:00"/>
    <x v="1"/>
    <x v="9"/>
    <n v="2"/>
    <x v="0"/>
    <x v="0"/>
    <n v="40"/>
    <x v="156"/>
  </r>
  <r>
    <n v="3079"/>
    <x v="1396"/>
    <x v="607"/>
    <s v="Mr"/>
    <s v="M"/>
    <n v="30"/>
    <s v="Methodist Free"/>
    <x v="379"/>
    <x v="60"/>
    <d v="2021-08-26T00:00:00"/>
    <x v="1"/>
    <x v="3"/>
    <n v="74"/>
    <x v="2"/>
    <x v="2"/>
    <n v="1258"/>
    <x v="965"/>
  </r>
  <r>
    <n v="3080"/>
    <x v="2063"/>
    <x v="101"/>
    <s v="Miss"/>
    <s v="F"/>
    <n v="90"/>
    <s v="Methodist Free"/>
    <x v="86"/>
    <x v="17"/>
    <d v="2021-01-02T00:00:00"/>
    <x v="1"/>
    <x v="6"/>
    <n v="6"/>
    <x v="6"/>
    <x v="6"/>
    <n v="144"/>
    <x v="851"/>
  </r>
  <r>
    <n v="3081"/>
    <x v="2064"/>
    <x v="830"/>
    <s v="Dr"/>
    <s v="F"/>
    <n v="90"/>
    <s v="Middle Lane"/>
    <x v="880"/>
    <x v="2"/>
    <d v="2020-10-02T00:00:00"/>
    <x v="2"/>
    <x v="1"/>
    <n v="33"/>
    <x v="3"/>
    <x v="3"/>
    <n v="792"/>
    <x v="442"/>
  </r>
  <r>
    <n v="3082"/>
    <x v="2065"/>
    <x v="1187"/>
    <s v="Ms"/>
    <s v="F"/>
    <n v="90"/>
    <s v="Middle Road"/>
    <x v="192"/>
    <x v="2"/>
    <d v="2021-10-27T00:00:00"/>
    <x v="1"/>
    <x v="1"/>
    <n v="93"/>
    <x v="8"/>
    <x v="8"/>
    <n v="1860"/>
    <x v="579"/>
  </r>
  <r>
    <n v="3083"/>
    <x v="554"/>
    <x v="177"/>
    <s v="Mr"/>
    <s v="M"/>
    <n v="60"/>
    <s v="Middle Row"/>
    <x v="384"/>
    <x v="1"/>
    <d v="2021-12-10T00:00:00"/>
    <x v="1"/>
    <x v="8"/>
    <n v="23"/>
    <x v="6"/>
    <x v="6"/>
    <n v="552"/>
    <x v="595"/>
  </r>
  <r>
    <n v="3084"/>
    <x v="440"/>
    <x v="1288"/>
    <s v="Dr"/>
    <s v="M"/>
    <n v="30"/>
    <s v="Middle Walk"/>
    <x v="1073"/>
    <x v="1"/>
    <d v="2022-08-01T00:00:00"/>
    <x v="0"/>
    <x v="3"/>
    <n v="4"/>
    <x v="8"/>
    <x v="8"/>
    <n v="80"/>
    <x v="688"/>
  </r>
  <r>
    <n v="3085"/>
    <x v="1337"/>
    <x v="1561"/>
    <s v="Mr"/>
    <s v="M"/>
    <n v="60"/>
    <s v="Middlesex Street"/>
    <x v="229"/>
    <x v="14"/>
    <d v="2021-01-25T00:00:00"/>
    <x v="1"/>
    <x v="6"/>
    <n v="5"/>
    <x v="4"/>
    <x v="4"/>
    <n v="90"/>
    <x v="10"/>
  </r>
  <r>
    <n v="3086"/>
    <x v="1438"/>
    <x v="614"/>
    <s v="Mrs"/>
    <s v="F"/>
    <n v="30"/>
    <s v="Middleton Grove"/>
    <x v="728"/>
    <x v="3"/>
    <d v="2022-07-10T00:00:00"/>
    <x v="0"/>
    <x v="0"/>
    <n v="26"/>
    <x v="7"/>
    <x v="7"/>
    <n v="520"/>
    <x v="110"/>
  </r>
  <r>
    <n v="3087"/>
    <x v="165"/>
    <x v="1119"/>
    <s v="Mr"/>
    <s v="M"/>
    <n v="30"/>
    <s v="Middleton Mews"/>
    <x v="269"/>
    <x v="21"/>
    <d v="2021-06-18T00:00:00"/>
    <x v="1"/>
    <x v="2"/>
    <n v="50"/>
    <x v="5"/>
    <x v="5"/>
    <n v="1200"/>
    <x v="159"/>
  </r>
  <r>
    <n v="3088"/>
    <x v="675"/>
    <x v="1562"/>
    <s v="Mr"/>
    <s v="M"/>
    <n v="30"/>
    <s v="Midland Parade"/>
    <x v="83"/>
    <x v="23"/>
    <d v="2022-10-19T00:00:00"/>
    <x v="0"/>
    <x v="1"/>
    <n v="101"/>
    <x v="6"/>
    <x v="6"/>
    <n v="2424"/>
    <x v="775"/>
  </r>
  <r>
    <n v="3089"/>
    <x v="2066"/>
    <x v="967"/>
    <s v="Mrs"/>
    <s v="F"/>
    <n v="60"/>
    <s v="Midland Road"/>
    <x v="172"/>
    <x v="11"/>
    <d v="2020-03-12T00:00:00"/>
    <x v="2"/>
    <x v="5"/>
    <n v="69"/>
    <x v="3"/>
    <x v="3"/>
    <n v="1656"/>
    <x v="611"/>
  </r>
  <r>
    <n v="3090"/>
    <x v="2067"/>
    <x v="1563"/>
    <s v="Mr"/>
    <s v="M"/>
    <n v="90"/>
    <s v="Might?? Bridge"/>
    <x v="719"/>
    <x v="79"/>
    <d v="2021-02-21T00:00:00"/>
    <x v="1"/>
    <x v="10"/>
    <n v="43"/>
    <x v="1"/>
    <x v="1"/>
    <n v="1032"/>
    <x v="76"/>
  </r>
  <r>
    <n v="3091"/>
    <x v="1528"/>
    <x v="1564"/>
    <s v="Mr"/>
    <s v="M"/>
    <n v="60"/>
    <s v="Milan Place"/>
    <x v="20"/>
    <x v="11"/>
    <d v="2021-09-08T00:00:00"/>
    <x v="1"/>
    <x v="9"/>
    <n v="37"/>
    <x v="2"/>
    <x v="2"/>
    <n v="629"/>
    <x v="867"/>
  </r>
  <r>
    <n v="3092"/>
    <x v="1097"/>
    <x v="915"/>
    <s v="Miss"/>
    <s v="F"/>
    <n v="60"/>
    <s v="Milburn Terrace"/>
    <x v="661"/>
    <x v="2"/>
    <d v="2020-06-09T00:00:00"/>
    <x v="2"/>
    <x v="2"/>
    <n v="39"/>
    <x v="2"/>
    <x v="2"/>
    <n v="663"/>
    <x v="550"/>
  </r>
  <r>
    <n v="3093"/>
    <x v="1053"/>
    <x v="1565"/>
    <s v="Mrs"/>
    <s v="F"/>
    <n v="30"/>
    <s v="Milburn Terrace"/>
    <x v="1116"/>
    <x v="2"/>
    <d v="2022-02-20T00:00:00"/>
    <x v="0"/>
    <x v="10"/>
    <n v="35"/>
    <x v="6"/>
    <x v="6"/>
    <n v="840"/>
    <x v="510"/>
  </r>
  <r>
    <n v="3094"/>
    <x v="798"/>
    <x v="219"/>
    <s v="Mr"/>
    <s v="M"/>
    <n v="90"/>
    <s v="Mildmay Road"/>
    <x v="502"/>
    <x v="1"/>
    <d v="2021-04-18T00:00:00"/>
    <x v="1"/>
    <x v="4"/>
    <n v="87"/>
    <x v="9"/>
    <x v="9"/>
    <n v="2088"/>
    <x v="351"/>
  </r>
  <r>
    <n v="3095"/>
    <x v="2068"/>
    <x v="627"/>
    <s v="Miss"/>
    <s v="F"/>
    <n v="30"/>
    <s v="Miles Terrace"/>
    <x v="1200"/>
    <x v="2"/>
    <d v="2020-09-06T00:00:00"/>
    <x v="2"/>
    <x v="9"/>
    <n v="56"/>
    <x v="0"/>
    <x v="0"/>
    <n v="1120"/>
    <x v="428"/>
  </r>
  <r>
    <n v="3096"/>
    <x v="2069"/>
    <x v="366"/>
    <s v="Mrs"/>
    <s v="F"/>
    <n v="90"/>
    <s v="Milfoil Street"/>
    <x v="343"/>
    <x v="56"/>
    <d v="2021-11-28T00:00:00"/>
    <x v="1"/>
    <x v="7"/>
    <n v="24"/>
    <x v="1"/>
    <x v="1"/>
    <n v="576"/>
    <x v="837"/>
  </r>
  <r>
    <n v="3097"/>
    <x v="1860"/>
    <x v="931"/>
    <s v="Mrs"/>
    <s v="F"/>
    <n v="90"/>
    <s v="Milford Lane"/>
    <x v="13"/>
    <x v="9"/>
    <d v="2021-08-21T00:00:00"/>
    <x v="1"/>
    <x v="3"/>
    <n v="51"/>
    <x v="9"/>
    <x v="9"/>
    <n v="1224"/>
    <x v="804"/>
  </r>
  <r>
    <n v="3098"/>
    <x v="611"/>
    <x v="144"/>
    <s v="Mrs"/>
    <s v="F"/>
    <n v="90"/>
    <s v="Milford Lane"/>
    <x v="750"/>
    <x v="2"/>
    <d v="2022-09-01T00:00:00"/>
    <x v="0"/>
    <x v="9"/>
    <n v="78"/>
    <x v="5"/>
    <x v="5"/>
    <n v="1872"/>
    <x v="651"/>
  </r>
  <r>
    <n v="3099"/>
    <x v="1326"/>
    <x v="829"/>
    <s v="Mrs"/>
    <s v="F"/>
    <n v="60"/>
    <s v="Mill House"/>
    <x v="1201"/>
    <x v="2"/>
    <d v="2022-09-08T00:00:00"/>
    <x v="0"/>
    <x v="9"/>
    <n v="17"/>
    <x v="0"/>
    <x v="0"/>
    <n v="340"/>
    <x v="746"/>
  </r>
  <r>
    <n v="3100"/>
    <x v="2070"/>
    <x v="845"/>
    <s v="Mr"/>
    <s v="M"/>
    <n v="90"/>
    <s v="Mill Street"/>
    <x v="142"/>
    <x v="21"/>
    <d v="2021-02-19T00:00:00"/>
    <x v="1"/>
    <x v="10"/>
    <n v="23"/>
    <x v="3"/>
    <x v="3"/>
    <n v="552"/>
    <x v="895"/>
  </r>
  <r>
    <n v="3101"/>
    <x v="378"/>
    <x v="1566"/>
    <s v="Mrs"/>
    <s v="F"/>
    <n v="60"/>
    <s v="Millbank"/>
    <x v="548"/>
    <x v="11"/>
    <d v="2021-12-23T00:00:00"/>
    <x v="1"/>
    <x v="8"/>
    <n v="69"/>
    <x v="3"/>
    <x v="3"/>
    <n v="1656"/>
    <x v="611"/>
  </r>
  <r>
    <n v="3102"/>
    <x v="380"/>
    <x v="1289"/>
    <s v="Prof"/>
    <s v="F"/>
    <n v="30"/>
    <s v="Millbank Cottage"/>
    <x v="987"/>
    <x v="2"/>
    <d v="2020-10-29T00:00:00"/>
    <x v="2"/>
    <x v="1"/>
    <n v="7"/>
    <x v="6"/>
    <x v="6"/>
    <n v="168"/>
    <x v="654"/>
  </r>
  <r>
    <n v="3103"/>
    <x v="1029"/>
    <x v="701"/>
    <s v="Mr"/>
    <s v="M"/>
    <n v="30"/>
    <s v="Millbank Penitentiary"/>
    <x v="31"/>
    <x v="2"/>
    <d v="2020-01-16T00:00:00"/>
    <x v="2"/>
    <x v="6"/>
    <n v="33"/>
    <x v="2"/>
    <x v="2"/>
    <n v="561"/>
    <x v="608"/>
  </r>
  <r>
    <n v="3104"/>
    <x v="2071"/>
    <x v="131"/>
    <s v="Mrs"/>
    <s v="F"/>
    <n v="90"/>
    <s v="Milledge Street"/>
    <x v="808"/>
    <x v="84"/>
    <d v="2020-01-10T00:00:00"/>
    <x v="2"/>
    <x v="6"/>
    <n v="35"/>
    <x v="0"/>
    <x v="0"/>
    <n v="700"/>
    <x v="626"/>
  </r>
  <r>
    <n v="3105"/>
    <x v="1698"/>
    <x v="539"/>
    <s v="Miss"/>
    <s v="F"/>
    <n v="60"/>
    <s v="Millennium Place"/>
    <x v="216"/>
    <x v="17"/>
    <d v="2021-10-01T00:00:00"/>
    <x v="1"/>
    <x v="1"/>
    <n v="31"/>
    <x v="9"/>
    <x v="9"/>
    <n v="744"/>
    <x v="417"/>
  </r>
  <r>
    <n v="3106"/>
    <x v="1854"/>
    <x v="1567"/>
    <s v="Mr"/>
    <s v="M"/>
    <n v="60"/>
    <s v="Miller Street"/>
    <x v="1202"/>
    <x v="2"/>
    <d v="2021-10-12T00:00:00"/>
    <x v="1"/>
    <x v="1"/>
    <n v="3"/>
    <x v="4"/>
    <x v="4"/>
    <n v="54"/>
    <x v="368"/>
  </r>
  <r>
    <n v="3107"/>
    <x v="1533"/>
    <x v="42"/>
    <s v="Mrs"/>
    <s v="F"/>
    <n v="90"/>
    <s v="Millers Terrace"/>
    <x v="622"/>
    <x v="2"/>
    <d v="2020-07-29T00:00:00"/>
    <x v="2"/>
    <x v="0"/>
    <n v="82"/>
    <x v="9"/>
    <x v="9"/>
    <n v="1968"/>
    <x v="758"/>
  </r>
  <r>
    <n v="3108"/>
    <x v="631"/>
    <x v="1568"/>
    <s v="Mr"/>
    <s v="M"/>
    <n v="60"/>
    <s v="Millfield Lane"/>
    <x v="877"/>
    <x v="2"/>
    <d v="2021-04-21T00:00:00"/>
    <x v="1"/>
    <x v="4"/>
    <n v="89"/>
    <x v="2"/>
    <x v="2"/>
    <n v="1513"/>
    <x v="387"/>
  </r>
  <r>
    <n v="3109"/>
    <x v="2072"/>
    <x v="1318"/>
    <s v="Mr"/>
    <s v="M"/>
    <n v="60"/>
    <s v="Millfield Place"/>
    <x v="435"/>
    <x v="11"/>
    <d v="2022-11-27T00:00:00"/>
    <x v="0"/>
    <x v="7"/>
    <n v="4"/>
    <x v="3"/>
    <x v="3"/>
    <n v="96"/>
    <x v="631"/>
  </r>
  <r>
    <n v="3110"/>
    <x v="2073"/>
    <x v="376"/>
    <s v="Mr"/>
    <s v="M"/>
    <n v="60"/>
    <s v="Mills Grove"/>
    <x v="766"/>
    <x v="21"/>
    <d v="2021-10-26T00:00:00"/>
    <x v="1"/>
    <x v="1"/>
    <n v="58"/>
    <x v="3"/>
    <x v="3"/>
    <n v="1392"/>
    <x v="102"/>
  </r>
  <r>
    <n v="3111"/>
    <x v="2074"/>
    <x v="1441"/>
    <s v="Mrs"/>
    <s v="F"/>
    <n v="90"/>
    <s v="Mills Row"/>
    <x v="787"/>
    <x v="17"/>
    <d v="2020-11-01T00:00:00"/>
    <x v="2"/>
    <x v="7"/>
    <n v="23"/>
    <x v="9"/>
    <x v="9"/>
    <n v="552"/>
    <x v="60"/>
  </r>
  <r>
    <n v="3112"/>
    <x v="1372"/>
    <x v="396"/>
    <s v="Mr"/>
    <s v="M"/>
    <n v="30"/>
    <s v="Milman Road"/>
    <x v="845"/>
    <x v="2"/>
    <d v="2021-02-21T00:00:00"/>
    <x v="1"/>
    <x v="10"/>
    <n v="30"/>
    <x v="2"/>
    <x v="2"/>
    <n v="510"/>
    <x v="545"/>
  </r>
  <r>
    <n v="3113"/>
    <x v="2075"/>
    <x v="882"/>
    <s v="Miss"/>
    <s v="F"/>
    <n v="60"/>
    <s v="Milmans Street"/>
    <x v="1203"/>
    <x v="92"/>
    <d v="2021-02-23T00:00:00"/>
    <x v="1"/>
    <x v="10"/>
    <n v="41"/>
    <x v="2"/>
    <x v="2"/>
    <n v="697"/>
    <x v="725"/>
  </r>
  <r>
    <n v="3114"/>
    <x v="2076"/>
    <x v="454"/>
    <s v="Miss"/>
    <s v="F"/>
    <n v="60"/>
    <s v="Milner Walk"/>
    <x v="1057"/>
    <x v="90"/>
    <d v="2022-08-16T00:00:00"/>
    <x v="0"/>
    <x v="3"/>
    <n v="69"/>
    <x v="5"/>
    <x v="5"/>
    <n v="1656"/>
    <x v="857"/>
  </r>
  <r>
    <n v="3115"/>
    <x v="700"/>
    <x v="37"/>
    <s v="Mr"/>
    <s v="M"/>
    <n v="60"/>
    <s v="Milo Road"/>
    <x v="1136"/>
    <x v="2"/>
    <d v="2022-01-02T00:00:00"/>
    <x v="0"/>
    <x v="6"/>
    <n v="10"/>
    <x v="3"/>
    <x v="3"/>
    <n v="240"/>
    <x v="103"/>
  </r>
  <r>
    <n v="3116"/>
    <x v="2077"/>
    <x v="913"/>
    <s v="Miss"/>
    <s v="F"/>
    <n v="90"/>
    <s v="Mincing Lane"/>
    <x v="1136"/>
    <x v="2"/>
    <d v="2021-08-09T00:00:00"/>
    <x v="1"/>
    <x v="3"/>
    <n v="25"/>
    <x v="6"/>
    <x v="6"/>
    <n v="600"/>
    <x v="130"/>
  </r>
  <r>
    <n v="3117"/>
    <x v="2078"/>
    <x v="1080"/>
    <s v="Miss"/>
    <s v="F"/>
    <n v="30"/>
    <s v="Minehead Road"/>
    <x v="636"/>
    <x v="11"/>
    <d v="2020-07-25T00:00:00"/>
    <x v="2"/>
    <x v="0"/>
    <n v="2"/>
    <x v="0"/>
    <x v="0"/>
    <n v="40"/>
    <x v="156"/>
  </r>
  <r>
    <n v="3118"/>
    <x v="2079"/>
    <x v="1569"/>
    <s v="Mr"/>
    <s v="M"/>
    <n v="60"/>
    <s v="Minehead Road"/>
    <x v="720"/>
    <x v="2"/>
    <d v="2022-03-13T00:00:00"/>
    <x v="0"/>
    <x v="5"/>
    <n v="66"/>
    <x v="9"/>
    <x v="9"/>
    <n v="1584"/>
    <x v="404"/>
  </r>
  <r>
    <n v="3119"/>
    <x v="2080"/>
    <x v="119"/>
    <s v="Miss"/>
    <s v="F"/>
    <n v="90"/>
    <s v="Minera Street"/>
    <x v="721"/>
    <x v="11"/>
    <d v="2021-01-01T00:00:00"/>
    <x v="1"/>
    <x v="6"/>
    <n v="5"/>
    <x v="2"/>
    <x v="2"/>
    <n v="85"/>
    <x v="36"/>
  </r>
  <r>
    <n v="3120"/>
    <x v="1947"/>
    <x v="527"/>
    <s v="Mr"/>
    <s v="M"/>
    <n v="60"/>
    <s v="Minerva Terrace"/>
    <x v="797"/>
    <x v="2"/>
    <d v="2020-09-28T00:00:00"/>
    <x v="2"/>
    <x v="9"/>
    <n v="11"/>
    <x v="2"/>
    <x v="2"/>
    <n v="187"/>
    <x v="412"/>
  </r>
  <r>
    <n v="3121"/>
    <x v="2081"/>
    <x v="1570"/>
    <s v="Mr"/>
    <s v="M"/>
    <n v="30"/>
    <s v="Minnow Street"/>
    <x v="1055"/>
    <x v="8"/>
    <d v="2020-06-27T00:00:00"/>
    <x v="2"/>
    <x v="2"/>
    <n v="43"/>
    <x v="4"/>
    <x v="4"/>
    <n v="774"/>
    <x v="658"/>
  </r>
  <r>
    <n v="3122"/>
    <x v="335"/>
    <x v="88"/>
    <s v="Mr"/>
    <s v="M"/>
    <n v="90"/>
    <s v="Minnow Walk"/>
    <x v="679"/>
    <x v="44"/>
    <d v="2020-08-26T00:00:00"/>
    <x v="2"/>
    <x v="3"/>
    <n v="44"/>
    <x v="4"/>
    <x v="4"/>
    <n v="792"/>
    <x v="613"/>
  </r>
  <r>
    <n v="3123"/>
    <x v="2082"/>
    <x v="433"/>
    <s v="Mr"/>
    <s v="M"/>
    <n v="30"/>
    <s v="Minories"/>
    <x v="363"/>
    <x v="11"/>
    <d v="2021-07-30T00:00:00"/>
    <x v="1"/>
    <x v="0"/>
    <n v="89"/>
    <x v="4"/>
    <x v="4"/>
    <n v="1602"/>
    <x v="923"/>
  </r>
  <r>
    <n v="3124"/>
    <x v="2083"/>
    <x v="1571"/>
    <s v="Mr"/>
    <s v="M"/>
    <n v="90"/>
    <s v="Minosa Vale"/>
    <x v="114"/>
    <x v="2"/>
    <d v="2020-07-21T00:00:00"/>
    <x v="2"/>
    <x v="0"/>
    <n v="72"/>
    <x v="5"/>
    <x v="5"/>
    <n v="1728"/>
    <x v="554"/>
  </r>
  <r>
    <n v="3125"/>
    <x v="2084"/>
    <x v="1572"/>
    <s v="Miss"/>
    <s v="F"/>
    <n v="30"/>
    <s v="Mintern Close"/>
    <x v="1204"/>
    <x v="3"/>
    <d v="2020-05-11T00:00:00"/>
    <x v="2"/>
    <x v="11"/>
    <n v="60"/>
    <x v="3"/>
    <x v="3"/>
    <n v="1440"/>
    <x v="261"/>
  </r>
  <r>
    <n v="3126"/>
    <x v="2085"/>
    <x v="1573"/>
    <s v="Mr"/>
    <s v="M"/>
    <n v="60"/>
    <s v="Minton Mews"/>
    <x v="151"/>
    <x v="2"/>
    <d v="2021-02-08T00:00:00"/>
    <x v="1"/>
    <x v="10"/>
    <n v="91"/>
    <x v="7"/>
    <x v="7"/>
    <n v="1820"/>
    <x v="151"/>
  </r>
  <r>
    <n v="3127"/>
    <x v="1163"/>
    <x v="1465"/>
    <s v="Mrs"/>
    <s v="F"/>
    <n v="90"/>
    <s v="Mitcham Lane"/>
    <x v="222"/>
    <x v="2"/>
    <d v="2022-06-30T00:00:00"/>
    <x v="0"/>
    <x v="2"/>
    <n v="80"/>
    <x v="4"/>
    <x v="4"/>
    <n v="1440"/>
    <x v="75"/>
  </r>
  <r>
    <n v="3128"/>
    <x v="288"/>
    <x v="780"/>
    <s v="Mr"/>
    <s v="M"/>
    <n v="30"/>
    <s v="Mitchell"/>
    <x v="841"/>
    <x v="8"/>
    <d v="2022-08-05T00:00:00"/>
    <x v="0"/>
    <x v="3"/>
    <n v="39"/>
    <x v="0"/>
    <x v="0"/>
    <n v="780"/>
    <x v="829"/>
  </r>
  <r>
    <n v="3129"/>
    <x v="59"/>
    <x v="1055"/>
    <s v="Mrs"/>
    <s v="F"/>
    <n v="90"/>
    <s v="Mitchison Road"/>
    <x v="350"/>
    <x v="2"/>
    <d v="2021-03-04T00:00:00"/>
    <x v="1"/>
    <x v="5"/>
    <n v="18"/>
    <x v="0"/>
    <x v="0"/>
    <n v="360"/>
    <x v="18"/>
  </r>
  <r>
    <n v="3130"/>
    <x v="2086"/>
    <x v="229"/>
    <s v="Miss"/>
    <s v="F"/>
    <n v="90"/>
    <s v="Mitre Court"/>
    <x v="961"/>
    <x v="21"/>
    <d v="2022-11-21T00:00:00"/>
    <x v="0"/>
    <x v="7"/>
    <n v="19"/>
    <x v="6"/>
    <x v="6"/>
    <n v="456"/>
    <x v="115"/>
  </r>
  <r>
    <n v="3131"/>
    <x v="1230"/>
    <x v="1535"/>
    <s v="Dr"/>
    <s v="F"/>
    <n v="90"/>
    <s v="Mitre Street"/>
    <x v="359"/>
    <x v="13"/>
    <d v="2021-04-15T00:00:00"/>
    <x v="1"/>
    <x v="4"/>
    <n v="26"/>
    <x v="3"/>
    <x v="3"/>
    <n v="624"/>
    <x v="524"/>
  </r>
  <r>
    <n v="3132"/>
    <x v="2087"/>
    <x v="446"/>
    <s v="Miss"/>
    <s v="F"/>
    <n v="90"/>
    <s v="Moat Drive"/>
    <x v="1205"/>
    <x v="2"/>
    <d v="2021-06-23T00:00:00"/>
    <x v="1"/>
    <x v="2"/>
    <n v="40"/>
    <x v="9"/>
    <x v="9"/>
    <n v="960"/>
    <x v="228"/>
  </r>
  <r>
    <n v="3133"/>
    <x v="529"/>
    <x v="42"/>
    <s v="Mr"/>
    <s v="M"/>
    <n v="90"/>
    <s v="Moat Place"/>
    <x v="1054"/>
    <x v="21"/>
    <d v="2022-02-18T00:00:00"/>
    <x v="0"/>
    <x v="10"/>
    <n v="40"/>
    <x v="3"/>
    <x v="3"/>
    <n v="960"/>
    <x v="155"/>
  </r>
  <r>
    <n v="3134"/>
    <x v="3"/>
    <x v="353"/>
    <s v="Mr"/>
    <s v="M"/>
    <n v="30"/>
    <s v="Moberley Road"/>
    <x v="602"/>
    <x v="26"/>
    <d v="2020-12-24T00:00:00"/>
    <x v="2"/>
    <x v="8"/>
    <n v="10"/>
    <x v="6"/>
    <x v="6"/>
    <n v="240"/>
    <x v="172"/>
  </r>
  <r>
    <n v="3135"/>
    <x v="1972"/>
    <x v="1433"/>
    <s v="Mrs"/>
    <s v="F"/>
    <n v="90"/>
    <s v="Moberley Road"/>
    <x v="1011"/>
    <x v="2"/>
    <d v="2020-12-10T00:00:00"/>
    <x v="2"/>
    <x v="8"/>
    <n v="78"/>
    <x v="8"/>
    <x v="8"/>
    <n v="1560"/>
    <x v="903"/>
  </r>
  <r>
    <n v="3136"/>
    <x v="1830"/>
    <x v="1574"/>
    <s v="Mr"/>
    <s v="M"/>
    <n v="60"/>
    <s v="Moira"/>
    <x v="168"/>
    <x v="2"/>
    <d v="2020-07-10T00:00:00"/>
    <x v="2"/>
    <x v="0"/>
    <n v="41"/>
    <x v="4"/>
    <x v="4"/>
    <n v="738"/>
    <x v="338"/>
  </r>
  <r>
    <n v="3137"/>
    <x v="890"/>
    <x v="1575"/>
    <s v="Mr"/>
    <s v="M"/>
    <n v="90"/>
    <s v="Molton Lane"/>
    <x v="750"/>
    <x v="2"/>
    <d v="2020-12-23T00:00:00"/>
    <x v="2"/>
    <x v="8"/>
    <n v="53"/>
    <x v="3"/>
    <x v="3"/>
    <n v="1272"/>
    <x v="587"/>
  </r>
  <r>
    <n v="3138"/>
    <x v="1168"/>
    <x v="1557"/>
    <s v="Mr"/>
    <s v="M"/>
    <n v="90"/>
    <s v="Monk Drive"/>
    <x v="234"/>
    <x v="2"/>
    <d v="2022-03-17T00:00:00"/>
    <x v="0"/>
    <x v="5"/>
    <n v="50"/>
    <x v="8"/>
    <x v="8"/>
    <n v="1000"/>
    <x v="734"/>
  </r>
  <r>
    <n v="3139"/>
    <x v="2088"/>
    <x v="1303"/>
    <s v="Miss"/>
    <s v="F"/>
    <n v="30"/>
    <s v="Monkfrith Way"/>
    <x v="1206"/>
    <x v="29"/>
    <d v="2021-12-26T00:00:00"/>
    <x v="1"/>
    <x v="8"/>
    <n v="18"/>
    <x v="7"/>
    <x v="7"/>
    <n v="360"/>
    <x v="687"/>
  </r>
  <r>
    <n v="3140"/>
    <x v="2089"/>
    <x v="1576"/>
    <s v="Dr"/>
    <s v="M"/>
    <n v="90"/>
    <s v="Monks Close"/>
    <x v="744"/>
    <x v="2"/>
    <d v="2020-06-10T00:00:00"/>
    <x v="2"/>
    <x v="2"/>
    <n v="17"/>
    <x v="5"/>
    <x v="5"/>
    <n v="408"/>
    <x v="154"/>
  </r>
  <r>
    <n v="3141"/>
    <x v="2090"/>
    <x v="544"/>
    <s v="Mr"/>
    <s v="M"/>
    <n v="90"/>
    <s v="Monmouth Close"/>
    <x v="445"/>
    <x v="2"/>
    <d v="2021-07-17T00:00:00"/>
    <x v="1"/>
    <x v="0"/>
    <n v="16"/>
    <x v="0"/>
    <x v="0"/>
    <n v="320"/>
    <x v="12"/>
  </r>
  <r>
    <n v="3142"/>
    <x v="946"/>
    <x v="1399"/>
    <s v="Mr"/>
    <s v="M"/>
    <n v="60"/>
    <s v="Monster Place"/>
    <x v="861"/>
    <x v="11"/>
    <d v="2021-07-04T00:00:00"/>
    <x v="1"/>
    <x v="0"/>
    <n v="63"/>
    <x v="9"/>
    <x v="9"/>
    <n v="1512"/>
    <x v="355"/>
  </r>
  <r>
    <n v="3143"/>
    <x v="422"/>
    <x v="907"/>
    <s v="Mr"/>
    <s v="M"/>
    <n v="60"/>
    <s v="Montagu Mews"/>
    <x v="47"/>
    <x v="16"/>
    <d v="2021-08-06T00:00:00"/>
    <x v="1"/>
    <x v="3"/>
    <n v="15"/>
    <x v="6"/>
    <x v="6"/>
    <n v="360"/>
    <x v="747"/>
  </r>
  <r>
    <n v="3144"/>
    <x v="1814"/>
    <x v="320"/>
    <s v="Mr"/>
    <s v="M"/>
    <n v="60"/>
    <s v="Montague House"/>
    <x v="658"/>
    <x v="27"/>
    <d v="2022-09-09T00:00:00"/>
    <x v="0"/>
    <x v="9"/>
    <n v="9"/>
    <x v="6"/>
    <x v="6"/>
    <n v="216"/>
    <x v="171"/>
  </r>
  <r>
    <n v="3145"/>
    <x v="2072"/>
    <x v="1577"/>
    <s v="Mr"/>
    <s v="M"/>
    <n v="30"/>
    <s v="Montague Place"/>
    <x v="29"/>
    <x v="15"/>
    <d v="2021-12-12T00:00:00"/>
    <x v="1"/>
    <x v="8"/>
    <n v="66"/>
    <x v="5"/>
    <x v="5"/>
    <n v="1584"/>
    <x v="648"/>
  </r>
  <r>
    <n v="3146"/>
    <x v="758"/>
    <x v="747"/>
    <s v="Miss"/>
    <s v="F"/>
    <n v="60"/>
    <s v="Montague Terrace"/>
    <x v="392"/>
    <x v="2"/>
    <d v="2022-08-30T00:00:00"/>
    <x v="0"/>
    <x v="3"/>
    <n v="92"/>
    <x v="8"/>
    <x v="8"/>
    <n v="1840"/>
    <x v="628"/>
  </r>
  <r>
    <n v="3147"/>
    <x v="473"/>
    <x v="808"/>
    <s v="Mrs"/>
    <s v="F"/>
    <n v="30"/>
    <s v="Montefiore Street"/>
    <x v="1207"/>
    <x v="3"/>
    <d v="2020-10-28T00:00:00"/>
    <x v="2"/>
    <x v="1"/>
    <n v="75"/>
    <x v="8"/>
    <x v="8"/>
    <n v="1500"/>
    <x v="133"/>
  </r>
  <r>
    <n v="3148"/>
    <x v="551"/>
    <x v="1578"/>
    <s v="Mr"/>
    <s v="M"/>
    <n v="30"/>
    <s v="Montego Close"/>
    <x v="1041"/>
    <x v="2"/>
    <d v="2020-03-23T00:00:00"/>
    <x v="2"/>
    <x v="5"/>
    <n v="4"/>
    <x v="0"/>
    <x v="0"/>
    <n v="80"/>
    <x v="763"/>
  </r>
  <r>
    <n v="3149"/>
    <x v="1968"/>
    <x v="1579"/>
    <s v="Mrs"/>
    <s v="F"/>
    <n v="90"/>
    <s v="Montpeleir Road"/>
    <x v="513"/>
    <x v="16"/>
    <d v="2021-01-10T00:00:00"/>
    <x v="1"/>
    <x v="6"/>
    <n v="74"/>
    <x v="9"/>
    <x v="9"/>
    <n v="1776"/>
    <x v="525"/>
  </r>
  <r>
    <n v="3150"/>
    <x v="622"/>
    <x v="88"/>
    <s v="Mrs"/>
    <s v="F"/>
    <n v="30"/>
    <s v="Montpeleir Road"/>
    <x v="787"/>
    <x v="17"/>
    <d v="2021-09-29T00:00:00"/>
    <x v="1"/>
    <x v="9"/>
    <n v="31"/>
    <x v="8"/>
    <x v="8"/>
    <n v="620"/>
    <x v="504"/>
  </r>
  <r>
    <n v="3151"/>
    <x v="1584"/>
    <x v="554"/>
    <s v="Mr"/>
    <s v="M"/>
    <n v="30"/>
    <s v="Montpelier Avenue"/>
    <x v="951"/>
    <x v="3"/>
    <d v="2021-09-20T00:00:00"/>
    <x v="1"/>
    <x v="9"/>
    <n v="88"/>
    <x v="1"/>
    <x v="1"/>
    <n v="2112"/>
    <x v="66"/>
  </r>
  <r>
    <n v="3152"/>
    <x v="1891"/>
    <x v="51"/>
    <s v="Mrs"/>
    <s v="F"/>
    <n v="60"/>
    <s v="Montpelier Avenue"/>
    <x v="148"/>
    <x v="2"/>
    <d v="2021-09-19T00:00:00"/>
    <x v="1"/>
    <x v="9"/>
    <n v="35"/>
    <x v="5"/>
    <x v="5"/>
    <n v="840"/>
    <x v="182"/>
  </r>
  <r>
    <n v="3153"/>
    <x v="2091"/>
    <x v="743"/>
    <s v="Mrs"/>
    <s v="F"/>
    <n v="30"/>
    <s v="Montpelier Row"/>
    <x v="580"/>
    <x v="2"/>
    <d v="2020-12-06T00:00:00"/>
    <x v="2"/>
    <x v="8"/>
    <n v="36"/>
    <x v="3"/>
    <x v="3"/>
    <n v="864"/>
    <x v="729"/>
  </r>
  <r>
    <n v="3154"/>
    <x v="1701"/>
    <x v="1580"/>
    <s v="Ms"/>
    <s v="F"/>
    <n v="60"/>
    <s v="Montpelier Square"/>
    <x v="801"/>
    <x v="73"/>
    <d v="2020-03-08T00:00:00"/>
    <x v="2"/>
    <x v="5"/>
    <n v="31"/>
    <x v="3"/>
    <x v="3"/>
    <n v="744"/>
    <x v="53"/>
  </r>
  <r>
    <n v="3155"/>
    <x v="2092"/>
    <x v="1115"/>
    <s v="Mr"/>
    <s v="M"/>
    <n v="90"/>
    <s v="Montserrat Close"/>
    <x v="57"/>
    <x v="21"/>
    <d v="2020-04-17T00:00:00"/>
    <x v="2"/>
    <x v="4"/>
    <n v="44"/>
    <x v="6"/>
    <x v="6"/>
    <n v="1056"/>
    <x v="422"/>
  </r>
  <r>
    <n v="3156"/>
    <x v="2093"/>
    <x v="441"/>
    <s v="Mr"/>
    <s v="M"/>
    <n v="60"/>
    <s v="Moor Lane"/>
    <x v="295"/>
    <x v="17"/>
    <d v="2022-02-06T00:00:00"/>
    <x v="0"/>
    <x v="10"/>
    <n v="45"/>
    <x v="8"/>
    <x v="8"/>
    <n v="900"/>
    <x v="413"/>
  </r>
  <r>
    <n v="3157"/>
    <x v="340"/>
    <x v="855"/>
    <s v="Mr"/>
    <s v="M"/>
    <n v="30"/>
    <s v="Moorhouse Road"/>
    <x v="392"/>
    <x v="2"/>
    <d v="2021-06-20T00:00:00"/>
    <x v="1"/>
    <x v="2"/>
    <n v="37"/>
    <x v="6"/>
    <x v="6"/>
    <n v="888"/>
    <x v="292"/>
  </r>
  <r>
    <n v="3158"/>
    <x v="2094"/>
    <x v="1135"/>
    <s v="Mr"/>
    <s v="M"/>
    <n v="30"/>
    <s v="Moorland Road"/>
    <x v="1208"/>
    <x v="65"/>
    <d v="2022-08-16T00:00:00"/>
    <x v="0"/>
    <x v="3"/>
    <n v="101"/>
    <x v="7"/>
    <x v="7"/>
    <n v="2020"/>
    <x v="565"/>
  </r>
  <r>
    <n v="3159"/>
    <x v="2095"/>
    <x v="819"/>
    <s v="Mrs"/>
    <s v="F"/>
    <n v="60"/>
    <s v="Moors Alley"/>
    <x v="1209"/>
    <x v="13"/>
    <d v="2020-12-06T00:00:00"/>
    <x v="2"/>
    <x v="8"/>
    <n v="28"/>
    <x v="8"/>
    <x v="8"/>
    <n v="560"/>
    <x v="825"/>
  </r>
  <r>
    <n v="3160"/>
    <x v="780"/>
    <x v="1337"/>
    <s v="Mr"/>
    <s v="M"/>
    <n v="60"/>
    <s v="Morkyns Walk"/>
    <x v="410"/>
    <x v="21"/>
    <d v="2022-03-10T00:00:00"/>
    <x v="0"/>
    <x v="5"/>
    <n v="94"/>
    <x v="4"/>
    <x v="4"/>
    <n v="1692"/>
    <x v="617"/>
  </r>
  <r>
    <n v="3161"/>
    <x v="2096"/>
    <x v="1581"/>
    <s v="Mr"/>
    <s v="M"/>
    <n v="60"/>
    <s v="Morning Place"/>
    <x v="236"/>
    <x v="3"/>
    <d v="2021-07-28T00:00:00"/>
    <x v="1"/>
    <x v="0"/>
    <n v="78"/>
    <x v="3"/>
    <x v="3"/>
    <n v="1872"/>
    <x v="713"/>
  </r>
  <r>
    <n v="3162"/>
    <x v="1407"/>
    <x v="333"/>
    <s v="Mrs"/>
    <s v="F"/>
    <n v="30"/>
    <s v="Morpeth Road"/>
    <x v="789"/>
    <x v="2"/>
    <d v="2021-02-20T00:00:00"/>
    <x v="1"/>
    <x v="10"/>
    <n v="5"/>
    <x v="8"/>
    <x v="8"/>
    <n v="100"/>
    <x v="71"/>
  </r>
  <r>
    <n v="3163"/>
    <x v="2097"/>
    <x v="1405"/>
    <s v="Mrs"/>
    <s v="F"/>
    <n v="30"/>
    <s v="Morris Avenue"/>
    <x v="1195"/>
    <x v="17"/>
    <d v="2021-08-30T00:00:00"/>
    <x v="1"/>
    <x v="3"/>
    <n v="66"/>
    <x v="7"/>
    <x v="7"/>
    <n v="1320"/>
    <x v="916"/>
  </r>
  <r>
    <n v="3164"/>
    <x v="1771"/>
    <x v="406"/>
    <s v="Mr"/>
    <s v="M"/>
    <n v="90"/>
    <s v="Morris Bishop"/>
    <x v="429"/>
    <x v="1"/>
    <d v="2020-01-15T00:00:00"/>
    <x v="2"/>
    <x v="6"/>
    <n v="64"/>
    <x v="4"/>
    <x v="4"/>
    <n v="1152"/>
    <x v="898"/>
  </r>
  <r>
    <n v="3165"/>
    <x v="1770"/>
    <x v="1126"/>
    <s v="Mr"/>
    <s v="M"/>
    <n v="90"/>
    <s v="Morris Buildings"/>
    <x v="146"/>
    <x v="2"/>
    <d v="2022-11-08T00:00:00"/>
    <x v="0"/>
    <x v="7"/>
    <n v="95"/>
    <x v="5"/>
    <x v="5"/>
    <n v="2280"/>
    <x v="217"/>
  </r>
  <r>
    <n v="3166"/>
    <x v="2098"/>
    <x v="146"/>
    <s v="Miss"/>
    <s v="F"/>
    <n v="30"/>
    <s v="Morrison Buildings"/>
    <x v="1184"/>
    <x v="0"/>
    <d v="2020-04-01T00:00:00"/>
    <x v="2"/>
    <x v="4"/>
    <n v="80"/>
    <x v="3"/>
    <x v="3"/>
    <n v="1920"/>
    <x v="278"/>
  </r>
  <r>
    <n v="3167"/>
    <x v="262"/>
    <x v="298"/>
    <s v="Mr"/>
    <s v="M"/>
    <n v="30"/>
    <s v="Morston Gardens"/>
    <x v="1210"/>
    <x v="2"/>
    <d v="2020-05-26T00:00:00"/>
    <x v="2"/>
    <x v="11"/>
    <n v="77"/>
    <x v="2"/>
    <x v="2"/>
    <n v="1309"/>
    <x v="79"/>
  </r>
  <r>
    <n v="3168"/>
    <x v="2099"/>
    <x v="303"/>
    <s v="Mr"/>
    <s v="M"/>
    <n v="30"/>
    <s v="Morten Place"/>
    <x v="596"/>
    <x v="2"/>
    <d v="2022-10-21T00:00:00"/>
    <x v="0"/>
    <x v="1"/>
    <n v="65"/>
    <x v="0"/>
    <x v="0"/>
    <n v="1300"/>
    <x v="345"/>
  </r>
  <r>
    <n v="3169"/>
    <x v="2100"/>
    <x v="1129"/>
    <s v="Miss"/>
    <s v="F"/>
    <n v="30"/>
    <s v="Mortham Street"/>
    <x v="1162"/>
    <x v="8"/>
    <d v="2021-01-31T00:00:00"/>
    <x v="1"/>
    <x v="6"/>
    <n v="54"/>
    <x v="3"/>
    <x v="3"/>
    <n v="1296"/>
    <x v="309"/>
  </r>
  <r>
    <n v="3170"/>
    <x v="2101"/>
    <x v="926"/>
    <s v="Mr"/>
    <s v="M"/>
    <n v="30"/>
    <s v="Mortimer Terrace"/>
    <x v="1211"/>
    <x v="32"/>
    <d v="2020-11-17T00:00:00"/>
    <x v="2"/>
    <x v="7"/>
    <n v="17"/>
    <x v="0"/>
    <x v="0"/>
    <n v="340"/>
    <x v="746"/>
  </r>
  <r>
    <n v="3171"/>
    <x v="2102"/>
    <x v="53"/>
    <s v="Mr"/>
    <s v="M"/>
    <n v="30"/>
    <s v="Mortion Villas"/>
    <x v="989"/>
    <x v="2"/>
    <d v="2022-08-19T00:00:00"/>
    <x v="0"/>
    <x v="3"/>
    <n v="7"/>
    <x v="4"/>
    <x v="4"/>
    <n v="126"/>
    <x v="311"/>
  </r>
  <r>
    <n v="3172"/>
    <x v="1664"/>
    <x v="1582"/>
    <s v="Mr"/>
    <s v="M"/>
    <n v="90"/>
    <s v="Morton Place"/>
    <x v="235"/>
    <x v="12"/>
    <d v="2021-06-28T00:00:00"/>
    <x v="1"/>
    <x v="2"/>
    <n v="21"/>
    <x v="2"/>
    <x v="2"/>
    <n v="357"/>
    <x v="919"/>
  </r>
  <r>
    <n v="3173"/>
    <x v="1185"/>
    <x v="1583"/>
    <s v="Mr"/>
    <s v="M"/>
    <n v="60"/>
    <s v="Morton Terrace"/>
    <x v="1212"/>
    <x v="12"/>
    <d v="2020-10-29T00:00:00"/>
    <x v="2"/>
    <x v="1"/>
    <n v="29"/>
    <x v="2"/>
    <x v="2"/>
    <n v="493"/>
    <x v="481"/>
  </r>
  <r>
    <n v="3174"/>
    <x v="2103"/>
    <x v="1167"/>
    <s v="Mrs"/>
    <s v="F"/>
    <n v="30"/>
    <s v="Mortons Place"/>
    <x v="1194"/>
    <x v="2"/>
    <d v="2021-02-22T00:00:00"/>
    <x v="1"/>
    <x v="10"/>
    <n v="64"/>
    <x v="4"/>
    <x v="4"/>
    <n v="1152"/>
    <x v="898"/>
  </r>
  <r>
    <n v="3175"/>
    <x v="1696"/>
    <x v="1584"/>
    <s v="Mr"/>
    <s v="M"/>
    <n v="90"/>
    <s v="Moscow Terrace"/>
    <x v="1213"/>
    <x v="0"/>
    <d v="2021-02-01T00:00:00"/>
    <x v="1"/>
    <x v="10"/>
    <n v="90"/>
    <x v="3"/>
    <x v="3"/>
    <n v="2160"/>
    <x v="714"/>
  </r>
  <r>
    <n v="3176"/>
    <x v="2104"/>
    <x v="149"/>
    <s v="Mrs"/>
    <s v="F"/>
    <n v="30"/>
    <s v="Moselle Close"/>
    <x v="665"/>
    <x v="13"/>
    <d v="2022-05-06T00:00:00"/>
    <x v="0"/>
    <x v="11"/>
    <n v="54"/>
    <x v="3"/>
    <x v="3"/>
    <n v="1296"/>
    <x v="309"/>
  </r>
  <r>
    <n v="3177"/>
    <x v="1707"/>
    <x v="1396"/>
    <s v="Mr"/>
    <s v="M"/>
    <n v="90"/>
    <s v="Moselle Place"/>
    <x v="142"/>
    <x v="21"/>
    <d v="2021-12-21T00:00:00"/>
    <x v="1"/>
    <x v="8"/>
    <n v="77"/>
    <x v="4"/>
    <x v="4"/>
    <n v="1386"/>
    <x v="620"/>
  </r>
  <r>
    <n v="3178"/>
    <x v="2105"/>
    <x v="170"/>
    <s v="Miss"/>
    <s v="F"/>
    <n v="30"/>
    <s v="Mossington Gardens"/>
    <x v="1170"/>
    <x v="2"/>
    <d v="2020-06-07T00:00:00"/>
    <x v="2"/>
    <x v="2"/>
    <n v="38"/>
    <x v="3"/>
    <x v="3"/>
    <n v="912"/>
    <x v="117"/>
  </r>
  <r>
    <n v="3179"/>
    <x v="249"/>
    <x v="1585"/>
    <s v="Mr"/>
    <s v="M"/>
    <n v="30"/>
    <s v="Moss'S Buildings"/>
    <x v="789"/>
    <x v="2"/>
    <d v="2022-12-14T00:00:00"/>
    <x v="0"/>
    <x v="8"/>
    <n v="56"/>
    <x v="6"/>
    <x v="6"/>
    <n v="1344"/>
    <x v="707"/>
  </r>
  <r>
    <n v="3180"/>
    <x v="696"/>
    <x v="1234"/>
    <s v="Mr"/>
    <s v="M"/>
    <n v="90"/>
    <s v="Mostyn Grove"/>
    <x v="1214"/>
    <x v="2"/>
    <d v="2021-01-17T00:00:00"/>
    <x v="1"/>
    <x v="6"/>
    <n v="79"/>
    <x v="1"/>
    <x v="1"/>
    <n v="1896"/>
    <x v="739"/>
  </r>
  <r>
    <n v="3181"/>
    <x v="1294"/>
    <x v="1140"/>
    <s v="Mr"/>
    <s v="M"/>
    <n v="60"/>
    <s v="Mother Kate"/>
    <x v="262"/>
    <x v="35"/>
    <d v="2020-02-04T00:00:00"/>
    <x v="2"/>
    <x v="10"/>
    <n v="18"/>
    <x v="8"/>
    <x v="8"/>
    <n v="360"/>
    <x v="24"/>
  </r>
  <r>
    <n v="3182"/>
    <x v="1178"/>
    <x v="1586"/>
    <s v="Mr"/>
    <s v="M"/>
    <n v="30"/>
    <s v="Mount"/>
    <x v="398"/>
    <x v="7"/>
    <d v="2021-07-26T00:00:00"/>
    <x v="1"/>
    <x v="0"/>
    <n v="43"/>
    <x v="1"/>
    <x v="1"/>
    <n v="1032"/>
    <x v="76"/>
  </r>
  <r>
    <n v="3183"/>
    <x v="526"/>
    <x v="460"/>
    <s v="Ms"/>
    <s v="F"/>
    <n v="90"/>
    <s v="Mount Angelus"/>
    <x v="10"/>
    <x v="2"/>
    <d v="2021-05-26T00:00:00"/>
    <x v="1"/>
    <x v="11"/>
    <n v="66"/>
    <x v="1"/>
    <x v="1"/>
    <n v="1584"/>
    <x v="786"/>
  </r>
  <r>
    <n v="3184"/>
    <x v="2106"/>
    <x v="307"/>
    <s v="Mrs"/>
    <s v="F"/>
    <n v="90"/>
    <s v="Mount Ash"/>
    <x v="52"/>
    <x v="2"/>
    <d v="2020-02-14T00:00:00"/>
    <x v="2"/>
    <x v="10"/>
    <n v="5"/>
    <x v="6"/>
    <x v="6"/>
    <n v="120"/>
    <x v="966"/>
  </r>
  <r>
    <n v="3185"/>
    <x v="734"/>
    <x v="1307"/>
    <s v="Mr"/>
    <s v="M"/>
    <n v="60"/>
    <s v="Mount Avenue"/>
    <x v="1215"/>
    <x v="2"/>
    <d v="2022-01-24T00:00:00"/>
    <x v="0"/>
    <x v="6"/>
    <n v="92"/>
    <x v="5"/>
    <x v="5"/>
    <n v="2208"/>
    <x v="30"/>
  </r>
  <r>
    <n v="3186"/>
    <x v="1810"/>
    <x v="1549"/>
    <s v="Mr"/>
    <s v="M"/>
    <n v="60"/>
    <s v="Mount Close"/>
    <x v="1024"/>
    <x v="17"/>
    <d v="2021-08-17T00:00:00"/>
    <x v="1"/>
    <x v="3"/>
    <n v="4"/>
    <x v="6"/>
    <x v="6"/>
    <n v="96"/>
    <x v="879"/>
  </r>
  <r>
    <n v="3187"/>
    <x v="2107"/>
    <x v="538"/>
    <s v="Miss"/>
    <s v="F"/>
    <n v="60"/>
    <s v="Mount Ephraim"/>
    <x v="239"/>
    <x v="40"/>
    <d v="2020-03-12T00:00:00"/>
    <x v="2"/>
    <x v="5"/>
    <n v="6"/>
    <x v="7"/>
    <x v="7"/>
    <n v="120"/>
    <x v="227"/>
  </r>
  <r>
    <n v="3188"/>
    <x v="1745"/>
    <x v="1587"/>
    <s v="Mr"/>
    <s v="M"/>
    <n v="60"/>
    <s v="Mount Row"/>
    <x v="1112"/>
    <x v="17"/>
    <d v="2022-06-12T00:00:00"/>
    <x v="0"/>
    <x v="2"/>
    <n v="99"/>
    <x v="8"/>
    <x v="8"/>
    <n v="1980"/>
    <x v="755"/>
  </r>
  <r>
    <n v="3189"/>
    <x v="2108"/>
    <x v="1227"/>
    <s v="Mr"/>
    <s v="M"/>
    <n v="30"/>
    <s v="Moyers Road"/>
    <x v="14"/>
    <x v="2"/>
    <d v="2021-03-08T00:00:00"/>
    <x v="1"/>
    <x v="5"/>
    <n v="4"/>
    <x v="4"/>
    <x v="4"/>
    <n v="72"/>
    <x v="486"/>
  </r>
  <r>
    <n v="3190"/>
    <x v="260"/>
    <x v="931"/>
    <s v="Mr"/>
    <s v="M"/>
    <n v="30"/>
    <s v="Moyna Road"/>
    <x v="1216"/>
    <x v="2"/>
    <d v="2022-03-11T00:00:00"/>
    <x v="0"/>
    <x v="5"/>
    <n v="101"/>
    <x v="0"/>
    <x v="0"/>
    <n v="2020"/>
    <x v="305"/>
  </r>
  <r>
    <n v="3191"/>
    <x v="2109"/>
    <x v="1588"/>
    <s v="Mr"/>
    <s v="M"/>
    <n v="30"/>
    <s v="Mozart Terrace"/>
    <x v="1132"/>
    <x v="1"/>
    <d v="2020-07-22T00:00:00"/>
    <x v="2"/>
    <x v="0"/>
    <n v="83"/>
    <x v="3"/>
    <x v="3"/>
    <n v="1992"/>
    <x v="321"/>
  </r>
  <r>
    <n v="3192"/>
    <x v="2110"/>
    <x v="1170"/>
    <s v="Mrs"/>
    <s v="F"/>
    <n v="30"/>
    <s v="Mulberry Business"/>
    <x v="1217"/>
    <x v="15"/>
    <d v="2022-08-21T00:00:00"/>
    <x v="0"/>
    <x v="3"/>
    <n v="19"/>
    <x v="3"/>
    <x v="3"/>
    <n v="456"/>
    <x v="69"/>
  </r>
  <r>
    <n v="3193"/>
    <x v="2111"/>
    <x v="1589"/>
    <s v="Mrs"/>
    <s v="F"/>
    <n v="90"/>
    <s v="Mulberry Business"/>
    <x v="774"/>
    <x v="21"/>
    <d v="2020-05-10T00:00:00"/>
    <x v="2"/>
    <x v="11"/>
    <n v="24"/>
    <x v="4"/>
    <x v="4"/>
    <n v="432"/>
    <x v="959"/>
  </r>
  <r>
    <n v="3194"/>
    <x v="2112"/>
    <x v="218"/>
    <s v="Miss"/>
    <s v="F"/>
    <n v="90"/>
    <s v="Mulnath"/>
    <x v="1115"/>
    <x v="17"/>
    <d v="2020-05-01T00:00:00"/>
    <x v="2"/>
    <x v="11"/>
    <n v="49"/>
    <x v="9"/>
    <x v="9"/>
    <n v="1176"/>
    <x v="459"/>
  </r>
  <r>
    <n v="3195"/>
    <x v="2113"/>
    <x v="441"/>
    <s v="Mr"/>
    <s v="M"/>
    <n v="30"/>
    <s v="Mulvaney Way"/>
    <x v="1218"/>
    <x v="21"/>
    <d v="2022-10-17T00:00:00"/>
    <x v="0"/>
    <x v="1"/>
    <n v="99"/>
    <x v="8"/>
    <x v="8"/>
    <n v="1980"/>
    <x v="755"/>
  </r>
  <r>
    <n v="3196"/>
    <x v="2114"/>
    <x v="66"/>
    <s v="Mr"/>
    <s v="M"/>
    <n v="60"/>
    <s v="Muncies Mews"/>
    <x v="276"/>
    <x v="3"/>
    <d v="2022-10-09T00:00:00"/>
    <x v="0"/>
    <x v="1"/>
    <n v="70"/>
    <x v="1"/>
    <x v="1"/>
    <n v="1680"/>
    <x v="561"/>
  </r>
  <r>
    <n v="3197"/>
    <x v="863"/>
    <x v="1150"/>
    <s v="Mr"/>
    <s v="M"/>
    <n v="90"/>
    <s v="Mundys Place"/>
    <x v="550"/>
    <x v="73"/>
    <d v="2022-08-29T00:00:00"/>
    <x v="0"/>
    <x v="3"/>
    <n v="62"/>
    <x v="7"/>
    <x v="7"/>
    <n v="1240"/>
    <x v="776"/>
  </r>
  <r>
    <n v="3198"/>
    <x v="2115"/>
    <x v="1095"/>
    <s v="Ms"/>
    <s v="F"/>
    <n v="60"/>
    <s v="Munster Place"/>
    <x v="686"/>
    <x v="1"/>
    <d v="2020-12-20T00:00:00"/>
    <x v="2"/>
    <x v="8"/>
    <n v="59"/>
    <x v="8"/>
    <x v="8"/>
    <n v="1180"/>
    <x v="873"/>
  </r>
  <r>
    <n v="3199"/>
    <x v="486"/>
    <x v="1550"/>
    <s v="Prof"/>
    <s v="F"/>
    <n v="30"/>
    <s v="Munster Place"/>
    <x v="687"/>
    <x v="2"/>
    <d v="2022-03-11T00:00:00"/>
    <x v="0"/>
    <x v="5"/>
    <n v="45"/>
    <x v="5"/>
    <x v="5"/>
    <n v="1080"/>
    <x v="112"/>
  </r>
  <r>
    <n v="3200"/>
    <x v="2116"/>
    <x v="830"/>
    <s v="Mrs"/>
    <s v="F"/>
    <n v="90"/>
    <s v="Munster Road"/>
    <x v="456"/>
    <x v="68"/>
    <d v="2021-07-19T00:00:00"/>
    <x v="1"/>
    <x v="0"/>
    <n v="25"/>
    <x v="8"/>
    <x v="8"/>
    <n v="500"/>
    <x v="764"/>
  </r>
  <r>
    <n v="3201"/>
    <x v="1692"/>
    <x v="872"/>
    <s v="Miss"/>
    <s v="F"/>
    <n v="90"/>
    <s v="Munster Square"/>
    <x v="152"/>
    <x v="2"/>
    <d v="2020-10-17T00:00:00"/>
    <x v="2"/>
    <x v="1"/>
    <n v="55"/>
    <x v="0"/>
    <x v="0"/>
    <n v="1100"/>
    <x v="432"/>
  </r>
  <r>
    <n v="3202"/>
    <x v="2039"/>
    <x v="795"/>
    <s v="Mr"/>
    <s v="M"/>
    <n v="60"/>
    <s v="Murdock Street"/>
    <x v="933"/>
    <x v="2"/>
    <d v="2020-01-31T00:00:00"/>
    <x v="2"/>
    <x v="6"/>
    <n v="82"/>
    <x v="3"/>
    <x v="3"/>
    <n v="1968"/>
    <x v="594"/>
  </r>
  <r>
    <n v="3203"/>
    <x v="897"/>
    <x v="672"/>
    <s v="Mr"/>
    <s v="M"/>
    <n v="60"/>
    <s v="Murray Mews"/>
    <x v="1048"/>
    <x v="11"/>
    <d v="2022-01-25T00:00:00"/>
    <x v="0"/>
    <x v="6"/>
    <n v="32"/>
    <x v="2"/>
    <x v="2"/>
    <n v="544"/>
    <x v="544"/>
  </r>
  <r>
    <n v="3204"/>
    <x v="105"/>
    <x v="581"/>
    <s v="Mr"/>
    <s v="M"/>
    <n v="30"/>
    <s v="Musbury Street"/>
    <x v="1070"/>
    <x v="2"/>
    <d v="2021-03-23T00:00:00"/>
    <x v="1"/>
    <x v="5"/>
    <n v="84"/>
    <x v="8"/>
    <x v="8"/>
    <n v="1680"/>
    <x v="816"/>
  </r>
  <r>
    <n v="3205"/>
    <x v="206"/>
    <x v="18"/>
    <s v="Mrs"/>
    <s v="F"/>
    <n v="60"/>
    <s v="Musk Crt"/>
    <x v="1219"/>
    <x v="46"/>
    <d v="2021-12-02T00:00:00"/>
    <x v="1"/>
    <x v="8"/>
    <n v="33"/>
    <x v="3"/>
    <x v="3"/>
    <n v="792"/>
    <x v="442"/>
  </r>
  <r>
    <n v="3206"/>
    <x v="37"/>
    <x v="1590"/>
    <s v="Mr"/>
    <s v="M"/>
    <n v="90"/>
    <s v="Mutrix Road"/>
    <x v="1026"/>
    <x v="2"/>
    <d v="2020-03-11T00:00:00"/>
    <x v="2"/>
    <x v="5"/>
    <n v="22"/>
    <x v="6"/>
    <x v="6"/>
    <n v="528"/>
    <x v="316"/>
  </r>
  <r>
    <n v="3207"/>
    <x v="2117"/>
    <x v="1439"/>
    <s v="Miss"/>
    <s v="F"/>
    <n v="90"/>
    <s v="Myatt Road"/>
    <x v="895"/>
    <x v="2"/>
    <d v="2020-10-26T00:00:00"/>
    <x v="2"/>
    <x v="1"/>
    <n v="68"/>
    <x v="8"/>
    <x v="8"/>
    <n v="1360"/>
    <x v="721"/>
  </r>
  <r>
    <n v="3208"/>
    <x v="1688"/>
    <x v="1591"/>
    <s v="Mr"/>
    <s v="M"/>
    <n v="90"/>
    <s v="Myddelton Street"/>
    <x v="1078"/>
    <x v="2"/>
    <d v="2022-05-11T00:00:00"/>
    <x v="0"/>
    <x v="11"/>
    <n v="85"/>
    <x v="9"/>
    <x v="9"/>
    <n v="2040"/>
    <x v="222"/>
  </r>
  <r>
    <n v="3209"/>
    <x v="365"/>
    <x v="1592"/>
    <s v="Mrs"/>
    <s v="F"/>
    <n v="90"/>
    <s v="Myers Lane"/>
    <x v="464"/>
    <x v="1"/>
    <d v="2022-09-02T00:00:00"/>
    <x v="0"/>
    <x v="9"/>
    <n v="4"/>
    <x v="3"/>
    <x v="3"/>
    <n v="96"/>
    <x v="631"/>
  </r>
  <r>
    <n v="3210"/>
    <x v="566"/>
    <x v="1167"/>
    <s v="Mr"/>
    <s v="M"/>
    <n v="30"/>
    <s v="Myers Lane"/>
    <x v="543"/>
    <x v="2"/>
    <d v="2022-09-19T00:00:00"/>
    <x v="0"/>
    <x v="9"/>
    <n v="95"/>
    <x v="5"/>
    <x v="5"/>
    <n v="2280"/>
    <x v="217"/>
  </r>
  <r>
    <n v="3211"/>
    <x v="2118"/>
    <x v="185"/>
    <s v="Miss"/>
    <s v="F"/>
    <n v="30"/>
    <s v="Myrtle Lodge"/>
    <x v="1220"/>
    <x v="37"/>
    <d v="2022-05-27T00:00:00"/>
    <x v="0"/>
    <x v="11"/>
    <n v="86"/>
    <x v="0"/>
    <x v="0"/>
    <n v="1720"/>
    <x v="967"/>
  </r>
  <r>
    <n v="3212"/>
    <x v="2119"/>
    <x v="1578"/>
    <s v="Mrs"/>
    <s v="F"/>
    <n v="90"/>
    <s v="Myrtle Walk"/>
    <x v="1135"/>
    <x v="2"/>
    <d v="2021-12-03T00:00:00"/>
    <x v="1"/>
    <x v="8"/>
    <n v="40"/>
    <x v="2"/>
    <x v="2"/>
    <n v="680"/>
    <x v="207"/>
  </r>
  <r>
    <n v="3213"/>
    <x v="1543"/>
    <x v="188"/>
    <s v="Mr"/>
    <s v="M"/>
    <n v="30"/>
    <s v="Myrtleberry Cls"/>
    <x v="830"/>
    <x v="11"/>
    <d v="2021-07-20T00:00:00"/>
    <x v="1"/>
    <x v="0"/>
    <n v="16"/>
    <x v="5"/>
    <x v="5"/>
    <n v="384"/>
    <x v="731"/>
  </r>
  <r>
    <n v="3214"/>
    <x v="1148"/>
    <x v="703"/>
    <s v="Mr"/>
    <s v="M"/>
    <n v="60"/>
    <s v="Nailour Street"/>
    <x v="489"/>
    <x v="69"/>
    <d v="2020-11-28T00:00:00"/>
    <x v="2"/>
    <x v="7"/>
    <n v="43"/>
    <x v="4"/>
    <x v="4"/>
    <n v="774"/>
    <x v="658"/>
  </r>
  <r>
    <n v="3215"/>
    <x v="1912"/>
    <x v="1593"/>
    <s v="Mr"/>
    <s v="M"/>
    <n v="60"/>
    <s v="Nairn Street"/>
    <x v="527"/>
    <x v="2"/>
    <d v="2021-10-01T00:00:00"/>
    <x v="1"/>
    <x v="1"/>
    <n v="29"/>
    <x v="2"/>
    <x v="2"/>
    <n v="493"/>
    <x v="481"/>
  </r>
  <r>
    <n v="3216"/>
    <x v="1086"/>
    <x v="84"/>
    <s v="Miss"/>
    <s v="F"/>
    <n v="60"/>
    <s v="Namur Terrace"/>
    <x v="592"/>
    <x v="70"/>
    <d v="2020-10-02T00:00:00"/>
    <x v="2"/>
    <x v="1"/>
    <n v="31"/>
    <x v="8"/>
    <x v="8"/>
    <n v="620"/>
    <x v="504"/>
  </r>
  <r>
    <n v="3217"/>
    <x v="1183"/>
    <x v="859"/>
    <s v="Miss"/>
    <s v="F"/>
    <n v="30"/>
    <s v="Nansen Road"/>
    <x v="1145"/>
    <x v="13"/>
    <d v="2021-04-06T00:00:00"/>
    <x v="1"/>
    <x v="4"/>
    <n v="22"/>
    <x v="8"/>
    <x v="8"/>
    <n v="440"/>
    <x v="259"/>
  </r>
  <r>
    <n v="3218"/>
    <x v="2120"/>
    <x v="897"/>
    <s v="Mr"/>
    <s v="M"/>
    <n v="90"/>
    <s v="Narigold Place"/>
    <x v="217"/>
    <x v="2"/>
    <d v="2022-07-10T00:00:00"/>
    <x v="0"/>
    <x v="0"/>
    <n v="24"/>
    <x v="2"/>
    <x v="2"/>
    <n v="408"/>
    <x v="179"/>
  </r>
  <r>
    <n v="3219"/>
    <x v="2121"/>
    <x v="807"/>
    <s v="Mr"/>
    <s v="M"/>
    <n v="60"/>
    <s v="Nascot Street"/>
    <x v="734"/>
    <x v="2"/>
    <d v="2022-08-12T00:00:00"/>
    <x v="0"/>
    <x v="3"/>
    <n v="101"/>
    <x v="3"/>
    <x v="3"/>
    <n v="2424"/>
    <x v="106"/>
  </r>
  <r>
    <n v="3220"/>
    <x v="1054"/>
    <x v="511"/>
    <s v="Mr"/>
    <s v="M"/>
    <n v="60"/>
    <s v="Nasmyth Street"/>
    <x v="985"/>
    <x v="29"/>
    <d v="2022-06-04T00:00:00"/>
    <x v="0"/>
    <x v="2"/>
    <n v="78"/>
    <x v="4"/>
    <x v="4"/>
    <n v="1404"/>
    <x v="694"/>
  </r>
  <r>
    <n v="3221"/>
    <x v="2122"/>
    <x v="679"/>
    <s v="Mr"/>
    <s v="M"/>
    <n v="90"/>
    <s v="Natal Road"/>
    <x v="1221"/>
    <x v="11"/>
    <d v="2022-04-30T00:00:00"/>
    <x v="0"/>
    <x v="4"/>
    <n v="87"/>
    <x v="5"/>
    <x v="5"/>
    <n v="2088"/>
    <x v="744"/>
  </r>
  <r>
    <n v="3222"/>
    <x v="239"/>
    <x v="1211"/>
    <s v="Miss"/>
    <s v="F"/>
    <n v="90"/>
    <s v="Nathaniel Close"/>
    <x v="1064"/>
    <x v="17"/>
    <d v="2022-10-06T00:00:00"/>
    <x v="0"/>
    <x v="1"/>
    <n v="91"/>
    <x v="4"/>
    <x v="4"/>
    <n v="1638"/>
    <x v="968"/>
  </r>
  <r>
    <n v="3223"/>
    <x v="2123"/>
    <x v="1502"/>
    <s v="Mrs"/>
    <s v="F"/>
    <n v="30"/>
    <s v="Naval Row"/>
    <x v="208"/>
    <x v="37"/>
    <d v="2020-07-16T00:00:00"/>
    <x v="2"/>
    <x v="0"/>
    <n v="70"/>
    <x v="7"/>
    <x v="7"/>
    <n v="1400"/>
    <x v="399"/>
  </r>
  <r>
    <n v="3224"/>
    <x v="2124"/>
    <x v="1594"/>
    <s v="Miss"/>
    <s v="F"/>
    <n v="30"/>
    <s v="Navestock Close"/>
    <x v="103"/>
    <x v="22"/>
    <d v="2020-10-28T00:00:00"/>
    <x v="2"/>
    <x v="1"/>
    <n v="71"/>
    <x v="5"/>
    <x v="5"/>
    <n v="1704"/>
    <x v="530"/>
  </r>
  <r>
    <n v="3225"/>
    <x v="2125"/>
    <x v="431"/>
    <s v="Mrs"/>
    <s v="F"/>
    <n v="90"/>
    <s v="Navy Street"/>
    <x v="709"/>
    <x v="2"/>
    <d v="2021-06-13T00:00:00"/>
    <x v="1"/>
    <x v="2"/>
    <n v="27"/>
    <x v="2"/>
    <x v="2"/>
    <n v="459"/>
    <x v="431"/>
  </r>
  <r>
    <n v="3226"/>
    <x v="300"/>
    <x v="938"/>
    <s v="Mr"/>
    <s v="M"/>
    <n v="60"/>
    <s v="Neal Terrace"/>
    <x v="3"/>
    <x v="3"/>
    <d v="2022-07-11T00:00:00"/>
    <x v="0"/>
    <x v="0"/>
    <n v="12"/>
    <x v="0"/>
    <x v="0"/>
    <n v="240"/>
    <x v="868"/>
  </r>
  <r>
    <n v="3227"/>
    <x v="212"/>
    <x v="715"/>
    <s v="Mr"/>
    <s v="M"/>
    <n v="30"/>
    <s v="Neals Dock"/>
    <x v="742"/>
    <x v="1"/>
    <d v="2022-11-09T00:00:00"/>
    <x v="0"/>
    <x v="7"/>
    <n v="84"/>
    <x v="4"/>
    <x v="4"/>
    <n v="1512"/>
    <x v="124"/>
  </r>
  <r>
    <n v="3228"/>
    <x v="621"/>
    <x v="904"/>
    <s v="Mrs"/>
    <s v="F"/>
    <n v="30"/>
    <s v="Near Acre"/>
    <x v="1084"/>
    <x v="11"/>
    <d v="2020-07-26T00:00:00"/>
    <x v="2"/>
    <x v="0"/>
    <n v="73"/>
    <x v="6"/>
    <x v="6"/>
    <n v="1752"/>
    <x v="164"/>
  </r>
  <r>
    <n v="3229"/>
    <x v="2126"/>
    <x v="1229"/>
    <s v="Mrs"/>
    <s v="F"/>
    <n v="30"/>
    <s v="Neckinger Estate"/>
    <x v="954"/>
    <x v="2"/>
    <d v="2022-02-14T00:00:00"/>
    <x v="0"/>
    <x v="10"/>
    <n v="4"/>
    <x v="2"/>
    <x v="2"/>
    <n v="68"/>
    <x v="420"/>
  </r>
  <r>
    <n v="3230"/>
    <x v="113"/>
    <x v="1206"/>
    <s v="Mr"/>
    <s v="M"/>
    <n v="30"/>
    <s v="Nelldale Road"/>
    <x v="142"/>
    <x v="21"/>
    <d v="2022-11-06T00:00:00"/>
    <x v="0"/>
    <x v="7"/>
    <n v="99"/>
    <x v="5"/>
    <x v="5"/>
    <n v="2376"/>
    <x v="782"/>
  </r>
  <r>
    <n v="3231"/>
    <x v="2127"/>
    <x v="1595"/>
    <s v="Miss"/>
    <s v="F"/>
    <n v="30"/>
    <s v="Nesbit Road"/>
    <x v="1016"/>
    <x v="11"/>
    <d v="2022-12-28T00:00:00"/>
    <x v="0"/>
    <x v="8"/>
    <n v="53"/>
    <x v="7"/>
    <x v="7"/>
    <n v="1060"/>
    <x v="516"/>
  </r>
  <r>
    <n v="3232"/>
    <x v="963"/>
    <x v="486"/>
    <s v="Mr"/>
    <s v="M"/>
    <n v="60"/>
    <s v="Nethercourt Avenue"/>
    <x v="964"/>
    <x v="2"/>
    <d v="2020-02-01T00:00:00"/>
    <x v="2"/>
    <x v="10"/>
    <n v="26"/>
    <x v="7"/>
    <x v="7"/>
    <n v="520"/>
    <x v="110"/>
  </r>
  <r>
    <n v="3233"/>
    <x v="1314"/>
    <x v="277"/>
    <s v="Mrs"/>
    <s v="F"/>
    <n v="90"/>
    <s v="Nethercourt Avenue"/>
    <x v="1222"/>
    <x v="2"/>
    <d v="2020-12-18T00:00:00"/>
    <x v="2"/>
    <x v="8"/>
    <n v="25"/>
    <x v="0"/>
    <x v="0"/>
    <n v="500"/>
    <x v="864"/>
  </r>
  <r>
    <n v="3234"/>
    <x v="2128"/>
    <x v="363"/>
    <s v="Ms"/>
    <s v="F"/>
    <n v="30"/>
    <s v="Netherwood Road"/>
    <x v="492"/>
    <x v="17"/>
    <d v="2020-08-19T00:00:00"/>
    <x v="2"/>
    <x v="3"/>
    <n v="9"/>
    <x v="4"/>
    <x v="4"/>
    <n v="162"/>
    <x v="890"/>
  </r>
  <r>
    <n v="3235"/>
    <x v="1201"/>
    <x v="44"/>
    <s v="Miss"/>
    <s v="F"/>
    <n v="60"/>
    <s v="Nettleton Court"/>
    <x v="536"/>
    <x v="44"/>
    <d v="2020-05-14T00:00:00"/>
    <x v="2"/>
    <x v="11"/>
    <n v="43"/>
    <x v="1"/>
    <x v="1"/>
    <n v="1032"/>
    <x v="76"/>
  </r>
  <r>
    <n v="3236"/>
    <x v="2129"/>
    <x v="510"/>
    <s v="Miss"/>
    <s v="F"/>
    <n v="60"/>
    <s v="Neville Close"/>
    <x v="761"/>
    <x v="2"/>
    <d v="2021-05-31T00:00:00"/>
    <x v="1"/>
    <x v="11"/>
    <n v="95"/>
    <x v="8"/>
    <x v="8"/>
    <n v="1900"/>
    <x v="963"/>
  </r>
  <r>
    <n v="3237"/>
    <x v="2114"/>
    <x v="1596"/>
    <s v="Mr"/>
    <s v="M"/>
    <n v="90"/>
    <s v="Nevis Road"/>
    <x v="358"/>
    <x v="58"/>
    <d v="2021-04-26T00:00:00"/>
    <x v="1"/>
    <x v="4"/>
    <n v="62"/>
    <x v="0"/>
    <x v="0"/>
    <n v="1240"/>
    <x v="632"/>
  </r>
  <r>
    <n v="3238"/>
    <x v="636"/>
    <x v="1195"/>
    <s v="Mrs"/>
    <s v="F"/>
    <n v="30"/>
    <s v="New Campden"/>
    <x v="771"/>
    <x v="31"/>
    <d v="2021-08-23T00:00:00"/>
    <x v="1"/>
    <x v="3"/>
    <n v="34"/>
    <x v="4"/>
    <x v="4"/>
    <n v="612"/>
    <x v="503"/>
  </r>
  <r>
    <n v="3239"/>
    <x v="2130"/>
    <x v="1014"/>
    <s v="Miss"/>
    <s v="F"/>
    <n v="60"/>
    <s v="New Church"/>
    <x v="140"/>
    <x v="2"/>
    <d v="2021-09-22T00:00:00"/>
    <x v="1"/>
    <x v="9"/>
    <n v="58"/>
    <x v="1"/>
    <x v="1"/>
    <n v="1392"/>
    <x v="280"/>
  </r>
  <r>
    <n v="3240"/>
    <x v="212"/>
    <x v="1064"/>
    <s v="Mr"/>
    <s v="M"/>
    <n v="30"/>
    <s v="New Compton"/>
    <x v="134"/>
    <x v="2"/>
    <d v="2020-11-22T00:00:00"/>
    <x v="2"/>
    <x v="7"/>
    <n v="21"/>
    <x v="1"/>
    <x v="1"/>
    <n v="504"/>
    <x v="409"/>
  </r>
  <r>
    <n v="3241"/>
    <x v="293"/>
    <x v="1188"/>
    <s v="Mr"/>
    <s v="M"/>
    <n v="90"/>
    <s v="New Corn"/>
    <x v="1223"/>
    <x v="17"/>
    <d v="2020-03-25T00:00:00"/>
    <x v="2"/>
    <x v="5"/>
    <n v="68"/>
    <x v="5"/>
    <x v="5"/>
    <n v="1632"/>
    <x v="197"/>
  </r>
  <r>
    <n v="3242"/>
    <x v="2131"/>
    <x v="1029"/>
    <s v="Mr"/>
    <s v="M"/>
    <n v="90"/>
    <s v="New Crane"/>
    <x v="12"/>
    <x v="8"/>
    <d v="2021-01-31T00:00:00"/>
    <x v="1"/>
    <x v="6"/>
    <n v="14"/>
    <x v="4"/>
    <x v="4"/>
    <n v="252"/>
    <x v="396"/>
  </r>
  <r>
    <n v="3243"/>
    <x v="222"/>
    <x v="1528"/>
    <s v="Mr"/>
    <s v="M"/>
    <n v="90"/>
    <s v="New Cross"/>
    <x v="127"/>
    <x v="2"/>
    <d v="2021-01-19T00:00:00"/>
    <x v="1"/>
    <x v="6"/>
    <n v="7"/>
    <x v="9"/>
    <x v="9"/>
    <n v="168"/>
    <x v="743"/>
  </r>
  <r>
    <n v="3244"/>
    <x v="230"/>
    <x v="88"/>
    <s v="Mrs"/>
    <s v="F"/>
    <n v="60"/>
    <s v="New Croxted"/>
    <x v="278"/>
    <x v="2"/>
    <d v="2021-08-17T00:00:00"/>
    <x v="1"/>
    <x v="3"/>
    <n v="8"/>
    <x v="6"/>
    <x v="6"/>
    <n v="192"/>
    <x v="752"/>
  </r>
  <r>
    <n v="3245"/>
    <x v="2132"/>
    <x v="1432"/>
    <s v="Miss"/>
    <s v="F"/>
    <n v="90"/>
    <s v="New Exchange"/>
    <x v="384"/>
    <x v="1"/>
    <d v="2022-07-26T00:00:00"/>
    <x v="0"/>
    <x v="0"/>
    <n v="51"/>
    <x v="1"/>
    <x v="1"/>
    <n v="1224"/>
    <x v="61"/>
  </r>
  <r>
    <n v="3246"/>
    <x v="2133"/>
    <x v="619"/>
    <s v="Miss"/>
    <s v="F"/>
    <n v="30"/>
    <s v="New Exchange"/>
    <x v="567"/>
    <x v="2"/>
    <d v="2021-05-08T00:00:00"/>
    <x v="1"/>
    <x v="11"/>
    <n v="41"/>
    <x v="8"/>
    <x v="8"/>
    <n v="820"/>
    <x v="232"/>
  </r>
  <r>
    <n v="3247"/>
    <x v="2134"/>
    <x v="563"/>
    <s v="Mrs"/>
    <s v="F"/>
    <n v="90"/>
    <s v="New Mitre"/>
    <x v="952"/>
    <x v="11"/>
    <d v="2021-09-21T00:00:00"/>
    <x v="1"/>
    <x v="9"/>
    <n v="49"/>
    <x v="6"/>
    <x v="6"/>
    <n v="1176"/>
    <x v="56"/>
  </r>
  <r>
    <n v="3248"/>
    <x v="2135"/>
    <x v="957"/>
    <s v="Mr"/>
    <s v="M"/>
    <n v="30"/>
    <s v="New Quebec"/>
    <x v="255"/>
    <x v="2"/>
    <d v="2022-12-01T00:00:00"/>
    <x v="0"/>
    <x v="8"/>
    <n v="44"/>
    <x v="5"/>
    <x v="5"/>
    <n v="1056"/>
    <x v="424"/>
  </r>
  <r>
    <n v="3249"/>
    <x v="2136"/>
    <x v="1597"/>
    <s v="Miss"/>
    <s v="F"/>
    <n v="60"/>
    <s v="New River"/>
    <x v="1067"/>
    <x v="15"/>
    <d v="2022-05-22T00:00:00"/>
    <x v="0"/>
    <x v="11"/>
    <n v="87"/>
    <x v="7"/>
    <x v="7"/>
    <n v="1740"/>
    <x v="114"/>
  </r>
  <r>
    <n v="3250"/>
    <x v="2137"/>
    <x v="722"/>
    <s v="Miss"/>
    <s v="F"/>
    <n v="30"/>
    <s v="New Round"/>
    <x v="477"/>
    <x v="2"/>
    <d v="2020-11-07T00:00:00"/>
    <x v="2"/>
    <x v="7"/>
    <n v="7"/>
    <x v="4"/>
    <x v="4"/>
    <n v="126"/>
    <x v="311"/>
  </r>
  <r>
    <n v="3251"/>
    <x v="2138"/>
    <x v="284"/>
    <s v="Mr"/>
    <s v="M"/>
    <n v="60"/>
    <s v="New Terrace"/>
    <x v="1224"/>
    <x v="1"/>
    <d v="2021-02-24T00:00:00"/>
    <x v="1"/>
    <x v="10"/>
    <n v="42"/>
    <x v="6"/>
    <x v="6"/>
    <n v="1008"/>
    <x v="162"/>
  </r>
  <r>
    <n v="3252"/>
    <x v="2139"/>
    <x v="886"/>
    <s v="Mrs"/>
    <s v="F"/>
    <n v="30"/>
    <s v="New Tothill"/>
    <x v="1225"/>
    <x v="24"/>
    <d v="2022-10-03T00:00:00"/>
    <x v="0"/>
    <x v="1"/>
    <n v="11"/>
    <x v="1"/>
    <x v="1"/>
    <n v="264"/>
    <x v="54"/>
  </r>
  <r>
    <n v="3253"/>
    <x v="793"/>
    <x v="256"/>
    <s v="Mr"/>
    <s v="M"/>
    <n v="30"/>
    <s v="New Turville"/>
    <x v="603"/>
    <x v="2"/>
    <d v="2021-01-29T00:00:00"/>
    <x v="1"/>
    <x v="6"/>
    <n v="35"/>
    <x v="6"/>
    <x v="6"/>
    <n v="840"/>
    <x v="510"/>
  </r>
  <r>
    <n v="3254"/>
    <x v="2140"/>
    <x v="1349"/>
    <s v="Miss"/>
    <s v="F"/>
    <n v="60"/>
    <s v="New Wanstead"/>
    <x v="514"/>
    <x v="2"/>
    <d v="2020-09-04T00:00:00"/>
    <x v="2"/>
    <x v="9"/>
    <n v="30"/>
    <x v="5"/>
    <x v="5"/>
    <n v="720"/>
    <x v="231"/>
  </r>
  <r>
    <n v="3255"/>
    <x v="2141"/>
    <x v="23"/>
    <s v="Miss"/>
    <s v="F"/>
    <n v="60"/>
    <s v="Newark Street"/>
    <x v="810"/>
    <x v="15"/>
    <d v="2022-01-31T00:00:00"/>
    <x v="0"/>
    <x v="6"/>
    <n v="45"/>
    <x v="9"/>
    <x v="9"/>
    <n v="1080"/>
    <x v="814"/>
  </r>
  <r>
    <n v="3256"/>
    <x v="222"/>
    <x v="1093"/>
    <s v="Mr"/>
    <s v="M"/>
    <n v="30"/>
    <s v="Newburgh Street"/>
    <x v="720"/>
    <x v="2"/>
    <d v="2021-06-02T00:00:00"/>
    <x v="1"/>
    <x v="2"/>
    <n v="17"/>
    <x v="9"/>
    <x v="9"/>
    <n v="408"/>
    <x v="473"/>
  </r>
  <r>
    <n v="3257"/>
    <x v="2142"/>
    <x v="1598"/>
    <s v="Miss"/>
    <s v="F"/>
    <n v="60"/>
    <s v="Newent Close"/>
    <x v="910"/>
    <x v="2"/>
    <d v="2021-02-14T00:00:00"/>
    <x v="1"/>
    <x v="10"/>
    <n v="19"/>
    <x v="0"/>
    <x v="0"/>
    <n v="380"/>
    <x v="44"/>
  </r>
  <r>
    <n v="3258"/>
    <x v="2143"/>
    <x v="384"/>
    <s v="Ms"/>
    <s v="F"/>
    <n v="30"/>
    <s v="Newhall Street"/>
    <x v="785"/>
    <x v="2"/>
    <d v="2020-04-15T00:00:00"/>
    <x v="2"/>
    <x v="4"/>
    <n v="23"/>
    <x v="4"/>
    <x v="4"/>
    <n v="414"/>
    <x v="683"/>
  </r>
  <r>
    <n v="3259"/>
    <x v="584"/>
    <x v="755"/>
    <s v="Mr"/>
    <s v="M"/>
    <n v="60"/>
    <s v="Newhaven Road"/>
    <x v="614"/>
    <x v="0"/>
    <d v="2022-02-01T00:00:00"/>
    <x v="0"/>
    <x v="10"/>
    <n v="79"/>
    <x v="3"/>
    <x v="3"/>
    <n v="1896"/>
    <x v="706"/>
  </r>
  <r>
    <n v="3260"/>
    <x v="2144"/>
    <x v="1219"/>
    <s v="Mr"/>
    <s v="M"/>
    <n v="60"/>
    <s v="Newington Grove"/>
    <x v="440"/>
    <x v="12"/>
    <d v="2021-03-08T00:00:00"/>
    <x v="1"/>
    <x v="5"/>
    <n v="11"/>
    <x v="9"/>
    <x v="9"/>
    <n v="264"/>
    <x v="376"/>
  </r>
  <r>
    <n v="3261"/>
    <x v="2145"/>
    <x v="1478"/>
    <s v="Mrs"/>
    <s v="F"/>
    <n v="60"/>
    <s v="Newington Road"/>
    <x v="655"/>
    <x v="17"/>
    <d v="2021-11-10T00:00:00"/>
    <x v="1"/>
    <x v="7"/>
    <n v="10"/>
    <x v="5"/>
    <x v="5"/>
    <n v="240"/>
    <x v="285"/>
  </r>
  <r>
    <n v="3262"/>
    <x v="1024"/>
    <x v="1400"/>
    <s v="Mrs"/>
    <s v="F"/>
    <n v="90"/>
    <s v="Newland Street"/>
    <x v="1009"/>
    <x v="2"/>
    <d v="2022-11-19T00:00:00"/>
    <x v="0"/>
    <x v="7"/>
    <n v="40"/>
    <x v="0"/>
    <x v="0"/>
    <n v="800"/>
    <x v="239"/>
  </r>
  <r>
    <n v="3263"/>
    <x v="2146"/>
    <x v="1385"/>
    <s v="Mrs"/>
    <s v="F"/>
    <n v="30"/>
    <s v="Newman Court"/>
    <x v="375"/>
    <x v="24"/>
    <d v="2021-05-31T00:00:00"/>
    <x v="1"/>
    <x v="11"/>
    <n v="91"/>
    <x v="7"/>
    <x v="7"/>
    <n v="1820"/>
    <x v="151"/>
  </r>
  <r>
    <n v="3264"/>
    <x v="2147"/>
    <x v="1599"/>
    <s v="Miss"/>
    <s v="F"/>
    <n v="30"/>
    <s v="Newman'S Mews"/>
    <x v="929"/>
    <x v="2"/>
    <d v="2021-12-02T00:00:00"/>
    <x v="1"/>
    <x v="8"/>
    <n v="43"/>
    <x v="7"/>
    <x v="7"/>
    <n v="860"/>
    <x v="410"/>
  </r>
  <r>
    <n v="3265"/>
    <x v="601"/>
    <x v="887"/>
    <s v="Mr"/>
    <s v="M"/>
    <n v="30"/>
    <s v="Newton Road"/>
    <x v="357"/>
    <x v="2"/>
    <d v="2020-07-14T00:00:00"/>
    <x v="2"/>
    <x v="0"/>
    <n v="62"/>
    <x v="9"/>
    <x v="9"/>
    <n v="1488"/>
    <x v="451"/>
  </r>
  <r>
    <n v="3266"/>
    <x v="2148"/>
    <x v="1081"/>
    <s v="Miss"/>
    <s v="F"/>
    <n v="30"/>
    <s v="Neylors Cottages"/>
    <x v="401"/>
    <x v="2"/>
    <d v="2021-11-11T00:00:00"/>
    <x v="1"/>
    <x v="7"/>
    <n v="29"/>
    <x v="3"/>
    <x v="3"/>
    <n v="696"/>
    <x v="63"/>
  </r>
  <r>
    <n v="3267"/>
    <x v="1161"/>
    <x v="1006"/>
    <s v="Mr"/>
    <s v="M"/>
    <n v="90"/>
    <s v="Nicholas Gardens"/>
    <x v="710"/>
    <x v="44"/>
    <d v="2020-02-22T00:00:00"/>
    <x v="2"/>
    <x v="10"/>
    <n v="2"/>
    <x v="5"/>
    <x v="5"/>
    <n v="48"/>
    <x v="320"/>
  </r>
  <r>
    <n v="3268"/>
    <x v="2149"/>
    <x v="1510"/>
    <s v="Miss"/>
    <s v="F"/>
    <n v="90"/>
    <s v="Nicholas Terrace"/>
    <x v="1187"/>
    <x v="16"/>
    <d v="2022-09-24T00:00:00"/>
    <x v="0"/>
    <x v="9"/>
    <n v="21"/>
    <x v="5"/>
    <x v="5"/>
    <n v="504"/>
    <x v="568"/>
  </r>
  <r>
    <n v="3269"/>
    <x v="178"/>
    <x v="1161"/>
    <s v="Prof"/>
    <s v="M"/>
    <n v="60"/>
    <s v="Nichols Green"/>
    <x v="284"/>
    <x v="4"/>
    <d v="2021-10-16T00:00:00"/>
    <x v="1"/>
    <x v="1"/>
    <n v="87"/>
    <x v="9"/>
    <x v="9"/>
    <n v="2088"/>
    <x v="351"/>
  </r>
  <r>
    <n v="3270"/>
    <x v="2150"/>
    <x v="13"/>
    <s v="Ms"/>
    <s v="F"/>
    <n v="90"/>
    <s v="Nicoll'S Row"/>
    <x v="1123"/>
    <x v="2"/>
    <d v="2020-12-03T00:00:00"/>
    <x v="2"/>
    <x v="8"/>
    <n v="56"/>
    <x v="4"/>
    <x v="4"/>
    <n v="1008"/>
    <x v="48"/>
  </r>
  <r>
    <n v="3271"/>
    <x v="2151"/>
    <x v="640"/>
    <s v="Miss"/>
    <s v="F"/>
    <n v="30"/>
    <s v="Nigeria Road"/>
    <x v="177"/>
    <x v="2"/>
    <d v="2020-11-05T00:00:00"/>
    <x v="2"/>
    <x v="7"/>
    <n v="40"/>
    <x v="4"/>
    <x v="4"/>
    <n v="720"/>
    <x v="939"/>
  </r>
  <r>
    <n v="3272"/>
    <x v="1749"/>
    <x v="16"/>
    <s v="Mr"/>
    <s v="M"/>
    <n v="30"/>
    <s v="Nightingale Road"/>
    <x v="511"/>
    <x v="2"/>
    <d v="2022-05-31T00:00:00"/>
    <x v="0"/>
    <x v="11"/>
    <n v="72"/>
    <x v="5"/>
    <x v="5"/>
    <n v="1728"/>
    <x v="554"/>
  </r>
  <r>
    <n v="3273"/>
    <x v="2152"/>
    <x v="481"/>
    <s v="Mrs"/>
    <s v="F"/>
    <n v="90"/>
    <s v="Nightingale Street"/>
    <x v="1226"/>
    <x v="2"/>
    <d v="2020-08-10T00:00:00"/>
    <x v="2"/>
    <x v="3"/>
    <n v="49"/>
    <x v="2"/>
    <x v="2"/>
    <n v="833"/>
    <x v="273"/>
  </r>
  <r>
    <n v="3274"/>
    <x v="2153"/>
    <x v="1077"/>
    <s v="Mrs"/>
    <s v="F"/>
    <n v="90"/>
    <s v="Nightingale Vale"/>
    <x v="962"/>
    <x v="21"/>
    <d v="2021-10-06T00:00:00"/>
    <x v="1"/>
    <x v="1"/>
    <n v="15"/>
    <x v="4"/>
    <x v="4"/>
    <n v="270"/>
    <x v="139"/>
  </r>
  <r>
    <n v="3275"/>
    <x v="2154"/>
    <x v="1134"/>
    <s v="Mrs"/>
    <s v="F"/>
    <n v="30"/>
    <s v="Nile Path"/>
    <x v="423"/>
    <x v="53"/>
    <d v="2022-05-23T00:00:00"/>
    <x v="0"/>
    <x v="11"/>
    <n v="17"/>
    <x v="6"/>
    <x v="6"/>
    <n v="408"/>
    <x v="492"/>
  </r>
  <r>
    <n v="3276"/>
    <x v="2096"/>
    <x v="522"/>
    <s v="Mr"/>
    <s v="M"/>
    <n v="30"/>
    <s v="Nile Street"/>
    <x v="215"/>
    <x v="17"/>
    <d v="2020-10-27T00:00:00"/>
    <x v="2"/>
    <x v="1"/>
    <n v="65"/>
    <x v="5"/>
    <x v="5"/>
    <n v="1560"/>
    <x v="140"/>
  </r>
  <r>
    <n v="3277"/>
    <x v="829"/>
    <x v="1164"/>
    <s v="Miss"/>
    <s v="F"/>
    <n v="90"/>
    <s v="Noel Road"/>
    <x v="217"/>
    <x v="2"/>
    <d v="2021-01-11T00:00:00"/>
    <x v="1"/>
    <x v="6"/>
    <n v="32"/>
    <x v="8"/>
    <x v="8"/>
    <n v="640"/>
    <x v="440"/>
  </r>
  <r>
    <n v="3278"/>
    <x v="516"/>
    <x v="859"/>
    <s v="Mr"/>
    <s v="M"/>
    <n v="30"/>
    <s v="Nora Gardens"/>
    <x v="1164"/>
    <x v="2"/>
    <d v="2020-05-26T00:00:00"/>
    <x v="2"/>
    <x v="11"/>
    <n v="61"/>
    <x v="9"/>
    <x v="9"/>
    <n v="1464"/>
    <x v="849"/>
  </r>
  <r>
    <n v="3279"/>
    <x v="2155"/>
    <x v="1180"/>
    <s v="Mr"/>
    <s v="M"/>
    <n v="60"/>
    <s v="Norbreck Gardens"/>
    <x v="1227"/>
    <x v="2"/>
    <d v="2022-03-15T00:00:00"/>
    <x v="0"/>
    <x v="5"/>
    <n v="2"/>
    <x v="2"/>
    <x v="2"/>
    <n v="34"/>
    <x v="614"/>
  </r>
  <r>
    <n v="3280"/>
    <x v="377"/>
    <x v="1600"/>
    <s v="Mr"/>
    <s v="M"/>
    <n v="90"/>
    <s v="Norfolk Cottages"/>
    <x v="444"/>
    <x v="15"/>
    <d v="2022-01-20T00:00:00"/>
    <x v="0"/>
    <x v="6"/>
    <n v="84"/>
    <x v="3"/>
    <x v="3"/>
    <n v="2016"/>
    <x v="815"/>
  </r>
  <r>
    <n v="3281"/>
    <x v="1981"/>
    <x v="859"/>
    <s v="Miss"/>
    <s v="F"/>
    <n v="30"/>
    <s v="Norfolk Crescent"/>
    <x v="193"/>
    <x v="17"/>
    <d v="2022-10-28T00:00:00"/>
    <x v="0"/>
    <x v="1"/>
    <n v="82"/>
    <x v="9"/>
    <x v="9"/>
    <n v="1968"/>
    <x v="758"/>
  </r>
  <r>
    <n v="3282"/>
    <x v="738"/>
    <x v="1479"/>
    <s v="Mr"/>
    <s v="M"/>
    <n v="30"/>
    <s v="Norfolk Green"/>
    <x v="861"/>
    <x v="11"/>
    <d v="2020-04-27T00:00:00"/>
    <x v="2"/>
    <x v="4"/>
    <n v="35"/>
    <x v="9"/>
    <x v="9"/>
    <n v="840"/>
    <x v="395"/>
  </r>
  <r>
    <n v="3283"/>
    <x v="1980"/>
    <x v="1194"/>
    <s v="Mr"/>
    <s v="M"/>
    <n v="30"/>
    <s v="Norfolk Terrace"/>
    <x v="476"/>
    <x v="2"/>
    <d v="2020-02-15T00:00:00"/>
    <x v="2"/>
    <x v="10"/>
    <n v="60"/>
    <x v="0"/>
    <x v="0"/>
    <n v="1200"/>
    <x v="378"/>
  </r>
  <r>
    <n v="3284"/>
    <x v="2156"/>
    <x v="1601"/>
    <s v="Miss"/>
    <s v="F"/>
    <n v="30"/>
    <s v="Norgrove Street"/>
    <x v="647"/>
    <x v="17"/>
    <d v="2022-05-07T00:00:00"/>
    <x v="0"/>
    <x v="11"/>
    <n v="72"/>
    <x v="1"/>
    <x v="1"/>
    <n v="1728"/>
    <x v="705"/>
  </r>
  <r>
    <n v="3285"/>
    <x v="2157"/>
    <x v="1602"/>
    <s v="Mr"/>
    <s v="M"/>
    <n v="60"/>
    <s v="Norman Road"/>
    <x v="992"/>
    <x v="1"/>
    <d v="2020-06-05T00:00:00"/>
    <x v="2"/>
    <x v="2"/>
    <n v="33"/>
    <x v="6"/>
    <x v="6"/>
    <n v="792"/>
    <x v="660"/>
  </r>
  <r>
    <n v="3286"/>
    <x v="1579"/>
    <x v="1239"/>
    <s v="Mr"/>
    <s v="M"/>
    <n v="60"/>
    <s v="Normand Mews"/>
    <x v="142"/>
    <x v="21"/>
    <d v="2022-05-07T00:00:00"/>
    <x v="0"/>
    <x v="11"/>
    <n v="60"/>
    <x v="6"/>
    <x v="6"/>
    <n v="1440"/>
    <x v="279"/>
  </r>
  <r>
    <n v="3287"/>
    <x v="2158"/>
    <x v="1105"/>
    <s v="Mr"/>
    <s v="M"/>
    <n v="30"/>
    <s v="Normandy Place"/>
    <x v="829"/>
    <x v="2"/>
    <d v="2020-12-18T00:00:00"/>
    <x v="2"/>
    <x v="8"/>
    <n v="13"/>
    <x v="4"/>
    <x v="4"/>
    <n v="234"/>
    <x v="143"/>
  </r>
  <r>
    <n v="3288"/>
    <x v="2159"/>
    <x v="659"/>
    <s v="Miss"/>
    <s v="F"/>
    <n v="90"/>
    <s v="Normans Close"/>
    <x v="690"/>
    <x v="2"/>
    <d v="2022-11-27T00:00:00"/>
    <x v="0"/>
    <x v="7"/>
    <n v="64"/>
    <x v="7"/>
    <x v="7"/>
    <n v="1280"/>
    <x v="230"/>
  </r>
  <r>
    <n v="3289"/>
    <x v="69"/>
    <x v="1603"/>
    <s v="Mr"/>
    <s v="M"/>
    <n v="30"/>
    <s v="Normans Close"/>
    <x v="695"/>
    <x v="2"/>
    <d v="2021-10-05T00:00:00"/>
    <x v="1"/>
    <x v="1"/>
    <n v="78"/>
    <x v="9"/>
    <x v="9"/>
    <n v="1872"/>
    <x v="353"/>
  </r>
  <r>
    <n v="3290"/>
    <x v="2160"/>
    <x v="904"/>
    <s v="Miss"/>
    <s v="F"/>
    <n v="30"/>
    <s v="Norris Rents"/>
    <x v="1228"/>
    <x v="3"/>
    <d v="2022-03-04T00:00:00"/>
    <x v="0"/>
    <x v="5"/>
    <n v="68"/>
    <x v="7"/>
    <x v="7"/>
    <n v="1360"/>
    <x v="370"/>
  </r>
  <r>
    <n v="3291"/>
    <x v="228"/>
    <x v="310"/>
    <s v="Mr"/>
    <s v="M"/>
    <n v="30"/>
    <s v="North Buildings"/>
    <x v="398"/>
    <x v="7"/>
    <d v="2022-02-02T00:00:00"/>
    <x v="0"/>
    <x v="10"/>
    <n v="30"/>
    <x v="3"/>
    <x v="3"/>
    <n v="720"/>
    <x v="794"/>
  </r>
  <r>
    <n v="3292"/>
    <x v="1996"/>
    <x v="840"/>
    <s v="Miss"/>
    <s v="F"/>
    <n v="90"/>
    <s v="North Elder"/>
    <x v="874"/>
    <x v="86"/>
    <d v="2020-02-10T00:00:00"/>
    <x v="2"/>
    <x v="10"/>
    <n v="43"/>
    <x v="6"/>
    <x v="6"/>
    <n v="1032"/>
    <x v="27"/>
  </r>
  <r>
    <n v="3293"/>
    <x v="866"/>
    <x v="835"/>
    <s v="Dr"/>
    <s v="M"/>
    <n v="30"/>
    <s v="North End"/>
    <x v="994"/>
    <x v="2"/>
    <d v="2020-05-07T00:00:00"/>
    <x v="2"/>
    <x v="11"/>
    <n v="76"/>
    <x v="7"/>
    <x v="7"/>
    <n v="1520"/>
    <x v="429"/>
  </r>
  <r>
    <n v="3294"/>
    <x v="708"/>
    <x v="1562"/>
    <s v="Miss"/>
    <s v="F"/>
    <n v="90"/>
    <s v="North Mews"/>
    <x v="580"/>
    <x v="2"/>
    <d v="2022-05-08T00:00:00"/>
    <x v="0"/>
    <x v="11"/>
    <n v="36"/>
    <x v="3"/>
    <x v="3"/>
    <n v="864"/>
    <x v="729"/>
  </r>
  <r>
    <n v="3295"/>
    <x v="2161"/>
    <x v="962"/>
    <s v="Miss"/>
    <s v="F"/>
    <n v="60"/>
    <s v="North Park"/>
    <x v="142"/>
    <x v="21"/>
    <d v="2020-02-02T00:00:00"/>
    <x v="2"/>
    <x v="10"/>
    <n v="31"/>
    <x v="2"/>
    <x v="2"/>
    <n v="527"/>
    <x v="224"/>
  </r>
  <r>
    <n v="3296"/>
    <x v="2162"/>
    <x v="1604"/>
    <s v="Mrs"/>
    <s v="F"/>
    <n v="60"/>
    <s v="North Road"/>
    <x v="27"/>
    <x v="14"/>
    <d v="2021-10-16T00:00:00"/>
    <x v="1"/>
    <x v="1"/>
    <n v="94"/>
    <x v="6"/>
    <x v="6"/>
    <n v="2256"/>
    <x v="610"/>
  </r>
  <r>
    <n v="3297"/>
    <x v="75"/>
    <x v="540"/>
    <s v="Mr"/>
    <s v="M"/>
    <n v="30"/>
    <s v="Northampton Place"/>
    <x v="327"/>
    <x v="54"/>
    <d v="2022-02-01T00:00:00"/>
    <x v="0"/>
    <x v="10"/>
    <n v="97"/>
    <x v="8"/>
    <x v="8"/>
    <n v="1940"/>
    <x v="941"/>
  </r>
  <r>
    <n v="3298"/>
    <x v="2163"/>
    <x v="157"/>
    <s v="Mr"/>
    <s v="M"/>
    <n v="90"/>
    <s v="Northampton Terrace"/>
    <x v="535"/>
    <x v="45"/>
    <d v="2021-07-09T00:00:00"/>
    <x v="1"/>
    <x v="0"/>
    <n v="33"/>
    <x v="8"/>
    <x v="8"/>
    <n v="660"/>
    <x v="969"/>
  </r>
  <r>
    <n v="3299"/>
    <x v="1992"/>
    <x v="1267"/>
    <s v="Miss"/>
    <s v="F"/>
    <n v="60"/>
    <s v="Northcote Road"/>
    <x v="431"/>
    <x v="2"/>
    <d v="2022-03-30T00:00:00"/>
    <x v="0"/>
    <x v="5"/>
    <n v="16"/>
    <x v="1"/>
    <x v="1"/>
    <n v="384"/>
    <x v="441"/>
  </r>
  <r>
    <n v="3300"/>
    <x v="1648"/>
    <x v="695"/>
    <s v="Mr"/>
    <s v="M"/>
    <n v="90"/>
    <s v="Northcroft Terrace"/>
    <x v="1057"/>
    <x v="90"/>
    <d v="2021-12-06T00:00:00"/>
    <x v="1"/>
    <x v="8"/>
    <n v="64"/>
    <x v="8"/>
    <x v="8"/>
    <n v="1280"/>
    <x v="149"/>
  </r>
  <r>
    <n v="3301"/>
    <x v="1581"/>
    <x v="1605"/>
    <s v="Mr"/>
    <s v="M"/>
    <n v="90"/>
    <s v="Northern Outfall"/>
    <x v="195"/>
    <x v="16"/>
    <d v="2021-07-10T00:00:00"/>
    <x v="1"/>
    <x v="0"/>
    <n v="51"/>
    <x v="2"/>
    <x v="2"/>
    <n v="867"/>
    <x v="385"/>
  </r>
  <r>
    <n v="3302"/>
    <x v="2164"/>
    <x v="1371"/>
    <s v="Mrs"/>
    <s v="F"/>
    <n v="90"/>
    <s v="Norths Buildings"/>
    <x v="204"/>
    <x v="2"/>
    <d v="2022-01-08T00:00:00"/>
    <x v="0"/>
    <x v="6"/>
    <n v="32"/>
    <x v="0"/>
    <x v="0"/>
    <n v="640"/>
    <x v="315"/>
  </r>
  <r>
    <n v="3303"/>
    <x v="1987"/>
    <x v="283"/>
    <s v="Mr"/>
    <s v="M"/>
    <n v="30"/>
    <s v="Northumberland Avenue"/>
    <x v="427"/>
    <x v="21"/>
    <d v="2021-08-06T00:00:00"/>
    <x v="1"/>
    <x v="3"/>
    <n v="24"/>
    <x v="0"/>
    <x v="0"/>
    <n v="480"/>
    <x v="46"/>
  </r>
  <r>
    <n v="3304"/>
    <x v="1959"/>
    <x v="1599"/>
    <s v="Mr"/>
    <s v="M"/>
    <n v="90"/>
    <s v="Northview Crescent"/>
    <x v="305"/>
    <x v="48"/>
    <d v="2022-08-21T00:00:00"/>
    <x v="0"/>
    <x v="3"/>
    <n v="21"/>
    <x v="7"/>
    <x v="7"/>
    <n v="420"/>
    <x v="774"/>
  </r>
  <r>
    <n v="3305"/>
    <x v="2165"/>
    <x v="1129"/>
    <s v="Miss"/>
    <s v="F"/>
    <n v="30"/>
    <s v="Northwood Gardens"/>
    <x v="868"/>
    <x v="40"/>
    <d v="2020-07-27T00:00:00"/>
    <x v="2"/>
    <x v="0"/>
    <n v="21"/>
    <x v="9"/>
    <x v="9"/>
    <n v="504"/>
    <x v="715"/>
  </r>
  <r>
    <n v="3306"/>
    <x v="2166"/>
    <x v="681"/>
    <s v="Mr"/>
    <s v="M"/>
    <n v="30"/>
    <s v="Norton Cottages"/>
    <x v="685"/>
    <x v="21"/>
    <d v="2021-05-03T00:00:00"/>
    <x v="1"/>
    <x v="11"/>
    <n v="38"/>
    <x v="5"/>
    <x v="5"/>
    <n v="912"/>
    <x v="244"/>
  </r>
  <r>
    <n v="3307"/>
    <x v="2167"/>
    <x v="949"/>
    <s v="Mrs"/>
    <s v="F"/>
    <n v="60"/>
    <s v="Norton Street"/>
    <x v="599"/>
    <x v="2"/>
    <d v="2021-06-08T00:00:00"/>
    <x v="1"/>
    <x v="2"/>
    <n v="36"/>
    <x v="1"/>
    <x v="1"/>
    <n v="864"/>
    <x v="940"/>
  </r>
  <r>
    <n v="3308"/>
    <x v="2168"/>
    <x v="632"/>
    <s v="Mr"/>
    <s v="M"/>
    <n v="30"/>
    <s v="Norval Green"/>
    <x v="1174"/>
    <x v="2"/>
    <d v="2021-07-12T00:00:00"/>
    <x v="1"/>
    <x v="0"/>
    <n v="12"/>
    <x v="4"/>
    <x v="4"/>
    <n v="216"/>
    <x v="218"/>
  </r>
  <r>
    <n v="3309"/>
    <x v="209"/>
    <x v="1179"/>
    <s v="Miss"/>
    <s v="F"/>
    <n v="60"/>
    <s v="Notley Street"/>
    <x v="682"/>
    <x v="2"/>
    <d v="2021-10-10T00:00:00"/>
    <x v="1"/>
    <x v="1"/>
    <n v="83"/>
    <x v="1"/>
    <x v="1"/>
    <n v="1992"/>
    <x v="970"/>
  </r>
  <r>
    <n v="3310"/>
    <x v="2169"/>
    <x v="1463"/>
    <s v="Miss"/>
    <s v="F"/>
    <n v="90"/>
    <s v="Nottige Place"/>
    <x v="1229"/>
    <x v="28"/>
    <d v="2021-09-02T00:00:00"/>
    <x v="1"/>
    <x v="9"/>
    <n v="10"/>
    <x v="6"/>
    <x v="6"/>
    <n v="240"/>
    <x v="172"/>
  </r>
  <r>
    <n v="3311"/>
    <x v="1857"/>
    <x v="250"/>
    <s v="Mrs"/>
    <s v="F"/>
    <n v="60"/>
    <s v="Notting Barn"/>
    <x v="1177"/>
    <x v="1"/>
    <d v="2020-09-23T00:00:00"/>
    <x v="2"/>
    <x v="9"/>
    <n v="43"/>
    <x v="7"/>
    <x v="7"/>
    <n v="860"/>
    <x v="410"/>
  </r>
  <r>
    <n v="3312"/>
    <x v="803"/>
    <x v="1534"/>
    <s v="Mr"/>
    <s v="M"/>
    <n v="60"/>
    <s v="Nottingham Avenue"/>
    <x v="1230"/>
    <x v="2"/>
    <d v="2020-01-26T00:00:00"/>
    <x v="2"/>
    <x v="6"/>
    <n v="16"/>
    <x v="3"/>
    <x v="3"/>
    <n v="384"/>
    <x v="189"/>
  </r>
  <r>
    <n v="3313"/>
    <x v="513"/>
    <x v="1424"/>
    <s v="Mr"/>
    <s v="M"/>
    <n v="30"/>
    <s v="Nottingham Mews"/>
    <x v="167"/>
    <x v="11"/>
    <d v="2021-11-01T00:00:00"/>
    <x v="1"/>
    <x v="7"/>
    <n v="81"/>
    <x v="6"/>
    <x v="6"/>
    <n v="1944"/>
    <x v="382"/>
  </r>
  <r>
    <n v="3314"/>
    <x v="841"/>
    <x v="1191"/>
    <s v="Dr"/>
    <s v="F"/>
    <n v="60"/>
    <s v="Nottingham Terrace"/>
    <x v="107"/>
    <x v="15"/>
    <d v="2020-04-23T00:00:00"/>
    <x v="2"/>
    <x v="4"/>
    <n v="28"/>
    <x v="2"/>
    <x v="2"/>
    <n v="476"/>
    <x v="194"/>
  </r>
  <r>
    <n v="3315"/>
    <x v="2170"/>
    <x v="1482"/>
    <s v="Mr"/>
    <s v="M"/>
    <n v="60"/>
    <s v="Nuding Road"/>
    <x v="955"/>
    <x v="33"/>
    <d v="2022-02-09T00:00:00"/>
    <x v="0"/>
    <x v="10"/>
    <n v="86"/>
    <x v="5"/>
    <x v="5"/>
    <n v="2064"/>
    <x v="6"/>
  </r>
  <r>
    <n v="3316"/>
    <x v="2171"/>
    <x v="1606"/>
    <s v="Miss"/>
    <s v="F"/>
    <n v="60"/>
    <s v="Nun Court"/>
    <x v="771"/>
    <x v="31"/>
    <d v="2021-12-11T00:00:00"/>
    <x v="1"/>
    <x v="8"/>
    <n v="95"/>
    <x v="1"/>
    <x v="1"/>
    <n v="2280"/>
    <x v="665"/>
  </r>
  <r>
    <n v="3317"/>
    <x v="1723"/>
    <x v="1084"/>
    <s v="Mr"/>
    <s v="M"/>
    <n v="90"/>
    <s v="Nun Court"/>
    <x v="1128"/>
    <x v="18"/>
    <d v="2020-12-29T00:00:00"/>
    <x v="2"/>
    <x v="8"/>
    <n v="63"/>
    <x v="3"/>
    <x v="3"/>
    <n v="1512"/>
    <x v="50"/>
  </r>
  <r>
    <n v="3318"/>
    <x v="2172"/>
    <x v="427"/>
    <s v="Mr"/>
    <s v="M"/>
    <n v="90"/>
    <s v="Nunhead Cottages"/>
    <x v="228"/>
    <x v="21"/>
    <d v="2022-10-07T00:00:00"/>
    <x v="0"/>
    <x v="1"/>
    <n v="55"/>
    <x v="6"/>
    <x v="6"/>
    <n v="1320"/>
    <x v="935"/>
  </r>
  <r>
    <n v="3319"/>
    <x v="2121"/>
    <x v="1423"/>
    <s v="Mr"/>
    <s v="M"/>
    <n v="90"/>
    <s v="Nuns Head"/>
    <x v="70"/>
    <x v="2"/>
    <d v="2020-06-27T00:00:00"/>
    <x v="2"/>
    <x v="2"/>
    <n v="12"/>
    <x v="8"/>
    <x v="8"/>
    <n v="240"/>
    <x v="220"/>
  </r>
  <r>
    <n v="3320"/>
    <x v="2173"/>
    <x v="1540"/>
    <s v="Mrs"/>
    <s v="F"/>
    <n v="60"/>
    <s v="Nursery Road"/>
    <x v="268"/>
    <x v="21"/>
    <d v="2021-04-03T00:00:00"/>
    <x v="1"/>
    <x v="4"/>
    <n v="29"/>
    <x v="3"/>
    <x v="3"/>
    <n v="696"/>
    <x v="63"/>
  </r>
  <r>
    <n v="3321"/>
    <x v="2174"/>
    <x v="121"/>
    <s v="Mrs"/>
    <s v="F"/>
    <n v="90"/>
    <s v="Nye Bevan"/>
    <x v="291"/>
    <x v="2"/>
    <d v="2020-01-01T00:00:00"/>
    <x v="2"/>
    <x v="6"/>
    <n v="11"/>
    <x v="8"/>
    <x v="8"/>
    <n v="220"/>
    <x v="768"/>
  </r>
  <r>
    <n v="3322"/>
    <x v="64"/>
    <x v="722"/>
    <s v="Mr"/>
    <s v="M"/>
    <n v="30"/>
    <s v="Oak Crescent"/>
    <x v="1167"/>
    <x v="21"/>
    <d v="2022-02-27T00:00:00"/>
    <x v="0"/>
    <x v="10"/>
    <n v="48"/>
    <x v="0"/>
    <x v="0"/>
    <n v="960"/>
    <x v="411"/>
  </r>
  <r>
    <n v="3323"/>
    <x v="1394"/>
    <x v="1607"/>
    <s v="Miss"/>
    <s v="F"/>
    <n v="30"/>
    <s v="Oak Lane"/>
    <x v="244"/>
    <x v="1"/>
    <d v="2021-06-13T00:00:00"/>
    <x v="1"/>
    <x v="2"/>
    <n v="85"/>
    <x v="6"/>
    <x v="6"/>
    <n v="2040"/>
    <x v="711"/>
  </r>
  <r>
    <n v="3324"/>
    <x v="1900"/>
    <x v="1023"/>
    <s v="Mr"/>
    <s v="M"/>
    <n v="30"/>
    <s v="Oak Street"/>
    <x v="176"/>
    <x v="16"/>
    <d v="2020-06-08T00:00:00"/>
    <x v="2"/>
    <x v="2"/>
    <n v="21"/>
    <x v="7"/>
    <x v="7"/>
    <n v="420"/>
    <x v="774"/>
  </r>
  <r>
    <n v="3325"/>
    <x v="889"/>
    <x v="1484"/>
    <s v="Miss"/>
    <s v="F"/>
    <n v="30"/>
    <s v="Oakbrook Villas"/>
    <x v="1231"/>
    <x v="2"/>
    <d v="2022-07-05T00:00:00"/>
    <x v="0"/>
    <x v="0"/>
    <n v="79"/>
    <x v="8"/>
    <x v="8"/>
    <n v="1580"/>
    <x v="326"/>
  </r>
  <r>
    <n v="3326"/>
    <x v="2175"/>
    <x v="1176"/>
    <s v="Mrs"/>
    <s v="F"/>
    <n v="90"/>
    <s v="Oakdale Gardens"/>
    <x v="1232"/>
    <x v="21"/>
    <d v="2021-03-02T00:00:00"/>
    <x v="1"/>
    <x v="5"/>
    <n v="49"/>
    <x v="4"/>
    <x v="4"/>
    <n v="882"/>
    <x v="680"/>
  </r>
  <r>
    <n v="3327"/>
    <x v="2176"/>
    <x v="1191"/>
    <s v="Mrs"/>
    <s v="F"/>
    <n v="90"/>
    <s v="Oakey Street"/>
    <x v="828"/>
    <x v="15"/>
    <d v="2020-02-16T00:00:00"/>
    <x v="2"/>
    <x v="10"/>
    <n v="2"/>
    <x v="6"/>
    <x v="6"/>
    <n v="48"/>
    <x v="728"/>
  </r>
  <r>
    <n v="3328"/>
    <x v="587"/>
    <x v="743"/>
    <s v="Prof"/>
    <s v="F"/>
    <n v="90"/>
    <s v="Oakfield Villas"/>
    <x v="624"/>
    <x v="2"/>
    <d v="2022-04-20T00:00:00"/>
    <x v="0"/>
    <x v="4"/>
    <n v="80"/>
    <x v="6"/>
    <x v="6"/>
    <n v="1920"/>
    <x v="205"/>
  </r>
  <r>
    <n v="3329"/>
    <x v="1144"/>
    <x v="1608"/>
    <s v="Mr"/>
    <s v="M"/>
    <n v="30"/>
    <s v="Oakhall Place"/>
    <x v="1233"/>
    <x v="21"/>
    <d v="2020-03-22T00:00:00"/>
    <x v="2"/>
    <x v="5"/>
    <n v="69"/>
    <x v="6"/>
    <x v="6"/>
    <n v="1656"/>
    <x v="476"/>
  </r>
  <r>
    <n v="3330"/>
    <x v="88"/>
    <x v="203"/>
    <s v="Mr"/>
    <s v="M"/>
    <n v="30"/>
    <s v="Oakham Street"/>
    <x v="1234"/>
    <x v="2"/>
    <d v="2021-04-06T00:00:00"/>
    <x v="1"/>
    <x v="4"/>
    <n v="78"/>
    <x v="8"/>
    <x v="8"/>
    <n v="1560"/>
    <x v="903"/>
  </r>
  <r>
    <n v="3331"/>
    <x v="2177"/>
    <x v="1609"/>
    <s v="Mrs"/>
    <s v="F"/>
    <n v="60"/>
    <s v="Oakhurst Close"/>
    <x v="1235"/>
    <x v="2"/>
    <d v="2020-02-16T00:00:00"/>
    <x v="2"/>
    <x v="10"/>
    <n v="76"/>
    <x v="3"/>
    <x v="3"/>
    <n v="1824"/>
    <x v="950"/>
  </r>
  <r>
    <n v="3332"/>
    <x v="2178"/>
    <x v="1610"/>
    <s v="Mrs"/>
    <s v="F"/>
    <n v="60"/>
    <s v="Oakleaf Cottages"/>
    <x v="621"/>
    <x v="21"/>
    <d v="2022-12-29T00:00:00"/>
    <x v="0"/>
    <x v="8"/>
    <n v="103"/>
    <x v="1"/>
    <x v="1"/>
    <n v="2472"/>
    <x v="971"/>
  </r>
  <r>
    <n v="3333"/>
    <x v="2179"/>
    <x v="121"/>
    <s v="Mrs"/>
    <s v="F"/>
    <n v="60"/>
    <s v="Oakley Avenue"/>
    <x v="1031"/>
    <x v="12"/>
    <d v="2022-04-19T00:00:00"/>
    <x v="0"/>
    <x v="4"/>
    <n v="81"/>
    <x v="3"/>
    <x v="3"/>
    <n v="1944"/>
    <x v="551"/>
  </r>
  <r>
    <n v="3334"/>
    <x v="1245"/>
    <x v="1611"/>
    <s v="Mr"/>
    <s v="M"/>
    <n v="90"/>
    <s v="Oakley Crescent"/>
    <x v="916"/>
    <x v="16"/>
    <d v="2021-07-11T00:00:00"/>
    <x v="1"/>
    <x v="0"/>
    <n v="83"/>
    <x v="8"/>
    <x v="8"/>
    <n v="1660"/>
    <x v="14"/>
  </r>
  <r>
    <n v="3335"/>
    <x v="400"/>
    <x v="1598"/>
    <s v="Mr"/>
    <s v="M"/>
    <n v="30"/>
    <s v="Oakley Place"/>
    <x v="230"/>
    <x v="2"/>
    <d v="2022-02-25T00:00:00"/>
    <x v="0"/>
    <x v="10"/>
    <n v="92"/>
    <x v="6"/>
    <x v="6"/>
    <n v="2208"/>
    <x v="944"/>
  </r>
  <r>
    <n v="3336"/>
    <x v="1151"/>
    <x v="1598"/>
    <s v="Miss"/>
    <s v="F"/>
    <n v="90"/>
    <s v="Oakley Street"/>
    <x v="1236"/>
    <x v="11"/>
    <d v="2022-01-09T00:00:00"/>
    <x v="0"/>
    <x v="6"/>
    <n v="73"/>
    <x v="0"/>
    <x v="0"/>
    <n v="1460"/>
    <x v="0"/>
  </r>
  <r>
    <n v="3337"/>
    <x v="556"/>
    <x v="90"/>
    <s v="Mr"/>
    <s v="M"/>
    <n v="30"/>
    <s v="Oakley Terrace"/>
    <x v="1034"/>
    <x v="35"/>
    <d v="2022-08-23T00:00:00"/>
    <x v="0"/>
    <x v="3"/>
    <n v="2"/>
    <x v="6"/>
    <x v="6"/>
    <n v="48"/>
    <x v="728"/>
  </r>
  <r>
    <n v="3338"/>
    <x v="2180"/>
    <x v="244"/>
    <s v="Dr"/>
    <s v="F"/>
    <n v="30"/>
    <s v="Oakly Place"/>
    <x v="582"/>
    <x v="2"/>
    <d v="2020-12-21T00:00:00"/>
    <x v="2"/>
    <x v="8"/>
    <n v="34"/>
    <x v="3"/>
    <x v="3"/>
    <n v="816"/>
    <x v="464"/>
  </r>
  <r>
    <n v="3339"/>
    <x v="734"/>
    <x v="1612"/>
    <s v="Mr"/>
    <s v="M"/>
    <n v="60"/>
    <s v="Oakshaw Road"/>
    <x v="1237"/>
    <x v="7"/>
    <d v="2020-03-13T00:00:00"/>
    <x v="2"/>
    <x v="5"/>
    <n v="58"/>
    <x v="2"/>
    <x v="2"/>
    <n v="986"/>
    <x v="810"/>
  </r>
  <r>
    <n v="3340"/>
    <x v="2181"/>
    <x v="239"/>
    <s v="Miss"/>
    <s v="F"/>
    <n v="90"/>
    <s v="Oakway"/>
    <x v="530"/>
    <x v="2"/>
    <d v="2021-04-10T00:00:00"/>
    <x v="1"/>
    <x v="4"/>
    <n v="49"/>
    <x v="0"/>
    <x v="0"/>
    <n v="980"/>
    <x v="357"/>
  </r>
  <r>
    <n v="3341"/>
    <x v="32"/>
    <x v="960"/>
    <s v="Mr"/>
    <s v="M"/>
    <n v="30"/>
    <s v="Oban Close"/>
    <x v="1231"/>
    <x v="2"/>
    <d v="2020-12-02T00:00:00"/>
    <x v="2"/>
    <x v="8"/>
    <n v="37"/>
    <x v="6"/>
    <x v="6"/>
    <n v="888"/>
    <x v="292"/>
  </r>
  <r>
    <n v="3342"/>
    <x v="26"/>
    <x v="1041"/>
    <s v="Mr"/>
    <s v="M"/>
    <n v="60"/>
    <s v="Obelisk Yard"/>
    <x v="272"/>
    <x v="11"/>
    <d v="2020-11-04T00:00:00"/>
    <x v="2"/>
    <x v="7"/>
    <n v="20"/>
    <x v="1"/>
    <x v="1"/>
    <n v="480"/>
    <x v="329"/>
  </r>
  <r>
    <n v="3343"/>
    <x v="2182"/>
    <x v="954"/>
    <s v="Miss"/>
    <s v="F"/>
    <n v="30"/>
    <s v="Occupation Lane"/>
    <x v="714"/>
    <x v="13"/>
    <d v="2021-12-31T00:00:00"/>
    <x v="1"/>
    <x v="8"/>
    <n v="54"/>
    <x v="9"/>
    <x v="9"/>
    <n v="1296"/>
    <x v="535"/>
  </r>
  <r>
    <n v="3344"/>
    <x v="2183"/>
    <x v="1613"/>
    <s v="Mr"/>
    <s v="M"/>
    <n v="30"/>
    <s v="Occupation Road"/>
    <x v="679"/>
    <x v="44"/>
    <d v="2022-02-13T00:00:00"/>
    <x v="0"/>
    <x v="10"/>
    <n v="27"/>
    <x v="0"/>
    <x v="0"/>
    <n v="540"/>
    <x v="336"/>
  </r>
  <r>
    <n v="3345"/>
    <x v="871"/>
    <x v="216"/>
    <s v="Miss"/>
    <s v="F"/>
    <n v="30"/>
    <s v="Ocean Street"/>
    <x v="494"/>
    <x v="2"/>
    <d v="2020-11-27T00:00:00"/>
    <x v="2"/>
    <x v="7"/>
    <n v="65"/>
    <x v="7"/>
    <x v="7"/>
    <n v="1300"/>
    <x v="445"/>
  </r>
  <r>
    <n v="3346"/>
    <x v="178"/>
    <x v="87"/>
    <s v="Mr"/>
    <s v="M"/>
    <n v="60"/>
    <s v="Ockendon Road"/>
    <x v="1238"/>
    <x v="2"/>
    <d v="2022-02-06T00:00:00"/>
    <x v="0"/>
    <x v="10"/>
    <n v="56"/>
    <x v="1"/>
    <x v="1"/>
    <n v="1344"/>
    <x v="819"/>
  </r>
  <r>
    <n v="3347"/>
    <x v="59"/>
    <x v="1400"/>
    <s v="Miss"/>
    <s v="F"/>
    <n v="90"/>
    <s v="Old Change"/>
    <x v="502"/>
    <x v="1"/>
    <d v="2021-09-22T00:00:00"/>
    <x v="1"/>
    <x v="9"/>
    <n v="18"/>
    <x v="0"/>
    <x v="0"/>
    <n v="360"/>
    <x v="18"/>
  </r>
  <r>
    <n v="3348"/>
    <x v="2184"/>
    <x v="677"/>
    <s v="Miss"/>
    <s v="F"/>
    <n v="90"/>
    <s v="Old Chapel"/>
    <x v="157"/>
    <x v="30"/>
    <d v="2020-07-09T00:00:00"/>
    <x v="2"/>
    <x v="0"/>
    <n v="32"/>
    <x v="6"/>
    <x v="6"/>
    <n v="768"/>
    <x v="789"/>
  </r>
  <r>
    <n v="3349"/>
    <x v="1885"/>
    <x v="1614"/>
    <s v="Mr"/>
    <s v="M"/>
    <n v="30"/>
    <s v="Old College"/>
    <x v="858"/>
    <x v="59"/>
    <d v="2020-02-01T00:00:00"/>
    <x v="2"/>
    <x v="10"/>
    <n v="8"/>
    <x v="8"/>
    <x v="8"/>
    <n v="160"/>
    <x v="612"/>
  </r>
  <r>
    <n v="3350"/>
    <x v="753"/>
    <x v="529"/>
    <s v="Mr"/>
    <s v="M"/>
    <n v="30"/>
    <s v="Old King"/>
    <x v="753"/>
    <x v="2"/>
    <d v="2021-02-05T00:00:00"/>
    <x v="1"/>
    <x v="10"/>
    <n v="54"/>
    <x v="3"/>
    <x v="3"/>
    <n v="1296"/>
    <x v="309"/>
  </r>
  <r>
    <n v="3351"/>
    <x v="2185"/>
    <x v="1475"/>
    <s v="Mrs"/>
    <s v="F"/>
    <n v="60"/>
    <s v="Old Mitre"/>
    <x v="963"/>
    <x v="2"/>
    <d v="2021-12-19T00:00:00"/>
    <x v="1"/>
    <x v="8"/>
    <n v="50"/>
    <x v="1"/>
    <x v="1"/>
    <n v="1200"/>
    <x v="19"/>
  </r>
  <r>
    <n v="3352"/>
    <x v="2186"/>
    <x v="497"/>
    <s v="Miss"/>
    <s v="F"/>
    <n v="90"/>
    <s v="Old Montague"/>
    <x v="113"/>
    <x v="2"/>
    <d v="2021-07-09T00:00:00"/>
    <x v="1"/>
    <x v="0"/>
    <n v="42"/>
    <x v="7"/>
    <x v="7"/>
    <n v="840"/>
    <x v="349"/>
  </r>
  <r>
    <n v="3353"/>
    <x v="2187"/>
    <x v="659"/>
    <s v="Miss"/>
    <s v="F"/>
    <n v="90"/>
    <s v="Old Place"/>
    <x v="91"/>
    <x v="2"/>
    <d v="2021-04-15T00:00:00"/>
    <x v="1"/>
    <x v="4"/>
    <n v="64"/>
    <x v="6"/>
    <x v="6"/>
    <n v="1536"/>
    <x v="419"/>
  </r>
  <r>
    <n v="3354"/>
    <x v="2188"/>
    <x v="1615"/>
    <s v="Mrs"/>
    <s v="F"/>
    <n v="60"/>
    <s v="Old South"/>
    <x v="1239"/>
    <x v="16"/>
    <d v="2020-09-18T00:00:00"/>
    <x v="2"/>
    <x v="9"/>
    <n v="77"/>
    <x v="9"/>
    <x v="9"/>
    <n v="1848"/>
    <x v="572"/>
  </r>
  <r>
    <n v="3355"/>
    <x v="971"/>
    <x v="476"/>
    <s v="Mrs"/>
    <s v="F"/>
    <n v="30"/>
    <s v="Old Swan"/>
    <x v="1027"/>
    <x v="0"/>
    <d v="2020-11-06T00:00:00"/>
    <x v="2"/>
    <x v="7"/>
    <n v="60"/>
    <x v="2"/>
    <x v="2"/>
    <n v="1020"/>
    <x v="521"/>
  </r>
  <r>
    <n v="3356"/>
    <x v="123"/>
    <x v="722"/>
    <s v="Mrs"/>
    <s v="F"/>
    <n v="90"/>
    <s v="Oldacre Mews"/>
    <x v="622"/>
    <x v="2"/>
    <d v="2021-08-25T00:00:00"/>
    <x v="1"/>
    <x v="3"/>
    <n v="14"/>
    <x v="6"/>
    <x v="6"/>
    <n v="336"/>
    <x v="195"/>
  </r>
  <r>
    <n v="3357"/>
    <x v="824"/>
    <x v="1490"/>
    <s v="Mr"/>
    <s v="M"/>
    <n v="90"/>
    <s v="Oldbury Place"/>
    <x v="461"/>
    <x v="32"/>
    <d v="2020-09-01T00:00:00"/>
    <x v="2"/>
    <x v="9"/>
    <n v="78"/>
    <x v="4"/>
    <x v="4"/>
    <n v="1404"/>
    <x v="694"/>
  </r>
  <r>
    <n v="3358"/>
    <x v="416"/>
    <x v="365"/>
    <s v="Mr"/>
    <s v="M"/>
    <n v="90"/>
    <s v="Oldhill Street"/>
    <x v="440"/>
    <x v="12"/>
    <d v="2020-08-05T00:00:00"/>
    <x v="2"/>
    <x v="3"/>
    <n v="25"/>
    <x v="0"/>
    <x v="0"/>
    <n v="500"/>
    <x v="864"/>
  </r>
  <r>
    <n v="3359"/>
    <x v="2189"/>
    <x v="952"/>
    <s v="Miss"/>
    <s v="F"/>
    <n v="60"/>
    <s v="O'Leary Square"/>
    <x v="268"/>
    <x v="21"/>
    <d v="2021-04-30T00:00:00"/>
    <x v="1"/>
    <x v="4"/>
    <n v="90"/>
    <x v="2"/>
    <x v="2"/>
    <n v="1530"/>
    <x v="630"/>
  </r>
  <r>
    <n v="3360"/>
    <x v="1627"/>
    <x v="13"/>
    <s v="Mrs"/>
    <s v="F"/>
    <n v="90"/>
    <s v="O'Leary Square"/>
    <x v="722"/>
    <x v="2"/>
    <d v="2022-02-15T00:00:00"/>
    <x v="0"/>
    <x v="10"/>
    <n v="47"/>
    <x v="5"/>
    <x v="5"/>
    <n v="1128"/>
    <x v="833"/>
  </r>
  <r>
    <n v="3361"/>
    <x v="2190"/>
    <x v="991"/>
    <s v="Miss"/>
    <s v="F"/>
    <n v="90"/>
    <s v="Ollgar Cl"/>
    <x v="928"/>
    <x v="29"/>
    <d v="2020-01-11T00:00:00"/>
    <x v="2"/>
    <x v="6"/>
    <n v="13"/>
    <x v="8"/>
    <x v="8"/>
    <n v="260"/>
    <x v="880"/>
  </r>
  <r>
    <n v="3362"/>
    <x v="285"/>
    <x v="444"/>
    <s v="Mr"/>
    <s v="M"/>
    <n v="30"/>
    <s v="Olmar Street"/>
    <x v="443"/>
    <x v="40"/>
    <d v="2020-06-15T00:00:00"/>
    <x v="2"/>
    <x v="2"/>
    <n v="80"/>
    <x v="8"/>
    <x v="8"/>
    <n v="1600"/>
    <x v="704"/>
  </r>
  <r>
    <n v="3363"/>
    <x v="2191"/>
    <x v="1095"/>
    <s v="Miss"/>
    <s v="F"/>
    <n v="60"/>
    <s v="Olney Street"/>
    <x v="1086"/>
    <x v="2"/>
    <d v="2020-09-25T00:00:00"/>
    <x v="2"/>
    <x v="9"/>
    <n v="8"/>
    <x v="6"/>
    <x v="6"/>
    <n v="192"/>
    <x v="752"/>
  </r>
  <r>
    <n v="3364"/>
    <x v="1211"/>
    <x v="1616"/>
    <s v="Mr"/>
    <s v="M"/>
    <n v="30"/>
    <s v="Olney Street"/>
    <x v="1197"/>
    <x v="35"/>
    <d v="2022-10-01T00:00:00"/>
    <x v="0"/>
    <x v="1"/>
    <n v="21"/>
    <x v="1"/>
    <x v="1"/>
    <n v="504"/>
    <x v="409"/>
  </r>
  <r>
    <n v="3365"/>
    <x v="2192"/>
    <x v="879"/>
    <s v="Mrs"/>
    <s v="F"/>
    <n v="60"/>
    <s v="Olney Villa"/>
    <x v="322"/>
    <x v="52"/>
    <d v="2021-12-17T00:00:00"/>
    <x v="1"/>
    <x v="8"/>
    <n v="89"/>
    <x v="8"/>
    <x v="8"/>
    <n v="1780"/>
    <x v="854"/>
  </r>
  <r>
    <n v="3366"/>
    <x v="2193"/>
    <x v="1015"/>
    <s v="Mrs"/>
    <s v="F"/>
    <n v="90"/>
    <s v="Olney Villa"/>
    <x v="1048"/>
    <x v="11"/>
    <d v="2022-12-27T00:00:00"/>
    <x v="0"/>
    <x v="8"/>
    <n v="61"/>
    <x v="9"/>
    <x v="9"/>
    <n v="1464"/>
    <x v="849"/>
  </r>
  <r>
    <n v="3367"/>
    <x v="2194"/>
    <x v="1617"/>
    <s v="Miss"/>
    <s v="F"/>
    <n v="30"/>
    <s v="Olympia Mews"/>
    <x v="1240"/>
    <x v="3"/>
    <d v="2022-12-25T00:00:00"/>
    <x v="0"/>
    <x v="8"/>
    <n v="69"/>
    <x v="3"/>
    <x v="3"/>
    <n v="1656"/>
    <x v="611"/>
  </r>
  <r>
    <n v="3368"/>
    <x v="2195"/>
    <x v="177"/>
    <s v="Miss"/>
    <s v="F"/>
    <n v="30"/>
    <s v="Omega Close"/>
    <x v="563"/>
    <x v="3"/>
    <d v="2022-06-11T00:00:00"/>
    <x v="0"/>
    <x v="2"/>
    <n v="62"/>
    <x v="4"/>
    <x v="4"/>
    <n v="1116"/>
    <x v="135"/>
  </r>
  <r>
    <n v="3369"/>
    <x v="580"/>
    <x v="323"/>
    <s v="Mr"/>
    <s v="M"/>
    <n v="30"/>
    <s v="Omega Villas"/>
    <x v="570"/>
    <x v="2"/>
    <d v="2022-07-22T00:00:00"/>
    <x v="0"/>
    <x v="0"/>
    <n v="84"/>
    <x v="7"/>
    <x v="7"/>
    <n v="1680"/>
    <x v="206"/>
  </r>
  <r>
    <n v="3370"/>
    <x v="27"/>
    <x v="1350"/>
    <s v="Mr"/>
    <s v="M"/>
    <n v="90"/>
    <s v="One Tree"/>
    <x v="1155"/>
    <x v="1"/>
    <d v="2020-09-23T00:00:00"/>
    <x v="2"/>
    <x v="9"/>
    <n v="73"/>
    <x v="3"/>
    <x v="3"/>
    <n v="1752"/>
    <x v="105"/>
  </r>
  <r>
    <n v="3371"/>
    <x v="2196"/>
    <x v="809"/>
    <s v="Mrs"/>
    <s v="F"/>
    <n v="30"/>
    <s v="Onega Gate"/>
    <x v="152"/>
    <x v="2"/>
    <d v="2021-04-25T00:00:00"/>
    <x v="1"/>
    <x v="4"/>
    <n v="10"/>
    <x v="7"/>
    <x v="7"/>
    <n v="200"/>
    <x v="809"/>
  </r>
  <r>
    <n v="3372"/>
    <x v="179"/>
    <x v="623"/>
    <s v="Mr"/>
    <s v="M"/>
    <n v="30"/>
    <s v="Onslow Square"/>
    <x v="351"/>
    <x v="16"/>
    <d v="2021-10-08T00:00:00"/>
    <x v="1"/>
    <x v="1"/>
    <n v="76"/>
    <x v="1"/>
    <x v="1"/>
    <n v="1824"/>
    <x v="678"/>
  </r>
  <r>
    <n v="3373"/>
    <x v="910"/>
    <x v="649"/>
    <s v="Mr"/>
    <s v="M"/>
    <n v="60"/>
    <s v="Orchard Hill"/>
    <x v="609"/>
    <x v="11"/>
    <d v="2021-11-07T00:00:00"/>
    <x v="1"/>
    <x v="7"/>
    <n v="65"/>
    <x v="9"/>
    <x v="9"/>
    <n v="1560"/>
    <x v="439"/>
  </r>
  <r>
    <n v="3374"/>
    <x v="2197"/>
    <x v="182"/>
    <s v="Miss"/>
    <s v="F"/>
    <n v="60"/>
    <s v="Ordnance Crescent"/>
    <x v="179"/>
    <x v="16"/>
    <d v="2022-12-10T00:00:00"/>
    <x v="0"/>
    <x v="8"/>
    <n v="105"/>
    <x v="9"/>
    <x v="9"/>
    <n v="2520"/>
    <x v="732"/>
  </r>
  <r>
    <n v="3375"/>
    <x v="2198"/>
    <x v="2"/>
    <s v="Miss"/>
    <s v="F"/>
    <n v="60"/>
    <s v="Orford Road"/>
    <x v="113"/>
    <x v="2"/>
    <d v="2020-08-17T00:00:00"/>
    <x v="2"/>
    <x v="3"/>
    <n v="82"/>
    <x v="5"/>
    <x v="5"/>
    <n v="1968"/>
    <x v="682"/>
  </r>
  <r>
    <n v="3376"/>
    <x v="2199"/>
    <x v="1227"/>
    <s v="Mr"/>
    <s v="M"/>
    <n v="30"/>
    <s v="Orient Way"/>
    <x v="1241"/>
    <x v="15"/>
    <d v="2020-05-15T00:00:00"/>
    <x v="2"/>
    <x v="11"/>
    <n v="5"/>
    <x v="5"/>
    <x v="5"/>
    <n v="120"/>
    <x v="64"/>
  </r>
  <r>
    <n v="3377"/>
    <x v="2164"/>
    <x v="1496"/>
    <s v="Ms"/>
    <s v="F"/>
    <n v="90"/>
    <s v="Orlando Road"/>
    <x v="889"/>
    <x v="2"/>
    <d v="2022-05-23T00:00:00"/>
    <x v="0"/>
    <x v="11"/>
    <n v="3"/>
    <x v="4"/>
    <x v="4"/>
    <n v="54"/>
    <x v="368"/>
  </r>
  <r>
    <n v="3378"/>
    <x v="2200"/>
    <x v="1618"/>
    <s v="Ms"/>
    <s v="F"/>
    <n v="60"/>
    <s v="Orleans Road"/>
    <x v="209"/>
    <x v="1"/>
    <d v="2020-10-10T00:00:00"/>
    <x v="2"/>
    <x v="1"/>
    <n v="65"/>
    <x v="9"/>
    <x v="9"/>
    <n v="1560"/>
    <x v="439"/>
  </r>
  <r>
    <n v="3379"/>
    <x v="2201"/>
    <x v="1318"/>
    <s v="Miss"/>
    <s v="F"/>
    <n v="90"/>
    <s v="Orleston Mews"/>
    <x v="54"/>
    <x v="2"/>
    <d v="2022-07-11T00:00:00"/>
    <x v="0"/>
    <x v="0"/>
    <n v="8"/>
    <x v="9"/>
    <x v="9"/>
    <n v="192"/>
    <x v="402"/>
  </r>
  <r>
    <n v="3380"/>
    <x v="46"/>
    <x v="1619"/>
    <s v="Mr"/>
    <s v="M"/>
    <n v="90"/>
    <s v="Orleston Road"/>
    <x v="251"/>
    <x v="2"/>
    <d v="2020-01-26T00:00:00"/>
    <x v="2"/>
    <x v="6"/>
    <n v="85"/>
    <x v="4"/>
    <x v="4"/>
    <n v="1530"/>
    <x v="16"/>
  </r>
  <r>
    <n v="3381"/>
    <x v="2202"/>
    <x v="224"/>
    <s v="Mr"/>
    <s v="M"/>
    <n v="30"/>
    <s v="Ormand Passage"/>
    <x v="1242"/>
    <x v="58"/>
    <d v="2020-01-03T00:00:00"/>
    <x v="2"/>
    <x v="6"/>
    <n v="83"/>
    <x v="2"/>
    <x v="2"/>
    <n v="1411"/>
    <x v="811"/>
  </r>
  <r>
    <n v="3382"/>
    <x v="266"/>
    <x v="1316"/>
    <s v="Mr"/>
    <s v="M"/>
    <n v="60"/>
    <s v="Ormand Passage"/>
    <x v="280"/>
    <x v="2"/>
    <d v="2021-02-10T00:00:00"/>
    <x v="1"/>
    <x v="10"/>
    <n v="54"/>
    <x v="6"/>
    <x v="6"/>
    <n v="1296"/>
    <x v="144"/>
  </r>
  <r>
    <n v="3383"/>
    <x v="2203"/>
    <x v="495"/>
    <s v="Miss"/>
    <s v="F"/>
    <n v="60"/>
    <s v="Ormanton Rd"/>
    <x v="667"/>
    <x v="2"/>
    <d v="2021-09-07T00:00:00"/>
    <x v="1"/>
    <x v="9"/>
    <n v="3"/>
    <x v="3"/>
    <x v="3"/>
    <n v="72"/>
    <x v="221"/>
  </r>
  <r>
    <n v="3384"/>
    <x v="2204"/>
    <x v="1620"/>
    <s v="Mr"/>
    <s v="M"/>
    <n v="60"/>
    <s v="Ormesby Close"/>
    <x v="235"/>
    <x v="12"/>
    <d v="2022-12-02T00:00:00"/>
    <x v="0"/>
    <x v="8"/>
    <n v="77"/>
    <x v="8"/>
    <x v="8"/>
    <n v="1540"/>
    <x v="543"/>
  </r>
  <r>
    <n v="3385"/>
    <x v="918"/>
    <x v="1621"/>
    <s v="Mr"/>
    <s v="M"/>
    <n v="30"/>
    <s v="Ormsby Lodge"/>
    <x v="1110"/>
    <x v="2"/>
    <d v="2022-11-09T00:00:00"/>
    <x v="0"/>
    <x v="7"/>
    <n v="88"/>
    <x v="7"/>
    <x v="7"/>
    <n v="1760"/>
    <x v="113"/>
  </r>
  <r>
    <n v="3386"/>
    <x v="1317"/>
    <x v="1622"/>
    <s v="Mrs"/>
    <s v="F"/>
    <n v="60"/>
    <s v="Ormside Strect"/>
    <x v="1022"/>
    <x v="1"/>
    <d v="2022-05-22T00:00:00"/>
    <x v="0"/>
    <x v="11"/>
    <n v="5"/>
    <x v="5"/>
    <x v="5"/>
    <n v="120"/>
    <x v="64"/>
  </r>
  <r>
    <n v="3387"/>
    <x v="1688"/>
    <x v="1285"/>
    <s v="Mr"/>
    <s v="M"/>
    <n v="60"/>
    <s v="Orpen Walk"/>
    <x v="98"/>
    <x v="21"/>
    <d v="2021-03-02T00:00:00"/>
    <x v="1"/>
    <x v="5"/>
    <n v="48"/>
    <x v="0"/>
    <x v="0"/>
    <n v="960"/>
    <x v="411"/>
  </r>
  <r>
    <n v="3388"/>
    <x v="1061"/>
    <x v="1025"/>
    <s v="Miss"/>
    <s v="F"/>
    <n v="30"/>
    <s v="Orpington Road"/>
    <x v="551"/>
    <x v="2"/>
    <d v="2021-02-21T00:00:00"/>
    <x v="1"/>
    <x v="10"/>
    <n v="63"/>
    <x v="1"/>
    <x v="1"/>
    <n v="1512"/>
    <x v="333"/>
  </r>
  <r>
    <n v="3389"/>
    <x v="231"/>
    <x v="897"/>
    <s v="Mr"/>
    <s v="M"/>
    <n v="90"/>
    <s v="Orsett Place"/>
    <x v="538"/>
    <x v="1"/>
    <d v="2021-06-29T00:00:00"/>
    <x v="1"/>
    <x v="2"/>
    <n v="7"/>
    <x v="4"/>
    <x v="4"/>
    <n v="126"/>
    <x v="311"/>
  </r>
  <r>
    <n v="3390"/>
    <x v="1113"/>
    <x v="818"/>
    <s v="Miss"/>
    <s v="F"/>
    <n v="60"/>
    <s v="Osberton Road"/>
    <x v="177"/>
    <x v="2"/>
    <d v="2021-09-04T00:00:00"/>
    <x v="1"/>
    <x v="9"/>
    <n v="29"/>
    <x v="8"/>
    <x v="8"/>
    <n v="580"/>
    <x v="295"/>
  </r>
  <r>
    <n v="3391"/>
    <x v="1190"/>
    <x v="1623"/>
    <s v="Mr"/>
    <s v="M"/>
    <n v="30"/>
    <s v="Osborn Gardens"/>
    <x v="1197"/>
    <x v="35"/>
    <d v="2020-09-30T00:00:00"/>
    <x v="2"/>
    <x v="9"/>
    <n v="7"/>
    <x v="0"/>
    <x v="0"/>
    <n v="140"/>
    <x v="522"/>
  </r>
  <r>
    <n v="3392"/>
    <x v="201"/>
    <x v="1624"/>
    <s v="Mr"/>
    <s v="M"/>
    <n v="30"/>
    <s v="Osborn Lane"/>
    <x v="86"/>
    <x v="17"/>
    <d v="2022-07-05T00:00:00"/>
    <x v="0"/>
    <x v="0"/>
    <n v="65"/>
    <x v="0"/>
    <x v="0"/>
    <n v="1300"/>
    <x v="345"/>
  </r>
  <r>
    <n v="3393"/>
    <x v="2205"/>
    <x v="205"/>
    <s v="Mrs"/>
    <s v="F"/>
    <n v="30"/>
    <s v="Osborne Mews"/>
    <x v="595"/>
    <x v="11"/>
    <d v="2021-08-21T00:00:00"/>
    <x v="1"/>
    <x v="3"/>
    <n v="76"/>
    <x v="6"/>
    <x v="6"/>
    <n v="1824"/>
    <x v="708"/>
  </r>
  <r>
    <n v="3394"/>
    <x v="589"/>
    <x v="1435"/>
    <s v="Mr"/>
    <s v="M"/>
    <n v="60"/>
    <s v="Osidge Lane"/>
    <x v="1064"/>
    <x v="17"/>
    <d v="2020-12-30T00:00:00"/>
    <x v="2"/>
    <x v="8"/>
    <n v="13"/>
    <x v="1"/>
    <x v="1"/>
    <n v="312"/>
    <x v="127"/>
  </r>
  <r>
    <n v="3395"/>
    <x v="2206"/>
    <x v="592"/>
    <s v="Miss"/>
    <s v="F"/>
    <n v="60"/>
    <s v="Osiers Road"/>
    <x v="169"/>
    <x v="1"/>
    <d v="2020-09-23T00:00:00"/>
    <x v="2"/>
    <x v="9"/>
    <n v="36"/>
    <x v="9"/>
    <x v="9"/>
    <n v="864"/>
    <x v="972"/>
  </r>
  <r>
    <n v="3396"/>
    <x v="1740"/>
    <x v="1625"/>
    <s v="Mr"/>
    <s v="M"/>
    <n v="30"/>
    <s v="Ossington Street"/>
    <x v="746"/>
    <x v="2"/>
    <d v="2021-07-09T00:00:00"/>
    <x v="1"/>
    <x v="0"/>
    <n v="65"/>
    <x v="4"/>
    <x v="4"/>
    <n v="1170"/>
    <x v="389"/>
  </r>
  <r>
    <n v="3397"/>
    <x v="2207"/>
    <x v="1626"/>
    <s v="Mrs"/>
    <s v="F"/>
    <n v="60"/>
    <s v="Ossulton Way"/>
    <x v="864"/>
    <x v="2"/>
    <d v="2020-02-10T00:00:00"/>
    <x v="2"/>
    <x v="10"/>
    <n v="63"/>
    <x v="4"/>
    <x v="4"/>
    <n v="1134"/>
    <x v="751"/>
  </r>
  <r>
    <n v="3398"/>
    <x v="2208"/>
    <x v="54"/>
    <s v="Mr"/>
    <s v="M"/>
    <n v="90"/>
    <s v="Ostend Place"/>
    <x v="809"/>
    <x v="2"/>
    <d v="2021-08-25T00:00:00"/>
    <x v="1"/>
    <x v="3"/>
    <n v="76"/>
    <x v="6"/>
    <x v="6"/>
    <n v="1824"/>
    <x v="708"/>
  </r>
  <r>
    <n v="3399"/>
    <x v="2209"/>
    <x v="1245"/>
    <s v="Mr"/>
    <s v="M"/>
    <n v="90"/>
    <s v="Otterbourne Road"/>
    <x v="1125"/>
    <x v="2"/>
    <d v="2022-08-16T00:00:00"/>
    <x v="0"/>
    <x v="3"/>
    <n v="37"/>
    <x v="8"/>
    <x v="8"/>
    <n v="740"/>
    <x v="99"/>
  </r>
  <r>
    <n v="3400"/>
    <x v="2210"/>
    <x v="1502"/>
    <s v="Miss"/>
    <s v="F"/>
    <n v="30"/>
    <s v="Otterburn Street"/>
    <x v="1243"/>
    <x v="2"/>
    <d v="2020-05-22T00:00:00"/>
    <x v="2"/>
    <x v="11"/>
    <n v="28"/>
    <x v="7"/>
    <x v="7"/>
    <n v="560"/>
    <x v="546"/>
  </r>
  <r>
    <n v="3401"/>
    <x v="123"/>
    <x v="1627"/>
    <s v="Mr"/>
    <s v="M"/>
    <n v="60"/>
    <s v="Oulton Road"/>
    <x v="915"/>
    <x v="21"/>
    <d v="2021-02-03T00:00:00"/>
    <x v="1"/>
    <x v="10"/>
    <n v="44"/>
    <x v="1"/>
    <x v="1"/>
    <n v="1056"/>
    <x v="45"/>
  </r>
  <r>
    <n v="3402"/>
    <x v="2211"/>
    <x v="1064"/>
    <s v="Mrs"/>
    <s v="F"/>
    <n v="60"/>
    <s v="Outer Circle"/>
    <x v="204"/>
    <x v="2"/>
    <d v="2022-06-14T00:00:00"/>
    <x v="0"/>
    <x v="2"/>
    <n v="25"/>
    <x v="4"/>
    <x v="4"/>
    <n v="450"/>
    <x v="792"/>
  </r>
  <r>
    <n v="3403"/>
    <x v="274"/>
    <x v="782"/>
    <s v="Ms"/>
    <s v="F"/>
    <n v="60"/>
    <s v="Oval Place"/>
    <x v="229"/>
    <x v="14"/>
    <d v="2021-11-30T00:00:00"/>
    <x v="1"/>
    <x v="7"/>
    <n v="69"/>
    <x v="6"/>
    <x v="6"/>
    <n v="1656"/>
    <x v="476"/>
  </r>
  <r>
    <n v="3404"/>
    <x v="709"/>
    <x v="306"/>
    <s v="Prof"/>
    <s v="F"/>
    <n v="90"/>
    <s v="Over Place"/>
    <x v="1203"/>
    <x v="92"/>
    <d v="2021-05-17T00:00:00"/>
    <x v="1"/>
    <x v="11"/>
    <n v="10"/>
    <x v="0"/>
    <x v="0"/>
    <n v="200"/>
    <x v="753"/>
  </r>
  <r>
    <n v="3405"/>
    <x v="2212"/>
    <x v="1274"/>
    <s v="Mr"/>
    <s v="M"/>
    <n v="90"/>
    <s v="Overlea Road"/>
    <x v="1212"/>
    <x v="12"/>
    <d v="2021-10-07T00:00:00"/>
    <x v="1"/>
    <x v="1"/>
    <n v="20"/>
    <x v="6"/>
    <x v="6"/>
    <n v="480"/>
    <x v="167"/>
  </r>
  <r>
    <n v="3406"/>
    <x v="1969"/>
    <x v="1518"/>
    <s v="Mr"/>
    <s v="M"/>
    <n v="30"/>
    <s v="Overton Road"/>
    <x v="23"/>
    <x v="13"/>
    <d v="2021-01-23T00:00:00"/>
    <x v="1"/>
    <x v="6"/>
    <n v="73"/>
    <x v="8"/>
    <x v="8"/>
    <n v="1460"/>
    <x v="830"/>
  </r>
  <r>
    <n v="3407"/>
    <x v="381"/>
    <x v="578"/>
    <s v="Mr"/>
    <s v="M"/>
    <n v="30"/>
    <s v="Owen Street"/>
    <x v="330"/>
    <x v="21"/>
    <d v="2021-01-29T00:00:00"/>
    <x v="1"/>
    <x v="6"/>
    <n v="59"/>
    <x v="3"/>
    <x v="3"/>
    <n v="1416"/>
    <x v="383"/>
  </r>
  <r>
    <n v="3408"/>
    <x v="1151"/>
    <x v="1597"/>
    <s v="Mr"/>
    <s v="M"/>
    <n v="30"/>
    <s v="Owens Way"/>
    <x v="274"/>
    <x v="1"/>
    <d v="2021-07-16T00:00:00"/>
    <x v="1"/>
    <x v="0"/>
    <n v="65"/>
    <x v="5"/>
    <x v="5"/>
    <n v="1560"/>
    <x v="140"/>
  </r>
  <r>
    <n v="3409"/>
    <x v="348"/>
    <x v="1384"/>
    <s v="Mr"/>
    <s v="M"/>
    <n v="90"/>
    <s v="Oxford &amp;"/>
    <x v="616"/>
    <x v="12"/>
    <d v="2022-01-17T00:00:00"/>
    <x v="0"/>
    <x v="6"/>
    <n v="77"/>
    <x v="0"/>
    <x v="0"/>
    <n v="1540"/>
    <x v="779"/>
  </r>
  <r>
    <n v="3410"/>
    <x v="2213"/>
    <x v="508"/>
    <s v="Dr"/>
    <s v="F"/>
    <n v="90"/>
    <s v="Oxford Cottages"/>
    <x v="1176"/>
    <x v="17"/>
    <d v="2020-06-01T00:00:00"/>
    <x v="2"/>
    <x v="2"/>
    <n v="74"/>
    <x v="3"/>
    <x v="3"/>
    <n v="1776"/>
    <x v="894"/>
  </r>
  <r>
    <n v="3411"/>
    <x v="452"/>
    <x v="482"/>
    <s v="Mr"/>
    <s v="M"/>
    <n v="30"/>
    <s v="Oxford Mews"/>
    <x v="1122"/>
    <x v="2"/>
    <d v="2020-10-06T00:00:00"/>
    <x v="2"/>
    <x v="1"/>
    <n v="41"/>
    <x v="3"/>
    <x v="3"/>
    <n v="984"/>
    <x v="973"/>
  </r>
  <r>
    <n v="3412"/>
    <x v="2214"/>
    <x v="481"/>
    <s v="Miss"/>
    <s v="F"/>
    <n v="90"/>
    <s v="Oxleas"/>
    <x v="1244"/>
    <x v="1"/>
    <d v="2021-01-05T00:00:00"/>
    <x v="1"/>
    <x v="6"/>
    <n v="5"/>
    <x v="3"/>
    <x v="3"/>
    <n v="120"/>
    <x v="954"/>
  </r>
  <r>
    <n v="3413"/>
    <x v="2215"/>
    <x v="1599"/>
    <s v="Miss"/>
    <s v="F"/>
    <n v="90"/>
    <s v="Oxley Close"/>
    <x v="1203"/>
    <x v="92"/>
    <d v="2020-03-09T00:00:00"/>
    <x v="2"/>
    <x v="5"/>
    <n v="51"/>
    <x v="7"/>
    <x v="7"/>
    <n v="1020"/>
    <x v="563"/>
  </r>
  <r>
    <n v="3414"/>
    <x v="72"/>
    <x v="269"/>
    <s v="Mr"/>
    <s v="M"/>
    <n v="60"/>
    <s v="Oxley Place"/>
    <x v="1001"/>
    <x v="17"/>
    <d v="2021-01-23T00:00:00"/>
    <x v="1"/>
    <x v="6"/>
    <n v="4"/>
    <x v="4"/>
    <x v="4"/>
    <n v="72"/>
    <x v="486"/>
  </r>
  <r>
    <n v="3415"/>
    <x v="2216"/>
    <x v="415"/>
    <s v="Mrs"/>
    <s v="F"/>
    <n v="90"/>
    <s v="Ozolins Way"/>
    <x v="979"/>
    <x v="2"/>
    <d v="2022-11-01T00:00:00"/>
    <x v="0"/>
    <x v="7"/>
    <n v="60"/>
    <x v="8"/>
    <x v="8"/>
    <n v="1200"/>
    <x v="384"/>
  </r>
  <r>
    <n v="3416"/>
    <x v="2217"/>
    <x v="462"/>
    <s v="Miss"/>
    <s v="F"/>
    <n v="30"/>
    <s v="Paddington Street"/>
    <x v="1154"/>
    <x v="18"/>
    <d v="2022-04-04T00:00:00"/>
    <x v="0"/>
    <x v="4"/>
    <n v="72"/>
    <x v="2"/>
    <x v="2"/>
    <n v="1224"/>
    <x v="61"/>
  </r>
  <r>
    <n v="3417"/>
    <x v="645"/>
    <x v="1628"/>
    <s v="Mr"/>
    <s v="M"/>
    <n v="90"/>
    <s v="Pagden Street"/>
    <x v="398"/>
    <x v="7"/>
    <d v="2021-01-01T00:00:00"/>
    <x v="1"/>
    <x v="6"/>
    <n v="78"/>
    <x v="8"/>
    <x v="8"/>
    <n v="1560"/>
    <x v="903"/>
  </r>
  <r>
    <n v="3418"/>
    <x v="2218"/>
    <x v="1285"/>
    <s v="Miss"/>
    <s v="F"/>
    <n v="90"/>
    <s v="Pagents Sluice"/>
    <x v="1201"/>
    <x v="2"/>
    <d v="2020-07-09T00:00:00"/>
    <x v="2"/>
    <x v="0"/>
    <n v="73"/>
    <x v="2"/>
    <x v="2"/>
    <n v="1241"/>
    <x v="557"/>
  </r>
  <r>
    <n v="3419"/>
    <x v="2219"/>
    <x v="596"/>
    <s v="Miss"/>
    <s v="F"/>
    <n v="90"/>
    <s v="Paget Street"/>
    <x v="802"/>
    <x v="2"/>
    <d v="2021-09-20T00:00:00"/>
    <x v="1"/>
    <x v="9"/>
    <n v="48"/>
    <x v="6"/>
    <x v="6"/>
    <n v="1152"/>
    <x v="487"/>
  </r>
  <r>
    <n v="3420"/>
    <x v="120"/>
    <x v="280"/>
    <s v="Mr"/>
    <s v="M"/>
    <n v="90"/>
    <s v="Pagnell Street"/>
    <x v="277"/>
    <x v="13"/>
    <d v="2020-03-10T00:00:00"/>
    <x v="2"/>
    <x v="5"/>
    <n v="73"/>
    <x v="2"/>
    <x v="2"/>
    <n v="1241"/>
    <x v="557"/>
  </r>
  <r>
    <n v="3421"/>
    <x v="2220"/>
    <x v="555"/>
    <s v="Prof"/>
    <s v="M"/>
    <n v="90"/>
    <s v="Paids Square"/>
    <x v="1242"/>
    <x v="58"/>
    <d v="2022-06-02T00:00:00"/>
    <x v="0"/>
    <x v="2"/>
    <n v="55"/>
    <x v="4"/>
    <x v="4"/>
    <n v="990"/>
    <x v="638"/>
  </r>
  <r>
    <n v="3422"/>
    <x v="2221"/>
    <x v="291"/>
    <s v="Miss"/>
    <s v="F"/>
    <n v="30"/>
    <s v="Paids Square"/>
    <x v="347"/>
    <x v="57"/>
    <d v="2021-12-03T00:00:00"/>
    <x v="1"/>
    <x v="8"/>
    <n v="2"/>
    <x v="4"/>
    <x v="4"/>
    <n v="36"/>
    <x v="541"/>
  </r>
  <r>
    <n v="3423"/>
    <x v="1840"/>
    <x v="1198"/>
    <s v="Mr"/>
    <s v="M"/>
    <n v="30"/>
    <s v="Pakenham Close"/>
    <x v="1245"/>
    <x v="35"/>
    <d v="2021-08-06T00:00:00"/>
    <x v="1"/>
    <x v="3"/>
    <n v="37"/>
    <x v="8"/>
    <x v="8"/>
    <n v="740"/>
    <x v="99"/>
  </r>
  <r>
    <n v="3424"/>
    <x v="222"/>
    <x v="213"/>
    <s v="Mr"/>
    <s v="M"/>
    <n v="60"/>
    <s v="Palace View"/>
    <x v="381"/>
    <x v="61"/>
    <d v="2020-09-21T00:00:00"/>
    <x v="2"/>
    <x v="9"/>
    <n v="81"/>
    <x v="9"/>
    <x v="9"/>
    <n v="1944"/>
    <x v="836"/>
  </r>
  <r>
    <n v="3425"/>
    <x v="1288"/>
    <x v="1148"/>
    <s v="Mr"/>
    <s v="M"/>
    <n v="90"/>
    <s v="Palestine Grove"/>
    <x v="555"/>
    <x v="28"/>
    <d v="2022-08-08T00:00:00"/>
    <x v="0"/>
    <x v="3"/>
    <n v="41"/>
    <x v="4"/>
    <x v="4"/>
    <n v="738"/>
    <x v="338"/>
  </r>
  <r>
    <n v="3426"/>
    <x v="1787"/>
    <x v="873"/>
    <s v="Miss"/>
    <s v="F"/>
    <n v="30"/>
    <s v="Palewell Common"/>
    <x v="1246"/>
    <x v="2"/>
    <d v="2022-02-17T00:00:00"/>
    <x v="0"/>
    <x v="10"/>
    <n v="95"/>
    <x v="7"/>
    <x v="7"/>
    <n v="1900"/>
    <x v="108"/>
  </r>
  <r>
    <n v="3427"/>
    <x v="2222"/>
    <x v="247"/>
    <s v="Mr"/>
    <s v="M"/>
    <n v="60"/>
    <s v="Palm Close"/>
    <x v="805"/>
    <x v="3"/>
    <d v="2020-11-19T00:00:00"/>
    <x v="2"/>
    <x v="7"/>
    <n v="24"/>
    <x v="3"/>
    <x v="3"/>
    <n v="576"/>
    <x v="215"/>
  </r>
  <r>
    <n v="3428"/>
    <x v="2223"/>
    <x v="1025"/>
    <s v="Mrs"/>
    <s v="F"/>
    <n v="60"/>
    <s v="Palm Street"/>
    <x v="766"/>
    <x v="21"/>
    <d v="2022-04-07T00:00:00"/>
    <x v="0"/>
    <x v="4"/>
    <n v="48"/>
    <x v="0"/>
    <x v="0"/>
    <n v="960"/>
    <x v="411"/>
  </r>
  <r>
    <n v="3429"/>
    <x v="2036"/>
    <x v="1618"/>
    <s v="Mr"/>
    <s v="M"/>
    <n v="60"/>
    <s v="Palmer Place"/>
    <x v="433"/>
    <x v="2"/>
    <d v="2020-02-04T00:00:00"/>
    <x v="2"/>
    <x v="10"/>
    <n v="19"/>
    <x v="1"/>
    <x v="1"/>
    <n v="456"/>
    <x v="845"/>
  </r>
  <r>
    <n v="3430"/>
    <x v="1931"/>
    <x v="1197"/>
    <s v="Miss"/>
    <s v="F"/>
    <n v="60"/>
    <s v="Palmer Place"/>
    <x v="786"/>
    <x v="2"/>
    <d v="2020-07-19T00:00:00"/>
    <x v="2"/>
    <x v="0"/>
    <n v="36"/>
    <x v="8"/>
    <x v="8"/>
    <n v="720"/>
    <x v="719"/>
  </r>
  <r>
    <n v="3431"/>
    <x v="2072"/>
    <x v="1174"/>
    <s v="Mr"/>
    <s v="M"/>
    <n v="30"/>
    <s v="Palmers Rents"/>
    <x v="771"/>
    <x v="31"/>
    <d v="2020-07-24T00:00:00"/>
    <x v="2"/>
    <x v="0"/>
    <n v="44"/>
    <x v="3"/>
    <x v="3"/>
    <n v="1056"/>
    <x v="253"/>
  </r>
  <r>
    <n v="3432"/>
    <x v="2224"/>
    <x v="435"/>
    <s v="Mr"/>
    <s v="M"/>
    <n v="60"/>
    <s v="Palmerston Way"/>
    <x v="1247"/>
    <x v="1"/>
    <d v="2022-10-21T00:00:00"/>
    <x v="0"/>
    <x v="1"/>
    <n v="17"/>
    <x v="2"/>
    <x v="2"/>
    <n v="289"/>
    <x v="491"/>
  </r>
  <r>
    <n v="3433"/>
    <x v="852"/>
    <x v="120"/>
    <s v="Mr"/>
    <s v="M"/>
    <n v="60"/>
    <s v="Pancras St"/>
    <x v="426"/>
    <x v="1"/>
    <d v="2022-07-27T00:00:00"/>
    <x v="0"/>
    <x v="0"/>
    <n v="87"/>
    <x v="7"/>
    <x v="7"/>
    <n v="1740"/>
    <x v="114"/>
  </r>
  <r>
    <n v="3434"/>
    <x v="191"/>
    <x v="707"/>
    <s v="Miss"/>
    <s v="F"/>
    <n v="30"/>
    <s v="Panfield Road"/>
    <x v="1234"/>
    <x v="2"/>
    <d v="2021-01-27T00:00:00"/>
    <x v="1"/>
    <x v="6"/>
    <n v="78"/>
    <x v="7"/>
    <x v="7"/>
    <n v="1560"/>
    <x v="664"/>
  </r>
  <r>
    <n v="3435"/>
    <x v="2225"/>
    <x v="1629"/>
    <s v="Mrs"/>
    <s v="F"/>
    <n v="30"/>
    <s v="Panmure Close"/>
    <x v="233"/>
    <x v="2"/>
    <d v="2021-12-11T00:00:00"/>
    <x v="1"/>
    <x v="8"/>
    <n v="32"/>
    <x v="0"/>
    <x v="0"/>
    <n v="640"/>
    <x v="315"/>
  </r>
  <r>
    <n v="3436"/>
    <x v="2226"/>
    <x v="674"/>
    <s v="Mr"/>
    <s v="M"/>
    <n v="30"/>
    <s v="Pansy Place"/>
    <x v="1230"/>
    <x v="2"/>
    <d v="2021-04-13T00:00:00"/>
    <x v="1"/>
    <x v="4"/>
    <n v="84"/>
    <x v="4"/>
    <x v="4"/>
    <n v="1512"/>
    <x v="124"/>
  </r>
  <r>
    <n v="3437"/>
    <x v="1286"/>
    <x v="1057"/>
    <s v="Miss"/>
    <s v="F"/>
    <n v="90"/>
    <s v="Pappys Place"/>
    <x v="33"/>
    <x v="7"/>
    <d v="2021-01-19T00:00:00"/>
    <x v="1"/>
    <x v="6"/>
    <n v="64"/>
    <x v="8"/>
    <x v="8"/>
    <n v="1280"/>
    <x v="149"/>
  </r>
  <r>
    <n v="3438"/>
    <x v="2227"/>
    <x v="431"/>
    <s v="Mrs"/>
    <s v="F"/>
    <n v="90"/>
    <s v="Pappys Place"/>
    <x v="940"/>
    <x v="2"/>
    <d v="2021-05-23T00:00:00"/>
    <x v="1"/>
    <x v="11"/>
    <n v="28"/>
    <x v="8"/>
    <x v="8"/>
    <n v="560"/>
    <x v="825"/>
  </r>
  <r>
    <n v="3439"/>
    <x v="870"/>
    <x v="1373"/>
    <s v="Mr"/>
    <s v="M"/>
    <n v="90"/>
    <s v="Papworth Gardens"/>
    <x v="163"/>
    <x v="2"/>
    <d v="2021-04-15T00:00:00"/>
    <x v="1"/>
    <x v="4"/>
    <n v="90"/>
    <x v="0"/>
    <x v="0"/>
    <n v="1800"/>
    <x v="888"/>
  </r>
  <r>
    <n v="3440"/>
    <x v="2228"/>
    <x v="583"/>
    <s v="Ms"/>
    <s v="F"/>
    <n v="90"/>
    <s v="Parade"/>
    <x v="1183"/>
    <x v="42"/>
    <d v="2022-05-23T00:00:00"/>
    <x v="0"/>
    <x v="11"/>
    <n v="77"/>
    <x v="2"/>
    <x v="2"/>
    <n v="1309"/>
    <x v="79"/>
  </r>
  <r>
    <n v="3441"/>
    <x v="760"/>
    <x v="1355"/>
    <s v="Miss"/>
    <s v="F"/>
    <n v="60"/>
    <s v="Parade Terrace"/>
    <x v="656"/>
    <x v="2"/>
    <d v="2020-01-10T00:00:00"/>
    <x v="2"/>
    <x v="6"/>
    <n v="19"/>
    <x v="5"/>
    <x v="5"/>
    <n v="456"/>
    <x v="268"/>
  </r>
  <r>
    <n v="3442"/>
    <x v="2229"/>
    <x v="1447"/>
    <s v="Mrs"/>
    <s v="F"/>
    <n v="30"/>
    <s v="Paradise Court"/>
    <x v="1201"/>
    <x v="2"/>
    <d v="2020-06-03T00:00:00"/>
    <x v="2"/>
    <x v="2"/>
    <n v="6"/>
    <x v="9"/>
    <x v="9"/>
    <n v="144"/>
    <x v="553"/>
  </r>
  <r>
    <n v="3443"/>
    <x v="2230"/>
    <x v="1291"/>
    <s v="Mrs"/>
    <s v="F"/>
    <n v="90"/>
    <s v="Paradise Place"/>
    <x v="1205"/>
    <x v="2"/>
    <d v="2021-08-12T00:00:00"/>
    <x v="1"/>
    <x v="3"/>
    <n v="26"/>
    <x v="5"/>
    <x v="5"/>
    <n v="624"/>
    <x v="559"/>
  </r>
  <r>
    <n v="3444"/>
    <x v="2231"/>
    <x v="75"/>
    <s v="Mr"/>
    <s v="M"/>
    <n v="60"/>
    <s v="Paradise Terrace"/>
    <x v="342"/>
    <x v="2"/>
    <d v="2022-06-27T00:00:00"/>
    <x v="0"/>
    <x v="2"/>
    <n v="36"/>
    <x v="8"/>
    <x v="8"/>
    <n v="720"/>
    <x v="719"/>
  </r>
  <r>
    <n v="3445"/>
    <x v="1427"/>
    <x v="1153"/>
    <s v="Mrs"/>
    <s v="F"/>
    <n v="90"/>
    <s v="Paradise Walk"/>
    <x v="622"/>
    <x v="2"/>
    <d v="2021-04-29T00:00:00"/>
    <x v="1"/>
    <x v="4"/>
    <n v="79"/>
    <x v="3"/>
    <x v="3"/>
    <n v="1896"/>
    <x v="706"/>
  </r>
  <r>
    <n v="3446"/>
    <x v="2232"/>
    <x v="1064"/>
    <s v="Mr"/>
    <s v="M"/>
    <n v="30"/>
    <s v="Paragon Place"/>
    <x v="633"/>
    <x v="2"/>
    <d v="2022-08-30T00:00:00"/>
    <x v="0"/>
    <x v="3"/>
    <n v="94"/>
    <x v="7"/>
    <x v="7"/>
    <n v="1880"/>
    <x v="911"/>
  </r>
  <r>
    <n v="3447"/>
    <x v="2233"/>
    <x v="1630"/>
    <s v="Mrs"/>
    <s v="F"/>
    <n v="30"/>
    <s v="Parbury Road"/>
    <x v="561"/>
    <x v="1"/>
    <d v="2020-04-19T00:00:00"/>
    <x v="2"/>
    <x v="4"/>
    <n v="11"/>
    <x v="4"/>
    <x v="4"/>
    <n v="198"/>
    <x v="226"/>
  </r>
  <r>
    <n v="3448"/>
    <x v="2234"/>
    <x v="1200"/>
    <s v="Mrs"/>
    <s v="F"/>
    <n v="60"/>
    <s v="Pardana Place"/>
    <x v="240"/>
    <x v="41"/>
    <d v="2020-05-20T00:00:00"/>
    <x v="2"/>
    <x v="11"/>
    <n v="64"/>
    <x v="0"/>
    <x v="0"/>
    <n v="1280"/>
    <x v="498"/>
  </r>
  <r>
    <n v="3449"/>
    <x v="265"/>
    <x v="1368"/>
    <s v="Mr"/>
    <s v="M"/>
    <n v="30"/>
    <s v="Parfitt Close"/>
    <x v="769"/>
    <x v="55"/>
    <d v="2021-10-28T00:00:00"/>
    <x v="1"/>
    <x v="1"/>
    <n v="56"/>
    <x v="8"/>
    <x v="8"/>
    <n v="1120"/>
    <x v="40"/>
  </r>
  <r>
    <n v="3450"/>
    <x v="2235"/>
    <x v="662"/>
    <s v="Mrs"/>
    <s v="F"/>
    <n v="90"/>
    <s v="Parfitt Road"/>
    <x v="284"/>
    <x v="4"/>
    <d v="2021-08-07T00:00:00"/>
    <x v="1"/>
    <x v="3"/>
    <n v="53"/>
    <x v="9"/>
    <x v="9"/>
    <n v="1272"/>
    <x v="770"/>
  </r>
  <r>
    <n v="3451"/>
    <x v="1530"/>
    <x v="1060"/>
    <s v="Mr"/>
    <s v="M"/>
    <n v="90"/>
    <s v="Parish Stone"/>
    <x v="525"/>
    <x v="17"/>
    <d v="2021-05-31T00:00:00"/>
    <x v="1"/>
    <x v="11"/>
    <n v="62"/>
    <x v="8"/>
    <x v="8"/>
    <n v="1240"/>
    <x v="393"/>
  </r>
  <r>
    <n v="3452"/>
    <x v="1010"/>
    <x v="606"/>
    <s v="Mr"/>
    <s v="M"/>
    <n v="30"/>
    <s v="Parish Yard"/>
    <x v="1010"/>
    <x v="2"/>
    <d v="2020-04-18T00:00:00"/>
    <x v="2"/>
    <x v="4"/>
    <n v="39"/>
    <x v="1"/>
    <x v="1"/>
    <n v="936"/>
    <x v="574"/>
  </r>
  <r>
    <n v="3453"/>
    <x v="105"/>
    <x v="687"/>
    <s v="Mr"/>
    <s v="M"/>
    <n v="90"/>
    <s v="Park"/>
    <x v="1047"/>
    <x v="8"/>
    <d v="2021-02-19T00:00:00"/>
    <x v="1"/>
    <x v="10"/>
    <n v="73"/>
    <x v="5"/>
    <x v="5"/>
    <n v="1752"/>
    <x v="277"/>
  </r>
  <r>
    <n v="3454"/>
    <x v="2128"/>
    <x v="1631"/>
    <s v="Miss"/>
    <s v="F"/>
    <n v="60"/>
    <s v="Park Close"/>
    <x v="863"/>
    <x v="3"/>
    <d v="2020-11-23T00:00:00"/>
    <x v="2"/>
    <x v="7"/>
    <n v="5"/>
    <x v="4"/>
    <x v="4"/>
    <n v="90"/>
    <x v="10"/>
  </r>
  <r>
    <n v="3455"/>
    <x v="2236"/>
    <x v="876"/>
    <s v="Mr"/>
    <s v="M"/>
    <n v="30"/>
    <s v="Park Dairy"/>
    <x v="766"/>
    <x v="21"/>
    <d v="2022-07-25T00:00:00"/>
    <x v="0"/>
    <x v="0"/>
    <n v="52"/>
    <x v="0"/>
    <x v="0"/>
    <n v="1040"/>
    <x v="897"/>
  </r>
  <r>
    <n v="3456"/>
    <x v="2237"/>
    <x v="534"/>
    <s v="Miss"/>
    <s v="F"/>
    <n v="90"/>
    <s v="Park Dwellings"/>
    <x v="356"/>
    <x v="20"/>
    <d v="2022-06-05T00:00:00"/>
    <x v="0"/>
    <x v="2"/>
    <n v="67"/>
    <x v="3"/>
    <x v="3"/>
    <n v="1608"/>
    <x v="457"/>
  </r>
  <r>
    <n v="3457"/>
    <x v="2238"/>
    <x v="488"/>
    <s v="Mrs"/>
    <s v="F"/>
    <n v="30"/>
    <s v="Park Or"/>
    <x v="1130"/>
    <x v="2"/>
    <d v="2020-03-07T00:00:00"/>
    <x v="2"/>
    <x v="5"/>
    <n v="43"/>
    <x v="7"/>
    <x v="7"/>
    <n v="860"/>
    <x v="410"/>
  </r>
  <r>
    <n v="3458"/>
    <x v="2239"/>
    <x v="1586"/>
    <s v="Mr"/>
    <s v="M"/>
    <n v="60"/>
    <s v="Park Place"/>
    <x v="198"/>
    <x v="3"/>
    <d v="2021-07-25T00:00:00"/>
    <x v="1"/>
    <x v="0"/>
    <n v="65"/>
    <x v="4"/>
    <x v="4"/>
    <n v="1170"/>
    <x v="389"/>
  </r>
  <r>
    <n v="3459"/>
    <x v="2240"/>
    <x v="1005"/>
    <s v="Mrs"/>
    <s v="F"/>
    <n v="60"/>
    <s v="Park Road"/>
    <x v="694"/>
    <x v="11"/>
    <d v="2022-11-17T00:00:00"/>
    <x v="0"/>
    <x v="7"/>
    <n v="75"/>
    <x v="9"/>
    <x v="9"/>
    <n v="1800"/>
    <x v="146"/>
  </r>
  <r>
    <n v="3460"/>
    <x v="1844"/>
    <x v="1452"/>
    <s v="Miss"/>
    <s v="F"/>
    <n v="30"/>
    <s v="Park Vista"/>
    <x v="438"/>
    <x v="2"/>
    <d v="2020-05-08T00:00:00"/>
    <x v="2"/>
    <x v="11"/>
    <n v="28"/>
    <x v="8"/>
    <x v="8"/>
    <n v="560"/>
    <x v="825"/>
  </r>
  <r>
    <n v="3461"/>
    <x v="1096"/>
    <x v="526"/>
    <s v="Mr"/>
    <s v="M"/>
    <n v="60"/>
    <s v="Park West"/>
    <x v="1248"/>
    <x v="0"/>
    <d v="2022-11-03T00:00:00"/>
    <x v="0"/>
    <x v="7"/>
    <n v="69"/>
    <x v="2"/>
    <x v="2"/>
    <n v="1173"/>
    <x v="875"/>
  </r>
  <r>
    <n v="3462"/>
    <x v="2241"/>
    <x v="525"/>
    <s v="Miss"/>
    <s v="F"/>
    <n v="30"/>
    <s v="Park West"/>
    <x v="71"/>
    <x v="1"/>
    <d v="2022-10-08T00:00:00"/>
    <x v="0"/>
    <x v="1"/>
    <n v="41"/>
    <x v="8"/>
    <x v="8"/>
    <n v="820"/>
    <x v="232"/>
  </r>
  <r>
    <n v="3463"/>
    <x v="2242"/>
    <x v="328"/>
    <s v="Miss"/>
    <s v="F"/>
    <n v="90"/>
    <s v="Parkfield Terrace"/>
    <x v="640"/>
    <x v="77"/>
    <d v="2022-12-12T00:00:00"/>
    <x v="0"/>
    <x v="8"/>
    <n v="46"/>
    <x v="7"/>
    <x v="7"/>
    <n v="920"/>
    <x v="681"/>
  </r>
  <r>
    <n v="3464"/>
    <x v="2243"/>
    <x v="147"/>
    <s v="Mr"/>
    <s v="M"/>
    <n v="90"/>
    <s v="Parkville Road"/>
    <x v="177"/>
    <x v="2"/>
    <d v="2021-04-03T00:00:00"/>
    <x v="1"/>
    <x v="4"/>
    <n v="12"/>
    <x v="1"/>
    <x v="1"/>
    <n v="288"/>
    <x v="322"/>
  </r>
  <r>
    <n v="3465"/>
    <x v="2021"/>
    <x v="1007"/>
    <s v="Mr"/>
    <s v="M"/>
    <n v="30"/>
    <s v="Parmiter Industrial"/>
    <x v="1055"/>
    <x v="8"/>
    <d v="2020-10-31T00:00:00"/>
    <x v="2"/>
    <x v="1"/>
    <n v="49"/>
    <x v="6"/>
    <x v="6"/>
    <n v="1176"/>
    <x v="56"/>
  </r>
  <r>
    <n v="3466"/>
    <x v="2244"/>
    <x v="1304"/>
    <s v="Miss"/>
    <s v="F"/>
    <n v="60"/>
    <s v="Parmiter Street"/>
    <x v="595"/>
    <x v="11"/>
    <d v="2021-08-23T00:00:00"/>
    <x v="1"/>
    <x v="3"/>
    <n v="40"/>
    <x v="7"/>
    <x v="7"/>
    <n v="800"/>
    <x v="974"/>
  </r>
  <r>
    <n v="3467"/>
    <x v="1688"/>
    <x v="1266"/>
    <s v="Mr"/>
    <s v="M"/>
    <n v="60"/>
    <s v="Parrs Place"/>
    <x v="734"/>
    <x v="2"/>
    <d v="2020-11-05T00:00:00"/>
    <x v="2"/>
    <x v="7"/>
    <n v="74"/>
    <x v="5"/>
    <x v="5"/>
    <n v="1776"/>
    <x v="122"/>
  </r>
  <r>
    <n v="3468"/>
    <x v="2245"/>
    <x v="1206"/>
    <s v="Miss"/>
    <s v="F"/>
    <n v="90"/>
    <s v="Parsonage"/>
    <x v="387"/>
    <x v="11"/>
    <d v="2020-11-13T00:00:00"/>
    <x v="2"/>
    <x v="7"/>
    <n v="71"/>
    <x v="4"/>
    <x v="4"/>
    <n v="1278"/>
    <x v="265"/>
  </r>
  <r>
    <n v="3469"/>
    <x v="2246"/>
    <x v="1309"/>
    <s v="Mr"/>
    <s v="M"/>
    <n v="30"/>
    <s v="Parsons Court"/>
    <x v="1026"/>
    <x v="2"/>
    <d v="2020-03-23T00:00:00"/>
    <x v="2"/>
    <x v="5"/>
    <n v="58"/>
    <x v="3"/>
    <x v="3"/>
    <n v="1392"/>
    <x v="102"/>
  </r>
  <r>
    <n v="3470"/>
    <x v="2247"/>
    <x v="247"/>
    <s v="Mrs"/>
    <s v="F"/>
    <n v="60"/>
    <s v="Parterstia Place"/>
    <x v="718"/>
    <x v="76"/>
    <d v="2022-03-30T00:00:00"/>
    <x v="0"/>
    <x v="5"/>
    <n v="10"/>
    <x v="7"/>
    <x v="7"/>
    <n v="200"/>
    <x v="809"/>
  </r>
  <r>
    <n v="3471"/>
    <x v="2248"/>
    <x v="163"/>
    <s v="Ms"/>
    <s v="F"/>
    <n v="60"/>
    <s v="Partingdale Lane"/>
    <x v="571"/>
    <x v="2"/>
    <d v="2021-01-16T00:00:00"/>
    <x v="1"/>
    <x v="6"/>
    <n v="37"/>
    <x v="0"/>
    <x v="0"/>
    <n v="740"/>
    <x v="885"/>
  </r>
  <r>
    <n v="3472"/>
    <x v="2249"/>
    <x v="169"/>
    <s v="Mrs"/>
    <s v="F"/>
    <n v="60"/>
    <s v="Partridge Close"/>
    <x v="823"/>
    <x v="16"/>
    <d v="2022-06-05T00:00:00"/>
    <x v="0"/>
    <x v="2"/>
    <n v="60"/>
    <x v="9"/>
    <x v="9"/>
    <n v="1440"/>
    <x v="101"/>
  </r>
  <r>
    <n v="3473"/>
    <x v="877"/>
    <x v="806"/>
    <s v="Mr"/>
    <s v="M"/>
    <n v="30"/>
    <s v="Partridge Close"/>
    <x v="1249"/>
    <x v="13"/>
    <d v="2020-02-24T00:00:00"/>
    <x v="2"/>
    <x v="10"/>
    <n v="20"/>
    <x v="3"/>
    <x v="3"/>
    <n v="480"/>
    <x v="847"/>
  </r>
  <r>
    <n v="3474"/>
    <x v="2250"/>
    <x v="1029"/>
    <s v="Mr"/>
    <s v="M"/>
    <n v="30"/>
    <s v="Pascal Street"/>
    <x v="841"/>
    <x v="8"/>
    <d v="2021-10-26T00:00:00"/>
    <x v="1"/>
    <x v="1"/>
    <n v="75"/>
    <x v="7"/>
    <x v="7"/>
    <n v="1500"/>
    <x v="899"/>
  </r>
  <r>
    <n v="3475"/>
    <x v="1869"/>
    <x v="109"/>
    <s v="Mr"/>
    <s v="M"/>
    <n v="60"/>
    <s v="Pasley Road"/>
    <x v="135"/>
    <x v="2"/>
    <d v="2020-11-22T00:00:00"/>
    <x v="2"/>
    <x v="7"/>
    <n v="11"/>
    <x v="2"/>
    <x v="2"/>
    <n v="187"/>
    <x v="412"/>
  </r>
  <r>
    <n v="3476"/>
    <x v="2251"/>
    <x v="1065"/>
    <s v="Mrs"/>
    <s v="F"/>
    <n v="30"/>
    <s v="Pasquier Road"/>
    <x v="1154"/>
    <x v="18"/>
    <d v="2020-11-11T00:00:00"/>
    <x v="2"/>
    <x v="7"/>
    <n v="52"/>
    <x v="5"/>
    <x v="5"/>
    <n v="1248"/>
    <x v="839"/>
  </r>
  <r>
    <n v="3477"/>
    <x v="2252"/>
    <x v="137"/>
    <s v="Ms"/>
    <s v="F"/>
    <n v="90"/>
    <s v="Passfield Cottages"/>
    <x v="912"/>
    <x v="2"/>
    <d v="2020-04-21T00:00:00"/>
    <x v="2"/>
    <x v="4"/>
    <n v="6"/>
    <x v="2"/>
    <x v="2"/>
    <n v="102"/>
    <x v="853"/>
  </r>
  <r>
    <n v="3478"/>
    <x v="2063"/>
    <x v="25"/>
    <s v="Mrs"/>
    <s v="F"/>
    <n v="60"/>
    <s v="Passfields Rents"/>
    <x v="1075"/>
    <x v="16"/>
    <d v="2020-08-06T00:00:00"/>
    <x v="2"/>
    <x v="3"/>
    <n v="85"/>
    <x v="6"/>
    <x v="6"/>
    <n v="2040"/>
    <x v="711"/>
  </r>
  <r>
    <n v="3479"/>
    <x v="446"/>
    <x v="1092"/>
    <s v="Mr"/>
    <s v="M"/>
    <n v="30"/>
    <s v="Paterson Street"/>
    <x v="614"/>
    <x v="0"/>
    <d v="2022-05-31T00:00:00"/>
    <x v="0"/>
    <x v="11"/>
    <n v="63"/>
    <x v="7"/>
    <x v="7"/>
    <n v="1260"/>
    <x v="842"/>
  </r>
  <r>
    <n v="3480"/>
    <x v="2253"/>
    <x v="1413"/>
    <s v="Miss"/>
    <s v="F"/>
    <n v="60"/>
    <s v="Paterson Street"/>
    <x v="1066"/>
    <x v="2"/>
    <d v="2020-06-08T00:00:00"/>
    <x v="2"/>
    <x v="2"/>
    <n v="59"/>
    <x v="9"/>
    <x v="9"/>
    <n v="1416"/>
    <x v="62"/>
  </r>
  <r>
    <n v="3481"/>
    <x v="2254"/>
    <x v="1632"/>
    <s v="Mrs"/>
    <s v="F"/>
    <n v="60"/>
    <s v="Patio Close"/>
    <x v="125"/>
    <x v="17"/>
    <d v="2020-06-13T00:00:00"/>
    <x v="2"/>
    <x v="2"/>
    <n v="20"/>
    <x v="1"/>
    <x v="1"/>
    <n v="480"/>
    <x v="329"/>
  </r>
  <r>
    <n v="3482"/>
    <x v="2255"/>
    <x v="44"/>
    <s v="Miss"/>
    <s v="F"/>
    <n v="30"/>
    <s v="Patriot Square"/>
    <x v="102"/>
    <x v="25"/>
    <d v="2022-12-29T00:00:00"/>
    <x v="0"/>
    <x v="8"/>
    <n v="90"/>
    <x v="8"/>
    <x v="8"/>
    <n v="1800"/>
    <x v="913"/>
  </r>
  <r>
    <n v="3483"/>
    <x v="2256"/>
    <x v="400"/>
    <s v="Miss"/>
    <s v="F"/>
    <n v="30"/>
    <s v="Patriot Street"/>
    <x v="478"/>
    <x v="21"/>
    <d v="2022-08-30T00:00:00"/>
    <x v="0"/>
    <x v="3"/>
    <n v="96"/>
    <x v="2"/>
    <x v="2"/>
    <n v="1632"/>
    <x v="160"/>
  </r>
  <r>
    <n v="3484"/>
    <x v="2257"/>
    <x v="713"/>
    <s v="Dr"/>
    <s v="F"/>
    <n v="90"/>
    <s v="Paulin Place"/>
    <x v="835"/>
    <x v="2"/>
    <d v="2020-03-16T00:00:00"/>
    <x v="2"/>
    <x v="5"/>
    <n v="42"/>
    <x v="9"/>
    <x v="9"/>
    <n v="1008"/>
    <x v="433"/>
  </r>
  <r>
    <n v="3485"/>
    <x v="2258"/>
    <x v="324"/>
    <s v="Mr"/>
    <s v="M"/>
    <n v="30"/>
    <s v="Paul'S Bakehouse"/>
    <x v="485"/>
    <x v="15"/>
    <d v="2021-12-30T00:00:00"/>
    <x v="1"/>
    <x v="8"/>
    <n v="58"/>
    <x v="8"/>
    <x v="8"/>
    <n v="1160"/>
    <x v="286"/>
  </r>
  <r>
    <n v="3486"/>
    <x v="2259"/>
    <x v="1633"/>
    <s v="Mrs"/>
    <s v="F"/>
    <n v="30"/>
    <s v="Paul'S Chain"/>
    <x v="434"/>
    <x v="10"/>
    <d v="2020-09-04T00:00:00"/>
    <x v="2"/>
    <x v="9"/>
    <n v="19"/>
    <x v="3"/>
    <x v="3"/>
    <n v="456"/>
    <x v="69"/>
  </r>
  <r>
    <n v="3487"/>
    <x v="2260"/>
    <x v="1634"/>
    <s v="Mrs"/>
    <s v="F"/>
    <n v="60"/>
    <s v="Pauls Square"/>
    <x v="781"/>
    <x v="2"/>
    <d v="2022-04-09T00:00:00"/>
    <x v="0"/>
    <x v="4"/>
    <n v="61"/>
    <x v="7"/>
    <x v="7"/>
    <n v="1220"/>
    <x v="307"/>
  </r>
  <r>
    <n v="3488"/>
    <x v="1453"/>
    <x v="211"/>
    <s v="Mr"/>
    <s v="M"/>
    <n v="30"/>
    <s v="Pauls Yard"/>
    <x v="308"/>
    <x v="2"/>
    <d v="2021-05-01T00:00:00"/>
    <x v="1"/>
    <x v="11"/>
    <n v="11"/>
    <x v="8"/>
    <x v="8"/>
    <n v="220"/>
    <x v="768"/>
  </r>
  <r>
    <n v="3489"/>
    <x v="836"/>
    <x v="1334"/>
    <s v="Mr"/>
    <s v="M"/>
    <n v="30"/>
    <s v="Pavilion Street"/>
    <x v="1005"/>
    <x v="2"/>
    <d v="2020-06-02T00:00:00"/>
    <x v="2"/>
    <x v="2"/>
    <n v="16"/>
    <x v="8"/>
    <x v="8"/>
    <n v="320"/>
    <x v="730"/>
  </r>
  <r>
    <n v="3490"/>
    <x v="327"/>
    <x v="705"/>
    <s v="Mr"/>
    <s v="M"/>
    <n v="30"/>
    <s v="Pavilion Street"/>
    <x v="1040"/>
    <x v="2"/>
    <d v="2020-03-23T00:00:00"/>
    <x v="2"/>
    <x v="5"/>
    <n v="56"/>
    <x v="1"/>
    <x v="1"/>
    <n v="1344"/>
    <x v="819"/>
  </r>
  <r>
    <n v="3491"/>
    <x v="2261"/>
    <x v="1567"/>
    <s v="Mrs"/>
    <s v="F"/>
    <n v="30"/>
    <s v="Paxtons Alley"/>
    <x v="1074"/>
    <x v="17"/>
    <d v="2021-02-17T00:00:00"/>
    <x v="1"/>
    <x v="10"/>
    <n v="70"/>
    <x v="6"/>
    <x v="6"/>
    <n v="1680"/>
    <x v="581"/>
  </r>
  <r>
    <n v="3492"/>
    <x v="2031"/>
    <x v="1406"/>
    <s v="Ms"/>
    <s v="F"/>
    <n v="90"/>
    <s v="Paynes Farm"/>
    <x v="816"/>
    <x v="2"/>
    <d v="2021-03-10T00:00:00"/>
    <x v="1"/>
    <x v="5"/>
    <n v="39"/>
    <x v="7"/>
    <x v="7"/>
    <n v="780"/>
    <x v="145"/>
  </r>
  <r>
    <n v="3493"/>
    <x v="2262"/>
    <x v="1118"/>
    <s v="Miss"/>
    <s v="F"/>
    <n v="30"/>
    <s v="Paynes Walk"/>
    <x v="557"/>
    <x v="2"/>
    <d v="2022-01-01T00:00:00"/>
    <x v="0"/>
    <x v="6"/>
    <n v="26"/>
    <x v="4"/>
    <x v="4"/>
    <n v="468"/>
    <x v="607"/>
  </r>
  <r>
    <n v="3494"/>
    <x v="43"/>
    <x v="820"/>
    <s v="Mr"/>
    <s v="M"/>
    <n v="30"/>
    <s v="Paynton Terrace"/>
    <x v="15"/>
    <x v="10"/>
    <d v="2021-01-29T00:00:00"/>
    <x v="1"/>
    <x v="6"/>
    <n v="13"/>
    <x v="0"/>
    <x v="0"/>
    <n v="260"/>
    <x v="1"/>
  </r>
  <r>
    <n v="3495"/>
    <x v="2263"/>
    <x v="728"/>
    <s v="Mrs"/>
    <s v="F"/>
    <n v="30"/>
    <s v="Paynton Terrace"/>
    <x v="1094"/>
    <x v="17"/>
    <d v="2020-11-06T00:00:00"/>
    <x v="2"/>
    <x v="7"/>
    <n v="83"/>
    <x v="8"/>
    <x v="8"/>
    <n v="1660"/>
    <x v="14"/>
  </r>
  <r>
    <n v="3496"/>
    <x v="297"/>
    <x v="460"/>
    <s v="Prof"/>
    <s v="M"/>
    <n v="60"/>
    <s v="Peaches Wharf"/>
    <x v="336"/>
    <x v="2"/>
    <d v="2020-04-15T00:00:00"/>
    <x v="2"/>
    <x v="4"/>
    <n v="2"/>
    <x v="3"/>
    <x v="3"/>
    <n v="48"/>
    <x v="852"/>
  </r>
  <r>
    <n v="3497"/>
    <x v="1658"/>
    <x v="1635"/>
    <s v="Mr"/>
    <s v="M"/>
    <n v="30"/>
    <s v="Peacock Place"/>
    <x v="1221"/>
    <x v="11"/>
    <d v="2021-12-15T00:00:00"/>
    <x v="1"/>
    <x v="8"/>
    <n v="43"/>
    <x v="7"/>
    <x v="7"/>
    <n v="860"/>
    <x v="410"/>
  </r>
  <r>
    <n v="3498"/>
    <x v="2264"/>
    <x v="193"/>
    <s v="Miss"/>
    <s v="F"/>
    <n v="60"/>
    <s v="Peacock Walk"/>
    <x v="890"/>
    <x v="2"/>
    <d v="2022-10-14T00:00:00"/>
    <x v="0"/>
    <x v="1"/>
    <n v="22"/>
    <x v="7"/>
    <x v="7"/>
    <n v="440"/>
    <x v="588"/>
  </r>
  <r>
    <n v="3499"/>
    <x v="2061"/>
    <x v="1636"/>
    <s v="Mr"/>
    <s v="M"/>
    <n v="90"/>
    <s v="Peacock Yard"/>
    <x v="584"/>
    <x v="8"/>
    <d v="2022-06-13T00:00:00"/>
    <x v="0"/>
    <x v="2"/>
    <n v="16"/>
    <x v="8"/>
    <x v="8"/>
    <n v="320"/>
    <x v="730"/>
  </r>
  <r>
    <n v="3500"/>
    <x v="2265"/>
    <x v="1182"/>
    <s v="Mr"/>
    <s v="M"/>
    <n v="60"/>
    <s v="Pearcefield Av"/>
    <x v="1152"/>
    <x v="3"/>
    <d v="2021-12-14T00:00:00"/>
    <x v="1"/>
    <x v="8"/>
    <n v="56"/>
    <x v="2"/>
    <x v="2"/>
    <n v="952"/>
    <x v="169"/>
  </r>
  <r>
    <n v="3501"/>
    <x v="1176"/>
    <x v="1637"/>
    <s v="Miss"/>
    <s v="F"/>
    <n v="60"/>
    <s v="Pearcroft Road"/>
    <x v="449"/>
    <x v="17"/>
    <d v="2022-03-27T00:00:00"/>
    <x v="0"/>
    <x v="5"/>
    <n v="31"/>
    <x v="6"/>
    <x v="6"/>
    <n v="744"/>
    <x v="450"/>
  </r>
  <r>
    <n v="3502"/>
    <x v="1687"/>
    <x v="1221"/>
    <s v="Mrs"/>
    <s v="F"/>
    <n v="90"/>
    <s v="Pearden Street"/>
    <x v="289"/>
    <x v="2"/>
    <d v="2022-04-27T00:00:00"/>
    <x v="0"/>
    <x v="4"/>
    <n v="95"/>
    <x v="9"/>
    <x v="9"/>
    <n v="2280"/>
    <x v="701"/>
  </r>
  <r>
    <n v="3503"/>
    <x v="2266"/>
    <x v="1106"/>
    <s v="Mrs"/>
    <s v="F"/>
    <n v="90"/>
    <s v="Pearl Close"/>
    <x v="402"/>
    <x v="2"/>
    <d v="2020-01-23T00:00:00"/>
    <x v="2"/>
    <x v="6"/>
    <n v="42"/>
    <x v="9"/>
    <x v="9"/>
    <n v="1008"/>
    <x v="433"/>
  </r>
  <r>
    <n v="3504"/>
    <x v="2267"/>
    <x v="1532"/>
    <s v="Mrs"/>
    <s v="F"/>
    <n v="90"/>
    <s v="Pearsons Terrace"/>
    <x v="1124"/>
    <x v="1"/>
    <d v="2021-06-09T00:00:00"/>
    <x v="1"/>
    <x v="2"/>
    <n v="47"/>
    <x v="0"/>
    <x v="0"/>
    <n v="940"/>
    <x v="421"/>
  </r>
  <r>
    <n v="3505"/>
    <x v="2268"/>
    <x v="1028"/>
    <s v="Miss"/>
    <s v="F"/>
    <n v="90"/>
    <s v="Peckett Square"/>
    <x v="21"/>
    <x v="2"/>
    <d v="2022-12-14T00:00:00"/>
    <x v="0"/>
    <x v="8"/>
    <n v="95"/>
    <x v="8"/>
    <x v="8"/>
    <n v="1900"/>
    <x v="963"/>
  </r>
  <r>
    <n v="3506"/>
    <x v="1195"/>
    <x v="1524"/>
    <s v="Mr"/>
    <s v="M"/>
    <n v="60"/>
    <s v="Peckford Place"/>
    <x v="55"/>
    <x v="19"/>
    <d v="2021-06-23T00:00:00"/>
    <x v="1"/>
    <x v="2"/>
    <n v="59"/>
    <x v="3"/>
    <x v="3"/>
    <n v="1416"/>
    <x v="383"/>
  </r>
  <r>
    <n v="3507"/>
    <x v="2269"/>
    <x v="177"/>
    <s v="Miss"/>
    <s v="F"/>
    <n v="90"/>
    <s v="Peckham Green"/>
    <x v="268"/>
    <x v="21"/>
    <d v="2021-02-08T00:00:00"/>
    <x v="1"/>
    <x v="10"/>
    <n v="47"/>
    <x v="0"/>
    <x v="0"/>
    <n v="940"/>
    <x v="421"/>
  </r>
  <r>
    <n v="3508"/>
    <x v="2213"/>
    <x v="949"/>
    <s v="Miss"/>
    <s v="F"/>
    <n v="30"/>
    <s v="Peckham High"/>
    <x v="90"/>
    <x v="2"/>
    <d v="2022-06-28T00:00:00"/>
    <x v="0"/>
    <x v="2"/>
    <n v="70"/>
    <x v="9"/>
    <x v="9"/>
    <n v="1680"/>
    <x v="556"/>
  </r>
  <r>
    <n v="3509"/>
    <x v="2270"/>
    <x v="1313"/>
    <s v="Miss"/>
    <s v="F"/>
    <n v="30"/>
    <s v="Peckham House"/>
    <x v="1250"/>
    <x v="2"/>
    <d v="2022-10-08T00:00:00"/>
    <x v="0"/>
    <x v="1"/>
    <n v="40"/>
    <x v="0"/>
    <x v="0"/>
    <n v="800"/>
    <x v="239"/>
  </r>
  <r>
    <n v="3510"/>
    <x v="804"/>
    <x v="1115"/>
    <s v="Mr"/>
    <s v="M"/>
    <n v="60"/>
    <s v="Peckham Road"/>
    <x v="169"/>
    <x v="1"/>
    <d v="2022-10-30T00:00:00"/>
    <x v="0"/>
    <x v="1"/>
    <n v="63"/>
    <x v="6"/>
    <x v="6"/>
    <n v="1512"/>
    <x v="375"/>
  </r>
  <r>
    <n v="3511"/>
    <x v="870"/>
    <x v="767"/>
    <s v="Mr"/>
    <s v="M"/>
    <n v="30"/>
    <s v="Peckham Rye"/>
    <x v="664"/>
    <x v="21"/>
    <d v="2020-05-16T00:00:00"/>
    <x v="2"/>
    <x v="11"/>
    <n v="46"/>
    <x v="2"/>
    <x v="2"/>
    <n v="782"/>
    <x v="38"/>
  </r>
  <r>
    <n v="3512"/>
    <x v="2072"/>
    <x v="1068"/>
    <s v="Prof"/>
    <s v="M"/>
    <n v="90"/>
    <s v="Pedlars Walk"/>
    <x v="1251"/>
    <x v="2"/>
    <d v="2020-10-11T00:00:00"/>
    <x v="2"/>
    <x v="1"/>
    <n v="5"/>
    <x v="4"/>
    <x v="4"/>
    <n v="90"/>
    <x v="10"/>
  </r>
  <r>
    <n v="3513"/>
    <x v="1667"/>
    <x v="3"/>
    <s v="Mr"/>
    <s v="M"/>
    <n v="60"/>
    <s v="Peel Alley"/>
    <x v="1129"/>
    <x v="2"/>
    <d v="2022-01-17T00:00:00"/>
    <x v="0"/>
    <x v="6"/>
    <n v="42"/>
    <x v="2"/>
    <x v="2"/>
    <n v="714"/>
    <x v="188"/>
  </r>
  <r>
    <n v="3514"/>
    <x v="1967"/>
    <x v="148"/>
    <s v="Mr"/>
    <s v="M"/>
    <n v="60"/>
    <s v="Pelham Villas"/>
    <x v="935"/>
    <x v="73"/>
    <d v="2022-08-08T00:00:00"/>
    <x v="0"/>
    <x v="3"/>
    <n v="80"/>
    <x v="1"/>
    <x v="1"/>
    <n v="1920"/>
    <x v="956"/>
  </r>
  <r>
    <n v="3515"/>
    <x v="43"/>
    <x v="1381"/>
    <s v="Mr"/>
    <s v="M"/>
    <n v="90"/>
    <s v="Pellatt Grove"/>
    <x v="510"/>
    <x v="71"/>
    <d v="2020-01-04T00:00:00"/>
    <x v="2"/>
    <x v="6"/>
    <n v="4"/>
    <x v="9"/>
    <x v="9"/>
    <n v="96"/>
    <x v="181"/>
  </r>
  <r>
    <n v="3516"/>
    <x v="1037"/>
    <x v="153"/>
    <s v="Mr"/>
    <s v="M"/>
    <n v="30"/>
    <s v="Pellerin Road"/>
    <x v="727"/>
    <x v="2"/>
    <d v="2022-07-18T00:00:00"/>
    <x v="0"/>
    <x v="0"/>
    <n v="25"/>
    <x v="4"/>
    <x v="4"/>
    <n v="450"/>
    <x v="792"/>
  </r>
  <r>
    <n v="3517"/>
    <x v="200"/>
    <x v="891"/>
    <s v="Mr"/>
    <s v="M"/>
    <n v="60"/>
    <s v="Pellipar Close"/>
    <x v="204"/>
    <x v="2"/>
    <d v="2022-09-01T00:00:00"/>
    <x v="0"/>
    <x v="9"/>
    <n v="6"/>
    <x v="7"/>
    <x v="7"/>
    <n v="120"/>
    <x v="227"/>
  </r>
  <r>
    <n v="3518"/>
    <x v="1485"/>
    <x v="1164"/>
    <s v="Mr"/>
    <s v="M"/>
    <n v="30"/>
    <s v="Pellipar Road"/>
    <x v="805"/>
    <x v="3"/>
    <d v="2022-05-19T00:00:00"/>
    <x v="0"/>
    <x v="11"/>
    <n v="44"/>
    <x v="0"/>
    <x v="0"/>
    <n v="880"/>
    <x v="529"/>
  </r>
  <r>
    <n v="3519"/>
    <x v="2271"/>
    <x v="1638"/>
    <s v="Ms"/>
    <s v="F"/>
    <n v="60"/>
    <s v="Pelly Road"/>
    <x v="484"/>
    <x v="2"/>
    <d v="2021-09-17T00:00:00"/>
    <x v="1"/>
    <x v="9"/>
    <n v="82"/>
    <x v="4"/>
    <x v="4"/>
    <n v="1476"/>
    <x v="291"/>
  </r>
  <r>
    <n v="3520"/>
    <x v="1599"/>
    <x v="1268"/>
    <s v="Mr"/>
    <s v="M"/>
    <n v="90"/>
    <s v="Pemberton Terrace"/>
    <x v="1034"/>
    <x v="35"/>
    <d v="2021-05-13T00:00:00"/>
    <x v="1"/>
    <x v="11"/>
    <n v="90"/>
    <x v="1"/>
    <x v="1"/>
    <n v="2160"/>
    <x v="552"/>
  </r>
  <r>
    <n v="3521"/>
    <x v="2172"/>
    <x v="303"/>
    <s v="Mr"/>
    <s v="M"/>
    <n v="30"/>
    <s v="Pembridge Square"/>
    <x v="1153"/>
    <x v="2"/>
    <d v="2022-07-05T00:00:00"/>
    <x v="0"/>
    <x v="0"/>
    <n v="51"/>
    <x v="3"/>
    <x v="3"/>
    <n v="1224"/>
    <x v="237"/>
  </r>
  <r>
    <n v="3522"/>
    <x v="1155"/>
    <x v="1009"/>
    <s v="Mr"/>
    <s v="M"/>
    <n v="30"/>
    <s v="Pembroke Close"/>
    <x v="57"/>
    <x v="21"/>
    <d v="2022-10-30T00:00:00"/>
    <x v="0"/>
    <x v="1"/>
    <n v="98"/>
    <x v="2"/>
    <x v="2"/>
    <n v="1666"/>
    <x v="483"/>
  </r>
  <r>
    <n v="3523"/>
    <x v="425"/>
    <x v="700"/>
    <s v="Mr"/>
    <s v="M"/>
    <n v="90"/>
    <s v="Pembroke Square"/>
    <x v="495"/>
    <x v="41"/>
    <d v="2021-06-20T00:00:00"/>
    <x v="1"/>
    <x v="2"/>
    <n v="93"/>
    <x v="0"/>
    <x v="0"/>
    <n v="1860"/>
    <x v="727"/>
  </r>
  <r>
    <n v="3524"/>
    <x v="2272"/>
    <x v="828"/>
    <s v="Mrs"/>
    <s v="F"/>
    <n v="60"/>
    <s v="Pembroke Villas"/>
    <x v="684"/>
    <x v="67"/>
    <d v="2021-05-22T00:00:00"/>
    <x v="1"/>
    <x v="11"/>
    <n v="22"/>
    <x v="4"/>
    <x v="4"/>
    <n v="396"/>
    <x v="600"/>
  </r>
  <r>
    <n v="3525"/>
    <x v="2273"/>
    <x v="1639"/>
    <s v="Mrs"/>
    <s v="F"/>
    <n v="30"/>
    <s v="Pembroke Walk"/>
    <x v="500"/>
    <x v="1"/>
    <d v="2021-10-26T00:00:00"/>
    <x v="1"/>
    <x v="1"/>
    <n v="56"/>
    <x v="0"/>
    <x v="0"/>
    <n v="1120"/>
    <x v="428"/>
  </r>
  <r>
    <n v="3526"/>
    <x v="2274"/>
    <x v="1024"/>
    <s v="Mrs"/>
    <s v="F"/>
    <n v="90"/>
    <s v="Pembury Close"/>
    <x v="894"/>
    <x v="15"/>
    <d v="2021-06-13T00:00:00"/>
    <x v="1"/>
    <x v="2"/>
    <n v="43"/>
    <x v="9"/>
    <x v="9"/>
    <n v="1032"/>
    <x v="840"/>
  </r>
  <r>
    <n v="3527"/>
    <x v="1425"/>
    <x v="1533"/>
    <s v="Mr"/>
    <s v="M"/>
    <n v="30"/>
    <s v="Pendle Road"/>
    <x v="1144"/>
    <x v="39"/>
    <d v="2020-05-31T00:00:00"/>
    <x v="2"/>
    <x v="11"/>
    <n v="2"/>
    <x v="2"/>
    <x v="2"/>
    <n v="34"/>
    <x v="614"/>
  </r>
  <r>
    <n v="3528"/>
    <x v="516"/>
    <x v="212"/>
    <s v="Mr"/>
    <s v="M"/>
    <n v="90"/>
    <s v="Pendlestone Road"/>
    <x v="527"/>
    <x v="2"/>
    <d v="2020-02-01T00:00:00"/>
    <x v="2"/>
    <x v="10"/>
    <n v="54"/>
    <x v="2"/>
    <x v="2"/>
    <n v="918"/>
    <x v="137"/>
  </r>
  <r>
    <n v="3529"/>
    <x v="916"/>
    <x v="1403"/>
    <s v="Mr"/>
    <s v="M"/>
    <n v="90"/>
    <s v="Pendrell Street"/>
    <x v="1054"/>
    <x v="21"/>
    <d v="2022-04-08T00:00:00"/>
    <x v="0"/>
    <x v="4"/>
    <n v="90"/>
    <x v="7"/>
    <x v="7"/>
    <n v="1800"/>
    <x v="929"/>
  </r>
  <r>
    <n v="3530"/>
    <x v="789"/>
    <x v="30"/>
    <s v="Mrs"/>
    <s v="F"/>
    <n v="90"/>
    <s v="Pendrell Street"/>
    <x v="229"/>
    <x v="14"/>
    <d v="2020-03-22T00:00:00"/>
    <x v="2"/>
    <x v="5"/>
    <n v="21"/>
    <x v="5"/>
    <x v="5"/>
    <n v="504"/>
    <x v="568"/>
  </r>
  <r>
    <n v="3531"/>
    <x v="2275"/>
    <x v="1522"/>
    <s v="Miss"/>
    <s v="F"/>
    <n v="90"/>
    <s v="Pendrell Street"/>
    <x v="1232"/>
    <x v="21"/>
    <d v="2020-03-07T00:00:00"/>
    <x v="2"/>
    <x v="5"/>
    <n v="42"/>
    <x v="3"/>
    <x v="3"/>
    <n v="1008"/>
    <x v="667"/>
  </r>
  <r>
    <n v="3532"/>
    <x v="945"/>
    <x v="207"/>
    <s v="Mrs"/>
    <s v="F"/>
    <n v="30"/>
    <s v="Penfolds Cottages"/>
    <x v="796"/>
    <x v="83"/>
    <d v="2020-03-10T00:00:00"/>
    <x v="2"/>
    <x v="5"/>
    <n v="78"/>
    <x v="7"/>
    <x v="7"/>
    <n v="1560"/>
    <x v="664"/>
  </r>
  <r>
    <n v="3533"/>
    <x v="493"/>
    <x v="453"/>
    <s v="Mrs"/>
    <s v="F"/>
    <n v="90"/>
    <s v="Penmartin Road"/>
    <x v="240"/>
    <x v="41"/>
    <d v="2020-05-20T00:00:00"/>
    <x v="2"/>
    <x v="11"/>
    <n v="33"/>
    <x v="9"/>
    <x v="9"/>
    <n v="792"/>
    <x v="633"/>
  </r>
  <r>
    <n v="3534"/>
    <x v="688"/>
    <x v="570"/>
    <s v="Mr"/>
    <s v="M"/>
    <n v="30"/>
    <s v="Pennell'S Court"/>
    <x v="142"/>
    <x v="21"/>
    <d v="2021-01-13T00:00:00"/>
    <x v="1"/>
    <x v="6"/>
    <n v="68"/>
    <x v="3"/>
    <x v="3"/>
    <n v="1632"/>
    <x v="511"/>
  </r>
  <r>
    <n v="3535"/>
    <x v="2276"/>
    <x v="1380"/>
    <s v="Ms"/>
    <s v="F"/>
    <n v="90"/>
    <s v="Pennell'S Court"/>
    <x v="922"/>
    <x v="2"/>
    <d v="2021-04-19T00:00:00"/>
    <x v="1"/>
    <x v="4"/>
    <n v="90"/>
    <x v="9"/>
    <x v="9"/>
    <n v="2160"/>
    <x v="975"/>
  </r>
  <r>
    <n v="3536"/>
    <x v="134"/>
    <x v="1072"/>
    <s v="Mr"/>
    <s v="M"/>
    <n v="30"/>
    <s v="Pennethorne Close"/>
    <x v="140"/>
    <x v="2"/>
    <d v="2020-12-14T00:00:00"/>
    <x v="2"/>
    <x v="8"/>
    <n v="35"/>
    <x v="3"/>
    <x v="3"/>
    <n v="840"/>
    <x v="536"/>
  </r>
  <r>
    <n v="3537"/>
    <x v="221"/>
    <x v="793"/>
    <s v="Mr"/>
    <s v="M"/>
    <n v="30"/>
    <s v="Pennifields"/>
    <x v="1225"/>
    <x v="24"/>
    <d v="2020-03-05T00:00:00"/>
    <x v="2"/>
    <x v="5"/>
    <n v="33"/>
    <x v="8"/>
    <x v="8"/>
    <n v="660"/>
    <x v="969"/>
  </r>
  <r>
    <n v="3538"/>
    <x v="994"/>
    <x v="1017"/>
    <s v="Miss"/>
    <s v="F"/>
    <n v="60"/>
    <s v="Pennington Cottages"/>
    <x v="825"/>
    <x v="2"/>
    <d v="2020-07-05T00:00:00"/>
    <x v="2"/>
    <x v="0"/>
    <n v="54"/>
    <x v="4"/>
    <x v="4"/>
    <n v="972"/>
    <x v="196"/>
  </r>
  <r>
    <n v="3539"/>
    <x v="2277"/>
    <x v="1103"/>
    <s v="Ms"/>
    <s v="F"/>
    <n v="90"/>
    <s v="Pennington Way"/>
    <x v="126"/>
    <x v="27"/>
    <d v="2020-03-13T00:00:00"/>
    <x v="2"/>
    <x v="5"/>
    <n v="15"/>
    <x v="7"/>
    <x v="7"/>
    <n v="300"/>
    <x v="634"/>
  </r>
  <r>
    <n v="3540"/>
    <x v="2278"/>
    <x v="578"/>
    <s v="Miss"/>
    <s v="F"/>
    <n v="30"/>
    <s v="Penrhyn Grove"/>
    <x v="133"/>
    <x v="17"/>
    <d v="2022-07-23T00:00:00"/>
    <x v="0"/>
    <x v="0"/>
    <n v="53"/>
    <x v="9"/>
    <x v="9"/>
    <n v="1272"/>
    <x v="770"/>
  </r>
  <r>
    <n v="3541"/>
    <x v="1579"/>
    <x v="215"/>
    <s v="Mr"/>
    <s v="M"/>
    <n v="90"/>
    <s v="Pensbury Avenue"/>
    <x v="1083"/>
    <x v="2"/>
    <d v="2020-12-05T00:00:00"/>
    <x v="2"/>
    <x v="8"/>
    <n v="34"/>
    <x v="0"/>
    <x v="0"/>
    <n v="680"/>
    <x v="397"/>
  </r>
  <r>
    <n v="3542"/>
    <x v="1572"/>
    <x v="564"/>
    <s v="Mr"/>
    <s v="M"/>
    <n v="90"/>
    <s v="Pensbury Terrace"/>
    <x v="1134"/>
    <x v="12"/>
    <d v="2022-06-22T00:00:00"/>
    <x v="0"/>
    <x v="2"/>
    <n v="61"/>
    <x v="9"/>
    <x v="9"/>
    <n v="1464"/>
    <x v="849"/>
  </r>
  <r>
    <n v="3543"/>
    <x v="1762"/>
    <x v="1425"/>
    <s v="Mr"/>
    <s v="M"/>
    <n v="90"/>
    <s v="Penshurst Road"/>
    <x v="679"/>
    <x v="44"/>
    <d v="2021-06-02T00:00:00"/>
    <x v="1"/>
    <x v="2"/>
    <n v="92"/>
    <x v="5"/>
    <x v="5"/>
    <n v="2208"/>
    <x v="30"/>
  </r>
  <r>
    <n v="3544"/>
    <x v="2279"/>
    <x v="1640"/>
    <s v="Miss"/>
    <s v="F"/>
    <n v="60"/>
    <s v="Pentland Gardens"/>
    <x v="202"/>
    <x v="27"/>
    <d v="2020-08-02T00:00:00"/>
    <x v="2"/>
    <x v="3"/>
    <n v="51"/>
    <x v="5"/>
    <x v="5"/>
    <n v="1224"/>
    <x v="601"/>
  </r>
  <r>
    <n v="3545"/>
    <x v="2280"/>
    <x v="172"/>
    <s v="Mrs"/>
    <s v="F"/>
    <n v="90"/>
    <s v="Penton Green"/>
    <x v="29"/>
    <x v="15"/>
    <d v="2022-02-04T00:00:00"/>
    <x v="0"/>
    <x v="10"/>
    <n v="16"/>
    <x v="0"/>
    <x v="0"/>
    <n v="320"/>
    <x v="12"/>
  </r>
  <r>
    <n v="3546"/>
    <x v="1811"/>
    <x v="1641"/>
    <s v="Miss"/>
    <s v="F"/>
    <n v="90"/>
    <s v="Penton Rise"/>
    <x v="950"/>
    <x v="2"/>
    <d v="2020-10-15T00:00:00"/>
    <x v="2"/>
    <x v="1"/>
    <n v="10"/>
    <x v="2"/>
    <x v="2"/>
    <n v="170"/>
    <x v="317"/>
  </r>
  <r>
    <n v="3547"/>
    <x v="735"/>
    <x v="193"/>
    <s v="Mrs"/>
    <s v="F"/>
    <n v="60"/>
    <s v="Penton Villas"/>
    <x v="46"/>
    <x v="20"/>
    <d v="2020-07-04T00:00:00"/>
    <x v="2"/>
    <x v="0"/>
    <n v="51"/>
    <x v="1"/>
    <x v="1"/>
    <n v="1224"/>
    <x v="61"/>
  </r>
  <r>
    <n v="3548"/>
    <x v="528"/>
    <x v="807"/>
    <s v="Miss"/>
    <s v="F"/>
    <n v="90"/>
    <s v="Penwortham Road"/>
    <x v="1199"/>
    <x v="17"/>
    <d v="2020-02-25T00:00:00"/>
    <x v="2"/>
    <x v="10"/>
    <n v="85"/>
    <x v="6"/>
    <x v="6"/>
    <n v="2040"/>
    <x v="711"/>
  </r>
  <r>
    <n v="3549"/>
    <x v="968"/>
    <x v="282"/>
    <s v="Mr"/>
    <s v="M"/>
    <n v="60"/>
    <s v="Penwortham Road"/>
    <x v="213"/>
    <x v="8"/>
    <d v="2022-11-18T00:00:00"/>
    <x v="0"/>
    <x v="7"/>
    <n v="57"/>
    <x v="7"/>
    <x v="7"/>
    <n v="1140"/>
    <x v="501"/>
  </r>
  <r>
    <n v="3550"/>
    <x v="1728"/>
    <x v="630"/>
    <s v="Mr"/>
    <s v="M"/>
    <n v="90"/>
    <s v="Penynance Place"/>
    <x v="155"/>
    <x v="2"/>
    <d v="2022-11-08T00:00:00"/>
    <x v="0"/>
    <x v="7"/>
    <n v="61"/>
    <x v="0"/>
    <x v="0"/>
    <n v="1220"/>
    <x v="817"/>
  </r>
  <r>
    <n v="3551"/>
    <x v="1367"/>
    <x v="1642"/>
    <s v="Mr"/>
    <s v="M"/>
    <n v="90"/>
    <s v="Penywern Road"/>
    <x v="1011"/>
    <x v="2"/>
    <d v="2021-05-19T00:00:00"/>
    <x v="1"/>
    <x v="11"/>
    <n v="39"/>
    <x v="2"/>
    <x v="2"/>
    <n v="663"/>
    <x v="550"/>
  </r>
  <r>
    <n v="3552"/>
    <x v="134"/>
    <x v="222"/>
    <s v="Mrs"/>
    <s v="F"/>
    <n v="90"/>
    <s v="Peregrine Way"/>
    <x v="909"/>
    <x v="17"/>
    <d v="2022-01-12T00:00:00"/>
    <x v="0"/>
    <x v="6"/>
    <n v="86"/>
    <x v="0"/>
    <x v="0"/>
    <n v="1720"/>
    <x v="967"/>
  </r>
  <r>
    <n v="3553"/>
    <x v="2281"/>
    <x v="1222"/>
    <s v="Miss"/>
    <s v="F"/>
    <n v="30"/>
    <s v="Perrymead Street"/>
    <x v="1138"/>
    <x v="3"/>
    <d v="2021-10-28T00:00:00"/>
    <x v="1"/>
    <x v="1"/>
    <n v="50"/>
    <x v="8"/>
    <x v="8"/>
    <n v="1000"/>
    <x v="734"/>
  </r>
  <r>
    <n v="3554"/>
    <x v="969"/>
    <x v="664"/>
    <s v="Mr"/>
    <s v="M"/>
    <n v="30"/>
    <s v="Peterborough Road"/>
    <x v="729"/>
    <x v="44"/>
    <d v="2022-04-19T00:00:00"/>
    <x v="0"/>
    <x v="4"/>
    <n v="8"/>
    <x v="5"/>
    <x v="5"/>
    <n v="192"/>
    <x v="539"/>
  </r>
  <r>
    <n v="3555"/>
    <x v="1118"/>
    <x v="1640"/>
    <s v="Mr"/>
    <s v="M"/>
    <n v="30"/>
    <s v="Petherton Road"/>
    <x v="1252"/>
    <x v="2"/>
    <d v="2020-04-30T00:00:00"/>
    <x v="2"/>
    <x v="4"/>
    <n v="9"/>
    <x v="2"/>
    <x v="2"/>
    <n v="153"/>
    <x v="89"/>
  </r>
  <r>
    <n v="3556"/>
    <x v="2282"/>
    <x v="403"/>
    <s v="Miss"/>
    <s v="F"/>
    <n v="60"/>
    <s v="Tintern Avenue"/>
    <x v="958"/>
    <x v="28"/>
    <d v="2020-07-06T00:00:00"/>
    <x v="2"/>
    <x v="0"/>
    <n v="52"/>
    <x v="1"/>
    <x v="1"/>
    <n v="1248"/>
    <x v="902"/>
  </r>
  <r>
    <n v="3557"/>
    <x v="1778"/>
    <x v="1643"/>
    <s v="Mr"/>
    <s v="M"/>
    <n v="90"/>
    <s v="Tisbury Court"/>
    <x v="115"/>
    <x v="2"/>
    <d v="2021-07-01T00:00:00"/>
    <x v="1"/>
    <x v="0"/>
    <n v="43"/>
    <x v="9"/>
    <x v="9"/>
    <n v="1032"/>
    <x v="840"/>
  </r>
  <r>
    <n v="3558"/>
    <x v="2168"/>
    <x v="20"/>
    <s v="Mr"/>
    <s v="M"/>
    <n v="90"/>
    <s v="Tithe Court"/>
    <x v="488"/>
    <x v="17"/>
    <d v="2021-06-29T00:00:00"/>
    <x v="1"/>
    <x v="2"/>
    <n v="44"/>
    <x v="9"/>
    <x v="9"/>
    <n v="1056"/>
    <x v="605"/>
  </r>
  <r>
    <n v="3559"/>
    <x v="2283"/>
    <x v="802"/>
    <s v="Miss"/>
    <s v="F"/>
    <n v="60"/>
    <s v="Toby Lane"/>
    <x v="398"/>
    <x v="7"/>
    <d v="2020-07-02T00:00:00"/>
    <x v="2"/>
    <x v="0"/>
    <n v="50"/>
    <x v="9"/>
    <x v="9"/>
    <n v="1200"/>
    <x v="84"/>
  </r>
  <r>
    <n v="3560"/>
    <x v="1511"/>
    <x v="139"/>
    <s v="Mr"/>
    <s v="M"/>
    <n v="90"/>
    <s v="Tolhurst Street"/>
    <x v="780"/>
    <x v="2"/>
    <d v="2022-10-13T00:00:00"/>
    <x v="0"/>
    <x v="1"/>
    <n v="82"/>
    <x v="1"/>
    <x v="1"/>
    <n v="1968"/>
    <x v="976"/>
  </r>
  <r>
    <n v="3561"/>
    <x v="2284"/>
    <x v="492"/>
    <s v="Mr"/>
    <s v="M"/>
    <n v="30"/>
    <s v="Tollbridge Close"/>
    <x v="825"/>
    <x v="2"/>
    <d v="2022-01-04T00:00:00"/>
    <x v="0"/>
    <x v="6"/>
    <n v="93"/>
    <x v="6"/>
    <x v="6"/>
    <n v="2232"/>
    <x v="93"/>
  </r>
  <r>
    <n v="3562"/>
    <x v="687"/>
    <x v="827"/>
    <s v="Miss"/>
    <s v="F"/>
    <n v="60"/>
    <s v="Tollgate Drive"/>
    <x v="402"/>
    <x v="2"/>
    <d v="2021-01-19T00:00:00"/>
    <x v="1"/>
    <x v="6"/>
    <n v="14"/>
    <x v="4"/>
    <x v="4"/>
    <n v="252"/>
    <x v="396"/>
  </r>
  <r>
    <n v="3563"/>
    <x v="2285"/>
    <x v="439"/>
    <s v="Miss"/>
    <s v="F"/>
    <n v="30"/>
    <s v="Tollington Villas"/>
    <x v="360"/>
    <x v="2"/>
    <d v="2020-11-14T00:00:00"/>
    <x v="2"/>
    <x v="7"/>
    <n v="14"/>
    <x v="5"/>
    <x v="5"/>
    <n v="336"/>
    <x v="276"/>
  </r>
  <r>
    <n v="3564"/>
    <x v="2286"/>
    <x v="1287"/>
    <s v="Mrs"/>
    <s v="F"/>
    <n v="60"/>
    <s v="Tom Smith"/>
    <x v="694"/>
    <x v="11"/>
    <d v="2022-06-30T00:00:00"/>
    <x v="0"/>
    <x v="2"/>
    <n v="25"/>
    <x v="2"/>
    <x v="2"/>
    <n v="425"/>
    <x v="602"/>
  </r>
  <r>
    <n v="3565"/>
    <x v="2287"/>
    <x v="696"/>
    <s v="Mr"/>
    <s v="M"/>
    <n v="90"/>
    <s v="Tomlins Grove"/>
    <x v="176"/>
    <x v="16"/>
    <d v="2021-04-05T00:00:00"/>
    <x v="1"/>
    <x v="4"/>
    <n v="44"/>
    <x v="3"/>
    <x v="3"/>
    <n v="1056"/>
    <x v="253"/>
  </r>
  <r>
    <n v="3566"/>
    <x v="1716"/>
    <x v="1391"/>
    <s v="Mr"/>
    <s v="M"/>
    <n v="90"/>
    <s v="Top House"/>
    <x v="799"/>
    <x v="3"/>
    <d v="2021-06-16T00:00:00"/>
    <x v="1"/>
    <x v="2"/>
    <n v="17"/>
    <x v="1"/>
    <x v="1"/>
    <n v="408"/>
    <x v="179"/>
  </r>
  <r>
    <n v="3567"/>
    <x v="2288"/>
    <x v="1644"/>
    <s v="Miss"/>
    <s v="F"/>
    <n v="90"/>
    <s v="Topaz Street"/>
    <x v="238"/>
    <x v="2"/>
    <d v="2020-01-07T00:00:00"/>
    <x v="2"/>
    <x v="6"/>
    <n v="45"/>
    <x v="3"/>
    <x v="3"/>
    <n v="1080"/>
    <x v="266"/>
  </r>
  <r>
    <n v="3568"/>
    <x v="2085"/>
    <x v="1645"/>
    <s v="Mr"/>
    <s v="M"/>
    <n v="60"/>
    <s v="Topp Walk"/>
    <x v="1061"/>
    <x v="2"/>
    <d v="2021-04-22T00:00:00"/>
    <x v="1"/>
    <x v="4"/>
    <n v="85"/>
    <x v="1"/>
    <x v="1"/>
    <n v="2040"/>
    <x v="531"/>
  </r>
  <r>
    <n v="3569"/>
    <x v="387"/>
    <x v="151"/>
    <s v="Mrs"/>
    <s v="F"/>
    <n v="30"/>
    <s v="Topsfield Parade"/>
    <x v="317"/>
    <x v="27"/>
    <d v="2020-04-18T00:00:00"/>
    <x v="2"/>
    <x v="4"/>
    <n v="15"/>
    <x v="1"/>
    <x v="1"/>
    <n v="360"/>
    <x v="474"/>
  </r>
  <r>
    <n v="3570"/>
    <x v="2289"/>
    <x v="71"/>
    <s v="Ms"/>
    <s v="F"/>
    <n v="30"/>
    <s v="Torriano Terrace"/>
    <x v="288"/>
    <x v="2"/>
    <d v="2020-08-08T00:00:00"/>
    <x v="2"/>
    <x v="3"/>
    <n v="51"/>
    <x v="3"/>
    <x v="3"/>
    <n v="1224"/>
    <x v="237"/>
  </r>
  <r>
    <n v="3571"/>
    <x v="1105"/>
    <x v="399"/>
    <s v="Mr"/>
    <s v="M"/>
    <n v="30"/>
    <s v="Torridge Gardens"/>
    <x v="1018"/>
    <x v="20"/>
    <d v="2020-02-27T00:00:00"/>
    <x v="2"/>
    <x v="10"/>
    <n v="7"/>
    <x v="4"/>
    <x v="4"/>
    <n v="126"/>
    <x v="311"/>
  </r>
  <r>
    <n v="3572"/>
    <x v="2290"/>
    <x v="1646"/>
    <s v="Mr"/>
    <s v="M"/>
    <n v="30"/>
    <s v="Torrington Square"/>
    <x v="1083"/>
    <x v="2"/>
    <d v="2020-02-16T00:00:00"/>
    <x v="2"/>
    <x v="10"/>
    <n v="43"/>
    <x v="9"/>
    <x v="9"/>
    <n v="1032"/>
    <x v="840"/>
  </r>
  <r>
    <n v="3573"/>
    <x v="2291"/>
    <x v="1400"/>
    <s v="Mrs"/>
    <s v="F"/>
    <n v="60"/>
    <s v="Torrington Square"/>
    <x v="1253"/>
    <x v="2"/>
    <d v="2020-01-04T00:00:00"/>
    <x v="2"/>
    <x v="6"/>
    <n v="31"/>
    <x v="2"/>
    <x v="2"/>
    <n v="527"/>
    <x v="224"/>
  </r>
  <r>
    <n v="3574"/>
    <x v="1501"/>
    <x v="491"/>
    <s v="Mr"/>
    <s v="M"/>
    <n v="60"/>
    <s v="Torrs Terrace"/>
    <x v="112"/>
    <x v="0"/>
    <d v="2021-11-08T00:00:00"/>
    <x v="1"/>
    <x v="7"/>
    <n v="92"/>
    <x v="2"/>
    <x v="2"/>
    <n v="1564"/>
    <x v="640"/>
  </r>
  <r>
    <n v="3575"/>
    <x v="1169"/>
    <x v="1302"/>
    <s v="Prof"/>
    <s v="M"/>
    <n v="90"/>
    <s v="Torwood Road"/>
    <x v="732"/>
    <x v="17"/>
    <d v="2020-08-11T00:00:00"/>
    <x v="2"/>
    <x v="3"/>
    <n v="82"/>
    <x v="3"/>
    <x v="3"/>
    <n v="1968"/>
    <x v="594"/>
  </r>
  <r>
    <n v="3576"/>
    <x v="2292"/>
    <x v="1647"/>
    <s v="Mrs"/>
    <s v="F"/>
    <n v="30"/>
    <s v="Totbill Side"/>
    <x v="86"/>
    <x v="17"/>
    <d v="2021-02-26T00:00:00"/>
    <x v="1"/>
    <x v="10"/>
    <n v="44"/>
    <x v="5"/>
    <x v="5"/>
    <n v="1056"/>
    <x v="424"/>
  </r>
  <r>
    <n v="3577"/>
    <x v="2293"/>
    <x v="774"/>
    <s v="Miss"/>
    <s v="F"/>
    <n v="90"/>
    <s v="Tottenham Street"/>
    <x v="644"/>
    <x v="2"/>
    <d v="2022-07-14T00:00:00"/>
    <x v="0"/>
    <x v="0"/>
    <n v="22"/>
    <x v="7"/>
    <x v="7"/>
    <n v="440"/>
    <x v="588"/>
  </r>
  <r>
    <n v="3578"/>
    <x v="999"/>
    <x v="272"/>
    <s v="Mrs"/>
    <s v="F"/>
    <n v="30"/>
    <s v="Totty Street"/>
    <x v="939"/>
    <x v="13"/>
    <d v="2020-01-20T00:00:00"/>
    <x v="2"/>
    <x v="6"/>
    <n v="43"/>
    <x v="6"/>
    <x v="6"/>
    <n v="1032"/>
    <x v="27"/>
  </r>
  <r>
    <n v="3579"/>
    <x v="1960"/>
    <x v="697"/>
    <s v="Mrs"/>
    <s v="F"/>
    <n v="60"/>
    <s v="Tower Mews"/>
    <x v="347"/>
    <x v="57"/>
    <d v="2022-10-27T00:00:00"/>
    <x v="0"/>
    <x v="1"/>
    <n v="50"/>
    <x v="9"/>
    <x v="9"/>
    <n v="1200"/>
    <x v="84"/>
  </r>
  <r>
    <n v="3580"/>
    <x v="2294"/>
    <x v="747"/>
    <s v="Ms"/>
    <s v="F"/>
    <n v="30"/>
    <s v="Tower Road"/>
    <x v="1019"/>
    <x v="17"/>
    <d v="2022-01-05T00:00:00"/>
    <x v="0"/>
    <x v="6"/>
    <n v="98"/>
    <x v="4"/>
    <x v="4"/>
    <n v="1764"/>
    <x v="828"/>
  </r>
  <r>
    <n v="3581"/>
    <x v="1102"/>
    <x v="127"/>
    <s v="Miss"/>
    <s v="F"/>
    <n v="30"/>
    <s v="Town Court"/>
    <x v="166"/>
    <x v="3"/>
    <d v="2021-07-04T00:00:00"/>
    <x v="1"/>
    <x v="0"/>
    <n v="14"/>
    <x v="1"/>
    <x v="1"/>
    <n v="336"/>
    <x v="250"/>
  </r>
  <r>
    <n v="3582"/>
    <x v="1401"/>
    <x v="935"/>
    <s v="Miss"/>
    <s v="F"/>
    <n v="30"/>
    <s v="Townley Court"/>
    <x v="981"/>
    <x v="2"/>
    <d v="2022-01-14T00:00:00"/>
    <x v="0"/>
    <x v="6"/>
    <n v="49"/>
    <x v="2"/>
    <x v="2"/>
    <n v="833"/>
    <x v="273"/>
  </r>
  <r>
    <n v="3583"/>
    <x v="335"/>
    <x v="256"/>
    <s v="Mr"/>
    <s v="M"/>
    <n v="60"/>
    <s v="Townsend Avenue"/>
    <x v="680"/>
    <x v="2"/>
    <d v="2020-04-19T00:00:00"/>
    <x v="2"/>
    <x v="4"/>
    <n v="60"/>
    <x v="3"/>
    <x v="3"/>
    <n v="1440"/>
    <x v="261"/>
  </r>
  <r>
    <n v="3584"/>
    <x v="1357"/>
    <x v="1245"/>
    <s v="Mr"/>
    <s v="M"/>
    <n v="60"/>
    <s v="Townshend Estate"/>
    <x v="720"/>
    <x v="2"/>
    <d v="2021-05-07T00:00:00"/>
    <x v="1"/>
    <x v="11"/>
    <n v="54"/>
    <x v="5"/>
    <x v="5"/>
    <n v="1296"/>
    <x v="97"/>
  </r>
  <r>
    <n v="3585"/>
    <x v="81"/>
    <x v="255"/>
    <s v="Mrs"/>
    <s v="F"/>
    <n v="60"/>
    <s v="Townshend Estate"/>
    <x v="976"/>
    <x v="2"/>
    <d v="2021-06-03T00:00:00"/>
    <x v="1"/>
    <x v="2"/>
    <n v="38"/>
    <x v="5"/>
    <x v="5"/>
    <n v="912"/>
    <x v="244"/>
  </r>
  <r>
    <n v="3586"/>
    <x v="2295"/>
    <x v="855"/>
    <s v="Miss"/>
    <s v="F"/>
    <n v="60"/>
    <s v="Townshend Road"/>
    <x v="479"/>
    <x v="11"/>
    <d v="2021-09-11T00:00:00"/>
    <x v="1"/>
    <x v="9"/>
    <n v="41"/>
    <x v="4"/>
    <x v="4"/>
    <n v="738"/>
    <x v="338"/>
  </r>
  <r>
    <n v="3587"/>
    <x v="316"/>
    <x v="1130"/>
    <s v="Mr"/>
    <s v="M"/>
    <n v="30"/>
    <s v="Toyne Way"/>
    <x v="176"/>
    <x v="16"/>
    <d v="2020-10-06T00:00:00"/>
    <x v="2"/>
    <x v="1"/>
    <n v="70"/>
    <x v="1"/>
    <x v="1"/>
    <n v="1680"/>
    <x v="561"/>
  </r>
  <r>
    <n v="3588"/>
    <x v="2296"/>
    <x v="1317"/>
    <s v="Mrs"/>
    <s v="F"/>
    <n v="30"/>
    <s v="Trading Estate"/>
    <x v="1083"/>
    <x v="2"/>
    <d v="2020-06-05T00:00:00"/>
    <x v="2"/>
    <x v="2"/>
    <n v="44"/>
    <x v="5"/>
    <x v="5"/>
    <n v="1056"/>
    <x v="424"/>
  </r>
  <r>
    <n v="3589"/>
    <x v="607"/>
    <x v="1174"/>
    <s v="Miss"/>
    <s v="F"/>
    <n v="90"/>
    <s v="Trafalgar Close"/>
    <x v="512"/>
    <x v="2"/>
    <d v="2020-10-22T00:00:00"/>
    <x v="2"/>
    <x v="1"/>
    <n v="54"/>
    <x v="2"/>
    <x v="2"/>
    <n v="918"/>
    <x v="137"/>
  </r>
  <r>
    <n v="3590"/>
    <x v="854"/>
    <x v="1184"/>
    <s v="Mrs"/>
    <s v="F"/>
    <n v="30"/>
    <s v="Trafalgar Square"/>
    <x v="147"/>
    <x v="2"/>
    <d v="2020-01-10T00:00:00"/>
    <x v="2"/>
    <x v="6"/>
    <n v="59"/>
    <x v="5"/>
    <x v="5"/>
    <n v="1416"/>
    <x v="358"/>
  </r>
  <r>
    <n v="3591"/>
    <x v="708"/>
    <x v="974"/>
    <s v="Dr"/>
    <s v="M"/>
    <n v="30"/>
    <s v="Transwell Street"/>
    <x v="974"/>
    <x v="2"/>
    <d v="2020-05-21T00:00:00"/>
    <x v="2"/>
    <x v="11"/>
    <n v="50"/>
    <x v="2"/>
    <x v="2"/>
    <n v="850"/>
    <x v="301"/>
  </r>
  <r>
    <n v="3592"/>
    <x v="1980"/>
    <x v="1278"/>
    <s v="Mr"/>
    <s v="M"/>
    <n v="90"/>
    <s v="Travers Road"/>
    <x v="220"/>
    <x v="3"/>
    <d v="2020-01-15T00:00:00"/>
    <x v="2"/>
    <x v="6"/>
    <n v="79"/>
    <x v="4"/>
    <x v="4"/>
    <n v="1422"/>
    <x v="5"/>
  </r>
  <r>
    <n v="3593"/>
    <x v="119"/>
    <x v="421"/>
    <s v="Mr"/>
    <s v="M"/>
    <n v="90"/>
    <s v="Tredeqar Square"/>
    <x v="904"/>
    <x v="3"/>
    <d v="2022-10-04T00:00:00"/>
    <x v="0"/>
    <x v="1"/>
    <n v="96"/>
    <x v="7"/>
    <x v="7"/>
    <n v="1920"/>
    <x v="977"/>
  </r>
  <r>
    <n v="3594"/>
    <x v="888"/>
    <x v="1499"/>
    <s v="Mr"/>
    <s v="M"/>
    <n v="30"/>
    <s v="Trederwen Road"/>
    <x v="982"/>
    <x v="88"/>
    <d v="2021-12-21T00:00:00"/>
    <x v="1"/>
    <x v="8"/>
    <n v="63"/>
    <x v="0"/>
    <x v="0"/>
    <n v="1260"/>
    <x v="41"/>
  </r>
  <r>
    <n v="3595"/>
    <x v="628"/>
    <x v="972"/>
    <s v="Mr"/>
    <s v="M"/>
    <n v="60"/>
    <s v="Tregenna Close"/>
    <x v="584"/>
    <x v="8"/>
    <d v="2020-03-27T00:00:00"/>
    <x v="2"/>
    <x v="5"/>
    <n v="18"/>
    <x v="2"/>
    <x v="2"/>
    <n v="306"/>
    <x v="889"/>
  </r>
  <r>
    <n v="3596"/>
    <x v="325"/>
    <x v="435"/>
    <s v="Mr"/>
    <s v="M"/>
    <n v="90"/>
    <s v="Trelawn Road"/>
    <x v="298"/>
    <x v="12"/>
    <d v="2020-02-12T00:00:00"/>
    <x v="2"/>
    <x v="10"/>
    <n v="76"/>
    <x v="9"/>
    <x v="9"/>
    <n v="1824"/>
    <x v="590"/>
  </r>
  <r>
    <n v="3597"/>
    <x v="2297"/>
    <x v="285"/>
    <s v="Mrs"/>
    <s v="F"/>
    <n v="30"/>
    <s v="Trelieck Place"/>
    <x v="388"/>
    <x v="2"/>
    <d v="2022-07-13T00:00:00"/>
    <x v="0"/>
    <x v="0"/>
    <n v="42"/>
    <x v="6"/>
    <x v="6"/>
    <n v="1008"/>
    <x v="162"/>
  </r>
  <r>
    <n v="3598"/>
    <x v="2298"/>
    <x v="3"/>
    <s v="Prof"/>
    <s v="F"/>
    <n v="90"/>
    <s v="Trellick Place"/>
    <x v="547"/>
    <x v="72"/>
    <d v="2022-03-29T00:00:00"/>
    <x v="0"/>
    <x v="5"/>
    <n v="22"/>
    <x v="2"/>
    <x v="2"/>
    <n v="374"/>
    <x v="871"/>
  </r>
  <r>
    <n v="3599"/>
    <x v="2299"/>
    <x v="1325"/>
    <s v="Mrs"/>
    <s v="F"/>
    <n v="30"/>
    <s v="Trellis Square"/>
    <x v="601"/>
    <x v="21"/>
    <d v="2022-10-29T00:00:00"/>
    <x v="0"/>
    <x v="1"/>
    <n v="47"/>
    <x v="8"/>
    <x v="8"/>
    <n v="940"/>
    <x v="937"/>
  </r>
  <r>
    <n v="3600"/>
    <x v="171"/>
    <x v="194"/>
    <s v="Mrs"/>
    <s v="F"/>
    <n v="30"/>
    <s v="Tremaine Road"/>
    <x v="824"/>
    <x v="2"/>
    <d v="2020-03-12T00:00:00"/>
    <x v="2"/>
    <x v="5"/>
    <n v="29"/>
    <x v="9"/>
    <x v="9"/>
    <n v="696"/>
    <x v="709"/>
  </r>
  <r>
    <n v="3601"/>
    <x v="2300"/>
    <x v="101"/>
    <s v="Dr"/>
    <s v="F"/>
    <n v="60"/>
    <s v="Trematon Place"/>
    <x v="1254"/>
    <x v="0"/>
    <d v="2021-10-20T00:00:00"/>
    <x v="1"/>
    <x v="1"/>
    <n v="53"/>
    <x v="1"/>
    <x v="1"/>
    <n v="1272"/>
    <x v="934"/>
  </r>
  <r>
    <n v="3602"/>
    <x v="2301"/>
    <x v="719"/>
    <s v="Miss"/>
    <s v="F"/>
    <n v="30"/>
    <s v="Tremlett Grove"/>
    <x v="378"/>
    <x v="2"/>
    <d v="2021-01-16T00:00:00"/>
    <x v="1"/>
    <x v="6"/>
    <n v="77"/>
    <x v="5"/>
    <x v="5"/>
    <n v="1848"/>
    <x v="283"/>
  </r>
  <r>
    <n v="3603"/>
    <x v="2070"/>
    <x v="1206"/>
    <s v="Mr"/>
    <s v="M"/>
    <n v="30"/>
    <s v="Trenholme Close"/>
    <x v="175"/>
    <x v="21"/>
    <d v="2020-03-26T00:00:00"/>
    <x v="2"/>
    <x v="5"/>
    <n v="61"/>
    <x v="0"/>
    <x v="0"/>
    <n v="1220"/>
    <x v="817"/>
  </r>
  <r>
    <n v="3604"/>
    <x v="2302"/>
    <x v="919"/>
    <s v="Mrs"/>
    <s v="F"/>
    <n v="60"/>
    <s v="Trenmar Gardens"/>
    <x v="53"/>
    <x v="17"/>
    <d v="2021-10-25T00:00:00"/>
    <x v="1"/>
    <x v="1"/>
    <n v="10"/>
    <x v="4"/>
    <x v="4"/>
    <n v="180"/>
    <x v="427"/>
  </r>
  <r>
    <n v="3605"/>
    <x v="2303"/>
    <x v="1648"/>
    <s v="Miss"/>
    <s v="F"/>
    <n v="90"/>
    <s v="Tretawn Park"/>
    <x v="259"/>
    <x v="2"/>
    <d v="2020-11-02T00:00:00"/>
    <x v="2"/>
    <x v="7"/>
    <n v="12"/>
    <x v="2"/>
    <x v="2"/>
    <n v="204"/>
    <x v="578"/>
  </r>
  <r>
    <n v="3606"/>
    <x v="2304"/>
    <x v="494"/>
    <s v="Mr"/>
    <s v="M"/>
    <n v="60"/>
    <s v="Trevelyan Gardens"/>
    <x v="522"/>
    <x v="17"/>
    <d v="2022-08-12T00:00:00"/>
    <x v="0"/>
    <x v="3"/>
    <n v="50"/>
    <x v="3"/>
    <x v="3"/>
    <n v="1200"/>
    <x v="11"/>
  </r>
  <r>
    <n v="3607"/>
    <x v="1147"/>
    <x v="1282"/>
    <s v="Mrs"/>
    <s v="F"/>
    <n v="30"/>
    <s v="Trevelyan Terrace"/>
    <x v="113"/>
    <x v="2"/>
    <d v="2020-01-18T00:00:00"/>
    <x v="2"/>
    <x v="6"/>
    <n v="43"/>
    <x v="6"/>
    <x v="6"/>
    <n v="1032"/>
    <x v="27"/>
  </r>
  <r>
    <n v="3608"/>
    <x v="1837"/>
    <x v="254"/>
    <s v="Mr"/>
    <s v="M"/>
    <n v="30"/>
    <s v="Trident Place"/>
    <x v="818"/>
    <x v="2"/>
    <d v="2020-02-04T00:00:00"/>
    <x v="2"/>
    <x v="10"/>
    <n v="23"/>
    <x v="8"/>
    <x v="8"/>
    <n v="460"/>
    <x v="485"/>
  </r>
  <r>
    <n v="3609"/>
    <x v="2305"/>
    <x v="282"/>
    <s v="Mr"/>
    <s v="M"/>
    <n v="30"/>
    <s v="Trigon Terrace"/>
    <x v="551"/>
    <x v="2"/>
    <d v="2022-06-17T00:00:00"/>
    <x v="0"/>
    <x v="2"/>
    <n v="55"/>
    <x v="7"/>
    <x v="7"/>
    <n v="1100"/>
    <x v="216"/>
  </r>
  <r>
    <n v="3610"/>
    <x v="2306"/>
    <x v="746"/>
    <s v="Miss"/>
    <s v="F"/>
    <n v="60"/>
    <s v="Trinder Road"/>
    <x v="214"/>
    <x v="1"/>
    <d v="2022-03-27T00:00:00"/>
    <x v="0"/>
    <x v="5"/>
    <n v="71"/>
    <x v="5"/>
    <x v="5"/>
    <n v="1704"/>
    <x v="530"/>
  </r>
  <r>
    <n v="3611"/>
    <x v="631"/>
    <x v="1041"/>
    <s v="Mr"/>
    <s v="M"/>
    <n v="60"/>
    <s v="Trinity Mews"/>
    <x v="625"/>
    <x v="2"/>
    <d v="2020-12-26T00:00:00"/>
    <x v="2"/>
    <x v="8"/>
    <n v="37"/>
    <x v="6"/>
    <x v="6"/>
    <n v="888"/>
    <x v="292"/>
  </r>
  <r>
    <n v="3612"/>
    <x v="2307"/>
    <x v="1649"/>
    <s v="Miss"/>
    <s v="F"/>
    <n v="30"/>
    <s v="Trinity Place"/>
    <x v="498"/>
    <x v="2"/>
    <d v="2021-12-04T00:00:00"/>
    <x v="1"/>
    <x v="8"/>
    <n v="62"/>
    <x v="4"/>
    <x v="4"/>
    <n v="1116"/>
    <x v="135"/>
  </r>
  <r>
    <n v="3613"/>
    <x v="2308"/>
    <x v="1419"/>
    <s v="Mrs"/>
    <s v="F"/>
    <n v="90"/>
    <s v="Trinity Street"/>
    <x v="1005"/>
    <x v="2"/>
    <d v="2020-04-28T00:00:00"/>
    <x v="2"/>
    <x v="4"/>
    <n v="63"/>
    <x v="9"/>
    <x v="9"/>
    <n v="1512"/>
    <x v="355"/>
  </r>
  <r>
    <n v="3614"/>
    <x v="2309"/>
    <x v="76"/>
    <s v="Mrs"/>
    <s v="F"/>
    <n v="60"/>
    <s v="Trott Street"/>
    <x v="1255"/>
    <x v="2"/>
    <d v="2020-10-07T00:00:00"/>
    <x v="2"/>
    <x v="1"/>
    <n v="13"/>
    <x v="4"/>
    <x v="4"/>
    <n v="234"/>
    <x v="143"/>
  </r>
  <r>
    <n v="3615"/>
    <x v="2310"/>
    <x v="1650"/>
    <s v="Miss"/>
    <s v="F"/>
    <n v="90"/>
    <s v="Trumans Fields"/>
    <x v="660"/>
    <x v="2"/>
    <d v="2022-11-04T00:00:00"/>
    <x v="0"/>
    <x v="7"/>
    <n v="64"/>
    <x v="5"/>
    <x v="5"/>
    <n v="1536"/>
    <x v="372"/>
  </r>
  <r>
    <n v="3616"/>
    <x v="2311"/>
    <x v="1651"/>
    <s v="Miss"/>
    <s v="F"/>
    <n v="60"/>
    <s v="Truro Street"/>
    <x v="1006"/>
    <x v="44"/>
    <d v="2021-04-08T00:00:00"/>
    <x v="1"/>
    <x v="4"/>
    <n v="57"/>
    <x v="1"/>
    <x v="1"/>
    <n v="1368"/>
    <x v="436"/>
  </r>
  <r>
    <n v="3617"/>
    <x v="1155"/>
    <x v="636"/>
    <s v="Mr"/>
    <s v="M"/>
    <n v="60"/>
    <s v="Tryon Street"/>
    <x v="851"/>
    <x v="20"/>
    <d v="2020-01-08T00:00:00"/>
    <x v="2"/>
    <x v="6"/>
    <n v="56"/>
    <x v="1"/>
    <x v="1"/>
    <n v="1344"/>
    <x v="819"/>
  </r>
  <r>
    <n v="3618"/>
    <x v="1182"/>
    <x v="1652"/>
    <s v="Mr"/>
    <s v="M"/>
    <n v="30"/>
    <s v="Tryons Place"/>
    <x v="578"/>
    <x v="0"/>
    <d v="2021-10-11T00:00:00"/>
    <x v="1"/>
    <x v="1"/>
    <n v="62"/>
    <x v="5"/>
    <x v="5"/>
    <n v="1488"/>
    <x v="777"/>
  </r>
  <r>
    <n v="3619"/>
    <x v="2312"/>
    <x v="1417"/>
    <s v="Mr"/>
    <s v="M"/>
    <n v="60"/>
    <s v="Tudor House"/>
    <x v="903"/>
    <x v="2"/>
    <d v="2022-03-01T00:00:00"/>
    <x v="0"/>
    <x v="5"/>
    <n v="21"/>
    <x v="3"/>
    <x v="3"/>
    <n v="504"/>
    <x v="229"/>
  </r>
  <r>
    <n v="3620"/>
    <x v="2313"/>
    <x v="1561"/>
    <s v="Prof"/>
    <s v="M"/>
    <n v="90"/>
    <s v="Tufton Street"/>
    <x v="1007"/>
    <x v="2"/>
    <d v="2022-05-07T00:00:00"/>
    <x v="0"/>
    <x v="11"/>
    <n v="65"/>
    <x v="9"/>
    <x v="9"/>
    <n v="1560"/>
    <x v="439"/>
  </r>
  <r>
    <n v="3621"/>
    <x v="584"/>
    <x v="255"/>
    <s v="Mr"/>
    <s v="M"/>
    <n v="60"/>
    <s v="Tugboat Street"/>
    <x v="760"/>
    <x v="2"/>
    <d v="2021-05-27T00:00:00"/>
    <x v="1"/>
    <x v="11"/>
    <n v="4"/>
    <x v="8"/>
    <x v="8"/>
    <n v="80"/>
    <x v="688"/>
  </r>
  <r>
    <n v="3622"/>
    <x v="1627"/>
    <x v="593"/>
    <s v="Mr"/>
    <s v="M"/>
    <n v="90"/>
    <s v="Tugboat Street"/>
    <x v="340"/>
    <x v="2"/>
    <d v="2022-09-11T00:00:00"/>
    <x v="0"/>
    <x v="9"/>
    <n v="49"/>
    <x v="5"/>
    <x v="5"/>
    <n v="1176"/>
    <x v="908"/>
  </r>
  <r>
    <n v="3623"/>
    <x v="2314"/>
    <x v="1214"/>
    <s v="Mrs"/>
    <s v="F"/>
    <n v="90"/>
    <s v="Tulletts Yard"/>
    <x v="643"/>
    <x v="2"/>
    <d v="2020-01-09T00:00:00"/>
    <x v="2"/>
    <x v="6"/>
    <n v="67"/>
    <x v="6"/>
    <x v="6"/>
    <n v="1608"/>
    <x v="604"/>
  </r>
  <r>
    <n v="3624"/>
    <x v="2315"/>
    <x v="1555"/>
    <s v="Mrs"/>
    <s v="F"/>
    <n v="60"/>
    <s v="Turk Place"/>
    <x v="330"/>
    <x v="21"/>
    <d v="2022-01-01T00:00:00"/>
    <x v="0"/>
    <x v="6"/>
    <n v="68"/>
    <x v="2"/>
    <x v="2"/>
    <n v="1156"/>
    <x v="21"/>
  </r>
  <r>
    <n v="3625"/>
    <x v="468"/>
    <x v="473"/>
    <s v="Mr"/>
    <s v="M"/>
    <n v="60"/>
    <s v="Turk Street"/>
    <x v="1128"/>
    <x v="18"/>
    <d v="2022-12-01T00:00:00"/>
    <x v="0"/>
    <x v="8"/>
    <n v="29"/>
    <x v="8"/>
    <x v="8"/>
    <n v="580"/>
    <x v="295"/>
  </r>
  <r>
    <n v="3626"/>
    <x v="2316"/>
    <x v="840"/>
    <s v="Miss"/>
    <s v="F"/>
    <n v="30"/>
    <s v="Turley Close"/>
    <x v="832"/>
    <x v="35"/>
    <d v="2021-07-04T00:00:00"/>
    <x v="1"/>
    <x v="0"/>
    <n v="8"/>
    <x v="8"/>
    <x v="8"/>
    <n v="160"/>
    <x v="612"/>
  </r>
  <r>
    <n v="3627"/>
    <x v="2080"/>
    <x v="428"/>
    <s v="Miss"/>
    <s v="F"/>
    <n v="90"/>
    <s v="Turner Road"/>
    <x v="260"/>
    <x v="2"/>
    <d v="2020-08-03T00:00:00"/>
    <x v="2"/>
    <x v="3"/>
    <n v="71"/>
    <x v="2"/>
    <x v="2"/>
    <n v="1207"/>
    <x v="726"/>
  </r>
  <r>
    <n v="3628"/>
    <x v="1260"/>
    <x v="415"/>
    <s v="Mrs"/>
    <s v="F"/>
    <n v="60"/>
    <s v="Turners Buildings"/>
    <x v="391"/>
    <x v="2"/>
    <d v="2022-01-05T00:00:00"/>
    <x v="0"/>
    <x v="6"/>
    <n v="54"/>
    <x v="2"/>
    <x v="2"/>
    <n v="918"/>
    <x v="137"/>
  </r>
  <r>
    <n v="3629"/>
    <x v="1879"/>
    <x v="1034"/>
    <s v="Mrs"/>
    <s v="F"/>
    <n v="60"/>
    <s v="Turners Court"/>
    <x v="1256"/>
    <x v="2"/>
    <d v="2021-03-24T00:00:00"/>
    <x v="1"/>
    <x v="5"/>
    <n v="78"/>
    <x v="5"/>
    <x v="5"/>
    <n v="1872"/>
    <x v="651"/>
  </r>
  <r>
    <n v="3630"/>
    <x v="2317"/>
    <x v="1653"/>
    <s v="Mrs"/>
    <s v="F"/>
    <n v="90"/>
    <s v="Turrett Grove"/>
    <x v="526"/>
    <x v="1"/>
    <d v="2020-10-23T00:00:00"/>
    <x v="2"/>
    <x v="1"/>
    <n v="8"/>
    <x v="6"/>
    <x v="6"/>
    <n v="192"/>
    <x v="752"/>
  </r>
  <r>
    <n v="3631"/>
    <x v="284"/>
    <x v="1490"/>
    <s v="Mr"/>
    <s v="M"/>
    <n v="60"/>
    <s v="Turville Buildings"/>
    <x v="445"/>
    <x v="2"/>
    <d v="2021-04-12T00:00:00"/>
    <x v="1"/>
    <x v="4"/>
    <n v="19"/>
    <x v="2"/>
    <x v="2"/>
    <n v="323"/>
    <x v="337"/>
  </r>
  <r>
    <n v="3632"/>
    <x v="1047"/>
    <x v="1388"/>
    <s v="Mr"/>
    <s v="M"/>
    <n v="60"/>
    <s v="Tusons Court"/>
    <x v="1084"/>
    <x v="11"/>
    <d v="2021-11-22T00:00:00"/>
    <x v="1"/>
    <x v="7"/>
    <n v="56"/>
    <x v="9"/>
    <x v="9"/>
    <n v="1344"/>
    <x v="87"/>
  </r>
  <r>
    <n v="3633"/>
    <x v="1813"/>
    <x v="359"/>
    <s v="Mrs"/>
    <s v="F"/>
    <n v="90"/>
    <s v="Tweed Cottages"/>
    <x v="867"/>
    <x v="20"/>
    <d v="2022-03-09T00:00:00"/>
    <x v="0"/>
    <x v="5"/>
    <n v="10"/>
    <x v="8"/>
    <x v="8"/>
    <n v="200"/>
    <x v="859"/>
  </r>
  <r>
    <n v="3634"/>
    <x v="1134"/>
    <x v="1540"/>
    <s v="Mr"/>
    <s v="M"/>
    <n v="30"/>
    <s v="Twickenham Road"/>
    <x v="1165"/>
    <x v="67"/>
    <d v="2020-05-27T00:00:00"/>
    <x v="2"/>
    <x v="11"/>
    <n v="76"/>
    <x v="6"/>
    <x v="6"/>
    <n v="1824"/>
    <x v="708"/>
  </r>
  <r>
    <n v="3635"/>
    <x v="2111"/>
    <x v="330"/>
    <s v="Mrs"/>
    <s v="F"/>
    <n v="60"/>
    <s v="Twilley Street"/>
    <x v="1191"/>
    <x v="12"/>
    <d v="2020-01-30T00:00:00"/>
    <x v="2"/>
    <x v="6"/>
    <n v="16"/>
    <x v="5"/>
    <x v="5"/>
    <n v="384"/>
    <x v="731"/>
  </r>
  <r>
    <n v="3636"/>
    <x v="2318"/>
    <x v="166"/>
    <s v="Mrs"/>
    <s v="F"/>
    <n v="30"/>
    <s v="Twineham Green"/>
    <x v="1069"/>
    <x v="17"/>
    <d v="2022-08-19T00:00:00"/>
    <x v="0"/>
    <x v="3"/>
    <n v="57"/>
    <x v="7"/>
    <x v="7"/>
    <n v="1140"/>
    <x v="501"/>
  </r>
  <r>
    <n v="3637"/>
    <x v="815"/>
    <x v="231"/>
    <s v="Miss"/>
    <s v="F"/>
    <n v="90"/>
    <s v="Twisters Alley"/>
    <x v="386"/>
    <x v="3"/>
    <d v="2020-12-01T00:00:00"/>
    <x v="2"/>
    <x v="8"/>
    <n v="53"/>
    <x v="1"/>
    <x v="1"/>
    <n v="1272"/>
    <x v="934"/>
  </r>
  <r>
    <n v="3638"/>
    <x v="2319"/>
    <x v="972"/>
    <s v="Mr"/>
    <s v="M"/>
    <n v="90"/>
    <s v="Twyford Crescent"/>
    <x v="731"/>
    <x v="2"/>
    <d v="2020-02-19T00:00:00"/>
    <x v="2"/>
    <x v="10"/>
    <n v="20"/>
    <x v="3"/>
    <x v="3"/>
    <n v="480"/>
    <x v="847"/>
  </r>
  <r>
    <n v="3639"/>
    <x v="1471"/>
    <x v="353"/>
    <s v="Rev"/>
    <s v="M"/>
    <n v="60"/>
    <s v="Tyburn Road"/>
    <x v="421"/>
    <x v="0"/>
    <d v="2020-04-03T00:00:00"/>
    <x v="2"/>
    <x v="4"/>
    <n v="58"/>
    <x v="5"/>
    <x v="5"/>
    <n v="1392"/>
    <x v="831"/>
  </r>
  <r>
    <n v="3640"/>
    <x v="992"/>
    <x v="1654"/>
    <s v="Mr"/>
    <s v="M"/>
    <n v="90"/>
    <s v="Tyers Estate"/>
    <x v="363"/>
    <x v="11"/>
    <d v="2020-06-06T00:00:00"/>
    <x v="2"/>
    <x v="2"/>
    <n v="41"/>
    <x v="0"/>
    <x v="0"/>
    <n v="820"/>
    <x v="870"/>
  </r>
  <r>
    <n v="3641"/>
    <x v="2233"/>
    <x v="1042"/>
    <s v="Mrs"/>
    <s v="F"/>
    <n v="60"/>
    <s v="Tyler Close"/>
    <x v="645"/>
    <x v="2"/>
    <d v="2021-10-05T00:00:00"/>
    <x v="1"/>
    <x v="1"/>
    <n v="58"/>
    <x v="1"/>
    <x v="1"/>
    <n v="1392"/>
    <x v="280"/>
  </r>
  <r>
    <n v="3642"/>
    <x v="2320"/>
    <x v="95"/>
    <s v="Mrs"/>
    <s v="F"/>
    <n v="30"/>
    <s v="Tyneham Road"/>
    <x v="1241"/>
    <x v="15"/>
    <d v="2020-04-19T00:00:00"/>
    <x v="2"/>
    <x v="4"/>
    <n v="69"/>
    <x v="2"/>
    <x v="2"/>
    <n v="1173"/>
    <x v="875"/>
  </r>
  <r>
    <n v="3643"/>
    <x v="2107"/>
    <x v="962"/>
    <s v="Miss"/>
    <s v="F"/>
    <n v="60"/>
    <s v="Tyneham Road"/>
    <x v="466"/>
    <x v="3"/>
    <d v="2020-08-20T00:00:00"/>
    <x v="2"/>
    <x v="3"/>
    <n v="37"/>
    <x v="2"/>
    <x v="2"/>
    <n v="629"/>
    <x v="867"/>
  </r>
  <r>
    <n v="3644"/>
    <x v="1702"/>
    <x v="761"/>
    <s v="Mr"/>
    <s v="M"/>
    <n v="30"/>
    <s v="Tyneham Road"/>
    <x v="341"/>
    <x v="21"/>
    <d v="2020-05-01T00:00:00"/>
    <x v="2"/>
    <x v="11"/>
    <n v="75"/>
    <x v="9"/>
    <x v="9"/>
    <n v="1800"/>
    <x v="146"/>
  </r>
  <r>
    <n v="3645"/>
    <x v="1534"/>
    <x v="803"/>
    <s v="Mr"/>
    <s v="M"/>
    <n v="60"/>
    <s v="Tynemouth Road"/>
    <x v="917"/>
    <x v="35"/>
    <d v="2021-09-19T00:00:00"/>
    <x v="1"/>
    <x v="9"/>
    <n v="18"/>
    <x v="8"/>
    <x v="8"/>
    <n v="360"/>
    <x v="24"/>
  </r>
  <r>
    <n v="3646"/>
    <x v="2321"/>
    <x v="690"/>
    <s v="Mr"/>
    <s v="M"/>
    <n v="30"/>
    <s v="Tyrone Road"/>
    <x v="191"/>
    <x v="0"/>
    <d v="2022-09-04T00:00:00"/>
    <x v="0"/>
    <x v="9"/>
    <n v="8"/>
    <x v="6"/>
    <x v="6"/>
    <n v="192"/>
    <x v="752"/>
  </r>
  <r>
    <n v="3647"/>
    <x v="1813"/>
    <x v="1033"/>
    <s v="Mrs"/>
    <s v="F"/>
    <n v="60"/>
    <s v="Tyrwhitt Road"/>
    <x v="1257"/>
    <x v="21"/>
    <d v="2020-07-06T00:00:00"/>
    <x v="2"/>
    <x v="0"/>
    <n v="43"/>
    <x v="9"/>
    <x v="9"/>
    <n v="1032"/>
    <x v="840"/>
  </r>
  <r>
    <n v="3648"/>
    <x v="1485"/>
    <x v="1489"/>
    <s v="Mr"/>
    <s v="M"/>
    <n v="60"/>
    <s v="Tyrwhitt Road"/>
    <x v="775"/>
    <x v="15"/>
    <d v="2020-01-08T00:00:00"/>
    <x v="2"/>
    <x v="6"/>
    <n v="47"/>
    <x v="1"/>
    <x v="1"/>
    <n v="1128"/>
    <x v="147"/>
  </r>
  <r>
    <n v="3649"/>
    <x v="786"/>
    <x v="1345"/>
    <s v="Mr"/>
    <s v="M"/>
    <n v="30"/>
    <s v="Petley Road"/>
    <x v="1126"/>
    <x v="3"/>
    <d v="2022-10-17T00:00:00"/>
    <x v="0"/>
    <x v="1"/>
    <n v="3"/>
    <x v="1"/>
    <x v="1"/>
    <n v="72"/>
    <x v="691"/>
  </r>
  <r>
    <n v="3650"/>
    <x v="1942"/>
    <x v="1060"/>
    <s v="Mr"/>
    <s v="M"/>
    <n v="60"/>
    <s v="Pevensey Road"/>
    <x v="158"/>
    <x v="17"/>
    <d v="2022-12-18T00:00:00"/>
    <x v="0"/>
    <x v="8"/>
    <n v="62"/>
    <x v="9"/>
    <x v="9"/>
    <n v="1488"/>
    <x v="451"/>
  </r>
  <r>
    <n v="3651"/>
    <x v="1270"/>
    <x v="1221"/>
    <s v="Mr"/>
    <s v="M"/>
    <n v="60"/>
    <s v="Pewsey Close"/>
    <x v="77"/>
    <x v="13"/>
    <d v="2021-04-30T00:00:00"/>
    <x v="1"/>
    <x v="4"/>
    <n v="58"/>
    <x v="0"/>
    <x v="0"/>
    <n v="1160"/>
    <x v="791"/>
  </r>
  <r>
    <n v="3652"/>
    <x v="2322"/>
    <x v="1134"/>
    <s v="Mrs"/>
    <s v="F"/>
    <n v="90"/>
    <s v="Phene Street"/>
    <x v="376"/>
    <x v="3"/>
    <d v="2021-07-01T00:00:00"/>
    <x v="1"/>
    <x v="0"/>
    <n v="5"/>
    <x v="4"/>
    <x v="4"/>
    <n v="90"/>
    <x v="10"/>
  </r>
  <r>
    <n v="3653"/>
    <x v="2118"/>
    <x v="294"/>
    <s v="Mrs"/>
    <s v="F"/>
    <n v="90"/>
    <s v="Phene Street"/>
    <x v="165"/>
    <x v="2"/>
    <d v="2022-04-05T00:00:00"/>
    <x v="0"/>
    <x v="4"/>
    <n v="36"/>
    <x v="8"/>
    <x v="8"/>
    <n v="720"/>
    <x v="719"/>
  </r>
  <r>
    <n v="3654"/>
    <x v="817"/>
    <x v="942"/>
    <s v="Mr"/>
    <s v="M"/>
    <n v="60"/>
    <s v="Pheonix Place"/>
    <x v="384"/>
    <x v="1"/>
    <d v="2021-04-13T00:00:00"/>
    <x v="1"/>
    <x v="4"/>
    <n v="65"/>
    <x v="3"/>
    <x v="3"/>
    <n v="1560"/>
    <x v="257"/>
  </r>
  <r>
    <n v="3655"/>
    <x v="2323"/>
    <x v="1655"/>
    <s v="Miss"/>
    <s v="F"/>
    <n v="60"/>
    <s v="Philip Terrace"/>
    <x v="1233"/>
    <x v="21"/>
    <d v="2020-12-07T00:00:00"/>
    <x v="2"/>
    <x v="8"/>
    <n v="44"/>
    <x v="2"/>
    <x v="2"/>
    <n v="748"/>
    <x v="696"/>
  </r>
  <r>
    <n v="3656"/>
    <x v="853"/>
    <x v="1656"/>
    <s v="Mrs"/>
    <s v="F"/>
    <n v="30"/>
    <s v="Philip Walk"/>
    <x v="19"/>
    <x v="12"/>
    <d v="2022-11-02T00:00:00"/>
    <x v="0"/>
    <x v="7"/>
    <n v="63"/>
    <x v="0"/>
    <x v="0"/>
    <n v="1260"/>
    <x v="41"/>
  </r>
  <r>
    <n v="3657"/>
    <x v="1493"/>
    <x v="925"/>
    <s v="Miss"/>
    <s v="F"/>
    <n v="60"/>
    <s v="Philipot Path"/>
    <x v="1258"/>
    <x v="2"/>
    <d v="2021-05-27T00:00:00"/>
    <x v="1"/>
    <x v="11"/>
    <n v="7"/>
    <x v="1"/>
    <x v="1"/>
    <n v="168"/>
    <x v="629"/>
  </r>
  <r>
    <n v="3658"/>
    <x v="22"/>
    <x v="1657"/>
    <s v="Mr"/>
    <s v="M"/>
    <n v="60"/>
    <s v="Phillimore Gardens"/>
    <x v="458"/>
    <x v="21"/>
    <d v="2021-10-06T00:00:00"/>
    <x v="1"/>
    <x v="1"/>
    <n v="27"/>
    <x v="2"/>
    <x v="2"/>
    <n v="459"/>
    <x v="431"/>
  </r>
  <r>
    <n v="3659"/>
    <x v="1493"/>
    <x v="978"/>
    <s v="Mr"/>
    <s v="M"/>
    <n v="60"/>
    <s v="Phillimore Gardens"/>
    <x v="677"/>
    <x v="2"/>
    <d v="2022-03-09T00:00:00"/>
    <x v="0"/>
    <x v="5"/>
    <n v="42"/>
    <x v="8"/>
    <x v="8"/>
    <n v="840"/>
    <x v="289"/>
  </r>
  <r>
    <n v="3660"/>
    <x v="1680"/>
    <x v="1420"/>
    <s v="Mrs"/>
    <s v="F"/>
    <n v="90"/>
    <s v="Phillimore Place"/>
    <x v="564"/>
    <x v="2"/>
    <d v="2022-08-14T00:00:00"/>
    <x v="0"/>
    <x v="3"/>
    <n v="91"/>
    <x v="7"/>
    <x v="7"/>
    <n v="1820"/>
    <x v="151"/>
  </r>
  <r>
    <n v="3661"/>
    <x v="1626"/>
    <x v="1658"/>
    <s v="Miss"/>
    <s v="F"/>
    <n v="60"/>
    <s v="Phillips Buildings"/>
    <x v="1232"/>
    <x v="21"/>
    <d v="2021-06-24T00:00:00"/>
    <x v="1"/>
    <x v="2"/>
    <n v="38"/>
    <x v="6"/>
    <x v="6"/>
    <n v="912"/>
    <x v="350"/>
  </r>
  <r>
    <n v="3662"/>
    <x v="2324"/>
    <x v="1659"/>
    <s v="Mrs"/>
    <s v="F"/>
    <n v="60"/>
    <s v="Phillips Court"/>
    <x v="983"/>
    <x v="2"/>
    <d v="2021-06-12T00:00:00"/>
    <x v="1"/>
    <x v="2"/>
    <n v="31"/>
    <x v="8"/>
    <x v="8"/>
    <n v="620"/>
    <x v="504"/>
  </r>
  <r>
    <n v="3663"/>
    <x v="1227"/>
    <x v="1056"/>
    <s v="Mr"/>
    <s v="M"/>
    <n v="60"/>
    <s v="Phillips Place"/>
    <x v="205"/>
    <x v="16"/>
    <d v="2020-01-05T00:00:00"/>
    <x v="2"/>
    <x v="6"/>
    <n v="30"/>
    <x v="0"/>
    <x v="0"/>
    <n v="600"/>
    <x v="978"/>
  </r>
  <r>
    <n v="3664"/>
    <x v="1725"/>
    <x v="35"/>
    <s v="Mr"/>
    <s v="M"/>
    <n v="90"/>
    <s v="Phoenix Close"/>
    <x v="694"/>
    <x v="11"/>
    <d v="2022-09-12T00:00:00"/>
    <x v="0"/>
    <x v="9"/>
    <n v="74"/>
    <x v="2"/>
    <x v="2"/>
    <n v="1258"/>
    <x v="965"/>
  </r>
  <r>
    <n v="3665"/>
    <x v="2228"/>
    <x v="85"/>
    <s v="Miss"/>
    <s v="F"/>
    <n v="60"/>
    <s v="Physic Place"/>
    <x v="205"/>
    <x v="16"/>
    <d v="2021-01-28T00:00:00"/>
    <x v="1"/>
    <x v="6"/>
    <n v="7"/>
    <x v="1"/>
    <x v="1"/>
    <n v="168"/>
    <x v="629"/>
  </r>
  <r>
    <n v="3666"/>
    <x v="2258"/>
    <x v="1509"/>
    <s v="Mr"/>
    <s v="M"/>
    <n v="30"/>
    <s v="Piazza"/>
    <x v="596"/>
    <x v="2"/>
    <d v="2022-12-12T00:00:00"/>
    <x v="0"/>
    <x v="8"/>
    <n v="9"/>
    <x v="8"/>
    <x v="8"/>
    <n v="180"/>
    <x v="198"/>
  </r>
  <r>
    <n v="3667"/>
    <x v="2325"/>
    <x v="1660"/>
    <s v="Miss"/>
    <s v="F"/>
    <n v="60"/>
    <s v="Pickering Mews"/>
    <x v="1104"/>
    <x v="2"/>
    <d v="2022-01-04T00:00:00"/>
    <x v="0"/>
    <x v="6"/>
    <n v="38"/>
    <x v="1"/>
    <x v="1"/>
    <n v="912"/>
    <x v="17"/>
  </r>
  <r>
    <n v="3668"/>
    <x v="1498"/>
    <x v="1661"/>
    <s v="Mr"/>
    <s v="M"/>
    <n v="90"/>
    <s v="Pickering Place"/>
    <x v="522"/>
    <x v="17"/>
    <d v="2022-08-18T00:00:00"/>
    <x v="0"/>
    <x v="3"/>
    <n v="72"/>
    <x v="8"/>
    <x v="8"/>
    <n v="1440"/>
    <x v="718"/>
  </r>
  <r>
    <n v="3669"/>
    <x v="247"/>
    <x v="1662"/>
    <s v="Miss"/>
    <s v="F"/>
    <n v="30"/>
    <s v="Pickets Street"/>
    <x v="284"/>
    <x v="4"/>
    <d v="2020-08-13T00:00:00"/>
    <x v="2"/>
    <x v="3"/>
    <n v="76"/>
    <x v="2"/>
    <x v="2"/>
    <n v="1292"/>
    <x v="347"/>
  </r>
  <r>
    <n v="3670"/>
    <x v="655"/>
    <x v="1215"/>
    <s v="Dr"/>
    <s v="M"/>
    <n v="90"/>
    <s v="Pickets Street"/>
    <x v="1067"/>
    <x v="15"/>
    <d v="2021-10-29T00:00:00"/>
    <x v="1"/>
    <x v="1"/>
    <n v="78"/>
    <x v="9"/>
    <x v="9"/>
    <n v="1872"/>
    <x v="353"/>
  </r>
  <r>
    <n v="3671"/>
    <x v="2326"/>
    <x v="39"/>
    <s v="Mrs"/>
    <s v="F"/>
    <n v="90"/>
    <s v="Pickfords Yard"/>
    <x v="248"/>
    <x v="2"/>
    <d v="2020-01-26T00:00:00"/>
    <x v="2"/>
    <x v="6"/>
    <n v="3"/>
    <x v="9"/>
    <x v="9"/>
    <n v="72"/>
    <x v="234"/>
  </r>
  <r>
    <n v="3672"/>
    <x v="652"/>
    <x v="1001"/>
    <s v="Mr"/>
    <s v="M"/>
    <n v="30"/>
    <s v="Pier Parade"/>
    <x v="306"/>
    <x v="2"/>
    <d v="2020-04-29T00:00:00"/>
    <x v="2"/>
    <x v="4"/>
    <n v="71"/>
    <x v="9"/>
    <x v="9"/>
    <n v="1704"/>
    <x v="979"/>
  </r>
  <r>
    <n v="3673"/>
    <x v="684"/>
    <x v="929"/>
    <s v="Miss"/>
    <s v="F"/>
    <n v="60"/>
    <s v="Piermont Green"/>
    <x v="625"/>
    <x v="2"/>
    <d v="2020-04-14T00:00:00"/>
    <x v="2"/>
    <x v="4"/>
    <n v="71"/>
    <x v="4"/>
    <x v="4"/>
    <n v="1278"/>
    <x v="265"/>
  </r>
  <r>
    <n v="3674"/>
    <x v="2327"/>
    <x v="176"/>
    <s v="Miss"/>
    <s v="F"/>
    <n v="30"/>
    <s v="Pillar Box"/>
    <x v="288"/>
    <x v="2"/>
    <d v="2020-10-21T00:00:00"/>
    <x v="2"/>
    <x v="1"/>
    <n v="6"/>
    <x v="8"/>
    <x v="8"/>
    <n v="120"/>
    <x v="564"/>
  </r>
  <r>
    <n v="3675"/>
    <x v="2328"/>
    <x v="202"/>
    <s v="Ms"/>
    <s v="F"/>
    <n v="60"/>
    <s v="Pipemaker'S Alley"/>
    <x v="481"/>
    <x v="2"/>
    <d v="2022-07-26T00:00:00"/>
    <x v="0"/>
    <x v="0"/>
    <n v="98"/>
    <x v="2"/>
    <x v="2"/>
    <n v="1666"/>
    <x v="483"/>
  </r>
  <r>
    <n v="3676"/>
    <x v="595"/>
    <x v="1663"/>
    <s v="Mr"/>
    <s v="M"/>
    <n v="30"/>
    <s v="Pirie Street"/>
    <x v="1042"/>
    <x v="1"/>
    <d v="2022-04-18T00:00:00"/>
    <x v="0"/>
    <x v="4"/>
    <n v="43"/>
    <x v="1"/>
    <x v="1"/>
    <n v="1032"/>
    <x v="76"/>
  </r>
  <r>
    <n v="3677"/>
    <x v="1442"/>
    <x v="1664"/>
    <s v="Miss"/>
    <s v="F"/>
    <n v="90"/>
    <s v="Pitfield Crescent"/>
    <x v="690"/>
    <x v="2"/>
    <d v="2020-08-17T00:00:00"/>
    <x v="2"/>
    <x v="3"/>
    <n v="77"/>
    <x v="1"/>
    <x v="1"/>
    <n v="1848"/>
    <x v="91"/>
  </r>
  <r>
    <n v="3678"/>
    <x v="128"/>
    <x v="1221"/>
    <s v="Mr"/>
    <s v="M"/>
    <n v="60"/>
    <s v="Pitshanger Park"/>
    <x v="1140"/>
    <x v="2"/>
    <d v="2020-11-10T00:00:00"/>
    <x v="2"/>
    <x v="7"/>
    <n v="49"/>
    <x v="9"/>
    <x v="9"/>
    <n v="1176"/>
    <x v="459"/>
  </r>
  <r>
    <n v="3679"/>
    <x v="207"/>
    <x v="918"/>
    <s v="Rev"/>
    <s v="M"/>
    <n v="30"/>
    <s v="Plant Terrace"/>
    <x v="691"/>
    <x v="2"/>
    <d v="2021-09-13T00:00:00"/>
    <x v="1"/>
    <x v="9"/>
    <n v="25"/>
    <x v="6"/>
    <x v="6"/>
    <n v="600"/>
    <x v="130"/>
  </r>
  <r>
    <n v="3680"/>
    <x v="325"/>
    <x v="1665"/>
    <s v="Mr"/>
    <s v="M"/>
    <n v="30"/>
    <s v="Plantain Place"/>
    <x v="352"/>
    <x v="2"/>
    <d v="2020-10-25T00:00:00"/>
    <x v="2"/>
    <x v="1"/>
    <n v="76"/>
    <x v="0"/>
    <x v="0"/>
    <n v="1520"/>
    <x v="662"/>
  </r>
  <r>
    <n v="3681"/>
    <x v="2277"/>
    <x v="1020"/>
    <s v="Mrs"/>
    <s v="F"/>
    <n v="90"/>
    <s v="Plashet Grove"/>
    <x v="539"/>
    <x v="36"/>
    <d v="2020-05-28T00:00:00"/>
    <x v="2"/>
    <x v="11"/>
    <n v="38"/>
    <x v="0"/>
    <x v="0"/>
    <n v="760"/>
    <x v="470"/>
  </r>
  <r>
    <n v="3682"/>
    <x v="2329"/>
    <x v="1198"/>
    <s v="Miss"/>
    <s v="F"/>
    <n v="30"/>
    <s v="Playfield Crescent"/>
    <x v="1195"/>
    <x v="17"/>
    <d v="2020-11-29T00:00:00"/>
    <x v="2"/>
    <x v="7"/>
    <n v="59"/>
    <x v="0"/>
    <x v="0"/>
    <n v="1180"/>
    <x v="642"/>
  </r>
  <r>
    <n v="3683"/>
    <x v="2330"/>
    <x v="1542"/>
    <s v="Mr"/>
    <s v="M"/>
    <n v="60"/>
    <s v="Playford Road"/>
    <x v="901"/>
    <x v="3"/>
    <d v="2020-08-28T00:00:00"/>
    <x v="2"/>
    <x v="3"/>
    <n v="12"/>
    <x v="0"/>
    <x v="0"/>
    <n v="240"/>
    <x v="868"/>
  </r>
  <r>
    <n v="3684"/>
    <x v="2331"/>
    <x v="58"/>
    <s v="Mrs"/>
    <s v="F"/>
    <n v="30"/>
    <s v="Playford Road"/>
    <x v="300"/>
    <x v="2"/>
    <d v="2021-05-20T00:00:00"/>
    <x v="1"/>
    <x v="11"/>
    <n v="76"/>
    <x v="9"/>
    <x v="9"/>
    <n v="1824"/>
    <x v="590"/>
  </r>
  <r>
    <n v="3685"/>
    <x v="2332"/>
    <x v="1172"/>
    <s v="Mrs"/>
    <s v="F"/>
    <n v="30"/>
    <s v="Pleasant Passage"/>
    <x v="132"/>
    <x v="2"/>
    <d v="2021-04-13T00:00:00"/>
    <x v="1"/>
    <x v="4"/>
    <n v="73"/>
    <x v="7"/>
    <x v="7"/>
    <n v="1460"/>
    <x v="512"/>
  </r>
  <r>
    <n v="3686"/>
    <x v="2333"/>
    <x v="1106"/>
    <s v="Ms"/>
    <s v="F"/>
    <n v="60"/>
    <s v="Plevna Road"/>
    <x v="1151"/>
    <x v="2"/>
    <d v="2022-02-14T00:00:00"/>
    <x v="0"/>
    <x v="10"/>
    <n v="54"/>
    <x v="7"/>
    <x v="7"/>
    <n v="1080"/>
    <x v="308"/>
  </r>
  <r>
    <n v="3687"/>
    <x v="2334"/>
    <x v="944"/>
    <s v="Mr"/>
    <s v="M"/>
    <n v="60"/>
    <s v="Plough Bridge"/>
    <x v="1220"/>
    <x v="37"/>
    <d v="2020-09-24T00:00:00"/>
    <x v="2"/>
    <x v="9"/>
    <n v="67"/>
    <x v="9"/>
    <x v="9"/>
    <n v="1608"/>
    <x v="270"/>
  </r>
  <r>
    <n v="3688"/>
    <x v="2335"/>
    <x v="1470"/>
    <s v="Miss"/>
    <s v="F"/>
    <n v="60"/>
    <s v="Plummers Cottages"/>
    <x v="22"/>
    <x v="2"/>
    <d v="2020-06-19T00:00:00"/>
    <x v="2"/>
    <x v="2"/>
    <n v="7"/>
    <x v="3"/>
    <x v="3"/>
    <n v="168"/>
    <x v="33"/>
  </r>
  <r>
    <n v="3689"/>
    <x v="420"/>
    <x v="632"/>
    <s v="Mr"/>
    <s v="M"/>
    <n v="90"/>
    <s v="Plumstead High"/>
    <x v="1139"/>
    <x v="11"/>
    <d v="2021-02-03T00:00:00"/>
    <x v="1"/>
    <x v="10"/>
    <n v="7"/>
    <x v="1"/>
    <x v="1"/>
    <n v="168"/>
    <x v="629"/>
  </r>
  <r>
    <n v="3690"/>
    <x v="2336"/>
    <x v="868"/>
    <s v="Mr"/>
    <s v="M"/>
    <n v="60"/>
    <s v="Plymouth Road"/>
    <x v="1053"/>
    <x v="21"/>
    <d v="2020-04-08T00:00:00"/>
    <x v="2"/>
    <x v="4"/>
    <n v="32"/>
    <x v="4"/>
    <x v="4"/>
    <n v="576"/>
    <x v="58"/>
  </r>
  <r>
    <n v="3691"/>
    <x v="860"/>
    <x v="376"/>
    <s v="Miss"/>
    <s v="F"/>
    <n v="30"/>
    <s v="Plympton Avenue"/>
    <x v="378"/>
    <x v="2"/>
    <d v="2020-02-20T00:00:00"/>
    <x v="2"/>
    <x v="10"/>
    <n v="54"/>
    <x v="7"/>
    <x v="7"/>
    <n v="1080"/>
    <x v="308"/>
  </r>
  <r>
    <n v="3692"/>
    <x v="2113"/>
    <x v="594"/>
    <s v="Mr"/>
    <s v="M"/>
    <n v="30"/>
    <s v="Poets Road"/>
    <x v="1060"/>
    <x v="1"/>
    <d v="2022-04-02T00:00:00"/>
    <x v="0"/>
    <x v="4"/>
    <n v="94"/>
    <x v="5"/>
    <x v="5"/>
    <n v="2256"/>
    <x v="905"/>
  </r>
  <r>
    <n v="3693"/>
    <x v="209"/>
    <x v="52"/>
    <s v="Ms"/>
    <s v="F"/>
    <n v="60"/>
    <s v="Point View"/>
    <x v="153"/>
    <x v="29"/>
    <d v="2021-03-10T00:00:00"/>
    <x v="1"/>
    <x v="5"/>
    <n v="77"/>
    <x v="4"/>
    <x v="4"/>
    <n v="1386"/>
    <x v="620"/>
  </r>
  <r>
    <n v="3694"/>
    <x v="2337"/>
    <x v="1666"/>
    <s v="Ms"/>
    <s v="F"/>
    <n v="30"/>
    <s v="Pole Hill"/>
    <x v="142"/>
    <x v="21"/>
    <d v="2021-04-01T00:00:00"/>
    <x v="1"/>
    <x v="4"/>
    <n v="74"/>
    <x v="9"/>
    <x v="9"/>
    <n v="1776"/>
    <x v="525"/>
  </r>
  <r>
    <n v="3695"/>
    <x v="2338"/>
    <x v="579"/>
    <s v="Mr"/>
    <s v="M"/>
    <n v="60"/>
    <s v="Polesden Gardens"/>
    <x v="807"/>
    <x v="10"/>
    <d v="2020-06-23T00:00:00"/>
    <x v="2"/>
    <x v="2"/>
    <n v="75"/>
    <x v="7"/>
    <x v="7"/>
    <n v="1500"/>
    <x v="899"/>
  </r>
  <r>
    <n v="3696"/>
    <x v="2339"/>
    <x v="103"/>
    <s v="Miss"/>
    <s v="F"/>
    <n v="60"/>
    <s v="Pollard Houses"/>
    <x v="769"/>
    <x v="55"/>
    <d v="2021-01-13T00:00:00"/>
    <x v="1"/>
    <x v="6"/>
    <n v="17"/>
    <x v="4"/>
    <x v="4"/>
    <n v="306"/>
    <x v="567"/>
  </r>
  <r>
    <n v="3697"/>
    <x v="1978"/>
    <x v="553"/>
    <s v="Miss"/>
    <s v="F"/>
    <n v="30"/>
    <s v="Pollard Street"/>
    <x v="1067"/>
    <x v="15"/>
    <d v="2021-08-19T00:00:00"/>
    <x v="1"/>
    <x v="3"/>
    <n v="21"/>
    <x v="8"/>
    <x v="8"/>
    <n v="420"/>
    <x v="549"/>
  </r>
  <r>
    <n v="3698"/>
    <x v="737"/>
    <x v="815"/>
    <s v="Mr"/>
    <s v="M"/>
    <n v="60"/>
    <s v="Polworth Road"/>
    <x v="408"/>
    <x v="7"/>
    <d v="2020-10-31T00:00:00"/>
    <x v="2"/>
    <x v="1"/>
    <n v="10"/>
    <x v="9"/>
    <x v="9"/>
    <n v="240"/>
    <x v="34"/>
  </r>
  <r>
    <n v="3699"/>
    <x v="2340"/>
    <x v="443"/>
    <s v="Miss"/>
    <s v="F"/>
    <n v="90"/>
    <s v="Polworth Road"/>
    <x v="309"/>
    <x v="2"/>
    <d v="2022-05-23T00:00:00"/>
    <x v="0"/>
    <x v="11"/>
    <n v="94"/>
    <x v="8"/>
    <x v="8"/>
    <n v="1880"/>
    <x v="980"/>
  </r>
  <r>
    <n v="3700"/>
    <x v="2066"/>
    <x v="1140"/>
    <s v="Mrs"/>
    <s v="F"/>
    <n v="90"/>
    <s v="Polygon Row"/>
    <x v="239"/>
    <x v="40"/>
    <d v="2022-10-29T00:00:00"/>
    <x v="0"/>
    <x v="1"/>
    <n v="97"/>
    <x v="3"/>
    <x v="3"/>
    <n v="2328"/>
    <x v="571"/>
  </r>
  <r>
    <n v="3701"/>
    <x v="1563"/>
    <x v="188"/>
    <s v="Mr"/>
    <s v="M"/>
    <n v="90"/>
    <s v="Pomell Way"/>
    <x v="835"/>
    <x v="2"/>
    <d v="2021-02-06T00:00:00"/>
    <x v="1"/>
    <x v="10"/>
    <n v="20"/>
    <x v="1"/>
    <x v="1"/>
    <n v="480"/>
    <x v="329"/>
  </r>
  <r>
    <n v="3702"/>
    <x v="2341"/>
    <x v="242"/>
    <s v="Miss"/>
    <s v="F"/>
    <n v="30"/>
    <s v="Pond Farm"/>
    <x v="189"/>
    <x v="2"/>
    <d v="2020-07-30T00:00:00"/>
    <x v="2"/>
    <x v="0"/>
    <n v="42"/>
    <x v="3"/>
    <x v="3"/>
    <n v="1008"/>
    <x v="667"/>
  </r>
  <r>
    <n v="3703"/>
    <x v="2342"/>
    <x v="13"/>
    <s v="Miss"/>
    <s v="F"/>
    <n v="90"/>
    <s v="Pond Terrace"/>
    <x v="1045"/>
    <x v="17"/>
    <d v="2020-06-12T00:00:00"/>
    <x v="2"/>
    <x v="2"/>
    <n v="80"/>
    <x v="1"/>
    <x v="1"/>
    <n v="1920"/>
    <x v="956"/>
  </r>
  <r>
    <n v="3704"/>
    <x v="1003"/>
    <x v="1595"/>
    <s v="Mrs"/>
    <s v="F"/>
    <n v="60"/>
    <s v="Ponsard Road"/>
    <x v="903"/>
    <x v="2"/>
    <d v="2022-01-26T00:00:00"/>
    <x v="0"/>
    <x v="6"/>
    <n v="66"/>
    <x v="8"/>
    <x v="8"/>
    <n v="1320"/>
    <x v="241"/>
  </r>
  <r>
    <n v="3705"/>
    <x v="1103"/>
    <x v="51"/>
    <s v="Ms"/>
    <s v="F"/>
    <n v="90"/>
    <s v="Pont Street"/>
    <x v="1102"/>
    <x v="2"/>
    <d v="2022-12-30T00:00:00"/>
    <x v="0"/>
    <x v="8"/>
    <n v="26"/>
    <x v="7"/>
    <x v="7"/>
    <n v="520"/>
    <x v="110"/>
  </r>
  <r>
    <n v="3706"/>
    <x v="2343"/>
    <x v="1222"/>
    <s v="Mr"/>
    <s v="M"/>
    <n v="60"/>
    <s v="Pooah Road"/>
    <x v="433"/>
    <x v="2"/>
    <d v="2021-10-27T00:00:00"/>
    <x v="1"/>
    <x v="1"/>
    <n v="14"/>
    <x v="2"/>
    <x v="2"/>
    <n v="238"/>
    <x v="328"/>
  </r>
  <r>
    <n v="3707"/>
    <x v="2344"/>
    <x v="133"/>
    <s v="Miss"/>
    <s v="F"/>
    <n v="60"/>
    <s v="Pooles Lane"/>
    <x v="148"/>
    <x v="2"/>
    <d v="2020-05-11T00:00:00"/>
    <x v="2"/>
    <x v="11"/>
    <n v="81"/>
    <x v="9"/>
    <x v="9"/>
    <n v="1944"/>
    <x v="836"/>
  </r>
  <r>
    <n v="3708"/>
    <x v="2054"/>
    <x v="1667"/>
    <s v="Mr"/>
    <s v="M"/>
    <n v="90"/>
    <s v="Popes Head"/>
    <x v="479"/>
    <x v="11"/>
    <d v="2022-07-03T00:00:00"/>
    <x v="0"/>
    <x v="0"/>
    <n v="98"/>
    <x v="3"/>
    <x v="3"/>
    <n v="2352"/>
    <x v="981"/>
  </r>
  <r>
    <n v="3709"/>
    <x v="1668"/>
    <x v="836"/>
    <s v="Mr"/>
    <s v="M"/>
    <n v="90"/>
    <s v="Poplar Close"/>
    <x v="293"/>
    <x v="2"/>
    <d v="2020-07-08T00:00:00"/>
    <x v="2"/>
    <x v="0"/>
    <n v="62"/>
    <x v="7"/>
    <x v="7"/>
    <n v="1240"/>
    <x v="776"/>
  </r>
  <r>
    <n v="3710"/>
    <x v="2345"/>
    <x v="1324"/>
    <s v="Mrs"/>
    <s v="F"/>
    <n v="60"/>
    <s v="Poplar Mews"/>
    <x v="278"/>
    <x v="2"/>
    <d v="2021-02-26T00:00:00"/>
    <x v="1"/>
    <x v="10"/>
    <n v="50"/>
    <x v="0"/>
    <x v="0"/>
    <n v="1000"/>
    <x v="671"/>
  </r>
  <r>
    <n v="3711"/>
    <x v="2346"/>
    <x v="1668"/>
    <s v="Mr"/>
    <s v="M"/>
    <n v="90"/>
    <s v="Poppin'S Court"/>
    <x v="1259"/>
    <x v="2"/>
    <d v="2021-10-27T00:00:00"/>
    <x v="1"/>
    <x v="1"/>
    <n v="86"/>
    <x v="0"/>
    <x v="0"/>
    <n v="1720"/>
    <x v="967"/>
  </r>
  <r>
    <n v="3712"/>
    <x v="2112"/>
    <x v="1610"/>
    <s v="Ms"/>
    <s v="F"/>
    <n v="90"/>
    <s v="Port Street"/>
    <x v="915"/>
    <x v="21"/>
    <d v="2021-07-05T00:00:00"/>
    <x v="1"/>
    <x v="0"/>
    <n v="13"/>
    <x v="2"/>
    <x v="2"/>
    <n v="221"/>
    <x v="877"/>
  </r>
  <r>
    <n v="3713"/>
    <x v="2347"/>
    <x v="1008"/>
    <s v="Ms"/>
    <s v="F"/>
    <n v="90"/>
    <s v="Porters Place"/>
    <x v="272"/>
    <x v="11"/>
    <d v="2020-03-02T00:00:00"/>
    <x v="2"/>
    <x v="5"/>
    <n v="71"/>
    <x v="4"/>
    <x v="4"/>
    <n v="1278"/>
    <x v="265"/>
  </r>
  <r>
    <n v="3714"/>
    <x v="1234"/>
    <x v="849"/>
    <s v="Mr"/>
    <s v="M"/>
    <n v="90"/>
    <s v="Portland Street"/>
    <x v="944"/>
    <x v="10"/>
    <d v="2022-08-12T00:00:00"/>
    <x v="0"/>
    <x v="3"/>
    <n v="77"/>
    <x v="8"/>
    <x v="8"/>
    <n v="1540"/>
    <x v="543"/>
  </r>
  <r>
    <n v="3715"/>
    <x v="1093"/>
    <x v="733"/>
    <s v="Mr"/>
    <s v="M"/>
    <n v="90"/>
    <s v="Portobello Court"/>
    <x v="326"/>
    <x v="3"/>
    <d v="2020-05-13T00:00:00"/>
    <x v="2"/>
    <x v="11"/>
    <n v="5"/>
    <x v="8"/>
    <x v="8"/>
    <n v="100"/>
    <x v="71"/>
  </r>
  <r>
    <n v="3716"/>
    <x v="2348"/>
    <x v="666"/>
    <s v="Miss"/>
    <s v="F"/>
    <n v="90"/>
    <s v="Portobello Mews"/>
    <x v="1260"/>
    <x v="21"/>
    <d v="2021-05-14T00:00:00"/>
    <x v="1"/>
    <x v="11"/>
    <n v="29"/>
    <x v="8"/>
    <x v="8"/>
    <n v="580"/>
    <x v="295"/>
  </r>
  <r>
    <n v="3717"/>
    <x v="334"/>
    <x v="1669"/>
    <s v="Mr"/>
    <s v="M"/>
    <n v="60"/>
    <s v="Portree Close"/>
    <x v="1164"/>
    <x v="2"/>
    <d v="2020-06-12T00:00:00"/>
    <x v="2"/>
    <x v="2"/>
    <n v="63"/>
    <x v="8"/>
    <x v="8"/>
    <n v="1260"/>
    <x v="435"/>
  </r>
  <r>
    <n v="3718"/>
    <x v="732"/>
    <x v="1414"/>
    <s v="Mrs"/>
    <s v="F"/>
    <n v="60"/>
    <s v="Portree Street"/>
    <x v="1050"/>
    <x v="2"/>
    <d v="2022-12-02T00:00:00"/>
    <x v="0"/>
    <x v="8"/>
    <n v="76"/>
    <x v="1"/>
    <x v="1"/>
    <n v="1824"/>
    <x v="678"/>
  </r>
  <r>
    <n v="3719"/>
    <x v="1039"/>
    <x v="158"/>
    <s v="Miss"/>
    <s v="F"/>
    <n v="30"/>
    <s v="Portsdown Road"/>
    <x v="406"/>
    <x v="33"/>
    <d v="2022-03-26T00:00:00"/>
    <x v="0"/>
    <x v="5"/>
    <n v="46"/>
    <x v="9"/>
    <x v="9"/>
    <n v="1104"/>
    <x v="783"/>
  </r>
  <r>
    <n v="3720"/>
    <x v="2349"/>
    <x v="356"/>
    <s v="Mr"/>
    <s v="M"/>
    <n v="90"/>
    <s v="Portsmouth Road"/>
    <x v="653"/>
    <x v="2"/>
    <d v="2021-10-12T00:00:00"/>
    <x v="1"/>
    <x v="1"/>
    <n v="42"/>
    <x v="2"/>
    <x v="2"/>
    <n v="714"/>
    <x v="188"/>
  </r>
  <r>
    <n v="3721"/>
    <x v="2350"/>
    <x v="1670"/>
    <s v="Miss"/>
    <s v="F"/>
    <n v="30"/>
    <s v="Potier Street"/>
    <x v="901"/>
    <x v="3"/>
    <d v="2021-12-13T00:00:00"/>
    <x v="1"/>
    <x v="8"/>
    <n v="6"/>
    <x v="2"/>
    <x v="2"/>
    <n v="102"/>
    <x v="853"/>
  </r>
  <r>
    <n v="3722"/>
    <x v="767"/>
    <x v="532"/>
    <s v="Miss"/>
    <s v="F"/>
    <n v="30"/>
    <s v="Potters Court"/>
    <x v="559"/>
    <x v="3"/>
    <d v="2020-07-18T00:00:00"/>
    <x v="2"/>
    <x v="0"/>
    <n v="67"/>
    <x v="8"/>
    <x v="8"/>
    <n v="1340"/>
    <x v="452"/>
  </r>
  <r>
    <n v="3723"/>
    <x v="1021"/>
    <x v="714"/>
    <s v="Mrs"/>
    <s v="F"/>
    <n v="90"/>
    <s v="Potters Fields"/>
    <x v="1026"/>
    <x v="2"/>
    <d v="2022-01-13T00:00:00"/>
    <x v="0"/>
    <x v="6"/>
    <n v="46"/>
    <x v="8"/>
    <x v="8"/>
    <n v="920"/>
    <x v="166"/>
  </r>
  <r>
    <n v="3724"/>
    <x v="589"/>
    <x v="1671"/>
    <s v="Mr"/>
    <s v="M"/>
    <n v="60"/>
    <s v="Potters Place"/>
    <x v="37"/>
    <x v="18"/>
    <d v="2021-06-24T00:00:00"/>
    <x v="1"/>
    <x v="2"/>
    <n v="85"/>
    <x v="7"/>
    <x v="7"/>
    <n v="1700"/>
    <x v="344"/>
  </r>
  <r>
    <n v="3725"/>
    <x v="1653"/>
    <x v="1178"/>
    <s v="Miss"/>
    <s v="F"/>
    <n v="90"/>
    <s v="Pottery Cottage"/>
    <x v="464"/>
    <x v="1"/>
    <d v="2020-05-28T00:00:00"/>
    <x v="2"/>
    <x v="11"/>
    <n v="48"/>
    <x v="9"/>
    <x v="9"/>
    <n v="1152"/>
    <x v="668"/>
  </r>
  <r>
    <n v="3726"/>
    <x v="2351"/>
    <x v="1672"/>
    <s v="Mr"/>
    <s v="M"/>
    <n v="60"/>
    <s v="Pound Park"/>
    <x v="508"/>
    <x v="2"/>
    <d v="2020-06-23T00:00:00"/>
    <x v="2"/>
    <x v="2"/>
    <n v="66"/>
    <x v="7"/>
    <x v="7"/>
    <n v="1320"/>
    <x v="916"/>
  </r>
  <r>
    <n v="3727"/>
    <x v="2352"/>
    <x v="647"/>
    <s v="Mrs"/>
    <s v="F"/>
    <n v="30"/>
    <s v="Povidence Cottages"/>
    <x v="354"/>
    <x v="2"/>
    <d v="2021-05-05T00:00:00"/>
    <x v="1"/>
    <x v="11"/>
    <n v="17"/>
    <x v="1"/>
    <x v="1"/>
    <n v="408"/>
    <x v="179"/>
  </r>
  <r>
    <n v="3728"/>
    <x v="432"/>
    <x v="894"/>
    <s v="Ms"/>
    <s v="F"/>
    <n v="30"/>
    <s v="Powes Place"/>
    <x v="988"/>
    <x v="3"/>
    <d v="2020-06-08T00:00:00"/>
    <x v="2"/>
    <x v="2"/>
    <n v="61"/>
    <x v="1"/>
    <x v="1"/>
    <n v="1464"/>
    <x v="490"/>
  </r>
  <r>
    <n v="3729"/>
    <x v="139"/>
    <x v="1561"/>
    <s v="Mrs"/>
    <s v="F"/>
    <n v="60"/>
    <s v="Powis Mews"/>
    <x v="350"/>
    <x v="2"/>
    <d v="2020-04-18T00:00:00"/>
    <x v="2"/>
    <x v="4"/>
    <n v="63"/>
    <x v="8"/>
    <x v="8"/>
    <n v="1260"/>
    <x v="435"/>
  </r>
  <r>
    <n v="3730"/>
    <x v="2353"/>
    <x v="431"/>
    <s v="Miss"/>
    <s v="F"/>
    <n v="30"/>
    <s v="Pragnell Road"/>
    <x v="1207"/>
    <x v="3"/>
    <d v="2021-03-06T00:00:00"/>
    <x v="1"/>
    <x v="5"/>
    <n v="17"/>
    <x v="6"/>
    <x v="6"/>
    <n v="408"/>
    <x v="492"/>
  </r>
  <r>
    <n v="3731"/>
    <x v="1633"/>
    <x v="1673"/>
    <s v="Prof"/>
    <s v="M"/>
    <n v="90"/>
    <s v="Pragnell Road"/>
    <x v="710"/>
    <x v="44"/>
    <d v="2020-01-30T00:00:00"/>
    <x v="2"/>
    <x v="6"/>
    <n v="23"/>
    <x v="3"/>
    <x v="3"/>
    <n v="552"/>
    <x v="895"/>
  </r>
  <r>
    <n v="3732"/>
    <x v="2354"/>
    <x v="1674"/>
    <s v="Ms"/>
    <s v="F"/>
    <n v="30"/>
    <s v="Pratt Walk"/>
    <x v="341"/>
    <x v="21"/>
    <d v="2022-06-14T00:00:00"/>
    <x v="0"/>
    <x v="2"/>
    <n v="68"/>
    <x v="5"/>
    <x v="5"/>
    <n v="1632"/>
    <x v="197"/>
  </r>
  <r>
    <n v="3733"/>
    <x v="2355"/>
    <x v="1675"/>
    <s v="Mrs"/>
    <s v="F"/>
    <n v="90"/>
    <s v="Pratt Walk"/>
    <x v="1011"/>
    <x v="2"/>
    <d v="2021-03-14T00:00:00"/>
    <x v="1"/>
    <x v="5"/>
    <n v="38"/>
    <x v="1"/>
    <x v="1"/>
    <n v="912"/>
    <x v="17"/>
  </r>
  <r>
    <n v="3734"/>
    <x v="2356"/>
    <x v="1125"/>
    <s v="Miss"/>
    <s v="F"/>
    <n v="90"/>
    <s v="Precinct Of"/>
    <x v="551"/>
    <x v="2"/>
    <d v="2021-05-13T00:00:00"/>
    <x v="1"/>
    <x v="11"/>
    <n v="68"/>
    <x v="5"/>
    <x v="5"/>
    <n v="1632"/>
    <x v="197"/>
  </r>
  <r>
    <n v="3735"/>
    <x v="2357"/>
    <x v="1393"/>
    <s v="Mrs"/>
    <s v="F"/>
    <n v="30"/>
    <s v="Preston Road"/>
    <x v="1133"/>
    <x v="2"/>
    <d v="2022-09-07T00:00:00"/>
    <x v="0"/>
    <x v="9"/>
    <n v="78"/>
    <x v="7"/>
    <x v="7"/>
    <n v="1560"/>
    <x v="664"/>
  </r>
  <r>
    <n v="3736"/>
    <x v="2358"/>
    <x v="1442"/>
    <s v="Mr"/>
    <s v="M"/>
    <n v="90"/>
    <s v="Price'S Street"/>
    <x v="698"/>
    <x v="2"/>
    <d v="2022-08-06T00:00:00"/>
    <x v="0"/>
    <x v="3"/>
    <n v="27"/>
    <x v="3"/>
    <x v="3"/>
    <n v="648"/>
    <x v="884"/>
  </r>
  <r>
    <n v="3737"/>
    <x v="1694"/>
    <x v="676"/>
    <s v="Miss"/>
    <s v="F"/>
    <n v="90"/>
    <s v="Priestley Close"/>
    <x v="890"/>
    <x v="2"/>
    <d v="2021-12-29T00:00:00"/>
    <x v="1"/>
    <x v="8"/>
    <n v="75"/>
    <x v="0"/>
    <x v="0"/>
    <n v="1500"/>
    <x v="20"/>
  </r>
  <r>
    <n v="3738"/>
    <x v="2359"/>
    <x v="1406"/>
    <s v="Mr"/>
    <s v="M"/>
    <n v="30"/>
    <s v="Priest'S Bridge"/>
    <x v="50"/>
    <x v="2"/>
    <d v="2022-11-09T00:00:00"/>
    <x v="0"/>
    <x v="7"/>
    <n v="91"/>
    <x v="7"/>
    <x v="7"/>
    <n v="1820"/>
    <x v="151"/>
  </r>
  <r>
    <n v="3739"/>
    <x v="2360"/>
    <x v="1676"/>
    <s v="Mr"/>
    <s v="M"/>
    <n v="30"/>
    <s v="Primrose Cottages"/>
    <x v="418"/>
    <x v="21"/>
    <d v="2022-09-18T00:00:00"/>
    <x v="0"/>
    <x v="9"/>
    <n v="10"/>
    <x v="9"/>
    <x v="9"/>
    <n v="240"/>
    <x v="34"/>
  </r>
  <r>
    <n v="3740"/>
    <x v="2361"/>
    <x v="406"/>
    <s v="Miss"/>
    <s v="F"/>
    <n v="90"/>
    <s v="Prince Road"/>
    <x v="967"/>
    <x v="2"/>
    <d v="2020-08-13T00:00:00"/>
    <x v="2"/>
    <x v="3"/>
    <n v="47"/>
    <x v="7"/>
    <x v="7"/>
    <n v="940"/>
    <x v="542"/>
  </r>
  <r>
    <n v="3741"/>
    <x v="764"/>
    <x v="1337"/>
    <s v="Mr"/>
    <s v="M"/>
    <n v="30"/>
    <s v="Prince'S Mews"/>
    <x v="28"/>
    <x v="2"/>
    <d v="2021-06-15T00:00:00"/>
    <x v="1"/>
    <x v="2"/>
    <n v="94"/>
    <x v="3"/>
    <x v="3"/>
    <n v="2256"/>
    <x v="914"/>
  </r>
  <r>
    <n v="3742"/>
    <x v="1969"/>
    <x v="1494"/>
    <s v="Mr"/>
    <s v="M"/>
    <n v="90"/>
    <s v="Prince'S Street"/>
    <x v="1261"/>
    <x v="1"/>
    <d v="2022-07-28T00:00:00"/>
    <x v="0"/>
    <x v="0"/>
    <n v="40"/>
    <x v="1"/>
    <x v="1"/>
    <n v="960"/>
    <x v="548"/>
  </r>
  <r>
    <n v="3743"/>
    <x v="2049"/>
    <x v="1677"/>
    <s v="Mr"/>
    <s v="M"/>
    <n v="60"/>
    <s v="Princess May"/>
    <x v="759"/>
    <x v="27"/>
    <d v="2020-11-29T00:00:00"/>
    <x v="2"/>
    <x v="7"/>
    <n v="17"/>
    <x v="5"/>
    <x v="5"/>
    <n v="408"/>
    <x v="154"/>
  </r>
  <r>
    <n v="3744"/>
    <x v="1900"/>
    <x v="1678"/>
    <s v="Mr"/>
    <s v="M"/>
    <n v="90"/>
    <s v="Printers Place"/>
    <x v="950"/>
    <x v="2"/>
    <d v="2021-08-12T00:00:00"/>
    <x v="1"/>
    <x v="3"/>
    <n v="90"/>
    <x v="2"/>
    <x v="2"/>
    <n v="1530"/>
    <x v="630"/>
  </r>
  <r>
    <n v="3745"/>
    <x v="2362"/>
    <x v="1332"/>
    <s v="Miss"/>
    <s v="F"/>
    <n v="90"/>
    <s v="Printinghouse Lane"/>
    <x v="985"/>
    <x v="29"/>
    <d v="2021-03-05T00:00:00"/>
    <x v="1"/>
    <x v="5"/>
    <n v="11"/>
    <x v="5"/>
    <x v="5"/>
    <n v="264"/>
    <x v="248"/>
  </r>
  <r>
    <n v="3746"/>
    <x v="885"/>
    <x v="1614"/>
    <s v="Mr"/>
    <s v="M"/>
    <n v="90"/>
    <s v="Prior Street"/>
    <x v="67"/>
    <x v="11"/>
    <d v="2022-03-27T00:00:00"/>
    <x v="0"/>
    <x v="5"/>
    <n v="3"/>
    <x v="6"/>
    <x v="6"/>
    <n v="72"/>
    <x v="183"/>
  </r>
  <r>
    <n v="3747"/>
    <x v="1837"/>
    <x v="1670"/>
    <s v="Mr"/>
    <s v="M"/>
    <n v="30"/>
    <s v="Priors Dean"/>
    <x v="778"/>
    <x v="2"/>
    <d v="2020-05-17T00:00:00"/>
    <x v="2"/>
    <x v="11"/>
    <n v="85"/>
    <x v="2"/>
    <x v="2"/>
    <n v="1445"/>
    <x v="214"/>
  </r>
  <r>
    <n v="3748"/>
    <x v="1840"/>
    <x v="1190"/>
    <s v="Mr"/>
    <s v="M"/>
    <n v="90"/>
    <s v="Priory Avenue"/>
    <x v="1044"/>
    <x v="21"/>
    <d v="2020-03-23T00:00:00"/>
    <x v="2"/>
    <x v="5"/>
    <n v="67"/>
    <x v="3"/>
    <x v="3"/>
    <n v="1608"/>
    <x v="457"/>
  </r>
  <r>
    <n v="3749"/>
    <x v="527"/>
    <x v="785"/>
    <s v="Mrs"/>
    <s v="F"/>
    <n v="30"/>
    <s v="Priory Drive"/>
    <x v="1230"/>
    <x v="2"/>
    <d v="2022-05-24T00:00:00"/>
    <x v="0"/>
    <x v="11"/>
    <n v="44"/>
    <x v="3"/>
    <x v="3"/>
    <n v="1056"/>
    <x v="253"/>
  </r>
  <r>
    <n v="3750"/>
    <x v="2363"/>
    <x v="1479"/>
    <s v="Mr"/>
    <s v="M"/>
    <n v="60"/>
    <s v="Priory Green"/>
    <x v="1106"/>
    <x v="14"/>
    <d v="2020-04-17T00:00:00"/>
    <x v="2"/>
    <x v="4"/>
    <n v="38"/>
    <x v="2"/>
    <x v="2"/>
    <n v="646"/>
    <x v="161"/>
  </r>
  <r>
    <n v="3751"/>
    <x v="1963"/>
    <x v="1679"/>
    <s v="Miss"/>
    <s v="F"/>
    <n v="90"/>
    <s v="Priory Lodge"/>
    <x v="79"/>
    <x v="21"/>
    <d v="2022-02-12T00:00:00"/>
    <x v="0"/>
    <x v="10"/>
    <n v="81"/>
    <x v="4"/>
    <x v="4"/>
    <n v="1458"/>
    <x v="416"/>
  </r>
  <r>
    <n v="3752"/>
    <x v="2364"/>
    <x v="1492"/>
    <s v="Mrs"/>
    <s v="F"/>
    <n v="60"/>
    <s v="Priory Lodge"/>
    <x v="661"/>
    <x v="2"/>
    <d v="2021-11-20T00:00:00"/>
    <x v="1"/>
    <x v="7"/>
    <n v="6"/>
    <x v="8"/>
    <x v="8"/>
    <n v="120"/>
    <x v="564"/>
  </r>
  <r>
    <n v="3753"/>
    <x v="2365"/>
    <x v="1058"/>
    <s v="Miss"/>
    <s v="F"/>
    <n v="90"/>
    <s v="Priscilla Street"/>
    <x v="996"/>
    <x v="2"/>
    <d v="2022-08-27T00:00:00"/>
    <x v="0"/>
    <x v="3"/>
    <n v="102"/>
    <x v="3"/>
    <x v="3"/>
    <n v="2448"/>
    <x v="982"/>
  </r>
  <r>
    <n v="3754"/>
    <x v="566"/>
    <x v="780"/>
    <s v="Mr"/>
    <s v="M"/>
    <n v="60"/>
    <s v="Pritchard'S Road"/>
    <x v="635"/>
    <x v="3"/>
    <d v="2022-12-21T00:00:00"/>
    <x v="0"/>
    <x v="8"/>
    <n v="33"/>
    <x v="2"/>
    <x v="2"/>
    <n v="561"/>
    <x v="608"/>
  </r>
  <r>
    <n v="3755"/>
    <x v="2366"/>
    <x v="1311"/>
    <s v="Mrs"/>
    <s v="F"/>
    <n v="90"/>
    <s v="Prospect Vale"/>
    <x v="1256"/>
    <x v="2"/>
    <d v="2022-09-30T00:00:00"/>
    <x v="0"/>
    <x v="9"/>
    <n v="17"/>
    <x v="3"/>
    <x v="3"/>
    <n v="408"/>
    <x v="506"/>
  </r>
  <r>
    <n v="3756"/>
    <x v="2367"/>
    <x v="1344"/>
    <s v="Miss"/>
    <s v="F"/>
    <n v="90"/>
    <s v="Prujean Square"/>
    <x v="182"/>
    <x v="32"/>
    <d v="2022-07-24T00:00:00"/>
    <x v="0"/>
    <x v="0"/>
    <n v="99"/>
    <x v="8"/>
    <x v="8"/>
    <n v="1980"/>
    <x v="755"/>
  </r>
  <r>
    <n v="3757"/>
    <x v="777"/>
    <x v="546"/>
    <s v="Mrs"/>
    <s v="F"/>
    <n v="60"/>
    <s v="Prusom Street"/>
    <x v="784"/>
    <x v="82"/>
    <d v="2022-06-01T00:00:00"/>
    <x v="0"/>
    <x v="2"/>
    <n v="89"/>
    <x v="7"/>
    <x v="7"/>
    <n v="1780"/>
    <x v="25"/>
  </r>
  <r>
    <n v="3758"/>
    <x v="1696"/>
    <x v="1022"/>
    <s v="Mr"/>
    <s v="M"/>
    <n v="90"/>
    <s v="Pulham Avenue"/>
    <x v="575"/>
    <x v="2"/>
    <d v="2020-11-26T00:00:00"/>
    <x v="2"/>
    <x v="7"/>
    <n v="74"/>
    <x v="2"/>
    <x v="2"/>
    <n v="1258"/>
    <x v="965"/>
  </r>
  <r>
    <n v="3759"/>
    <x v="2368"/>
    <x v="518"/>
    <s v="Miss"/>
    <s v="F"/>
    <n v="30"/>
    <s v="Purelake Mews"/>
    <x v="575"/>
    <x v="2"/>
    <d v="2021-08-15T00:00:00"/>
    <x v="1"/>
    <x v="3"/>
    <n v="65"/>
    <x v="9"/>
    <x v="9"/>
    <n v="1560"/>
    <x v="439"/>
  </r>
  <r>
    <n v="3760"/>
    <x v="2187"/>
    <x v="1671"/>
    <s v="Dr"/>
    <s v="M"/>
    <n v="60"/>
    <s v="Pursewardens Close"/>
    <x v="516"/>
    <x v="48"/>
    <d v="2020-01-25T00:00:00"/>
    <x v="2"/>
    <x v="6"/>
    <n v="81"/>
    <x v="4"/>
    <x v="4"/>
    <n v="1458"/>
    <x v="416"/>
  </r>
  <r>
    <n v="3761"/>
    <x v="1760"/>
    <x v="297"/>
    <s v="Miss"/>
    <s v="F"/>
    <n v="30"/>
    <s v="Putney High"/>
    <x v="715"/>
    <x v="2"/>
    <d v="2020-09-23T00:00:00"/>
    <x v="2"/>
    <x v="9"/>
    <n v="66"/>
    <x v="1"/>
    <x v="1"/>
    <n v="1584"/>
    <x v="786"/>
  </r>
  <r>
    <n v="3762"/>
    <x v="836"/>
    <x v="1680"/>
    <s v="Mr"/>
    <s v="M"/>
    <n v="30"/>
    <s v="Pycroft Way"/>
    <x v="1068"/>
    <x v="2"/>
    <d v="2021-12-17T00:00:00"/>
    <x v="1"/>
    <x v="8"/>
    <n v="47"/>
    <x v="6"/>
    <x v="6"/>
    <n v="1128"/>
    <x v="508"/>
  </r>
  <r>
    <n v="3763"/>
    <x v="2369"/>
    <x v="685"/>
    <s v="Miss"/>
    <s v="F"/>
    <n v="90"/>
    <s v="Pyrland Road"/>
    <x v="679"/>
    <x v="44"/>
    <d v="2022-07-04T00:00:00"/>
    <x v="0"/>
    <x v="0"/>
    <n v="97"/>
    <x v="0"/>
    <x v="0"/>
    <n v="1940"/>
    <x v="123"/>
  </r>
  <r>
    <n v="3764"/>
    <x v="2370"/>
    <x v="479"/>
    <s v="Mr"/>
    <s v="M"/>
    <n v="90"/>
    <s v="Quaggy Walk"/>
    <x v="96"/>
    <x v="21"/>
    <d v="2020-06-21T00:00:00"/>
    <x v="2"/>
    <x v="2"/>
    <n v="42"/>
    <x v="6"/>
    <x v="6"/>
    <n v="1008"/>
    <x v="162"/>
  </r>
  <r>
    <n v="3765"/>
    <x v="1433"/>
    <x v="338"/>
    <s v="Mr"/>
    <s v="M"/>
    <n v="60"/>
    <s v="Quainton Street"/>
    <x v="6"/>
    <x v="2"/>
    <d v="2021-12-17T00:00:00"/>
    <x v="1"/>
    <x v="8"/>
    <n v="54"/>
    <x v="7"/>
    <x v="7"/>
    <n v="1080"/>
    <x v="308"/>
  </r>
  <r>
    <n v="3766"/>
    <x v="2212"/>
    <x v="1377"/>
    <s v="Mr"/>
    <s v="M"/>
    <n v="60"/>
    <s v="Quakers Walk"/>
    <x v="1257"/>
    <x v="21"/>
    <d v="2020-11-30T00:00:00"/>
    <x v="2"/>
    <x v="7"/>
    <n v="18"/>
    <x v="4"/>
    <x v="4"/>
    <n v="324"/>
    <x v="304"/>
  </r>
  <r>
    <n v="3767"/>
    <x v="2061"/>
    <x v="37"/>
    <s v="Prof"/>
    <s v="M"/>
    <n v="90"/>
    <s v="Quebec Way"/>
    <x v="32"/>
    <x v="17"/>
    <d v="2021-06-04T00:00:00"/>
    <x v="1"/>
    <x v="2"/>
    <n v="95"/>
    <x v="0"/>
    <x v="0"/>
    <n v="1900"/>
    <x v="136"/>
  </r>
  <r>
    <n v="3768"/>
    <x v="2371"/>
    <x v="1681"/>
    <s v="Mrs"/>
    <s v="F"/>
    <n v="60"/>
    <s v="Queen Ann"/>
    <x v="374"/>
    <x v="17"/>
    <d v="2021-01-28T00:00:00"/>
    <x v="1"/>
    <x v="6"/>
    <n v="33"/>
    <x v="5"/>
    <x v="5"/>
    <n v="792"/>
    <x v="523"/>
  </r>
  <r>
    <n v="3769"/>
    <x v="1508"/>
    <x v="1682"/>
    <s v="Mr"/>
    <s v="M"/>
    <n v="30"/>
    <s v="Queen Street"/>
    <x v="582"/>
    <x v="2"/>
    <d v="2021-01-05T00:00:00"/>
    <x v="1"/>
    <x v="6"/>
    <n v="42"/>
    <x v="0"/>
    <x v="0"/>
    <n v="840"/>
    <x v="272"/>
  </r>
  <r>
    <n v="3770"/>
    <x v="2372"/>
    <x v="753"/>
    <s v="Mr"/>
    <s v="M"/>
    <n v="60"/>
    <s v="Queens Arms"/>
    <x v="996"/>
    <x v="2"/>
    <d v="2021-10-03T00:00:00"/>
    <x v="1"/>
    <x v="1"/>
    <n v="49"/>
    <x v="1"/>
    <x v="1"/>
    <n v="1176"/>
    <x v="558"/>
  </r>
  <r>
    <n v="3771"/>
    <x v="534"/>
    <x v="823"/>
    <s v="Mr"/>
    <s v="M"/>
    <n v="60"/>
    <s v="Queens Crescent"/>
    <x v="385"/>
    <x v="21"/>
    <d v="2022-09-24T00:00:00"/>
    <x v="0"/>
    <x v="9"/>
    <n v="59"/>
    <x v="3"/>
    <x v="3"/>
    <n v="1416"/>
    <x v="383"/>
  </r>
  <r>
    <n v="3772"/>
    <x v="259"/>
    <x v="1517"/>
    <s v="Mr"/>
    <s v="M"/>
    <n v="90"/>
    <s v="Queen'S Place"/>
    <x v="1258"/>
    <x v="2"/>
    <d v="2022-03-17T00:00:00"/>
    <x v="0"/>
    <x v="5"/>
    <n v="101"/>
    <x v="8"/>
    <x v="8"/>
    <n v="2020"/>
    <x v="955"/>
  </r>
  <r>
    <n v="3773"/>
    <x v="2158"/>
    <x v="1015"/>
    <s v="Mr"/>
    <s v="M"/>
    <n v="30"/>
    <s v="Queens Way"/>
    <x v="313"/>
    <x v="49"/>
    <d v="2020-08-10T00:00:00"/>
    <x v="2"/>
    <x v="3"/>
    <n v="38"/>
    <x v="5"/>
    <x v="5"/>
    <n v="912"/>
    <x v="244"/>
  </r>
  <r>
    <n v="3774"/>
    <x v="404"/>
    <x v="1316"/>
    <s v="Mr"/>
    <s v="M"/>
    <n v="90"/>
    <s v="Queens Way"/>
    <x v="805"/>
    <x v="3"/>
    <d v="2021-05-27T00:00:00"/>
    <x v="1"/>
    <x v="11"/>
    <n v="36"/>
    <x v="7"/>
    <x v="7"/>
    <n v="720"/>
    <x v="256"/>
  </r>
  <r>
    <n v="3775"/>
    <x v="2373"/>
    <x v="868"/>
    <s v="Dr"/>
    <s v="M"/>
    <n v="30"/>
    <s v="Queensferry Walk"/>
    <x v="1201"/>
    <x v="2"/>
    <d v="2022-11-05T00:00:00"/>
    <x v="0"/>
    <x v="7"/>
    <n v="49"/>
    <x v="6"/>
    <x v="6"/>
    <n v="1176"/>
    <x v="56"/>
  </r>
  <r>
    <n v="3776"/>
    <x v="2374"/>
    <x v="800"/>
    <s v="Mr"/>
    <s v="M"/>
    <n v="30"/>
    <s v="Queensmere Road"/>
    <x v="494"/>
    <x v="2"/>
    <d v="2022-06-09T00:00:00"/>
    <x v="0"/>
    <x v="2"/>
    <n v="35"/>
    <x v="9"/>
    <x v="9"/>
    <n v="840"/>
    <x v="395"/>
  </r>
  <r>
    <n v="3777"/>
    <x v="706"/>
    <x v="1417"/>
    <s v="Mr"/>
    <s v="M"/>
    <n v="60"/>
    <s v="Queensway"/>
    <x v="1027"/>
    <x v="0"/>
    <d v="2020-12-22T00:00:00"/>
    <x v="2"/>
    <x v="8"/>
    <n v="50"/>
    <x v="2"/>
    <x v="2"/>
    <n v="850"/>
    <x v="301"/>
  </r>
  <r>
    <n v="3778"/>
    <x v="2375"/>
    <x v="1175"/>
    <s v="Miss"/>
    <s v="F"/>
    <n v="90"/>
    <s v="Quentin Place"/>
    <x v="1138"/>
    <x v="3"/>
    <d v="2022-02-15T00:00:00"/>
    <x v="0"/>
    <x v="10"/>
    <n v="84"/>
    <x v="5"/>
    <x v="5"/>
    <n v="2016"/>
    <x v="576"/>
  </r>
  <r>
    <n v="3779"/>
    <x v="2376"/>
    <x v="434"/>
    <s v="Mrs"/>
    <s v="F"/>
    <n v="60"/>
    <s v="Quilter Street"/>
    <x v="1049"/>
    <x v="16"/>
    <d v="2022-04-30T00:00:00"/>
    <x v="0"/>
    <x v="4"/>
    <n v="73"/>
    <x v="2"/>
    <x v="2"/>
    <n v="1241"/>
    <x v="557"/>
  </r>
  <r>
    <n v="3780"/>
    <x v="1259"/>
    <x v="400"/>
    <s v="Mr"/>
    <s v="M"/>
    <n v="60"/>
    <s v="Radbourne Road"/>
    <x v="1262"/>
    <x v="36"/>
    <d v="2020-09-25T00:00:00"/>
    <x v="2"/>
    <x v="9"/>
    <n v="82"/>
    <x v="4"/>
    <x v="4"/>
    <n v="1476"/>
    <x v="291"/>
  </r>
  <r>
    <n v="3781"/>
    <x v="1685"/>
    <x v="931"/>
    <s v="Mr"/>
    <s v="M"/>
    <n v="90"/>
    <s v="Radlet Avenue"/>
    <x v="1152"/>
    <x v="3"/>
    <d v="2021-12-20T00:00:00"/>
    <x v="1"/>
    <x v="8"/>
    <n v="41"/>
    <x v="5"/>
    <x v="5"/>
    <n v="984"/>
    <x v="878"/>
  </r>
  <r>
    <n v="3782"/>
    <x v="190"/>
    <x v="1065"/>
    <s v="Mrs"/>
    <s v="F"/>
    <n v="60"/>
    <s v="Radnor Pl"/>
    <x v="995"/>
    <x v="17"/>
    <d v="2020-01-21T00:00:00"/>
    <x v="2"/>
    <x v="6"/>
    <n v="21"/>
    <x v="5"/>
    <x v="5"/>
    <n v="504"/>
    <x v="568"/>
  </r>
  <r>
    <n v="3783"/>
    <x v="2377"/>
    <x v="922"/>
    <s v="Miss"/>
    <s v="F"/>
    <n v="60"/>
    <s v="Raglan Cottage"/>
    <x v="772"/>
    <x v="2"/>
    <d v="2021-12-02T00:00:00"/>
    <x v="1"/>
    <x v="8"/>
    <n v="8"/>
    <x v="4"/>
    <x v="4"/>
    <n v="144"/>
    <x v="740"/>
  </r>
  <r>
    <n v="3784"/>
    <x v="2378"/>
    <x v="1683"/>
    <s v="Mrs"/>
    <s v="F"/>
    <n v="30"/>
    <s v="Raglan Villas"/>
    <x v="94"/>
    <x v="21"/>
    <d v="2021-05-11T00:00:00"/>
    <x v="1"/>
    <x v="11"/>
    <n v="17"/>
    <x v="7"/>
    <x v="7"/>
    <n v="340"/>
    <x v="505"/>
  </r>
  <r>
    <n v="3785"/>
    <x v="651"/>
    <x v="1684"/>
    <s v="Miss"/>
    <s v="F"/>
    <n v="60"/>
    <s v="Rahere Street"/>
    <x v="387"/>
    <x v="11"/>
    <d v="2022-08-07T00:00:00"/>
    <x v="0"/>
    <x v="3"/>
    <n v="39"/>
    <x v="2"/>
    <x v="2"/>
    <n v="663"/>
    <x v="550"/>
  </r>
  <r>
    <n v="3786"/>
    <x v="1400"/>
    <x v="64"/>
    <s v="Dr"/>
    <s v="M"/>
    <n v="90"/>
    <s v="Railway Arcade"/>
    <x v="265"/>
    <x v="3"/>
    <d v="2022-05-02T00:00:00"/>
    <x v="0"/>
    <x v="11"/>
    <n v="81"/>
    <x v="4"/>
    <x v="4"/>
    <n v="1458"/>
    <x v="416"/>
  </r>
  <r>
    <n v="3787"/>
    <x v="2267"/>
    <x v="1102"/>
    <s v="Mr"/>
    <s v="M"/>
    <n v="90"/>
    <s v="Railway Grove"/>
    <x v="1175"/>
    <x v="2"/>
    <d v="2020-01-02T00:00:00"/>
    <x v="2"/>
    <x v="6"/>
    <n v="24"/>
    <x v="4"/>
    <x v="4"/>
    <n v="432"/>
    <x v="959"/>
  </r>
  <r>
    <n v="3788"/>
    <x v="848"/>
    <x v="779"/>
    <s v="Mr"/>
    <s v="M"/>
    <n v="90"/>
    <s v="Railway Terrace"/>
    <x v="1091"/>
    <x v="2"/>
    <d v="2022-04-21T00:00:00"/>
    <x v="0"/>
    <x v="4"/>
    <n v="41"/>
    <x v="6"/>
    <x v="6"/>
    <n v="984"/>
    <x v="930"/>
  </r>
  <r>
    <n v="3789"/>
    <x v="2379"/>
    <x v="976"/>
    <s v="Miss"/>
    <s v="F"/>
    <n v="30"/>
    <s v="Raindeer Court"/>
    <x v="142"/>
    <x v="21"/>
    <d v="2020-01-12T00:00:00"/>
    <x v="2"/>
    <x v="6"/>
    <n v="78"/>
    <x v="2"/>
    <x v="2"/>
    <n v="1326"/>
    <x v="636"/>
  </r>
  <r>
    <n v="3790"/>
    <x v="2380"/>
    <x v="342"/>
    <s v="Mr"/>
    <s v="M"/>
    <n v="90"/>
    <s v="Ralph Street"/>
    <x v="226"/>
    <x v="2"/>
    <d v="2020-07-22T00:00:00"/>
    <x v="2"/>
    <x v="0"/>
    <n v="70"/>
    <x v="3"/>
    <x v="3"/>
    <n v="1680"/>
    <x v="500"/>
  </r>
  <r>
    <n v="3791"/>
    <x v="2051"/>
    <x v="1619"/>
    <s v="Mr"/>
    <s v="M"/>
    <n v="90"/>
    <s v="Ram Square"/>
    <x v="1263"/>
    <x v="16"/>
    <d v="2022-05-05T00:00:00"/>
    <x v="0"/>
    <x v="11"/>
    <n v="101"/>
    <x v="1"/>
    <x v="1"/>
    <n v="2424"/>
    <x v="621"/>
  </r>
  <r>
    <n v="3792"/>
    <x v="2381"/>
    <x v="1685"/>
    <s v="Mr"/>
    <s v="M"/>
    <n v="60"/>
    <s v="Ramillies Street"/>
    <x v="470"/>
    <x v="2"/>
    <d v="2020-04-04T00:00:00"/>
    <x v="2"/>
    <x v="4"/>
    <n v="9"/>
    <x v="5"/>
    <x v="5"/>
    <n v="216"/>
    <x v="584"/>
  </r>
  <r>
    <n v="3793"/>
    <x v="902"/>
    <x v="1019"/>
    <s v="Mr"/>
    <s v="M"/>
    <n v="60"/>
    <s v="Rampton Close"/>
    <x v="552"/>
    <x v="2"/>
    <d v="2020-02-16T00:00:00"/>
    <x v="2"/>
    <x v="10"/>
    <n v="31"/>
    <x v="2"/>
    <x v="2"/>
    <n v="527"/>
    <x v="224"/>
  </r>
  <r>
    <n v="3794"/>
    <x v="2382"/>
    <x v="1355"/>
    <s v="Miss"/>
    <s v="F"/>
    <n v="90"/>
    <s v="Ramsay Road"/>
    <x v="268"/>
    <x v="21"/>
    <d v="2020-05-14T00:00:00"/>
    <x v="2"/>
    <x v="11"/>
    <n v="64"/>
    <x v="8"/>
    <x v="8"/>
    <n v="1280"/>
    <x v="149"/>
  </r>
  <r>
    <n v="3795"/>
    <x v="1795"/>
    <x v="343"/>
    <s v="Mrs"/>
    <s v="F"/>
    <n v="90"/>
    <s v="Ramsey Walk"/>
    <x v="1230"/>
    <x v="2"/>
    <d v="2022-10-22T00:00:00"/>
    <x v="0"/>
    <x v="1"/>
    <n v="88"/>
    <x v="7"/>
    <x v="7"/>
    <n v="1760"/>
    <x v="113"/>
  </r>
  <r>
    <n v="3796"/>
    <x v="2383"/>
    <x v="120"/>
    <s v="Mr"/>
    <s v="M"/>
    <n v="60"/>
    <s v="Randall Avenue"/>
    <x v="318"/>
    <x v="2"/>
    <d v="2020-09-22T00:00:00"/>
    <x v="2"/>
    <x v="9"/>
    <n v="29"/>
    <x v="3"/>
    <x v="3"/>
    <n v="696"/>
    <x v="63"/>
  </r>
  <r>
    <n v="3797"/>
    <x v="348"/>
    <x v="532"/>
    <s v="Mr"/>
    <s v="M"/>
    <n v="60"/>
    <s v="Randall Avenue"/>
    <x v="687"/>
    <x v="2"/>
    <d v="2021-08-19T00:00:00"/>
    <x v="1"/>
    <x v="3"/>
    <n v="28"/>
    <x v="8"/>
    <x v="8"/>
    <n v="560"/>
    <x v="825"/>
  </r>
  <r>
    <n v="3798"/>
    <x v="2384"/>
    <x v="414"/>
    <s v="Mrs"/>
    <s v="F"/>
    <n v="90"/>
    <s v="Randall Close"/>
    <x v="135"/>
    <x v="2"/>
    <d v="2022-03-19T00:00:00"/>
    <x v="0"/>
    <x v="5"/>
    <n v="90"/>
    <x v="8"/>
    <x v="8"/>
    <n v="1800"/>
    <x v="913"/>
  </r>
  <r>
    <n v="3799"/>
    <x v="1508"/>
    <x v="118"/>
    <s v="Mr"/>
    <s v="M"/>
    <n v="30"/>
    <s v="Randall Place"/>
    <x v="1211"/>
    <x v="32"/>
    <d v="2020-12-05T00:00:00"/>
    <x v="2"/>
    <x v="8"/>
    <n v="9"/>
    <x v="5"/>
    <x v="5"/>
    <n v="216"/>
    <x v="584"/>
  </r>
  <r>
    <n v="3800"/>
    <x v="580"/>
    <x v="1686"/>
    <s v="Mr"/>
    <s v="M"/>
    <n v="30"/>
    <s v="Randall Place"/>
    <x v="118"/>
    <x v="2"/>
    <d v="2022-11-14T00:00:00"/>
    <x v="0"/>
    <x v="7"/>
    <n v="40"/>
    <x v="4"/>
    <x v="4"/>
    <n v="720"/>
    <x v="939"/>
  </r>
  <r>
    <n v="3801"/>
    <x v="1501"/>
    <x v="1536"/>
    <s v="Mr"/>
    <s v="M"/>
    <n v="30"/>
    <s v="Randells Road"/>
    <x v="411"/>
    <x v="63"/>
    <d v="2021-06-10T00:00:00"/>
    <x v="1"/>
    <x v="2"/>
    <n v="44"/>
    <x v="5"/>
    <x v="5"/>
    <n v="1056"/>
    <x v="424"/>
  </r>
  <r>
    <n v="3802"/>
    <x v="2385"/>
    <x v="101"/>
    <s v="Mrs"/>
    <s v="F"/>
    <n v="30"/>
    <s v="Randisbourne Gardens"/>
    <x v="709"/>
    <x v="2"/>
    <d v="2020-12-30T00:00:00"/>
    <x v="2"/>
    <x v="8"/>
    <n v="80"/>
    <x v="9"/>
    <x v="9"/>
    <n v="1920"/>
    <x v="176"/>
  </r>
  <r>
    <n v="3803"/>
    <x v="1147"/>
    <x v="1126"/>
    <s v="Mrs"/>
    <s v="F"/>
    <n v="30"/>
    <s v="Randlesdown Road"/>
    <x v="805"/>
    <x v="3"/>
    <d v="2021-08-10T00:00:00"/>
    <x v="1"/>
    <x v="3"/>
    <n v="56"/>
    <x v="5"/>
    <x v="5"/>
    <n v="1344"/>
    <x v="958"/>
  </r>
  <r>
    <n v="3804"/>
    <x v="1239"/>
    <x v="784"/>
    <s v="Mr"/>
    <s v="M"/>
    <n v="60"/>
    <s v="Randlesdown Road"/>
    <x v="407"/>
    <x v="1"/>
    <d v="2022-11-13T00:00:00"/>
    <x v="0"/>
    <x v="7"/>
    <n v="53"/>
    <x v="4"/>
    <x v="4"/>
    <n v="954"/>
    <x v="946"/>
  </r>
  <r>
    <n v="3805"/>
    <x v="1125"/>
    <x v="410"/>
    <s v="Miss"/>
    <s v="F"/>
    <n v="60"/>
    <s v="Rankin Close"/>
    <x v="682"/>
    <x v="2"/>
    <d v="2020-04-30T00:00:00"/>
    <x v="2"/>
    <x v="4"/>
    <n v="2"/>
    <x v="3"/>
    <x v="3"/>
    <n v="48"/>
    <x v="852"/>
  </r>
  <r>
    <n v="3806"/>
    <x v="1873"/>
    <x v="844"/>
    <s v="Miss"/>
    <s v="F"/>
    <n v="30"/>
    <s v="Rannell Street"/>
    <x v="1264"/>
    <x v="2"/>
    <d v="2022-11-08T00:00:00"/>
    <x v="0"/>
    <x v="7"/>
    <n v="102"/>
    <x v="6"/>
    <x v="6"/>
    <n v="2448"/>
    <x v="526"/>
  </r>
  <r>
    <n v="3807"/>
    <x v="2386"/>
    <x v="760"/>
    <s v="Mr"/>
    <s v="M"/>
    <n v="60"/>
    <s v="Ratcliffe Square"/>
    <x v="999"/>
    <x v="15"/>
    <d v="2021-09-04T00:00:00"/>
    <x v="1"/>
    <x v="9"/>
    <n v="95"/>
    <x v="3"/>
    <x v="3"/>
    <n v="2280"/>
    <x v="361"/>
  </r>
  <r>
    <n v="3808"/>
    <x v="2387"/>
    <x v="1081"/>
    <s v="Miss"/>
    <s v="F"/>
    <n v="60"/>
    <s v="Rathgar Road"/>
    <x v="1062"/>
    <x v="33"/>
    <d v="2022-05-28T00:00:00"/>
    <x v="0"/>
    <x v="11"/>
    <n v="76"/>
    <x v="8"/>
    <x v="8"/>
    <n v="1520"/>
    <x v="808"/>
  </r>
  <r>
    <n v="3809"/>
    <x v="2388"/>
    <x v="1419"/>
    <s v="Mrs"/>
    <s v="F"/>
    <n v="90"/>
    <s v="Raven Road"/>
    <x v="243"/>
    <x v="16"/>
    <d v="2021-02-12T00:00:00"/>
    <x v="1"/>
    <x v="10"/>
    <n v="33"/>
    <x v="9"/>
    <x v="9"/>
    <n v="792"/>
    <x v="633"/>
  </r>
  <r>
    <n v="3810"/>
    <x v="1323"/>
    <x v="704"/>
    <s v="Mr"/>
    <s v="M"/>
    <n v="30"/>
    <s v="Ravensbourne Street"/>
    <x v="263"/>
    <x v="2"/>
    <d v="2020-05-30T00:00:00"/>
    <x v="2"/>
    <x v="11"/>
    <n v="62"/>
    <x v="4"/>
    <x v="4"/>
    <n v="1116"/>
    <x v="135"/>
  </r>
  <r>
    <n v="3811"/>
    <x v="2389"/>
    <x v="995"/>
    <s v="Mr"/>
    <s v="M"/>
    <n v="60"/>
    <s v="Ravensdale Road"/>
    <x v="1086"/>
    <x v="2"/>
    <d v="2021-10-12T00:00:00"/>
    <x v="1"/>
    <x v="1"/>
    <n v="94"/>
    <x v="7"/>
    <x v="7"/>
    <n v="1880"/>
    <x v="911"/>
  </r>
  <r>
    <n v="3812"/>
    <x v="2390"/>
    <x v="900"/>
    <s v="Mrs"/>
    <s v="F"/>
    <n v="60"/>
    <s v="Ravenswood Industrial"/>
    <x v="318"/>
    <x v="2"/>
    <d v="2020-08-15T00:00:00"/>
    <x v="2"/>
    <x v="3"/>
    <n v="47"/>
    <x v="3"/>
    <x v="3"/>
    <n v="1128"/>
    <x v="472"/>
  </r>
  <r>
    <n v="3813"/>
    <x v="1607"/>
    <x v="1525"/>
    <s v="Mrs"/>
    <s v="F"/>
    <n v="90"/>
    <s v="Rawlings Street"/>
    <x v="787"/>
    <x v="17"/>
    <d v="2020-10-17T00:00:00"/>
    <x v="2"/>
    <x v="1"/>
    <n v="83"/>
    <x v="7"/>
    <x v="7"/>
    <n v="1660"/>
    <x v="148"/>
  </r>
  <r>
    <n v="3814"/>
    <x v="43"/>
    <x v="136"/>
    <s v="Mr"/>
    <s v="M"/>
    <n v="60"/>
    <s v="Ray Street"/>
    <x v="14"/>
    <x v="2"/>
    <d v="2020-10-30T00:00:00"/>
    <x v="2"/>
    <x v="1"/>
    <n v="11"/>
    <x v="0"/>
    <x v="0"/>
    <n v="220"/>
    <x v="749"/>
  </r>
  <r>
    <n v="3815"/>
    <x v="1501"/>
    <x v="1687"/>
    <s v="Mr"/>
    <s v="M"/>
    <n v="90"/>
    <s v="Raymond Avenue"/>
    <x v="321"/>
    <x v="44"/>
    <d v="2021-12-06T00:00:00"/>
    <x v="1"/>
    <x v="8"/>
    <n v="51"/>
    <x v="0"/>
    <x v="0"/>
    <n v="1020"/>
    <x v="983"/>
  </r>
  <r>
    <n v="3816"/>
    <x v="2391"/>
    <x v="163"/>
    <s v="Miss"/>
    <s v="F"/>
    <n v="60"/>
    <s v="Raymond Buildings"/>
    <x v="402"/>
    <x v="2"/>
    <d v="2020-12-26T00:00:00"/>
    <x v="2"/>
    <x v="8"/>
    <n v="33"/>
    <x v="1"/>
    <x v="1"/>
    <n v="792"/>
    <x v="860"/>
  </r>
  <r>
    <n v="3817"/>
    <x v="2392"/>
    <x v="498"/>
    <s v="Miss"/>
    <s v="F"/>
    <n v="30"/>
    <s v="Raymouth Road"/>
    <x v="164"/>
    <x v="17"/>
    <d v="2020-10-02T00:00:00"/>
    <x v="2"/>
    <x v="1"/>
    <n v="73"/>
    <x v="5"/>
    <x v="5"/>
    <n v="1752"/>
    <x v="277"/>
  </r>
  <r>
    <n v="3818"/>
    <x v="894"/>
    <x v="504"/>
    <s v="Mr"/>
    <s v="M"/>
    <n v="90"/>
    <s v="Rays Avenue"/>
    <x v="1265"/>
    <x v="2"/>
    <d v="2022-10-03T00:00:00"/>
    <x v="0"/>
    <x v="1"/>
    <n v="12"/>
    <x v="5"/>
    <x v="5"/>
    <n v="288"/>
    <x v="477"/>
  </r>
  <r>
    <n v="3819"/>
    <x v="2393"/>
    <x v="1688"/>
    <s v="Mr"/>
    <s v="M"/>
    <n v="30"/>
    <s v="Reachview Close"/>
    <x v="1266"/>
    <x v="17"/>
    <d v="2022-09-28T00:00:00"/>
    <x v="0"/>
    <x v="9"/>
    <n v="54"/>
    <x v="5"/>
    <x v="5"/>
    <n v="1296"/>
    <x v="97"/>
  </r>
  <r>
    <n v="3820"/>
    <x v="870"/>
    <x v="1455"/>
    <s v="Mr"/>
    <s v="M"/>
    <n v="60"/>
    <s v="Rear Of"/>
    <x v="633"/>
    <x v="2"/>
    <d v="2022-03-09T00:00:00"/>
    <x v="0"/>
    <x v="5"/>
    <n v="76"/>
    <x v="0"/>
    <x v="0"/>
    <n v="1520"/>
    <x v="662"/>
  </r>
  <r>
    <n v="3821"/>
    <x v="1912"/>
    <x v="1630"/>
    <s v="Mr"/>
    <s v="M"/>
    <n v="90"/>
    <s v="Rebecca'S Place"/>
    <x v="146"/>
    <x v="2"/>
    <d v="2021-08-09T00:00:00"/>
    <x v="1"/>
    <x v="3"/>
    <n v="51"/>
    <x v="0"/>
    <x v="0"/>
    <n v="1020"/>
    <x v="983"/>
  </r>
  <r>
    <n v="3822"/>
    <x v="120"/>
    <x v="1676"/>
    <s v="Mr"/>
    <s v="M"/>
    <n v="30"/>
    <s v="Redcliffe Close"/>
    <x v="150"/>
    <x v="2"/>
    <d v="2022-11-08T00:00:00"/>
    <x v="0"/>
    <x v="7"/>
    <n v="19"/>
    <x v="5"/>
    <x v="5"/>
    <n v="456"/>
    <x v="268"/>
  </r>
  <r>
    <n v="3823"/>
    <x v="1987"/>
    <x v="833"/>
    <s v="Mr"/>
    <s v="M"/>
    <n v="60"/>
    <s v="Redcliffe Mews"/>
    <x v="986"/>
    <x v="1"/>
    <d v="2022-10-05T00:00:00"/>
    <x v="0"/>
    <x v="1"/>
    <n v="66"/>
    <x v="9"/>
    <x v="9"/>
    <n v="1584"/>
    <x v="404"/>
  </r>
  <r>
    <n v="3824"/>
    <x v="2012"/>
    <x v="983"/>
    <s v="Miss"/>
    <s v="F"/>
    <n v="30"/>
    <s v="Redcliffe Road"/>
    <x v="775"/>
    <x v="15"/>
    <d v="2021-02-19T00:00:00"/>
    <x v="1"/>
    <x v="10"/>
    <n v="66"/>
    <x v="8"/>
    <x v="8"/>
    <n v="1320"/>
    <x v="241"/>
  </r>
  <r>
    <n v="3825"/>
    <x v="292"/>
    <x v="1597"/>
    <s v="Mr"/>
    <s v="M"/>
    <n v="60"/>
    <s v="Redcross Street"/>
    <x v="187"/>
    <x v="2"/>
    <d v="2022-11-08T00:00:00"/>
    <x v="0"/>
    <x v="7"/>
    <n v="13"/>
    <x v="1"/>
    <x v="1"/>
    <n v="312"/>
    <x v="127"/>
  </r>
  <r>
    <n v="3826"/>
    <x v="1528"/>
    <x v="1065"/>
    <s v="Mr"/>
    <s v="M"/>
    <n v="30"/>
    <s v="Redhall Terrace"/>
    <x v="645"/>
    <x v="2"/>
    <d v="2020-07-31T00:00:00"/>
    <x v="2"/>
    <x v="0"/>
    <n v="51"/>
    <x v="3"/>
    <x v="3"/>
    <n v="1224"/>
    <x v="237"/>
  </r>
  <r>
    <n v="3827"/>
    <x v="1331"/>
    <x v="1689"/>
    <s v="Mr"/>
    <s v="M"/>
    <n v="30"/>
    <s v="Redmans Road"/>
    <x v="1235"/>
    <x v="2"/>
    <d v="2022-05-14T00:00:00"/>
    <x v="0"/>
    <x v="11"/>
    <n v="97"/>
    <x v="5"/>
    <x v="5"/>
    <n v="2328"/>
    <x v="823"/>
  </r>
  <r>
    <n v="3828"/>
    <x v="2394"/>
    <x v="974"/>
    <s v="Miss"/>
    <s v="F"/>
    <n v="60"/>
    <s v="Redmead Lane"/>
    <x v="566"/>
    <x v="21"/>
    <d v="2020-10-10T00:00:00"/>
    <x v="2"/>
    <x v="1"/>
    <n v="6"/>
    <x v="6"/>
    <x v="6"/>
    <n v="144"/>
    <x v="851"/>
  </r>
  <r>
    <n v="3829"/>
    <x v="1062"/>
    <x v="1639"/>
    <s v="Mr"/>
    <s v="M"/>
    <n v="90"/>
    <s v="Redvers Road"/>
    <x v="86"/>
    <x v="17"/>
    <d v="2022-08-01T00:00:00"/>
    <x v="0"/>
    <x v="3"/>
    <n v="25"/>
    <x v="8"/>
    <x v="8"/>
    <n v="500"/>
    <x v="764"/>
  </r>
  <r>
    <n v="3830"/>
    <x v="2395"/>
    <x v="540"/>
    <s v="Mrs"/>
    <s v="F"/>
    <n v="60"/>
    <s v="Redvers Road"/>
    <x v="146"/>
    <x v="2"/>
    <d v="2020-06-01T00:00:00"/>
    <x v="2"/>
    <x v="2"/>
    <n v="78"/>
    <x v="7"/>
    <x v="7"/>
    <n v="1560"/>
    <x v="664"/>
  </r>
  <r>
    <n v="3831"/>
    <x v="2396"/>
    <x v="351"/>
    <s v="Mr"/>
    <s v="M"/>
    <n v="30"/>
    <s v="Redwood Close"/>
    <x v="492"/>
    <x v="17"/>
    <d v="2020-10-14T00:00:00"/>
    <x v="2"/>
    <x v="1"/>
    <n v="68"/>
    <x v="1"/>
    <x v="1"/>
    <n v="1632"/>
    <x v="160"/>
  </r>
  <r>
    <n v="3832"/>
    <x v="235"/>
    <x v="1199"/>
    <s v="Mr"/>
    <s v="M"/>
    <n v="60"/>
    <s v="Reece Mews"/>
    <x v="720"/>
    <x v="2"/>
    <d v="2020-07-28T00:00:00"/>
    <x v="2"/>
    <x v="0"/>
    <n v="84"/>
    <x v="8"/>
    <x v="8"/>
    <n v="1680"/>
    <x v="816"/>
  </r>
  <r>
    <n v="3833"/>
    <x v="220"/>
    <x v="80"/>
    <s v="Mr"/>
    <s v="M"/>
    <n v="30"/>
    <s v="Reedworth Street"/>
    <x v="1047"/>
    <x v="8"/>
    <d v="2021-05-15T00:00:00"/>
    <x v="1"/>
    <x v="11"/>
    <n v="41"/>
    <x v="9"/>
    <x v="9"/>
    <n v="984"/>
    <x v="348"/>
  </r>
  <r>
    <n v="3834"/>
    <x v="157"/>
    <x v="386"/>
    <s v="Mr"/>
    <s v="M"/>
    <n v="60"/>
    <s v="Reedworth Street"/>
    <x v="1060"/>
    <x v="1"/>
    <d v="2022-06-20T00:00:00"/>
    <x v="0"/>
    <x v="2"/>
    <n v="36"/>
    <x v="5"/>
    <x v="5"/>
    <n v="864"/>
    <x v="236"/>
  </r>
  <r>
    <n v="3835"/>
    <x v="1693"/>
    <x v="1349"/>
    <s v="Mr"/>
    <s v="M"/>
    <n v="30"/>
    <s v="Rees Row"/>
    <x v="208"/>
    <x v="37"/>
    <d v="2022-02-06T00:00:00"/>
    <x v="0"/>
    <x v="10"/>
    <n v="22"/>
    <x v="3"/>
    <x v="3"/>
    <n v="528"/>
    <x v="310"/>
  </r>
  <r>
    <n v="3836"/>
    <x v="2397"/>
    <x v="262"/>
    <s v="Mrs"/>
    <s v="F"/>
    <n v="60"/>
    <s v="Regal Row"/>
    <x v="1267"/>
    <x v="84"/>
    <d v="2022-09-01T00:00:00"/>
    <x v="0"/>
    <x v="9"/>
    <n v="45"/>
    <x v="8"/>
    <x v="8"/>
    <n v="900"/>
    <x v="413"/>
  </r>
  <r>
    <n v="3837"/>
    <x v="2398"/>
    <x v="243"/>
    <s v="Mrs"/>
    <s v="F"/>
    <n v="30"/>
    <s v="Regan Way"/>
    <x v="36"/>
    <x v="2"/>
    <d v="2021-03-25T00:00:00"/>
    <x v="1"/>
    <x v="5"/>
    <n v="32"/>
    <x v="1"/>
    <x v="1"/>
    <n v="768"/>
    <x v="475"/>
  </r>
  <r>
    <n v="3838"/>
    <x v="2399"/>
    <x v="846"/>
    <s v="Miss"/>
    <s v="F"/>
    <n v="60"/>
    <s v="Regency Terrace"/>
    <x v="273"/>
    <x v="1"/>
    <d v="2022-11-26T00:00:00"/>
    <x v="0"/>
    <x v="7"/>
    <n v="22"/>
    <x v="0"/>
    <x v="0"/>
    <n v="440"/>
    <x v="650"/>
  </r>
  <r>
    <n v="3839"/>
    <x v="313"/>
    <x v="971"/>
    <s v="Ms"/>
    <s v="F"/>
    <n v="60"/>
    <s v="Regent Square"/>
    <x v="205"/>
    <x v="16"/>
    <d v="2021-02-15T00:00:00"/>
    <x v="1"/>
    <x v="10"/>
    <n v="83"/>
    <x v="9"/>
    <x v="9"/>
    <n v="1992"/>
    <x v="883"/>
  </r>
  <r>
    <n v="3840"/>
    <x v="2400"/>
    <x v="235"/>
    <s v="Mr"/>
    <s v="M"/>
    <n v="60"/>
    <s v="Regents Avenue"/>
    <x v="732"/>
    <x v="17"/>
    <d v="2021-03-27T00:00:00"/>
    <x v="1"/>
    <x v="5"/>
    <n v="9"/>
    <x v="1"/>
    <x v="1"/>
    <n v="216"/>
    <x v="67"/>
  </r>
  <r>
    <n v="3841"/>
    <x v="2401"/>
    <x v="1243"/>
    <s v="Miss"/>
    <s v="F"/>
    <n v="60"/>
    <s v="Regents Mews"/>
    <x v="653"/>
    <x v="2"/>
    <d v="2022-06-27T00:00:00"/>
    <x v="0"/>
    <x v="2"/>
    <n v="55"/>
    <x v="1"/>
    <x v="1"/>
    <n v="1320"/>
    <x v="290"/>
  </r>
  <r>
    <n v="3842"/>
    <x v="2383"/>
    <x v="1212"/>
    <s v="Mr"/>
    <s v="M"/>
    <n v="60"/>
    <s v="Regents Row"/>
    <x v="550"/>
    <x v="73"/>
    <d v="2021-10-24T00:00:00"/>
    <x v="1"/>
    <x v="1"/>
    <n v="4"/>
    <x v="1"/>
    <x v="1"/>
    <n v="96"/>
    <x v="245"/>
  </r>
  <r>
    <n v="3843"/>
    <x v="2402"/>
    <x v="1531"/>
    <s v="Miss"/>
    <s v="F"/>
    <n v="90"/>
    <s v="Regents Wharf"/>
    <x v="957"/>
    <x v="77"/>
    <d v="2022-01-10T00:00:00"/>
    <x v="0"/>
    <x v="6"/>
    <n v="62"/>
    <x v="2"/>
    <x v="2"/>
    <n v="1054"/>
    <x v="802"/>
  </r>
  <r>
    <n v="3844"/>
    <x v="2089"/>
    <x v="1690"/>
    <s v="Mr"/>
    <s v="M"/>
    <n v="30"/>
    <s v="Regina Road"/>
    <x v="466"/>
    <x v="3"/>
    <d v="2021-08-26T00:00:00"/>
    <x v="1"/>
    <x v="3"/>
    <n v="74"/>
    <x v="1"/>
    <x v="1"/>
    <n v="1776"/>
    <x v="360"/>
  </r>
  <r>
    <n v="3845"/>
    <x v="1917"/>
    <x v="1022"/>
    <s v="Mr"/>
    <s v="M"/>
    <n v="90"/>
    <s v="Regina Terrace"/>
    <x v="1084"/>
    <x v="11"/>
    <d v="2020-03-22T00:00:00"/>
    <x v="2"/>
    <x v="5"/>
    <n v="78"/>
    <x v="9"/>
    <x v="9"/>
    <n v="1872"/>
    <x v="353"/>
  </r>
  <r>
    <n v="3846"/>
    <x v="729"/>
    <x v="512"/>
    <s v="Mr"/>
    <s v="M"/>
    <n v="60"/>
    <s v="Reighton Road"/>
    <x v="1116"/>
    <x v="2"/>
    <d v="2022-03-17T00:00:00"/>
    <x v="0"/>
    <x v="5"/>
    <n v="48"/>
    <x v="7"/>
    <x v="7"/>
    <n v="960"/>
    <x v="953"/>
  </r>
  <r>
    <n v="3847"/>
    <x v="2224"/>
    <x v="483"/>
    <s v="Mr"/>
    <s v="M"/>
    <n v="30"/>
    <s v="Rendlesham Road"/>
    <x v="817"/>
    <x v="26"/>
    <d v="2020-04-02T00:00:00"/>
    <x v="2"/>
    <x v="4"/>
    <n v="7"/>
    <x v="1"/>
    <x v="1"/>
    <n v="168"/>
    <x v="629"/>
  </r>
  <r>
    <n v="3848"/>
    <x v="2403"/>
    <x v="1395"/>
    <s v="Miss"/>
    <s v="F"/>
    <n v="30"/>
    <s v="Rendlesham Road"/>
    <x v="1092"/>
    <x v="21"/>
    <d v="2020-11-27T00:00:00"/>
    <x v="2"/>
    <x v="7"/>
    <n v="40"/>
    <x v="6"/>
    <x v="6"/>
    <n v="960"/>
    <x v="598"/>
  </r>
  <r>
    <n v="3849"/>
    <x v="2404"/>
    <x v="1269"/>
    <s v="Mrs"/>
    <s v="F"/>
    <n v="60"/>
    <s v="Renters Avenue"/>
    <x v="137"/>
    <x v="17"/>
    <d v="2021-10-28T00:00:00"/>
    <x v="1"/>
    <x v="1"/>
    <n v="34"/>
    <x v="9"/>
    <x v="9"/>
    <n v="816"/>
    <x v="738"/>
  </r>
  <r>
    <n v="3850"/>
    <x v="381"/>
    <x v="324"/>
    <s v="Mr"/>
    <s v="M"/>
    <n v="90"/>
    <s v="Rephidim Street"/>
    <x v="532"/>
    <x v="2"/>
    <d v="2021-08-28T00:00:00"/>
    <x v="1"/>
    <x v="3"/>
    <n v="92"/>
    <x v="9"/>
    <x v="9"/>
    <n v="2208"/>
    <x v="528"/>
  </r>
  <r>
    <n v="3851"/>
    <x v="2405"/>
    <x v="1054"/>
    <s v="Ms"/>
    <s v="F"/>
    <n v="90"/>
    <s v="Restons Crescent"/>
    <x v="721"/>
    <x v="11"/>
    <d v="2020-10-11T00:00:00"/>
    <x v="2"/>
    <x v="1"/>
    <n v="10"/>
    <x v="4"/>
    <x v="4"/>
    <n v="180"/>
    <x v="427"/>
  </r>
  <r>
    <n v="3852"/>
    <x v="2406"/>
    <x v="1691"/>
    <s v="Miss"/>
    <s v="F"/>
    <n v="60"/>
    <s v="Reynard Drive"/>
    <x v="864"/>
    <x v="2"/>
    <d v="2022-12-13T00:00:00"/>
    <x v="0"/>
    <x v="8"/>
    <n v="20"/>
    <x v="0"/>
    <x v="0"/>
    <n v="400"/>
    <x v="210"/>
  </r>
  <r>
    <n v="3853"/>
    <x v="2407"/>
    <x v="1112"/>
    <s v="Mrs"/>
    <s v="F"/>
    <n v="60"/>
    <s v="Reynolds Place"/>
    <x v="421"/>
    <x v="0"/>
    <d v="2021-03-04T00:00:00"/>
    <x v="1"/>
    <x v="5"/>
    <n v="22"/>
    <x v="9"/>
    <x v="9"/>
    <n v="528"/>
    <x v="625"/>
  </r>
  <r>
    <n v="3854"/>
    <x v="631"/>
    <x v="1692"/>
    <s v="Mr"/>
    <s v="M"/>
    <n v="60"/>
    <s v="Reynolds Road"/>
    <x v="58"/>
    <x v="1"/>
    <d v="2020-12-26T00:00:00"/>
    <x v="2"/>
    <x v="8"/>
    <n v="32"/>
    <x v="7"/>
    <x v="7"/>
    <n v="640"/>
    <x v="762"/>
  </r>
  <r>
    <n v="3855"/>
    <x v="1898"/>
    <x v="1011"/>
    <s v="Mr"/>
    <s v="M"/>
    <n v="90"/>
    <s v="Rezia Place"/>
    <x v="86"/>
    <x v="17"/>
    <d v="2020-03-04T00:00:00"/>
    <x v="2"/>
    <x v="5"/>
    <n v="61"/>
    <x v="9"/>
    <x v="9"/>
    <n v="1464"/>
    <x v="849"/>
  </r>
  <r>
    <n v="3856"/>
    <x v="1121"/>
    <x v="924"/>
    <s v="Miss"/>
    <s v="F"/>
    <n v="90"/>
    <s v="Rezia Place"/>
    <x v="1129"/>
    <x v="2"/>
    <d v="2021-04-10T00:00:00"/>
    <x v="1"/>
    <x v="4"/>
    <n v="19"/>
    <x v="1"/>
    <x v="1"/>
    <n v="456"/>
    <x v="845"/>
  </r>
  <r>
    <n v="3857"/>
    <x v="2408"/>
    <x v="1494"/>
    <s v="Miss"/>
    <s v="F"/>
    <n v="60"/>
    <s v="Rhodes Well"/>
    <x v="173"/>
    <x v="2"/>
    <d v="2021-05-13T00:00:00"/>
    <x v="1"/>
    <x v="11"/>
    <n v="13"/>
    <x v="1"/>
    <x v="1"/>
    <n v="312"/>
    <x v="127"/>
  </r>
  <r>
    <n v="3858"/>
    <x v="2409"/>
    <x v="1693"/>
    <s v="Miss"/>
    <s v="F"/>
    <n v="30"/>
    <s v="Rhondda Grove"/>
    <x v="955"/>
    <x v="33"/>
    <d v="2021-06-20T00:00:00"/>
    <x v="1"/>
    <x v="2"/>
    <n v="21"/>
    <x v="4"/>
    <x v="4"/>
    <n v="378"/>
    <x v="346"/>
  </r>
  <r>
    <n v="3859"/>
    <x v="2410"/>
    <x v="1658"/>
    <s v="Mrs"/>
    <s v="F"/>
    <n v="60"/>
    <s v="Ricardo Street"/>
    <x v="1268"/>
    <x v="17"/>
    <d v="2020-05-05T00:00:00"/>
    <x v="2"/>
    <x v="11"/>
    <n v="9"/>
    <x v="9"/>
    <x v="9"/>
    <n v="216"/>
    <x v="984"/>
  </r>
  <r>
    <n v="3860"/>
    <x v="2411"/>
    <x v="1384"/>
    <s v="Mrs"/>
    <s v="F"/>
    <n v="30"/>
    <s v="Richard Street"/>
    <x v="1269"/>
    <x v="2"/>
    <d v="2021-08-12T00:00:00"/>
    <x v="1"/>
    <x v="3"/>
    <n v="43"/>
    <x v="1"/>
    <x v="1"/>
    <n v="1032"/>
    <x v="76"/>
  </r>
  <r>
    <n v="3861"/>
    <x v="1913"/>
    <x v="144"/>
    <s v="Miss"/>
    <s v="F"/>
    <n v="30"/>
    <s v="Richmond Grove"/>
    <x v="147"/>
    <x v="2"/>
    <d v="2022-11-07T00:00:00"/>
    <x v="0"/>
    <x v="7"/>
    <n v="18"/>
    <x v="3"/>
    <x v="3"/>
    <n v="432"/>
    <x v="8"/>
  </r>
  <r>
    <n v="3862"/>
    <x v="2412"/>
    <x v="1694"/>
    <s v="Miss"/>
    <s v="F"/>
    <n v="90"/>
    <s v="Richmond House"/>
    <x v="282"/>
    <x v="2"/>
    <d v="2022-12-10T00:00:00"/>
    <x v="0"/>
    <x v="8"/>
    <n v="95"/>
    <x v="9"/>
    <x v="9"/>
    <n v="2280"/>
    <x v="701"/>
  </r>
  <r>
    <n v="3863"/>
    <x v="212"/>
    <x v="1695"/>
    <s v="Mr"/>
    <s v="M"/>
    <n v="90"/>
    <s v="Richmond House"/>
    <x v="340"/>
    <x v="2"/>
    <d v="2022-04-29T00:00:00"/>
    <x v="0"/>
    <x v="4"/>
    <n v="74"/>
    <x v="8"/>
    <x v="8"/>
    <n v="1480"/>
    <x v="603"/>
  </r>
  <r>
    <n v="3864"/>
    <x v="2413"/>
    <x v="468"/>
    <s v="Miss"/>
    <s v="F"/>
    <n v="90"/>
    <s v="Richmond Villas"/>
    <x v="586"/>
    <x v="21"/>
    <d v="2021-08-03T00:00:00"/>
    <x v="1"/>
    <x v="3"/>
    <n v="60"/>
    <x v="8"/>
    <x v="8"/>
    <n v="1200"/>
    <x v="384"/>
  </r>
  <r>
    <n v="3865"/>
    <x v="2414"/>
    <x v="958"/>
    <s v="Mrs"/>
    <s v="F"/>
    <n v="30"/>
    <s v="Richmond Way"/>
    <x v="1270"/>
    <x v="2"/>
    <d v="2020-09-22T00:00:00"/>
    <x v="2"/>
    <x v="9"/>
    <n v="46"/>
    <x v="4"/>
    <x v="4"/>
    <n v="828"/>
    <x v="223"/>
  </r>
  <r>
    <n v="3866"/>
    <x v="2415"/>
    <x v="1380"/>
    <s v="Mr"/>
    <s v="M"/>
    <n v="30"/>
    <s v="Rickard Close"/>
    <x v="142"/>
    <x v="21"/>
    <d v="2022-12-13T00:00:00"/>
    <x v="0"/>
    <x v="8"/>
    <n v="55"/>
    <x v="9"/>
    <x v="9"/>
    <n v="1320"/>
    <x v="679"/>
  </r>
  <r>
    <n v="3867"/>
    <x v="1959"/>
    <x v="9"/>
    <s v="Mr"/>
    <s v="M"/>
    <n v="90"/>
    <s v="Rickyard Path"/>
    <x v="1271"/>
    <x v="2"/>
    <d v="2020-06-10T00:00:00"/>
    <x v="2"/>
    <x v="2"/>
    <n v="20"/>
    <x v="3"/>
    <x v="3"/>
    <n v="480"/>
    <x v="847"/>
  </r>
  <r>
    <n v="3868"/>
    <x v="2416"/>
    <x v="1463"/>
    <s v="Mr"/>
    <s v="M"/>
    <n v="60"/>
    <s v="Riddell Street"/>
    <x v="405"/>
    <x v="21"/>
    <d v="2022-05-21T00:00:00"/>
    <x v="0"/>
    <x v="11"/>
    <n v="7"/>
    <x v="5"/>
    <x v="5"/>
    <n v="168"/>
    <x v="499"/>
  </r>
  <r>
    <n v="3869"/>
    <x v="2417"/>
    <x v="1411"/>
    <s v="Mr"/>
    <s v="M"/>
    <n v="30"/>
    <s v="Rider Street"/>
    <x v="197"/>
    <x v="16"/>
    <d v="2020-01-07T00:00:00"/>
    <x v="2"/>
    <x v="6"/>
    <n v="15"/>
    <x v="3"/>
    <x v="3"/>
    <n v="360"/>
    <x v="532"/>
  </r>
  <r>
    <n v="3870"/>
    <x v="2418"/>
    <x v="1451"/>
    <s v="Mr"/>
    <s v="M"/>
    <n v="30"/>
    <s v="Ridgdale Street"/>
    <x v="177"/>
    <x v="2"/>
    <d v="2021-01-09T00:00:00"/>
    <x v="1"/>
    <x v="6"/>
    <n v="10"/>
    <x v="7"/>
    <x v="7"/>
    <n v="200"/>
    <x v="809"/>
  </r>
  <r>
    <n v="3871"/>
    <x v="61"/>
    <x v="546"/>
    <s v="Mrs"/>
    <s v="F"/>
    <n v="90"/>
    <s v="Ridgemount Close"/>
    <x v="805"/>
    <x v="3"/>
    <d v="2022-04-26T00:00:00"/>
    <x v="0"/>
    <x v="4"/>
    <n v="5"/>
    <x v="1"/>
    <x v="1"/>
    <n v="120"/>
    <x v="373"/>
  </r>
  <r>
    <n v="3872"/>
    <x v="381"/>
    <x v="725"/>
    <s v="Mr"/>
    <s v="M"/>
    <n v="30"/>
    <s v="Ridings Close"/>
    <x v="691"/>
    <x v="2"/>
    <d v="2020-07-07T00:00:00"/>
    <x v="2"/>
    <x v="0"/>
    <n v="53"/>
    <x v="2"/>
    <x v="2"/>
    <n v="901"/>
    <x v="460"/>
  </r>
  <r>
    <n v="3873"/>
    <x v="1210"/>
    <x v="541"/>
    <s v="Mr"/>
    <s v="M"/>
    <n v="60"/>
    <s v="Ridler Place"/>
    <x v="1272"/>
    <x v="46"/>
    <d v="2022-02-14T00:00:00"/>
    <x v="0"/>
    <x v="10"/>
    <n v="88"/>
    <x v="3"/>
    <x v="3"/>
    <n v="2112"/>
    <x v="697"/>
  </r>
  <r>
    <n v="3874"/>
    <x v="1896"/>
    <x v="1696"/>
    <s v="Mrs"/>
    <s v="F"/>
    <n v="30"/>
    <s v="Riffel Road"/>
    <x v="207"/>
    <x v="12"/>
    <d v="2022-11-06T00:00:00"/>
    <x v="0"/>
    <x v="7"/>
    <n v="86"/>
    <x v="8"/>
    <x v="8"/>
    <n v="1720"/>
    <x v="86"/>
  </r>
  <r>
    <n v="3875"/>
    <x v="1895"/>
    <x v="1631"/>
    <s v="Mrs"/>
    <s v="F"/>
    <n v="90"/>
    <s v="Rigault Road"/>
    <x v="373"/>
    <x v="11"/>
    <d v="2021-09-25T00:00:00"/>
    <x v="1"/>
    <x v="9"/>
    <n v="18"/>
    <x v="5"/>
    <x v="5"/>
    <n v="432"/>
    <x v="985"/>
  </r>
  <r>
    <n v="3876"/>
    <x v="811"/>
    <x v="345"/>
    <s v="Mrs"/>
    <s v="F"/>
    <n v="30"/>
    <s v="Rigg Approach"/>
    <x v="329"/>
    <x v="2"/>
    <d v="2021-03-10T00:00:00"/>
    <x v="1"/>
    <x v="5"/>
    <n v="42"/>
    <x v="8"/>
    <x v="8"/>
    <n v="840"/>
    <x v="289"/>
  </r>
  <r>
    <n v="3877"/>
    <x v="2419"/>
    <x v="803"/>
    <s v="Miss"/>
    <s v="F"/>
    <n v="30"/>
    <s v="Rigge Place"/>
    <x v="400"/>
    <x v="1"/>
    <d v="2022-10-15T00:00:00"/>
    <x v="0"/>
    <x v="1"/>
    <n v="56"/>
    <x v="7"/>
    <x v="7"/>
    <n v="1120"/>
    <x v="986"/>
  </r>
  <r>
    <n v="3878"/>
    <x v="922"/>
    <x v="1394"/>
    <s v="Mr"/>
    <s v="M"/>
    <n v="60"/>
    <s v="Ring Crescent"/>
    <x v="433"/>
    <x v="2"/>
    <d v="2020-09-27T00:00:00"/>
    <x v="2"/>
    <x v="9"/>
    <n v="26"/>
    <x v="5"/>
    <x v="5"/>
    <n v="624"/>
    <x v="559"/>
  </r>
  <r>
    <n v="3879"/>
    <x v="1843"/>
    <x v="1653"/>
    <s v="Miss"/>
    <s v="F"/>
    <n v="90"/>
    <s v="Ringmer Avenue"/>
    <x v="826"/>
    <x v="16"/>
    <d v="2020-08-08T00:00:00"/>
    <x v="2"/>
    <x v="3"/>
    <n v="54"/>
    <x v="4"/>
    <x v="4"/>
    <n v="972"/>
    <x v="196"/>
  </r>
  <r>
    <n v="3880"/>
    <x v="1702"/>
    <x v="1677"/>
    <s v="Mr"/>
    <s v="M"/>
    <n v="90"/>
    <s v="Ringmer Gardens"/>
    <x v="622"/>
    <x v="2"/>
    <d v="2020-02-25T00:00:00"/>
    <x v="2"/>
    <x v="10"/>
    <n v="37"/>
    <x v="6"/>
    <x v="6"/>
    <n v="888"/>
    <x v="292"/>
  </r>
  <r>
    <n v="3881"/>
    <x v="272"/>
    <x v="1697"/>
    <s v="Mr"/>
    <s v="M"/>
    <n v="60"/>
    <s v="Ringwood Gardens"/>
    <x v="667"/>
    <x v="2"/>
    <d v="2022-10-29T00:00:00"/>
    <x v="0"/>
    <x v="1"/>
    <n v="38"/>
    <x v="5"/>
    <x v="5"/>
    <n v="912"/>
    <x v="244"/>
  </r>
  <r>
    <n v="3882"/>
    <x v="423"/>
    <x v="1133"/>
    <s v="Mrs"/>
    <s v="F"/>
    <n v="30"/>
    <s v="Ripley Villas"/>
    <x v="769"/>
    <x v="55"/>
    <d v="2020-08-25T00:00:00"/>
    <x v="2"/>
    <x v="3"/>
    <n v="17"/>
    <x v="6"/>
    <x v="6"/>
    <n v="408"/>
    <x v="492"/>
  </r>
  <r>
    <n v="3883"/>
    <x v="2420"/>
    <x v="243"/>
    <s v="Mrs"/>
    <s v="F"/>
    <n v="60"/>
    <s v="Ripplevale Grove"/>
    <x v="369"/>
    <x v="1"/>
    <d v="2022-04-18T00:00:00"/>
    <x v="0"/>
    <x v="4"/>
    <n v="18"/>
    <x v="7"/>
    <x v="7"/>
    <n v="360"/>
    <x v="687"/>
  </r>
  <r>
    <n v="3884"/>
    <x v="1758"/>
    <x v="72"/>
    <s v="Mr"/>
    <s v="M"/>
    <n v="90"/>
    <s v="Ritson Road"/>
    <x v="1072"/>
    <x v="0"/>
    <d v="2021-02-13T00:00:00"/>
    <x v="1"/>
    <x v="10"/>
    <n v="94"/>
    <x v="8"/>
    <x v="8"/>
    <n v="1880"/>
    <x v="980"/>
  </r>
  <r>
    <n v="3885"/>
    <x v="1784"/>
    <x v="83"/>
    <s v="Miss"/>
    <s v="F"/>
    <n v="90"/>
    <s v="Ritson Road"/>
    <x v="115"/>
    <x v="2"/>
    <d v="2021-01-14T00:00:00"/>
    <x v="1"/>
    <x v="6"/>
    <n v="47"/>
    <x v="2"/>
    <x v="2"/>
    <n v="799"/>
    <x v="670"/>
  </r>
  <r>
    <n v="3886"/>
    <x v="1136"/>
    <x v="1033"/>
    <s v="Prof"/>
    <s v="M"/>
    <n v="60"/>
    <s v="River Close"/>
    <x v="1201"/>
    <x v="2"/>
    <d v="2021-06-16T00:00:00"/>
    <x v="1"/>
    <x v="2"/>
    <n v="94"/>
    <x v="8"/>
    <x v="8"/>
    <n v="1880"/>
    <x v="980"/>
  </r>
  <r>
    <n v="3887"/>
    <x v="289"/>
    <x v="965"/>
    <s v="Mr"/>
    <s v="M"/>
    <n v="60"/>
    <s v="Riverside"/>
    <x v="1212"/>
    <x v="12"/>
    <d v="2022-08-09T00:00:00"/>
    <x v="0"/>
    <x v="3"/>
    <n v="56"/>
    <x v="5"/>
    <x v="5"/>
    <n v="1344"/>
    <x v="958"/>
  </r>
  <r>
    <n v="3888"/>
    <x v="1547"/>
    <x v="1133"/>
    <s v="Mr"/>
    <s v="M"/>
    <n v="90"/>
    <s v="Riverside Business"/>
    <x v="1155"/>
    <x v="1"/>
    <d v="2022-11-16T00:00:00"/>
    <x v="0"/>
    <x v="7"/>
    <n v="7"/>
    <x v="4"/>
    <x v="4"/>
    <n v="126"/>
    <x v="311"/>
  </r>
  <r>
    <n v="3889"/>
    <x v="895"/>
    <x v="1495"/>
    <s v="Mrs"/>
    <s v="F"/>
    <n v="60"/>
    <s v="Rlsdon Street"/>
    <x v="1273"/>
    <x v="20"/>
    <d v="2020-06-12T00:00:00"/>
    <x v="2"/>
    <x v="2"/>
    <n v="3"/>
    <x v="5"/>
    <x v="5"/>
    <n v="72"/>
    <x v="379"/>
  </r>
  <r>
    <n v="3890"/>
    <x v="2421"/>
    <x v="103"/>
    <s v="Mrs"/>
    <s v="F"/>
    <n v="30"/>
    <s v="Roberts Terrace"/>
    <x v="204"/>
    <x v="2"/>
    <d v="2022-03-25T00:00:00"/>
    <x v="0"/>
    <x v="5"/>
    <n v="6"/>
    <x v="4"/>
    <x v="4"/>
    <n v="108"/>
    <x v="168"/>
  </r>
  <r>
    <n v="3891"/>
    <x v="2422"/>
    <x v="651"/>
    <s v="Mrs"/>
    <s v="F"/>
    <n v="60"/>
    <s v="Roberts Terrace"/>
    <x v="1147"/>
    <x v="2"/>
    <d v="2021-08-29T00:00:00"/>
    <x v="1"/>
    <x v="3"/>
    <n v="68"/>
    <x v="8"/>
    <x v="8"/>
    <n v="1360"/>
    <x v="721"/>
  </r>
  <r>
    <n v="3892"/>
    <x v="2423"/>
    <x v="1509"/>
    <s v="Mr"/>
    <s v="M"/>
    <n v="30"/>
    <s v="Robertson Cottages"/>
    <x v="519"/>
    <x v="15"/>
    <d v="2021-04-16T00:00:00"/>
    <x v="1"/>
    <x v="4"/>
    <n v="3"/>
    <x v="5"/>
    <x v="5"/>
    <n v="72"/>
    <x v="379"/>
  </r>
  <r>
    <n v="3893"/>
    <x v="716"/>
    <x v="1698"/>
    <s v="Mr"/>
    <s v="M"/>
    <n v="60"/>
    <s v="Robertson Cottages"/>
    <x v="85"/>
    <x v="1"/>
    <d v="2020-07-26T00:00:00"/>
    <x v="2"/>
    <x v="0"/>
    <n v="78"/>
    <x v="8"/>
    <x v="8"/>
    <n v="1560"/>
    <x v="903"/>
  </r>
  <r>
    <n v="3894"/>
    <x v="2424"/>
    <x v="1699"/>
    <s v="Miss"/>
    <s v="F"/>
    <n v="90"/>
    <s v="Robertsons Place"/>
    <x v="1136"/>
    <x v="2"/>
    <d v="2020-10-12T00:00:00"/>
    <x v="2"/>
    <x v="1"/>
    <n v="77"/>
    <x v="9"/>
    <x v="9"/>
    <n v="1848"/>
    <x v="572"/>
  </r>
  <r>
    <n v="3895"/>
    <x v="2360"/>
    <x v="1700"/>
    <s v="Mr"/>
    <s v="M"/>
    <n v="90"/>
    <s v="Robsart Street"/>
    <x v="475"/>
    <x v="62"/>
    <d v="2020-06-30T00:00:00"/>
    <x v="2"/>
    <x v="2"/>
    <n v="45"/>
    <x v="2"/>
    <x v="2"/>
    <n v="765"/>
    <x v="446"/>
  </r>
  <r>
    <n v="3896"/>
    <x v="2425"/>
    <x v="1544"/>
    <s v="Mrs"/>
    <s v="F"/>
    <n v="60"/>
    <s v="Robson Road"/>
    <x v="1144"/>
    <x v="39"/>
    <d v="2020-08-20T00:00:00"/>
    <x v="2"/>
    <x v="3"/>
    <n v="59"/>
    <x v="1"/>
    <x v="1"/>
    <n v="1416"/>
    <x v="394"/>
  </r>
  <r>
    <n v="3897"/>
    <x v="1482"/>
    <x v="764"/>
    <s v="Mr"/>
    <s v="M"/>
    <n v="60"/>
    <s v="Rock And"/>
    <x v="834"/>
    <x v="26"/>
    <d v="2020-03-12T00:00:00"/>
    <x v="2"/>
    <x v="5"/>
    <n v="11"/>
    <x v="7"/>
    <x v="7"/>
    <n v="220"/>
    <x v="788"/>
  </r>
  <r>
    <n v="3898"/>
    <x v="936"/>
    <x v="1497"/>
    <s v="Ms"/>
    <s v="F"/>
    <n v="30"/>
    <s v="Rock Hill"/>
    <x v="204"/>
    <x v="2"/>
    <d v="2022-12-08T00:00:00"/>
    <x v="0"/>
    <x v="8"/>
    <n v="73"/>
    <x v="2"/>
    <x v="2"/>
    <n v="1241"/>
    <x v="557"/>
  </r>
  <r>
    <n v="3899"/>
    <x v="2426"/>
    <x v="949"/>
    <s v="Miss"/>
    <s v="F"/>
    <n v="90"/>
    <s v="Rock Street"/>
    <x v="625"/>
    <x v="2"/>
    <d v="2022-08-12T00:00:00"/>
    <x v="0"/>
    <x v="3"/>
    <n v="46"/>
    <x v="7"/>
    <x v="7"/>
    <n v="920"/>
    <x v="681"/>
  </r>
  <r>
    <n v="3900"/>
    <x v="1161"/>
    <x v="80"/>
    <s v="Mr"/>
    <s v="M"/>
    <n v="30"/>
    <s v="Rockbourne Road"/>
    <x v="284"/>
    <x v="4"/>
    <d v="2021-01-17T00:00:00"/>
    <x v="1"/>
    <x v="6"/>
    <n v="16"/>
    <x v="6"/>
    <x v="6"/>
    <n v="384"/>
    <x v="538"/>
  </r>
  <r>
    <n v="3901"/>
    <x v="2427"/>
    <x v="432"/>
    <s v="Miss"/>
    <s v="F"/>
    <n v="60"/>
    <s v="Rockbourne Road"/>
    <x v="456"/>
    <x v="68"/>
    <d v="2021-02-14T00:00:00"/>
    <x v="1"/>
    <x v="10"/>
    <n v="11"/>
    <x v="6"/>
    <x v="6"/>
    <n v="264"/>
    <x v="377"/>
  </r>
  <r>
    <n v="3902"/>
    <x v="2094"/>
    <x v="1623"/>
    <s v="Mrs"/>
    <s v="F"/>
    <n v="90"/>
    <s v="Rockhall Road"/>
    <x v="613"/>
    <x v="2"/>
    <d v="2021-05-24T00:00:00"/>
    <x v="1"/>
    <x v="11"/>
    <n v="72"/>
    <x v="1"/>
    <x v="1"/>
    <n v="1728"/>
    <x v="705"/>
  </r>
  <r>
    <n v="3903"/>
    <x v="2139"/>
    <x v="1201"/>
    <s v="Dr"/>
    <s v="F"/>
    <n v="30"/>
    <s v="Rockingham Close"/>
    <x v="1204"/>
    <x v="3"/>
    <d v="2022-07-10T00:00:00"/>
    <x v="0"/>
    <x v="0"/>
    <n v="41"/>
    <x v="2"/>
    <x v="2"/>
    <n v="697"/>
    <x v="725"/>
  </r>
  <r>
    <n v="3904"/>
    <x v="2428"/>
    <x v="505"/>
    <s v="Miss"/>
    <s v="F"/>
    <n v="60"/>
    <s v="Rockland Road"/>
    <x v="53"/>
    <x v="17"/>
    <d v="2020-05-10T00:00:00"/>
    <x v="2"/>
    <x v="11"/>
    <n v="23"/>
    <x v="2"/>
    <x v="2"/>
    <n v="391"/>
    <x v="354"/>
  </r>
  <r>
    <n v="3905"/>
    <x v="1893"/>
    <x v="64"/>
    <s v="Mr"/>
    <s v="M"/>
    <n v="90"/>
    <s v="Rocks Lane"/>
    <x v="1051"/>
    <x v="46"/>
    <d v="2020-04-11T00:00:00"/>
    <x v="2"/>
    <x v="4"/>
    <n v="7"/>
    <x v="2"/>
    <x v="2"/>
    <n v="119"/>
    <x v="208"/>
  </r>
  <r>
    <n v="3906"/>
    <x v="2429"/>
    <x v="1003"/>
    <s v="Mrs"/>
    <s v="F"/>
    <n v="30"/>
    <s v="Rocliffe Street"/>
    <x v="1231"/>
    <x v="2"/>
    <d v="2020-07-25T00:00:00"/>
    <x v="2"/>
    <x v="0"/>
    <n v="76"/>
    <x v="1"/>
    <x v="1"/>
    <n v="1824"/>
    <x v="678"/>
  </r>
  <r>
    <n v="3907"/>
    <x v="2430"/>
    <x v="1701"/>
    <s v="Miss"/>
    <s v="F"/>
    <n v="60"/>
    <s v="Roding Mews"/>
    <x v="917"/>
    <x v="35"/>
    <d v="2022-10-04T00:00:00"/>
    <x v="0"/>
    <x v="1"/>
    <n v="12"/>
    <x v="0"/>
    <x v="0"/>
    <n v="240"/>
    <x v="868"/>
  </r>
  <r>
    <n v="3908"/>
    <x v="2431"/>
    <x v="324"/>
    <s v="Miss"/>
    <s v="F"/>
    <n v="30"/>
    <s v="Rodway Road"/>
    <x v="871"/>
    <x v="44"/>
    <d v="2021-06-14T00:00:00"/>
    <x v="1"/>
    <x v="2"/>
    <n v="25"/>
    <x v="8"/>
    <x v="8"/>
    <n v="500"/>
    <x v="764"/>
  </r>
  <r>
    <n v="3909"/>
    <x v="1628"/>
    <x v="1658"/>
    <s v="Mr"/>
    <s v="M"/>
    <n v="90"/>
    <s v="Roehampton Vale"/>
    <x v="478"/>
    <x v="21"/>
    <d v="2021-02-08T00:00:00"/>
    <x v="1"/>
    <x v="10"/>
    <n v="62"/>
    <x v="4"/>
    <x v="4"/>
    <n v="1116"/>
    <x v="135"/>
  </r>
  <r>
    <n v="3910"/>
    <x v="2432"/>
    <x v="680"/>
    <s v="Miss"/>
    <s v="F"/>
    <n v="90"/>
    <s v="Roger Street"/>
    <x v="355"/>
    <x v="2"/>
    <d v="2022-12-19T00:00:00"/>
    <x v="0"/>
    <x v="8"/>
    <n v="65"/>
    <x v="3"/>
    <x v="3"/>
    <n v="1560"/>
    <x v="257"/>
  </r>
  <r>
    <n v="3911"/>
    <x v="1468"/>
    <x v="147"/>
    <s v="Mr"/>
    <s v="M"/>
    <n v="30"/>
    <s v="Rogers Court"/>
    <x v="1169"/>
    <x v="2"/>
    <d v="2021-05-03T00:00:00"/>
    <x v="1"/>
    <x v="11"/>
    <n v="53"/>
    <x v="1"/>
    <x v="1"/>
    <n v="1272"/>
    <x v="934"/>
  </r>
  <r>
    <n v="3912"/>
    <x v="2433"/>
    <x v="1648"/>
    <s v="Mr"/>
    <s v="M"/>
    <n v="60"/>
    <s v="Roland Grove"/>
    <x v="628"/>
    <x v="58"/>
    <d v="2021-08-29T00:00:00"/>
    <x v="1"/>
    <x v="3"/>
    <n v="91"/>
    <x v="6"/>
    <x v="6"/>
    <n v="2184"/>
    <x v="527"/>
  </r>
  <r>
    <n v="3913"/>
    <x v="2434"/>
    <x v="329"/>
    <s v="Ms"/>
    <s v="F"/>
    <n v="60"/>
    <s v="Roland Road"/>
    <x v="1274"/>
    <x v="8"/>
    <d v="2021-03-07T00:00:00"/>
    <x v="1"/>
    <x v="5"/>
    <n v="35"/>
    <x v="5"/>
    <x v="5"/>
    <n v="840"/>
    <x v="182"/>
  </r>
  <r>
    <n v="3914"/>
    <x v="744"/>
    <x v="90"/>
    <s v="Mrs"/>
    <s v="F"/>
    <n v="30"/>
    <s v="Rolleston Terrace"/>
    <x v="171"/>
    <x v="2"/>
    <d v="2020-04-13T00:00:00"/>
    <x v="2"/>
    <x v="4"/>
    <n v="71"/>
    <x v="0"/>
    <x v="0"/>
    <n v="1420"/>
    <x v="209"/>
  </r>
  <r>
    <n v="3915"/>
    <x v="1027"/>
    <x v="191"/>
    <s v="Mr"/>
    <s v="M"/>
    <n v="30"/>
    <s v="Rollscourt Avenue"/>
    <x v="985"/>
    <x v="29"/>
    <d v="2022-05-26T00:00:00"/>
    <x v="0"/>
    <x v="11"/>
    <n v="44"/>
    <x v="3"/>
    <x v="3"/>
    <n v="1056"/>
    <x v="253"/>
  </r>
  <r>
    <n v="3916"/>
    <x v="2435"/>
    <x v="968"/>
    <s v="Mrs"/>
    <s v="F"/>
    <n v="30"/>
    <s v="Rollscourt Avenue"/>
    <x v="294"/>
    <x v="2"/>
    <d v="2020-04-12T00:00:00"/>
    <x v="2"/>
    <x v="4"/>
    <n v="82"/>
    <x v="0"/>
    <x v="0"/>
    <n v="1640"/>
    <x v="987"/>
  </r>
  <r>
    <n v="3917"/>
    <x v="2436"/>
    <x v="687"/>
    <s v="Mr"/>
    <s v="M"/>
    <n v="30"/>
    <s v="Roman Catholic"/>
    <x v="80"/>
    <x v="2"/>
    <d v="2021-08-23T00:00:00"/>
    <x v="1"/>
    <x v="3"/>
    <n v="41"/>
    <x v="7"/>
    <x v="7"/>
    <n v="820"/>
    <x v="672"/>
  </r>
  <r>
    <n v="3918"/>
    <x v="1634"/>
    <x v="282"/>
    <s v="Mr"/>
    <s v="M"/>
    <n v="60"/>
    <s v="Roman Close"/>
    <x v="1082"/>
    <x v="21"/>
    <d v="2021-10-20T00:00:00"/>
    <x v="1"/>
    <x v="1"/>
    <n v="83"/>
    <x v="8"/>
    <x v="8"/>
    <n v="1660"/>
    <x v="14"/>
  </r>
  <r>
    <n v="3919"/>
    <x v="487"/>
    <x v="923"/>
    <s v="Mr"/>
    <s v="M"/>
    <n v="90"/>
    <s v="Roman Rise"/>
    <x v="1037"/>
    <x v="17"/>
    <d v="2021-09-25T00:00:00"/>
    <x v="1"/>
    <x v="9"/>
    <n v="16"/>
    <x v="3"/>
    <x v="3"/>
    <n v="384"/>
    <x v="189"/>
  </r>
  <r>
    <n v="3920"/>
    <x v="724"/>
    <x v="1702"/>
    <s v="Mr"/>
    <s v="M"/>
    <n v="90"/>
    <s v="Roman Way"/>
    <x v="209"/>
    <x v="1"/>
    <d v="2022-10-29T00:00:00"/>
    <x v="0"/>
    <x v="1"/>
    <n v="17"/>
    <x v="7"/>
    <x v="7"/>
    <n v="340"/>
    <x v="505"/>
  </r>
  <r>
    <n v="3921"/>
    <x v="1252"/>
    <x v="1415"/>
    <s v="Mr"/>
    <s v="M"/>
    <n v="60"/>
    <s v="Romney Mews"/>
    <x v="1260"/>
    <x v="21"/>
    <d v="2022-05-22T00:00:00"/>
    <x v="0"/>
    <x v="11"/>
    <n v="105"/>
    <x v="2"/>
    <x v="2"/>
    <n v="1785"/>
    <x v="57"/>
  </r>
  <r>
    <n v="3922"/>
    <x v="885"/>
    <x v="959"/>
    <s v="Mr"/>
    <s v="M"/>
    <n v="30"/>
    <s v="Romola Road"/>
    <x v="80"/>
    <x v="2"/>
    <d v="2020-01-28T00:00:00"/>
    <x v="2"/>
    <x v="6"/>
    <n v="20"/>
    <x v="7"/>
    <x v="7"/>
    <n v="400"/>
    <x v="639"/>
  </r>
  <r>
    <n v="3923"/>
    <x v="901"/>
    <x v="1367"/>
    <s v="Mr"/>
    <s v="M"/>
    <n v="30"/>
    <s v="Ron Leighton"/>
    <x v="82"/>
    <x v="2"/>
    <d v="2021-03-28T00:00:00"/>
    <x v="1"/>
    <x v="5"/>
    <n v="46"/>
    <x v="2"/>
    <x v="2"/>
    <n v="782"/>
    <x v="38"/>
  </r>
  <r>
    <n v="3924"/>
    <x v="2437"/>
    <x v="720"/>
    <s v="Miss"/>
    <s v="F"/>
    <n v="60"/>
    <s v="Rookery Close"/>
    <x v="838"/>
    <x v="65"/>
    <d v="2022-04-18T00:00:00"/>
    <x v="0"/>
    <x v="4"/>
    <n v="82"/>
    <x v="5"/>
    <x v="5"/>
    <n v="1968"/>
    <x v="682"/>
  </r>
  <r>
    <n v="3925"/>
    <x v="1817"/>
    <x v="1448"/>
    <s v="Miss"/>
    <s v="F"/>
    <n v="30"/>
    <s v="Rope Walk"/>
    <x v="675"/>
    <x v="32"/>
    <d v="2021-05-26T00:00:00"/>
    <x v="1"/>
    <x v="11"/>
    <n v="12"/>
    <x v="2"/>
    <x v="2"/>
    <n v="204"/>
    <x v="578"/>
  </r>
  <r>
    <n v="3926"/>
    <x v="1756"/>
    <x v="1703"/>
    <s v="Mr"/>
    <s v="M"/>
    <n v="30"/>
    <s v="Ropery Street"/>
    <x v="837"/>
    <x v="2"/>
    <d v="2022-03-03T00:00:00"/>
    <x v="0"/>
    <x v="5"/>
    <n v="63"/>
    <x v="8"/>
    <x v="8"/>
    <n v="1260"/>
    <x v="435"/>
  </r>
  <r>
    <n v="3927"/>
    <x v="1198"/>
    <x v="844"/>
    <s v="Mr"/>
    <s v="M"/>
    <n v="60"/>
    <s v="Rose Cottages"/>
    <x v="947"/>
    <x v="8"/>
    <d v="2022-07-25T00:00:00"/>
    <x v="0"/>
    <x v="0"/>
    <n v="48"/>
    <x v="4"/>
    <x v="4"/>
    <n v="864"/>
    <x v="247"/>
  </r>
  <r>
    <n v="3928"/>
    <x v="2438"/>
    <x v="1627"/>
    <s v="Miss"/>
    <s v="F"/>
    <n v="30"/>
    <s v="Rose Court"/>
    <x v="322"/>
    <x v="52"/>
    <d v="2021-12-30T00:00:00"/>
    <x v="1"/>
    <x v="8"/>
    <n v="23"/>
    <x v="8"/>
    <x v="8"/>
    <n v="460"/>
    <x v="485"/>
  </r>
  <r>
    <n v="3929"/>
    <x v="1725"/>
    <x v="1704"/>
    <s v="Mr"/>
    <s v="M"/>
    <n v="60"/>
    <s v="Rose Terrace"/>
    <x v="710"/>
    <x v="44"/>
    <d v="2021-02-09T00:00:00"/>
    <x v="1"/>
    <x v="10"/>
    <n v="90"/>
    <x v="7"/>
    <x v="7"/>
    <n v="1800"/>
    <x v="929"/>
  </r>
  <r>
    <n v="3930"/>
    <x v="1947"/>
    <x v="224"/>
    <s v="Miss"/>
    <s v="F"/>
    <n v="60"/>
    <s v="Rosebank Road"/>
    <x v="1243"/>
    <x v="2"/>
    <d v="2021-05-03T00:00:00"/>
    <x v="1"/>
    <x v="11"/>
    <n v="6"/>
    <x v="2"/>
    <x v="2"/>
    <n v="102"/>
    <x v="853"/>
  </r>
  <r>
    <n v="3931"/>
    <x v="1325"/>
    <x v="1705"/>
    <s v="Mr"/>
    <s v="M"/>
    <n v="30"/>
    <s v="Rosebank Walk"/>
    <x v="908"/>
    <x v="16"/>
    <d v="2020-09-10T00:00:00"/>
    <x v="2"/>
    <x v="9"/>
    <n v="76"/>
    <x v="7"/>
    <x v="7"/>
    <n v="1520"/>
    <x v="429"/>
  </r>
  <r>
    <n v="3932"/>
    <x v="269"/>
    <x v="1706"/>
    <s v="Mrs"/>
    <s v="F"/>
    <n v="30"/>
    <s v="Roseberry Villas"/>
    <x v="459"/>
    <x v="2"/>
    <d v="2022-08-10T00:00:00"/>
    <x v="0"/>
    <x v="3"/>
    <n v="42"/>
    <x v="3"/>
    <x v="3"/>
    <n v="1008"/>
    <x v="667"/>
  </r>
  <r>
    <n v="3933"/>
    <x v="2439"/>
    <x v="1692"/>
    <s v="Mr"/>
    <s v="M"/>
    <n v="30"/>
    <s v="Rosebery Court"/>
    <x v="1187"/>
    <x v="16"/>
    <d v="2020-09-08T00:00:00"/>
    <x v="2"/>
    <x v="9"/>
    <n v="14"/>
    <x v="2"/>
    <x v="2"/>
    <n v="238"/>
    <x v="328"/>
  </r>
  <r>
    <n v="3934"/>
    <x v="1685"/>
    <x v="1685"/>
    <s v="Mr"/>
    <s v="M"/>
    <n v="60"/>
    <s v="Rosebery Court"/>
    <x v="960"/>
    <x v="2"/>
    <d v="2020-07-13T00:00:00"/>
    <x v="2"/>
    <x v="0"/>
    <n v="70"/>
    <x v="3"/>
    <x v="3"/>
    <n v="1680"/>
    <x v="500"/>
  </r>
  <r>
    <n v="3935"/>
    <x v="788"/>
    <x v="1188"/>
    <s v="Mrs"/>
    <s v="F"/>
    <n v="90"/>
    <s v="Rosebery Mews"/>
    <x v="88"/>
    <x v="2"/>
    <d v="2020-04-17T00:00:00"/>
    <x v="2"/>
    <x v="4"/>
    <n v="53"/>
    <x v="6"/>
    <x v="6"/>
    <n v="1272"/>
    <x v="841"/>
  </r>
  <r>
    <n v="3936"/>
    <x v="421"/>
    <x v="1383"/>
    <s v="Mr"/>
    <s v="M"/>
    <n v="90"/>
    <s v="Rosehill Road"/>
    <x v="786"/>
    <x v="2"/>
    <d v="2021-12-31T00:00:00"/>
    <x v="1"/>
    <x v="8"/>
    <n v="72"/>
    <x v="4"/>
    <x v="4"/>
    <n v="1296"/>
    <x v="695"/>
  </r>
  <r>
    <n v="3937"/>
    <x v="1961"/>
    <x v="702"/>
    <s v="Mrs"/>
    <s v="F"/>
    <n v="60"/>
    <s v="Roseleys Terrace"/>
    <x v="1030"/>
    <x v="2"/>
    <d v="2021-03-22T00:00:00"/>
    <x v="1"/>
    <x v="5"/>
    <n v="29"/>
    <x v="6"/>
    <x v="6"/>
    <n v="696"/>
    <x v="92"/>
  </r>
  <r>
    <n v="3938"/>
    <x v="2208"/>
    <x v="882"/>
    <s v="Mr"/>
    <s v="M"/>
    <n v="90"/>
    <s v="Rosemary Court"/>
    <x v="1275"/>
    <x v="2"/>
    <d v="2022-09-21T00:00:00"/>
    <x v="0"/>
    <x v="9"/>
    <n v="19"/>
    <x v="6"/>
    <x v="6"/>
    <n v="456"/>
    <x v="115"/>
  </r>
  <r>
    <n v="3939"/>
    <x v="947"/>
    <x v="1573"/>
    <s v="Mr"/>
    <s v="M"/>
    <n v="90"/>
    <s v="Rosemead"/>
    <x v="1178"/>
    <x v="2"/>
    <d v="2021-11-26T00:00:00"/>
    <x v="1"/>
    <x v="7"/>
    <n v="57"/>
    <x v="5"/>
    <x v="5"/>
    <n v="1368"/>
    <x v="462"/>
  </r>
  <r>
    <n v="3940"/>
    <x v="2440"/>
    <x v="607"/>
    <s v="Mrs"/>
    <s v="F"/>
    <n v="90"/>
    <s v="Rosemont Avenue"/>
    <x v="1056"/>
    <x v="21"/>
    <d v="2021-09-04T00:00:00"/>
    <x v="1"/>
    <x v="9"/>
    <n v="94"/>
    <x v="4"/>
    <x v="4"/>
    <n v="1692"/>
    <x v="617"/>
  </r>
  <r>
    <n v="3941"/>
    <x v="1206"/>
    <x v="665"/>
    <s v="Mr"/>
    <s v="M"/>
    <n v="30"/>
    <s v="Rosemount Road"/>
    <x v="675"/>
    <x v="32"/>
    <d v="2021-09-14T00:00:00"/>
    <x v="1"/>
    <x v="9"/>
    <n v="14"/>
    <x v="7"/>
    <x v="7"/>
    <n v="280"/>
    <x v="72"/>
  </r>
  <r>
    <n v="3942"/>
    <x v="1425"/>
    <x v="1244"/>
    <s v="Mr"/>
    <s v="M"/>
    <n v="90"/>
    <s v="Rosewood Gardens"/>
    <x v="838"/>
    <x v="65"/>
    <d v="2022-03-13T00:00:00"/>
    <x v="0"/>
    <x v="5"/>
    <n v="102"/>
    <x v="8"/>
    <x v="8"/>
    <n v="2040"/>
    <x v="988"/>
  </r>
  <r>
    <n v="3943"/>
    <x v="890"/>
    <x v="1707"/>
    <s v="Mr"/>
    <s v="M"/>
    <n v="60"/>
    <s v="Roslyn Terrace"/>
    <x v="130"/>
    <x v="2"/>
    <d v="2021-01-18T00:00:00"/>
    <x v="1"/>
    <x v="6"/>
    <n v="73"/>
    <x v="7"/>
    <x v="7"/>
    <n v="1460"/>
    <x v="512"/>
  </r>
  <r>
    <n v="3944"/>
    <x v="2441"/>
    <x v="1293"/>
    <s v="Mrs"/>
    <s v="F"/>
    <n v="90"/>
    <s v="Rossitter Terrace"/>
    <x v="104"/>
    <x v="2"/>
    <d v="2022-02-01T00:00:00"/>
    <x v="0"/>
    <x v="10"/>
    <n v="10"/>
    <x v="9"/>
    <x v="9"/>
    <n v="240"/>
    <x v="34"/>
  </r>
  <r>
    <n v="3945"/>
    <x v="2442"/>
    <x v="716"/>
    <s v="Mrs"/>
    <s v="F"/>
    <n v="30"/>
    <s v="Roupell Road"/>
    <x v="740"/>
    <x v="41"/>
    <d v="2020-10-27T00:00:00"/>
    <x v="2"/>
    <x v="1"/>
    <n v="43"/>
    <x v="8"/>
    <x v="8"/>
    <n v="860"/>
    <x v="235"/>
  </r>
  <r>
    <n v="3946"/>
    <x v="1409"/>
    <x v="1022"/>
    <s v="Mr"/>
    <s v="M"/>
    <n v="90"/>
    <s v="Roupell Road"/>
    <x v="708"/>
    <x v="2"/>
    <d v="2022-11-15T00:00:00"/>
    <x v="0"/>
    <x v="7"/>
    <n v="26"/>
    <x v="5"/>
    <x v="5"/>
    <n v="624"/>
    <x v="559"/>
  </r>
  <r>
    <n v="3947"/>
    <x v="113"/>
    <x v="1454"/>
    <s v="Mr"/>
    <s v="M"/>
    <n v="30"/>
    <s v="Roupell Street"/>
    <x v="1139"/>
    <x v="11"/>
    <d v="2021-01-09T00:00:00"/>
    <x v="1"/>
    <x v="6"/>
    <n v="67"/>
    <x v="6"/>
    <x v="6"/>
    <n v="1608"/>
    <x v="604"/>
  </r>
  <r>
    <n v="3948"/>
    <x v="2443"/>
    <x v="1176"/>
    <s v="Miss"/>
    <s v="F"/>
    <n v="30"/>
    <s v="Routh Street"/>
    <x v="1220"/>
    <x v="37"/>
    <d v="2020-04-06T00:00:00"/>
    <x v="2"/>
    <x v="4"/>
    <n v="51"/>
    <x v="7"/>
    <x v="7"/>
    <n v="1020"/>
    <x v="563"/>
  </r>
  <r>
    <n v="3949"/>
    <x v="1975"/>
    <x v="799"/>
    <s v="Mr"/>
    <s v="M"/>
    <n v="90"/>
    <s v="Rowan Close"/>
    <x v="804"/>
    <x v="2"/>
    <d v="2020-09-03T00:00:00"/>
    <x v="2"/>
    <x v="9"/>
    <n v="68"/>
    <x v="7"/>
    <x v="7"/>
    <n v="1360"/>
    <x v="370"/>
  </r>
  <r>
    <n v="3950"/>
    <x v="1042"/>
    <x v="964"/>
    <s v="Mrs"/>
    <s v="F"/>
    <n v="90"/>
    <s v="Rowland Grove"/>
    <x v="294"/>
    <x v="2"/>
    <d v="2021-03-05T00:00:00"/>
    <x v="1"/>
    <x v="5"/>
    <n v="6"/>
    <x v="7"/>
    <x v="7"/>
    <n v="120"/>
    <x v="227"/>
  </r>
  <r>
    <n v="3951"/>
    <x v="591"/>
    <x v="229"/>
    <s v="Miss"/>
    <s v="F"/>
    <n v="30"/>
    <s v="Rowland Row"/>
    <x v="999"/>
    <x v="15"/>
    <d v="2021-07-30T00:00:00"/>
    <x v="1"/>
    <x v="0"/>
    <n v="44"/>
    <x v="8"/>
    <x v="8"/>
    <n v="880"/>
    <x v="327"/>
  </r>
  <r>
    <n v="3952"/>
    <x v="18"/>
    <x v="918"/>
    <s v="Mrs"/>
    <s v="F"/>
    <n v="60"/>
    <s v="Rowley Street"/>
    <x v="773"/>
    <x v="16"/>
    <d v="2020-08-20T00:00:00"/>
    <x v="2"/>
    <x v="3"/>
    <n v="32"/>
    <x v="1"/>
    <x v="1"/>
    <n v="768"/>
    <x v="475"/>
  </r>
  <r>
    <n v="3953"/>
    <x v="1017"/>
    <x v="1219"/>
    <s v="Mr"/>
    <s v="M"/>
    <n v="60"/>
    <s v="Rowley Way"/>
    <x v="925"/>
    <x v="2"/>
    <d v="2021-09-03T00:00:00"/>
    <x v="1"/>
    <x v="9"/>
    <n v="25"/>
    <x v="8"/>
    <x v="8"/>
    <n v="500"/>
    <x v="764"/>
  </r>
  <r>
    <n v="3954"/>
    <x v="2389"/>
    <x v="473"/>
    <s v="Mr"/>
    <s v="M"/>
    <n v="90"/>
    <s v="Rowley Way"/>
    <x v="392"/>
    <x v="2"/>
    <d v="2021-08-18T00:00:00"/>
    <x v="1"/>
    <x v="3"/>
    <n v="89"/>
    <x v="9"/>
    <x v="9"/>
    <n v="2136"/>
    <x v="26"/>
  </r>
  <r>
    <n v="3955"/>
    <x v="930"/>
    <x v="444"/>
    <s v="Mr"/>
    <s v="M"/>
    <n v="60"/>
    <s v="Rowley Way"/>
    <x v="727"/>
    <x v="2"/>
    <d v="2020-11-14T00:00:00"/>
    <x v="2"/>
    <x v="7"/>
    <n v="18"/>
    <x v="6"/>
    <x v="6"/>
    <n v="432"/>
    <x v="254"/>
  </r>
  <r>
    <n v="3956"/>
    <x v="225"/>
    <x v="530"/>
    <s v="Mr"/>
    <s v="M"/>
    <n v="60"/>
    <s v="Rowton Road"/>
    <x v="713"/>
    <x v="8"/>
    <d v="2020-04-07T00:00:00"/>
    <x v="2"/>
    <x v="4"/>
    <n v="16"/>
    <x v="8"/>
    <x v="8"/>
    <n v="320"/>
    <x v="730"/>
  </r>
  <r>
    <n v="3957"/>
    <x v="2444"/>
    <x v="79"/>
    <s v="Ms"/>
    <s v="F"/>
    <n v="60"/>
    <s v="Roxburgh Terrace"/>
    <x v="611"/>
    <x v="2"/>
    <d v="2021-01-18T00:00:00"/>
    <x v="1"/>
    <x v="6"/>
    <n v="48"/>
    <x v="9"/>
    <x v="9"/>
    <n v="1152"/>
    <x v="668"/>
  </r>
  <r>
    <n v="3958"/>
    <x v="598"/>
    <x v="423"/>
    <s v="Dr"/>
    <s v="M"/>
    <n v="60"/>
    <s v="Roxby Place"/>
    <x v="4"/>
    <x v="2"/>
    <d v="2022-01-02T00:00:00"/>
    <x v="0"/>
    <x v="6"/>
    <n v="93"/>
    <x v="8"/>
    <x v="8"/>
    <n v="1860"/>
    <x v="579"/>
  </r>
  <r>
    <n v="3959"/>
    <x v="816"/>
    <x v="1122"/>
    <s v="Mrs"/>
    <s v="F"/>
    <n v="60"/>
    <s v="Roxley Road"/>
    <x v="404"/>
    <x v="21"/>
    <d v="2022-08-02T00:00:00"/>
    <x v="0"/>
    <x v="3"/>
    <n v="2"/>
    <x v="0"/>
    <x v="0"/>
    <n v="40"/>
    <x v="156"/>
  </r>
  <r>
    <n v="3960"/>
    <x v="2260"/>
    <x v="1182"/>
    <s v="Mrs"/>
    <s v="F"/>
    <n v="30"/>
    <s v="Roxwell Road"/>
    <x v="987"/>
    <x v="2"/>
    <d v="2020-06-20T00:00:00"/>
    <x v="2"/>
    <x v="2"/>
    <n v="12"/>
    <x v="6"/>
    <x v="6"/>
    <n v="288"/>
    <x v="319"/>
  </r>
  <r>
    <n v="3961"/>
    <x v="943"/>
    <x v="1708"/>
    <s v="Miss"/>
    <s v="F"/>
    <n v="30"/>
    <s v="Roxwell Trading"/>
    <x v="1094"/>
    <x v="17"/>
    <d v="2021-09-08T00:00:00"/>
    <x v="1"/>
    <x v="9"/>
    <n v="29"/>
    <x v="7"/>
    <x v="7"/>
    <n v="580"/>
    <x v="246"/>
  </r>
  <r>
    <n v="3962"/>
    <x v="1070"/>
    <x v="668"/>
    <s v="Miss"/>
    <s v="F"/>
    <n v="60"/>
    <s v="Roy Square"/>
    <x v="1136"/>
    <x v="2"/>
    <d v="2021-11-23T00:00:00"/>
    <x v="1"/>
    <x v="7"/>
    <n v="17"/>
    <x v="1"/>
    <x v="1"/>
    <n v="408"/>
    <x v="179"/>
  </r>
  <r>
    <n v="3963"/>
    <x v="648"/>
    <x v="839"/>
    <s v="Mr"/>
    <s v="M"/>
    <n v="60"/>
    <s v="Royal College"/>
    <x v="483"/>
    <x v="2"/>
    <d v="2020-10-27T00:00:00"/>
    <x v="2"/>
    <x v="1"/>
    <n v="4"/>
    <x v="5"/>
    <x v="5"/>
    <n v="96"/>
    <x v="260"/>
  </r>
  <r>
    <n v="3964"/>
    <x v="904"/>
    <x v="1086"/>
    <s v="Mrs"/>
    <s v="F"/>
    <n v="90"/>
    <s v="Royal Mews"/>
    <x v="1276"/>
    <x v="2"/>
    <d v="2022-04-18T00:00:00"/>
    <x v="0"/>
    <x v="4"/>
    <n v="75"/>
    <x v="7"/>
    <x v="7"/>
    <n v="1500"/>
    <x v="899"/>
  </r>
  <r>
    <n v="3965"/>
    <x v="2445"/>
    <x v="56"/>
    <s v="Miss"/>
    <s v="F"/>
    <n v="90"/>
    <s v="Royal Naval"/>
    <x v="319"/>
    <x v="2"/>
    <d v="2021-04-14T00:00:00"/>
    <x v="1"/>
    <x v="4"/>
    <n v="40"/>
    <x v="3"/>
    <x v="3"/>
    <n v="960"/>
    <x v="155"/>
  </r>
  <r>
    <n v="3966"/>
    <x v="298"/>
    <x v="759"/>
    <s v="Mrs"/>
    <s v="F"/>
    <n v="60"/>
    <s v="Royal Opera"/>
    <x v="946"/>
    <x v="2"/>
    <d v="2020-07-04T00:00:00"/>
    <x v="2"/>
    <x v="0"/>
    <n v="81"/>
    <x v="0"/>
    <x v="0"/>
    <n v="1620"/>
    <x v="116"/>
  </r>
  <r>
    <n v="3967"/>
    <x v="442"/>
    <x v="1709"/>
    <s v="Mr"/>
    <s v="M"/>
    <n v="30"/>
    <s v="Royal Road"/>
    <x v="213"/>
    <x v="8"/>
    <d v="2020-11-29T00:00:00"/>
    <x v="2"/>
    <x v="7"/>
    <n v="41"/>
    <x v="5"/>
    <x v="5"/>
    <n v="984"/>
    <x v="878"/>
  </r>
  <r>
    <n v="3968"/>
    <x v="2446"/>
    <x v="1098"/>
    <s v="Miss"/>
    <s v="F"/>
    <n v="90"/>
    <s v="Royal Victor"/>
    <x v="259"/>
    <x v="2"/>
    <d v="2021-05-14T00:00:00"/>
    <x v="1"/>
    <x v="11"/>
    <n v="40"/>
    <x v="2"/>
    <x v="2"/>
    <n v="680"/>
    <x v="207"/>
  </r>
  <r>
    <n v="3969"/>
    <x v="2447"/>
    <x v="386"/>
    <s v="Mrs"/>
    <s v="F"/>
    <n v="90"/>
    <s v="Royalty Mews"/>
    <x v="932"/>
    <x v="2"/>
    <d v="2022-04-05T00:00:00"/>
    <x v="0"/>
    <x v="4"/>
    <n v="81"/>
    <x v="0"/>
    <x v="0"/>
    <n v="1620"/>
    <x v="116"/>
  </r>
  <r>
    <n v="3970"/>
    <x v="2448"/>
    <x v="62"/>
    <s v="Miss"/>
    <s v="F"/>
    <n v="90"/>
    <s v="Royle Crescent"/>
    <x v="162"/>
    <x v="20"/>
    <d v="2022-01-24T00:00:00"/>
    <x v="0"/>
    <x v="6"/>
    <n v="46"/>
    <x v="6"/>
    <x v="6"/>
    <n v="1104"/>
    <x v="199"/>
  </r>
  <r>
    <n v="3971"/>
    <x v="2449"/>
    <x v="1710"/>
    <s v="Mrs"/>
    <s v="F"/>
    <n v="90"/>
    <s v="Royston Street"/>
    <x v="1277"/>
    <x v="17"/>
    <d v="2021-03-22T00:00:00"/>
    <x v="1"/>
    <x v="5"/>
    <n v="26"/>
    <x v="7"/>
    <x v="7"/>
    <n v="520"/>
    <x v="110"/>
  </r>
  <r>
    <n v="3972"/>
    <x v="1391"/>
    <x v="973"/>
    <s v="Miss"/>
    <s v="F"/>
    <n v="90"/>
    <s v="Ruckholt Close"/>
    <x v="1241"/>
    <x v="15"/>
    <d v="2022-02-14T00:00:00"/>
    <x v="0"/>
    <x v="10"/>
    <n v="5"/>
    <x v="8"/>
    <x v="8"/>
    <n v="100"/>
    <x v="71"/>
  </r>
  <r>
    <n v="3973"/>
    <x v="2450"/>
    <x v="21"/>
    <s v="Mr"/>
    <s v="M"/>
    <n v="90"/>
    <s v="Ruckholt Road"/>
    <x v="142"/>
    <x v="21"/>
    <d v="2021-06-25T00:00:00"/>
    <x v="1"/>
    <x v="2"/>
    <n v="42"/>
    <x v="9"/>
    <x v="9"/>
    <n v="1008"/>
    <x v="433"/>
  </r>
  <r>
    <n v="3974"/>
    <x v="408"/>
    <x v="1003"/>
    <s v="Mr"/>
    <s v="M"/>
    <n v="90"/>
    <s v="Rugby Chambers"/>
    <x v="353"/>
    <x v="2"/>
    <d v="2022-03-11T00:00:00"/>
    <x v="0"/>
    <x v="5"/>
    <n v="67"/>
    <x v="4"/>
    <x v="4"/>
    <n v="1206"/>
    <x v="827"/>
  </r>
  <r>
    <n v="3975"/>
    <x v="13"/>
    <x v="1165"/>
    <s v="Mr"/>
    <s v="M"/>
    <n v="30"/>
    <s v="Rumsey Mews"/>
    <x v="65"/>
    <x v="1"/>
    <d v="2020-03-05T00:00:00"/>
    <x v="2"/>
    <x v="5"/>
    <n v="41"/>
    <x v="1"/>
    <x v="1"/>
    <n v="984"/>
    <x v="989"/>
  </r>
  <r>
    <n v="3976"/>
    <x v="128"/>
    <x v="1711"/>
    <s v="Miss"/>
    <s v="F"/>
    <n v="90"/>
    <s v="Rupert Road"/>
    <x v="906"/>
    <x v="1"/>
    <d v="2020-05-31T00:00:00"/>
    <x v="2"/>
    <x v="11"/>
    <n v="85"/>
    <x v="9"/>
    <x v="9"/>
    <n v="2040"/>
    <x v="222"/>
  </r>
  <r>
    <n v="3977"/>
    <x v="2451"/>
    <x v="606"/>
    <s v="Miss"/>
    <s v="F"/>
    <n v="90"/>
    <s v="Rush Hill"/>
    <x v="179"/>
    <x v="16"/>
    <d v="2020-07-04T00:00:00"/>
    <x v="2"/>
    <x v="0"/>
    <n v="42"/>
    <x v="6"/>
    <x v="6"/>
    <n v="1008"/>
    <x v="162"/>
  </r>
  <r>
    <n v="3978"/>
    <x v="1158"/>
    <x v="627"/>
    <s v="Dr"/>
    <s v="M"/>
    <n v="60"/>
    <s v="Rusham Road"/>
    <x v="232"/>
    <x v="1"/>
    <d v="2022-01-26T00:00:00"/>
    <x v="0"/>
    <x v="6"/>
    <n v="100"/>
    <x v="3"/>
    <x v="3"/>
    <n v="2400"/>
    <x v="444"/>
  </r>
  <r>
    <n v="3979"/>
    <x v="1763"/>
    <x v="891"/>
    <s v="Mrs"/>
    <s v="F"/>
    <n v="90"/>
    <s v="Rushdene"/>
    <x v="213"/>
    <x v="8"/>
    <d v="2022-09-20T00:00:00"/>
    <x v="0"/>
    <x v="9"/>
    <n v="103"/>
    <x v="8"/>
    <x v="8"/>
    <n v="2060"/>
    <x v="947"/>
  </r>
  <r>
    <n v="3980"/>
    <x v="260"/>
    <x v="923"/>
    <s v="Mr"/>
    <s v="M"/>
    <n v="30"/>
    <s v="Rushey Green"/>
    <x v="97"/>
    <x v="17"/>
    <d v="2021-07-05T00:00:00"/>
    <x v="1"/>
    <x v="0"/>
    <n v="5"/>
    <x v="9"/>
    <x v="9"/>
    <n v="120"/>
    <x v="674"/>
  </r>
  <r>
    <n v="3981"/>
    <x v="487"/>
    <x v="703"/>
    <s v="Mr"/>
    <s v="M"/>
    <n v="60"/>
    <s v="Rushmead"/>
    <x v="594"/>
    <x v="2"/>
    <d v="2020-02-11T00:00:00"/>
    <x v="2"/>
    <x v="10"/>
    <n v="39"/>
    <x v="5"/>
    <x v="5"/>
    <n v="936"/>
    <x v="910"/>
  </r>
  <r>
    <n v="3982"/>
    <x v="2452"/>
    <x v="256"/>
    <s v="Mrs"/>
    <s v="F"/>
    <n v="30"/>
    <s v="Rushy Green"/>
    <x v="773"/>
    <x v="16"/>
    <d v="2022-01-11T00:00:00"/>
    <x v="0"/>
    <x v="6"/>
    <n v="10"/>
    <x v="1"/>
    <x v="1"/>
    <n v="240"/>
    <x v="891"/>
  </r>
  <r>
    <n v="3983"/>
    <x v="2453"/>
    <x v="1687"/>
    <s v="Mrs"/>
    <s v="F"/>
    <n v="30"/>
    <s v="Ruskin Road"/>
    <x v="527"/>
    <x v="2"/>
    <d v="2021-09-20T00:00:00"/>
    <x v="1"/>
    <x v="9"/>
    <n v="59"/>
    <x v="4"/>
    <x v="4"/>
    <n v="1062"/>
    <x v="750"/>
  </r>
  <r>
    <n v="3984"/>
    <x v="2024"/>
    <x v="1018"/>
    <s v="Mr"/>
    <s v="M"/>
    <n v="60"/>
    <s v="Ruskin Street"/>
    <x v="667"/>
    <x v="2"/>
    <d v="2022-08-21T00:00:00"/>
    <x v="0"/>
    <x v="3"/>
    <n v="38"/>
    <x v="0"/>
    <x v="0"/>
    <n v="760"/>
    <x v="470"/>
  </r>
  <r>
    <n v="3985"/>
    <x v="2454"/>
    <x v="804"/>
    <s v="Prof"/>
    <s v="F"/>
    <n v="90"/>
    <s v="Russel Court"/>
    <x v="199"/>
    <x v="2"/>
    <d v="2021-08-17T00:00:00"/>
    <x v="1"/>
    <x v="3"/>
    <n v="78"/>
    <x v="4"/>
    <x v="4"/>
    <n v="1404"/>
    <x v="694"/>
  </r>
  <r>
    <n v="3986"/>
    <x v="1591"/>
    <x v="1156"/>
    <s v="Miss"/>
    <s v="F"/>
    <n v="60"/>
    <s v="Russel Street"/>
    <x v="10"/>
    <x v="2"/>
    <d v="2020-01-29T00:00:00"/>
    <x v="2"/>
    <x v="6"/>
    <n v="60"/>
    <x v="3"/>
    <x v="3"/>
    <n v="1440"/>
    <x v="261"/>
  </r>
  <r>
    <n v="3987"/>
    <x v="227"/>
    <x v="254"/>
    <s v="Mr"/>
    <s v="M"/>
    <n v="60"/>
    <s v="Russell Avenue"/>
    <x v="1183"/>
    <x v="42"/>
    <d v="2022-02-17T00:00:00"/>
    <x v="0"/>
    <x v="10"/>
    <n v="105"/>
    <x v="0"/>
    <x v="0"/>
    <n v="2100"/>
    <x v="703"/>
  </r>
  <r>
    <n v="3988"/>
    <x v="1899"/>
    <x v="915"/>
    <s v="Mr"/>
    <s v="M"/>
    <n v="60"/>
    <s v="Russell Garderns"/>
    <x v="99"/>
    <x v="2"/>
    <d v="2022-03-09T00:00:00"/>
    <x v="0"/>
    <x v="5"/>
    <n v="32"/>
    <x v="9"/>
    <x v="9"/>
    <n v="768"/>
    <x v="702"/>
  </r>
  <r>
    <n v="3989"/>
    <x v="2455"/>
    <x v="348"/>
    <s v="Mr"/>
    <s v="M"/>
    <n v="60"/>
    <s v="Russell Lane"/>
    <x v="1049"/>
    <x v="16"/>
    <d v="2022-08-29T00:00:00"/>
    <x v="0"/>
    <x v="3"/>
    <n v="56"/>
    <x v="8"/>
    <x v="8"/>
    <n v="1120"/>
    <x v="40"/>
  </r>
  <r>
    <n v="3990"/>
    <x v="2053"/>
    <x v="726"/>
    <s v="Mr"/>
    <s v="M"/>
    <n v="30"/>
    <s v="Russia Court"/>
    <x v="1242"/>
    <x v="58"/>
    <d v="2020-07-23T00:00:00"/>
    <x v="2"/>
    <x v="0"/>
    <n v="42"/>
    <x v="4"/>
    <x v="4"/>
    <n v="756"/>
    <x v="408"/>
  </r>
  <r>
    <n v="3991"/>
    <x v="186"/>
    <x v="1385"/>
    <s v="Mr"/>
    <s v="M"/>
    <n v="30"/>
    <s v="Russia Row"/>
    <x v="1278"/>
    <x v="2"/>
    <d v="2022-01-26T00:00:00"/>
    <x v="0"/>
    <x v="6"/>
    <n v="64"/>
    <x v="4"/>
    <x v="4"/>
    <n v="1152"/>
    <x v="898"/>
  </r>
  <r>
    <n v="3992"/>
    <x v="2456"/>
    <x v="1555"/>
    <s v="Mrs"/>
    <s v="F"/>
    <n v="60"/>
    <s v="Rustic Walk"/>
    <x v="675"/>
    <x v="32"/>
    <d v="2021-10-22T00:00:00"/>
    <x v="1"/>
    <x v="1"/>
    <n v="54"/>
    <x v="4"/>
    <x v="4"/>
    <n v="972"/>
    <x v="196"/>
  </r>
  <r>
    <n v="3993"/>
    <x v="2457"/>
    <x v="230"/>
    <s v="Mr"/>
    <s v="M"/>
    <n v="30"/>
    <s v="Ruston Street"/>
    <x v="614"/>
    <x v="0"/>
    <d v="2020-01-19T00:00:00"/>
    <x v="2"/>
    <x v="6"/>
    <n v="28"/>
    <x v="1"/>
    <x v="1"/>
    <n v="672"/>
    <x v="772"/>
  </r>
  <r>
    <n v="3994"/>
    <x v="2458"/>
    <x v="1712"/>
    <s v="Mrs"/>
    <s v="F"/>
    <n v="60"/>
    <s v="Rutland Road"/>
    <x v="541"/>
    <x v="2"/>
    <d v="2020-02-20T00:00:00"/>
    <x v="2"/>
    <x v="10"/>
    <n v="55"/>
    <x v="1"/>
    <x v="1"/>
    <n v="1320"/>
    <x v="290"/>
  </r>
  <r>
    <n v="3995"/>
    <x v="1339"/>
    <x v="1167"/>
    <s v="Mr"/>
    <s v="M"/>
    <n v="60"/>
    <s v="Rutland Villas"/>
    <x v="1070"/>
    <x v="2"/>
    <d v="2022-08-05T00:00:00"/>
    <x v="0"/>
    <x v="3"/>
    <n v="94"/>
    <x v="2"/>
    <x v="2"/>
    <n v="1598"/>
    <x v="741"/>
  </r>
  <r>
    <n v="3996"/>
    <x v="2459"/>
    <x v="972"/>
    <s v="Mrs"/>
    <s v="F"/>
    <n v="60"/>
    <s v="Rutland Walk"/>
    <x v="1078"/>
    <x v="2"/>
    <d v="2020-09-27T00:00:00"/>
    <x v="2"/>
    <x v="9"/>
    <n v="68"/>
    <x v="0"/>
    <x v="0"/>
    <n v="1360"/>
    <x v="271"/>
  </r>
  <r>
    <n v="3997"/>
    <x v="2460"/>
    <x v="1010"/>
    <s v="Miss"/>
    <s v="F"/>
    <n v="30"/>
    <s v="Rutland Wharf"/>
    <x v="14"/>
    <x v="2"/>
    <d v="2021-05-11T00:00:00"/>
    <x v="1"/>
    <x v="11"/>
    <n v="53"/>
    <x v="7"/>
    <x v="7"/>
    <n v="1060"/>
    <x v="516"/>
  </r>
  <r>
    <n v="3998"/>
    <x v="2461"/>
    <x v="908"/>
    <s v="Miss"/>
    <s v="F"/>
    <n v="30"/>
    <s v="Rutley Gardens"/>
    <x v="1140"/>
    <x v="2"/>
    <d v="2020-11-20T00:00:00"/>
    <x v="2"/>
    <x v="7"/>
    <n v="55"/>
    <x v="5"/>
    <x v="5"/>
    <n v="1320"/>
    <x v="29"/>
  </r>
  <r>
    <n v="3999"/>
    <x v="2462"/>
    <x v="543"/>
    <s v="Mr"/>
    <s v="M"/>
    <n v="60"/>
    <s v="Rydal Lodge"/>
    <x v="916"/>
    <x v="16"/>
    <d v="2022-11-21T00:00:00"/>
    <x v="0"/>
    <x v="7"/>
    <n v="68"/>
    <x v="5"/>
    <x v="5"/>
    <n v="1632"/>
    <x v="197"/>
  </r>
  <r>
    <n v="4000"/>
    <x v="2463"/>
    <x v="1713"/>
    <s v="Mr"/>
    <s v="M"/>
    <n v="30"/>
    <s v="Ryde Terrace"/>
    <x v="126"/>
    <x v="27"/>
    <d v="2022-07-17T00:00:00"/>
    <x v="0"/>
    <x v="0"/>
    <n v="103"/>
    <x v="6"/>
    <x v="6"/>
    <n v="2472"/>
    <x v="990"/>
  </r>
  <r>
    <n v="4001"/>
    <x v="602"/>
    <x v="44"/>
    <s v="Mr"/>
    <s v="M"/>
    <n v="60"/>
    <s v="Ryder Street"/>
    <x v="1000"/>
    <x v="1"/>
    <d v="2022-06-04T00:00:00"/>
    <x v="0"/>
    <x v="2"/>
    <n v="4"/>
    <x v="0"/>
    <x v="0"/>
    <n v="80"/>
    <x v="763"/>
  </r>
  <r>
    <n v="4002"/>
    <x v="778"/>
    <x v="1585"/>
    <s v="Mr"/>
    <s v="M"/>
    <n v="60"/>
    <s v="Ryders Terrace"/>
    <x v="361"/>
    <x v="2"/>
    <d v="2021-08-26T00:00:00"/>
    <x v="1"/>
    <x v="3"/>
    <n v="66"/>
    <x v="5"/>
    <x v="5"/>
    <n v="1584"/>
    <x v="648"/>
  </r>
  <r>
    <n v="4003"/>
    <x v="2464"/>
    <x v="691"/>
    <s v="Mr"/>
    <s v="M"/>
    <n v="30"/>
    <s v="Rydon Street"/>
    <x v="1138"/>
    <x v="3"/>
    <d v="2021-04-04T00:00:00"/>
    <x v="1"/>
    <x v="4"/>
    <n v="16"/>
    <x v="0"/>
    <x v="0"/>
    <n v="320"/>
    <x v="12"/>
  </r>
  <r>
    <n v="4004"/>
    <x v="946"/>
    <x v="1397"/>
    <s v="Mr"/>
    <s v="M"/>
    <n v="30"/>
    <s v="Ryfold Road"/>
    <x v="477"/>
    <x v="2"/>
    <d v="2022-10-27T00:00:00"/>
    <x v="0"/>
    <x v="1"/>
    <n v="54"/>
    <x v="1"/>
    <x v="1"/>
    <n v="1296"/>
    <x v="380"/>
  </r>
  <r>
    <n v="4005"/>
    <x v="2465"/>
    <x v="608"/>
    <s v="Mr"/>
    <s v="M"/>
    <n v="60"/>
    <s v="Rylett Crescent"/>
    <x v="818"/>
    <x v="2"/>
    <d v="2021-07-12T00:00:00"/>
    <x v="1"/>
    <x v="0"/>
    <n v="25"/>
    <x v="8"/>
    <x v="8"/>
    <n v="500"/>
    <x v="764"/>
  </r>
  <r>
    <n v="4006"/>
    <x v="2466"/>
    <x v="428"/>
    <s v="Mrs"/>
    <s v="F"/>
    <n v="30"/>
    <s v="Rylett Road"/>
    <x v="886"/>
    <x v="2"/>
    <d v="2022-09-18T00:00:00"/>
    <x v="0"/>
    <x v="9"/>
    <n v="84"/>
    <x v="7"/>
    <x v="7"/>
    <n v="1680"/>
    <x v="206"/>
  </r>
  <r>
    <n v="4007"/>
    <x v="642"/>
    <x v="595"/>
    <s v="Mr"/>
    <s v="M"/>
    <n v="60"/>
    <s v="Rymer Street"/>
    <x v="443"/>
    <x v="40"/>
    <d v="2021-03-19T00:00:00"/>
    <x v="1"/>
    <x v="5"/>
    <n v="64"/>
    <x v="7"/>
    <x v="7"/>
    <n v="1280"/>
    <x v="230"/>
  </r>
  <r>
    <n v="4008"/>
    <x v="2467"/>
    <x v="1306"/>
    <s v="Mrs"/>
    <s v="F"/>
    <n v="30"/>
    <s v="Saddlers Mews"/>
    <x v="901"/>
    <x v="3"/>
    <d v="2020-04-14T00:00:00"/>
    <x v="2"/>
    <x v="4"/>
    <n v="33"/>
    <x v="2"/>
    <x v="2"/>
    <n v="561"/>
    <x v="608"/>
  </r>
  <r>
    <n v="4009"/>
    <x v="1345"/>
    <x v="1391"/>
    <s v="Mr"/>
    <s v="M"/>
    <n v="60"/>
    <s v="Salem Road"/>
    <x v="260"/>
    <x v="2"/>
    <d v="2020-08-16T00:00:00"/>
    <x v="2"/>
    <x v="3"/>
    <n v="12"/>
    <x v="2"/>
    <x v="2"/>
    <n v="204"/>
    <x v="578"/>
  </r>
  <r>
    <n v="4010"/>
    <x v="719"/>
    <x v="1527"/>
    <s v="Miss"/>
    <s v="F"/>
    <n v="60"/>
    <s v="Salisbury Crescent"/>
    <x v="1111"/>
    <x v="21"/>
    <d v="2022-05-27T00:00:00"/>
    <x v="0"/>
    <x v="11"/>
    <n v="83"/>
    <x v="7"/>
    <x v="7"/>
    <n v="1660"/>
    <x v="148"/>
  </r>
  <r>
    <n v="4011"/>
    <x v="2468"/>
    <x v="651"/>
    <s v="Mr"/>
    <s v="M"/>
    <n v="60"/>
    <s v="Salisbury Promenade"/>
    <x v="570"/>
    <x v="2"/>
    <d v="2022-11-27T00:00:00"/>
    <x v="0"/>
    <x v="7"/>
    <n v="76"/>
    <x v="3"/>
    <x v="3"/>
    <n v="1824"/>
    <x v="950"/>
  </r>
  <r>
    <n v="4012"/>
    <x v="1965"/>
    <x v="535"/>
    <s v="Mr"/>
    <s v="M"/>
    <n v="30"/>
    <s v="Salisbury Road"/>
    <x v="779"/>
    <x v="40"/>
    <d v="2020-02-05T00:00:00"/>
    <x v="2"/>
    <x v="10"/>
    <n v="59"/>
    <x v="6"/>
    <x v="6"/>
    <n v="1416"/>
    <x v="471"/>
  </r>
  <r>
    <n v="4013"/>
    <x v="1830"/>
    <x v="1438"/>
    <s v="Mr"/>
    <s v="M"/>
    <n v="90"/>
    <s v="Salisbury Terrace"/>
    <x v="637"/>
    <x v="1"/>
    <d v="2020-04-12T00:00:00"/>
    <x v="2"/>
    <x v="4"/>
    <n v="62"/>
    <x v="5"/>
    <x v="5"/>
    <n v="1488"/>
    <x v="777"/>
  </r>
  <r>
    <n v="4014"/>
    <x v="2469"/>
    <x v="902"/>
    <s v="Mrs"/>
    <s v="F"/>
    <n v="30"/>
    <s v="Salmon Street"/>
    <x v="721"/>
    <x v="11"/>
    <d v="2020-04-16T00:00:00"/>
    <x v="2"/>
    <x v="4"/>
    <n v="61"/>
    <x v="4"/>
    <x v="4"/>
    <n v="1098"/>
    <x v="363"/>
  </r>
  <r>
    <n v="4015"/>
    <x v="2470"/>
    <x v="557"/>
    <s v="Mrs"/>
    <s v="F"/>
    <n v="30"/>
    <s v="Saltwood Grove"/>
    <x v="158"/>
    <x v="17"/>
    <d v="2021-08-05T00:00:00"/>
    <x v="1"/>
    <x v="3"/>
    <n v="55"/>
    <x v="3"/>
    <x v="3"/>
    <n v="1320"/>
    <x v="65"/>
  </r>
  <r>
    <n v="4016"/>
    <x v="2121"/>
    <x v="294"/>
    <s v="Mr"/>
    <s v="M"/>
    <n v="30"/>
    <s v="Salusbury Road"/>
    <x v="788"/>
    <x v="11"/>
    <d v="2021-04-03T00:00:00"/>
    <x v="1"/>
    <x v="4"/>
    <n v="39"/>
    <x v="7"/>
    <x v="7"/>
    <n v="780"/>
    <x v="145"/>
  </r>
  <r>
    <n v="4017"/>
    <x v="422"/>
    <x v="1538"/>
    <s v="Mr"/>
    <s v="M"/>
    <n v="30"/>
    <s v="Salutation Alley"/>
    <x v="793"/>
    <x v="2"/>
    <d v="2022-02-07T00:00:00"/>
    <x v="0"/>
    <x v="10"/>
    <n v="92"/>
    <x v="9"/>
    <x v="9"/>
    <n v="2208"/>
    <x v="528"/>
  </r>
  <r>
    <n v="4018"/>
    <x v="327"/>
    <x v="832"/>
    <s v="Prof"/>
    <s v="M"/>
    <n v="60"/>
    <s v="Samantha Close"/>
    <x v="175"/>
    <x v="21"/>
    <d v="2022-09-02T00:00:00"/>
    <x v="0"/>
    <x v="9"/>
    <n v="63"/>
    <x v="7"/>
    <x v="7"/>
    <n v="1260"/>
    <x v="842"/>
  </r>
  <r>
    <n v="4019"/>
    <x v="1837"/>
    <x v="337"/>
    <s v="Mr"/>
    <s v="M"/>
    <n v="30"/>
    <s v="Samuel Johnson"/>
    <x v="1054"/>
    <x v="21"/>
    <d v="2022-03-15T00:00:00"/>
    <x v="0"/>
    <x v="5"/>
    <n v="78"/>
    <x v="6"/>
    <x v="6"/>
    <n v="1872"/>
    <x v="945"/>
  </r>
  <r>
    <n v="4020"/>
    <x v="2471"/>
    <x v="605"/>
    <s v="Mrs"/>
    <s v="F"/>
    <n v="90"/>
    <s v="Sanctuary Buildings"/>
    <x v="1279"/>
    <x v="2"/>
    <d v="2022-06-28T00:00:00"/>
    <x v="0"/>
    <x v="2"/>
    <n v="33"/>
    <x v="4"/>
    <x v="4"/>
    <n v="594"/>
    <x v="469"/>
  </r>
  <r>
    <n v="4021"/>
    <x v="2472"/>
    <x v="780"/>
    <s v="Mrs"/>
    <s v="F"/>
    <n v="30"/>
    <s v="Sandbrook Road"/>
    <x v="1280"/>
    <x v="3"/>
    <d v="2022-04-24T00:00:00"/>
    <x v="0"/>
    <x v="4"/>
    <n v="29"/>
    <x v="1"/>
    <x v="1"/>
    <n v="696"/>
    <x v="952"/>
  </r>
  <r>
    <n v="4022"/>
    <x v="1777"/>
    <x v="1714"/>
    <s v="Miss"/>
    <s v="F"/>
    <n v="90"/>
    <s v="Sandell Street"/>
    <x v="368"/>
    <x v="2"/>
    <d v="2020-09-16T00:00:00"/>
    <x v="2"/>
    <x v="9"/>
    <n v="32"/>
    <x v="6"/>
    <x v="6"/>
    <n v="768"/>
    <x v="789"/>
  </r>
  <r>
    <n v="4023"/>
    <x v="431"/>
    <x v="1112"/>
    <s v="Mr"/>
    <s v="M"/>
    <n v="90"/>
    <s v="Sanders Terrace"/>
    <x v="743"/>
    <x v="11"/>
    <d v="2020-04-17T00:00:00"/>
    <x v="2"/>
    <x v="4"/>
    <n v="48"/>
    <x v="6"/>
    <x v="6"/>
    <n v="1152"/>
    <x v="487"/>
  </r>
  <r>
    <n v="4024"/>
    <x v="2473"/>
    <x v="1431"/>
    <s v="Mr"/>
    <s v="M"/>
    <n v="30"/>
    <s v="Sandfield Terrace"/>
    <x v="483"/>
    <x v="2"/>
    <d v="2020-02-15T00:00:00"/>
    <x v="2"/>
    <x v="10"/>
    <n v="69"/>
    <x v="6"/>
    <x v="6"/>
    <n v="1656"/>
    <x v="476"/>
  </r>
  <r>
    <n v="4025"/>
    <x v="2474"/>
    <x v="1535"/>
    <s v="Mrs"/>
    <s v="F"/>
    <n v="30"/>
    <s v="Sandgate Street"/>
    <x v="453"/>
    <x v="21"/>
    <d v="2022-11-02T00:00:00"/>
    <x v="0"/>
    <x v="7"/>
    <n v="98"/>
    <x v="4"/>
    <x v="4"/>
    <n v="1764"/>
    <x v="828"/>
  </r>
  <r>
    <n v="4026"/>
    <x v="1350"/>
    <x v="98"/>
    <s v="Mr"/>
    <s v="M"/>
    <n v="30"/>
    <s v="Sandgate Street"/>
    <x v="487"/>
    <x v="2"/>
    <d v="2020-06-11T00:00:00"/>
    <x v="2"/>
    <x v="2"/>
    <n v="39"/>
    <x v="3"/>
    <x v="3"/>
    <n v="936"/>
    <x v="807"/>
  </r>
  <r>
    <n v="4027"/>
    <x v="1485"/>
    <x v="18"/>
    <s v="Mr"/>
    <s v="M"/>
    <n v="90"/>
    <s v="Sandhurst Parade"/>
    <x v="978"/>
    <x v="1"/>
    <d v="2020-09-08T00:00:00"/>
    <x v="2"/>
    <x v="9"/>
    <n v="82"/>
    <x v="2"/>
    <x v="2"/>
    <n v="1394"/>
    <x v="618"/>
  </r>
  <r>
    <n v="4028"/>
    <x v="2475"/>
    <x v="1715"/>
    <s v="Mrs"/>
    <s v="F"/>
    <n v="90"/>
    <s v="Sandhurst Parade"/>
    <x v="591"/>
    <x v="2"/>
    <d v="2021-04-18T00:00:00"/>
    <x v="1"/>
    <x v="4"/>
    <n v="48"/>
    <x v="9"/>
    <x v="9"/>
    <n v="1152"/>
    <x v="668"/>
  </r>
  <r>
    <n v="4029"/>
    <x v="1753"/>
    <x v="701"/>
    <s v="Mr"/>
    <s v="M"/>
    <n v="60"/>
    <s v="Sandhurst Road"/>
    <x v="507"/>
    <x v="70"/>
    <d v="2020-06-21T00:00:00"/>
    <x v="2"/>
    <x v="2"/>
    <n v="52"/>
    <x v="9"/>
    <x v="9"/>
    <n v="1248"/>
    <x v="915"/>
  </r>
  <r>
    <n v="4030"/>
    <x v="2476"/>
    <x v="1716"/>
    <s v="Miss"/>
    <s v="F"/>
    <n v="60"/>
    <s v="Sandringham Avenue"/>
    <x v="59"/>
    <x v="22"/>
    <d v="2020-02-20T00:00:00"/>
    <x v="2"/>
    <x v="10"/>
    <n v="68"/>
    <x v="6"/>
    <x v="6"/>
    <n v="1632"/>
    <x v="778"/>
  </r>
  <r>
    <n v="4031"/>
    <x v="1826"/>
    <x v="1382"/>
    <s v="Miss"/>
    <s v="F"/>
    <n v="90"/>
    <s v="Sandstone Road"/>
    <x v="927"/>
    <x v="21"/>
    <d v="2021-07-06T00:00:00"/>
    <x v="1"/>
    <x v="0"/>
    <n v="24"/>
    <x v="0"/>
    <x v="0"/>
    <n v="480"/>
    <x v="46"/>
  </r>
  <r>
    <n v="4032"/>
    <x v="2477"/>
    <x v="1167"/>
    <s v="Miss"/>
    <s v="F"/>
    <n v="60"/>
    <s v="Sandstone Road"/>
    <x v="1281"/>
    <x v="21"/>
    <d v="2021-11-20T00:00:00"/>
    <x v="1"/>
    <x v="7"/>
    <n v="47"/>
    <x v="6"/>
    <x v="6"/>
    <n v="1128"/>
    <x v="508"/>
  </r>
  <r>
    <n v="4033"/>
    <x v="665"/>
    <x v="1580"/>
    <s v="Miss"/>
    <s v="F"/>
    <n v="90"/>
    <s v="Sandycroft"/>
    <x v="282"/>
    <x v="2"/>
    <d v="2021-08-29T00:00:00"/>
    <x v="1"/>
    <x v="3"/>
    <n v="80"/>
    <x v="5"/>
    <x v="5"/>
    <n v="1920"/>
    <x v="592"/>
  </r>
  <r>
    <n v="4034"/>
    <x v="2478"/>
    <x v="1578"/>
    <s v="Miss"/>
    <s v="F"/>
    <n v="60"/>
    <s v="Sangora Road"/>
    <x v="1035"/>
    <x v="3"/>
    <d v="2022-07-11T00:00:00"/>
    <x v="0"/>
    <x v="0"/>
    <n v="45"/>
    <x v="4"/>
    <x v="4"/>
    <n v="810"/>
    <x v="765"/>
  </r>
  <r>
    <n v="4035"/>
    <x v="2479"/>
    <x v="258"/>
    <s v="Mr"/>
    <s v="M"/>
    <n v="30"/>
    <s v="Sansom Street"/>
    <x v="584"/>
    <x v="8"/>
    <d v="2022-03-08T00:00:00"/>
    <x v="0"/>
    <x v="5"/>
    <n v="46"/>
    <x v="4"/>
    <x v="4"/>
    <n v="828"/>
    <x v="223"/>
  </r>
  <r>
    <n v="4036"/>
    <x v="2480"/>
    <x v="1227"/>
    <s v="Mrs"/>
    <s v="F"/>
    <n v="60"/>
    <s v="Santos Road"/>
    <x v="328"/>
    <x v="55"/>
    <d v="2021-12-09T00:00:00"/>
    <x v="1"/>
    <x v="8"/>
    <n v="12"/>
    <x v="4"/>
    <x v="4"/>
    <n v="216"/>
    <x v="218"/>
  </r>
  <r>
    <n v="4037"/>
    <x v="2481"/>
    <x v="820"/>
    <s v="Miss"/>
    <s v="F"/>
    <n v="30"/>
    <s v="Sarah Street"/>
    <x v="939"/>
    <x v="13"/>
    <d v="2020-01-04T00:00:00"/>
    <x v="2"/>
    <x v="6"/>
    <n v="49"/>
    <x v="5"/>
    <x v="5"/>
    <n v="1176"/>
    <x v="908"/>
  </r>
  <r>
    <n v="4038"/>
    <x v="165"/>
    <x v="756"/>
    <s v="Mr"/>
    <s v="M"/>
    <n v="60"/>
    <s v="Sarah Terrace"/>
    <x v="1072"/>
    <x v="0"/>
    <d v="2021-06-03T00:00:00"/>
    <x v="1"/>
    <x v="2"/>
    <n v="26"/>
    <x v="5"/>
    <x v="5"/>
    <n v="624"/>
    <x v="559"/>
  </r>
  <r>
    <n v="4039"/>
    <x v="1846"/>
    <x v="1175"/>
    <s v="Mr"/>
    <s v="M"/>
    <n v="90"/>
    <s v="Sarah'S Place"/>
    <x v="807"/>
    <x v="10"/>
    <d v="2022-08-12T00:00:00"/>
    <x v="0"/>
    <x v="3"/>
    <n v="51"/>
    <x v="4"/>
    <x v="4"/>
    <n v="918"/>
    <x v="555"/>
  </r>
  <r>
    <n v="4040"/>
    <x v="1192"/>
    <x v="646"/>
    <s v="Mrs"/>
    <s v="F"/>
    <n v="30"/>
    <s v="Sarah'S Place"/>
    <x v="542"/>
    <x v="2"/>
    <d v="2020-09-19T00:00:00"/>
    <x v="2"/>
    <x v="9"/>
    <n v="7"/>
    <x v="2"/>
    <x v="2"/>
    <n v="119"/>
    <x v="208"/>
  </r>
  <r>
    <n v="4041"/>
    <x v="2482"/>
    <x v="937"/>
    <s v="Miss"/>
    <s v="F"/>
    <n v="60"/>
    <s v="Sardinia Street"/>
    <x v="39"/>
    <x v="11"/>
    <d v="2021-01-10T00:00:00"/>
    <x v="1"/>
    <x v="6"/>
    <n v="47"/>
    <x v="0"/>
    <x v="0"/>
    <n v="940"/>
    <x v="421"/>
  </r>
  <r>
    <n v="4042"/>
    <x v="1697"/>
    <x v="1502"/>
    <s v="Mr"/>
    <s v="M"/>
    <n v="30"/>
    <s v="Sark Walk"/>
    <x v="273"/>
    <x v="1"/>
    <d v="2020-04-29T00:00:00"/>
    <x v="2"/>
    <x v="4"/>
    <n v="73"/>
    <x v="9"/>
    <x v="9"/>
    <n v="1752"/>
    <x v="152"/>
  </r>
  <r>
    <n v="4043"/>
    <x v="2483"/>
    <x v="1698"/>
    <s v="Mrs"/>
    <s v="F"/>
    <n v="30"/>
    <s v="Sarnell'S Court"/>
    <x v="99"/>
    <x v="2"/>
    <d v="2021-11-22T00:00:00"/>
    <x v="1"/>
    <x v="7"/>
    <n v="84"/>
    <x v="3"/>
    <x v="3"/>
    <n v="2016"/>
    <x v="815"/>
  </r>
  <r>
    <n v="4044"/>
    <x v="758"/>
    <x v="414"/>
    <s v="Mr"/>
    <s v="M"/>
    <n v="30"/>
    <s v="Saunders Ness"/>
    <x v="462"/>
    <x v="10"/>
    <d v="2021-10-09T00:00:00"/>
    <x v="1"/>
    <x v="1"/>
    <n v="31"/>
    <x v="1"/>
    <x v="1"/>
    <n v="744"/>
    <x v="59"/>
  </r>
  <r>
    <n v="4045"/>
    <x v="2484"/>
    <x v="1717"/>
    <s v="Miss"/>
    <s v="F"/>
    <n v="90"/>
    <s v="Saunders Place"/>
    <x v="482"/>
    <x v="2"/>
    <d v="2021-06-22T00:00:00"/>
    <x v="1"/>
    <x v="2"/>
    <n v="43"/>
    <x v="8"/>
    <x v="8"/>
    <n v="860"/>
    <x v="235"/>
  </r>
  <r>
    <n v="4046"/>
    <x v="913"/>
    <x v="1718"/>
    <s v="Mr"/>
    <s v="M"/>
    <n v="30"/>
    <s v="Saville Place"/>
    <x v="50"/>
    <x v="2"/>
    <d v="2021-01-30T00:00:00"/>
    <x v="1"/>
    <x v="6"/>
    <n v="40"/>
    <x v="7"/>
    <x v="7"/>
    <n v="800"/>
    <x v="974"/>
  </r>
  <r>
    <n v="4047"/>
    <x v="2485"/>
    <x v="1719"/>
    <s v="Mrs"/>
    <s v="F"/>
    <n v="60"/>
    <s v="Savoy Street"/>
    <x v="898"/>
    <x v="15"/>
    <d v="2021-02-17T00:00:00"/>
    <x v="1"/>
    <x v="10"/>
    <n v="75"/>
    <x v="0"/>
    <x v="0"/>
    <n v="1500"/>
    <x v="20"/>
  </r>
  <r>
    <n v="4048"/>
    <x v="2074"/>
    <x v="698"/>
    <s v="Prof"/>
    <s v="F"/>
    <n v="60"/>
    <s v="Sawley Road"/>
    <x v="990"/>
    <x v="13"/>
    <d v="2021-01-15T00:00:00"/>
    <x v="1"/>
    <x v="6"/>
    <n v="76"/>
    <x v="4"/>
    <x v="4"/>
    <n v="1368"/>
    <x v="233"/>
  </r>
  <r>
    <n v="4049"/>
    <x v="1196"/>
    <x v="419"/>
    <s v="Mr"/>
    <s v="M"/>
    <n v="60"/>
    <s v="Saxfield Street"/>
    <x v="1275"/>
    <x v="2"/>
    <d v="2021-09-30T00:00:00"/>
    <x v="1"/>
    <x v="9"/>
    <n v="47"/>
    <x v="3"/>
    <x v="3"/>
    <n v="1128"/>
    <x v="472"/>
  </r>
  <r>
    <n v="4050"/>
    <x v="2486"/>
    <x v="860"/>
    <s v="Miss"/>
    <s v="F"/>
    <n v="30"/>
    <s v="Sayer Street"/>
    <x v="147"/>
    <x v="2"/>
    <d v="2022-12-25T00:00:00"/>
    <x v="0"/>
    <x v="8"/>
    <n v="81"/>
    <x v="2"/>
    <x v="2"/>
    <n v="1377"/>
    <x v="293"/>
  </r>
  <r>
    <n v="4051"/>
    <x v="2487"/>
    <x v="1720"/>
    <s v="Miss"/>
    <s v="F"/>
    <n v="60"/>
    <s v="Sayes Street"/>
    <x v="651"/>
    <x v="11"/>
    <d v="2021-10-03T00:00:00"/>
    <x v="1"/>
    <x v="1"/>
    <n v="64"/>
    <x v="7"/>
    <x v="7"/>
    <n v="1280"/>
    <x v="230"/>
  </r>
  <r>
    <n v="4052"/>
    <x v="2488"/>
    <x v="1108"/>
    <s v="Mrs"/>
    <s v="F"/>
    <n v="60"/>
    <s v="Scala Street"/>
    <x v="502"/>
    <x v="1"/>
    <d v="2021-10-11T00:00:00"/>
    <x v="1"/>
    <x v="1"/>
    <n v="67"/>
    <x v="6"/>
    <x v="6"/>
    <n v="1608"/>
    <x v="604"/>
  </r>
  <r>
    <n v="4053"/>
    <x v="2489"/>
    <x v="617"/>
    <s v="Miss"/>
    <s v="F"/>
    <n v="90"/>
    <s v="Scarborough Street"/>
    <x v="268"/>
    <x v="21"/>
    <d v="2022-09-14T00:00:00"/>
    <x v="0"/>
    <x v="9"/>
    <n v="34"/>
    <x v="5"/>
    <x v="5"/>
    <n v="816"/>
    <x v="692"/>
  </r>
  <r>
    <n v="4054"/>
    <x v="2490"/>
    <x v="1253"/>
    <s v="Miss"/>
    <s v="F"/>
    <n v="30"/>
    <s v="Scawen Road"/>
    <x v="926"/>
    <x v="2"/>
    <d v="2022-09-14T00:00:00"/>
    <x v="0"/>
    <x v="9"/>
    <n v="74"/>
    <x v="9"/>
    <x v="9"/>
    <n v="1776"/>
    <x v="525"/>
  </r>
  <r>
    <n v="4055"/>
    <x v="1652"/>
    <x v="569"/>
    <s v="Miss"/>
    <s v="F"/>
    <n v="30"/>
    <s v="Scerapis"/>
    <x v="682"/>
    <x v="2"/>
    <d v="2020-11-03T00:00:00"/>
    <x v="2"/>
    <x v="7"/>
    <n v="11"/>
    <x v="7"/>
    <x v="7"/>
    <n v="220"/>
    <x v="788"/>
  </r>
  <r>
    <n v="4056"/>
    <x v="1825"/>
    <x v="1721"/>
    <s v="Mr"/>
    <s v="M"/>
    <n v="90"/>
    <s v="School: William"/>
    <x v="204"/>
    <x v="2"/>
    <d v="2020-03-29T00:00:00"/>
    <x v="2"/>
    <x v="5"/>
    <n v="82"/>
    <x v="0"/>
    <x v="0"/>
    <n v="1640"/>
    <x v="987"/>
  </r>
  <r>
    <n v="4057"/>
    <x v="2491"/>
    <x v="1359"/>
    <s v="Miss"/>
    <s v="F"/>
    <n v="60"/>
    <s v="Scotch Court"/>
    <x v="914"/>
    <x v="17"/>
    <d v="2020-07-26T00:00:00"/>
    <x v="2"/>
    <x v="0"/>
    <n v="41"/>
    <x v="1"/>
    <x v="1"/>
    <n v="984"/>
    <x v="989"/>
  </r>
  <r>
    <n v="4058"/>
    <x v="19"/>
    <x v="895"/>
    <s v="Miss"/>
    <s v="F"/>
    <n v="60"/>
    <s v="Scotland Green"/>
    <x v="128"/>
    <x v="2"/>
    <d v="2022-05-25T00:00:00"/>
    <x v="0"/>
    <x v="11"/>
    <n v="77"/>
    <x v="1"/>
    <x v="1"/>
    <n v="1848"/>
    <x v="91"/>
  </r>
  <r>
    <n v="4059"/>
    <x v="1305"/>
    <x v="410"/>
    <s v="Ms"/>
    <s v="F"/>
    <n v="60"/>
    <s v="Scottwell Drive"/>
    <x v="876"/>
    <x v="2"/>
    <d v="2020-05-17T00:00:00"/>
    <x v="2"/>
    <x v="11"/>
    <n v="55"/>
    <x v="6"/>
    <x v="6"/>
    <n v="1320"/>
    <x v="935"/>
  </r>
  <r>
    <n v="4060"/>
    <x v="515"/>
    <x v="489"/>
    <s v="Mr"/>
    <s v="M"/>
    <n v="30"/>
    <s v="Scrubs Lane"/>
    <x v="80"/>
    <x v="2"/>
    <d v="2021-03-12T00:00:00"/>
    <x v="1"/>
    <x v="5"/>
    <n v="11"/>
    <x v="2"/>
    <x v="2"/>
    <n v="187"/>
    <x v="412"/>
  </r>
  <r>
    <n v="4061"/>
    <x v="263"/>
    <x v="1692"/>
    <s v="Mr"/>
    <s v="M"/>
    <n v="30"/>
    <s v="Sea Witch"/>
    <x v="614"/>
    <x v="0"/>
    <d v="2022-08-30T00:00:00"/>
    <x v="0"/>
    <x v="3"/>
    <n v="11"/>
    <x v="5"/>
    <x v="5"/>
    <n v="264"/>
    <x v="248"/>
  </r>
  <r>
    <n v="4062"/>
    <x v="2492"/>
    <x v="1148"/>
    <s v="Miss"/>
    <s v="F"/>
    <n v="90"/>
    <s v="Searle Place"/>
    <x v="70"/>
    <x v="2"/>
    <d v="2020-08-24T00:00:00"/>
    <x v="2"/>
    <x v="3"/>
    <n v="7"/>
    <x v="6"/>
    <x v="6"/>
    <n v="168"/>
    <x v="654"/>
  </r>
  <r>
    <n v="4063"/>
    <x v="2109"/>
    <x v="1722"/>
    <s v="Mr"/>
    <s v="M"/>
    <n v="30"/>
    <s v="Searls Terrace"/>
    <x v="863"/>
    <x v="3"/>
    <d v="2021-09-27T00:00:00"/>
    <x v="1"/>
    <x v="9"/>
    <n v="59"/>
    <x v="6"/>
    <x v="6"/>
    <n v="1416"/>
    <x v="471"/>
  </r>
  <r>
    <n v="4064"/>
    <x v="2311"/>
    <x v="700"/>
    <s v="Miss"/>
    <s v="F"/>
    <n v="90"/>
    <s v="Sebert Road"/>
    <x v="844"/>
    <x v="2"/>
    <d v="2022-09-21T00:00:00"/>
    <x v="0"/>
    <x v="9"/>
    <n v="94"/>
    <x v="3"/>
    <x v="3"/>
    <n v="2256"/>
    <x v="914"/>
  </r>
  <r>
    <n v="4065"/>
    <x v="2444"/>
    <x v="737"/>
    <s v="Miss"/>
    <s v="F"/>
    <n v="60"/>
    <s v="Seeley Drive"/>
    <x v="704"/>
    <x v="21"/>
    <d v="2021-03-30T00:00:00"/>
    <x v="1"/>
    <x v="5"/>
    <n v="89"/>
    <x v="9"/>
    <x v="9"/>
    <n v="2136"/>
    <x v="26"/>
  </r>
  <r>
    <n v="4066"/>
    <x v="1990"/>
    <x v="706"/>
    <s v="Miss"/>
    <s v="F"/>
    <n v="60"/>
    <s v="Seeley Drive"/>
    <x v="1282"/>
    <x v="2"/>
    <d v="2021-07-20T00:00:00"/>
    <x v="1"/>
    <x v="0"/>
    <n v="5"/>
    <x v="8"/>
    <x v="8"/>
    <n v="100"/>
    <x v="71"/>
  </r>
  <r>
    <n v="4067"/>
    <x v="1110"/>
    <x v="365"/>
    <s v="Mr"/>
    <s v="M"/>
    <n v="90"/>
    <s v="Sefton Street"/>
    <x v="505"/>
    <x v="12"/>
    <d v="2022-08-17T00:00:00"/>
    <x v="0"/>
    <x v="3"/>
    <n v="91"/>
    <x v="8"/>
    <x v="8"/>
    <n v="1820"/>
    <x v="991"/>
  </r>
  <r>
    <n v="4068"/>
    <x v="401"/>
    <x v="931"/>
    <s v="Miss"/>
    <s v="F"/>
    <n v="90"/>
    <s v="Selbie Avenue"/>
    <x v="1093"/>
    <x v="21"/>
    <d v="2021-09-04T00:00:00"/>
    <x v="1"/>
    <x v="9"/>
    <n v="34"/>
    <x v="5"/>
    <x v="5"/>
    <n v="816"/>
    <x v="692"/>
  </r>
  <r>
    <n v="4069"/>
    <x v="1010"/>
    <x v="562"/>
    <s v="Mr"/>
    <s v="M"/>
    <n v="90"/>
    <s v="Selborne Gardens"/>
    <x v="567"/>
    <x v="2"/>
    <d v="2022-07-11T00:00:00"/>
    <x v="0"/>
    <x v="0"/>
    <n v="87"/>
    <x v="5"/>
    <x v="5"/>
    <n v="2088"/>
    <x v="744"/>
  </r>
  <r>
    <n v="4070"/>
    <x v="2493"/>
    <x v="1723"/>
    <s v="Miss"/>
    <s v="F"/>
    <n v="60"/>
    <s v="Selborne Walk"/>
    <x v="46"/>
    <x v="20"/>
    <d v="2020-12-18T00:00:00"/>
    <x v="2"/>
    <x v="8"/>
    <n v="58"/>
    <x v="2"/>
    <x v="2"/>
    <n v="986"/>
    <x v="810"/>
  </r>
  <r>
    <n v="4071"/>
    <x v="221"/>
    <x v="1724"/>
    <s v="Mr"/>
    <s v="M"/>
    <n v="90"/>
    <s v="Selby Close"/>
    <x v="510"/>
    <x v="71"/>
    <d v="2021-06-21T00:00:00"/>
    <x v="1"/>
    <x v="2"/>
    <n v="93"/>
    <x v="8"/>
    <x v="8"/>
    <n v="1860"/>
    <x v="579"/>
  </r>
  <r>
    <n v="4072"/>
    <x v="2494"/>
    <x v="1039"/>
    <s v="Miss"/>
    <s v="F"/>
    <n v="60"/>
    <s v="Selby Mews"/>
    <x v="1186"/>
    <x v="10"/>
    <d v="2021-04-29T00:00:00"/>
    <x v="1"/>
    <x v="4"/>
    <n v="84"/>
    <x v="7"/>
    <x v="7"/>
    <n v="1680"/>
    <x v="206"/>
  </r>
  <r>
    <n v="4073"/>
    <x v="2495"/>
    <x v="1145"/>
    <s v="Mrs"/>
    <s v="F"/>
    <n v="90"/>
    <s v="Seldons Street"/>
    <x v="1283"/>
    <x v="21"/>
    <d v="2021-01-12T00:00:00"/>
    <x v="1"/>
    <x v="6"/>
    <n v="8"/>
    <x v="5"/>
    <x v="5"/>
    <n v="192"/>
    <x v="539"/>
  </r>
  <r>
    <n v="4074"/>
    <x v="878"/>
    <x v="1534"/>
    <s v="Mrs"/>
    <s v="F"/>
    <n v="60"/>
    <s v="Selhurst Close"/>
    <x v="958"/>
    <x v="28"/>
    <d v="2021-08-26T00:00:00"/>
    <x v="1"/>
    <x v="3"/>
    <n v="80"/>
    <x v="8"/>
    <x v="8"/>
    <n v="1600"/>
    <x v="704"/>
  </r>
  <r>
    <n v="4075"/>
    <x v="1284"/>
    <x v="972"/>
    <s v="Mr"/>
    <s v="M"/>
    <n v="60"/>
    <s v="Selina Place"/>
    <x v="193"/>
    <x v="17"/>
    <d v="2020-02-02T00:00:00"/>
    <x v="2"/>
    <x v="10"/>
    <n v="11"/>
    <x v="6"/>
    <x v="6"/>
    <n v="264"/>
    <x v="377"/>
  </r>
  <r>
    <n v="4076"/>
    <x v="1267"/>
    <x v="790"/>
    <s v="Ms"/>
    <s v="F"/>
    <n v="30"/>
    <s v="Selkirk Road"/>
    <x v="164"/>
    <x v="17"/>
    <d v="2020-06-23T00:00:00"/>
    <x v="2"/>
    <x v="2"/>
    <n v="25"/>
    <x v="2"/>
    <x v="2"/>
    <n v="425"/>
    <x v="602"/>
  </r>
  <r>
    <n v="4077"/>
    <x v="67"/>
    <x v="932"/>
    <s v="Mr"/>
    <s v="M"/>
    <n v="30"/>
    <s v="Sennen Walk"/>
    <x v="130"/>
    <x v="2"/>
    <d v="2022-07-25T00:00:00"/>
    <x v="0"/>
    <x v="0"/>
    <n v="51"/>
    <x v="0"/>
    <x v="0"/>
    <n v="1020"/>
    <x v="983"/>
  </r>
  <r>
    <n v="4078"/>
    <x v="263"/>
    <x v="1350"/>
    <s v="Mr"/>
    <s v="M"/>
    <n v="60"/>
    <s v="Serbin Close"/>
    <x v="1213"/>
    <x v="0"/>
    <d v="2021-06-20T00:00:00"/>
    <x v="1"/>
    <x v="2"/>
    <n v="31"/>
    <x v="1"/>
    <x v="1"/>
    <n v="744"/>
    <x v="59"/>
  </r>
  <r>
    <n v="4079"/>
    <x v="2496"/>
    <x v="1142"/>
    <s v="Miss"/>
    <s v="F"/>
    <n v="90"/>
    <s v="Setchell Road"/>
    <x v="170"/>
    <x v="1"/>
    <d v="2020-06-06T00:00:00"/>
    <x v="2"/>
    <x v="2"/>
    <n v="33"/>
    <x v="3"/>
    <x v="3"/>
    <n v="792"/>
    <x v="442"/>
  </r>
  <r>
    <n v="4080"/>
    <x v="1518"/>
    <x v="84"/>
    <s v="Miss"/>
    <s v="F"/>
    <n v="30"/>
    <s v="Sewardstone Road"/>
    <x v="371"/>
    <x v="18"/>
    <d v="2021-06-27T00:00:00"/>
    <x v="1"/>
    <x v="2"/>
    <n v="35"/>
    <x v="4"/>
    <x v="4"/>
    <n v="630"/>
    <x v="134"/>
  </r>
  <r>
    <n v="4081"/>
    <x v="50"/>
    <x v="884"/>
    <s v="Dr"/>
    <s v="M"/>
    <n v="30"/>
    <s v="Seyer Road"/>
    <x v="186"/>
    <x v="33"/>
    <d v="2021-04-24T00:00:00"/>
    <x v="1"/>
    <x v="4"/>
    <n v="48"/>
    <x v="5"/>
    <x v="5"/>
    <n v="1152"/>
    <x v="720"/>
  </r>
  <r>
    <n v="4082"/>
    <x v="2497"/>
    <x v="1109"/>
    <s v="Miss"/>
    <s v="F"/>
    <n v="60"/>
    <s v="Shacklewell Green"/>
    <x v="1116"/>
    <x v="2"/>
    <d v="2022-01-08T00:00:00"/>
    <x v="0"/>
    <x v="6"/>
    <n v="74"/>
    <x v="8"/>
    <x v="8"/>
    <n v="1480"/>
    <x v="603"/>
  </r>
  <r>
    <n v="4083"/>
    <x v="2498"/>
    <x v="1408"/>
    <s v="Dr"/>
    <s v="M"/>
    <n v="90"/>
    <s v="Shacklewell Green"/>
    <x v="751"/>
    <x v="2"/>
    <d v="2021-12-26T00:00:00"/>
    <x v="1"/>
    <x v="8"/>
    <n v="7"/>
    <x v="1"/>
    <x v="1"/>
    <n v="168"/>
    <x v="629"/>
  </r>
  <r>
    <n v="4084"/>
    <x v="1450"/>
    <x v="1725"/>
    <s v="Miss"/>
    <s v="F"/>
    <n v="30"/>
    <s v="Shacklewell Lane"/>
    <x v="644"/>
    <x v="2"/>
    <d v="2021-01-30T00:00:00"/>
    <x v="1"/>
    <x v="6"/>
    <n v="23"/>
    <x v="0"/>
    <x v="0"/>
    <n v="460"/>
    <x v="917"/>
  </r>
  <r>
    <n v="4085"/>
    <x v="1032"/>
    <x v="1488"/>
    <s v="Mr"/>
    <s v="M"/>
    <n v="30"/>
    <s v="Shad Thames"/>
    <x v="29"/>
    <x v="15"/>
    <d v="2022-11-01T00:00:00"/>
    <x v="0"/>
    <x v="7"/>
    <n v="31"/>
    <x v="0"/>
    <x v="0"/>
    <n v="620"/>
    <x v="641"/>
  </r>
  <r>
    <n v="4086"/>
    <x v="2499"/>
    <x v="757"/>
    <s v="Mr"/>
    <s v="M"/>
    <n v="60"/>
    <s v="Shadwell Gardens"/>
    <x v="813"/>
    <x v="57"/>
    <d v="2021-04-30T00:00:00"/>
    <x v="1"/>
    <x v="4"/>
    <n v="47"/>
    <x v="5"/>
    <x v="5"/>
    <n v="1128"/>
    <x v="833"/>
  </r>
  <r>
    <n v="4087"/>
    <x v="2500"/>
    <x v="899"/>
    <s v="Miss"/>
    <s v="F"/>
    <n v="60"/>
    <s v="Shakespeare Road"/>
    <x v="539"/>
    <x v="36"/>
    <d v="2020-08-25T00:00:00"/>
    <x v="2"/>
    <x v="3"/>
    <n v="29"/>
    <x v="6"/>
    <x v="6"/>
    <n v="696"/>
    <x v="92"/>
  </r>
  <r>
    <n v="4088"/>
    <x v="2059"/>
    <x v="846"/>
    <s v="Miss"/>
    <s v="F"/>
    <n v="60"/>
    <s v="Shakespeare Road"/>
    <x v="454"/>
    <x v="39"/>
    <d v="2020-03-27T00:00:00"/>
    <x v="2"/>
    <x v="5"/>
    <n v="29"/>
    <x v="9"/>
    <x v="9"/>
    <n v="696"/>
    <x v="709"/>
  </r>
  <r>
    <n v="4089"/>
    <x v="2501"/>
    <x v="25"/>
    <s v="Miss"/>
    <s v="F"/>
    <n v="90"/>
    <s v="Shalfleet Drive"/>
    <x v="879"/>
    <x v="21"/>
    <d v="2022-06-13T00:00:00"/>
    <x v="0"/>
    <x v="2"/>
    <n v="28"/>
    <x v="8"/>
    <x v="8"/>
    <n v="560"/>
    <x v="825"/>
  </r>
  <r>
    <n v="4090"/>
    <x v="906"/>
    <x v="1609"/>
    <s v="Mr"/>
    <s v="M"/>
    <n v="60"/>
    <s v="Shand Street"/>
    <x v="276"/>
    <x v="3"/>
    <d v="2022-01-18T00:00:00"/>
    <x v="0"/>
    <x v="6"/>
    <n v="39"/>
    <x v="7"/>
    <x v="7"/>
    <n v="780"/>
    <x v="145"/>
  </r>
  <r>
    <n v="4091"/>
    <x v="1451"/>
    <x v="30"/>
    <s v="Miss"/>
    <s v="F"/>
    <n v="30"/>
    <s v="Shannon Close"/>
    <x v="146"/>
    <x v="2"/>
    <d v="2020-03-27T00:00:00"/>
    <x v="2"/>
    <x v="5"/>
    <n v="19"/>
    <x v="9"/>
    <x v="9"/>
    <n v="456"/>
    <x v="418"/>
  </r>
  <r>
    <n v="4092"/>
    <x v="178"/>
    <x v="363"/>
    <s v="Mr"/>
    <s v="M"/>
    <n v="90"/>
    <s v="Shannon Place"/>
    <x v="1110"/>
    <x v="2"/>
    <d v="2020-03-18T00:00:00"/>
    <x v="2"/>
    <x v="5"/>
    <n v="32"/>
    <x v="2"/>
    <x v="2"/>
    <n v="544"/>
    <x v="544"/>
  </r>
  <r>
    <n v="4093"/>
    <x v="1254"/>
    <x v="1131"/>
    <s v="Prof"/>
    <s v="M"/>
    <n v="30"/>
    <s v="Sharon Road"/>
    <x v="916"/>
    <x v="16"/>
    <d v="2021-08-02T00:00:00"/>
    <x v="1"/>
    <x v="3"/>
    <n v="2"/>
    <x v="6"/>
    <x v="6"/>
    <n v="48"/>
    <x v="728"/>
  </r>
  <r>
    <n v="4094"/>
    <x v="1029"/>
    <x v="1720"/>
    <s v="Mr"/>
    <s v="M"/>
    <n v="60"/>
    <s v="Sharsted Street"/>
    <x v="380"/>
    <x v="2"/>
    <d v="2020-12-15T00:00:00"/>
    <x v="2"/>
    <x v="8"/>
    <n v="34"/>
    <x v="4"/>
    <x v="4"/>
    <n v="612"/>
    <x v="503"/>
  </r>
  <r>
    <n v="4095"/>
    <x v="2502"/>
    <x v="634"/>
    <s v="Mrs"/>
    <s v="F"/>
    <n v="60"/>
    <s v="Sharsted Villas"/>
    <x v="810"/>
    <x v="15"/>
    <d v="2020-02-28T00:00:00"/>
    <x v="2"/>
    <x v="10"/>
    <n v="3"/>
    <x v="9"/>
    <x v="9"/>
    <n v="72"/>
    <x v="234"/>
  </r>
  <r>
    <n v="4096"/>
    <x v="1987"/>
    <x v="1621"/>
    <s v="Mr"/>
    <s v="M"/>
    <n v="60"/>
    <s v="Sheen Common"/>
    <x v="685"/>
    <x v="21"/>
    <d v="2020-02-08T00:00:00"/>
    <x v="2"/>
    <x v="10"/>
    <n v="21"/>
    <x v="1"/>
    <x v="1"/>
    <n v="504"/>
    <x v="409"/>
  </r>
  <r>
    <n v="4097"/>
    <x v="209"/>
    <x v="1436"/>
    <s v="Mrs"/>
    <s v="F"/>
    <n v="30"/>
    <s v="Sheen Grove"/>
    <x v="671"/>
    <x v="45"/>
    <d v="2021-04-17T00:00:00"/>
    <x v="1"/>
    <x v="4"/>
    <n v="85"/>
    <x v="4"/>
    <x v="4"/>
    <n v="1530"/>
    <x v="16"/>
  </r>
  <r>
    <n v="4098"/>
    <x v="75"/>
    <x v="1055"/>
    <s v="Mr"/>
    <s v="M"/>
    <n v="60"/>
    <s v="Sheen Grove"/>
    <x v="1284"/>
    <x v="2"/>
    <d v="2022-07-19T00:00:00"/>
    <x v="0"/>
    <x v="0"/>
    <n v="15"/>
    <x v="0"/>
    <x v="0"/>
    <n v="300"/>
    <x v="646"/>
  </r>
  <r>
    <n v="4099"/>
    <x v="2503"/>
    <x v="472"/>
    <s v="Mr"/>
    <s v="M"/>
    <n v="60"/>
    <s v="Sheldon Road"/>
    <x v="525"/>
    <x v="17"/>
    <d v="2021-04-08T00:00:00"/>
    <x v="1"/>
    <x v="4"/>
    <n v="89"/>
    <x v="9"/>
    <x v="9"/>
    <n v="2136"/>
    <x v="26"/>
  </r>
  <r>
    <n v="4100"/>
    <x v="847"/>
    <x v="541"/>
    <s v="Mr"/>
    <s v="M"/>
    <n v="90"/>
    <s v="Sheldon Road"/>
    <x v="394"/>
    <x v="2"/>
    <d v="2021-09-23T00:00:00"/>
    <x v="1"/>
    <x v="9"/>
    <n v="77"/>
    <x v="8"/>
    <x v="8"/>
    <n v="1540"/>
    <x v="543"/>
  </r>
  <r>
    <n v="4101"/>
    <x v="894"/>
    <x v="439"/>
    <s v="Mr"/>
    <s v="M"/>
    <n v="30"/>
    <s v="Sheldrake Place"/>
    <x v="257"/>
    <x v="1"/>
    <d v="2021-09-03T00:00:00"/>
    <x v="1"/>
    <x v="9"/>
    <n v="44"/>
    <x v="3"/>
    <x v="3"/>
    <n v="1056"/>
    <x v="253"/>
  </r>
  <r>
    <n v="4102"/>
    <x v="2390"/>
    <x v="857"/>
    <s v="Ms"/>
    <s v="F"/>
    <n v="30"/>
    <s v="Shenlay Road"/>
    <x v="170"/>
    <x v="1"/>
    <d v="2022-07-12T00:00:00"/>
    <x v="0"/>
    <x v="0"/>
    <n v="98"/>
    <x v="6"/>
    <x v="6"/>
    <n v="2352"/>
    <x v="992"/>
  </r>
  <r>
    <n v="4103"/>
    <x v="2504"/>
    <x v="697"/>
    <s v="Miss"/>
    <s v="F"/>
    <n v="30"/>
    <s v="Shenlay Road"/>
    <x v="267"/>
    <x v="2"/>
    <d v="2020-07-04T00:00:00"/>
    <x v="2"/>
    <x v="0"/>
    <n v="61"/>
    <x v="3"/>
    <x v="3"/>
    <n v="1464"/>
    <x v="585"/>
  </r>
  <r>
    <n v="4104"/>
    <x v="2505"/>
    <x v="367"/>
    <s v="Mr"/>
    <s v="M"/>
    <n v="30"/>
    <s v="Shenley Road"/>
    <x v="104"/>
    <x v="2"/>
    <d v="2021-03-14T00:00:00"/>
    <x v="1"/>
    <x v="5"/>
    <n v="82"/>
    <x v="5"/>
    <x v="5"/>
    <n v="1968"/>
    <x v="682"/>
  </r>
  <r>
    <n v="4105"/>
    <x v="2045"/>
    <x v="1525"/>
    <s v="Miss"/>
    <s v="F"/>
    <n v="30"/>
    <s v="Shepherdess Place"/>
    <x v="115"/>
    <x v="2"/>
    <d v="2020-01-21T00:00:00"/>
    <x v="2"/>
    <x v="6"/>
    <n v="40"/>
    <x v="4"/>
    <x v="4"/>
    <n v="720"/>
    <x v="939"/>
  </r>
  <r>
    <n v="4106"/>
    <x v="1461"/>
    <x v="361"/>
    <s v="Mr"/>
    <s v="M"/>
    <n v="90"/>
    <s v="Shepherd'S Leas"/>
    <x v="744"/>
    <x v="2"/>
    <d v="2021-12-05T00:00:00"/>
    <x v="1"/>
    <x v="8"/>
    <n v="80"/>
    <x v="7"/>
    <x v="7"/>
    <n v="1600"/>
    <x v="690"/>
  </r>
  <r>
    <n v="4107"/>
    <x v="421"/>
    <x v="1726"/>
    <s v="Mr"/>
    <s v="M"/>
    <n v="30"/>
    <s v="Shepperton Place"/>
    <x v="556"/>
    <x v="24"/>
    <d v="2021-07-19T00:00:00"/>
    <x v="1"/>
    <x v="0"/>
    <n v="52"/>
    <x v="1"/>
    <x v="1"/>
    <n v="1248"/>
    <x v="902"/>
  </r>
  <r>
    <n v="4108"/>
    <x v="2284"/>
    <x v="1652"/>
    <s v="Mr"/>
    <s v="M"/>
    <n v="60"/>
    <s v="Sherrard Road"/>
    <x v="455"/>
    <x v="2"/>
    <d v="2022-02-18T00:00:00"/>
    <x v="0"/>
    <x v="10"/>
    <n v="65"/>
    <x v="6"/>
    <x v="6"/>
    <n v="1560"/>
    <x v="993"/>
  </r>
  <r>
    <n v="4109"/>
    <x v="1321"/>
    <x v="699"/>
    <s v="Mr"/>
    <s v="M"/>
    <n v="30"/>
    <s v="Sherriff Road"/>
    <x v="988"/>
    <x v="3"/>
    <d v="2020-10-16T00:00:00"/>
    <x v="2"/>
    <x v="1"/>
    <n v="33"/>
    <x v="3"/>
    <x v="3"/>
    <n v="792"/>
    <x v="442"/>
  </r>
  <r>
    <n v="4110"/>
    <x v="1445"/>
    <x v="1727"/>
    <s v="Dr"/>
    <s v="M"/>
    <n v="30"/>
    <s v="Sherry Square"/>
    <x v="783"/>
    <x v="16"/>
    <d v="2020-09-04T00:00:00"/>
    <x v="2"/>
    <x v="9"/>
    <n v="84"/>
    <x v="4"/>
    <x v="4"/>
    <n v="1512"/>
    <x v="124"/>
  </r>
  <r>
    <n v="4111"/>
    <x v="2170"/>
    <x v="928"/>
    <s v="Mr"/>
    <s v="M"/>
    <n v="90"/>
    <s v="Shetland Road"/>
    <x v="691"/>
    <x v="2"/>
    <d v="2021-01-15T00:00:00"/>
    <x v="1"/>
    <x v="6"/>
    <n v="67"/>
    <x v="3"/>
    <x v="3"/>
    <n v="1608"/>
    <x v="457"/>
  </r>
  <r>
    <n v="4112"/>
    <x v="2506"/>
    <x v="607"/>
    <s v="Miss"/>
    <s v="F"/>
    <n v="60"/>
    <s v="Shillingford Street"/>
    <x v="744"/>
    <x v="2"/>
    <d v="2020-09-25T00:00:00"/>
    <x v="2"/>
    <x v="9"/>
    <n v="30"/>
    <x v="9"/>
    <x v="9"/>
    <n v="720"/>
    <x v="886"/>
  </r>
  <r>
    <n v="4113"/>
    <x v="2507"/>
    <x v="561"/>
    <s v="Prof"/>
    <s v="F"/>
    <n v="60"/>
    <s v="Ship Court"/>
    <x v="546"/>
    <x v="2"/>
    <d v="2022-06-09T00:00:00"/>
    <x v="0"/>
    <x v="2"/>
    <n v="19"/>
    <x v="4"/>
    <x v="4"/>
    <n v="342"/>
    <x v="926"/>
  </r>
  <r>
    <n v="4114"/>
    <x v="633"/>
    <x v="815"/>
    <s v="Mrs"/>
    <s v="F"/>
    <n v="90"/>
    <s v="Shirehall Lane"/>
    <x v="623"/>
    <x v="76"/>
    <d v="2020-01-02T00:00:00"/>
    <x v="2"/>
    <x v="6"/>
    <n v="71"/>
    <x v="1"/>
    <x v="1"/>
    <n v="1704"/>
    <x v="77"/>
  </r>
  <r>
    <n v="4115"/>
    <x v="245"/>
    <x v="211"/>
    <s v="Mr"/>
    <s v="M"/>
    <n v="60"/>
    <s v="Shirehall Lane"/>
    <x v="361"/>
    <x v="2"/>
    <d v="2020-12-14T00:00:00"/>
    <x v="2"/>
    <x v="8"/>
    <n v="9"/>
    <x v="2"/>
    <x v="2"/>
    <n v="153"/>
    <x v="89"/>
  </r>
  <r>
    <n v="4116"/>
    <x v="1533"/>
    <x v="1121"/>
    <s v="Miss"/>
    <s v="F"/>
    <n v="90"/>
    <s v="Shirland Mews"/>
    <x v="1065"/>
    <x v="2"/>
    <d v="2022-09-18T00:00:00"/>
    <x v="0"/>
    <x v="9"/>
    <n v="68"/>
    <x v="2"/>
    <x v="2"/>
    <n v="1156"/>
    <x v="21"/>
  </r>
  <r>
    <n v="4117"/>
    <x v="1665"/>
    <x v="323"/>
    <s v="Miss"/>
    <s v="F"/>
    <n v="30"/>
    <s v="Shirland Villas"/>
    <x v="1140"/>
    <x v="2"/>
    <d v="2020-11-26T00:00:00"/>
    <x v="2"/>
    <x v="7"/>
    <n v="73"/>
    <x v="9"/>
    <x v="9"/>
    <n v="1752"/>
    <x v="152"/>
  </r>
  <r>
    <n v="4118"/>
    <x v="289"/>
    <x v="1728"/>
    <s v="Mr"/>
    <s v="M"/>
    <n v="90"/>
    <s v="Shirley Gardens"/>
    <x v="1285"/>
    <x v="2"/>
    <d v="2020-10-22T00:00:00"/>
    <x v="2"/>
    <x v="1"/>
    <n v="64"/>
    <x v="3"/>
    <x v="3"/>
    <n v="1536"/>
    <x v="710"/>
  </r>
  <r>
    <n v="4119"/>
    <x v="1680"/>
    <x v="1486"/>
    <s v="Miss"/>
    <s v="F"/>
    <n v="30"/>
    <s v="Shirley Villas"/>
    <x v="1058"/>
    <x v="10"/>
    <d v="2022-03-21T00:00:00"/>
    <x v="0"/>
    <x v="5"/>
    <n v="9"/>
    <x v="8"/>
    <x v="8"/>
    <n v="180"/>
    <x v="198"/>
  </r>
  <r>
    <n v="4120"/>
    <x v="877"/>
    <x v="1413"/>
    <s v="Mr"/>
    <s v="M"/>
    <n v="30"/>
    <s v="Shirley Villas"/>
    <x v="789"/>
    <x v="2"/>
    <d v="2022-05-01T00:00:00"/>
    <x v="0"/>
    <x v="11"/>
    <n v="69"/>
    <x v="9"/>
    <x v="9"/>
    <n v="1656"/>
    <x v="174"/>
  </r>
  <r>
    <n v="4121"/>
    <x v="743"/>
    <x v="403"/>
    <s v="Mr"/>
    <s v="M"/>
    <n v="60"/>
    <s v="Shirlock Road"/>
    <x v="259"/>
    <x v="2"/>
    <d v="2020-07-08T00:00:00"/>
    <x v="2"/>
    <x v="0"/>
    <n v="64"/>
    <x v="5"/>
    <x v="5"/>
    <n v="1536"/>
    <x v="372"/>
  </r>
  <r>
    <n v="4122"/>
    <x v="52"/>
    <x v="486"/>
    <s v="Mr"/>
    <s v="M"/>
    <n v="90"/>
    <s v="Shore Road"/>
    <x v="1258"/>
    <x v="2"/>
    <d v="2022-06-10T00:00:00"/>
    <x v="0"/>
    <x v="2"/>
    <n v="27"/>
    <x v="1"/>
    <x v="1"/>
    <n v="648"/>
    <x v="569"/>
  </r>
  <r>
    <n v="4123"/>
    <x v="2508"/>
    <x v="1218"/>
    <s v="Miss"/>
    <s v="F"/>
    <n v="30"/>
    <s v="Shorrolds Road"/>
    <x v="770"/>
    <x v="81"/>
    <d v="2022-01-01T00:00:00"/>
    <x v="0"/>
    <x v="6"/>
    <n v="17"/>
    <x v="9"/>
    <x v="9"/>
    <n v="408"/>
    <x v="473"/>
  </r>
  <r>
    <n v="4124"/>
    <x v="1866"/>
    <x v="1331"/>
    <s v="Mrs"/>
    <s v="F"/>
    <n v="30"/>
    <s v="Shorter'S Court"/>
    <x v="588"/>
    <x v="3"/>
    <d v="2022-02-13T00:00:00"/>
    <x v="0"/>
    <x v="10"/>
    <n v="5"/>
    <x v="4"/>
    <x v="4"/>
    <n v="90"/>
    <x v="10"/>
  </r>
  <r>
    <n v="4125"/>
    <x v="2509"/>
    <x v="1585"/>
    <s v="Ms"/>
    <s v="F"/>
    <n v="30"/>
    <s v="Shrapnel Road"/>
    <x v="940"/>
    <x v="2"/>
    <d v="2021-01-19T00:00:00"/>
    <x v="1"/>
    <x v="6"/>
    <n v="92"/>
    <x v="4"/>
    <x v="4"/>
    <n v="1656"/>
    <x v="609"/>
  </r>
  <r>
    <n v="4126"/>
    <x v="1448"/>
    <x v="446"/>
    <s v="Miss"/>
    <s v="F"/>
    <n v="30"/>
    <s v="Shrewsbury Villas"/>
    <x v="1097"/>
    <x v="2"/>
    <d v="2020-12-21T00:00:00"/>
    <x v="2"/>
    <x v="8"/>
    <n v="82"/>
    <x v="0"/>
    <x v="0"/>
    <n v="1640"/>
    <x v="987"/>
  </r>
  <r>
    <n v="4127"/>
    <x v="494"/>
    <x v="1729"/>
    <s v="Mrs"/>
    <s v="F"/>
    <n v="90"/>
    <s v="Shroton Street"/>
    <x v="967"/>
    <x v="2"/>
    <d v="2021-05-09T00:00:00"/>
    <x v="1"/>
    <x v="11"/>
    <n v="9"/>
    <x v="6"/>
    <x v="6"/>
    <n v="216"/>
    <x v="171"/>
  </r>
  <r>
    <n v="4128"/>
    <x v="593"/>
    <x v="466"/>
    <s v="Mr"/>
    <s v="M"/>
    <n v="30"/>
    <s v="Shrubbery Close"/>
    <x v="929"/>
    <x v="2"/>
    <d v="2021-09-17T00:00:00"/>
    <x v="1"/>
    <x v="9"/>
    <n v="70"/>
    <x v="4"/>
    <x v="4"/>
    <n v="1260"/>
    <x v="202"/>
  </r>
  <r>
    <n v="4129"/>
    <x v="1518"/>
    <x v="578"/>
    <s v="Mr"/>
    <s v="M"/>
    <n v="60"/>
    <s v="Shrublands Close"/>
    <x v="1247"/>
    <x v="1"/>
    <d v="2021-04-13T00:00:00"/>
    <x v="1"/>
    <x v="4"/>
    <n v="31"/>
    <x v="5"/>
    <x v="5"/>
    <n v="744"/>
    <x v="781"/>
  </r>
  <r>
    <n v="4130"/>
    <x v="1066"/>
    <x v="1051"/>
    <s v="Miss"/>
    <s v="F"/>
    <n v="60"/>
    <s v="Sibella Road"/>
    <x v="434"/>
    <x v="10"/>
    <d v="2020-07-11T00:00:00"/>
    <x v="2"/>
    <x v="0"/>
    <n v="45"/>
    <x v="9"/>
    <x v="9"/>
    <n v="1080"/>
    <x v="814"/>
  </r>
  <r>
    <n v="4131"/>
    <x v="135"/>
    <x v="1122"/>
    <s v="Mr"/>
    <s v="M"/>
    <n v="60"/>
    <s v="Sidcup Road"/>
    <x v="271"/>
    <x v="21"/>
    <d v="2020-08-08T00:00:00"/>
    <x v="2"/>
    <x v="3"/>
    <n v="56"/>
    <x v="6"/>
    <x v="6"/>
    <n v="1344"/>
    <x v="707"/>
  </r>
  <r>
    <n v="4132"/>
    <x v="1151"/>
    <x v="111"/>
    <s v="Mr"/>
    <s v="M"/>
    <n v="30"/>
    <s v="Sidney Grove"/>
    <x v="649"/>
    <x v="2"/>
    <d v="2021-08-30T00:00:00"/>
    <x v="1"/>
    <x v="3"/>
    <n v="26"/>
    <x v="8"/>
    <x v="8"/>
    <n v="520"/>
    <x v="111"/>
  </r>
  <r>
    <n v="4133"/>
    <x v="1053"/>
    <x v="317"/>
    <s v="Mr"/>
    <s v="M"/>
    <n v="90"/>
    <s v="Sidney Miller"/>
    <x v="264"/>
    <x v="15"/>
    <d v="2021-10-26T00:00:00"/>
    <x v="1"/>
    <x v="1"/>
    <n v="15"/>
    <x v="4"/>
    <x v="4"/>
    <n v="270"/>
    <x v="139"/>
  </r>
  <r>
    <n v="4134"/>
    <x v="288"/>
    <x v="440"/>
    <s v="Mr"/>
    <s v="M"/>
    <n v="60"/>
    <s v="Silk Street"/>
    <x v="1033"/>
    <x v="2"/>
    <d v="2020-07-30T00:00:00"/>
    <x v="2"/>
    <x v="0"/>
    <n v="50"/>
    <x v="4"/>
    <x v="4"/>
    <n v="900"/>
    <x v="157"/>
  </r>
  <r>
    <n v="4135"/>
    <x v="2510"/>
    <x v="1730"/>
    <s v="Ms"/>
    <s v="F"/>
    <n v="90"/>
    <s v="Silver Birch"/>
    <x v="586"/>
    <x v="21"/>
    <d v="2020-06-05T00:00:00"/>
    <x v="2"/>
    <x v="2"/>
    <n v="48"/>
    <x v="8"/>
    <x v="8"/>
    <n v="960"/>
    <x v="961"/>
  </r>
  <r>
    <n v="4136"/>
    <x v="2511"/>
    <x v="370"/>
    <s v="Mrs"/>
    <s v="F"/>
    <n v="90"/>
    <s v="Simpson Place"/>
    <x v="942"/>
    <x v="13"/>
    <d v="2021-05-24T00:00:00"/>
    <x v="1"/>
    <x v="11"/>
    <n v="43"/>
    <x v="6"/>
    <x v="6"/>
    <n v="1032"/>
    <x v="27"/>
  </r>
  <r>
    <n v="4137"/>
    <x v="686"/>
    <x v="573"/>
    <s v="Mr"/>
    <s v="M"/>
    <n v="60"/>
    <s v="Simpson Street"/>
    <x v="336"/>
    <x v="2"/>
    <d v="2020-07-27T00:00:00"/>
    <x v="2"/>
    <x v="0"/>
    <n v="48"/>
    <x v="6"/>
    <x v="6"/>
    <n v="1152"/>
    <x v="487"/>
  </r>
  <r>
    <n v="4138"/>
    <x v="2512"/>
    <x v="418"/>
    <s v="Mrs"/>
    <s v="F"/>
    <n v="30"/>
    <s v="Sims Walk"/>
    <x v="1226"/>
    <x v="2"/>
    <d v="2020-05-20T00:00:00"/>
    <x v="2"/>
    <x v="11"/>
    <n v="77"/>
    <x v="7"/>
    <x v="7"/>
    <n v="1540"/>
    <x v="9"/>
  </r>
  <r>
    <n v="4139"/>
    <x v="2513"/>
    <x v="985"/>
    <s v="Mrs"/>
    <s v="F"/>
    <n v="30"/>
    <s v="Single Place"/>
    <x v="626"/>
    <x v="10"/>
    <d v="2022-08-20T00:00:00"/>
    <x v="0"/>
    <x v="3"/>
    <n v="62"/>
    <x v="7"/>
    <x v="7"/>
    <n v="1240"/>
    <x v="776"/>
  </r>
  <r>
    <n v="4140"/>
    <x v="946"/>
    <x v="1719"/>
    <s v="Mr"/>
    <s v="M"/>
    <n v="30"/>
    <s v="Singleton Street"/>
    <x v="377"/>
    <x v="15"/>
    <d v="2022-03-19T00:00:00"/>
    <x v="0"/>
    <x v="5"/>
    <n v="11"/>
    <x v="8"/>
    <x v="8"/>
    <n v="220"/>
    <x v="768"/>
  </r>
  <r>
    <n v="4141"/>
    <x v="2514"/>
    <x v="1462"/>
    <s v="Mrs"/>
    <s v="F"/>
    <n v="90"/>
    <s v="Sinnott Road"/>
    <x v="200"/>
    <x v="13"/>
    <d v="2021-08-27T00:00:00"/>
    <x v="1"/>
    <x v="3"/>
    <n v="54"/>
    <x v="9"/>
    <x v="9"/>
    <n v="1296"/>
    <x v="535"/>
  </r>
  <r>
    <n v="4142"/>
    <x v="519"/>
    <x v="681"/>
    <s v="Miss"/>
    <s v="F"/>
    <n v="30"/>
    <s v="Sir Alexander"/>
    <x v="1081"/>
    <x v="2"/>
    <d v="2021-03-07T00:00:00"/>
    <x v="1"/>
    <x v="5"/>
    <n v="9"/>
    <x v="1"/>
    <x v="1"/>
    <n v="216"/>
    <x v="67"/>
  </r>
  <r>
    <n v="4143"/>
    <x v="2515"/>
    <x v="512"/>
    <s v="Miss"/>
    <s v="F"/>
    <n v="60"/>
    <s v="Sispara Gardens"/>
    <x v="258"/>
    <x v="7"/>
    <d v="2022-11-16T00:00:00"/>
    <x v="0"/>
    <x v="7"/>
    <n v="71"/>
    <x v="2"/>
    <x v="2"/>
    <n v="1207"/>
    <x v="726"/>
  </r>
  <r>
    <n v="4144"/>
    <x v="2516"/>
    <x v="198"/>
    <s v="Mrs"/>
    <s v="F"/>
    <n v="30"/>
    <s v="Six Acres"/>
    <x v="1284"/>
    <x v="2"/>
    <d v="2020-09-26T00:00:00"/>
    <x v="2"/>
    <x v="9"/>
    <n v="23"/>
    <x v="7"/>
    <x v="7"/>
    <n v="460"/>
    <x v="909"/>
  </r>
  <r>
    <n v="4145"/>
    <x v="2517"/>
    <x v="1401"/>
    <s v="Mrs"/>
    <s v="F"/>
    <n v="30"/>
    <s v="Skeena Hill"/>
    <x v="377"/>
    <x v="15"/>
    <d v="2020-04-25T00:00:00"/>
    <x v="2"/>
    <x v="4"/>
    <n v="66"/>
    <x v="3"/>
    <x v="3"/>
    <n v="1584"/>
    <x v="158"/>
  </r>
  <r>
    <n v="4146"/>
    <x v="2356"/>
    <x v="1066"/>
    <s v="Mrs"/>
    <s v="F"/>
    <n v="30"/>
    <s v="Skelton Court"/>
    <x v="410"/>
    <x v="21"/>
    <d v="2022-10-17T00:00:00"/>
    <x v="0"/>
    <x v="1"/>
    <n v="7"/>
    <x v="4"/>
    <x v="4"/>
    <n v="126"/>
    <x v="311"/>
  </r>
  <r>
    <n v="4147"/>
    <x v="2518"/>
    <x v="1492"/>
    <s v="Miss"/>
    <s v="F"/>
    <n v="30"/>
    <s v="Sketchley Gardens"/>
    <x v="44"/>
    <x v="13"/>
    <d v="2020-09-14T00:00:00"/>
    <x v="2"/>
    <x v="9"/>
    <n v="28"/>
    <x v="0"/>
    <x v="0"/>
    <n v="560"/>
    <x v="635"/>
  </r>
  <r>
    <n v="4148"/>
    <x v="1867"/>
    <x v="373"/>
    <s v="Rev"/>
    <s v="M"/>
    <n v="90"/>
    <s v="Sketchley Gardens"/>
    <x v="548"/>
    <x v="11"/>
    <d v="2022-12-27T00:00:00"/>
    <x v="0"/>
    <x v="8"/>
    <n v="35"/>
    <x v="7"/>
    <x v="7"/>
    <n v="700"/>
    <x v="676"/>
  </r>
  <r>
    <n v="4149"/>
    <x v="2519"/>
    <x v="1279"/>
    <s v="Ms"/>
    <s v="F"/>
    <n v="60"/>
    <s v="Skiffington Close"/>
    <x v="220"/>
    <x v="3"/>
    <d v="2020-07-03T00:00:00"/>
    <x v="2"/>
    <x v="0"/>
    <n v="74"/>
    <x v="6"/>
    <x v="6"/>
    <n v="1776"/>
    <x v="803"/>
  </r>
  <r>
    <n v="4150"/>
    <x v="2520"/>
    <x v="1731"/>
    <s v="Mrs"/>
    <s v="F"/>
    <n v="30"/>
    <s v="Skiffington Close"/>
    <x v="1286"/>
    <x v="2"/>
    <d v="2021-05-16T00:00:00"/>
    <x v="1"/>
    <x v="11"/>
    <n v="60"/>
    <x v="4"/>
    <x v="4"/>
    <n v="1080"/>
    <x v="904"/>
  </r>
  <r>
    <n v="4151"/>
    <x v="942"/>
    <x v="1732"/>
    <s v="Mr"/>
    <s v="M"/>
    <n v="60"/>
    <s v="Skipsey Avenue"/>
    <x v="871"/>
    <x v="44"/>
    <d v="2021-03-05T00:00:00"/>
    <x v="1"/>
    <x v="5"/>
    <n v="65"/>
    <x v="9"/>
    <x v="9"/>
    <n v="1560"/>
    <x v="439"/>
  </r>
  <r>
    <n v="4152"/>
    <x v="894"/>
    <x v="699"/>
    <s v="Mr"/>
    <s v="M"/>
    <n v="30"/>
    <s v="Slade Gardens"/>
    <x v="1287"/>
    <x v="16"/>
    <d v="2021-07-13T00:00:00"/>
    <x v="1"/>
    <x v="0"/>
    <n v="38"/>
    <x v="5"/>
    <x v="5"/>
    <n v="912"/>
    <x v="244"/>
  </r>
  <r>
    <n v="4153"/>
    <x v="582"/>
    <x v="1245"/>
    <s v="Mr"/>
    <s v="M"/>
    <n v="90"/>
    <s v="Sladedale Road"/>
    <x v="147"/>
    <x v="2"/>
    <d v="2020-01-31T00:00:00"/>
    <x v="2"/>
    <x v="6"/>
    <n v="70"/>
    <x v="3"/>
    <x v="3"/>
    <n v="1680"/>
    <x v="500"/>
  </r>
  <r>
    <n v="4154"/>
    <x v="635"/>
    <x v="1733"/>
    <s v="Mrs"/>
    <s v="F"/>
    <n v="60"/>
    <s v="Slades Passage"/>
    <x v="285"/>
    <x v="2"/>
    <d v="2021-12-02T00:00:00"/>
    <x v="1"/>
    <x v="8"/>
    <n v="72"/>
    <x v="7"/>
    <x v="7"/>
    <n v="1440"/>
    <x v="994"/>
  </r>
  <r>
    <n v="4155"/>
    <x v="2521"/>
    <x v="727"/>
    <s v="Mr"/>
    <s v="M"/>
    <n v="30"/>
    <s v="Slaughterhouse Lane"/>
    <x v="699"/>
    <x v="2"/>
    <d v="2022-03-28T00:00:00"/>
    <x v="0"/>
    <x v="5"/>
    <n v="63"/>
    <x v="8"/>
    <x v="8"/>
    <n v="1260"/>
    <x v="435"/>
  </r>
  <r>
    <n v="4156"/>
    <x v="2011"/>
    <x v="259"/>
    <s v="Mr"/>
    <s v="M"/>
    <n v="30"/>
    <s v="Slough Court"/>
    <x v="546"/>
    <x v="2"/>
    <d v="2022-12-07T00:00:00"/>
    <x v="0"/>
    <x v="8"/>
    <n v="46"/>
    <x v="3"/>
    <x v="3"/>
    <n v="1104"/>
    <x v="177"/>
  </r>
  <r>
    <n v="4157"/>
    <x v="724"/>
    <x v="181"/>
    <s v="Mr"/>
    <s v="M"/>
    <n v="60"/>
    <s v="Slough Lane"/>
    <x v="971"/>
    <x v="16"/>
    <d v="2021-04-24T00:00:00"/>
    <x v="1"/>
    <x v="4"/>
    <n v="6"/>
    <x v="4"/>
    <x v="4"/>
    <n v="108"/>
    <x v="168"/>
  </r>
  <r>
    <n v="4158"/>
    <x v="122"/>
    <x v="871"/>
    <s v="Mr"/>
    <s v="M"/>
    <n v="60"/>
    <s v="Smart Street"/>
    <x v="130"/>
    <x v="2"/>
    <d v="2022-01-22T00:00:00"/>
    <x v="0"/>
    <x v="6"/>
    <n v="53"/>
    <x v="4"/>
    <x v="4"/>
    <n v="954"/>
    <x v="946"/>
  </r>
  <r>
    <n v="4159"/>
    <x v="2522"/>
    <x v="693"/>
    <s v="Mrs"/>
    <s v="F"/>
    <n v="30"/>
    <s v="Smeaton Street"/>
    <x v="557"/>
    <x v="2"/>
    <d v="2020-12-14T00:00:00"/>
    <x v="2"/>
    <x v="8"/>
    <n v="9"/>
    <x v="9"/>
    <x v="9"/>
    <n v="216"/>
    <x v="984"/>
  </r>
  <r>
    <n v="4160"/>
    <x v="1006"/>
    <x v="1024"/>
    <s v="Mrs"/>
    <s v="F"/>
    <n v="30"/>
    <s v="Smith Close"/>
    <x v="590"/>
    <x v="2"/>
    <d v="2021-03-26T00:00:00"/>
    <x v="1"/>
    <x v="5"/>
    <n v="94"/>
    <x v="4"/>
    <x v="4"/>
    <n v="1692"/>
    <x v="617"/>
  </r>
  <r>
    <n v="4161"/>
    <x v="1549"/>
    <x v="1360"/>
    <s v="Mr"/>
    <s v="M"/>
    <n v="60"/>
    <s v="Smithfield Market"/>
    <x v="750"/>
    <x v="2"/>
    <d v="2022-01-28T00:00:00"/>
    <x v="0"/>
    <x v="6"/>
    <n v="6"/>
    <x v="0"/>
    <x v="0"/>
    <n v="120"/>
    <x v="42"/>
  </r>
  <r>
    <n v="4162"/>
    <x v="2523"/>
    <x v="1437"/>
    <s v="Mr"/>
    <s v="M"/>
    <n v="60"/>
    <s v="Smithies Road"/>
    <x v="1185"/>
    <x v="16"/>
    <d v="2020-09-15T00:00:00"/>
    <x v="2"/>
    <x v="9"/>
    <n v="73"/>
    <x v="6"/>
    <x v="6"/>
    <n v="1752"/>
    <x v="164"/>
  </r>
  <r>
    <n v="4163"/>
    <x v="710"/>
    <x v="1734"/>
    <s v="Mr"/>
    <s v="M"/>
    <n v="60"/>
    <s v="Smith'S Square"/>
    <x v="74"/>
    <x v="10"/>
    <d v="2021-06-27T00:00:00"/>
    <x v="1"/>
    <x v="2"/>
    <n v="23"/>
    <x v="0"/>
    <x v="0"/>
    <n v="460"/>
    <x v="917"/>
  </r>
  <r>
    <n v="4164"/>
    <x v="1008"/>
    <x v="1454"/>
    <s v="Mr"/>
    <s v="M"/>
    <n v="30"/>
    <s v="Snead Street"/>
    <x v="563"/>
    <x v="3"/>
    <d v="2020-09-23T00:00:00"/>
    <x v="2"/>
    <x v="9"/>
    <n v="65"/>
    <x v="9"/>
    <x v="9"/>
    <n v="1560"/>
    <x v="439"/>
  </r>
  <r>
    <n v="4165"/>
    <x v="1580"/>
    <x v="1327"/>
    <s v="Prof"/>
    <s v="M"/>
    <n v="60"/>
    <s v="Snells Park"/>
    <x v="909"/>
    <x v="17"/>
    <d v="2021-03-08T00:00:00"/>
    <x v="1"/>
    <x v="5"/>
    <n v="26"/>
    <x v="8"/>
    <x v="8"/>
    <n v="520"/>
    <x v="111"/>
  </r>
  <r>
    <n v="4166"/>
    <x v="2021"/>
    <x v="1071"/>
    <s v="Mr"/>
    <s v="M"/>
    <n v="30"/>
    <s v="Snowdon Place"/>
    <x v="350"/>
    <x v="2"/>
    <d v="2021-01-28T00:00:00"/>
    <x v="1"/>
    <x v="6"/>
    <n v="12"/>
    <x v="5"/>
    <x v="5"/>
    <n v="288"/>
    <x v="477"/>
  </r>
  <r>
    <n v="4167"/>
    <x v="2524"/>
    <x v="1002"/>
    <s v="Mrs"/>
    <s v="F"/>
    <n v="30"/>
    <s v="Snowdown Close"/>
    <x v="86"/>
    <x v="17"/>
    <d v="2022-06-17T00:00:00"/>
    <x v="0"/>
    <x v="2"/>
    <n v="32"/>
    <x v="3"/>
    <x v="3"/>
    <n v="768"/>
    <x v="282"/>
  </r>
  <r>
    <n v="4168"/>
    <x v="2525"/>
    <x v="1715"/>
    <s v="Miss"/>
    <s v="F"/>
    <n v="90"/>
    <s v="Snowsfields"/>
    <x v="1182"/>
    <x v="90"/>
    <d v="2021-10-18T00:00:00"/>
    <x v="1"/>
    <x v="1"/>
    <n v="40"/>
    <x v="3"/>
    <x v="3"/>
    <n v="960"/>
    <x v="155"/>
  </r>
  <r>
    <n v="4169"/>
    <x v="2374"/>
    <x v="536"/>
    <s v="Mr"/>
    <s v="M"/>
    <n v="60"/>
    <s v="Socrates Place"/>
    <x v="181"/>
    <x v="11"/>
    <d v="2021-11-29T00:00:00"/>
    <x v="1"/>
    <x v="7"/>
    <n v="19"/>
    <x v="1"/>
    <x v="1"/>
    <n v="456"/>
    <x v="845"/>
  </r>
  <r>
    <n v="4170"/>
    <x v="1188"/>
    <x v="893"/>
    <s v="Mr"/>
    <s v="M"/>
    <n v="90"/>
    <s v="Solent Road"/>
    <x v="271"/>
    <x v="21"/>
    <d v="2022-12-30T00:00:00"/>
    <x v="0"/>
    <x v="8"/>
    <n v="27"/>
    <x v="1"/>
    <x v="1"/>
    <n v="648"/>
    <x v="569"/>
  </r>
  <r>
    <n v="4171"/>
    <x v="968"/>
    <x v="239"/>
    <s v="Mr"/>
    <s v="M"/>
    <n v="90"/>
    <s v="Soley Terrace"/>
    <x v="301"/>
    <x v="2"/>
    <d v="2020-12-15T00:00:00"/>
    <x v="2"/>
    <x v="8"/>
    <n v="64"/>
    <x v="2"/>
    <x v="2"/>
    <n v="1088"/>
    <x v="98"/>
  </r>
  <r>
    <n v="4172"/>
    <x v="1608"/>
    <x v="1723"/>
    <s v="Dr"/>
    <s v="F"/>
    <n v="90"/>
    <s v="Solomon Avenue"/>
    <x v="382"/>
    <x v="21"/>
    <d v="2022-12-19T00:00:00"/>
    <x v="0"/>
    <x v="8"/>
    <n v="51"/>
    <x v="7"/>
    <x v="7"/>
    <n v="1020"/>
    <x v="563"/>
  </r>
  <r>
    <n v="4173"/>
    <x v="169"/>
    <x v="1215"/>
    <s v="Mr"/>
    <s v="M"/>
    <n v="90"/>
    <s v="Solomon Avenue"/>
    <x v="1210"/>
    <x v="2"/>
    <d v="2021-04-18T00:00:00"/>
    <x v="1"/>
    <x v="4"/>
    <n v="12"/>
    <x v="7"/>
    <x v="7"/>
    <n v="240"/>
    <x v="449"/>
  </r>
  <r>
    <n v="4174"/>
    <x v="604"/>
    <x v="1735"/>
    <s v="Miss"/>
    <s v="F"/>
    <n v="60"/>
    <s v="Solomons Buildings"/>
    <x v="646"/>
    <x v="26"/>
    <d v="2022-04-02T00:00:00"/>
    <x v="0"/>
    <x v="4"/>
    <n v="53"/>
    <x v="5"/>
    <x v="5"/>
    <n v="1272"/>
    <x v="534"/>
  </r>
  <r>
    <n v="4175"/>
    <x v="562"/>
    <x v="1217"/>
    <s v="Mr"/>
    <s v="M"/>
    <n v="60"/>
    <s v="Somerford Street"/>
    <x v="52"/>
    <x v="2"/>
    <d v="2020-04-26T00:00:00"/>
    <x v="2"/>
    <x v="4"/>
    <n v="34"/>
    <x v="6"/>
    <x v="6"/>
    <n v="816"/>
    <x v="615"/>
  </r>
  <r>
    <n v="4176"/>
    <x v="2526"/>
    <x v="1736"/>
    <s v="Mrs"/>
    <s v="F"/>
    <n v="90"/>
    <s v="Somers Villas"/>
    <x v="685"/>
    <x v="21"/>
    <d v="2022-08-17T00:00:00"/>
    <x v="0"/>
    <x v="3"/>
    <n v="21"/>
    <x v="8"/>
    <x v="8"/>
    <n v="420"/>
    <x v="549"/>
  </r>
  <r>
    <n v="4177"/>
    <x v="1427"/>
    <x v="492"/>
    <s v="Mrs"/>
    <s v="F"/>
    <n v="30"/>
    <s v="Somerset Cottages"/>
    <x v="1287"/>
    <x v="16"/>
    <d v="2020-08-23T00:00:00"/>
    <x v="2"/>
    <x v="3"/>
    <n v="78"/>
    <x v="3"/>
    <x v="3"/>
    <n v="1872"/>
    <x v="713"/>
  </r>
  <r>
    <n v="4178"/>
    <x v="2029"/>
    <x v="1589"/>
    <s v="Miss"/>
    <s v="F"/>
    <n v="60"/>
    <s v="Somerset Estate"/>
    <x v="281"/>
    <x v="2"/>
    <d v="2020-03-13T00:00:00"/>
    <x v="2"/>
    <x v="5"/>
    <n v="71"/>
    <x v="0"/>
    <x v="0"/>
    <n v="1420"/>
    <x v="209"/>
  </r>
  <r>
    <n v="4179"/>
    <x v="2322"/>
    <x v="648"/>
    <s v="Miss"/>
    <s v="F"/>
    <n v="90"/>
    <s v="Somerset Road"/>
    <x v="948"/>
    <x v="2"/>
    <d v="2021-08-19T00:00:00"/>
    <x v="1"/>
    <x v="3"/>
    <n v="54"/>
    <x v="8"/>
    <x v="8"/>
    <n v="1080"/>
    <x v="712"/>
  </r>
  <r>
    <n v="4180"/>
    <x v="2381"/>
    <x v="1737"/>
    <s v="Mr"/>
    <s v="M"/>
    <n v="90"/>
    <s v="Somerset Street"/>
    <x v="572"/>
    <x v="41"/>
    <d v="2022-07-12T00:00:00"/>
    <x v="0"/>
    <x v="0"/>
    <n v="49"/>
    <x v="0"/>
    <x v="0"/>
    <n v="980"/>
    <x v="357"/>
  </r>
  <r>
    <n v="4181"/>
    <x v="2527"/>
    <x v="1507"/>
    <s v="Mrs"/>
    <s v="F"/>
    <n v="90"/>
    <s v="Somerville Road"/>
    <x v="384"/>
    <x v="1"/>
    <d v="2020-06-14T00:00:00"/>
    <x v="2"/>
    <x v="2"/>
    <n v="8"/>
    <x v="4"/>
    <x v="4"/>
    <n v="144"/>
    <x v="740"/>
  </r>
  <r>
    <n v="4182"/>
    <x v="1825"/>
    <x v="1458"/>
    <s v="Rev"/>
    <s v="M"/>
    <n v="30"/>
    <s v="Sounding Alley"/>
    <x v="209"/>
    <x v="1"/>
    <d v="2020-12-10T00:00:00"/>
    <x v="2"/>
    <x v="8"/>
    <n v="26"/>
    <x v="1"/>
    <x v="1"/>
    <n v="624"/>
    <x v="622"/>
  </r>
  <r>
    <n v="4183"/>
    <x v="2362"/>
    <x v="1323"/>
    <s v="Miss"/>
    <s v="F"/>
    <n v="30"/>
    <s v="South Africa"/>
    <x v="1185"/>
    <x v="16"/>
    <d v="2022-02-08T00:00:00"/>
    <x v="0"/>
    <x v="10"/>
    <n v="58"/>
    <x v="1"/>
    <x v="1"/>
    <n v="1392"/>
    <x v="280"/>
  </r>
  <r>
    <n v="4184"/>
    <x v="113"/>
    <x v="566"/>
    <s v="Mr"/>
    <s v="M"/>
    <n v="90"/>
    <s v="South Africa"/>
    <x v="603"/>
    <x v="2"/>
    <d v="2022-05-15T00:00:00"/>
    <x v="0"/>
    <x v="11"/>
    <n v="83"/>
    <x v="5"/>
    <x v="5"/>
    <n v="1992"/>
    <x v="686"/>
  </r>
  <r>
    <n v="4185"/>
    <x v="1923"/>
    <x v="1738"/>
    <s v="Mr"/>
    <s v="M"/>
    <n v="30"/>
    <s v="South Close"/>
    <x v="1025"/>
    <x v="2"/>
    <d v="2022-01-10T00:00:00"/>
    <x v="0"/>
    <x v="6"/>
    <n v="58"/>
    <x v="5"/>
    <x v="5"/>
    <n v="1392"/>
    <x v="831"/>
  </r>
  <r>
    <n v="4186"/>
    <x v="2528"/>
    <x v="673"/>
    <s v="Mrs"/>
    <s v="F"/>
    <n v="30"/>
    <s v="South Crescent"/>
    <x v="783"/>
    <x v="16"/>
    <d v="2021-05-18T00:00:00"/>
    <x v="1"/>
    <x v="11"/>
    <n v="44"/>
    <x v="0"/>
    <x v="0"/>
    <n v="880"/>
    <x v="529"/>
  </r>
  <r>
    <n v="4187"/>
    <x v="1187"/>
    <x v="878"/>
    <s v="Miss"/>
    <s v="F"/>
    <n v="30"/>
    <s v="South Elder"/>
    <x v="1131"/>
    <x v="21"/>
    <d v="2022-04-25T00:00:00"/>
    <x v="0"/>
    <x v="4"/>
    <n v="34"/>
    <x v="8"/>
    <x v="8"/>
    <n v="680"/>
    <x v="415"/>
  </r>
  <r>
    <n v="4188"/>
    <x v="2529"/>
    <x v="38"/>
    <s v="Mr"/>
    <s v="M"/>
    <n v="30"/>
    <s v="South Hill"/>
    <x v="11"/>
    <x v="7"/>
    <d v="2022-10-14T00:00:00"/>
    <x v="0"/>
    <x v="1"/>
    <n v="19"/>
    <x v="1"/>
    <x v="1"/>
    <n v="456"/>
    <x v="845"/>
  </r>
  <r>
    <n v="4189"/>
    <x v="2530"/>
    <x v="1160"/>
    <s v="Mr"/>
    <s v="M"/>
    <n v="90"/>
    <s v="South Molton"/>
    <x v="207"/>
    <x v="12"/>
    <d v="2020-09-08T00:00:00"/>
    <x v="2"/>
    <x v="9"/>
    <n v="44"/>
    <x v="6"/>
    <x v="6"/>
    <n v="1056"/>
    <x v="422"/>
  </r>
  <r>
    <n v="4190"/>
    <x v="1855"/>
    <x v="412"/>
    <s v="Mr"/>
    <s v="M"/>
    <n v="90"/>
    <s v="South Place"/>
    <x v="16"/>
    <x v="3"/>
    <d v="2021-12-02T00:00:00"/>
    <x v="1"/>
    <x v="8"/>
    <n v="22"/>
    <x v="8"/>
    <x v="8"/>
    <n v="440"/>
    <x v="259"/>
  </r>
  <r>
    <n v="4191"/>
    <x v="2226"/>
    <x v="1643"/>
    <s v="Mr"/>
    <s v="M"/>
    <n v="30"/>
    <s v="South Road"/>
    <x v="360"/>
    <x v="2"/>
    <d v="2021-05-03T00:00:00"/>
    <x v="1"/>
    <x v="11"/>
    <n v="69"/>
    <x v="2"/>
    <x v="2"/>
    <n v="1173"/>
    <x v="875"/>
  </r>
  <r>
    <n v="4192"/>
    <x v="2531"/>
    <x v="503"/>
    <s v="Mrs"/>
    <s v="F"/>
    <n v="60"/>
    <s v="South Tenter"/>
    <x v="205"/>
    <x v="16"/>
    <d v="2021-05-06T00:00:00"/>
    <x v="1"/>
    <x v="11"/>
    <n v="16"/>
    <x v="3"/>
    <x v="3"/>
    <n v="384"/>
    <x v="189"/>
  </r>
  <r>
    <n v="4193"/>
    <x v="1338"/>
    <x v="1712"/>
    <s v="Mr"/>
    <s v="M"/>
    <n v="30"/>
    <s v="South Tenter"/>
    <x v="946"/>
    <x v="2"/>
    <d v="2021-11-03T00:00:00"/>
    <x v="1"/>
    <x v="7"/>
    <n v="63"/>
    <x v="8"/>
    <x v="8"/>
    <n v="1260"/>
    <x v="435"/>
  </r>
  <r>
    <n v="4194"/>
    <x v="521"/>
    <x v="84"/>
    <s v="Mr"/>
    <s v="M"/>
    <n v="60"/>
    <s v="South Terrace"/>
    <x v="1179"/>
    <x v="16"/>
    <d v="2020-10-28T00:00:00"/>
    <x v="2"/>
    <x v="1"/>
    <n v="69"/>
    <x v="4"/>
    <x v="4"/>
    <n v="1242"/>
    <x v="906"/>
  </r>
  <r>
    <n v="4195"/>
    <x v="2532"/>
    <x v="416"/>
    <s v="Ms"/>
    <s v="F"/>
    <n v="90"/>
    <s v="Southampton Mews"/>
    <x v="232"/>
    <x v="1"/>
    <d v="2021-03-15T00:00:00"/>
    <x v="1"/>
    <x v="5"/>
    <n v="30"/>
    <x v="9"/>
    <x v="9"/>
    <n v="720"/>
    <x v="886"/>
  </r>
  <r>
    <n v="4196"/>
    <x v="2287"/>
    <x v="1711"/>
    <s v="Mr"/>
    <s v="M"/>
    <n v="60"/>
    <s v="Southampton Place"/>
    <x v="72"/>
    <x v="16"/>
    <d v="2021-10-11T00:00:00"/>
    <x v="1"/>
    <x v="1"/>
    <n v="31"/>
    <x v="3"/>
    <x v="3"/>
    <n v="744"/>
    <x v="53"/>
  </r>
  <r>
    <n v="4197"/>
    <x v="524"/>
    <x v="1324"/>
    <s v="Miss"/>
    <s v="F"/>
    <n v="30"/>
    <s v="Southborough Terrace"/>
    <x v="1085"/>
    <x v="2"/>
    <d v="2022-01-31T00:00:00"/>
    <x v="0"/>
    <x v="6"/>
    <n v="85"/>
    <x v="0"/>
    <x v="0"/>
    <n v="1700"/>
    <x v="918"/>
  </r>
  <r>
    <n v="4198"/>
    <x v="2533"/>
    <x v="1124"/>
    <s v="Miss"/>
    <s v="F"/>
    <n v="90"/>
    <s v="Southbrook Road"/>
    <x v="528"/>
    <x v="21"/>
    <d v="2021-02-07T00:00:00"/>
    <x v="1"/>
    <x v="10"/>
    <n v="74"/>
    <x v="2"/>
    <x v="2"/>
    <n v="1258"/>
    <x v="965"/>
  </r>
  <r>
    <n v="4199"/>
    <x v="2267"/>
    <x v="1390"/>
    <s v="Mr"/>
    <s v="M"/>
    <n v="90"/>
    <s v="Southdown Drive"/>
    <x v="281"/>
    <x v="2"/>
    <d v="2021-08-04T00:00:00"/>
    <x v="1"/>
    <x v="3"/>
    <n v="53"/>
    <x v="0"/>
    <x v="0"/>
    <n v="1060"/>
    <x v="200"/>
  </r>
  <r>
    <n v="4200"/>
    <x v="596"/>
    <x v="636"/>
    <s v="Mr"/>
    <s v="M"/>
    <n v="30"/>
    <s v="Southern Road"/>
    <x v="920"/>
    <x v="21"/>
    <d v="2021-03-27T00:00:00"/>
    <x v="1"/>
    <x v="5"/>
    <n v="15"/>
    <x v="5"/>
    <x v="5"/>
    <n v="360"/>
    <x v="447"/>
  </r>
  <r>
    <n v="4201"/>
    <x v="1364"/>
    <x v="850"/>
    <s v="Mrs"/>
    <s v="F"/>
    <n v="90"/>
    <s v="Southern Row"/>
    <x v="206"/>
    <x v="2"/>
    <d v="2022-10-18T00:00:00"/>
    <x v="0"/>
    <x v="1"/>
    <n v="7"/>
    <x v="3"/>
    <x v="3"/>
    <n v="168"/>
    <x v="33"/>
  </r>
  <r>
    <n v="4202"/>
    <x v="159"/>
    <x v="513"/>
    <s v="Mr"/>
    <s v="M"/>
    <n v="90"/>
    <s v="Southmoor Way"/>
    <x v="1038"/>
    <x v="2"/>
    <d v="2021-10-01T00:00:00"/>
    <x v="1"/>
    <x v="1"/>
    <n v="2"/>
    <x v="5"/>
    <x v="5"/>
    <n v="48"/>
    <x v="320"/>
  </r>
  <r>
    <n v="4203"/>
    <x v="21"/>
    <x v="322"/>
    <s v="Mr"/>
    <s v="M"/>
    <n v="30"/>
    <s v="Southover"/>
    <x v="1090"/>
    <x v="21"/>
    <d v="2021-05-10T00:00:00"/>
    <x v="1"/>
    <x v="11"/>
    <n v="5"/>
    <x v="4"/>
    <x v="4"/>
    <n v="90"/>
    <x v="10"/>
  </r>
  <r>
    <n v="4204"/>
    <x v="2534"/>
    <x v="1738"/>
    <s v="Mr"/>
    <s v="M"/>
    <n v="90"/>
    <s v="Southridge Place"/>
    <x v="1006"/>
    <x v="44"/>
    <d v="2022-09-23T00:00:00"/>
    <x v="0"/>
    <x v="9"/>
    <n v="45"/>
    <x v="9"/>
    <x v="9"/>
    <n v="1080"/>
    <x v="814"/>
  </r>
  <r>
    <n v="4205"/>
    <x v="895"/>
    <x v="1739"/>
    <s v="Mr"/>
    <s v="M"/>
    <n v="90"/>
    <s v="Southwick Yard"/>
    <x v="232"/>
    <x v="1"/>
    <d v="2021-07-04T00:00:00"/>
    <x v="1"/>
    <x v="0"/>
    <n v="32"/>
    <x v="5"/>
    <x v="5"/>
    <n v="768"/>
    <x v="943"/>
  </r>
  <r>
    <n v="4206"/>
    <x v="2535"/>
    <x v="359"/>
    <s v="Miss"/>
    <s v="F"/>
    <n v="30"/>
    <s v="Southwold Road"/>
    <x v="266"/>
    <x v="44"/>
    <d v="2020-10-04T00:00:00"/>
    <x v="2"/>
    <x v="1"/>
    <n v="70"/>
    <x v="1"/>
    <x v="1"/>
    <n v="1680"/>
    <x v="561"/>
  </r>
  <r>
    <n v="4207"/>
    <x v="547"/>
    <x v="1001"/>
    <s v="Mr"/>
    <s v="M"/>
    <n v="90"/>
    <s v="Spa Terrace"/>
    <x v="706"/>
    <x v="2"/>
    <d v="2021-08-21T00:00:00"/>
    <x v="1"/>
    <x v="3"/>
    <n v="26"/>
    <x v="2"/>
    <x v="2"/>
    <n v="442"/>
    <x v="723"/>
  </r>
  <r>
    <n v="4208"/>
    <x v="2536"/>
    <x v="914"/>
    <s v="Mrs"/>
    <s v="F"/>
    <n v="60"/>
    <s v="Spalding Road"/>
    <x v="1212"/>
    <x v="12"/>
    <d v="2021-07-14T00:00:00"/>
    <x v="1"/>
    <x v="0"/>
    <n v="88"/>
    <x v="4"/>
    <x v="4"/>
    <n v="1584"/>
    <x v="812"/>
  </r>
  <r>
    <n v="4209"/>
    <x v="1998"/>
    <x v="1012"/>
    <s v="Mrs"/>
    <s v="F"/>
    <n v="30"/>
    <s v="Spaniards Close"/>
    <x v="670"/>
    <x v="10"/>
    <d v="2022-06-05T00:00:00"/>
    <x v="0"/>
    <x v="2"/>
    <n v="75"/>
    <x v="6"/>
    <x v="6"/>
    <n v="1800"/>
    <x v="623"/>
  </r>
  <r>
    <n v="4210"/>
    <x v="848"/>
    <x v="530"/>
    <s v="Mr"/>
    <s v="M"/>
    <n v="60"/>
    <s v="Spanish Close"/>
    <x v="872"/>
    <x v="1"/>
    <d v="2021-02-27T00:00:00"/>
    <x v="1"/>
    <x v="10"/>
    <n v="82"/>
    <x v="7"/>
    <x v="7"/>
    <n v="1640"/>
    <x v="252"/>
  </r>
  <r>
    <n v="4211"/>
    <x v="2083"/>
    <x v="10"/>
    <s v="Mr"/>
    <s v="M"/>
    <n v="30"/>
    <s v="Sparrows Row"/>
    <x v="186"/>
    <x v="33"/>
    <d v="2022-06-05T00:00:00"/>
    <x v="0"/>
    <x v="2"/>
    <n v="43"/>
    <x v="9"/>
    <x v="9"/>
    <n v="1032"/>
    <x v="840"/>
  </r>
  <r>
    <n v="4212"/>
    <x v="1201"/>
    <x v="1258"/>
    <s v="Miss"/>
    <s v="F"/>
    <n v="60"/>
    <s v="Sparta Street"/>
    <x v="142"/>
    <x v="21"/>
    <d v="2021-05-18T00:00:00"/>
    <x v="1"/>
    <x v="11"/>
    <n v="45"/>
    <x v="0"/>
    <x v="0"/>
    <n v="900"/>
    <x v="761"/>
  </r>
  <r>
    <n v="4213"/>
    <x v="1607"/>
    <x v="979"/>
    <s v="Mr"/>
    <s v="M"/>
    <n v="60"/>
    <s v="Spence Close"/>
    <x v="1241"/>
    <x v="15"/>
    <d v="2020-05-08T00:00:00"/>
    <x v="2"/>
    <x v="11"/>
    <n v="82"/>
    <x v="9"/>
    <x v="9"/>
    <n v="1968"/>
    <x v="758"/>
  </r>
  <r>
    <n v="4214"/>
    <x v="46"/>
    <x v="980"/>
    <s v="Mr"/>
    <s v="M"/>
    <n v="90"/>
    <s v="Spezia Road"/>
    <x v="282"/>
    <x v="2"/>
    <d v="2021-09-09T00:00:00"/>
    <x v="1"/>
    <x v="9"/>
    <n v="62"/>
    <x v="6"/>
    <x v="6"/>
    <n v="1488"/>
    <x v="343"/>
  </r>
  <r>
    <n v="4215"/>
    <x v="32"/>
    <x v="70"/>
    <s v="Mr"/>
    <s v="M"/>
    <n v="90"/>
    <s v="Spindrift Avenue"/>
    <x v="281"/>
    <x v="2"/>
    <d v="2020-09-15T00:00:00"/>
    <x v="2"/>
    <x v="9"/>
    <n v="6"/>
    <x v="5"/>
    <x v="5"/>
    <n v="144"/>
    <x v="212"/>
  </r>
  <r>
    <n v="4216"/>
    <x v="1352"/>
    <x v="901"/>
    <s v="Mr"/>
    <s v="M"/>
    <n v="90"/>
    <s v="Spirit Quay"/>
    <x v="759"/>
    <x v="27"/>
    <d v="2020-10-08T00:00:00"/>
    <x v="2"/>
    <x v="1"/>
    <n v="72"/>
    <x v="3"/>
    <x v="3"/>
    <n v="1728"/>
    <x v="173"/>
  </r>
  <r>
    <n v="4217"/>
    <x v="2537"/>
    <x v="1332"/>
    <s v="Mrs"/>
    <s v="F"/>
    <n v="90"/>
    <s v="Splendour Walk"/>
    <x v="1210"/>
    <x v="2"/>
    <d v="2020-04-15T00:00:00"/>
    <x v="2"/>
    <x v="4"/>
    <n v="75"/>
    <x v="9"/>
    <x v="9"/>
    <n v="1800"/>
    <x v="146"/>
  </r>
  <r>
    <n v="4218"/>
    <x v="1607"/>
    <x v="220"/>
    <s v="Ms"/>
    <s v="F"/>
    <n v="90"/>
    <s v="Spondon Villas"/>
    <x v="1101"/>
    <x v="2"/>
    <d v="2020-10-23T00:00:00"/>
    <x v="2"/>
    <x v="1"/>
    <n v="9"/>
    <x v="4"/>
    <x v="4"/>
    <n v="162"/>
    <x v="890"/>
  </r>
  <r>
    <n v="4219"/>
    <x v="547"/>
    <x v="1212"/>
    <s v="Mr"/>
    <s v="M"/>
    <n v="60"/>
    <s v="Spring Row"/>
    <x v="350"/>
    <x v="2"/>
    <d v="2022-04-04T00:00:00"/>
    <x v="0"/>
    <x v="4"/>
    <n v="99"/>
    <x v="2"/>
    <x v="2"/>
    <n v="1683"/>
    <x v="616"/>
  </r>
  <r>
    <n v="4220"/>
    <x v="2538"/>
    <x v="1045"/>
    <s v="Mrs"/>
    <s v="F"/>
    <n v="60"/>
    <s v="Spring Street"/>
    <x v="742"/>
    <x v="1"/>
    <d v="2020-09-29T00:00:00"/>
    <x v="2"/>
    <x v="9"/>
    <n v="3"/>
    <x v="4"/>
    <x v="4"/>
    <n v="54"/>
    <x v="368"/>
  </r>
  <r>
    <n v="4221"/>
    <x v="1313"/>
    <x v="1653"/>
    <s v="Miss"/>
    <s v="F"/>
    <n v="90"/>
    <s v="Springfield Road"/>
    <x v="1288"/>
    <x v="2"/>
    <d v="2021-01-10T00:00:00"/>
    <x v="1"/>
    <x v="6"/>
    <n v="17"/>
    <x v="8"/>
    <x v="8"/>
    <n v="340"/>
    <x v="669"/>
  </r>
  <r>
    <n v="4222"/>
    <x v="2539"/>
    <x v="1661"/>
    <s v="Mrs"/>
    <s v="F"/>
    <n v="30"/>
    <s v="Springfield Walk"/>
    <x v="901"/>
    <x v="3"/>
    <d v="2020-02-09T00:00:00"/>
    <x v="2"/>
    <x v="10"/>
    <n v="53"/>
    <x v="8"/>
    <x v="8"/>
    <n v="1060"/>
    <x v="597"/>
  </r>
  <r>
    <n v="4223"/>
    <x v="2540"/>
    <x v="1740"/>
    <s v="Miss"/>
    <s v="F"/>
    <n v="60"/>
    <s v="Spur Road"/>
    <x v="897"/>
    <x v="7"/>
    <d v="2021-07-06T00:00:00"/>
    <x v="1"/>
    <x v="0"/>
    <n v="32"/>
    <x v="4"/>
    <x v="4"/>
    <n v="576"/>
    <x v="58"/>
  </r>
  <r>
    <n v="4224"/>
    <x v="2541"/>
    <x v="1182"/>
    <s v="Dr"/>
    <s v="F"/>
    <n v="90"/>
    <s v="Squirrels Close"/>
    <x v="418"/>
    <x v="21"/>
    <d v="2020-12-15T00:00:00"/>
    <x v="2"/>
    <x v="8"/>
    <n v="41"/>
    <x v="8"/>
    <x v="8"/>
    <n v="820"/>
    <x v="232"/>
  </r>
  <r>
    <n v="4225"/>
    <x v="640"/>
    <x v="410"/>
    <s v="Mr"/>
    <s v="M"/>
    <n v="90"/>
    <s v="St Albans"/>
    <x v="383"/>
    <x v="2"/>
    <d v="2022-04-04T00:00:00"/>
    <x v="0"/>
    <x v="4"/>
    <n v="37"/>
    <x v="1"/>
    <x v="1"/>
    <n v="888"/>
    <x v="677"/>
  </r>
  <r>
    <n v="4226"/>
    <x v="2542"/>
    <x v="575"/>
    <s v="Miss"/>
    <s v="F"/>
    <n v="90"/>
    <s v="St Albans'S"/>
    <x v="735"/>
    <x v="2"/>
    <d v="2021-04-11T00:00:00"/>
    <x v="1"/>
    <x v="4"/>
    <n v="13"/>
    <x v="4"/>
    <x v="4"/>
    <n v="234"/>
    <x v="143"/>
  </r>
  <r>
    <n v="4227"/>
    <x v="2336"/>
    <x v="896"/>
    <s v="Dr"/>
    <s v="M"/>
    <n v="60"/>
    <s v="St Alphege"/>
    <x v="724"/>
    <x v="8"/>
    <d v="2020-02-28T00:00:00"/>
    <x v="2"/>
    <x v="10"/>
    <n v="42"/>
    <x v="9"/>
    <x v="9"/>
    <n v="1008"/>
    <x v="433"/>
  </r>
  <r>
    <n v="4228"/>
    <x v="1153"/>
    <x v="376"/>
    <s v="Mr"/>
    <s v="M"/>
    <n v="90"/>
    <s v="St Antonys"/>
    <x v="173"/>
    <x v="2"/>
    <d v="2021-02-07T00:00:00"/>
    <x v="1"/>
    <x v="10"/>
    <n v="73"/>
    <x v="4"/>
    <x v="4"/>
    <n v="1314"/>
    <x v="520"/>
  </r>
  <r>
    <n v="4229"/>
    <x v="1210"/>
    <x v="1267"/>
    <s v="Mr"/>
    <s v="M"/>
    <n v="30"/>
    <s v="St Austell"/>
    <x v="125"/>
    <x v="17"/>
    <d v="2021-07-12T00:00:00"/>
    <x v="1"/>
    <x v="0"/>
    <n v="19"/>
    <x v="4"/>
    <x v="4"/>
    <n v="342"/>
    <x v="926"/>
  </r>
  <r>
    <n v="4230"/>
    <x v="734"/>
    <x v="1501"/>
    <s v="Mr"/>
    <s v="M"/>
    <n v="90"/>
    <s v="St Benet"/>
    <x v="29"/>
    <x v="15"/>
    <d v="2021-12-12T00:00:00"/>
    <x v="1"/>
    <x v="8"/>
    <n v="7"/>
    <x v="0"/>
    <x v="0"/>
    <n v="140"/>
    <x v="522"/>
  </r>
  <r>
    <n v="4231"/>
    <x v="1419"/>
    <x v="1496"/>
    <s v="Mrs"/>
    <s v="F"/>
    <n v="30"/>
    <s v="St Ermins"/>
    <x v="1289"/>
    <x v="2"/>
    <d v="2021-08-19T00:00:00"/>
    <x v="1"/>
    <x v="3"/>
    <n v="6"/>
    <x v="0"/>
    <x v="0"/>
    <n v="120"/>
    <x v="42"/>
  </r>
  <r>
    <n v="4232"/>
    <x v="2543"/>
    <x v="434"/>
    <s v="Miss"/>
    <s v="F"/>
    <n v="90"/>
    <s v="St Ewen'S"/>
    <x v="782"/>
    <x v="11"/>
    <d v="2021-10-20T00:00:00"/>
    <x v="1"/>
    <x v="1"/>
    <n v="71"/>
    <x v="4"/>
    <x v="4"/>
    <n v="1278"/>
    <x v="265"/>
  </r>
  <r>
    <n v="4233"/>
    <x v="311"/>
    <x v="1622"/>
    <s v="Mr"/>
    <s v="M"/>
    <n v="90"/>
    <s v="St Fillan'S"/>
    <x v="1028"/>
    <x v="2"/>
    <d v="2021-11-21T00:00:00"/>
    <x v="1"/>
    <x v="7"/>
    <n v="88"/>
    <x v="8"/>
    <x v="8"/>
    <n v="1760"/>
    <x v="995"/>
  </r>
  <r>
    <n v="4234"/>
    <x v="249"/>
    <x v="503"/>
    <s v="Mr"/>
    <s v="M"/>
    <n v="30"/>
    <s v="St Gabriels"/>
    <x v="987"/>
    <x v="2"/>
    <d v="2020-12-09T00:00:00"/>
    <x v="2"/>
    <x v="8"/>
    <n v="72"/>
    <x v="6"/>
    <x v="6"/>
    <n v="1728"/>
    <x v="249"/>
  </r>
  <r>
    <n v="4235"/>
    <x v="2544"/>
    <x v="218"/>
    <s v="Mr"/>
    <s v="M"/>
    <n v="90"/>
    <s v="St Goar"/>
    <x v="1035"/>
    <x v="3"/>
    <d v="2021-08-28T00:00:00"/>
    <x v="1"/>
    <x v="3"/>
    <n v="74"/>
    <x v="2"/>
    <x v="2"/>
    <n v="1258"/>
    <x v="965"/>
  </r>
  <r>
    <n v="4236"/>
    <x v="383"/>
    <x v="1741"/>
    <s v="Mr"/>
    <s v="M"/>
    <n v="30"/>
    <s v="St Goar"/>
    <x v="1210"/>
    <x v="2"/>
    <d v="2020-11-22T00:00:00"/>
    <x v="2"/>
    <x v="7"/>
    <n v="78"/>
    <x v="4"/>
    <x v="4"/>
    <n v="1404"/>
    <x v="694"/>
  </r>
  <r>
    <n v="4237"/>
    <x v="1511"/>
    <x v="287"/>
    <s v="Mr"/>
    <s v="M"/>
    <n v="30"/>
    <s v="St James'"/>
    <x v="170"/>
    <x v="1"/>
    <d v="2020-12-10T00:00:00"/>
    <x v="2"/>
    <x v="8"/>
    <n v="73"/>
    <x v="6"/>
    <x v="6"/>
    <n v="1752"/>
    <x v="164"/>
  </r>
  <r>
    <n v="4238"/>
    <x v="2545"/>
    <x v="1529"/>
    <s v="Mr"/>
    <s v="M"/>
    <n v="90"/>
    <s v="St John"/>
    <x v="635"/>
    <x v="3"/>
    <d v="2022-09-19T00:00:00"/>
    <x v="0"/>
    <x v="9"/>
    <n v="21"/>
    <x v="5"/>
    <x v="5"/>
    <n v="504"/>
    <x v="568"/>
  </r>
  <r>
    <n v="4239"/>
    <x v="1241"/>
    <x v="871"/>
    <s v="Mrs"/>
    <s v="F"/>
    <n v="30"/>
    <s v="St Louis"/>
    <x v="39"/>
    <x v="11"/>
    <d v="2021-08-28T00:00:00"/>
    <x v="1"/>
    <x v="3"/>
    <n v="34"/>
    <x v="4"/>
    <x v="4"/>
    <n v="612"/>
    <x v="503"/>
  </r>
  <r>
    <n v="4240"/>
    <x v="1654"/>
    <x v="329"/>
    <s v="Rev"/>
    <s v="M"/>
    <n v="90"/>
    <s v="St Loys"/>
    <x v="85"/>
    <x v="1"/>
    <d v="2020-05-31T00:00:00"/>
    <x v="2"/>
    <x v="11"/>
    <n v="30"/>
    <x v="2"/>
    <x v="2"/>
    <n v="510"/>
    <x v="545"/>
  </r>
  <r>
    <n v="4241"/>
    <x v="916"/>
    <x v="1047"/>
    <s v="Mr"/>
    <s v="M"/>
    <n v="30"/>
    <s v="St Marks"/>
    <x v="218"/>
    <x v="21"/>
    <d v="2022-06-17T00:00:00"/>
    <x v="0"/>
    <x v="2"/>
    <n v="95"/>
    <x v="9"/>
    <x v="9"/>
    <n v="2280"/>
    <x v="701"/>
  </r>
  <r>
    <n v="4242"/>
    <x v="2546"/>
    <x v="1176"/>
    <s v="Mrs"/>
    <s v="F"/>
    <n v="60"/>
    <s v="St Martin"/>
    <x v="843"/>
    <x v="2"/>
    <d v="2020-01-26T00:00:00"/>
    <x v="2"/>
    <x v="6"/>
    <n v="47"/>
    <x v="4"/>
    <x v="4"/>
    <n v="846"/>
    <x v="78"/>
  </r>
  <r>
    <n v="4243"/>
    <x v="1456"/>
    <x v="405"/>
    <s v="Mr"/>
    <s v="M"/>
    <n v="30"/>
    <s v="St Nicholas"/>
    <x v="903"/>
    <x v="2"/>
    <d v="2022-03-22T00:00:00"/>
    <x v="0"/>
    <x v="5"/>
    <n v="100"/>
    <x v="5"/>
    <x v="5"/>
    <n v="2400"/>
    <x v="861"/>
  </r>
  <r>
    <n v="4244"/>
    <x v="866"/>
    <x v="68"/>
    <s v="Mr"/>
    <s v="M"/>
    <n v="30"/>
    <s v="St Olives"/>
    <x v="142"/>
    <x v="21"/>
    <d v="2020-03-07T00:00:00"/>
    <x v="2"/>
    <x v="5"/>
    <n v="55"/>
    <x v="2"/>
    <x v="2"/>
    <n v="935"/>
    <x v="773"/>
  </r>
  <r>
    <n v="4245"/>
    <x v="2547"/>
    <x v="1742"/>
    <s v="Miss"/>
    <s v="F"/>
    <n v="30"/>
    <s v="St Oswalds"/>
    <x v="234"/>
    <x v="2"/>
    <d v="2022-06-06T00:00:00"/>
    <x v="0"/>
    <x v="2"/>
    <n v="3"/>
    <x v="8"/>
    <x v="8"/>
    <n v="60"/>
    <x v="863"/>
  </r>
  <r>
    <n v="4246"/>
    <x v="2548"/>
    <x v="515"/>
    <s v="Miss"/>
    <s v="F"/>
    <n v="90"/>
    <s v="St Paul'S"/>
    <x v="674"/>
    <x v="15"/>
    <d v="2020-06-26T00:00:00"/>
    <x v="2"/>
    <x v="2"/>
    <n v="80"/>
    <x v="1"/>
    <x v="1"/>
    <n v="1920"/>
    <x v="956"/>
  </r>
  <r>
    <n v="4247"/>
    <x v="2549"/>
    <x v="1390"/>
    <s v="Prof"/>
    <s v="M"/>
    <n v="60"/>
    <s v="St Silas"/>
    <x v="721"/>
    <x v="11"/>
    <d v="2022-08-13T00:00:00"/>
    <x v="0"/>
    <x v="3"/>
    <n v="33"/>
    <x v="7"/>
    <x v="7"/>
    <n v="660"/>
    <x v="242"/>
  </r>
  <r>
    <n v="4248"/>
    <x v="1331"/>
    <x v="65"/>
    <s v="Mr"/>
    <s v="M"/>
    <n v="90"/>
    <s v="St Thomas'S"/>
    <x v="662"/>
    <x v="39"/>
    <d v="2021-06-20T00:00:00"/>
    <x v="1"/>
    <x v="2"/>
    <n v="34"/>
    <x v="3"/>
    <x v="3"/>
    <n v="816"/>
    <x v="464"/>
  </r>
  <r>
    <n v="4249"/>
    <x v="2550"/>
    <x v="1188"/>
    <s v="Miss"/>
    <s v="F"/>
    <n v="30"/>
    <s v="Stables"/>
    <x v="1290"/>
    <x v="2"/>
    <d v="2021-11-29T00:00:00"/>
    <x v="1"/>
    <x v="7"/>
    <n v="77"/>
    <x v="5"/>
    <x v="5"/>
    <n v="1848"/>
    <x v="283"/>
  </r>
  <r>
    <n v="4250"/>
    <x v="1866"/>
    <x v="51"/>
    <s v="Mrs"/>
    <s v="F"/>
    <n v="60"/>
    <s v="Stables"/>
    <x v="1040"/>
    <x v="2"/>
    <d v="2022-09-17T00:00:00"/>
    <x v="0"/>
    <x v="9"/>
    <n v="32"/>
    <x v="3"/>
    <x v="3"/>
    <n v="768"/>
    <x v="282"/>
  </r>
  <r>
    <n v="4251"/>
    <x v="1809"/>
    <x v="22"/>
    <s v="Miss"/>
    <s v="F"/>
    <n v="60"/>
    <s v="Staces Terrace"/>
    <x v="781"/>
    <x v="2"/>
    <d v="2020-08-19T00:00:00"/>
    <x v="2"/>
    <x v="3"/>
    <n v="52"/>
    <x v="3"/>
    <x v="3"/>
    <n v="1248"/>
    <x v="240"/>
  </r>
  <r>
    <n v="4252"/>
    <x v="1799"/>
    <x v="1051"/>
    <s v="Miss"/>
    <s v="F"/>
    <n v="30"/>
    <s v="Stafford Street"/>
    <x v="1291"/>
    <x v="65"/>
    <d v="2021-04-10T00:00:00"/>
    <x v="1"/>
    <x v="4"/>
    <n v="86"/>
    <x v="4"/>
    <x v="4"/>
    <n v="1548"/>
    <x v="787"/>
  </r>
  <r>
    <n v="4253"/>
    <x v="38"/>
    <x v="216"/>
    <s v="Mr"/>
    <s v="M"/>
    <n v="90"/>
    <s v="Stamford Grove"/>
    <x v="433"/>
    <x v="2"/>
    <d v="2022-09-02T00:00:00"/>
    <x v="0"/>
    <x v="9"/>
    <n v="34"/>
    <x v="6"/>
    <x v="6"/>
    <n v="816"/>
    <x v="615"/>
  </r>
  <r>
    <n v="4254"/>
    <x v="2551"/>
    <x v="1331"/>
    <s v="Mrs"/>
    <s v="F"/>
    <n v="90"/>
    <s v="Stamp Place"/>
    <x v="1165"/>
    <x v="67"/>
    <d v="2021-12-22T00:00:00"/>
    <x v="1"/>
    <x v="8"/>
    <n v="11"/>
    <x v="3"/>
    <x v="3"/>
    <n v="264"/>
    <x v="80"/>
  </r>
  <r>
    <n v="4255"/>
    <x v="2552"/>
    <x v="1614"/>
    <s v="Mrs"/>
    <s v="F"/>
    <n v="90"/>
    <s v="Stanard Close"/>
    <x v="912"/>
    <x v="2"/>
    <d v="2021-03-11T00:00:00"/>
    <x v="1"/>
    <x v="5"/>
    <n v="40"/>
    <x v="1"/>
    <x v="1"/>
    <n v="960"/>
    <x v="548"/>
  </r>
  <r>
    <n v="4256"/>
    <x v="2553"/>
    <x v="1743"/>
    <s v="Miss"/>
    <s v="F"/>
    <n v="90"/>
    <s v="Stanbridge Road"/>
    <x v="1176"/>
    <x v="17"/>
    <d v="2022-07-02T00:00:00"/>
    <x v="0"/>
    <x v="0"/>
    <n v="35"/>
    <x v="6"/>
    <x v="6"/>
    <n v="840"/>
    <x v="510"/>
  </r>
  <r>
    <n v="4257"/>
    <x v="603"/>
    <x v="1723"/>
    <s v="Mr"/>
    <s v="M"/>
    <n v="30"/>
    <s v="Stanhope Row"/>
    <x v="458"/>
    <x v="21"/>
    <d v="2020-06-06T00:00:00"/>
    <x v="2"/>
    <x v="2"/>
    <n v="59"/>
    <x v="9"/>
    <x v="9"/>
    <n v="1416"/>
    <x v="62"/>
  </r>
  <r>
    <n v="4258"/>
    <x v="565"/>
    <x v="958"/>
    <s v="Mrs"/>
    <s v="F"/>
    <n v="90"/>
    <s v="Stanhope Villas"/>
    <x v="36"/>
    <x v="2"/>
    <d v="2021-10-11T00:00:00"/>
    <x v="1"/>
    <x v="1"/>
    <n v="23"/>
    <x v="1"/>
    <x v="1"/>
    <n v="552"/>
    <x v="769"/>
  </r>
  <r>
    <n v="4259"/>
    <x v="2554"/>
    <x v="1744"/>
    <s v="Mrs"/>
    <s v="F"/>
    <n v="60"/>
    <s v="Stanlake Villas"/>
    <x v="1171"/>
    <x v="2"/>
    <d v="2021-02-17T00:00:00"/>
    <x v="1"/>
    <x v="10"/>
    <n v="68"/>
    <x v="0"/>
    <x v="0"/>
    <n v="1360"/>
    <x v="271"/>
  </r>
  <r>
    <n v="4260"/>
    <x v="101"/>
    <x v="1723"/>
    <s v="Miss"/>
    <s v="F"/>
    <n v="90"/>
    <s v="Stannard Road"/>
    <x v="146"/>
    <x v="2"/>
    <d v="2021-05-25T00:00:00"/>
    <x v="1"/>
    <x v="11"/>
    <n v="89"/>
    <x v="4"/>
    <x v="4"/>
    <n v="1602"/>
    <x v="923"/>
  </r>
  <r>
    <n v="4261"/>
    <x v="2555"/>
    <x v="1353"/>
    <s v="Miss"/>
    <s v="F"/>
    <n v="30"/>
    <s v="Stanstead Grove"/>
    <x v="428"/>
    <x v="2"/>
    <d v="2021-07-16T00:00:00"/>
    <x v="1"/>
    <x v="0"/>
    <n v="64"/>
    <x v="1"/>
    <x v="1"/>
    <n v="1536"/>
    <x v="366"/>
  </r>
  <r>
    <n v="4262"/>
    <x v="2349"/>
    <x v="1191"/>
    <s v="Miss"/>
    <s v="F"/>
    <n v="30"/>
    <s v="Staple Court"/>
    <x v="775"/>
    <x v="15"/>
    <d v="2021-08-02T00:00:00"/>
    <x v="1"/>
    <x v="3"/>
    <n v="75"/>
    <x v="8"/>
    <x v="8"/>
    <n v="1500"/>
    <x v="133"/>
  </r>
  <r>
    <n v="4263"/>
    <x v="2556"/>
    <x v="771"/>
    <s v="Mrs"/>
    <s v="F"/>
    <n v="60"/>
    <s v="Staple Inn"/>
    <x v="354"/>
    <x v="2"/>
    <d v="2021-02-08T00:00:00"/>
    <x v="1"/>
    <x v="10"/>
    <n v="61"/>
    <x v="3"/>
    <x v="3"/>
    <n v="1464"/>
    <x v="585"/>
  </r>
  <r>
    <n v="4264"/>
    <x v="2557"/>
    <x v="1449"/>
    <s v="Mr"/>
    <s v="M"/>
    <n v="30"/>
    <s v="Staple Street"/>
    <x v="234"/>
    <x v="2"/>
    <d v="2020-07-02T00:00:00"/>
    <x v="2"/>
    <x v="0"/>
    <n v="57"/>
    <x v="2"/>
    <x v="2"/>
    <n v="969"/>
    <x v="489"/>
  </r>
  <r>
    <n v="4265"/>
    <x v="2558"/>
    <x v="409"/>
    <s v="Mr"/>
    <s v="M"/>
    <n v="30"/>
    <s v="Staplehurst Road"/>
    <x v="395"/>
    <x v="2"/>
    <d v="2021-09-29T00:00:00"/>
    <x v="1"/>
    <x v="9"/>
    <n v="41"/>
    <x v="8"/>
    <x v="8"/>
    <n v="820"/>
    <x v="232"/>
  </r>
  <r>
    <n v="4266"/>
    <x v="279"/>
    <x v="1161"/>
    <s v="Mr"/>
    <s v="M"/>
    <n v="60"/>
    <s v="Staples Corner"/>
    <x v="1018"/>
    <x v="20"/>
    <d v="2022-07-08T00:00:00"/>
    <x v="0"/>
    <x v="0"/>
    <n v="55"/>
    <x v="7"/>
    <x v="7"/>
    <n v="1100"/>
    <x v="216"/>
  </r>
  <r>
    <n v="4267"/>
    <x v="2559"/>
    <x v="1481"/>
    <s v="Mrs"/>
    <s v="F"/>
    <n v="90"/>
    <s v="Star Alley"/>
    <x v="1138"/>
    <x v="3"/>
    <d v="2021-06-28T00:00:00"/>
    <x v="1"/>
    <x v="2"/>
    <n v="78"/>
    <x v="0"/>
    <x v="0"/>
    <n v="1560"/>
    <x v="643"/>
  </r>
  <r>
    <n v="4268"/>
    <x v="715"/>
    <x v="149"/>
    <s v="Mrs"/>
    <s v="F"/>
    <n v="90"/>
    <s v="Star Of"/>
    <x v="1292"/>
    <x v="53"/>
    <d v="2020-01-02T00:00:00"/>
    <x v="2"/>
    <x v="6"/>
    <n v="21"/>
    <x v="8"/>
    <x v="8"/>
    <n v="420"/>
    <x v="549"/>
  </r>
  <r>
    <n v="4269"/>
    <x v="2560"/>
    <x v="1411"/>
    <s v="Mrs"/>
    <s v="F"/>
    <n v="30"/>
    <s v="Star Yard"/>
    <x v="523"/>
    <x v="16"/>
    <d v="2021-05-27T00:00:00"/>
    <x v="1"/>
    <x v="11"/>
    <n v="55"/>
    <x v="4"/>
    <x v="4"/>
    <n v="990"/>
    <x v="638"/>
  </r>
  <r>
    <n v="4270"/>
    <x v="2561"/>
    <x v="1481"/>
    <s v="Miss"/>
    <s v="F"/>
    <n v="30"/>
    <s v="Starfield Road"/>
    <x v="325"/>
    <x v="0"/>
    <d v="2021-03-07T00:00:00"/>
    <x v="1"/>
    <x v="5"/>
    <n v="28"/>
    <x v="2"/>
    <x v="2"/>
    <n v="476"/>
    <x v="194"/>
  </r>
  <r>
    <n v="4271"/>
    <x v="2562"/>
    <x v="370"/>
    <s v="Miss"/>
    <s v="F"/>
    <n v="60"/>
    <s v="States(?) Court"/>
    <x v="285"/>
    <x v="2"/>
    <d v="2020-06-09T00:00:00"/>
    <x v="2"/>
    <x v="2"/>
    <n v="40"/>
    <x v="7"/>
    <x v="7"/>
    <n v="800"/>
    <x v="974"/>
  </r>
  <r>
    <n v="4272"/>
    <x v="1193"/>
    <x v="298"/>
    <s v="Miss"/>
    <s v="F"/>
    <n v="60"/>
    <s v="Station Chambers"/>
    <x v="1239"/>
    <x v="16"/>
    <d v="2022-06-02T00:00:00"/>
    <x v="0"/>
    <x v="2"/>
    <n v="14"/>
    <x v="0"/>
    <x v="0"/>
    <n v="280"/>
    <x v="22"/>
  </r>
  <r>
    <n v="4273"/>
    <x v="1456"/>
    <x v="1399"/>
    <s v="Mr"/>
    <s v="M"/>
    <n v="60"/>
    <s v="Station Estate"/>
    <x v="1146"/>
    <x v="21"/>
    <d v="2022-01-25T00:00:00"/>
    <x v="0"/>
    <x v="6"/>
    <n v="49"/>
    <x v="5"/>
    <x v="5"/>
    <n v="1176"/>
    <x v="908"/>
  </r>
  <r>
    <n v="4274"/>
    <x v="48"/>
    <x v="1745"/>
    <s v="Mrs"/>
    <s v="F"/>
    <n v="30"/>
    <s v="Station Garage"/>
    <x v="899"/>
    <x v="3"/>
    <d v="2022-12-26T00:00:00"/>
    <x v="0"/>
    <x v="8"/>
    <n v="68"/>
    <x v="5"/>
    <x v="5"/>
    <n v="1632"/>
    <x v="197"/>
  </r>
  <r>
    <n v="4275"/>
    <x v="1374"/>
    <x v="308"/>
    <s v="Miss"/>
    <s v="F"/>
    <n v="60"/>
    <s v="Station Garage"/>
    <x v="738"/>
    <x v="1"/>
    <d v="2022-11-28T00:00:00"/>
    <x v="0"/>
    <x v="7"/>
    <n v="28"/>
    <x v="0"/>
    <x v="0"/>
    <n v="560"/>
    <x v="635"/>
  </r>
  <r>
    <n v="4276"/>
    <x v="2563"/>
    <x v="124"/>
    <s v="Miss"/>
    <s v="F"/>
    <n v="90"/>
    <s v="Station Parade"/>
    <x v="514"/>
    <x v="2"/>
    <d v="2021-10-08T00:00:00"/>
    <x v="1"/>
    <x v="1"/>
    <n v="75"/>
    <x v="8"/>
    <x v="8"/>
    <n v="1500"/>
    <x v="133"/>
  </r>
  <r>
    <n v="4277"/>
    <x v="2564"/>
    <x v="747"/>
    <s v="Mrs"/>
    <s v="F"/>
    <n v="90"/>
    <s v="Station Place"/>
    <x v="943"/>
    <x v="2"/>
    <d v="2021-02-07T00:00:00"/>
    <x v="1"/>
    <x v="10"/>
    <n v="33"/>
    <x v="2"/>
    <x v="2"/>
    <n v="561"/>
    <x v="608"/>
  </r>
  <r>
    <n v="4278"/>
    <x v="2333"/>
    <x v="1746"/>
    <s v="Ms"/>
    <s v="F"/>
    <n v="90"/>
    <s v="Station Rise"/>
    <x v="192"/>
    <x v="2"/>
    <d v="2020-11-05T00:00:00"/>
    <x v="2"/>
    <x v="7"/>
    <n v="57"/>
    <x v="2"/>
    <x v="2"/>
    <n v="969"/>
    <x v="489"/>
  </r>
  <r>
    <n v="4279"/>
    <x v="592"/>
    <x v="1747"/>
    <s v="Ms"/>
    <s v="F"/>
    <n v="90"/>
    <s v="Station Street"/>
    <x v="1218"/>
    <x v="21"/>
    <d v="2022-10-20T00:00:00"/>
    <x v="0"/>
    <x v="1"/>
    <n v="32"/>
    <x v="9"/>
    <x v="9"/>
    <n v="768"/>
    <x v="702"/>
  </r>
  <r>
    <n v="4280"/>
    <x v="22"/>
    <x v="8"/>
    <s v="Mr"/>
    <s v="M"/>
    <n v="30"/>
    <s v="Station Street"/>
    <x v="1040"/>
    <x v="2"/>
    <d v="2021-10-24T00:00:00"/>
    <x v="1"/>
    <x v="1"/>
    <n v="81"/>
    <x v="1"/>
    <x v="1"/>
    <n v="1944"/>
    <x v="125"/>
  </r>
  <r>
    <n v="4281"/>
    <x v="2565"/>
    <x v="272"/>
    <s v="Mrs"/>
    <s v="F"/>
    <n v="60"/>
    <s v="Station Way"/>
    <x v="677"/>
    <x v="2"/>
    <d v="2021-02-23T00:00:00"/>
    <x v="1"/>
    <x v="10"/>
    <n v="81"/>
    <x v="1"/>
    <x v="1"/>
    <n v="1944"/>
    <x v="125"/>
  </r>
  <r>
    <n v="4282"/>
    <x v="2566"/>
    <x v="512"/>
    <s v="Mrs"/>
    <s v="F"/>
    <n v="30"/>
    <s v="Station Way"/>
    <x v="940"/>
    <x v="2"/>
    <d v="2021-04-05T00:00:00"/>
    <x v="1"/>
    <x v="4"/>
    <n v="41"/>
    <x v="4"/>
    <x v="4"/>
    <n v="738"/>
    <x v="338"/>
  </r>
  <r>
    <n v="4283"/>
    <x v="2567"/>
    <x v="1312"/>
    <s v="Mrs"/>
    <s v="F"/>
    <n v="60"/>
    <s v="Steeds Road"/>
    <x v="1128"/>
    <x v="18"/>
    <d v="2022-10-19T00:00:00"/>
    <x v="0"/>
    <x v="1"/>
    <n v="40"/>
    <x v="3"/>
    <x v="3"/>
    <n v="960"/>
    <x v="155"/>
  </r>
  <r>
    <n v="4284"/>
    <x v="2568"/>
    <x v="1748"/>
    <s v="Miss"/>
    <s v="F"/>
    <n v="90"/>
    <s v="Steeles Road"/>
    <x v="721"/>
    <x v="11"/>
    <d v="2021-04-24T00:00:00"/>
    <x v="1"/>
    <x v="4"/>
    <n v="5"/>
    <x v="9"/>
    <x v="9"/>
    <n v="120"/>
    <x v="674"/>
  </r>
  <r>
    <n v="4285"/>
    <x v="724"/>
    <x v="1069"/>
    <s v="Mr"/>
    <s v="M"/>
    <n v="90"/>
    <s v="Steer Cottages"/>
    <x v="338"/>
    <x v="15"/>
    <d v="2020-10-24T00:00:00"/>
    <x v="2"/>
    <x v="1"/>
    <n v="79"/>
    <x v="9"/>
    <x v="9"/>
    <n v="1896"/>
    <x v="219"/>
  </r>
  <r>
    <n v="4286"/>
    <x v="1363"/>
    <x v="1749"/>
    <s v="Mr"/>
    <s v="M"/>
    <n v="60"/>
    <s v="Stephen Court"/>
    <x v="649"/>
    <x v="2"/>
    <d v="2021-11-17T00:00:00"/>
    <x v="1"/>
    <x v="7"/>
    <n v="67"/>
    <x v="8"/>
    <x v="8"/>
    <n v="1340"/>
    <x v="452"/>
  </r>
  <r>
    <n v="4287"/>
    <x v="2290"/>
    <x v="1750"/>
    <s v="Mr"/>
    <s v="M"/>
    <n v="90"/>
    <s v="Sterndale Place"/>
    <x v="498"/>
    <x v="2"/>
    <d v="2020-03-09T00:00:00"/>
    <x v="2"/>
    <x v="5"/>
    <n v="43"/>
    <x v="5"/>
    <x v="5"/>
    <n v="1032"/>
    <x v="425"/>
  </r>
  <r>
    <n v="4288"/>
    <x v="2009"/>
    <x v="790"/>
    <s v="Mr"/>
    <s v="M"/>
    <n v="60"/>
    <s v="Sternhill Lane"/>
    <x v="852"/>
    <x v="65"/>
    <d v="2022-06-09T00:00:00"/>
    <x v="0"/>
    <x v="2"/>
    <n v="66"/>
    <x v="1"/>
    <x v="1"/>
    <n v="1584"/>
    <x v="786"/>
  </r>
  <r>
    <n v="4289"/>
    <x v="1075"/>
    <x v="909"/>
    <s v="Mr"/>
    <s v="M"/>
    <n v="30"/>
    <s v="Stevedore Street"/>
    <x v="1285"/>
    <x v="2"/>
    <d v="2022-01-12T00:00:00"/>
    <x v="0"/>
    <x v="6"/>
    <n v="6"/>
    <x v="0"/>
    <x v="0"/>
    <n v="120"/>
    <x v="42"/>
  </r>
  <r>
    <n v="4290"/>
    <x v="2265"/>
    <x v="1141"/>
    <s v="Mr"/>
    <s v="M"/>
    <n v="90"/>
    <s v="Stevenson Crescent"/>
    <x v="1202"/>
    <x v="2"/>
    <d v="2021-08-04T00:00:00"/>
    <x v="1"/>
    <x v="3"/>
    <n v="39"/>
    <x v="6"/>
    <x v="6"/>
    <n v="936"/>
    <x v="299"/>
  </r>
  <r>
    <n v="4291"/>
    <x v="1253"/>
    <x v="1028"/>
    <s v="Mr"/>
    <s v="M"/>
    <n v="60"/>
    <s v="Steventon Road"/>
    <x v="65"/>
    <x v="1"/>
    <d v="2022-10-26T00:00:00"/>
    <x v="0"/>
    <x v="1"/>
    <n v="73"/>
    <x v="7"/>
    <x v="7"/>
    <n v="1460"/>
    <x v="512"/>
  </r>
  <r>
    <n v="4292"/>
    <x v="2329"/>
    <x v="1475"/>
    <s v="Mrs"/>
    <s v="F"/>
    <n v="90"/>
    <s v="Steward Road"/>
    <x v="598"/>
    <x v="11"/>
    <d v="2022-03-08T00:00:00"/>
    <x v="0"/>
    <x v="5"/>
    <n v="22"/>
    <x v="6"/>
    <x v="6"/>
    <n v="528"/>
    <x v="316"/>
  </r>
  <r>
    <n v="4293"/>
    <x v="1134"/>
    <x v="1751"/>
    <s v="Mr"/>
    <s v="M"/>
    <n v="90"/>
    <s v="Steward Road"/>
    <x v="983"/>
    <x v="2"/>
    <d v="2022-03-20T00:00:00"/>
    <x v="0"/>
    <x v="5"/>
    <n v="30"/>
    <x v="0"/>
    <x v="0"/>
    <n v="600"/>
    <x v="978"/>
  </r>
  <r>
    <n v="4294"/>
    <x v="1345"/>
    <x v="1394"/>
    <s v="Mr"/>
    <s v="M"/>
    <n v="90"/>
    <s v="Stewards Place"/>
    <x v="506"/>
    <x v="15"/>
    <d v="2021-03-06T00:00:00"/>
    <x v="1"/>
    <x v="5"/>
    <n v="56"/>
    <x v="6"/>
    <x v="6"/>
    <n v="1344"/>
    <x v="707"/>
  </r>
  <r>
    <n v="4295"/>
    <x v="105"/>
    <x v="700"/>
    <s v="Mr"/>
    <s v="M"/>
    <n v="30"/>
    <s v="Stewart Green"/>
    <x v="1044"/>
    <x v="21"/>
    <d v="2020-10-11T00:00:00"/>
    <x v="2"/>
    <x v="1"/>
    <n v="80"/>
    <x v="5"/>
    <x v="5"/>
    <n v="1920"/>
    <x v="592"/>
  </r>
  <r>
    <n v="4296"/>
    <x v="1045"/>
    <x v="1134"/>
    <s v="Miss"/>
    <s v="F"/>
    <n v="30"/>
    <s v="Stewarts Buildings"/>
    <x v="428"/>
    <x v="2"/>
    <d v="2020-08-24T00:00:00"/>
    <x v="2"/>
    <x v="3"/>
    <n v="18"/>
    <x v="2"/>
    <x v="2"/>
    <n v="306"/>
    <x v="889"/>
  </r>
  <r>
    <n v="4297"/>
    <x v="2569"/>
    <x v="1632"/>
    <s v="Miss"/>
    <s v="F"/>
    <n v="60"/>
    <s v="Stewartsby Close"/>
    <x v="435"/>
    <x v="11"/>
    <d v="2022-05-01T00:00:00"/>
    <x v="0"/>
    <x v="11"/>
    <n v="58"/>
    <x v="7"/>
    <x v="7"/>
    <n v="1160"/>
    <x v="141"/>
  </r>
  <r>
    <n v="4298"/>
    <x v="196"/>
    <x v="1752"/>
    <s v="Mrs"/>
    <s v="F"/>
    <n v="60"/>
    <s v="Stockfield Road"/>
    <x v="1013"/>
    <x v="2"/>
    <d v="2020-08-29T00:00:00"/>
    <x v="2"/>
    <x v="3"/>
    <n v="54"/>
    <x v="8"/>
    <x v="8"/>
    <n v="1080"/>
    <x v="712"/>
  </r>
  <r>
    <n v="4299"/>
    <x v="1947"/>
    <x v="280"/>
    <s v="Mr"/>
    <s v="M"/>
    <n v="60"/>
    <s v="Stockwell Lane"/>
    <x v="1293"/>
    <x v="2"/>
    <d v="2021-08-15T00:00:00"/>
    <x v="1"/>
    <x v="3"/>
    <n v="78"/>
    <x v="5"/>
    <x v="5"/>
    <n v="1872"/>
    <x v="651"/>
  </r>
  <r>
    <n v="4300"/>
    <x v="950"/>
    <x v="369"/>
    <s v="Mr"/>
    <s v="M"/>
    <n v="90"/>
    <s v="Stokes Road"/>
    <x v="347"/>
    <x v="57"/>
    <d v="2022-09-17T00:00:00"/>
    <x v="0"/>
    <x v="9"/>
    <n v="21"/>
    <x v="1"/>
    <x v="1"/>
    <n v="504"/>
    <x v="409"/>
  </r>
  <r>
    <n v="4301"/>
    <x v="5"/>
    <x v="1379"/>
    <s v="Mr"/>
    <s v="M"/>
    <n v="90"/>
    <s v="Stone Hall"/>
    <x v="1118"/>
    <x v="73"/>
    <d v="2021-07-19T00:00:00"/>
    <x v="1"/>
    <x v="0"/>
    <n v="60"/>
    <x v="5"/>
    <x v="5"/>
    <n v="1440"/>
    <x v="519"/>
  </r>
  <r>
    <n v="4302"/>
    <x v="2552"/>
    <x v="1663"/>
    <s v="Miss"/>
    <s v="F"/>
    <n v="30"/>
    <s v="Stone Hall"/>
    <x v="879"/>
    <x v="21"/>
    <d v="2021-03-04T00:00:00"/>
    <x v="1"/>
    <x v="5"/>
    <n v="77"/>
    <x v="2"/>
    <x v="2"/>
    <n v="1309"/>
    <x v="79"/>
  </r>
  <r>
    <n v="4303"/>
    <x v="2570"/>
    <x v="1529"/>
    <s v="Miss"/>
    <s v="F"/>
    <n v="90"/>
    <s v="Stonechat Square"/>
    <x v="732"/>
    <x v="17"/>
    <d v="2021-12-20T00:00:00"/>
    <x v="1"/>
    <x v="8"/>
    <n v="24"/>
    <x v="1"/>
    <x v="1"/>
    <n v="576"/>
    <x v="837"/>
  </r>
  <r>
    <n v="4304"/>
    <x v="2571"/>
    <x v="1412"/>
    <s v="Mr"/>
    <s v="M"/>
    <n v="60"/>
    <s v="Stonells Road"/>
    <x v="878"/>
    <x v="2"/>
    <d v="2022-04-21T00:00:00"/>
    <x v="0"/>
    <x v="4"/>
    <n v="46"/>
    <x v="9"/>
    <x v="9"/>
    <n v="1104"/>
    <x v="783"/>
  </r>
  <r>
    <n v="4305"/>
    <x v="2572"/>
    <x v="373"/>
    <s v="Ms"/>
    <s v="F"/>
    <n v="60"/>
    <s v="Stork Road"/>
    <x v="86"/>
    <x v="17"/>
    <d v="2022-01-11T00:00:00"/>
    <x v="0"/>
    <x v="6"/>
    <n v="6"/>
    <x v="2"/>
    <x v="2"/>
    <n v="102"/>
    <x v="853"/>
  </r>
  <r>
    <n v="4306"/>
    <x v="2573"/>
    <x v="264"/>
    <s v="Mrs"/>
    <s v="F"/>
    <n v="30"/>
    <s v="Stoughton Close"/>
    <x v="155"/>
    <x v="2"/>
    <d v="2022-08-17T00:00:00"/>
    <x v="0"/>
    <x v="3"/>
    <n v="30"/>
    <x v="3"/>
    <x v="3"/>
    <n v="720"/>
    <x v="794"/>
  </r>
  <r>
    <n v="4307"/>
    <x v="2574"/>
    <x v="84"/>
    <s v="Mrs"/>
    <s v="F"/>
    <n v="30"/>
    <s v="Stowe Road"/>
    <x v="199"/>
    <x v="2"/>
    <d v="2021-07-27T00:00:00"/>
    <x v="1"/>
    <x v="0"/>
    <n v="6"/>
    <x v="6"/>
    <x v="6"/>
    <n v="144"/>
    <x v="851"/>
  </r>
  <r>
    <n v="4308"/>
    <x v="2575"/>
    <x v="720"/>
    <s v="Miss"/>
    <s v="F"/>
    <n v="90"/>
    <s v="Stradbroke Road"/>
    <x v="1201"/>
    <x v="2"/>
    <d v="2021-12-28T00:00:00"/>
    <x v="1"/>
    <x v="8"/>
    <n v="88"/>
    <x v="9"/>
    <x v="9"/>
    <n v="2112"/>
    <x v="443"/>
  </r>
  <r>
    <n v="4309"/>
    <x v="2576"/>
    <x v="1140"/>
    <s v="Mrs"/>
    <s v="F"/>
    <n v="60"/>
    <s v="Stradella Road"/>
    <x v="387"/>
    <x v="11"/>
    <d v="2022-12-12T00:00:00"/>
    <x v="0"/>
    <x v="8"/>
    <n v="33"/>
    <x v="8"/>
    <x v="8"/>
    <n v="660"/>
    <x v="969"/>
  </r>
  <r>
    <n v="4310"/>
    <x v="758"/>
    <x v="194"/>
    <s v="Mr"/>
    <s v="M"/>
    <n v="30"/>
    <s v="Straightsmouth"/>
    <x v="173"/>
    <x v="2"/>
    <d v="2022-02-12T00:00:00"/>
    <x v="0"/>
    <x v="10"/>
    <n v="26"/>
    <x v="2"/>
    <x v="2"/>
    <n v="442"/>
    <x v="723"/>
  </r>
  <r>
    <n v="4311"/>
    <x v="2577"/>
    <x v="1473"/>
    <s v="Mrs"/>
    <s v="F"/>
    <n v="90"/>
    <s v="Strand On"/>
    <x v="1195"/>
    <x v="17"/>
    <d v="2021-09-09T00:00:00"/>
    <x v="1"/>
    <x v="9"/>
    <n v="61"/>
    <x v="4"/>
    <x v="4"/>
    <n v="1098"/>
    <x v="363"/>
  </r>
  <r>
    <n v="4312"/>
    <x v="1262"/>
    <x v="1436"/>
    <s v="Mr"/>
    <s v="M"/>
    <n v="90"/>
    <s v="Strand On"/>
    <x v="259"/>
    <x v="2"/>
    <d v="2021-03-27T00:00:00"/>
    <x v="1"/>
    <x v="5"/>
    <n v="42"/>
    <x v="6"/>
    <x v="6"/>
    <n v="1008"/>
    <x v="162"/>
  </r>
  <r>
    <n v="4313"/>
    <x v="1529"/>
    <x v="1753"/>
    <s v="Miss"/>
    <s v="F"/>
    <n v="30"/>
    <s v="Strand West"/>
    <x v="548"/>
    <x v="11"/>
    <d v="2022-05-25T00:00:00"/>
    <x v="0"/>
    <x v="11"/>
    <n v="15"/>
    <x v="7"/>
    <x v="7"/>
    <n v="300"/>
    <x v="634"/>
  </r>
  <r>
    <n v="4314"/>
    <x v="2578"/>
    <x v="1597"/>
    <s v="Miss"/>
    <s v="F"/>
    <n v="30"/>
    <s v="Strangways Terrace"/>
    <x v="1022"/>
    <x v="1"/>
    <d v="2021-10-12T00:00:00"/>
    <x v="1"/>
    <x v="1"/>
    <n v="13"/>
    <x v="0"/>
    <x v="0"/>
    <n v="260"/>
    <x v="1"/>
  </r>
  <r>
    <n v="4315"/>
    <x v="2579"/>
    <x v="685"/>
    <s v="Mr"/>
    <s v="M"/>
    <n v="30"/>
    <s v="Stratford Road"/>
    <x v="995"/>
    <x v="17"/>
    <d v="2022-08-10T00:00:00"/>
    <x v="0"/>
    <x v="3"/>
    <n v="54"/>
    <x v="0"/>
    <x v="0"/>
    <n v="1080"/>
    <x v="957"/>
  </r>
  <r>
    <n v="4316"/>
    <x v="2580"/>
    <x v="1009"/>
    <s v="Miss"/>
    <s v="F"/>
    <n v="60"/>
    <s v="Strathearn Cottages"/>
    <x v="860"/>
    <x v="16"/>
    <d v="2021-09-13T00:00:00"/>
    <x v="1"/>
    <x v="9"/>
    <n v="7"/>
    <x v="0"/>
    <x v="0"/>
    <n v="140"/>
    <x v="522"/>
  </r>
  <r>
    <n v="4317"/>
    <x v="1667"/>
    <x v="876"/>
    <s v="Mr"/>
    <s v="M"/>
    <n v="30"/>
    <s v="Stratheden House"/>
    <x v="13"/>
    <x v="9"/>
    <d v="2021-08-24T00:00:00"/>
    <x v="1"/>
    <x v="3"/>
    <n v="15"/>
    <x v="3"/>
    <x v="3"/>
    <n v="360"/>
    <x v="532"/>
  </r>
  <r>
    <n v="4318"/>
    <x v="2084"/>
    <x v="888"/>
    <s v="Mrs"/>
    <s v="F"/>
    <n v="60"/>
    <s v="Stratheden Villas"/>
    <x v="97"/>
    <x v="17"/>
    <d v="2020-08-24T00:00:00"/>
    <x v="2"/>
    <x v="3"/>
    <n v="56"/>
    <x v="3"/>
    <x v="3"/>
    <n v="1344"/>
    <x v="118"/>
  </r>
  <r>
    <n v="4319"/>
    <x v="2581"/>
    <x v="940"/>
    <s v="Miss"/>
    <s v="F"/>
    <n v="60"/>
    <s v="Strathmore Terrace"/>
    <x v="1031"/>
    <x v="12"/>
    <d v="2022-11-19T00:00:00"/>
    <x v="0"/>
    <x v="7"/>
    <n v="103"/>
    <x v="8"/>
    <x v="8"/>
    <n v="2060"/>
    <x v="947"/>
  </r>
  <r>
    <n v="4320"/>
    <x v="627"/>
    <x v="776"/>
    <s v="Miss"/>
    <s v="F"/>
    <n v="30"/>
    <s v="Strathnairn Street"/>
    <x v="1066"/>
    <x v="2"/>
    <d v="2022-07-04T00:00:00"/>
    <x v="0"/>
    <x v="0"/>
    <n v="19"/>
    <x v="9"/>
    <x v="9"/>
    <n v="456"/>
    <x v="418"/>
  </r>
  <r>
    <n v="4321"/>
    <x v="2582"/>
    <x v="51"/>
    <s v="Mrs"/>
    <s v="F"/>
    <n v="60"/>
    <s v="Stratton Street"/>
    <x v="836"/>
    <x v="20"/>
    <d v="2020-05-07T00:00:00"/>
    <x v="2"/>
    <x v="11"/>
    <n v="62"/>
    <x v="1"/>
    <x v="1"/>
    <n v="1488"/>
    <x v="467"/>
  </r>
  <r>
    <n v="4322"/>
    <x v="1263"/>
    <x v="701"/>
    <s v="Ms"/>
    <s v="F"/>
    <n v="30"/>
    <s v="Streatfield Avenue"/>
    <x v="83"/>
    <x v="23"/>
    <d v="2020-07-01T00:00:00"/>
    <x v="2"/>
    <x v="0"/>
    <n v="38"/>
    <x v="7"/>
    <x v="7"/>
    <n v="760"/>
    <x v="121"/>
  </r>
  <r>
    <n v="4323"/>
    <x v="2583"/>
    <x v="186"/>
    <s v="Miss"/>
    <s v="F"/>
    <n v="60"/>
    <s v="Streatham Park"/>
    <x v="300"/>
    <x v="2"/>
    <d v="2021-09-29T00:00:00"/>
    <x v="1"/>
    <x v="9"/>
    <n v="90"/>
    <x v="3"/>
    <x v="3"/>
    <n v="2160"/>
    <x v="714"/>
  </r>
  <r>
    <n v="4324"/>
    <x v="2287"/>
    <x v="894"/>
    <s v="Mr"/>
    <s v="M"/>
    <n v="60"/>
    <s v="Streatham Place"/>
    <x v="0"/>
    <x v="0"/>
    <d v="2022-05-12T00:00:00"/>
    <x v="0"/>
    <x v="11"/>
    <n v="17"/>
    <x v="5"/>
    <x v="5"/>
    <n v="408"/>
    <x v="154"/>
  </r>
  <r>
    <n v="4325"/>
    <x v="2584"/>
    <x v="653"/>
    <s v="Mrs"/>
    <s v="F"/>
    <n v="90"/>
    <s v="Streetfield Mews"/>
    <x v="277"/>
    <x v="13"/>
    <d v="2021-07-31T00:00:00"/>
    <x v="1"/>
    <x v="0"/>
    <n v="8"/>
    <x v="3"/>
    <x v="3"/>
    <n v="192"/>
    <x v="213"/>
  </r>
  <r>
    <n v="4326"/>
    <x v="557"/>
    <x v="811"/>
    <s v="Mr"/>
    <s v="M"/>
    <n v="30"/>
    <s v="Strode Close"/>
    <x v="350"/>
    <x v="2"/>
    <d v="2022-05-26T00:00:00"/>
    <x v="0"/>
    <x v="11"/>
    <n v="25"/>
    <x v="8"/>
    <x v="8"/>
    <n v="500"/>
    <x v="764"/>
  </r>
  <r>
    <n v="4327"/>
    <x v="810"/>
    <x v="1754"/>
    <s v="Mrs"/>
    <s v="F"/>
    <n v="60"/>
    <s v="Strode Road"/>
    <x v="1294"/>
    <x v="2"/>
    <d v="2020-03-15T00:00:00"/>
    <x v="2"/>
    <x v="5"/>
    <n v="34"/>
    <x v="5"/>
    <x v="5"/>
    <n v="816"/>
    <x v="692"/>
  </r>
  <r>
    <n v="4328"/>
    <x v="2585"/>
    <x v="757"/>
    <s v="Miss"/>
    <s v="F"/>
    <n v="60"/>
    <s v="Strone Road"/>
    <x v="228"/>
    <x v="21"/>
    <d v="2022-01-27T00:00:00"/>
    <x v="0"/>
    <x v="6"/>
    <n v="43"/>
    <x v="2"/>
    <x v="2"/>
    <n v="731"/>
    <x v="996"/>
  </r>
  <r>
    <n v="4329"/>
    <x v="1259"/>
    <x v="279"/>
    <s v="Mrs"/>
    <s v="F"/>
    <n v="30"/>
    <s v="Strone Road"/>
    <x v="78"/>
    <x v="2"/>
    <d v="2020-06-10T00:00:00"/>
    <x v="2"/>
    <x v="2"/>
    <n v="67"/>
    <x v="6"/>
    <x v="6"/>
    <n v="1608"/>
    <x v="604"/>
  </r>
  <r>
    <n v="4330"/>
    <x v="590"/>
    <x v="424"/>
    <s v="Mr"/>
    <s v="M"/>
    <n v="60"/>
    <s v="Stroud Road"/>
    <x v="534"/>
    <x v="3"/>
    <d v="2022-06-21T00:00:00"/>
    <x v="0"/>
    <x v="2"/>
    <n v="105"/>
    <x v="0"/>
    <x v="0"/>
    <n v="2100"/>
    <x v="703"/>
  </r>
  <r>
    <n v="4331"/>
    <x v="2586"/>
    <x v="446"/>
    <s v="Miss"/>
    <s v="F"/>
    <n v="90"/>
    <s v="Stuart Avenue"/>
    <x v="321"/>
    <x v="44"/>
    <d v="2020-06-28T00:00:00"/>
    <x v="2"/>
    <x v="2"/>
    <n v="78"/>
    <x v="8"/>
    <x v="8"/>
    <n v="1560"/>
    <x v="903"/>
  </r>
  <r>
    <n v="4332"/>
    <x v="2587"/>
    <x v="1755"/>
    <s v="Mrs"/>
    <s v="F"/>
    <n v="90"/>
    <s v="Stucley Place"/>
    <x v="1101"/>
    <x v="2"/>
    <d v="2022-05-30T00:00:00"/>
    <x v="0"/>
    <x v="11"/>
    <n v="69"/>
    <x v="2"/>
    <x v="2"/>
    <n v="1173"/>
    <x v="875"/>
  </r>
  <r>
    <n v="4333"/>
    <x v="1143"/>
    <x v="272"/>
    <s v="Mr"/>
    <s v="M"/>
    <n v="30"/>
    <s v="Studio Place"/>
    <x v="62"/>
    <x v="2"/>
    <d v="2021-08-26T00:00:00"/>
    <x v="1"/>
    <x v="3"/>
    <n v="11"/>
    <x v="0"/>
    <x v="0"/>
    <n v="220"/>
    <x v="749"/>
  </r>
  <r>
    <n v="4334"/>
    <x v="1790"/>
    <x v="194"/>
    <s v="Miss"/>
    <s v="F"/>
    <n v="60"/>
    <s v="Studley Avenue"/>
    <x v="708"/>
    <x v="2"/>
    <d v="2020-04-21T00:00:00"/>
    <x v="2"/>
    <x v="4"/>
    <n v="65"/>
    <x v="1"/>
    <x v="1"/>
    <n v="1560"/>
    <x v="455"/>
  </r>
  <r>
    <n v="4335"/>
    <x v="2577"/>
    <x v="542"/>
    <s v="Miss"/>
    <s v="F"/>
    <n v="60"/>
    <s v="Sturdy Road"/>
    <x v="1102"/>
    <x v="2"/>
    <d v="2020-10-11T00:00:00"/>
    <x v="2"/>
    <x v="1"/>
    <n v="16"/>
    <x v="3"/>
    <x v="3"/>
    <n v="384"/>
    <x v="189"/>
  </r>
  <r>
    <n v="4336"/>
    <x v="2220"/>
    <x v="927"/>
    <s v="Mr"/>
    <s v="M"/>
    <n v="60"/>
    <s v="Sturge Street"/>
    <x v="384"/>
    <x v="1"/>
    <d v="2022-03-02T00:00:00"/>
    <x v="0"/>
    <x v="5"/>
    <n v="4"/>
    <x v="8"/>
    <x v="8"/>
    <n v="80"/>
    <x v="688"/>
  </r>
  <r>
    <n v="4337"/>
    <x v="420"/>
    <x v="218"/>
    <s v="Mr"/>
    <s v="M"/>
    <n v="30"/>
    <s v="Sturry Street"/>
    <x v="314"/>
    <x v="41"/>
    <d v="2020-05-24T00:00:00"/>
    <x v="2"/>
    <x v="11"/>
    <n v="54"/>
    <x v="5"/>
    <x v="5"/>
    <n v="1296"/>
    <x v="97"/>
  </r>
  <r>
    <n v="4338"/>
    <x v="863"/>
    <x v="1204"/>
    <s v="Mr"/>
    <s v="M"/>
    <n v="60"/>
    <s v="Sudbourne Road"/>
    <x v="479"/>
    <x v="11"/>
    <d v="2022-03-06T00:00:00"/>
    <x v="0"/>
    <x v="5"/>
    <n v="23"/>
    <x v="2"/>
    <x v="2"/>
    <n v="391"/>
    <x v="354"/>
  </r>
  <r>
    <n v="4339"/>
    <x v="632"/>
    <x v="1515"/>
    <s v="Mr"/>
    <s v="M"/>
    <n v="60"/>
    <s v="Sudbury"/>
    <x v="68"/>
    <x v="15"/>
    <d v="2021-06-09T00:00:00"/>
    <x v="1"/>
    <x v="2"/>
    <n v="89"/>
    <x v="3"/>
    <x v="3"/>
    <n v="2136"/>
    <x v="204"/>
  </r>
  <r>
    <n v="4340"/>
    <x v="2588"/>
    <x v="356"/>
    <s v="Mrs"/>
    <s v="F"/>
    <n v="60"/>
    <s v="Suez Terrace"/>
    <x v="426"/>
    <x v="1"/>
    <d v="2022-11-08T00:00:00"/>
    <x v="0"/>
    <x v="7"/>
    <n v="41"/>
    <x v="8"/>
    <x v="8"/>
    <n v="820"/>
    <x v="232"/>
  </r>
  <r>
    <n v="4341"/>
    <x v="2589"/>
    <x v="10"/>
    <s v="Mr"/>
    <s v="M"/>
    <n v="90"/>
    <s v="Suffolk Park"/>
    <x v="399"/>
    <x v="62"/>
    <d v="2022-11-28T00:00:00"/>
    <x v="0"/>
    <x v="7"/>
    <n v="26"/>
    <x v="5"/>
    <x v="5"/>
    <n v="624"/>
    <x v="559"/>
  </r>
  <r>
    <n v="4342"/>
    <x v="2590"/>
    <x v="448"/>
    <s v="Mrs"/>
    <s v="F"/>
    <n v="30"/>
    <s v="Suffolk Road"/>
    <x v="263"/>
    <x v="2"/>
    <d v="2020-05-17T00:00:00"/>
    <x v="2"/>
    <x v="11"/>
    <n v="68"/>
    <x v="7"/>
    <x v="7"/>
    <n v="1360"/>
    <x v="370"/>
  </r>
  <r>
    <n v="4343"/>
    <x v="1989"/>
    <x v="788"/>
    <s v="Mr"/>
    <s v="M"/>
    <n v="30"/>
    <s v="Sugar Loaf"/>
    <x v="1089"/>
    <x v="3"/>
    <d v="2020-02-28T00:00:00"/>
    <x v="2"/>
    <x v="10"/>
    <n v="16"/>
    <x v="5"/>
    <x v="5"/>
    <n v="384"/>
    <x v="731"/>
  </r>
  <r>
    <n v="4344"/>
    <x v="569"/>
    <x v="1539"/>
    <s v="Mr"/>
    <s v="M"/>
    <n v="90"/>
    <s v="Sultan Road"/>
    <x v="1269"/>
    <x v="2"/>
    <d v="2022-04-01T00:00:00"/>
    <x v="0"/>
    <x v="4"/>
    <n v="84"/>
    <x v="1"/>
    <x v="1"/>
    <n v="2016"/>
    <x v="850"/>
  </r>
  <r>
    <n v="4345"/>
    <x v="2112"/>
    <x v="426"/>
    <s v="Mrs"/>
    <s v="F"/>
    <n v="30"/>
    <s v="Sumatra Road"/>
    <x v="208"/>
    <x v="37"/>
    <d v="2022-12-15T00:00:00"/>
    <x v="0"/>
    <x v="8"/>
    <n v="78"/>
    <x v="7"/>
    <x v="7"/>
    <n v="1560"/>
    <x v="664"/>
  </r>
  <r>
    <n v="4346"/>
    <x v="2061"/>
    <x v="1716"/>
    <s v="Mr"/>
    <s v="M"/>
    <n v="90"/>
    <s v="Summerfield Street"/>
    <x v="146"/>
    <x v="2"/>
    <d v="2021-12-27T00:00:00"/>
    <x v="1"/>
    <x v="8"/>
    <n v="26"/>
    <x v="6"/>
    <x v="6"/>
    <n v="624"/>
    <x v="52"/>
  </r>
  <r>
    <n v="4347"/>
    <x v="1153"/>
    <x v="1246"/>
    <s v="Mr"/>
    <s v="M"/>
    <n v="90"/>
    <s v="Summers Row"/>
    <x v="1295"/>
    <x v="36"/>
    <d v="2022-11-27T00:00:00"/>
    <x v="0"/>
    <x v="7"/>
    <n v="42"/>
    <x v="9"/>
    <x v="9"/>
    <n v="1008"/>
    <x v="433"/>
  </r>
  <r>
    <n v="4348"/>
    <x v="238"/>
    <x v="557"/>
    <s v="Mr"/>
    <s v="M"/>
    <n v="90"/>
    <s v="Summers Town"/>
    <x v="718"/>
    <x v="76"/>
    <d v="2021-02-20T00:00:00"/>
    <x v="1"/>
    <x v="10"/>
    <n v="87"/>
    <x v="3"/>
    <x v="3"/>
    <n v="2088"/>
    <x v="893"/>
  </r>
  <r>
    <n v="4349"/>
    <x v="2591"/>
    <x v="1172"/>
    <s v="Mrs"/>
    <s v="F"/>
    <n v="90"/>
    <s v="Summerstown"/>
    <x v="936"/>
    <x v="16"/>
    <d v="2020-06-07T00:00:00"/>
    <x v="2"/>
    <x v="2"/>
    <n v="62"/>
    <x v="4"/>
    <x v="4"/>
    <n v="1116"/>
    <x v="135"/>
  </r>
  <r>
    <n v="4350"/>
    <x v="2592"/>
    <x v="254"/>
    <s v="Mr"/>
    <s v="M"/>
    <n v="30"/>
    <s v="Sumner Avenue"/>
    <x v="290"/>
    <x v="44"/>
    <d v="2021-08-16T00:00:00"/>
    <x v="1"/>
    <x v="3"/>
    <n v="13"/>
    <x v="2"/>
    <x v="2"/>
    <n v="221"/>
    <x v="877"/>
  </r>
  <r>
    <n v="4351"/>
    <x v="2102"/>
    <x v="301"/>
    <s v="Mr"/>
    <s v="M"/>
    <n v="90"/>
    <s v="Sumner Estate"/>
    <x v="795"/>
    <x v="53"/>
    <d v="2020-07-29T00:00:00"/>
    <x v="2"/>
    <x v="0"/>
    <n v="18"/>
    <x v="6"/>
    <x v="6"/>
    <n v="432"/>
    <x v="254"/>
  </r>
  <r>
    <n v="4352"/>
    <x v="420"/>
    <x v="418"/>
    <s v="Mr"/>
    <s v="M"/>
    <n v="60"/>
    <s v="Sumner Street"/>
    <x v="316"/>
    <x v="2"/>
    <d v="2022-10-08T00:00:00"/>
    <x v="0"/>
    <x v="1"/>
    <n v="70"/>
    <x v="0"/>
    <x v="0"/>
    <n v="1400"/>
    <x v="507"/>
  </r>
  <r>
    <n v="4353"/>
    <x v="2593"/>
    <x v="1624"/>
    <s v="Miss"/>
    <s v="F"/>
    <n v="30"/>
    <s v="Sun Cottages"/>
    <x v="804"/>
    <x v="2"/>
    <d v="2022-11-28T00:00:00"/>
    <x v="0"/>
    <x v="7"/>
    <n v="88"/>
    <x v="6"/>
    <x v="6"/>
    <n v="2112"/>
    <x v="997"/>
  </r>
  <r>
    <n v="4354"/>
    <x v="1759"/>
    <x v="1756"/>
    <s v="Mr"/>
    <s v="M"/>
    <n v="60"/>
    <s v="Sun Lane"/>
    <x v="19"/>
    <x v="12"/>
    <d v="2021-05-31T00:00:00"/>
    <x v="1"/>
    <x v="11"/>
    <n v="79"/>
    <x v="6"/>
    <x v="6"/>
    <n v="1896"/>
    <x v="74"/>
  </r>
  <r>
    <n v="4355"/>
    <x v="2594"/>
    <x v="1723"/>
    <s v="Miss"/>
    <s v="F"/>
    <n v="90"/>
    <s v="Sun Road"/>
    <x v="386"/>
    <x v="3"/>
    <d v="2022-05-22T00:00:00"/>
    <x v="0"/>
    <x v="11"/>
    <n v="72"/>
    <x v="2"/>
    <x v="2"/>
    <n v="1224"/>
    <x v="61"/>
  </r>
  <r>
    <n v="4356"/>
    <x v="635"/>
    <x v="157"/>
    <s v="Mr"/>
    <s v="M"/>
    <n v="60"/>
    <s v="Sun Tavern"/>
    <x v="391"/>
    <x v="2"/>
    <d v="2021-03-09T00:00:00"/>
    <x v="1"/>
    <x v="5"/>
    <n v="40"/>
    <x v="5"/>
    <x v="5"/>
    <n v="960"/>
    <x v="582"/>
  </r>
  <r>
    <n v="4357"/>
    <x v="1706"/>
    <x v="240"/>
    <s v="Miss"/>
    <s v="F"/>
    <n v="30"/>
    <s v="Sun Tavern"/>
    <x v="80"/>
    <x v="2"/>
    <d v="2022-11-08T00:00:00"/>
    <x v="0"/>
    <x v="7"/>
    <n v="25"/>
    <x v="1"/>
    <x v="1"/>
    <n v="600"/>
    <x v="437"/>
  </r>
  <r>
    <n v="4358"/>
    <x v="2595"/>
    <x v="1412"/>
    <s v="Ms"/>
    <s v="F"/>
    <n v="90"/>
    <s v="Sun Terrace"/>
    <x v="810"/>
    <x v="15"/>
    <d v="2022-10-16T00:00:00"/>
    <x v="0"/>
    <x v="1"/>
    <n v="67"/>
    <x v="2"/>
    <x v="2"/>
    <n v="1139"/>
    <x v="96"/>
  </r>
  <r>
    <n v="4359"/>
    <x v="89"/>
    <x v="124"/>
    <s v="Mr"/>
    <s v="M"/>
    <n v="90"/>
    <s v="Sunbury Avenue"/>
    <x v="665"/>
    <x v="13"/>
    <d v="2021-11-10T00:00:00"/>
    <x v="1"/>
    <x v="7"/>
    <n v="81"/>
    <x v="0"/>
    <x v="0"/>
    <n v="1620"/>
    <x v="116"/>
  </r>
  <r>
    <n v="4360"/>
    <x v="2596"/>
    <x v="1757"/>
    <s v="Mr"/>
    <s v="M"/>
    <n v="90"/>
    <s v="Sunbury Workshops"/>
    <x v="1154"/>
    <x v="18"/>
    <d v="2021-04-01T00:00:00"/>
    <x v="1"/>
    <x v="4"/>
    <n v="91"/>
    <x v="6"/>
    <x v="6"/>
    <n v="2184"/>
    <x v="527"/>
  </r>
  <r>
    <n v="4361"/>
    <x v="1573"/>
    <x v="1712"/>
    <s v="Mr"/>
    <s v="M"/>
    <n v="30"/>
    <s v="Sundew Ave"/>
    <x v="342"/>
    <x v="2"/>
    <d v="2021-08-01T00:00:00"/>
    <x v="1"/>
    <x v="3"/>
    <n v="38"/>
    <x v="9"/>
    <x v="9"/>
    <n v="912"/>
    <x v="107"/>
  </r>
  <r>
    <n v="4362"/>
    <x v="1954"/>
    <x v="995"/>
    <s v="Mr"/>
    <s v="M"/>
    <n v="90"/>
    <s v="Sunfield Cottages"/>
    <x v="904"/>
    <x v="3"/>
    <d v="2020-12-10T00:00:00"/>
    <x v="2"/>
    <x v="8"/>
    <n v="47"/>
    <x v="1"/>
    <x v="1"/>
    <n v="1128"/>
    <x v="147"/>
  </r>
  <r>
    <n v="4363"/>
    <x v="556"/>
    <x v="1291"/>
    <s v="Mr"/>
    <s v="M"/>
    <n v="30"/>
    <s v="Sunny Crescent"/>
    <x v="448"/>
    <x v="2"/>
    <d v="2020-08-25T00:00:00"/>
    <x v="2"/>
    <x v="3"/>
    <n v="63"/>
    <x v="2"/>
    <x v="2"/>
    <n v="1071"/>
    <x v="341"/>
  </r>
  <r>
    <n v="4364"/>
    <x v="2597"/>
    <x v="828"/>
    <s v="Mrs"/>
    <s v="F"/>
    <n v="90"/>
    <s v="Sunnycroft"/>
    <x v="802"/>
    <x v="2"/>
    <d v="2021-02-03T00:00:00"/>
    <x v="1"/>
    <x v="10"/>
    <n v="61"/>
    <x v="9"/>
    <x v="9"/>
    <n v="1464"/>
    <x v="849"/>
  </r>
  <r>
    <n v="4365"/>
    <x v="2507"/>
    <x v="754"/>
    <s v="Mrs"/>
    <s v="F"/>
    <n v="30"/>
    <s v="Sunnycroft Rd"/>
    <x v="386"/>
    <x v="3"/>
    <d v="2020-02-05T00:00:00"/>
    <x v="2"/>
    <x v="10"/>
    <n v="44"/>
    <x v="9"/>
    <x v="9"/>
    <n v="1056"/>
    <x v="605"/>
  </r>
  <r>
    <n v="4366"/>
    <x v="2598"/>
    <x v="1543"/>
    <s v="Mrs"/>
    <s v="F"/>
    <n v="30"/>
    <s v="Sunnydene Street"/>
    <x v="890"/>
    <x v="2"/>
    <d v="2022-11-13T00:00:00"/>
    <x v="0"/>
    <x v="7"/>
    <n v="57"/>
    <x v="5"/>
    <x v="5"/>
    <n v="1368"/>
    <x v="462"/>
  </r>
  <r>
    <n v="4367"/>
    <x v="632"/>
    <x v="181"/>
    <s v="Mr"/>
    <s v="M"/>
    <n v="30"/>
    <s v="Sunnyhill Road"/>
    <x v="252"/>
    <x v="3"/>
    <d v="2021-11-14T00:00:00"/>
    <x v="1"/>
    <x v="7"/>
    <n v="57"/>
    <x v="1"/>
    <x v="1"/>
    <n v="1368"/>
    <x v="436"/>
  </r>
  <r>
    <n v="4368"/>
    <x v="677"/>
    <x v="358"/>
    <s v="Ms"/>
    <s v="F"/>
    <n v="90"/>
    <s v="Sunnyside"/>
    <x v="172"/>
    <x v="11"/>
    <d v="2020-04-28T00:00:00"/>
    <x v="2"/>
    <x v="4"/>
    <n v="68"/>
    <x v="8"/>
    <x v="8"/>
    <n v="1360"/>
    <x v="721"/>
  </r>
  <r>
    <n v="4369"/>
    <x v="2599"/>
    <x v="590"/>
    <s v="Miss"/>
    <s v="F"/>
    <n v="90"/>
    <s v="Sunnyside Cottages"/>
    <x v="1017"/>
    <x v="8"/>
    <d v="2022-02-11T00:00:00"/>
    <x v="0"/>
    <x v="10"/>
    <n v="12"/>
    <x v="5"/>
    <x v="5"/>
    <n v="288"/>
    <x v="477"/>
  </r>
  <r>
    <n v="4370"/>
    <x v="1091"/>
    <x v="248"/>
    <s v="Mr"/>
    <s v="M"/>
    <n v="90"/>
    <s v="Sunset Road"/>
    <x v="385"/>
    <x v="21"/>
    <d v="2021-08-03T00:00:00"/>
    <x v="1"/>
    <x v="3"/>
    <n v="56"/>
    <x v="3"/>
    <x v="3"/>
    <n v="1344"/>
    <x v="118"/>
  </r>
  <r>
    <n v="4371"/>
    <x v="221"/>
    <x v="662"/>
    <s v="Mr"/>
    <s v="M"/>
    <n v="60"/>
    <s v="Surrey Commercial"/>
    <x v="117"/>
    <x v="2"/>
    <d v="2022-03-20T00:00:00"/>
    <x v="0"/>
    <x v="5"/>
    <n v="56"/>
    <x v="5"/>
    <x v="5"/>
    <n v="1344"/>
    <x v="958"/>
  </r>
  <r>
    <n v="4372"/>
    <x v="2600"/>
    <x v="998"/>
    <s v="Mr"/>
    <s v="M"/>
    <n v="90"/>
    <s v="Surrey Cottage"/>
    <x v="923"/>
    <x v="3"/>
    <d v="2022-11-14T00:00:00"/>
    <x v="0"/>
    <x v="7"/>
    <n v="97"/>
    <x v="9"/>
    <x v="9"/>
    <n v="2328"/>
    <x v="998"/>
  </r>
  <r>
    <n v="4373"/>
    <x v="2180"/>
    <x v="1211"/>
    <s v="Ms"/>
    <s v="F"/>
    <n v="60"/>
    <s v="Surrey Mews"/>
    <x v="143"/>
    <x v="28"/>
    <d v="2021-02-18T00:00:00"/>
    <x v="1"/>
    <x v="10"/>
    <n v="86"/>
    <x v="1"/>
    <x v="1"/>
    <n v="2064"/>
    <x v="201"/>
  </r>
  <r>
    <n v="4374"/>
    <x v="289"/>
    <x v="224"/>
    <s v="Mr"/>
    <s v="M"/>
    <n v="90"/>
    <s v="Sussex Gardens"/>
    <x v="1119"/>
    <x v="16"/>
    <d v="2020-06-24T00:00:00"/>
    <x v="2"/>
    <x v="2"/>
    <n v="50"/>
    <x v="5"/>
    <x v="5"/>
    <n v="1200"/>
    <x v="159"/>
  </r>
  <r>
    <n v="4375"/>
    <x v="1366"/>
    <x v="1758"/>
    <s v="Mrs"/>
    <s v="F"/>
    <n v="30"/>
    <s v="Sussex Terrace"/>
    <x v="803"/>
    <x v="11"/>
    <d v="2020-01-27T00:00:00"/>
    <x v="2"/>
    <x v="6"/>
    <n v="18"/>
    <x v="0"/>
    <x v="0"/>
    <n v="360"/>
    <x v="18"/>
  </r>
  <r>
    <n v="4376"/>
    <x v="2601"/>
    <x v="942"/>
    <s v="Mr"/>
    <s v="M"/>
    <n v="60"/>
    <s v="Sutherland Gardens"/>
    <x v="1296"/>
    <x v="2"/>
    <d v="2022-05-09T00:00:00"/>
    <x v="0"/>
    <x v="11"/>
    <n v="63"/>
    <x v="2"/>
    <x v="2"/>
    <n v="1071"/>
    <x v="341"/>
  </r>
  <r>
    <n v="4377"/>
    <x v="2602"/>
    <x v="136"/>
    <s v="Mrs"/>
    <s v="F"/>
    <n v="90"/>
    <s v="Sutherland Street"/>
    <x v="415"/>
    <x v="64"/>
    <d v="2020-08-30T00:00:00"/>
    <x v="2"/>
    <x v="3"/>
    <n v="23"/>
    <x v="0"/>
    <x v="0"/>
    <n v="460"/>
    <x v="917"/>
  </r>
  <r>
    <n v="4378"/>
    <x v="55"/>
    <x v="957"/>
    <s v="Ms"/>
    <s v="F"/>
    <n v="90"/>
    <s v="Sutton C+F931Rt"/>
    <x v="72"/>
    <x v="16"/>
    <d v="2021-02-09T00:00:00"/>
    <x v="1"/>
    <x v="10"/>
    <n v="27"/>
    <x v="2"/>
    <x v="2"/>
    <n v="459"/>
    <x v="431"/>
  </r>
  <r>
    <n v="4379"/>
    <x v="75"/>
    <x v="117"/>
    <s v="Mr"/>
    <s v="M"/>
    <n v="30"/>
    <s v="Sutton Estate"/>
    <x v="576"/>
    <x v="17"/>
    <d v="2021-02-11T00:00:00"/>
    <x v="1"/>
    <x v="10"/>
    <n v="38"/>
    <x v="7"/>
    <x v="7"/>
    <n v="760"/>
    <x v="121"/>
  </r>
  <r>
    <n v="4380"/>
    <x v="1029"/>
    <x v="268"/>
    <s v="Mr"/>
    <s v="M"/>
    <n v="90"/>
    <s v="Sutton Row"/>
    <x v="1297"/>
    <x v="0"/>
    <d v="2020-11-05T00:00:00"/>
    <x v="2"/>
    <x v="7"/>
    <n v="21"/>
    <x v="0"/>
    <x v="0"/>
    <n v="420"/>
    <x v="165"/>
  </r>
  <r>
    <n v="4381"/>
    <x v="1867"/>
    <x v="425"/>
    <s v="Mr"/>
    <s v="M"/>
    <n v="60"/>
    <s v="Swady Hill"/>
    <x v="1267"/>
    <x v="84"/>
    <d v="2021-02-14T00:00:00"/>
    <x v="1"/>
    <x v="10"/>
    <n v="2"/>
    <x v="7"/>
    <x v="7"/>
    <n v="40"/>
    <x v="37"/>
  </r>
  <r>
    <n v="4382"/>
    <x v="2603"/>
    <x v="202"/>
    <s v="Mrs"/>
    <s v="F"/>
    <n v="90"/>
    <s v="Swains Road"/>
    <x v="680"/>
    <x v="2"/>
    <d v="2021-09-09T00:00:00"/>
    <x v="1"/>
    <x v="9"/>
    <n v="52"/>
    <x v="8"/>
    <x v="8"/>
    <n v="1040"/>
    <x v="371"/>
  </r>
  <r>
    <n v="4383"/>
    <x v="744"/>
    <x v="1662"/>
    <s v="Mr"/>
    <s v="M"/>
    <n v="60"/>
    <s v="Swallow Close"/>
    <x v="1298"/>
    <x v="21"/>
    <d v="2022-06-21T00:00:00"/>
    <x v="0"/>
    <x v="2"/>
    <n v="33"/>
    <x v="3"/>
    <x v="3"/>
    <n v="792"/>
    <x v="442"/>
  </r>
  <r>
    <n v="4384"/>
    <x v="890"/>
    <x v="1599"/>
    <s v="Mrs"/>
    <s v="F"/>
    <n v="30"/>
    <s v="Swallow Drive"/>
    <x v="583"/>
    <x v="44"/>
    <d v="2022-12-12T00:00:00"/>
    <x v="0"/>
    <x v="8"/>
    <n v="11"/>
    <x v="8"/>
    <x v="8"/>
    <n v="220"/>
    <x v="768"/>
  </r>
  <r>
    <n v="4385"/>
    <x v="1954"/>
    <x v="821"/>
    <s v="Mr"/>
    <s v="M"/>
    <n v="30"/>
    <s v="Swallow Gardens"/>
    <x v="319"/>
    <x v="2"/>
    <d v="2021-12-05T00:00:00"/>
    <x v="1"/>
    <x v="8"/>
    <n v="13"/>
    <x v="4"/>
    <x v="4"/>
    <n v="234"/>
    <x v="143"/>
  </r>
  <r>
    <n v="4386"/>
    <x v="552"/>
    <x v="160"/>
    <s v="Mr"/>
    <s v="M"/>
    <n v="60"/>
    <s v="Swan Alley"/>
    <x v="897"/>
    <x v="7"/>
    <d v="2022-07-15T00:00:00"/>
    <x v="0"/>
    <x v="0"/>
    <n v="43"/>
    <x v="8"/>
    <x v="8"/>
    <n v="860"/>
    <x v="235"/>
  </r>
  <r>
    <n v="4387"/>
    <x v="424"/>
    <x v="67"/>
    <s v="Mr"/>
    <s v="M"/>
    <n v="90"/>
    <s v="Swan Lane"/>
    <x v="37"/>
    <x v="18"/>
    <d v="2020-08-27T00:00:00"/>
    <x v="2"/>
    <x v="3"/>
    <n v="46"/>
    <x v="6"/>
    <x v="6"/>
    <n v="1104"/>
    <x v="199"/>
  </r>
  <r>
    <n v="4388"/>
    <x v="1040"/>
    <x v="1759"/>
    <s v="Mr"/>
    <s v="M"/>
    <n v="30"/>
    <s v="Swan Yard"/>
    <x v="791"/>
    <x v="2"/>
    <d v="2022-08-06T00:00:00"/>
    <x v="0"/>
    <x v="3"/>
    <n v="80"/>
    <x v="5"/>
    <x v="5"/>
    <n v="1920"/>
    <x v="592"/>
  </r>
  <r>
    <n v="4389"/>
    <x v="2604"/>
    <x v="1668"/>
    <s v="Mrs"/>
    <s v="F"/>
    <n v="60"/>
    <s v="Swansland Gardens"/>
    <x v="472"/>
    <x v="40"/>
    <d v="2021-03-13T00:00:00"/>
    <x v="1"/>
    <x v="5"/>
    <n v="58"/>
    <x v="0"/>
    <x v="0"/>
    <n v="1160"/>
    <x v="791"/>
  </r>
  <r>
    <n v="4390"/>
    <x v="2605"/>
    <x v="1760"/>
    <s v="Mrs"/>
    <s v="F"/>
    <n v="90"/>
    <s v="Swansland Gardens"/>
    <x v="15"/>
    <x v="10"/>
    <d v="2021-10-07T00:00:00"/>
    <x v="1"/>
    <x v="1"/>
    <n v="48"/>
    <x v="5"/>
    <x v="5"/>
    <n v="1152"/>
    <x v="720"/>
  </r>
  <r>
    <n v="4391"/>
    <x v="541"/>
    <x v="1090"/>
    <s v="Mr"/>
    <s v="M"/>
    <n v="90"/>
    <s v="Sweden Gate"/>
    <x v="523"/>
    <x v="16"/>
    <d v="2021-03-17T00:00:00"/>
    <x v="1"/>
    <x v="5"/>
    <n v="57"/>
    <x v="2"/>
    <x v="2"/>
    <n v="969"/>
    <x v="489"/>
  </r>
  <r>
    <n v="4392"/>
    <x v="2606"/>
    <x v="1604"/>
    <s v="Miss"/>
    <s v="F"/>
    <n v="30"/>
    <s v="Sweedland Court"/>
    <x v="163"/>
    <x v="2"/>
    <d v="2020-12-22T00:00:00"/>
    <x v="2"/>
    <x v="8"/>
    <n v="7"/>
    <x v="3"/>
    <x v="3"/>
    <n v="168"/>
    <x v="33"/>
  </r>
  <r>
    <n v="4393"/>
    <x v="2208"/>
    <x v="1430"/>
    <s v="Dr"/>
    <s v="M"/>
    <n v="90"/>
    <s v="Swiss Villas"/>
    <x v="172"/>
    <x v="11"/>
    <d v="2022-10-25T00:00:00"/>
    <x v="0"/>
    <x v="1"/>
    <n v="21"/>
    <x v="8"/>
    <x v="8"/>
    <n v="420"/>
    <x v="549"/>
  </r>
  <r>
    <n v="4394"/>
    <x v="1709"/>
    <x v="215"/>
    <s v="Mr"/>
    <s v="M"/>
    <n v="60"/>
    <s v="Sycamore Close"/>
    <x v="86"/>
    <x v="17"/>
    <d v="2021-03-29T00:00:00"/>
    <x v="1"/>
    <x v="5"/>
    <n v="95"/>
    <x v="3"/>
    <x v="3"/>
    <n v="2280"/>
    <x v="361"/>
  </r>
  <r>
    <n v="4395"/>
    <x v="2353"/>
    <x v="1362"/>
    <s v="Miss"/>
    <s v="F"/>
    <n v="30"/>
    <s v="Sydney Cottages"/>
    <x v="244"/>
    <x v="1"/>
    <d v="2022-05-10T00:00:00"/>
    <x v="0"/>
    <x v="11"/>
    <n v="74"/>
    <x v="9"/>
    <x v="9"/>
    <n v="1776"/>
    <x v="525"/>
  </r>
  <r>
    <n v="4396"/>
    <x v="1441"/>
    <x v="829"/>
    <s v="Mr"/>
    <s v="M"/>
    <n v="60"/>
    <s v="Sydney Street"/>
    <x v="353"/>
    <x v="2"/>
    <d v="2020-12-04T00:00:00"/>
    <x v="2"/>
    <x v="8"/>
    <n v="5"/>
    <x v="7"/>
    <x v="7"/>
    <n v="100"/>
    <x v="826"/>
  </r>
  <r>
    <n v="4397"/>
    <x v="2157"/>
    <x v="277"/>
    <s v="Mr"/>
    <s v="M"/>
    <n v="60"/>
    <s v="Symons Street"/>
    <x v="225"/>
    <x v="16"/>
    <d v="2022-12-18T00:00:00"/>
    <x v="0"/>
    <x v="8"/>
    <n v="33"/>
    <x v="1"/>
    <x v="1"/>
    <n v="792"/>
    <x v="860"/>
  </r>
  <r>
    <n v="4398"/>
    <x v="946"/>
    <x v="134"/>
    <s v="Miss"/>
    <s v="F"/>
    <n v="90"/>
    <s v="Synagogue"/>
    <x v="590"/>
    <x v="2"/>
    <d v="2020-04-10T00:00:00"/>
    <x v="2"/>
    <x v="4"/>
    <n v="45"/>
    <x v="9"/>
    <x v="9"/>
    <n v="1080"/>
    <x v="814"/>
  </r>
  <r>
    <n v="4399"/>
    <x v="2209"/>
    <x v="669"/>
    <s v="Mr"/>
    <s v="M"/>
    <n v="60"/>
    <s v="Tabernacle Square"/>
    <x v="291"/>
    <x v="2"/>
    <d v="2021-12-30T00:00:00"/>
    <x v="1"/>
    <x v="8"/>
    <n v="61"/>
    <x v="2"/>
    <x v="2"/>
    <n v="1037"/>
    <x v="81"/>
  </r>
  <r>
    <n v="4400"/>
    <x v="975"/>
    <x v="1761"/>
    <s v="Mr"/>
    <s v="M"/>
    <n v="90"/>
    <s v="Tachbrook Mews"/>
    <x v="278"/>
    <x v="2"/>
    <d v="2021-08-22T00:00:00"/>
    <x v="1"/>
    <x v="3"/>
    <n v="5"/>
    <x v="1"/>
    <x v="1"/>
    <n v="120"/>
    <x v="373"/>
  </r>
  <r>
    <n v="4401"/>
    <x v="2607"/>
    <x v="914"/>
    <s v="Mrs"/>
    <s v="F"/>
    <n v="90"/>
    <s v="Tailworth Street"/>
    <x v="253"/>
    <x v="11"/>
    <d v="2020-07-28T00:00:00"/>
    <x v="2"/>
    <x v="0"/>
    <n v="50"/>
    <x v="0"/>
    <x v="0"/>
    <n v="1000"/>
    <x v="671"/>
  </r>
  <r>
    <n v="4402"/>
    <x v="749"/>
    <x v="812"/>
    <s v="Mr"/>
    <s v="M"/>
    <n v="60"/>
    <s v="Talfour Road"/>
    <x v="184"/>
    <x v="11"/>
    <d v="2021-05-08T00:00:00"/>
    <x v="1"/>
    <x v="11"/>
    <n v="47"/>
    <x v="2"/>
    <x v="2"/>
    <n v="799"/>
    <x v="670"/>
  </r>
  <r>
    <n v="4403"/>
    <x v="348"/>
    <x v="1297"/>
    <s v="Mr"/>
    <s v="M"/>
    <n v="30"/>
    <s v="Tamar Street"/>
    <x v="757"/>
    <x v="2"/>
    <d v="2020-06-03T00:00:00"/>
    <x v="2"/>
    <x v="2"/>
    <n v="34"/>
    <x v="4"/>
    <x v="4"/>
    <n v="612"/>
    <x v="503"/>
  </r>
  <r>
    <n v="4404"/>
    <x v="2106"/>
    <x v="784"/>
    <s v="Miss"/>
    <s v="F"/>
    <n v="30"/>
    <s v="Tanfield Court"/>
    <x v="299"/>
    <x v="21"/>
    <d v="2022-03-16T00:00:00"/>
    <x v="0"/>
    <x v="5"/>
    <n v="76"/>
    <x v="7"/>
    <x v="7"/>
    <n v="1520"/>
    <x v="429"/>
  </r>
  <r>
    <n v="4405"/>
    <x v="2608"/>
    <x v="1156"/>
    <s v="Mr"/>
    <s v="M"/>
    <n v="90"/>
    <s v="Tangle Tree"/>
    <x v="1137"/>
    <x v="2"/>
    <d v="2022-10-16T00:00:00"/>
    <x v="0"/>
    <x v="1"/>
    <n v="43"/>
    <x v="7"/>
    <x v="7"/>
    <n v="860"/>
    <x v="410"/>
  </r>
  <r>
    <n v="4406"/>
    <x v="2609"/>
    <x v="733"/>
    <s v="Prof"/>
    <s v="F"/>
    <n v="60"/>
    <s v="Tanhurst Walk"/>
    <x v="194"/>
    <x v="2"/>
    <d v="2021-01-27T00:00:00"/>
    <x v="1"/>
    <x v="6"/>
    <n v="88"/>
    <x v="5"/>
    <x v="5"/>
    <n v="2112"/>
    <x v="999"/>
  </r>
  <r>
    <n v="4407"/>
    <x v="1959"/>
    <x v="1762"/>
    <s v="Mr"/>
    <s v="M"/>
    <n v="30"/>
    <s v="Tankerton Houses"/>
    <x v="778"/>
    <x v="2"/>
    <d v="2022-12-12T00:00:00"/>
    <x v="0"/>
    <x v="8"/>
    <n v="52"/>
    <x v="8"/>
    <x v="8"/>
    <n v="1040"/>
    <x v="371"/>
  </r>
  <r>
    <n v="4408"/>
    <x v="2610"/>
    <x v="881"/>
    <s v="Mrs"/>
    <s v="F"/>
    <n v="90"/>
    <s v="Tankerville Road"/>
    <x v="198"/>
    <x v="3"/>
    <d v="2021-07-22T00:00:00"/>
    <x v="1"/>
    <x v="0"/>
    <n v="79"/>
    <x v="9"/>
    <x v="9"/>
    <n v="1896"/>
    <x v="219"/>
  </r>
  <r>
    <n v="4409"/>
    <x v="2611"/>
    <x v="589"/>
    <s v="Mr"/>
    <s v="M"/>
    <n v="90"/>
    <s v="Tant Avenue"/>
    <x v="909"/>
    <x v="17"/>
    <d v="2020-03-16T00:00:00"/>
    <x v="2"/>
    <x v="5"/>
    <n v="73"/>
    <x v="2"/>
    <x v="2"/>
    <n v="1241"/>
    <x v="557"/>
  </r>
  <r>
    <n v="4410"/>
    <x v="2612"/>
    <x v="769"/>
    <s v="Mr"/>
    <s v="M"/>
    <n v="90"/>
    <s v="Tariff Road"/>
    <x v="721"/>
    <x v="11"/>
    <d v="2022-02-17T00:00:00"/>
    <x v="0"/>
    <x v="10"/>
    <n v="96"/>
    <x v="2"/>
    <x v="2"/>
    <n v="1632"/>
    <x v="160"/>
  </r>
  <r>
    <n v="4411"/>
    <x v="708"/>
    <x v="1379"/>
    <s v="Mr"/>
    <s v="M"/>
    <n v="90"/>
    <s v="Tarnwood Park"/>
    <x v="919"/>
    <x v="2"/>
    <d v="2022-10-21T00:00:00"/>
    <x v="0"/>
    <x v="1"/>
    <n v="56"/>
    <x v="7"/>
    <x v="7"/>
    <n v="1120"/>
    <x v="986"/>
  </r>
  <r>
    <n v="4412"/>
    <x v="703"/>
    <x v="356"/>
    <s v="Mr"/>
    <s v="M"/>
    <n v="30"/>
    <s v="Tarragon Close"/>
    <x v="332"/>
    <x v="2"/>
    <d v="2021-04-03T00:00:00"/>
    <x v="1"/>
    <x v="4"/>
    <n v="93"/>
    <x v="1"/>
    <x v="1"/>
    <n v="2232"/>
    <x v="1000"/>
  </r>
  <r>
    <n v="4413"/>
    <x v="2613"/>
    <x v="1292"/>
    <s v="Miss"/>
    <s v="F"/>
    <n v="90"/>
    <s v="Tarver Road"/>
    <x v="774"/>
    <x v="21"/>
    <d v="2020-05-20T00:00:00"/>
    <x v="2"/>
    <x v="11"/>
    <n v="72"/>
    <x v="2"/>
    <x v="2"/>
    <n v="1224"/>
    <x v="61"/>
  </r>
  <r>
    <n v="4414"/>
    <x v="2614"/>
    <x v="1343"/>
    <s v="Ms"/>
    <s v="F"/>
    <n v="60"/>
    <s v="Tash Street"/>
    <x v="88"/>
    <x v="2"/>
    <d v="2020-07-21T00:00:00"/>
    <x v="2"/>
    <x v="0"/>
    <n v="9"/>
    <x v="7"/>
    <x v="7"/>
    <n v="180"/>
    <x v="488"/>
  </r>
  <r>
    <n v="4415"/>
    <x v="2123"/>
    <x v="265"/>
    <s v="Miss"/>
    <s v="F"/>
    <n v="90"/>
    <s v="Tatnell Road"/>
    <x v="894"/>
    <x v="15"/>
    <d v="2020-03-22T00:00:00"/>
    <x v="2"/>
    <x v="5"/>
    <n v="46"/>
    <x v="8"/>
    <x v="8"/>
    <n v="920"/>
    <x v="166"/>
  </r>
  <r>
    <n v="4416"/>
    <x v="776"/>
    <x v="278"/>
    <s v="Mr"/>
    <s v="M"/>
    <n v="90"/>
    <s v="Tatnell Road"/>
    <x v="607"/>
    <x v="3"/>
    <d v="2022-11-16T00:00:00"/>
    <x v="0"/>
    <x v="7"/>
    <n v="72"/>
    <x v="4"/>
    <x v="4"/>
    <n v="1296"/>
    <x v="695"/>
  </r>
  <r>
    <n v="4417"/>
    <x v="2615"/>
    <x v="49"/>
    <s v="Mrs"/>
    <s v="F"/>
    <n v="60"/>
    <s v="Tattersall Close"/>
    <x v="803"/>
    <x v="11"/>
    <d v="2022-06-19T00:00:00"/>
    <x v="0"/>
    <x v="2"/>
    <n v="84"/>
    <x v="2"/>
    <x v="2"/>
    <n v="1428"/>
    <x v="599"/>
  </r>
  <r>
    <n v="4418"/>
    <x v="2616"/>
    <x v="1512"/>
    <s v="Mrs"/>
    <s v="F"/>
    <n v="60"/>
    <s v="Tattle Court"/>
    <x v="131"/>
    <x v="11"/>
    <d v="2022-12-09T00:00:00"/>
    <x v="0"/>
    <x v="8"/>
    <n v="3"/>
    <x v="5"/>
    <x v="5"/>
    <n v="72"/>
    <x v="379"/>
  </r>
  <r>
    <n v="4419"/>
    <x v="776"/>
    <x v="1763"/>
    <s v="Mr"/>
    <s v="M"/>
    <n v="60"/>
    <s v="Taunton Avenue"/>
    <x v="789"/>
    <x v="2"/>
    <d v="2020-04-08T00:00:00"/>
    <x v="2"/>
    <x v="4"/>
    <n v="14"/>
    <x v="5"/>
    <x v="5"/>
    <n v="336"/>
    <x v="276"/>
  </r>
  <r>
    <n v="4420"/>
    <x v="392"/>
    <x v="1736"/>
    <s v="Mr"/>
    <s v="M"/>
    <n v="60"/>
    <s v="Taunton Place"/>
    <x v="670"/>
    <x v="10"/>
    <d v="2020-02-20T00:00:00"/>
    <x v="2"/>
    <x v="10"/>
    <n v="36"/>
    <x v="2"/>
    <x v="2"/>
    <n v="612"/>
    <x v="832"/>
  </r>
  <r>
    <n v="4421"/>
    <x v="923"/>
    <x v="67"/>
    <s v="Mr"/>
    <s v="M"/>
    <n v="90"/>
    <s v="Taverners Way"/>
    <x v="1299"/>
    <x v="16"/>
    <d v="2020-08-05T00:00:00"/>
    <x v="2"/>
    <x v="3"/>
    <n v="78"/>
    <x v="9"/>
    <x v="9"/>
    <n v="1872"/>
    <x v="353"/>
  </r>
  <r>
    <n v="4422"/>
    <x v="1011"/>
    <x v="1279"/>
    <s v="Miss"/>
    <s v="F"/>
    <n v="90"/>
    <s v="Taybridge Road"/>
    <x v="481"/>
    <x v="2"/>
    <d v="2022-09-30T00:00:00"/>
    <x v="0"/>
    <x v="9"/>
    <n v="9"/>
    <x v="7"/>
    <x v="7"/>
    <n v="180"/>
    <x v="488"/>
  </r>
  <r>
    <n v="4423"/>
    <x v="2617"/>
    <x v="1317"/>
    <s v="Miss"/>
    <s v="F"/>
    <n v="30"/>
    <s v="Taylor Cls"/>
    <x v="870"/>
    <x v="18"/>
    <d v="2021-03-14T00:00:00"/>
    <x v="1"/>
    <x v="5"/>
    <n v="50"/>
    <x v="1"/>
    <x v="1"/>
    <n v="1200"/>
    <x v="19"/>
  </r>
  <r>
    <n v="4424"/>
    <x v="2618"/>
    <x v="672"/>
    <s v="Mr"/>
    <s v="M"/>
    <n v="30"/>
    <s v="Taylors Buildings"/>
    <x v="598"/>
    <x v="11"/>
    <d v="2021-06-30T00:00:00"/>
    <x v="1"/>
    <x v="2"/>
    <n v="55"/>
    <x v="3"/>
    <x v="3"/>
    <n v="1320"/>
    <x v="65"/>
  </r>
  <r>
    <n v="4425"/>
    <x v="743"/>
    <x v="1764"/>
    <s v="Mr"/>
    <s v="M"/>
    <n v="30"/>
    <s v="Taylors Cottages"/>
    <x v="656"/>
    <x v="2"/>
    <d v="2020-08-17T00:00:00"/>
    <x v="2"/>
    <x v="3"/>
    <n v="33"/>
    <x v="4"/>
    <x v="4"/>
    <n v="594"/>
    <x v="469"/>
  </r>
  <r>
    <n v="4426"/>
    <x v="2619"/>
    <x v="1376"/>
    <s v="Miss"/>
    <s v="F"/>
    <n v="30"/>
    <s v="Tayport Close"/>
    <x v="961"/>
    <x v="21"/>
    <d v="2020-08-15T00:00:00"/>
    <x v="2"/>
    <x v="3"/>
    <n v="18"/>
    <x v="1"/>
    <x v="1"/>
    <n v="432"/>
    <x v="39"/>
  </r>
  <r>
    <n v="4427"/>
    <x v="2620"/>
    <x v="63"/>
    <s v="Miss"/>
    <s v="F"/>
    <n v="60"/>
    <s v="Teale Street"/>
    <x v="260"/>
    <x v="2"/>
    <d v="2021-04-04T00:00:00"/>
    <x v="1"/>
    <x v="4"/>
    <n v="83"/>
    <x v="3"/>
    <x v="3"/>
    <n v="1992"/>
    <x v="321"/>
  </r>
  <r>
    <n v="4428"/>
    <x v="2621"/>
    <x v="319"/>
    <s v="Mrs"/>
    <s v="F"/>
    <n v="60"/>
    <s v="Tehidy Villas"/>
    <x v="833"/>
    <x v="0"/>
    <d v="2020-03-01T00:00:00"/>
    <x v="2"/>
    <x v="5"/>
    <n v="66"/>
    <x v="2"/>
    <x v="2"/>
    <n v="1122"/>
    <x v="771"/>
  </r>
  <r>
    <n v="4429"/>
    <x v="2622"/>
    <x v="1197"/>
    <s v="Ms"/>
    <s v="F"/>
    <n v="30"/>
    <s v="Teignmouth Close"/>
    <x v="817"/>
    <x v="26"/>
    <d v="2021-07-02T00:00:00"/>
    <x v="1"/>
    <x v="0"/>
    <n v="8"/>
    <x v="8"/>
    <x v="8"/>
    <n v="160"/>
    <x v="612"/>
  </r>
  <r>
    <n v="4430"/>
    <x v="2623"/>
    <x v="1417"/>
    <s v="Miss"/>
    <s v="F"/>
    <n v="90"/>
    <s v="Telfer Close"/>
    <x v="1007"/>
    <x v="2"/>
    <d v="2021-06-07T00:00:00"/>
    <x v="1"/>
    <x v="2"/>
    <n v="30"/>
    <x v="7"/>
    <x v="7"/>
    <n v="600"/>
    <x v="406"/>
  </r>
  <r>
    <n v="4431"/>
    <x v="2624"/>
    <x v="448"/>
    <s v="Mrs"/>
    <s v="F"/>
    <n v="60"/>
    <s v="Templar Street"/>
    <x v="17"/>
    <x v="2"/>
    <d v="2020-03-10T00:00:00"/>
    <x v="2"/>
    <x v="5"/>
    <n v="38"/>
    <x v="3"/>
    <x v="3"/>
    <n v="912"/>
    <x v="117"/>
  </r>
  <r>
    <n v="4432"/>
    <x v="2269"/>
    <x v="1765"/>
    <s v="Mrs"/>
    <s v="F"/>
    <n v="30"/>
    <s v="Temple Buildings"/>
    <x v="1272"/>
    <x v="46"/>
    <d v="2021-12-22T00:00:00"/>
    <x v="1"/>
    <x v="8"/>
    <n v="13"/>
    <x v="5"/>
    <x v="5"/>
    <n v="312"/>
    <x v="647"/>
  </r>
  <r>
    <n v="4433"/>
    <x v="2625"/>
    <x v="193"/>
    <s v="Miss"/>
    <s v="F"/>
    <n v="90"/>
    <s v="Temple Place"/>
    <x v="1300"/>
    <x v="2"/>
    <d v="2021-09-20T00:00:00"/>
    <x v="1"/>
    <x v="9"/>
    <n v="50"/>
    <x v="1"/>
    <x v="1"/>
    <n v="1200"/>
    <x v="19"/>
  </r>
  <r>
    <n v="4434"/>
    <x v="1212"/>
    <x v="491"/>
    <s v="Mr"/>
    <s v="M"/>
    <n v="60"/>
    <s v="Temple Villas"/>
    <x v="324"/>
    <x v="17"/>
    <d v="2021-11-16T00:00:00"/>
    <x v="1"/>
    <x v="7"/>
    <n v="5"/>
    <x v="6"/>
    <x v="6"/>
    <n v="120"/>
    <x v="966"/>
  </r>
  <r>
    <n v="4435"/>
    <x v="2626"/>
    <x v="1347"/>
    <s v="Mrs"/>
    <s v="F"/>
    <n v="30"/>
    <s v="Templeman Road"/>
    <x v="200"/>
    <x v="13"/>
    <d v="2021-03-04T00:00:00"/>
    <x v="1"/>
    <x v="5"/>
    <n v="39"/>
    <x v="0"/>
    <x v="0"/>
    <n v="780"/>
    <x v="829"/>
  </r>
  <r>
    <n v="4436"/>
    <x v="153"/>
    <x v="1766"/>
    <s v="Mr"/>
    <s v="M"/>
    <n v="90"/>
    <s v="Tenby Close"/>
    <x v="417"/>
    <x v="21"/>
    <d v="2021-09-15T00:00:00"/>
    <x v="1"/>
    <x v="9"/>
    <n v="76"/>
    <x v="3"/>
    <x v="3"/>
    <n v="1824"/>
    <x v="950"/>
  </r>
  <r>
    <n v="4437"/>
    <x v="200"/>
    <x v="1540"/>
    <s v="Mr"/>
    <s v="M"/>
    <n v="90"/>
    <s v="Tenby Road"/>
    <x v="714"/>
    <x v="13"/>
    <d v="2022-01-06T00:00:00"/>
    <x v="0"/>
    <x v="6"/>
    <n v="95"/>
    <x v="2"/>
    <x v="2"/>
    <n v="1615"/>
    <x v="693"/>
  </r>
  <r>
    <n v="4438"/>
    <x v="2592"/>
    <x v="1742"/>
    <s v="Mr"/>
    <s v="M"/>
    <n v="60"/>
    <s v="Tench Street"/>
    <x v="710"/>
    <x v="44"/>
    <d v="2022-05-14T00:00:00"/>
    <x v="0"/>
    <x v="11"/>
    <n v="33"/>
    <x v="3"/>
    <x v="3"/>
    <n v="792"/>
    <x v="442"/>
  </r>
  <r>
    <n v="4439"/>
    <x v="50"/>
    <x v="1177"/>
    <s v="Mr"/>
    <s v="M"/>
    <n v="90"/>
    <s v="Tenison Court"/>
    <x v="224"/>
    <x v="2"/>
    <d v="2021-01-09T00:00:00"/>
    <x v="1"/>
    <x v="6"/>
    <n v="61"/>
    <x v="2"/>
    <x v="2"/>
    <n v="1037"/>
    <x v="81"/>
  </r>
  <r>
    <n v="4440"/>
    <x v="2627"/>
    <x v="352"/>
    <s v="Miss"/>
    <s v="F"/>
    <n v="90"/>
    <s v="Tenter Ground"/>
    <x v="367"/>
    <x v="2"/>
    <d v="2022-03-28T00:00:00"/>
    <x v="0"/>
    <x v="5"/>
    <n v="87"/>
    <x v="9"/>
    <x v="9"/>
    <n v="2088"/>
    <x v="351"/>
  </r>
  <r>
    <n v="4441"/>
    <x v="1458"/>
    <x v="1003"/>
    <s v="Mr"/>
    <s v="M"/>
    <n v="30"/>
    <s v="Tenterden Gardens"/>
    <x v="344"/>
    <x v="46"/>
    <d v="2020-03-09T00:00:00"/>
    <x v="2"/>
    <x v="5"/>
    <n v="24"/>
    <x v="0"/>
    <x v="0"/>
    <n v="480"/>
    <x v="46"/>
  </r>
  <r>
    <n v="4442"/>
    <x v="105"/>
    <x v="470"/>
    <s v="Mr"/>
    <s v="M"/>
    <n v="60"/>
    <s v="Teresa Walk"/>
    <x v="229"/>
    <x v="14"/>
    <d v="2020-01-01T00:00:00"/>
    <x v="2"/>
    <x v="6"/>
    <n v="16"/>
    <x v="1"/>
    <x v="1"/>
    <n v="384"/>
    <x v="441"/>
  </r>
  <r>
    <n v="4443"/>
    <x v="1542"/>
    <x v="116"/>
    <s v="Mr"/>
    <s v="M"/>
    <n v="30"/>
    <s v="Terrace Houses"/>
    <x v="205"/>
    <x v="16"/>
    <d v="2022-12-29T00:00:00"/>
    <x v="0"/>
    <x v="8"/>
    <n v="93"/>
    <x v="9"/>
    <x v="9"/>
    <n v="2232"/>
    <x v="186"/>
  </r>
  <r>
    <n v="4444"/>
    <x v="1654"/>
    <x v="1767"/>
    <s v="Mrs"/>
    <s v="F"/>
    <n v="90"/>
    <s v="Terrace Villas"/>
    <x v="531"/>
    <x v="63"/>
    <d v="2022-09-17T00:00:00"/>
    <x v="0"/>
    <x v="9"/>
    <n v="98"/>
    <x v="8"/>
    <x v="8"/>
    <n v="1960"/>
    <x v="932"/>
  </r>
  <r>
    <n v="4445"/>
    <x v="1961"/>
    <x v="134"/>
    <s v="Mrs"/>
    <s v="F"/>
    <n v="30"/>
    <s v="Terrapin Road"/>
    <x v="454"/>
    <x v="39"/>
    <d v="2021-12-21T00:00:00"/>
    <x v="1"/>
    <x v="8"/>
    <n v="11"/>
    <x v="3"/>
    <x v="3"/>
    <n v="264"/>
    <x v="80"/>
  </r>
  <r>
    <n v="4446"/>
    <x v="1520"/>
    <x v="1419"/>
    <s v="Mr"/>
    <s v="M"/>
    <n v="90"/>
    <s v="Tewkesbury Road"/>
    <x v="1171"/>
    <x v="2"/>
    <d v="2020-07-18T00:00:00"/>
    <x v="2"/>
    <x v="0"/>
    <n v="43"/>
    <x v="2"/>
    <x v="2"/>
    <n v="731"/>
    <x v="996"/>
  </r>
  <r>
    <n v="4447"/>
    <x v="497"/>
    <x v="1564"/>
    <s v="Mr"/>
    <s v="M"/>
    <n v="30"/>
    <s v="Tewkesbury Road"/>
    <x v="49"/>
    <x v="2"/>
    <d v="2020-08-13T00:00:00"/>
    <x v="2"/>
    <x v="3"/>
    <n v="66"/>
    <x v="4"/>
    <x v="4"/>
    <n v="1188"/>
    <x v="15"/>
  </r>
  <r>
    <n v="4448"/>
    <x v="288"/>
    <x v="77"/>
    <s v="Mr"/>
    <s v="M"/>
    <n v="30"/>
    <s v="Tewkesbury Terrace"/>
    <x v="1115"/>
    <x v="17"/>
    <d v="2022-06-15T00:00:00"/>
    <x v="0"/>
    <x v="2"/>
    <n v="74"/>
    <x v="0"/>
    <x v="0"/>
    <n v="1480"/>
    <x v="178"/>
  </r>
  <r>
    <n v="4449"/>
    <x v="2628"/>
    <x v="1253"/>
    <s v="Miss"/>
    <s v="F"/>
    <n v="30"/>
    <s v="Thackeray Avenue"/>
    <x v="479"/>
    <x v="11"/>
    <d v="2021-12-24T00:00:00"/>
    <x v="1"/>
    <x v="8"/>
    <n v="22"/>
    <x v="3"/>
    <x v="3"/>
    <n v="528"/>
    <x v="310"/>
  </r>
  <r>
    <n v="4450"/>
    <x v="2629"/>
    <x v="754"/>
    <s v="Mrs"/>
    <s v="F"/>
    <n v="30"/>
    <s v="Thackeray Close"/>
    <x v="171"/>
    <x v="2"/>
    <d v="2022-02-22T00:00:00"/>
    <x v="0"/>
    <x v="10"/>
    <n v="25"/>
    <x v="3"/>
    <x v="3"/>
    <n v="600"/>
    <x v="340"/>
  </r>
  <r>
    <n v="4451"/>
    <x v="2170"/>
    <x v="760"/>
    <s v="Mr"/>
    <s v="M"/>
    <n v="30"/>
    <s v="Thames Street"/>
    <x v="1221"/>
    <x v="11"/>
    <d v="2021-07-21T00:00:00"/>
    <x v="1"/>
    <x v="0"/>
    <n v="72"/>
    <x v="2"/>
    <x v="2"/>
    <n v="1224"/>
    <x v="61"/>
  </r>
  <r>
    <n v="4452"/>
    <x v="1136"/>
    <x v="836"/>
    <s v="Mr"/>
    <s v="M"/>
    <n v="60"/>
    <s v="Thames Street"/>
    <x v="270"/>
    <x v="2"/>
    <d v="2020-05-05T00:00:00"/>
    <x v="2"/>
    <x v="11"/>
    <n v="70"/>
    <x v="6"/>
    <x v="6"/>
    <n v="1680"/>
    <x v="581"/>
  </r>
  <r>
    <n v="4453"/>
    <x v="510"/>
    <x v="1768"/>
    <s v="Mr"/>
    <s v="M"/>
    <n v="30"/>
    <s v="Thameside Industrial"/>
    <x v="32"/>
    <x v="17"/>
    <d v="2020-11-25T00:00:00"/>
    <x v="2"/>
    <x v="7"/>
    <n v="57"/>
    <x v="3"/>
    <x v="3"/>
    <n v="1368"/>
    <x v="356"/>
  </r>
  <r>
    <n v="4454"/>
    <x v="894"/>
    <x v="961"/>
    <s v="Mr"/>
    <s v="M"/>
    <n v="30"/>
    <s v="Thane Villas"/>
    <x v="797"/>
    <x v="2"/>
    <d v="2022-01-22T00:00:00"/>
    <x v="0"/>
    <x v="6"/>
    <n v="26"/>
    <x v="2"/>
    <x v="2"/>
    <n v="442"/>
    <x v="723"/>
  </r>
  <r>
    <n v="4455"/>
    <x v="2630"/>
    <x v="1769"/>
    <s v="Miss"/>
    <s v="F"/>
    <n v="90"/>
    <s v="Thanet Cottages"/>
    <x v="232"/>
    <x v="1"/>
    <d v="2020-07-09T00:00:00"/>
    <x v="2"/>
    <x v="0"/>
    <n v="79"/>
    <x v="1"/>
    <x v="1"/>
    <n v="1896"/>
    <x v="739"/>
  </r>
  <r>
    <n v="4456"/>
    <x v="2631"/>
    <x v="1096"/>
    <s v="Miss"/>
    <s v="F"/>
    <n v="30"/>
    <s v="Thanet Street"/>
    <x v="74"/>
    <x v="10"/>
    <d v="2022-02-16T00:00:00"/>
    <x v="0"/>
    <x v="10"/>
    <n v="74"/>
    <x v="0"/>
    <x v="0"/>
    <n v="1480"/>
    <x v="178"/>
  </r>
  <r>
    <n v="4457"/>
    <x v="2632"/>
    <x v="1770"/>
    <s v="Mrs"/>
    <s v="F"/>
    <n v="60"/>
    <s v="Thatchouse Court"/>
    <x v="1075"/>
    <x v="16"/>
    <d v="2020-02-03T00:00:00"/>
    <x v="2"/>
    <x v="10"/>
    <n v="44"/>
    <x v="6"/>
    <x v="6"/>
    <n v="1056"/>
    <x v="422"/>
  </r>
  <r>
    <n v="4458"/>
    <x v="1668"/>
    <x v="415"/>
    <s v="Mr"/>
    <s v="M"/>
    <n v="30"/>
    <s v="Thatchouse Court"/>
    <x v="912"/>
    <x v="2"/>
    <d v="2022-05-31T00:00:00"/>
    <x v="0"/>
    <x v="11"/>
    <n v="76"/>
    <x v="7"/>
    <x v="7"/>
    <n v="1520"/>
    <x v="429"/>
  </r>
  <r>
    <n v="4459"/>
    <x v="1595"/>
    <x v="21"/>
    <s v="Mr"/>
    <s v="M"/>
    <n v="60"/>
    <s v="Thaxted Road"/>
    <x v="1146"/>
    <x v="21"/>
    <d v="2020-05-21T00:00:00"/>
    <x v="2"/>
    <x v="11"/>
    <n v="49"/>
    <x v="4"/>
    <x v="4"/>
    <n v="882"/>
    <x v="680"/>
  </r>
  <r>
    <n v="4460"/>
    <x v="2135"/>
    <x v="121"/>
    <s v="Mr"/>
    <s v="M"/>
    <n v="30"/>
    <s v="Thayer Street"/>
    <x v="1301"/>
    <x v="2"/>
    <d v="2021-03-13T00:00:00"/>
    <x v="1"/>
    <x v="5"/>
    <n v="81"/>
    <x v="5"/>
    <x v="5"/>
    <n v="1944"/>
    <x v="799"/>
  </r>
  <r>
    <n v="4461"/>
    <x v="1364"/>
    <x v="1293"/>
    <s v="Miss"/>
    <s v="F"/>
    <n v="30"/>
    <s v="The Alders"/>
    <x v="979"/>
    <x v="2"/>
    <d v="2022-01-14T00:00:00"/>
    <x v="0"/>
    <x v="6"/>
    <n v="69"/>
    <x v="1"/>
    <x v="1"/>
    <n v="1656"/>
    <x v="138"/>
  </r>
  <r>
    <n v="4462"/>
    <x v="2633"/>
    <x v="197"/>
    <s v="Mr"/>
    <s v="M"/>
    <n v="30"/>
    <s v="The Brookdales"/>
    <x v="293"/>
    <x v="2"/>
    <d v="2020-09-12T00:00:00"/>
    <x v="2"/>
    <x v="9"/>
    <n v="74"/>
    <x v="9"/>
    <x v="9"/>
    <n v="1776"/>
    <x v="525"/>
  </r>
  <r>
    <n v="4463"/>
    <x v="2147"/>
    <x v="9"/>
    <s v="Mrs"/>
    <s v="F"/>
    <n v="60"/>
    <s v="The Byeway"/>
    <x v="201"/>
    <x v="2"/>
    <d v="2020-07-01T00:00:00"/>
    <x v="2"/>
    <x v="0"/>
    <n v="36"/>
    <x v="2"/>
    <x v="2"/>
    <n v="612"/>
    <x v="832"/>
  </r>
  <r>
    <n v="4464"/>
    <x v="2545"/>
    <x v="537"/>
    <s v="Mr"/>
    <s v="M"/>
    <n v="60"/>
    <s v="The Castle"/>
    <x v="738"/>
    <x v="1"/>
    <d v="2020-10-29T00:00:00"/>
    <x v="2"/>
    <x v="1"/>
    <n v="47"/>
    <x v="2"/>
    <x v="2"/>
    <n v="799"/>
    <x v="670"/>
  </r>
  <r>
    <n v="4465"/>
    <x v="2634"/>
    <x v="832"/>
    <s v="Miss"/>
    <s v="F"/>
    <n v="60"/>
    <s v="The Causeway"/>
    <x v="313"/>
    <x v="49"/>
    <d v="2021-12-23T00:00:00"/>
    <x v="1"/>
    <x v="8"/>
    <n v="43"/>
    <x v="0"/>
    <x v="0"/>
    <n v="860"/>
    <x v="109"/>
  </r>
  <r>
    <n v="4466"/>
    <x v="1164"/>
    <x v="1771"/>
    <s v="Miss"/>
    <s v="F"/>
    <n v="60"/>
    <s v="The City"/>
    <x v="188"/>
    <x v="11"/>
    <d v="2020-01-23T00:00:00"/>
    <x v="2"/>
    <x v="6"/>
    <n v="23"/>
    <x v="0"/>
    <x v="0"/>
    <n v="460"/>
    <x v="917"/>
  </r>
  <r>
    <n v="4467"/>
    <x v="2114"/>
    <x v="1611"/>
    <s v="Miss"/>
    <s v="F"/>
    <n v="30"/>
    <s v="The Concourse"/>
    <x v="343"/>
    <x v="56"/>
    <d v="2020-01-16T00:00:00"/>
    <x v="2"/>
    <x v="6"/>
    <n v="63"/>
    <x v="9"/>
    <x v="9"/>
    <n v="1512"/>
    <x v="355"/>
  </r>
  <r>
    <n v="4468"/>
    <x v="2277"/>
    <x v="1772"/>
    <s v="Miss"/>
    <s v="F"/>
    <n v="60"/>
    <s v="The Curiosities"/>
    <x v="464"/>
    <x v="1"/>
    <d v="2021-05-23T00:00:00"/>
    <x v="1"/>
    <x v="11"/>
    <n v="33"/>
    <x v="5"/>
    <x v="5"/>
    <n v="792"/>
    <x v="523"/>
  </r>
  <r>
    <n v="4469"/>
    <x v="290"/>
    <x v="1231"/>
    <s v="Mrs"/>
    <s v="F"/>
    <n v="60"/>
    <s v="The Dell"/>
    <x v="635"/>
    <x v="3"/>
    <d v="2022-08-23T00:00:00"/>
    <x v="0"/>
    <x v="3"/>
    <n v="24"/>
    <x v="1"/>
    <x v="1"/>
    <n v="576"/>
    <x v="837"/>
  </r>
  <r>
    <n v="4470"/>
    <x v="334"/>
    <x v="912"/>
    <s v="Mr"/>
    <s v="M"/>
    <n v="90"/>
    <s v="The Galleries"/>
    <x v="548"/>
    <x v="11"/>
    <d v="2021-08-12T00:00:00"/>
    <x v="1"/>
    <x v="3"/>
    <n v="67"/>
    <x v="7"/>
    <x v="7"/>
    <n v="1340"/>
    <x v="659"/>
  </r>
  <r>
    <n v="4471"/>
    <x v="2635"/>
    <x v="1097"/>
    <s v="Miss"/>
    <s v="F"/>
    <n v="30"/>
    <s v="The Grangeway"/>
    <x v="1302"/>
    <x v="2"/>
    <d v="2020-10-26T00:00:00"/>
    <x v="2"/>
    <x v="1"/>
    <n v="61"/>
    <x v="1"/>
    <x v="1"/>
    <n v="1464"/>
    <x v="490"/>
  </r>
  <r>
    <n v="4472"/>
    <x v="1937"/>
    <x v="617"/>
    <s v="Mr"/>
    <s v="M"/>
    <n v="30"/>
    <s v="The Hale"/>
    <x v="1303"/>
    <x v="17"/>
    <d v="2021-01-13T00:00:00"/>
    <x v="1"/>
    <x v="6"/>
    <n v="78"/>
    <x v="3"/>
    <x v="3"/>
    <n v="1872"/>
    <x v="713"/>
  </r>
  <r>
    <n v="4473"/>
    <x v="2636"/>
    <x v="68"/>
    <s v="Mr"/>
    <s v="M"/>
    <n v="30"/>
    <s v="The Hawthorns"/>
    <x v="244"/>
    <x v="1"/>
    <d v="2020-06-16T00:00:00"/>
    <x v="2"/>
    <x v="2"/>
    <n v="85"/>
    <x v="3"/>
    <x v="3"/>
    <n v="2040"/>
    <x v="573"/>
  </r>
  <r>
    <n v="4474"/>
    <x v="2637"/>
    <x v="746"/>
    <s v="Mr"/>
    <s v="M"/>
    <n v="90"/>
    <s v="The Homesteads"/>
    <x v="1130"/>
    <x v="2"/>
    <d v="2022-02-02T00:00:00"/>
    <x v="0"/>
    <x v="10"/>
    <n v="59"/>
    <x v="4"/>
    <x v="4"/>
    <n v="1062"/>
    <x v="750"/>
  </r>
  <r>
    <n v="4475"/>
    <x v="578"/>
    <x v="481"/>
    <s v="Mr"/>
    <s v="M"/>
    <n v="60"/>
    <s v="The Keep"/>
    <x v="1304"/>
    <x v="3"/>
    <d v="2020-03-07T00:00:00"/>
    <x v="2"/>
    <x v="5"/>
    <n v="10"/>
    <x v="4"/>
    <x v="4"/>
    <n v="180"/>
    <x v="427"/>
  </r>
  <r>
    <n v="4476"/>
    <x v="120"/>
    <x v="1752"/>
    <s v="Mr"/>
    <s v="M"/>
    <n v="30"/>
    <s v="The Larches"/>
    <x v="281"/>
    <x v="2"/>
    <d v="2020-06-06T00:00:00"/>
    <x v="2"/>
    <x v="2"/>
    <n v="42"/>
    <x v="0"/>
    <x v="0"/>
    <n v="840"/>
    <x v="272"/>
  </r>
  <r>
    <n v="4477"/>
    <x v="2105"/>
    <x v="138"/>
    <s v="Dr"/>
    <s v="F"/>
    <n v="60"/>
    <s v="The Laurels"/>
    <x v="429"/>
    <x v="1"/>
    <d v="2022-04-06T00:00:00"/>
    <x v="0"/>
    <x v="4"/>
    <n v="33"/>
    <x v="4"/>
    <x v="4"/>
    <n v="594"/>
    <x v="469"/>
  </r>
  <r>
    <n v="4478"/>
    <x v="2204"/>
    <x v="381"/>
    <s v="Mr"/>
    <s v="M"/>
    <n v="90"/>
    <s v="The Laurels"/>
    <x v="596"/>
    <x v="2"/>
    <d v="2022-01-13T00:00:00"/>
    <x v="0"/>
    <x v="6"/>
    <n v="16"/>
    <x v="2"/>
    <x v="2"/>
    <n v="272"/>
    <x v="359"/>
  </r>
  <r>
    <n v="4479"/>
    <x v="1330"/>
    <x v="1773"/>
    <s v="Mr"/>
    <s v="M"/>
    <n v="90"/>
    <s v="The Lincolns"/>
    <x v="1098"/>
    <x v="2"/>
    <d v="2020-03-18T00:00:00"/>
    <x v="2"/>
    <x v="5"/>
    <n v="65"/>
    <x v="7"/>
    <x v="7"/>
    <n v="1300"/>
    <x v="445"/>
  </r>
  <r>
    <n v="4480"/>
    <x v="1393"/>
    <x v="388"/>
    <s v="Mr"/>
    <s v="M"/>
    <n v="60"/>
    <s v="The London"/>
    <x v="762"/>
    <x v="43"/>
    <d v="2020-06-17T00:00:00"/>
    <x v="2"/>
    <x v="2"/>
    <n v="13"/>
    <x v="3"/>
    <x v="3"/>
    <n v="312"/>
    <x v="296"/>
  </r>
  <r>
    <n v="4481"/>
    <x v="507"/>
    <x v="1032"/>
    <s v="Mr"/>
    <s v="M"/>
    <n v="60"/>
    <s v="The Moorings"/>
    <x v="796"/>
    <x v="83"/>
    <d v="2021-04-14T00:00:00"/>
    <x v="1"/>
    <x v="4"/>
    <n v="69"/>
    <x v="2"/>
    <x v="2"/>
    <n v="1173"/>
    <x v="875"/>
  </r>
  <r>
    <n v="4482"/>
    <x v="2638"/>
    <x v="1246"/>
    <s v="Mrs"/>
    <s v="F"/>
    <n v="60"/>
    <s v="The Moorings"/>
    <x v="731"/>
    <x v="2"/>
    <d v="2021-04-29T00:00:00"/>
    <x v="1"/>
    <x v="4"/>
    <n v="45"/>
    <x v="6"/>
    <x v="6"/>
    <n v="1080"/>
    <x v="570"/>
  </r>
  <r>
    <n v="4483"/>
    <x v="2639"/>
    <x v="721"/>
    <s v="Mrs"/>
    <s v="F"/>
    <n v="90"/>
    <s v="The Opening"/>
    <x v="133"/>
    <x v="17"/>
    <d v="2022-07-22T00:00:00"/>
    <x v="0"/>
    <x v="0"/>
    <n v="66"/>
    <x v="7"/>
    <x v="7"/>
    <n v="1320"/>
    <x v="916"/>
  </r>
  <r>
    <n v="4484"/>
    <x v="648"/>
    <x v="1445"/>
    <s v="Mr"/>
    <s v="M"/>
    <n v="60"/>
    <s v="The Oval"/>
    <x v="924"/>
    <x v="4"/>
    <d v="2022-01-18T00:00:00"/>
    <x v="0"/>
    <x v="6"/>
    <n v="55"/>
    <x v="2"/>
    <x v="2"/>
    <n v="935"/>
    <x v="773"/>
  </r>
  <r>
    <n v="4485"/>
    <x v="2640"/>
    <x v="1589"/>
    <s v="Miss"/>
    <s v="F"/>
    <n v="60"/>
    <s v="The Pavement"/>
    <x v="527"/>
    <x v="2"/>
    <d v="2021-03-02T00:00:00"/>
    <x v="1"/>
    <x v="5"/>
    <n v="45"/>
    <x v="6"/>
    <x v="6"/>
    <n v="1080"/>
    <x v="570"/>
  </r>
  <r>
    <n v="4486"/>
    <x v="977"/>
    <x v="1380"/>
    <s v="Mr"/>
    <s v="M"/>
    <n v="90"/>
    <s v="The Platt"/>
    <x v="729"/>
    <x v="44"/>
    <d v="2022-10-09T00:00:00"/>
    <x v="0"/>
    <x v="1"/>
    <n v="92"/>
    <x v="1"/>
    <x v="1"/>
    <n v="2208"/>
    <x v="797"/>
  </r>
  <r>
    <n v="4487"/>
    <x v="302"/>
    <x v="1081"/>
    <s v="Mr"/>
    <s v="M"/>
    <n v="60"/>
    <s v="The Royal"/>
    <x v="288"/>
    <x v="2"/>
    <d v="2020-12-30T00:00:00"/>
    <x v="2"/>
    <x v="8"/>
    <n v="68"/>
    <x v="7"/>
    <x v="7"/>
    <n v="1360"/>
    <x v="370"/>
  </r>
  <r>
    <n v="4488"/>
    <x v="2206"/>
    <x v="1460"/>
    <s v="Mrs"/>
    <s v="F"/>
    <n v="30"/>
    <s v="The Sanctuary"/>
    <x v="341"/>
    <x v="21"/>
    <d v="2021-02-16T00:00:00"/>
    <x v="1"/>
    <x v="10"/>
    <n v="28"/>
    <x v="4"/>
    <x v="4"/>
    <n v="504"/>
    <x v="756"/>
  </r>
  <r>
    <n v="4489"/>
    <x v="2101"/>
    <x v="868"/>
    <s v="Rev"/>
    <s v="M"/>
    <n v="60"/>
    <s v="The Sandlings"/>
    <x v="894"/>
    <x v="15"/>
    <d v="2020-03-26T00:00:00"/>
    <x v="2"/>
    <x v="5"/>
    <n v="12"/>
    <x v="2"/>
    <x v="2"/>
    <n v="204"/>
    <x v="578"/>
  </r>
  <r>
    <n v="4490"/>
    <x v="1651"/>
    <x v="221"/>
    <s v="Dr"/>
    <s v="M"/>
    <n v="90"/>
    <s v="The View"/>
    <x v="837"/>
    <x v="2"/>
    <d v="2020-02-19T00:00:00"/>
    <x v="2"/>
    <x v="10"/>
    <n v="47"/>
    <x v="4"/>
    <x v="4"/>
    <n v="846"/>
    <x v="78"/>
  </r>
  <r>
    <n v="4491"/>
    <x v="1536"/>
    <x v="21"/>
    <s v="Mr"/>
    <s v="M"/>
    <n v="30"/>
    <s v="The Vineries"/>
    <x v="956"/>
    <x v="2"/>
    <d v="2020-09-05T00:00:00"/>
    <x v="2"/>
    <x v="9"/>
    <n v="4"/>
    <x v="7"/>
    <x v="7"/>
    <n v="80"/>
    <x v="192"/>
  </r>
  <r>
    <n v="4492"/>
    <x v="2641"/>
    <x v="1774"/>
    <s v="Mrs"/>
    <s v="F"/>
    <n v="30"/>
    <s v="The Wells"/>
    <x v="52"/>
    <x v="2"/>
    <d v="2020-06-13T00:00:00"/>
    <x v="2"/>
    <x v="2"/>
    <n v="23"/>
    <x v="6"/>
    <x v="6"/>
    <n v="552"/>
    <x v="595"/>
  </r>
  <r>
    <n v="4493"/>
    <x v="293"/>
    <x v="1775"/>
    <s v="Mr"/>
    <s v="M"/>
    <n v="90"/>
    <s v="Theobald Road"/>
    <x v="434"/>
    <x v="10"/>
    <d v="2022-04-06T00:00:00"/>
    <x v="0"/>
    <x v="4"/>
    <n v="32"/>
    <x v="3"/>
    <x v="3"/>
    <n v="768"/>
    <x v="282"/>
  </r>
  <r>
    <n v="4494"/>
    <x v="2642"/>
    <x v="338"/>
    <s v="Ms"/>
    <s v="F"/>
    <n v="60"/>
    <s v="Theobalds Cottages"/>
    <x v="330"/>
    <x v="21"/>
    <d v="2022-04-16T00:00:00"/>
    <x v="0"/>
    <x v="4"/>
    <n v="48"/>
    <x v="9"/>
    <x v="9"/>
    <n v="1152"/>
    <x v="668"/>
  </r>
  <r>
    <n v="4495"/>
    <x v="2643"/>
    <x v="192"/>
    <s v="Mr"/>
    <s v="M"/>
    <n v="90"/>
    <s v="Theodore Road"/>
    <x v="544"/>
    <x v="2"/>
    <d v="2020-10-03T00:00:00"/>
    <x v="2"/>
    <x v="1"/>
    <n v="22"/>
    <x v="2"/>
    <x v="2"/>
    <n v="374"/>
    <x v="871"/>
  </r>
  <r>
    <n v="4496"/>
    <x v="1959"/>
    <x v="906"/>
    <s v="Mr"/>
    <s v="M"/>
    <n v="90"/>
    <s v="Theodore Road"/>
    <x v="414"/>
    <x v="2"/>
    <d v="2020-09-18T00:00:00"/>
    <x v="2"/>
    <x v="9"/>
    <n v="43"/>
    <x v="5"/>
    <x v="5"/>
    <n v="1032"/>
    <x v="425"/>
  </r>
  <r>
    <n v="4497"/>
    <x v="2644"/>
    <x v="1290"/>
    <s v="Mr"/>
    <s v="M"/>
    <n v="30"/>
    <s v="Theresa Road"/>
    <x v="1049"/>
    <x v="16"/>
    <d v="2021-04-20T00:00:00"/>
    <x v="1"/>
    <x v="4"/>
    <n v="71"/>
    <x v="1"/>
    <x v="1"/>
    <n v="1704"/>
    <x v="77"/>
  </r>
  <r>
    <n v="4498"/>
    <x v="245"/>
    <x v="1776"/>
    <s v="Mr"/>
    <s v="M"/>
    <n v="90"/>
    <s v="Thetford Cottages"/>
    <x v="310"/>
    <x v="2"/>
    <d v="2020-12-05T00:00:00"/>
    <x v="2"/>
    <x v="8"/>
    <n v="21"/>
    <x v="2"/>
    <x v="2"/>
    <n v="357"/>
    <x v="919"/>
  </r>
  <r>
    <n v="4499"/>
    <x v="2645"/>
    <x v="467"/>
    <s v="Mrs"/>
    <s v="F"/>
    <n v="60"/>
    <s v="Thirlmere Road"/>
    <x v="1133"/>
    <x v="2"/>
    <d v="2020-07-26T00:00:00"/>
    <x v="2"/>
    <x v="0"/>
    <n v="62"/>
    <x v="5"/>
    <x v="5"/>
    <n v="1488"/>
    <x v="777"/>
  </r>
  <r>
    <n v="4500"/>
    <x v="886"/>
    <x v="1231"/>
    <s v="Mrs"/>
    <s v="F"/>
    <n v="60"/>
    <s v="Thirza Place"/>
    <x v="1196"/>
    <x v="12"/>
    <d v="2021-04-21T00:00:00"/>
    <x v="1"/>
    <x v="4"/>
    <n v="18"/>
    <x v="5"/>
    <x v="5"/>
    <n v="432"/>
    <x v="985"/>
  </r>
  <r>
    <n v="4501"/>
    <x v="1150"/>
    <x v="140"/>
    <s v="Miss"/>
    <s v="F"/>
    <n v="90"/>
    <s v="Thistlebrook"/>
    <x v="1167"/>
    <x v="21"/>
    <d v="2021-05-18T00:00:00"/>
    <x v="1"/>
    <x v="11"/>
    <n v="73"/>
    <x v="9"/>
    <x v="9"/>
    <n v="1752"/>
    <x v="152"/>
  </r>
  <r>
    <n v="4502"/>
    <x v="2646"/>
    <x v="484"/>
    <s v="Dr"/>
    <s v="F"/>
    <n v="30"/>
    <s v="Thistlewaite Road"/>
    <x v="1238"/>
    <x v="2"/>
    <d v="2021-06-04T00:00:00"/>
    <x v="1"/>
    <x v="2"/>
    <n v="60"/>
    <x v="2"/>
    <x v="2"/>
    <n v="1020"/>
    <x v="521"/>
  </r>
  <r>
    <n v="4503"/>
    <x v="2647"/>
    <x v="453"/>
    <s v="Mrs"/>
    <s v="F"/>
    <n v="90"/>
    <s v="Thomas Cottages"/>
    <x v="828"/>
    <x v="15"/>
    <d v="2021-03-30T00:00:00"/>
    <x v="1"/>
    <x v="5"/>
    <n v="62"/>
    <x v="0"/>
    <x v="0"/>
    <n v="1240"/>
    <x v="632"/>
  </r>
  <r>
    <n v="4504"/>
    <x v="1187"/>
    <x v="95"/>
    <s v="Mrs"/>
    <s v="F"/>
    <n v="60"/>
    <s v="Thomas'S Passage"/>
    <x v="980"/>
    <x v="2"/>
    <d v="2020-07-26T00:00:00"/>
    <x v="2"/>
    <x v="0"/>
    <n v="47"/>
    <x v="1"/>
    <x v="1"/>
    <n v="1128"/>
    <x v="147"/>
  </r>
  <r>
    <n v="4505"/>
    <x v="2648"/>
    <x v="414"/>
    <s v="Mrs"/>
    <s v="F"/>
    <n v="30"/>
    <s v="Thornbury"/>
    <x v="384"/>
    <x v="1"/>
    <d v="2020-03-03T00:00:00"/>
    <x v="2"/>
    <x v="5"/>
    <n v="14"/>
    <x v="5"/>
    <x v="5"/>
    <n v="336"/>
    <x v="276"/>
  </r>
  <r>
    <n v="4506"/>
    <x v="2649"/>
    <x v="1777"/>
    <s v="Miss"/>
    <s v="F"/>
    <n v="90"/>
    <s v="Thornbury Close"/>
    <x v="704"/>
    <x v="21"/>
    <d v="2021-10-14T00:00:00"/>
    <x v="1"/>
    <x v="1"/>
    <n v="81"/>
    <x v="2"/>
    <x v="2"/>
    <n v="1377"/>
    <x v="293"/>
  </r>
  <r>
    <n v="4507"/>
    <x v="39"/>
    <x v="407"/>
    <s v="Mr"/>
    <s v="M"/>
    <n v="90"/>
    <s v="Thorndike Close"/>
    <x v="387"/>
    <x v="11"/>
    <d v="2021-07-26T00:00:00"/>
    <x v="1"/>
    <x v="0"/>
    <n v="42"/>
    <x v="6"/>
    <x v="6"/>
    <n v="1008"/>
    <x v="162"/>
  </r>
  <r>
    <n v="4508"/>
    <x v="2650"/>
    <x v="1496"/>
    <s v="Miss"/>
    <s v="F"/>
    <n v="60"/>
    <s v="Thorngate Road"/>
    <x v="273"/>
    <x v="1"/>
    <d v="2022-03-06T00:00:00"/>
    <x v="0"/>
    <x v="5"/>
    <n v="69"/>
    <x v="5"/>
    <x v="5"/>
    <n v="1656"/>
    <x v="857"/>
  </r>
  <r>
    <n v="4509"/>
    <x v="1142"/>
    <x v="682"/>
    <s v="Mr"/>
    <s v="M"/>
    <n v="90"/>
    <s v="Thorngrove Road"/>
    <x v="1204"/>
    <x v="3"/>
    <d v="2021-05-22T00:00:00"/>
    <x v="1"/>
    <x v="11"/>
    <n v="38"/>
    <x v="7"/>
    <x v="7"/>
    <n v="760"/>
    <x v="121"/>
  </r>
  <r>
    <n v="4510"/>
    <x v="1742"/>
    <x v="774"/>
    <s v="Mr"/>
    <s v="M"/>
    <n v="90"/>
    <s v="Thornhill Street"/>
    <x v="277"/>
    <x v="13"/>
    <d v="2022-07-02T00:00:00"/>
    <x v="0"/>
    <x v="0"/>
    <n v="38"/>
    <x v="6"/>
    <x v="6"/>
    <n v="912"/>
    <x v="350"/>
  </r>
  <r>
    <n v="4511"/>
    <x v="1983"/>
    <x v="449"/>
    <s v="Miss"/>
    <s v="F"/>
    <n v="30"/>
    <s v="Thornley Place"/>
    <x v="485"/>
    <x v="15"/>
    <d v="2020-06-25T00:00:00"/>
    <x v="2"/>
    <x v="2"/>
    <n v="76"/>
    <x v="3"/>
    <x v="3"/>
    <n v="1824"/>
    <x v="950"/>
  </r>
  <r>
    <n v="4512"/>
    <x v="660"/>
    <x v="670"/>
    <s v="Miss"/>
    <s v="F"/>
    <n v="30"/>
    <s v="Thornwood Close"/>
    <x v="569"/>
    <x v="2"/>
    <d v="2020-08-26T00:00:00"/>
    <x v="2"/>
    <x v="3"/>
    <n v="60"/>
    <x v="7"/>
    <x v="7"/>
    <n v="1200"/>
    <x v="1001"/>
  </r>
  <r>
    <n v="4513"/>
    <x v="2651"/>
    <x v="119"/>
    <s v="Miss"/>
    <s v="F"/>
    <n v="30"/>
    <s v="Thoydon Road"/>
    <x v="1076"/>
    <x v="2"/>
    <d v="2022-03-19T00:00:00"/>
    <x v="0"/>
    <x v="5"/>
    <n v="79"/>
    <x v="4"/>
    <x v="4"/>
    <n v="1422"/>
    <x v="5"/>
  </r>
  <r>
    <n v="4514"/>
    <x v="2652"/>
    <x v="819"/>
    <s v="Miss"/>
    <s v="F"/>
    <n v="30"/>
    <s v="Thrale Street"/>
    <x v="1169"/>
    <x v="2"/>
    <d v="2021-09-13T00:00:00"/>
    <x v="1"/>
    <x v="9"/>
    <n v="8"/>
    <x v="1"/>
    <x v="1"/>
    <n v="192"/>
    <x v="180"/>
  </r>
  <r>
    <n v="4515"/>
    <x v="2048"/>
    <x v="985"/>
    <s v="Mr"/>
    <s v="M"/>
    <n v="90"/>
    <s v="Thrawl Street"/>
    <x v="1232"/>
    <x v="21"/>
    <d v="2021-01-25T00:00:00"/>
    <x v="1"/>
    <x v="6"/>
    <n v="68"/>
    <x v="8"/>
    <x v="8"/>
    <n v="1360"/>
    <x v="721"/>
  </r>
  <r>
    <n v="4516"/>
    <x v="1211"/>
    <x v="1390"/>
    <s v="Mr"/>
    <s v="M"/>
    <n v="90"/>
    <s v="Three Crane"/>
    <x v="447"/>
    <x v="3"/>
    <d v="2021-07-02T00:00:00"/>
    <x v="1"/>
    <x v="0"/>
    <n v="37"/>
    <x v="3"/>
    <x v="3"/>
    <n v="888"/>
    <x v="562"/>
  </r>
  <r>
    <n v="4517"/>
    <x v="2653"/>
    <x v="1067"/>
    <s v="Miss"/>
    <s v="F"/>
    <n v="90"/>
    <s v="Three Cups"/>
    <x v="903"/>
    <x v="2"/>
    <d v="2021-02-25T00:00:00"/>
    <x v="1"/>
    <x v="10"/>
    <n v="68"/>
    <x v="2"/>
    <x v="2"/>
    <n v="1156"/>
    <x v="21"/>
  </r>
  <r>
    <n v="4518"/>
    <x v="1549"/>
    <x v="1586"/>
    <s v="Mr"/>
    <s v="M"/>
    <n v="30"/>
    <s v="Three Tuns"/>
    <x v="1048"/>
    <x v="11"/>
    <d v="2022-09-14T00:00:00"/>
    <x v="0"/>
    <x v="9"/>
    <n v="55"/>
    <x v="5"/>
    <x v="5"/>
    <n v="1320"/>
    <x v="29"/>
  </r>
  <r>
    <n v="4519"/>
    <x v="750"/>
    <x v="239"/>
    <s v="Mrs"/>
    <s v="F"/>
    <n v="30"/>
    <s v="Three Tuns"/>
    <x v="569"/>
    <x v="2"/>
    <d v="2022-07-08T00:00:00"/>
    <x v="0"/>
    <x v="0"/>
    <n v="13"/>
    <x v="6"/>
    <x v="6"/>
    <n v="312"/>
    <x v="846"/>
  </r>
  <r>
    <n v="4520"/>
    <x v="2654"/>
    <x v="213"/>
    <s v="Miss"/>
    <s v="F"/>
    <n v="60"/>
    <s v="Three Turks"/>
    <x v="561"/>
    <x v="1"/>
    <d v="2022-04-18T00:00:00"/>
    <x v="0"/>
    <x v="4"/>
    <n v="67"/>
    <x v="1"/>
    <x v="1"/>
    <n v="1608"/>
    <x v="865"/>
  </r>
  <r>
    <n v="4521"/>
    <x v="2655"/>
    <x v="719"/>
    <s v="Mrs"/>
    <s v="F"/>
    <n v="90"/>
    <s v="Throgmorton Chambers"/>
    <x v="486"/>
    <x v="3"/>
    <d v="2020-01-27T00:00:00"/>
    <x v="2"/>
    <x v="6"/>
    <n v="51"/>
    <x v="8"/>
    <x v="8"/>
    <n v="1020"/>
    <x v="126"/>
  </r>
  <r>
    <n v="4522"/>
    <x v="2209"/>
    <x v="690"/>
    <s v="Mrs"/>
    <s v="F"/>
    <n v="90"/>
    <s v="Throwley Close"/>
    <x v="771"/>
    <x v="31"/>
    <d v="2022-11-14T00:00:00"/>
    <x v="0"/>
    <x v="7"/>
    <n v="4"/>
    <x v="9"/>
    <x v="9"/>
    <n v="96"/>
    <x v="181"/>
  </r>
  <r>
    <n v="4523"/>
    <x v="2656"/>
    <x v="1501"/>
    <s v="Miss"/>
    <s v="F"/>
    <n v="60"/>
    <s v="Thurliegh Road"/>
    <x v="512"/>
    <x v="2"/>
    <d v="2020-09-15T00:00:00"/>
    <x v="2"/>
    <x v="9"/>
    <n v="19"/>
    <x v="1"/>
    <x v="1"/>
    <n v="456"/>
    <x v="845"/>
  </r>
  <r>
    <n v="4524"/>
    <x v="2657"/>
    <x v="443"/>
    <s v="Miss"/>
    <s v="F"/>
    <n v="30"/>
    <s v="Thurliegh Road"/>
    <x v="625"/>
    <x v="2"/>
    <d v="2021-10-08T00:00:00"/>
    <x v="1"/>
    <x v="1"/>
    <n v="48"/>
    <x v="7"/>
    <x v="7"/>
    <n v="960"/>
    <x v="953"/>
  </r>
  <r>
    <n v="4525"/>
    <x v="2658"/>
    <x v="346"/>
    <s v="Mrs"/>
    <s v="F"/>
    <n v="60"/>
    <s v="Thurloe Place"/>
    <x v="731"/>
    <x v="2"/>
    <d v="2021-10-30T00:00:00"/>
    <x v="1"/>
    <x v="1"/>
    <n v="69"/>
    <x v="2"/>
    <x v="2"/>
    <n v="1173"/>
    <x v="875"/>
  </r>
  <r>
    <n v="4526"/>
    <x v="2308"/>
    <x v="43"/>
    <s v="Dr"/>
    <s v="F"/>
    <n v="90"/>
    <s v="Thursa Terrace"/>
    <x v="146"/>
    <x v="2"/>
    <d v="2020-01-12T00:00:00"/>
    <x v="2"/>
    <x v="6"/>
    <n v="57"/>
    <x v="9"/>
    <x v="9"/>
    <n v="1368"/>
    <x v="313"/>
  </r>
  <r>
    <n v="4527"/>
    <x v="1249"/>
    <x v="519"/>
    <s v="Mr"/>
    <s v="M"/>
    <n v="90"/>
    <s v="Thurso Street"/>
    <x v="393"/>
    <x v="16"/>
    <d v="2022-09-04T00:00:00"/>
    <x v="0"/>
    <x v="9"/>
    <n v="35"/>
    <x v="2"/>
    <x v="2"/>
    <n v="595"/>
    <x v="386"/>
  </r>
  <r>
    <n v="4528"/>
    <x v="2220"/>
    <x v="1768"/>
    <s v="Mr"/>
    <s v="M"/>
    <n v="30"/>
    <s v="Thyra Grove"/>
    <x v="722"/>
    <x v="2"/>
    <d v="2021-12-09T00:00:00"/>
    <x v="1"/>
    <x v="8"/>
    <n v="77"/>
    <x v="3"/>
    <x v="3"/>
    <n v="1848"/>
    <x v="330"/>
  </r>
  <r>
    <n v="4529"/>
    <x v="783"/>
    <x v="1374"/>
    <s v="Mr"/>
    <s v="M"/>
    <n v="90"/>
    <s v="Tichborne Street"/>
    <x v="1034"/>
    <x v="35"/>
    <d v="2020-08-25T00:00:00"/>
    <x v="2"/>
    <x v="3"/>
    <n v="74"/>
    <x v="1"/>
    <x v="1"/>
    <n v="1776"/>
    <x v="360"/>
  </r>
  <r>
    <n v="4530"/>
    <x v="2220"/>
    <x v="432"/>
    <s v="Mr"/>
    <s v="M"/>
    <n v="60"/>
    <s v="Tichborne Street"/>
    <x v="309"/>
    <x v="2"/>
    <d v="2020-04-09T00:00:00"/>
    <x v="2"/>
    <x v="4"/>
    <n v="43"/>
    <x v="7"/>
    <x v="7"/>
    <n v="860"/>
    <x v="410"/>
  </r>
  <r>
    <n v="4531"/>
    <x v="1925"/>
    <x v="793"/>
    <s v="Mr"/>
    <s v="M"/>
    <n v="60"/>
    <s v="Tidbury Street"/>
    <x v="801"/>
    <x v="73"/>
    <d v="2020-02-12T00:00:00"/>
    <x v="2"/>
    <x v="10"/>
    <n v="32"/>
    <x v="7"/>
    <x v="7"/>
    <n v="640"/>
    <x v="762"/>
  </r>
  <r>
    <n v="4532"/>
    <x v="729"/>
    <x v="1370"/>
    <s v="Mr"/>
    <s v="M"/>
    <n v="60"/>
    <s v="Tiger Public"/>
    <x v="577"/>
    <x v="43"/>
    <d v="2020-01-06T00:00:00"/>
    <x v="2"/>
    <x v="6"/>
    <n v="29"/>
    <x v="2"/>
    <x v="2"/>
    <n v="493"/>
    <x v="481"/>
  </r>
  <r>
    <n v="4533"/>
    <x v="240"/>
    <x v="1462"/>
    <s v="Mr"/>
    <s v="M"/>
    <n v="30"/>
    <s v="Tilbury Close"/>
    <x v="831"/>
    <x v="85"/>
    <d v="2022-05-27T00:00:00"/>
    <x v="0"/>
    <x v="11"/>
    <n v="92"/>
    <x v="5"/>
    <x v="5"/>
    <n v="2208"/>
    <x v="30"/>
  </r>
  <r>
    <n v="4534"/>
    <x v="1806"/>
    <x v="835"/>
    <s v="Mr"/>
    <s v="M"/>
    <n v="60"/>
    <s v="Tilia Walk"/>
    <x v="790"/>
    <x v="15"/>
    <d v="2021-12-18T00:00:00"/>
    <x v="1"/>
    <x v="8"/>
    <n v="93"/>
    <x v="7"/>
    <x v="7"/>
    <n v="1860"/>
    <x v="757"/>
  </r>
  <r>
    <n v="4535"/>
    <x v="228"/>
    <x v="1661"/>
    <s v="Mr"/>
    <s v="M"/>
    <n v="60"/>
    <s v="Tilice Road"/>
    <x v="1182"/>
    <x v="90"/>
    <d v="2022-06-07T00:00:00"/>
    <x v="0"/>
    <x v="2"/>
    <n v="56"/>
    <x v="0"/>
    <x v="0"/>
    <n v="1120"/>
    <x v="428"/>
  </r>
  <r>
    <n v="4536"/>
    <x v="2499"/>
    <x v="225"/>
    <s v="Rev"/>
    <s v="M"/>
    <n v="30"/>
    <s v="Tillett Close"/>
    <x v="724"/>
    <x v="8"/>
    <d v="2020-05-24T00:00:00"/>
    <x v="2"/>
    <x v="11"/>
    <n v="13"/>
    <x v="9"/>
    <x v="9"/>
    <n v="312"/>
    <x v="407"/>
  </r>
  <r>
    <n v="4537"/>
    <x v="588"/>
    <x v="1778"/>
    <s v="Mr"/>
    <s v="M"/>
    <n v="30"/>
    <s v="Tilling Road"/>
    <x v="660"/>
    <x v="2"/>
    <d v="2021-05-04T00:00:00"/>
    <x v="1"/>
    <x v="11"/>
    <n v="46"/>
    <x v="0"/>
    <x v="0"/>
    <n v="920"/>
    <x v="1002"/>
  </r>
  <r>
    <n v="4538"/>
    <x v="2659"/>
    <x v="797"/>
    <s v="Mrs"/>
    <s v="F"/>
    <n v="30"/>
    <s v="Tilney Gardens"/>
    <x v="598"/>
    <x v="11"/>
    <d v="2022-10-16T00:00:00"/>
    <x v="0"/>
    <x v="1"/>
    <n v="13"/>
    <x v="7"/>
    <x v="7"/>
    <n v="260"/>
    <x v="70"/>
  </r>
  <r>
    <n v="4539"/>
    <x v="1698"/>
    <x v="1779"/>
    <s v="Mrs"/>
    <s v="F"/>
    <n v="30"/>
    <s v="Tilney Street"/>
    <x v="392"/>
    <x v="2"/>
    <d v="2020-04-16T00:00:00"/>
    <x v="2"/>
    <x v="4"/>
    <n v="63"/>
    <x v="7"/>
    <x v="7"/>
    <n v="1260"/>
    <x v="842"/>
  </r>
  <r>
    <n v="4540"/>
    <x v="1859"/>
    <x v="556"/>
    <s v="Mrs"/>
    <s v="F"/>
    <n v="90"/>
    <s v="Tilson Road"/>
    <x v="971"/>
    <x v="16"/>
    <d v="2021-11-10T00:00:00"/>
    <x v="1"/>
    <x v="7"/>
    <n v="32"/>
    <x v="2"/>
    <x v="2"/>
    <n v="544"/>
    <x v="544"/>
  </r>
  <r>
    <n v="4541"/>
    <x v="108"/>
    <x v="1689"/>
    <s v="Mr"/>
    <s v="M"/>
    <n v="60"/>
    <s v="Tilston Close"/>
    <x v="73"/>
    <x v="1"/>
    <d v="2022-01-12T00:00:00"/>
    <x v="0"/>
    <x v="6"/>
    <n v="60"/>
    <x v="2"/>
    <x v="2"/>
    <n v="1020"/>
    <x v="521"/>
  </r>
  <r>
    <n v="4542"/>
    <x v="1800"/>
    <x v="738"/>
    <s v="Mr"/>
    <s v="M"/>
    <n v="30"/>
    <s v="Timber Pond"/>
    <x v="1168"/>
    <x v="3"/>
    <d v="2021-02-07T00:00:00"/>
    <x v="1"/>
    <x v="10"/>
    <n v="33"/>
    <x v="4"/>
    <x v="4"/>
    <n v="594"/>
    <x v="469"/>
  </r>
  <r>
    <n v="4543"/>
    <x v="185"/>
    <x v="1780"/>
    <s v="Mr"/>
    <s v="M"/>
    <n v="90"/>
    <s v="Time Square"/>
    <x v="568"/>
    <x v="8"/>
    <d v="2021-04-30T00:00:00"/>
    <x v="1"/>
    <x v="4"/>
    <n v="31"/>
    <x v="5"/>
    <x v="5"/>
    <n v="744"/>
    <x v="781"/>
  </r>
  <r>
    <n v="4544"/>
    <x v="2660"/>
    <x v="503"/>
    <s v="Mrs"/>
    <s v="F"/>
    <n v="60"/>
    <s v="Timothy Road"/>
    <x v="659"/>
    <x v="35"/>
    <d v="2022-12-11T00:00:00"/>
    <x v="0"/>
    <x v="8"/>
    <n v="35"/>
    <x v="4"/>
    <x v="4"/>
    <n v="630"/>
    <x v="134"/>
  </r>
  <r>
    <n v="4545"/>
    <x v="2661"/>
    <x v="711"/>
    <s v="Mrs"/>
    <s v="F"/>
    <n v="60"/>
    <s v="Tysons Yard"/>
    <x v="535"/>
    <x v="45"/>
    <d v="2021-05-08T00:00:00"/>
    <x v="1"/>
    <x v="11"/>
    <n v="89"/>
    <x v="1"/>
    <x v="1"/>
    <n v="2136"/>
    <x v="1003"/>
  </r>
  <r>
    <n v="4546"/>
    <x v="2662"/>
    <x v="1781"/>
    <s v="Mrs"/>
    <s v="F"/>
    <n v="90"/>
    <s v="Tysson Cottages"/>
    <x v="1039"/>
    <x v="15"/>
    <d v="2022-03-18T00:00:00"/>
    <x v="0"/>
    <x v="5"/>
    <n v="22"/>
    <x v="4"/>
    <x v="4"/>
    <n v="396"/>
    <x v="600"/>
  </r>
  <r>
    <n v="4547"/>
    <x v="1617"/>
    <x v="1324"/>
    <s v="Miss"/>
    <s v="F"/>
    <n v="60"/>
    <s v="Tyville Road"/>
    <x v="253"/>
    <x v="11"/>
    <d v="2022-04-20T00:00:00"/>
    <x v="0"/>
    <x v="4"/>
    <n v="15"/>
    <x v="4"/>
    <x v="4"/>
    <n v="270"/>
    <x v="139"/>
  </r>
  <r>
    <n v="4548"/>
    <x v="631"/>
    <x v="1382"/>
    <s v="Mr"/>
    <s v="M"/>
    <n v="90"/>
    <s v="Uamvar Street"/>
    <x v="370"/>
    <x v="0"/>
    <d v="2022-12-13T00:00:00"/>
    <x v="0"/>
    <x v="8"/>
    <n v="102"/>
    <x v="1"/>
    <x v="1"/>
    <n v="2448"/>
    <x v="689"/>
  </r>
  <r>
    <n v="4549"/>
    <x v="2663"/>
    <x v="1397"/>
    <s v="Mrs"/>
    <s v="F"/>
    <n v="90"/>
    <s v="Udall Street"/>
    <x v="390"/>
    <x v="2"/>
    <d v="2020-02-25T00:00:00"/>
    <x v="2"/>
    <x v="10"/>
    <n v="63"/>
    <x v="8"/>
    <x v="8"/>
    <n v="1260"/>
    <x v="435"/>
  </r>
  <r>
    <n v="4550"/>
    <x v="2664"/>
    <x v="509"/>
    <s v="Miss"/>
    <s v="F"/>
    <n v="60"/>
    <s v="Uffington Road"/>
    <x v="77"/>
    <x v="13"/>
    <d v="2021-05-05T00:00:00"/>
    <x v="1"/>
    <x v="11"/>
    <n v="90"/>
    <x v="6"/>
    <x v="6"/>
    <n v="2160"/>
    <x v="876"/>
  </r>
  <r>
    <n v="4551"/>
    <x v="1407"/>
    <x v="32"/>
    <s v="Miss"/>
    <s v="F"/>
    <n v="90"/>
    <s v="Ulster Place"/>
    <x v="662"/>
    <x v="39"/>
    <d v="2020-11-22T00:00:00"/>
    <x v="2"/>
    <x v="7"/>
    <n v="85"/>
    <x v="2"/>
    <x v="2"/>
    <n v="1445"/>
    <x v="214"/>
  </r>
  <r>
    <n v="4552"/>
    <x v="911"/>
    <x v="1782"/>
    <s v="Mr"/>
    <s v="M"/>
    <n v="60"/>
    <s v="Ulverston Road"/>
    <x v="104"/>
    <x v="2"/>
    <d v="2021-12-16T00:00:00"/>
    <x v="1"/>
    <x v="8"/>
    <n v="57"/>
    <x v="1"/>
    <x v="1"/>
    <n v="1368"/>
    <x v="436"/>
  </r>
  <r>
    <n v="4553"/>
    <x v="1474"/>
    <x v="534"/>
    <s v="Ms"/>
    <s v="F"/>
    <n v="30"/>
    <s v="Umbria Street"/>
    <x v="1132"/>
    <x v="1"/>
    <d v="2020-06-27T00:00:00"/>
    <x v="2"/>
    <x v="2"/>
    <n v="53"/>
    <x v="8"/>
    <x v="8"/>
    <n v="1060"/>
    <x v="597"/>
  </r>
  <r>
    <n v="4554"/>
    <x v="780"/>
    <x v="409"/>
    <s v="Mr"/>
    <s v="M"/>
    <n v="60"/>
    <s v="Underhill Passage"/>
    <x v="843"/>
    <x v="2"/>
    <d v="2021-04-23T00:00:00"/>
    <x v="1"/>
    <x v="4"/>
    <n v="67"/>
    <x v="0"/>
    <x v="0"/>
    <n v="1340"/>
    <x v="142"/>
  </r>
  <r>
    <n v="4555"/>
    <x v="2665"/>
    <x v="1530"/>
    <s v="Miss"/>
    <s v="F"/>
    <n v="90"/>
    <s v="Undine Street"/>
    <x v="179"/>
    <x v="16"/>
    <d v="2021-09-01T00:00:00"/>
    <x v="1"/>
    <x v="9"/>
    <n v="28"/>
    <x v="2"/>
    <x v="2"/>
    <n v="476"/>
    <x v="194"/>
  </r>
  <r>
    <n v="4556"/>
    <x v="423"/>
    <x v="986"/>
    <s v="Mr"/>
    <s v="M"/>
    <n v="60"/>
    <s v="Unicorn Court"/>
    <x v="1305"/>
    <x v="3"/>
    <d v="2020-10-19T00:00:00"/>
    <x v="2"/>
    <x v="1"/>
    <n v="45"/>
    <x v="5"/>
    <x v="5"/>
    <n v="1080"/>
    <x v="112"/>
  </r>
  <r>
    <n v="4557"/>
    <x v="2666"/>
    <x v="1359"/>
    <s v="Mrs"/>
    <s v="F"/>
    <n v="60"/>
    <s v="Union Cottages"/>
    <x v="353"/>
    <x v="2"/>
    <d v="2021-06-14T00:00:00"/>
    <x v="1"/>
    <x v="2"/>
    <n v="12"/>
    <x v="6"/>
    <x v="6"/>
    <n v="288"/>
    <x v="319"/>
  </r>
  <r>
    <n v="4558"/>
    <x v="224"/>
    <x v="1044"/>
    <s v="Mr"/>
    <s v="M"/>
    <n v="90"/>
    <s v="Union Workhouse"/>
    <x v="704"/>
    <x v="21"/>
    <d v="2020-08-12T00:00:00"/>
    <x v="2"/>
    <x v="3"/>
    <n v="49"/>
    <x v="9"/>
    <x v="9"/>
    <n v="1176"/>
    <x v="459"/>
  </r>
  <r>
    <n v="4559"/>
    <x v="2662"/>
    <x v="1133"/>
    <s v="Mrs"/>
    <s v="F"/>
    <n v="90"/>
    <s v="Upchurch Close"/>
    <x v="137"/>
    <x v="17"/>
    <d v="2020-01-02T00:00:00"/>
    <x v="2"/>
    <x v="6"/>
    <n v="32"/>
    <x v="8"/>
    <x v="8"/>
    <n v="640"/>
    <x v="440"/>
  </r>
  <r>
    <n v="4560"/>
    <x v="2667"/>
    <x v="980"/>
    <s v="Miss"/>
    <s v="F"/>
    <n v="30"/>
    <s v="Upcott Street"/>
    <x v="818"/>
    <x v="2"/>
    <d v="2022-10-13T00:00:00"/>
    <x v="0"/>
    <x v="1"/>
    <n v="93"/>
    <x v="3"/>
    <x v="3"/>
    <n v="2232"/>
    <x v="717"/>
  </r>
  <r>
    <n v="4561"/>
    <x v="2668"/>
    <x v="1538"/>
    <s v="Miss"/>
    <s v="F"/>
    <n v="90"/>
    <s v="Upgrove Manor"/>
    <x v="917"/>
    <x v="35"/>
    <d v="2021-08-15T00:00:00"/>
    <x v="1"/>
    <x v="3"/>
    <n v="36"/>
    <x v="6"/>
    <x v="6"/>
    <n v="864"/>
    <x v="73"/>
  </r>
  <r>
    <n v="4562"/>
    <x v="1355"/>
    <x v="1783"/>
    <s v="Mr"/>
    <s v="M"/>
    <n v="30"/>
    <s v="Upper Avenue"/>
    <x v="775"/>
    <x v="15"/>
    <d v="2021-06-02T00:00:00"/>
    <x v="1"/>
    <x v="2"/>
    <n v="25"/>
    <x v="0"/>
    <x v="0"/>
    <n v="500"/>
    <x v="864"/>
  </r>
  <r>
    <n v="4563"/>
    <x v="2669"/>
    <x v="503"/>
    <s v="Miss"/>
    <s v="F"/>
    <n v="30"/>
    <s v="Upper Avenue"/>
    <x v="668"/>
    <x v="2"/>
    <d v="2020-08-30T00:00:00"/>
    <x v="2"/>
    <x v="3"/>
    <n v="7"/>
    <x v="0"/>
    <x v="0"/>
    <n v="140"/>
    <x v="522"/>
  </r>
  <r>
    <n v="4564"/>
    <x v="1899"/>
    <x v="984"/>
    <s v="Mr"/>
    <s v="M"/>
    <n v="90"/>
    <s v="Upper Berkeley"/>
    <x v="1168"/>
    <x v="3"/>
    <d v="2022-04-28T00:00:00"/>
    <x v="0"/>
    <x v="4"/>
    <n v="4"/>
    <x v="5"/>
    <x v="5"/>
    <n v="96"/>
    <x v="260"/>
  </r>
  <r>
    <n v="4565"/>
    <x v="709"/>
    <x v="1168"/>
    <s v="Mr"/>
    <s v="M"/>
    <n v="90"/>
    <s v="Upper Boston"/>
    <x v="1123"/>
    <x v="2"/>
    <d v="2022-09-30T00:00:00"/>
    <x v="0"/>
    <x v="9"/>
    <n v="3"/>
    <x v="1"/>
    <x v="1"/>
    <n v="72"/>
    <x v="691"/>
  </r>
  <r>
    <n v="4566"/>
    <x v="1740"/>
    <x v="281"/>
    <s v="Mr"/>
    <s v="M"/>
    <n v="60"/>
    <s v="Upper Chenies"/>
    <x v="1152"/>
    <x v="3"/>
    <d v="2020-06-13T00:00:00"/>
    <x v="2"/>
    <x v="2"/>
    <n v="9"/>
    <x v="2"/>
    <x v="2"/>
    <n v="153"/>
    <x v="89"/>
  </r>
  <r>
    <n v="4567"/>
    <x v="2251"/>
    <x v="1563"/>
    <s v="Miss"/>
    <s v="F"/>
    <n v="60"/>
    <s v="Upper Chenies"/>
    <x v="1306"/>
    <x v="2"/>
    <d v="2021-08-04T00:00:00"/>
    <x v="1"/>
    <x v="3"/>
    <n v="31"/>
    <x v="5"/>
    <x v="5"/>
    <n v="744"/>
    <x v="781"/>
  </r>
  <r>
    <n v="4568"/>
    <x v="2670"/>
    <x v="1312"/>
    <s v="Miss"/>
    <s v="F"/>
    <n v="30"/>
    <s v="Upper Coleshill"/>
    <x v="193"/>
    <x v="17"/>
    <d v="2022-01-19T00:00:00"/>
    <x v="0"/>
    <x v="6"/>
    <n v="99"/>
    <x v="3"/>
    <x v="3"/>
    <n v="2376"/>
    <x v="1004"/>
  </r>
  <r>
    <n v="4569"/>
    <x v="2671"/>
    <x v="1784"/>
    <s v="Ms"/>
    <s v="F"/>
    <n v="60"/>
    <s v="Upper College"/>
    <x v="387"/>
    <x v="11"/>
    <d v="2022-12-24T00:00:00"/>
    <x v="0"/>
    <x v="8"/>
    <n v="39"/>
    <x v="3"/>
    <x v="3"/>
    <n v="936"/>
    <x v="807"/>
  </r>
  <r>
    <n v="4570"/>
    <x v="2391"/>
    <x v="1558"/>
    <s v="Mrs"/>
    <s v="F"/>
    <n v="90"/>
    <s v="Upper Corrington"/>
    <x v="1263"/>
    <x v="16"/>
    <d v="2021-03-30T00:00:00"/>
    <x v="1"/>
    <x v="5"/>
    <n v="39"/>
    <x v="6"/>
    <x v="6"/>
    <n v="936"/>
    <x v="299"/>
  </r>
  <r>
    <n v="4571"/>
    <x v="2672"/>
    <x v="1086"/>
    <s v="Ms"/>
    <s v="F"/>
    <n v="60"/>
    <s v="Upper Craven"/>
    <x v="581"/>
    <x v="29"/>
    <d v="2022-11-25T00:00:00"/>
    <x v="0"/>
    <x v="7"/>
    <n v="19"/>
    <x v="6"/>
    <x v="6"/>
    <n v="456"/>
    <x v="115"/>
  </r>
  <r>
    <n v="4572"/>
    <x v="1702"/>
    <x v="1550"/>
    <s v="Mr"/>
    <s v="M"/>
    <n v="30"/>
    <s v="Upper Gloucester"/>
    <x v="569"/>
    <x v="2"/>
    <d v="2020-03-24T00:00:00"/>
    <x v="2"/>
    <x v="5"/>
    <n v="17"/>
    <x v="3"/>
    <x v="3"/>
    <n v="408"/>
    <x v="506"/>
  </r>
  <r>
    <n v="4573"/>
    <x v="848"/>
    <x v="685"/>
    <s v="Mr"/>
    <s v="M"/>
    <n v="60"/>
    <s v="Upper Grange"/>
    <x v="787"/>
    <x v="17"/>
    <d v="2020-03-08T00:00:00"/>
    <x v="2"/>
    <x v="5"/>
    <n v="7"/>
    <x v="1"/>
    <x v="1"/>
    <n v="168"/>
    <x v="629"/>
  </r>
  <r>
    <n v="4574"/>
    <x v="306"/>
    <x v="989"/>
    <s v="Miss"/>
    <s v="F"/>
    <n v="30"/>
    <s v="Upper Hartland"/>
    <x v="1307"/>
    <x v="2"/>
    <d v="2021-01-31T00:00:00"/>
    <x v="1"/>
    <x v="6"/>
    <n v="4"/>
    <x v="6"/>
    <x v="6"/>
    <n v="96"/>
    <x v="879"/>
  </r>
  <r>
    <n v="4575"/>
    <x v="327"/>
    <x v="1299"/>
    <s v="Mr"/>
    <s v="M"/>
    <n v="90"/>
    <s v="Upper Holland"/>
    <x v="485"/>
    <x v="15"/>
    <d v="2020-01-02T00:00:00"/>
    <x v="2"/>
    <x v="6"/>
    <n v="41"/>
    <x v="6"/>
    <x v="6"/>
    <n v="984"/>
    <x v="930"/>
  </r>
  <r>
    <n v="4576"/>
    <x v="284"/>
    <x v="1206"/>
    <s v="Mr"/>
    <s v="M"/>
    <n v="30"/>
    <s v="Upper Islington"/>
    <x v="1220"/>
    <x v="37"/>
    <d v="2020-01-14T00:00:00"/>
    <x v="2"/>
    <x v="6"/>
    <n v="26"/>
    <x v="0"/>
    <x v="0"/>
    <n v="520"/>
    <x v="862"/>
  </r>
  <r>
    <n v="4577"/>
    <x v="1210"/>
    <x v="1234"/>
    <s v="Mr"/>
    <s v="M"/>
    <n v="90"/>
    <s v="Upper Lismore"/>
    <x v="829"/>
    <x v="2"/>
    <d v="2021-04-19T00:00:00"/>
    <x v="1"/>
    <x v="4"/>
    <n v="92"/>
    <x v="0"/>
    <x v="0"/>
    <n v="1840"/>
    <x v="297"/>
  </r>
  <r>
    <n v="4578"/>
    <x v="2287"/>
    <x v="1785"/>
    <s v="Mr"/>
    <s v="M"/>
    <n v="60"/>
    <s v="Upper Market"/>
    <x v="387"/>
    <x v="11"/>
    <d v="2022-03-06T00:00:00"/>
    <x v="0"/>
    <x v="5"/>
    <n v="76"/>
    <x v="6"/>
    <x v="6"/>
    <n v="1824"/>
    <x v="708"/>
  </r>
  <r>
    <n v="4579"/>
    <x v="725"/>
    <x v="1612"/>
    <s v="Mr"/>
    <s v="M"/>
    <n v="90"/>
    <s v="Upper Montagu"/>
    <x v="479"/>
    <x v="11"/>
    <d v="2020-05-27T00:00:00"/>
    <x v="2"/>
    <x v="11"/>
    <n v="65"/>
    <x v="2"/>
    <x v="2"/>
    <n v="1105"/>
    <x v="742"/>
  </r>
  <r>
    <n v="4580"/>
    <x v="1933"/>
    <x v="53"/>
    <s v="Mrs"/>
    <s v="F"/>
    <n v="30"/>
    <s v="Upper Montague"/>
    <x v="849"/>
    <x v="17"/>
    <d v="2020-12-12T00:00:00"/>
    <x v="2"/>
    <x v="8"/>
    <n v="22"/>
    <x v="1"/>
    <x v="1"/>
    <n v="528"/>
    <x v="533"/>
  </r>
  <r>
    <n v="4581"/>
    <x v="349"/>
    <x v="310"/>
    <s v="Mr"/>
    <s v="M"/>
    <n v="60"/>
    <s v="Upper Mount"/>
    <x v="639"/>
    <x v="13"/>
    <d v="2020-11-29T00:00:00"/>
    <x v="2"/>
    <x v="7"/>
    <n v="53"/>
    <x v="7"/>
    <x v="7"/>
    <n v="1060"/>
    <x v="516"/>
  </r>
  <r>
    <n v="4582"/>
    <x v="685"/>
    <x v="1701"/>
    <s v="Mr"/>
    <s v="M"/>
    <n v="30"/>
    <s v="Upper Ogle"/>
    <x v="1198"/>
    <x v="2"/>
    <d v="2021-11-05T00:00:00"/>
    <x v="1"/>
    <x v="7"/>
    <n v="16"/>
    <x v="9"/>
    <x v="9"/>
    <n v="384"/>
    <x v="586"/>
  </r>
  <r>
    <n v="4583"/>
    <x v="1760"/>
    <x v="862"/>
    <s v="Mrs"/>
    <s v="F"/>
    <n v="30"/>
    <s v="Upper Randall"/>
    <x v="97"/>
    <x v="17"/>
    <d v="2022-11-22T00:00:00"/>
    <x v="0"/>
    <x v="7"/>
    <n v="4"/>
    <x v="0"/>
    <x v="0"/>
    <n v="80"/>
    <x v="763"/>
  </r>
  <r>
    <n v="4584"/>
    <x v="2673"/>
    <x v="1477"/>
    <s v="Miss"/>
    <s v="F"/>
    <n v="30"/>
    <s v="Upper Rathbone"/>
    <x v="1308"/>
    <x v="1"/>
    <d v="2020-04-29T00:00:00"/>
    <x v="2"/>
    <x v="4"/>
    <n v="43"/>
    <x v="8"/>
    <x v="8"/>
    <n v="860"/>
    <x v="235"/>
  </r>
  <r>
    <n v="4585"/>
    <x v="2545"/>
    <x v="931"/>
    <s v="Mr"/>
    <s v="M"/>
    <n v="30"/>
    <s v="Upper Smith"/>
    <x v="41"/>
    <x v="11"/>
    <d v="2021-06-23T00:00:00"/>
    <x v="1"/>
    <x v="2"/>
    <n v="86"/>
    <x v="4"/>
    <x v="4"/>
    <n v="1548"/>
    <x v="787"/>
  </r>
  <r>
    <n v="4586"/>
    <x v="227"/>
    <x v="1596"/>
    <s v="Mr"/>
    <s v="M"/>
    <n v="60"/>
    <s v="Upper Storer"/>
    <x v="857"/>
    <x v="1"/>
    <d v="2022-09-06T00:00:00"/>
    <x v="0"/>
    <x v="9"/>
    <n v="70"/>
    <x v="7"/>
    <x v="7"/>
    <n v="1400"/>
    <x v="399"/>
  </r>
  <r>
    <n v="4587"/>
    <x v="1953"/>
    <x v="777"/>
    <s v="Mr"/>
    <s v="M"/>
    <n v="90"/>
    <s v="Upper Street"/>
    <x v="178"/>
    <x v="21"/>
    <d v="2022-11-18T00:00:00"/>
    <x v="0"/>
    <x v="7"/>
    <n v="91"/>
    <x v="5"/>
    <x v="5"/>
    <n v="2184"/>
    <x v="494"/>
  </r>
  <r>
    <n v="4588"/>
    <x v="2529"/>
    <x v="18"/>
    <s v="Prof"/>
    <s v="M"/>
    <n v="60"/>
    <s v="Upper Terrace"/>
    <x v="1258"/>
    <x v="2"/>
    <d v="2021-12-30T00:00:00"/>
    <x v="1"/>
    <x v="8"/>
    <n v="49"/>
    <x v="8"/>
    <x v="8"/>
    <n v="980"/>
    <x v="13"/>
  </r>
  <r>
    <n v="4589"/>
    <x v="2579"/>
    <x v="45"/>
    <s v="Dr"/>
    <s v="M"/>
    <n v="60"/>
    <s v="Upper Walthamstow"/>
    <x v="305"/>
    <x v="48"/>
    <d v="2022-09-01T00:00:00"/>
    <x v="0"/>
    <x v="9"/>
    <n v="2"/>
    <x v="8"/>
    <x v="8"/>
    <n v="40"/>
    <x v="264"/>
  </r>
  <r>
    <n v="4590"/>
    <x v="2674"/>
    <x v="1363"/>
    <s v="Mr"/>
    <s v="M"/>
    <n v="90"/>
    <s v="Upper Walthamstow"/>
    <x v="312"/>
    <x v="44"/>
    <d v="2022-09-02T00:00:00"/>
    <x v="0"/>
    <x v="9"/>
    <n v="14"/>
    <x v="8"/>
    <x v="8"/>
    <n v="280"/>
    <x v="35"/>
  </r>
  <r>
    <n v="4591"/>
    <x v="74"/>
    <x v="1391"/>
    <s v="Mr"/>
    <s v="M"/>
    <n v="60"/>
    <s v="Upper Whistler"/>
    <x v="589"/>
    <x v="65"/>
    <d v="2021-11-04T00:00:00"/>
    <x v="1"/>
    <x v="7"/>
    <n v="83"/>
    <x v="8"/>
    <x v="8"/>
    <n v="1660"/>
    <x v="14"/>
  </r>
  <r>
    <n v="4592"/>
    <x v="2675"/>
    <x v="1363"/>
    <s v="Mrs"/>
    <s v="F"/>
    <n v="30"/>
    <s v="Upper Woodland"/>
    <x v="489"/>
    <x v="69"/>
    <d v="2021-11-10T00:00:00"/>
    <x v="1"/>
    <x v="7"/>
    <n v="92"/>
    <x v="3"/>
    <x v="3"/>
    <n v="2208"/>
    <x v="82"/>
  </r>
  <r>
    <n v="4593"/>
    <x v="2676"/>
    <x v="1299"/>
    <s v="Ms"/>
    <s v="F"/>
    <n v="90"/>
    <s v="Uverdale Road"/>
    <x v="76"/>
    <x v="1"/>
    <d v="2022-04-03T00:00:00"/>
    <x v="0"/>
    <x v="4"/>
    <n v="9"/>
    <x v="4"/>
    <x v="4"/>
    <n v="162"/>
    <x v="890"/>
  </r>
  <r>
    <n v="4594"/>
    <x v="2677"/>
    <x v="1786"/>
    <s v="Ms"/>
    <s v="F"/>
    <n v="60"/>
    <s v="Vale Lane"/>
    <x v="1142"/>
    <x v="3"/>
    <d v="2021-04-13T00:00:00"/>
    <x v="1"/>
    <x v="4"/>
    <n v="87"/>
    <x v="8"/>
    <x v="8"/>
    <n v="1740"/>
    <x v="324"/>
  </r>
  <r>
    <n v="4595"/>
    <x v="2678"/>
    <x v="179"/>
    <s v="Miss"/>
    <s v="F"/>
    <n v="90"/>
    <s v="Vale Parade"/>
    <x v="31"/>
    <x v="2"/>
    <d v="2021-02-08T00:00:00"/>
    <x v="1"/>
    <x v="10"/>
    <n v="83"/>
    <x v="2"/>
    <x v="2"/>
    <n v="1411"/>
    <x v="811"/>
  </r>
  <r>
    <n v="4596"/>
    <x v="2102"/>
    <x v="705"/>
    <s v="Dr"/>
    <s v="F"/>
    <n v="60"/>
    <s v="Vale Parade"/>
    <x v="22"/>
    <x v="2"/>
    <d v="2021-03-08T00:00:00"/>
    <x v="1"/>
    <x v="5"/>
    <n v="25"/>
    <x v="8"/>
    <x v="8"/>
    <n v="500"/>
    <x v="764"/>
  </r>
  <r>
    <n v="4597"/>
    <x v="1052"/>
    <x v="1718"/>
    <s v="Mr"/>
    <s v="M"/>
    <n v="30"/>
    <s v="Valmar Road"/>
    <x v="469"/>
    <x v="2"/>
    <d v="2020-01-05T00:00:00"/>
    <x v="2"/>
    <x v="6"/>
    <n v="29"/>
    <x v="1"/>
    <x v="1"/>
    <n v="696"/>
    <x v="952"/>
  </r>
  <r>
    <n v="4598"/>
    <x v="2679"/>
    <x v="1401"/>
    <s v="Mr"/>
    <s v="M"/>
    <n v="30"/>
    <s v="Vant Road"/>
    <x v="812"/>
    <x v="21"/>
    <d v="2022-08-07T00:00:00"/>
    <x v="0"/>
    <x v="3"/>
    <n v="17"/>
    <x v="1"/>
    <x v="1"/>
    <n v="408"/>
    <x v="179"/>
  </r>
  <r>
    <n v="4599"/>
    <x v="2680"/>
    <x v="1511"/>
    <s v="Mrs"/>
    <s v="F"/>
    <n v="30"/>
    <s v="Varden Close"/>
    <x v="1083"/>
    <x v="2"/>
    <d v="2021-04-02T00:00:00"/>
    <x v="1"/>
    <x v="4"/>
    <n v="35"/>
    <x v="9"/>
    <x v="9"/>
    <n v="840"/>
    <x v="395"/>
  </r>
  <r>
    <n v="4600"/>
    <x v="2681"/>
    <x v="1569"/>
    <s v="Miss"/>
    <s v="F"/>
    <n v="90"/>
    <s v="Vardens Road"/>
    <x v="1143"/>
    <x v="2"/>
    <d v="2020-06-09T00:00:00"/>
    <x v="2"/>
    <x v="2"/>
    <n v="61"/>
    <x v="5"/>
    <x v="5"/>
    <n v="1464"/>
    <x v="515"/>
  </r>
  <r>
    <n v="4601"/>
    <x v="11"/>
    <x v="1787"/>
    <s v="Prof"/>
    <s v="M"/>
    <n v="60"/>
    <s v="Varley Parade"/>
    <x v="168"/>
    <x v="2"/>
    <d v="2020-03-10T00:00:00"/>
    <x v="2"/>
    <x v="5"/>
    <n v="24"/>
    <x v="5"/>
    <x v="5"/>
    <n v="576"/>
    <x v="454"/>
  </r>
  <r>
    <n v="4602"/>
    <x v="1887"/>
    <x v="258"/>
    <s v="Mr"/>
    <s v="M"/>
    <n v="30"/>
    <s v="Varley Road"/>
    <x v="1129"/>
    <x v="2"/>
    <d v="2021-11-12T00:00:00"/>
    <x v="1"/>
    <x v="7"/>
    <n v="72"/>
    <x v="4"/>
    <x v="4"/>
    <n v="1296"/>
    <x v="695"/>
  </r>
  <r>
    <n v="4603"/>
    <x v="1058"/>
    <x v="386"/>
    <s v="Mr"/>
    <s v="M"/>
    <n v="30"/>
    <s v="Varna Road"/>
    <x v="249"/>
    <x v="20"/>
    <d v="2022-01-10T00:00:00"/>
    <x v="0"/>
    <x v="6"/>
    <n v="22"/>
    <x v="1"/>
    <x v="1"/>
    <n v="528"/>
    <x v="533"/>
  </r>
  <r>
    <n v="4604"/>
    <x v="946"/>
    <x v="1333"/>
    <s v="Mr"/>
    <s v="M"/>
    <n v="60"/>
    <s v="Vauban Street"/>
    <x v="1034"/>
    <x v="35"/>
    <d v="2020-06-21T00:00:00"/>
    <x v="2"/>
    <x v="2"/>
    <n v="41"/>
    <x v="2"/>
    <x v="2"/>
    <n v="697"/>
    <x v="725"/>
  </r>
  <r>
    <n v="4605"/>
    <x v="2682"/>
    <x v="1085"/>
    <s v="Ms"/>
    <s v="F"/>
    <n v="90"/>
    <s v="Vaughan Estate"/>
    <x v="472"/>
    <x v="40"/>
    <d v="2022-02-15T00:00:00"/>
    <x v="0"/>
    <x v="10"/>
    <n v="14"/>
    <x v="0"/>
    <x v="0"/>
    <n v="280"/>
    <x v="22"/>
  </r>
  <r>
    <n v="4606"/>
    <x v="2683"/>
    <x v="340"/>
    <s v="Miss"/>
    <s v="F"/>
    <n v="90"/>
    <s v="Vaughan Road"/>
    <x v="386"/>
    <x v="3"/>
    <d v="2022-01-10T00:00:00"/>
    <x v="0"/>
    <x v="6"/>
    <n v="94"/>
    <x v="5"/>
    <x v="5"/>
    <n v="2256"/>
    <x v="905"/>
  </r>
  <r>
    <n v="4607"/>
    <x v="89"/>
    <x v="1284"/>
    <s v="Mrs"/>
    <s v="F"/>
    <n v="30"/>
    <s v="Venue Street"/>
    <x v="879"/>
    <x v="21"/>
    <d v="2020-07-11T00:00:00"/>
    <x v="2"/>
    <x v="0"/>
    <n v="51"/>
    <x v="6"/>
    <x v="6"/>
    <n v="1224"/>
    <x v="869"/>
  </r>
  <r>
    <n v="4608"/>
    <x v="2684"/>
    <x v="908"/>
    <s v="Mrs"/>
    <s v="F"/>
    <n v="60"/>
    <s v="Vernon Mews"/>
    <x v="1257"/>
    <x v="21"/>
    <d v="2020-02-15T00:00:00"/>
    <x v="2"/>
    <x v="10"/>
    <n v="24"/>
    <x v="1"/>
    <x v="1"/>
    <n v="576"/>
    <x v="837"/>
  </r>
  <r>
    <n v="4609"/>
    <x v="2685"/>
    <x v="974"/>
    <s v="Mr"/>
    <s v="M"/>
    <n v="90"/>
    <s v="Verulam Buildings"/>
    <x v="741"/>
    <x v="2"/>
    <d v="2020-10-04T00:00:00"/>
    <x v="2"/>
    <x v="1"/>
    <n v="76"/>
    <x v="2"/>
    <x v="2"/>
    <n v="1292"/>
    <x v="347"/>
  </r>
  <r>
    <n v="4610"/>
    <x v="2686"/>
    <x v="1682"/>
    <s v="Ms"/>
    <s v="F"/>
    <n v="90"/>
    <s v="Verulam Terrace"/>
    <x v="79"/>
    <x v="21"/>
    <d v="2020-10-27T00:00:00"/>
    <x v="2"/>
    <x v="1"/>
    <n v="20"/>
    <x v="0"/>
    <x v="0"/>
    <n v="400"/>
    <x v="210"/>
  </r>
  <r>
    <n v="4611"/>
    <x v="2687"/>
    <x v="1644"/>
    <s v="Mrs"/>
    <s v="F"/>
    <n v="90"/>
    <s v="Vibart Gardens"/>
    <x v="944"/>
    <x v="10"/>
    <d v="2022-03-22T00:00:00"/>
    <x v="0"/>
    <x v="5"/>
    <n v="28"/>
    <x v="5"/>
    <x v="5"/>
    <n v="672"/>
    <x v="951"/>
  </r>
  <r>
    <n v="4612"/>
    <x v="688"/>
    <x v="1262"/>
    <s v="Mr"/>
    <s v="M"/>
    <n v="60"/>
    <s v="Vicarage"/>
    <x v="1102"/>
    <x v="2"/>
    <d v="2021-01-04T00:00:00"/>
    <x v="1"/>
    <x v="6"/>
    <n v="44"/>
    <x v="2"/>
    <x v="2"/>
    <n v="748"/>
    <x v="696"/>
  </r>
  <r>
    <n v="4613"/>
    <x v="1587"/>
    <x v="1788"/>
    <s v="Mr"/>
    <s v="M"/>
    <n v="60"/>
    <s v="Vicarage Lane"/>
    <x v="224"/>
    <x v="2"/>
    <d v="2022-07-20T00:00:00"/>
    <x v="0"/>
    <x v="0"/>
    <n v="62"/>
    <x v="6"/>
    <x v="6"/>
    <n v="1488"/>
    <x v="343"/>
  </r>
  <r>
    <n v="4614"/>
    <x v="2116"/>
    <x v="226"/>
    <s v="Mrs"/>
    <s v="F"/>
    <n v="90"/>
    <s v="Vicarage Parade"/>
    <x v="740"/>
    <x v="41"/>
    <d v="2022-03-20T00:00:00"/>
    <x v="0"/>
    <x v="5"/>
    <n v="10"/>
    <x v="6"/>
    <x v="6"/>
    <n v="240"/>
    <x v="172"/>
  </r>
  <r>
    <n v="4615"/>
    <x v="1987"/>
    <x v="1789"/>
    <s v="Mr"/>
    <s v="M"/>
    <n v="90"/>
    <s v="Vicarage Street"/>
    <x v="209"/>
    <x v="1"/>
    <d v="2021-05-28T00:00:00"/>
    <x v="1"/>
    <x v="11"/>
    <n v="94"/>
    <x v="5"/>
    <x v="5"/>
    <n v="2256"/>
    <x v="905"/>
  </r>
  <r>
    <n v="4616"/>
    <x v="2688"/>
    <x v="1402"/>
    <s v="Mrs"/>
    <s v="F"/>
    <n v="90"/>
    <s v="Vicarage Way"/>
    <x v="671"/>
    <x v="45"/>
    <d v="2022-10-03T00:00:00"/>
    <x v="0"/>
    <x v="1"/>
    <n v="11"/>
    <x v="4"/>
    <x v="4"/>
    <n v="198"/>
    <x v="226"/>
  </r>
  <r>
    <n v="4617"/>
    <x v="1250"/>
    <x v="1790"/>
    <s v="Mr"/>
    <s v="M"/>
    <n v="90"/>
    <s v="Viceroy Close"/>
    <x v="898"/>
    <x v="15"/>
    <d v="2021-11-22T00:00:00"/>
    <x v="1"/>
    <x v="7"/>
    <n v="73"/>
    <x v="9"/>
    <x v="9"/>
    <n v="1752"/>
    <x v="152"/>
  </r>
  <r>
    <n v="4618"/>
    <x v="2689"/>
    <x v="1270"/>
    <s v="Mrs"/>
    <s v="F"/>
    <n v="90"/>
    <s v="Victoria Gardens"/>
    <x v="988"/>
    <x v="3"/>
    <d v="2020-06-12T00:00:00"/>
    <x v="2"/>
    <x v="2"/>
    <n v="7"/>
    <x v="8"/>
    <x v="8"/>
    <n v="140"/>
    <x v="300"/>
  </r>
  <r>
    <n v="4619"/>
    <x v="910"/>
    <x v="503"/>
    <s v="Mr"/>
    <s v="M"/>
    <n v="30"/>
    <s v="Victoria Green"/>
    <x v="974"/>
    <x v="2"/>
    <d v="2022-12-31T00:00:00"/>
    <x v="0"/>
    <x v="8"/>
    <n v="104"/>
    <x v="1"/>
    <x v="1"/>
    <n v="2496"/>
    <x v="1005"/>
  </r>
  <r>
    <n v="4620"/>
    <x v="2445"/>
    <x v="516"/>
    <s v="Miss"/>
    <s v="F"/>
    <n v="90"/>
    <s v="Victoria Park"/>
    <x v="574"/>
    <x v="17"/>
    <d v="2021-01-09T00:00:00"/>
    <x v="1"/>
    <x v="6"/>
    <n v="38"/>
    <x v="8"/>
    <x v="8"/>
    <n v="760"/>
    <x v="85"/>
  </r>
  <r>
    <n v="4621"/>
    <x v="2690"/>
    <x v="469"/>
    <s v="Mrs"/>
    <s v="F"/>
    <n v="90"/>
    <s v="Victoria Rise"/>
    <x v="1052"/>
    <x v="2"/>
    <d v="2022-11-25T00:00:00"/>
    <x v="0"/>
    <x v="7"/>
    <n v="55"/>
    <x v="9"/>
    <x v="9"/>
    <n v="1320"/>
    <x v="679"/>
  </r>
  <r>
    <n v="4622"/>
    <x v="1115"/>
    <x v="1512"/>
    <s v="Dr"/>
    <s v="M"/>
    <n v="30"/>
    <s v="Victoxla Road"/>
    <x v="706"/>
    <x v="2"/>
    <d v="2022-03-14T00:00:00"/>
    <x v="0"/>
    <x v="5"/>
    <n v="81"/>
    <x v="4"/>
    <x v="4"/>
    <n v="1458"/>
    <x v="416"/>
  </r>
  <r>
    <n v="4623"/>
    <x v="2691"/>
    <x v="212"/>
    <s v="Ms"/>
    <s v="F"/>
    <n v="30"/>
    <s v="Vie Villas"/>
    <x v="354"/>
    <x v="2"/>
    <d v="2022-01-22T00:00:00"/>
    <x v="0"/>
    <x v="6"/>
    <n v="37"/>
    <x v="3"/>
    <x v="3"/>
    <n v="888"/>
    <x v="562"/>
  </r>
  <r>
    <n v="4624"/>
    <x v="2070"/>
    <x v="802"/>
    <s v="Mr"/>
    <s v="M"/>
    <n v="30"/>
    <s v="Vigo Lane"/>
    <x v="1219"/>
    <x v="46"/>
    <d v="2022-12-20T00:00:00"/>
    <x v="0"/>
    <x v="8"/>
    <n v="26"/>
    <x v="2"/>
    <x v="2"/>
    <n v="442"/>
    <x v="723"/>
  </r>
  <r>
    <n v="4625"/>
    <x v="441"/>
    <x v="1791"/>
    <s v="Mr"/>
    <s v="M"/>
    <n v="90"/>
    <s v="Village Mount"/>
    <x v="1009"/>
    <x v="2"/>
    <d v="2021-08-17T00:00:00"/>
    <x v="1"/>
    <x v="3"/>
    <n v="49"/>
    <x v="2"/>
    <x v="2"/>
    <n v="833"/>
    <x v="273"/>
  </r>
  <r>
    <n v="4626"/>
    <x v="99"/>
    <x v="1678"/>
    <s v="Mr"/>
    <s v="M"/>
    <n v="90"/>
    <s v="Villas"/>
    <x v="733"/>
    <x v="16"/>
    <d v="2021-03-07T00:00:00"/>
    <x v="1"/>
    <x v="5"/>
    <n v="18"/>
    <x v="5"/>
    <x v="5"/>
    <n v="432"/>
    <x v="985"/>
  </r>
  <r>
    <n v="4627"/>
    <x v="2415"/>
    <x v="1720"/>
    <s v="Mr"/>
    <s v="M"/>
    <n v="90"/>
    <s v="Vince Street"/>
    <x v="1009"/>
    <x v="2"/>
    <d v="2021-08-15T00:00:00"/>
    <x v="1"/>
    <x v="3"/>
    <n v="50"/>
    <x v="0"/>
    <x v="0"/>
    <n v="1000"/>
    <x v="671"/>
  </r>
  <r>
    <n v="4628"/>
    <x v="2692"/>
    <x v="1411"/>
    <s v="Dr"/>
    <s v="F"/>
    <n v="90"/>
    <s v="Vincent Mews"/>
    <x v="225"/>
    <x v="16"/>
    <d v="2022-04-19T00:00:00"/>
    <x v="0"/>
    <x v="4"/>
    <n v="54"/>
    <x v="0"/>
    <x v="0"/>
    <n v="1080"/>
    <x v="957"/>
  </r>
  <r>
    <n v="4629"/>
    <x v="2693"/>
    <x v="280"/>
    <s v="Miss"/>
    <s v="F"/>
    <n v="90"/>
    <s v="Vincent Road"/>
    <x v="482"/>
    <x v="2"/>
    <d v="2021-10-02T00:00:00"/>
    <x v="1"/>
    <x v="1"/>
    <n v="73"/>
    <x v="9"/>
    <x v="9"/>
    <n v="1752"/>
    <x v="152"/>
  </r>
  <r>
    <n v="4630"/>
    <x v="1137"/>
    <x v="1695"/>
    <s v="Miss"/>
    <s v="F"/>
    <n v="60"/>
    <s v="Vincent Row"/>
    <x v="838"/>
    <x v="65"/>
    <d v="2021-07-27T00:00:00"/>
    <x v="1"/>
    <x v="0"/>
    <n v="46"/>
    <x v="3"/>
    <x v="3"/>
    <n v="1104"/>
    <x v="177"/>
  </r>
  <r>
    <n v="4631"/>
    <x v="72"/>
    <x v="593"/>
    <s v="Mr"/>
    <s v="M"/>
    <n v="30"/>
    <s v="Vine Street"/>
    <x v="265"/>
    <x v="3"/>
    <d v="2020-10-29T00:00:00"/>
    <x v="2"/>
    <x v="1"/>
    <n v="4"/>
    <x v="3"/>
    <x v="3"/>
    <n v="96"/>
    <x v="631"/>
  </r>
  <r>
    <n v="4632"/>
    <x v="1043"/>
    <x v="1792"/>
    <s v="Mrs"/>
    <s v="F"/>
    <n v="60"/>
    <s v="Vinegar Street"/>
    <x v="236"/>
    <x v="3"/>
    <d v="2020-02-16T00:00:00"/>
    <x v="2"/>
    <x v="10"/>
    <n v="82"/>
    <x v="4"/>
    <x v="4"/>
    <n v="1476"/>
    <x v="291"/>
  </r>
  <r>
    <n v="4633"/>
    <x v="155"/>
    <x v="1289"/>
    <s v="Dr"/>
    <s v="M"/>
    <n v="90"/>
    <s v="Vineries Bank"/>
    <x v="882"/>
    <x v="1"/>
    <d v="2022-01-04T00:00:00"/>
    <x v="0"/>
    <x v="6"/>
    <n v="80"/>
    <x v="6"/>
    <x v="6"/>
    <n v="1920"/>
    <x v="205"/>
  </r>
  <r>
    <n v="4634"/>
    <x v="238"/>
    <x v="606"/>
    <s v="Mr"/>
    <s v="M"/>
    <n v="90"/>
    <s v="Vineyard Close"/>
    <x v="1028"/>
    <x v="2"/>
    <d v="2020-09-22T00:00:00"/>
    <x v="2"/>
    <x v="9"/>
    <n v="64"/>
    <x v="8"/>
    <x v="8"/>
    <n v="1280"/>
    <x v="149"/>
  </r>
  <r>
    <n v="4635"/>
    <x v="1035"/>
    <x v="892"/>
    <s v="Dr"/>
    <s v="M"/>
    <n v="90"/>
    <s v="Violet Road"/>
    <x v="1101"/>
    <x v="2"/>
    <d v="2020-04-03T00:00:00"/>
    <x v="2"/>
    <x v="4"/>
    <n v="82"/>
    <x v="3"/>
    <x v="3"/>
    <n v="1968"/>
    <x v="594"/>
  </r>
  <r>
    <n v="4636"/>
    <x v="1831"/>
    <x v="1063"/>
    <s v="Mrs"/>
    <s v="F"/>
    <n v="30"/>
    <s v="Violet Villa"/>
    <x v="614"/>
    <x v="0"/>
    <d v="2022-08-21T00:00:00"/>
    <x v="0"/>
    <x v="3"/>
    <n v="42"/>
    <x v="0"/>
    <x v="0"/>
    <n v="840"/>
    <x v="272"/>
  </r>
  <r>
    <n v="4637"/>
    <x v="2113"/>
    <x v="1387"/>
    <s v="Mr"/>
    <s v="M"/>
    <n v="90"/>
    <s v="Vivian Way"/>
    <x v="939"/>
    <x v="13"/>
    <d v="2022-06-23T00:00:00"/>
    <x v="0"/>
    <x v="2"/>
    <n v="29"/>
    <x v="1"/>
    <x v="1"/>
    <n v="696"/>
    <x v="952"/>
  </r>
  <r>
    <n v="4638"/>
    <x v="1030"/>
    <x v="1003"/>
    <s v="Mr"/>
    <s v="M"/>
    <n v="60"/>
    <s v="Vyner Road"/>
    <x v="251"/>
    <x v="2"/>
    <d v="2021-09-07T00:00:00"/>
    <x v="1"/>
    <x v="9"/>
    <n v="15"/>
    <x v="3"/>
    <x v="3"/>
    <n v="360"/>
    <x v="532"/>
  </r>
  <r>
    <n v="4639"/>
    <x v="2232"/>
    <x v="1513"/>
    <s v="Mr"/>
    <s v="M"/>
    <n v="60"/>
    <s v="Waddington Street"/>
    <x v="404"/>
    <x v="21"/>
    <d v="2021-04-06T00:00:00"/>
    <x v="1"/>
    <x v="4"/>
    <n v="63"/>
    <x v="2"/>
    <x v="2"/>
    <n v="1071"/>
    <x v="341"/>
  </r>
  <r>
    <n v="4640"/>
    <x v="937"/>
    <x v="1752"/>
    <s v="Mr"/>
    <s v="M"/>
    <n v="60"/>
    <s v="Waddington Way"/>
    <x v="1309"/>
    <x v="21"/>
    <d v="2021-06-15T00:00:00"/>
    <x v="1"/>
    <x v="2"/>
    <n v="18"/>
    <x v="6"/>
    <x v="6"/>
    <n v="432"/>
    <x v="254"/>
  </r>
  <r>
    <n v="4641"/>
    <x v="1438"/>
    <x v="1248"/>
    <s v="Miss"/>
    <s v="F"/>
    <n v="60"/>
    <s v="Wade House"/>
    <x v="1181"/>
    <x v="2"/>
    <d v="2020-04-15T00:00:00"/>
    <x v="2"/>
    <x v="4"/>
    <n v="48"/>
    <x v="6"/>
    <x v="6"/>
    <n v="1152"/>
    <x v="487"/>
  </r>
  <r>
    <n v="4642"/>
    <x v="1461"/>
    <x v="1141"/>
    <s v="Mr"/>
    <s v="M"/>
    <n v="60"/>
    <s v="Wadham Avenue"/>
    <x v="425"/>
    <x v="2"/>
    <d v="2021-08-30T00:00:00"/>
    <x v="1"/>
    <x v="3"/>
    <n v="25"/>
    <x v="0"/>
    <x v="0"/>
    <n v="500"/>
    <x v="864"/>
  </r>
  <r>
    <n v="4643"/>
    <x v="2694"/>
    <x v="1793"/>
    <s v="Miss"/>
    <s v="F"/>
    <n v="90"/>
    <s v="Wadhurst"/>
    <x v="20"/>
    <x v="11"/>
    <d v="2022-10-06T00:00:00"/>
    <x v="0"/>
    <x v="1"/>
    <n v="51"/>
    <x v="8"/>
    <x v="8"/>
    <n v="1020"/>
    <x v="126"/>
  </r>
  <r>
    <n v="4644"/>
    <x v="2695"/>
    <x v="1572"/>
    <s v="Mr"/>
    <s v="M"/>
    <n v="60"/>
    <s v="Wagners Buildings"/>
    <x v="37"/>
    <x v="18"/>
    <d v="2021-09-10T00:00:00"/>
    <x v="1"/>
    <x v="9"/>
    <n v="44"/>
    <x v="7"/>
    <x v="7"/>
    <n v="880"/>
    <x v="766"/>
  </r>
  <r>
    <n v="4645"/>
    <x v="876"/>
    <x v="1549"/>
    <s v="Mr"/>
    <s v="M"/>
    <n v="30"/>
    <s v="Wagstaff Buildings"/>
    <x v="939"/>
    <x v="13"/>
    <d v="2020-03-08T00:00:00"/>
    <x v="2"/>
    <x v="5"/>
    <n v="9"/>
    <x v="2"/>
    <x v="2"/>
    <n v="153"/>
    <x v="89"/>
  </r>
  <r>
    <n v="4646"/>
    <x v="1081"/>
    <x v="1794"/>
    <s v="Mr"/>
    <s v="M"/>
    <n v="60"/>
    <s v="Wake Street"/>
    <x v="1098"/>
    <x v="2"/>
    <d v="2021-09-26T00:00:00"/>
    <x v="1"/>
    <x v="9"/>
    <n v="68"/>
    <x v="1"/>
    <x v="1"/>
    <n v="1632"/>
    <x v="160"/>
  </r>
  <r>
    <n v="4647"/>
    <x v="2696"/>
    <x v="1112"/>
    <s v="Miss"/>
    <s v="F"/>
    <n v="60"/>
    <s v="Wakefield Place"/>
    <x v="1167"/>
    <x v="21"/>
    <d v="2021-11-26T00:00:00"/>
    <x v="1"/>
    <x v="7"/>
    <n v="80"/>
    <x v="1"/>
    <x v="1"/>
    <n v="1920"/>
    <x v="956"/>
  </r>
  <r>
    <n v="4648"/>
    <x v="2697"/>
    <x v="1449"/>
    <s v="Mr"/>
    <s v="M"/>
    <n v="60"/>
    <s v="Wakeham Street"/>
    <x v="239"/>
    <x v="40"/>
    <d v="2020-08-21T00:00:00"/>
    <x v="2"/>
    <x v="3"/>
    <n v="47"/>
    <x v="6"/>
    <x v="6"/>
    <n v="1128"/>
    <x v="508"/>
  </r>
  <r>
    <n v="4649"/>
    <x v="2698"/>
    <x v="1795"/>
    <s v="Ms"/>
    <s v="F"/>
    <n v="30"/>
    <s v="Wakley Street"/>
    <x v="699"/>
    <x v="2"/>
    <d v="2021-12-30T00:00:00"/>
    <x v="1"/>
    <x v="8"/>
    <n v="8"/>
    <x v="5"/>
    <x v="5"/>
    <n v="192"/>
    <x v="539"/>
  </r>
  <r>
    <n v="4650"/>
    <x v="764"/>
    <x v="1510"/>
    <s v="Mr"/>
    <s v="M"/>
    <n v="30"/>
    <s v="Walberswick Street"/>
    <x v="1007"/>
    <x v="2"/>
    <d v="2021-12-18T00:00:00"/>
    <x v="1"/>
    <x v="8"/>
    <n v="95"/>
    <x v="7"/>
    <x v="7"/>
    <n v="1900"/>
    <x v="108"/>
  </r>
  <r>
    <n v="4651"/>
    <x v="1179"/>
    <x v="248"/>
    <s v="Mr"/>
    <s v="M"/>
    <n v="60"/>
    <s v="Walbutton Road"/>
    <x v="338"/>
    <x v="15"/>
    <d v="2020-12-15T00:00:00"/>
    <x v="2"/>
    <x v="8"/>
    <n v="3"/>
    <x v="7"/>
    <x v="7"/>
    <n v="60"/>
    <x v="258"/>
  </r>
  <r>
    <n v="4652"/>
    <x v="2699"/>
    <x v="848"/>
    <s v="Miss"/>
    <s v="F"/>
    <n v="30"/>
    <s v="Walcombe Avenue"/>
    <x v="86"/>
    <x v="17"/>
    <d v="2021-12-28T00:00:00"/>
    <x v="1"/>
    <x v="8"/>
    <n v="86"/>
    <x v="1"/>
    <x v="1"/>
    <n v="2064"/>
    <x v="201"/>
  </r>
  <r>
    <n v="4653"/>
    <x v="2700"/>
    <x v="415"/>
    <s v="Miss"/>
    <s v="F"/>
    <n v="90"/>
    <s v="Waldeck Grove"/>
    <x v="1106"/>
    <x v="14"/>
    <d v="2021-05-26T00:00:00"/>
    <x v="1"/>
    <x v="11"/>
    <n v="46"/>
    <x v="6"/>
    <x v="6"/>
    <n v="1104"/>
    <x v="199"/>
  </r>
  <r>
    <n v="4654"/>
    <x v="2701"/>
    <x v="747"/>
    <s v="Mrs"/>
    <s v="F"/>
    <n v="30"/>
    <s v="Walden Way"/>
    <x v="864"/>
    <x v="2"/>
    <d v="2021-05-08T00:00:00"/>
    <x v="1"/>
    <x v="11"/>
    <n v="94"/>
    <x v="0"/>
    <x v="0"/>
    <n v="1880"/>
    <x v="365"/>
  </r>
  <r>
    <n v="4655"/>
    <x v="41"/>
    <x v="895"/>
    <s v="Mr"/>
    <s v="M"/>
    <n v="30"/>
    <s v="Walham Rise"/>
    <x v="464"/>
    <x v="1"/>
    <d v="2022-10-27T00:00:00"/>
    <x v="0"/>
    <x v="1"/>
    <n v="51"/>
    <x v="9"/>
    <x v="9"/>
    <n v="1224"/>
    <x v="804"/>
  </r>
  <r>
    <n v="4656"/>
    <x v="696"/>
    <x v="522"/>
    <s v="Miss"/>
    <s v="F"/>
    <n v="60"/>
    <s v="Wallaces Yard"/>
    <x v="836"/>
    <x v="20"/>
    <d v="2022-11-24T00:00:00"/>
    <x v="0"/>
    <x v="7"/>
    <n v="79"/>
    <x v="3"/>
    <x v="3"/>
    <n v="1896"/>
    <x v="706"/>
  </r>
  <r>
    <n v="4657"/>
    <x v="2560"/>
    <x v="8"/>
    <s v="Mrs"/>
    <s v="F"/>
    <n v="30"/>
    <s v="Wallgrave Terrace"/>
    <x v="1024"/>
    <x v="17"/>
    <d v="2020-11-17T00:00:00"/>
    <x v="2"/>
    <x v="7"/>
    <n v="4"/>
    <x v="4"/>
    <x v="4"/>
    <n v="72"/>
    <x v="486"/>
  </r>
  <r>
    <n v="4658"/>
    <x v="674"/>
    <x v="1039"/>
    <s v="Mr"/>
    <s v="M"/>
    <n v="60"/>
    <s v="Walls Terrace"/>
    <x v="424"/>
    <x v="9"/>
    <d v="2022-08-28T00:00:00"/>
    <x v="0"/>
    <x v="3"/>
    <n v="26"/>
    <x v="7"/>
    <x v="7"/>
    <n v="520"/>
    <x v="110"/>
  </r>
  <r>
    <n v="4659"/>
    <x v="394"/>
    <x v="87"/>
    <s v="Mrs"/>
    <s v="F"/>
    <n v="90"/>
    <s v="Wallside"/>
    <x v="824"/>
    <x v="2"/>
    <d v="2020-09-23T00:00:00"/>
    <x v="2"/>
    <x v="9"/>
    <n v="65"/>
    <x v="8"/>
    <x v="8"/>
    <n v="1300"/>
    <x v="334"/>
  </r>
  <r>
    <n v="4660"/>
    <x v="2702"/>
    <x v="852"/>
    <s v="Ms"/>
    <s v="F"/>
    <n v="90"/>
    <s v="Walmer Gardens"/>
    <x v="917"/>
    <x v="35"/>
    <d v="2022-02-21T00:00:00"/>
    <x v="0"/>
    <x v="10"/>
    <n v="22"/>
    <x v="8"/>
    <x v="8"/>
    <n v="440"/>
    <x v="259"/>
  </r>
  <r>
    <n v="4661"/>
    <x v="567"/>
    <x v="1087"/>
    <s v="Mrs"/>
    <s v="F"/>
    <n v="90"/>
    <s v="Walmer Place"/>
    <x v="1214"/>
    <x v="2"/>
    <d v="2021-01-03T00:00:00"/>
    <x v="1"/>
    <x v="6"/>
    <n v="63"/>
    <x v="6"/>
    <x v="6"/>
    <n v="1512"/>
    <x v="375"/>
  </r>
  <r>
    <n v="4662"/>
    <x v="2703"/>
    <x v="567"/>
    <s v="Mrs"/>
    <s v="F"/>
    <n v="30"/>
    <s v="Walnut Court"/>
    <x v="983"/>
    <x v="2"/>
    <d v="2021-07-26T00:00:00"/>
    <x v="1"/>
    <x v="0"/>
    <n v="66"/>
    <x v="2"/>
    <x v="2"/>
    <n v="1122"/>
    <x v="771"/>
  </r>
  <r>
    <n v="4663"/>
    <x v="2704"/>
    <x v="771"/>
    <s v="Miss"/>
    <s v="F"/>
    <n v="90"/>
    <s v="Walnut Gardens"/>
    <x v="146"/>
    <x v="2"/>
    <d v="2020-02-17T00:00:00"/>
    <x v="2"/>
    <x v="10"/>
    <n v="52"/>
    <x v="4"/>
    <x v="4"/>
    <n v="936"/>
    <x v="381"/>
  </r>
  <r>
    <n v="4664"/>
    <x v="2705"/>
    <x v="156"/>
    <s v="Mrs"/>
    <s v="F"/>
    <n v="90"/>
    <s v="Walnut Tree"/>
    <x v="819"/>
    <x v="21"/>
    <d v="2020-11-15T00:00:00"/>
    <x v="2"/>
    <x v="7"/>
    <n v="63"/>
    <x v="1"/>
    <x v="1"/>
    <n v="1512"/>
    <x v="333"/>
  </r>
  <r>
    <n v="4665"/>
    <x v="2706"/>
    <x v="71"/>
    <s v="Ms"/>
    <s v="F"/>
    <n v="90"/>
    <s v="Walpole Mews"/>
    <x v="690"/>
    <x v="2"/>
    <d v="2021-03-27T00:00:00"/>
    <x v="1"/>
    <x v="5"/>
    <n v="90"/>
    <x v="2"/>
    <x v="2"/>
    <n v="1530"/>
    <x v="630"/>
  </r>
  <r>
    <n v="4666"/>
    <x v="686"/>
    <x v="1182"/>
    <s v="Mr"/>
    <s v="M"/>
    <n v="90"/>
    <s v="Walters Way"/>
    <x v="1000"/>
    <x v="1"/>
    <d v="2021-11-22T00:00:00"/>
    <x v="1"/>
    <x v="7"/>
    <n v="33"/>
    <x v="0"/>
    <x v="0"/>
    <n v="660"/>
    <x v="745"/>
  </r>
  <r>
    <n v="4667"/>
    <x v="1698"/>
    <x v="1271"/>
    <s v="Miss"/>
    <s v="F"/>
    <n v="60"/>
    <s v="Waltham Park"/>
    <x v="419"/>
    <x v="17"/>
    <d v="2020-10-11T00:00:00"/>
    <x v="2"/>
    <x v="1"/>
    <n v="23"/>
    <x v="9"/>
    <x v="9"/>
    <n v="552"/>
    <x v="60"/>
  </r>
  <r>
    <n v="4668"/>
    <x v="2707"/>
    <x v="481"/>
    <s v="Mr"/>
    <s v="M"/>
    <n v="60"/>
    <s v="Walton Villas"/>
    <x v="1289"/>
    <x v="2"/>
    <d v="2021-05-21T00:00:00"/>
    <x v="1"/>
    <x v="11"/>
    <n v="88"/>
    <x v="5"/>
    <x v="5"/>
    <n v="2112"/>
    <x v="999"/>
  </r>
  <r>
    <n v="4669"/>
    <x v="2708"/>
    <x v="1178"/>
    <s v="Mrs"/>
    <s v="F"/>
    <n v="90"/>
    <s v="Walworth Villas"/>
    <x v="883"/>
    <x v="2"/>
    <d v="2020-07-09T00:00:00"/>
    <x v="2"/>
    <x v="0"/>
    <n v="4"/>
    <x v="3"/>
    <x v="3"/>
    <n v="96"/>
    <x v="631"/>
  </r>
  <r>
    <n v="4670"/>
    <x v="200"/>
    <x v="154"/>
    <s v="Mr"/>
    <s v="M"/>
    <n v="90"/>
    <s v="Wandsworth Enterprise"/>
    <x v="337"/>
    <x v="2"/>
    <d v="2021-02-27T00:00:00"/>
    <x v="1"/>
    <x v="10"/>
    <n v="21"/>
    <x v="4"/>
    <x v="4"/>
    <n v="378"/>
    <x v="346"/>
  </r>
  <r>
    <n v="4671"/>
    <x v="2469"/>
    <x v="1401"/>
    <s v="Miss"/>
    <s v="F"/>
    <n v="60"/>
    <s v="Wandsworth Road"/>
    <x v="999"/>
    <x v="15"/>
    <d v="2020-01-22T00:00:00"/>
    <x v="2"/>
    <x v="6"/>
    <n v="42"/>
    <x v="1"/>
    <x v="1"/>
    <n v="1008"/>
    <x v="185"/>
  </r>
  <r>
    <n v="4672"/>
    <x v="430"/>
    <x v="1795"/>
    <s v="Mr"/>
    <s v="M"/>
    <n v="90"/>
    <s v="Warberry Road"/>
    <x v="513"/>
    <x v="16"/>
    <d v="2021-01-07T00:00:00"/>
    <x v="1"/>
    <x v="6"/>
    <n v="12"/>
    <x v="2"/>
    <x v="2"/>
    <n v="204"/>
    <x v="578"/>
  </r>
  <r>
    <n v="4673"/>
    <x v="173"/>
    <x v="579"/>
    <s v="Mr"/>
    <s v="M"/>
    <n v="60"/>
    <s v="Warburton Close"/>
    <x v="62"/>
    <x v="2"/>
    <d v="2022-04-16T00:00:00"/>
    <x v="0"/>
    <x v="4"/>
    <n v="88"/>
    <x v="3"/>
    <x v="3"/>
    <n v="2112"/>
    <x v="697"/>
  </r>
  <r>
    <n v="4674"/>
    <x v="2709"/>
    <x v="173"/>
    <s v="Mr"/>
    <s v="M"/>
    <n v="60"/>
    <s v="Ward Hall"/>
    <x v="374"/>
    <x v="17"/>
    <d v="2021-10-17T00:00:00"/>
    <x v="1"/>
    <x v="1"/>
    <n v="50"/>
    <x v="7"/>
    <x v="7"/>
    <n v="1000"/>
    <x v="364"/>
  </r>
  <r>
    <n v="4675"/>
    <x v="2710"/>
    <x v="1796"/>
    <s v="Mrs"/>
    <s v="F"/>
    <n v="60"/>
    <s v="Ward Road"/>
    <x v="560"/>
    <x v="74"/>
    <d v="2022-12-10T00:00:00"/>
    <x v="0"/>
    <x v="8"/>
    <n v="45"/>
    <x v="2"/>
    <x v="2"/>
    <n v="765"/>
    <x v="446"/>
  </r>
  <r>
    <n v="4676"/>
    <x v="1506"/>
    <x v="1290"/>
    <s v="Mr"/>
    <s v="M"/>
    <n v="60"/>
    <s v="Wardalls Gr"/>
    <x v="777"/>
    <x v="1"/>
    <d v="2022-10-23T00:00:00"/>
    <x v="0"/>
    <x v="1"/>
    <n v="14"/>
    <x v="9"/>
    <x v="9"/>
    <n v="336"/>
    <x v="759"/>
  </r>
  <r>
    <n v="4677"/>
    <x v="1064"/>
    <x v="1718"/>
    <s v="Mrs"/>
    <s v="F"/>
    <n v="60"/>
    <s v="Wardley Street"/>
    <x v="402"/>
    <x v="2"/>
    <d v="2021-04-14T00:00:00"/>
    <x v="1"/>
    <x v="4"/>
    <n v="16"/>
    <x v="7"/>
    <x v="7"/>
    <n v="320"/>
    <x v="925"/>
  </r>
  <r>
    <n v="4678"/>
    <x v="865"/>
    <x v="389"/>
    <s v="Mrs"/>
    <s v="F"/>
    <n v="30"/>
    <s v="Wards Cottages"/>
    <x v="1050"/>
    <x v="2"/>
    <d v="2021-06-06T00:00:00"/>
    <x v="1"/>
    <x v="2"/>
    <n v="20"/>
    <x v="0"/>
    <x v="0"/>
    <n v="400"/>
    <x v="210"/>
  </r>
  <r>
    <n v="4679"/>
    <x v="1806"/>
    <x v="1264"/>
    <s v="Mr"/>
    <s v="M"/>
    <n v="90"/>
    <s v="Warley Road"/>
    <x v="879"/>
    <x v="21"/>
    <d v="2022-09-25T00:00:00"/>
    <x v="0"/>
    <x v="9"/>
    <n v="60"/>
    <x v="9"/>
    <x v="9"/>
    <n v="1440"/>
    <x v="101"/>
  </r>
  <r>
    <n v="4680"/>
    <x v="79"/>
    <x v="707"/>
    <s v="Mr"/>
    <s v="M"/>
    <n v="30"/>
    <s v="Warley Street"/>
    <x v="244"/>
    <x v="1"/>
    <d v="2022-11-22T00:00:00"/>
    <x v="0"/>
    <x v="7"/>
    <n v="2"/>
    <x v="6"/>
    <x v="6"/>
    <n v="48"/>
    <x v="728"/>
  </r>
  <r>
    <n v="4681"/>
    <x v="1542"/>
    <x v="1133"/>
    <s v="Mr"/>
    <s v="M"/>
    <n v="60"/>
    <s v="Warner Road"/>
    <x v="790"/>
    <x v="15"/>
    <d v="2022-02-04T00:00:00"/>
    <x v="0"/>
    <x v="10"/>
    <n v="23"/>
    <x v="1"/>
    <x v="1"/>
    <n v="552"/>
    <x v="769"/>
  </r>
  <r>
    <n v="4682"/>
    <x v="35"/>
    <x v="1489"/>
    <s v="Mr"/>
    <s v="M"/>
    <n v="90"/>
    <s v="Warner Road"/>
    <x v="889"/>
    <x v="2"/>
    <d v="2022-08-20T00:00:00"/>
    <x v="0"/>
    <x v="3"/>
    <n v="4"/>
    <x v="7"/>
    <x v="7"/>
    <n v="80"/>
    <x v="192"/>
  </r>
  <r>
    <n v="4683"/>
    <x v="2711"/>
    <x v="1028"/>
    <s v="Miss"/>
    <s v="F"/>
    <n v="90"/>
    <s v="Warwick Grove"/>
    <x v="367"/>
    <x v="2"/>
    <d v="2022-02-20T00:00:00"/>
    <x v="0"/>
    <x v="10"/>
    <n v="5"/>
    <x v="2"/>
    <x v="2"/>
    <n v="85"/>
    <x v="36"/>
  </r>
  <r>
    <n v="4684"/>
    <x v="1716"/>
    <x v="839"/>
    <s v="Mr"/>
    <s v="M"/>
    <n v="60"/>
    <s v="Warwick House"/>
    <x v="237"/>
    <x v="35"/>
    <d v="2021-05-19T00:00:00"/>
    <x v="1"/>
    <x v="11"/>
    <n v="29"/>
    <x v="4"/>
    <x v="4"/>
    <n v="522"/>
    <x v="673"/>
  </r>
  <r>
    <n v="4685"/>
    <x v="2159"/>
    <x v="460"/>
    <s v="Miss"/>
    <s v="F"/>
    <n v="30"/>
    <s v="Warwick Villas"/>
    <x v="1155"/>
    <x v="1"/>
    <d v="2022-05-13T00:00:00"/>
    <x v="0"/>
    <x v="11"/>
    <n v="61"/>
    <x v="5"/>
    <x v="5"/>
    <n v="1464"/>
    <x v="515"/>
  </r>
  <r>
    <n v="4686"/>
    <x v="1282"/>
    <x v="1797"/>
    <s v="Mr"/>
    <s v="M"/>
    <n v="90"/>
    <s v="Washington Street"/>
    <x v="105"/>
    <x v="2"/>
    <d v="2020-12-09T00:00:00"/>
    <x v="2"/>
    <x v="8"/>
    <n v="4"/>
    <x v="5"/>
    <x v="5"/>
    <n v="96"/>
    <x v="260"/>
  </r>
  <r>
    <n v="4687"/>
    <x v="2712"/>
    <x v="85"/>
    <s v="Mrs"/>
    <s v="F"/>
    <n v="60"/>
    <s v="Water Mews"/>
    <x v="227"/>
    <x v="2"/>
    <d v="2020-12-17T00:00:00"/>
    <x v="2"/>
    <x v="8"/>
    <n v="69"/>
    <x v="0"/>
    <x v="0"/>
    <n v="1380"/>
    <x v="497"/>
  </r>
  <r>
    <n v="4688"/>
    <x v="839"/>
    <x v="327"/>
    <s v="Mr"/>
    <s v="M"/>
    <n v="60"/>
    <s v="Water Street"/>
    <x v="166"/>
    <x v="3"/>
    <d v="2022-07-13T00:00:00"/>
    <x v="0"/>
    <x v="0"/>
    <n v="88"/>
    <x v="5"/>
    <x v="5"/>
    <n v="2112"/>
    <x v="999"/>
  </r>
  <r>
    <n v="4689"/>
    <x v="2713"/>
    <x v="19"/>
    <s v="Mr"/>
    <s v="M"/>
    <n v="60"/>
    <s v="Waterden Road"/>
    <x v="85"/>
    <x v="1"/>
    <d v="2020-01-26T00:00:00"/>
    <x v="2"/>
    <x v="6"/>
    <n v="35"/>
    <x v="8"/>
    <x v="8"/>
    <n v="700"/>
    <x v="288"/>
  </r>
  <r>
    <n v="4690"/>
    <x v="582"/>
    <x v="222"/>
    <s v="Miss"/>
    <s v="F"/>
    <n v="30"/>
    <s v="Watergate Street"/>
    <x v="542"/>
    <x v="2"/>
    <d v="2020-08-09T00:00:00"/>
    <x v="2"/>
    <x v="3"/>
    <n v="15"/>
    <x v="9"/>
    <x v="9"/>
    <n v="360"/>
    <x v="274"/>
  </r>
  <r>
    <n v="4691"/>
    <x v="1298"/>
    <x v="1545"/>
    <s v="Miss"/>
    <s v="F"/>
    <n v="90"/>
    <s v="Waterlow Road"/>
    <x v="924"/>
    <x v="4"/>
    <d v="2021-10-18T00:00:00"/>
    <x v="1"/>
    <x v="1"/>
    <n v="49"/>
    <x v="5"/>
    <x v="5"/>
    <n v="1176"/>
    <x v="908"/>
  </r>
  <r>
    <n v="4692"/>
    <x v="1659"/>
    <x v="810"/>
    <s v="Mr"/>
    <s v="M"/>
    <n v="60"/>
    <s v="Waterlow Terrace"/>
    <x v="328"/>
    <x v="55"/>
    <d v="2021-06-05T00:00:00"/>
    <x v="1"/>
    <x v="2"/>
    <n v="37"/>
    <x v="3"/>
    <x v="3"/>
    <n v="888"/>
    <x v="562"/>
  </r>
  <r>
    <n v="4693"/>
    <x v="2714"/>
    <x v="142"/>
    <s v="Mrs"/>
    <s v="F"/>
    <n v="30"/>
    <s v="Watermint Quay"/>
    <x v="704"/>
    <x v="21"/>
    <d v="2022-06-02T00:00:00"/>
    <x v="0"/>
    <x v="2"/>
    <n v="36"/>
    <x v="2"/>
    <x v="2"/>
    <n v="612"/>
    <x v="832"/>
  </r>
  <r>
    <n v="4694"/>
    <x v="503"/>
    <x v="1083"/>
    <s v="Mr"/>
    <s v="M"/>
    <n v="30"/>
    <s v="Waterside"/>
    <x v="529"/>
    <x v="44"/>
    <d v="2021-02-04T00:00:00"/>
    <x v="1"/>
    <x v="10"/>
    <n v="55"/>
    <x v="2"/>
    <x v="2"/>
    <n v="935"/>
    <x v="773"/>
  </r>
  <r>
    <n v="4695"/>
    <x v="2715"/>
    <x v="1025"/>
    <s v="Mr"/>
    <s v="M"/>
    <n v="90"/>
    <s v="Watford Way"/>
    <x v="711"/>
    <x v="2"/>
    <d v="2022-08-10T00:00:00"/>
    <x v="0"/>
    <x v="3"/>
    <n v="46"/>
    <x v="7"/>
    <x v="7"/>
    <n v="920"/>
    <x v="681"/>
  </r>
  <r>
    <n v="4696"/>
    <x v="657"/>
    <x v="1592"/>
    <s v="Mr"/>
    <s v="M"/>
    <n v="90"/>
    <s v="Watling Gardens"/>
    <x v="897"/>
    <x v="7"/>
    <d v="2022-11-17T00:00:00"/>
    <x v="0"/>
    <x v="7"/>
    <n v="11"/>
    <x v="9"/>
    <x v="9"/>
    <n v="264"/>
    <x v="376"/>
  </r>
  <r>
    <n v="4697"/>
    <x v="1000"/>
    <x v="561"/>
    <s v="Mr"/>
    <s v="M"/>
    <n v="90"/>
    <s v="Watlins Terrace"/>
    <x v="1310"/>
    <x v="2"/>
    <d v="2022-07-10T00:00:00"/>
    <x v="0"/>
    <x v="0"/>
    <n v="79"/>
    <x v="7"/>
    <x v="7"/>
    <n v="1580"/>
    <x v="822"/>
  </r>
  <r>
    <n v="4698"/>
    <x v="2120"/>
    <x v="501"/>
    <s v="Mr"/>
    <s v="M"/>
    <n v="90"/>
    <s v="Watson Mews"/>
    <x v="1295"/>
    <x v="36"/>
    <d v="2021-12-13T00:00:00"/>
    <x v="1"/>
    <x v="8"/>
    <n v="77"/>
    <x v="7"/>
    <x v="7"/>
    <n v="1540"/>
    <x v="9"/>
  </r>
  <r>
    <n v="4699"/>
    <x v="2716"/>
    <x v="1394"/>
    <s v="Miss"/>
    <s v="F"/>
    <n v="90"/>
    <s v="Wattisfield Road"/>
    <x v="111"/>
    <x v="2"/>
    <d v="2022-09-04T00:00:00"/>
    <x v="0"/>
    <x v="9"/>
    <n v="24"/>
    <x v="4"/>
    <x v="4"/>
    <n v="432"/>
    <x v="959"/>
  </r>
  <r>
    <n v="4700"/>
    <x v="1882"/>
    <x v="38"/>
    <s v="Mrs"/>
    <s v="F"/>
    <n v="90"/>
    <s v="Waveney Avenue"/>
    <x v="280"/>
    <x v="2"/>
    <d v="2022-09-28T00:00:00"/>
    <x v="0"/>
    <x v="9"/>
    <n v="33"/>
    <x v="5"/>
    <x v="5"/>
    <n v="792"/>
    <x v="523"/>
  </r>
  <r>
    <n v="4701"/>
    <x v="323"/>
    <x v="808"/>
    <s v="Rev"/>
    <s v="M"/>
    <n v="90"/>
    <s v="Waverley Terrace"/>
    <x v="493"/>
    <x v="21"/>
    <d v="2020-08-13T00:00:00"/>
    <x v="2"/>
    <x v="3"/>
    <n v="59"/>
    <x v="2"/>
    <x v="2"/>
    <n v="1003"/>
    <x v="438"/>
  </r>
  <r>
    <n v="4702"/>
    <x v="2717"/>
    <x v="580"/>
    <s v="Ms"/>
    <s v="F"/>
    <n v="30"/>
    <s v="Waverton Road"/>
    <x v="142"/>
    <x v="21"/>
    <d v="2022-01-13T00:00:00"/>
    <x v="0"/>
    <x v="6"/>
    <n v="7"/>
    <x v="3"/>
    <x v="3"/>
    <n v="168"/>
    <x v="33"/>
  </r>
  <r>
    <n v="4703"/>
    <x v="2718"/>
    <x v="247"/>
    <s v="Miss"/>
    <s v="F"/>
    <n v="60"/>
    <s v="Wayfield Link"/>
    <x v="1007"/>
    <x v="2"/>
    <d v="2021-04-05T00:00:00"/>
    <x v="1"/>
    <x v="4"/>
    <n v="75"/>
    <x v="4"/>
    <x v="4"/>
    <n v="1350"/>
    <x v="23"/>
  </r>
  <r>
    <n v="4704"/>
    <x v="2719"/>
    <x v="1257"/>
    <s v="Miss"/>
    <s v="F"/>
    <n v="90"/>
    <s v="Webbs Lane"/>
    <x v="623"/>
    <x v="76"/>
    <d v="2022-03-02T00:00:00"/>
    <x v="0"/>
    <x v="5"/>
    <n v="54"/>
    <x v="9"/>
    <x v="9"/>
    <n v="1296"/>
    <x v="535"/>
  </r>
  <r>
    <n v="4705"/>
    <x v="1523"/>
    <x v="424"/>
    <s v="Mr"/>
    <s v="M"/>
    <n v="90"/>
    <s v="Webbs Yard"/>
    <x v="158"/>
    <x v="17"/>
    <d v="2022-05-22T00:00:00"/>
    <x v="0"/>
    <x v="11"/>
    <n v="78"/>
    <x v="7"/>
    <x v="7"/>
    <n v="1560"/>
    <x v="664"/>
  </r>
  <r>
    <n v="4706"/>
    <x v="2720"/>
    <x v="438"/>
    <s v="Mrs"/>
    <s v="F"/>
    <n v="90"/>
    <s v="Wedgwood Walk"/>
    <x v="1227"/>
    <x v="2"/>
    <d v="2022-01-20T00:00:00"/>
    <x v="0"/>
    <x v="6"/>
    <n v="46"/>
    <x v="8"/>
    <x v="8"/>
    <n v="920"/>
    <x v="166"/>
  </r>
  <r>
    <n v="4707"/>
    <x v="1598"/>
    <x v="821"/>
    <s v="Dr"/>
    <s v="M"/>
    <n v="90"/>
    <s v="Weedon Terrace"/>
    <x v="682"/>
    <x v="2"/>
    <d v="2021-06-07T00:00:00"/>
    <x v="1"/>
    <x v="2"/>
    <n v="6"/>
    <x v="5"/>
    <x v="5"/>
    <n v="144"/>
    <x v="212"/>
  </r>
  <r>
    <n v="4708"/>
    <x v="1000"/>
    <x v="1643"/>
    <s v="Mr"/>
    <s v="M"/>
    <n v="90"/>
    <s v="Weekley Square"/>
    <x v="243"/>
    <x v="16"/>
    <d v="2021-07-07T00:00:00"/>
    <x v="1"/>
    <x v="0"/>
    <n v="53"/>
    <x v="1"/>
    <x v="1"/>
    <n v="1272"/>
    <x v="934"/>
  </r>
  <r>
    <n v="4709"/>
    <x v="953"/>
    <x v="1681"/>
    <s v="Mr"/>
    <s v="M"/>
    <n v="60"/>
    <s v="Weimar Street"/>
    <x v="1291"/>
    <x v="65"/>
    <d v="2022-09-26T00:00:00"/>
    <x v="0"/>
    <x v="9"/>
    <n v="50"/>
    <x v="7"/>
    <x v="7"/>
    <n v="1000"/>
    <x v="364"/>
  </r>
  <r>
    <n v="4710"/>
    <x v="326"/>
    <x v="709"/>
    <s v="Mr"/>
    <s v="M"/>
    <n v="90"/>
    <s v="Weir Hall"/>
    <x v="268"/>
    <x v="21"/>
    <d v="2020-03-28T00:00:00"/>
    <x v="2"/>
    <x v="5"/>
    <n v="19"/>
    <x v="7"/>
    <x v="7"/>
    <n v="380"/>
    <x v="391"/>
  </r>
  <r>
    <n v="4711"/>
    <x v="1595"/>
    <x v="122"/>
    <s v="Mr"/>
    <s v="M"/>
    <n v="90"/>
    <s v="Welbeck Way"/>
    <x v="367"/>
    <x v="2"/>
    <d v="2020-10-19T00:00:00"/>
    <x v="2"/>
    <x v="1"/>
    <n v="70"/>
    <x v="2"/>
    <x v="2"/>
    <n v="1190"/>
    <x v="281"/>
  </r>
  <r>
    <n v="4712"/>
    <x v="2721"/>
    <x v="1608"/>
    <s v="Dr"/>
    <s v="F"/>
    <n v="60"/>
    <s v="Welford Close"/>
    <x v="1052"/>
    <x v="2"/>
    <d v="2021-03-19T00:00:00"/>
    <x v="1"/>
    <x v="5"/>
    <n v="2"/>
    <x v="0"/>
    <x v="0"/>
    <n v="40"/>
    <x v="156"/>
  </r>
  <r>
    <n v="4713"/>
    <x v="2722"/>
    <x v="1798"/>
    <s v="Mrs"/>
    <s v="F"/>
    <n v="90"/>
    <s v="Welham Terrace"/>
    <x v="884"/>
    <x v="13"/>
    <d v="2021-02-04T00:00:00"/>
    <x v="1"/>
    <x v="10"/>
    <n v="7"/>
    <x v="9"/>
    <x v="9"/>
    <n v="168"/>
    <x v="743"/>
  </r>
  <r>
    <n v="4714"/>
    <x v="1846"/>
    <x v="487"/>
    <s v="Mr"/>
    <s v="M"/>
    <n v="90"/>
    <s v="Wellesley Street"/>
    <x v="528"/>
    <x v="21"/>
    <d v="2020-08-29T00:00:00"/>
    <x v="2"/>
    <x v="3"/>
    <n v="57"/>
    <x v="2"/>
    <x v="2"/>
    <n v="969"/>
    <x v="489"/>
  </r>
  <r>
    <n v="4715"/>
    <x v="1649"/>
    <x v="73"/>
    <s v="Mr"/>
    <s v="M"/>
    <n v="90"/>
    <s v="Wellfield Road"/>
    <x v="845"/>
    <x v="2"/>
    <d v="2022-08-14T00:00:00"/>
    <x v="0"/>
    <x v="3"/>
    <n v="90"/>
    <x v="1"/>
    <x v="1"/>
    <n v="2160"/>
    <x v="552"/>
  </r>
  <r>
    <n v="4716"/>
    <x v="2723"/>
    <x v="1275"/>
    <s v="Mrs"/>
    <s v="F"/>
    <n v="90"/>
    <s v="Welling Place"/>
    <x v="911"/>
    <x v="2"/>
    <d v="2021-02-27T00:00:00"/>
    <x v="1"/>
    <x v="10"/>
    <n v="46"/>
    <x v="8"/>
    <x v="8"/>
    <n v="920"/>
    <x v="166"/>
  </r>
  <r>
    <n v="4717"/>
    <x v="2724"/>
    <x v="1588"/>
    <s v="Mrs"/>
    <s v="F"/>
    <n v="90"/>
    <s v="Welling Place"/>
    <x v="552"/>
    <x v="2"/>
    <d v="2020-01-10T00:00:00"/>
    <x v="2"/>
    <x v="6"/>
    <n v="79"/>
    <x v="6"/>
    <x v="6"/>
    <n v="1896"/>
    <x v="74"/>
  </r>
  <r>
    <n v="4718"/>
    <x v="2725"/>
    <x v="187"/>
    <s v="Mrs"/>
    <s v="F"/>
    <n v="60"/>
    <s v="Wellington Cottages"/>
    <x v="354"/>
    <x v="2"/>
    <d v="2020-05-14T00:00:00"/>
    <x v="2"/>
    <x v="11"/>
    <n v="73"/>
    <x v="5"/>
    <x v="5"/>
    <n v="1752"/>
    <x v="277"/>
  </r>
  <r>
    <n v="4719"/>
    <x v="259"/>
    <x v="808"/>
    <s v="Mr"/>
    <s v="M"/>
    <n v="60"/>
    <s v="Wellington Place"/>
    <x v="476"/>
    <x v="2"/>
    <d v="2020-09-07T00:00:00"/>
    <x v="2"/>
    <x v="9"/>
    <n v="81"/>
    <x v="6"/>
    <x v="6"/>
    <n v="1944"/>
    <x v="382"/>
  </r>
  <r>
    <n v="4720"/>
    <x v="1257"/>
    <x v="1618"/>
    <s v="Mr"/>
    <s v="M"/>
    <n v="60"/>
    <s v="Wenlock Road"/>
    <x v="37"/>
    <x v="18"/>
    <d v="2021-03-15T00:00:00"/>
    <x v="1"/>
    <x v="5"/>
    <n v="43"/>
    <x v="3"/>
    <x v="3"/>
    <n v="1032"/>
    <x v="722"/>
  </r>
  <r>
    <n v="4721"/>
    <x v="1209"/>
    <x v="780"/>
    <s v="Ms"/>
    <s v="F"/>
    <n v="30"/>
    <s v="Wentbrook House"/>
    <x v="774"/>
    <x v="21"/>
    <d v="2022-08-13T00:00:00"/>
    <x v="0"/>
    <x v="3"/>
    <n v="93"/>
    <x v="3"/>
    <x v="3"/>
    <n v="2232"/>
    <x v="717"/>
  </r>
  <r>
    <n v="4722"/>
    <x v="716"/>
    <x v="1483"/>
    <s v="Mr"/>
    <s v="M"/>
    <n v="30"/>
    <s v="Wentland Close"/>
    <x v="718"/>
    <x v="76"/>
    <d v="2020-05-22T00:00:00"/>
    <x v="2"/>
    <x v="11"/>
    <n v="46"/>
    <x v="6"/>
    <x v="6"/>
    <n v="1104"/>
    <x v="199"/>
  </r>
  <r>
    <n v="4723"/>
    <x v="2726"/>
    <x v="1603"/>
    <s v="Miss"/>
    <s v="F"/>
    <n v="90"/>
    <s v="Wentworth Close"/>
    <x v="712"/>
    <x v="2"/>
    <d v="2022-07-03T00:00:00"/>
    <x v="0"/>
    <x v="0"/>
    <n v="7"/>
    <x v="0"/>
    <x v="0"/>
    <n v="140"/>
    <x v="522"/>
  </r>
  <r>
    <n v="4724"/>
    <x v="2727"/>
    <x v="151"/>
    <s v="Mrs"/>
    <s v="F"/>
    <n v="30"/>
    <s v="Wernbrook Street"/>
    <x v="297"/>
    <x v="2"/>
    <d v="2021-06-13T00:00:00"/>
    <x v="1"/>
    <x v="2"/>
    <n v="91"/>
    <x v="7"/>
    <x v="7"/>
    <n v="1820"/>
    <x v="151"/>
  </r>
  <r>
    <n v="4725"/>
    <x v="2728"/>
    <x v="1266"/>
    <s v="Mrs"/>
    <s v="F"/>
    <n v="90"/>
    <s v="West Arbour"/>
    <x v="734"/>
    <x v="2"/>
    <d v="2020-01-31T00:00:00"/>
    <x v="2"/>
    <x v="6"/>
    <n v="2"/>
    <x v="1"/>
    <x v="1"/>
    <n v="48"/>
    <x v="318"/>
  </r>
  <r>
    <n v="4726"/>
    <x v="559"/>
    <x v="1707"/>
    <s v="Mrs"/>
    <s v="F"/>
    <n v="90"/>
    <s v="West Cromwell"/>
    <x v="668"/>
    <x v="2"/>
    <d v="2022-04-11T00:00:00"/>
    <x v="0"/>
    <x v="4"/>
    <n v="25"/>
    <x v="0"/>
    <x v="0"/>
    <n v="500"/>
    <x v="864"/>
  </r>
  <r>
    <n v="4727"/>
    <x v="262"/>
    <x v="619"/>
    <s v="Mr"/>
    <s v="M"/>
    <n v="30"/>
    <s v="West Ella"/>
    <x v="146"/>
    <x v="2"/>
    <d v="2021-11-24T00:00:00"/>
    <x v="1"/>
    <x v="7"/>
    <n v="58"/>
    <x v="9"/>
    <x v="9"/>
    <n v="1392"/>
    <x v="655"/>
  </r>
  <r>
    <n v="4728"/>
    <x v="2729"/>
    <x v="1799"/>
    <s v="Miss"/>
    <s v="F"/>
    <n v="30"/>
    <s v="West Grove"/>
    <x v="697"/>
    <x v="15"/>
    <d v="2020-12-15T00:00:00"/>
    <x v="2"/>
    <x v="8"/>
    <n v="66"/>
    <x v="8"/>
    <x v="8"/>
    <n v="1320"/>
    <x v="241"/>
  </r>
  <r>
    <n v="4729"/>
    <x v="1511"/>
    <x v="1220"/>
    <s v="Mr"/>
    <s v="M"/>
    <n v="30"/>
    <s v="West House"/>
    <x v="782"/>
    <x v="11"/>
    <d v="2022-08-26T00:00:00"/>
    <x v="0"/>
    <x v="3"/>
    <n v="97"/>
    <x v="9"/>
    <x v="9"/>
    <n v="2328"/>
    <x v="998"/>
  </r>
  <r>
    <n v="4730"/>
    <x v="2730"/>
    <x v="33"/>
    <s v="Miss"/>
    <s v="F"/>
    <n v="60"/>
    <s v="West Lane"/>
    <x v="735"/>
    <x v="2"/>
    <d v="2020-07-20T00:00:00"/>
    <x v="2"/>
    <x v="0"/>
    <n v="81"/>
    <x v="3"/>
    <x v="3"/>
    <n v="1944"/>
    <x v="551"/>
  </r>
  <r>
    <n v="4731"/>
    <x v="2731"/>
    <x v="830"/>
    <s v="Mrs"/>
    <s v="F"/>
    <n v="90"/>
    <s v="West Mews"/>
    <x v="171"/>
    <x v="2"/>
    <d v="2021-06-26T00:00:00"/>
    <x v="1"/>
    <x v="2"/>
    <n v="6"/>
    <x v="7"/>
    <x v="7"/>
    <n v="120"/>
    <x v="227"/>
  </r>
  <r>
    <n v="4732"/>
    <x v="1339"/>
    <x v="763"/>
    <s v="Mr"/>
    <s v="M"/>
    <n v="90"/>
    <s v="West Smithfield"/>
    <x v="630"/>
    <x v="39"/>
    <d v="2020-12-05T00:00:00"/>
    <x v="2"/>
    <x v="8"/>
    <n v="23"/>
    <x v="1"/>
    <x v="1"/>
    <n v="552"/>
    <x v="769"/>
  </r>
  <r>
    <n v="4733"/>
    <x v="2732"/>
    <x v="629"/>
    <s v="Miss"/>
    <s v="F"/>
    <n v="60"/>
    <s v="West Temple"/>
    <x v="1099"/>
    <x v="2"/>
    <d v="2021-07-15T00:00:00"/>
    <x v="1"/>
    <x v="0"/>
    <n v="52"/>
    <x v="0"/>
    <x v="0"/>
    <n v="1040"/>
    <x v="897"/>
  </r>
  <r>
    <n v="4734"/>
    <x v="2102"/>
    <x v="1241"/>
    <s v="Mrs"/>
    <s v="F"/>
    <n v="60"/>
    <s v="West View"/>
    <x v="1255"/>
    <x v="2"/>
    <d v="2021-04-17T00:00:00"/>
    <x v="1"/>
    <x v="4"/>
    <n v="21"/>
    <x v="2"/>
    <x v="2"/>
    <n v="357"/>
    <x v="919"/>
  </r>
  <r>
    <n v="4735"/>
    <x v="2733"/>
    <x v="1523"/>
    <s v="Mr"/>
    <s v="M"/>
    <n v="90"/>
    <s v="West Warwick"/>
    <x v="482"/>
    <x v="2"/>
    <d v="2020-05-10T00:00:00"/>
    <x v="2"/>
    <x v="11"/>
    <n v="27"/>
    <x v="1"/>
    <x v="1"/>
    <n v="648"/>
    <x v="569"/>
  </r>
  <r>
    <n v="4736"/>
    <x v="1815"/>
    <x v="855"/>
    <s v="Miss"/>
    <s v="F"/>
    <n v="60"/>
    <s v="Westbere Road"/>
    <x v="82"/>
    <x v="2"/>
    <d v="2021-09-22T00:00:00"/>
    <x v="1"/>
    <x v="9"/>
    <n v="84"/>
    <x v="2"/>
    <x v="2"/>
    <n v="1428"/>
    <x v="599"/>
  </r>
  <r>
    <n v="4737"/>
    <x v="1729"/>
    <x v="1220"/>
    <s v="Miss"/>
    <s v="F"/>
    <n v="90"/>
    <s v="Westbourne Park"/>
    <x v="211"/>
    <x v="38"/>
    <d v="2022-10-19T00:00:00"/>
    <x v="0"/>
    <x v="1"/>
    <n v="95"/>
    <x v="8"/>
    <x v="8"/>
    <n v="1900"/>
    <x v="963"/>
  </r>
  <r>
    <n v="4738"/>
    <x v="236"/>
    <x v="1790"/>
    <s v="Prof"/>
    <s v="M"/>
    <n v="30"/>
    <s v="Westbrook"/>
    <x v="963"/>
    <x v="2"/>
    <d v="2022-10-25T00:00:00"/>
    <x v="0"/>
    <x v="1"/>
    <n v="22"/>
    <x v="2"/>
    <x v="2"/>
    <n v="374"/>
    <x v="871"/>
  </r>
  <r>
    <n v="4739"/>
    <x v="415"/>
    <x v="1344"/>
    <s v="Miss"/>
    <s v="F"/>
    <n v="30"/>
    <s v="Westbury Road"/>
    <x v="878"/>
    <x v="2"/>
    <d v="2022-05-14T00:00:00"/>
    <x v="0"/>
    <x v="11"/>
    <n v="33"/>
    <x v="1"/>
    <x v="1"/>
    <n v="792"/>
    <x v="860"/>
  </r>
  <r>
    <n v="4740"/>
    <x v="2734"/>
    <x v="1118"/>
    <s v="Mrs"/>
    <s v="F"/>
    <n v="60"/>
    <s v="Westcombe Park"/>
    <x v="1184"/>
    <x v="0"/>
    <d v="2020-05-29T00:00:00"/>
    <x v="2"/>
    <x v="11"/>
    <n v="53"/>
    <x v="7"/>
    <x v="7"/>
    <n v="1060"/>
    <x v="516"/>
  </r>
  <r>
    <n v="4741"/>
    <x v="2488"/>
    <x v="1178"/>
    <s v="Mrs"/>
    <s v="F"/>
    <n v="30"/>
    <s v="Westcroft Square"/>
    <x v="407"/>
    <x v="1"/>
    <d v="2021-06-27T00:00:00"/>
    <x v="1"/>
    <x v="2"/>
    <n v="72"/>
    <x v="8"/>
    <x v="8"/>
    <n v="1440"/>
    <x v="718"/>
  </r>
  <r>
    <n v="4742"/>
    <x v="1040"/>
    <x v="781"/>
    <s v="Mr"/>
    <s v="M"/>
    <n v="60"/>
    <s v="Westdown Road"/>
    <x v="1311"/>
    <x v="21"/>
    <d v="2021-02-12T00:00:00"/>
    <x v="1"/>
    <x v="10"/>
    <n v="78"/>
    <x v="5"/>
    <x v="5"/>
    <n v="1872"/>
    <x v="651"/>
  </r>
  <r>
    <n v="4743"/>
    <x v="2423"/>
    <x v="1577"/>
    <s v="Mr"/>
    <s v="M"/>
    <n v="90"/>
    <s v="Westferry Road"/>
    <x v="350"/>
    <x v="2"/>
    <d v="2021-05-31T00:00:00"/>
    <x v="1"/>
    <x v="11"/>
    <n v="2"/>
    <x v="2"/>
    <x v="2"/>
    <n v="34"/>
    <x v="614"/>
  </r>
  <r>
    <n v="4744"/>
    <x v="289"/>
    <x v="1035"/>
    <s v="Mr"/>
    <s v="M"/>
    <n v="30"/>
    <s v="Westminster Street"/>
    <x v="1079"/>
    <x v="0"/>
    <d v="2021-09-03T00:00:00"/>
    <x v="1"/>
    <x v="9"/>
    <n v="25"/>
    <x v="8"/>
    <x v="8"/>
    <n v="500"/>
    <x v="764"/>
  </r>
  <r>
    <n v="4745"/>
    <x v="1975"/>
    <x v="1031"/>
    <s v="Mr"/>
    <s v="M"/>
    <n v="60"/>
    <s v="Westmount Road"/>
    <x v="1247"/>
    <x v="1"/>
    <d v="2021-05-09T00:00:00"/>
    <x v="1"/>
    <x v="11"/>
    <n v="6"/>
    <x v="2"/>
    <x v="2"/>
    <n v="102"/>
    <x v="853"/>
  </r>
  <r>
    <n v="4746"/>
    <x v="2735"/>
    <x v="986"/>
    <s v="Mrs"/>
    <s v="F"/>
    <n v="30"/>
    <s v="Weston Yard"/>
    <x v="371"/>
    <x v="18"/>
    <d v="2020-11-15T00:00:00"/>
    <x v="2"/>
    <x v="7"/>
    <n v="72"/>
    <x v="3"/>
    <x v="3"/>
    <n v="1728"/>
    <x v="173"/>
  </r>
  <r>
    <n v="4747"/>
    <x v="2736"/>
    <x v="1154"/>
    <s v="Mr"/>
    <s v="M"/>
    <n v="60"/>
    <s v="Westport Street"/>
    <x v="203"/>
    <x v="36"/>
    <d v="2020-01-14T00:00:00"/>
    <x v="2"/>
    <x v="6"/>
    <n v="30"/>
    <x v="3"/>
    <x v="3"/>
    <n v="720"/>
    <x v="794"/>
  </r>
  <r>
    <n v="4748"/>
    <x v="2311"/>
    <x v="1800"/>
    <s v="Ms"/>
    <s v="F"/>
    <n v="30"/>
    <s v="Westrow"/>
    <x v="945"/>
    <x v="9"/>
    <d v="2020-09-27T00:00:00"/>
    <x v="2"/>
    <x v="9"/>
    <n v="62"/>
    <x v="5"/>
    <x v="5"/>
    <n v="1488"/>
    <x v="777"/>
  </r>
  <r>
    <n v="4749"/>
    <x v="2737"/>
    <x v="1543"/>
    <s v="Miss"/>
    <s v="F"/>
    <n v="90"/>
    <s v="Westrow"/>
    <x v="969"/>
    <x v="2"/>
    <d v="2020-12-31T00:00:00"/>
    <x v="2"/>
    <x v="8"/>
    <n v="82"/>
    <x v="0"/>
    <x v="0"/>
    <n v="1640"/>
    <x v="987"/>
  </r>
  <r>
    <n v="4750"/>
    <x v="2417"/>
    <x v="473"/>
    <s v="Mr"/>
    <s v="M"/>
    <n v="30"/>
    <s v="Westway Close"/>
    <x v="15"/>
    <x v="10"/>
    <d v="2022-02-16T00:00:00"/>
    <x v="0"/>
    <x v="10"/>
    <n v="82"/>
    <x v="3"/>
    <x v="3"/>
    <n v="1968"/>
    <x v="594"/>
  </r>
  <r>
    <n v="4751"/>
    <x v="2738"/>
    <x v="1727"/>
    <s v="Miss"/>
    <s v="F"/>
    <n v="30"/>
    <s v="Weymouth Avenue"/>
    <x v="478"/>
    <x v="21"/>
    <d v="2022-11-24T00:00:00"/>
    <x v="0"/>
    <x v="7"/>
    <n v="99"/>
    <x v="6"/>
    <x v="6"/>
    <n v="2376"/>
    <x v="948"/>
  </r>
  <r>
    <n v="4752"/>
    <x v="594"/>
    <x v="284"/>
    <s v="Mr"/>
    <s v="M"/>
    <n v="30"/>
    <s v="Weymouth Terrace"/>
    <x v="1035"/>
    <x v="3"/>
    <d v="2020-02-07T00:00:00"/>
    <x v="2"/>
    <x v="10"/>
    <n v="2"/>
    <x v="0"/>
    <x v="0"/>
    <n v="40"/>
    <x v="156"/>
  </r>
  <r>
    <n v="4753"/>
    <x v="1125"/>
    <x v="837"/>
    <s v="Mr"/>
    <s v="M"/>
    <n v="90"/>
    <s v="Wharncliffe Gardens"/>
    <x v="547"/>
    <x v="72"/>
    <d v="2020-04-07T00:00:00"/>
    <x v="2"/>
    <x v="4"/>
    <n v="45"/>
    <x v="1"/>
    <x v="1"/>
    <n v="1080"/>
    <x v="414"/>
  </r>
  <r>
    <n v="4754"/>
    <x v="2309"/>
    <x v="453"/>
    <s v="Miss"/>
    <s v="F"/>
    <n v="30"/>
    <s v="Wharncliffe Street"/>
    <x v="1069"/>
    <x v="17"/>
    <d v="2021-08-24T00:00:00"/>
    <x v="1"/>
    <x v="3"/>
    <n v="14"/>
    <x v="3"/>
    <x v="3"/>
    <n v="336"/>
    <x v="754"/>
  </r>
  <r>
    <n v="4755"/>
    <x v="1276"/>
    <x v="403"/>
    <s v="Mr"/>
    <s v="M"/>
    <n v="60"/>
    <s v="Wharncliffe Street"/>
    <x v="125"/>
    <x v="17"/>
    <d v="2020-04-14T00:00:00"/>
    <x v="2"/>
    <x v="4"/>
    <n v="38"/>
    <x v="4"/>
    <x v="4"/>
    <n v="684"/>
    <x v="843"/>
  </r>
  <r>
    <n v="4756"/>
    <x v="1051"/>
    <x v="719"/>
    <s v="Mr"/>
    <s v="M"/>
    <n v="30"/>
    <s v="Wheatsheaf Alley"/>
    <x v="171"/>
    <x v="2"/>
    <d v="2020-03-07T00:00:00"/>
    <x v="2"/>
    <x v="5"/>
    <n v="67"/>
    <x v="5"/>
    <x v="5"/>
    <n v="1608"/>
    <x v="619"/>
  </r>
  <r>
    <n v="4757"/>
    <x v="2739"/>
    <x v="1796"/>
    <s v="Mrs"/>
    <s v="F"/>
    <n v="90"/>
    <s v="Wheatsheaf Wharf"/>
    <x v="512"/>
    <x v="2"/>
    <d v="2022-02-20T00:00:00"/>
    <x v="0"/>
    <x v="10"/>
    <n v="102"/>
    <x v="2"/>
    <x v="2"/>
    <n v="1734"/>
    <x v="881"/>
  </r>
  <r>
    <n v="4758"/>
    <x v="344"/>
    <x v="228"/>
    <s v="Mr"/>
    <s v="M"/>
    <n v="90"/>
    <s v="Whetstone Close"/>
    <x v="459"/>
    <x v="2"/>
    <d v="2022-03-20T00:00:00"/>
    <x v="0"/>
    <x v="5"/>
    <n v="32"/>
    <x v="0"/>
    <x v="0"/>
    <n v="640"/>
    <x v="315"/>
  </r>
  <r>
    <n v="4759"/>
    <x v="2740"/>
    <x v="1465"/>
    <s v="Mr"/>
    <s v="M"/>
    <n v="30"/>
    <s v="Whinchat Road"/>
    <x v="1138"/>
    <x v="3"/>
    <d v="2022-05-06T00:00:00"/>
    <x v="0"/>
    <x v="11"/>
    <n v="103"/>
    <x v="6"/>
    <x v="6"/>
    <n v="2472"/>
    <x v="990"/>
  </r>
  <r>
    <n v="4760"/>
    <x v="212"/>
    <x v="572"/>
    <s v="Mr"/>
    <s v="M"/>
    <n v="90"/>
    <s v="Whinyates Road"/>
    <x v="365"/>
    <x v="59"/>
    <d v="2022-09-02T00:00:00"/>
    <x v="0"/>
    <x v="9"/>
    <n v="105"/>
    <x v="6"/>
    <x v="6"/>
    <n v="2520"/>
    <x v="933"/>
  </r>
  <r>
    <n v="4761"/>
    <x v="2741"/>
    <x v="942"/>
    <s v="Miss"/>
    <s v="F"/>
    <n v="90"/>
    <s v="Whitby Road"/>
    <x v="62"/>
    <x v="2"/>
    <d v="2021-04-22T00:00:00"/>
    <x v="1"/>
    <x v="4"/>
    <n v="17"/>
    <x v="4"/>
    <x v="4"/>
    <n v="306"/>
    <x v="567"/>
  </r>
  <r>
    <n v="4762"/>
    <x v="2742"/>
    <x v="1750"/>
    <s v="Mrs"/>
    <s v="F"/>
    <n v="90"/>
    <s v="White Boys"/>
    <x v="854"/>
    <x v="17"/>
    <d v="2020-01-07T00:00:00"/>
    <x v="2"/>
    <x v="6"/>
    <n v="58"/>
    <x v="9"/>
    <x v="9"/>
    <n v="1392"/>
    <x v="655"/>
  </r>
  <r>
    <n v="4763"/>
    <x v="2743"/>
    <x v="1801"/>
    <s v="Miss"/>
    <s v="F"/>
    <n v="90"/>
    <s v="White Cottage"/>
    <x v="506"/>
    <x v="15"/>
    <d v="2020-03-25T00:00:00"/>
    <x v="2"/>
    <x v="5"/>
    <n v="20"/>
    <x v="4"/>
    <x v="4"/>
    <n v="360"/>
    <x v="824"/>
  </r>
  <r>
    <n v="4764"/>
    <x v="1241"/>
    <x v="17"/>
    <s v="Mrs"/>
    <s v="F"/>
    <n v="30"/>
    <s v="White Hart"/>
    <x v="1029"/>
    <x v="2"/>
    <d v="2021-01-08T00:00:00"/>
    <x v="1"/>
    <x v="6"/>
    <n v="23"/>
    <x v="6"/>
    <x v="6"/>
    <n v="552"/>
    <x v="595"/>
  </r>
  <r>
    <n v="4765"/>
    <x v="1925"/>
    <x v="180"/>
    <s v="Mr"/>
    <s v="M"/>
    <n v="90"/>
    <s v="White Kennet"/>
    <x v="54"/>
    <x v="2"/>
    <d v="2022-07-28T00:00:00"/>
    <x v="0"/>
    <x v="0"/>
    <n v="11"/>
    <x v="8"/>
    <x v="8"/>
    <n v="220"/>
    <x v="768"/>
  </r>
  <r>
    <n v="4766"/>
    <x v="2744"/>
    <x v="1149"/>
    <s v="Mrs"/>
    <s v="F"/>
    <n v="30"/>
    <s v="White Post"/>
    <x v="1233"/>
    <x v="21"/>
    <d v="2021-06-23T00:00:00"/>
    <x v="1"/>
    <x v="2"/>
    <n v="89"/>
    <x v="4"/>
    <x v="4"/>
    <n v="1602"/>
    <x v="923"/>
  </r>
  <r>
    <n v="4767"/>
    <x v="1441"/>
    <x v="644"/>
    <s v="Mr"/>
    <s v="M"/>
    <n v="90"/>
    <s v="Whitebeam Close"/>
    <x v="415"/>
    <x v="64"/>
    <d v="2021-08-13T00:00:00"/>
    <x v="1"/>
    <x v="3"/>
    <n v="58"/>
    <x v="9"/>
    <x v="9"/>
    <n v="1392"/>
    <x v="655"/>
  </r>
  <r>
    <n v="4768"/>
    <x v="803"/>
    <x v="1802"/>
    <s v="Mr"/>
    <s v="M"/>
    <n v="90"/>
    <s v="Whitebeam Close"/>
    <x v="449"/>
    <x v="17"/>
    <d v="2022-01-28T00:00:00"/>
    <x v="0"/>
    <x v="6"/>
    <n v="50"/>
    <x v="4"/>
    <x v="4"/>
    <n v="900"/>
    <x v="157"/>
  </r>
  <r>
    <n v="4769"/>
    <x v="1006"/>
    <x v="1612"/>
    <s v="Miss"/>
    <s v="F"/>
    <n v="60"/>
    <s v="Whitechapel Union"/>
    <x v="817"/>
    <x v="26"/>
    <d v="2020-11-08T00:00:00"/>
    <x v="2"/>
    <x v="7"/>
    <n v="43"/>
    <x v="3"/>
    <x v="3"/>
    <n v="1032"/>
    <x v="722"/>
  </r>
  <r>
    <n v="4770"/>
    <x v="220"/>
    <x v="368"/>
    <s v="Mr"/>
    <s v="M"/>
    <n v="60"/>
    <s v="Whitecombe Court"/>
    <x v="870"/>
    <x v="18"/>
    <d v="2022-01-14T00:00:00"/>
    <x v="0"/>
    <x v="6"/>
    <n v="50"/>
    <x v="6"/>
    <x v="6"/>
    <n v="1200"/>
    <x v="652"/>
  </r>
  <r>
    <n v="4771"/>
    <x v="2745"/>
    <x v="1380"/>
    <s v="Prof"/>
    <s v="F"/>
    <n v="30"/>
    <s v="Whitefriars Wharf"/>
    <x v="56"/>
    <x v="13"/>
    <d v="2021-05-30T00:00:00"/>
    <x v="1"/>
    <x v="11"/>
    <n v="93"/>
    <x v="4"/>
    <x v="4"/>
    <n v="1674"/>
    <x v="537"/>
  </r>
  <r>
    <n v="4772"/>
    <x v="757"/>
    <x v="58"/>
    <s v="Mr"/>
    <s v="M"/>
    <n v="30"/>
    <s v="Whitehall Yard"/>
    <x v="882"/>
    <x v="1"/>
    <d v="2021-02-14T00:00:00"/>
    <x v="1"/>
    <x v="10"/>
    <n v="52"/>
    <x v="6"/>
    <x v="6"/>
    <n v="1248"/>
    <x v="119"/>
  </r>
  <r>
    <n v="4773"/>
    <x v="2746"/>
    <x v="1516"/>
    <s v="Miss"/>
    <s v="F"/>
    <n v="60"/>
    <s v="Whiteheads Grove"/>
    <x v="917"/>
    <x v="35"/>
    <d v="2020-08-27T00:00:00"/>
    <x v="2"/>
    <x v="3"/>
    <n v="79"/>
    <x v="4"/>
    <x v="4"/>
    <n v="1422"/>
    <x v="5"/>
  </r>
  <r>
    <n v="4774"/>
    <x v="1930"/>
    <x v="1644"/>
    <s v="Ms"/>
    <s v="F"/>
    <n v="30"/>
    <s v="Whitehorse Street"/>
    <x v="507"/>
    <x v="70"/>
    <d v="2022-10-07T00:00:00"/>
    <x v="0"/>
    <x v="1"/>
    <n v="94"/>
    <x v="2"/>
    <x v="2"/>
    <n v="1598"/>
    <x v="741"/>
  </r>
  <r>
    <n v="4775"/>
    <x v="241"/>
    <x v="406"/>
    <s v="Mr"/>
    <s v="M"/>
    <n v="30"/>
    <s v="Whitehorse Yard"/>
    <x v="336"/>
    <x v="2"/>
    <d v="2021-09-03T00:00:00"/>
    <x v="1"/>
    <x v="9"/>
    <n v="10"/>
    <x v="2"/>
    <x v="2"/>
    <n v="170"/>
    <x v="317"/>
  </r>
  <r>
    <n v="4776"/>
    <x v="2747"/>
    <x v="1248"/>
    <s v="Mr"/>
    <s v="M"/>
    <n v="30"/>
    <s v="Whitehouse Way"/>
    <x v="15"/>
    <x v="10"/>
    <d v="2021-08-13T00:00:00"/>
    <x v="1"/>
    <x v="3"/>
    <n v="18"/>
    <x v="3"/>
    <x v="3"/>
    <n v="432"/>
    <x v="8"/>
  </r>
  <r>
    <n v="4777"/>
    <x v="2748"/>
    <x v="39"/>
    <s v="Dr"/>
    <s v="F"/>
    <n v="60"/>
    <s v="Whitelegg Road"/>
    <x v="937"/>
    <x v="2"/>
    <d v="2022-08-13T00:00:00"/>
    <x v="0"/>
    <x v="3"/>
    <n v="91"/>
    <x v="7"/>
    <x v="7"/>
    <n v="1820"/>
    <x v="151"/>
  </r>
  <r>
    <n v="4778"/>
    <x v="1337"/>
    <x v="1119"/>
    <s v="Dr"/>
    <s v="M"/>
    <n v="90"/>
    <s v="White'S Row"/>
    <x v="1102"/>
    <x v="2"/>
    <d v="2020-06-02T00:00:00"/>
    <x v="2"/>
    <x v="2"/>
    <n v="24"/>
    <x v="2"/>
    <x v="2"/>
    <n v="408"/>
    <x v="179"/>
  </r>
  <r>
    <n v="4779"/>
    <x v="2566"/>
    <x v="620"/>
    <s v="Mrs"/>
    <s v="F"/>
    <n v="90"/>
    <s v="Whitfield Place"/>
    <x v="7"/>
    <x v="5"/>
    <d v="2021-03-26T00:00:00"/>
    <x v="1"/>
    <x v="5"/>
    <n v="78"/>
    <x v="1"/>
    <x v="1"/>
    <n v="1872"/>
    <x v="100"/>
  </r>
  <r>
    <n v="4780"/>
    <x v="940"/>
    <x v="59"/>
    <s v="Miss"/>
    <s v="F"/>
    <n v="60"/>
    <s v="Whitley Villas"/>
    <x v="417"/>
    <x v="21"/>
    <d v="2021-01-24T00:00:00"/>
    <x v="1"/>
    <x v="6"/>
    <n v="20"/>
    <x v="1"/>
    <x v="1"/>
    <n v="480"/>
    <x v="329"/>
  </r>
  <r>
    <n v="4781"/>
    <x v="2276"/>
    <x v="476"/>
    <s v="Miss"/>
    <s v="F"/>
    <n v="90"/>
    <s v="Whittaker Way"/>
    <x v="1087"/>
    <x v="1"/>
    <d v="2022-05-08T00:00:00"/>
    <x v="0"/>
    <x v="11"/>
    <n v="11"/>
    <x v="0"/>
    <x v="0"/>
    <n v="220"/>
    <x v="749"/>
  </r>
  <r>
    <n v="4782"/>
    <x v="427"/>
    <x v="834"/>
    <s v="Miss"/>
    <s v="F"/>
    <n v="60"/>
    <s v="Whittaker Way"/>
    <x v="878"/>
    <x v="2"/>
    <d v="2021-05-11T00:00:00"/>
    <x v="1"/>
    <x v="11"/>
    <n v="9"/>
    <x v="2"/>
    <x v="2"/>
    <n v="153"/>
    <x v="89"/>
  </r>
  <r>
    <n v="4783"/>
    <x v="1810"/>
    <x v="1196"/>
    <s v="Mr"/>
    <s v="M"/>
    <n v="60"/>
    <s v="Whitwell Road"/>
    <x v="178"/>
    <x v="21"/>
    <d v="2020-07-04T00:00:00"/>
    <x v="2"/>
    <x v="0"/>
    <n v="63"/>
    <x v="1"/>
    <x v="1"/>
    <n v="1512"/>
    <x v="333"/>
  </r>
  <r>
    <n v="4784"/>
    <x v="456"/>
    <x v="103"/>
    <s v="Miss"/>
    <s v="F"/>
    <n v="30"/>
    <s v="Wickam Street"/>
    <x v="843"/>
    <x v="2"/>
    <d v="2022-02-17T00:00:00"/>
    <x v="0"/>
    <x v="10"/>
    <n v="85"/>
    <x v="8"/>
    <x v="8"/>
    <n v="1700"/>
    <x v="47"/>
  </r>
  <r>
    <n v="4785"/>
    <x v="2749"/>
    <x v="434"/>
    <s v="Ms"/>
    <s v="F"/>
    <n v="60"/>
    <s v="Wickford Way"/>
    <x v="34"/>
    <x v="17"/>
    <d v="2022-08-05T00:00:00"/>
    <x v="0"/>
    <x v="3"/>
    <n v="104"/>
    <x v="5"/>
    <x v="5"/>
    <n v="2496"/>
    <x v="269"/>
  </r>
  <r>
    <n v="4786"/>
    <x v="2750"/>
    <x v="154"/>
    <s v="Mrs"/>
    <s v="F"/>
    <n v="90"/>
    <s v="Wickham Court"/>
    <x v="142"/>
    <x v="21"/>
    <d v="2021-01-01T00:00:00"/>
    <x v="1"/>
    <x v="6"/>
    <n v="13"/>
    <x v="1"/>
    <x v="1"/>
    <n v="312"/>
    <x v="127"/>
  </r>
  <r>
    <n v="4787"/>
    <x v="2751"/>
    <x v="1803"/>
    <s v="Miss"/>
    <s v="F"/>
    <n v="60"/>
    <s v="Wickham Gardens"/>
    <x v="147"/>
    <x v="2"/>
    <d v="2021-12-17T00:00:00"/>
    <x v="1"/>
    <x v="8"/>
    <n v="7"/>
    <x v="8"/>
    <x v="8"/>
    <n v="140"/>
    <x v="300"/>
  </r>
  <r>
    <n v="4788"/>
    <x v="2752"/>
    <x v="1080"/>
    <s v="Miss"/>
    <s v="F"/>
    <n v="60"/>
    <s v="Wickham Lane"/>
    <x v="1110"/>
    <x v="2"/>
    <d v="2021-09-13T00:00:00"/>
    <x v="1"/>
    <x v="9"/>
    <n v="38"/>
    <x v="4"/>
    <x v="4"/>
    <n v="684"/>
    <x v="843"/>
  </r>
  <r>
    <n v="4789"/>
    <x v="2588"/>
    <x v="1272"/>
    <s v="Mrs"/>
    <s v="F"/>
    <n v="90"/>
    <s v="Wickham Mews"/>
    <x v="97"/>
    <x v="17"/>
    <d v="2020-02-11T00:00:00"/>
    <x v="2"/>
    <x v="10"/>
    <n v="8"/>
    <x v="4"/>
    <x v="4"/>
    <n v="144"/>
    <x v="740"/>
  </r>
  <r>
    <n v="4790"/>
    <x v="203"/>
    <x v="1072"/>
    <s v="Mr"/>
    <s v="M"/>
    <n v="90"/>
    <s v="Wickham Mews"/>
    <x v="216"/>
    <x v="17"/>
    <d v="2022-09-28T00:00:00"/>
    <x v="0"/>
    <x v="9"/>
    <n v="88"/>
    <x v="6"/>
    <x v="6"/>
    <n v="2112"/>
    <x v="997"/>
  </r>
  <r>
    <n v="4791"/>
    <x v="2753"/>
    <x v="1100"/>
    <s v="Mrs"/>
    <s v="F"/>
    <n v="60"/>
    <s v="Wickham Place"/>
    <x v="345"/>
    <x v="2"/>
    <d v="2020-07-03T00:00:00"/>
    <x v="2"/>
    <x v="0"/>
    <n v="22"/>
    <x v="1"/>
    <x v="1"/>
    <n v="528"/>
    <x v="533"/>
  </r>
  <r>
    <n v="4792"/>
    <x v="1293"/>
    <x v="358"/>
    <s v="Mr"/>
    <s v="M"/>
    <n v="60"/>
    <s v="Wickham Street"/>
    <x v="1280"/>
    <x v="3"/>
    <d v="2020-10-14T00:00:00"/>
    <x v="2"/>
    <x v="1"/>
    <n v="81"/>
    <x v="4"/>
    <x v="4"/>
    <n v="1458"/>
    <x v="416"/>
  </r>
  <r>
    <n v="4793"/>
    <x v="712"/>
    <x v="1479"/>
    <s v="Mr"/>
    <s v="M"/>
    <n v="60"/>
    <s v="Wicks Rents"/>
    <x v="19"/>
    <x v="12"/>
    <d v="2021-10-11T00:00:00"/>
    <x v="1"/>
    <x v="1"/>
    <n v="69"/>
    <x v="4"/>
    <x v="4"/>
    <n v="1242"/>
    <x v="906"/>
  </r>
  <r>
    <n v="4794"/>
    <x v="253"/>
    <x v="1009"/>
    <s v="Miss"/>
    <s v="F"/>
    <n v="30"/>
    <s v="Widdenham Road"/>
    <x v="1175"/>
    <x v="2"/>
    <d v="2022-05-30T00:00:00"/>
    <x v="0"/>
    <x v="11"/>
    <n v="88"/>
    <x v="6"/>
    <x v="6"/>
    <n v="2112"/>
    <x v="997"/>
  </r>
  <r>
    <n v="4795"/>
    <x v="2754"/>
    <x v="1504"/>
    <s v="Mrs"/>
    <s v="F"/>
    <n v="90"/>
    <s v="Widecombe Way"/>
    <x v="1251"/>
    <x v="2"/>
    <d v="2022-06-05T00:00:00"/>
    <x v="0"/>
    <x v="2"/>
    <n v="79"/>
    <x v="5"/>
    <x v="5"/>
    <n v="1896"/>
    <x v="94"/>
  </r>
  <r>
    <n v="4796"/>
    <x v="2755"/>
    <x v="1079"/>
    <s v="Mrs"/>
    <s v="F"/>
    <n v="30"/>
    <s v="Wightman Road"/>
    <x v="948"/>
    <x v="2"/>
    <d v="2022-07-01T00:00:00"/>
    <x v="0"/>
    <x v="0"/>
    <n v="100"/>
    <x v="9"/>
    <x v="9"/>
    <n v="2400"/>
    <x v="1006"/>
  </r>
  <r>
    <n v="4797"/>
    <x v="2472"/>
    <x v="1472"/>
    <s v="Ms"/>
    <s v="F"/>
    <n v="60"/>
    <s v="Wigton Place"/>
    <x v="608"/>
    <x v="2"/>
    <d v="2022-10-01T00:00:00"/>
    <x v="0"/>
    <x v="1"/>
    <n v="94"/>
    <x v="9"/>
    <x v="9"/>
    <n v="2256"/>
    <x v="657"/>
  </r>
  <r>
    <n v="4798"/>
    <x v="2193"/>
    <x v="1196"/>
    <s v="Mrs"/>
    <s v="F"/>
    <n v="30"/>
    <s v="Wild Court"/>
    <x v="977"/>
    <x v="3"/>
    <d v="2020-01-02T00:00:00"/>
    <x v="2"/>
    <x v="6"/>
    <n v="13"/>
    <x v="6"/>
    <x v="6"/>
    <n v="312"/>
    <x v="846"/>
  </r>
  <r>
    <n v="4799"/>
    <x v="2756"/>
    <x v="6"/>
    <s v="Mrs"/>
    <s v="F"/>
    <n v="90"/>
    <s v="Wildcroft Road"/>
    <x v="1043"/>
    <x v="17"/>
    <d v="2022-03-09T00:00:00"/>
    <x v="0"/>
    <x v="5"/>
    <n v="59"/>
    <x v="9"/>
    <x v="9"/>
    <n v="1416"/>
    <x v="62"/>
  </r>
  <r>
    <n v="4800"/>
    <x v="1683"/>
    <x v="618"/>
    <s v="Mrs"/>
    <s v="F"/>
    <n v="30"/>
    <s v="Wilderness Lane"/>
    <x v="108"/>
    <x v="2"/>
    <d v="2020-01-29T00:00:00"/>
    <x v="2"/>
    <x v="6"/>
    <n v="78"/>
    <x v="7"/>
    <x v="7"/>
    <n v="1560"/>
    <x v="664"/>
  </r>
  <r>
    <n v="4801"/>
    <x v="647"/>
    <x v="812"/>
    <s v="Mrs"/>
    <s v="F"/>
    <n v="60"/>
    <s v="Wilds Buildings"/>
    <x v="1126"/>
    <x v="3"/>
    <d v="2022-01-11T00:00:00"/>
    <x v="0"/>
    <x v="6"/>
    <n v="19"/>
    <x v="5"/>
    <x v="5"/>
    <n v="456"/>
    <x v="268"/>
  </r>
  <r>
    <n v="4802"/>
    <x v="1073"/>
    <x v="774"/>
    <s v="Mrs"/>
    <s v="F"/>
    <n v="30"/>
    <s v="Wilfrid Street"/>
    <x v="249"/>
    <x v="20"/>
    <d v="2020-01-23T00:00:00"/>
    <x v="2"/>
    <x v="6"/>
    <n v="75"/>
    <x v="4"/>
    <x v="4"/>
    <n v="1350"/>
    <x v="23"/>
  </r>
  <r>
    <n v="4803"/>
    <x v="2757"/>
    <x v="15"/>
    <s v="Miss"/>
    <s v="F"/>
    <n v="60"/>
    <s v="Willcott Road"/>
    <x v="164"/>
    <x v="17"/>
    <d v="2022-02-28T00:00:00"/>
    <x v="0"/>
    <x v="10"/>
    <n v="58"/>
    <x v="8"/>
    <x v="8"/>
    <n v="1160"/>
    <x v="286"/>
  </r>
  <r>
    <n v="4804"/>
    <x v="569"/>
    <x v="1804"/>
    <s v="Miss"/>
    <s v="F"/>
    <n v="60"/>
    <s v="William Bonney"/>
    <x v="558"/>
    <x v="11"/>
    <d v="2022-09-24T00:00:00"/>
    <x v="0"/>
    <x v="9"/>
    <n v="87"/>
    <x v="0"/>
    <x v="0"/>
    <n v="1740"/>
    <x v="184"/>
  </r>
  <r>
    <n v="4805"/>
    <x v="792"/>
    <x v="1149"/>
    <s v="Mr"/>
    <s v="M"/>
    <n v="90"/>
    <s v="William Booth"/>
    <x v="169"/>
    <x v="1"/>
    <d v="2022-03-03T00:00:00"/>
    <x v="0"/>
    <x v="5"/>
    <n v="18"/>
    <x v="8"/>
    <x v="8"/>
    <n v="360"/>
    <x v="24"/>
  </r>
  <r>
    <n v="4806"/>
    <x v="445"/>
    <x v="928"/>
    <s v="Miss"/>
    <s v="F"/>
    <n v="90"/>
    <s v="William Mews"/>
    <x v="467"/>
    <x v="17"/>
    <d v="2022-03-01T00:00:00"/>
    <x v="0"/>
    <x v="5"/>
    <n v="104"/>
    <x v="2"/>
    <x v="2"/>
    <n v="1768"/>
    <x v="458"/>
  </r>
  <r>
    <n v="4807"/>
    <x v="537"/>
    <x v="581"/>
    <s v="Mr"/>
    <s v="M"/>
    <n v="60"/>
    <s v="William Morley"/>
    <x v="1130"/>
    <x v="2"/>
    <d v="2021-07-09T00:00:00"/>
    <x v="1"/>
    <x v="0"/>
    <n v="79"/>
    <x v="7"/>
    <x v="7"/>
    <n v="1580"/>
    <x v="822"/>
  </r>
  <r>
    <n v="4808"/>
    <x v="2758"/>
    <x v="69"/>
    <s v="Mrs"/>
    <s v="F"/>
    <n v="30"/>
    <s v="William Road"/>
    <x v="667"/>
    <x v="2"/>
    <d v="2021-07-18T00:00:00"/>
    <x v="1"/>
    <x v="0"/>
    <n v="40"/>
    <x v="9"/>
    <x v="9"/>
    <n v="960"/>
    <x v="228"/>
  </r>
  <r>
    <n v="4809"/>
    <x v="2451"/>
    <x v="149"/>
    <s v="Miss"/>
    <s v="F"/>
    <n v="90"/>
    <s v="Williams Alley"/>
    <x v="714"/>
    <x v="13"/>
    <d v="2021-04-04T00:00:00"/>
    <x v="1"/>
    <x v="4"/>
    <n v="52"/>
    <x v="2"/>
    <x v="2"/>
    <n v="884"/>
    <x v="1007"/>
  </r>
  <r>
    <n v="4810"/>
    <x v="2759"/>
    <x v="1805"/>
    <s v="Miss"/>
    <s v="F"/>
    <n v="30"/>
    <s v="Williams Place"/>
    <x v="458"/>
    <x v="21"/>
    <d v="2022-07-01T00:00:00"/>
    <x v="0"/>
    <x v="0"/>
    <n v="98"/>
    <x v="4"/>
    <x v="4"/>
    <n v="1764"/>
    <x v="828"/>
  </r>
  <r>
    <n v="4811"/>
    <x v="97"/>
    <x v="1571"/>
    <s v="Ms"/>
    <s v="F"/>
    <n v="90"/>
    <s v="Willingdon Road"/>
    <x v="453"/>
    <x v="21"/>
    <d v="2021-03-22T00:00:00"/>
    <x v="1"/>
    <x v="5"/>
    <n v="75"/>
    <x v="9"/>
    <x v="9"/>
    <n v="1800"/>
    <x v="146"/>
  </r>
  <r>
    <n v="4812"/>
    <x v="2760"/>
    <x v="659"/>
    <s v="Miss"/>
    <s v="F"/>
    <n v="30"/>
    <s v="Willington Villas"/>
    <x v="755"/>
    <x v="57"/>
    <d v="2020-02-07T00:00:00"/>
    <x v="2"/>
    <x v="10"/>
    <n v="51"/>
    <x v="8"/>
    <x v="8"/>
    <n v="1020"/>
    <x v="126"/>
  </r>
  <r>
    <n v="4813"/>
    <x v="2117"/>
    <x v="1072"/>
    <s v="Mrs"/>
    <s v="F"/>
    <n v="60"/>
    <s v="Willman Green"/>
    <x v="779"/>
    <x v="40"/>
    <d v="2022-07-02T00:00:00"/>
    <x v="0"/>
    <x v="0"/>
    <n v="40"/>
    <x v="0"/>
    <x v="0"/>
    <n v="800"/>
    <x v="239"/>
  </r>
  <r>
    <n v="4814"/>
    <x v="451"/>
    <x v="1768"/>
    <s v="Mr"/>
    <s v="M"/>
    <n v="30"/>
    <s v="Willow Court"/>
    <x v="1287"/>
    <x v="16"/>
    <d v="2021-01-07T00:00:00"/>
    <x v="1"/>
    <x v="6"/>
    <n v="63"/>
    <x v="8"/>
    <x v="8"/>
    <n v="1260"/>
    <x v="435"/>
  </r>
  <r>
    <n v="4815"/>
    <x v="2761"/>
    <x v="334"/>
    <s v="Ms"/>
    <s v="F"/>
    <n v="90"/>
    <s v="Willow Farm"/>
    <x v="71"/>
    <x v="1"/>
    <d v="2020-04-26T00:00:00"/>
    <x v="2"/>
    <x v="4"/>
    <n v="4"/>
    <x v="1"/>
    <x v="1"/>
    <n v="96"/>
    <x v="245"/>
  </r>
  <r>
    <n v="4816"/>
    <x v="2762"/>
    <x v="183"/>
    <s v="Mr"/>
    <s v="M"/>
    <n v="60"/>
    <s v="Willow Terrace"/>
    <x v="1100"/>
    <x v="15"/>
    <d v="2020-04-25T00:00:00"/>
    <x v="2"/>
    <x v="4"/>
    <n v="36"/>
    <x v="6"/>
    <x v="6"/>
    <n v="864"/>
    <x v="73"/>
  </r>
  <r>
    <n v="4817"/>
    <x v="2388"/>
    <x v="178"/>
    <s v="Miss"/>
    <s v="F"/>
    <n v="90"/>
    <s v="Willow View"/>
    <x v="504"/>
    <x v="2"/>
    <d v="2020-04-03T00:00:00"/>
    <x v="2"/>
    <x v="4"/>
    <n v="80"/>
    <x v="0"/>
    <x v="0"/>
    <n v="1600"/>
    <x v="1008"/>
  </r>
  <r>
    <n v="4818"/>
    <x v="2763"/>
    <x v="391"/>
    <s v="Miss"/>
    <s v="F"/>
    <n v="90"/>
    <s v="Willow Walk"/>
    <x v="259"/>
    <x v="2"/>
    <d v="2020-02-27T00:00:00"/>
    <x v="2"/>
    <x v="10"/>
    <n v="61"/>
    <x v="5"/>
    <x v="5"/>
    <n v="1464"/>
    <x v="515"/>
  </r>
  <r>
    <n v="4819"/>
    <x v="2764"/>
    <x v="759"/>
    <s v="Mr"/>
    <s v="M"/>
    <n v="60"/>
    <s v="Willow Wood"/>
    <x v="984"/>
    <x v="21"/>
    <d v="2020-06-22T00:00:00"/>
    <x v="2"/>
    <x v="2"/>
    <n v="6"/>
    <x v="6"/>
    <x v="6"/>
    <n v="144"/>
    <x v="851"/>
  </r>
  <r>
    <n v="4820"/>
    <x v="1520"/>
    <x v="1529"/>
    <s v="Mr"/>
    <s v="M"/>
    <n v="90"/>
    <s v="Willson Place"/>
    <x v="1061"/>
    <x v="2"/>
    <d v="2021-11-08T00:00:00"/>
    <x v="1"/>
    <x v="7"/>
    <n v="17"/>
    <x v="4"/>
    <x v="4"/>
    <n v="306"/>
    <x v="567"/>
  </r>
  <r>
    <n v="4821"/>
    <x v="1486"/>
    <x v="1443"/>
    <s v="Mrs"/>
    <s v="F"/>
    <n v="90"/>
    <s v="Wilmer Lea"/>
    <x v="353"/>
    <x v="2"/>
    <d v="2022-06-29T00:00:00"/>
    <x v="0"/>
    <x v="2"/>
    <n v="43"/>
    <x v="6"/>
    <x v="6"/>
    <n v="1032"/>
    <x v="27"/>
  </r>
  <r>
    <n v="4822"/>
    <x v="2765"/>
    <x v="69"/>
    <s v="Dr"/>
    <s v="F"/>
    <n v="60"/>
    <s v="Wilmer Place"/>
    <x v="1042"/>
    <x v="1"/>
    <d v="2020-10-29T00:00:00"/>
    <x v="2"/>
    <x v="1"/>
    <n v="61"/>
    <x v="9"/>
    <x v="9"/>
    <n v="1464"/>
    <x v="849"/>
  </r>
  <r>
    <n v="4823"/>
    <x v="1173"/>
    <x v="11"/>
    <s v="Mr"/>
    <s v="M"/>
    <n v="90"/>
    <s v="Wilmot House"/>
    <x v="965"/>
    <x v="7"/>
    <d v="2022-04-11T00:00:00"/>
    <x v="0"/>
    <x v="4"/>
    <n v="104"/>
    <x v="4"/>
    <x v="4"/>
    <n v="1872"/>
    <x v="262"/>
  </r>
  <r>
    <n v="4824"/>
    <x v="1986"/>
    <x v="1679"/>
    <s v="Mr"/>
    <s v="M"/>
    <n v="30"/>
    <s v="Wilmot Street"/>
    <x v="1277"/>
    <x v="17"/>
    <d v="2022-03-26T00:00:00"/>
    <x v="0"/>
    <x v="5"/>
    <n v="91"/>
    <x v="3"/>
    <x v="3"/>
    <n v="2184"/>
    <x v="805"/>
  </r>
  <r>
    <n v="4825"/>
    <x v="813"/>
    <x v="1778"/>
    <s v="Mr"/>
    <s v="M"/>
    <n v="90"/>
    <s v="Wilmott'S Buildings"/>
    <x v="245"/>
    <x v="1"/>
    <d v="2022-12-17T00:00:00"/>
    <x v="0"/>
    <x v="8"/>
    <n v="69"/>
    <x v="2"/>
    <x v="2"/>
    <n v="1173"/>
    <x v="875"/>
  </r>
  <r>
    <n v="4826"/>
    <x v="2766"/>
    <x v="595"/>
    <s v="Miss"/>
    <s v="F"/>
    <n v="60"/>
    <s v="Wilmott'S Buildings"/>
    <x v="206"/>
    <x v="2"/>
    <d v="2020-04-05T00:00:00"/>
    <x v="2"/>
    <x v="4"/>
    <n v="54"/>
    <x v="5"/>
    <x v="5"/>
    <n v="1296"/>
    <x v="97"/>
  </r>
  <r>
    <n v="4827"/>
    <x v="2767"/>
    <x v="698"/>
    <s v="Miss"/>
    <s v="F"/>
    <n v="60"/>
    <s v="Wilmount Street"/>
    <x v="327"/>
    <x v="54"/>
    <d v="2020-08-24T00:00:00"/>
    <x v="2"/>
    <x v="3"/>
    <n v="58"/>
    <x v="3"/>
    <x v="3"/>
    <n v="1392"/>
    <x v="102"/>
  </r>
  <r>
    <n v="4828"/>
    <x v="2009"/>
    <x v="763"/>
    <s v="Mr"/>
    <s v="M"/>
    <n v="30"/>
    <s v="Wilson Place"/>
    <x v="869"/>
    <x v="17"/>
    <d v="2020-05-07T00:00:00"/>
    <x v="2"/>
    <x v="11"/>
    <n v="2"/>
    <x v="1"/>
    <x v="1"/>
    <n v="48"/>
    <x v="318"/>
  </r>
  <r>
    <n v="4829"/>
    <x v="1522"/>
    <x v="372"/>
    <s v="Mr"/>
    <s v="M"/>
    <n v="90"/>
    <s v="Wilson Terrace"/>
    <x v="8"/>
    <x v="2"/>
    <d v="2021-05-24T00:00:00"/>
    <x v="1"/>
    <x v="11"/>
    <n v="13"/>
    <x v="3"/>
    <x v="3"/>
    <n v="312"/>
    <x v="296"/>
  </r>
  <r>
    <n v="4830"/>
    <x v="2768"/>
    <x v="444"/>
    <s v="Mrs"/>
    <s v="F"/>
    <n v="60"/>
    <s v="Wilton Crescent"/>
    <x v="1243"/>
    <x v="2"/>
    <d v="2022-02-18T00:00:00"/>
    <x v="0"/>
    <x v="10"/>
    <n v="10"/>
    <x v="8"/>
    <x v="8"/>
    <n v="200"/>
    <x v="859"/>
  </r>
  <r>
    <n v="4831"/>
    <x v="1430"/>
    <x v="1758"/>
    <s v="Miss"/>
    <s v="F"/>
    <n v="90"/>
    <s v="Wilton Row"/>
    <x v="435"/>
    <x v="11"/>
    <d v="2022-08-06T00:00:00"/>
    <x v="0"/>
    <x v="3"/>
    <n v="29"/>
    <x v="5"/>
    <x v="5"/>
    <n v="696"/>
    <x v="748"/>
  </r>
  <r>
    <n v="4832"/>
    <x v="151"/>
    <x v="1141"/>
    <s v="Mr"/>
    <s v="M"/>
    <n v="90"/>
    <s v="Wimbolt Street"/>
    <x v="418"/>
    <x v="21"/>
    <d v="2021-12-09T00:00:00"/>
    <x v="1"/>
    <x v="8"/>
    <n v="61"/>
    <x v="5"/>
    <x v="5"/>
    <n v="1464"/>
    <x v="515"/>
  </r>
  <r>
    <n v="4833"/>
    <x v="2769"/>
    <x v="501"/>
    <s v="Miss"/>
    <s v="F"/>
    <n v="30"/>
    <s v="Wimborne Drive"/>
    <x v="297"/>
    <x v="2"/>
    <d v="2022-10-02T00:00:00"/>
    <x v="0"/>
    <x v="1"/>
    <n v="51"/>
    <x v="3"/>
    <x v="3"/>
    <n v="1224"/>
    <x v="237"/>
  </r>
  <r>
    <n v="4834"/>
    <x v="2770"/>
    <x v="346"/>
    <s v="Mr"/>
    <s v="M"/>
    <n v="30"/>
    <s v="Winchfield Road"/>
    <x v="601"/>
    <x v="21"/>
    <d v="2020-06-19T00:00:00"/>
    <x v="2"/>
    <x v="2"/>
    <n v="47"/>
    <x v="0"/>
    <x v="0"/>
    <n v="940"/>
    <x v="421"/>
  </r>
  <r>
    <n v="4835"/>
    <x v="2258"/>
    <x v="1329"/>
    <s v="Mr"/>
    <s v="M"/>
    <n v="30"/>
    <s v="Windermere Road"/>
    <x v="1186"/>
    <x v="10"/>
    <d v="2021-04-28T00:00:00"/>
    <x v="1"/>
    <x v="4"/>
    <n v="2"/>
    <x v="2"/>
    <x v="2"/>
    <n v="34"/>
    <x v="614"/>
  </r>
  <r>
    <n v="4836"/>
    <x v="881"/>
    <x v="1367"/>
    <s v="Mr"/>
    <s v="M"/>
    <n v="60"/>
    <s v="Windermere Road"/>
    <x v="633"/>
    <x v="2"/>
    <d v="2022-09-12T00:00:00"/>
    <x v="0"/>
    <x v="9"/>
    <n v="100"/>
    <x v="9"/>
    <x v="9"/>
    <n v="2400"/>
    <x v="1006"/>
  </r>
  <r>
    <n v="4837"/>
    <x v="778"/>
    <x v="1332"/>
    <s v="Mr"/>
    <s v="M"/>
    <n v="30"/>
    <s v="Windmill Lane"/>
    <x v="239"/>
    <x v="40"/>
    <d v="2020-08-27T00:00:00"/>
    <x v="2"/>
    <x v="3"/>
    <n v="34"/>
    <x v="2"/>
    <x v="2"/>
    <n v="578"/>
    <x v="502"/>
  </r>
  <r>
    <n v="4838"/>
    <x v="1902"/>
    <x v="1806"/>
    <s v="Mr"/>
    <s v="M"/>
    <n v="60"/>
    <s v="Windsor Cottages"/>
    <x v="122"/>
    <x v="2"/>
    <d v="2022-04-27T00:00:00"/>
    <x v="0"/>
    <x v="4"/>
    <n v="23"/>
    <x v="4"/>
    <x v="4"/>
    <n v="414"/>
    <x v="683"/>
  </r>
  <r>
    <n v="4839"/>
    <x v="2771"/>
    <x v="205"/>
    <s v="Mrs"/>
    <s v="F"/>
    <n v="30"/>
    <s v="Windsor Court"/>
    <x v="1162"/>
    <x v="8"/>
    <d v="2020-05-06T00:00:00"/>
    <x v="2"/>
    <x v="11"/>
    <n v="37"/>
    <x v="3"/>
    <x v="3"/>
    <n v="888"/>
    <x v="562"/>
  </r>
  <r>
    <n v="4840"/>
    <x v="859"/>
    <x v="424"/>
    <s v="Mr"/>
    <s v="M"/>
    <n v="60"/>
    <s v="Windsor Mews"/>
    <x v="557"/>
    <x v="2"/>
    <d v="2022-03-27T00:00:00"/>
    <x v="0"/>
    <x v="5"/>
    <n v="95"/>
    <x v="4"/>
    <x v="4"/>
    <n v="1710"/>
    <x v="907"/>
  </r>
  <r>
    <n v="4841"/>
    <x v="2772"/>
    <x v="1553"/>
    <s v="Miss"/>
    <s v="F"/>
    <n v="60"/>
    <s v="Windsor Road"/>
    <x v="336"/>
    <x v="2"/>
    <d v="2020-12-01T00:00:00"/>
    <x v="2"/>
    <x v="8"/>
    <n v="44"/>
    <x v="8"/>
    <x v="8"/>
    <n v="880"/>
    <x v="327"/>
  </r>
  <r>
    <n v="4842"/>
    <x v="2773"/>
    <x v="239"/>
    <s v="Miss"/>
    <s v="F"/>
    <n v="30"/>
    <s v="Windsor Villas"/>
    <x v="1214"/>
    <x v="2"/>
    <d v="2020-09-18T00:00:00"/>
    <x v="2"/>
    <x v="9"/>
    <n v="43"/>
    <x v="1"/>
    <x v="1"/>
    <n v="1032"/>
    <x v="76"/>
  </r>
  <r>
    <n v="4843"/>
    <x v="2774"/>
    <x v="421"/>
    <s v="Rev"/>
    <s v="M"/>
    <n v="90"/>
    <s v="Windsor Way"/>
    <x v="6"/>
    <x v="2"/>
    <d v="2020-07-30T00:00:00"/>
    <x v="2"/>
    <x v="0"/>
    <n v="8"/>
    <x v="0"/>
    <x v="0"/>
    <n v="160"/>
    <x v="211"/>
  </r>
  <r>
    <n v="4844"/>
    <x v="2775"/>
    <x v="96"/>
    <s v="Mrs"/>
    <s v="F"/>
    <n v="90"/>
    <s v="Windyridge Close"/>
    <x v="462"/>
    <x v="10"/>
    <d v="2021-07-27T00:00:00"/>
    <x v="1"/>
    <x v="0"/>
    <n v="80"/>
    <x v="0"/>
    <x v="0"/>
    <n v="1600"/>
    <x v="1008"/>
  </r>
  <r>
    <n v="4845"/>
    <x v="272"/>
    <x v="1453"/>
    <s v="Mr"/>
    <s v="M"/>
    <n v="30"/>
    <s v="Wingford Road"/>
    <x v="221"/>
    <x v="11"/>
    <d v="2020-04-19T00:00:00"/>
    <x v="2"/>
    <x v="4"/>
    <n v="70"/>
    <x v="6"/>
    <x v="6"/>
    <n v="1680"/>
    <x v="581"/>
  </r>
  <r>
    <n v="4846"/>
    <x v="2623"/>
    <x v="1807"/>
    <s v="Miss"/>
    <s v="F"/>
    <n v="30"/>
    <s v="Wingrave Road"/>
    <x v="182"/>
    <x v="32"/>
    <d v="2020-09-13T00:00:00"/>
    <x v="2"/>
    <x v="9"/>
    <n v="66"/>
    <x v="3"/>
    <x v="3"/>
    <n v="1584"/>
    <x v="158"/>
  </r>
  <r>
    <n v="4847"/>
    <x v="2776"/>
    <x v="1255"/>
    <s v="Miss"/>
    <s v="F"/>
    <n v="60"/>
    <s v="Wingrave Road"/>
    <x v="1257"/>
    <x v="21"/>
    <d v="2022-02-20T00:00:00"/>
    <x v="0"/>
    <x v="10"/>
    <n v="92"/>
    <x v="5"/>
    <x v="5"/>
    <n v="2208"/>
    <x v="30"/>
  </r>
  <r>
    <n v="4848"/>
    <x v="2777"/>
    <x v="27"/>
    <s v="Miss"/>
    <s v="F"/>
    <n v="30"/>
    <s v="Winnington Road"/>
    <x v="162"/>
    <x v="20"/>
    <d v="2021-06-18T00:00:00"/>
    <x v="1"/>
    <x v="2"/>
    <n v="73"/>
    <x v="7"/>
    <x v="7"/>
    <n v="1460"/>
    <x v="512"/>
  </r>
  <r>
    <n v="4849"/>
    <x v="190"/>
    <x v="1090"/>
    <s v="Dr"/>
    <s v="M"/>
    <n v="60"/>
    <s v="Winslow Road"/>
    <x v="228"/>
    <x v="21"/>
    <d v="2022-01-13T00:00:00"/>
    <x v="0"/>
    <x v="6"/>
    <n v="12"/>
    <x v="2"/>
    <x v="2"/>
    <n v="204"/>
    <x v="578"/>
  </r>
  <r>
    <n v="4850"/>
    <x v="421"/>
    <x v="103"/>
    <s v="Mr"/>
    <s v="M"/>
    <n v="90"/>
    <s v="Winterwell Road"/>
    <x v="274"/>
    <x v="1"/>
    <d v="2021-04-20T00:00:00"/>
    <x v="1"/>
    <x v="4"/>
    <n v="27"/>
    <x v="7"/>
    <x v="7"/>
    <n v="540"/>
    <x v="675"/>
  </r>
  <r>
    <n v="4851"/>
    <x v="2483"/>
    <x v="1808"/>
    <s v="Miss"/>
    <s v="F"/>
    <n v="90"/>
    <s v="Witcombe Street"/>
    <x v="283"/>
    <x v="17"/>
    <d v="2020-03-21T00:00:00"/>
    <x v="2"/>
    <x v="5"/>
    <n v="14"/>
    <x v="8"/>
    <x v="8"/>
    <n v="280"/>
    <x v="35"/>
  </r>
  <r>
    <n v="4852"/>
    <x v="2778"/>
    <x v="949"/>
    <s v="Miss"/>
    <s v="F"/>
    <n v="60"/>
    <s v="Withycombe Road"/>
    <x v="934"/>
    <x v="21"/>
    <d v="2020-03-14T00:00:00"/>
    <x v="2"/>
    <x v="5"/>
    <n v="17"/>
    <x v="4"/>
    <x v="4"/>
    <n v="306"/>
    <x v="567"/>
  </r>
  <r>
    <n v="4853"/>
    <x v="2779"/>
    <x v="1490"/>
    <s v="Miss"/>
    <s v="F"/>
    <n v="90"/>
    <s v="Witney Path"/>
    <x v="1086"/>
    <x v="2"/>
    <d v="2022-06-30T00:00:00"/>
    <x v="0"/>
    <x v="2"/>
    <n v="46"/>
    <x v="6"/>
    <x v="6"/>
    <n v="1104"/>
    <x v="199"/>
  </r>
  <r>
    <n v="4854"/>
    <x v="2780"/>
    <x v="522"/>
    <s v="Mr"/>
    <s v="M"/>
    <n v="60"/>
    <s v="Woburn"/>
    <x v="345"/>
    <x v="2"/>
    <d v="2020-11-26T00:00:00"/>
    <x v="2"/>
    <x v="7"/>
    <n v="60"/>
    <x v="7"/>
    <x v="7"/>
    <n v="1200"/>
    <x v="1001"/>
  </r>
  <r>
    <n v="4855"/>
    <x v="104"/>
    <x v="988"/>
    <s v="Mr"/>
    <s v="M"/>
    <n v="60"/>
    <s v="Woburn Close"/>
    <x v="1034"/>
    <x v="35"/>
    <d v="2021-08-09T00:00:00"/>
    <x v="1"/>
    <x v="3"/>
    <n v="56"/>
    <x v="1"/>
    <x v="1"/>
    <n v="1344"/>
    <x v="819"/>
  </r>
  <r>
    <n v="4856"/>
    <x v="1710"/>
    <x v="697"/>
    <s v="Ms"/>
    <s v="F"/>
    <n v="60"/>
    <s v="Wolsey Road"/>
    <x v="750"/>
    <x v="2"/>
    <d v="2021-10-04T00:00:00"/>
    <x v="1"/>
    <x v="1"/>
    <n v="53"/>
    <x v="9"/>
    <x v="9"/>
    <n v="1272"/>
    <x v="770"/>
  </r>
  <r>
    <n v="4857"/>
    <x v="1758"/>
    <x v="1146"/>
    <s v="Mr"/>
    <s v="M"/>
    <n v="90"/>
    <s v="Wontner Close"/>
    <x v="1043"/>
    <x v="17"/>
    <d v="2021-02-03T00:00:00"/>
    <x v="1"/>
    <x v="10"/>
    <n v="47"/>
    <x v="6"/>
    <x v="6"/>
    <n v="1128"/>
    <x v="508"/>
  </r>
  <r>
    <n v="4858"/>
    <x v="2781"/>
    <x v="1110"/>
    <s v="Miss"/>
    <s v="F"/>
    <n v="90"/>
    <s v="Wontner Close"/>
    <x v="474"/>
    <x v="2"/>
    <d v="2020-10-14T00:00:00"/>
    <x v="2"/>
    <x v="1"/>
    <n v="34"/>
    <x v="5"/>
    <x v="5"/>
    <n v="816"/>
    <x v="692"/>
  </r>
  <r>
    <n v="4859"/>
    <x v="1726"/>
    <x v="781"/>
    <s v="Mr"/>
    <s v="M"/>
    <n v="90"/>
    <s v="Wood Lane"/>
    <x v="259"/>
    <x v="2"/>
    <d v="2021-10-19T00:00:00"/>
    <x v="1"/>
    <x v="1"/>
    <n v="19"/>
    <x v="0"/>
    <x v="0"/>
    <n v="380"/>
    <x v="44"/>
  </r>
  <r>
    <n v="4860"/>
    <x v="2352"/>
    <x v="796"/>
    <s v="Miss"/>
    <s v="F"/>
    <n v="30"/>
    <s v="Wood Lane"/>
    <x v="585"/>
    <x v="2"/>
    <d v="2021-10-03T00:00:00"/>
    <x v="1"/>
    <x v="1"/>
    <n v="83"/>
    <x v="3"/>
    <x v="3"/>
    <n v="1992"/>
    <x v="321"/>
  </r>
  <r>
    <n v="4861"/>
    <x v="61"/>
    <x v="1809"/>
    <s v="Ms"/>
    <s v="F"/>
    <n v="30"/>
    <s v="Wood Lawn"/>
    <x v="577"/>
    <x v="43"/>
    <d v="2022-06-15T00:00:00"/>
    <x v="0"/>
    <x v="2"/>
    <n v="62"/>
    <x v="1"/>
    <x v="1"/>
    <n v="1488"/>
    <x v="467"/>
  </r>
  <r>
    <n v="4862"/>
    <x v="1124"/>
    <x v="778"/>
    <s v="Miss"/>
    <s v="F"/>
    <n v="30"/>
    <s v="Wood Vale"/>
    <x v="1031"/>
    <x v="12"/>
    <d v="2020-06-16T00:00:00"/>
    <x v="2"/>
    <x v="2"/>
    <n v="60"/>
    <x v="1"/>
    <x v="1"/>
    <n v="1440"/>
    <x v="51"/>
  </r>
  <r>
    <n v="4863"/>
    <x v="817"/>
    <x v="1749"/>
    <s v="Dr"/>
    <s v="M"/>
    <n v="90"/>
    <s v="Woodberry Avenue"/>
    <x v="671"/>
    <x v="45"/>
    <d v="2020-03-04T00:00:00"/>
    <x v="2"/>
    <x v="5"/>
    <n v="33"/>
    <x v="7"/>
    <x v="7"/>
    <n v="660"/>
    <x v="242"/>
  </r>
  <r>
    <n v="4864"/>
    <x v="284"/>
    <x v="1403"/>
    <s v="Mr"/>
    <s v="M"/>
    <n v="60"/>
    <s v="Woodbine Villas"/>
    <x v="622"/>
    <x v="2"/>
    <d v="2022-09-01T00:00:00"/>
    <x v="0"/>
    <x v="9"/>
    <n v="81"/>
    <x v="2"/>
    <x v="2"/>
    <n v="1377"/>
    <x v="293"/>
  </r>
  <r>
    <n v="4865"/>
    <x v="1023"/>
    <x v="1640"/>
    <s v="Miss"/>
    <s v="F"/>
    <n v="30"/>
    <s v="Woodbourne Avenue"/>
    <x v="122"/>
    <x v="2"/>
    <d v="2022-11-29T00:00:00"/>
    <x v="0"/>
    <x v="7"/>
    <n v="30"/>
    <x v="8"/>
    <x v="8"/>
    <n v="600"/>
    <x v="32"/>
  </r>
  <r>
    <n v="4866"/>
    <x v="394"/>
    <x v="1810"/>
    <s v="Miss"/>
    <s v="F"/>
    <n v="60"/>
    <s v="Woodbourne Close"/>
    <x v="1169"/>
    <x v="2"/>
    <d v="2022-07-16T00:00:00"/>
    <x v="0"/>
    <x v="0"/>
    <n v="4"/>
    <x v="6"/>
    <x v="6"/>
    <n v="96"/>
    <x v="879"/>
  </r>
  <r>
    <n v="4867"/>
    <x v="1542"/>
    <x v="758"/>
    <s v="Mr"/>
    <s v="M"/>
    <n v="60"/>
    <s v="Woodbridge Close"/>
    <x v="1069"/>
    <x v="17"/>
    <d v="2021-01-23T00:00:00"/>
    <x v="1"/>
    <x v="6"/>
    <n v="30"/>
    <x v="4"/>
    <x v="4"/>
    <n v="540"/>
    <x v="882"/>
  </r>
  <r>
    <n v="4868"/>
    <x v="2782"/>
    <x v="1798"/>
    <s v="Ms"/>
    <s v="F"/>
    <n v="90"/>
    <s v="Woodend"/>
    <x v="100"/>
    <x v="17"/>
    <d v="2022-01-24T00:00:00"/>
    <x v="0"/>
    <x v="6"/>
    <n v="21"/>
    <x v="5"/>
    <x v="5"/>
    <n v="504"/>
    <x v="568"/>
  </r>
  <r>
    <n v="4869"/>
    <x v="2025"/>
    <x v="1285"/>
    <s v="Mr"/>
    <s v="M"/>
    <n v="90"/>
    <s v="Woodfall Road"/>
    <x v="961"/>
    <x v="21"/>
    <d v="2020-07-29T00:00:00"/>
    <x v="2"/>
    <x v="0"/>
    <n v="26"/>
    <x v="4"/>
    <x v="4"/>
    <n v="468"/>
    <x v="607"/>
  </r>
  <r>
    <n v="4870"/>
    <x v="129"/>
    <x v="665"/>
    <s v="Mr"/>
    <s v="M"/>
    <n v="30"/>
    <s v="Woodfarrs"/>
    <x v="295"/>
    <x v="17"/>
    <d v="2022-03-07T00:00:00"/>
    <x v="0"/>
    <x v="5"/>
    <n v="55"/>
    <x v="2"/>
    <x v="2"/>
    <n v="935"/>
    <x v="773"/>
  </r>
  <r>
    <n v="4871"/>
    <x v="434"/>
    <x v="1739"/>
    <s v="Mr"/>
    <s v="M"/>
    <n v="90"/>
    <s v="Woodfield Crescent"/>
    <x v="166"/>
    <x v="3"/>
    <d v="2020-05-06T00:00:00"/>
    <x v="2"/>
    <x v="11"/>
    <n v="29"/>
    <x v="8"/>
    <x v="8"/>
    <n v="580"/>
    <x v="295"/>
  </r>
  <r>
    <n v="4872"/>
    <x v="2783"/>
    <x v="1811"/>
    <s v="Mrs"/>
    <s v="F"/>
    <n v="30"/>
    <s v="Woodgrange Avenue"/>
    <x v="1312"/>
    <x v="11"/>
    <d v="2022-09-24T00:00:00"/>
    <x v="0"/>
    <x v="9"/>
    <n v="28"/>
    <x v="1"/>
    <x v="1"/>
    <n v="672"/>
    <x v="772"/>
  </r>
  <r>
    <n v="4873"/>
    <x v="914"/>
    <x v="1209"/>
    <s v="Miss"/>
    <s v="F"/>
    <n v="60"/>
    <s v="Woodham Court"/>
    <x v="27"/>
    <x v="14"/>
    <d v="2021-03-01T00:00:00"/>
    <x v="1"/>
    <x v="5"/>
    <n v="94"/>
    <x v="4"/>
    <x v="4"/>
    <n v="1692"/>
    <x v="617"/>
  </r>
  <r>
    <n v="4874"/>
    <x v="268"/>
    <x v="1078"/>
    <s v="Miss"/>
    <s v="F"/>
    <n v="60"/>
    <s v="Woodheyes Road"/>
    <x v="114"/>
    <x v="2"/>
    <d v="2020-01-20T00:00:00"/>
    <x v="2"/>
    <x v="6"/>
    <n v="40"/>
    <x v="9"/>
    <x v="9"/>
    <n v="960"/>
    <x v="228"/>
  </r>
  <r>
    <n v="4875"/>
    <x v="1010"/>
    <x v="59"/>
    <s v="Mr"/>
    <s v="M"/>
    <n v="90"/>
    <s v="Woodhurst Road"/>
    <x v="1085"/>
    <x v="2"/>
    <d v="2020-05-09T00:00:00"/>
    <x v="2"/>
    <x v="11"/>
    <n v="55"/>
    <x v="2"/>
    <x v="2"/>
    <n v="935"/>
    <x v="773"/>
  </r>
  <r>
    <n v="4876"/>
    <x v="2784"/>
    <x v="499"/>
    <s v="Miss"/>
    <s v="F"/>
    <n v="30"/>
    <s v="Woodland Close"/>
    <x v="1313"/>
    <x v="67"/>
    <d v="2020-07-24T00:00:00"/>
    <x v="2"/>
    <x v="0"/>
    <n v="45"/>
    <x v="6"/>
    <x v="6"/>
    <n v="1080"/>
    <x v="570"/>
  </r>
  <r>
    <n v="4877"/>
    <x v="2627"/>
    <x v="1102"/>
    <s v="Mrs"/>
    <s v="F"/>
    <n v="30"/>
    <s v="Woodland Close"/>
    <x v="453"/>
    <x v="21"/>
    <d v="2021-08-15T00:00:00"/>
    <x v="1"/>
    <x v="3"/>
    <n v="24"/>
    <x v="3"/>
    <x v="3"/>
    <n v="576"/>
    <x v="215"/>
  </r>
  <r>
    <n v="4878"/>
    <x v="536"/>
    <x v="1396"/>
    <s v="Mr"/>
    <s v="M"/>
    <n v="30"/>
    <s v="Woodmans Mews"/>
    <x v="222"/>
    <x v="2"/>
    <d v="2021-12-24T00:00:00"/>
    <x v="1"/>
    <x v="8"/>
    <n v="40"/>
    <x v="7"/>
    <x v="7"/>
    <n v="800"/>
    <x v="974"/>
  </r>
  <r>
    <n v="4879"/>
    <x v="2785"/>
    <x v="460"/>
    <s v="Mrs"/>
    <s v="F"/>
    <n v="30"/>
    <s v="Woodman'S Place"/>
    <x v="922"/>
    <x v="2"/>
    <d v="2022-12-11T00:00:00"/>
    <x v="0"/>
    <x v="8"/>
    <n v="30"/>
    <x v="4"/>
    <x v="4"/>
    <n v="540"/>
    <x v="882"/>
  </r>
  <r>
    <n v="4880"/>
    <x v="1091"/>
    <x v="261"/>
    <s v="Mr"/>
    <s v="M"/>
    <n v="90"/>
    <s v="Woods Court"/>
    <x v="824"/>
    <x v="2"/>
    <d v="2020-07-17T00:00:00"/>
    <x v="2"/>
    <x v="0"/>
    <n v="2"/>
    <x v="2"/>
    <x v="2"/>
    <n v="34"/>
    <x v="614"/>
  </r>
  <r>
    <n v="4881"/>
    <x v="2236"/>
    <x v="738"/>
    <s v="Mr"/>
    <s v="M"/>
    <n v="90"/>
    <s v="Woods Court"/>
    <x v="361"/>
    <x v="2"/>
    <d v="2021-05-06T00:00:00"/>
    <x v="1"/>
    <x v="11"/>
    <n v="7"/>
    <x v="1"/>
    <x v="1"/>
    <n v="168"/>
    <x v="629"/>
  </r>
  <r>
    <n v="4882"/>
    <x v="575"/>
    <x v="582"/>
    <s v="Miss"/>
    <s v="F"/>
    <n v="90"/>
    <s v="Woodside Grange"/>
    <x v="1310"/>
    <x v="2"/>
    <d v="2022-07-20T00:00:00"/>
    <x v="0"/>
    <x v="0"/>
    <n v="60"/>
    <x v="8"/>
    <x v="8"/>
    <n v="1200"/>
    <x v="384"/>
  </r>
  <r>
    <n v="4883"/>
    <x v="2679"/>
    <x v="958"/>
    <s v="Mr"/>
    <s v="M"/>
    <n v="60"/>
    <s v="Woodside Grange"/>
    <x v="627"/>
    <x v="2"/>
    <d v="2020-12-01T00:00:00"/>
    <x v="2"/>
    <x v="8"/>
    <n v="81"/>
    <x v="9"/>
    <x v="9"/>
    <n v="1944"/>
    <x v="836"/>
  </r>
  <r>
    <n v="4884"/>
    <x v="2631"/>
    <x v="1812"/>
    <s v="Mrs"/>
    <s v="F"/>
    <n v="30"/>
    <s v="Woodside Grove"/>
    <x v="1005"/>
    <x v="2"/>
    <d v="2020-05-12T00:00:00"/>
    <x v="2"/>
    <x v="11"/>
    <n v="36"/>
    <x v="1"/>
    <x v="1"/>
    <n v="864"/>
    <x v="940"/>
  </r>
  <r>
    <n v="4885"/>
    <x v="377"/>
    <x v="1764"/>
    <s v="Mr"/>
    <s v="M"/>
    <n v="60"/>
    <s v="Woodville House"/>
    <x v="566"/>
    <x v="21"/>
    <d v="2021-05-26T00:00:00"/>
    <x v="1"/>
    <x v="11"/>
    <n v="65"/>
    <x v="8"/>
    <x v="8"/>
    <n v="1300"/>
    <x v="334"/>
  </r>
  <r>
    <n v="4886"/>
    <x v="2786"/>
    <x v="635"/>
    <s v="Mrs"/>
    <s v="F"/>
    <n v="90"/>
    <s v="Woodville Road"/>
    <x v="7"/>
    <x v="5"/>
    <d v="2021-10-02T00:00:00"/>
    <x v="1"/>
    <x v="1"/>
    <n v="62"/>
    <x v="3"/>
    <x v="3"/>
    <n v="1488"/>
    <x v="637"/>
  </r>
  <r>
    <n v="4887"/>
    <x v="5"/>
    <x v="1716"/>
    <s v="Mr"/>
    <s v="M"/>
    <n v="60"/>
    <s v="Woodville Street"/>
    <x v="1044"/>
    <x v="21"/>
    <d v="2020-08-30T00:00:00"/>
    <x v="2"/>
    <x v="3"/>
    <n v="36"/>
    <x v="7"/>
    <x v="7"/>
    <n v="720"/>
    <x v="256"/>
  </r>
  <r>
    <n v="4888"/>
    <x v="1947"/>
    <x v="544"/>
    <s v="Prof"/>
    <s v="F"/>
    <n v="90"/>
    <s v="Woodward Terrace"/>
    <x v="203"/>
    <x v="36"/>
    <d v="2020-10-05T00:00:00"/>
    <x v="2"/>
    <x v="1"/>
    <n v="34"/>
    <x v="3"/>
    <x v="3"/>
    <n v="816"/>
    <x v="464"/>
  </r>
  <r>
    <n v="4889"/>
    <x v="1949"/>
    <x v="1364"/>
    <s v="Mr"/>
    <s v="M"/>
    <n v="60"/>
    <s v="Woolf Close"/>
    <x v="819"/>
    <x v="21"/>
    <d v="2021-05-25T00:00:00"/>
    <x v="1"/>
    <x v="11"/>
    <n v="78"/>
    <x v="4"/>
    <x v="4"/>
    <n v="1404"/>
    <x v="694"/>
  </r>
  <r>
    <n v="4890"/>
    <x v="68"/>
    <x v="139"/>
    <s v="Miss"/>
    <s v="F"/>
    <n v="30"/>
    <s v="Woolneigh Street"/>
    <x v="510"/>
    <x v="71"/>
    <d v="2022-04-06T00:00:00"/>
    <x v="0"/>
    <x v="4"/>
    <n v="42"/>
    <x v="3"/>
    <x v="3"/>
    <n v="1008"/>
    <x v="667"/>
  </r>
  <r>
    <n v="4891"/>
    <x v="730"/>
    <x v="626"/>
    <s v="Mr"/>
    <s v="M"/>
    <n v="30"/>
    <s v="Woolridge Way"/>
    <x v="53"/>
    <x v="17"/>
    <d v="2021-05-12T00:00:00"/>
    <x v="1"/>
    <x v="11"/>
    <n v="13"/>
    <x v="9"/>
    <x v="9"/>
    <n v="312"/>
    <x v="407"/>
  </r>
  <r>
    <n v="4892"/>
    <x v="2787"/>
    <x v="845"/>
    <s v="Mrs"/>
    <s v="F"/>
    <n v="90"/>
    <s v="Woolstaplers Way"/>
    <x v="128"/>
    <x v="2"/>
    <d v="2021-08-05T00:00:00"/>
    <x v="1"/>
    <x v="3"/>
    <n v="80"/>
    <x v="7"/>
    <x v="7"/>
    <n v="1600"/>
    <x v="690"/>
  </r>
  <r>
    <n v="4893"/>
    <x v="50"/>
    <x v="1205"/>
    <s v="Mrs"/>
    <s v="F"/>
    <n v="30"/>
    <s v="Woolwich Manor"/>
    <x v="410"/>
    <x v="21"/>
    <d v="2022-07-28T00:00:00"/>
    <x v="0"/>
    <x v="0"/>
    <n v="105"/>
    <x v="0"/>
    <x v="0"/>
    <n v="2100"/>
    <x v="703"/>
  </r>
  <r>
    <n v="4894"/>
    <x v="1118"/>
    <x v="1013"/>
    <s v="Mr"/>
    <s v="M"/>
    <n v="30"/>
    <s v="Worcester Cottages"/>
    <x v="1058"/>
    <x v="10"/>
    <d v="2021-06-01T00:00:00"/>
    <x v="1"/>
    <x v="2"/>
    <n v="53"/>
    <x v="8"/>
    <x v="8"/>
    <n v="1060"/>
    <x v="597"/>
  </r>
  <r>
    <n v="4895"/>
    <x v="1546"/>
    <x v="1724"/>
    <s v="Mrs"/>
    <s v="F"/>
    <n v="90"/>
    <s v="Worcester Street"/>
    <x v="1117"/>
    <x v="2"/>
    <d v="2021-12-09T00:00:00"/>
    <x v="1"/>
    <x v="8"/>
    <n v="91"/>
    <x v="7"/>
    <x v="7"/>
    <n v="1820"/>
    <x v="151"/>
  </r>
  <r>
    <n v="4896"/>
    <x v="1912"/>
    <x v="1304"/>
    <s v="Mr"/>
    <s v="M"/>
    <n v="60"/>
    <s v="Wordsworth Avenue"/>
    <x v="918"/>
    <x v="16"/>
    <d v="2021-12-15T00:00:00"/>
    <x v="1"/>
    <x v="8"/>
    <n v="83"/>
    <x v="6"/>
    <x v="6"/>
    <n v="1992"/>
    <x v="294"/>
  </r>
  <r>
    <n v="4897"/>
    <x v="1686"/>
    <x v="347"/>
    <s v="Mr"/>
    <s v="M"/>
    <n v="90"/>
    <s v="Wordsworth Walk"/>
    <x v="82"/>
    <x v="2"/>
    <d v="2020-01-19T00:00:00"/>
    <x v="2"/>
    <x v="6"/>
    <n v="83"/>
    <x v="9"/>
    <x v="9"/>
    <n v="1992"/>
    <x v="883"/>
  </r>
  <r>
    <n v="4898"/>
    <x v="2715"/>
    <x v="365"/>
    <s v="Mrs"/>
    <s v="F"/>
    <n v="60"/>
    <s v="Worland Road"/>
    <x v="1274"/>
    <x v="8"/>
    <d v="2020-04-23T00:00:00"/>
    <x v="2"/>
    <x v="4"/>
    <n v="72"/>
    <x v="1"/>
    <x v="1"/>
    <n v="1728"/>
    <x v="705"/>
  </r>
  <r>
    <n v="4899"/>
    <x v="2788"/>
    <x v="576"/>
    <s v="Mr"/>
    <s v="M"/>
    <n v="30"/>
    <s v="Worley'S Court"/>
    <x v="126"/>
    <x v="27"/>
    <d v="2021-09-30T00:00:00"/>
    <x v="1"/>
    <x v="9"/>
    <n v="66"/>
    <x v="4"/>
    <x v="4"/>
    <n v="1188"/>
    <x v="15"/>
  </r>
  <r>
    <n v="4900"/>
    <x v="707"/>
    <x v="303"/>
    <s v="Mr"/>
    <s v="M"/>
    <n v="90"/>
    <s v="Worsley Bridge"/>
    <x v="76"/>
    <x v="1"/>
    <d v="2021-03-06T00:00:00"/>
    <x v="1"/>
    <x v="5"/>
    <n v="47"/>
    <x v="4"/>
    <x v="4"/>
    <n v="846"/>
    <x v="78"/>
  </r>
  <r>
    <n v="4901"/>
    <x v="2576"/>
    <x v="1625"/>
    <s v="Miss"/>
    <s v="F"/>
    <n v="30"/>
    <s v="Worsley Road"/>
    <x v="697"/>
    <x v="15"/>
    <d v="2021-11-13T00:00:00"/>
    <x v="1"/>
    <x v="7"/>
    <n v="8"/>
    <x v="3"/>
    <x v="3"/>
    <n v="192"/>
    <x v="213"/>
  </r>
  <r>
    <n v="4902"/>
    <x v="1920"/>
    <x v="982"/>
    <s v="Mr"/>
    <s v="M"/>
    <n v="60"/>
    <s v="Worsopp Drive"/>
    <x v="414"/>
    <x v="2"/>
    <d v="2020-11-08T00:00:00"/>
    <x v="2"/>
    <x v="7"/>
    <n v="20"/>
    <x v="8"/>
    <x v="8"/>
    <n v="400"/>
    <x v="577"/>
  </r>
  <r>
    <n v="4903"/>
    <x v="2789"/>
    <x v="413"/>
    <s v="Mrs"/>
    <s v="F"/>
    <n v="30"/>
    <s v="Wrekin Road"/>
    <x v="292"/>
    <x v="46"/>
    <d v="2020-02-24T00:00:00"/>
    <x v="2"/>
    <x v="10"/>
    <n v="36"/>
    <x v="9"/>
    <x v="9"/>
    <n v="864"/>
    <x v="972"/>
  </r>
  <r>
    <n v="4904"/>
    <x v="2790"/>
    <x v="1750"/>
    <s v="Mr"/>
    <s v="M"/>
    <n v="90"/>
    <s v="Wren Avenue"/>
    <x v="1142"/>
    <x v="3"/>
    <d v="2022-10-26T00:00:00"/>
    <x v="0"/>
    <x v="1"/>
    <n v="50"/>
    <x v="6"/>
    <x v="6"/>
    <n v="1200"/>
    <x v="652"/>
  </r>
  <r>
    <n v="4905"/>
    <x v="2791"/>
    <x v="437"/>
    <s v="Dr"/>
    <s v="F"/>
    <n v="60"/>
    <s v="Wren Cottages"/>
    <x v="217"/>
    <x v="2"/>
    <d v="2022-01-01T00:00:00"/>
    <x v="0"/>
    <x v="6"/>
    <n v="28"/>
    <x v="5"/>
    <x v="5"/>
    <n v="672"/>
    <x v="951"/>
  </r>
  <r>
    <n v="4906"/>
    <x v="2792"/>
    <x v="1309"/>
    <s v="Miss"/>
    <s v="F"/>
    <n v="60"/>
    <s v="Wren Path"/>
    <x v="1168"/>
    <x v="3"/>
    <d v="2021-01-23T00:00:00"/>
    <x v="1"/>
    <x v="6"/>
    <n v="75"/>
    <x v="6"/>
    <x v="6"/>
    <n v="1800"/>
    <x v="623"/>
  </r>
  <r>
    <n v="4907"/>
    <x v="189"/>
    <x v="774"/>
    <s v="Mr"/>
    <s v="M"/>
    <n v="30"/>
    <s v="Wren Street"/>
    <x v="608"/>
    <x v="2"/>
    <d v="2022-02-23T00:00:00"/>
    <x v="0"/>
    <x v="10"/>
    <n v="12"/>
    <x v="6"/>
    <x v="6"/>
    <n v="288"/>
    <x v="319"/>
  </r>
  <r>
    <n v="4908"/>
    <x v="492"/>
    <x v="1813"/>
    <s v="Miss"/>
    <s v="F"/>
    <n v="90"/>
    <s v="Wrestlers Crt"/>
    <x v="442"/>
    <x v="67"/>
    <d v="2021-01-27T00:00:00"/>
    <x v="1"/>
    <x v="6"/>
    <n v="74"/>
    <x v="1"/>
    <x v="1"/>
    <n v="1776"/>
    <x v="360"/>
  </r>
  <r>
    <n v="4909"/>
    <x v="35"/>
    <x v="1041"/>
    <s v="Mr"/>
    <s v="M"/>
    <n v="60"/>
    <s v="Wrigglesworth Street"/>
    <x v="518"/>
    <x v="2"/>
    <d v="2020-12-01T00:00:00"/>
    <x v="2"/>
    <x v="8"/>
    <n v="55"/>
    <x v="1"/>
    <x v="1"/>
    <n v="1320"/>
    <x v="290"/>
  </r>
  <r>
    <n v="4910"/>
    <x v="2793"/>
    <x v="667"/>
    <s v="Mrs"/>
    <s v="F"/>
    <n v="90"/>
    <s v="Wrights Buildings"/>
    <x v="785"/>
    <x v="2"/>
    <d v="2022-04-05T00:00:00"/>
    <x v="0"/>
    <x v="4"/>
    <n v="8"/>
    <x v="4"/>
    <x v="4"/>
    <n v="144"/>
    <x v="740"/>
  </r>
  <r>
    <n v="4911"/>
    <x v="2794"/>
    <x v="1790"/>
    <s v="Ms"/>
    <s v="F"/>
    <n v="60"/>
    <s v="Wright'S Buildings"/>
    <x v="1213"/>
    <x v="0"/>
    <d v="2020-05-09T00:00:00"/>
    <x v="2"/>
    <x v="11"/>
    <n v="36"/>
    <x v="0"/>
    <x v="0"/>
    <n v="720"/>
    <x v="325"/>
  </r>
  <r>
    <n v="4912"/>
    <x v="2795"/>
    <x v="711"/>
    <s v="Mrs"/>
    <s v="F"/>
    <n v="30"/>
    <s v="Wrights Cottages"/>
    <x v="1112"/>
    <x v="17"/>
    <d v="2022-02-14T00:00:00"/>
    <x v="0"/>
    <x v="10"/>
    <n v="22"/>
    <x v="2"/>
    <x v="2"/>
    <n v="374"/>
    <x v="871"/>
  </r>
  <r>
    <n v="4913"/>
    <x v="1138"/>
    <x v="1715"/>
    <s v="Mr"/>
    <s v="M"/>
    <n v="90"/>
    <s v="Wrights Place"/>
    <x v="861"/>
    <x v="11"/>
    <d v="2020-03-08T00:00:00"/>
    <x v="2"/>
    <x v="5"/>
    <n v="58"/>
    <x v="0"/>
    <x v="0"/>
    <n v="1160"/>
    <x v="791"/>
  </r>
  <r>
    <n v="4914"/>
    <x v="289"/>
    <x v="129"/>
    <s v="Mr"/>
    <s v="M"/>
    <n v="30"/>
    <s v="Wrights Place"/>
    <x v="772"/>
    <x v="2"/>
    <d v="2022-02-26T00:00:00"/>
    <x v="0"/>
    <x v="10"/>
    <n v="50"/>
    <x v="6"/>
    <x v="6"/>
    <n v="1200"/>
    <x v="652"/>
  </r>
  <r>
    <n v="4915"/>
    <x v="593"/>
    <x v="628"/>
    <s v="Mrs"/>
    <s v="F"/>
    <n v="60"/>
    <s v="Wroughton Road"/>
    <x v="21"/>
    <x v="2"/>
    <d v="2021-09-13T00:00:00"/>
    <x v="1"/>
    <x v="9"/>
    <n v="63"/>
    <x v="2"/>
    <x v="2"/>
    <n v="1071"/>
    <x v="341"/>
  </r>
  <r>
    <n v="4916"/>
    <x v="2796"/>
    <x v="23"/>
    <s v="Mrs"/>
    <s v="F"/>
    <n v="30"/>
    <s v="Wroxton Road"/>
    <x v="1032"/>
    <x v="2"/>
    <d v="2021-02-01T00:00:00"/>
    <x v="1"/>
    <x v="10"/>
    <n v="20"/>
    <x v="5"/>
    <x v="5"/>
    <n v="480"/>
    <x v="423"/>
  </r>
  <r>
    <n v="4917"/>
    <x v="2081"/>
    <x v="443"/>
    <s v="Mr"/>
    <s v="M"/>
    <n v="60"/>
    <s v="Wycombe Gardens"/>
    <x v="578"/>
    <x v="0"/>
    <d v="2021-09-17T00:00:00"/>
    <x v="1"/>
    <x v="9"/>
    <n v="51"/>
    <x v="2"/>
    <x v="2"/>
    <n v="867"/>
    <x v="385"/>
  </r>
  <r>
    <n v="4918"/>
    <x v="2797"/>
    <x v="387"/>
    <s v="Mr"/>
    <s v="M"/>
    <n v="60"/>
    <s v="Wyld'S Rents"/>
    <x v="369"/>
    <x v="1"/>
    <d v="2021-12-02T00:00:00"/>
    <x v="1"/>
    <x v="8"/>
    <n v="86"/>
    <x v="6"/>
    <x v="6"/>
    <n v="2064"/>
    <x v="666"/>
  </r>
  <r>
    <n v="4919"/>
    <x v="1354"/>
    <x v="1487"/>
    <s v="Mr"/>
    <s v="M"/>
    <n v="90"/>
    <s v="Wymans Cottages"/>
    <x v="886"/>
    <x v="2"/>
    <d v="2022-08-14T00:00:00"/>
    <x v="0"/>
    <x v="3"/>
    <n v="39"/>
    <x v="0"/>
    <x v="0"/>
    <n v="780"/>
    <x v="829"/>
  </r>
  <r>
    <n v="4920"/>
    <x v="1852"/>
    <x v="960"/>
    <s v="Miss"/>
    <s v="F"/>
    <n v="90"/>
    <s v="Wymond Street"/>
    <x v="1071"/>
    <x v="3"/>
    <d v="2021-06-05T00:00:00"/>
    <x v="1"/>
    <x v="2"/>
    <n v="86"/>
    <x v="6"/>
    <x v="6"/>
    <n v="2064"/>
    <x v="666"/>
  </r>
  <r>
    <n v="4921"/>
    <x v="2798"/>
    <x v="1126"/>
    <s v="Miss"/>
    <s v="F"/>
    <n v="30"/>
    <s v="Wymond Street"/>
    <x v="80"/>
    <x v="2"/>
    <d v="2022-07-14T00:00:00"/>
    <x v="0"/>
    <x v="0"/>
    <n v="52"/>
    <x v="5"/>
    <x v="5"/>
    <n v="1248"/>
    <x v="839"/>
  </r>
  <r>
    <n v="4922"/>
    <x v="383"/>
    <x v="1081"/>
    <s v="Mr"/>
    <s v="M"/>
    <n v="90"/>
    <s v="Wymondham Court"/>
    <x v="155"/>
    <x v="2"/>
    <d v="2020-08-08T00:00:00"/>
    <x v="2"/>
    <x v="3"/>
    <n v="39"/>
    <x v="5"/>
    <x v="5"/>
    <n v="936"/>
    <x v="910"/>
  </r>
  <r>
    <n v="4923"/>
    <x v="1305"/>
    <x v="1357"/>
    <s v="Miss"/>
    <s v="F"/>
    <n v="90"/>
    <s v="Wyndham Road"/>
    <x v="1297"/>
    <x v="0"/>
    <d v="2021-05-28T00:00:00"/>
    <x v="1"/>
    <x v="11"/>
    <n v="95"/>
    <x v="2"/>
    <x v="2"/>
    <n v="1615"/>
    <x v="693"/>
  </r>
  <r>
    <n v="4924"/>
    <x v="819"/>
    <x v="1814"/>
    <s v="Miss"/>
    <s v="F"/>
    <n v="30"/>
    <s v="Wyneham Road"/>
    <x v="1231"/>
    <x v="2"/>
    <d v="2022-03-08T00:00:00"/>
    <x v="0"/>
    <x v="5"/>
    <n v="81"/>
    <x v="9"/>
    <x v="9"/>
    <n v="1944"/>
    <x v="836"/>
  </r>
  <r>
    <n v="4925"/>
    <x v="361"/>
    <x v="1465"/>
    <s v="Mr"/>
    <s v="M"/>
    <n v="60"/>
    <s v="Wynford Way"/>
    <x v="1072"/>
    <x v="0"/>
    <d v="2020-09-27T00:00:00"/>
    <x v="2"/>
    <x v="9"/>
    <n v="64"/>
    <x v="2"/>
    <x v="2"/>
    <n v="1088"/>
    <x v="98"/>
  </r>
  <r>
    <n v="4926"/>
    <x v="541"/>
    <x v="395"/>
    <s v="Mr"/>
    <s v="M"/>
    <n v="90"/>
    <s v="Wynne Road"/>
    <x v="1199"/>
    <x v="17"/>
    <d v="2022-05-24T00:00:00"/>
    <x v="0"/>
    <x v="11"/>
    <n v="42"/>
    <x v="2"/>
    <x v="2"/>
    <n v="714"/>
    <x v="188"/>
  </r>
  <r>
    <n v="4927"/>
    <x v="2799"/>
    <x v="1513"/>
    <s v="Mrs"/>
    <s v="F"/>
    <n v="30"/>
    <s v="Wynyard Terrace"/>
    <x v="993"/>
    <x v="2"/>
    <d v="2020-11-18T00:00:00"/>
    <x v="2"/>
    <x v="7"/>
    <n v="20"/>
    <x v="4"/>
    <x v="4"/>
    <n v="360"/>
    <x v="824"/>
  </r>
  <r>
    <n v="4928"/>
    <x v="1071"/>
    <x v="808"/>
    <s v="Mr"/>
    <s v="M"/>
    <n v="30"/>
    <s v="Wythens Walk"/>
    <x v="1100"/>
    <x v="15"/>
    <d v="2020-02-11T00:00:00"/>
    <x v="2"/>
    <x v="10"/>
    <n v="39"/>
    <x v="5"/>
    <x v="5"/>
    <n v="936"/>
    <x v="910"/>
  </r>
  <r>
    <n v="4929"/>
    <x v="2544"/>
    <x v="1149"/>
    <s v="Prof"/>
    <s v="M"/>
    <n v="90"/>
    <s v="Wythens Walk"/>
    <x v="473"/>
    <x v="2"/>
    <d v="2021-08-17T00:00:00"/>
    <x v="1"/>
    <x v="3"/>
    <n v="88"/>
    <x v="5"/>
    <x v="5"/>
    <n v="2112"/>
    <x v="999"/>
  </r>
  <r>
    <n v="4930"/>
    <x v="2800"/>
    <x v="938"/>
    <s v="Ms"/>
    <s v="F"/>
    <n v="30"/>
    <s v="Wythfield Road"/>
    <x v="21"/>
    <x v="2"/>
    <d v="2020-07-04T00:00:00"/>
    <x v="2"/>
    <x v="0"/>
    <n v="15"/>
    <x v="7"/>
    <x v="7"/>
    <n v="300"/>
    <x v="634"/>
  </r>
  <r>
    <n v="4931"/>
    <x v="2801"/>
    <x v="788"/>
    <s v="Mrs"/>
    <s v="F"/>
    <n v="90"/>
    <s v="Wyvil Street"/>
    <x v="830"/>
    <x v="11"/>
    <d v="2022-06-02T00:00:00"/>
    <x v="0"/>
    <x v="2"/>
    <n v="98"/>
    <x v="3"/>
    <x v="3"/>
    <n v="2352"/>
    <x v="981"/>
  </r>
  <r>
    <n v="4932"/>
    <x v="1518"/>
    <x v="917"/>
    <s v="Mr"/>
    <s v="M"/>
    <n v="90"/>
    <s v="Wyvis Street"/>
    <x v="528"/>
    <x v="21"/>
    <d v="2020-12-26T00:00:00"/>
    <x v="2"/>
    <x v="8"/>
    <n v="44"/>
    <x v="8"/>
    <x v="8"/>
    <n v="880"/>
    <x v="327"/>
  </r>
  <r>
    <n v="4933"/>
    <x v="2802"/>
    <x v="972"/>
    <s v="Miss"/>
    <s v="F"/>
    <n v="60"/>
    <s v="Xaverier Street"/>
    <x v="58"/>
    <x v="1"/>
    <d v="2022-04-28T00:00:00"/>
    <x v="0"/>
    <x v="4"/>
    <n v="87"/>
    <x v="2"/>
    <x v="2"/>
    <n v="1479"/>
    <x v="700"/>
  </r>
  <r>
    <n v="4934"/>
    <x v="2803"/>
    <x v="913"/>
    <s v="Miss"/>
    <s v="F"/>
    <n v="90"/>
    <s v="Yarmouth Place"/>
    <x v="114"/>
    <x v="2"/>
    <d v="2020-02-26T00:00:00"/>
    <x v="2"/>
    <x v="10"/>
    <n v="76"/>
    <x v="8"/>
    <x v="8"/>
    <n v="1520"/>
    <x v="808"/>
  </r>
  <r>
    <n v="4935"/>
    <x v="2355"/>
    <x v="1420"/>
    <s v="Miss"/>
    <s v="F"/>
    <n v="60"/>
    <s v="Yeldham Road"/>
    <x v="24"/>
    <x v="10"/>
    <d v="2021-07-26T00:00:00"/>
    <x v="1"/>
    <x v="0"/>
    <n v="50"/>
    <x v="0"/>
    <x v="0"/>
    <n v="1000"/>
    <x v="671"/>
  </r>
  <r>
    <n v="4936"/>
    <x v="1339"/>
    <x v="1601"/>
    <s v="Mr"/>
    <s v="M"/>
    <n v="90"/>
    <s v="Yeldham Road"/>
    <x v="392"/>
    <x v="2"/>
    <d v="2021-08-23T00:00:00"/>
    <x v="1"/>
    <x v="3"/>
    <n v="87"/>
    <x v="4"/>
    <x v="4"/>
    <n v="1566"/>
    <x v="95"/>
  </r>
  <r>
    <n v="4937"/>
    <x v="908"/>
    <x v="1815"/>
    <s v="Mr"/>
    <s v="M"/>
    <n v="30"/>
    <s v="Yeomans Row"/>
    <x v="805"/>
    <x v="3"/>
    <d v="2020-05-02T00:00:00"/>
    <x v="2"/>
    <x v="11"/>
    <n v="43"/>
    <x v="8"/>
    <x v="8"/>
    <n v="860"/>
    <x v="235"/>
  </r>
  <r>
    <n v="4938"/>
    <x v="2804"/>
    <x v="1265"/>
    <s v="Mr"/>
    <s v="M"/>
    <n v="60"/>
    <s v="Yew"/>
    <x v="928"/>
    <x v="29"/>
    <d v="2021-05-22T00:00:00"/>
    <x v="1"/>
    <x v="11"/>
    <n v="29"/>
    <x v="1"/>
    <x v="1"/>
    <n v="696"/>
    <x v="952"/>
  </r>
  <r>
    <n v="4939"/>
    <x v="793"/>
    <x v="1165"/>
    <s v="Mr"/>
    <s v="M"/>
    <n v="90"/>
    <s v="York Gate"/>
    <x v="675"/>
    <x v="32"/>
    <d v="2020-10-26T00:00:00"/>
    <x v="2"/>
    <x v="1"/>
    <n v="56"/>
    <x v="4"/>
    <x v="4"/>
    <n v="1008"/>
    <x v="48"/>
  </r>
  <r>
    <n v="4940"/>
    <x v="492"/>
    <x v="1639"/>
    <s v="Mr"/>
    <s v="M"/>
    <n v="30"/>
    <s v="York Gate"/>
    <x v="133"/>
    <x v="17"/>
    <d v="2020-03-18T00:00:00"/>
    <x v="2"/>
    <x v="5"/>
    <n v="49"/>
    <x v="6"/>
    <x v="6"/>
    <n v="1176"/>
    <x v="56"/>
  </r>
  <r>
    <n v="4941"/>
    <x v="160"/>
    <x v="436"/>
    <s v="Miss"/>
    <s v="F"/>
    <n v="60"/>
    <s v="York Gate"/>
    <x v="28"/>
    <x v="2"/>
    <d v="2020-11-21T00:00:00"/>
    <x v="2"/>
    <x v="7"/>
    <n v="32"/>
    <x v="5"/>
    <x v="5"/>
    <n v="768"/>
    <x v="943"/>
  </r>
  <r>
    <n v="4942"/>
    <x v="2805"/>
    <x v="1218"/>
    <s v="Ms"/>
    <s v="F"/>
    <n v="60"/>
    <s v="York Hill"/>
    <x v="405"/>
    <x v="21"/>
    <d v="2022-08-13T00:00:00"/>
    <x v="0"/>
    <x v="3"/>
    <n v="88"/>
    <x v="7"/>
    <x v="7"/>
    <n v="1760"/>
    <x v="113"/>
  </r>
  <r>
    <n v="4943"/>
    <x v="2275"/>
    <x v="1816"/>
    <s v="Miss"/>
    <s v="F"/>
    <n v="90"/>
    <s v="York Place"/>
    <x v="478"/>
    <x v="21"/>
    <d v="2022-04-27T00:00:00"/>
    <x v="0"/>
    <x v="4"/>
    <n v="76"/>
    <x v="1"/>
    <x v="1"/>
    <n v="1824"/>
    <x v="678"/>
  </r>
  <r>
    <n v="4944"/>
    <x v="791"/>
    <x v="66"/>
    <s v="Mrs"/>
    <s v="F"/>
    <n v="30"/>
    <s v="York Row"/>
    <x v="1273"/>
    <x v="20"/>
    <d v="2021-03-02T00:00:00"/>
    <x v="1"/>
    <x v="5"/>
    <n v="44"/>
    <x v="0"/>
    <x v="0"/>
    <n v="880"/>
    <x v="529"/>
  </r>
  <r>
    <n v="4945"/>
    <x v="2806"/>
    <x v="1817"/>
    <s v="Mr"/>
    <s v="M"/>
    <n v="30"/>
    <s v="York Street"/>
    <x v="778"/>
    <x v="2"/>
    <d v="2022-02-07T00:00:00"/>
    <x v="0"/>
    <x v="10"/>
    <n v="58"/>
    <x v="8"/>
    <x v="8"/>
    <n v="1160"/>
    <x v="286"/>
  </r>
  <r>
    <n v="4946"/>
    <x v="1496"/>
    <x v="288"/>
    <s v="Miss"/>
    <s v="F"/>
    <n v="60"/>
    <s v="York Terrace"/>
    <x v="582"/>
    <x v="2"/>
    <d v="2020-04-03T00:00:00"/>
    <x v="2"/>
    <x v="4"/>
    <n v="49"/>
    <x v="4"/>
    <x v="4"/>
    <n v="882"/>
    <x v="680"/>
  </r>
  <r>
    <n v="4947"/>
    <x v="1096"/>
    <x v="1378"/>
    <s v="Mr"/>
    <s v="M"/>
    <n v="60"/>
    <s v="Yorke Crescent"/>
    <x v="1011"/>
    <x v="2"/>
    <d v="2022-06-06T00:00:00"/>
    <x v="0"/>
    <x v="2"/>
    <n v="34"/>
    <x v="8"/>
    <x v="8"/>
    <n v="680"/>
    <x v="415"/>
  </r>
  <r>
    <n v="4948"/>
    <x v="2468"/>
    <x v="33"/>
    <s v="Mr"/>
    <s v="M"/>
    <n v="60"/>
    <s v="Youngs Cottages"/>
    <x v="1228"/>
    <x v="3"/>
    <d v="2021-07-19T00:00:00"/>
    <x v="1"/>
    <x v="0"/>
    <n v="26"/>
    <x v="9"/>
    <x v="9"/>
    <n v="624"/>
    <x v="663"/>
  </r>
  <r>
    <n v="4949"/>
    <x v="2108"/>
    <x v="1062"/>
    <s v="Mr"/>
    <s v="M"/>
    <n v="90"/>
    <s v="Youngs Passage"/>
    <x v="1015"/>
    <x v="54"/>
    <d v="2020-02-26T00:00:00"/>
    <x v="2"/>
    <x v="10"/>
    <n v="42"/>
    <x v="1"/>
    <x v="1"/>
    <n v="1008"/>
    <x v="185"/>
  </r>
  <r>
    <n v="4950"/>
    <x v="1641"/>
    <x v="1403"/>
    <s v="Mr"/>
    <s v="M"/>
    <n v="90"/>
    <s v="Yukon Road"/>
    <x v="123"/>
    <x v="17"/>
    <d v="2020-03-29T00:00:00"/>
    <x v="2"/>
    <x v="5"/>
    <n v="57"/>
    <x v="1"/>
    <x v="1"/>
    <n v="1368"/>
    <x v="436"/>
  </r>
  <r>
    <n v="4951"/>
    <x v="1731"/>
    <x v="1116"/>
    <s v="Mrs"/>
    <s v="F"/>
    <n v="90"/>
    <s v="Yukon Road"/>
    <x v="1129"/>
    <x v="2"/>
    <d v="2021-10-20T00:00:00"/>
    <x v="1"/>
    <x v="1"/>
    <n v="2"/>
    <x v="6"/>
    <x v="6"/>
    <n v="48"/>
    <x v="728"/>
  </r>
  <r>
    <n v="4952"/>
    <x v="1110"/>
    <x v="1184"/>
    <s v="Mr"/>
    <s v="M"/>
    <n v="60"/>
    <s v="Zoffany Street"/>
    <x v="438"/>
    <x v="2"/>
    <d v="2022-02-08T00:00:00"/>
    <x v="0"/>
    <x v="10"/>
    <n v="72"/>
    <x v="8"/>
    <x v="8"/>
    <n v="1440"/>
    <x v="7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57B3A4-F726-44F8-B925-D13988190D5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6:N20" firstHeaderRow="1" firstDataRow="2" firstDataCol="1" rowPageCount="1" colPageCount="1"/>
  <pivotFields count="17">
    <pivotField showAll="0"/>
    <pivotField showAll="0">
      <items count="2808">
        <item x="450"/>
        <item x="617"/>
        <item x="1098"/>
        <item x="1550"/>
        <item x="1843"/>
        <item x="1659"/>
        <item x="2425"/>
        <item x="464"/>
        <item x="1880"/>
        <item x="1134"/>
        <item x="725"/>
        <item x="337"/>
        <item x="2740"/>
        <item x="1949"/>
        <item x="1384"/>
        <item x="1787"/>
        <item x="405"/>
        <item x="1873"/>
        <item x="107"/>
        <item x="1463"/>
        <item x="2175"/>
        <item x="1383"/>
        <item x="531"/>
        <item x="1060"/>
        <item x="2573"/>
        <item x="1577"/>
        <item x="69"/>
        <item x="2023"/>
        <item x="110"/>
        <item x="2361"/>
        <item x="2059"/>
        <item x="84"/>
        <item x="1844"/>
        <item x="2422"/>
        <item x="721"/>
        <item x="1258"/>
        <item x="1953"/>
        <item x="1718"/>
        <item x="2685"/>
        <item x="2736"/>
        <item x="1636"/>
        <item x="48"/>
        <item x="1083"/>
        <item x="819"/>
        <item x="1827"/>
        <item x="961"/>
        <item x="2166"/>
        <item x="1974"/>
        <item x="1006"/>
        <item x="672"/>
        <item x="954"/>
        <item x="2459"/>
        <item x="643"/>
        <item x="966"/>
        <item x="1511"/>
        <item x="2651"/>
        <item x="809"/>
        <item x="1677"/>
        <item x="2078"/>
        <item x="2350"/>
        <item x="759"/>
        <item x="146"/>
        <item x="1730"/>
        <item x="2378"/>
        <item x="1972"/>
        <item x="2569"/>
        <item x="2723"/>
        <item x="645"/>
        <item x="307"/>
        <item x="91"/>
        <item x="2256"/>
        <item x="444"/>
        <item x="2061"/>
        <item x="755"/>
        <item x="943"/>
        <item x="94"/>
        <item x="688"/>
        <item x="1496"/>
        <item x="2371"/>
        <item x="2654"/>
        <item x="2323"/>
        <item x="2397"/>
        <item x="1532"/>
        <item x="493"/>
        <item x="2176"/>
        <item x="841"/>
        <item x="1950"/>
        <item x="394"/>
        <item x="618"/>
        <item x="2471"/>
        <item x="2066"/>
        <item x="1845"/>
        <item x="2467"/>
        <item x="806"/>
        <item x="325"/>
        <item x="2172"/>
        <item x="870"/>
        <item x="1889"/>
        <item x="937"/>
        <item x="1190"/>
        <item x="1045"/>
        <item x="2009"/>
        <item x="304"/>
        <item x="2602"/>
        <item x="1011"/>
        <item x="2799"/>
        <item x="2090"/>
        <item x="1509"/>
        <item x="491"/>
        <item x="2027"/>
        <item x="1805"/>
        <item x="1248"/>
        <item x="1233"/>
        <item x="2576"/>
        <item x="2755"/>
        <item x="1621"/>
        <item x="1236"/>
        <item x="1438"/>
        <item x="1201"/>
        <item x="650"/>
        <item x="21"/>
        <item x="2189"/>
        <item x="1664"/>
        <item x="1711"/>
        <item x="817"/>
        <item x="1575"/>
        <item x="2095"/>
        <item x="1821"/>
        <item x="496"/>
        <item x="1159"/>
        <item x="2192"/>
        <item x="1689"/>
        <item x="338"/>
        <item x="2013"/>
        <item x="458"/>
        <item x="2270"/>
        <item x="611"/>
        <item x="2094"/>
        <item x="2794"/>
        <item x="1958"/>
        <item x="2796"/>
        <item x="2460"/>
        <item x="1042"/>
        <item x="2751"/>
        <item x="659"/>
        <item x="2537"/>
        <item x="2348"/>
        <item x="343"/>
        <item x="1126"/>
        <item x="2362"/>
        <item x="865"/>
        <item x="1555"/>
        <item x="2074"/>
        <item x="489"/>
        <item x="65"/>
        <item x="2542"/>
        <item x="1415"/>
        <item x="1510"/>
        <item x="1191"/>
        <item x="848"/>
        <item x="1778"/>
        <item x="2586"/>
        <item x="2000"/>
        <item x="1146"/>
        <item x="2099"/>
        <item x="1986"/>
        <item x="928"/>
        <item x="820"/>
        <item x="909"/>
        <item x="1573"/>
        <item x="1587"/>
        <item x="1999"/>
        <item x="116"/>
        <item x="907"/>
        <item x="933"/>
        <item x="1355"/>
        <item x="1374"/>
        <item x="1657"/>
        <item x="1777"/>
        <item x="2765"/>
        <item x="2245"/>
        <item x="1082"/>
        <item x="1833"/>
        <item x="36"/>
        <item x="963"/>
        <item x="1491"/>
        <item x="2128"/>
        <item x="457"/>
        <item x="2185"/>
        <item x="472"/>
        <item x="925"/>
        <item x="1529"/>
        <item x="1847"/>
        <item x="2534"/>
        <item x="2403"/>
        <item x="236"/>
        <item x="1810"/>
        <item x="1515"/>
        <item x="1506"/>
        <item x="155"/>
        <item x="1578"/>
        <item x="186"/>
        <item x="2215"/>
        <item x="1222"/>
        <item x="1187"/>
        <item x="2613"/>
        <item x="905"/>
        <item x="72"/>
        <item x="1291"/>
        <item x="1993"/>
        <item x="1327"/>
        <item x="1862"/>
        <item x="369"/>
        <item x="399"/>
        <item x="807"/>
        <item x="1629"/>
        <item x="2295"/>
        <item x="2264"/>
        <item x="1070"/>
        <item x="1779"/>
        <item x="1963"/>
        <item x="561"/>
        <item x="248"/>
        <item x="169"/>
        <item x="760"/>
        <item x="202"/>
        <item x="1007"/>
        <item x="765"/>
        <item x="131"/>
        <item x="593"/>
        <item x="476"/>
        <item x="66"/>
        <item x="767"/>
        <item x="2002"/>
        <item x="92"/>
        <item x="2008"/>
        <item x="1568"/>
        <item x="2131"/>
        <item x="3"/>
        <item x="1169"/>
        <item x="143"/>
        <item x="2562"/>
        <item x="2237"/>
        <item x="2352"/>
        <item x="1072"/>
        <item x="351"/>
        <item x="1699"/>
        <item x="2193"/>
        <item x="1379"/>
        <item x="994"/>
        <item x="2614"/>
        <item x="883"/>
        <item x="1688"/>
        <item x="1203"/>
        <item x="5"/>
        <item x="813"/>
        <item x="1854"/>
        <item x="623"/>
        <item x="229"/>
        <item x="1917"/>
        <item x="633"/>
        <item x="1548"/>
        <item x="1487"/>
        <item x="1111"/>
        <item x="15"/>
        <item x="2462"/>
        <item x="2369"/>
        <item x="687"/>
        <item x="122"/>
        <item x="1376"/>
        <item x="2637"/>
        <item x="969"/>
        <item x="10"/>
        <item x="727"/>
        <item x="2171"/>
        <item x="539"/>
        <item x="2716"/>
        <item x="1888"/>
        <item x="1449"/>
        <item x="1816"/>
        <item x="2030"/>
        <item x="2770"/>
        <item x="1259"/>
        <item x="2267"/>
        <item x="1849"/>
        <item x="1153"/>
        <item x="1033"/>
        <item x="1089"/>
        <item x="874"/>
        <item x="920"/>
        <item x="240"/>
        <item x="136"/>
        <item x="968"/>
        <item x="1198"/>
        <item x="138"/>
        <item x="853"/>
        <item x="546"/>
        <item x="1731"/>
        <item x="695"/>
        <item x="566"/>
        <item x="75"/>
        <item x="578"/>
        <item x="2304"/>
        <item x="165"/>
        <item x="2222"/>
        <item x="2359"/>
        <item x="533"/>
        <item x="28"/>
        <item x="775"/>
        <item x="1783"/>
        <item x="384"/>
        <item x="703"/>
        <item x="832"/>
        <item x="308"/>
        <item x="1599"/>
        <item x="2039"/>
        <item x="1234"/>
        <item x="602"/>
        <item x="1480"/>
        <item x="275"/>
        <item x="1085"/>
        <item x="678"/>
        <item x="2282"/>
        <item x="2331"/>
        <item x="1919"/>
        <item x="2075"/>
        <item x="2187"/>
        <item x="1892"/>
        <item x="1554"/>
        <item x="585"/>
        <item x="315"/>
        <item x="803"/>
        <item x="2729"/>
        <item x="2659"/>
        <item x="716"/>
        <item x="1112"/>
        <item x="2714"/>
        <item x="510"/>
        <item x="212"/>
        <item x="2051"/>
        <item x="1216"/>
        <item x="237"/>
        <item x="224"/>
        <item x="1375"/>
        <item x="1230"/>
        <item x="354"/>
        <item x="2571"/>
        <item x="192"/>
        <item x="1334"/>
        <item x="1703"/>
        <item x="404"/>
        <item x="2646"/>
        <item x="846"/>
        <item x="179"/>
        <item x="2518"/>
        <item x="2"/>
        <item x="1274"/>
        <item x="2556"/>
        <item x="2702"/>
        <item x="1976"/>
        <item x="1819"/>
        <item x="2118"/>
        <item x="1177"/>
        <item x="2668"/>
        <item x="451"/>
        <item x="2205"/>
        <item x="2214"/>
        <item x="1921"/>
        <item x="111"/>
        <item x="1728"/>
        <item x="1669"/>
        <item x="90"/>
        <item x="549"/>
        <item x="1109"/>
        <item x="2033"/>
        <item x="988"/>
        <item x="2645"/>
        <item x="1257"/>
        <item x="456"/>
        <item x="1966"/>
        <item x="1013"/>
        <item x="416"/>
        <item x="2035"/>
        <item x="572"/>
        <item x="1047"/>
        <item x="267"/>
        <item x="949"/>
        <item x="2398"/>
        <item x="1435"/>
        <item x="2384"/>
        <item x="604"/>
        <item x="2759"/>
        <item x="2506"/>
        <item x="1054"/>
        <item x="793"/>
        <item x="1479"/>
        <item x="2082"/>
        <item x="609"/>
        <item x="168"/>
        <item x="2726"/>
        <item x="2772"/>
        <item x="849"/>
        <item x="2356"/>
        <item x="1347"/>
        <item x="736"/>
        <item x="2451"/>
        <item x="2763"/>
        <item x="799"/>
        <item x="1733"/>
        <item x="607"/>
        <item x="2432"/>
        <item x="1490"/>
        <item x="1591"/>
        <item x="2469"/>
        <item x="313"/>
        <item x="1769"/>
        <item x="899"/>
        <item x="12"/>
        <item x="2514"/>
        <item x="528"/>
        <item x="2647"/>
        <item x="670"/>
        <item x="1369"/>
        <item x="2728"/>
        <item x="586"/>
        <item x="1492"/>
        <item x="2230"/>
        <item x="238"/>
        <item x="2374"/>
        <item x="431"/>
        <item x="2638"/>
        <item x="624"/>
        <item x="1930"/>
        <item x="2178"/>
        <item x="758"/>
        <item x="2276"/>
        <item x="2655"/>
        <item x="1788"/>
        <item x="475"/>
        <item x="1483"/>
        <item x="1610"/>
        <item x="376"/>
        <item x="2580"/>
        <item x="1549"/>
        <item x="1753"/>
        <item x="485"/>
        <item x="862"/>
        <item x="2241"/>
        <item x="1009"/>
        <item x="2313"/>
        <item x="243"/>
        <item x="1135"/>
        <item x="1038"/>
        <item x="2029"/>
        <item x="2785"/>
        <item x="1671"/>
        <item x="1935"/>
        <item x="1752"/>
        <item x="81"/>
        <item x="1962"/>
        <item x="2272"/>
        <item x="811"/>
        <item x="959"/>
        <item x="401"/>
        <item x="677"/>
        <item x="553"/>
        <item x="1547"/>
        <item x="2048"/>
        <item x="699"/>
        <item x="233"/>
        <item x="381"/>
        <item x="1864"/>
        <item x="1994"/>
        <item x="550"/>
        <item x="890"/>
        <item x="984"/>
        <item x="2355"/>
        <item x="1325"/>
        <item x="731"/>
        <item x="740"/>
        <item x="881"/>
        <item x="708"/>
        <item x="25"/>
        <item x="2117"/>
        <item x="717"/>
        <item x="2177"/>
        <item x="2206"/>
        <item x="191"/>
        <item x="676"/>
        <item x="1493"/>
        <item x="2435"/>
        <item x="2779"/>
        <item x="2805"/>
        <item x="1866"/>
        <item x="1041"/>
        <item x="225"/>
        <item x="1734"/>
        <item x="1784"/>
        <item x="258"/>
        <item x="2021"/>
        <item x="293"/>
        <item x="2026"/>
        <item x="1625"/>
        <item x="1822"/>
        <item x="14"/>
        <item x="2015"/>
        <item x="2274"/>
        <item x="1102"/>
        <item x="429"/>
        <item x="1894"/>
        <item x="1300"/>
        <item x="2400"/>
        <item x="1519"/>
        <item x="2478"/>
        <item x="43"/>
        <item x="1947"/>
        <item x="170"/>
        <item x="2790"/>
        <item x="2339"/>
        <item x="2436"/>
        <item x="1312"/>
        <item x="682"/>
        <item x="516"/>
        <item x="2344"/>
        <item x="1901"/>
        <item x="779"/>
        <item x="934"/>
        <item x="335"/>
        <item x="1612"/>
        <item x="1738"/>
        <item x="296"/>
        <item x="1084"/>
        <item x="1943"/>
        <item x="1150"/>
        <item x="1210"/>
        <item x="2555"/>
        <item x="1538"/>
        <item x="239"/>
        <item x="1162"/>
        <item x="1181"/>
        <item x="2360"/>
        <item x="2503"/>
        <item x="1524"/>
        <item x="1211"/>
        <item x="140"/>
        <item x="1330"/>
        <item x="420"/>
        <item x="1617"/>
        <item x="132"/>
        <item x="2688"/>
        <item x="419"/>
        <item x="2783"/>
        <item x="1409"/>
        <item x="1954"/>
        <item x="2357"/>
        <item x="2231"/>
        <item x="2188"/>
        <item x="1161"/>
        <item x="1313"/>
        <item x="880"/>
        <item x="130"/>
        <item x="1767"/>
        <item x="1796"/>
        <item x="70"/>
        <item x="1154"/>
        <item x="447"/>
        <item x="59"/>
        <item x="2572"/>
        <item x="504"/>
        <item x="185"/>
        <item x="686"/>
        <item x="2343"/>
        <item x="1774"/>
        <item x="977"/>
        <item x="2211"/>
        <item x="263"/>
        <item x="2648"/>
        <item x="631"/>
        <item x="45"/>
        <item x="1352"/>
        <item x="2160"/>
        <item x="422"/>
        <item x="291"/>
        <item x="1"/>
        <item x="347"/>
        <item x="279"/>
        <item x="334"/>
        <item x="2137"/>
        <item x="2609"/>
        <item x="2018"/>
        <item x="2597"/>
        <item x="2801"/>
        <item x="1638"/>
        <item x="1603"/>
        <item x="1946"/>
        <item x="962"/>
        <item x="1110"/>
        <item x="1563"/>
        <item x="2674"/>
        <item x="1886"/>
        <item x="1768"/>
        <item x="1114"/>
        <item x="2341"/>
        <item x="2463"/>
        <item x="11"/>
        <item x="115"/>
        <item x="484"/>
        <item x="1321"/>
        <item x="534"/>
        <item x="435"/>
        <item x="1136"/>
        <item x="2081"/>
        <item x="327"/>
        <item x="827"/>
        <item x="2073"/>
        <item x="936"/>
        <item x="810"/>
        <item x="2235"/>
        <item x="1121"/>
        <item x="29"/>
        <item x="2474"/>
        <item x="2393"/>
        <item x="2252"/>
        <item x="644"/>
        <item x="1650"/>
        <item x="1990"/>
        <item x="2784"/>
        <item x="2016"/>
        <item x="1687"/>
        <item x="1571"/>
        <item x="2621"/>
        <item x="1275"/>
        <item x="250"/>
        <item x="1643"/>
        <item x="620"/>
        <item x="1388"/>
        <item x="1536"/>
        <item x="1285"/>
        <item x="559"/>
        <item x="938"/>
        <item x="745"/>
        <item x="1219"/>
        <item x="2525"/>
        <item x="189"/>
        <item x="1279"/>
        <item x="1773"/>
        <item x="1063"/>
        <item x="2225"/>
        <item x="754"/>
        <item x="634"/>
        <item x="2226"/>
        <item x="2611"/>
        <item x="1261"/>
        <item x="453"/>
        <item x="1690"/>
        <item x="1412"/>
        <item x="2481"/>
        <item x="443"/>
        <item x="1328"/>
        <item x="1385"/>
        <item x="1789"/>
        <item x="188"/>
        <item x="1208"/>
        <item x="1970"/>
        <item x="2034"/>
        <item x="2072"/>
        <item x="1305"/>
        <item x="944"/>
        <item x="1523"/>
        <item x="1473"/>
        <item x="1682"/>
        <item x="1025"/>
        <item x="2020"/>
        <item x="2120"/>
        <item x="2054"/>
        <item x="2199"/>
        <item x="2433"/>
        <item x="199"/>
        <item x="1214"/>
        <item x="2554"/>
        <item x="603"/>
        <item x="159"/>
        <item x="2552"/>
        <item x="1984"/>
        <item x="1354"/>
        <item x="2440"/>
        <item x="1404"/>
        <item x="2318"/>
        <item x="1397"/>
        <item x="2633"/>
        <item x="367"/>
        <item x="216"/>
        <item x="306"/>
        <item x="1875"/>
        <item x="600"/>
        <item x="1569"/>
        <item x="302"/>
        <item x="2306"/>
        <item x="408"/>
        <item x="1585"/>
        <item x="361"/>
        <item x="2240"/>
        <item x="27"/>
        <item x="1462"/>
        <item x="2224"/>
        <item x="1556"/>
        <item x="1197"/>
        <item x="1936"/>
        <item x="2334"/>
        <item x="2255"/>
        <item x="482"/>
        <item x="718"/>
        <item x="326"/>
        <item x="2494"/>
        <item x="1142"/>
        <item x="661"/>
        <item x="2533"/>
        <item x="597"/>
        <item x="1350"/>
        <item x="594"/>
        <item x="1028"/>
        <item x="121"/>
        <item x="1180"/>
        <item x="628"/>
        <item x="2229"/>
        <item x="610"/>
        <item x="1368"/>
        <item x="1255"/>
        <item x="2769"/>
        <item x="673"/>
        <item x="1326"/>
        <item x="2377"/>
        <item x="1458"/>
        <item x="1841"/>
        <item x="1828"/>
        <item x="552"/>
        <item x="477"/>
        <item x="1414"/>
        <item x="126"/>
        <item x="374"/>
        <item x="1241"/>
        <item x="640"/>
        <item x="213"/>
        <item x="1939"/>
        <item x="319"/>
        <item x="2524"/>
        <item x="1293"/>
        <item x="2012"/>
        <item x="214"/>
        <item x="2734"/>
        <item x="2351"/>
        <item x="1989"/>
        <item x="625"/>
        <item x="836"/>
        <item x="835"/>
        <item x="1732"/>
        <item x="1380"/>
        <item x="8"/>
        <item x="2733"/>
        <item x="2112"/>
        <item x="2568"/>
        <item x="1271"/>
        <item x="2281"/>
        <item x="823"/>
        <item x="671"/>
        <item x="1276"/>
        <item x="320"/>
        <item x="2797"/>
        <item x="2284"/>
        <item x="804"/>
        <item x="2022"/>
        <item x="2409"/>
        <item x="1882"/>
        <item x="1907"/>
        <item x="391"/>
        <item x="792"/>
        <item x="1745"/>
        <item x="2014"/>
        <item x="2697"/>
        <item x="2695"/>
        <item x="1931"/>
        <item x="432"/>
        <item x="796"/>
        <item x="1405"/>
        <item x="273"/>
        <item x="2658"/>
        <item x="2652"/>
        <item x="1494"/>
        <item x="1716"/>
        <item x="525"/>
        <item x="2101"/>
        <item x="978"/>
        <item x="2115"/>
        <item x="2508"/>
        <item x="182"/>
        <item x="2010"/>
        <item x="389"/>
        <item x="1719"/>
        <item x="127"/>
        <item x="967"/>
        <item x="1804"/>
        <item x="386"/>
        <item x="466"/>
        <item x="2690"/>
        <item x="2476"/>
        <item x="1155"/>
        <item x="2639"/>
        <item x="1194"/>
        <item x="915"/>
        <item x="1001"/>
        <item x="345"/>
        <item x="704"/>
        <item x="1668"/>
        <item x="537"/>
        <item x="2114"/>
        <item x="2396"/>
        <item x="2513"/>
        <item x="1308"/>
        <item x="1622"/>
        <item x="1040"/>
        <item x="861"/>
        <item x="2458"/>
        <item x="2365"/>
        <item x="2415"/>
        <item x="1572"/>
        <item x="2219"/>
        <item x="1472"/>
        <item x="480"/>
        <item x="1595"/>
        <item x="1551"/>
        <item x="1173"/>
        <item x="1898"/>
        <item x="1526"/>
        <item x="2464"/>
        <item x="563"/>
        <item x="2321"/>
        <item x="39"/>
        <item x="2661"/>
        <item x="2484"/>
        <item x="2455"/>
        <item x="1243"/>
        <item x="2202"/>
        <item x="964"/>
        <item x="1264"/>
        <item x="55"/>
        <item x="1806"/>
        <item x="2285"/>
        <item x="893"/>
        <item x="26"/>
        <item x="948"/>
        <item x="1673"/>
        <item x="950"/>
        <item x="184"/>
        <item x="1642"/>
        <item x="1396"/>
        <item x="13"/>
        <item x="1720"/>
        <item x="582"/>
        <item x="1251"/>
        <item x="1945"/>
        <item x="1410"/>
        <item x="23"/>
        <item x="1727"/>
        <item x="288"/>
        <item x="1714"/>
        <item x="358"/>
        <item x="2707"/>
        <item x="908"/>
        <item x="917"/>
        <item x="2080"/>
        <item x="1698"/>
        <item x="1366"/>
        <item x="858"/>
        <item x="234"/>
        <item x="1877"/>
        <item x="712"/>
        <item x="1247"/>
        <item x="2662"/>
        <item x="2303"/>
        <item x="1172"/>
        <item x="2028"/>
        <item x="709"/>
        <item x="330"/>
        <item x="2795"/>
        <item x="722"/>
        <item x="437"/>
        <item x="2607"/>
        <item x="2737"/>
        <item x="1065"/>
        <item x="1231"/>
        <item x="1908"/>
        <item x="2788"/>
        <item x="1955"/>
        <item x="1056"/>
        <item x="1131"/>
        <item x="1707"/>
        <item x="1096"/>
        <item x="1557"/>
        <item x="2593"/>
        <item x="2589"/>
        <item x="1948"/>
        <item x="1331"/>
        <item x="245"/>
        <item x="1360"/>
        <item x="2431"/>
        <item x="1609"/>
        <item x="415"/>
        <item x="428"/>
        <item x="1749"/>
        <item x="1228"/>
        <item x="54"/>
        <item x="1754"/>
        <item x="2423"/>
        <item x="1402"/>
        <item x="683"/>
        <item x="1932"/>
        <item x="1432"/>
        <item x="1252"/>
        <item x="16"/>
        <item x="953"/>
        <item x="648"/>
        <item x="1381"/>
        <item x="1933"/>
        <item x="158"/>
        <item x="1722"/>
        <item x="562"/>
        <item x="2087"/>
        <item x="1144"/>
        <item x="1815"/>
        <item x="2479"/>
        <item x="2388"/>
        <item x="1395"/>
        <item x="2067"/>
        <item x="854"/>
        <item x="588"/>
        <item x="2203"/>
        <item x="1808"/>
        <item x="1464"/>
        <item x="1846"/>
        <item x="285"/>
        <item x="1118"/>
        <item x="34"/>
        <item x="133"/>
        <item x="6"/>
        <item x="119"/>
        <item x="1400"/>
        <item x="1427"/>
        <item x="530"/>
        <item x="2725"/>
        <item x="831"/>
        <item x="102"/>
        <item x="2319"/>
        <item x="914"/>
        <item x="201"/>
        <item x="270"/>
        <item x="2636"/>
        <item x="1770"/>
        <item x="2163"/>
        <item x="266"/>
        <item x="2405"/>
        <item x="502"/>
        <item x="37"/>
        <item x="1178"/>
        <item x="2485"/>
        <item x="875"/>
        <item x="508"/>
        <item x="1179"/>
        <item x="2512"/>
        <item x="0"/>
        <item x="657"/>
        <item x="2444"/>
        <item x="441"/>
        <item x="2312"/>
        <item x="2536"/>
        <item x="1461"/>
        <item x="729"/>
        <item x="1830"/>
        <item x="2265"/>
        <item x="100"/>
        <item x="1441"/>
        <item x="619"/>
        <item x="151"/>
        <item x="785"/>
        <item x="106"/>
        <item x="1031"/>
        <item x="1644"/>
        <item x="7"/>
        <item x="2037"/>
        <item x="395"/>
        <item x="2373"/>
        <item x="941"/>
        <item x="1956"/>
        <item x="1444"/>
        <item x="2561"/>
        <item x="855"/>
        <item x="1108"/>
        <item x="1107"/>
        <item x="2557"/>
        <item x="1073"/>
        <item x="2640"/>
        <item x="2103"/>
        <item x="2721"/>
        <item x="282"/>
        <item x="1471"/>
        <item x="1301"/>
        <item x="1594"/>
        <item x="882"/>
        <item x="1192"/>
        <item x="235"/>
        <item x="1207"/>
        <item x="2040"/>
        <item x="2510"/>
        <item x="771"/>
        <item x="1370"/>
        <item x="125"/>
        <item x="1237"/>
        <item x="983"/>
        <item x="114"/>
        <item x="577"/>
        <item x="1184"/>
        <item x="1735"/>
        <item x="1000"/>
        <item x="2332"/>
        <item x="2712"/>
        <item x="2358"/>
        <item x="2634"/>
        <item x="2208"/>
        <item x="2549"/>
        <item x="1681"/>
        <item x="193"/>
        <item x="1874"/>
        <item x="830"/>
        <item x="1058"/>
        <item x="1387"/>
        <item x="1353"/>
        <item x="1005"/>
        <item x="2370"/>
        <item x="340"/>
        <item x="1759"/>
        <item x="1225"/>
        <item x="2089"/>
        <item x="1310"/>
        <item x="2158"/>
        <item x="826"/>
        <item x="1055"/>
        <item x="2642"/>
        <item x="2031"/>
        <item x="630"/>
        <item x="2671"/>
        <item x="1960"/>
        <item x="876"/>
        <item x="1048"/>
        <item x="1023"/>
        <item x="1346"/>
        <item x="2612"/>
        <item x="2777"/>
        <item x="769"/>
        <item x="1332"/>
        <item x="2499"/>
        <item x="207"/>
        <item x="1358"/>
        <item x="2672"/>
        <item x="1002"/>
        <item x="506"/>
        <item x="468"/>
        <item x="40"/>
        <item x="2703"/>
        <item x="741"/>
        <item x="297"/>
        <item x="1452"/>
        <item x="1495"/>
        <item x="860"/>
        <item x="536"/>
        <item x="1937"/>
        <item x="1393"/>
        <item x="1562"/>
        <item x="2025"/>
        <item x="715"/>
        <item x="2550"/>
        <item x="986"/>
        <item x="1616"/>
        <item x="571"/>
        <item x="573"/>
        <item x="1345"/>
        <item x="901"/>
        <item x="584"/>
        <item x="2119"/>
        <item x="822"/>
        <item x="622"/>
        <item x="2523"/>
        <item x="2151"/>
        <item x="728"/>
        <item x="1044"/>
        <item x="2516"/>
        <item x="2329"/>
        <item x="2138"/>
        <item x="1439"/>
        <item x="2279"/>
        <item x="187"/>
        <item x="2182"/>
        <item x="1188"/>
        <item x="1284"/>
        <item x="998"/>
        <item x="996"/>
        <item x="1424"/>
        <item x="1710"/>
        <item x="923"/>
        <item x="2748"/>
        <item x="2157"/>
        <item x="509"/>
        <item x="259"/>
        <item x="2108"/>
        <item x="786"/>
        <item x="1679"/>
        <item x="1145"/>
        <item x="1270"/>
        <item x="1093"/>
        <item x="35"/>
        <item x="2416"/>
        <item x="1297"/>
        <item x="714"/>
        <item x="1579"/>
        <item x="1980"/>
        <item x="2135"/>
        <item x="260"/>
        <item x="596"/>
        <item x="42"/>
        <item x="1223"/>
        <item x="2259"/>
        <item x="1855"/>
        <item x="2186"/>
        <item x="2693"/>
        <item x="2545"/>
        <item x="2236"/>
        <item x="2738"/>
        <item x="1564"/>
        <item x="1848"/>
        <item x="774"/>
        <item x="463"/>
        <item x="2129"/>
        <item x="2221"/>
        <item x="1348"/>
        <item x="2316"/>
        <item x="2535"/>
        <item x="517"/>
        <item x="579"/>
        <item x="507"/>
        <item x="2385"/>
        <item x="215"/>
        <item x="1640"/>
        <item x="790"/>
        <item x="655"/>
        <item x="1453"/>
        <item x="2079"/>
        <item x="1904"/>
        <item x="137"/>
        <item x="839"/>
        <item x="357"/>
        <item x="1742"/>
        <item x="2183"/>
        <item x="993"/>
        <item x="2336"/>
        <item x="1530"/>
        <item x="1206"/>
        <item x="1697"/>
        <item x="483"/>
        <item x="1800"/>
        <item x="1706"/>
        <item x="360"/>
        <item x="679"/>
        <item x="62"/>
        <item x="2528"/>
        <item x="2604"/>
        <item x="1209"/>
        <item x="1763"/>
        <item x="2567"/>
        <item x="570"/>
        <item x="103"/>
        <item x="1119"/>
        <item x="2418"/>
        <item x="1558"/>
        <item x="1741"/>
        <item x="1539"/>
        <item x="2564"/>
        <item x="838"/>
        <item x="346"/>
        <item x="1246"/>
        <item x="324"/>
        <item x="1254"/>
        <item x="1149"/>
        <item x="538"/>
        <item x="2443"/>
        <item x="1164"/>
        <item x="1403"/>
        <item x="642"/>
        <item x="859"/>
        <item x="104"/>
        <item x="1430"/>
        <item x="753"/>
        <item x="2239"/>
        <item x="333"/>
        <item x="2271"/>
        <item x="2181"/>
        <item x="864"/>
        <item x="2286"/>
        <item x="1858"/>
        <item x="18"/>
        <item x="1792"/>
        <item x="2391"/>
        <item x="2782"/>
        <item x="2261"/>
        <item x="784"/>
        <item x="1450"/>
        <item x="2428"/>
        <item x="965"/>
        <item x="1684"/>
        <item x="1456"/>
        <item x="555"/>
        <item x="359"/>
        <item x="249"/>
        <item x="1584"/>
        <item x="592"/>
        <item x="47"/>
        <item x="2305"/>
        <item x="2743"/>
        <item x="1662"/>
        <item x="1059"/>
        <item x="309"/>
        <item x="2705"/>
        <item x="2340"/>
        <item x="252"/>
        <item x="1032"/>
        <item x="2247"/>
        <item x="1934"/>
        <item x="329"/>
        <item x="1978"/>
        <item x="2326"/>
        <item x="2594"/>
        <item x="2140"/>
        <item x="2649"/>
        <item x="621"/>
        <item x="440"/>
        <item x="896"/>
        <item x="1973"/>
        <item x="930"/>
        <item x="1245"/>
        <item x="1867"/>
        <item x="2438"/>
        <item x="2217"/>
        <item x="98"/>
        <item x="1670"/>
        <item x="719"/>
        <item x="892"/>
        <item x="1377"/>
        <item x="945"/>
        <item x="2603"/>
        <item x="2616"/>
        <item x="505"/>
        <item x="1087"/>
        <item x="1588"/>
        <item x="1628"/>
        <item x="2213"/>
        <item x="749"/>
        <item x="1158"/>
        <item x="591"/>
        <item x="2122"/>
        <item x="1052"/>
        <item x="167"/>
        <item x="2754"/>
        <item x="1982"/>
        <item x="834"/>
        <item x="1627"/>
        <item x="1504"/>
        <item x="1148"/>
        <item x="1451"/>
        <item x="691"/>
        <item x="1333"/>
        <item x="1813"/>
        <item x="2730"/>
        <item x="1546"/>
        <item x="2077"/>
        <item x="387"/>
        <item x="1911"/>
        <item x="764"/>
        <item x="2480"/>
        <item x="1601"/>
        <item x="2049"/>
        <item x="421"/>
        <item x="868"/>
        <item x="2141"/>
        <item x="1632"/>
        <item x="1701"/>
        <item x="1103"/>
        <item x="1320"/>
        <item x="256"/>
        <item x="2275"/>
        <item x="898"/>
        <item x="889"/>
        <item x="86"/>
        <item x="1503"/>
        <item x="85"/>
        <item x="19"/>
        <item x="773"/>
        <item x="2560"/>
        <item x="1543"/>
        <item x="632"/>
        <item x="1786"/>
        <item x="134"/>
        <item x="614"/>
        <item x="935"/>
        <item x="1899"/>
        <item x="1482"/>
        <item x="190"/>
        <item x="1656"/>
        <item x="904"/>
        <item x="280"/>
        <item x="1613"/>
        <item x="497"/>
        <item x="2212"/>
        <item x="1014"/>
        <item x="869"/>
        <item x="707"/>
        <item x="2126"/>
        <item x="356"/>
        <item x="1094"/>
        <item x="1004"/>
        <item x="547"/>
        <item x="210"/>
        <item x="2665"/>
        <item x="991"/>
        <item x="2003"/>
        <item x="2085"/>
        <item x="164"/>
        <item x="1303"/>
        <item x="2489"/>
        <item x="2220"/>
        <item x="2046"/>
        <item x="2335"/>
        <item x="318"/>
        <item x="1391"/>
        <item x="1863"/>
        <item x="1130"/>
        <item x="2204"/>
        <item x="2470"/>
        <item x="2216"/>
        <item x="2170"/>
        <item x="2718"/>
        <item x="2254"/>
        <item x="700"/>
        <item x="1289"/>
        <item x="178"/>
        <item x="886"/>
        <item x="2277"/>
        <item x="1268"/>
        <item x="2413"/>
        <item x="365"/>
        <item x="2724"/>
        <item x="1651"/>
        <item x="295"/>
        <item x="2468"/>
        <item x="2624"/>
        <item x="2486"/>
        <item x="733"/>
        <item x="2069"/>
        <item x="626"/>
        <item x="1127"/>
        <item x="979"/>
        <item x="1781"/>
        <item x="1852"/>
        <item x="2540"/>
        <item x="1881"/>
        <item x="763"/>
        <item x="1036"/>
        <item x="1995"/>
        <item x="1743"/>
        <item x="2704"/>
        <item x="2354"/>
        <item x="1290"/>
        <item x="879"/>
        <item x="1520"/>
        <item x="1589"/>
        <item x="1856"/>
        <item x="1897"/>
        <item x="93"/>
        <item x="321"/>
        <item x="2280"/>
        <item x="2574"/>
        <item x="1686"/>
        <item x="1791"/>
        <item x="2406"/>
        <item x="2309"/>
        <item x="2781"/>
        <item x="1903"/>
        <item x="87"/>
        <item x="2125"/>
        <item x="1736"/>
        <item x="1914"/>
        <item x="1053"/>
        <item x="772"/>
        <item x="1782"/>
        <item x="1421"/>
        <item x="797"/>
        <item x="1020"/>
        <item x="1499"/>
        <item x="1608"/>
        <item x="1088"/>
        <item x="469"/>
        <item x="406"/>
        <item x="1265"/>
        <item x="2056"/>
        <item x="1614"/>
        <item x="544"/>
        <item x="1663"/>
        <item x="1465"/>
        <item x="1872"/>
        <item x="269"/>
        <item x="2315"/>
        <item x="843"/>
        <item x="276"/>
        <item x="455"/>
        <item x="1859"/>
        <item x="2511"/>
        <item x="1820"/>
        <item x="2333"/>
        <item x="564"/>
        <item x="410"/>
        <item x="1968"/>
        <item x="1426"/>
        <item x="163"/>
        <item x="454"/>
        <item x="2689"/>
        <item x="316"/>
        <item x="1793"/>
        <item x="2194"/>
        <item x="737"/>
        <item x="1302"/>
        <item x="2686"/>
        <item x="1574"/>
        <item x="2337"/>
        <item x="2618"/>
        <item x="196"/>
        <item x="921"/>
        <item x="1542"/>
        <item x="2558"/>
        <item x="500"/>
        <item x="2802"/>
        <item x="629"/>
        <item x="46"/>
        <item x="257"/>
        <item x="2121"/>
        <item x="1253"/>
        <item x="761"/>
        <item x="2742"/>
        <item x="1533"/>
        <item x="2650"/>
        <item x="1163"/>
        <item x="1923"/>
        <item x="1924"/>
        <item x="109"/>
        <item x="668"/>
        <item x="2390"/>
        <item x="317"/>
        <item x="105"/>
        <item x="1232"/>
        <item x="1798"/>
        <item x="1122"/>
        <item x="2709"/>
        <item x="1362"/>
        <item x="198"/>
        <item x="973"/>
        <item x="1215"/>
        <item x="1474"/>
        <item x="1590"/>
        <item x="1239"/>
        <item x="344"/>
        <item x="82"/>
        <item x="57"/>
        <item x="1596"/>
        <item x="981"/>
        <item x="1528"/>
        <item x="513"/>
        <item x="1838"/>
        <item x="1764"/>
        <item x="641"/>
        <item x="2698"/>
        <item x="1683"/>
        <item x="2293"/>
        <item x="1250"/>
        <item x="556"/>
        <item x="1851"/>
        <item x="1583"/>
        <item x="2091"/>
        <item x="1725"/>
        <item x="1227"/>
        <item x="283"/>
        <item x="22"/>
        <item x="770"/>
        <item x="751"/>
        <item x="1021"/>
        <item x="2139"/>
        <item x="2218"/>
        <item x="2522"/>
        <item x="1322"/>
        <item x="2050"/>
        <item x="1626"/>
        <item x="2739"/>
        <item x="1678"/>
        <item x="1653"/>
        <item x="2456"/>
        <item x="1123"/>
        <item x="747"/>
        <item x="253"/>
        <item x="1940"/>
        <item x="1343"/>
        <item x="542"/>
        <item x="2430"/>
        <item x="2024"/>
        <item x="1750"/>
        <item x="1885"/>
        <item x="521"/>
        <item x="783"/>
        <item x="924"/>
        <item x="1117"/>
        <item x="452"/>
        <item x="2419"/>
        <item x="1737"/>
        <item x="1941"/>
        <item x="1399"/>
        <item x="912"/>
        <item x="851"/>
        <item x="1152"/>
        <item x="2006"/>
        <item x="639"/>
        <item x="2387"/>
        <item x="2619"/>
        <item x="411"/>
        <item x="1757"/>
        <item x="2127"/>
        <item x="2426"/>
        <item x="1466"/>
        <item x="2308"/>
        <item x="1891"/>
        <item x="2617"/>
        <item x="379"/>
        <item x="1992"/>
        <item x="2502"/>
        <item x="474"/>
        <item x="2628"/>
        <item x="520"/>
        <item x="2071"/>
        <item x="2715"/>
        <item x="1751"/>
        <item x="2762"/>
        <item x="615"/>
        <item x="2768"/>
        <item x="2198"/>
        <item x="278"/>
        <item x="662"/>
        <item x="1075"/>
        <item x="1831"/>
        <item x="2538"/>
        <item x="2731"/>
        <item x="1242"/>
        <item x="768"/>
        <item x="1267"/>
        <item x="1199"/>
        <item x="446"/>
        <item x="1535"/>
        <item x="274"/>
        <item x="606"/>
        <item x="1288"/>
        <item x="2565"/>
        <item x="2093"/>
        <item x="2429"/>
        <item x="574"/>
        <item x="1694"/>
        <item x="2196"/>
        <item x="1537"/>
        <item x="1235"/>
        <item x="1205"/>
        <item x="478"/>
        <item x="2563"/>
        <item x="101"/>
        <item x="486"/>
        <item x="96"/>
        <item x="919"/>
        <item x="1019"/>
        <item x="852"/>
        <item x="120"/>
        <item x="738"/>
        <item x="2412"/>
        <item x="2778"/>
        <item x="328"/>
        <item x="1156"/>
        <item x="2111"/>
        <item x="1565"/>
        <item x="2232"/>
        <item x="523"/>
        <item x="2324"/>
        <item x="1413"/>
        <item x="1514"/>
        <item x="1157"/>
        <item x="2473"/>
        <item x="724"/>
        <item x="1406"/>
        <item x="2364"/>
        <item x="723"/>
        <item x="298"/>
        <item x="73"/>
        <item x="1008"/>
        <item x="1909"/>
        <item x="1746"/>
        <item x="787"/>
        <item x="698"/>
        <item x="33"/>
        <item x="449"/>
        <item x="1674"/>
        <item x="1064"/>
        <item x="2342"/>
        <item x="2076"/>
        <item x="1078"/>
        <item x="232"/>
        <item x="1675"/>
        <item x="1132"/>
        <item x="2793"/>
        <item x="692"/>
        <item x="777"/>
        <item x="2683"/>
        <item x="2466"/>
        <item x="467"/>
        <item x="1890"/>
        <item x="1273"/>
        <item x="2445"/>
        <item x="1723"/>
        <item x="1900"/>
        <item x="1654"/>
        <item x="2167"/>
        <item x="2771"/>
        <item x="218"/>
        <item x="1417"/>
        <item x="1171"/>
        <item x="2623"/>
        <item x="2389"/>
        <item x="1182"/>
        <item x="2184"/>
        <item x="2626"/>
        <item x="2681"/>
        <item x="1422"/>
        <item x="524"/>
        <item x="2711"/>
        <item x="2152"/>
        <item x="1318"/>
        <item x="1987"/>
        <item x="798"/>
        <item x="2787"/>
        <item x="412"/>
        <item x="903"/>
        <item x="711"/>
        <item x="2363"/>
        <item x="1069"/>
        <item x="1039"/>
        <item x="2584"/>
        <item x="1721"/>
        <item x="1837"/>
        <item x="2615"/>
        <item x="398"/>
        <item x="580"/>
        <item x="139"/>
        <item x="1842"/>
        <item x="433"/>
        <item x="1389"/>
        <item x="2497"/>
        <item x="931"/>
        <item x="2578"/>
        <item x="1985"/>
        <item x="197"/>
        <item x="2756"/>
        <item x="1961"/>
        <item x="1928"/>
        <item x="2088"/>
        <item x="1508"/>
        <item x="2375"/>
        <item x="77"/>
        <item x="1485"/>
        <item x="2047"/>
        <item x="844"/>
        <item x="2345"/>
        <item x="2757"/>
        <item x="788"/>
        <item x="1512"/>
        <item x="926"/>
        <item x="2700"/>
        <item x="808"/>
        <item x="2696"/>
        <item x="2036"/>
        <item x="1262"/>
        <item x="1371"/>
        <item x="2670"/>
        <item x="2392"/>
        <item x="1913"/>
        <item x="995"/>
        <item x="2330"/>
        <item x="1217"/>
        <item x="1971"/>
        <item x="1944"/>
        <item x="902"/>
        <item x="1137"/>
        <item x="800"/>
        <item x="1531"/>
        <item x="2258"/>
        <item x="241"/>
        <item x="840"/>
        <item x="144"/>
        <item x="148"/>
        <item x="1361"/>
        <item x="1619"/>
        <item x="2434"/>
        <item x="1170"/>
        <item x="1017"/>
        <item x="1700"/>
        <item x="647"/>
        <item x="1641"/>
        <item x="2146"/>
        <item x="2311"/>
        <item x="2546"/>
        <item x="417"/>
        <item x="2298"/>
        <item x="842"/>
        <item x="470"/>
        <item x="1460"/>
        <item x="1104"/>
        <item x="750"/>
        <item x="2273"/>
        <item x="195"/>
        <item x="2156"/>
        <item x="271"/>
        <item x="2773"/>
        <item x="494"/>
        <item x="1298"/>
        <item x="1034"/>
        <item x="382"/>
        <item x="1998"/>
        <item x="2529"/>
        <item x="756"/>
        <item x="734"/>
        <item x="2083"/>
        <item x="2566"/>
        <item x="1667"/>
        <item x="2161"/>
        <item x="1748"/>
        <item x="1183"/>
        <item x="1120"/>
        <item x="1272"/>
        <item x="203"/>
        <item x="2395"/>
        <item x="2132"/>
        <item x="166"/>
        <item x="1797"/>
        <item x="2411"/>
        <item x="1981"/>
        <item x="2169"/>
        <item x="2228"/>
        <item x="1566"/>
        <item x="2053"/>
        <item x="2210"/>
        <item x="1559"/>
        <item x="17"/>
        <item x="1074"/>
        <item x="1029"/>
        <item x="2250"/>
        <item x="1586"/>
        <item x="900"/>
        <item x="2372"/>
        <item x="2601"/>
        <item x="2577"/>
        <item x="1957"/>
        <item x="1373"/>
        <item x="2190"/>
        <item x="2110"/>
        <item x="1470"/>
        <item x="990"/>
        <item x="2328"/>
        <item x="1212"/>
        <item x="2632"/>
        <item x="1167"/>
        <item x="1665"/>
        <item x="1691"/>
        <item x="498"/>
        <item x="373"/>
        <item x="2044"/>
        <item x="150"/>
        <item x="1317"/>
        <item x="1729"/>
        <item x="2086"/>
        <item x="2600"/>
        <item x="2427"/>
        <item x="1597"/>
        <item x="2667"/>
        <item x="1561"/>
        <item x="2165"/>
        <item x="254"/>
        <item x="2630"/>
        <item x="2159"/>
        <item x="492"/>
        <item x="1920"/>
        <item x="1785"/>
        <item x="2746"/>
        <item x="1281"/>
        <item x="833"/>
        <item x="918"/>
        <item x="1516"/>
        <item x="1942"/>
        <item x="1095"/>
        <item x="1151"/>
        <item x="1026"/>
        <item x="1339"/>
        <item x="2367"/>
        <item x="2234"/>
        <item x="1062"/>
        <item x="637"/>
        <item x="581"/>
        <item x="652"/>
        <item x="1876"/>
        <item x="2244"/>
        <item x="2488"/>
        <item x="52"/>
        <item x="1125"/>
        <item x="1809"/>
        <item x="680"/>
        <item x="2539"/>
        <item x="265"/>
        <item x="2278"/>
        <item x="1676"/>
        <item x="1576"/>
        <item x="1527"/>
        <item x="1342"/>
        <item x="829"/>
        <item x="246"/>
        <item x="1440"/>
        <item x="532"/>
        <item x="79"/>
        <item x="762"/>
        <item x="1823"/>
        <item x="2482"/>
        <item x="272"/>
        <item x="545"/>
        <item x="397"/>
        <item x="1755"/>
        <item x="1500"/>
        <item x="2465"/>
        <item x="2058"/>
        <item x="897"/>
        <item x="2437"/>
        <item x="651"/>
        <item x="2710"/>
        <item x="1401"/>
        <item x="108"/>
        <item x="2453"/>
        <item x="856"/>
        <item x="1296"/>
        <item x="51"/>
        <item x="2060"/>
        <item x="1761"/>
        <item x="710"/>
        <item x="97"/>
        <item x="2699"/>
        <item x="560"/>
        <item x="1050"/>
        <item x="2587"/>
        <item x="2656"/>
        <item x="2519"/>
        <item x="1416"/>
        <item x="694"/>
        <item x="63"/>
        <item x="2684"/>
        <item x="2154"/>
        <item x="812"/>
        <item x="2786"/>
        <item x="845"/>
        <item x="576"/>
        <item x="264"/>
        <item x="1447"/>
        <item x="2475"/>
        <item x="2155"/>
        <item x="1649"/>
        <item x="873"/>
        <item x="1540"/>
        <item x="540"/>
        <item x="2173"/>
        <item x="2266"/>
        <item x="2660"/>
        <item x="89"/>
        <item x="1378"/>
        <item x="1525"/>
        <item x="780"/>
        <item x="242"/>
        <item x="418"/>
        <item x="2164"/>
        <item x="2133"/>
        <item x="2123"/>
        <item x="1099"/>
        <item x="1938"/>
        <item x="638"/>
        <item x="2722"/>
        <item x="1018"/>
        <item x="2092"/>
        <item x="230"/>
        <item x="53"/>
        <item x="2441"/>
        <item x="805"/>
        <item x="1870"/>
        <item x="1484"/>
        <item x="2496"/>
        <item x="2197"/>
        <item x="1620"/>
        <item x="1790"/>
        <item x="67"/>
        <item x="598"/>
        <item x="1501"/>
        <item x="1726"/>
        <item x="1634"/>
        <item x="322"/>
        <item x="971"/>
        <item x="1351"/>
        <item x="2148"/>
        <item x="795"/>
        <item x="1434"/>
        <item x="1713"/>
        <item x="371"/>
        <item x="2150"/>
        <item x="2631"/>
        <item x="2492"/>
        <item x="1390"/>
        <item x="1092"/>
        <item x="2448"/>
        <item x="1202"/>
        <item x="1097"/>
        <item x="2553"/>
        <item x="228"/>
        <item x="2102"/>
        <item x="2581"/>
        <item x="172"/>
        <item x="1765"/>
        <item x="1696"/>
        <item x="1140"/>
        <item x="2144"/>
        <item x="1915"/>
        <item x="2530"/>
        <item x="362"/>
        <item x="2548"/>
        <item x="752"/>
        <item x="1715"/>
        <item x="1661"/>
        <item x="1666"/>
        <item x="685"/>
        <item x="1324"/>
        <item x="1185"/>
        <item x="1965"/>
        <item x="2643"/>
        <item x="471"/>
        <item x="161"/>
        <item x="2590"/>
        <item x="1204"/>
        <item x="407"/>
        <item x="1091"/>
        <item x="922"/>
        <item x="1316"/>
        <item x="462"/>
        <item x="543"/>
        <item x="301"/>
        <item x="2673"/>
        <item x="76"/>
        <item x="511"/>
        <item x="1481"/>
        <item x="2327"/>
        <item x="44"/>
        <item x="409"/>
        <item x="1344"/>
        <item x="1394"/>
        <item x="2005"/>
        <item x="1926"/>
        <item x="1428"/>
        <item x="461"/>
        <item x="2420"/>
        <item x="654"/>
        <item x="1051"/>
        <item x="916"/>
        <item x="377"/>
        <item x="118"/>
        <item x="2322"/>
        <item x="88"/>
        <item x="2483"/>
        <item x="2678"/>
        <item x="149"/>
        <item x="519"/>
        <item x="2251"/>
        <item x="1871"/>
        <item x="332"/>
        <item x="2402"/>
        <item x="1522"/>
        <item x="2669"/>
        <item x="1349"/>
        <item x="2500"/>
        <item x="2635"/>
        <item x="2644"/>
        <item x="1979"/>
        <item x="2300"/>
        <item x="1801"/>
        <item x="479"/>
        <item x="1061"/>
        <item x="2200"/>
        <item x="2442"/>
        <item x="1101"/>
        <item x="1580"/>
        <item x="2134"/>
        <item x="2065"/>
        <item x="434"/>
        <item x="31"/>
        <item x="1386"/>
        <item x="987"/>
        <item x="1306"/>
        <item x="341"/>
        <item x="244"/>
        <item x="2803"/>
        <item x="2727"/>
        <item x="613"/>
        <item x="1592"/>
        <item x="782"/>
        <item x="658"/>
        <item x="1708"/>
        <item x="2747"/>
        <item x="495"/>
        <item x="828"/>
        <item x="162"/>
        <item x="1168"/>
        <item x="2263"/>
        <item x="112"/>
        <item x="2527"/>
        <item x="872"/>
        <item x="2454"/>
        <item x="177"/>
        <item x="1133"/>
        <item x="1015"/>
        <item x="2063"/>
        <item x="402"/>
        <item x="2017"/>
        <item x="473"/>
        <item x="424"/>
        <item x="2399"/>
        <item x="488"/>
        <item x="646"/>
        <item x="49"/>
        <item x="160"/>
        <item x="1605"/>
        <item x="1802"/>
        <item x="2366"/>
        <item x="515"/>
        <item x="211"/>
        <item x="24"/>
        <item x="1128"/>
        <item x="292"/>
        <item x="1079"/>
        <item x="2417"/>
        <item x="314"/>
        <item x="1824"/>
        <item x="1623"/>
        <item x="9"/>
        <item x="2347"/>
        <item x="535"/>
        <item x="2776"/>
        <item x="766"/>
        <item x="1043"/>
        <item x="289"/>
        <item x="1311"/>
        <item x="595"/>
        <item x="960"/>
        <item x="487"/>
        <item x="1010"/>
        <item x="1249"/>
        <item x="1606"/>
        <item x="459"/>
        <item x="222"/>
        <item x="1475"/>
        <item x="200"/>
        <item x="41"/>
        <item x="1003"/>
        <item x="372"/>
        <item x="2493"/>
        <item x="323"/>
        <item x="268"/>
        <item x="2753"/>
        <item x="1997"/>
        <item x="1468"/>
        <item x="888"/>
        <item x="2477"/>
        <item x="1068"/>
        <item x="208"/>
        <item x="512"/>
        <item x="1705"/>
        <item x="445"/>
        <item x="706"/>
        <item x="2509"/>
        <item x="877"/>
        <item x="1407"/>
        <item x="180"/>
        <item x="1639"/>
        <item x="2472"/>
        <item x="669"/>
        <item x="2401"/>
        <item x="1486"/>
        <item x="2599"/>
        <item x="2130"/>
        <item x="1057"/>
        <item x="363"/>
        <item x="660"/>
        <item x="2113"/>
        <item x="436"/>
        <item x="2596"/>
        <item x="913"/>
        <item x="1544"/>
        <item x="999"/>
        <item x="1139"/>
        <item x="1825"/>
        <item x="2450"/>
        <item x="2583"/>
        <item x="2657"/>
        <item x="370"/>
        <item x="2675"/>
        <item x="1478"/>
        <item x="1660"/>
        <item x="1195"/>
        <item x="1717"/>
        <item x="1916"/>
        <item x="1829"/>
        <item x="1299"/>
        <item x="1398"/>
        <item x="884"/>
        <item x="1807"/>
        <item x="1635"/>
        <item x="1724"/>
        <item x="141"/>
        <item x="2491"/>
        <item x="1631"/>
        <item x="635"/>
        <item x="1012"/>
        <item x="2386"/>
        <item x="1704"/>
        <item x="1692"/>
        <item x="1996"/>
        <item x="2622"/>
        <item x="2792"/>
        <item x="927"/>
        <item x="891"/>
        <item x="2541"/>
        <item x="825"/>
        <item x="2290"/>
        <item x="681"/>
        <item x="1893"/>
        <item x="366"/>
        <item x="2368"/>
        <item x="1969"/>
        <item x="2147"/>
        <item x="1709"/>
        <item x="1226"/>
        <item x="99"/>
        <item x="1839"/>
        <item x="1834"/>
        <item x="1771"/>
        <item x="1455"/>
        <item x="50"/>
        <item x="1648"/>
        <item x="1294"/>
        <item x="1433"/>
        <item x="1600"/>
        <item x="425"/>
        <item x="2526"/>
        <item x="2720"/>
        <item x="2559"/>
        <item x="781"/>
        <item x="1857"/>
        <item x="702"/>
        <item x="2057"/>
        <item x="423"/>
        <item x="220"/>
        <item x="2605"/>
        <item x="1702"/>
        <item x="2084"/>
        <item x="583"/>
        <item x="277"/>
        <item x="1027"/>
        <item x="352"/>
        <item x="2591"/>
        <item x="599"/>
        <item x="608"/>
        <item x="223"/>
        <item x="1046"/>
        <item x="294"/>
        <item x="2227"/>
        <item x="299"/>
        <item x="1896"/>
        <item x="2310"/>
        <item x="2800"/>
        <item x="1411"/>
        <item x="976"/>
        <item x="503"/>
        <item x="821"/>
        <item x="1758"/>
        <item x="1189"/>
        <item x="1489"/>
        <item x="1959"/>
        <item x="816"/>
        <item x="2064"/>
        <item x="942"/>
        <item x="1560"/>
        <item x="1521"/>
        <item x="226"/>
        <item x="992"/>
        <item x="113"/>
        <item x="2268"/>
        <item x="1776"/>
        <item x="1081"/>
        <item x="1869"/>
        <item x="2070"/>
        <item x="2439"/>
        <item x="1200"/>
        <item x="1646"/>
        <item x="972"/>
        <item x="2653"/>
        <item x="529"/>
        <item x="1143"/>
        <item x="1337"/>
        <item x="1927"/>
        <item x="1116"/>
        <item x="2744"/>
        <item x="2246"/>
        <item x="227"/>
        <item x="2452"/>
        <item x="730"/>
        <item x="794"/>
        <item x="541"/>
        <item x="1323"/>
        <item x="1498"/>
        <item x="2338"/>
        <item x="2764"/>
        <item x="388"/>
        <item x="1693"/>
        <item x="2579"/>
        <item x="557"/>
        <item x="863"/>
        <item x="2461"/>
        <item x="2042"/>
        <item x="117"/>
        <item x="2243"/>
        <item x="204"/>
        <item x="1408"/>
        <item x="153"/>
        <item x="1224"/>
        <item x="522"/>
        <item x="1338"/>
        <item x="947"/>
        <item x="847"/>
        <item x="1295"/>
        <item x="2410"/>
        <item x="2201"/>
        <item x="2001"/>
        <item x="1269"/>
        <item x="567"/>
        <item x="1476"/>
        <item x="2694"/>
        <item x="1457"/>
        <item x="887"/>
        <item x="1739"/>
        <item x="568"/>
        <item x="1922"/>
        <item x="1436"/>
        <item x="1811"/>
        <item x="2248"/>
        <item x="181"/>
        <item x="726"/>
        <item x="789"/>
        <item x="2520"/>
        <item x="527"/>
        <item x="1799"/>
        <item x="2096"/>
        <item x="1865"/>
        <item x="1794"/>
        <item x="1147"/>
        <item x="2501"/>
        <item x="1618"/>
        <item x="2449"/>
        <item x="2297"/>
        <item x="2663"/>
        <item x="1175"/>
        <item x="1446"/>
        <item x="1359"/>
        <item x="946"/>
        <item x="74"/>
        <item x="1115"/>
        <item x="442"/>
        <item x="171"/>
        <item x="1218"/>
        <item x="310"/>
        <item x="80"/>
        <item x="145"/>
        <item x="866"/>
        <item x="636"/>
        <item x="1425"/>
        <item x="590"/>
        <item x="589"/>
        <item x="438"/>
        <item x="1363"/>
        <item x="2521"/>
        <item x="175"/>
        <item x="690"/>
        <item x="1637"/>
        <item x="1283"/>
        <item x="2627"/>
        <item x="526"/>
        <item x="2701"/>
        <item x="1124"/>
        <item x="1488"/>
        <item x="1762"/>
        <item x="342"/>
        <item x="20"/>
        <item x="2766"/>
        <item x="1186"/>
        <item x="1080"/>
        <item x="1991"/>
        <item x="490"/>
        <item x="32"/>
        <item x="2168"/>
        <item x="1884"/>
        <item x="957"/>
        <item x="1883"/>
        <item x="2517"/>
        <item x="2041"/>
        <item x="1912"/>
        <item x="2209"/>
        <item x="1983"/>
        <item x="1022"/>
        <item x="1420"/>
        <item x="348"/>
        <item x="331"/>
        <item x="867"/>
        <item x="1988"/>
        <item x="2708"/>
        <item x="2414"/>
        <item x="1918"/>
        <item x="1335"/>
        <item x="1467"/>
        <item x="1459"/>
        <item x="2498"/>
        <item x="287"/>
        <item x="1160"/>
        <item x="2804"/>
        <item x="173"/>
        <item x="2798"/>
        <item x="739"/>
        <item x="982"/>
        <item x="2717"/>
        <item x="2109"/>
        <item x="1030"/>
        <item x="1611"/>
        <item x="2806"/>
        <item x="697"/>
        <item x="2706"/>
        <item x="2191"/>
        <item x="2105"/>
        <item x="2446"/>
        <item x="393"/>
        <item x="2677"/>
        <item x="2238"/>
        <item x="1853"/>
        <item x="1655"/>
        <item x="612"/>
        <item x="857"/>
        <item x="815"/>
        <item x="2383"/>
        <item x="1868"/>
        <item x="30"/>
        <item x="1497"/>
        <item x="1630"/>
        <item x="281"/>
        <item x="1365"/>
        <item x="744"/>
        <item x="2687"/>
        <item x="2376"/>
        <item x="2507"/>
        <item x="2055"/>
        <item x="2532"/>
        <item x="56"/>
        <item x="152"/>
        <item x="1502"/>
        <item x="1220"/>
        <item x="1772"/>
        <item x="2116"/>
        <item x="1314"/>
        <item x="1602"/>
        <item x="1174"/>
        <item x="665"/>
        <item x="2253"/>
        <item x="1581"/>
        <item x="653"/>
        <item x="2495"/>
        <item x="666"/>
        <item x="1860"/>
        <item x="958"/>
        <item x="1292"/>
        <item x="732"/>
        <item x="1695"/>
        <item x="1419"/>
        <item x="1850"/>
        <item x="1066"/>
        <item x="895"/>
        <item x="2043"/>
        <item x="2307"/>
        <item x="1448"/>
        <item x="217"/>
        <item x="1517"/>
        <item x="2207"/>
        <item x="746"/>
        <item x="2408"/>
        <item x="1835"/>
        <item x="1382"/>
        <item x="174"/>
        <item x="2068"/>
        <item x="2641"/>
        <item x="1256"/>
        <item x="2045"/>
        <item x="1364"/>
        <item x="2317"/>
        <item x="350"/>
        <item x="951"/>
        <item x="1086"/>
        <item x="974"/>
        <item x="2296"/>
        <item x="1598"/>
        <item x="2007"/>
        <item x="587"/>
        <item x="378"/>
        <item x="2325"/>
        <item x="251"/>
        <item x="1902"/>
        <item x="1507"/>
        <item x="1113"/>
        <item x="2302"/>
        <item x="1035"/>
        <item x="2543"/>
        <item x="2625"/>
        <item x="1315"/>
        <item x="911"/>
        <item x="1567"/>
        <item x="1418"/>
        <item x="1443"/>
        <item x="2249"/>
        <item x="1304"/>
        <item x="2404"/>
        <item x="548"/>
        <item x="2487"/>
        <item x="1100"/>
        <item x="2691"/>
        <item x="135"/>
        <item x="2608"/>
        <item x="713"/>
        <item x="1952"/>
        <item x="1775"/>
        <item x="656"/>
        <item x="743"/>
        <item x="1260"/>
        <item x="380"/>
        <item x="1340"/>
        <item x="1240"/>
        <item x="1633"/>
        <item x="1685"/>
        <item x="939"/>
        <item x="1887"/>
        <item x="975"/>
        <item x="1049"/>
        <item x="1658"/>
        <item x="1309"/>
        <item x="2179"/>
        <item x="206"/>
        <item x="231"/>
        <item x="1357"/>
        <item x="667"/>
        <item x="1076"/>
        <item x="2780"/>
        <item x="1278"/>
        <item x="439"/>
        <item x="2242"/>
        <item x="2098"/>
        <item x="2732"/>
        <item x="353"/>
        <item x="906"/>
        <item x="2504"/>
        <item x="1645"/>
        <item x="2760"/>
        <item x="2749"/>
        <item x="1780"/>
        <item x="1277"/>
        <item x="801"/>
        <item x="1229"/>
        <item x="1647"/>
        <item x="1437"/>
        <item x="2032"/>
        <item x="2575"/>
        <item x="123"/>
        <item x="2767"/>
        <item x="2666"/>
        <item x="1840"/>
        <item x="1193"/>
        <item x="2291"/>
        <item x="261"/>
        <item x="2407"/>
        <item x="83"/>
        <item x="2676"/>
        <item x="2301"/>
        <item x="1964"/>
        <item x="2547"/>
        <item x="1442"/>
        <item x="2551"/>
        <item x="1287"/>
        <item x="2394"/>
        <item x="1712"/>
        <item x="413"/>
        <item x="4"/>
        <item x="58"/>
        <item x="1817"/>
        <item x="1878"/>
        <item x="501"/>
        <item x="2457"/>
        <item x="693"/>
        <item x="1552"/>
        <item x="303"/>
        <item x="1553"/>
        <item x="1016"/>
        <item x="1879"/>
        <item x="1812"/>
        <item x="95"/>
        <item x="1077"/>
        <item x="336"/>
        <item x="885"/>
        <item x="349"/>
        <item x="2719"/>
        <item x="255"/>
        <item x="60"/>
        <item x="2582"/>
        <item x="2745"/>
        <item x="1744"/>
        <item x="932"/>
        <item x="1141"/>
        <item x="2752"/>
        <item x="684"/>
        <item x="1760"/>
        <item x="38"/>
        <item x="392"/>
        <item x="814"/>
        <item x="1766"/>
        <item x="1910"/>
        <item x="2791"/>
        <item x="176"/>
        <item x="284"/>
        <item x="696"/>
        <item x="2789"/>
        <item x="2143"/>
        <item x="2515"/>
        <item x="627"/>
        <item x="551"/>
        <item x="2174"/>
        <item x="675"/>
        <item x="2679"/>
        <item x="970"/>
        <item x="1286"/>
        <item x="2588"/>
        <item x="183"/>
        <item x="720"/>
        <item x="2382"/>
        <item x="2283"/>
        <item x="701"/>
        <item x="1740"/>
        <item x="205"/>
        <item x="1196"/>
        <item x="956"/>
        <item x="1818"/>
        <item x="2142"/>
        <item x="1680"/>
        <item x="824"/>
        <item x="1454"/>
        <item x="375"/>
        <item x="778"/>
        <item x="2052"/>
        <item x="2741"/>
        <item x="2136"/>
        <item x="2180"/>
        <item x="2294"/>
        <item x="894"/>
        <item x="1505"/>
        <item x="2629"/>
        <item x="1372"/>
        <item x="1469"/>
        <item x="2570"/>
        <item x="565"/>
        <item x="2424"/>
        <item x="2107"/>
        <item x="1336"/>
        <item x="1895"/>
        <item x="791"/>
        <item x="1431"/>
        <item x="985"/>
        <item x="2260"/>
        <item x="1213"/>
        <item x="2349"/>
        <item x="128"/>
        <item x="1176"/>
        <item x="2531"/>
        <item x="124"/>
        <item x="2664"/>
        <item x="1951"/>
        <item x="194"/>
        <item x="1795"/>
        <item x="2104"/>
        <item x="157"/>
        <item x="2004"/>
        <item x="465"/>
        <item x="2097"/>
        <item x="68"/>
        <item x="460"/>
        <item x="1221"/>
        <item x="2145"/>
        <item x="2505"/>
        <item x="1861"/>
        <item x="2269"/>
        <item x="1307"/>
        <item x="558"/>
        <item x="1445"/>
        <item x="554"/>
        <item x="2692"/>
        <item x="1607"/>
        <item x="156"/>
        <item x="312"/>
        <item x="1329"/>
        <item x="664"/>
        <item x="601"/>
        <item x="980"/>
        <item x="2381"/>
        <item x="2585"/>
        <item x="355"/>
        <item x="705"/>
        <item x="837"/>
        <item x="1341"/>
        <item x="1615"/>
        <item x="286"/>
        <item x="1106"/>
        <item x="1518"/>
        <item x="878"/>
        <item x="142"/>
        <item x="305"/>
        <item x="1280"/>
        <item x="850"/>
        <item x="2257"/>
        <item x="689"/>
        <item x="2038"/>
        <item x="649"/>
        <item x="2288"/>
        <item x="2758"/>
        <item x="2680"/>
        <item x="2100"/>
        <item x="1826"/>
        <item x="1263"/>
        <item x="154"/>
        <item x="1129"/>
        <item x="1803"/>
        <item x="1905"/>
        <item x="414"/>
        <item x="1541"/>
        <item x="2379"/>
        <item x="1356"/>
        <item x="1624"/>
        <item x="247"/>
        <item x="1906"/>
        <item x="1238"/>
        <item x="1367"/>
        <item x="2314"/>
        <item x="2292"/>
        <item x="1244"/>
        <item x="2289"/>
        <item x="219"/>
        <item x="518"/>
        <item x="742"/>
        <item x="2287"/>
        <item x="2162"/>
        <item x="663"/>
        <item x="2682"/>
        <item x="2775"/>
        <item x="448"/>
        <item x="1814"/>
        <item x="2019"/>
        <item x="2750"/>
        <item x="1836"/>
        <item x="575"/>
        <item x="290"/>
        <item x="403"/>
        <item x="1977"/>
        <item x="339"/>
        <item x="616"/>
        <item x="2195"/>
        <item x="1429"/>
        <item x="2620"/>
        <item x="2713"/>
        <item x="997"/>
        <item x="940"/>
        <item x="1165"/>
        <item x="2774"/>
        <item x="262"/>
        <item x="400"/>
        <item x="1423"/>
        <item x="2346"/>
        <item x="1534"/>
        <item x="71"/>
        <item x="1582"/>
        <item x="1652"/>
        <item x="1929"/>
        <item x="390"/>
        <item x="1545"/>
        <item x="1266"/>
        <item x="64"/>
        <item x="776"/>
        <item x="1282"/>
        <item x="499"/>
        <item x="910"/>
        <item x="2233"/>
        <item x="147"/>
        <item x="1967"/>
        <item x="605"/>
        <item x="1105"/>
        <item x="1832"/>
        <item x="385"/>
        <item x="514"/>
        <item x="430"/>
        <item x="2011"/>
        <item x="129"/>
        <item x="1037"/>
        <item x="2262"/>
        <item x="1925"/>
        <item x="209"/>
        <item x="1071"/>
        <item x="929"/>
        <item x="426"/>
        <item x="221"/>
        <item x="569"/>
        <item x="757"/>
        <item x="61"/>
        <item x="955"/>
        <item x="311"/>
        <item x="674"/>
        <item x="1747"/>
        <item x="2299"/>
        <item x="1593"/>
        <item x="2106"/>
        <item x="2761"/>
        <item x="2595"/>
        <item x="2592"/>
        <item x="300"/>
        <item x="1756"/>
        <item x="1024"/>
        <item x="396"/>
        <item x="427"/>
        <item x="368"/>
        <item x="2153"/>
        <item x="2062"/>
        <item x="989"/>
        <item x="2610"/>
        <item x="1672"/>
        <item x="2124"/>
        <item x="2320"/>
        <item x="871"/>
        <item x="1090"/>
        <item x="2353"/>
        <item x="383"/>
        <item x="2447"/>
        <item x="1570"/>
        <item x="735"/>
        <item x="364"/>
        <item x="1477"/>
        <item x="1604"/>
        <item x="802"/>
        <item x="1319"/>
        <item x="1166"/>
        <item x="2735"/>
        <item x="2544"/>
        <item x="1975"/>
        <item x="2380"/>
        <item x="748"/>
        <item x="481"/>
        <item x="2421"/>
        <item x="1138"/>
        <item x="2490"/>
        <item x="2598"/>
        <item x="2606"/>
        <item x="78"/>
        <item x="2149"/>
        <item x="952"/>
        <item x="2223"/>
        <item x="1392"/>
        <item x="1513"/>
        <item x="818"/>
        <item x="1067"/>
        <item t="default"/>
      </items>
    </pivotField>
    <pivotField showAll="0"/>
    <pivotField showAll="0"/>
    <pivotField showAll="0"/>
    <pivotField showAll="0"/>
    <pivotField showAll="0"/>
    <pivotField showAll="0">
      <items count="1315">
        <item x="84"/>
        <item x="858"/>
        <item x="365"/>
        <item x="539"/>
        <item x="1262"/>
        <item x="1295"/>
        <item x="203"/>
        <item x="317"/>
        <item x="126"/>
        <item x="202"/>
        <item x="658"/>
        <item x="759"/>
        <item x="411"/>
        <item x="531"/>
        <item x="327"/>
        <item x="1015"/>
        <item x="9"/>
        <item x="796"/>
        <item x="422"/>
        <item x="83"/>
        <item x="7"/>
        <item x="211"/>
        <item x="913"/>
        <item x="770"/>
        <item x="1106"/>
        <item x="229"/>
        <item x="27"/>
        <item x="560"/>
        <item x="562"/>
        <item x="957"/>
        <item x="640"/>
        <item x="379"/>
        <item x="924"/>
        <item x="5"/>
        <item x="284"/>
        <item x="381"/>
        <item x="303"/>
        <item x="1242"/>
        <item x="853"/>
        <item x="628"/>
        <item x="358"/>
        <item x="592"/>
        <item x="507"/>
        <item x="516"/>
        <item x="305"/>
        <item x="955"/>
        <item x="406"/>
        <item x="1062"/>
        <item x="186"/>
        <item x="102"/>
        <item x="1160"/>
        <item x="415"/>
        <item x="768"/>
        <item x="55"/>
        <item x="38"/>
        <item x="156"/>
        <item x="322"/>
        <item x="521"/>
        <item x="1008"/>
        <item x="89"/>
        <item x="1225"/>
        <item x="556"/>
        <item x="1105"/>
        <item x="892"/>
        <item x="375"/>
        <item x="120"/>
        <item x="874"/>
        <item x="472"/>
        <item x="779"/>
        <item x="239"/>
        <item x="443"/>
        <item x="868"/>
        <item x="1072"/>
        <item x="1213"/>
        <item x="747"/>
        <item x="614"/>
        <item x="112"/>
        <item x="1248"/>
        <item x="1184"/>
        <item x="1297"/>
        <item x="0"/>
        <item x="1079"/>
        <item x="421"/>
        <item x="578"/>
        <item x="191"/>
        <item x="370"/>
        <item x="1254"/>
        <item x="833"/>
        <item x="325"/>
        <item x="437"/>
        <item x="1027"/>
        <item x="103"/>
        <item x="949"/>
        <item x="59"/>
        <item x="1182"/>
        <item x="1057"/>
        <item x="784"/>
        <item x="683"/>
        <item x="510"/>
        <item x="840"/>
        <item x="1292"/>
        <item x="323"/>
        <item x="423"/>
        <item x="795"/>
        <item x="856"/>
        <item x="1096"/>
        <item x="456"/>
        <item x="982"/>
        <item x="771"/>
        <item x="174"/>
        <item x="888"/>
        <item x="1144"/>
        <item x="454"/>
        <item x="662"/>
        <item x="630"/>
        <item x="231"/>
        <item x="577"/>
        <item x="762"/>
        <item x="256"/>
        <item x="745"/>
        <item x="855"/>
        <item x="935"/>
        <item x="550"/>
        <item x="968"/>
        <item x="801"/>
        <item x="1118"/>
        <item x="1206"/>
        <item x="161"/>
        <item x="928"/>
        <item x="985"/>
        <item x="153"/>
        <item x="581"/>
        <item x="831"/>
        <item x="719"/>
        <item x="1220"/>
        <item x="208"/>
        <item x="343"/>
        <item x="121"/>
        <item x="834"/>
        <item x="364"/>
        <item x="817"/>
        <item x="646"/>
        <item x="602"/>
        <item x="241"/>
        <item x="157"/>
        <item x="547"/>
        <item x="190"/>
        <item x="416"/>
        <item x="1291"/>
        <item x="838"/>
        <item x="589"/>
        <item x="852"/>
        <item x="1208"/>
        <item x="33"/>
        <item x="408"/>
        <item x="1237"/>
        <item x="258"/>
        <item x="11"/>
        <item x="897"/>
        <item x="398"/>
        <item x="965"/>
        <item x="475"/>
        <item x="399"/>
        <item x="900"/>
        <item x="424"/>
        <item x="945"/>
        <item x="13"/>
        <item x="730"/>
        <item x="555"/>
        <item x="1229"/>
        <item x="958"/>
        <item x="143"/>
        <item x="623"/>
        <item x="718"/>
        <item x="489"/>
        <item x="1313"/>
        <item x="1165"/>
        <item x="684"/>
        <item x="442"/>
        <item x="240"/>
        <item x="314"/>
        <item x="495"/>
        <item x="572"/>
        <item x="740"/>
        <item x="652"/>
        <item x="315"/>
        <item x="1203"/>
        <item x="250"/>
        <item x="1183"/>
        <item x="675"/>
        <item x="1211"/>
        <item x="182"/>
        <item x="461"/>
        <item x="313"/>
        <item x="1047"/>
        <item x="713"/>
        <item x="959"/>
        <item x="947"/>
        <item x="841"/>
        <item x="584"/>
        <item x="724"/>
        <item x="1274"/>
        <item x="631"/>
        <item x="1017"/>
        <item x="213"/>
        <item x="1055"/>
        <item x="568"/>
        <item x="286"/>
        <item x="545"/>
        <item x="12"/>
        <item x="1162"/>
        <item x="212"/>
        <item x="296"/>
        <item x="1051"/>
        <item x="1219"/>
        <item x="292"/>
        <item x="1272"/>
        <item x="344"/>
        <item x="207"/>
        <item x="1212"/>
        <item x="616"/>
        <item x="1196"/>
        <item x="1031"/>
        <item x="235"/>
        <item x="19"/>
        <item x="1191"/>
        <item x="440"/>
        <item x="1134"/>
        <item x="604"/>
        <item x="298"/>
        <item x="505"/>
        <item x="769"/>
        <item x="328"/>
        <item x="670"/>
        <item x="51"/>
        <item x="944"/>
        <item x="1058"/>
        <item x="462"/>
        <item x="515"/>
        <item x="223"/>
        <item x="807"/>
        <item x="24"/>
        <item x="1088"/>
        <item x="346"/>
        <item x="124"/>
        <item x="626"/>
        <item x="434"/>
        <item x="618"/>
        <item x="74"/>
        <item x="1186"/>
        <item x="15"/>
        <item x="1021"/>
        <item x="45"/>
        <item x="851"/>
        <item x="162"/>
        <item x="1273"/>
        <item x="1109"/>
        <item x="836"/>
        <item x="1193"/>
        <item x="46"/>
        <item x="249"/>
        <item x="144"/>
        <item x="867"/>
        <item x="1018"/>
        <item x="509"/>
        <item x="356"/>
        <item x="439"/>
        <item x="1128"/>
        <item x="371"/>
        <item x="497"/>
        <item x="870"/>
        <item x="63"/>
        <item x="1154"/>
        <item x="37"/>
        <item x="1113"/>
        <item x="697"/>
        <item x="1067"/>
        <item x="68"/>
        <item x="1039"/>
        <item x="790"/>
        <item x="338"/>
        <item x="688"/>
        <item x="519"/>
        <item x="29"/>
        <item x="898"/>
        <item x="506"/>
        <item x="377"/>
        <item x="674"/>
        <item x="894"/>
        <item x="822"/>
        <item x="1100"/>
        <item x="1158"/>
        <item x="119"/>
        <item x="264"/>
        <item x="573"/>
        <item x="1217"/>
        <item x="444"/>
        <item x="485"/>
        <item x="775"/>
        <item x="815"/>
        <item x="107"/>
        <item x="999"/>
        <item x="403"/>
        <item x="810"/>
        <item x="828"/>
        <item x="1241"/>
        <item x="195"/>
        <item x="176"/>
        <item x="1239"/>
        <item x="783"/>
        <item x="460"/>
        <item x="393"/>
        <item x="348"/>
        <item x="936"/>
        <item x="606"/>
        <item x="1299"/>
        <item x="42"/>
        <item x="1185"/>
        <item x="225"/>
        <item x="1049"/>
        <item x="205"/>
        <item x="72"/>
        <item x="908"/>
        <item x="733"/>
        <item x="1012"/>
        <item x="971"/>
        <item x="1119"/>
        <item x="1187"/>
        <item x="30"/>
        <item x="826"/>
        <item x="1287"/>
        <item x="43"/>
        <item x="1075"/>
        <item x="197"/>
        <item x="47"/>
        <item x="243"/>
        <item x="1157"/>
        <item x="549"/>
        <item x="389"/>
        <item x="1263"/>
        <item x="773"/>
        <item x="179"/>
        <item x="523"/>
        <item x="916"/>
        <item x="918"/>
        <item x="1179"/>
        <item x="513"/>
        <item x="304"/>
        <item x="351"/>
        <item x="823"/>
        <item x="860"/>
        <item x="265"/>
        <item x="220"/>
        <item x="198"/>
        <item x="588"/>
        <item x="951"/>
        <item x="16"/>
        <item x="252"/>
        <item x="236"/>
        <item x="901"/>
        <item x="1240"/>
        <item x="642"/>
        <item x="763"/>
        <item x="607"/>
        <item x="1089"/>
        <item x="977"/>
        <item x="805"/>
        <item x="1138"/>
        <item x="3"/>
        <item x="254"/>
        <item x="923"/>
        <item x="326"/>
        <item x="692"/>
        <item x="166"/>
        <item x="559"/>
        <item x="1152"/>
        <item x="988"/>
        <item x="907"/>
        <item x="1126"/>
        <item x="1228"/>
        <item x="1280"/>
        <item x="486"/>
        <item x="1168"/>
        <item x="899"/>
        <item x="728"/>
        <item x="534"/>
        <item x="466"/>
        <item x="1207"/>
        <item x="503"/>
        <item x="1305"/>
        <item x="1304"/>
        <item x="904"/>
        <item x="376"/>
        <item x="799"/>
        <item x="1071"/>
        <item x="1142"/>
        <item x="635"/>
        <item x="276"/>
        <item x="447"/>
        <item x="1035"/>
        <item x="1204"/>
        <item x="563"/>
        <item x="863"/>
        <item x="386"/>
        <item x="266"/>
        <item x="1006"/>
        <item x="290"/>
        <item x="529"/>
        <item x="446"/>
        <item x="710"/>
        <item x="871"/>
        <item x="736"/>
        <item x="312"/>
        <item x="679"/>
        <item x="1080"/>
        <item x="729"/>
        <item x="583"/>
        <item x="536"/>
        <item x="321"/>
        <item x="671"/>
        <item x="275"/>
        <item x="535"/>
        <item x="1043"/>
        <item x="480"/>
        <item x="672"/>
        <item x="540"/>
        <item x="1148"/>
        <item x="1064"/>
        <item x="215"/>
        <item x="1094"/>
        <item x="100"/>
        <item x="86"/>
        <item x="1277"/>
        <item x="1195"/>
        <item x="295"/>
        <item x="164"/>
        <item x="655"/>
        <item x="1024"/>
        <item x="471"/>
        <item x="1069"/>
        <item x="764"/>
        <item x="125"/>
        <item x="488"/>
        <item x="123"/>
        <item x="34"/>
        <item x="1115"/>
        <item x="1199"/>
        <item x="32"/>
        <item x="374"/>
        <item x="452"/>
        <item x="449"/>
        <item x="995"/>
        <item x="1019"/>
        <item x="1074"/>
        <item x="97"/>
        <item x="522"/>
        <item x="849"/>
        <item x="324"/>
        <item x="409"/>
        <item x="467"/>
        <item x="689"/>
        <item x="576"/>
        <item x="620"/>
        <item x="732"/>
        <item x="1176"/>
        <item x="1001"/>
        <item x="1266"/>
        <item x="216"/>
        <item x="869"/>
        <item x="193"/>
        <item x="654"/>
        <item x="842"/>
        <item x="909"/>
        <item x="1268"/>
        <item x="597"/>
        <item x="854"/>
        <item x="1223"/>
        <item x="525"/>
        <item x="787"/>
        <item x="183"/>
        <item x="941"/>
        <item x="419"/>
        <item x="53"/>
        <item x="647"/>
        <item x="574"/>
        <item x="1303"/>
        <item x="158"/>
        <item x="436"/>
        <item x="1112"/>
        <item x="1045"/>
        <item x="283"/>
        <item x="133"/>
        <item x="366"/>
        <item x="492"/>
        <item x="737"/>
        <item x="137"/>
        <item x="905"/>
        <item x="1037"/>
        <item x="914"/>
        <item x="813"/>
        <item x="347"/>
        <item x="755"/>
        <item x="1145"/>
        <item x="48"/>
        <item x="200"/>
        <item x="159"/>
        <item x="873"/>
        <item x="1209"/>
        <item x="639"/>
        <item x="942"/>
        <item x="1249"/>
        <item x="884"/>
        <item x="939"/>
        <item x="56"/>
        <item x="23"/>
        <item x="77"/>
        <item x="665"/>
        <item x="451"/>
        <item x="359"/>
        <item x="714"/>
        <item x="520"/>
        <item x="277"/>
        <item x="990"/>
        <item x="44"/>
        <item x="320"/>
        <item x="1180"/>
        <item x="777"/>
        <item x="1060"/>
        <item x="906"/>
        <item x="686"/>
        <item x="85"/>
        <item x="742"/>
        <item x="170"/>
        <item x="992"/>
        <item x="1087"/>
        <item x="209"/>
        <item x="400"/>
        <item x="526"/>
        <item x="232"/>
        <item x="71"/>
        <item x="76"/>
        <item x="245"/>
        <item x="384"/>
        <item x="902"/>
        <item x="848"/>
        <item x="930"/>
        <item x="978"/>
        <item x="257"/>
        <item x="214"/>
        <item x="407"/>
        <item x="334"/>
        <item x="429"/>
        <item x="986"/>
        <item x="681"/>
        <item x="69"/>
        <item x="593"/>
        <item x="25"/>
        <item x="538"/>
        <item x="500"/>
        <item x="1132"/>
        <item x="1124"/>
        <item x="1155"/>
        <item x="73"/>
        <item x="1022"/>
        <item x="274"/>
        <item x="149"/>
        <item x="1247"/>
        <item x="738"/>
        <item x="1"/>
        <item x="1224"/>
        <item x="1042"/>
        <item x="1308"/>
        <item x="882"/>
        <item x="629"/>
        <item x="58"/>
        <item x="561"/>
        <item x="1177"/>
        <item x="857"/>
        <item x="65"/>
        <item x="1141"/>
        <item x="93"/>
        <item x="273"/>
        <item x="1073"/>
        <item x="502"/>
        <item x="244"/>
        <item x="872"/>
        <item x="1000"/>
        <item x="129"/>
        <item x="369"/>
        <item x="1261"/>
        <item x="637"/>
        <item x="1244"/>
        <item x="726"/>
        <item x="464"/>
        <item x="169"/>
        <item x="426"/>
        <item x="1245"/>
        <item x="1034"/>
        <item x="1197"/>
        <item x="917"/>
        <item x="465"/>
        <item x="237"/>
        <item x="196"/>
        <item x="875"/>
        <item x="659"/>
        <item x="832"/>
        <item x="262"/>
        <item x="524"/>
        <item x="1023"/>
        <item x="565"/>
        <item x="1093"/>
        <item x="1044"/>
        <item x="175"/>
        <item x="453"/>
        <item x="299"/>
        <item x="94"/>
        <item x="218"/>
        <item x="1260"/>
        <item x="1232"/>
        <item x="307"/>
        <item x="1167"/>
        <item x="418"/>
        <item x="1082"/>
        <item x="269"/>
        <item x="984"/>
        <item x="621"/>
        <item x="427"/>
        <item x="776"/>
        <item x="458"/>
        <item x="109"/>
        <item x="766"/>
        <item x="1111"/>
        <item x="566"/>
        <item x="739"/>
        <item x="704"/>
        <item x="271"/>
        <item x="1163"/>
        <item x="1053"/>
        <item x="382"/>
        <item x="774"/>
        <item x="1090"/>
        <item x="1233"/>
        <item x="927"/>
        <item x="1283"/>
        <item x="1298"/>
        <item x="142"/>
        <item x="767"/>
        <item x="302"/>
        <item x="1131"/>
        <item x="961"/>
        <item x="228"/>
        <item x="973"/>
        <item x="330"/>
        <item x="685"/>
        <item x="1309"/>
        <item x="879"/>
        <item x="1054"/>
        <item x="1146"/>
        <item x="405"/>
        <item x="1281"/>
        <item x="417"/>
        <item x="920"/>
        <item x="1159"/>
        <item x="975"/>
        <item x="586"/>
        <item x="934"/>
        <item x="839"/>
        <item x="812"/>
        <item x="1092"/>
        <item x="1172"/>
        <item x="98"/>
        <item x="57"/>
        <item x="341"/>
        <item x="1311"/>
        <item x="601"/>
        <item x="915"/>
        <item x="1257"/>
        <item x="404"/>
        <item x="1056"/>
        <item x="528"/>
        <item x="178"/>
        <item x="96"/>
        <item x="268"/>
        <item x="493"/>
        <item x="820"/>
        <item x="600"/>
        <item x="962"/>
        <item x="410"/>
        <item x="587"/>
        <item x="664"/>
        <item x="819"/>
        <item x="1218"/>
        <item x="139"/>
        <item x="1002"/>
        <item x="478"/>
        <item x="79"/>
        <item x="1166"/>
        <item x="385"/>
        <item x="808"/>
        <item x="1267"/>
        <item x="1048"/>
        <item x="396"/>
        <item x="788"/>
        <item x="830"/>
        <item x="20"/>
        <item x="457"/>
        <item x="221"/>
        <item x="806"/>
        <item x="1114"/>
        <item x="1139"/>
        <item x="39"/>
        <item x="885"/>
        <item x="496"/>
        <item x="435"/>
        <item x="694"/>
        <item x="1236"/>
        <item x="335"/>
        <item x="743"/>
        <item x="803"/>
        <item x="800"/>
        <item x="181"/>
        <item x="847"/>
        <item x="67"/>
        <item x="1084"/>
        <item x="651"/>
        <item x="412"/>
        <item x="253"/>
        <item x="167"/>
        <item x="1121"/>
        <item x="479"/>
        <item x="116"/>
        <item x="952"/>
        <item x="609"/>
        <item x="373"/>
        <item x="363"/>
        <item x="387"/>
        <item x="553"/>
        <item x="701"/>
        <item x="1221"/>
        <item x="598"/>
        <item x="756"/>
        <item x="721"/>
        <item x="548"/>
        <item x="131"/>
        <item x="188"/>
        <item x="595"/>
        <item x="184"/>
        <item x="41"/>
        <item x="1312"/>
        <item x="782"/>
        <item x="272"/>
        <item x="696"/>
        <item x="18"/>
        <item x="861"/>
        <item x="636"/>
        <item x="972"/>
        <item x="1016"/>
        <item x="1190"/>
        <item x="172"/>
        <item x="558"/>
        <item x="1192"/>
        <item x="146"/>
        <item x="31"/>
        <item x="678"/>
        <item x="1175"/>
        <item x="279"/>
        <item x="804"/>
        <item x="605"/>
        <item x="754"/>
        <item x="445"/>
        <item x="707"/>
        <item x="1231"/>
        <item x="1306"/>
        <item x="579"/>
        <item x="883"/>
        <item x="173"/>
        <item x="993"/>
        <item x="880"/>
        <item x="61"/>
        <item x="878"/>
        <item x="450"/>
        <item x="734"/>
        <item x="663"/>
        <item x="6"/>
        <item x="165"/>
        <item x="1066"/>
        <item x="1290"/>
        <item x="758"/>
        <item x="691"/>
        <item x="1301"/>
        <item x="1173"/>
        <item x="1194"/>
        <item x="571"/>
        <item x="185"/>
        <item x="132"/>
        <item x="925"/>
        <item x="546"/>
        <item x="88"/>
        <item x="152"/>
        <item x="187"/>
        <item x="278"/>
        <item x="210"/>
        <item x="138"/>
        <item x="1014"/>
        <item x="226"/>
        <item x="261"/>
        <item x="425"/>
        <item x="1030"/>
        <item x="352"/>
        <item x="360"/>
        <item x="1104"/>
        <item x="744"/>
        <item x="791"/>
        <item x="1202"/>
        <item x="1091"/>
        <item x="512"/>
        <item x="638"/>
        <item x="1130"/>
        <item x="288"/>
        <item x="956"/>
        <item x="233"/>
        <item x="336"/>
        <item x="818"/>
        <item x="380"/>
        <item x="802"/>
        <item x="148"/>
        <item x="708"/>
        <item x="533"/>
        <item x="1068"/>
        <item x="964"/>
        <item x="498"/>
        <item x="337"/>
        <item x="517"/>
        <item x="318"/>
        <item x="1256"/>
        <item x="1005"/>
        <item x="117"/>
        <item x="463"/>
        <item x="887"/>
        <item x="537"/>
        <item x="354"/>
        <item x="468"/>
        <item x="690"/>
        <item x="946"/>
        <item x="1149"/>
        <item x="391"/>
        <item x="596"/>
        <item x="615"/>
        <item x="194"/>
        <item x="247"/>
        <item x="1271"/>
        <item x="603"/>
        <item x="1210"/>
        <item x="362"/>
        <item x="919"/>
        <item x="1279"/>
        <item x="821"/>
        <item x="716"/>
        <item x="168"/>
        <item x="994"/>
        <item x="155"/>
        <item x="1275"/>
        <item x="765"/>
        <item x="499"/>
        <item x="896"/>
        <item x="332"/>
        <item x="1077"/>
        <item x="474"/>
        <item x="134"/>
        <item x="613"/>
        <item x="780"/>
        <item x="781"/>
        <item x="491"/>
        <item x="575"/>
        <item x="1107"/>
        <item x="712"/>
        <item x="259"/>
        <item x="1216"/>
        <item x="1028"/>
        <item x="608"/>
        <item x="735"/>
        <item x="388"/>
        <item x="1110"/>
        <item x="980"/>
        <item x="705"/>
        <item x="657"/>
        <item x="204"/>
        <item x="644"/>
        <item x="238"/>
        <item x="368"/>
        <item x="1086"/>
        <item x="720"/>
        <item x="551"/>
        <item x="1161"/>
        <item x="844"/>
        <item x="943"/>
        <item x="401"/>
        <item x="569"/>
        <item x="293"/>
        <item x="624"/>
        <item x="64"/>
        <item x="395"/>
        <item x="1235"/>
        <item x="948"/>
        <item x="1243"/>
        <item x="693"/>
        <item x="1250"/>
        <item x="527"/>
        <item x="224"/>
        <item x="1270"/>
        <item x="1102"/>
        <item x="473"/>
        <item x="793"/>
        <item x="889"/>
        <item x="122"/>
        <item x="661"/>
        <item x="895"/>
        <item x="541"/>
        <item x="1078"/>
        <item x="10"/>
        <item x="970"/>
        <item x="355"/>
        <item x="357"/>
        <item x="676"/>
        <item x="1085"/>
        <item x="814"/>
        <item x="92"/>
        <item x="911"/>
        <item x="1095"/>
        <item x="1052"/>
        <item x="797"/>
        <item x="953"/>
        <item x="1029"/>
        <item x="582"/>
        <item x="54"/>
        <item x="8"/>
        <item x="1025"/>
        <item x="508"/>
        <item x="1286"/>
        <item x="1099"/>
        <item x="1032"/>
        <item x="52"/>
        <item x="641"/>
        <item x="1101"/>
        <item x="372"/>
        <item x="1188"/>
        <item x="1252"/>
        <item x="251"/>
        <item x="876"/>
        <item x="1076"/>
        <item x="711"/>
        <item x="35"/>
        <item x="960"/>
        <item x="1171"/>
        <item x="484"/>
        <item x="1269"/>
        <item x="682"/>
        <item x="49"/>
        <item x="1214"/>
        <item x="242"/>
        <item x="392"/>
        <item x="140"/>
        <item x="128"/>
        <item x="931"/>
        <item x="1007"/>
        <item x="610"/>
        <item x="282"/>
        <item x="222"/>
        <item x="809"/>
        <item x="482"/>
        <item x="1150"/>
        <item x="976"/>
        <item x="333"/>
        <item x="487"/>
        <item x="1156"/>
        <item x="111"/>
        <item x="645"/>
        <item x="476"/>
        <item x="1063"/>
        <item x="725"/>
        <item x="511"/>
        <item x="1137"/>
        <item x="599"/>
        <item x="843"/>
        <item x="1036"/>
        <item x="349"/>
        <item x="816"/>
        <item x="1265"/>
        <item x="1038"/>
        <item x="105"/>
        <item x="532"/>
        <item x="459"/>
        <item x="824"/>
        <item x="90"/>
        <item x="469"/>
        <item x="954"/>
        <item x="760"/>
        <item x="1310"/>
        <item x="430"/>
        <item x="1136"/>
        <item x="353"/>
        <item x="922"/>
        <item x="967"/>
        <item x="1116"/>
        <item x="420"/>
        <item x="130"/>
        <item x="2"/>
        <item x="753"/>
        <item x="1169"/>
        <item x="60"/>
        <item x="36"/>
        <item x="1061"/>
        <item x="428"/>
        <item x="748"/>
        <item x="110"/>
        <item x="877"/>
        <item x="1117"/>
        <item x="997"/>
        <item x="101"/>
        <item x="206"/>
        <item x="669"/>
        <item x="1227"/>
        <item x="700"/>
        <item x="709"/>
        <item x="938"/>
        <item x="617"/>
        <item x="910"/>
        <item x="1108"/>
        <item x="627"/>
        <item x="554"/>
        <item x="28"/>
        <item x="544"/>
        <item x="594"/>
        <item x="866"/>
        <item x="199"/>
        <item x="300"/>
        <item x="413"/>
        <item x="378"/>
        <item x="81"/>
        <item x="306"/>
        <item x="850"/>
        <item x="136"/>
        <item x="160"/>
        <item x="611"/>
        <item x="862"/>
        <item x="677"/>
        <item x="933"/>
        <item x="294"/>
        <item x="310"/>
        <item x="219"/>
        <item x="345"/>
        <item x="1103"/>
        <item x="514"/>
        <item x="1143"/>
        <item x="455"/>
        <item x="433"/>
        <item x="580"/>
        <item x="154"/>
        <item x="969"/>
        <item x="135"/>
        <item x="70"/>
        <item x="319"/>
        <item x="881"/>
        <item x="706"/>
        <item x="104"/>
        <item x="932"/>
        <item x="281"/>
        <item x="1147"/>
        <item x="668"/>
        <item x="1083"/>
        <item x="22"/>
        <item x="789"/>
        <item x="62"/>
        <item x="741"/>
        <item x="940"/>
        <item x="518"/>
        <item x="757"/>
        <item x="552"/>
        <item x="1230"/>
        <item x="280"/>
        <item x="80"/>
        <item x="1125"/>
        <item x="1081"/>
        <item x="695"/>
        <item x="397"/>
        <item x="91"/>
        <item x="171"/>
        <item x="431"/>
        <item x="591"/>
        <item x="192"/>
        <item x="1282"/>
        <item x="1276"/>
        <item x="248"/>
        <item x="893"/>
        <item x="114"/>
        <item x="1059"/>
        <item x="311"/>
        <item x="864"/>
        <item x="1200"/>
        <item x="350"/>
        <item x="1205"/>
        <item x="1264"/>
        <item x="177"/>
        <item x="1181"/>
        <item x="246"/>
        <item x="570"/>
        <item x="966"/>
        <item x="1133"/>
        <item x="477"/>
        <item x="342"/>
        <item x="619"/>
        <item x="1226"/>
        <item x="1307"/>
        <item x="1285"/>
        <item x="715"/>
        <item x="270"/>
        <item x="794"/>
        <item x="845"/>
        <item x="118"/>
        <item x="785"/>
        <item x="1065"/>
        <item x="309"/>
        <item x="983"/>
        <item x="127"/>
        <item x="746"/>
        <item x="1135"/>
        <item x="996"/>
        <item x="1070"/>
        <item x="846"/>
        <item x="656"/>
        <item x="201"/>
        <item x="1174"/>
        <item x="542"/>
        <item x="1151"/>
        <item x="361"/>
        <item x="543"/>
        <item x="987"/>
        <item x="1278"/>
        <item x="1040"/>
        <item x="367"/>
        <item x="950"/>
        <item x="260"/>
        <item x="749"/>
        <item x="827"/>
        <item x="1258"/>
        <item x="723"/>
        <item x="1259"/>
        <item x="1127"/>
        <item x="113"/>
        <item x="287"/>
        <item x="4"/>
        <item x="1238"/>
        <item x="234"/>
        <item x="1215"/>
        <item x="504"/>
        <item x="1013"/>
        <item x="625"/>
        <item x="501"/>
        <item x="680"/>
        <item x="811"/>
        <item x="87"/>
        <item x="687"/>
        <item x="921"/>
        <item x="1097"/>
        <item x="979"/>
        <item x="974"/>
        <item x="751"/>
        <item x="490"/>
        <item x="912"/>
        <item x="227"/>
        <item x="702"/>
        <item x="590"/>
        <item x="414"/>
        <item x="650"/>
        <item x="147"/>
        <item x="886"/>
        <item x="150"/>
        <item x="163"/>
        <item x="1288"/>
        <item x="963"/>
        <item x="727"/>
        <item x="1003"/>
        <item x="301"/>
        <item x="1041"/>
        <item x="649"/>
        <item x="1153"/>
        <item x="1289"/>
        <item x="494"/>
        <item x="78"/>
        <item x="731"/>
        <item x="1251"/>
        <item x="99"/>
        <item x="989"/>
        <item x="340"/>
        <item x="891"/>
        <item x="402"/>
        <item x="835"/>
        <item x="666"/>
        <item x="673"/>
        <item x="786"/>
        <item x="189"/>
        <item x="622"/>
        <item x="699"/>
        <item x="1294"/>
        <item x="837"/>
        <item x="648"/>
        <item x="564"/>
        <item x="291"/>
        <item x="432"/>
        <item x="1189"/>
        <item x="667"/>
        <item x="1164"/>
        <item x="567"/>
        <item x="1300"/>
        <item x="1020"/>
        <item x="483"/>
        <item x="1123"/>
        <item x="557"/>
        <item x="660"/>
        <item x="1140"/>
        <item x="1120"/>
        <item x="929"/>
        <item x="1246"/>
        <item x="1098"/>
        <item x="1255"/>
        <item x="752"/>
        <item x="1302"/>
        <item x="634"/>
        <item x="217"/>
        <item x="448"/>
        <item x="383"/>
        <item x="95"/>
        <item x="1178"/>
        <item x="1011"/>
        <item x="653"/>
        <item x="75"/>
        <item x="255"/>
        <item x="926"/>
        <item x="1293"/>
        <item x="50"/>
        <item x="151"/>
        <item x="792"/>
        <item x="633"/>
        <item x="339"/>
        <item x="1122"/>
        <item x="903"/>
        <item x="1010"/>
        <item x="481"/>
        <item x="390"/>
        <item x="106"/>
        <item x="267"/>
        <item x="750"/>
        <item x="441"/>
        <item x="115"/>
        <item x="1170"/>
        <item x="21"/>
        <item x="798"/>
        <item x="530"/>
        <item x="937"/>
        <item x="703"/>
        <item x="82"/>
        <item x="66"/>
        <item x="394"/>
        <item x="1046"/>
        <item x="1296"/>
        <item x="865"/>
        <item x="230"/>
        <item x="108"/>
        <item x="991"/>
        <item x="180"/>
        <item x="825"/>
        <item x="717"/>
        <item x="289"/>
        <item x="285"/>
        <item x="829"/>
        <item x="772"/>
        <item x="890"/>
        <item x="1129"/>
        <item x="1050"/>
        <item x="1253"/>
        <item x="316"/>
        <item x="26"/>
        <item x="1201"/>
        <item x="1222"/>
        <item x="438"/>
        <item x="145"/>
        <item x="998"/>
        <item x="632"/>
        <item x="698"/>
        <item x="17"/>
        <item x="331"/>
        <item x="585"/>
        <item x="141"/>
        <item x="308"/>
        <item x="1009"/>
        <item x="612"/>
        <item x="1198"/>
        <item x="859"/>
        <item x="1284"/>
        <item x="1033"/>
        <item x="14"/>
        <item x="297"/>
        <item x="981"/>
        <item x="643"/>
        <item x="329"/>
        <item x="1026"/>
        <item x="1004"/>
        <item x="722"/>
        <item x="263"/>
        <item x="470"/>
        <item x="761"/>
        <item x="1234"/>
        <item x="778"/>
        <item x="40"/>
        <item t="default"/>
      </items>
    </pivotField>
    <pivotField showAll="0"/>
    <pivotField numFmtId="22" showAll="0"/>
    <pivotField axis="axisRow" numFmtId="1" showAll="0">
      <items count="4">
        <item x="2"/>
        <item x="1"/>
        <item x="0"/>
        <item t="default"/>
      </items>
    </pivotField>
    <pivotField axis="axisCol" showAll="0">
      <items count="13">
        <item x="6"/>
        <item x="10"/>
        <item x="5"/>
        <item x="4"/>
        <item x="11"/>
        <item x="2"/>
        <item x="0"/>
        <item x="3"/>
        <item x="9"/>
        <item x="1"/>
        <item x="7"/>
        <item x="8"/>
        <item t="default"/>
      </items>
    </pivotField>
    <pivotField showAll="0"/>
    <pivotField axis="axisPage" multipleItemSelectionAllowed="1" showAll="0">
      <items count="11">
        <item x="3"/>
        <item x="6"/>
        <item x="1"/>
        <item x="0"/>
        <item x="2"/>
        <item x="7"/>
        <item x="9"/>
        <item x="5"/>
        <item x="4"/>
        <item x="8"/>
        <item t="default"/>
      </items>
    </pivotField>
    <pivotField axis="axisRow" showAll="0">
      <items count="11">
        <item x="4"/>
        <item x="0"/>
        <item h="1" x="1"/>
        <item h="1" x="6"/>
        <item h="1" x="3"/>
        <item x="8"/>
        <item h="1" x="2"/>
        <item h="1" x="7"/>
        <item h="1" x="9"/>
        <item h="1" x="5"/>
        <item t="default"/>
      </items>
    </pivotField>
    <pivotField numFmtId="164" showAll="0"/>
    <pivotField dataField="1" numFmtId="44" showAll="0">
      <items count="1010">
        <item x="852"/>
        <item x="221"/>
        <item x="614"/>
        <item x="728"/>
        <item x="631"/>
        <item x="541"/>
        <item x="156"/>
        <item x="954"/>
        <item x="318"/>
        <item x="931"/>
        <item x="183"/>
        <item x="456"/>
        <item x="368"/>
        <item x="33"/>
        <item x="37"/>
        <item x="684"/>
        <item x="420"/>
        <item x="879"/>
        <item x="691"/>
        <item x="213"/>
        <item x="486"/>
        <item x="264"/>
        <item x="949"/>
        <item x="36"/>
        <item x="966"/>
        <item x="763"/>
        <item x="872"/>
        <item x="103"/>
        <item x="10"/>
        <item x="245"/>
        <item x="258"/>
        <item x="80"/>
        <item x="853"/>
        <item x="851"/>
        <item x="320"/>
        <item x="128"/>
        <item x="645"/>
        <item x="168"/>
        <item x="863"/>
        <item x="208"/>
        <item x="373"/>
        <item x="296"/>
        <item x="654"/>
        <item x="754"/>
        <item x="192"/>
        <item x="311"/>
        <item x="42"/>
        <item x="661"/>
        <item x="234"/>
        <item x="752"/>
        <item x="532"/>
        <item x="466"/>
        <item x="189"/>
        <item x="740"/>
        <item x="89"/>
        <item x="171"/>
        <item x="688"/>
        <item x="522"/>
        <item x="506"/>
        <item x="379"/>
        <item x="826"/>
        <item x="8"/>
        <item x="629"/>
        <item x="317"/>
        <item x="890"/>
        <item x="172"/>
        <item x="69"/>
        <item x="211"/>
        <item x="181"/>
        <item x="847"/>
        <item x="412"/>
        <item x="427"/>
        <item x="377"/>
        <item x="180"/>
        <item x="229"/>
        <item x="71"/>
        <item x="227"/>
        <item x="936"/>
        <item x="310"/>
        <item x="578"/>
        <item x="319"/>
        <item x="226"/>
        <item x="895"/>
        <item x="260"/>
        <item x="67"/>
        <item x="877"/>
        <item x="215"/>
        <item x="753"/>
        <item x="846"/>
        <item x="674"/>
        <item x="218"/>
        <item x="518"/>
        <item x="340"/>
        <item x="564"/>
        <item x="328"/>
        <item x="891"/>
        <item x="524"/>
        <item x="195"/>
        <item x="749"/>
        <item x="143"/>
        <item x="884"/>
        <item x="760"/>
        <item x="800"/>
        <item x="747"/>
        <item x="255"/>
        <item x="54"/>
        <item x="396"/>
        <item x="64"/>
        <item x="63"/>
        <item x="868"/>
        <item x="359"/>
        <item x="553"/>
        <item x="300"/>
        <item x="538"/>
        <item x="794"/>
        <item x="139"/>
        <item x="53"/>
        <item x="322"/>
        <item x="491"/>
        <item x="1"/>
        <item x="492"/>
        <item x="282"/>
        <item x="488"/>
        <item x="838"/>
        <item x="442"/>
        <item x="889"/>
        <item x="254"/>
        <item x="612"/>
        <item x="127"/>
        <item x="22"/>
        <item x="464"/>
        <item x="743"/>
        <item x="212"/>
        <item x="337"/>
        <item x="567"/>
        <item x="536"/>
        <item x="115"/>
        <item x="809"/>
        <item x="729"/>
        <item x="250"/>
        <item x="646"/>
        <item x="801"/>
        <item x="304"/>
        <item x="562"/>
        <item x="167"/>
        <item x="198"/>
        <item x="117"/>
        <item x="919"/>
        <item x="12"/>
        <item x="474"/>
        <item x="807"/>
        <item x="926"/>
        <item x="788"/>
        <item x="332"/>
        <item x="402"/>
        <item x="155"/>
        <item x="871"/>
        <item x="499"/>
        <item x="973"/>
        <item x="824"/>
        <item x="316"/>
        <item x="746"/>
        <item x="441"/>
        <item x="667"/>
        <item x="859"/>
        <item x="354"/>
        <item x="449"/>
        <item x="722"/>
        <item x="595"/>
        <item x="346"/>
        <item x="18"/>
        <item x="253"/>
        <item x="179"/>
        <item x="984"/>
        <item x="266"/>
        <item x="600"/>
        <item x="602"/>
        <item x="177"/>
        <item x="44"/>
        <item x="539"/>
        <item x="70"/>
        <item x="768"/>
        <item x="39"/>
        <item x="130"/>
        <item x="472"/>
        <item x="683"/>
        <item x="723"/>
        <item x="780"/>
        <item x="210"/>
        <item x="52"/>
        <item x="225"/>
        <item x="34"/>
        <item x="845"/>
        <item x="959"/>
        <item x="431"/>
        <item x="72"/>
        <item x="11"/>
        <item x="806"/>
        <item x="220"/>
        <item x="165"/>
        <item x="237"/>
        <item x="792"/>
        <item x="194"/>
        <item x="329"/>
        <item x="240"/>
        <item x="584"/>
        <item x="912"/>
        <item x="587"/>
        <item x="481"/>
        <item x="650"/>
        <item x="607"/>
        <item x="634"/>
        <item x="309"/>
        <item x="376"/>
        <item x="92"/>
        <item x="409"/>
        <item x="880"/>
        <item x="65"/>
        <item x="545"/>
        <item x="306"/>
        <item x="917"/>
        <item x="118"/>
        <item x="796"/>
        <item x="224"/>
        <item x="356"/>
        <item x="925"/>
        <item x="533"/>
        <item x="756"/>
        <item x="285"/>
        <item x="450"/>
        <item x="102"/>
        <item x="46"/>
        <item x="544"/>
        <item x="928"/>
        <item x="383"/>
        <item x="35"/>
        <item x="673"/>
        <item x="769"/>
        <item x="789"/>
        <item x="261"/>
        <item x="505"/>
        <item x="608"/>
        <item x="864"/>
        <item x="585"/>
        <item x="882"/>
        <item x="660"/>
        <item x="637"/>
        <item x="837"/>
        <item x="502"/>
        <item x="50"/>
        <item x="862"/>
        <item x="517"/>
        <item x="615"/>
        <item x="248"/>
        <item x="163"/>
        <item x="407"/>
        <item x="710"/>
        <item x="687"/>
        <item x="386"/>
        <item x="437"/>
        <item x="257"/>
        <item x="510"/>
        <item x="336"/>
        <item x="58"/>
        <item x="158"/>
        <item x="832"/>
        <item x="457"/>
        <item x="73"/>
        <item x="730"/>
        <item x="622"/>
        <item x="391"/>
        <item x="469"/>
        <item x="635"/>
        <item x="867"/>
        <item x="511"/>
        <item x="759"/>
        <item x="611"/>
        <item x="292"/>
        <item x="477"/>
        <item x="161"/>
        <item x="503"/>
        <item x="500"/>
        <item x="569"/>
        <item x="243"/>
        <item x="335"/>
        <item x="350"/>
        <item x="639"/>
        <item x="669"/>
        <item x="550"/>
        <item x="134"/>
        <item x="173"/>
        <item x="772"/>
        <item x="978"/>
        <item x="299"/>
        <item x="105"/>
        <item x="207"/>
        <item x="274"/>
        <item x="150"/>
        <item x="894"/>
        <item x="598"/>
        <item x="774"/>
        <item x="314"/>
        <item x="647"/>
        <item x="952"/>
        <item x="641"/>
        <item x="725"/>
        <item x="24"/>
        <item x="950"/>
        <item x="28"/>
        <item x="930"/>
        <item x="330"/>
        <item x="188"/>
        <item x="315"/>
        <item x="713"/>
        <item x="843"/>
        <item x="588"/>
        <item x="162"/>
        <item x="586"/>
        <item x="706"/>
        <item x="996"/>
        <item x="278"/>
        <item x="606"/>
        <item x="745"/>
        <item x="27"/>
        <item x="59"/>
        <item x="696"/>
        <item x="276"/>
        <item x="551"/>
        <item x="909"/>
        <item x="594"/>
        <item x="939"/>
        <item x="422"/>
        <item x="397"/>
        <item x="446"/>
        <item x="321"/>
        <item x="475"/>
        <item x="473"/>
        <item x="815"/>
        <item x="570"/>
        <item x="338"/>
        <item x="577"/>
        <item x="38"/>
        <item x="626"/>
        <item x="573"/>
        <item x="866"/>
        <item x="860"/>
        <item x="434"/>
        <item x="199"/>
        <item x="408"/>
        <item x="670"/>
        <item x="447"/>
        <item x="893"/>
        <item x="325"/>
        <item x="508"/>
        <item x="697"/>
        <item x="362"/>
        <item x="658"/>
        <item x="390"/>
        <item x="549"/>
        <item x="204"/>
        <item x="191"/>
        <item x="487"/>
        <item x="885"/>
        <item x="714"/>
        <item x="273"/>
        <item x="613"/>
        <item x="736"/>
        <item x="805"/>
        <item x="56"/>
        <item x="301"/>
        <item x="82"/>
        <item x="470"/>
        <item x="765"/>
        <item x="731"/>
        <item x="110"/>
        <item x="259"/>
        <item x="717"/>
        <item x="418"/>
        <item x="940"/>
        <item x="652"/>
        <item x="385"/>
        <item x="914"/>
        <item x="223"/>
        <item x="829"/>
        <item x="361"/>
        <item x="869"/>
        <item x="1007"/>
        <item x="677"/>
        <item x="403"/>
        <item x="675"/>
        <item x="78"/>
        <item x="485"/>
        <item x="571"/>
        <item x="239"/>
        <item x="119"/>
        <item x="460"/>
        <item x="981"/>
        <item x="331"/>
        <item x="154"/>
        <item x="17"/>
        <item x="247"/>
        <item x="1004"/>
        <item x="841"/>
        <item x="137"/>
        <item x="870"/>
        <item x="546"/>
        <item x="444"/>
        <item x="680"/>
        <item x="144"/>
        <item x="106"/>
        <item x="773"/>
        <item x="190"/>
        <item x="574"/>
        <item x="272"/>
        <item x="982"/>
        <item x="157"/>
        <item x="935"/>
        <item x="169"/>
        <item x="715"/>
        <item x="246"/>
        <item x="548"/>
        <item x="4"/>
        <item x="985"/>
        <item x="109"/>
        <item x="707"/>
        <item x="489"/>
        <item x="555"/>
        <item x="287"/>
        <item x="764"/>
        <item x="989"/>
        <item x="589"/>
        <item x="810"/>
        <item x="529"/>
        <item x="381"/>
        <item x="406"/>
        <item x="625"/>
        <item x="438"/>
        <item x="547"/>
        <item x="946"/>
        <item x="185"/>
        <item x="761"/>
        <item x="111"/>
        <item x="268"/>
        <item x="521"/>
        <item x="471"/>
        <item x="43"/>
        <item x="196"/>
        <item x="76"/>
        <item x="1002"/>
        <item x="81"/>
        <item x="279"/>
        <item x="638"/>
        <item x="60"/>
        <item x="302"/>
        <item x="802"/>
        <item x="762"/>
        <item x="942"/>
        <item x="421"/>
        <item x="45"/>
        <item x="48"/>
        <item x="423"/>
        <item x="341"/>
        <item x="343"/>
        <item x="411"/>
        <item x="414"/>
        <item x="920"/>
        <item x="242"/>
        <item x="98"/>
        <item x="375"/>
        <item x="813"/>
        <item x="825"/>
        <item x="357"/>
        <item x="132"/>
        <item x="742"/>
        <item x="419"/>
        <item x="303"/>
        <item x="750"/>
        <item x="771"/>
        <item x="671"/>
        <item x="568"/>
        <item x="993"/>
        <item x="147"/>
        <item x="295"/>
        <item x="120"/>
        <item x="96"/>
        <item x="904"/>
        <item x="7"/>
        <item x="983"/>
        <item x="312"/>
        <item x="676"/>
        <item x="21"/>
        <item x="604"/>
        <item x="363"/>
        <item x="897"/>
        <item x="32"/>
        <item x="875"/>
        <item x="558"/>
        <item x="778"/>
        <item x="135"/>
        <item x="663"/>
        <item x="256"/>
        <item x="281"/>
        <item x="200"/>
        <item x="476"/>
        <item x="751"/>
        <item x="19"/>
        <item x="726"/>
        <item x="504"/>
        <item x="581"/>
        <item x="957"/>
        <item x="898"/>
        <item x="398"/>
        <item x="61"/>
        <item x="858"/>
        <item x="795"/>
        <item x="922"/>
        <item x="432"/>
        <item x="389"/>
        <item x="557"/>
        <item x="249"/>
        <item x="440"/>
        <item x="902"/>
        <item x="121"/>
        <item x="15"/>
        <item x="428"/>
        <item x="965"/>
        <item x="164"/>
        <item x="934"/>
        <item x="55"/>
        <item x="827"/>
        <item x="465"/>
        <item x="803"/>
        <item x="392"/>
        <item x="454"/>
        <item x="145"/>
        <item x="969"/>
        <item x="347"/>
        <item x="698"/>
        <item x="380"/>
        <item x="623"/>
        <item x="791"/>
        <item x="79"/>
        <item x="906"/>
        <item x="708"/>
        <item x="709"/>
        <item x="974"/>
        <item x="290"/>
        <item x="642"/>
        <item x="415"/>
        <item x="636"/>
        <item x="202"/>
        <item x="735"/>
        <item x="724"/>
        <item x="699"/>
        <item x="819"/>
        <item x="378"/>
        <item x="945"/>
        <item x="265"/>
        <item x="672"/>
        <item x="175"/>
        <item x="886"/>
        <item x="288"/>
        <item x="74"/>
        <item x="436"/>
        <item x="695"/>
        <item x="817"/>
        <item x="293"/>
        <item x="205"/>
        <item x="349"/>
        <item x="520"/>
        <item x="559"/>
        <item x="280"/>
        <item x="632"/>
        <item x="618"/>
        <item x="382"/>
        <item x="719"/>
        <item x="733"/>
        <item x="417"/>
        <item x="811"/>
        <item x="41"/>
        <item x="394"/>
        <item x="410"/>
        <item x="900"/>
        <item x="23"/>
        <item x="599"/>
        <item x="294"/>
        <item x="498"/>
        <item x="51"/>
        <item x="99"/>
        <item x="233"/>
        <item x="214"/>
        <item x="766"/>
        <item x="68"/>
        <item x="702"/>
        <item x="345"/>
        <item x="267"/>
        <item x="620"/>
        <item x="490"/>
        <item x="711"/>
        <item x="700"/>
        <item x="85"/>
        <item x="339"/>
        <item x="694"/>
        <item x="401"/>
        <item x="666"/>
        <item x="467"/>
        <item x="509"/>
        <item x="951"/>
        <item x="633"/>
        <item x="5"/>
        <item x="142"/>
        <item x="453"/>
        <item x="333"/>
        <item x="387"/>
        <item x="681"/>
        <item x="75"/>
        <item x="49"/>
        <item x="997"/>
        <item x="271"/>
        <item x="630"/>
        <item x="366"/>
        <item x="820"/>
        <item x="416"/>
        <item x="738"/>
        <item x="3"/>
        <item x="542"/>
        <item x="497"/>
        <item x="748"/>
        <item x="876"/>
        <item x="291"/>
        <item x="478"/>
        <item x="455"/>
        <item x="640"/>
        <item x="507"/>
        <item x="527"/>
        <item x="90"/>
        <item x="953"/>
        <item x="786"/>
        <item x="395"/>
        <item x="944"/>
        <item x="209"/>
        <item x="124"/>
        <item x="741"/>
        <item x="232"/>
        <item x="231"/>
        <item x="865"/>
        <item x="93"/>
        <item x="693"/>
        <item x="896"/>
        <item x="16"/>
        <item x="560"/>
        <item x="610"/>
        <item x="160"/>
        <item x="787"/>
        <item x="972"/>
        <item x="289"/>
        <item x="0"/>
        <item x="818"/>
        <item x="364"/>
        <item x="653"/>
        <item x="95"/>
        <item x="138"/>
        <item x="781"/>
        <item x="178"/>
        <item x="483"/>
        <item x="812"/>
        <item x="235"/>
        <item x="938"/>
        <item x="561"/>
        <item x="563"/>
        <item x="616"/>
        <item x="20"/>
        <item x="923"/>
        <item x="992"/>
        <item x="644"/>
        <item x="77"/>
        <item x="662"/>
        <item x="591"/>
        <item x="943"/>
        <item x="948"/>
        <item x="892"/>
        <item x="327"/>
        <item x="129"/>
        <item x="107"/>
        <item x="705"/>
        <item x="779"/>
        <item x="968"/>
        <item x="881"/>
        <item x="775"/>
        <item x="516"/>
        <item x="609"/>
        <item x="193"/>
        <item x="643"/>
        <item x="480"/>
        <item x="413"/>
        <item x="526"/>
        <item x="523"/>
        <item x="537"/>
        <item x="458"/>
        <item x="514"/>
        <item x="767"/>
        <item x="360"/>
        <item x="308"/>
        <item x="990"/>
        <item x="57"/>
        <item x="617"/>
        <item x="166"/>
        <item x="1008"/>
        <item x="2"/>
        <item x="907"/>
        <item x="216"/>
        <item x="933"/>
        <item x="228"/>
        <item x="692"/>
        <item x="116"/>
        <item x="678"/>
        <item x="737"/>
        <item x="937"/>
        <item x="987"/>
        <item x="986"/>
        <item x="91"/>
        <item x="828"/>
        <item x="348"/>
        <item x="784"/>
        <item x="961"/>
        <item x="100"/>
        <item x="182"/>
        <item x="501"/>
        <item x="342"/>
        <item x="739"/>
        <item x="187"/>
        <item x="918"/>
        <item x="433"/>
        <item x="13"/>
        <item x="141"/>
        <item x="956"/>
        <item x="236"/>
        <item x="967"/>
        <item x="964"/>
        <item x="125"/>
        <item x="855"/>
        <item x="734"/>
        <item x="184"/>
        <item x="840"/>
        <item x="513"/>
        <item x="976"/>
        <item x="170"/>
        <item x="262"/>
        <item x="1001"/>
        <item x="835"/>
        <item x="126"/>
        <item x="970"/>
        <item x="31"/>
        <item x="785"/>
        <item x="605"/>
        <item x="307"/>
        <item x="850"/>
        <item x="888"/>
        <item x="371"/>
        <item x="244"/>
        <item x="531"/>
        <item x="776"/>
        <item x="716"/>
        <item x="814"/>
        <item x="201"/>
        <item x="297"/>
        <item x="597"/>
        <item x="842"/>
        <item x="910"/>
        <item x="727"/>
        <item x="783"/>
        <item x="712"/>
        <item x="230"/>
        <item x="365"/>
        <item x="66"/>
        <item x="136"/>
        <item x="1003"/>
        <item x="580"/>
        <item x="582"/>
        <item x="445"/>
        <item x="298"/>
        <item x="821"/>
        <item x="552"/>
        <item x="916"/>
        <item x="123"/>
        <item x="668"/>
        <item x="40"/>
        <item x="924"/>
        <item x="878"/>
        <item x="797"/>
        <item x="659"/>
        <item x="284"/>
        <item x="203"/>
        <item x="459"/>
        <item x="1000"/>
        <item x="370"/>
        <item x="461"/>
        <item x="275"/>
        <item x="153"/>
        <item x="286"/>
        <item x="305"/>
        <item x="84"/>
        <item x="627"/>
        <item x="665"/>
        <item x="425"/>
        <item x="873"/>
        <item x="399"/>
        <item x="448"/>
        <item x="804"/>
        <item x="384"/>
        <item x="131"/>
        <item x="479"/>
        <item x="424"/>
        <item x="703"/>
        <item x="915"/>
        <item x="994"/>
        <item x="921"/>
        <item x="482"/>
        <item x="624"/>
        <item x="512"/>
        <item x="112"/>
        <item x="770"/>
        <item x="393"/>
        <item x="621"/>
        <item x="583"/>
        <item x="689"/>
        <item x="535"/>
        <item x="435"/>
        <item x="463"/>
        <item x="971"/>
        <item x="899"/>
        <item x="149"/>
        <item x="1005"/>
        <item x="679"/>
        <item x="429"/>
        <item x="833"/>
        <item x="901"/>
        <item x="334"/>
        <item x="9"/>
        <item x="87"/>
        <item x="720"/>
        <item x="664"/>
        <item x="241"/>
        <item x="313"/>
        <item x="822"/>
        <item x="452"/>
        <item x="908"/>
        <item x="655"/>
        <item x="690"/>
        <item x="721"/>
        <item x="540"/>
        <item x="159"/>
        <item x="62"/>
        <item x="596"/>
        <item x="252"/>
        <item x="101"/>
        <item x="601"/>
        <item x="251"/>
        <item x="148"/>
        <item x="848"/>
        <item x="206"/>
        <item x="849"/>
        <item x="839"/>
        <item x="344"/>
        <item x="718"/>
        <item x="451"/>
        <item x="495"/>
        <item x="534"/>
        <item x="830"/>
        <item x="355"/>
        <item x="114"/>
        <item x="603"/>
        <item x="97"/>
        <item x="113"/>
        <item x="133"/>
        <item x="25"/>
        <item x="29"/>
        <item x="439"/>
        <item x="808"/>
        <item x="929"/>
        <item x="958"/>
        <item x="151"/>
        <item x="404"/>
        <item x="543"/>
        <item x="834"/>
        <item x="903"/>
        <item x="270"/>
        <item x="462"/>
        <item x="757"/>
        <item x="326"/>
        <item x="496"/>
        <item x="911"/>
        <item x="831"/>
        <item x="704"/>
        <item x="108"/>
        <item x="174"/>
        <item x="358"/>
        <item x="83"/>
        <item x="977"/>
        <item x="556"/>
        <item x="484"/>
        <item x="263"/>
        <item x="519"/>
        <item x="979"/>
        <item x="323"/>
        <item x="14"/>
        <item x="856"/>
        <item x="515"/>
        <item x="369"/>
        <item x="816"/>
        <item x="798"/>
        <item x="47"/>
        <item x="777"/>
        <item x="152"/>
        <item x="565"/>
        <item x="86"/>
        <item x="374"/>
        <item x="525"/>
        <item x="566"/>
        <item x="324"/>
        <item x="400"/>
        <item x="146"/>
        <item x="372"/>
        <item x="426"/>
        <item x="995"/>
        <item x="590"/>
        <item x="854"/>
        <item x="140"/>
        <item x="572"/>
        <item x="913"/>
        <item x="648"/>
        <item x="353"/>
        <item x="991"/>
        <item x="619"/>
        <item x="628"/>
        <item x="219"/>
        <item x="579"/>
        <item x="176"/>
        <item x="197"/>
        <item x="980"/>
        <item x="836"/>
        <item x="857"/>
        <item x="963"/>
        <item x="758"/>
        <item x="104"/>
        <item x="883"/>
        <item x="941"/>
        <item x="530"/>
        <item x="367"/>
        <item x="932"/>
        <item x="554"/>
        <item x="755"/>
        <item x="222"/>
        <item x="960"/>
        <item x="277"/>
        <item x="238"/>
        <item x="955"/>
        <item x="351"/>
        <item x="122"/>
        <item x="988"/>
        <item x="443"/>
        <item x="790"/>
        <item x="947"/>
        <item x="26"/>
        <item x="887"/>
        <item x="405"/>
        <item x="975"/>
        <item x="430"/>
        <item x="283"/>
        <item x="388"/>
        <item x="651"/>
        <item x="528"/>
        <item x="94"/>
        <item x="186"/>
        <item x="657"/>
        <item x="592"/>
        <item x="701"/>
        <item x="799"/>
        <item x="352"/>
        <item x="682"/>
        <item x="998"/>
        <item x="686"/>
        <item x="685"/>
        <item x="576"/>
        <item x="962"/>
        <item x="1006"/>
        <item x="88"/>
        <item x="493"/>
        <item x="6"/>
        <item x="744"/>
        <item x="656"/>
        <item x="999"/>
        <item x="793"/>
        <item x="468"/>
        <item x="732"/>
        <item x="575"/>
        <item x="494"/>
        <item x="30"/>
        <item x="874"/>
        <item x="905"/>
        <item x="217"/>
        <item x="927"/>
        <item x="823"/>
        <item x="593"/>
        <item x="782"/>
        <item x="861"/>
        <item x="844"/>
        <item x="269"/>
        <item x="649"/>
        <item t="default"/>
      </items>
    </pivotField>
  </pivotFields>
  <rowFields count="2">
    <field x="10"/>
    <field x="14"/>
  </rowFields>
  <rowItems count="13">
    <i>
      <x/>
    </i>
    <i r="1">
      <x/>
    </i>
    <i r="1">
      <x v="1"/>
    </i>
    <i r="1">
      <x v="5"/>
    </i>
    <i>
      <x v="1"/>
    </i>
    <i r="1">
      <x/>
    </i>
    <i r="1">
      <x v="1"/>
    </i>
    <i r="1">
      <x v="5"/>
    </i>
    <i>
      <x v="2"/>
    </i>
    <i r="1">
      <x/>
    </i>
    <i r="1">
      <x v="1"/>
    </i>
    <i r="1">
      <x v="5"/>
    </i>
    <i t="grand">
      <x/>
    </i>
  </rowItems>
  <colFields count="1">
    <field x="11"/>
  </colFields>
  <colItems count="13">
    <i>
      <x/>
    </i>
    <i>
      <x v="1"/>
    </i>
    <i>
      <x v="2"/>
    </i>
    <i>
      <x v="3"/>
    </i>
    <i>
      <x v="4"/>
    </i>
    <i>
      <x v="5"/>
    </i>
    <i>
      <x v="6"/>
    </i>
    <i>
      <x v="7"/>
    </i>
    <i>
      <x v="8"/>
    </i>
    <i>
      <x v="9"/>
    </i>
    <i>
      <x v="10"/>
    </i>
    <i>
      <x v="11"/>
    </i>
    <i t="grand">
      <x/>
    </i>
  </colItems>
  <pageFields count="1">
    <pageField fld="13" hier="-1"/>
  </pageFields>
  <dataFields count="1">
    <dataField name="Sum of Total Order Value" fld="16" baseField="0" baseItem="0" numFmtId="44"/>
  </dataFields>
  <formats count="67">
    <format dxfId="317">
      <pivotArea outline="0" collapsedLevelsAreSubtotals="1" fieldPosition="0"/>
    </format>
    <format dxfId="316">
      <pivotArea type="all" dataOnly="0" outline="0" fieldPosition="0"/>
    </format>
    <format dxfId="315">
      <pivotArea type="origin" dataOnly="0" labelOnly="1" outline="0" fieldPosition="0"/>
    </format>
    <format dxfId="314">
      <pivotArea field="11" type="button" dataOnly="0" labelOnly="1" outline="0" axis="axisCol" fieldPosition="0"/>
    </format>
    <format dxfId="313">
      <pivotArea type="topRight" dataOnly="0" labelOnly="1" outline="0" fieldPosition="0"/>
    </format>
    <format dxfId="312">
      <pivotArea field="10" type="button" dataOnly="0" labelOnly="1" outline="0" axis="axisRow" fieldPosition="0"/>
    </format>
    <format dxfId="311">
      <pivotArea dataOnly="0" labelOnly="1" fieldPosition="0">
        <references count="1">
          <reference field="11" count="0"/>
        </references>
      </pivotArea>
    </format>
    <format dxfId="310">
      <pivotArea dataOnly="0" labelOnly="1" grandCol="1" outline="0" fieldPosition="0"/>
    </format>
    <format dxfId="309">
      <pivotArea grandRow="1" outline="0" collapsedLevelsAreSubtotals="1" fieldPosition="0"/>
    </format>
    <format dxfId="308">
      <pivotArea dataOnly="0" labelOnly="1" grandRow="1" outline="0" fieldPosition="0"/>
    </format>
    <format dxfId="307">
      <pivotArea collapsedLevelsAreSubtotals="1" fieldPosition="0">
        <references count="1">
          <reference field="10" count="1">
            <x v="0"/>
          </reference>
        </references>
      </pivotArea>
    </format>
    <format dxfId="306">
      <pivotArea dataOnly="0" labelOnly="1" fieldPosition="0">
        <references count="1">
          <reference field="10" count="1">
            <x v="0"/>
          </reference>
        </references>
      </pivotArea>
    </format>
    <format dxfId="305">
      <pivotArea collapsedLevelsAreSubtotals="1" fieldPosition="0">
        <references count="1">
          <reference field="10" count="1">
            <x v="1"/>
          </reference>
        </references>
      </pivotArea>
    </format>
    <format dxfId="304">
      <pivotArea dataOnly="0" labelOnly="1" fieldPosition="0">
        <references count="1">
          <reference field="10" count="1">
            <x v="1"/>
          </reference>
        </references>
      </pivotArea>
    </format>
    <format dxfId="303">
      <pivotArea collapsedLevelsAreSubtotals="1" fieldPosition="0">
        <references count="1">
          <reference field="10" count="1">
            <x v="2"/>
          </reference>
        </references>
      </pivotArea>
    </format>
    <format dxfId="302">
      <pivotArea dataOnly="0" labelOnly="1" fieldPosition="0">
        <references count="1">
          <reference field="10" count="1">
            <x v="2"/>
          </reference>
        </references>
      </pivotArea>
    </format>
    <format dxfId="301">
      <pivotArea collapsedLevelsAreSubtotals="1" fieldPosition="0">
        <references count="1">
          <reference field="10" count="1">
            <x v="2"/>
          </reference>
        </references>
      </pivotArea>
    </format>
    <format dxfId="300">
      <pivotArea dataOnly="0" labelOnly="1" fieldPosition="0">
        <references count="1">
          <reference field="10" count="1">
            <x v="2"/>
          </reference>
        </references>
      </pivotArea>
    </format>
    <format dxfId="299">
      <pivotArea collapsedLevelsAreSubtotals="1" fieldPosition="0">
        <references count="1">
          <reference field="10" count="1">
            <x v="1"/>
          </reference>
        </references>
      </pivotArea>
    </format>
    <format dxfId="298">
      <pivotArea dataOnly="0" labelOnly="1" fieldPosition="0">
        <references count="1">
          <reference field="10" count="1">
            <x v="1"/>
          </reference>
        </references>
      </pivotArea>
    </format>
    <format dxfId="297">
      <pivotArea collapsedLevelsAreSubtotals="1" fieldPosition="0">
        <references count="1">
          <reference field="10" count="1">
            <x v="0"/>
          </reference>
        </references>
      </pivotArea>
    </format>
    <format dxfId="296">
      <pivotArea dataOnly="0" labelOnly="1" fieldPosition="0">
        <references count="1">
          <reference field="10" count="1">
            <x v="0"/>
          </reference>
        </references>
      </pivotArea>
    </format>
    <format dxfId="295">
      <pivotArea grandRow="1" outline="0" collapsedLevelsAreSubtotals="1" fieldPosition="0"/>
    </format>
    <format dxfId="294">
      <pivotArea dataOnly="0" labelOnly="1" grandRow="1" outline="0" fieldPosition="0"/>
    </format>
    <format dxfId="293">
      <pivotArea dataOnly="0" labelOnly="1" fieldPosition="0">
        <references count="1">
          <reference field="11" count="0"/>
        </references>
      </pivotArea>
    </format>
    <format dxfId="292">
      <pivotArea dataOnly="0" labelOnly="1" grandCol="1" outline="0" fieldPosition="0"/>
    </format>
    <format dxfId="291">
      <pivotArea type="all" dataOnly="0" outline="0" fieldPosition="0"/>
    </format>
    <format dxfId="290">
      <pivotArea outline="0" collapsedLevelsAreSubtotals="1" fieldPosition="0"/>
    </format>
    <format dxfId="289">
      <pivotArea type="origin" dataOnly="0" labelOnly="1" outline="0" fieldPosition="0"/>
    </format>
    <format dxfId="288">
      <pivotArea field="11" type="button" dataOnly="0" labelOnly="1" outline="0" axis="axisCol" fieldPosition="0"/>
    </format>
    <format dxfId="287">
      <pivotArea type="topRight" dataOnly="0" labelOnly="1" outline="0" fieldPosition="0"/>
    </format>
    <format dxfId="286">
      <pivotArea field="10" type="button" dataOnly="0" labelOnly="1" outline="0" axis="axisRow" fieldPosition="0"/>
    </format>
    <format dxfId="285">
      <pivotArea dataOnly="0" labelOnly="1" fieldPosition="0">
        <references count="1">
          <reference field="10" count="0"/>
        </references>
      </pivotArea>
    </format>
    <format dxfId="284">
      <pivotArea dataOnly="0" labelOnly="1" grandRow="1" outline="0" fieldPosition="0"/>
    </format>
    <format dxfId="283">
      <pivotArea dataOnly="0" labelOnly="1" fieldPosition="0">
        <references count="2">
          <reference field="10" count="1" selected="0">
            <x v="0"/>
          </reference>
          <reference field="14" count="3">
            <x v="0"/>
            <x v="1"/>
            <x v="5"/>
          </reference>
        </references>
      </pivotArea>
    </format>
    <format dxfId="282">
      <pivotArea dataOnly="0" labelOnly="1" fieldPosition="0">
        <references count="2">
          <reference field="10" count="1" selected="0">
            <x v="1"/>
          </reference>
          <reference field="14" count="3">
            <x v="0"/>
            <x v="1"/>
            <x v="5"/>
          </reference>
        </references>
      </pivotArea>
    </format>
    <format dxfId="281">
      <pivotArea dataOnly="0" labelOnly="1" fieldPosition="0">
        <references count="2">
          <reference field="10" count="1" selected="0">
            <x v="2"/>
          </reference>
          <reference field="14" count="3">
            <x v="0"/>
            <x v="1"/>
            <x v="5"/>
          </reference>
        </references>
      </pivotArea>
    </format>
    <format dxfId="280">
      <pivotArea dataOnly="0" labelOnly="1" fieldPosition="0">
        <references count="1">
          <reference field="11" count="0"/>
        </references>
      </pivotArea>
    </format>
    <format dxfId="279">
      <pivotArea dataOnly="0" labelOnly="1" grandCol="1" outline="0" fieldPosition="0"/>
    </format>
    <format dxfId="278">
      <pivotArea type="origin" dataOnly="0" labelOnly="1" outline="0" fieldPosition="0"/>
    </format>
    <format dxfId="277">
      <pivotArea field="11" type="button" dataOnly="0" labelOnly="1" outline="0" axis="axisCol" fieldPosition="0"/>
    </format>
    <format dxfId="276">
      <pivotArea type="topRight" dataOnly="0" labelOnly="1" outline="0" fieldPosition="0"/>
    </format>
    <format dxfId="275">
      <pivotArea field="10" type="button" dataOnly="0" labelOnly="1" outline="0" axis="axisRow" fieldPosition="0"/>
    </format>
    <format dxfId="274">
      <pivotArea dataOnly="0" labelOnly="1" fieldPosition="0">
        <references count="1">
          <reference field="11" count="0"/>
        </references>
      </pivotArea>
    </format>
    <format dxfId="273">
      <pivotArea dataOnly="0" labelOnly="1" grandCol="1" outline="0" fieldPosition="0"/>
    </format>
    <format dxfId="272">
      <pivotArea type="origin" dataOnly="0" labelOnly="1" outline="0" fieldPosition="0"/>
    </format>
    <format dxfId="271">
      <pivotArea field="11" type="button" dataOnly="0" labelOnly="1" outline="0" axis="axisCol" fieldPosition="0"/>
    </format>
    <format dxfId="270">
      <pivotArea type="topRight" dataOnly="0" labelOnly="1" outline="0" fieldPosition="0"/>
    </format>
    <format dxfId="269">
      <pivotArea field="10" type="button" dataOnly="0" labelOnly="1" outline="0" axis="axisRow" fieldPosition="0"/>
    </format>
    <format dxfId="268">
      <pivotArea dataOnly="0" labelOnly="1" fieldPosition="0">
        <references count="1">
          <reference field="11" count="0"/>
        </references>
      </pivotArea>
    </format>
    <format dxfId="267">
      <pivotArea dataOnly="0" labelOnly="1" grandCol="1" outline="0" fieldPosition="0"/>
    </format>
    <format dxfId="266">
      <pivotArea type="origin" dataOnly="0" labelOnly="1" outline="0" fieldPosition="0"/>
    </format>
    <format dxfId="265">
      <pivotArea field="11" type="button" dataOnly="0" labelOnly="1" outline="0" axis="axisCol" fieldPosition="0"/>
    </format>
    <format dxfId="264">
      <pivotArea type="topRight" dataOnly="0" labelOnly="1" outline="0" fieldPosition="0"/>
    </format>
    <format dxfId="263">
      <pivotArea field="10" type="button" dataOnly="0" labelOnly="1" outline="0" axis="axisRow" fieldPosition="0"/>
    </format>
    <format dxfId="262">
      <pivotArea dataOnly="0" labelOnly="1" fieldPosition="0">
        <references count="1">
          <reference field="11" count="0"/>
        </references>
      </pivotArea>
    </format>
    <format dxfId="261">
      <pivotArea dataOnly="0" labelOnly="1" grandCol="1" outline="0" fieldPosition="0"/>
    </format>
    <format dxfId="260">
      <pivotArea grandRow="1" outline="0" collapsedLevelsAreSubtotals="1" fieldPosition="0"/>
    </format>
    <format dxfId="259">
      <pivotArea dataOnly="0" labelOnly="1" grandRow="1" outline="0" fieldPosition="0"/>
    </format>
    <format dxfId="258">
      <pivotArea grandRow="1" outline="0" collapsedLevelsAreSubtotals="1" fieldPosition="0"/>
    </format>
    <format dxfId="257">
      <pivotArea dataOnly="0" labelOnly="1" grandRow="1" outline="0" fieldPosition="0"/>
    </format>
    <format dxfId="256">
      <pivotArea collapsedLevelsAreSubtotals="1" fieldPosition="0">
        <references count="1">
          <reference field="10" count="1">
            <x v="0"/>
          </reference>
        </references>
      </pivotArea>
    </format>
    <format dxfId="255">
      <pivotArea dataOnly="0" labelOnly="1" fieldPosition="0">
        <references count="1">
          <reference field="10" count="1">
            <x v="0"/>
          </reference>
        </references>
      </pivotArea>
    </format>
    <format dxfId="254">
      <pivotArea collapsedLevelsAreSubtotals="1" fieldPosition="0">
        <references count="1">
          <reference field="10" count="1">
            <x v="1"/>
          </reference>
        </references>
      </pivotArea>
    </format>
    <format dxfId="253">
      <pivotArea dataOnly="0" labelOnly="1" fieldPosition="0">
        <references count="1">
          <reference field="10" count="1">
            <x v="1"/>
          </reference>
        </references>
      </pivotArea>
    </format>
    <format dxfId="252">
      <pivotArea collapsedLevelsAreSubtotals="1" fieldPosition="0">
        <references count="1">
          <reference field="10" count="1">
            <x v="2"/>
          </reference>
        </references>
      </pivotArea>
    </format>
    <format dxfId="251">
      <pivotArea dataOnly="0" labelOnly="1" fieldPosition="0">
        <references count="1">
          <reference field="10" count="1">
            <x v="2"/>
          </reference>
        </references>
      </pivotArea>
    </format>
  </formats>
  <chartFormats count="13">
    <chartFormat chart="20" format="48" series="1">
      <pivotArea type="data" outline="0" fieldPosition="0">
        <references count="2">
          <reference field="4294967294" count="1" selected="0">
            <x v="0"/>
          </reference>
          <reference field="11" count="1" selected="0">
            <x v="0"/>
          </reference>
        </references>
      </pivotArea>
    </chartFormat>
    <chartFormat chart="20" format="49" series="1">
      <pivotArea type="data" outline="0" fieldPosition="0">
        <references count="2">
          <reference field="4294967294" count="1" selected="0">
            <x v="0"/>
          </reference>
          <reference field="11" count="1" selected="0">
            <x v="1"/>
          </reference>
        </references>
      </pivotArea>
    </chartFormat>
    <chartFormat chart="20" format="50" series="1">
      <pivotArea type="data" outline="0" fieldPosition="0">
        <references count="2">
          <reference field="4294967294" count="1" selected="0">
            <x v="0"/>
          </reference>
          <reference field="11" count="1" selected="0">
            <x v="2"/>
          </reference>
        </references>
      </pivotArea>
    </chartFormat>
    <chartFormat chart="20" format="51" series="1">
      <pivotArea type="data" outline="0" fieldPosition="0">
        <references count="2">
          <reference field="4294967294" count="1" selected="0">
            <x v="0"/>
          </reference>
          <reference field="11" count="1" selected="0">
            <x v="3"/>
          </reference>
        </references>
      </pivotArea>
    </chartFormat>
    <chartFormat chart="20" format="52" series="1">
      <pivotArea type="data" outline="0" fieldPosition="0">
        <references count="2">
          <reference field="4294967294" count="1" selected="0">
            <x v="0"/>
          </reference>
          <reference field="11" count="1" selected="0">
            <x v="4"/>
          </reference>
        </references>
      </pivotArea>
    </chartFormat>
    <chartFormat chart="20" format="53" series="1">
      <pivotArea type="data" outline="0" fieldPosition="0">
        <references count="2">
          <reference field="4294967294" count="1" selected="0">
            <x v="0"/>
          </reference>
          <reference field="11" count="1" selected="0">
            <x v="5"/>
          </reference>
        </references>
      </pivotArea>
    </chartFormat>
    <chartFormat chart="20" format="54" series="1">
      <pivotArea type="data" outline="0" fieldPosition="0">
        <references count="2">
          <reference field="4294967294" count="1" selected="0">
            <x v="0"/>
          </reference>
          <reference field="11" count="1" selected="0">
            <x v="6"/>
          </reference>
        </references>
      </pivotArea>
    </chartFormat>
    <chartFormat chart="20" format="55" series="1">
      <pivotArea type="data" outline="0" fieldPosition="0">
        <references count="2">
          <reference field="4294967294" count="1" selected="0">
            <x v="0"/>
          </reference>
          <reference field="11" count="1" selected="0">
            <x v="7"/>
          </reference>
        </references>
      </pivotArea>
    </chartFormat>
    <chartFormat chart="20" format="56" series="1">
      <pivotArea type="data" outline="0" fieldPosition="0">
        <references count="2">
          <reference field="4294967294" count="1" selected="0">
            <x v="0"/>
          </reference>
          <reference field="11" count="1" selected="0">
            <x v="8"/>
          </reference>
        </references>
      </pivotArea>
    </chartFormat>
    <chartFormat chart="20" format="57" series="1">
      <pivotArea type="data" outline="0" fieldPosition="0">
        <references count="2">
          <reference field="4294967294" count="1" selected="0">
            <x v="0"/>
          </reference>
          <reference field="11" count="1" selected="0">
            <x v="9"/>
          </reference>
        </references>
      </pivotArea>
    </chartFormat>
    <chartFormat chart="20" format="58" series="1">
      <pivotArea type="data" outline="0" fieldPosition="0">
        <references count="2">
          <reference field="4294967294" count="1" selected="0">
            <x v="0"/>
          </reference>
          <reference field="11" count="1" selected="0">
            <x v="10"/>
          </reference>
        </references>
      </pivotArea>
    </chartFormat>
    <chartFormat chart="20" format="59" series="1">
      <pivotArea type="data" outline="0" fieldPosition="0">
        <references count="2">
          <reference field="4294967294" count="1" selected="0">
            <x v="0"/>
          </reference>
          <reference field="11" count="1" selected="0">
            <x v="11"/>
          </reference>
        </references>
      </pivotArea>
    </chartFormat>
    <chartFormat chart="20" format="6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40A679-2213-4139-BA2C-22EE9396433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6:N41" firstHeaderRow="1" firstDataRow="2" firstDataCol="1" rowPageCount="1" colPageCount="1"/>
  <pivotFields count="17">
    <pivotField showAll="0"/>
    <pivotField showAll="0"/>
    <pivotField showAll="0">
      <items count="1819">
        <item x="1679"/>
        <item x="1385"/>
        <item x="1520"/>
        <item x="718"/>
        <item x="289"/>
        <item x="1392"/>
        <item x="200"/>
        <item x="945"/>
        <item x="1249"/>
        <item x="488"/>
        <item x="428"/>
        <item x="1142"/>
        <item x="233"/>
        <item x="1468"/>
        <item x="205"/>
        <item x="1115"/>
        <item x="173"/>
        <item x="881"/>
        <item x="201"/>
        <item x="1477"/>
        <item x="382"/>
        <item x="1655"/>
        <item x="1703"/>
        <item x="1267"/>
        <item x="74"/>
        <item x="22"/>
        <item x="822"/>
        <item x="1000"/>
        <item x="346"/>
        <item x="658"/>
        <item x="844"/>
        <item x="851"/>
        <item x="1556"/>
        <item x="101"/>
        <item x="973"/>
        <item x="513"/>
        <item x="650"/>
        <item x="1118"/>
        <item x="857"/>
        <item x="590"/>
        <item x="1502"/>
        <item x="370"/>
        <item x="1347"/>
        <item x="1463"/>
        <item x="432"/>
        <item x="1047"/>
        <item x="385"/>
        <item x="1219"/>
        <item x="1342"/>
        <item x="1017"/>
        <item x="826"/>
        <item x="729"/>
        <item x="1720"/>
        <item x="713"/>
        <item x="127"/>
        <item x="1159"/>
        <item x="1663"/>
        <item x="19"/>
        <item x="869"/>
        <item x="66"/>
        <item x="1475"/>
        <item x="965"/>
        <item x="1394"/>
        <item x="1041"/>
        <item x="228"/>
        <item x="435"/>
        <item x="1541"/>
        <item x="615"/>
        <item x="1577"/>
        <item x="867"/>
        <item x="1186"/>
        <item x="1454"/>
        <item x="932"/>
        <item x="1508"/>
        <item x="149"/>
        <item x="569"/>
        <item x="475"/>
        <item x="1701"/>
        <item x="54"/>
        <item x="1515"/>
        <item x="194"/>
        <item x="190"/>
        <item x="150"/>
        <item x="1297"/>
        <item x="1229"/>
        <item x="256"/>
        <item x="1681"/>
        <item x="0"/>
        <item x="1330"/>
        <item x="1419"/>
        <item x="533"/>
        <item x="997"/>
        <item x="652"/>
        <item x="87"/>
        <item x="873"/>
        <item x="367"/>
        <item x="126"/>
        <item x="1090"/>
        <item x="52"/>
        <item x="640"/>
        <item x="11"/>
        <item x="764"/>
        <item x="362"/>
        <item x="1777"/>
        <item x="1678"/>
        <item x="1208"/>
        <item x="243"/>
        <item x="1137"/>
        <item x="774"/>
        <item x="1623"/>
        <item x="843"/>
        <item x="210"/>
        <item x="306"/>
        <item x="1416"/>
        <item x="1696"/>
        <item x="1618"/>
        <item x="535"/>
        <item x="1440"/>
        <item x="85"/>
        <item x="119"/>
        <item x="416"/>
        <item x="936"/>
        <item x="312"/>
        <item x="148"/>
        <item x="749"/>
        <item x="1743"/>
        <item x="528"/>
        <item x="1162"/>
        <item x="1288"/>
        <item x="1396"/>
        <item x="1401"/>
        <item x="320"/>
        <item x="900"/>
        <item x="1792"/>
        <item x="363"/>
        <item x="1220"/>
        <item x="209"/>
        <item x="446"/>
        <item x="399"/>
        <item x="438"/>
        <item x="1784"/>
        <item x="1714"/>
        <item x="1524"/>
        <item x="1132"/>
        <item x="273"/>
        <item x="1184"/>
        <item x="1363"/>
        <item x="595"/>
        <item x="1756"/>
        <item x="1723"/>
        <item x="785"/>
        <item x="1224"/>
        <item x="986"/>
        <item x="215"/>
        <item x="203"/>
        <item x="1381"/>
        <item x="1315"/>
        <item x="79"/>
        <item x="1658"/>
        <item x="1030"/>
        <item x="411"/>
        <item x="580"/>
        <item x="655"/>
        <item x="559"/>
        <item x="1225"/>
        <item x="1298"/>
        <item x="1018"/>
        <item x="1337"/>
        <item x="871"/>
        <item x="1625"/>
        <item x="1074"/>
        <item x="179"/>
        <item x="740"/>
        <item x="261"/>
        <item x="1656"/>
        <item x="124"/>
        <item x="952"/>
        <item x="1686"/>
        <item x="566"/>
        <item x="866"/>
        <item x="459"/>
        <item x="750"/>
        <item x="1459"/>
        <item x="356"/>
        <item x="1067"/>
        <item x="1170"/>
        <item x="423"/>
        <item x="204"/>
        <item x="140"/>
        <item x="1388"/>
        <item x="473"/>
        <item x="1493"/>
        <item x="1233"/>
        <item x="64"/>
        <item x="123"/>
        <item x="1547"/>
        <item x="23"/>
        <item x="1764"/>
        <item x="775"/>
        <item x="1273"/>
        <item x="1146"/>
        <item x="1198"/>
        <item x="978"/>
        <item x="1175"/>
        <item x="743"/>
        <item x="1592"/>
        <item x="551"/>
        <item x="339"/>
        <item x="483"/>
        <item x="1634"/>
        <item x="514"/>
        <item x="1449"/>
        <item x="1251"/>
        <item x="162"/>
        <item x="963"/>
        <item x="329"/>
        <item x="1650"/>
        <item x="109"/>
        <item x="992"/>
        <item x="354"/>
        <item x="895"/>
        <item x="1643"/>
        <item x="698"/>
        <item x="1032"/>
        <item x="1196"/>
        <item x="255"/>
        <item x="1333"/>
        <item x="1566"/>
        <item x="876"/>
        <item x="1234"/>
        <item x="445"/>
        <item x="1354"/>
        <item x="305"/>
        <item x="1252"/>
        <item x="1812"/>
        <item x="186"/>
        <item x="1664"/>
        <item x="1068"/>
        <item x="1056"/>
        <item x="1147"/>
        <item x="733"/>
        <item x="304"/>
        <item x="1732"/>
        <item x="792"/>
        <item x="482"/>
        <item x="629"/>
        <item x="1436"/>
        <item x="763"/>
        <item x="437"/>
        <item x="870"/>
        <item x="1741"/>
        <item x="115"/>
        <item x="332"/>
        <item x="1139"/>
        <item x="1464"/>
        <item x="1795"/>
        <item x="364"/>
        <item x="14"/>
        <item x="1444"/>
        <item x="1202"/>
        <item x="570"/>
        <item x="472"/>
        <item x="1051"/>
        <item x="1012"/>
        <item x="302"/>
        <item x="76"/>
        <item x="979"/>
        <item x="1076"/>
        <item x="1125"/>
        <item x="1465"/>
        <item x="1181"/>
        <item x="596"/>
        <item x="619"/>
        <item x="34"/>
        <item x="431"/>
        <item x="1589"/>
        <item x="1310"/>
        <item x="141"/>
        <item x="915"/>
        <item x="1786"/>
        <item x="1254"/>
        <item x="1029"/>
        <item x="1666"/>
        <item x="1105"/>
        <item x="1403"/>
        <item x="454"/>
        <item x="1698"/>
        <item x="407"/>
        <item x="1145"/>
        <item x="1781"/>
        <item x="163"/>
        <item x="601"/>
        <item x="425"/>
        <item x="972"/>
        <item x="1407"/>
        <item x="984"/>
        <item x="1214"/>
        <item x="1241"/>
        <item x="33"/>
        <item x="998"/>
        <item x="263"/>
        <item x="1237"/>
        <item x="1046"/>
        <item x="1010"/>
        <item x="817"/>
        <item x="8"/>
        <item x="1269"/>
        <item x="397"/>
        <item x="780"/>
        <item x="663"/>
        <item x="841"/>
        <item x="1122"/>
        <item x="413"/>
        <item x="1238"/>
        <item x="1320"/>
        <item x="836"/>
        <item x="172"/>
        <item x="327"/>
        <item x="1422"/>
        <item x="90"/>
        <item x="783"/>
        <item x="470"/>
        <item x="1726"/>
        <item x="1015"/>
        <item x="174"/>
        <item x="1654"/>
        <item x="1124"/>
        <item x="24"/>
        <item x="1200"/>
        <item x="610"/>
        <item x="1043"/>
        <item x="62"/>
        <item x="950"/>
        <item x="1662"/>
        <item x="962"/>
        <item x="1327"/>
        <item x="1405"/>
        <item x="249"/>
        <item x="1160"/>
        <item x="1570"/>
        <item x="31"/>
        <item x="916"/>
        <item x="537"/>
        <item x="1089"/>
        <item x="386"/>
        <item x="727"/>
        <item x="670"/>
        <item x="988"/>
        <item x="555"/>
        <item x="368"/>
        <item x="1140"/>
        <item x="1514"/>
        <item x="197"/>
        <item x="1317"/>
        <item x="1204"/>
        <item x="858"/>
        <item x="1513"/>
        <item x="335"/>
        <item x="599"/>
        <item x="1744"/>
        <item x="627"/>
        <item x="896"/>
        <item x="760"/>
        <item x="453"/>
        <item x="1550"/>
        <item x="742"/>
        <item x="1362"/>
        <item x="176"/>
        <item x="1055"/>
        <item x="1311"/>
        <item x="574"/>
        <item x="1735"/>
        <item x="1733"/>
        <item x="1121"/>
        <item x="134"/>
        <item x="1591"/>
        <item x="612"/>
        <item x="1793"/>
        <item x="712"/>
        <item x="1789"/>
        <item x="1536"/>
        <item x="786"/>
        <item x="903"/>
        <item x="375"/>
        <item x="245"/>
        <item x="541"/>
        <item x="1414"/>
        <item x="538"/>
        <item x="1585"/>
        <item x="1173"/>
        <item x="745"/>
        <item x="352"/>
        <item x="1358"/>
        <item x="971"/>
        <item x="1642"/>
        <item x="1473"/>
        <item x="861"/>
        <item x="151"/>
        <item x="778"/>
        <item x="1768"/>
        <item x="359"/>
        <item x="456"/>
        <item x="1648"/>
        <item x="1415"/>
        <item x="353"/>
        <item x="297"/>
        <item x="1157"/>
        <item x="703"/>
        <item x="680"/>
        <item x="153"/>
        <item x="50"/>
        <item x="1364"/>
        <item x="808"/>
        <item x="32"/>
        <item x="510"/>
        <item x="1503"/>
        <item x="1553"/>
        <item x="1247"/>
        <item x="1509"/>
        <item x="60"/>
        <item x="1487"/>
        <item x="1790"/>
        <item x="584"/>
        <item x="770"/>
        <item x="1109"/>
        <item x="1294"/>
        <item x="1807"/>
        <item x="1548"/>
        <item x="1551"/>
        <item x="1020"/>
        <item x="361"/>
        <item x="975"/>
        <item x="1560"/>
        <item x="1437"/>
        <item x="254"/>
        <item x="1552"/>
        <item x="549"/>
        <item x="831"/>
        <item x="635"/>
        <item x="1433"/>
        <item x="1278"/>
        <item x="480"/>
        <item x="648"/>
        <item x="704"/>
        <item x="582"/>
        <item x="1302"/>
        <item x="441"/>
        <item x="1078"/>
        <item x="1691"/>
        <item x="1805"/>
        <item x="814"/>
        <item x="592"/>
        <item x="250"/>
        <item x="901"/>
        <item x="518"/>
        <item x="1523"/>
        <item x="1581"/>
        <item x="388"/>
        <item x="1316"/>
        <item x="659"/>
        <item x="1715"/>
        <item x="403"/>
        <item x="1542"/>
        <item x="874"/>
        <item x="1268"/>
        <item x="906"/>
        <item x="322"/>
        <item x="1702"/>
        <item x="1266"/>
        <item x="1780"/>
        <item x="63"/>
        <item x="630"/>
        <item x="700"/>
        <item x="1661"/>
        <item x="589"/>
        <item x="1629"/>
        <item x="1073"/>
        <item x="1293"/>
        <item x="500"/>
        <item x="1044"/>
        <item x="218"/>
        <item x="347"/>
        <item x="479"/>
        <item x="1730"/>
        <item x="501"/>
        <item x="315"/>
        <item x="1135"/>
        <item x="552"/>
        <item x="575"/>
        <item x="1484"/>
        <item x="1699"/>
        <item x="330"/>
        <item x="25"/>
        <item x="1579"/>
        <item x="1255"/>
        <item x="701"/>
        <item x="709"/>
        <item x="1455"/>
        <item x="947"/>
        <item x="941"/>
        <item x="604"/>
        <item x="1282"/>
        <item x="216"/>
        <item x="15"/>
        <item x="266"/>
        <item x="860"/>
        <item x="1695"/>
        <item x="348"/>
        <item x="762"/>
        <item x="819"/>
        <item x="1061"/>
        <item x="1456"/>
        <item x="1710"/>
        <item x="1384"/>
        <item x="1532"/>
        <item x="1057"/>
        <item x="252"/>
        <item x="1158"/>
        <item x="1004"/>
        <item x="191"/>
        <item x="1443"/>
        <item x="298"/>
        <item x="1264"/>
        <item x="474"/>
        <item x="515"/>
        <item x="1657"/>
        <item x="908"/>
        <item x="1258"/>
        <item x="1557"/>
        <item x="105"/>
        <item x="107"/>
        <item x="1779"/>
        <item x="242"/>
        <item x="508"/>
        <item x="486"/>
        <item x="1462"/>
        <item x="104"/>
        <item x="1682"/>
        <item x="1558"/>
        <item x="178"/>
        <item x="999"/>
        <item x="995"/>
        <item x="721"/>
        <item x="350"/>
        <item x="113"/>
        <item x="284"/>
        <item x="1803"/>
        <item x="303"/>
        <item x="235"/>
        <item x="408"/>
        <item x="957"/>
        <item x="737"/>
        <item x="1304"/>
        <item x="1500"/>
        <item x="182"/>
        <item x="1141"/>
        <item x="1149"/>
        <item x="897"/>
        <item x="1191"/>
        <item x="444"/>
        <item x="856"/>
        <item x="1564"/>
        <item x="1023"/>
        <item x="1711"/>
        <item x="166"/>
        <item x="1338"/>
        <item x="691"/>
        <item x="879"/>
        <item x="609"/>
        <item x="813"/>
        <item x="877"/>
        <item x="868"/>
        <item x="213"/>
        <item x="1334"/>
        <item x="578"/>
        <item x="1031"/>
        <item x="620"/>
        <item x="145"/>
        <item x="1617"/>
        <item x="116"/>
        <item x="1216"/>
        <item x="1209"/>
        <item x="677"/>
        <item x="1218"/>
        <item x="1602"/>
        <item x="1574"/>
        <item x="400"/>
        <item x="910"/>
        <item x="816"/>
        <item x="905"/>
        <item x="1700"/>
        <item x="1640"/>
        <item x="436"/>
        <item x="1156"/>
        <item x="958"/>
        <item x="1809"/>
        <item x="1533"/>
        <item x="121"/>
        <item x="1804"/>
        <item x="402"/>
        <item x="1748"/>
        <item x="287"/>
        <item x="77"/>
        <item x="970"/>
        <item x="1563"/>
        <item x="1355"/>
        <item x="296"/>
        <item x="948"/>
        <item x="217"/>
        <item x="1274"/>
        <item x="1713"/>
        <item x="875"/>
        <item x="1791"/>
        <item x="28"/>
        <item x="1223"/>
        <item x="623"/>
        <item x="208"/>
        <item x="1285"/>
        <item x="920"/>
        <item x="1201"/>
        <item x="766"/>
        <item x="842"/>
        <item x="57"/>
        <item x="1123"/>
        <item x="607"/>
        <item x="812"/>
        <item x="1350"/>
        <item x="608"/>
        <item x="702"/>
        <item x="144"/>
        <item x="1518"/>
        <item x="1450"/>
        <item x="1321"/>
        <item x="419"/>
        <item x="647"/>
        <item x="1729"/>
        <item x="498"/>
        <item x="1369"/>
        <item x="465"/>
        <item x="1507"/>
        <item x="12"/>
        <item x="1256"/>
        <item x="72"/>
        <item x="1164"/>
        <item x="845"/>
        <item x="110"/>
        <item x="1731"/>
        <item x="26"/>
        <item x="1580"/>
        <item x="1270"/>
        <item x="834"/>
        <item x="1578"/>
        <item x="333"/>
        <item x="1367"/>
        <item x="688"/>
        <item x="1210"/>
        <item x="21"/>
        <item x="587"/>
        <item x="192"/>
        <item x="131"/>
        <item x="1575"/>
        <item x="1816"/>
        <item x="345"/>
        <item x="184"/>
        <item x="815"/>
        <item x="497"/>
        <item x="1035"/>
        <item x="646"/>
        <item x="430"/>
        <item x="1103"/>
        <item x="1275"/>
        <item x="1083"/>
        <item x="409"/>
        <item x="1543"/>
        <item x="1742"/>
        <item x="125"/>
        <item x="1119"/>
        <item x="78"/>
        <item x="274"/>
        <item x="802"/>
        <item x="632"/>
        <item x="560"/>
        <item x="422"/>
        <item x="772"/>
        <item x="1081"/>
        <item x="377"/>
        <item x="1082"/>
        <item x="1814"/>
        <item x="1134"/>
        <item x="793"/>
        <item x="511"/>
        <item x="1606"/>
        <item x="790"/>
        <item x="969"/>
        <item x="1721"/>
        <item x="863"/>
        <item x="1583"/>
        <item x="1565"/>
        <item x="1562"/>
        <item x="1290"/>
        <item x="158"/>
        <item x="1374"/>
        <item x="1534"/>
        <item x="568"/>
        <item x="617"/>
        <item x="644"/>
        <item x="1774"/>
        <item x="1672"/>
        <item x="1751"/>
        <item x="207"/>
        <item x="651"/>
        <item x="272"/>
        <item x="937"/>
        <item x="980"/>
        <item x="892"/>
        <item x="1616"/>
        <item x="1802"/>
        <item x="1763"/>
        <item x="1519"/>
        <item x="776"/>
        <item x="1595"/>
        <item x="1567"/>
        <item x="649"/>
        <item x="1339"/>
        <item x="1005"/>
        <item x="102"/>
        <item x="730"/>
        <item x="92"/>
        <item x="672"/>
        <item x="1496"/>
        <item x="279"/>
        <item x="97"/>
        <item x="1765"/>
        <item x="99"/>
        <item x="88"/>
        <item x="1665"/>
        <item x="1346"/>
        <item x="1049"/>
        <item x="1762"/>
        <item x="771"/>
        <item x="167"/>
        <item x="1379"/>
        <item x="1685"/>
        <item x="214"/>
        <item x="1611"/>
        <item x="188"/>
        <item x="1099"/>
        <item x="466"/>
        <item x="374"/>
        <item x="653"/>
        <item x="1009"/>
        <item x="38"/>
        <item x="1413"/>
        <item x="181"/>
        <item x="1527"/>
        <item x="111"/>
        <item x="1573"/>
        <item x="1235"/>
        <item x="1480"/>
        <item x="1526"/>
        <item x="1796"/>
        <item x="1771"/>
        <item x="340"/>
        <item x="665"/>
        <item x="1197"/>
        <item x="1107"/>
        <item x="924"/>
        <item x="30"/>
        <item x="1684"/>
        <item x="1242"/>
        <item x="156"/>
        <item x="143"/>
        <item x="1441"/>
        <item x="1632"/>
        <item x="1168"/>
        <item x="1775"/>
        <item x="909"/>
        <item x="788"/>
        <item x="746"/>
        <item x="921"/>
        <item x="1096"/>
        <item x="1476"/>
        <item x="1724"/>
        <item x="645"/>
        <item x="1645"/>
        <item x="1683"/>
        <item x="211"/>
        <item x="1594"/>
        <item x="558"/>
        <item x="259"/>
        <item x="427"/>
        <item x="1130"/>
        <item x="1495"/>
        <item x="1151"/>
        <item x="489"/>
        <item x="907"/>
        <item x="681"/>
        <item x="1343"/>
        <item x="1692"/>
        <item x="1472"/>
        <item x="1206"/>
        <item x="504"/>
        <item x="310"/>
        <item x="1719"/>
        <item x="1586"/>
        <item x="448"/>
        <item x="1167"/>
        <item x="633"/>
        <item x="585"/>
        <item x="1646"/>
        <item x="664"/>
        <item x="1635"/>
        <item x="5"/>
        <item x="1608"/>
        <item x="53"/>
        <item x="1193"/>
        <item x="1408"/>
        <item x="69"/>
        <item x="1084"/>
        <item x="1747"/>
        <item x="1601"/>
        <item x="847"/>
        <item x="820"/>
        <item x="624"/>
        <item x="914"/>
        <item x="1059"/>
        <item x="1177"/>
        <item x="862"/>
        <item x="393"/>
        <item x="754"/>
        <item x="271"/>
        <item x="918"/>
        <item x="600"/>
        <item x="276"/>
        <item x="572"/>
        <item x="887"/>
        <item x="1194"/>
        <item x="1187"/>
        <item x="1638"/>
        <item x="1"/>
        <item x="36"/>
        <item x="481"/>
        <item x="1100"/>
        <item x="1117"/>
        <item x="588"/>
        <item x="1755"/>
        <item x="883"/>
        <item x="996"/>
        <item x="80"/>
        <item x="1312"/>
        <item x="1584"/>
        <item x="1753"/>
        <item x="1352"/>
        <item x="1627"/>
        <item x="426"/>
        <item x="73"/>
        <item x="769"/>
        <item x="1038"/>
        <item x="467"/>
        <item x="931"/>
        <item x="326"/>
        <item x="1166"/>
        <item x="477"/>
        <item x="1308"/>
        <item x="1641"/>
        <item x="372"/>
        <item x="379"/>
        <item x="752"/>
        <item x="811"/>
        <item x="1398"/>
        <item x="165"/>
        <item x="1283"/>
        <item x="1644"/>
        <item x="198"/>
        <item x="832"/>
        <item x="529"/>
        <item x="401"/>
        <item x="523"/>
        <item x="1675"/>
        <item x="341"/>
        <item x="55"/>
        <item x="1259"/>
        <item x="275"/>
        <item x="268"/>
        <item x="505"/>
        <item x="1628"/>
        <item x="715"/>
        <item x="1399"/>
        <item x="1108"/>
        <item x="313"/>
        <item x="682"/>
        <item x="59"/>
        <item x="1231"/>
        <item x="484"/>
        <item x="732"/>
        <item x="212"/>
        <item x="206"/>
        <item x="823"/>
        <item x="1738"/>
        <item x="628"/>
        <item x="675"/>
        <item x="112"/>
        <item x="1228"/>
        <item x="1621"/>
        <item x="316"/>
        <item x="889"/>
        <item x="597"/>
        <item x="662"/>
        <item x="93"/>
        <item x="731"/>
        <item x="1607"/>
        <item x="987"/>
        <item x="196"/>
        <item x="1785"/>
        <item x="337"/>
        <item x="777"/>
        <item x="1404"/>
        <item x="265"/>
        <item x="160"/>
        <item x="35"/>
        <item x="911"/>
        <item x="1561"/>
        <item x="1325"/>
        <item x="1064"/>
        <item x="1668"/>
        <item x="751"/>
        <item x="993"/>
        <item x="147"/>
        <item x="283"/>
        <item x="17"/>
        <item x="1411"/>
        <item x="1080"/>
        <item x="415"/>
        <item x="331"/>
        <item x="1281"/>
        <item x="586"/>
        <item x="767"/>
        <item x="885"/>
        <item x="1292"/>
        <item x="1215"/>
        <item x="1739"/>
        <item x="1750"/>
        <item x="1680"/>
        <item x="1071"/>
        <item x="1544"/>
        <item x="103"/>
        <item x="1042"/>
        <item x="1474"/>
        <item x="708"/>
        <item x="761"/>
        <item x="890"/>
        <item x="1528"/>
        <item x="706"/>
        <item x="1376"/>
        <item x="462"/>
        <item x="96"/>
        <item x="269"/>
        <item x="1525"/>
        <item x="1610"/>
        <item x="157"/>
        <item x="542"/>
        <item x="723"/>
        <item x="567"/>
        <item x="1371"/>
        <item x="1341"/>
        <item x="1040"/>
        <item x="1104"/>
        <item x="573"/>
        <item x="139"/>
        <item x="1599"/>
        <item x="1734"/>
        <item x="450"/>
        <item x="1431"/>
        <item x="531"/>
        <item x="1380"/>
        <item x="1011"/>
        <item x="1217"/>
        <item x="593"/>
        <item x="539"/>
        <item x="804"/>
        <item x="142"/>
        <item x="373"/>
        <item x="70"/>
        <item x="1516"/>
        <item x="443"/>
        <item x="461"/>
        <item x="626"/>
        <item x="1387"/>
        <item x="324"/>
        <item x="1410"/>
        <item x="522"/>
        <item x="1470"/>
        <item x="1221"/>
        <item x="492"/>
        <item x="389"/>
        <item x="1737"/>
        <item x="536"/>
        <item x="9"/>
        <item x="1716"/>
        <item x="512"/>
        <item x="1001"/>
        <item x="1429"/>
        <item x="325"/>
        <item x="668"/>
        <item x="1190"/>
        <item x="520"/>
        <item x="1694"/>
        <item x="1324"/>
        <item x="603"/>
        <item x="199"/>
        <item x="449"/>
        <item x="576"/>
        <item x="491"/>
        <item x="1372"/>
        <item x="344"/>
        <item x="1226"/>
        <item x="735"/>
        <item x="1704"/>
        <item x="840"/>
        <item x="1505"/>
        <item x="547"/>
        <item x="1488"/>
        <item x="891"/>
        <item x="1172"/>
        <item x="1709"/>
        <item x="1262"/>
        <item x="336"/>
        <item x="527"/>
        <item x="106"/>
        <item x="366"/>
        <item x="989"/>
        <item x="307"/>
        <item x="1165"/>
        <item x="839"/>
        <item x="1612"/>
        <item x="175"/>
        <item x="1478"/>
        <item x="1003"/>
        <item x="1016"/>
        <item x="358"/>
        <item x="1072"/>
        <item x="1322"/>
        <item x="457"/>
        <item x="546"/>
        <item x="1504"/>
        <item x="667"/>
        <item x="719"/>
        <item x="270"/>
        <item x="1095"/>
        <item x="18"/>
        <item x="548"/>
        <item x="1356"/>
        <item x="1393"/>
        <item x="1467"/>
        <item x="926"/>
        <item x="676"/>
        <item x="930"/>
        <item x="290"/>
        <item x="1535"/>
        <item x="855"/>
        <item x="1673"/>
        <item x="1442"/>
        <item x="84"/>
        <item x="1319"/>
        <item x="637"/>
        <item x="1034"/>
        <item x="1213"/>
        <item x="613"/>
        <item x="1659"/>
        <item x="994"/>
        <item x="1798"/>
        <item x="463"/>
        <item x="1457"/>
        <item x="451"/>
        <item x="171"/>
        <item x="1203"/>
        <item x="494"/>
        <item x="724"/>
        <item x="314"/>
        <item x="65"/>
        <item x="1603"/>
        <item x="185"/>
        <item x="1272"/>
        <item x="292"/>
        <item x="854"/>
        <item x="1545"/>
        <item x="1111"/>
        <item x="189"/>
        <item x="687"/>
        <item x="122"/>
        <item x="1093"/>
        <item x="311"/>
        <item x="1359"/>
        <item x="193"/>
        <item x="1430"/>
        <item x="241"/>
        <item x="1689"/>
        <item x="1205"/>
        <item x="1026"/>
        <item x="1052"/>
        <item x="294"/>
        <item x="1378"/>
        <item x="956"/>
        <item x="39"/>
        <item x="800"/>
        <item x="602"/>
        <item x="1712"/>
        <item x="1425"/>
        <item x="1539"/>
        <item x="161"/>
        <item x="865"/>
        <item x="429"/>
        <item x="1391"/>
        <item x="1050"/>
        <item x="342"/>
        <item x="1253"/>
        <item x="98"/>
        <item x="1766"/>
        <item x="553"/>
        <item x="666"/>
        <item x="692"/>
        <item x="1759"/>
        <item x="726"/>
        <item x="1797"/>
        <item x="798"/>
        <item x="155"/>
        <item x="943"/>
        <item x="899"/>
        <item x="1761"/>
        <item x="1676"/>
        <item x="40"/>
        <item x="1460"/>
        <item x="618"/>
        <item x="82"/>
        <item x="288"/>
        <item x="1466"/>
        <item x="898"/>
        <item x="789"/>
        <item x="4"/>
        <item x="195"/>
        <item x="1189"/>
        <item x="506"/>
        <item x="579"/>
        <item x="1597"/>
        <item x="1382"/>
        <item x="418"/>
        <item x="835"/>
        <item x="478"/>
        <item x="1446"/>
        <item x="1114"/>
        <item x="711"/>
        <item x="45"/>
        <item x="219"/>
        <item x="1448"/>
        <item x="1815"/>
        <item x="1708"/>
        <item x="904"/>
        <item x="1498"/>
        <item x="222"/>
        <item x="1360"/>
        <item x="1179"/>
        <item x="1491"/>
        <item x="220"/>
        <item x="1357"/>
        <item x="738"/>
        <item x="728"/>
        <item x="237"/>
        <item x="1569"/>
        <item x="232"/>
        <item x="1351"/>
        <item x="1501"/>
        <item x="1375"/>
        <item x="1007"/>
        <item x="398"/>
        <item x="779"/>
        <item x="48"/>
        <item x="1366"/>
        <item x="1062"/>
        <item x="561"/>
        <item x="496"/>
        <item x="782"/>
        <item x="985"/>
        <item x="114"/>
        <item x="1783"/>
        <item x="169"/>
        <item x="309"/>
        <item x="1155"/>
        <item x="267"/>
        <item x="1331"/>
        <item x="656"/>
        <item x="1426"/>
        <item x="1092"/>
        <item x="490"/>
        <item x="1767"/>
        <item x="396"/>
        <item x="849"/>
        <item x="301"/>
        <item x="543"/>
        <item x="1345"/>
        <item x="1263"/>
        <item x="1054"/>
        <item x="349"/>
        <item x="1600"/>
        <item x="1752"/>
        <item x="1370"/>
        <item x="1479"/>
        <item x="1257"/>
        <item x="230"/>
        <item x="1626"/>
        <item x="846"/>
        <item x="1097"/>
        <item x="1174"/>
        <item x="7"/>
        <item x="1653"/>
        <item x="1690"/>
        <item x="49"/>
        <item x="1260"/>
        <item x="1328"/>
        <item x="695"/>
        <item x="1212"/>
        <item x="673"/>
        <item x="138"/>
        <item x="935"/>
        <item x="81"/>
        <item x="351"/>
        <item x="507"/>
        <item x="323"/>
        <item x="1438"/>
        <item x="717"/>
        <item x="1085"/>
        <item x="683"/>
        <item x="1299"/>
        <item x="493"/>
        <item x="1361"/>
        <item x="925"/>
        <item x="1674"/>
        <item x="1471"/>
        <item x="1406"/>
        <item x="1265"/>
        <item x="1427"/>
        <item x="686"/>
        <item x="949"/>
        <item x="1787"/>
        <item x="1199"/>
        <item x="685"/>
        <item x="1390"/>
        <item x="1808"/>
        <item x="1615"/>
        <item x="888"/>
        <item x="152"/>
        <item x="1211"/>
        <item x="1129"/>
        <item x="1587"/>
        <item x="557"/>
        <item x="1112"/>
        <item x="224"/>
        <item x="1006"/>
        <item x="807"/>
        <item x="1490"/>
        <item x="545"/>
        <item x="1128"/>
        <item x="1113"/>
        <item x="1176"/>
        <item x="1079"/>
        <item x="1300"/>
        <item x="1817"/>
        <item x="660"/>
        <item x="741"/>
        <item x="495"/>
        <item x="86"/>
        <item x="355"/>
        <item x="458"/>
        <item x="1227"/>
        <item x="1102"/>
        <item x="1106"/>
        <item x="922"/>
        <item x="1250"/>
        <item x="1651"/>
        <item x="756"/>
        <item x="321"/>
        <item x="1087"/>
        <item x="919"/>
        <item x="747"/>
        <item x="1276"/>
        <item x="828"/>
        <item x="278"/>
        <item x="1313"/>
        <item x="1725"/>
        <item x="758"/>
        <item x="1301"/>
        <item x="690"/>
        <item x="1077"/>
        <item x="371"/>
        <item x="299"/>
        <item x="1811"/>
        <item x="1098"/>
        <item x="1697"/>
        <item x="1395"/>
        <item x="164"/>
        <item x="1452"/>
        <item x="390"/>
        <item x="526"/>
        <item x="1800"/>
        <item x="734"/>
        <item x="1499"/>
        <item x="759"/>
        <item x="424"/>
        <item x="1637"/>
        <item x="308"/>
        <item x="1060"/>
        <item x="940"/>
        <item x="502"/>
        <item x="229"/>
        <item x="1537"/>
        <item x="714"/>
        <item x="1161"/>
        <item x="61"/>
        <item x="1120"/>
        <item x="37"/>
        <item x="1126"/>
        <item x="859"/>
        <item x="794"/>
        <item x="468"/>
        <item x="1530"/>
        <item x="1624"/>
        <item x="810"/>
        <item x="540"/>
        <item x="1008"/>
        <item x="248"/>
        <item x="56"/>
        <item x="226"/>
        <item x="1171"/>
        <item x="638"/>
        <item x="824"/>
        <item x="447"/>
        <item x="827"/>
        <item x="1133"/>
        <item x="679"/>
        <item x="1037"/>
        <item x="1240"/>
        <item x="357"/>
        <item x="1801"/>
        <item x="864"/>
        <item x="1025"/>
        <item x="239"/>
        <item x="694"/>
        <item x="1183"/>
        <item x="809"/>
        <item x="1749"/>
        <item x="1239"/>
        <item x="1439"/>
        <item x="227"/>
        <item x="1069"/>
        <item x="258"/>
        <item x="562"/>
        <item x="976"/>
        <item x="1497"/>
        <item x="420"/>
        <item x="1246"/>
        <item x="1277"/>
        <item x="44"/>
        <item x="170"/>
        <item x="1740"/>
        <item x="471"/>
        <item x="1758"/>
        <item x="1066"/>
        <item x="1232"/>
        <item x="1094"/>
        <item x="929"/>
        <item x="678"/>
        <item x="75"/>
        <item x="1075"/>
        <item x="1065"/>
        <item x="616"/>
        <item x="3"/>
        <item x="611"/>
        <item x="654"/>
        <item x="1110"/>
        <item x="1070"/>
        <item x="1485"/>
        <item x="955"/>
        <item x="1506"/>
        <item x="1418"/>
        <item x="1590"/>
        <item x="773"/>
        <item x="1728"/>
        <item x="280"/>
        <item x="1773"/>
        <item x="598"/>
        <item x="225"/>
        <item x="1340"/>
        <item x="1799"/>
        <item x="433"/>
        <item x="1489"/>
        <item x="1588"/>
        <item x="1386"/>
        <item x="1305"/>
        <item x="1178"/>
        <item x="768"/>
        <item x="554"/>
        <item x="534"/>
        <item x="1185"/>
        <item x="1291"/>
        <item x="880"/>
        <item x="1421"/>
        <item x="282"/>
        <item x="893"/>
        <item x="1718"/>
        <item x="1236"/>
        <item x="657"/>
        <item x="1028"/>
        <item x="636"/>
        <item x="1412"/>
        <item x="1746"/>
        <item x="1127"/>
        <item x="1058"/>
        <item x="1389"/>
        <item x="1323"/>
        <item x="1409"/>
        <item x="1445"/>
        <item x="414"/>
        <item x="42"/>
        <item x="1622"/>
        <item x="525"/>
        <item x="1639"/>
        <item x="1428"/>
        <item x="1136"/>
        <item x="944"/>
        <item x="1604"/>
        <item x="236"/>
        <item x="128"/>
        <item x="133"/>
        <item x="439"/>
        <item x="1021"/>
        <item x="1344"/>
        <item x="532"/>
        <item x="960"/>
        <item x="1483"/>
        <item x="1806"/>
        <item x="1652"/>
        <item x="1461"/>
        <item x="1481"/>
        <item x="234"/>
        <item x="1188"/>
        <item x="223"/>
        <item x="108"/>
        <item x="1778"/>
        <item x="20"/>
        <item x="1717"/>
        <item x="1649"/>
        <item x="41"/>
        <item x="913"/>
        <item x="1670"/>
        <item x="247"/>
        <item x="137"/>
        <item x="94"/>
        <item x="1150"/>
        <item x="1669"/>
        <item x="1163"/>
        <item x="100"/>
        <item x="801"/>
        <item x="129"/>
        <item x="853"/>
        <item x="257"/>
        <item x="135"/>
        <item x="380"/>
        <item x="1554"/>
        <item x="1633"/>
        <item x="1458"/>
        <item x="1024"/>
        <item x="848"/>
        <item x="1424"/>
        <item x="1207"/>
        <item x="1306"/>
        <item x="1529"/>
        <item x="58"/>
        <item x="1572"/>
        <item x="951"/>
        <item x="696"/>
        <item x="1101"/>
        <item x="410"/>
        <item x="1417"/>
        <item x="509"/>
        <item x="1432"/>
        <item x="791"/>
        <item x="318"/>
        <item x="966"/>
        <item x="1332"/>
        <item x="1039"/>
        <item x="1143"/>
        <item x="29"/>
        <item x="1613"/>
        <item x="1022"/>
        <item x="1677"/>
        <item x="1722"/>
        <item x="260"/>
        <item x="1760"/>
        <item x="1596"/>
        <item x="990"/>
        <item x="485"/>
        <item x="47"/>
        <item x="1397"/>
        <item x="878"/>
        <item x="519"/>
        <item x="1377"/>
        <item x="383"/>
        <item x="1296"/>
        <item x="221"/>
        <item x="833"/>
        <item x="631"/>
        <item x="829"/>
        <item x="1667"/>
        <item x="1559"/>
        <item x="974"/>
        <item x="641"/>
        <item x="277"/>
        <item x="1660"/>
        <item x="1420"/>
        <item x="293"/>
        <item x="571"/>
        <item x="1222"/>
        <item x="757"/>
        <item x="583"/>
        <item x="967"/>
        <item x="1707"/>
        <item x="300"/>
        <item x="744"/>
        <item x="130"/>
        <item x="1451"/>
        <item x="1336"/>
        <item x="183"/>
        <item x="285"/>
        <item x="736"/>
        <item x="1019"/>
        <item x="338"/>
        <item x="795"/>
        <item x="669"/>
        <item x="469"/>
        <item x="264"/>
        <item x="421"/>
        <item x="16"/>
        <item x="699"/>
        <item x="621"/>
        <item x="378"/>
        <item x="1647"/>
        <item x="1091"/>
        <item x="434"/>
        <item x="1295"/>
        <item x="1571"/>
        <item x="384"/>
        <item x="360"/>
        <item x="1063"/>
        <item x="933"/>
        <item x="295"/>
        <item x="1245"/>
        <item x="376"/>
        <item x="693"/>
        <item x="753"/>
        <item x="946"/>
        <item x="684"/>
        <item x="722"/>
        <item x="1494"/>
        <item x="67"/>
        <item x="499"/>
        <item x="1671"/>
        <item x="1555"/>
        <item x="1287"/>
        <item x="1180"/>
        <item x="1492"/>
        <item x="460"/>
        <item x="146"/>
        <item x="231"/>
        <item x="697"/>
        <item x="1546"/>
        <item x="1033"/>
        <item x="319"/>
        <item x="886"/>
        <item x="981"/>
        <item x="1531"/>
        <item x="365"/>
        <item x="821"/>
        <item x="136"/>
        <item x="71"/>
        <item x="1365"/>
        <item x="838"/>
        <item x="642"/>
        <item x="1353"/>
        <item x="622"/>
        <item x="1614"/>
        <item x="707"/>
        <item x="452"/>
        <item x="95"/>
        <item x="1810"/>
        <item x="1002"/>
        <item x="405"/>
        <item x="1373"/>
        <item x="1423"/>
        <item x="884"/>
        <item x="1014"/>
        <item x="961"/>
        <item x="1788"/>
        <item x="240"/>
        <item x="1329"/>
        <item x="1745"/>
        <item x="455"/>
        <item x="1705"/>
        <item x="1630"/>
        <item x="68"/>
        <item x="1326"/>
        <item x="1540"/>
        <item x="281"/>
        <item x="781"/>
        <item x="1510"/>
        <item x="1549"/>
        <item x="1770"/>
        <item x="959"/>
        <item x="381"/>
        <item x="1757"/>
        <item x="991"/>
        <item x="1631"/>
        <item x="787"/>
        <item x="1271"/>
        <item x="606"/>
        <item x="639"/>
        <item x="1517"/>
        <item x="938"/>
        <item x="27"/>
        <item x="1284"/>
        <item x="725"/>
        <item x="1152"/>
        <item x="1469"/>
        <item x="369"/>
        <item x="689"/>
        <item x="391"/>
        <item x="1688"/>
        <item x="818"/>
        <item x="964"/>
        <item x="442"/>
        <item x="1620"/>
        <item x="1182"/>
        <item x="1279"/>
        <item x="939"/>
        <item x="1813"/>
        <item x="784"/>
        <item x="464"/>
        <item x="1013"/>
        <item x="251"/>
        <item x="674"/>
        <item x="246"/>
        <item x="46"/>
        <item x="1482"/>
        <item x="1307"/>
        <item x="902"/>
        <item x="328"/>
        <item x="334"/>
        <item x="1521"/>
        <item x="159"/>
        <item x="1582"/>
        <item x="755"/>
        <item x="1192"/>
        <item x="983"/>
        <item x="1349"/>
        <item x="928"/>
        <item x="524"/>
        <item x="1636"/>
        <item x="1088"/>
        <item x="387"/>
        <item x="83"/>
        <item x="982"/>
        <item x="1027"/>
        <item x="594"/>
        <item x="343"/>
        <item x="1609"/>
        <item x="117"/>
        <item x="1144"/>
        <item x="132"/>
        <item x="1522"/>
        <item x="1280"/>
        <item x="643"/>
        <item x="1619"/>
        <item x="803"/>
        <item x="1053"/>
        <item x="1335"/>
        <item x="591"/>
        <item x="1772"/>
        <item x="671"/>
        <item x="942"/>
        <item x="202"/>
        <item x="1244"/>
        <item x="797"/>
        <item x="89"/>
        <item x="544"/>
        <item x="13"/>
        <item x="894"/>
        <item x="440"/>
        <item x="1230"/>
        <item x="517"/>
        <item x="825"/>
        <item x="799"/>
        <item x="2"/>
        <item x="605"/>
        <item x="1318"/>
        <item x="412"/>
        <item x="1794"/>
        <item x="1248"/>
        <item x="6"/>
        <item x="1727"/>
        <item x="577"/>
        <item x="43"/>
        <item x="154"/>
        <item x="748"/>
        <item x="395"/>
        <item x="614"/>
        <item x="837"/>
        <item x="417"/>
        <item x="882"/>
        <item x="830"/>
        <item x="1736"/>
        <item x="1314"/>
        <item x="1289"/>
        <item x="51"/>
        <item x="516"/>
        <item x="1568"/>
        <item x="850"/>
        <item x="1598"/>
        <item x="917"/>
        <item x="1286"/>
        <item x="550"/>
        <item x="1769"/>
        <item x="1261"/>
        <item x="1402"/>
        <item x="394"/>
        <item x="1435"/>
        <item x="661"/>
        <item x="556"/>
        <item x="720"/>
        <item x="1693"/>
        <item x="1511"/>
        <item x="1434"/>
        <item x="934"/>
        <item x="177"/>
        <item x="634"/>
        <item x="244"/>
        <item x="1486"/>
        <item x="1048"/>
        <item x="1453"/>
        <item x="1538"/>
        <item x="625"/>
        <item x="291"/>
        <item x="487"/>
        <item x="710"/>
        <item x="406"/>
        <item x="564"/>
        <item x="1116"/>
        <item x="1153"/>
        <item x="180"/>
        <item x="872"/>
        <item x="262"/>
        <item x="739"/>
        <item x="1169"/>
        <item x="563"/>
        <item x="1036"/>
        <item x="1706"/>
        <item x="1131"/>
        <item x="1576"/>
        <item x="1309"/>
        <item x="187"/>
        <item x="530"/>
        <item x="404"/>
        <item x="521"/>
        <item x="317"/>
        <item x="805"/>
        <item x="10"/>
        <item x="1154"/>
        <item x="968"/>
        <item x="503"/>
        <item x="1687"/>
        <item x="392"/>
        <item x="120"/>
        <item x="238"/>
        <item x="912"/>
        <item x="1138"/>
        <item x="1400"/>
        <item x="253"/>
        <item x="168"/>
        <item x="923"/>
        <item x="977"/>
        <item x="927"/>
        <item x="1776"/>
        <item x="765"/>
        <item x="1148"/>
        <item x="705"/>
        <item x="565"/>
        <item x="118"/>
        <item x="1045"/>
        <item x="1512"/>
        <item x="796"/>
        <item x="806"/>
        <item x="1303"/>
        <item x="476"/>
        <item x="953"/>
        <item x="1086"/>
        <item x="1383"/>
        <item x="954"/>
        <item x="1447"/>
        <item x="1782"/>
        <item x="1368"/>
        <item x="581"/>
        <item x="91"/>
        <item x="286"/>
        <item x="716"/>
        <item x="1348"/>
        <item x="1243"/>
        <item x="1195"/>
        <item x="1593"/>
        <item x="852"/>
        <item x="1754"/>
        <item x="1605"/>
        <item t="default"/>
      </items>
    </pivotField>
    <pivotField showAll="0"/>
    <pivotField showAll="0"/>
    <pivotField showAll="0"/>
    <pivotField showAll="0"/>
    <pivotField multipleItemSelectionAllowed="1" showAll="0">
      <items count="1315">
        <item x="84"/>
        <item x="858"/>
        <item x="365"/>
        <item x="539"/>
        <item x="1262"/>
        <item x="1295"/>
        <item x="203"/>
        <item x="317"/>
        <item x="126"/>
        <item x="202"/>
        <item x="658"/>
        <item x="759"/>
        <item x="411"/>
        <item x="531"/>
        <item x="327"/>
        <item x="1015"/>
        <item x="9"/>
        <item x="796"/>
        <item x="422"/>
        <item x="83"/>
        <item x="7"/>
        <item x="211"/>
        <item x="913"/>
        <item x="770"/>
        <item x="1106"/>
        <item x="229"/>
        <item x="27"/>
        <item x="560"/>
        <item x="562"/>
        <item x="957"/>
        <item x="640"/>
        <item x="379"/>
        <item x="924"/>
        <item x="5"/>
        <item x="284"/>
        <item x="381"/>
        <item x="303"/>
        <item x="1242"/>
        <item x="853"/>
        <item x="628"/>
        <item x="358"/>
        <item x="592"/>
        <item x="507"/>
        <item x="516"/>
        <item x="305"/>
        <item x="955"/>
        <item x="406"/>
        <item x="1062"/>
        <item x="186"/>
        <item x="102"/>
        <item x="1160"/>
        <item x="415"/>
        <item x="768"/>
        <item x="55"/>
        <item x="38"/>
        <item x="156"/>
        <item x="322"/>
        <item x="521"/>
        <item x="1008"/>
        <item x="89"/>
        <item x="1225"/>
        <item x="556"/>
        <item x="1105"/>
        <item x="892"/>
        <item x="375"/>
        <item x="120"/>
        <item x="874"/>
        <item x="472"/>
        <item x="779"/>
        <item x="239"/>
        <item x="443"/>
        <item x="868"/>
        <item x="1072"/>
        <item x="1213"/>
        <item x="747"/>
        <item x="614"/>
        <item x="112"/>
        <item x="1248"/>
        <item x="1184"/>
        <item x="1297"/>
        <item x="0"/>
        <item x="1079"/>
        <item x="421"/>
        <item x="578"/>
        <item x="191"/>
        <item x="370"/>
        <item x="1254"/>
        <item x="833"/>
        <item x="325"/>
        <item x="437"/>
        <item x="1027"/>
        <item x="103"/>
        <item x="949"/>
        <item x="59"/>
        <item x="1182"/>
        <item x="1057"/>
        <item x="784"/>
        <item x="683"/>
        <item x="510"/>
        <item x="840"/>
        <item x="1292"/>
        <item x="323"/>
        <item x="423"/>
        <item x="795"/>
        <item x="856"/>
        <item x="1096"/>
        <item x="456"/>
        <item x="982"/>
        <item x="771"/>
        <item x="174"/>
        <item x="888"/>
        <item x="1144"/>
        <item x="454"/>
        <item x="662"/>
        <item x="630"/>
        <item x="231"/>
        <item x="577"/>
        <item x="762"/>
        <item x="256"/>
        <item x="745"/>
        <item x="855"/>
        <item x="935"/>
        <item x="550"/>
        <item x="968"/>
        <item x="801"/>
        <item x="1118"/>
        <item x="1206"/>
        <item x="161"/>
        <item x="928"/>
        <item x="985"/>
        <item x="153"/>
        <item x="581"/>
        <item x="831"/>
        <item x="719"/>
        <item x="1220"/>
        <item x="208"/>
        <item x="343"/>
        <item x="121"/>
        <item x="834"/>
        <item x="364"/>
        <item x="817"/>
        <item x="646"/>
        <item x="602"/>
        <item x="241"/>
        <item x="157"/>
        <item x="547"/>
        <item x="190"/>
        <item x="416"/>
        <item x="1291"/>
        <item x="838"/>
        <item x="589"/>
        <item x="852"/>
        <item x="1208"/>
        <item x="33"/>
        <item x="408"/>
        <item x="1237"/>
        <item x="258"/>
        <item x="11"/>
        <item x="897"/>
        <item x="398"/>
        <item x="965"/>
        <item x="475"/>
        <item x="399"/>
        <item x="900"/>
        <item x="424"/>
        <item x="945"/>
        <item x="13"/>
        <item x="730"/>
        <item x="555"/>
        <item x="1229"/>
        <item x="958"/>
        <item x="143"/>
        <item x="623"/>
        <item x="718"/>
        <item x="489"/>
        <item x="1313"/>
        <item x="1165"/>
        <item x="684"/>
        <item x="442"/>
        <item x="240"/>
        <item x="314"/>
        <item x="495"/>
        <item x="572"/>
        <item x="740"/>
        <item x="652"/>
        <item x="315"/>
        <item x="1203"/>
        <item x="250"/>
        <item x="1183"/>
        <item x="675"/>
        <item x="1211"/>
        <item x="182"/>
        <item x="461"/>
        <item x="313"/>
        <item x="1047"/>
        <item x="713"/>
        <item x="959"/>
        <item x="947"/>
        <item x="841"/>
        <item x="584"/>
        <item x="724"/>
        <item x="1274"/>
        <item x="631"/>
        <item x="1017"/>
        <item x="213"/>
        <item x="1055"/>
        <item x="568"/>
        <item x="286"/>
        <item x="545"/>
        <item x="12"/>
        <item x="1162"/>
        <item x="212"/>
        <item x="296"/>
        <item x="1051"/>
        <item x="1219"/>
        <item x="292"/>
        <item x="1272"/>
        <item x="344"/>
        <item x="207"/>
        <item x="1212"/>
        <item x="616"/>
        <item x="1196"/>
        <item x="1031"/>
        <item x="235"/>
        <item x="19"/>
        <item x="1191"/>
        <item x="440"/>
        <item x="1134"/>
        <item x="604"/>
        <item x="298"/>
        <item x="505"/>
        <item x="769"/>
        <item x="328"/>
        <item x="670"/>
        <item x="51"/>
        <item x="944"/>
        <item x="1058"/>
        <item x="462"/>
        <item x="515"/>
        <item x="223"/>
        <item x="807"/>
        <item x="24"/>
        <item x="1088"/>
        <item x="346"/>
        <item x="124"/>
        <item x="626"/>
        <item x="434"/>
        <item x="618"/>
        <item x="74"/>
        <item x="1186"/>
        <item x="15"/>
        <item x="1021"/>
        <item x="45"/>
        <item x="851"/>
        <item x="162"/>
        <item x="1273"/>
        <item x="1109"/>
        <item x="836"/>
        <item x="1193"/>
        <item x="46"/>
        <item x="249"/>
        <item x="144"/>
        <item x="867"/>
        <item x="1018"/>
        <item x="509"/>
        <item x="356"/>
        <item x="439"/>
        <item x="1128"/>
        <item x="371"/>
        <item x="497"/>
        <item x="870"/>
        <item x="63"/>
        <item x="1154"/>
        <item x="37"/>
        <item x="1113"/>
        <item x="697"/>
        <item x="1067"/>
        <item x="68"/>
        <item x="1039"/>
        <item x="790"/>
        <item x="338"/>
        <item x="688"/>
        <item x="519"/>
        <item x="29"/>
        <item x="898"/>
        <item x="506"/>
        <item x="377"/>
        <item x="674"/>
        <item x="894"/>
        <item x="822"/>
        <item x="1100"/>
        <item x="1158"/>
        <item x="119"/>
        <item x="264"/>
        <item x="573"/>
        <item x="1217"/>
        <item x="444"/>
        <item x="485"/>
        <item x="775"/>
        <item x="815"/>
        <item x="107"/>
        <item x="999"/>
        <item x="403"/>
        <item x="810"/>
        <item x="828"/>
        <item x="1241"/>
        <item x="195"/>
        <item x="176"/>
        <item x="1239"/>
        <item x="783"/>
        <item x="460"/>
        <item x="393"/>
        <item x="348"/>
        <item x="936"/>
        <item x="606"/>
        <item x="1299"/>
        <item x="42"/>
        <item x="1185"/>
        <item x="225"/>
        <item x="1049"/>
        <item x="205"/>
        <item x="72"/>
        <item x="908"/>
        <item x="733"/>
        <item x="1012"/>
        <item x="971"/>
        <item x="1119"/>
        <item x="1187"/>
        <item x="30"/>
        <item x="826"/>
        <item x="1287"/>
        <item x="43"/>
        <item x="1075"/>
        <item x="197"/>
        <item x="47"/>
        <item x="243"/>
        <item x="1157"/>
        <item x="549"/>
        <item x="389"/>
        <item x="1263"/>
        <item x="773"/>
        <item x="179"/>
        <item x="523"/>
        <item x="916"/>
        <item x="918"/>
        <item x="1179"/>
        <item x="513"/>
        <item x="304"/>
        <item x="351"/>
        <item x="823"/>
        <item x="860"/>
        <item x="265"/>
        <item x="220"/>
        <item x="198"/>
        <item x="588"/>
        <item x="951"/>
        <item x="16"/>
        <item x="252"/>
        <item x="236"/>
        <item x="901"/>
        <item x="1240"/>
        <item x="642"/>
        <item x="763"/>
        <item x="607"/>
        <item x="1089"/>
        <item x="977"/>
        <item x="805"/>
        <item x="1138"/>
        <item x="3"/>
        <item x="254"/>
        <item x="923"/>
        <item x="326"/>
        <item x="692"/>
        <item x="166"/>
        <item x="559"/>
        <item x="1152"/>
        <item x="988"/>
        <item x="907"/>
        <item x="1126"/>
        <item x="1228"/>
        <item x="1280"/>
        <item x="486"/>
        <item x="1168"/>
        <item x="899"/>
        <item x="728"/>
        <item x="534"/>
        <item x="466"/>
        <item x="1207"/>
        <item x="503"/>
        <item x="1305"/>
        <item x="1304"/>
        <item x="904"/>
        <item x="376"/>
        <item x="799"/>
        <item x="1071"/>
        <item x="1142"/>
        <item x="635"/>
        <item x="276"/>
        <item x="447"/>
        <item x="1035"/>
        <item x="1204"/>
        <item x="563"/>
        <item x="863"/>
        <item x="386"/>
        <item x="266"/>
        <item x="1006"/>
        <item x="290"/>
        <item x="529"/>
        <item x="446"/>
        <item x="710"/>
        <item x="871"/>
        <item x="736"/>
        <item x="312"/>
        <item x="679"/>
        <item x="1080"/>
        <item x="729"/>
        <item x="583"/>
        <item x="536"/>
        <item x="321"/>
        <item x="671"/>
        <item x="275"/>
        <item x="535"/>
        <item x="1043"/>
        <item x="480"/>
        <item x="672"/>
        <item x="540"/>
        <item x="1148"/>
        <item x="1064"/>
        <item x="215"/>
        <item x="1094"/>
        <item x="100"/>
        <item x="86"/>
        <item x="1277"/>
        <item x="1195"/>
        <item x="295"/>
        <item x="164"/>
        <item x="655"/>
        <item x="1024"/>
        <item x="471"/>
        <item x="1069"/>
        <item x="764"/>
        <item x="125"/>
        <item x="488"/>
        <item x="123"/>
        <item x="34"/>
        <item x="1115"/>
        <item x="1199"/>
        <item x="32"/>
        <item x="374"/>
        <item x="452"/>
        <item x="449"/>
        <item x="995"/>
        <item x="1019"/>
        <item x="1074"/>
        <item x="97"/>
        <item x="522"/>
        <item x="849"/>
        <item x="324"/>
        <item x="409"/>
        <item x="467"/>
        <item x="689"/>
        <item x="576"/>
        <item x="620"/>
        <item x="732"/>
        <item x="1176"/>
        <item x="1001"/>
        <item x="1266"/>
        <item x="216"/>
        <item x="869"/>
        <item x="193"/>
        <item x="654"/>
        <item x="842"/>
        <item x="909"/>
        <item x="1268"/>
        <item x="597"/>
        <item x="854"/>
        <item x="1223"/>
        <item x="525"/>
        <item x="787"/>
        <item x="183"/>
        <item x="941"/>
        <item x="419"/>
        <item x="53"/>
        <item x="647"/>
        <item x="574"/>
        <item x="1303"/>
        <item x="158"/>
        <item x="436"/>
        <item x="1112"/>
        <item x="1045"/>
        <item x="283"/>
        <item x="133"/>
        <item x="366"/>
        <item x="492"/>
        <item x="737"/>
        <item x="137"/>
        <item x="905"/>
        <item x="1037"/>
        <item x="914"/>
        <item x="813"/>
        <item x="347"/>
        <item x="755"/>
        <item x="1145"/>
        <item x="48"/>
        <item x="200"/>
        <item x="159"/>
        <item x="873"/>
        <item x="1209"/>
        <item x="639"/>
        <item x="942"/>
        <item x="1249"/>
        <item x="884"/>
        <item x="939"/>
        <item x="56"/>
        <item x="23"/>
        <item x="77"/>
        <item x="665"/>
        <item x="451"/>
        <item x="359"/>
        <item x="714"/>
        <item x="520"/>
        <item x="277"/>
        <item x="990"/>
        <item x="44"/>
        <item x="320"/>
        <item x="1180"/>
        <item x="777"/>
        <item x="1060"/>
        <item x="906"/>
        <item x="686"/>
        <item x="85"/>
        <item x="742"/>
        <item x="170"/>
        <item x="992"/>
        <item x="1087"/>
        <item x="209"/>
        <item x="400"/>
        <item x="526"/>
        <item x="232"/>
        <item x="71"/>
        <item x="76"/>
        <item x="245"/>
        <item x="384"/>
        <item x="902"/>
        <item x="848"/>
        <item x="930"/>
        <item x="978"/>
        <item x="257"/>
        <item x="214"/>
        <item x="407"/>
        <item x="334"/>
        <item x="429"/>
        <item x="986"/>
        <item x="681"/>
        <item x="69"/>
        <item x="593"/>
        <item x="25"/>
        <item x="538"/>
        <item x="500"/>
        <item x="1132"/>
        <item x="1124"/>
        <item x="1155"/>
        <item x="73"/>
        <item x="1022"/>
        <item x="274"/>
        <item x="149"/>
        <item x="1247"/>
        <item x="738"/>
        <item x="1"/>
        <item x="1224"/>
        <item x="1042"/>
        <item x="1308"/>
        <item x="882"/>
        <item x="629"/>
        <item x="58"/>
        <item x="561"/>
        <item x="1177"/>
        <item x="857"/>
        <item x="65"/>
        <item x="1141"/>
        <item x="93"/>
        <item x="273"/>
        <item x="1073"/>
        <item x="502"/>
        <item x="244"/>
        <item x="872"/>
        <item x="1000"/>
        <item x="129"/>
        <item x="369"/>
        <item x="1261"/>
        <item x="637"/>
        <item x="1244"/>
        <item x="726"/>
        <item x="464"/>
        <item x="169"/>
        <item x="426"/>
        <item x="1245"/>
        <item x="1034"/>
        <item x="1197"/>
        <item x="917"/>
        <item x="465"/>
        <item x="237"/>
        <item x="196"/>
        <item x="875"/>
        <item x="659"/>
        <item x="832"/>
        <item x="262"/>
        <item x="524"/>
        <item x="1023"/>
        <item x="565"/>
        <item x="1093"/>
        <item x="1044"/>
        <item x="175"/>
        <item x="453"/>
        <item x="299"/>
        <item x="94"/>
        <item x="218"/>
        <item x="1260"/>
        <item x="1232"/>
        <item x="307"/>
        <item x="1167"/>
        <item x="418"/>
        <item x="1082"/>
        <item x="269"/>
        <item x="984"/>
        <item x="621"/>
        <item x="427"/>
        <item x="776"/>
        <item x="458"/>
        <item x="109"/>
        <item x="766"/>
        <item x="1111"/>
        <item x="566"/>
        <item x="739"/>
        <item x="704"/>
        <item x="271"/>
        <item x="1163"/>
        <item x="1053"/>
        <item x="382"/>
        <item x="774"/>
        <item x="1090"/>
        <item x="1233"/>
        <item x="927"/>
        <item x="1283"/>
        <item x="1298"/>
        <item x="142"/>
        <item x="767"/>
        <item x="302"/>
        <item x="1131"/>
        <item x="961"/>
        <item x="228"/>
        <item x="973"/>
        <item x="330"/>
        <item x="685"/>
        <item x="1309"/>
        <item x="879"/>
        <item x="1054"/>
        <item x="1146"/>
        <item x="405"/>
        <item x="1281"/>
        <item x="417"/>
        <item x="920"/>
        <item x="1159"/>
        <item x="975"/>
        <item x="586"/>
        <item x="934"/>
        <item x="839"/>
        <item x="812"/>
        <item x="1092"/>
        <item x="1172"/>
        <item x="98"/>
        <item x="57"/>
        <item x="341"/>
        <item x="1311"/>
        <item x="601"/>
        <item x="915"/>
        <item x="1257"/>
        <item x="404"/>
        <item x="1056"/>
        <item x="528"/>
        <item x="178"/>
        <item x="96"/>
        <item x="268"/>
        <item x="493"/>
        <item x="820"/>
        <item x="600"/>
        <item x="962"/>
        <item x="410"/>
        <item x="587"/>
        <item x="664"/>
        <item x="819"/>
        <item x="1218"/>
        <item x="139"/>
        <item x="1002"/>
        <item x="478"/>
        <item x="79"/>
        <item x="1166"/>
        <item x="385"/>
        <item x="808"/>
        <item x="1267"/>
        <item x="1048"/>
        <item x="396"/>
        <item x="788"/>
        <item x="830"/>
        <item x="20"/>
        <item x="457"/>
        <item x="221"/>
        <item x="806"/>
        <item x="1114"/>
        <item x="1139"/>
        <item x="39"/>
        <item x="885"/>
        <item x="496"/>
        <item x="435"/>
        <item x="694"/>
        <item x="1236"/>
        <item x="335"/>
        <item x="743"/>
        <item x="803"/>
        <item x="800"/>
        <item x="181"/>
        <item x="847"/>
        <item x="67"/>
        <item x="1084"/>
        <item x="651"/>
        <item x="412"/>
        <item x="253"/>
        <item x="167"/>
        <item x="1121"/>
        <item x="479"/>
        <item x="116"/>
        <item x="952"/>
        <item x="609"/>
        <item x="373"/>
        <item x="363"/>
        <item x="387"/>
        <item x="553"/>
        <item x="701"/>
        <item x="1221"/>
        <item x="598"/>
        <item x="756"/>
        <item x="721"/>
        <item x="548"/>
        <item x="131"/>
        <item x="188"/>
        <item x="595"/>
        <item x="184"/>
        <item x="41"/>
        <item x="1312"/>
        <item x="782"/>
        <item x="272"/>
        <item x="696"/>
        <item x="18"/>
        <item x="861"/>
        <item x="636"/>
        <item x="972"/>
        <item x="1016"/>
        <item x="1190"/>
        <item x="172"/>
        <item x="558"/>
        <item x="1192"/>
        <item x="146"/>
        <item x="31"/>
        <item x="678"/>
        <item x="1175"/>
        <item x="279"/>
        <item x="804"/>
        <item x="605"/>
        <item x="754"/>
        <item x="445"/>
        <item x="707"/>
        <item x="1231"/>
        <item x="1306"/>
        <item x="579"/>
        <item x="883"/>
        <item x="173"/>
        <item x="993"/>
        <item x="880"/>
        <item x="61"/>
        <item x="878"/>
        <item x="450"/>
        <item x="734"/>
        <item x="663"/>
        <item x="6"/>
        <item x="165"/>
        <item x="1066"/>
        <item x="1290"/>
        <item x="758"/>
        <item x="691"/>
        <item x="1301"/>
        <item x="1173"/>
        <item x="1194"/>
        <item x="571"/>
        <item x="185"/>
        <item x="132"/>
        <item x="925"/>
        <item x="546"/>
        <item x="88"/>
        <item x="152"/>
        <item x="187"/>
        <item x="278"/>
        <item x="210"/>
        <item x="138"/>
        <item x="1014"/>
        <item x="226"/>
        <item x="261"/>
        <item x="425"/>
        <item x="1030"/>
        <item x="352"/>
        <item x="360"/>
        <item x="1104"/>
        <item x="744"/>
        <item x="791"/>
        <item x="1202"/>
        <item x="1091"/>
        <item x="512"/>
        <item x="638"/>
        <item x="1130"/>
        <item x="288"/>
        <item x="956"/>
        <item x="233"/>
        <item x="336"/>
        <item x="818"/>
        <item x="380"/>
        <item x="802"/>
        <item x="148"/>
        <item x="708"/>
        <item x="533"/>
        <item x="1068"/>
        <item x="964"/>
        <item x="498"/>
        <item x="337"/>
        <item x="517"/>
        <item x="318"/>
        <item x="1256"/>
        <item x="1005"/>
        <item x="117"/>
        <item x="463"/>
        <item x="887"/>
        <item x="537"/>
        <item x="354"/>
        <item x="468"/>
        <item x="690"/>
        <item x="946"/>
        <item x="1149"/>
        <item x="391"/>
        <item x="596"/>
        <item x="615"/>
        <item x="194"/>
        <item x="247"/>
        <item x="1271"/>
        <item x="603"/>
        <item x="1210"/>
        <item x="362"/>
        <item x="919"/>
        <item x="1279"/>
        <item x="821"/>
        <item x="716"/>
        <item x="168"/>
        <item x="994"/>
        <item x="155"/>
        <item x="1275"/>
        <item x="765"/>
        <item x="499"/>
        <item x="896"/>
        <item x="332"/>
        <item x="1077"/>
        <item x="474"/>
        <item x="134"/>
        <item x="613"/>
        <item x="780"/>
        <item x="781"/>
        <item x="491"/>
        <item x="575"/>
        <item x="1107"/>
        <item x="712"/>
        <item x="259"/>
        <item x="1216"/>
        <item x="1028"/>
        <item x="608"/>
        <item x="735"/>
        <item x="388"/>
        <item x="1110"/>
        <item x="980"/>
        <item x="705"/>
        <item x="657"/>
        <item x="204"/>
        <item x="644"/>
        <item x="238"/>
        <item x="368"/>
        <item x="1086"/>
        <item x="720"/>
        <item x="551"/>
        <item x="1161"/>
        <item x="844"/>
        <item x="943"/>
        <item x="401"/>
        <item x="569"/>
        <item x="293"/>
        <item x="624"/>
        <item x="64"/>
        <item x="395"/>
        <item x="1235"/>
        <item x="948"/>
        <item x="1243"/>
        <item x="693"/>
        <item x="1250"/>
        <item x="527"/>
        <item x="224"/>
        <item x="1270"/>
        <item x="1102"/>
        <item x="473"/>
        <item x="793"/>
        <item x="889"/>
        <item x="122"/>
        <item x="661"/>
        <item x="895"/>
        <item x="541"/>
        <item x="1078"/>
        <item x="10"/>
        <item x="970"/>
        <item x="355"/>
        <item x="357"/>
        <item x="676"/>
        <item x="1085"/>
        <item x="814"/>
        <item x="92"/>
        <item x="911"/>
        <item x="1095"/>
        <item x="1052"/>
        <item x="797"/>
        <item x="953"/>
        <item x="1029"/>
        <item x="582"/>
        <item x="54"/>
        <item x="8"/>
        <item x="1025"/>
        <item x="508"/>
        <item x="1286"/>
        <item x="1099"/>
        <item x="1032"/>
        <item x="52"/>
        <item x="641"/>
        <item x="1101"/>
        <item x="372"/>
        <item x="1188"/>
        <item x="1252"/>
        <item x="251"/>
        <item x="876"/>
        <item x="1076"/>
        <item x="711"/>
        <item x="35"/>
        <item x="960"/>
        <item x="1171"/>
        <item x="484"/>
        <item x="1269"/>
        <item x="682"/>
        <item x="49"/>
        <item x="1214"/>
        <item x="242"/>
        <item x="392"/>
        <item x="140"/>
        <item x="128"/>
        <item x="931"/>
        <item x="1007"/>
        <item x="610"/>
        <item x="282"/>
        <item x="222"/>
        <item x="809"/>
        <item x="482"/>
        <item x="1150"/>
        <item x="976"/>
        <item x="333"/>
        <item x="487"/>
        <item x="1156"/>
        <item x="111"/>
        <item x="645"/>
        <item x="476"/>
        <item x="1063"/>
        <item x="725"/>
        <item x="511"/>
        <item x="1137"/>
        <item x="599"/>
        <item x="843"/>
        <item x="1036"/>
        <item x="349"/>
        <item x="816"/>
        <item x="1265"/>
        <item x="1038"/>
        <item x="105"/>
        <item x="532"/>
        <item x="459"/>
        <item x="824"/>
        <item x="90"/>
        <item x="469"/>
        <item x="954"/>
        <item x="760"/>
        <item x="1310"/>
        <item x="430"/>
        <item x="1136"/>
        <item x="353"/>
        <item x="922"/>
        <item x="967"/>
        <item x="1116"/>
        <item x="420"/>
        <item x="130"/>
        <item x="2"/>
        <item x="753"/>
        <item x="1169"/>
        <item x="60"/>
        <item x="36"/>
        <item x="1061"/>
        <item x="428"/>
        <item x="748"/>
        <item x="110"/>
        <item x="877"/>
        <item x="1117"/>
        <item x="997"/>
        <item x="101"/>
        <item x="206"/>
        <item x="669"/>
        <item x="1227"/>
        <item x="700"/>
        <item x="709"/>
        <item x="938"/>
        <item x="617"/>
        <item x="910"/>
        <item x="1108"/>
        <item x="627"/>
        <item x="554"/>
        <item x="28"/>
        <item x="544"/>
        <item x="594"/>
        <item x="866"/>
        <item x="199"/>
        <item x="300"/>
        <item x="413"/>
        <item x="378"/>
        <item x="81"/>
        <item x="306"/>
        <item x="850"/>
        <item x="136"/>
        <item x="160"/>
        <item x="611"/>
        <item x="862"/>
        <item x="677"/>
        <item x="933"/>
        <item x="294"/>
        <item x="310"/>
        <item x="219"/>
        <item x="345"/>
        <item x="1103"/>
        <item x="514"/>
        <item x="1143"/>
        <item x="455"/>
        <item x="433"/>
        <item x="580"/>
        <item x="154"/>
        <item x="969"/>
        <item x="135"/>
        <item x="70"/>
        <item x="319"/>
        <item x="881"/>
        <item x="706"/>
        <item x="104"/>
        <item x="932"/>
        <item x="281"/>
        <item x="1147"/>
        <item x="668"/>
        <item x="1083"/>
        <item x="22"/>
        <item x="789"/>
        <item x="62"/>
        <item x="741"/>
        <item x="940"/>
        <item x="518"/>
        <item x="757"/>
        <item x="552"/>
        <item x="1230"/>
        <item x="280"/>
        <item x="80"/>
        <item x="1125"/>
        <item x="1081"/>
        <item x="695"/>
        <item x="397"/>
        <item x="91"/>
        <item x="171"/>
        <item x="431"/>
        <item x="591"/>
        <item x="192"/>
        <item x="1282"/>
        <item x="1276"/>
        <item x="248"/>
        <item x="893"/>
        <item x="114"/>
        <item x="1059"/>
        <item x="311"/>
        <item x="864"/>
        <item x="1200"/>
        <item x="350"/>
        <item x="1205"/>
        <item x="1264"/>
        <item x="177"/>
        <item x="1181"/>
        <item x="246"/>
        <item x="570"/>
        <item x="966"/>
        <item x="1133"/>
        <item x="477"/>
        <item x="342"/>
        <item x="619"/>
        <item x="1226"/>
        <item x="1307"/>
        <item x="1285"/>
        <item x="715"/>
        <item x="270"/>
        <item x="794"/>
        <item x="845"/>
        <item x="118"/>
        <item x="785"/>
        <item x="1065"/>
        <item x="309"/>
        <item x="983"/>
        <item x="127"/>
        <item x="746"/>
        <item x="1135"/>
        <item x="996"/>
        <item x="1070"/>
        <item x="846"/>
        <item x="656"/>
        <item x="201"/>
        <item x="1174"/>
        <item x="542"/>
        <item x="1151"/>
        <item x="361"/>
        <item x="543"/>
        <item x="987"/>
        <item x="1278"/>
        <item x="1040"/>
        <item x="367"/>
        <item x="950"/>
        <item x="260"/>
        <item x="749"/>
        <item x="827"/>
        <item x="1258"/>
        <item x="723"/>
        <item x="1259"/>
        <item x="1127"/>
        <item x="113"/>
        <item x="287"/>
        <item x="4"/>
        <item x="1238"/>
        <item x="234"/>
        <item x="1215"/>
        <item x="504"/>
        <item x="1013"/>
        <item x="625"/>
        <item x="501"/>
        <item x="680"/>
        <item x="811"/>
        <item x="87"/>
        <item x="687"/>
        <item x="921"/>
        <item x="1097"/>
        <item x="979"/>
        <item x="974"/>
        <item x="751"/>
        <item x="490"/>
        <item x="912"/>
        <item x="227"/>
        <item x="702"/>
        <item x="590"/>
        <item x="414"/>
        <item x="650"/>
        <item x="147"/>
        <item x="886"/>
        <item x="150"/>
        <item x="163"/>
        <item x="1288"/>
        <item x="963"/>
        <item x="727"/>
        <item x="1003"/>
        <item x="301"/>
        <item x="1041"/>
        <item x="649"/>
        <item x="1153"/>
        <item x="1289"/>
        <item x="494"/>
        <item x="78"/>
        <item x="731"/>
        <item x="1251"/>
        <item x="99"/>
        <item x="989"/>
        <item x="340"/>
        <item x="891"/>
        <item x="402"/>
        <item x="835"/>
        <item x="666"/>
        <item x="673"/>
        <item x="786"/>
        <item x="189"/>
        <item x="622"/>
        <item x="699"/>
        <item x="1294"/>
        <item x="837"/>
        <item x="648"/>
        <item x="564"/>
        <item x="291"/>
        <item x="432"/>
        <item x="1189"/>
        <item x="667"/>
        <item x="1164"/>
        <item x="567"/>
        <item x="1300"/>
        <item x="1020"/>
        <item x="483"/>
        <item x="1123"/>
        <item x="557"/>
        <item x="660"/>
        <item x="1140"/>
        <item x="1120"/>
        <item x="929"/>
        <item x="1246"/>
        <item x="1098"/>
        <item x="1255"/>
        <item x="752"/>
        <item x="1302"/>
        <item x="634"/>
        <item x="217"/>
        <item x="448"/>
        <item x="383"/>
        <item x="95"/>
        <item x="1178"/>
        <item x="1011"/>
        <item x="653"/>
        <item x="75"/>
        <item x="255"/>
        <item x="926"/>
        <item x="1293"/>
        <item x="50"/>
        <item x="151"/>
        <item x="792"/>
        <item x="633"/>
        <item x="339"/>
        <item x="1122"/>
        <item x="903"/>
        <item x="1010"/>
        <item x="481"/>
        <item x="390"/>
        <item x="106"/>
        <item x="267"/>
        <item x="750"/>
        <item x="441"/>
        <item x="115"/>
        <item x="1170"/>
        <item x="21"/>
        <item x="798"/>
        <item x="530"/>
        <item x="937"/>
        <item x="703"/>
        <item x="82"/>
        <item x="66"/>
        <item x="394"/>
        <item x="1046"/>
        <item x="1296"/>
        <item x="865"/>
        <item x="230"/>
        <item x="108"/>
        <item x="991"/>
        <item x="180"/>
        <item x="825"/>
        <item x="717"/>
        <item x="289"/>
        <item x="285"/>
        <item x="829"/>
        <item x="772"/>
        <item x="890"/>
        <item x="1129"/>
        <item x="1050"/>
        <item x="1253"/>
        <item x="316"/>
        <item x="26"/>
        <item x="1201"/>
        <item x="1222"/>
        <item x="438"/>
        <item x="145"/>
        <item x="998"/>
        <item x="632"/>
        <item x="698"/>
        <item x="17"/>
        <item x="331"/>
        <item x="585"/>
        <item x="141"/>
        <item x="308"/>
        <item x="1009"/>
        <item x="612"/>
        <item x="1198"/>
        <item x="859"/>
        <item x="1284"/>
        <item x="1033"/>
        <item x="14"/>
        <item x="297"/>
        <item x="981"/>
        <item x="643"/>
        <item x="329"/>
        <item x="1026"/>
        <item x="1004"/>
        <item x="722"/>
        <item x="263"/>
        <item x="470"/>
        <item x="761"/>
        <item x="1234"/>
        <item x="778"/>
        <item x="40"/>
        <item t="default"/>
      </items>
    </pivotField>
    <pivotField axis="axisPage" multipleItemSelectionAllowed="1" showAll="0">
      <items count="94">
        <item h="1" x="36"/>
        <item h="1" x="51"/>
        <item h="1" x="83"/>
        <item h="1" x="88"/>
        <item h="1" x="54"/>
        <item h="1" x="34"/>
        <item h="1" x="69"/>
        <item h="1" x="9"/>
        <item h="1" x="25"/>
        <item h="1" x="43"/>
        <item h="1" x="86"/>
        <item h="1" x="75"/>
        <item h="1" x="10"/>
        <item h="1" x="0"/>
        <item h="1" x="30"/>
        <item h="1" x="46"/>
        <item h="1" x="20"/>
        <item h="1" x="65"/>
        <item h="1" x="89"/>
        <item x="16"/>
        <item h="1" x="29"/>
        <item h="1" x="70"/>
        <item h="1" x="81"/>
        <item h="1" x="47"/>
        <item h="1" x="18"/>
        <item h="1" x="82"/>
        <item h="1" x="71"/>
        <item h="1" x="39"/>
        <item h="1" x="26"/>
        <item h="1" x="78"/>
        <item h="1" x="14"/>
        <item h="1" x="7"/>
        <item h="1" x="38"/>
        <item h="1" x="5"/>
        <item h="1" x="45"/>
        <item h="1" x="92"/>
        <item h="1" x="1"/>
        <item h="1" x="4"/>
        <item h="1" x="49"/>
        <item x="21"/>
        <item h="1" x="56"/>
        <item h="1" x="17"/>
        <item h="1" x="90"/>
        <item h="1" x="66"/>
        <item h="1" x="48"/>
        <item h="1" x="6"/>
        <item h="1" x="85"/>
        <item h="1" x="58"/>
        <item h="1" x="28"/>
        <item h="1" x="60"/>
        <item h="1" x="41"/>
        <item h="1" x="80"/>
        <item h="1" x="87"/>
        <item h="1" x="35"/>
        <item h="1" x="44"/>
        <item h="1" x="40"/>
        <item h="1" x="73"/>
        <item h="1" x="57"/>
        <item h="1" x="67"/>
        <item h="1" x="27"/>
        <item h="1" x="24"/>
        <item h="1" x="52"/>
        <item h="1" x="63"/>
        <item h="1" x="76"/>
        <item h="1" x="62"/>
        <item h="1" x="15"/>
        <item h="1" x="68"/>
        <item h="1" x="37"/>
        <item h="1" x="3"/>
        <item h="1" x="53"/>
        <item h="1" x="33"/>
        <item h="1" x="23"/>
        <item h="1" x="64"/>
        <item h="1" x="22"/>
        <item h="1" x="55"/>
        <item h="1" x="74"/>
        <item h="1" x="61"/>
        <item h="1" x="91"/>
        <item h="1" x="84"/>
        <item h="1" x="79"/>
        <item h="1" x="8"/>
        <item h="1" x="42"/>
        <item h="1" x="72"/>
        <item h="1" x="19"/>
        <item h="1" x="13"/>
        <item h="1" x="77"/>
        <item x="2"/>
        <item h="1" x="59"/>
        <item h="1" x="31"/>
        <item h="1" x="11"/>
        <item h="1" x="32"/>
        <item x="12"/>
        <item h="1" x="50"/>
        <item t="default"/>
      </items>
    </pivotField>
    <pivotField numFmtId="22" showAll="0"/>
    <pivotField axis="axisRow" numFmtId="1" showAll="0">
      <items count="4">
        <item x="2"/>
        <item x="1"/>
        <item x="0"/>
        <item t="default"/>
      </items>
    </pivotField>
    <pivotField axis="axisCol" showAll="0">
      <items count="13">
        <item x="6"/>
        <item x="10"/>
        <item x="5"/>
        <item x="4"/>
        <item x="11"/>
        <item x="2"/>
        <item x="0"/>
        <item x="3"/>
        <item x="9"/>
        <item x="1"/>
        <item x="7"/>
        <item x="8"/>
        <item t="default"/>
      </items>
    </pivotField>
    <pivotField showAll="0"/>
    <pivotField showAll="0"/>
    <pivotField axis="axisRow" showAll="0">
      <items count="11">
        <item x="4"/>
        <item x="0"/>
        <item x="1"/>
        <item x="6"/>
        <item x="3"/>
        <item x="8"/>
        <item x="2"/>
        <item x="7"/>
        <item x="9"/>
        <item x="5"/>
        <item t="default"/>
      </items>
    </pivotField>
    <pivotField numFmtId="164" showAll="0"/>
    <pivotField dataField="1" numFmtId="44" showAll="0"/>
  </pivotFields>
  <rowFields count="2">
    <field x="10"/>
    <field x="14"/>
  </rowFields>
  <rowItems count="34">
    <i>
      <x/>
    </i>
    <i r="1">
      <x/>
    </i>
    <i r="1">
      <x v="1"/>
    </i>
    <i r="1">
      <x v="2"/>
    </i>
    <i r="1">
      <x v="3"/>
    </i>
    <i r="1">
      <x v="4"/>
    </i>
    <i r="1">
      <x v="5"/>
    </i>
    <i r="1">
      <x v="6"/>
    </i>
    <i r="1">
      <x v="7"/>
    </i>
    <i r="1">
      <x v="8"/>
    </i>
    <i r="1">
      <x v="9"/>
    </i>
    <i>
      <x v="1"/>
    </i>
    <i r="1">
      <x/>
    </i>
    <i r="1">
      <x v="1"/>
    </i>
    <i r="1">
      <x v="2"/>
    </i>
    <i r="1">
      <x v="3"/>
    </i>
    <i r="1">
      <x v="4"/>
    </i>
    <i r="1">
      <x v="5"/>
    </i>
    <i r="1">
      <x v="6"/>
    </i>
    <i r="1">
      <x v="7"/>
    </i>
    <i r="1">
      <x v="8"/>
    </i>
    <i r="1">
      <x v="9"/>
    </i>
    <i>
      <x v="2"/>
    </i>
    <i r="1">
      <x/>
    </i>
    <i r="1">
      <x v="1"/>
    </i>
    <i r="1">
      <x v="2"/>
    </i>
    <i r="1">
      <x v="3"/>
    </i>
    <i r="1">
      <x v="4"/>
    </i>
    <i r="1">
      <x v="5"/>
    </i>
    <i r="1">
      <x v="6"/>
    </i>
    <i r="1">
      <x v="7"/>
    </i>
    <i r="1">
      <x v="8"/>
    </i>
    <i r="1">
      <x v="9"/>
    </i>
    <i t="grand">
      <x/>
    </i>
  </rowItems>
  <colFields count="1">
    <field x="11"/>
  </colFields>
  <colItems count="13">
    <i>
      <x/>
    </i>
    <i>
      <x v="1"/>
    </i>
    <i>
      <x v="2"/>
    </i>
    <i>
      <x v="3"/>
    </i>
    <i>
      <x v="4"/>
    </i>
    <i>
      <x v="5"/>
    </i>
    <i>
      <x v="6"/>
    </i>
    <i>
      <x v="7"/>
    </i>
    <i>
      <x v="8"/>
    </i>
    <i>
      <x v="9"/>
    </i>
    <i>
      <x v="10"/>
    </i>
    <i>
      <x v="11"/>
    </i>
    <i t="grand">
      <x/>
    </i>
  </colItems>
  <pageFields count="1">
    <pageField fld="8" hier="-1"/>
  </pageFields>
  <dataFields count="1">
    <dataField name="Sum of Total Order Value" fld="16" baseField="0" baseItem="0" numFmtId="44"/>
  </dataFields>
  <formats count="74">
    <format dxfId="250">
      <pivotArea type="all" dataOnly="0" outline="0" fieldPosition="0"/>
    </format>
    <format dxfId="249">
      <pivotArea outline="0" collapsedLevelsAreSubtotals="1" fieldPosition="0"/>
    </format>
    <format dxfId="248">
      <pivotArea type="origin" dataOnly="0" labelOnly="1" outline="0" fieldPosition="0"/>
    </format>
    <format dxfId="247">
      <pivotArea field="11" type="button" dataOnly="0" labelOnly="1" outline="0" axis="axisCol" fieldPosition="0"/>
    </format>
    <format dxfId="246">
      <pivotArea type="topRight" dataOnly="0" labelOnly="1" outline="0" fieldPosition="0"/>
    </format>
    <format dxfId="245">
      <pivotArea field="10" type="button" dataOnly="0" labelOnly="1" outline="0" axis="axisRow" fieldPosition="0"/>
    </format>
    <format dxfId="244">
      <pivotArea dataOnly="0" labelOnly="1" fieldPosition="0">
        <references count="1">
          <reference field="10" count="0"/>
        </references>
      </pivotArea>
    </format>
    <format dxfId="243">
      <pivotArea dataOnly="0" labelOnly="1" grandRow="1" outline="0" fieldPosition="0"/>
    </format>
    <format dxfId="242">
      <pivotArea dataOnly="0" labelOnly="1" fieldPosition="0">
        <references count="2">
          <reference field="10" count="1" selected="0">
            <x v="0"/>
          </reference>
          <reference field="14" count="0"/>
        </references>
      </pivotArea>
    </format>
    <format dxfId="241">
      <pivotArea dataOnly="0" labelOnly="1" fieldPosition="0">
        <references count="2">
          <reference field="10" count="1" selected="0">
            <x v="1"/>
          </reference>
          <reference field="14" count="0"/>
        </references>
      </pivotArea>
    </format>
    <format dxfId="240">
      <pivotArea dataOnly="0" labelOnly="1" fieldPosition="0">
        <references count="2">
          <reference field="10" count="1" selected="0">
            <x v="2"/>
          </reference>
          <reference field="14" count="0"/>
        </references>
      </pivotArea>
    </format>
    <format dxfId="239">
      <pivotArea dataOnly="0" labelOnly="1" fieldPosition="0">
        <references count="1">
          <reference field="11" count="0"/>
        </references>
      </pivotArea>
    </format>
    <format dxfId="238">
      <pivotArea dataOnly="0" labelOnly="1" grandCol="1" outline="0" fieldPosition="0"/>
    </format>
    <format dxfId="237">
      <pivotArea outline="0" collapsedLevelsAreSubtotals="1" fieldPosition="0"/>
    </format>
    <format dxfId="236">
      <pivotArea type="origin" dataOnly="0" labelOnly="1" outline="0" fieldPosition="0"/>
    </format>
    <format dxfId="235">
      <pivotArea field="11" type="button" dataOnly="0" labelOnly="1" outline="0" axis="axisCol" fieldPosition="0"/>
    </format>
    <format dxfId="234">
      <pivotArea type="topRight" dataOnly="0" labelOnly="1" outline="0" fieldPosition="0"/>
    </format>
    <format dxfId="233">
      <pivotArea field="10" type="button" dataOnly="0" labelOnly="1" outline="0" axis="axisRow" fieldPosition="0"/>
    </format>
    <format dxfId="232">
      <pivotArea dataOnly="0" labelOnly="1" fieldPosition="0">
        <references count="1">
          <reference field="11" count="0"/>
        </references>
      </pivotArea>
    </format>
    <format dxfId="231">
      <pivotArea dataOnly="0" labelOnly="1" grandCol="1" outline="0" fieldPosition="0"/>
    </format>
    <format dxfId="230">
      <pivotArea type="all" dataOnly="0" outline="0" fieldPosition="0"/>
    </format>
    <format dxfId="229">
      <pivotArea outline="0" collapsedLevelsAreSubtotals="1" fieldPosition="0"/>
    </format>
    <format dxfId="228">
      <pivotArea type="origin" dataOnly="0" labelOnly="1" outline="0" fieldPosition="0"/>
    </format>
    <format dxfId="227">
      <pivotArea field="11" type="button" dataOnly="0" labelOnly="1" outline="0" axis="axisCol" fieldPosition="0"/>
    </format>
    <format dxfId="226">
      <pivotArea type="topRight" dataOnly="0" labelOnly="1" outline="0" fieldPosition="0"/>
    </format>
    <format dxfId="225">
      <pivotArea field="10" type="button" dataOnly="0" labelOnly="1" outline="0" axis="axisRow" fieldPosition="0"/>
    </format>
    <format dxfId="224">
      <pivotArea dataOnly="0" labelOnly="1" fieldPosition="0">
        <references count="1">
          <reference field="10" count="0"/>
        </references>
      </pivotArea>
    </format>
    <format dxfId="223">
      <pivotArea dataOnly="0" labelOnly="1" grandRow="1" outline="0" fieldPosition="0"/>
    </format>
    <format dxfId="222">
      <pivotArea dataOnly="0" labelOnly="1" fieldPosition="0">
        <references count="2">
          <reference field="10" count="1" selected="0">
            <x v="0"/>
          </reference>
          <reference field="14" count="0"/>
        </references>
      </pivotArea>
    </format>
    <format dxfId="221">
      <pivotArea dataOnly="0" labelOnly="1" fieldPosition="0">
        <references count="2">
          <reference field="10" count="1" selected="0">
            <x v="1"/>
          </reference>
          <reference field="14" count="0"/>
        </references>
      </pivotArea>
    </format>
    <format dxfId="220">
      <pivotArea dataOnly="0" labelOnly="1" fieldPosition="0">
        <references count="2">
          <reference field="10" count="1" selected="0">
            <x v="2"/>
          </reference>
          <reference field="14" count="0"/>
        </references>
      </pivotArea>
    </format>
    <format dxfId="219">
      <pivotArea dataOnly="0" labelOnly="1" fieldPosition="0">
        <references count="1">
          <reference field="11" count="0"/>
        </references>
      </pivotArea>
    </format>
    <format dxfId="218">
      <pivotArea dataOnly="0" labelOnly="1" grandCol="1" outline="0" fieldPosition="0"/>
    </format>
    <format dxfId="217">
      <pivotArea dataOnly="0" labelOnly="1" fieldPosition="0">
        <references count="1">
          <reference field="11" count="0"/>
        </references>
      </pivotArea>
    </format>
    <format dxfId="216">
      <pivotArea dataOnly="0" labelOnly="1" grandCol="1" outline="0" fieldPosition="0"/>
    </format>
    <format dxfId="215">
      <pivotArea collapsedLevelsAreSubtotals="1" fieldPosition="0">
        <references count="1">
          <reference field="10" count="1">
            <x v="0"/>
          </reference>
        </references>
      </pivotArea>
    </format>
    <format dxfId="214">
      <pivotArea dataOnly="0" labelOnly="1" fieldPosition="0">
        <references count="1">
          <reference field="10" count="1">
            <x v="0"/>
          </reference>
        </references>
      </pivotArea>
    </format>
    <format dxfId="213">
      <pivotArea collapsedLevelsAreSubtotals="1" fieldPosition="0">
        <references count="1">
          <reference field="10" count="1">
            <x v="1"/>
          </reference>
        </references>
      </pivotArea>
    </format>
    <format dxfId="212">
      <pivotArea dataOnly="0" labelOnly="1" fieldPosition="0">
        <references count="1">
          <reference field="10" count="1">
            <x v="1"/>
          </reference>
        </references>
      </pivotArea>
    </format>
    <format dxfId="211">
      <pivotArea collapsedLevelsAreSubtotals="1" fieldPosition="0">
        <references count="1">
          <reference field="10" count="1">
            <x v="2"/>
          </reference>
        </references>
      </pivotArea>
    </format>
    <format dxfId="210">
      <pivotArea dataOnly="0" labelOnly="1" fieldPosition="0">
        <references count="1">
          <reference field="10" count="1">
            <x v="2"/>
          </reference>
        </references>
      </pivotArea>
    </format>
    <format dxfId="209">
      <pivotArea grandRow="1" outline="0" collapsedLevelsAreSubtotals="1" fieldPosition="0"/>
    </format>
    <format dxfId="208">
      <pivotArea dataOnly="0" labelOnly="1" grandRow="1" outline="0" fieldPosition="0"/>
    </format>
    <format dxfId="207">
      <pivotArea collapsedLevelsAreSubtotals="1" fieldPosition="0">
        <references count="1">
          <reference field="10" count="1">
            <x v="0"/>
          </reference>
        </references>
      </pivotArea>
    </format>
    <format dxfId="206">
      <pivotArea collapsedLevelsAreSubtotals="1" fieldPosition="0">
        <references count="1">
          <reference field="10" count="1">
            <x v="1"/>
          </reference>
        </references>
      </pivotArea>
    </format>
    <format dxfId="205">
      <pivotArea dataOnly="0" labelOnly="1" fieldPosition="0">
        <references count="1">
          <reference field="10" count="1">
            <x v="0"/>
          </reference>
        </references>
      </pivotArea>
    </format>
    <format dxfId="204">
      <pivotArea dataOnly="0" labelOnly="1" fieldPosition="0">
        <references count="1">
          <reference field="10" count="1">
            <x v="1"/>
          </reference>
        </references>
      </pivotArea>
    </format>
    <format dxfId="203">
      <pivotArea collapsedLevelsAreSubtotals="1" fieldPosition="0">
        <references count="1">
          <reference field="10" count="1">
            <x v="2"/>
          </reference>
        </references>
      </pivotArea>
    </format>
    <format dxfId="202">
      <pivotArea dataOnly="0" labelOnly="1" fieldPosition="0">
        <references count="1">
          <reference field="10" count="1">
            <x v="2"/>
          </reference>
        </references>
      </pivotArea>
    </format>
    <format dxfId="201">
      <pivotArea grandRow="1" outline="0" collapsedLevelsAreSubtotals="1" fieldPosition="0"/>
    </format>
    <format dxfId="200">
      <pivotArea dataOnly="0" labelOnly="1" grandRow="1" outline="0" fieldPosition="0"/>
    </format>
    <format dxfId="199">
      <pivotArea collapsedLevelsAreSubtotals="1" fieldPosition="0">
        <references count="1">
          <reference field="10" count="1">
            <x v="0"/>
          </reference>
        </references>
      </pivotArea>
    </format>
    <format dxfId="198">
      <pivotArea dataOnly="0" labelOnly="1" fieldPosition="0">
        <references count="1">
          <reference field="10" count="1">
            <x v="0"/>
          </reference>
        </references>
      </pivotArea>
    </format>
    <format dxfId="197">
      <pivotArea collapsedLevelsAreSubtotals="1" fieldPosition="0">
        <references count="1">
          <reference field="10" count="1">
            <x v="2"/>
          </reference>
        </references>
      </pivotArea>
    </format>
    <format dxfId="196">
      <pivotArea dataOnly="0" labelOnly="1" fieldPosition="0">
        <references count="1">
          <reference field="10" count="1">
            <x v="2"/>
          </reference>
        </references>
      </pivotArea>
    </format>
    <format dxfId="195">
      <pivotArea type="origin" dataOnly="0" labelOnly="1" outline="0" fieldPosition="0"/>
    </format>
    <format dxfId="194">
      <pivotArea field="11" type="button" dataOnly="0" labelOnly="1" outline="0" axis="axisCol" fieldPosition="0"/>
    </format>
    <format dxfId="193">
      <pivotArea type="topRight" dataOnly="0" labelOnly="1" outline="0" fieldPosition="0"/>
    </format>
    <format dxfId="192">
      <pivotArea field="10" type="button" dataOnly="0" labelOnly="1" outline="0" axis="axisRow" fieldPosition="0"/>
    </format>
    <format dxfId="191">
      <pivotArea dataOnly="0" labelOnly="1" fieldPosition="0">
        <references count="1">
          <reference field="11" count="0"/>
        </references>
      </pivotArea>
    </format>
    <format dxfId="190">
      <pivotArea dataOnly="0" labelOnly="1" grandCol="1" outline="0" fieldPosition="0"/>
    </format>
    <format dxfId="189">
      <pivotArea type="origin" dataOnly="0" labelOnly="1" outline="0" fieldPosition="0"/>
    </format>
    <format dxfId="188">
      <pivotArea field="11" type="button" dataOnly="0" labelOnly="1" outline="0" axis="axisCol" fieldPosition="0"/>
    </format>
    <format dxfId="187">
      <pivotArea type="topRight" dataOnly="0" labelOnly="1" outline="0" fieldPosition="0"/>
    </format>
    <format dxfId="186">
      <pivotArea field="10" type="button" dataOnly="0" labelOnly="1" outline="0" axis="axisRow" fieldPosition="0"/>
    </format>
    <format dxfId="185">
      <pivotArea dataOnly="0" labelOnly="1" fieldPosition="0">
        <references count="1">
          <reference field="11" count="0"/>
        </references>
      </pivotArea>
    </format>
    <format dxfId="184">
      <pivotArea dataOnly="0" labelOnly="1" grandCol="1" outline="0" fieldPosition="0"/>
    </format>
    <format dxfId="183">
      <pivotArea collapsedLevelsAreSubtotals="1" fieldPosition="0">
        <references count="1">
          <reference field="10" count="1">
            <x v="1"/>
          </reference>
        </references>
      </pivotArea>
    </format>
    <format dxfId="182">
      <pivotArea collapsedLevelsAreSubtotals="1" fieldPosition="0">
        <references count="1">
          <reference field="10" count="1">
            <x v="1"/>
          </reference>
        </references>
      </pivotArea>
    </format>
    <format dxfId="181">
      <pivotArea grandRow="1" outline="0" collapsedLevelsAreSubtotals="1" fieldPosition="0"/>
    </format>
    <format dxfId="180">
      <pivotArea dataOnly="0" labelOnly="1" grandRow="1" outline="0" fieldPosition="0"/>
    </format>
    <format dxfId="179">
      <pivotArea grandRow="1" outline="0" collapsedLevelsAreSubtotals="1" fieldPosition="0"/>
    </format>
    <format dxfId="178">
      <pivotArea dataOnly="0" labelOnly="1" grandRow="1" outline="0" fieldPosition="0"/>
    </format>
    <format dxfId="177">
      <pivotArea dataOnly="0" labelOnly="1" fieldPosition="0">
        <references count="1">
          <reference field="10" count="1">
            <x v="1"/>
          </reference>
        </references>
      </pivotArea>
    </format>
  </formats>
  <chartFormats count="373">
    <chartFormat chart="8" format="418" series="1">
      <pivotArea type="data" outline="0" fieldPosition="0">
        <references count="2">
          <reference field="4294967294" count="1" selected="0">
            <x v="0"/>
          </reference>
          <reference field="11" count="1" selected="0">
            <x v="0"/>
          </reference>
        </references>
      </pivotArea>
    </chartFormat>
    <chartFormat chart="8" format="419">
      <pivotArea type="data" outline="0" fieldPosition="0">
        <references count="4">
          <reference field="4294967294" count="1" selected="0">
            <x v="0"/>
          </reference>
          <reference field="10" count="1" selected="0">
            <x v="0"/>
          </reference>
          <reference field="11" count="1" selected="0">
            <x v="0"/>
          </reference>
          <reference field="14" count="1" selected="0">
            <x v="0"/>
          </reference>
        </references>
      </pivotArea>
    </chartFormat>
    <chartFormat chart="8" format="420">
      <pivotArea type="data" outline="0" fieldPosition="0">
        <references count="4">
          <reference field="4294967294" count="1" selected="0">
            <x v="0"/>
          </reference>
          <reference field="10" count="1" selected="0">
            <x v="0"/>
          </reference>
          <reference field="11" count="1" selected="0">
            <x v="0"/>
          </reference>
          <reference field="14" count="1" selected="0">
            <x v="1"/>
          </reference>
        </references>
      </pivotArea>
    </chartFormat>
    <chartFormat chart="8" format="421">
      <pivotArea type="data" outline="0" fieldPosition="0">
        <references count="4">
          <reference field="4294967294" count="1" selected="0">
            <x v="0"/>
          </reference>
          <reference field="10" count="1" selected="0">
            <x v="0"/>
          </reference>
          <reference field="11" count="1" selected="0">
            <x v="0"/>
          </reference>
          <reference field="14" count="1" selected="0">
            <x v="2"/>
          </reference>
        </references>
      </pivotArea>
    </chartFormat>
    <chartFormat chart="8" format="422">
      <pivotArea type="data" outline="0" fieldPosition="0">
        <references count="4">
          <reference field="4294967294" count="1" selected="0">
            <x v="0"/>
          </reference>
          <reference field="10" count="1" selected="0">
            <x v="0"/>
          </reference>
          <reference field="11" count="1" selected="0">
            <x v="0"/>
          </reference>
          <reference field="14" count="1" selected="0">
            <x v="3"/>
          </reference>
        </references>
      </pivotArea>
    </chartFormat>
    <chartFormat chart="8" format="423">
      <pivotArea type="data" outline="0" fieldPosition="0">
        <references count="4">
          <reference field="4294967294" count="1" selected="0">
            <x v="0"/>
          </reference>
          <reference field="10" count="1" selected="0">
            <x v="0"/>
          </reference>
          <reference field="11" count="1" selected="0">
            <x v="0"/>
          </reference>
          <reference field="14" count="1" selected="0">
            <x v="4"/>
          </reference>
        </references>
      </pivotArea>
    </chartFormat>
    <chartFormat chart="8" format="424">
      <pivotArea type="data" outline="0" fieldPosition="0">
        <references count="4">
          <reference field="4294967294" count="1" selected="0">
            <x v="0"/>
          </reference>
          <reference field="10" count="1" selected="0">
            <x v="0"/>
          </reference>
          <reference field="11" count="1" selected="0">
            <x v="0"/>
          </reference>
          <reference field="14" count="1" selected="0">
            <x v="5"/>
          </reference>
        </references>
      </pivotArea>
    </chartFormat>
    <chartFormat chart="8" format="425">
      <pivotArea type="data" outline="0" fieldPosition="0">
        <references count="4">
          <reference field="4294967294" count="1" selected="0">
            <x v="0"/>
          </reference>
          <reference field="10" count="1" selected="0">
            <x v="0"/>
          </reference>
          <reference field="11" count="1" selected="0">
            <x v="0"/>
          </reference>
          <reference field="14" count="1" selected="0">
            <x v="6"/>
          </reference>
        </references>
      </pivotArea>
    </chartFormat>
    <chartFormat chart="8" format="426">
      <pivotArea type="data" outline="0" fieldPosition="0">
        <references count="4">
          <reference field="4294967294" count="1" selected="0">
            <x v="0"/>
          </reference>
          <reference field="10" count="1" selected="0">
            <x v="0"/>
          </reference>
          <reference field="11" count="1" selected="0">
            <x v="0"/>
          </reference>
          <reference field="14" count="1" selected="0">
            <x v="7"/>
          </reference>
        </references>
      </pivotArea>
    </chartFormat>
    <chartFormat chart="8" format="427">
      <pivotArea type="data" outline="0" fieldPosition="0">
        <references count="4">
          <reference field="4294967294" count="1" selected="0">
            <x v="0"/>
          </reference>
          <reference field="10" count="1" selected="0">
            <x v="0"/>
          </reference>
          <reference field="11" count="1" selected="0">
            <x v="0"/>
          </reference>
          <reference field="14" count="1" selected="0">
            <x v="8"/>
          </reference>
        </references>
      </pivotArea>
    </chartFormat>
    <chartFormat chart="8" format="428">
      <pivotArea type="data" outline="0" fieldPosition="0">
        <references count="4">
          <reference field="4294967294" count="1" selected="0">
            <x v="0"/>
          </reference>
          <reference field="10" count="1" selected="0">
            <x v="0"/>
          </reference>
          <reference field="11" count="1" selected="0">
            <x v="0"/>
          </reference>
          <reference field="14" count="1" selected="0">
            <x v="9"/>
          </reference>
        </references>
      </pivotArea>
    </chartFormat>
    <chartFormat chart="8" format="429">
      <pivotArea type="data" outline="0" fieldPosition="0">
        <references count="4">
          <reference field="4294967294" count="1" selected="0">
            <x v="0"/>
          </reference>
          <reference field="10" count="1" selected="0">
            <x v="1"/>
          </reference>
          <reference field="11" count="1" selected="0">
            <x v="0"/>
          </reference>
          <reference field="14" count="1" selected="0">
            <x v="0"/>
          </reference>
        </references>
      </pivotArea>
    </chartFormat>
    <chartFormat chart="8" format="430">
      <pivotArea type="data" outline="0" fieldPosition="0">
        <references count="4">
          <reference field="4294967294" count="1" selected="0">
            <x v="0"/>
          </reference>
          <reference field="10" count="1" selected="0">
            <x v="1"/>
          </reference>
          <reference field="11" count="1" selected="0">
            <x v="0"/>
          </reference>
          <reference field="14" count="1" selected="0">
            <x v="1"/>
          </reference>
        </references>
      </pivotArea>
    </chartFormat>
    <chartFormat chart="8" format="431">
      <pivotArea type="data" outline="0" fieldPosition="0">
        <references count="4">
          <reference field="4294967294" count="1" selected="0">
            <x v="0"/>
          </reference>
          <reference field="10" count="1" selected="0">
            <x v="1"/>
          </reference>
          <reference field="11" count="1" selected="0">
            <x v="0"/>
          </reference>
          <reference field="14" count="1" selected="0">
            <x v="2"/>
          </reference>
        </references>
      </pivotArea>
    </chartFormat>
    <chartFormat chart="8" format="432">
      <pivotArea type="data" outline="0" fieldPosition="0">
        <references count="4">
          <reference field="4294967294" count="1" selected="0">
            <x v="0"/>
          </reference>
          <reference field="10" count="1" selected="0">
            <x v="1"/>
          </reference>
          <reference field="11" count="1" selected="0">
            <x v="0"/>
          </reference>
          <reference field="14" count="1" selected="0">
            <x v="3"/>
          </reference>
        </references>
      </pivotArea>
    </chartFormat>
    <chartFormat chart="8" format="433">
      <pivotArea type="data" outline="0" fieldPosition="0">
        <references count="4">
          <reference field="4294967294" count="1" selected="0">
            <x v="0"/>
          </reference>
          <reference field="10" count="1" selected="0">
            <x v="1"/>
          </reference>
          <reference field="11" count="1" selected="0">
            <x v="0"/>
          </reference>
          <reference field="14" count="1" selected="0">
            <x v="4"/>
          </reference>
        </references>
      </pivotArea>
    </chartFormat>
    <chartFormat chart="8" format="434">
      <pivotArea type="data" outline="0" fieldPosition="0">
        <references count="4">
          <reference field="4294967294" count="1" selected="0">
            <x v="0"/>
          </reference>
          <reference field="10" count="1" selected="0">
            <x v="1"/>
          </reference>
          <reference field="11" count="1" selected="0">
            <x v="0"/>
          </reference>
          <reference field="14" count="1" selected="0">
            <x v="5"/>
          </reference>
        </references>
      </pivotArea>
    </chartFormat>
    <chartFormat chart="8" format="435">
      <pivotArea type="data" outline="0" fieldPosition="0">
        <references count="4">
          <reference field="4294967294" count="1" selected="0">
            <x v="0"/>
          </reference>
          <reference field="10" count="1" selected="0">
            <x v="1"/>
          </reference>
          <reference field="11" count="1" selected="0">
            <x v="0"/>
          </reference>
          <reference field="14" count="1" selected="0">
            <x v="6"/>
          </reference>
        </references>
      </pivotArea>
    </chartFormat>
    <chartFormat chart="8" format="436">
      <pivotArea type="data" outline="0" fieldPosition="0">
        <references count="4">
          <reference field="4294967294" count="1" selected="0">
            <x v="0"/>
          </reference>
          <reference field="10" count="1" selected="0">
            <x v="1"/>
          </reference>
          <reference field="11" count="1" selected="0">
            <x v="0"/>
          </reference>
          <reference field="14" count="1" selected="0">
            <x v="7"/>
          </reference>
        </references>
      </pivotArea>
    </chartFormat>
    <chartFormat chart="8" format="437">
      <pivotArea type="data" outline="0" fieldPosition="0">
        <references count="4">
          <reference field="4294967294" count="1" selected="0">
            <x v="0"/>
          </reference>
          <reference field="10" count="1" selected="0">
            <x v="1"/>
          </reference>
          <reference field="11" count="1" selected="0">
            <x v="0"/>
          </reference>
          <reference field="14" count="1" selected="0">
            <x v="8"/>
          </reference>
        </references>
      </pivotArea>
    </chartFormat>
    <chartFormat chart="8" format="438">
      <pivotArea type="data" outline="0" fieldPosition="0">
        <references count="4">
          <reference field="4294967294" count="1" selected="0">
            <x v="0"/>
          </reference>
          <reference field="10" count="1" selected="0">
            <x v="1"/>
          </reference>
          <reference field="11" count="1" selected="0">
            <x v="0"/>
          </reference>
          <reference field="14" count="1" selected="0">
            <x v="9"/>
          </reference>
        </references>
      </pivotArea>
    </chartFormat>
    <chartFormat chart="8" format="439">
      <pivotArea type="data" outline="0" fieldPosition="0">
        <references count="4">
          <reference field="4294967294" count="1" selected="0">
            <x v="0"/>
          </reference>
          <reference field="10" count="1" selected="0">
            <x v="2"/>
          </reference>
          <reference field="11" count="1" selected="0">
            <x v="0"/>
          </reference>
          <reference field="14" count="1" selected="0">
            <x v="0"/>
          </reference>
        </references>
      </pivotArea>
    </chartFormat>
    <chartFormat chart="8" format="440">
      <pivotArea type="data" outline="0" fieldPosition="0">
        <references count="4">
          <reference field="4294967294" count="1" selected="0">
            <x v="0"/>
          </reference>
          <reference field="10" count="1" selected="0">
            <x v="2"/>
          </reference>
          <reference field="11" count="1" selected="0">
            <x v="0"/>
          </reference>
          <reference field="14" count="1" selected="0">
            <x v="1"/>
          </reference>
        </references>
      </pivotArea>
    </chartFormat>
    <chartFormat chart="8" format="441">
      <pivotArea type="data" outline="0" fieldPosition="0">
        <references count="4">
          <reference field="4294967294" count="1" selected="0">
            <x v="0"/>
          </reference>
          <reference field="10" count="1" selected="0">
            <x v="2"/>
          </reference>
          <reference field="11" count="1" selected="0">
            <x v="0"/>
          </reference>
          <reference field="14" count="1" selected="0">
            <x v="2"/>
          </reference>
        </references>
      </pivotArea>
    </chartFormat>
    <chartFormat chart="8" format="442">
      <pivotArea type="data" outline="0" fieldPosition="0">
        <references count="4">
          <reference field="4294967294" count="1" selected="0">
            <x v="0"/>
          </reference>
          <reference field="10" count="1" selected="0">
            <x v="2"/>
          </reference>
          <reference field="11" count="1" selected="0">
            <x v="0"/>
          </reference>
          <reference field="14" count="1" selected="0">
            <x v="3"/>
          </reference>
        </references>
      </pivotArea>
    </chartFormat>
    <chartFormat chart="8" format="443">
      <pivotArea type="data" outline="0" fieldPosition="0">
        <references count="4">
          <reference field="4294967294" count="1" selected="0">
            <x v="0"/>
          </reference>
          <reference field="10" count="1" selected="0">
            <x v="2"/>
          </reference>
          <reference field="11" count="1" selected="0">
            <x v="0"/>
          </reference>
          <reference field="14" count="1" selected="0">
            <x v="4"/>
          </reference>
        </references>
      </pivotArea>
    </chartFormat>
    <chartFormat chart="8" format="444">
      <pivotArea type="data" outline="0" fieldPosition="0">
        <references count="4">
          <reference field="4294967294" count="1" selected="0">
            <x v="0"/>
          </reference>
          <reference field="10" count="1" selected="0">
            <x v="2"/>
          </reference>
          <reference field="11" count="1" selected="0">
            <x v="0"/>
          </reference>
          <reference field="14" count="1" selected="0">
            <x v="5"/>
          </reference>
        </references>
      </pivotArea>
    </chartFormat>
    <chartFormat chart="8" format="445">
      <pivotArea type="data" outline="0" fieldPosition="0">
        <references count="4">
          <reference field="4294967294" count="1" selected="0">
            <x v="0"/>
          </reference>
          <reference field="10" count="1" selected="0">
            <x v="2"/>
          </reference>
          <reference field="11" count="1" selected="0">
            <x v="0"/>
          </reference>
          <reference field="14" count="1" selected="0">
            <x v="6"/>
          </reference>
        </references>
      </pivotArea>
    </chartFormat>
    <chartFormat chart="8" format="446">
      <pivotArea type="data" outline="0" fieldPosition="0">
        <references count="4">
          <reference field="4294967294" count="1" selected="0">
            <x v="0"/>
          </reference>
          <reference field="10" count="1" selected="0">
            <x v="2"/>
          </reference>
          <reference field="11" count="1" selected="0">
            <x v="0"/>
          </reference>
          <reference field="14" count="1" selected="0">
            <x v="7"/>
          </reference>
        </references>
      </pivotArea>
    </chartFormat>
    <chartFormat chart="8" format="447">
      <pivotArea type="data" outline="0" fieldPosition="0">
        <references count="4">
          <reference field="4294967294" count="1" selected="0">
            <x v="0"/>
          </reference>
          <reference field="10" count="1" selected="0">
            <x v="2"/>
          </reference>
          <reference field="11" count="1" selected="0">
            <x v="0"/>
          </reference>
          <reference field="14" count="1" selected="0">
            <x v="8"/>
          </reference>
        </references>
      </pivotArea>
    </chartFormat>
    <chartFormat chart="8" format="448">
      <pivotArea type="data" outline="0" fieldPosition="0">
        <references count="4">
          <reference field="4294967294" count="1" selected="0">
            <x v="0"/>
          </reference>
          <reference field="10" count="1" selected="0">
            <x v="2"/>
          </reference>
          <reference field="11" count="1" selected="0">
            <x v="0"/>
          </reference>
          <reference field="14" count="1" selected="0">
            <x v="9"/>
          </reference>
        </references>
      </pivotArea>
    </chartFormat>
    <chartFormat chart="8" format="449" series="1">
      <pivotArea type="data" outline="0" fieldPosition="0">
        <references count="2">
          <reference field="4294967294" count="1" selected="0">
            <x v="0"/>
          </reference>
          <reference field="11" count="1" selected="0">
            <x v="1"/>
          </reference>
        </references>
      </pivotArea>
    </chartFormat>
    <chartFormat chart="8" format="450">
      <pivotArea type="data" outline="0" fieldPosition="0">
        <references count="4">
          <reference field="4294967294" count="1" selected="0">
            <x v="0"/>
          </reference>
          <reference field="10" count="1" selected="0">
            <x v="0"/>
          </reference>
          <reference field="11" count="1" selected="0">
            <x v="1"/>
          </reference>
          <reference field="14" count="1" selected="0">
            <x v="0"/>
          </reference>
        </references>
      </pivotArea>
    </chartFormat>
    <chartFormat chart="8" format="451">
      <pivotArea type="data" outline="0" fieldPosition="0">
        <references count="4">
          <reference field="4294967294" count="1" selected="0">
            <x v="0"/>
          </reference>
          <reference field="10" count="1" selected="0">
            <x v="0"/>
          </reference>
          <reference field="11" count="1" selected="0">
            <x v="1"/>
          </reference>
          <reference field="14" count="1" selected="0">
            <x v="1"/>
          </reference>
        </references>
      </pivotArea>
    </chartFormat>
    <chartFormat chart="8" format="452">
      <pivotArea type="data" outline="0" fieldPosition="0">
        <references count="4">
          <reference field="4294967294" count="1" selected="0">
            <x v="0"/>
          </reference>
          <reference field="10" count="1" selected="0">
            <x v="0"/>
          </reference>
          <reference field="11" count="1" selected="0">
            <x v="1"/>
          </reference>
          <reference field="14" count="1" selected="0">
            <x v="2"/>
          </reference>
        </references>
      </pivotArea>
    </chartFormat>
    <chartFormat chart="8" format="453">
      <pivotArea type="data" outline="0" fieldPosition="0">
        <references count="4">
          <reference field="4294967294" count="1" selected="0">
            <x v="0"/>
          </reference>
          <reference field="10" count="1" selected="0">
            <x v="0"/>
          </reference>
          <reference field="11" count="1" selected="0">
            <x v="1"/>
          </reference>
          <reference field="14" count="1" selected="0">
            <x v="3"/>
          </reference>
        </references>
      </pivotArea>
    </chartFormat>
    <chartFormat chart="8" format="454">
      <pivotArea type="data" outline="0" fieldPosition="0">
        <references count="4">
          <reference field="4294967294" count="1" selected="0">
            <x v="0"/>
          </reference>
          <reference field="10" count="1" selected="0">
            <x v="0"/>
          </reference>
          <reference field="11" count="1" selected="0">
            <x v="1"/>
          </reference>
          <reference field="14" count="1" selected="0">
            <x v="4"/>
          </reference>
        </references>
      </pivotArea>
    </chartFormat>
    <chartFormat chart="8" format="455">
      <pivotArea type="data" outline="0" fieldPosition="0">
        <references count="4">
          <reference field="4294967294" count="1" selected="0">
            <x v="0"/>
          </reference>
          <reference field="10" count="1" selected="0">
            <x v="0"/>
          </reference>
          <reference field="11" count="1" selected="0">
            <x v="1"/>
          </reference>
          <reference field="14" count="1" selected="0">
            <x v="5"/>
          </reference>
        </references>
      </pivotArea>
    </chartFormat>
    <chartFormat chart="8" format="456">
      <pivotArea type="data" outline="0" fieldPosition="0">
        <references count="4">
          <reference field="4294967294" count="1" selected="0">
            <x v="0"/>
          </reference>
          <reference field="10" count="1" selected="0">
            <x v="0"/>
          </reference>
          <reference field="11" count="1" selected="0">
            <x v="1"/>
          </reference>
          <reference field="14" count="1" selected="0">
            <x v="6"/>
          </reference>
        </references>
      </pivotArea>
    </chartFormat>
    <chartFormat chart="8" format="457">
      <pivotArea type="data" outline="0" fieldPosition="0">
        <references count="4">
          <reference field="4294967294" count="1" selected="0">
            <x v="0"/>
          </reference>
          <reference field="10" count="1" selected="0">
            <x v="0"/>
          </reference>
          <reference field="11" count="1" selected="0">
            <x v="1"/>
          </reference>
          <reference field="14" count="1" selected="0">
            <x v="7"/>
          </reference>
        </references>
      </pivotArea>
    </chartFormat>
    <chartFormat chart="8" format="458">
      <pivotArea type="data" outline="0" fieldPosition="0">
        <references count="4">
          <reference field="4294967294" count="1" selected="0">
            <x v="0"/>
          </reference>
          <reference field="10" count="1" selected="0">
            <x v="0"/>
          </reference>
          <reference field="11" count="1" selected="0">
            <x v="1"/>
          </reference>
          <reference field="14" count="1" selected="0">
            <x v="8"/>
          </reference>
        </references>
      </pivotArea>
    </chartFormat>
    <chartFormat chart="8" format="459">
      <pivotArea type="data" outline="0" fieldPosition="0">
        <references count="4">
          <reference field="4294967294" count="1" selected="0">
            <x v="0"/>
          </reference>
          <reference field="10" count="1" selected="0">
            <x v="0"/>
          </reference>
          <reference field="11" count="1" selected="0">
            <x v="1"/>
          </reference>
          <reference field="14" count="1" selected="0">
            <x v="9"/>
          </reference>
        </references>
      </pivotArea>
    </chartFormat>
    <chartFormat chart="8" format="460">
      <pivotArea type="data" outline="0" fieldPosition="0">
        <references count="4">
          <reference field="4294967294" count="1" selected="0">
            <x v="0"/>
          </reference>
          <reference field="10" count="1" selected="0">
            <x v="1"/>
          </reference>
          <reference field="11" count="1" selected="0">
            <x v="1"/>
          </reference>
          <reference field="14" count="1" selected="0">
            <x v="0"/>
          </reference>
        </references>
      </pivotArea>
    </chartFormat>
    <chartFormat chart="8" format="461">
      <pivotArea type="data" outline="0" fieldPosition="0">
        <references count="4">
          <reference field="4294967294" count="1" selected="0">
            <x v="0"/>
          </reference>
          <reference field="10" count="1" selected="0">
            <x v="1"/>
          </reference>
          <reference field="11" count="1" selected="0">
            <x v="1"/>
          </reference>
          <reference field="14" count="1" selected="0">
            <x v="1"/>
          </reference>
        </references>
      </pivotArea>
    </chartFormat>
    <chartFormat chart="8" format="462">
      <pivotArea type="data" outline="0" fieldPosition="0">
        <references count="4">
          <reference field="4294967294" count="1" selected="0">
            <x v="0"/>
          </reference>
          <reference field="10" count="1" selected="0">
            <x v="1"/>
          </reference>
          <reference field="11" count="1" selected="0">
            <x v="1"/>
          </reference>
          <reference field="14" count="1" selected="0">
            <x v="2"/>
          </reference>
        </references>
      </pivotArea>
    </chartFormat>
    <chartFormat chart="8" format="463">
      <pivotArea type="data" outline="0" fieldPosition="0">
        <references count="4">
          <reference field="4294967294" count="1" selected="0">
            <x v="0"/>
          </reference>
          <reference field="10" count="1" selected="0">
            <x v="1"/>
          </reference>
          <reference field="11" count="1" selected="0">
            <x v="1"/>
          </reference>
          <reference field="14" count="1" selected="0">
            <x v="3"/>
          </reference>
        </references>
      </pivotArea>
    </chartFormat>
    <chartFormat chart="8" format="464">
      <pivotArea type="data" outline="0" fieldPosition="0">
        <references count="4">
          <reference field="4294967294" count="1" selected="0">
            <x v="0"/>
          </reference>
          <reference field="10" count="1" selected="0">
            <x v="1"/>
          </reference>
          <reference field="11" count="1" selected="0">
            <x v="1"/>
          </reference>
          <reference field="14" count="1" selected="0">
            <x v="4"/>
          </reference>
        </references>
      </pivotArea>
    </chartFormat>
    <chartFormat chart="8" format="465">
      <pivotArea type="data" outline="0" fieldPosition="0">
        <references count="4">
          <reference field="4294967294" count="1" selected="0">
            <x v="0"/>
          </reference>
          <reference field="10" count="1" selected="0">
            <x v="1"/>
          </reference>
          <reference field="11" count="1" selected="0">
            <x v="1"/>
          </reference>
          <reference field="14" count="1" selected="0">
            <x v="5"/>
          </reference>
        </references>
      </pivotArea>
    </chartFormat>
    <chartFormat chart="8" format="466">
      <pivotArea type="data" outline="0" fieldPosition="0">
        <references count="4">
          <reference field="4294967294" count="1" selected="0">
            <x v="0"/>
          </reference>
          <reference field="10" count="1" selected="0">
            <x v="1"/>
          </reference>
          <reference field="11" count="1" selected="0">
            <x v="1"/>
          </reference>
          <reference field="14" count="1" selected="0">
            <x v="6"/>
          </reference>
        </references>
      </pivotArea>
    </chartFormat>
    <chartFormat chart="8" format="467">
      <pivotArea type="data" outline="0" fieldPosition="0">
        <references count="4">
          <reference field="4294967294" count="1" selected="0">
            <x v="0"/>
          </reference>
          <reference field="10" count="1" selected="0">
            <x v="1"/>
          </reference>
          <reference field="11" count="1" selected="0">
            <x v="1"/>
          </reference>
          <reference field="14" count="1" selected="0">
            <x v="7"/>
          </reference>
        </references>
      </pivotArea>
    </chartFormat>
    <chartFormat chart="8" format="468">
      <pivotArea type="data" outline="0" fieldPosition="0">
        <references count="4">
          <reference field="4294967294" count="1" selected="0">
            <x v="0"/>
          </reference>
          <reference field="10" count="1" selected="0">
            <x v="1"/>
          </reference>
          <reference field="11" count="1" selected="0">
            <x v="1"/>
          </reference>
          <reference field="14" count="1" selected="0">
            <x v="8"/>
          </reference>
        </references>
      </pivotArea>
    </chartFormat>
    <chartFormat chart="8" format="469">
      <pivotArea type="data" outline="0" fieldPosition="0">
        <references count="4">
          <reference field="4294967294" count="1" selected="0">
            <x v="0"/>
          </reference>
          <reference field="10" count="1" selected="0">
            <x v="1"/>
          </reference>
          <reference field="11" count="1" selected="0">
            <x v="1"/>
          </reference>
          <reference field="14" count="1" selected="0">
            <x v="9"/>
          </reference>
        </references>
      </pivotArea>
    </chartFormat>
    <chartFormat chart="8" format="470">
      <pivotArea type="data" outline="0" fieldPosition="0">
        <references count="4">
          <reference field="4294967294" count="1" selected="0">
            <x v="0"/>
          </reference>
          <reference field="10" count="1" selected="0">
            <x v="2"/>
          </reference>
          <reference field="11" count="1" selected="0">
            <x v="1"/>
          </reference>
          <reference field="14" count="1" selected="0">
            <x v="0"/>
          </reference>
        </references>
      </pivotArea>
    </chartFormat>
    <chartFormat chart="8" format="471">
      <pivotArea type="data" outline="0" fieldPosition="0">
        <references count="4">
          <reference field="4294967294" count="1" selected="0">
            <x v="0"/>
          </reference>
          <reference field="10" count="1" selected="0">
            <x v="2"/>
          </reference>
          <reference field="11" count="1" selected="0">
            <x v="1"/>
          </reference>
          <reference field="14" count="1" selected="0">
            <x v="1"/>
          </reference>
        </references>
      </pivotArea>
    </chartFormat>
    <chartFormat chart="8" format="472">
      <pivotArea type="data" outline="0" fieldPosition="0">
        <references count="4">
          <reference field="4294967294" count="1" selected="0">
            <x v="0"/>
          </reference>
          <reference field="10" count="1" selected="0">
            <x v="2"/>
          </reference>
          <reference field="11" count="1" selected="0">
            <x v="1"/>
          </reference>
          <reference field="14" count="1" selected="0">
            <x v="2"/>
          </reference>
        </references>
      </pivotArea>
    </chartFormat>
    <chartFormat chart="8" format="473">
      <pivotArea type="data" outline="0" fieldPosition="0">
        <references count="4">
          <reference field="4294967294" count="1" selected="0">
            <x v="0"/>
          </reference>
          <reference field="10" count="1" selected="0">
            <x v="2"/>
          </reference>
          <reference field="11" count="1" selected="0">
            <x v="1"/>
          </reference>
          <reference field="14" count="1" selected="0">
            <x v="3"/>
          </reference>
        </references>
      </pivotArea>
    </chartFormat>
    <chartFormat chart="8" format="474">
      <pivotArea type="data" outline="0" fieldPosition="0">
        <references count="4">
          <reference field="4294967294" count="1" selected="0">
            <x v="0"/>
          </reference>
          <reference field="10" count="1" selected="0">
            <x v="2"/>
          </reference>
          <reference field="11" count="1" selected="0">
            <x v="1"/>
          </reference>
          <reference field="14" count="1" selected="0">
            <x v="4"/>
          </reference>
        </references>
      </pivotArea>
    </chartFormat>
    <chartFormat chart="8" format="475">
      <pivotArea type="data" outline="0" fieldPosition="0">
        <references count="4">
          <reference field="4294967294" count="1" selected="0">
            <x v="0"/>
          </reference>
          <reference field="10" count="1" selected="0">
            <x v="2"/>
          </reference>
          <reference field="11" count="1" selected="0">
            <x v="1"/>
          </reference>
          <reference field="14" count="1" selected="0">
            <x v="5"/>
          </reference>
        </references>
      </pivotArea>
    </chartFormat>
    <chartFormat chart="8" format="476">
      <pivotArea type="data" outline="0" fieldPosition="0">
        <references count="4">
          <reference field="4294967294" count="1" selected="0">
            <x v="0"/>
          </reference>
          <reference field="10" count="1" selected="0">
            <x v="2"/>
          </reference>
          <reference field="11" count="1" selected="0">
            <x v="1"/>
          </reference>
          <reference field="14" count="1" selected="0">
            <x v="6"/>
          </reference>
        </references>
      </pivotArea>
    </chartFormat>
    <chartFormat chart="8" format="477">
      <pivotArea type="data" outline="0" fieldPosition="0">
        <references count="4">
          <reference field="4294967294" count="1" selected="0">
            <x v="0"/>
          </reference>
          <reference field="10" count="1" selected="0">
            <x v="2"/>
          </reference>
          <reference field="11" count="1" selected="0">
            <x v="1"/>
          </reference>
          <reference field="14" count="1" selected="0">
            <x v="7"/>
          </reference>
        </references>
      </pivotArea>
    </chartFormat>
    <chartFormat chart="8" format="478">
      <pivotArea type="data" outline="0" fieldPosition="0">
        <references count="4">
          <reference field="4294967294" count="1" selected="0">
            <x v="0"/>
          </reference>
          <reference field="10" count="1" selected="0">
            <x v="2"/>
          </reference>
          <reference field="11" count="1" selected="0">
            <x v="1"/>
          </reference>
          <reference field="14" count="1" selected="0">
            <x v="8"/>
          </reference>
        </references>
      </pivotArea>
    </chartFormat>
    <chartFormat chart="8" format="479">
      <pivotArea type="data" outline="0" fieldPosition="0">
        <references count="4">
          <reference field="4294967294" count="1" selected="0">
            <x v="0"/>
          </reference>
          <reference field="10" count="1" selected="0">
            <x v="2"/>
          </reference>
          <reference field="11" count="1" selected="0">
            <x v="1"/>
          </reference>
          <reference field="14" count="1" selected="0">
            <x v="9"/>
          </reference>
        </references>
      </pivotArea>
    </chartFormat>
    <chartFormat chart="8" format="480" series="1">
      <pivotArea type="data" outline="0" fieldPosition="0">
        <references count="2">
          <reference field="4294967294" count="1" selected="0">
            <x v="0"/>
          </reference>
          <reference field="11" count="1" selected="0">
            <x v="2"/>
          </reference>
        </references>
      </pivotArea>
    </chartFormat>
    <chartFormat chart="8" format="481">
      <pivotArea type="data" outline="0" fieldPosition="0">
        <references count="4">
          <reference field="4294967294" count="1" selected="0">
            <x v="0"/>
          </reference>
          <reference field="10" count="1" selected="0">
            <x v="0"/>
          </reference>
          <reference field="11" count="1" selected="0">
            <x v="2"/>
          </reference>
          <reference field="14" count="1" selected="0">
            <x v="0"/>
          </reference>
        </references>
      </pivotArea>
    </chartFormat>
    <chartFormat chart="8" format="482">
      <pivotArea type="data" outline="0" fieldPosition="0">
        <references count="4">
          <reference field="4294967294" count="1" selected="0">
            <x v="0"/>
          </reference>
          <reference field="10" count="1" selected="0">
            <x v="0"/>
          </reference>
          <reference field="11" count="1" selected="0">
            <x v="2"/>
          </reference>
          <reference field="14" count="1" selected="0">
            <x v="1"/>
          </reference>
        </references>
      </pivotArea>
    </chartFormat>
    <chartFormat chart="8" format="483">
      <pivotArea type="data" outline="0" fieldPosition="0">
        <references count="4">
          <reference field="4294967294" count="1" selected="0">
            <x v="0"/>
          </reference>
          <reference field="10" count="1" selected="0">
            <x v="0"/>
          </reference>
          <reference field="11" count="1" selected="0">
            <x v="2"/>
          </reference>
          <reference field="14" count="1" selected="0">
            <x v="2"/>
          </reference>
        </references>
      </pivotArea>
    </chartFormat>
    <chartFormat chart="8" format="484">
      <pivotArea type="data" outline="0" fieldPosition="0">
        <references count="4">
          <reference field="4294967294" count="1" selected="0">
            <x v="0"/>
          </reference>
          <reference field="10" count="1" selected="0">
            <x v="0"/>
          </reference>
          <reference field="11" count="1" selected="0">
            <x v="2"/>
          </reference>
          <reference field="14" count="1" selected="0">
            <x v="3"/>
          </reference>
        </references>
      </pivotArea>
    </chartFormat>
    <chartFormat chart="8" format="485">
      <pivotArea type="data" outline="0" fieldPosition="0">
        <references count="4">
          <reference field="4294967294" count="1" selected="0">
            <x v="0"/>
          </reference>
          <reference field="10" count="1" selected="0">
            <x v="0"/>
          </reference>
          <reference field="11" count="1" selected="0">
            <x v="2"/>
          </reference>
          <reference field="14" count="1" selected="0">
            <x v="4"/>
          </reference>
        </references>
      </pivotArea>
    </chartFormat>
    <chartFormat chart="8" format="486">
      <pivotArea type="data" outline="0" fieldPosition="0">
        <references count="4">
          <reference field="4294967294" count="1" selected="0">
            <x v="0"/>
          </reference>
          <reference field="10" count="1" selected="0">
            <x v="0"/>
          </reference>
          <reference field="11" count="1" selected="0">
            <x v="2"/>
          </reference>
          <reference field="14" count="1" selected="0">
            <x v="5"/>
          </reference>
        </references>
      </pivotArea>
    </chartFormat>
    <chartFormat chart="8" format="487">
      <pivotArea type="data" outline="0" fieldPosition="0">
        <references count="4">
          <reference field="4294967294" count="1" selected="0">
            <x v="0"/>
          </reference>
          <reference field="10" count="1" selected="0">
            <x v="0"/>
          </reference>
          <reference field="11" count="1" selected="0">
            <x v="2"/>
          </reference>
          <reference field="14" count="1" selected="0">
            <x v="6"/>
          </reference>
        </references>
      </pivotArea>
    </chartFormat>
    <chartFormat chart="8" format="488">
      <pivotArea type="data" outline="0" fieldPosition="0">
        <references count="4">
          <reference field="4294967294" count="1" selected="0">
            <x v="0"/>
          </reference>
          <reference field="10" count="1" selected="0">
            <x v="0"/>
          </reference>
          <reference field="11" count="1" selected="0">
            <x v="2"/>
          </reference>
          <reference field="14" count="1" selected="0">
            <x v="7"/>
          </reference>
        </references>
      </pivotArea>
    </chartFormat>
    <chartFormat chart="8" format="489">
      <pivotArea type="data" outline="0" fieldPosition="0">
        <references count="4">
          <reference field="4294967294" count="1" selected="0">
            <x v="0"/>
          </reference>
          <reference field="10" count="1" selected="0">
            <x v="0"/>
          </reference>
          <reference field="11" count="1" selected="0">
            <x v="2"/>
          </reference>
          <reference field="14" count="1" selected="0">
            <x v="8"/>
          </reference>
        </references>
      </pivotArea>
    </chartFormat>
    <chartFormat chart="8" format="490">
      <pivotArea type="data" outline="0" fieldPosition="0">
        <references count="4">
          <reference field="4294967294" count="1" selected="0">
            <x v="0"/>
          </reference>
          <reference field="10" count="1" selected="0">
            <x v="0"/>
          </reference>
          <reference field="11" count="1" selected="0">
            <x v="2"/>
          </reference>
          <reference field="14" count="1" selected="0">
            <x v="9"/>
          </reference>
        </references>
      </pivotArea>
    </chartFormat>
    <chartFormat chart="8" format="491">
      <pivotArea type="data" outline="0" fieldPosition="0">
        <references count="4">
          <reference field="4294967294" count="1" selected="0">
            <x v="0"/>
          </reference>
          <reference field="10" count="1" selected="0">
            <x v="1"/>
          </reference>
          <reference field="11" count="1" selected="0">
            <x v="2"/>
          </reference>
          <reference field="14" count="1" selected="0">
            <x v="0"/>
          </reference>
        </references>
      </pivotArea>
    </chartFormat>
    <chartFormat chart="8" format="492">
      <pivotArea type="data" outline="0" fieldPosition="0">
        <references count="4">
          <reference field="4294967294" count="1" selected="0">
            <x v="0"/>
          </reference>
          <reference field="10" count="1" selected="0">
            <x v="1"/>
          </reference>
          <reference field="11" count="1" selected="0">
            <x v="2"/>
          </reference>
          <reference field="14" count="1" selected="0">
            <x v="1"/>
          </reference>
        </references>
      </pivotArea>
    </chartFormat>
    <chartFormat chart="8" format="493">
      <pivotArea type="data" outline="0" fieldPosition="0">
        <references count="4">
          <reference field="4294967294" count="1" selected="0">
            <x v="0"/>
          </reference>
          <reference field="10" count="1" selected="0">
            <x v="1"/>
          </reference>
          <reference field="11" count="1" selected="0">
            <x v="2"/>
          </reference>
          <reference field="14" count="1" selected="0">
            <x v="2"/>
          </reference>
        </references>
      </pivotArea>
    </chartFormat>
    <chartFormat chart="8" format="494">
      <pivotArea type="data" outline="0" fieldPosition="0">
        <references count="4">
          <reference field="4294967294" count="1" selected="0">
            <x v="0"/>
          </reference>
          <reference field="10" count="1" selected="0">
            <x v="1"/>
          </reference>
          <reference field="11" count="1" selected="0">
            <x v="2"/>
          </reference>
          <reference field="14" count="1" selected="0">
            <x v="3"/>
          </reference>
        </references>
      </pivotArea>
    </chartFormat>
    <chartFormat chart="8" format="495">
      <pivotArea type="data" outline="0" fieldPosition="0">
        <references count="4">
          <reference field="4294967294" count="1" selected="0">
            <x v="0"/>
          </reference>
          <reference field="10" count="1" selected="0">
            <x v="1"/>
          </reference>
          <reference field="11" count="1" selected="0">
            <x v="2"/>
          </reference>
          <reference field="14" count="1" selected="0">
            <x v="4"/>
          </reference>
        </references>
      </pivotArea>
    </chartFormat>
    <chartFormat chart="8" format="496">
      <pivotArea type="data" outline="0" fieldPosition="0">
        <references count="4">
          <reference field="4294967294" count="1" selected="0">
            <x v="0"/>
          </reference>
          <reference field="10" count="1" selected="0">
            <x v="1"/>
          </reference>
          <reference field="11" count="1" selected="0">
            <x v="2"/>
          </reference>
          <reference field="14" count="1" selected="0">
            <x v="5"/>
          </reference>
        </references>
      </pivotArea>
    </chartFormat>
    <chartFormat chart="8" format="497">
      <pivotArea type="data" outline="0" fieldPosition="0">
        <references count="4">
          <reference field="4294967294" count="1" selected="0">
            <x v="0"/>
          </reference>
          <reference field="10" count="1" selected="0">
            <x v="1"/>
          </reference>
          <reference field="11" count="1" selected="0">
            <x v="2"/>
          </reference>
          <reference field="14" count="1" selected="0">
            <x v="6"/>
          </reference>
        </references>
      </pivotArea>
    </chartFormat>
    <chartFormat chart="8" format="498">
      <pivotArea type="data" outline="0" fieldPosition="0">
        <references count="4">
          <reference field="4294967294" count="1" selected="0">
            <x v="0"/>
          </reference>
          <reference field="10" count="1" selected="0">
            <x v="1"/>
          </reference>
          <reference field="11" count="1" selected="0">
            <x v="2"/>
          </reference>
          <reference field="14" count="1" selected="0">
            <x v="7"/>
          </reference>
        </references>
      </pivotArea>
    </chartFormat>
    <chartFormat chart="8" format="499">
      <pivotArea type="data" outline="0" fieldPosition="0">
        <references count="4">
          <reference field="4294967294" count="1" selected="0">
            <x v="0"/>
          </reference>
          <reference field="10" count="1" selected="0">
            <x v="1"/>
          </reference>
          <reference field="11" count="1" selected="0">
            <x v="2"/>
          </reference>
          <reference field="14" count="1" selected="0">
            <x v="8"/>
          </reference>
        </references>
      </pivotArea>
    </chartFormat>
    <chartFormat chart="8" format="500">
      <pivotArea type="data" outline="0" fieldPosition="0">
        <references count="4">
          <reference field="4294967294" count="1" selected="0">
            <x v="0"/>
          </reference>
          <reference field="10" count="1" selected="0">
            <x v="1"/>
          </reference>
          <reference field="11" count="1" selected="0">
            <x v="2"/>
          </reference>
          <reference field="14" count="1" selected="0">
            <x v="9"/>
          </reference>
        </references>
      </pivotArea>
    </chartFormat>
    <chartFormat chart="8" format="501">
      <pivotArea type="data" outline="0" fieldPosition="0">
        <references count="4">
          <reference field="4294967294" count="1" selected="0">
            <x v="0"/>
          </reference>
          <reference field="10" count="1" selected="0">
            <x v="2"/>
          </reference>
          <reference field="11" count="1" selected="0">
            <x v="2"/>
          </reference>
          <reference field="14" count="1" selected="0">
            <x v="0"/>
          </reference>
        </references>
      </pivotArea>
    </chartFormat>
    <chartFormat chart="8" format="502">
      <pivotArea type="data" outline="0" fieldPosition="0">
        <references count="4">
          <reference field="4294967294" count="1" selected="0">
            <x v="0"/>
          </reference>
          <reference field="10" count="1" selected="0">
            <x v="2"/>
          </reference>
          <reference field="11" count="1" selected="0">
            <x v="2"/>
          </reference>
          <reference field="14" count="1" selected="0">
            <x v="1"/>
          </reference>
        </references>
      </pivotArea>
    </chartFormat>
    <chartFormat chart="8" format="503">
      <pivotArea type="data" outline="0" fieldPosition="0">
        <references count="4">
          <reference field="4294967294" count="1" selected="0">
            <x v="0"/>
          </reference>
          <reference field="10" count="1" selected="0">
            <x v="2"/>
          </reference>
          <reference field="11" count="1" selected="0">
            <x v="2"/>
          </reference>
          <reference field="14" count="1" selected="0">
            <x v="2"/>
          </reference>
        </references>
      </pivotArea>
    </chartFormat>
    <chartFormat chart="8" format="504">
      <pivotArea type="data" outline="0" fieldPosition="0">
        <references count="4">
          <reference field="4294967294" count="1" selected="0">
            <x v="0"/>
          </reference>
          <reference field="10" count="1" selected="0">
            <x v="2"/>
          </reference>
          <reference field="11" count="1" selected="0">
            <x v="2"/>
          </reference>
          <reference field="14" count="1" selected="0">
            <x v="3"/>
          </reference>
        </references>
      </pivotArea>
    </chartFormat>
    <chartFormat chart="8" format="505">
      <pivotArea type="data" outline="0" fieldPosition="0">
        <references count="4">
          <reference field="4294967294" count="1" selected="0">
            <x v="0"/>
          </reference>
          <reference field="10" count="1" selected="0">
            <x v="2"/>
          </reference>
          <reference field="11" count="1" selected="0">
            <x v="2"/>
          </reference>
          <reference field="14" count="1" selected="0">
            <x v="4"/>
          </reference>
        </references>
      </pivotArea>
    </chartFormat>
    <chartFormat chart="8" format="506">
      <pivotArea type="data" outline="0" fieldPosition="0">
        <references count="4">
          <reference field="4294967294" count="1" selected="0">
            <x v="0"/>
          </reference>
          <reference field="10" count="1" selected="0">
            <x v="2"/>
          </reference>
          <reference field="11" count="1" selected="0">
            <x v="2"/>
          </reference>
          <reference field="14" count="1" selected="0">
            <x v="5"/>
          </reference>
        </references>
      </pivotArea>
    </chartFormat>
    <chartFormat chart="8" format="507">
      <pivotArea type="data" outline="0" fieldPosition="0">
        <references count="4">
          <reference field="4294967294" count="1" selected="0">
            <x v="0"/>
          </reference>
          <reference field="10" count="1" selected="0">
            <x v="2"/>
          </reference>
          <reference field="11" count="1" selected="0">
            <x v="2"/>
          </reference>
          <reference field="14" count="1" selected="0">
            <x v="6"/>
          </reference>
        </references>
      </pivotArea>
    </chartFormat>
    <chartFormat chart="8" format="508">
      <pivotArea type="data" outline="0" fieldPosition="0">
        <references count="4">
          <reference field="4294967294" count="1" selected="0">
            <x v="0"/>
          </reference>
          <reference field="10" count="1" selected="0">
            <x v="2"/>
          </reference>
          <reference field="11" count="1" selected="0">
            <x v="2"/>
          </reference>
          <reference field="14" count="1" selected="0">
            <x v="7"/>
          </reference>
        </references>
      </pivotArea>
    </chartFormat>
    <chartFormat chart="8" format="509">
      <pivotArea type="data" outline="0" fieldPosition="0">
        <references count="4">
          <reference field="4294967294" count="1" selected="0">
            <x v="0"/>
          </reference>
          <reference field="10" count="1" selected="0">
            <x v="2"/>
          </reference>
          <reference field="11" count="1" selected="0">
            <x v="2"/>
          </reference>
          <reference field="14" count="1" selected="0">
            <x v="8"/>
          </reference>
        </references>
      </pivotArea>
    </chartFormat>
    <chartFormat chart="8" format="510">
      <pivotArea type="data" outline="0" fieldPosition="0">
        <references count="4">
          <reference field="4294967294" count="1" selected="0">
            <x v="0"/>
          </reference>
          <reference field="10" count="1" selected="0">
            <x v="2"/>
          </reference>
          <reference field="11" count="1" selected="0">
            <x v="2"/>
          </reference>
          <reference field="14" count="1" selected="0">
            <x v="9"/>
          </reference>
        </references>
      </pivotArea>
    </chartFormat>
    <chartFormat chart="8" format="511" series="1">
      <pivotArea type="data" outline="0" fieldPosition="0">
        <references count="2">
          <reference field="4294967294" count="1" selected="0">
            <x v="0"/>
          </reference>
          <reference field="11" count="1" selected="0">
            <x v="3"/>
          </reference>
        </references>
      </pivotArea>
    </chartFormat>
    <chartFormat chart="8" format="512">
      <pivotArea type="data" outline="0" fieldPosition="0">
        <references count="4">
          <reference field="4294967294" count="1" selected="0">
            <x v="0"/>
          </reference>
          <reference field="10" count="1" selected="0">
            <x v="0"/>
          </reference>
          <reference field="11" count="1" selected="0">
            <x v="3"/>
          </reference>
          <reference field="14" count="1" selected="0">
            <x v="0"/>
          </reference>
        </references>
      </pivotArea>
    </chartFormat>
    <chartFormat chart="8" format="513">
      <pivotArea type="data" outline="0" fieldPosition="0">
        <references count="4">
          <reference field="4294967294" count="1" selected="0">
            <x v="0"/>
          </reference>
          <reference field="10" count="1" selected="0">
            <x v="0"/>
          </reference>
          <reference field="11" count="1" selected="0">
            <x v="3"/>
          </reference>
          <reference field="14" count="1" selected="0">
            <x v="1"/>
          </reference>
        </references>
      </pivotArea>
    </chartFormat>
    <chartFormat chart="8" format="514">
      <pivotArea type="data" outline="0" fieldPosition="0">
        <references count="4">
          <reference field="4294967294" count="1" selected="0">
            <x v="0"/>
          </reference>
          <reference field="10" count="1" selected="0">
            <x v="0"/>
          </reference>
          <reference field="11" count="1" selected="0">
            <x v="3"/>
          </reference>
          <reference field="14" count="1" selected="0">
            <x v="2"/>
          </reference>
        </references>
      </pivotArea>
    </chartFormat>
    <chartFormat chart="8" format="515">
      <pivotArea type="data" outline="0" fieldPosition="0">
        <references count="4">
          <reference field="4294967294" count="1" selected="0">
            <x v="0"/>
          </reference>
          <reference field="10" count="1" selected="0">
            <x v="0"/>
          </reference>
          <reference field="11" count="1" selected="0">
            <x v="3"/>
          </reference>
          <reference field="14" count="1" selected="0">
            <x v="3"/>
          </reference>
        </references>
      </pivotArea>
    </chartFormat>
    <chartFormat chart="8" format="516">
      <pivotArea type="data" outline="0" fieldPosition="0">
        <references count="4">
          <reference field="4294967294" count="1" selected="0">
            <x v="0"/>
          </reference>
          <reference field="10" count="1" selected="0">
            <x v="0"/>
          </reference>
          <reference field="11" count="1" selected="0">
            <x v="3"/>
          </reference>
          <reference field="14" count="1" selected="0">
            <x v="4"/>
          </reference>
        </references>
      </pivotArea>
    </chartFormat>
    <chartFormat chart="8" format="517">
      <pivotArea type="data" outline="0" fieldPosition="0">
        <references count="4">
          <reference field="4294967294" count="1" selected="0">
            <x v="0"/>
          </reference>
          <reference field="10" count="1" selected="0">
            <x v="0"/>
          </reference>
          <reference field="11" count="1" selected="0">
            <x v="3"/>
          </reference>
          <reference field="14" count="1" selected="0">
            <x v="5"/>
          </reference>
        </references>
      </pivotArea>
    </chartFormat>
    <chartFormat chart="8" format="518">
      <pivotArea type="data" outline="0" fieldPosition="0">
        <references count="4">
          <reference field="4294967294" count="1" selected="0">
            <x v="0"/>
          </reference>
          <reference field="10" count="1" selected="0">
            <x v="0"/>
          </reference>
          <reference field="11" count="1" selected="0">
            <x v="3"/>
          </reference>
          <reference field="14" count="1" selected="0">
            <x v="6"/>
          </reference>
        </references>
      </pivotArea>
    </chartFormat>
    <chartFormat chart="8" format="519">
      <pivotArea type="data" outline="0" fieldPosition="0">
        <references count="4">
          <reference field="4294967294" count="1" selected="0">
            <x v="0"/>
          </reference>
          <reference field="10" count="1" selected="0">
            <x v="0"/>
          </reference>
          <reference field="11" count="1" selected="0">
            <x v="3"/>
          </reference>
          <reference field="14" count="1" selected="0">
            <x v="7"/>
          </reference>
        </references>
      </pivotArea>
    </chartFormat>
    <chartFormat chart="8" format="520">
      <pivotArea type="data" outline="0" fieldPosition="0">
        <references count="4">
          <reference field="4294967294" count="1" selected="0">
            <x v="0"/>
          </reference>
          <reference field="10" count="1" selected="0">
            <x v="0"/>
          </reference>
          <reference field="11" count="1" selected="0">
            <x v="3"/>
          </reference>
          <reference field="14" count="1" selected="0">
            <x v="8"/>
          </reference>
        </references>
      </pivotArea>
    </chartFormat>
    <chartFormat chart="8" format="521">
      <pivotArea type="data" outline="0" fieldPosition="0">
        <references count="4">
          <reference field="4294967294" count="1" selected="0">
            <x v="0"/>
          </reference>
          <reference field="10" count="1" selected="0">
            <x v="0"/>
          </reference>
          <reference field="11" count="1" selected="0">
            <x v="3"/>
          </reference>
          <reference field="14" count="1" selected="0">
            <x v="9"/>
          </reference>
        </references>
      </pivotArea>
    </chartFormat>
    <chartFormat chart="8" format="522">
      <pivotArea type="data" outline="0" fieldPosition="0">
        <references count="4">
          <reference field="4294967294" count="1" selected="0">
            <x v="0"/>
          </reference>
          <reference field="10" count="1" selected="0">
            <x v="1"/>
          </reference>
          <reference field="11" count="1" selected="0">
            <x v="3"/>
          </reference>
          <reference field="14" count="1" selected="0">
            <x v="0"/>
          </reference>
        </references>
      </pivotArea>
    </chartFormat>
    <chartFormat chart="8" format="523">
      <pivotArea type="data" outline="0" fieldPosition="0">
        <references count="4">
          <reference field="4294967294" count="1" selected="0">
            <x v="0"/>
          </reference>
          <reference field="10" count="1" selected="0">
            <x v="1"/>
          </reference>
          <reference field="11" count="1" selected="0">
            <x v="3"/>
          </reference>
          <reference field="14" count="1" selected="0">
            <x v="1"/>
          </reference>
        </references>
      </pivotArea>
    </chartFormat>
    <chartFormat chart="8" format="524">
      <pivotArea type="data" outline="0" fieldPosition="0">
        <references count="4">
          <reference field="4294967294" count="1" selected="0">
            <x v="0"/>
          </reference>
          <reference field="10" count="1" selected="0">
            <x v="1"/>
          </reference>
          <reference field="11" count="1" selected="0">
            <x v="3"/>
          </reference>
          <reference field="14" count="1" selected="0">
            <x v="2"/>
          </reference>
        </references>
      </pivotArea>
    </chartFormat>
    <chartFormat chart="8" format="525">
      <pivotArea type="data" outline="0" fieldPosition="0">
        <references count="4">
          <reference field="4294967294" count="1" selected="0">
            <x v="0"/>
          </reference>
          <reference field="10" count="1" selected="0">
            <x v="1"/>
          </reference>
          <reference field="11" count="1" selected="0">
            <x v="3"/>
          </reference>
          <reference field="14" count="1" selected="0">
            <x v="3"/>
          </reference>
        </references>
      </pivotArea>
    </chartFormat>
    <chartFormat chart="8" format="526">
      <pivotArea type="data" outline="0" fieldPosition="0">
        <references count="4">
          <reference field="4294967294" count="1" selected="0">
            <x v="0"/>
          </reference>
          <reference field="10" count="1" selected="0">
            <x v="1"/>
          </reference>
          <reference field="11" count="1" selected="0">
            <x v="3"/>
          </reference>
          <reference field="14" count="1" selected="0">
            <x v="4"/>
          </reference>
        </references>
      </pivotArea>
    </chartFormat>
    <chartFormat chart="8" format="527">
      <pivotArea type="data" outline="0" fieldPosition="0">
        <references count="4">
          <reference field="4294967294" count="1" selected="0">
            <x v="0"/>
          </reference>
          <reference field="10" count="1" selected="0">
            <x v="1"/>
          </reference>
          <reference field="11" count="1" selected="0">
            <x v="3"/>
          </reference>
          <reference field="14" count="1" selected="0">
            <x v="5"/>
          </reference>
        </references>
      </pivotArea>
    </chartFormat>
    <chartFormat chart="8" format="528">
      <pivotArea type="data" outline="0" fieldPosition="0">
        <references count="4">
          <reference field="4294967294" count="1" selected="0">
            <x v="0"/>
          </reference>
          <reference field="10" count="1" selected="0">
            <x v="1"/>
          </reference>
          <reference field="11" count="1" selected="0">
            <x v="3"/>
          </reference>
          <reference field="14" count="1" selected="0">
            <x v="6"/>
          </reference>
        </references>
      </pivotArea>
    </chartFormat>
    <chartFormat chart="8" format="529">
      <pivotArea type="data" outline="0" fieldPosition="0">
        <references count="4">
          <reference field="4294967294" count="1" selected="0">
            <x v="0"/>
          </reference>
          <reference field="10" count="1" selected="0">
            <x v="1"/>
          </reference>
          <reference field="11" count="1" selected="0">
            <x v="3"/>
          </reference>
          <reference field="14" count="1" selected="0">
            <x v="7"/>
          </reference>
        </references>
      </pivotArea>
    </chartFormat>
    <chartFormat chart="8" format="530">
      <pivotArea type="data" outline="0" fieldPosition="0">
        <references count="4">
          <reference field="4294967294" count="1" selected="0">
            <x v="0"/>
          </reference>
          <reference field="10" count="1" selected="0">
            <x v="1"/>
          </reference>
          <reference field="11" count="1" selected="0">
            <x v="3"/>
          </reference>
          <reference field="14" count="1" selected="0">
            <x v="8"/>
          </reference>
        </references>
      </pivotArea>
    </chartFormat>
    <chartFormat chart="8" format="531">
      <pivotArea type="data" outline="0" fieldPosition="0">
        <references count="4">
          <reference field="4294967294" count="1" selected="0">
            <x v="0"/>
          </reference>
          <reference field="10" count="1" selected="0">
            <x v="1"/>
          </reference>
          <reference field="11" count="1" selected="0">
            <x v="3"/>
          </reference>
          <reference field="14" count="1" selected="0">
            <x v="9"/>
          </reference>
        </references>
      </pivotArea>
    </chartFormat>
    <chartFormat chart="8" format="532">
      <pivotArea type="data" outline="0" fieldPosition="0">
        <references count="4">
          <reference field="4294967294" count="1" selected="0">
            <x v="0"/>
          </reference>
          <reference field="10" count="1" selected="0">
            <x v="2"/>
          </reference>
          <reference field="11" count="1" selected="0">
            <x v="3"/>
          </reference>
          <reference field="14" count="1" selected="0">
            <x v="0"/>
          </reference>
        </references>
      </pivotArea>
    </chartFormat>
    <chartFormat chart="8" format="533">
      <pivotArea type="data" outline="0" fieldPosition="0">
        <references count="4">
          <reference field="4294967294" count="1" selected="0">
            <x v="0"/>
          </reference>
          <reference field="10" count="1" selected="0">
            <x v="2"/>
          </reference>
          <reference field="11" count="1" selected="0">
            <x v="3"/>
          </reference>
          <reference field="14" count="1" selected="0">
            <x v="1"/>
          </reference>
        </references>
      </pivotArea>
    </chartFormat>
    <chartFormat chart="8" format="534">
      <pivotArea type="data" outline="0" fieldPosition="0">
        <references count="4">
          <reference field="4294967294" count="1" selected="0">
            <x v="0"/>
          </reference>
          <reference field="10" count="1" selected="0">
            <x v="2"/>
          </reference>
          <reference field="11" count="1" selected="0">
            <x v="3"/>
          </reference>
          <reference field="14" count="1" selected="0">
            <x v="2"/>
          </reference>
        </references>
      </pivotArea>
    </chartFormat>
    <chartFormat chart="8" format="535">
      <pivotArea type="data" outline="0" fieldPosition="0">
        <references count="4">
          <reference field="4294967294" count="1" selected="0">
            <x v="0"/>
          </reference>
          <reference field="10" count="1" selected="0">
            <x v="2"/>
          </reference>
          <reference field="11" count="1" selected="0">
            <x v="3"/>
          </reference>
          <reference field="14" count="1" selected="0">
            <x v="3"/>
          </reference>
        </references>
      </pivotArea>
    </chartFormat>
    <chartFormat chart="8" format="536">
      <pivotArea type="data" outline="0" fieldPosition="0">
        <references count="4">
          <reference field="4294967294" count="1" selected="0">
            <x v="0"/>
          </reference>
          <reference field="10" count="1" selected="0">
            <x v="2"/>
          </reference>
          <reference field="11" count="1" selected="0">
            <x v="3"/>
          </reference>
          <reference field="14" count="1" selected="0">
            <x v="4"/>
          </reference>
        </references>
      </pivotArea>
    </chartFormat>
    <chartFormat chart="8" format="537">
      <pivotArea type="data" outline="0" fieldPosition="0">
        <references count="4">
          <reference field="4294967294" count="1" selected="0">
            <x v="0"/>
          </reference>
          <reference field="10" count="1" selected="0">
            <x v="2"/>
          </reference>
          <reference field="11" count="1" selected="0">
            <x v="3"/>
          </reference>
          <reference field="14" count="1" selected="0">
            <x v="5"/>
          </reference>
        </references>
      </pivotArea>
    </chartFormat>
    <chartFormat chart="8" format="538">
      <pivotArea type="data" outline="0" fieldPosition="0">
        <references count="4">
          <reference field="4294967294" count="1" selected="0">
            <x v="0"/>
          </reference>
          <reference field="10" count="1" selected="0">
            <x v="2"/>
          </reference>
          <reference field="11" count="1" selected="0">
            <x v="3"/>
          </reference>
          <reference field="14" count="1" selected="0">
            <x v="6"/>
          </reference>
        </references>
      </pivotArea>
    </chartFormat>
    <chartFormat chart="8" format="539">
      <pivotArea type="data" outline="0" fieldPosition="0">
        <references count="4">
          <reference field="4294967294" count="1" selected="0">
            <x v="0"/>
          </reference>
          <reference field="10" count="1" selected="0">
            <x v="2"/>
          </reference>
          <reference field="11" count="1" selected="0">
            <x v="3"/>
          </reference>
          <reference field="14" count="1" selected="0">
            <x v="7"/>
          </reference>
        </references>
      </pivotArea>
    </chartFormat>
    <chartFormat chart="8" format="540">
      <pivotArea type="data" outline="0" fieldPosition="0">
        <references count="4">
          <reference field="4294967294" count="1" selected="0">
            <x v="0"/>
          </reference>
          <reference field="10" count="1" selected="0">
            <x v="2"/>
          </reference>
          <reference field="11" count="1" selected="0">
            <x v="3"/>
          </reference>
          <reference field="14" count="1" selected="0">
            <x v="8"/>
          </reference>
        </references>
      </pivotArea>
    </chartFormat>
    <chartFormat chart="8" format="541">
      <pivotArea type="data" outline="0" fieldPosition="0">
        <references count="4">
          <reference field="4294967294" count="1" selected="0">
            <x v="0"/>
          </reference>
          <reference field="10" count="1" selected="0">
            <x v="2"/>
          </reference>
          <reference field="11" count="1" selected="0">
            <x v="3"/>
          </reference>
          <reference field="14" count="1" selected="0">
            <x v="9"/>
          </reference>
        </references>
      </pivotArea>
    </chartFormat>
    <chartFormat chart="8" format="542" series="1">
      <pivotArea type="data" outline="0" fieldPosition="0">
        <references count="2">
          <reference field="4294967294" count="1" selected="0">
            <x v="0"/>
          </reference>
          <reference field="11" count="1" selected="0">
            <x v="4"/>
          </reference>
        </references>
      </pivotArea>
    </chartFormat>
    <chartFormat chart="8" format="543">
      <pivotArea type="data" outline="0" fieldPosition="0">
        <references count="4">
          <reference field="4294967294" count="1" selected="0">
            <x v="0"/>
          </reference>
          <reference field="10" count="1" selected="0">
            <x v="0"/>
          </reference>
          <reference field="11" count="1" selected="0">
            <x v="4"/>
          </reference>
          <reference field="14" count="1" selected="0">
            <x v="0"/>
          </reference>
        </references>
      </pivotArea>
    </chartFormat>
    <chartFormat chart="8" format="544">
      <pivotArea type="data" outline="0" fieldPosition="0">
        <references count="4">
          <reference field="4294967294" count="1" selected="0">
            <x v="0"/>
          </reference>
          <reference field="10" count="1" selected="0">
            <x v="0"/>
          </reference>
          <reference field="11" count="1" selected="0">
            <x v="4"/>
          </reference>
          <reference field="14" count="1" selected="0">
            <x v="1"/>
          </reference>
        </references>
      </pivotArea>
    </chartFormat>
    <chartFormat chart="8" format="545">
      <pivotArea type="data" outline="0" fieldPosition="0">
        <references count="4">
          <reference field="4294967294" count="1" selected="0">
            <x v="0"/>
          </reference>
          <reference field="10" count="1" selected="0">
            <x v="0"/>
          </reference>
          <reference field="11" count="1" selected="0">
            <x v="4"/>
          </reference>
          <reference field="14" count="1" selected="0">
            <x v="2"/>
          </reference>
        </references>
      </pivotArea>
    </chartFormat>
    <chartFormat chart="8" format="546">
      <pivotArea type="data" outline="0" fieldPosition="0">
        <references count="4">
          <reference field="4294967294" count="1" selected="0">
            <x v="0"/>
          </reference>
          <reference field="10" count="1" selected="0">
            <x v="0"/>
          </reference>
          <reference field="11" count="1" selected="0">
            <x v="4"/>
          </reference>
          <reference field="14" count="1" selected="0">
            <x v="3"/>
          </reference>
        </references>
      </pivotArea>
    </chartFormat>
    <chartFormat chart="8" format="547">
      <pivotArea type="data" outline="0" fieldPosition="0">
        <references count="4">
          <reference field="4294967294" count="1" selected="0">
            <x v="0"/>
          </reference>
          <reference field="10" count="1" selected="0">
            <x v="0"/>
          </reference>
          <reference field="11" count="1" selected="0">
            <x v="4"/>
          </reference>
          <reference field="14" count="1" selected="0">
            <x v="4"/>
          </reference>
        </references>
      </pivotArea>
    </chartFormat>
    <chartFormat chart="8" format="548">
      <pivotArea type="data" outline="0" fieldPosition="0">
        <references count="4">
          <reference field="4294967294" count="1" selected="0">
            <x v="0"/>
          </reference>
          <reference field="10" count="1" selected="0">
            <x v="0"/>
          </reference>
          <reference field="11" count="1" selected="0">
            <x v="4"/>
          </reference>
          <reference field="14" count="1" selected="0">
            <x v="5"/>
          </reference>
        </references>
      </pivotArea>
    </chartFormat>
    <chartFormat chart="8" format="549">
      <pivotArea type="data" outline="0" fieldPosition="0">
        <references count="4">
          <reference field="4294967294" count="1" selected="0">
            <x v="0"/>
          </reference>
          <reference field="10" count="1" selected="0">
            <x v="0"/>
          </reference>
          <reference field="11" count="1" selected="0">
            <x v="4"/>
          </reference>
          <reference field="14" count="1" selected="0">
            <x v="6"/>
          </reference>
        </references>
      </pivotArea>
    </chartFormat>
    <chartFormat chart="8" format="550">
      <pivotArea type="data" outline="0" fieldPosition="0">
        <references count="4">
          <reference field="4294967294" count="1" selected="0">
            <x v="0"/>
          </reference>
          <reference field="10" count="1" selected="0">
            <x v="0"/>
          </reference>
          <reference field="11" count="1" selected="0">
            <x v="4"/>
          </reference>
          <reference field="14" count="1" selected="0">
            <x v="7"/>
          </reference>
        </references>
      </pivotArea>
    </chartFormat>
    <chartFormat chart="8" format="551">
      <pivotArea type="data" outline="0" fieldPosition="0">
        <references count="4">
          <reference field="4294967294" count="1" selected="0">
            <x v="0"/>
          </reference>
          <reference field="10" count="1" selected="0">
            <x v="0"/>
          </reference>
          <reference field="11" count="1" selected="0">
            <x v="4"/>
          </reference>
          <reference field="14" count="1" selected="0">
            <x v="8"/>
          </reference>
        </references>
      </pivotArea>
    </chartFormat>
    <chartFormat chart="8" format="552">
      <pivotArea type="data" outline="0" fieldPosition="0">
        <references count="4">
          <reference field="4294967294" count="1" selected="0">
            <x v="0"/>
          </reference>
          <reference field="10" count="1" selected="0">
            <x v="0"/>
          </reference>
          <reference field="11" count="1" selected="0">
            <x v="4"/>
          </reference>
          <reference field="14" count="1" selected="0">
            <x v="9"/>
          </reference>
        </references>
      </pivotArea>
    </chartFormat>
    <chartFormat chart="8" format="553">
      <pivotArea type="data" outline="0" fieldPosition="0">
        <references count="4">
          <reference field="4294967294" count="1" selected="0">
            <x v="0"/>
          </reference>
          <reference field="10" count="1" selected="0">
            <x v="1"/>
          </reference>
          <reference field="11" count="1" selected="0">
            <x v="4"/>
          </reference>
          <reference field="14" count="1" selected="0">
            <x v="0"/>
          </reference>
        </references>
      </pivotArea>
    </chartFormat>
    <chartFormat chart="8" format="554">
      <pivotArea type="data" outline="0" fieldPosition="0">
        <references count="4">
          <reference field="4294967294" count="1" selected="0">
            <x v="0"/>
          </reference>
          <reference field="10" count="1" selected="0">
            <x v="1"/>
          </reference>
          <reference field="11" count="1" selected="0">
            <x v="4"/>
          </reference>
          <reference field="14" count="1" selected="0">
            <x v="1"/>
          </reference>
        </references>
      </pivotArea>
    </chartFormat>
    <chartFormat chart="8" format="555">
      <pivotArea type="data" outline="0" fieldPosition="0">
        <references count="4">
          <reference field="4294967294" count="1" selected="0">
            <x v="0"/>
          </reference>
          <reference field="10" count="1" selected="0">
            <x v="1"/>
          </reference>
          <reference field="11" count="1" selected="0">
            <x v="4"/>
          </reference>
          <reference field="14" count="1" selected="0">
            <x v="2"/>
          </reference>
        </references>
      </pivotArea>
    </chartFormat>
    <chartFormat chart="8" format="556">
      <pivotArea type="data" outline="0" fieldPosition="0">
        <references count="4">
          <reference field="4294967294" count="1" selected="0">
            <x v="0"/>
          </reference>
          <reference field="10" count="1" selected="0">
            <x v="1"/>
          </reference>
          <reference field="11" count="1" selected="0">
            <x v="4"/>
          </reference>
          <reference field="14" count="1" selected="0">
            <x v="3"/>
          </reference>
        </references>
      </pivotArea>
    </chartFormat>
    <chartFormat chart="8" format="557">
      <pivotArea type="data" outline="0" fieldPosition="0">
        <references count="4">
          <reference field="4294967294" count="1" selected="0">
            <x v="0"/>
          </reference>
          <reference field="10" count="1" selected="0">
            <x v="1"/>
          </reference>
          <reference field="11" count="1" selected="0">
            <x v="4"/>
          </reference>
          <reference field="14" count="1" selected="0">
            <x v="4"/>
          </reference>
        </references>
      </pivotArea>
    </chartFormat>
    <chartFormat chart="8" format="558">
      <pivotArea type="data" outline="0" fieldPosition="0">
        <references count="4">
          <reference field="4294967294" count="1" selected="0">
            <x v="0"/>
          </reference>
          <reference field="10" count="1" selected="0">
            <x v="1"/>
          </reference>
          <reference field="11" count="1" selected="0">
            <x v="4"/>
          </reference>
          <reference field="14" count="1" selected="0">
            <x v="5"/>
          </reference>
        </references>
      </pivotArea>
    </chartFormat>
    <chartFormat chart="8" format="559">
      <pivotArea type="data" outline="0" fieldPosition="0">
        <references count="4">
          <reference field="4294967294" count="1" selected="0">
            <x v="0"/>
          </reference>
          <reference field="10" count="1" selected="0">
            <x v="1"/>
          </reference>
          <reference field="11" count="1" selected="0">
            <x v="4"/>
          </reference>
          <reference field="14" count="1" selected="0">
            <x v="6"/>
          </reference>
        </references>
      </pivotArea>
    </chartFormat>
    <chartFormat chart="8" format="560">
      <pivotArea type="data" outline="0" fieldPosition="0">
        <references count="4">
          <reference field="4294967294" count="1" selected="0">
            <x v="0"/>
          </reference>
          <reference field="10" count="1" selected="0">
            <x v="1"/>
          </reference>
          <reference field="11" count="1" selected="0">
            <x v="4"/>
          </reference>
          <reference field="14" count="1" selected="0">
            <x v="7"/>
          </reference>
        </references>
      </pivotArea>
    </chartFormat>
    <chartFormat chart="8" format="561">
      <pivotArea type="data" outline="0" fieldPosition="0">
        <references count="4">
          <reference field="4294967294" count="1" selected="0">
            <x v="0"/>
          </reference>
          <reference field="10" count="1" selected="0">
            <x v="1"/>
          </reference>
          <reference field="11" count="1" selected="0">
            <x v="4"/>
          </reference>
          <reference field="14" count="1" selected="0">
            <x v="8"/>
          </reference>
        </references>
      </pivotArea>
    </chartFormat>
    <chartFormat chart="8" format="562">
      <pivotArea type="data" outline="0" fieldPosition="0">
        <references count="4">
          <reference field="4294967294" count="1" selected="0">
            <x v="0"/>
          </reference>
          <reference field="10" count="1" selected="0">
            <x v="1"/>
          </reference>
          <reference field="11" count="1" selected="0">
            <x v="4"/>
          </reference>
          <reference field="14" count="1" selected="0">
            <x v="9"/>
          </reference>
        </references>
      </pivotArea>
    </chartFormat>
    <chartFormat chart="8" format="563">
      <pivotArea type="data" outline="0" fieldPosition="0">
        <references count="4">
          <reference field="4294967294" count="1" selected="0">
            <x v="0"/>
          </reference>
          <reference field="10" count="1" selected="0">
            <x v="2"/>
          </reference>
          <reference field="11" count="1" selected="0">
            <x v="4"/>
          </reference>
          <reference field="14" count="1" selected="0">
            <x v="0"/>
          </reference>
        </references>
      </pivotArea>
    </chartFormat>
    <chartFormat chart="8" format="564">
      <pivotArea type="data" outline="0" fieldPosition="0">
        <references count="4">
          <reference field="4294967294" count="1" selected="0">
            <x v="0"/>
          </reference>
          <reference field="10" count="1" selected="0">
            <x v="2"/>
          </reference>
          <reference field="11" count="1" selected="0">
            <x v="4"/>
          </reference>
          <reference field="14" count="1" selected="0">
            <x v="1"/>
          </reference>
        </references>
      </pivotArea>
    </chartFormat>
    <chartFormat chart="8" format="565">
      <pivotArea type="data" outline="0" fieldPosition="0">
        <references count="4">
          <reference field="4294967294" count="1" selected="0">
            <x v="0"/>
          </reference>
          <reference field="10" count="1" selected="0">
            <x v="2"/>
          </reference>
          <reference field="11" count="1" selected="0">
            <x v="4"/>
          </reference>
          <reference field="14" count="1" selected="0">
            <x v="2"/>
          </reference>
        </references>
      </pivotArea>
    </chartFormat>
    <chartFormat chart="8" format="566">
      <pivotArea type="data" outline="0" fieldPosition="0">
        <references count="4">
          <reference field="4294967294" count="1" selected="0">
            <x v="0"/>
          </reference>
          <reference field="10" count="1" selected="0">
            <x v="2"/>
          </reference>
          <reference field="11" count="1" selected="0">
            <x v="4"/>
          </reference>
          <reference field="14" count="1" selected="0">
            <x v="3"/>
          </reference>
        </references>
      </pivotArea>
    </chartFormat>
    <chartFormat chart="8" format="567">
      <pivotArea type="data" outline="0" fieldPosition="0">
        <references count="4">
          <reference field="4294967294" count="1" selected="0">
            <x v="0"/>
          </reference>
          <reference field="10" count="1" selected="0">
            <x v="2"/>
          </reference>
          <reference field="11" count="1" selected="0">
            <x v="4"/>
          </reference>
          <reference field="14" count="1" selected="0">
            <x v="4"/>
          </reference>
        </references>
      </pivotArea>
    </chartFormat>
    <chartFormat chart="8" format="568">
      <pivotArea type="data" outline="0" fieldPosition="0">
        <references count="4">
          <reference field="4294967294" count="1" selected="0">
            <x v="0"/>
          </reference>
          <reference field="10" count="1" selected="0">
            <x v="2"/>
          </reference>
          <reference field="11" count="1" selected="0">
            <x v="4"/>
          </reference>
          <reference field="14" count="1" selected="0">
            <x v="5"/>
          </reference>
        </references>
      </pivotArea>
    </chartFormat>
    <chartFormat chart="8" format="569">
      <pivotArea type="data" outline="0" fieldPosition="0">
        <references count="4">
          <reference field="4294967294" count="1" selected="0">
            <x v="0"/>
          </reference>
          <reference field="10" count="1" selected="0">
            <x v="2"/>
          </reference>
          <reference field="11" count="1" selected="0">
            <x v="4"/>
          </reference>
          <reference field="14" count="1" selected="0">
            <x v="6"/>
          </reference>
        </references>
      </pivotArea>
    </chartFormat>
    <chartFormat chart="8" format="570">
      <pivotArea type="data" outline="0" fieldPosition="0">
        <references count="4">
          <reference field="4294967294" count="1" selected="0">
            <x v="0"/>
          </reference>
          <reference field="10" count="1" selected="0">
            <x v="2"/>
          </reference>
          <reference field="11" count="1" selected="0">
            <x v="4"/>
          </reference>
          <reference field="14" count="1" selected="0">
            <x v="7"/>
          </reference>
        </references>
      </pivotArea>
    </chartFormat>
    <chartFormat chart="8" format="571">
      <pivotArea type="data" outline="0" fieldPosition="0">
        <references count="4">
          <reference field="4294967294" count="1" selected="0">
            <x v="0"/>
          </reference>
          <reference field="10" count="1" selected="0">
            <x v="2"/>
          </reference>
          <reference field="11" count="1" selected="0">
            <x v="4"/>
          </reference>
          <reference field="14" count="1" selected="0">
            <x v="8"/>
          </reference>
        </references>
      </pivotArea>
    </chartFormat>
    <chartFormat chart="8" format="572">
      <pivotArea type="data" outline="0" fieldPosition="0">
        <references count="4">
          <reference field="4294967294" count="1" selected="0">
            <x v="0"/>
          </reference>
          <reference field="10" count="1" selected="0">
            <x v="2"/>
          </reference>
          <reference field="11" count="1" selected="0">
            <x v="4"/>
          </reference>
          <reference field="14" count="1" selected="0">
            <x v="9"/>
          </reference>
        </references>
      </pivotArea>
    </chartFormat>
    <chartFormat chart="8" format="573" series="1">
      <pivotArea type="data" outline="0" fieldPosition="0">
        <references count="2">
          <reference field="4294967294" count="1" selected="0">
            <x v="0"/>
          </reference>
          <reference field="11" count="1" selected="0">
            <x v="5"/>
          </reference>
        </references>
      </pivotArea>
    </chartFormat>
    <chartFormat chart="8" format="574">
      <pivotArea type="data" outline="0" fieldPosition="0">
        <references count="4">
          <reference field="4294967294" count="1" selected="0">
            <x v="0"/>
          </reference>
          <reference field="10" count="1" selected="0">
            <x v="0"/>
          </reference>
          <reference field="11" count="1" selected="0">
            <x v="5"/>
          </reference>
          <reference field="14" count="1" selected="0">
            <x v="0"/>
          </reference>
        </references>
      </pivotArea>
    </chartFormat>
    <chartFormat chart="8" format="575">
      <pivotArea type="data" outline="0" fieldPosition="0">
        <references count="4">
          <reference field="4294967294" count="1" selected="0">
            <x v="0"/>
          </reference>
          <reference field="10" count="1" selected="0">
            <x v="0"/>
          </reference>
          <reference field="11" count="1" selected="0">
            <x v="5"/>
          </reference>
          <reference field="14" count="1" selected="0">
            <x v="1"/>
          </reference>
        </references>
      </pivotArea>
    </chartFormat>
    <chartFormat chart="8" format="576">
      <pivotArea type="data" outline="0" fieldPosition="0">
        <references count="4">
          <reference field="4294967294" count="1" selected="0">
            <x v="0"/>
          </reference>
          <reference field="10" count="1" selected="0">
            <x v="0"/>
          </reference>
          <reference field="11" count="1" selected="0">
            <x v="5"/>
          </reference>
          <reference field="14" count="1" selected="0">
            <x v="2"/>
          </reference>
        </references>
      </pivotArea>
    </chartFormat>
    <chartFormat chart="8" format="577">
      <pivotArea type="data" outline="0" fieldPosition="0">
        <references count="4">
          <reference field="4294967294" count="1" selected="0">
            <x v="0"/>
          </reference>
          <reference field="10" count="1" selected="0">
            <x v="0"/>
          </reference>
          <reference field="11" count="1" selected="0">
            <x v="5"/>
          </reference>
          <reference field="14" count="1" selected="0">
            <x v="3"/>
          </reference>
        </references>
      </pivotArea>
    </chartFormat>
    <chartFormat chart="8" format="578">
      <pivotArea type="data" outline="0" fieldPosition="0">
        <references count="4">
          <reference field="4294967294" count="1" selected="0">
            <x v="0"/>
          </reference>
          <reference field="10" count="1" selected="0">
            <x v="0"/>
          </reference>
          <reference field="11" count="1" selected="0">
            <x v="5"/>
          </reference>
          <reference field="14" count="1" selected="0">
            <x v="4"/>
          </reference>
        </references>
      </pivotArea>
    </chartFormat>
    <chartFormat chart="8" format="579">
      <pivotArea type="data" outline="0" fieldPosition="0">
        <references count="4">
          <reference field="4294967294" count="1" selected="0">
            <x v="0"/>
          </reference>
          <reference field="10" count="1" selected="0">
            <x v="0"/>
          </reference>
          <reference field="11" count="1" selected="0">
            <x v="5"/>
          </reference>
          <reference field="14" count="1" selected="0">
            <x v="5"/>
          </reference>
        </references>
      </pivotArea>
    </chartFormat>
    <chartFormat chart="8" format="580">
      <pivotArea type="data" outline="0" fieldPosition="0">
        <references count="4">
          <reference field="4294967294" count="1" selected="0">
            <x v="0"/>
          </reference>
          <reference field="10" count="1" selected="0">
            <x v="0"/>
          </reference>
          <reference field="11" count="1" selected="0">
            <x v="5"/>
          </reference>
          <reference field="14" count="1" selected="0">
            <x v="6"/>
          </reference>
        </references>
      </pivotArea>
    </chartFormat>
    <chartFormat chart="8" format="581">
      <pivotArea type="data" outline="0" fieldPosition="0">
        <references count="4">
          <reference field="4294967294" count="1" selected="0">
            <x v="0"/>
          </reference>
          <reference field="10" count="1" selected="0">
            <x v="0"/>
          </reference>
          <reference field="11" count="1" selected="0">
            <x v="5"/>
          </reference>
          <reference field="14" count="1" selected="0">
            <x v="7"/>
          </reference>
        </references>
      </pivotArea>
    </chartFormat>
    <chartFormat chart="8" format="582">
      <pivotArea type="data" outline="0" fieldPosition="0">
        <references count="4">
          <reference field="4294967294" count="1" selected="0">
            <x v="0"/>
          </reference>
          <reference field="10" count="1" selected="0">
            <x v="0"/>
          </reference>
          <reference field="11" count="1" selected="0">
            <x v="5"/>
          </reference>
          <reference field="14" count="1" selected="0">
            <x v="8"/>
          </reference>
        </references>
      </pivotArea>
    </chartFormat>
    <chartFormat chart="8" format="583">
      <pivotArea type="data" outline="0" fieldPosition="0">
        <references count="4">
          <reference field="4294967294" count="1" selected="0">
            <x v="0"/>
          </reference>
          <reference field="10" count="1" selected="0">
            <x v="0"/>
          </reference>
          <reference field="11" count="1" selected="0">
            <x v="5"/>
          </reference>
          <reference field="14" count="1" selected="0">
            <x v="9"/>
          </reference>
        </references>
      </pivotArea>
    </chartFormat>
    <chartFormat chart="8" format="584">
      <pivotArea type="data" outline="0" fieldPosition="0">
        <references count="4">
          <reference field="4294967294" count="1" selected="0">
            <x v="0"/>
          </reference>
          <reference field="10" count="1" selected="0">
            <x v="1"/>
          </reference>
          <reference field="11" count="1" selected="0">
            <x v="5"/>
          </reference>
          <reference field="14" count="1" selected="0">
            <x v="0"/>
          </reference>
        </references>
      </pivotArea>
    </chartFormat>
    <chartFormat chart="8" format="585">
      <pivotArea type="data" outline="0" fieldPosition="0">
        <references count="4">
          <reference field="4294967294" count="1" selected="0">
            <x v="0"/>
          </reference>
          <reference field="10" count="1" selected="0">
            <x v="1"/>
          </reference>
          <reference field="11" count="1" selected="0">
            <x v="5"/>
          </reference>
          <reference field="14" count="1" selected="0">
            <x v="1"/>
          </reference>
        </references>
      </pivotArea>
    </chartFormat>
    <chartFormat chart="8" format="586">
      <pivotArea type="data" outline="0" fieldPosition="0">
        <references count="4">
          <reference field="4294967294" count="1" selected="0">
            <x v="0"/>
          </reference>
          <reference field="10" count="1" selected="0">
            <x v="1"/>
          </reference>
          <reference field="11" count="1" selected="0">
            <x v="5"/>
          </reference>
          <reference field="14" count="1" selected="0">
            <x v="2"/>
          </reference>
        </references>
      </pivotArea>
    </chartFormat>
    <chartFormat chart="8" format="587">
      <pivotArea type="data" outline="0" fieldPosition="0">
        <references count="4">
          <reference field="4294967294" count="1" selected="0">
            <x v="0"/>
          </reference>
          <reference field="10" count="1" selected="0">
            <x v="1"/>
          </reference>
          <reference field="11" count="1" selected="0">
            <x v="5"/>
          </reference>
          <reference field="14" count="1" selected="0">
            <x v="3"/>
          </reference>
        </references>
      </pivotArea>
    </chartFormat>
    <chartFormat chart="8" format="588">
      <pivotArea type="data" outline="0" fieldPosition="0">
        <references count="4">
          <reference field="4294967294" count="1" selected="0">
            <x v="0"/>
          </reference>
          <reference field="10" count="1" selected="0">
            <x v="1"/>
          </reference>
          <reference field="11" count="1" selected="0">
            <x v="5"/>
          </reference>
          <reference field="14" count="1" selected="0">
            <x v="4"/>
          </reference>
        </references>
      </pivotArea>
    </chartFormat>
    <chartFormat chart="8" format="589">
      <pivotArea type="data" outline="0" fieldPosition="0">
        <references count="4">
          <reference field="4294967294" count="1" selected="0">
            <x v="0"/>
          </reference>
          <reference field="10" count="1" selected="0">
            <x v="1"/>
          </reference>
          <reference field="11" count="1" selected="0">
            <x v="5"/>
          </reference>
          <reference field="14" count="1" selected="0">
            <x v="5"/>
          </reference>
        </references>
      </pivotArea>
    </chartFormat>
    <chartFormat chart="8" format="590">
      <pivotArea type="data" outline="0" fieldPosition="0">
        <references count="4">
          <reference field="4294967294" count="1" selected="0">
            <x v="0"/>
          </reference>
          <reference field="10" count="1" selected="0">
            <x v="1"/>
          </reference>
          <reference field="11" count="1" selected="0">
            <x v="5"/>
          </reference>
          <reference field="14" count="1" selected="0">
            <x v="6"/>
          </reference>
        </references>
      </pivotArea>
    </chartFormat>
    <chartFormat chart="8" format="591">
      <pivotArea type="data" outline="0" fieldPosition="0">
        <references count="4">
          <reference field="4294967294" count="1" selected="0">
            <x v="0"/>
          </reference>
          <reference field="10" count="1" selected="0">
            <x v="1"/>
          </reference>
          <reference field="11" count="1" selected="0">
            <x v="5"/>
          </reference>
          <reference field="14" count="1" selected="0">
            <x v="7"/>
          </reference>
        </references>
      </pivotArea>
    </chartFormat>
    <chartFormat chart="8" format="592">
      <pivotArea type="data" outline="0" fieldPosition="0">
        <references count="4">
          <reference field="4294967294" count="1" selected="0">
            <x v="0"/>
          </reference>
          <reference field="10" count="1" selected="0">
            <x v="1"/>
          </reference>
          <reference field="11" count="1" selected="0">
            <x v="5"/>
          </reference>
          <reference field="14" count="1" selected="0">
            <x v="8"/>
          </reference>
        </references>
      </pivotArea>
    </chartFormat>
    <chartFormat chart="8" format="593">
      <pivotArea type="data" outline="0" fieldPosition="0">
        <references count="4">
          <reference field="4294967294" count="1" selected="0">
            <x v="0"/>
          </reference>
          <reference field="10" count="1" selected="0">
            <x v="1"/>
          </reference>
          <reference field="11" count="1" selected="0">
            <x v="5"/>
          </reference>
          <reference field="14" count="1" selected="0">
            <x v="9"/>
          </reference>
        </references>
      </pivotArea>
    </chartFormat>
    <chartFormat chart="8" format="594">
      <pivotArea type="data" outline="0" fieldPosition="0">
        <references count="4">
          <reference field="4294967294" count="1" selected="0">
            <x v="0"/>
          </reference>
          <reference field="10" count="1" selected="0">
            <x v="2"/>
          </reference>
          <reference field="11" count="1" selected="0">
            <x v="5"/>
          </reference>
          <reference field="14" count="1" selected="0">
            <x v="0"/>
          </reference>
        </references>
      </pivotArea>
    </chartFormat>
    <chartFormat chart="8" format="595">
      <pivotArea type="data" outline="0" fieldPosition="0">
        <references count="4">
          <reference field="4294967294" count="1" selected="0">
            <x v="0"/>
          </reference>
          <reference field="10" count="1" selected="0">
            <x v="2"/>
          </reference>
          <reference field="11" count="1" selected="0">
            <x v="5"/>
          </reference>
          <reference field="14" count="1" selected="0">
            <x v="1"/>
          </reference>
        </references>
      </pivotArea>
    </chartFormat>
    <chartFormat chart="8" format="596">
      <pivotArea type="data" outline="0" fieldPosition="0">
        <references count="4">
          <reference field="4294967294" count="1" selected="0">
            <x v="0"/>
          </reference>
          <reference field="10" count="1" selected="0">
            <x v="2"/>
          </reference>
          <reference field="11" count="1" selected="0">
            <x v="5"/>
          </reference>
          <reference field="14" count="1" selected="0">
            <x v="2"/>
          </reference>
        </references>
      </pivotArea>
    </chartFormat>
    <chartFormat chart="8" format="597">
      <pivotArea type="data" outline="0" fieldPosition="0">
        <references count="4">
          <reference field="4294967294" count="1" selected="0">
            <x v="0"/>
          </reference>
          <reference field="10" count="1" selected="0">
            <x v="2"/>
          </reference>
          <reference field="11" count="1" selected="0">
            <x v="5"/>
          </reference>
          <reference field="14" count="1" selected="0">
            <x v="3"/>
          </reference>
        </references>
      </pivotArea>
    </chartFormat>
    <chartFormat chart="8" format="598">
      <pivotArea type="data" outline="0" fieldPosition="0">
        <references count="4">
          <reference field="4294967294" count="1" selected="0">
            <x v="0"/>
          </reference>
          <reference field="10" count="1" selected="0">
            <x v="2"/>
          </reference>
          <reference field="11" count="1" selected="0">
            <x v="5"/>
          </reference>
          <reference field="14" count="1" selected="0">
            <x v="4"/>
          </reference>
        </references>
      </pivotArea>
    </chartFormat>
    <chartFormat chart="8" format="599">
      <pivotArea type="data" outline="0" fieldPosition="0">
        <references count="4">
          <reference field="4294967294" count="1" selected="0">
            <x v="0"/>
          </reference>
          <reference field="10" count="1" selected="0">
            <x v="2"/>
          </reference>
          <reference field="11" count="1" selected="0">
            <x v="5"/>
          </reference>
          <reference field="14" count="1" selected="0">
            <x v="5"/>
          </reference>
        </references>
      </pivotArea>
    </chartFormat>
    <chartFormat chart="8" format="600">
      <pivotArea type="data" outline="0" fieldPosition="0">
        <references count="4">
          <reference field="4294967294" count="1" selected="0">
            <x v="0"/>
          </reference>
          <reference field="10" count="1" selected="0">
            <x v="2"/>
          </reference>
          <reference field="11" count="1" selected="0">
            <x v="5"/>
          </reference>
          <reference field="14" count="1" selected="0">
            <x v="6"/>
          </reference>
        </references>
      </pivotArea>
    </chartFormat>
    <chartFormat chart="8" format="601">
      <pivotArea type="data" outline="0" fieldPosition="0">
        <references count="4">
          <reference field="4294967294" count="1" selected="0">
            <x v="0"/>
          </reference>
          <reference field="10" count="1" selected="0">
            <x v="2"/>
          </reference>
          <reference field="11" count="1" selected="0">
            <x v="5"/>
          </reference>
          <reference field="14" count="1" selected="0">
            <x v="7"/>
          </reference>
        </references>
      </pivotArea>
    </chartFormat>
    <chartFormat chart="8" format="602">
      <pivotArea type="data" outline="0" fieldPosition="0">
        <references count="4">
          <reference field="4294967294" count="1" selected="0">
            <x v="0"/>
          </reference>
          <reference field="10" count="1" selected="0">
            <x v="2"/>
          </reference>
          <reference field="11" count="1" selected="0">
            <x v="5"/>
          </reference>
          <reference field="14" count="1" selected="0">
            <x v="8"/>
          </reference>
        </references>
      </pivotArea>
    </chartFormat>
    <chartFormat chart="8" format="603">
      <pivotArea type="data" outline="0" fieldPosition="0">
        <references count="4">
          <reference field="4294967294" count="1" selected="0">
            <x v="0"/>
          </reference>
          <reference field="10" count="1" selected="0">
            <x v="2"/>
          </reference>
          <reference field="11" count="1" selected="0">
            <x v="5"/>
          </reference>
          <reference field="14" count="1" selected="0">
            <x v="9"/>
          </reference>
        </references>
      </pivotArea>
    </chartFormat>
    <chartFormat chart="8" format="604" series="1">
      <pivotArea type="data" outline="0" fieldPosition="0">
        <references count="2">
          <reference field="4294967294" count="1" selected="0">
            <x v="0"/>
          </reference>
          <reference field="11" count="1" selected="0">
            <x v="6"/>
          </reference>
        </references>
      </pivotArea>
    </chartFormat>
    <chartFormat chart="8" format="605">
      <pivotArea type="data" outline="0" fieldPosition="0">
        <references count="4">
          <reference field="4294967294" count="1" selected="0">
            <x v="0"/>
          </reference>
          <reference field="10" count="1" selected="0">
            <x v="0"/>
          </reference>
          <reference field="11" count="1" selected="0">
            <x v="6"/>
          </reference>
          <reference field="14" count="1" selected="0">
            <x v="0"/>
          </reference>
        </references>
      </pivotArea>
    </chartFormat>
    <chartFormat chart="8" format="606">
      <pivotArea type="data" outline="0" fieldPosition="0">
        <references count="4">
          <reference field="4294967294" count="1" selected="0">
            <x v="0"/>
          </reference>
          <reference field="10" count="1" selected="0">
            <x v="0"/>
          </reference>
          <reference field="11" count="1" selected="0">
            <x v="6"/>
          </reference>
          <reference field="14" count="1" selected="0">
            <x v="1"/>
          </reference>
        </references>
      </pivotArea>
    </chartFormat>
    <chartFormat chart="8" format="607">
      <pivotArea type="data" outline="0" fieldPosition="0">
        <references count="4">
          <reference field="4294967294" count="1" selected="0">
            <x v="0"/>
          </reference>
          <reference field="10" count="1" selected="0">
            <x v="0"/>
          </reference>
          <reference field="11" count="1" selected="0">
            <x v="6"/>
          </reference>
          <reference field="14" count="1" selected="0">
            <x v="2"/>
          </reference>
        </references>
      </pivotArea>
    </chartFormat>
    <chartFormat chart="8" format="608">
      <pivotArea type="data" outline="0" fieldPosition="0">
        <references count="4">
          <reference field="4294967294" count="1" selected="0">
            <x v="0"/>
          </reference>
          <reference field="10" count="1" selected="0">
            <x v="0"/>
          </reference>
          <reference field="11" count="1" selected="0">
            <x v="6"/>
          </reference>
          <reference field="14" count="1" selected="0">
            <x v="3"/>
          </reference>
        </references>
      </pivotArea>
    </chartFormat>
    <chartFormat chart="8" format="609">
      <pivotArea type="data" outline="0" fieldPosition="0">
        <references count="4">
          <reference field="4294967294" count="1" selected="0">
            <x v="0"/>
          </reference>
          <reference field="10" count="1" selected="0">
            <x v="0"/>
          </reference>
          <reference field="11" count="1" selected="0">
            <x v="6"/>
          </reference>
          <reference field="14" count="1" selected="0">
            <x v="4"/>
          </reference>
        </references>
      </pivotArea>
    </chartFormat>
    <chartFormat chart="8" format="610">
      <pivotArea type="data" outline="0" fieldPosition="0">
        <references count="4">
          <reference field="4294967294" count="1" selected="0">
            <x v="0"/>
          </reference>
          <reference field="10" count="1" selected="0">
            <x v="0"/>
          </reference>
          <reference field="11" count="1" selected="0">
            <x v="6"/>
          </reference>
          <reference field="14" count="1" selected="0">
            <x v="5"/>
          </reference>
        </references>
      </pivotArea>
    </chartFormat>
    <chartFormat chart="8" format="611">
      <pivotArea type="data" outline="0" fieldPosition="0">
        <references count="4">
          <reference field="4294967294" count="1" selected="0">
            <x v="0"/>
          </reference>
          <reference field="10" count="1" selected="0">
            <x v="0"/>
          </reference>
          <reference field="11" count="1" selected="0">
            <x v="6"/>
          </reference>
          <reference field="14" count="1" selected="0">
            <x v="6"/>
          </reference>
        </references>
      </pivotArea>
    </chartFormat>
    <chartFormat chart="8" format="612">
      <pivotArea type="data" outline="0" fieldPosition="0">
        <references count="4">
          <reference field="4294967294" count="1" selected="0">
            <x v="0"/>
          </reference>
          <reference field="10" count="1" selected="0">
            <x v="0"/>
          </reference>
          <reference field="11" count="1" selected="0">
            <x v="6"/>
          </reference>
          <reference field="14" count="1" selected="0">
            <x v="7"/>
          </reference>
        </references>
      </pivotArea>
    </chartFormat>
    <chartFormat chart="8" format="613">
      <pivotArea type="data" outline="0" fieldPosition="0">
        <references count="4">
          <reference field="4294967294" count="1" selected="0">
            <x v="0"/>
          </reference>
          <reference field="10" count="1" selected="0">
            <x v="0"/>
          </reference>
          <reference field="11" count="1" selected="0">
            <x v="6"/>
          </reference>
          <reference field="14" count="1" selected="0">
            <x v="8"/>
          </reference>
        </references>
      </pivotArea>
    </chartFormat>
    <chartFormat chart="8" format="614">
      <pivotArea type="data" outline="0" fieldPosition="0">
        <references count="4">
          <reference field="4294967294" count="1" selected="0">
            <x v="0"/>
          </reference>
          <reference field="10" count="1" selected="0">
            <x v="0"/>
          </reference>
          <reference field="11" count="1" selected="0">
            <x v="6"/>
          </reference>
          <reference field="14" count="1" selected="0">
            <x v="9"/>
          </reference>
        </references>
      </pivotArea>
    </chartFormat>
    <chartFormat chart="8" format="615">
      <pivotArea type="data" outline="0" fieldPosition="0">
        <references count="4">
          <reference field="4294967294" count="1" selected="0">
            <x v="0"/>
          </reference>
          <reference field="10" count="1" selected="0">
            <x v="1"/>
          </reference>
          <reference field="11" count="1" selected="0">
            <x v="6"/>
          </reference>
          <reference field="14" count="1" selected="0">
            <x v="0"/>
          </reference>
        </references>
      </pivotArea>
    </chartFormat>
    <chartFormat chart="8" format="616">
      <pivotArea type="data" outline="0" fieldPosition="0">
        <references count="4">
          <reference field="4294967294" count="1" selected="0">
            <x v="0"/>
          </reference>
          <reference field="10" count="1" selected="0">
            <x v="1"/>
          </reference>
          <reference field="11" count="1" selected="0">
            <x v="6"/>
          </reference>
          <reference field="14" count="1" selected="0">
            <x v="1"/>
          </reference>
        </references>
      </pivotArea>
    </chartFormat>
    <chartFormat chart="8" format="617">
      <pivotArea type="data" outline="0" fieldPosition="0">
        <references count="4">
          <reference field="4294967294" count="1" selected="0">
            <x v="0"/>
          </reference>
          <reference field="10" count="1" selected="0">
            <x v="1"/>
          </reference>
          <reference field="11" count="1" selected="0">
            <x v="6"/>
          </reference>
          <reference field="14" count="1" selected="0">
            <x v="2"/>
          </reference>
        </references>
      </pivotArea>
    </chartFormat>
    <chartFormat chart="8" format="618">
      <pivotArea type="data" outline="0" fieldPosition="0">
        <references count="4">
          <reference field="4294967294" count="1" selected="0">
            <x v="0"/>
          </reference>
          <reference field="10" count="1" selected="0">
            <x v="1"/>
          </reference>
          <reference field="11" count="1" selected="0">
            <x v="6"/>
          </reference>
          <reference field="14" count="1" selected="0">
            <x v="3"/>
          </reference>
        </references>
      </pivotArea>
    </chartFormat>
    <chartFormat chart="8" format="619">
      <pivotArea type="data" outline="0" fieldPosition="0">
        <references count="4">
          <reference field="4294967294" count="1" selected="0">
            <x v="0"/>
          </reference>
          <reference field="10" count="1" selected="0">
            <x v="1"/>
          </reference>
          <reference field="11" count="1" selected="0">
            <x v="6"/>
          </reference>
          <reference field="14" count="1" selected="0">
            <x v="4"/>
          </reference>
        </references>
      </pivotArea>
    </chartFormat>
    <chartFormat chart="8" format="620">
      <pivotArea type="data" outline="0" fieldPosition="0">
        <references count="4">
          <reference field="4294967294" count="1" selected="0">
            <x v="0"/>
          </reference>
          <reference field="10" count="1" selected="0">
            <x v="1"/>
          </reference>
          <reference field="11" count="1" selected="0">
            <x v="6"/>
          </reference>
          <reference field="14" count="1" selected="0">
            <x v="5"/>
          </reference>
        </references>
      </pivotArea>
    </chartFormat>
    <chartFormat chart="8" format="621">
      <pivotArea type="data" outline="0" fieldPosition="0">
        <references count="4">
          <reference field="4294967294" count="1" selected="0">
            <x v="0"/>
          </reference>
          <reference field="10" count="1" selected="0">
            <x v="1"/>
          </reference>
          <reference field="11" count="1" selected="0">
            <x v="6"/>
          </reference>
          <reference field="14" count="1" selected="0">
            <x v="6"/>
          </reference>
        </references>
      </pivotArea>
    </chartFormat>
    <chartFormat chart="8" format="622">
      <pivotArea type="data" outline="0" fieldPosition="0">
        <references count="4">
          <reference field="4294967294" count="1" selected="0">
            <x v="0"/>
          </reference>
          <reference field="10" count="1" selected="0">
            <x v="1"/>
          </reference>
          <reference field="11" count="1" selected="0">
            <x v="6"/>
          </reference>
          <reference field="14" count="1" selected="0">
            <x v="7"/>
          </reference>
        </references>
      </pivotArea>
    </chartFormat>
    <chartFormat chart="8" format="623">
      <pivotArea type="data" outline="0" fieldPosition="0">
        <references count="4">
          <reference field="4294967294" count="1" selected="0">
            <x v="0"/>
          </reference>
          <reference field="10" count="1" selected="0">
            <x v="1"/>
          </reference>
          <reference field="11" count="1" selected="0">
            <x v="6"/>
          </reference>
          <reference field="14" count="1" selected="0">
            <x v="8"/>
          </reference>
        </references>
      </pivotArea>
    </chartFormat>
    <chartFormat chart="8" format="624">
      <pivotArea type="data" outline="0" fieldPosition="0">
        <references count="4">
          <reference field="4294967294" count="1" selected="0">
            <x v="0"/>
          </reference>
          <reference field="10" count="1" selected="0">
            <x v="1"/>
          </reference>
          <reference field="11" count="1" selected="0">
            <x v="6"/>
          </reference>
          <reference field="14" count="1" selected="0">
            <x v="9"/>
          </reference>
        </references>
      </pivotArea>
    </chartFormat>
    <chartFormat chart="8" format="625">
      <pivotArea type="data" outline="0" fieldPosition="0">
        <references count="4">
          <reference field="4294967294" count="1" selected="0">
            <x v="0"/>
          </reference>
          <reference field="10" count="1" selected="0">
            <x v="2"/>
          </reference>
          <reference field="11" count="1" selected="0">
            <x v="6"/>
          </reference>
          <reference field="14" count="1" selected="0">
            <x v="0"/>
          </reference>
        </references>
      </pivotArea>
    </chartFormat>
    <chartFormat chart="8" format="626">
      <pivotArea type="data" outline="0" fieldPosition="0">
        <references count="4">
          <reference field="4294967294" count="1" selected="0">
            <x v="0"/>
          </reference>
          <reference field="10" count="1" selected="0">
            <x v="2"/>
          </reference>
          <reference field="11" count="1" selected="0">
            <x v="6"/>
          </reference>
          <reference field="14" count="1" selected="0">
            <x v="1"/>
          </reference>
        </references>
      </pivotArea>
    </chartFormat>
    <chartFormat chart="8" format="627">
      <pivotArea type="data" outline="0" fieldPosition="0">
        <references count="4">
          <reference field="4294967294" count="1" selected="0">
            <x v="0"/>
          </reference>
          <reference field="10" count="1" selected="0">
            <x v="2"/>
          </reference>
          <reference field="11" count="1" selected="0">
            <x v="6"/>
          </reference>
          <reference field="14" count="1" selected="0">
            <x v="2"/>
          </reference>
        </references>
      </pivotArea>
    </chartFormat>
    <chartFormat chart="8" format="628">
      <pivotArea type="data" outline="0" fieldPosition="0">
        <references count="4">
          <reference field="4294967294" count="1" selected="0">
            <x v="0"/>
          </reference>
          <reference field="10" count="1" selected="0">
            <x v="2"/>
          </reference>
          <reference field="11" count="1" selected="0">
            <x v="6"/>
          </reference>
          <reference field="14" count="1" selected="0">
            <x v="3"/>
          </reference>
        </references>
      </pivotArea>
    </chartFormat>
    <chartFormat chart="8" format="629">
      <pivotArea type="data" outline="0" fieldPosition="0">
        <references count="4">
          <reference field="4294967294" count="1" selected="0">
            <x v="0"/>
          </reference>
          <reference field="10" count="1" selected="0">
            <x v="2"/>
          </reference>
          <reference field="11" count="1" selected="0">
            <x v="6"/>
          </reference>
          <reference field="14" count="1" selected="0">
            <x v="4"/>
          </reference>
        </references>
      </pivotArea>
    </chartFormat>
    <chartFormat chart="8" format="630">
      <pivotArea type="data" outline="0" fieldPosition="0">
        <references count="4">
          <reference field="4294967294" count="1" selected="0">
            <x v="0"/>
          </reference>
          <reference field="10" count="1" selected="0">
            <x v="2"/>
          </reference>
          <reference field="11" count="1" selected="0">
            <x v="6"/>
          </reference>
          <reference field="14" count="1" selected="0">
            <x v="5"/>
          </reference>
        </references>
      </pivotArea>
    </chartFormat>
    <chartFormat chart="8" format="631">
      <pivotArea type="data" outline="0" fieldPosition="0">
        <references count="4">
          <reference field="4294967294" count="1" selected="0">
            <x v="0"/>
          </reference>
          <reference field="10" count="1" selected="0">
            <x v="2"/>
          </reference>
          <reference field="11" count="1" selected="0">
            <x v="6"/>
          </reference>
          <reference field="14" count="1" selected="0">
            <x v="6"/>
          </reference>
        </references>
      </pivotArea>
    </chartFormat>
    <chartFormat chart="8" format="632">
      <pivotArea type="data" outline="0" fieldPosition="0">
        <references count="4">
          <reference field="4294967294" count="1" selected="0">
            <x v="0"/>
          </reference>
          <reference field="10" count="1" selected="0">
            <x v="2"/>
          </reference>
          <reference field="11" count="1" selected="0">
            <x v="6"/>
          </reference>
          <reference field="14" count="1" selected="0">
            <x v="7"/>
          </reference>
        </references>
      </pivotArea>
    </chartFormat>
    <chartFormat chart="8" format="633">
      <pivotArea type="data" outline="0" fieldPosition="0">
        <references count="4">
          <reference field="4294967294" count="1" selected="0">
            <x v="0"/>
          </reference>
          <reference field="10" count="1" selected="0">
            <x v="2"/>
          </reference>
          <reference field="11" count="1" selected="0">
            <x v="6"/>
          </reference>
          <reference field="14" count="1" selected="0">
            <x v="8"/>
          </reference>
        </references>
      </pivotArea>
    </chartFormat>
    <chartFormat chart="8" format="634">
      <pivotArea type="data" outline="0" fieldPosition="0">
        <references count="4">
          <reference field="4294967294" count="1" selected="0">
            <x v="0"/>
          </reference>
          <reference field="10" count="1" selected="0">
            <x v="2"/>
          </reference>
          <reference field="11" count="1" selected="0">
            <x v="6"/>
          </reference>
          <reference field="14" count="1" selected="0">
            <x v="9"/>
          </reference>
        </references>
      </pivotArea>
    </chartFormat>
    <chartFormat chart="8" format="635" series="1">
      <pivotArea type="data" outline="0" fieldPosition="0">
        <references count="2">
          <reference field="4294967294" count="1" selected="0">
            <x v="0"/>
          </reference>
          <reference field="11" count="1" selected="0">
            <x v="7"/>
          </reference>
        </references>
      </pivotArea>
    </chartFormat>
    <chartFormat chart="8" format="636">
      <pivotArea type="data" outline="0" fieldPosition="0">
        <references count="4">
          <reference field="4294967294" count="1" selected="0">
            <x v="0"/>
          </reference>
          <reference field="10" count="1" selected="0">
            <x v="0"/>
          </reference>
          <reference field="11" count="1" selected="0">
            <x v="7"/>
          </reference>
          <reference field="14" count="1" selected="0">
            <x v="0"/>
          </reference>
        </references>
      </pivotArea>
    </chartFormat>
    <chartFormat chart="8" format="637">
      <pivotArea type="data" outline="0" fieldPosition="0">
        <references count="4">
          <reference field="4294967294" count="1" selected="0">
            <x v="0"/>
          </reference>
          <reference field="10" count="1" selected="0">
            <x v="0"/>
          </reference>
          <reference field="11" count="1" selected="0">
            <x v="7"/>
          </reference>
          <reference field="14" count="1" selected="0">
            <x v="1"/>
          </reference>
        </references>
      </pivotArea>
    </chartFormat>
    <chartFormat chart="8" format="638">
      <pivotArea type="data" outline="0" fieldPosition="0">
        <references count="4">
          <reference field="4294967294" count="1" selected="0">
            <x v="0"/>
          </reference>
          <reference field="10" count="1" selected="0">
            <x v="0"/>
          </reference>
          <reference field="11" count="1" selected="0">
            <x v="7"/>
          </reference>
          <reference field="14" count="1" selected="0">
            <x v="2"/>
          </reference>
        </references>
      </pivotArea>
    </chartFormat>
    <chartFormat chart="8" format="639">
      <pivotArea type="data" outline="0" fieldPosition="0">
        <references count="4">
          <reference field="4294967294" count="1" selected="0">
            <x v="0"/>
          </reference>
          <reference field="10" count="1" selected="0">
            <x v="0"/>
          </reference>
          <reference field="11" count="1" selected="0">
            <x v="7"/>
          </reference>
          <reference field="14" count="1" selected="0">
            <x v="3"/>
          </reference>
        </references>
      </pivotArea>
    </chartFormat>
    <chartFormat chart="8" format="640">
      <pivotArea type="data" outline="0" fieldPosition="0">
        <references count="4">
          <reference field="4294967294" count="1" selected="0">
            <x v="0"/>
          </reference>
          <reference field="10" count="1" selected="0">
            <x v="0"/>
          </reference>
          <reference field="11" count="1" selected="0">
            <x v="7"/>
          </reference>
          <reference field="14" count="1" selected="0">
            <x v="4"/>
          </reference>
        </references>
      </pivotArea>
    </chartFormat>
    <chartFormat chart="8" format="641">
      <pivotArea type="data" outline="0" fieldPosition="0">
        <references count="4">
          <reference field="4294967294" count="1" selected="0">
            <x v="0"/>
          </reference>
          <reference field="10" count="1" selected="0">
            <x v="0"/>
          </reference>
          <reference field="11" count="1" selected="0">
            <x v="7"/>
          </reference>
          <reference field="14" count="1" selected="0">
            <x v="5"/>
          </reference>
        </references>
      </pivotArea>
    </chartFormat>
    <chartFormat chart="8" format="642">
      <pivotArea type="data" outline="0" fieldPosition="0">
        <references count="4">
          <reference field="4294967294" count="1" selected="0">
            <x v="0"/>
          </reference>
          <reference field="10" count="1" selected="0">
            <x v="0"/>
          </reference>
          <reference field="11" count="1" selected="0">
            <x v="7"/>
          </reference>
          <reference field="14" count="1" selected="0">
            <x v="6"/>
          </reference>
        </references>
      </pivotArea>
    </chartFormat>
    <chartFormat chart="8" format="643">
      <pivotArea type="data" outline="0" fieldPosition="0">
        <references count="4">
          <reference field="4294967294" count="1" selected="0">
            <x v="0"/>
          </reference>
          <reference field="10" count="1" selected="0">
            <x v="0"/>
          </reference>
          <reference field="11" count="1" selected="0">
            <x v="7"/>
          </reference>
          <reference field="14" count="1" selected="0">
            <x v="7"/>
          </reference>
        </references>
      </pivotArea>
    </chartFormat>
    <chartFormat chart="8" format="644">
      <pivotArea type="data" outline="0" fieldPosition="0">
        <references count="4">
          <reference field="4294967294" count="1" selected="0">
            <x v="0"/>
          </reference>
          <reference field="10" count="1" selected="0">
            <x v="0"/>
          </reference>
          <reference field="11" count="1" selected="0">
            <x v="7"/>
          </reference>
          <reference field="14" count="1" selected="0">
            <x v="8"/>
          </reference>
        </references>
      </pivotArea>
    </chartFormat>
    <chartFormat chart="8" format="645">
      <pivotArea type="data" outline="0" fieldPosition="0">
        <references count="4">
          <reference field="4294967294" count="1" selected="0">
            <x v="0"/>
          </reference>
          <reference field="10" count="1" selected="0">
            <x v="0"/>
          </reference>
          <reference field="11" count="1" selected="0">
            <x v="7"/>
          </reference>
          <reference field="14" count="1" selected="0">
            <x v="9"/>
          </reference>
        </references>
      </pivotArea>
    </chartFormat>
    <chartFormat chart="8" format="646">
      <pivotArea type="data" outline="0" fieldPosition="0">
        <references count="4">
          <reference field="4294967294" count="1" selected="0">
            <x v="0"/>
          </reference>
          <reference field="10" count="1" selected="0">
            <x v="1"/>
          </reference>
          <reference field="11" count="1" selected="0">
            <x v="7"/>
          </reference>
          <reference field="14" count="1" selected="0">
            <x v="0"/>
          </reference>
        </references>
      </pivotArea>
    </chartFormat>
    <chartFormat chart="8" format="647">
      <pivotArea type="data" outline="0" fieldPosition="0">
        <references count="4">
          <reference field="4294967294" count="1" selected="0">
            <x v="0"/>
          </reference>
          <reference field="10" count="1" selected="0">
            <x v="1"/>
          </reference>
          <reference field="11" count="1" selected="0">
            <x v="7"/>
          </reference>
          <reference field="14" count="1" selected="0">
            <x v="1"/>
          </reference>
        </references>
      </pivotArea>
    </chartFormat>
    <chartFormat chart="8" format="648">
      <pivotArea type="data" outline="0" fieldPosition="0">
        <references count="4">
          <reference field="4294967294" count="1" selected="0">
            <x v="0"/>
          </reference>
          <reference field="10" count="1" selected="0">
            <x v="1"/>
          </reference>
          <reference field="11" count="1" selected="0">
            <x v="7"/>
          </reference>
          <reference field="14" count="1" selected="0">
            <x v="2"/>
          </reference>
        </references>
      </pivotArea>
    </chartFormat>
    <chartFormat chart="8" format="649">
      <pivotArea type="data" outline="0" fieldPosition="0">
        <references count="4">
          <reference field="4294967294" count="1" selected="0">
            <x v="0"/>
          </reference>
          <reference field="10" count="1" selected="0">
            <x v="1"/>
          </reference>
          <reference field="11" count="1" selected="0">
            <x v="7"/>
          </reference>
          <reference field="14" count="1" selected="0">
            <x v="3"/>
          </reference>
        </references>
      </pivotArea>
    </chartFormat>
    <chartFormat chart="8" format="650">
      <pivotArea type="data" outline="0" fieldPosition="0">
        <references count="4">
          <reference field="4294967294" count="1" selected="0">
            <x v="0"/>
          </reference>
          <reference field="10" count="1" selected="0">
            <x v="1"/>
          </reference>
          <reference field="11" count="1" selected="0">
            <x v="7"/>
          </reference>
          <reference field="14" count="1" selected="0">
            <x v="4"/>
          </reference>
        </references>
      </pivotArea>
    </chartFormat>
    <chartFormat chart="8" format="651">
      <pivotArea type="data" outline="0" fieldPosition="0">
        <references count="4">
          <reference field="4294967294" count="1" selected="0">
            <x v="0"/>
          </reference>
          <reference field="10" count="1" selected="0">
            <x v="1"/>
          </reference>
          <reference field="11" count="1" selected="0">
            <x v="7"/>
          </reference>
          <reference field="14" count="1" selected="0">
            <x v="5"/>
          </reference>
        </references>
      </pivotArea>
    </chartFormat>
    <chartFormat chart="8" format="652">
      <pivotArea type="data" outline="0" fieldPosition="0">
        <references count="4">
          <reference field="4294967294" count="1" selected="0">
            <x v="0"/>
          </reference>
          <reference field="10" count="1" selected="0">
            <x v="1"/>
          </reference>
          <reference field="11" count="1" selected="0">
            <x v="7"/>
          </reference>
          <reference field="14" count="1" selected="0">
            <x v="6"/>
          </reference>
        </references>
      </pivotArea>
    </chartFormat>
    <chartFormat chart="8" format="653">
      <pivotArea type="data" outline="0" fieldPosition="0">
        <references count="4">
          <reference field="4294967294" count="1" selected="0">
            <x v="0"/>
          </reference>
          <reference field="10" count="1" selected="0">
            <x v="1"/>
          </reference>
          <reference field="11" count="1" selected="0">
            <x v="7"/>
          </reference>
          <reference field="14" count="1" selected="0">
            <x v="7"/>
          </reference>
        </references>
      </pivotArea>
    </chartFormat>
    <chartFormat chart="8" format="654">
      <pivotArea type="data" outline="0" fieldPosition="0">
        <references count="4">
          <reference field="4294967294" count="1" selected="0">
            <x v="0"/>
          </reference>
          <reference field="10" count="1" selected="0">
            <x v="1"/>
          </reference>
          <reference field="11" count="1" selected="0">
            <x v="7"/>
          </reference>
          <reference field="14" count="1" selected="0">
            <x v="8"/>
          </reference>
        </references>
      </pivotArea>
    </chartFormat>
    <chartFormat chart="8" format="655">
      <pivotArea type="data" outline="0" fieldPosition="0">
        <references count="4">
          <reference field="4294967294" count="1" selected="0">
            <x v="0"/>
          </reference>
          <reference field="10" count="1" selected="0">
            <x v="1"/>
          </reference>
          <reference field="11" count="1" selected="0">
            <x v="7"/>
          </reference>
          <reference field="14" count="1" selected="0">
            <x v="9"/>
          </reference>
        </references>
      </pivotArea>
    </chartFormat>
    <chartFormat chart="8" format="656">
      <pivotArea type="data" outline="0" fieldPosition="0">
        <references count="4">
          <reference field="4294967294" count="1" selected="0">
            <x v="0"/>
          </reference>
          <reference field="10" count="1" selected="0">
            <x v="2"/>
          </reference>
          <reference field="11" count="1" selected="0">
            <x v="7"/>
          </reference>
          <reference field="14" count="1" selected="0">
            <x v="0"/>
          </reference>
        </references>
      </pivotArea>
    </chartFormat>
    <chartFormat chart="8" format="657">
      <pivotArea type="data" outline="0" fieldPosition="0">
        <references count="4">
          <reference field="4294967294" count="1" selected="0">
            <x v="0"/>
          </reference>
          <reference field="10" count="1" selected="0">
            <x v="2"/>
          </reference>
          <reference field="11" count="1" selected="0">
            <x v="7"/>
          </reference>
          <reference field="14" count="1" selected="0">
            <x v="1"/>
          </reference>
        </references>
      </pivotArea>
    </chartFormat>
    <chartFormat chart="8" format="658">
      <pivotArea type="data" outline="0" fieldPosition="0">
        <references count="4">
          <reference field="4294967294" count="1" selected="0">
            <x v="0"/>
          </reference>
          <reference field="10" count="1" selected="0">
            <x v="2"/>
          </reference>
          <reference field="11" count="1" selected="0">
            <x v="7"/>
          </reference>
          <reference field="14" count="1" selected="0">
            <x v="2"/>
          </reference>
        </references>
      </pivotArea>
    </chartFormat>
    <chartFormat chart="8" format="659">
      <pivotArea type="data" outline="0" fieldPosition="0">
        <references count="4">
          <reference field="4294967294" count="1" selected="0">
            <x v="0"/>
          </reference>
          <reference field="10" count="1" selected="0">
            <x v="2"/>
          </reference>
          <reference field="11" count="1" selected="0">
            <x v="7"/>
          </reference>
          <reference field="14" count="1" selected="0">
            <x v="3"/>
          </reference>
        </references>
      </pivotArea>
    </chartFormat>
    <chartFormat chart="8" format="660">
      <pivotArea type="data" outline="0" fieldPosition="0">
        <references count="4">
          <reference field="4294967294" count="1" selected="0">
            <x v="0"/>
          </reference>
          <reference field="10" count="1" selected="0">
            <x v="2"/>
          </reference>
          <reference field="11" count="1" selected="0">
            <x v="7"/>
          </reference>
          <reference field="14" count="1" selected="0">
            <x v="4"/>
          </reference>
        </references>
      </pivotArea>
    </chartFormat>
    <chartFormat chart="8" format="661">
      <pivotArea type="data" outline="0" fieldPosition="0">
        <references count="4">
          <reference field="4294967294" count="1" selected="0">
            <x v="0"/>
          </reference>
          <reference field="10" count="1" selected="0">
            <x v="2"/>
          </reference>
          <reference field="11" count="1" selected="0">
            <x v="7"/>
          </reference>
          <reference field="14" count="1" selected="0">
            <x v="5"/>
          </reference>
        </references>
      </pivotArea>
    </chartFormat>
    <chartFormat chart="8" format="662">
      <pivotArea type="data" outline="0" fieldPosition="0">
        <references count="4">
          <reference field="4294967294" count="1" selected="0">
            <x v="0"/>
          </reference>
          <reference field="10" count="1" selected="0">
            <x v="2"/>
          </reference>
          <reference field="11" count="1" selected="0">
            <x v="7"/>
          </reference>
          <reference field="14" count="1" selected="0">
            <x v="6"/>
          </reference>
        </references>
      </pivotArea>
    </chartFormat>
    <chartFormat chart="8" format="663">
      <pivotArea type="data" outline="0" fieldPosition="0">
        <references count="4">
          <reference field="4294967294" count="1" selected="0">
            <x v="0"/>
          </reference>
          <reference field="10" count="1" selected="0">
            <x v="2"/>
          </reference>
          <reference field="11" count="1" selected="0">
            <x v="7"/>
          </reference>
          <reference field="14" count="1" selected="0">
            <x v="7"/>
          </reference>
        </references>
      </pivotArea>
    </chartFormat>
    <chartFormat chart="8" format="664">
      <pivotArea type="data" outline="0" fieldPosition="0">
        <references count="4">
          <reference field="4294967294" count="1" selected="0">
            <x v="0"/>
          </reference>
          <reference field="10" count="1" selected="0">
            <x v="2"/>
          </reference>
          <reference field="11" count="1" selected="0">
            <x v="7"/>
          </reference>
          <reference field="14" count="1" selected="0">
            <x v="8"/>
          </reference>
        </references>
      </pivotArea>
    </chartFormat>
    <chartFormat chart="8" format="665">
      <pivotArea type="data" outline="0" fieldPosition="0">
        <references count="4">
          <reference field="4294967294" count="1" selected="0">
            <x v="0"/>
          </reference>
          <reference field="10" count="1" selected="0">
            <x v="2"/>
          </reference>
          <reference field="11" count="1" selected="0">
            <x v="7"/>
          </reference>
          <reference field="14" count="1" selected="0">
            <x v="9"/>
          </reference>
        </references>
      </pivotArea>
    </chartFormat>
    <chartFormat chart="8" format="666" series="1">
      <pivotArea type="data" outline="0" fieldPosition="0">
        <references count="2">
          <reference field="4294967294" count="1" selected="0">
            <x v="0"/>
          </reference>
          <reference field="11" count="1" selected="0">
            <x v="8"/>
          </reference>
        </references>
      </pivotArea>
    </chartFormat>
    <chartFormat chart="8" format="667">
      <pivotArea type="data" outline="0" fieldPosition="0">
        <references count="4">
          <reference field="4294967294" count="1" selected="0">
            <x v="0"/>
          </reference>
          <reference field="10" count="1" selected="0">
            <x v="0"/>
          </reference>
          <reference field="11" count="1" selected="0">
            <x v="8"/>
          </reference>
          <reference field="14" count="1" selected="0">
            <x v="0"/>
          </reference>
        </references>
      </pivotArea>
    </chartFormat>
    <chartFormat chart="8" format="668">
      <pivotArea type="data" outline="0" fieldPosition="0">
        <references count="4">
          <reference field="4294967294" count="1" selected="0">
            <x v="0"/>
          </reference>
          <reference field="10" count="1" selected="0">
            <x v="0"/>
          </reference>
          <reference field="11" count="1" selected="0">
            <x v="8"/>
          </reference>
          <reference field="14" count="1" selected="0">
            <x v="1"/>
          </reference>
        </references>
      </pivotArea>
    </chartFormat>
    <chartFormat chart="8" format="669">
      <pivotArea type="data" outline="0" fieldPosition="0">
        <references count="4">
          <reference field="4294967294" count="1" selected="0">
            <x v="0"/>
          </reference>
          <reference field="10" count="1" selected="0">
            <x v="0"/>
          </reference>
          <reference field="11" count="1" selected="0">
            <x v="8"/>
          </reference>
          <reference field="14" count="1" selected="0">
            <x v="2"/>
          </reference>
        </references>
      </pivotArea>
    </chartFormat>
    <chartFormat chart="8" format="670">
      <pivotArea type="data" outline="0" fieldPosition="0">
        <references count="4">
          <reference field="4294967294" count="1" selected="0">
            <x v="0"/>
          </reference>
          <reference field="10" count="1" selected="0">
            <x v="0"/>
          </reference>
          <reference field="11" count="1" selected="0">
            <x v="8"/>
          </reference>
          <reference field="14" count="1" selected="0">
            <x v="3"/>
          </reference>
        </references>
      </pivotArea>
    </chartFormat>
    <chartFormat chart="8" format="671">
      <pivotArea type="data" outline="0" fieldPosition="0">
        <references count="4">
          <reference field="4294967294" count="1" selected="0">
            <x v="0"/>
          </reference>
          <reference field="10" count="1" selected="0">
            <x v="0"/>
          </reference>
          <reference field="11" count="1" selected="0">
            <x v="8"/>
          </reference>
          <reference field="14" count="1" selected="0">
            <x v="4"/>
          </reference>
        </references>
      </pivotArea>
    </chartFormat>
    <chartFormat chart="8" format="672">
      <pivotArea type="data" outline="0" fieldPosition="0">
        <references count="4">
          <reference field="4294967294" count="1" selected="0">
            <x v="0"/>
          </reference>
          <reference field="10" count="1" selected="0">
            <x v="0"/>
          </reference>
          <reference field="11" count="1" selected="0">
            <x v="8"/>
          </reference>
          <reference field="14" count="1" selected="0">
            <x v="5"/>
          </reference>
        </references>
      </pivotArea>
    </chartFormat>
    <chartFormat chart="8" format="673">
      <pivotArea type="data" outline="0" fieldPosition="0">
        <references count="4">
          <reference field="4294967294" count="1" selected="0">
            <x v="0"/>
          </reference>
          <reference field="10" count="1" selected="0">
            <x v="0"/>
          </reference>
          <reference field="11" count="1" selected="0">
            <x v="8"/>
          </reference>
          <reference field="14" count="1" selected="0">
            <x v="6"/>
          </reference>
        </references>
      </pivotArea>
    </chartFormat>
    <chartFormat chart="8" format="674">
      <pivotArea type="data" outline="0" fieldPosition="0">
        <references count="4">
          <reference field="4294967294" count="1" selected="0">
            <x v="0"/>
          </reference>
          <reference field="10" count="1" selected="0">
            <x v="0"/>
          </reference>
          <reference field="11" count="1" selected="0">
            <x v="8"/>
          </reference>
          <reference field="14" count="1" selected="0">
            <x v="7"/>
          </reference>
        </references>
      </pivotArea>
    </chartFormat>
    <chartFormat chart="8" format="675">
      <pivotArea type="data" outline="0" fieldPosition="0">
        <references count="4">
          <reference field="4294967294" count="1" selected="0">
            <x v="0"/>
          </reference>
          <reference field="10" count="1" selected="0">
            <x v="0"/>
          </reference>
          <reference field="11" count="1" selected="0">
            <x v="8"/>
          </reference>
          <reference field="14" count="1" selected="0">
            <x v="8"/>
          </reference>
        </references>
      </pivotArea>
    </chartFormat>
    <chartFormat chart="8" format="676">
      <pivotArea type="data" outline="0" fieldPosition="0">
        <references count="4">
          <reference field="4294967294" count="1" selected="0">
            <x v="0"/>
          </reference>
          <reference field="10" count="1" selected="0">
            <x v="0"/>
          </reference>
          <reference field="11" count="1" selected="0">
            <x v="8"/>
          </reference>
          <reference field="14" count="1" selected="0">
            <x v="9"/>
          </reference>
        </references>
      </pivotArea>
    </chartFormat>
    <chartFormat chart="8" format="677">
      <pivotArea type="data" outline="0" fieldPosition="0">
        <references count="4">
          <reference field="4294967294" count="1" selected="0">
            <x v="0"/>
          </reference>
          <reference field="10" count="1" selected="0">
            <x v="1"/>
          </reference>
          <reference field="11" count="1" selected="0">
            <x v="8"/>
          </reference>
          <reference field="14" count="1" selected="0">
            <x v="0"/>
          </reference>
        </references>
      </pivotArea>
    </chartFormat>
    <chartFormat chart="8" format="678">
      <pivotArea type="data" outline="0" fieldPosition="0">
        <references count="4">
          <reference field="4294967294" count="1" selected="0">
            <x v="0"/>
          </reference>
          <reference field="10" count="1" selected="0">
            <x v="1"/>
          </reference>
          <reference field="11" count="1" selected="0">
            <x v="8"/>
          </reference>
          <reference field="14" count="1" selected="0">
            <x v="1"/>
          </reference>
        </references>
      </pivotArea>
    </chartFormat>
    <chartFormat chart="8" format="679">
      <pivotArea type="data" outline="0" fieldPosition="0">
        <references count="4">
          <reference field="4294967294" count="1" selected="0">
            <x v="0"/>
          </reference>
          <reference field="10" count="1" selected="0">
            <x v="1"/>
          </reference>
          <reference field="11" count="1" selected="0">
            <x v="8"/>
          </reference>
          <reference field="14" count="1" selected="0">
            <x v="2"/>
          </reference>
        </references>
      </pivotArea>
    </chartFormat>
    <chartFormat chart="8" format="680">
      <pivotArea type="data" outline="0" fieldPosition="0">
        <references count="4">
          <reference field="4294967294" count="1" selected="0">
            <x v="0"/>
          </reference>
          <reference field="10" count="1" selected="0">
            <x v="1"/>
          </reference>
          <reference field="11" count="1" selected="0">
            <x v="8"/>
          </reference>
          <reference field="14" count="1" selected="0">
            <x v="3"/>
          </reference>
        </references>
      </pivotArea>
    </chartFormat>
    <chartFormat chart="8" format="681">
      <pivotArea type="data" outline="0" fieldPosition="0">
        <references count="4">
          <reference field="4294967294" count="1" selected="0">
            <x v="0"/>
          </reference>
          <reference field="10" count="1" selected="0">
            <x v="1"/>
          </reference>
          <reference field="11" count="1" selected="0">
            <x v="8"/>
          </reference>
          <reference field="14" count="1" selected="0">
            <x v="4"/>
          </reference>
        </references>
      </pivotArea>
    </chartFormat>
    <chartFormat chart="8" format="682">
      <pivotArea type="data" outline="0" fieldPosition="0">
        <references count="4">
          <reference field="4294967294" count="1" selected="0">
            <x v="0"/>
          </reference>
          <reference field="10" count="1" selected="0">
            <x v="1"/>
          </reference>
          <reference field="11" count="1" selected="0">
            <x v="8"/>
          </reference>
          <reference field="14" count="1" selected="0">
            <x v="5"/>
          </reference>
        </references>
      </pivotArea>
    </chartFormat>
    <chartFormat chart="8" format="683">
      <pivotArea type="data" outline="0" fieldPosition="0">
        <references count="4">
          <reference field="4294967294" count="1" selected="0">
            <x v="0"/>
          </reference>
          <reference field="10" count="1" selected="0">
            <x v="1"/>
          </reference>
          <reference field="11" count="1" selected="0">
            <x v="8"/>
          </reference>
          <reference field="14" count="1" selected="0">
            <x v="6"/>
          </reference>
        </references>
      </pivotArea>
    </chartFormat>
    <chartFormat chart="8" format="684">
      <pivotArea type="data" outline="0" fieldPosition="0">
        <references count="4">
          <reference field="4294967294" count="1" selected="0">
            <x v="0"/>
          </reference>
          <reference field="10" count="1" selected="0">
            <x v="1"/>
          </reference>
          <reference field="11" count="1" selected="0">
            <x v="8"/>
          </reference>
          <reference field="14" count="1" selected="0">
            <x v="7"/>
          </reference>
        </references>
      </pivotArea>
    </chartFormat>
    <chartFormat chart="8" format="685">
      <pivotArea type="data" outline="0" fieldPosition="0">
        <references count="4">
          <reference field="4294967294" count="1" selected="0">
            <x v="0"/>
          </reference>
          <reference field="10" count="1" selected="0">
            <x v="1"/>
          </reference>
          <reference field="11" count="1" selected="0">
            <x v="8"/>
          </reference>
          <reference field="14" count="1" selected="0">
            <x v="8"/>
          </reference>
        </references>
      </pivotArea>
    </chartFormat>
    <chartFormat chart="8" format="686">
      <pivotArea type="data" outline="0" fieldPosition="0">
        <refe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687">
      <pivotArea type="data" outline="0" fieldPosition="0">
        <references count="4">
          <reference field="4294967294" count="1" selected="0">
            <x v="0"/>
          </reference>
          <reference field="10" count="1" selected="0">
            <x v="2"/>
          </reference>
          <reference field="11" count="1" selected="0">
            <x v="8"/>
          </reference>
          <reference field="14" count="1" selected="0">
            <x v="0"/>
          </reference>
        </references>
      </pivotArea>
    </chartFormat>
    <chartFormat chart="8" format="688">
      <pivotArea type="data" outline="0" fieldPosition="0">
        <references count="4">
          <reference field="4294967294" count="1" selected="0">
            <x v="0"/>
          </reference>
          <reference field="10" count="1" selected="0">
            <x v="2"/>
          </reference>
          <reference field="11" count="1" selected="0">
            <x v="8"/>
          </reference>
          <reference field="14" count="1" selected="0">
            <x v="1"/>
          </reference>
        </references>
      </pivotArea>
    </chartFormat>
    <chartFormat chart="8" format="689">
      <pivotArea type="data" outline="0" fieldPosition="0">
        <references count="4">
          <reference field="4294967294" count="1" selected="0">
            <x v="0"/>
          </reference>
          <reference field="10" count="1" selected="0">
            <x v="2"/>
          </reference>
          <reference field="11" count="1" selected="0">
            <x v="8"/>
          </reference>
          <reference field="14" count="1" selected="0">
            <x v="2"/>
          </reference>
        </references>
      </pivotArea>
    </chartFormat>
    <chartFormat chart="8" format="690">
      <pivotArea type="data" outline="0" fieldPosition="0">
        <references count="4">
          <reference field="4294967294" count="1" selected="0">
            <x v="0"/>
          </reference>
          <reference field="10" count="1" selected="0">
            <x v="2"/>
          </reference>
          <reference field="11" count="1" selected="0">
            <x v="8"/>
          </reference>
          <reference field="14" count="1" selected="0">
            <x v="3"/>
          </reference>
        </references>
      </pivotArea>
    </chartFormat>
    <chartFormat chart="8" format="691">
      <pivotArea type="data" outline="0" fieldPosition="0">
        <references count="4">
          <reference field="4294967294" count="1" selected="0">
            <x v="0"/>
          </reference>
          <reference field="10" count="1" selected="0">
            <x v="2"/>
          </reference>
          <reference field="11" count="1" selected="0">
            <x v="8"/>
          </reference>
          <reference field="14" count="1" selected="0">
            <x v="4"/>
          </reference>
        </references>
      </pivotArea>
    </chartFormat>
    <chartFormat chart="8" format="692">
      <pivotArea type="data" outline="0" fieldPosition="0">
        <references count="4">
          <reference field="4294967294" count="1" selected="0">
            <x v="0"/>
          </reference>
          <reference field="10" count="1" selected="0">
            <x v="2"/>
          </reference>
          <reference field="11" count="1" selected="0">
            <x v="8"/>
          </reference>
          <reference field="14" count="1" selected="0">
            <x v="5"/>
          </reference>
        </references>
      </pivotArea>
    </chartFormat>
    <chartFormat chart="8" format="693">
      <pivotArea type="data" outline="0" fieldPosition="0">
        <references count="4">
          <reference field="4294967294" count="1" selected="0">
            <x v="0"/>
          </reference>
          <reference field="10" count="1" selected="0">
            <x v="2"/>
          </reference>
          <reference field="11" count="1" selected="0">
            <x v="8"/>
          </reference>
          <reference field="14" count="1" selected="0">
            <x v="6"/>
          </reference>
        </references>
      </pivotArea>
    </chartFormat>
    <chartFormat chart="8" format="694">
      <pivotArea type="data" outline="0" fieldPosition="0">
        <references count="4">
          <reference field="4294967294" count="1" selected="0">
            <x v="0"/>
          </reference>
          <reference field="10" count="1" selected="0">
            <x v="2"/>
          </reference>
          <reference field="11" count="1" selected="0">
            <x v="8"/>
          </reference>
          <reference field="14" count="1" selected="0">
            <x v="7"/>
          </reference>
        </references>
      </pivotArea>
    </chartFormat>
    <chartFormat chart="8" format="695">
      <pivotArea type="data" outline="0" fieldPosition="0">
        <references count="4">
          <reference field="4294967294" count="1" selected="0">
            <x v="0"/>
          </reference>
          <reference field="10" count="1" selected="0">
            <x v="2"/>
          </reference>
          <reference field="11" count="1" selected="0">
            <x v="8"/>
          </reference>
          <reference field="14" count="1" selected="0">
            <x v="8"/>
          </reference>
        </references>
      </pivotArea>
    </chartFormat>
    <chartFormat chart="8" format="696">
      <pivotArea type="data" outline="0" fieldPosition="0">
        <references count="4">
          <reference field="4294967294" count="1" selected="0">
            <x v="0"/>
          </reference>
          <reference field="10" count="1" selected="0">
            <x v="2"/>
          </reference>
          <reference field="11" count="1" selected="0">
            <x v="8"/>
          </reference>
          <reference field="14" count="1" selected="0">
            <x v="9"/>
          </reference>
        </references>
      </pivotArea>
    </chartFormat>
    <chartFormat chart="8" format="697" series="1">
      <pivotArea type="data" outline="0" fieldPosition="0">
        <references count="2">
          <reference field="4294967294" count="1" selected="0">
            <x v="0"/>
          </reference>
          <reference field="11" count="1" selected="0">
            <x v="9"/>
          </reference>
        </references>
      </pivotArea>
    </chartFormat>
    <chartFormat chart="8" format="698">
      <pivotArea type="data" outline="0" fieldPosition="0">
        <references count="4">
          <reference field="4294967294" count="1" selected="0">
            <x v="0"/>
          </reference>
          <reference field="10" count="1" selected="0">
            <x v="0"/>
          </reference>
          <reference field="11" count="1" selected="0">
            <x v="9"/>
          </reference>
          <reference field="14" count="1" selected="0">
            <x v="0"/>
          </reference>
        </references>
      </pivotArea>
    </chartFormat>
    <chartFormat chart="8" format="699">
      <pivotArea type="data" outline="0" fieldPosition="0">
        <references count="4">
          <reference field="4294967294" count="1" selected="0">
            <x v="0"/>
          </reference>
          <reference field="10" count="1" selected="0">
            <x v="0"/>
          </reference>
          <reference field="11" count="1" selected="0">
            <x v="9"/>
          </reference>
          <reference field="14" count="1" selected="0">
            <x v="1"/>
          </reference>
        </references>
      </pivotArea>
    </chartFormat>
    <chartFormat chart="8" format="700">
      <pivotArea type="data" outline="0" fieldPosition="0">
        <references count="4">
          <reference field="4294967294" count="1" selected="0">
            <x v="0"/>
          </reference>
          <reference field="10" count="1" selected="0">
            <x v="0"/>
          </reference>
          <reference field="11" count="1" selected="0">
            <x v="9"/>
          </reference>
          <reference field="14" count="1" selected="0">
            <x v="2"/>
          </reference>
        </references>
      </pivotArea>
    </chartFormat>
    <chartFormat chart="8" format="701">
      <pivotArea type="data" outline="0" fieldPosition="0">
        <references count="4">
          <reference field="4294967294" count="1" selected="0">
            <x v="0"/>
          </reference>
          <reference field="10" count="1" selected="0">
            <x v="0"/>
          </reference>
          <reference field="11" count="1" selected="0">
            <x v="9"/>
          </reference>
          <reference field="14" count="1" selected="0">
            <x v="3"/>
          </reference>
        </references>
      </pivotArea>
    </chartFormat>
    <chartFormat chart="8" format="702">
      <pivotArea type="data" outline="0" fieldPosition="0">
        <references count="4">
          <reference field="4294967294" count="1" selected="0">
            <x v="0"/>
          </reference>
          <reference field="10" count="1" selected="0">
            <x v="0"/>
          </reference>
          <reference field="11" count="1" selected="0">
            <x v="9"/>
          </reference>
          <reference field="14" count="1" selected="0">
            <x v="4"/>
          </reference>
        </references>
      </pivotArea>
    </chartFormat>
    <chartFormat chart="8" format="703">
      <pivotArea type="data" outline="0" fieldPosition="0">
        <references count="4">
          <reference field="4294967294" count="1" selected="0">
            <x v="0"/>
          </reference>
          <reference field="10" count="1" selected="0">
            <x v="0"/>
          </reference>
          <reference field="11" count="1" selected="0">
            <x v="9"/>
          </reference>
          <reference field="14" count="1" selected="0">
            <x v="5"/>
          </reference>
        </references>
      </pivotArea>
    </chartFormat>
    <chartFormat chart="8" format="704">
      <pivotArea type="data" outline="0" fieldPosition="0">
        <references count="4">
          <reference field="4294967294" count="1" selected="0">
            <x v="0"/>
          </reference>
          <reference field="10" count="1" selected="0">
            <x v="0"/>
          </reference>
          <reference field="11" count="1" selected="0">
            <x v="9"/>
          </reference>
          <reference field="14" count="1" selected="0">
            <x v="6"/>
          </reference>
        </references>
      </pivotArea>
    </chartFormat>
    <chartFormat chart="8" format="705">
      <pivotArea type="data" outline="0" fieldPosition="0">
        <references count="4">
          <reference field="4294967294" count="1" selected="0">
            <x v="0"/>
          </reference>
          <reference field="10" count="1" selected="0">
            <x v="0"/>
          </reference>
          <reference field="11" count="1" selected="0">
            <x v="9"/>
          </reference>
          <reference field="14" count="1" selected="0">
            <x v="7"/>
          </reference>
        </references>
      </pivotArea>
    </chartFormat>
    <chartFormat chart="8" format="706">
      <pivotArea type="data" outline="0" fieldPosition="0">
        <references count="4">
          <reference field="4294967294" count="1" selected="0">
            <x v="0"/>
          </reference>
          <reference field="10" count="1" selected="0">
            <x v="0"/>
          </reference>
          <reference field="11" count="1" selected="0">
            <x v="9"/>
          </reference>
          <reference field="14" count="1" selected="0">
            <x v="8"/>
          </reference>
        </references>
      </pivotArea>
    </chartFormat>
    <chartFormat chart="8" format="707">
      <pivotArea type="data" outline="0" fieldPosition="0">
        <references count="4">
          <reference field="4294967294" count="1" selected="0">
            <x v="0"/>
          </reference>
          <reference field="10" count="1" selected="0">
            <x v="0"/>
          </reference>
          <reference field="11" count="1" selected="0">
            <x v="9"/>
          </reference>
          <reference field="14" count="1" selected="0">
            <x v="9"/>
          </reference>
        </references>
      </pivotArea>
    </chartFormat>
    <chartFormat chart="8" format="708">
      <pivotArea type="data" outline="0" fieldPosition="0">
        <references count="4">
          <reference field="4294967294" count="1" selected="0">
            <x v="0"/>
          </reference>
          <reference field="10" count="1" selected="0">
            <x v="1"/>
          </reference>
          <reference field="11" count="1" selected="0">
            <x v="9"/>
          </reference>
          <reference field="14" count="1" selected="0">
            <x v="0"/>
          </reference>
        </references>
      </pivotArea>
    </chartFormat>
    <chartFormat chart="8" format="709">
      <pivotArea type="data" outline="0" fieldPosition="0">
        <references count="4">
          <reference field="4294967294" count="1" selected="0">
            <x v="0"/>
          </reference>
          <reference field="10" count="1" selected="0">
            <x v="1"/>
          </reference>
          <reference field="11" count="1" selected="0">
            <x v="9"/>
          </reference>
          <reference field="14" count="1" selected="0">
            <x v="1"/>
          </reference>
        </references>
      </pivotArea>
    </chartFormat>
    <chartFormat chart="8" format="710">
      <pivotArea type="data" outline="0" fieldPosition="0">
        <references count="4">
          <reference field="4294967294" count="1" selected="0">
            <x v="0"/>
          </reference>
          <reference field="10" count="1" selected="0">
            <x v="1"/>
          </reference>
          <reference field="11" count="1" selected="0">
            <x v="9"/>
          </reference>
          <reference field="14" count="1" selected="0">
            <x v="2"/>
          </reference>
        </references>
      </pivotArea>
    </chartFormat>
    <chartFormat chart="8" format="711">
      <pivotArea type="data" outline="0" fieldPosition="0">
        <references count="4">
          <reference field="4294967294" count="1" selected="0">
            <x v="0"/>
          </reference>
          <reference field="10" count="1" selected="0">
            <x v="1"/>
          </reference>
          <reference field="11" count="1" selected="0">
            <x v="9"/>
          </reference>
          <reference field="14" count="1" selected="0">
            <x v="3"/>
          </reference>
        </references>
      </pivotArea>
    </chartFormat>
    <chartFormat chart="8" format="712">
      <pivotArea type="data" outline="0" fieldPosition="0">
        <references count="4">
          <reference field="4294967294" count="1" selected="0">
            <x v="0"/>
          </reference>
          <reference field="10" count="1" selected="0">
            <x v="1"/>
          </reference>
          <reference field="11" count="1" selected="0">
            <x v="9"/>
          </reference>
          <reference field="14" count="1" selected="0">
            <x v="4"/>
          </reference>
        </references>
      </pivotArea>
    </chartFormat>
    <chartFormat chart="8" format="713">
      <pivotArea type="data" outline="0" fieldPosition="0">
        <references count="4">
          <reference field="4294967294" count="1" selected="0">
            <x v="0"/>
          </reference>
          <reference field="10" count="1" selected="0">
            <x v="1"/>
          </reference>
          <reference field="11" count="1" selected="0">
            <x v="9"/>
          </reference>
          <reference field="14" count="1" selected="0">
            <x v="5"/>
          </reference>
        </references>
      </pivotArea>
    </chartFormat>
    <chartFormat chart="8" format="714">
      <pivotArea type="data" outline="0" fieldPosition="0">
        <references count="4">
          <reference field="4294967294" count="1" selected="0">
            <x v="0"/>
          </reference>
          <reference field="10" count="1" selected="0">
            <x v="1"/>
          </reference>
          <reference field="11" count="1" selected="0">
            <x v="9"/>
          </reference>
          <reference field="14" count="1" selected="0">
            <x v="6"/>
          </reference>
        </references>
      </pivotArea>
    </chartFormat>
    <chartFormat chart="8" format="715">
      <pivotArea type="data" outline="0" fieldPosition="0">
        <references count="4">
          <reference field="4294967294" count="1" selected="0">
            <x v="0"/>
          </reference>
          <reference field="10" count="1" selected="0">
            <x v="1"/>
          </reference>
          <reference field="11" count="1" selected="0">
            <x v="9"/>
          </reference>
          <reference field="14" count="1" selected="0">
            <x v="7"/>
          </reference>
        </references>
      </pivotArea>
    </chartFormat>
    <chartFormat chart="8" format="716">
      <pivotArea type="data" outline="0" fieldPosition="0">
        <references count="4">
          <reference field="4294967294" count="1" selected="0">
            <x v="0"/>
          </reference>
          <reference field="10" count="1" selected="0">
            <x v="1"/>
          </reference>
          <reference field="11" count="1" selected="0">
            <x v="9"/>
          </reference>
          <reference field="14" count="1" selected="0">
            <x v="8"/>
          </reference>
        </references>
      </pivotArea>
    </chartFormat>
    <chartFormat chart="8" format="717">
      <pivotArea type="data" outline="0" fieldPosition="0">
        <references count="4">
          <reference field="4294967294" count="1" selected="0">
            <x v="0"/>
          </reference>
          <reference field="10" count="1" selected="0">
            <x v="1"/>
          </reference>
          <reference field="11" count="1" selected="0">
            <x v="9"/>
          </reference>
          <reference field="14" count="1" selected="0">
            <x v="9"/>
          </reference>
        </references>
      </pivotArea>
    </chartFormat>
    <chartFormat chart="8" format="718">
      <pivotArea type="data" outline="0" fieldPosition="0">
        <references count="4">
          <reference field="4294967294" count="1" selected="0">
            <x v="0"/>
          </reference>
          <reference field="10" count="1" selected="0">
            <x v="2"/>
          </reference>
          <reference field="11" count="1" selected="0">
            <x v="9"/>
          </reference>
          <reference field="14" count="1" selected="0">
            <x v="0"/>
          </reference>
        </references>
      </pivotArea>
    </chartFormat>
    <chartFormat chart="8" format="719">
      <pivotArea type="data" outline="0" fieldPosition="0">
        <references count="4">
          <reference field="4294967294" count="1" selected="0">
            <x v="0"/>
          </reference>
          <reference field="10" count="1" selected="0">
            <x v="2"/>
          </reference>
          <reference field="11" count="1" selected="0">
            <x v="9"/>
          </reference>
          <reference field="14" count="1" selected="0">
            <x v="1"/>
          </reference>
        </references>
      </pivotArea>
    </chartFormat>
    <chartFormat chart="8" format="720">
      <pivotArea type="data" outline="0" fieldPosition="0">
        <references count="4">
          <reference field="4294967294" count="1" selected="0">
            <x v="0"/>
          </reference>
          <reference field="10" count="1" selected="0">
            <x v="2"/>
          </reference>
          <reference field="11" count="1" selected="0">
            <x v="9"/>
          </reference>
          <reference field="14" count="1" selected="0">
            <x v="2"/>
          </reference>
        </references>
      </pivotArea>
    </chartFormat>
    <chartFormat chart="8" format="721">
      <pivotArea type="data" outline="0" fieldPosition="0">
        <references count="4">
          <reference field="4294967294" count="1" selected="0">
            <x v="0"/>
          </reference>
          <reference field="10" count="1" selected="0">
            <x v="2"/>
          </reference>
          <reference field="11" count="1" selected="0">
            <x v="9"/>
          </reference>
          <reference field="14" count="1" selected="0">
            <x v="3"/>
          </reference>
        </references>
      </pivotArea>
    </chartFormat>
    <chartFormat chart="8" format="722">
      <pivotArea type="data" outline="0" fieldPosition="0">
        <references count="4">
          <reference field="4294967294" count="1" selected="0">
            <x v="0"/>
          </reference>
          <reference field="10" count="1" selected="0">
            <x v="2"/>
          </reference>
          <reference field="11" count="1" selected="0">
            <x v="9"/>
          </reference>
          <reference field="14" count="1" selected="0">
            <x v="4"/>
          </reference>
        </references>
      </pivotArea>
    </chartFormat>
    <chartFormat chart="8" format="723">
      <pivotArea type="data" outline="0" fieldPosition="0">
        <references count="4">
          <reference field="4294967294" count="1" selected="0">
            <x v="0"/>
          </reference>
          <reference field="10" count="1" selected="0">
            <x v="2"/>
          </reference>
          <reference field="11" count="1" selected="0">
            <x v="9"/>
          </reference>
          <reference field="14" count="1" selected="0">
            <x v="5"/>
          </reference>
        </references>
      </pivotArea>
    </chartFormat>
    <chartFormat chart="8" format="724">
      <pivotArea type="data" outline="0" fieldPosition="0">
        <references count="4">
          <reference field="4294967294" count="1" selected="0">
            <x v="0"/>
          </reference>
          <reference field="10" count="1" selected="0">
            <x v="2"/>
          </reference>
          <reference field="11" count="1" selected="0">
            <x v="9"/>
          </reference>
          <reference field="14" count="1" selected="0">
            <x v="6"/>
          </reference>
        </references>
      </pivotArea>
    </chartFormat>
    <chartFormat chart="8" format="725">
      <pivotArea type="data" outline="0" fieldPosition="0">
        <references count="4">
          <reference field="4294967294" count="1" selected="0">
            <x v="0"/>
          </reference>
          <reference field="10" count="1" selected="0">
            <x v="2"/>
          </reference>
          <reference field="11" count="1" selected="0">
            <x v="9"/>
          </reference>
          <reference field="14" count="1" selected="0">
            <x v="7"/>
          </reference>
        </references>
      </pivotArea>
    </chartFormat>
    <chartFormat chart="8" format="726">
      <pivotArea type="data" outline="0" fieldPosition="0">
        <references count="4">
          <reference field="4294967294" count="1" selected="0">
            <x v="0"/>
          </reference>
          <reference field="10" count="1" selected="0">
            <x v="2"/>
          </reference>
          <reference field="11" count="1" selected="0">
            <x v="9"/>
          </reference>
          <reference field="14" count="1" selected="0">
            <x v="8"/>
          </reference>
        </references>
      </pivotArea>
    </chartFormat>
    <chartFormat chart="8" format="727">
      <pivotArea type="data" outline="0" fieldPosition="0">
        <references count="4">
          <reference field="4294967294" count="1" selected="0">
            <x v="0"/>
          </reference>
          <reference field="10" count="1" selected="0">
            <x v="2"/>
          </reference>
          <reference field="11" count="1" selected="0">
            <x v="9"/>
          </reference>
          <reference field="14" count="1" selected="0">
            <x v="9"/>
          </reference>
        </references>
      </pivotArea>
    </chartFormat>
    <chartFormat chart="8" format="728" series="1">
      <pivotArea type="data" outline="0" fieldPosition="0">
        <references count="2">
          <reference field="4294967294" count="1" selected="0">
            <x v="0"/>
          </reference>
          <reference field="11" count="1" selected="0">
            <x v="10"/>
          </reference>
        </references>
      </pivotArea>
    </chartFormat>
    <chartFormat chart="8" format="729">
      <pivotArea type="data" outline="0" fieldPosition="0">
        <references count="4">
          <reference field="4294967294" count="1" selected="0">
            <x v="0"/>
          </reference>
          <reference field="10" count="1" selected="0">
            <x v="0"/>
          </reference>
          <reference field="11" count="1" selected="0">
            <x v="10"/>
          </reference>
          <reference field="14" count="1" selected="0">
            <x v="0"/>
          </reference>
        </references>
      </pivotArea>
    </chartFormat>
    <chartFormat chart="8" format="730">
      <pivotArea type="data" outline="0" fieldPosition="0">
        <references count="4">
          <reference field="4294967294" count="1" selected="0">
            <x v="0"/>
          </reference>
          <reference field="10" count="1" selected="0">
            <x v="0"/>
          </reference>
          <reference field="11" count="1" selected="0">
            <x v="10"/>
          </reference>
          <reference field="14" count="1" selected="0">
            <x v="1"/>
          </reference>
        </references>
      </pivotArea>
    </chartFormat>
    <chartFormat chart="8" format="731">
      <pivotArea type="data" outline="0" fieldPosition="0">
        <references count="4">
          <reference field="4294967294" count="1" selected="0">
            <x v="0"/>
          </reference>
          <reference field="10" count="1" selected="0">
            <x v="0"/>
          </reference>
          <reference field="11" count="1" selected="0">
            <x v="10"/>
          </reference>
          <reference field="14" count="1" selected="0">
            <x v="2"/>
          </reference>
        </references>
      </pivotArea>
    </chartFormat>
    <chartFormat chart="8" format="732">
      <pivotArea type="data" outline="0" fieldPosition="0">
        <references count="4">
          <reference field="4294967294" count="1" selected="0">
            <x v="0"/>
          </reference>
          <reference field="10" count="1" selected="0">
            <x v="0"/>
          </reference>
          <reference field="11" count="1" selected="0">
            <x v="10"/>
          </reference>
          <reference field="14" count="1" selected="0">
            <x v="3"/>
          </reference>
        </references>
      </pivotArea>
    </chartFormat>
    <chartFormat chart="8" format="733">
      <pivotArea type="data" outline="0" fieldPosition="0">
        <references count="4">
          <reference field="4294967294" count="1" selected="0">
            <x v="0"/>
          </reference>
          <reference field="10" count="1" selected="0">
            <x v="0"/>
          </reference>
          <reference field="11" count="1" selected="0">
            <x v="10"/>
          </reference>
          <reference field="14" count="1" selected="0">
            <x v="4"/>
          </reference>
        </references>
      </pivotArea>
    </chartFormat>
    <chartFormat chart="8" format="734">
      <pivotArea type="data" outline="0" fieldPosition="0">
        <references count="4">
          <reference field="4294967294" count="1" selected="0">
            <x v="0"/>
          </reference>
          <reference field="10" count="1" selected="0">
            <x v="0"/>
          </reference>
          <reference field="11" count="1" selected="0">
            <x v="10"/>
          </reference>
          <reference field="14" count="1" selected="0">
            <x v="5"/>
          </reference>
        </references>
      </pivotArea>
    </chartFormat>
    <chartFormat chart="8" format="735">
      <pivotArea type="data" outline="0" fieldPosition="0">
        <references count="4">
          <reference field="4294967294" count="1" selected="0">
            <x v="0"/>
          </reference>
          <reference field="10" count="1" selected="0">
            <x v="0"/>
          </reference>
          <reference field="11" count="1" selected="0">
            <x v="10"/>
          </reference>
          <reference field="14" count="1" selected="0">
            <x v="6"/>
          </reference>
        </references>
      </pivotArea>
    </chartFormat>
    <chartFormat chart="8" format="736">
      <pivotArea type="data" outline="0" fieldPosition="0">
        <references count="4">
          <reference field="4294967294" count="1" selected="0">
            <x v="0"/>
          </reference>
          <reference field="10" count="1" selected="0">
            <x v="0"/>
          </reference>
          <reference field="11" count="1" selected="0">
            <x v="10"/>
          </reference>
          <reference field="14" count="1" selected="0">
            <x v="7"/>
          </reference>
        </references>
      </pivotArea>
    </chartFormat>
    <chartFormat chart="8" format="737">
      <pivotArea type="data" outline="0" fieldPosition="0">
        <references count="4">
          <reference field="4294967294" count="1" selected="0">
            <x v="0"/>
          </reference>
          <reference field="10" count="1" selected="0">
            <x v="0"/>
          </reference>
          <reference field="11" count="1" selected="0">
            <x v="10"/>
          </reference>
          <reference field="14" count="1" selected="0">
            <x v="8"/>
          </reference>
        </references>
      </pivotArea>
    </chartFormat>
    <chartFormat chart="8" format="738">
      <pivotArea type="data" outline="0" fieldPosition="0">
        <references count="4">
          <reference field="4294967294" count="1" selected="0">
            <x v="0"/>
          </reference>
          <reference field="10" count="1" selected="0">
            <x v="0"/>
          </reference>
          <reference field="11" count="1" selected="0">
            <x v="10"/>
          </reference>
          <reference field="14" count="1" selected="0">
            <x v="9"/>
          </reference>
        </references>
      </pivotArea>
    </chartFormat>
    <chartFormat chart="8" format="739">
      <pivotArea type="data" outline="0" fieldPosition="0">
        <references count="4">
          <reference field="4294967294" count="1" selected="0">
            <x v="0"/>
          </reference>
          <reference field="10" count="1" selected="0">
            <x v="1"/>
          </reference>
          <reference field="11" count="1" selected="0">
            <x v="10"/>
          </reference>
          <reference field="14" count="1" selected="0">
            <x v="0"/>
          </reference>
        </references>
      </pivotArea>
    </chartFormat>
    <chartFormat chart="8" format="740">
      <pivotArea type="data" outline="0" fieldPosition="0">
        <references count="4">
          <reference field="4294967294" count="1" selected="0">
            <x v="0"/>
          </reference>
          <reference field="10" count="1" selected="0">
            <x v="1"/>
          </reference>
          <reference field="11" count="1" selected="0">
            <x v="10"/>
          </reference>
          <reference field="14" count="1" selected="0">
            <x v="1"/>
          </reference>
        </references>
      </pivotArea>
    </chartFormat>
    <chartFormat chart="8" format="741">
      <pivotArea type="data" outline="0" fieldPosition="0">
        <references count="4">
          <reference field="4294967294" count="1" selected="0">
            <x v="0"/>
          </reference>
          <reference field="10" count="1" selected="0">
            <x v="1"/>
          </reference>
          <reference field="11" count="1" selected="0">
            <x v="10"/>
          </reference>
          <reference field="14" count="1" selected="0">
            <x v="2"/>
          </reference>
        </references>
      </pivotArea>
    </chartFormat>
    <chartFormat chart="8" format="742">
      <pivotArea type="data" outline="0" fieldPosition="0">
        <references count="4">
          <reference field="4294967294" count="1" selected="0">
            <x v="0"/>
          </reference>
          <reference field="10" count="1" selected="0">
            <x v="1"/>
          </reference>
          <reference field="11" count="1" selected="0">
            <x v="10"/>
          </reference>
          <reference field="14" count="1" selected="0">
            <x v="3"/>
          </reference>
        </references>
      </pivotArea>
    </chartFormat>
    <chartFormat chart="8" format="743">
      <pivotArea type="data" outline="0" fieldPosition="0">
        <references count="4">
          <reference field="4294967294" count="1" selected="0">
            <x v="0"/>
          </reference>
          <reference field="10" count="1" selected="0">
            <x v="1"/>
          </reference>
          <reference field="11" count="1" selected="0">
            <x v="10"/>
          </reference>
          <reference field="14" count="1" selected="0">
            <x v="4"/>
          </reference>
        </references>
      </pivotArea>
    </chartFormat>
    <chartFormat chart="8" format="744">
      <pivotArea type="data" outline="0" fieldPosition="0">
        <references count="4">
          <reference field="4294967294" count="1" selected="0">
            <x v="0"/>
          </reference>
          <reference field="10" count="1" selected="0">
            <x v="1"/>
          </reference>
          <reference field="11" count="1" selected="0">
            <x v="10"/>
          </reference>
          <reference field="14" count="1" selected="0">
            <x v="5"/>
          </reference>
        </references>
      </pivotArea>
    </chartFormat>
    <chartFormat chart="8" format="745">
      <pivotArea type="data" outline="0" fieldPosition="0">
        <references count="4">
          <reference field="4294967294" count="1" selected="0">
            <x v="0"/>
          </reference>
          <reference field="10" count="1" selected="0">
            <x v="1"/>
          </reference>
          <reference field="11" count="1" selected="0">
            <x v="10"/>
          </reference>
          <reference field="14" count="1" selected="0">
            <x v="6"/>
          </reference>
        </references>
      </pivotArea>
    </chartFormat>
    <chartFormat chart="8" format="746">
      <pivotArea type="data" outline="0" fieldPosition="0">
        <references count="4">
          <reference field="4294967294" count="1" selected="0">
            <x v="0"/>
          </reference>
          <reference field="10" count="1" selected="0">
            <x v="1"/>
          </reference>
          <reference field="11" count="1" selected="0">
            <x v="10"/>
          </reference>
          <reference field="14" count="1" selected="0">
            <x v="7"/>
          </reference>
        </references>
      </pivotArea>
    </chartFormat>
    <chartFormat chart="8" format="747">
      <pivotArea type="data" outline="0" fieldPosition="0">
        <references count="4">
          <reference field="4294967294" count="1" selected="0">
            <x v="0"/>
          </reference>
          <reference field="10" count="1" selected="0">
            <x v="1"/>
          </reference>
          <reference field="11" count="1" selected="0">
            <x v="10"/>
          </reference>
          <reference field="14" count="1" selected="0">
            <x v="8"/>
          </reference>
        </references>
      </pivotArea>
    </chartFormat>
    <chartFormat chart="8" format="748">
      <pivotArea type="data" outline="0" fieldPosition="0">
        <references count="4">
          <reference field="4294967294" count="1" selected="0">
            <x v="0"/>
          </reference>
          <reference field="10" count="1" selected="0">
            <x v="1"/>
          </reference>
          <reference field="11" count="1" selected="0">
            <x v="10"/>
          </reference>
          <reference field="14" count="1" selected="0">
            <x v="9"/>
          </reference>
        </references>
      </pivotArea>
    </chartFormat>
    <chartFormat chart="8" format="749">
      <pivotArea type="data" outline="0" fieldPosition="0">
        <references count="4">
          <reference field="4294967294" count="1" selected="0">
            <x v="0"/>
          </reference>
          <reference field="10" count="1" selected="0">
            <x v="2"/>
          </reference>
          <reference field="11" count="1" selected="0">
            <x v="10"/>
          </reference>
          <reference field="14" count="1" selected="0">
            <x v="0"/>
          </reference>
        </references>
      </pivotArea>
    </chartFormat>
    <chartFormat chart="8" format="750">
      <pivotArea type="data" outline="0" fieldPosition="0">
        <references count="4">
          <reference field="4294967294" count="1" selected="0">
            <x v="0"/>
          </reference>
          <reference field="10" count="1" selected="0">
            <x v="2"/>
          </reference>
          <reference field="11" count="1" selected="0">
            <x v="10"/>
          </reference>
          <reference field="14" count="1" selected="0">
            <x v="1"/>
          </reference>
        </references>
      </pivotArea>
    </chartFormat>
    <chartFormat chart="8" format="751">
      <pivotArea type="data" outline="0" fieldPosition="0">
        <references count="4">
          <reference field="4294967294" count="1" selected="0">
            <x v="0"/>
          </reference>
          <reference field="10" count="1" selected="0">
            <x v="2"/>
          </reference>
          <reference field="11" count="1" selected="0">
            <x v="10"/>
          </reference>
          <reference field="14" count="1" selected="0">
            <x v="2"/>
          </reference>
        </references>
      </pivotArea>
    </chartFormat>
    <chartFormat chart="8" format="752">
      <pivotArea type="data" outline="0" fieldPosition="0">
        <references count="4">
          <reference field="4294967294" count="1" selected="0">
            <x v="0"/>
          </reference>
          <reference field="10" count="1" selected="0">
            <x v="2"/>
          </reference>
          <reference field="11" count="1" selected="0">
            <x v="10"/>
          </reference>
          <reference field="14" count="1" selected="0">
            <x v="3"/>
          </reference>
        </references>
      </pivotArea>
    </chartFormat>
    <chartFormat chart="8" format="753">
      <pivotArea type="data" outline="0" fieldPosition="0">
        <references count="4">
          <reference field="4294967294" count="1" selected="0">
            <x v="0"/>
          </reference>
          <reference field="10" count="1" selected="0">
            <x v="2"/>
          </reference>
          <reference field="11" count="1" selected="0">
            <x v="10"/>
          </reference>
          <reference field="14" count="1" selected="0">
            <x v="4"/>
          </reference>
        </references>
      </pivotArea>
    </chartFormat>
    <chartFormat chart="8" format="754">
      <pivotArea type="data" outline="0" fieldPosition="0">
        <references count="4">
          <reference field="4294967294" count="1" selected="0">
            <x v="0"/>
          </reference>
          <reference field="10" count="1" selected="0">
            <x v="2"/>
          </reference>
          <reference field="11" count="1" selected="0">
            <x v="10"/>
          </reference>
          <reference field="14" count="1" selected="0">
            <x v="5"/>
          </reference>
        </references>
      </pivotArea>
    </chartFormat>
    <chartFormat chart="8" format="755">
      <pivotArea type="data" outline="0" fieldPosition="0">
        <references count="4">
          <reference field="4294967294" count="1" selected="0">
            <x v="0"/>
          </reference>
          <reference field="10" count="1" selected="0">
            <x v="2"/>
          </reference>
          <reference field="11" count="1" selected="0">
            <x v="10"/>
          </reference>
          <reference field="14" count="1" selected="0">
            <x v="6"/>
          </reference>
        </references>
      </pivotArea>
    </chartFormat>
    <chartFormat chart="8" format="756">
      <pivotArea type="data" outline="0" fieldPosition="0">
        <references count="4">
          <reference field="4294967294" count="1" selected="0">
            <x v="0"/>
          </reference>
          <reference field="10" count="1" selected="0">
            <x v="2"/>
          </reference>
          <reference field="11" count="1" selected="0">
            <x v="10"/>
          </reference>
          <reference field="14" count="1" selected="0">
            <x v="7"/>
          </reference>
        </references>
      </pivotArea>
    </chartFormat>
    <chartFormat chart="8" format="757">
      <pivotArea type="data" outline="0" fieldPosition="0">
        <references count="4">
          <reference field="4294967294" count="1" selected="0">
            <x v="0"/>
          </reference>
          <reference field="10" count="1" selected="0">
            <x v="2"/>
          </reference>
          <reference field="11" count="1" selected="0">
            <x v="10"/>
          </reference>
          <reference field="14" count="1" selected="0">
            <x v="8"/>
          </reference>
        </references>
      </pivotArea>
    </chartFormat>
    <chartFormat chart="8" format="758">
      <pivotArea type="data" outline="0" fieldPosition="0">
        <references count="4">
          <reference field="4294967294" count="1" selected="0">
            <x v="0"/>
          </reference>
          <reference field="10" count="1" selected="0">
            <x v="2"/>
          </reference>
          <reference field="11" count="1" selected="0">
            <x v="10"/>
          </reference>
          <reference field="14" count="1" selected="0">
            <x v="9"/>
          </reference>
        </references>
      </pivotArea>
    </chartFormat>
    <chartFormat chart="8" format="759" series="1">
      <pivotArea type="data" outline="0" fieldPosition="0">
        <references count="2">
          <reference field="4294967294" count="1" selected="0">
            <x v="0"/>
          </reference>
          <reference field="11" count="1" selected="0">
            <x v="11"/>
          </reference>
        </references>
      </pivotArea>
    </chartFormat>
    <chartFormat chart="8" format="760">
      <pivotArea type="data" outline="0" fieldPosition="0">
        <references count="4">
          <reference field="4294967294" count="1" selected="0">
            <x v="0"/>
          </reference>
          <reference field="10" count="1" selected="0">
            <x v="0"/>
          </reference>
          <reference field="11" count="1" selected="0">
            <x v="11"/>
          </reference>
          <reference field="14" count="1" selected="0">
            <x v="0"/>
          </reference>
        </references>
      </pivotArea>
    </chartFormat>
    <chartFormat chart="8" format="761">
      <pivotArea type="data" outline="0" fieldPosition="0">
        <references count="4">
          <reference field="4294967294" count="1" selected="0">
            <x v="0"/>
          </reference>
          <reference field="10" count="1" selected="0">
            <x v="0"/>
          </reference>
          <reference field="11" count="1" selected="0">
            <x v="11"/>
          </reference>
          <reference field="14" count="1" selected="0">
            <x v="1"/>
          </reference>
        </references>
      </pivotArea>
    </chartFormat>
    <chartFormat chart="8" format="762">
      <pivotArea type="data" outline="0" fieldPosition="0">
        <references count="4">
          <reference field="4294967294" count="1" selected="0">
            <x v="0"/>
          </reference>
          <reference field="10" count="1" selected="0">
            <x v="0"/>
          </reference>
          <reference field="11" count="1" selected="0">
            <x v="11"/>
          </reference>
          <reference field="14" count="1" selected="0">
            <x v="2"/>
          </reference>
        </references>
      </pivotArea>
    </chartFormat>
    <chartFormat chart="8" format="763">
      <pivotArea type="data" outline="0" fieldPosition="0">
        <references count="4">
          <reference field="4294967294" count="1" selected="0">
            <x v="0"/>
          </reference>
          <reference field="10" count="1" selected="0">
            <x v="0"/>
          </reference>
          <reference field="11" count="1" selected="0">
            <x v="11"/>
          </reference>
          <reference field="14" count="1" selected="0">
            <x v="3"/>
          </reference>
        </references>
      </pivotArea>
    </chartFormat>
    <chartFormat chart="8" format="764">
      <pivotArea type="data" outline="0" fieldPosition="0">
        <references count="4">
          <reference field="4294967294" count="1" selected="0">
            <x v="0"/>
          </reference>
          <reference field="10" count="1" selected="0">
            <x v="0"/>
          </reference>
          <reference field="11" count="1" selected="0">
            <x v="11"/>
          </reference>
          <reference field="14" count="1" selected="0">
            <x v="4"/>
          </reference>
        </references>
      </pivotArea>
    </chartFormat>
    <chartFormat chart="8" format="765">
      <pivotArea type="data" outline="0" fieldPosition="0">
        <references count="4">
          <reference field="4294967294" count="1" selected="0">
            <x v="0"/>
          </reference>
          <reference field="10" count="1" selected="0">
            <x v="0"/>
          </reference>
          <reference field="11" count="1" selected="0">
            <x v="11"/>
          </reference>
          <reference field="14" count="1" selected="0">
            <x v="5"/>
          </reference>
        </references>
      </pivotArea>
    </chartFormat>
    <chartFormat chart="8" format="766">
      <pivotArea type="data" outline="0" fieldPosition="0">
        <references count="4">
          <reference field="4294967294" count="1" selected="0">
            <x v="0"/>
          </reference>
          <reference field="10" count="1" selected="0">
            <x v="0"/>
          </reference>
          <reference field="11" count="1" selected="0">
            <x v="11"/>
          </reference>
          <reference field="14" count="1" selected="0">
            <x v="6"/>
          </reference>
        </references>
      </pivotArea>
    </chartFormat>
    <chartFormat chart="8" format="767">
      <pivotArea type="data" outline="0" fieldPosition="0">
        <references count="4">
          <reference field="4294967294" count="1" selected="0">
            <x v="0"/>
          </reference>
          <reference field="10" count="1" selected="0">
            <x v="0"/>
          </reference>
          <reference field="11" count="1" selected="0">
            <x v="11"/>
          </reference>
          <reference field="14" count="1" selected="0">
            <x v="7"/>
          </reference>
        </references>
      </pivotArea>
    </chartFormat>
    <chartFormat chart="8" format="768">
      <pivotArea type="data" outline="0" fieldPosition="0">
        <references count="4">
          <reference field="4294967294" count="1" selected="0">
            <x v="0"/>
          </reference>
          <reference field="10" count="1" selected="0">
            <x v="0"/>
          </reference>
          <reference field="11" count="1" selected="0">
            <x v="11"/>
          </reference>
          <reference field="14" count="1" selected="0">
            <x v="8"/>
          </reference>
        </references>
      </pivotArea>
    </chartFormat>
    <chartFormat chart="8" format="769">
      <pivotArea type="data" outline="0" fieldPosition="0">
        <references count="4">
          <reference field="4294967294" count="1" selected="0">
            <x v="0"/>
          </reference>
          <reference field="10" count="1" selected="0">
            <x v="0"/>
          </reference>
          <reference field="11" count="1" selected="0">
            <x v="11"/>
          </reference>
          <reference field="14" count="1" selected="0">
            <x v="9"/>
          </reference>
        </references>
      </pivotArea>
    </chartFormat>
    <chartFormat chart="8" format="770">
      <pivotArea type="data" outline="0" fieldPosition="0">
        <references count="4">
          <reference field="4294967294" count="1" selected="0">
            <x v="0"/>
          </reference>
          <reference field="10" count="1" selected="0">
            <x v="1"/>
          </reference>
          <reference field="11" count="1" selected="0">
            <x v="11"/>
          </reference>
          <reference field="14" count="1" selected="0">
            <x v="0"/>
          </reference>
        </references>
      </pivotArea>
    </chartFormat>
    <chartFormat chart="8" format="771">
      <pivotArea type="data" outline="0" fieldPosition="0">
        <references count="4">
          <reference field="4294967294" count="1" selected="0">
            <x v="0"/>
          </reference>
          <reference field="10" count="1" selected="0">
            <x v="1"/>
          </reference>
          <reference field="11" count="1" selected="0">
            <x v="11"/>
          </reference>
          <reference field="14" count="1" selected="0">
            <x v="1"/>
          </reference>
        </references>
      </pivotArea>
    </chartFormat>
    <chartFormat chart="8" format="772">
      <pivotArea type="data" outline="0" fieldPosition="0">
        <references count="4">
          <reference field="4294967294" count="1" selected="0">
            <x v="0"/>
          </reference>
          <reference field="10" count="1" selected="0">
            <x v="1"/>
          </reference>
          <reference field="11" count="1" selected="0">
            <x v="11"/>
          </reference>
          <reference field="14" count="1" selected="0">
            <x v="2"/>
          </reference>
        </references>
      </pivotArea>
    </chartFormat>
    <chartFormat chart="8" format="773">
      <pivotArea type="data" outline="0" fieldPosition="0">
        <references count="4">
          <reference field="4294967294" count="1" selected="0">
            <x v="0"/>
          </reference>
          <reference field="10" count="1" selected="0">
            <x v="1"/>
          </reference>
          <reference field="11" count="1" selected="0">
            <x v="11"/>
          </reference>
          <reference field="14" count="1" selected="0">
            <x v="3"/>
          </reference>
        </references>
      </pivotArea>
    </chartFormat>
    <chartFormat chart="8" format="774">
      <pivotArea type="data" outline="0" fieldPosition="0">
        <references count="4">
          <reference field="4294967294" count="1" selected="0">
            <x v="0"/>
          </reference>
          <reference field="10" count="1" selected="0">
            <x v="1"/>
          </reference>
          <reference field="11" count="1" selected="0">
            <x v="11"/>
          </reference>
          <reference field="14" count="1" selected="0">
            <x v="4"/>
          </reference>
        </references>
      </pivotArea>
    </chartFormat>
    <chartFormat chart="8" format="775">
      <pivotArea type="data" outline="0" fieldPosition="0">
        <references count="4">
          <reference field="4294967294" count="1" selected="0">
            <x v="0"/>
          </reference>
          <reference field="10" count="1" selected="0">
            <x v="1"/>
          </reference>
          <reference field="11" count="1" selected="0">
            <x v="11"/>
          </reference>
          <reference field="14" count="1" selected="0">
            <x v="5"/>
          </reference>
        </references>
      </pivotArea>
    </chartFormat>
    <chartFormat chart="8" format="776">
      <pivotArea type="data" outline="0" fieldPosition="0">
        <references count="4">
          <reference field="4294967294" count="1" selected="0">
            <x v="0"/>
          </reference>
          <reference field="10" count="1" selected="0">
            <x v="1"/>
          </reference>
          <reference field="11" count="1" selected="0">
            <x v="11"/>
          </reference>
          <reference field="14" count="1" selected="0">
            <x v="6"/>
          </reference>
        </references>
      </pivotArea>
    </chartFormat>
    <chartFormat chart="8" format="777">
      <pivotArea type="data" outline="0" fieldPosition="0">
        <references count="4">
          <reference field="4294967294" count="1" selected="0">
            <x v="0"/>
          </reference>
          <reference field="10" count="1" selected="0">
            <x v="1"/>
          </reference>
          <reference field="11" count="1" selected="0">
            <x v="11"/>
          </reference>
          <reference field="14" count="1" selected="0">
            <x v="7"/>
          </reference>
        </references>
      </pivotArea>
    </chartFormat>
    <chartFormat chart="8" format="778">
      <pivotArea type="data" outline="0" fieldPosition="0">
        <references count="4">
          <reference field="4294967294" count="1" selected="0">
            <x v="0"/>
          </reference>
          <reference field="10" count="1" selected="0">
            <x v="1"/>
          </reference>
          <reference field="11" count="1" selected="0">
            <x v="11"/>
          </reference>
          <reference field="14" count="1" selected="0">
            <x v="8"/>
          </reference>
        </references>
      </pivotArea>
    </chartFormat>
    <chartFormat chart="8" format="779">
      <pivotArea type="data" outline="0" fieldPosition="0">
        <references count="4">
          <reference field="4294967294" count="1" selected="0">
            <x v="0"/>
          </reference>
          <reference field="10" count="1" selected="0">
            <x v="1"/>
          </reference>
          <reference field="11" count="1" selected="0">
            <x v="11"/>
          </reference>
          <reference field="14" count="1" selected="0">
            <x v="9"/>
          </reference>
        </references>
      </pivotArea>
    </chartFormat>
    <chartFormat chart="8" format="780">
      <pivotArea type="data" outline="0" fieldPosition="0">
        <references count="4">
          <reference field="4294967294" count="1" selected="0">
            <x v="0"/>
          </reference>
          <reference field="10" count="1" selected="0">
            <x v="2"/>
          </reference>
          <reference field="11" count="1" selected="0">
            <x v="11"/>
          </reference>
          <reference field="14" count="1" selected="0">
            <x v="0"/>
          </reference>
        </references>
      </pivotArea>
    </chartFormat>
    <chartFormat chart="8" format="781">
      <pivotArea type="data" outline="0" fieldPosition="0">
        <references count="4">
          <reference field="4294967294" count="1" selected="0">
            <x v="0"/>
          </reference>
          <reference field="10" count="1" selected="0">
            <x v="2"/>
          </reference>
          <reference field="11" count="1" selected="0">
            <x v="11"/>
          </reference>
          <reference field="14" count="1" selected="0">
            <x v="1"/>
          </reference>
        </references>
      </pivotArea>
    </chartFormat>
    <chartFormat chart="8" format="782">
      <pivotArea type="data" outline="0" fieldPosition="0">
        <references count="4">
          <reference field="4294967294" count="1" selected="0">
            <x v="0"/>
          </reference>
          <reference field="10" count="1" selected="0">
            <x v="2"/>
          </reference>
          <reference field="11" count="1" selected="0">
            <x v="11"/>
          </reference>
          <reference field="14" count="1" selected="0">
            <x v="2"/>
          </reference>
        </references>
      </pivotArea>
    </chartFormat>
    <chartFormat chart="8" format="783">
      <pivotArea type="data" outline="0" fieldPosition="0">
        <references count="4">
          <reference field="4294967294" count="1" selected="0">
            <x v="0"/>
          </reference>
          <reference field="10" count="1" selected="0">
            <x v="2"/>
          </reference>
          <reference field="11" count="1" selected="0">
            <x v="11"/>
          </reference>
          <reference field="14" count="1" selected="0">
            <x v="3"/>
          </reference>
        </references>
      </pivotArea>
    </chartFormat>
    <chartFormat chart="8" format="784">
      <pivotArea type="data" outline="0" fieldPosition="0">
        <references count="4">
          <reference field="4294967294" count="1" selected="0">
            <x v="0"/>
          </reference>
          <reference field="10" count="1" selected="0">
            <x v="2"/>
          </reference>
          <reference field="11" count="1" selected="0">
            <x v="11"/>
          </reference>
          <reference field="14" count="1" selected="0">
            <x v="4"/>
          </reference>
        </references>
      </pivotArea>
    </chartFormat>
    <chartFormat chart="8" format="785">
      <pivotArea type="data" outline="0" fieldPosition="0">
        <references count="4">
          <reference field="4294967294" count="1" selected="0">
            <x v="0"/>
          </reference>
          <reference field="10" count="1" selected="0">
            <x v="2"/>
          </reference>
          <reference field="11" count="1" selected="0">
            <x v="11"/>
          </reference>
          <reference field="14" count="1" selected="0">
            <x v="5"/>
          </reference>
        </references>
      </pivotArea>
    </chartFormat>
    <chartFormat chart="8" format="786">
      <pivotArea type="data" outline="0" fieldPosition="0">
        <references count="4">
          <reference field="4294967294" count="1" selected="0">
            <x v="0"/>
          </reference>
          <reference field="10" count="1" selected="0">
            <x v="2"/>
          </reference>
          <reference field="11" count="1" selected="0">
            <x v="11"/>
          </reference>
          <reference field="14" count="1" selected="0">
            <x v="6"/>
          </reference>
        </references>
      </pivotArea>
    </chartFormat>
    <chartFormat chart="8" format="787">
      <pivotArea type="data" outline="0" fieldPosition="0">
        <references count="4">
          <reference field="4294967294" count="1" selected="0">
            <x v="0"/>
          </reference>
          <reference field="10" count="1" selected="0">
            <x v="2"/>
          </reference>
          <reference field="11" count="1" selected="0">
            <x v="11"/>
          </reference>
          <reference field="14" count="1" selected="0">
            <x v="7"/>
          </reference>
        </references>
      </pivotArea>
    </chartFormat>
    <chartFormat chart="8" format="788">
      <pivotArea type="data" outline="0" fieldPosition="0">
        <references count="4">
          <reference field="4294967294" count="1" selected="0">
            <x v="0"/>
          </reference>
          <reference field="10" count="1" selected="0">
            <x v="2"/>
          </reference>
          <reference field="11" count="1" selected="0">
            <x v="11"/>
          </reference>
          <reference field="14" count="1" selected="0">
            <x v="8"/>
          </reference>
        </references>
      </pivotArea>
    </chartFormat>
    <chartFormat chart="8" format="789">
      <pivotArea type="data" outline="0" fieldPosition="0">
        <references count="4">
          <reference field="4294967294" count="1" selected="0">
            <x v="0"/>
          </reference>
          <reference field="10" count="1" selected="0">
            <x v="2"/>
          </reference>
          <reference field="11" count="1" selected="0">
            <x v="11"/>
          </reference>
          <reference field="14" count="1" selected="0">
            <x v="9"/>
          </reference>
        </references>
      </pivotArea>
    </chartFormat>
    <chartFormat chart="8" format="79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6" xr16:uid="{ADC056C6-3999-4507-9085-2BE0F93CCD9D}" autoFormatId="16" applyNumberFormats="0" applyBorderFormats="0" applyFontFormats="0" applyPatternFormats="0" applyAlignmentFormats="0" applyWidthHeightFormats="0">
  <queryTableRefresh nextId="25" unboundColumnsRight="4">
    <queryTableFields count="18">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5" dataBound="0" tableColumnId="14"/>
      <queryTableField id="14" dataBound="0" tableColumnId="13"/>
      <queryTableField id="11" name="Quantity" tableColumnId="11"/>
      <queryTableField id="12" name="Product" tableColumnId="12"/>
      <queryTableField id="16" dataBound="0" tableColumnId="15"/>
      <queryTableField id="17" dataBound="0" tableColumnId="16"/>
      <queryTableField id="18" dataBound="0" tableColumnId="17"/>
      <queryTableField id="22" dataBound="0" tableColumnId="18"/>
    </queryTableFields>
    <queryTableDeletedFields count="1">
      <deletedField name="Date"/>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1AFA51C2-3590-4480-BF63-8A6D90D34712}" autoFormatId="16" applyNumberFormats="0" applyBorderFormats="0" applyFontFormats="0" applyPatternFormats="0" applyAlignmentFormats="0" applyWidthHeightFormats="0">
  <queryTableRefresh nextId="14">
    <queryTableFields count="12">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1" name="Quantity" tableColumnId="11"/>
      <queryTableField id="12" name="Product" tableColumnId="12"/>
    </queryTableFields>
    <queryTableDeletedFields count="1">
      <deletedField name="Dat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C4A91EBA-9A2B-4739-978D-60251CAA4842}" autoFormatId="16" applyNumberFormats="0" applyBorderFormats="0" applyFontFormats="0" applyPatternFormats="0" applyAlignmentFormats="0" applyWidthHeightFormats="0">
  <queryTableRefresh nextId="14">
    <queryTableFields count="13">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1" name="Quantity" tableColumnId="11"/>
      <queryTableField id="12" name="Product" tableColumnId="12"/>
      <queryTableField id="13" name="Dat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n" xr10:uid="{66682C3D-82DA-4543-B252-854AFF182C6F}" sourceName="Town">
  <pivotTables>
    <pivotTable tabId="25" name="PivotTable2"/>
    <pivotTable tabId="5" name="PivotTable1"/>
  </pivotTables>
  <data>
    <tabular pivotCacheId="1436567351">
      <items count="1314">
        <i x="84" s="1"/>
        <i x="858" s="1"/>
        <i x="365" s="1"/>
        <i x="539" s="1"/>
        <i x="1262" s="1"/>
        <i x="203" s="1"/>
        <i x="317" s="1"/>
        <i x="126" s="1"/>
        <i x="658" s="1"/>
        <i x="411" s="1"/>
        <i x="531" s="1"/>
        <i x="327" s="1"/>
        <i x="796" s="1"/>
        <i x="422" s="1"/>
        <i x="83" s="1"/>
        <i x="7" s="1"/>
        <i x="211" s="1"/>
        <i x="770" s="1"/>
        <i x="229" s="1"/>
        <i x="27" s="1"/>
        <i x="560" s="1"/>
        <i x="562" s="1"/>
        <i x="379" s="1"/>
        <i x="924" s="1"/>
        <i x="5" s="1"/>
        <i x="1242" s="1"/>
        <i x="358" s="1"/>
        <i x="592" s="1"/>
        <i x="516" s="1"/>
        <i x="305" s="1"/>
        <i x="955" s="1"/>
        <i x="1062" s="1"/>
        <i x="186" s="1"/>
        <i x="102" s="1"/>
        <i x="415" s="1"/>
        <i x="768" s="1"/>
        <i x="156" s="1"/>
        <i x="322" s="1"/>
        <i x="89" s="1"/>
        <i x="1225" s="1"/>
        <i x="556" s="1"/>
        <i x="892" s="1"/>
        <i x="120" s="1"/>
        <i x="472" s="1"/>
        <i x="779" s="1"/>
        <i x="239" s="1"/>
        <i x="443" s="1"/>
        <i x="868" s="1"/>
        <i x="1072" s="1"/>
        <i x="1213" s="1"/>
        <i x="614" s="1"/>
        <i x="1297" s="1"/>
        <i x="0" s="1"/>
        <i x="1079" s="1"/>
        <i x="833" s="1"/>
        <i x="325" s="1"/>
        <i x="1027" s="1"/>
        <i x="949" s="1"/>
        <i x="1182" s="1"/>
        <i x="1057" s="1"/>
        <i x="510" s="1"/>
        <i x="1292" s="1"/>
        <i x="323" s="1"/>
        <i x="856" s="1"/>
        <i x="1096" s="1"/>
        <i x="456" s="1"/>
        <i x="982" s="1"/>
        <i x="771" s="1"/>
        <i x="454" s="1"/>
        <i x="662" s="1"/>
        <i x="577" s="1"/>
        <i x="762" s="1"/>
        <i x="256" s="1"/>
        <i x="745" s="1"/>
        <i x="935" s="1"/>
        <i x="550" s="1"/>
        <i x="968" s="1"/>
        <i x="161" s="1"/>
        <i x="928" s="1"/>
        <i x="985" s="1"/>
        <i x="153" s="1"/>
        <i x="581" s="1"/>
        <i x="831" s="1"/>
        <i x="1220" s="1"/>
        <i x="208" s="1"/>
        <i x="121" s="1"/>
        <i x="834" s="1"/>
        <i x="364" s="1"/>
        <i x="817" s="1"/>
        <i x="602" s="1"/>
        <i x="241" s="1"/>
        <i x="157" s="1"/>
        <i x="547" s="1"/>
        <i x="416" s="1"/>
        <i x="1291" s="1"/>
        <i x="838" s="1"/>
        <i x="589" s="1"/>
        <i x="852" s="1"/>
        <i x="33" s="1"/>
        <i x="258" s="1"/>
        <i x="897" s="1"/>
        <i x="398" s="1"/>
        <i x="965" s="1"/>
        <i x="475" s="1"/>
        <i x="13" s="1"/>
        <i x="555" s="1"/>
        <i x="958" s="1"/>
        <i x="143" s="1"/>
        <i x="623" s="1"/>
        <i x="489" s="1"/>
        <i x="684" s="1"/>
        <i x="442" s="1"/>
        <i x="240" s="1"/>
        <i x="314" s="1"/>
        <i x="495" s="1"/>
        <i x="572" s="1"/>
        <i x="740" s="1"/>
        <i x="315" s="1"/>
        <i x="1203" s="1"/>
        <i x="1183" s="1"/>
        <i x="675" s="1"/>
        <i x="1211" s="1"/>
        <i x="182" s="1"/>
        <i x="461" s="1"/>
        <i x="313" s="1"/>
        <i x="713" s="1"/>
        <i x="959" s="1"/>
        <i x="947" s="1"/>
        <i x="841" s="1"/>
        <i x="584" s="1"/>
        <i x="1017" s="1"/>
        <i x="213" s="1"/>
        <i x="1055" s="1"/>
        <i x="568" s="1"/>
        <i x="12" s="1"/>
        <i x="212" s="1"/>
        <i x="296" s="1"/>
        <i x="292" s="1"/>
        <i x="344" s="1"/>
        <i x="207" s="1"/>
        <i x="1212" s="1"/>
        <i x="616" s="1"/>
        <i x="1196" s="1"/>
        <i x="1031" s="1"/>
        <i x="235" s="1"/>
        <i x="19" s="1"/>
        <i x="1191" s="1"/>
        <i x="440" s="1"/>
        <i x="1134" s="1"/>
        <i x="604" s="1"/>
        <i x="298" s="1"/>
        <i x="505" s="1"/>
        <i x="769" s="1"/>
        <i x="328" s="1"/>
        <i x="670" s="1"/>
        <i x="51" s="1"/>
        <i x="944" s="1"/>
        <i x="1058" s="1"/>
        <i x="462" s="1"/>
        <i x="223" s="1"/>
        <i x="807" s="1"/>
        <i x="24" s="1"/>
        <i x="346" s="1"/>
        <i x="626" s="1"/>
        <i x="618" s="1"/>
        <i x="74" s="1"/>
        <i x="1186" s="1"/>
        <i x="15" s="1"/>
        <i x="1021" s="1"/>
        <i x="162" s="1"/>
        <i x="1273" s="1"/>
        <i x="1109" s="1"/>
        <i x="836" s="1"/>
        <i x="1193" s="1"/>
        <i x="46" s="1"/>
        <i x="249" s="1"/>
        <i x="867" s="1"/>
        <i x="1018" s="1"/>
        <i x="509" s="1"/>
        <i x="439" s="1"/>
        <i x="1128" s="1"/>
        <i x="371" s="1"/>
        <i x="497" s="1"/>
        <i x="1154" s="1"/>
        <i x="1113" s="1"/>
        <i x="697" s="1"/>
        <i x="1067" s="1"/>
        <i x="68" s="1"/>
        <i x="1039" s="1"/>
        <i x="790" s="1"/>
        <i x="519" s="1"/>
        <i x="29" s="1"/>
        <i x="898" s="1"/>
        <i x="506" s="1"/>
        <i x="377" s="1"/>
        <i x="894" s="1"/>
        <i x="822" s="1"/>
        <i x="1100" s="1"/>
        <i x="119" s="1"/>
        <i x="264" s="1"/>
        <i x="573" s="1"/>
        <i x="485" s="1"/>
        <i x="775" s="1"/>
        <i x="999" s="1"/>
        <i x="828" s="1"/>
        <i x="1241" s="1"/>
        <i x="195" s="1"/>
        <i x="176" s="1"/>
        <i x="1239" s="1"/>
        <i x="783" s="1"/>
        <i x="460" s="1"/>
        <i x="393" s="1"/>
        <i x="348" s="1"/>
        <i x="936" s="1"/>
        <i x="606" s="1"/>
        <i x="1299" s="1"/>
        <i x="42" s="1"/>
        <i x="1185" s="1"/>
        <i x="225" s="1"/>
        <i x="1049" s="1"/>
        <i x="205" s="1"/>
        <i x="72" s="1"/>
        <i x="908" s="1"/>
        <i x="733" s="1"/>
        <i x="1012" s="1"/>
        <i x="971" s="1"/>
        <i x="1119" s="1"/>
        <i x="1187" s="1"/>
        <i x="30" s="1"/>
        <i x="826" s="1"/>
        <i x="1287" s="1"/>
        <i x="43" s="1"/>
        <i x="1075" s="1"/>
        <i x="197" s="1"/>
        <i x="47" s="1"/>
        <i x="243" s="1"/>
        <i x="1157" s="1"/>
        <i x="549" s="1"/>
        <i x="389" s="1"/>
        <i x="1263" s="1"/>
        <i x="773" s="1"/>
        <i x="179" s="1"/>
        <i x="523" s="1"/>
        <i x="916" s="1"/>
        <i x="918" s="1"/>
        <i x="1179" s="1"/>
        <i x="513" s="1"/>
        <i x="304" s="1"/>
        <i x="351" s="1"/>
        <i x="823" s="1"/>
        <i x="860" s="1"/>
        <i x="265" s="1"/>
        <i x="220" s="1"/>
        <i x="198" s="1"/>
        <i x="588" s="1"/>
        <i x="951" s="1"/>
        <i x="16" s="1"/>
        <i x="236" s="1"/>
        <i x="901" s="1"/>
        <i x="642" s="1"/>
        <i x="763" s="1"/>
        <i x="607" s="1"/>
        <i x="977" s="1"/>
        <i x="805" s="1"/>
        <i x="1138" s="1"/>
        <i x="3" s="1"/>
        <i x="254" s="1"/>
        <i x="923" s="1"/>
        <i x="326" s="1"/>
        <i x="692" s="1"/>
        <i x="166" s="1"/>
        <i x="559" s="1"/>
        <i x="988" s="1"/>
        <i x="1280" s="1"/>
        <i x="486" s="1"/>
        <i x="1168" s="1"/>
        <i x="899" s="1"/>
        <i x="534" s="1"/>
        <i x="466" s="1"/>
        <i x="1207" s="1"/>
        <i x="503" s="1"/>
        <i x="1304" s="1"/>
        <i x="904" s="1"/>
        <i x="376" s="1"/>
        <i x="799" s="1"/>
        <i x="1071" s="1"/>
        <i x="1142" s="1"/>
        <i x="276" s="1"/>
        <i x="447" s="1"/>
        <i x="1035" s="1"/>
        <i x="563" s="1"/>
        <i x="863" s="1"/>
        <i x="386" s="1"/>
        <i x="529" s="1"/>
        <i x="446" s="1"/>
        <i x="710" s="1"/>
        <i x="871" s="1"/>
        <i x="312" s="1"/>
        <i x="679" s="1"/>
        <i x="583" s="1"/>
        <i x="536" s="1"/>
        <i x="321" s="1"/>
        <i x="671" s="1"/>
        <i x="275" s="1"/>
        <i x="535" s="1"/>
        <i x="1043" s="1"/>
        <i x="480" s="1"/>
        <i x="1064" s="1"/>
        <i x="1094" s="1"/>
        <i x="86" s="1"/>
        <i x="1195" s="1"/>
        <i x="295" s="1"/>
        <i x="164" s="1"/>
        <i x="655" s="1"/>
        <i x="1024" s="1"/>
        <i x="471" s="1"/>
        <i x="1069" s="1"/>
        <i x="125" s="1"/>
        <i x="488" s="1"/>
        <i x="34" s="1"/>
        <i x="1115" s="1"/>
        <i x="32" s="1"/>
        <i x="374" s="1"/>
        <i x="452" s="1"/>
        <i x="449" s="1"/>
        <i x="995" s="1"/>
        <i x="1019" s="1"/>
        <i x="1074" s="1"/>
        <i x="97" s="1"/>
        <i x="522" s="1"/>
        <i x="849" s="1"/>
        <i x="324" s="1"/>
        <i x="409" s="1"/>
        <i x="467" s="1"/>
        <i x="689" s="1"/>
        <i x="576" s="1"/>
        <i x="620" s="1"/>
        <i x="1001" s="1"/>
        <i x="654" s="1"/>
        <i x="842" s="1"/>
        <i x="909" s="1"/>
        <i x="597" s="1"/>
        <i x="854" s="1"/>
        <i x="525" s="1"/>
        <i x="787" s="1"/>
        <i x="941" s="1"/>
        <i x="53" s="1"/>
        <i x="574" s="1"/>
        <i x="158" s="1"/>
        <i x="436" s="1"/>
        <i x="1112" s="1"/>
        <i x="283" s="1"/>
        <i x="133" s="1"/>
        <i x="492" s="1"/>
        <i x="137" s="1"/>
        <i x="905" s="1"/>
        <i x="914" s="1"/>
        <i x="813" s="1"/>
        <i x="347" s="1"/>
        <i x="755" s="1"/>
        <i x="1145" s="1"/>
        <i x="48" s="1"/>
        <i x="200" s="1"/>
        <i x="159" s="1"/>
        <i x="1209" s="1"/>
        <i x="639" s="1"/>
        <i x="56" s="1"/>
        <i x="23" s="1"/>
        <i x="77" s="1"/>
        <i x="665" s="1"/>
        <i x="359" s="1"/>
        <i x="714" s="1"/>
        <i x="990" s="1"/>
        <i x="44" s="1"/>
        <i x="320" s="1"/>
        <i x="1180" s="1"/>
        <i x="686" s="1"/>
        <i x="85" s="1"/>
        <i x="742" s="1"/>
        <i x="1087" s="1"/>
        <i x="526" s="1"/>
        <i x="71" s="1"/>
        <i x="76" s="1"/>
        <i x="245" s="1"/>
        <i x="384" s="1"/>
        <i x="902" s="1"/>
        <i x="978" s="1"/>
        <i x="407" s="1"/>
        <i x="334" s="1"/>
        <i x="429" s="1"/>
        <i x="681" s="1"/>
        <i x="593" s="1"/>
        <i x="25" s="1"/>
        <i x="538" s="1"/>
        <i x="500" s="1"/>
        <i x="1132" s="1"/>
        <i x="1124" s="1"/>
        <i x="1155" s="1"/>
        <i x="1022" s="1"/>
        <i x="274" s="1"/>
        <i x="738" s="1"/>
        <i x="1" s="1"/>
        <i x="1042" s="1"/>
        <i x="1308" s="1"/>
        <i x="629" s="1"/>
        <i x="561" s="1"/>
        <i x="857" s="1"/>
        <i x="65" s="1"/>
        <i x="273" s="1"/>
        <i x="1073" s="1"/>
        <i x="502" s="1"/>
        <i x="1000" s="1"/>
        <i x="129" s="1"/>
        <i x="369" s="1"/>
        <i x="637" s="1"/>
        <i x="726" s="1"/>
        <i x="169" s="1"/>
        <i x="426" s="1"/>
        <i x="1245" s="1"/>
        <i x="1034" s="1"/>
        <i x="1197" s="1"/>
        <i x="917" s="1"/>
        <i x="237" s="1"/>
        <i x="875" s="1"/>
        <i x="659" s="1"/>
        <i x="832" s="1"/>
        <i x="262" s="1"/>
        <i x="1023" s="1"/>
        <i x="1093" s="1"/>
        <i x="1044" s="1"/>
        <i x="175" s="1"/>
        <i x="453" s="1"/>
        <i x="299" s="1"/>
        <i x="94" s="1"/>
        <i x="218" s="1"/>
        <i x="1260" s="1"/>
        <i x="1232" s="1"/>
        <i x="307" s="1"/>
        <i x="1167" s="1"/>
        <i x="418" s="1"/>
        <i x="1082" s="1"/>
        <i x="269" s="1"/>
        <i x="984" s="1"/>
        <i x="621" s="1"/>
        <i x="427" s="1"/>
        <i x="776" s="1"/>
        <i x="458" s="1"/>
        <i x="109" s="1"/>
        <i x="766" s="1"/>
        <i x="1111" s="1"/>
        <i x="566" s="1"/>
        <i x="739" s="1"/>
        <i x="704" s="1"/>
        <i x="271" s="1"/>
        <i x="1163" s="1"/>
        <i x="1053" s="1"/>
        <i x="382" s="1"/>
        <i x="774" s="1"/>
        <i x="1090" s="1"/>
        <i x="1233" s="1"/>
        <i x="927" s="1"/>
        <i x="1283" s="1"/>
        <i x="1298" s="1"/>
        <i x="142" s="1"/>
        <i x="767" s="1"/>
        <i x="302" s="1"/>
        <i x="1131" s="1"/>
        <i x="961" s="1"/>
        <i x="228" s="1"/>
        <i x="973" s="1"/>
        <i x="330" s="1"/>
        <i x="685" s="1"/>
        <i x="1309" s="1"/>
        <i x="879" s="1"/>
        <i x="1054" s="1"/>
        <i x="1146" s="1"/>
        <i x="405" s="1"/>
        <i x="1281" s="1"/>
        <i x="417" s="1"/>
        <i x="920" s="1"/>
        <i x="1159" s="1"/>
        <i x="975" s="1"/>
        <i x="586" s="1"/>
        <i x="934" s="1"/>
        <i x="839" s="1"/>
        <i x="812" s="1"/>
        <i x="1092" s="1"/>
        <i x="1172" s="1"/>
        <i x="98" s="1"/>
        <i x="57" s="1"/>
        <i x="341" s="1"/>
        <i x="1311" s="1"/>
        <i x="601" s="1"/>
        <i x="915" s="1"/>
        <i x="1257" s="1"/>
        <i x="404" s="1"/>
        <i x="1056" s="1"/>
        <i x="528" s="1"/>
        <i x="178" s="1"/>
        <i x="96" s="1"/>
        <i x="268" s="1"/>
        <i x="493" s="1"/>
        <i x="820" s="1"/>
        <i x="600" s="1"/>
        <i x="962" s="1"/>
        <i x="410" s="1"/>
        <i x="587" s="1"/>
        <i x="664" s="1"/>
        <i x="819" s="1"/>
        <i x="1218" s="1"/>
        <i x="139" s="1"/>
        <i x="1002" s="1"/>
        <i x="478" s="1"/>
        <i x="79" s="1"/>
        <i x="1166" s="1"/>
        <i x="385" s="1"/>
        <i x="808" s="1"/>
        <i x="1267" s="1"/>
        <i x="396" s="1"/>
        <i x="788" s="1"/>
        <i x="830" s="1"/>
        <i x="20" s="1"/>
        <i x="221" s="1"/>
        <i x="806" s="1"/>
        <i x="1139" s="1"/>
        <i x="39" s="1"/>
        <i x="694" s="1"/>
        <i x="1236" s="1"/>
        <i x="335" s="1"/>
        <i x="743" s="1"/>
        <i x="803" s="1"/>
        <i x="800" s="1"/>
        <i x="181" s="1"/>
        <i x="847" s="1"/>
        <i x="67" s="1"/>
        <i x="651" s="1"/>
        <i x="253" s="1"/>
        <i x="167" s="1"/>
        <i x="479" s="1"/>
        <i x="116" s="1"/>
        <i x="952" s="1"/>
        <i x="609" s="1"/>
        <i x="373" s="1"/>
        <i x="363" s="1"/>
        <i x="387" s="1"/>
        <i x="553" s="1"/>
        <i x="701" s="1"/>
        <i x="598" s="1"/>
        <i x="756" s="1"/>
        <i x="721" s="1"/>
        <i x="548" s="1"/>
        <i x="131" s="1"/>
        <i x="188" s="1"/>
        <i x="595" s="1"/>
        <i x="41" s="1"/>
        <i x="782" s="1"/>
        <i x="272" s="1"/>
        <i x="18" s="1"/>
        <i x="861" s="1"/>
        <i x="636" s="1"/>
        <i x="1016" s="1"/>
        <i x="172" s="1"/>
        <i x="558" s="1"/>
        <i x="146" s="1"/>
        <i x="31" s="1"/>
        <i x="678" s="1"/>
        <i x="1175" s="1"/>
        <i x="279" s="1"/>
        <i x="804" s="1"/>
        <i x="605" s="1"/>
        <i x="754" s="1"/>
        <i x="445" s="1"/>
        <i x="707" s="1"/>
        <i x="1231" s="1"/>
        <i x="1306" s="1"/>
        <i x="579" s="1"/>
        <i x="883" s="1"/>
        <i x="173" s="1"/>
        <i x="993" s="1"/>
        <i x="880" s="1"/>
        <i x="61" s="1"/>
        <i x="878" s="1"/>
        <i x="450" s="1"/>
        <i x="734" s="1"/>
        <i x="663" s="1"/>
        <i x="6" s="1"/>
        <i x="165" s="1"/>
        <i x="1066" s="1"/>
        <i x="1290" s="1"/>
        <i x="758" s="1"/>
        <i x="691" s="1"/>
        <i x="1301" s="1"/>
        <i x="1173" s="1"/>
        <i x="1194" s="1"/>
        <i x="571" s="1"/>
        <i x="185" s="1"/>
        <i x="132" s="1"/>
        <i x="925" s="1"/>
        <i x="546" s="1"/>
        <i x="88" s="1"/>
        <i x="152" s="1"/>
        <i x="187" s="1"/>
        <i x="278" s="1"/>
        <i x="210" s="1"/>
        <i x="138" s="1"/>
        <i x="1014" s="1"/>
        <i x="226" s="1"/>
        <i x="261" s="1"/>
        <i x="425" s="1"/>
        <i x="1030" s="1"/>
        <i x="352" s="1"/>
        <i x="360" s="1"/>
        <i x="1104" s="1"/>
        <i x="744" s="1"/>
        <i x="791" s="1"/>
        <i x="1202" s="1"/>
        <i x="1091" s="1"/>
        <i x="512" s="1"/>
        <i x="638" s="1"/>
        <i x="1130" s="1"/>
        <i x="288" s="1"/>
        <i x="956" s="1"/>
        <i x="233" s="1"/>
        <i x="336" s="1"/>
        <i x="818" s="1"/>
        <i x="380" s="1"/>
        <i x="802" s="1"/>
        <i x="148" s="1"/>
        <i x="708" s="1"/>
        <i x="533" s="1"/>
        <i x="1068" s="1"/>
        <i x="964" s="1"/>
        <i x="498" s="1"/>
        <i x="337" s="1"/>
        <i x="517" s="1"/>
        <i x="318" s="1"/>
        <i x="1256" s="1"/>
        <i x="1005" s="1"/>
        <i x="117" s="1"/>
        <i x="463" s="1"/>
        <i x="887" s="1"/>
        <i x="537" s="1"/>
        <i x="354" s="1"/>
        <i x="468" s="1"/>
        <i x="690" s="1"/>
        <i x="946" s="1"/>
        <i x="1149" s="1"/>
        <i x="391" s="1"/>
        <i x="596" s="1"/>
        <i x="615" s="1"/>
        <i x="194" s="1"/>
        <i x="247" s="1"/>
        <i x="1271" s="1"/>
        <i x="603" s="1"/>
        <i x="1210" s="1"/>
        <i x="362" s="1"/>
        <i x="919" s="1"/>
        <i x="1279" s="1"/>
        <i x="821" s="1"/>
        <i x="716" s="1"/>
        <i x="168" s="1"/>
        <i x="994" s="1"/>
        <i x="155" s="1"/>
        <i x="1275" s="1"/>
        <i x="765" s="1"/>
        <i x="499" s="1"/>
        <i x="896" s="1"/>
        <i x="332" s="1"/>
        <i x="1077" s="1"/>
        <i x="474" s="1"/>
        <i x="134" s="1"/>
        <i x="613" s="1"/>
        <i x="780" s="1"/>
        <i x="781" s="1"/>
        <i x="491" s="1"/>
        <i x="575" s="1"/>
        <i x="1107" s="1"/>
        <i x="712" s="1"/>
        <i x="259" s="1"/>
        <i x="1216" s="1"/>
        <i x="1028" s="1"/>
        <i x="608" s="1"/>
        <i x="735" s="1"/>
        <i x="388" s="1"/>
        <i x="1110" s="1"/>
        <i x="980" s="1"/>
        <i x="705" s="1"/>
        <i x="657" s="1"/>
        <i x="204" s="1"/>
        <i x="644" s="1"/>
        <i x="238" s="1"/>
        <i x="368" s="1"/>
        <i x="1086" s="1"/>
        <i x="720" s="1"/>
        <i x="551" s="1"/>
        <i x="1161" s="1"/>
        <i x="844" s="1"/>
        <i x="943" s="1"/>
        <i x="401" s="1"/>
        <i x="569" s="1"/>
        <i x="293" s="1"/>
        <i x="624" s="1"/>
        <i x="64" s="1"/>
        <i x="395" s="1"/>
        <i x="1235" s="1"/>
        <i x="948" s="1"/>
        <i x="1243" s="1"/>
        <i x="693" s="1"/>
        <i x="1250" s="1"/>
        <i x="527" s="1"/>
        <i x="224" s="1"/>
        <i x="1270" s="1"/>
        <i x="1102" s="1"/>
        <i x="473" s="1"/>
        <i x="793" s="1"/>
        <i x="889" s="1"/>
        <i x="122" s="1"/>
        <i x="661" s="1"/>
        <i x="895" s="1"/>
        <i x="541" s="1"/>
        <i x="1078" s="1"/>
        <i x="10" s="1"/>
        <i x="970" s="1"/>
        <i x="355" s="1"/>
        <i x="357" s="1"/>
        <i x="676" s="1"/>
        <i x="1085" s="1"/>
        <i x="814" s="1"/>
        <i x="92" s="1"/>
        <i x="911" s="1"/>
        <i x="1095" s="1"/>
        <i x="1052" s="1"/>
        <i x="797" s="1"/>
        <i x="953" s="1"/>
        <i x="1029" s="1"/>
        <i x="582" s="1"/>
        <i x="54" s="1"/>
        <i x="8" s="1"/>
        <i x="1025" s="1"/>
        <i x="508" s="1"/>
        <i x="1286" s="1"/>
        <i x="1099" s="1"/>
        <i x="1032" s="1"/>
        <i x="52" s="1"/>
        <i x="641" s="1"/>
        <i x="1101" s="1"/>
        <i x="372" s="1"/>
        <i x="1188" s="1"/>
        <i x="1252" s="1"/>
        <i x="251" s="1"/>
        <i x="876" s="1"/>
        <i x="1076" s="1"/>
        <i x="711" s="1"/>
        <i x="35" s="1"/>
        <i x="960" s="1"/>
        <i x="1171" s="1"/>
        <i x="484" s="1"/>
        <i x="1269" s="1"/>
        <i x="682" s="1"/>
        <i x="49" s="1"/>
        <i x="1214" s="1"/>
        <i x="242" s="1"/>
        <i x="392" s="1"/>
        <i x="140" s="1"/>
        <i x="128" s="1"/>
        <i x="931" s="1"/>
        <i x="1007" s="1"/>
        <i x="610" s="1"/>
        <i x="282" s="1"/>
        <i x="222" s="1"/>
        <i x="809" s="1"/>
        <i x="482" s="1"/>
        <i x="1150" s="1"/>
        <i x="976" s="1"/>
        <i x="333" s="1"/>
        <i x="487" s="1"/>
        <i x="1156" s="1"/>
        <i x="111" s="1"/>
        <i x="645" s="1"/>
        <i x="476" s="1"/>
        <i x="1063" s="1"/>
        <i x="725" s="1"/>
        <i x="511" s="1"/>
        <i x="1137" s="1"/>
        <i x="599" s="1"/>
        <i x="843" s="1"/>
        <i x="1036" s="1"/>
        <i x="349" s="1"/>
        <i x="816" s="1"/>
        <i x="1265" s="1"/>
        <i x="1038" s="1"/>
        <i x="105" s="1"/>
        <i x="532" s="1"/>
        <i x="459" s="1"/>
        <i x="824" s="1"/>
        <i x="90" s="1"/>
        <i x="469" s="1"/>
        <i x="954" s="1"/>
        <i x="760" s="1"/>
        <i x="1310" s="1"/>
        <i x="430" s="1"/>
        <i x="1136" s="1"/>
        <i x="353" s="1"/>
        <i x="922" s="1"/>
        <i x="967" s="1"/>
        <i x="1116" s="1"/>
        <i x="420" s="1"/>
        <i x="130" s="1"/>
        <i x="2" s="1"/>
        <i x="753" s="1"/>
        <i x="1169" s="1"/>
        <i x="60" s="1"/>
        <i x="36" s="1"/>
        <i x="1061" s="1"/>
        <i x="428" s="1"/>
        <i x="748" s="1"/>
        <i x="110" s="1"/>
        <i x="877" s="1"/>
        <i x="1117" s="1"/>
        <i x="997" s="1"/>
        <i x="101" s="1"/>
        <i x="206" s="1"/>
        <i x="669" s="1"/>
        <i x="1227" s="1"/>
        <i x="700" s="1"/>
        <i x="709" s="1"/>
        <i x="938" s="1"/>
        <i x="617" s="1"/>
        <i x="910" s="1"/>
        <i x="1108" s="1"/>
        <i x="627" s="1"/>
        <i x="554" s="1"/>
        <i x="28" s="1"/>
        <i x="544" s="1"/>
        <i x="594" s="1"/>
        <i x="866" s="1"/>
        <i x="199" s="1"/>
        <i x="300" s="1"/>
        <i x="413" s="1"/>
        <i x="378" s="1"/>
        <i x="81" s="1"/>
        <i x="306" s="1"/>
        <i x="850" s="1"/>
        <i x="136" s="1"/>
        <i x="160" s="1"/>
        <i x="611" s="1"/>
        <i x="862" s="1"/>
        <i x="677" s="1"/>
        <i x="933" s="1"/>
        <i x="294" s="1"/>
        <i x="310" s="1"/>
        <i x="219" s="1"/>
        <i x="345" s="1"/>
        <i x="1103" s="1"/>
        <i x="514" s="1"/>
        <i x="1143" s="1"/>
        <i x="455" s="1"/>
        <i x="433" s="1"/>
        <i x="580" s="1"/>
        <i x="154" s="1"/>
        <i x="969" s="1"/>
        <i x="135" s="1"/>
        <i x="70" s="1"/>
        <i x="319" s="1"/>
        <i x="881" s="1"/>
        <i x="706" s="1"/>
        <i x="104" s="1"/>
        <i x="932" s="1"/>
        <i x="281" s="1"/>
        <i x="1147" s="1"/>
        <i x="668" s="1"/>
        <i x="1083" s="1"/>
        <i x="22" s="1"/>
        <i x="789" s="1"/>
        <i x="62" s="1"/>
        <i x="741" s="1"/>
        <i x="940" s="1"/>
        <i x="518" s="1"/>
        <i x="757" s="1"/>
        <i x="552" s="1"/>
        <i x="1230" s="1"/>
        <i x="280" s="1"/>
        <i x="80" s="1"/>
        <i x="1125" s="1"/>
        <i x="1081" s="1"/>
        <i x="695" s="1"/>
        <i x="397" s="1"/>
        <i x="91" s="1"/>
        <i x="171" s="1"/>
        <i x="431" s="1"/>
        <i x="591" s="1"/>
        <i x="192" s="1"/>
        <i x="1282" s="1"/>
        <i x="1276" s="1"/>
        <i x="248" s="1"/>
        <i x="893" s="1"/>
        <i x="114" s="1"/>
        <i x="1059" s="1"/>
        <i x="311" s="1"/>
        <i x="864" s="1"/>
        <i x="1200" s="1"/>
        <i x="350" s="1"/>
        <i x="1205" s="1"/>
        <i x="1264" s="1"/>
        <i x="177" s="1"/>
        <i x="1181" s="1"/>
        <i x="246" s="1"/>
        <i x="570" s="1"/>
        <i x="966" s="1"/>
        <i x="1133" s="1"/>
        <i x="477" s="1"/>
        <i x="342" s="1"/>
        <i x="619" s="1"/>
        <i x="1226" s="1"/>
        <i x="1307" s="1"/>
        <i x="1285" s="1"/>
        <i x="715" s="1"/>
        <i x="270" s="1"/>
        <i x="794" s="1"/>
        <i x="845" s="1"/>
        <i x="118" s="1"/>
        <i x="785" s="1"/>
        <i x="1065" s="1"/>
        <i x="309" s="1"/>
        <i x="983" s="1"/>
        <i x="127" s="1"/>
        <i x="746" s="1"/>
        <i x="1135" s="1"/>
        <i x="996" s="1"/>
        <i x="1070" s="1"/>
        <i x="846" s="1"/>
        <i x="656" s="1"/>
        <i x="201" s="1"/>
        <i x="1174" s="1"/>
        <i x="542" s="1"/>
        <i x="1151" s="1"/>
        <i x="361" s="1"/>
        <i x="543" s="1"/>
        <i x="987" s="1"/>
        <i x="1278" s="1"/>
        <i x="1040" s="1"/>
        <i x="367" s="1"/>
        <i x="950" s="1"/>
        <i x="260" s="1"/>
        <i x="749" s="1"/>
        <i x="827" s="1"/>
        <i x="1258" s="1"/>
        <i x="723" s="1"/>
        <i x="1259" s="1"/>
        <i x="1127" s="1"/>
        <i x="113" s="1"/>
        <i x="287" s="1"/>
        <i x="4" s="1"/>
        <i x="1238" s="1"/>
        <i x="234" s="1"/>
        <i x="1215" s="1"/>
        <i x="504" s="1"/>
        <i x="1013" s="1"/>
        <i x="625" s="1"/>
        <i x="501" s="1"/>
        <i x="680" s="1"/>
        <i x="811" s="1"/>
        <i x="87" s="1"/>
        <i x="687" s="1"/>
        <i x="921" s="1"/>
        <i x="1097" s="1"/>
        <i x="979" s="1"/>
        <i x="974" s="1"/>
        <i x="751" s="1"/>
        <i x="490" s="1"/>
        <i x="912" s="1"/>
        <i x="227" s="1"/>
        <i x="702" s="1"/>
        <i x="590" s="1"/>
        <i x="414" s="1"/>
        <i x="650" s="1"/>
        <i x="147" s="1"/>
        <i x="886" s="1"/>
        <i x="150" s="1"/>
        <i x="163" s="1"/>
        <i x="1288" s="1"/>
        <i x="963" s="1"/>
        <i x="727" s="1"/>
        <i x="1003" s="1"/>
        <i x="301" s="1"/>
        <i x="1041" s="1"/>
        <i x="649" s="1"/>
        <i x="1153" s="1"/>
        <i x="1289" s="1"/>
        <i x="494" s="1"/>
        <i x="78" s="1"/>
        <i x="731" s="1"/>
        <i x="1251" s="1"/>
        <i x="99" s="1"/>
        <i x="989" s="1"/>
        <i x="340" s="1"/>
        <i x="891" s="1"/>
        <i x="402" s="1"/>
        <i x="835" s="1"/>
        <i x="666" s="1"/>
        <i x="673" s="1"/>
        <i x="786" s="1"/>
        <i x="189" s="1"/>
        <i x="622" s="1"/>
        <i x="699" s="1"/>
        <i x="1294" s="1"/>
        <i x="837" s="1"/>
        <i x="648" s="1"/>
        <i x="564" s="1"/>
        <i x="291" s="1"/>
        <i x="432" s="1"/>
        <i x="1189" s="1"/>
        <i x="667" s="1"/>
        <i x="1164" s="1"/>
        <i x="567" s="1"/>
        <i x="1300" s="1"/>
        <i x="1020" s="1"/>
        <i x="483" s="1"/>
        <i x="1123" s="1"/>
        <i x="557" s="1"/>
        <i x="660" s="1"/>
        <i x="1140" s="1"/>
        <i x="1120" s="1"/>
        <i x="929" s="1"/>
        <i x="1246" s="1"/>
        <i x="1098" s="1"/>
        <i x="1255" s="1"/>
        <i x="752" s="1"/>
        <i x="1302" s="1"/>
        <i x="634" s="1"/>
        <i x="217" s="1"/>
        <i x="448" s="1"/>
        <i x="383" s="1"/>
        <i x="95" s="1"/>
        <i x="1178" s="1"/>
        <i x="1011" s="1"/>
        <i x="653" s="1"/>
        <i x="75" s="1"/>
        <i x="255" s="1"/>
        <i x="926" s="1"/>
        <i x="1293" s="1"/>
        <i x="50" s="1"/>
        <i x="151" s="1"/>
        <i x="792" s="1"/>
        <i x="633" s="1"/>
        <i x="339" s="1"/>
        <i x="1122" s="1"/>
        <i x="903" s="1"/>
        <i x="1010" s="1"/>
        <i x="481" s="1"/>
        <i x="390" s="1"/>
        <i x="106" s="1"/>
        <i x="267" s="1"/>
        <i x="750" s="1"/>
        <i x="441" s="1"/>
        <i x="115" s="1"/>
        <i x="1170" s="1"/>
        <i x="21" s="1"/>
        <i x="798" s="1"/>
        <i x="530" s="1"/>
        <i x="937" s="1"/>
        <i x="703" s="1"/>
        <i x="82" s="1"/>
        <i x="66" s="1"/>
        <i x="394" s="1"/>
        <i x="1046" s="1"/>
        <i x="1296" s="1"/>
        <i x="865" s="1"/>
        <i x="230" s="1"/>
        <i x="108" s="1"/>
        <i x="991" s="1"/>
        <i x="180" s="1"/>
        <i x="825" s="1"/>
        <i x="717" s="1"/>
        <i x="289" s="1"/>
        <i x="285" s="1"/>
        <i x="829" s="1"/>
        <i x="772" s="1"/>
        <i x="890" s="1"/>
        <i x="1129" s="1"/>
        <i x="1050" s="1"/>
        <i x="1253" s="1"/>
        <i x="316" s="1"/>
        <i x="26" s="1"/>
        <i x="1201" s="1"/>
        <i x="1222" s="1"/>
        <i x="438" s="1"/>
        <i x="145" s="1"/>
        <i x="998" s="1"/>
        <i x="632" s="1"/>
        <i x="698" s="1"/>
        <i x="17" s="1"/>
        <i x="331" s="1"/>
        <i x="585" s="1"/>
        <i x="141" s="1"/>
        <i x="308" s="1"/>
        <i x="1009" s="1"/>
        <i x="612" s="1"/>
        <i x="1198" s="1"/>
        <i x="859" s="1"/>
        <i x="1284" s="1"/>
        <i x="1033" s="1"/>
        <i x="14" s="1"/>
        <i x="297" s="1"/>
        <i x="981" s="1"/>
        <i x="643" s="1"/>
        <i x="329" s="1"/>
        <i x="1026" s="1"/>
        <i x="1004" s="1"/>
        <i x="722" s="1"/>
        <i x="263" s="1"/>
        <i x="470" s="1"/>
        <i x="761" s="1"/>
        <i x="1234" s="1"/>
        <i x="778" s="1"/>
        <i x="40" s="1"/>
        <i x="1295" s="1" nd="1"/>
        <i x="202" s="1" nd="1"/>
        <i x="759" s="1" nd="1"/>
        <i x="1015" s="1" nd="1"/>
        <i x="9" s="1" nd="1"/>
        <i x="913" s="1" nd="1"/>
        <i x="1106" s="1" nd="1"/>
        <i x="957" s="1" nd="1"/>
        <i x="640" s="1" nd="1"/>
        <i x="284" s="1" nd="1"/>
        <i x="381" s="1" nd="1"/>
        <i x="303" s="1" nd="1"/>
        <i x="853" s="1" nd="1"/>
        <i x="628" s="1" nd="1"/>
        <i x="507" s="1" nd="1"/>
        <i x="406" s="1" nd="1"/>
        <i x="1160" s="1" nd="1"/>
        <i x="55" s="1" nd="1"/>
        <i x="38" s="1" nd="1"/>
        <i x="521" s="1" nd="1"/>
        <i x="1008" s="1" nd="1"/>
        <i x="1105" s="1" nd="1"/>
        <i x="375" s="1" nd="1"/>
        <i x="874" s="1" nd="1"/>
        <i x="747" s="1" nd="1"/>
        <i x="112" s="1" nd="1"/>
        <i x="1248" s="1" nd="1"/>
        <i x="1184" s="1" nd="1"/>
        <i x="421" s="1" nd="1"/>
        <i x="578" s="1" nd="1"/>
        <i x="191" s="1" nd="1"/>
        <i x="370" s="1" nd="1"/>
        <i x="1254" s="1" nd="1"/>
        <i x="437" s="1" nd="1"/>
        <i x="103" s="1" nd="1"/>
        <i x="59" s="1" nd="1"/>
        <i x="784" s="1" nd="1"/>
        <i x="683" s="1" nd="1"/>
        <i x="840" s="1" nd="1"/>
        <i x="423" s="1" nd="1"/>
        <i x="795" s="1" nd="1"/>
        <i x="174" s="1" nd="1"/>
        <i x="888" s="1" nd="1"/>
        <i x="1144" s="1" nd="1"/>
        <i x="630" s="1" nd="1"/>
        <i x="231" s="1" nd="1"/>
        <i x="855" s="1" nd="1"/>
        <i x="801" s="1" nd="1"/>
        <i x="1118" s="1" nd="1"/>
        <i x="1206" s="1" nd="1"/>
        <i x="719" s="1" nd="1"/>
        <i x="343" s="1" nd="1"/>
        <i x="646" s="1" nd="1"/>
        <i x="190" s="1" nd="1"/>
        <i x="1208" s="1" nd="1"/>
        <i x="408" s="1" nd="1"/>
        <i x="1237" s="1" nd="1"/>
        <i x="11" s="1" nd="1"/>
        <i x="399" s="1" nd="1"/>
        <i x="900" s="1" nd="1"/>
        <i x="424" s="1" nd="1"/>
        <i x="945" s="1" nd="1"/>
        <i x="730" s="1" nd="1"/>
        <i x="1229" s="1" nd="1"/>
        <i x="718" s="1" nd="1"/>
        <i x="1313" s="1" nd="1"/>
        <i x="1165" s="1" nd="1"/>
        <i x="652" s="1" nd="1"/>
        <i x="250" s="1" nd="1"/>
        <i x="1047" s="1" nd="1"/>
        <i x="724" s="1" nd="1"/>
        <i x="1274" s="1" nd="1"/>
        <i x="631" s="1" nd="1"/>
        <i x="286" s="1" nd="1"/>
        <i x="545" s="1" nd="1"/>
        <i x="1162" s="1" nd="1"/>
        <i x="1051" s="1" nd="1"/>
        <i x="1219" s="1" nd="1"/>
        <i x="1272" s="1" nd="1"/>
        <i x="515" s="1" nd="1"/>
        <i x="1088" s="1" nd="1"/>
        <i x="124" s="1" nd="1"/>
        <i x="434" s="1" nd="1"/>
        <i x="45" s="1" nd="1"/>
        <i x="851" s="1" nd="1"/>
        <i x="144" s="1" nd="1"/>
        <i x="356" s="1" nd="1"/>
        <i x="870" s="1" nd="1"/>
        <i x="63" s="1" nd="1"/>
        <i x="37" s="1" nd="1"/>
        <i x="338" s="1" nd="1"/>
        <i x="688" s="1" nd="1"/>
        <i x="674" s="1" nd="1"/>
        <i x="1158" s="1" nd="1"/>
        <i x="1217" s="1" nd="1"/>
        <i x="444" s="1" nd="1"/>
        <i x="815" s="1" nd="1"/>
        <i x="107" s="1" nd="1"/>
        <i x="403" s="1" nd="1"/>
        <i x="810" s="1" nd="1"/>
        <i x="252" s="1" nd="1"/>
        <i x="1240" s="1" nd="1"/>
        <i x="1089" s="1" nd="1"/>
        <i x="1152" s="1" nd="1"/>
        <i x="907" s="1" nd="1"/>
        <i x="1126" s="1" nd="1"/>
        <i x="1228" s="1" nd="1"/>
        <i x="728" s="1" nd="1"/>
        <i x="1305" s="1" nd="1"/>
        <i x="635" s="1" nd="1"/>
        <i x="1204" s="1" nd="1"/>
        <i x="266" s="1" nd="1"/>
        <i x="1006" s="1" nd="1"/>
        <i x="290" s="1" nd="1"/>
        <i x="736" s="1" nd="1"/>
        <i x="1080" s="1" nd="1"/>
        <i x="729" s="1" nd="1"/>
        <i x="672" s="1" nd="1"/>
        <i x="540" s="1" nd="1"/>
        <i x="1148" s="1" nd="1"/>
        <i x="215" s="1" nd="1"/>
        <i x="100" s="1" nd="1"/>
        <i x="1277" s="1" nd="1"/>
        <i x="764" s="1" nd="1"/>
        <i x="123" s="1" nd="1"/>
        <i x="1199" s="1" nd="1"/>
        <i x="732" s="1" nd="1"/>
        <i x="1176" s="1" nd="1"/>
        <i x="1266" s="1" nd="1"/>
        <i x="216" s="1" nd="1"/>
        <i x="869" s="1" nd="1"/>
        <i x="193" s="1" nd="1"/>
        <i x="1268" s="1" nd="1"/>
        <i x="1223" s="1" nd="1"/>
        <i x="183" s="1" nd="1"/>
        <i x="419" s="1" nd="1"/>
        <i x="647" s="1" nd="1"/>
        <i x="1303" s="1" nd="1"/>
        <i x="1045" s="1" nd="1"/>
        <i x="366" s="1" nd="1"/>
        <i x="737" s="1" nd="1"/>
        <i x="1037" s="1" nd="1"/>
        <i x="873" s="1" nd="1"/>
        <i x="942" s="1" nd="1"/>
        <i x="1249" s="1" nd="1"/>
        <i x="884" s="1" nd="1"/>
        <i x="939" s="1" nd="1"/>
        <i x="451" s="1" nd="1"/>
        <i x="520" s="1" nd="1"/>
        <i x="277" s="1" nd="1"/>
        <i x="777" s="1" nd="1"/>
        <i x="1060" s="1" nd="1"/>
        <i x="906" s="1" nd="1"/>
        <i x="170" s="1" nd="1"/>
        <i x="992" s="1" nd="1"/>
        <i x="209" s="1" nd="1"/>
        <i x="400" s="1" nd="1"/>
        <i x="232" s="1" nd="1"/>
        <i x="848" s="1" nd="1"/>
        <i x="930" s="1" nd="1"/>
        <i x="257" s="1" nd="1"/>
        <i x="214" s="1" nd="1"/>
        <i x="986" s="1" nd="1"/>
        <i x="69" s="1" nd="1"/>
        <i x="73" s="1" nd="1"/>
        <i x="149" s="1" nd="1"/>
        <i x="1247" s="1" nd="1"/>
        <i x="1224" s="1" nd="1"/>
        <i x="882" s="1" nd="1"/>
        <i x="58" s="1" nd="1"/>
        <i x="1177" s="1" nd="1"/>
        <i x="1141" s="1" nd="1"/>
        <i x="93" s="1" nd="1"/>
        <i x="244" s="1" nd="1"/>
        <i x="872" s="1" nd="1"/>
        <i x="1261" s="1" nd="1"/>
        <i x="1244" s="1" nd="1"/>
        <i x="464" s="1" nd="1"/>
        <i x="465" s="1" nd="1"/>
        <i x="196" s="1" nd="1"/>
        <i x="524" s="1" nd="1"/>
        <i x="565" s="1" nd="1"/>
        <i x="1048" s="1" nd="1"/>
        <i x="457" s="1" nd="1"/>
        <i x="1114" s="1" nd="1"/>
        <i x="885" s="1" nd="1"/>
        <i x="496" s="1" nd="1"/>
        <i x="435" s="1" nd="1"/>
        <i x="1084" s="1" nd="1"/>
        <i x="412" s="1" nd="1"/>
        <i x="1121" s="1" nd="1"/>
        <i x="1221" s="1" nd="1"/>
        <i x="184" s="1" nd="1"/>
        <i x="1312" s="1" nd="1"/>
        <i x="696" s="1" nd="1"/>
        <i x="972" s="1" nd="1"/>
        <i x="1190" s="1" nd="1"/>
        <i x="119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n 1" xr10:uid="{F2884FCE-2797-4547-8534-53BD4C463D74}" cache="Slicer_Town" caption="Town" startItem="688" columnCount="2" style="SlicerStyleOther2" rowHeight="2476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ED6F092-2C14-41A5-8A7A-DD527213C820}" name="CashFlowForecast" displayName="CashFlowForecast" ref="A5:M27" totalsRowShown="0" headerRowDxfId="176" dataDxfId="174" headerRowBorderDxfId="175" tableBorderDxfId="173">
  <autoFilter ref="A5:M27" xr:uid="{6ED6F092-2C14-41A5-8A7A-DD527213C820}"/>
  <tableColumns count="13">
    <tableColumn id="1" xr3:uid="{3365F085-B051-404E-9A7B-12924A3EEA48}" name="Operations" dataDxfId="172"/>
    <tableColumn id="3" xr3:uid="{4675BBF1-C836-4BF2-9387-B4FDDD440200}" name="Jan" dataDxfId="171"/>
    <tableColumn id="4" xr3:uid="{4B36627B-42F3-4B96-9C49-5FD15A487BA1}" name="Feb" dataDxfId="170"/>
    <tableColumn id="5" xr3:uid="{BEADB22C-E9EF-42E3-ACDA-451F4866F78F}" name="Mar" dataDxfId="169"/>
    <tableColumn id="6" xr3:uid="{572F606B-A67A-4EF5-93E6-0A934C97DD92}" name="Apr" dataDxfId="168"/>
    <tableColumn id="7" xr3:uid="{01A22700-9222-4217-8C22-26533D2F3AE0}" name="May" dataDxfId="167"/>
    <tableColumn id="8" xr3:uid="{975ABBF5-C050-4FAF-A0A8-677E289B2DEF}" name="Jun" dataDxfId="166"/>
    <tableColumn id="9" xr3:uid="{DD0CC76E-3F9F-44FA-A85B-6C6857F52938}" name="Jul" dataDxfId="165"/>
    <tableColumn id="10" xr3:uid="{F0081C6D-4B10-4DF1-8440-FB170D358E25}" name="Aug" dataDxfId="164"/>
    <tableColumn id="11" xr3:uid="{6DD302FD-E2CF-435C-BDC5-5C1661F4BD56}" name="Sep" dataDxfId="163"/>
    <tableColumn id="12" xr3:uid="{DE363F30-F050-40D3-89CB-49BB08F5273B}" name="Oct" dataDxfId="162"/>
    <tableColumn id="13" xr3:uid="{EA87B4B7-30A2-40E8-AF7F-D27D3BB322E4}" name="Nov" dataDxfId="161"/>
    <tableColumn id="14" xr3:uid="{893989DF-A5ED-4813-B70D-2354FCA58497}" name="Dec" dataDxfId="16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6A3CD4-A541-4FE0-BD43-729445061E36}" name="CashFlowForecast4" displayName="CashFlowForecast4" ref="A13:M35" totalsRowShown="0" headerRowDxfId="159" dataDxfId="157" headerRowBorderDxfId="158" tableBorderDxfId="156">
  <autoFilter ref="A13:M35" xr:uid="{6ED6F092-2C14-41A5-8A7A-DD527213C820}"/>
  <tableColumns count="13">
    <tableColumn id="1" xr3:uid="{1784678A-F270-48EF-A5E1-FEBC25B07F5C}" name="Operations" dataDxfId="155"/>
    <tableColumn id="3" xr3:uid="{B524C34F-B620-4277-96EE-D97FBFD2F8FA}" name="Jan" dataDxfId="154"/>
    <tableColumn id="4" xr3:uid="{0063EC23-C427-4513-BBBB-55BBEA4FF9C5}" name="Feb" dataDxfId="153"/>
    <tableColumn id="5" xr3:uid="{1826E450-D38C-4DDD-A1B5-DCC2EDD0CC8D}" name="Mar" dataDxfId="152"/>
    <tableColumn id="6" xr3:uid="{8B41A708-6DE3-4806-BD79-439852FF38BF}" name="Apr" dataDxfId="151"/>
    <tableColumn id="7" xr3:uid="{47AF45CC-CDF7-4749-BB90-39B64D7400D3}" name="May" dataDxfId="150"/>
    <tableColumn id="8" xr3:uid="{0AB0F302-B00C-44C3-9735-8FB0A3EDC3ED}" name="Jun" dataDxfId="149"/>
    <tableColumn id="9" xr3:uid="{BEC65316-8159-4A9D-BCBC-1B39FEDD8D49}" name="Jul" dataDxfId="148"/>
    <tableColumn id="10" xr3:uid="{CA9958B6-EA9E-44DB-899A-DD2B641E3389}" name="Aug" dataDxfId="147"/>
    <tableColumn id="11" xr3:uid="{DF26D298-DA88-4460-B051-20E65DE26073}" name="Sep" dataDxfId="146"/>
    <tableColumn id="12" xr3:uid="{5D51E8DC-5F48-4B2D-8A62-CBAA9DC23D71}" name="Oct" dataDxfId="145"/>
    <tableColumn id="13" xr3:uid="{218D1D3A-695F-49BC-9D46-61B8B490C8A3}" name="Nov" dataDxfId="144"/>
    <tableColumn id="14" xr3:uid="{AABA99B3-DC0F-46B0-B72E-0624C9A2F005}" name="Dec" dataDxfId="14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57B168-3B4F-4DE6-ADE3-3F12B4027CE4}" name="CashFlowForecast49" displayName="CashFlowForecast49" ref="A43:M65" totalsRowShown="0" headerRowDxfId="142" dataDxfId="140" headerRowBorderDxfId="141" tableBorderDxfId="139">
  <autoFilter ref="A43:M65" xr:uid="{AE57B168-3B4F-4DE6-ADE3-3F12B4027CE4}"/>
  <tableColumns count="13">
    <tableColumn id="1" xr3:uid="{014B3D01-FED4-4652-9FE0-568103B9BF64}" name="Operations" dataDxfId="138"/>
    <tableColumn id="3" xr3:uid="{CB294DE4-EC52-44E0-9C6C-164E12DFC2F6}" name="Jan" dataDxfId="137"/>
    <tableColumn id="4" xr3:uid="{001B1956-5DE7-488D-8743-0388E48FE6E5}" name="Feb" dataDxfId="136"/>
    <tableColumn id="5" xr3:uid="{98E774D7-84D0-4ECA-944B-9D1D1FD8C24A}" name="Mar" dataDxfId="135"/>
    <tableColumn id="6" xr3:uid="{A8BD07E7-0D19-4457-94E8-4F478DC36476}" name="Apr" dataDxfId="134"/>
    <tableColumn id="7" xr3:uid="{3738F8DF-2671-4A89-AFD8-F640F6491E07}" name="May" dataDxfId="133"/>
    <tableColumn id="8" xr3:uid="{FB4887D0-E733-4190-A51D-A123D5291462}" name="Jun" dataDxfId="132"/>
    <tableColumn id="9" xr3:uid="{53C1AB8C-E32B-4356-9B6C-1E3DDAFF469D}" name="Jul" dataDxfId="131"/>
    <tableColumn id="10" xr3:uid="{757D2FE3-A66F-45C4-9C97-DF23A32A39EC}" name="Aug" dataDxfId="130"/>
    <tableColumn id="11" xr3:uid="{3E5327B6-1913-4781-B93E-62EA4012B13D}" name="Sep" dataDxfId="129"/>
    <tableColumn id="12" xr3:uid="{EB5D0760-0ABB-4B5E-A86E-A8536D469484}" name="Oct" dataDxfId="128"/>
    <tableColumn id="13" xr3:uid="{5F3B208D-15C4-4510-81A3-E7F7F29932D0}" name="Nov" dataDxfId="127"/>
    <tableColumn id="14" xr3:uid="{2AC726A5-810E-4208-A1BE-EA165F936137}" name="Dec" dataDxfId="12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095F9B-9F79-4BD1-B859-6FA2A4B8A437}" name="CashFlowForecast10" displayName="CashFlowForecast10" ref="A4:M26" totalsRowShown="0" headerRowDxfId="125" dataDxfId="123" headerRowBorderDxfId="124" tableBorderDxfId="122">
  <autoFilter ref="A4:M26" xr:uid="{6ED6F092-2C14-41A5-8A7A-DD527213C820}"/>
  <tableColumns count="13">
    <tableColumn id="1" xr3:uid="{0D33C2E7-3090-4CF6-B5D1-E7C53BBAF23B}" name="Operations" dataDxfId="121"/>
    <tableColumn id="3" xr3:uid="{B464B67E-CB15-425B-9863-3EB9329CB75C}" name="Jan" dataDxfId="120"/>
    <tableColumn id="4" xr3:uid="{53EBBF62-A8B2-4E9A-BA91-E4D8DF07F576}" name="Feb" dataDxfId="119"/>
    <tableColumn id="5" xr3:uid="{7994761E-C594-4621-A331-27AACF8D5875}" name="Mar" dataDxfId="118"/>
    <tableColumn id="6" xr3:uid="{169D3902-1146-47A6-B33C-6FB9D6D4D844}" name="Apr" dataDxfId="117"/>
    <tableColumn id="7" xr3:uid="{F9B84F32-AF18-41BA-BCE5-7EBE586850A3}" name="May" dataDxfId="116"/>
    <tableColumn id="8" xr3:uid="{F0E89FDE-C410-4CE4-BCB1-E1F803EA68B8}" name="Jun" dataDxfId="115"/>
    <tableColumn id="9" xr3:uid="{56AF777C-22FA-466C-862A-81ACC5D477C9}" name="Jul" dataDxfId="114"/>
    <tableColumn id="10" xr3:uid="{7CD1A15C-951E-4F06-91EE-7104BB7E2FB8}" name="Aug" dataDxfId="113"/>
    <tableColumn id="11" xr3:uid="{5A5BF0F0-8997-41A5-B680-C82D0A43DCFB}" name="Sep" dataDxfId="112"/>
    <tableColumn id="12" xr3:uid="{7A7CA450-A541-4370-A681-1AE3D5498E9A}" name="Oct" dataDxfId="111"/>
    <tableColumn id="13" xr3:uid="{1414D55E-52E7-4FA6-BEC1-A731EEB9BDCC}" name="Nov" dataDxfId="110"/>
    <tableColumn id="14" xr3:uid="{CBC5DCD3-CBBB-4701-BFB4-79D58887F7C9}" name="Dec" dataDxfId="10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FAFB4BC-B7E6-46EA-98B2-78085ABBD3D8}" name="CashFlowForecast11" displayName="CashFlowForecast11" ref="A6:M28" totalsRowShown="0" headerRowDxfId="108" dataDxfId="106" headerRowBorderDxfId="107" tableBorderDxfId="105">
  <autoFilter ref="A6:M28" xr:uid="{6ED6F092-2C14-41A5-8A7A-DD527213C820}"/>
  <tableColumns count="13">
    <tableColumn id="1" xr3:uid="{27814DC4-9C24-4BFC-9880-427670866F84}" name="Operations" dataDxfId="104"/>
    <tableColumn id="3" xr3:uid="{68103668-6DD4-4613-8061-78BC7CFA4698}" name="Jan" dataDxfId="103"/>
    <tableColumn id="4" xr3:uid="{C3AC9518-7F29-4B08-B2B4-043DAFA339B4}" name="Feb" dataDxfId="102"/>
    <tableColumn id="5" xr3:uid="{771BF4D9-CCB8-40EE-A3FE-B856D3D29FDA}" name="Mar" dataDxfId="101"/>
    <tableColumn id="6" xr3:uid="{1B3DD418-676C-4A83-BF43-A2221A932A12}" name="Apr" dataDxfId="100"/>
    <tableColumn id="7" xr3:uid="{B7B62155-BC7F-48AF-9DC7-77B5E3AACB85}" name="May" dataDxfId="99"/>
    <tableColumn id="8" xr3:uid="{1E449BA8-DA5C-41A2-B85A-E1977B3CD232}" name="Jun" dataDxfId="98"/>
    <tableColumn id="9" xr3:uid="{5FDB61CA-430B-4435-AAAD-2983DAC71F68}" name="Jul" dataDxfId="97"/>
    <tableColumn id="10" xr3:uid="{3F3B16F7-4791-464D-88E4-335D2B9EA708}" name="Aug" dataDxfId="96"/>
    <tableColumn id="11" xr3:uid="{B166EB9B-E16E-4103-A21E-629005FF4CD9}" name="Sep" dataDxfId="95"/>
    <tableColumn id="12" xr3:uid="{3CACCC1A-B40B-4D61-AEE2-CECB353218E9}" name="Oct" dataDxfId="94"/>
    <tableColumn id="13" xr3:uid="{198503F7-1475-4D57-8E75-3420240A2C80}" name="Nov" dataDxfId="93"/>
    <tableColumn id="14" xr3:uid="{1CE12BE6-DBFF-4DEF-8620-2D1C969B878E}" name="Dec" dataDxfId="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E2176-8B8B-4A17-8290-E8D811F5880C}" name="CashFlowForecast12" displayName="CashFlowForecast12" ref="A4:M26" totalsRowShown="0" headerRowDxfId="91" dataDxfId="89" headerRowBorderDxfId="90" tableBorderDxfId="88">
  <autoFilter ref="A4:M26" xr:uid="{6ED6F092-2C14-41A5-8A7A-DD527213C820}"/>
  <tableColumns count="13">
    <tableColumn id="1" xr3:uid="{2507FBC7-D016-4375-8877-138667446B4D}" name="Operations" dataDxfId="87"/>
    <tableColumn id="3" xr3:uid="{C75AC9BE-12EB-419B-A9BD-61675D27FCB4}" name="Jan" dataDxfId="86"/>
    <tableColumn id="4" xr3:uid="{F0339544-1F71-4CD9-8F98-8F8599CAC0A5}" name="Feb" dataDxfId="85"/>
    <tableColumn id="5" xr3:uid="{DC6F131B-6C6A-4990-8D13-70D5798B10A6}" name="Mar" dataDxfId="84"/>
    <tableColumn id="6" xr3:uid="{4C301946-2970-4558-A139-668E46EA9E40}" name="Apr" dataDxfId="83"/>
    <tableColumn id="7" xr3:uid="{51ECFB4E-D67A-4382-BA32-D58352CB04FC}" name="May" dataDxfId="82"/>
    <tableColumn id="8" xr3:uid="{39048734-3F4C-4E2F-8A91-EBCD00C84413}" name="Jun" dataDxfId="81"/>
    <tableColumn id="9" xr3:uid="{504A9DB6-74B5-431E-AC7C-4AE65CF9E809}" name="Jul" dataDxfId="80"/>
    <tableColumn id="10" xr3:uid="{5D7F229C-AD49-433D-8B42-CDC1136A12B5}" name="Aug" dataDxfId="79"/>
    <tableColumn id="11" xr3:uid="{E4D2DC10-AE1B-4D92-AE43-AB3211038592}" name="Sep" dataDxfId="78"/>
    <tableColumn id="12" xr3:uid="{04879363-FD2B-4214-9102-A3BF4A0224BC}" name="Oct" dataDxfId="77"/>
    <tableColumn id="13" xr3:uid="{C6AA5092-B5DA-4D22-8CA6-ED0BB2193986}" name="Nov" dataDxfId="76"/>
    <tableColumn id="14" xr3:uid="{262AC65F-02ED-4BA1-960F-3F4E4796E9DB}" name="Dec" dataDxfId="7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9A9228-3BE6-48DB-AA3C-DA57BAFD787A}" name="TestPlan" displayName="TestPlan" ref="A3:G7" totalsRowShown="0" headerRowDxfId="72" dataDxfId="70" headerRowBorderDxfId="71" tableBorderDxfId="69" totalsRowBorderDxfId="68">
  <autoFilter ref="A3:G7" xr:uid="{869A9228-3BE6-48DB-AA3C-DA57BAFD787A}"/>
  <tableColumns count="7">
    <tableColumn id="1" xr3:uid="{148B7AB6-F5BA-4EA2-9582-C6EFE73DC7E3}" name="Test " dataDxfId="67"/>
    <tableColumn id="2" xr3:uid="{41A9C017-2B40-4B68-8F9D-9578C7CB8CCE}" name="Name" dataDxfId="66"/>
    <tableColumn id="3" xr3:uid="{6304A18E-6F23-4CF0-B079-8A7D55C29701}" name="Objective" dataDxfId="65"/>
    <tableColumn id="4" xr3:uid="{3EBBCA22-F2A9-4359-A48B-25E81D2C4A7C}" name="Steps" dataDxfId="64"/>
    <tableColumn id="5" xr3:uid="{D2A30420-DEFB-44D2-849B-2290FB879DE2}" name="Expected Result" dataDxfId="63"/>
    <tableColumn id="6" xr3:uid="{2229DD20-249A-4CD1-84DE-A63A1CC17683}" name="Actual Result" dataDxfId="62"/>
    <tableColumn id="7" xr3:uid="{1785C222-EE57-4085-8CA5-0F34CBA03A6B}" name="Pass/Fail" dataDxfId="61"/>
  </tableColumns>
  <tableStyleInfo name="TableStyleLight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0E430F-1287-43CF-8277-35414F6B05C9}" name="OrganizedData" displayName="OrganizedData" ref="A7:R4959" tableType="queryTable" totalsRowShown="0" headerRowDxfId="60" dataDxfId="59">
  <autoFilter ref="A7:R4959" xr:uid="{790E430F-1287-43CF-8277-35414F6B05C9}"/>
  <tableColumns count="18">
    <tableColumn id="1" xr3:uid="{84264C5F-2B73-404A-A329-5F523F9ABDD1}" uniqueName="1" name="ID" queryTableFieldId="1" dataDxfId="58"/>
    <tableColumn id="2" xr3:uid="{1DEC3A43-8FE5-463F-AEF9-230C5F7D01E4}" uniqueName="2" name="First Name" queryTableFieldId="2" dataDxfId="57"/>
    <tableColumn id="3" xr3:uid="{E100B98D-E9B8-49B4-9D9A-4D174AB79F62}" uniqueName="3" name="Last Name" queryTableFieldId="3" dataDxfId="56"/>
    <tableColumn id="4" xr3:uid="{582B01B3-A23D-483E-AB7D-CC81F45BB040}" uniqueName="4" name="Title" queryTableFieldId="4" dataDxfId="55"/>
    <tableColumn id="5" xr3:uid="{60776F8D-7E4A-4DFB-989D-F6CA8EB5BEB0}" uniqueName="5" name="Gender" queryTableFieldId="5" dataDxfId="54"/>
    <tableColumn id="6" xr3:uid="{4862BFC4-0192-4536-90A7-76F37AD00DE5}" uniqueName="6" name="Credit" queryTableFieldId="6" dataDxfId="53"/>
    <tableColumn id="7" xr3:uid="{EE304929-D324-4814-A45C-AC21D746B5CA}" uniqueName="7" name="Street" queryTableFieldId="7" dataDxfId="52"/>
    <tableColumn id="8" xr3:uid="{3FC07C99-7128-435F-8802-3FB6E7CF4A00}" uniqueName="8" name="Town" queryTableFieldId="8" dataDxfId="51"/>
    <tableColumn id="9" xr3:uid="{5CF71E43-D02E-4E23-92BA-1420721BCD4E}" uniqueName="9" name="Post Code Area" queryTableFieldId="9" dataDxfId="50"/>
    <tableColumn id="10" xr3:uid="{E22EF00A-5CED-42F1-AE08-7C67D8714E2A}" uniqueName="10" name="Order Date" queryTableFieldId="10" dataDxfId="49"/>
    <tableColumn id="14" xr3:uid="{BEB361A8-BBE6-4AAF-B335-72A7046E888E}" uniqueName="14" name="Order Year" queryTableFieldId="15" dataDxfId="48">
      <calculatedColumnFormula>YEAR(OrganizedData[[#This Row],[Order Date]])</calculatedColumnFormula>
    </tableColumn>
    <tableColumn id="13" xr3:uid="{5F5244EC-A13A-4146-8A38-BEA41B20E546}" uniqueName="13" name="Order Month" queryTableFieldId="14" dataDxfId="47">
      <calculatedColumnFormula>TEXT(OrganizedData[[#This Row],[Order Date]],"mmm")</calculatedColumnFormula>
    </tableColumn>
    <tableColumn id="11" xr3:uid="{8AD9F4E9-5B1B-4EFE-81A4-5EBE02B8FD08}" uniqueName="11" name="Quantity" queryTableFieldId="11" dataDxfId="46"/>
    <tableColumn id="12" xr3:uid="{E68F9810-F8F1-492C-86D5-C23B71BD1ADE}" uniqueName="12" name="Product Code" queryTableFieldId="12" dataDxfId="45"/>
    <tableColumn id="15" xr3:uid="{A3610618-9868-4F0E-B175-FAAE8213C2DD}" uniqueName="15" name="Product Name" queryTableFieldId="16" dataDxfId="44">
      <calculatedColumnFormula>VLOOKUP(OrganizedData[[#This Row],[Product Code]],ProductData[[Code]:[Item]],2,FALSE)</calculatedColumnFormula>
    </tableColumn>
    <tableColumn id="16" xr3:uid="{879E48DB-C6AC-46B7-8891-03DC4214457C}" uniqueName="16" name="Total Items Ordered" queryTableFieldId="17" dataDxfId="43" dataCellStyle="Comma">
      <calculatedColumnFormula>OrganizedData[[#This Row],[Quantity]]*VLOOKUP(OrganizedData[[#This Row],[Product Code]],ProductData[],4,FALSE)</calculatedColumnFormula>
    </tableColumn>
    <tableColumn id="17" xr3:uid="{9359977A-DA81-456E-BA07-CD3C4BB278EF}" uniqueName="17" name="Total Order Value" queryTableFieldId="18" dataDxfId="42">
      <calculatedColumnFormula>OrganizedData[[#This Row],[Total Items Ordered]]*VLOOKUP(OrganizedData[[#This Row],[Product Code]],ProductData[],3,FALSE)</calculatedColumnFormula>
    </tableColumn>
    <tableColumn id="18" xr3:uid="{4218CF77-F38D-4F12-9E8C-69B8D5DBDBC9}" uniqueName="18" name="Discounted Price" queryTableFieldId="22" dataDxfId="41">
      <calculatedColumnFormula>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F5E1D2E-C582-4B3D-8AD1-89A7891BF10C}" name="CleanedData" displayName="CleanedData" ref="A11:L4963" tableType="queryTable" totalsRowShown="0" headerRowDxfId="40" dataDxfId="39">
  <autoFilter ref="A11:L4963" xr:uid="{8F5E1D2E-C582-4B3D-8AD1-89A7891BF10C}"/>
  <tableColumns count="12">
    <tableColumn id="1" xr3:uid="{C07AF216-7C80-4D17-9ADE-F4124DB2B6E8}" uniqueName="1" name="ID" queryTableFieldId="1" dataDxfId="38"/>
    <tableColumn id="2" xr3:uid="{5478D813-C51F-4222-AA61-C97AAB3DB53D}" uniqueName="2" name="First Name" queryTableFieldId="2" dataDxfId="37"/>
    <tableColumn id="3" xr3:uid="{5AC1F09A-598C-44F8-9009-AE41A9BD18DE}" uniqueName="3" name="Last Name" queryTableFieldId="3" dataDxfId="36"/>
    <tableColumn id="4" xr3:uid="{5DA7A7FA-A69B-4A17-82A7-F35DA5A9FCA9}" uniqueName="4" name="Title" queryTableFieldId="4" dataDxfId="35"/>
    <tableColumn id="5" xr3:uid="{3D611774-0960-4786-870E-64EFFE4C8263}" uniqueName="5" name="Gender" queryTableFieldId="5" dataDxfId="34"/>
    <tableColumn id="6" xr3:uid="{989AED9F-3967-4F18-83A6-116729937BBA}" uniqueName="6" name="Credit" queryTableFieldId="6" dataDxfId="33"/>
    <tableColumn id="7" xr3:uid="{2262310D-E1A0-4437-A4B9-9BEFA94F1E41}" uniqueName="7" name="Street" queryTableFieldId="7" dataDxfId="32"/>
    <tableColumn id="8" xr3:uid="{678E9EC8-D4DA-45BF-8CC1-34AA8D19818B}" uniqueName="8" name="Town" queryTableFieldId="8" dataDxfId="31"/>
    <tableColumn id="9" xr3:uid="{CD278FE3-0F13-4F0F-9407-F9CA2637AECF}" uniqueName="9" name="Post Code Area" queryTableFieldId="9" dataDxfId="30"/>
    <tableColumn id="10" xr3:uid="{E42298E5-83D5-4273-84F4-C98F95789C47}" uniqueName="10" name="Order Date" queryTableFieldId="10" dataDxfId="29"/>
    <tableColumn id="11" xr3:uid="{90EC0B09-44D9-4F3C-B19A-C0A00DE35C70}" uniqueName="11" name="Quantity" queryTableFieldId="11" dataDxfId="28"/>
    <tableColumn id="12" xr3:uid="{87D77FD0-91A6-4343-9601-DCF5AAD90340}" uniqueName="12" name="Product" queryTableFieldId="12" dataDxfId="27"/>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B6659E-45AE-4BF5-9356-860477F6F2D1}" name="OriginalData" displayName="OriginalData" ref="A1:M5104" tableType="queryTable" totalsRowShown="0" headerRowDxfId="26" dataDxfId="25">
  <autoFilter ref="A1:M5104" xr:uid="{77B6659E-45AE-4BF5-9356-860477F6F2D1}"/>
  <tableColumns count="13">
    <tableColumn id="1" xr3:uid="{81ACEBBB-6D64-4DD1-8162-B88FBCBEBB47}" uniqueName="1" name="ID" queryTableFieldId="1" dataDxfId="24"/>
    <tableColumn id="2" xr3:uid="{A1174561-C3F0-4922-8A6D-E8F8AFDEF99E}" uniqueName="2" name="First Name" queryTableFieldId="2" dataDxfId="23"/>
    <tableColumn id="3" xr3:uid="{82C2FB0B-10B1-4C2B-A592-C80DEA39B971}" uniqueName="3" name="Last Name" queryTableFieldId="3" dataDxfId="22"/>
    <tableColumn id="4" xr3:uid="{DDED7779-C410-4E01-8C18-E98011D903BB}" uniqueName="4" name="Title" queryTableFieldId="4" dataDxfId="21"/>
    <tableColumn id="5" xr3:uid="{A7522605-1D76-4CEC-9F55-516BCD840C30}" uniqueName="5" name="Gender" queryTableFieldId="5" dataDxfId="20"/>
    <tableColumn id="6" xr3:uid="{00599D0F-0285-41FE-88D3-90FC955F3356}" uniqueName="6" name="Credit" queryTableFieldId="6" dataDxfId="19"/>
    <tableColumn id="7" xr3:uid="{215FF0D2-7DCE-4735-B310-FAF72ABE3CE6}" uniqueName="7" name="Street" queryTableFieldId="7" dataDxfId="18"/>
    <tableColumn id="8" xr3:uid="{0C647981-02D9-4603-B453-F35A701EB973}" uniqueName="8" name="Town" queryTableFieldId="8" dataDxfId="17"/>
    <tableColumn id="9" xr3:uid="{06829267-B144-48E7-8AE8-2291F7ED3C0D}" uniqueName="9" name="Post Code Area" queryTableFieldId="9" dataDxfId="16"/>
    <tableColumn id="10" xr3:uid="{141DB6C8-5942-4622-AFB0-636A146FCAEA}" uniqueName="10" name="Order Date" queryTableFieldId="10" dataDxfId="15"/>
    <tableColumn id="11" xr3:uid="{2641AF46-E2F8-410F-854A-02E1A09EB2AE}" uniqueName="11" name="Quantity" queryTableFieldId="11" dataDxfId="14"/>
    <tableColumn id="12" xr3:uid="{7C2E5B99-30AB-4839-BC8F-215C790931A2}" uniqueName="12" name="Product" queryTableFieldId="12" dataDxfId="13"/>
    <tableColumn id="13" xr3:uid="{599862FB-73B1-415A-AE50-CC00589C8896}" uniqueName="13" name="Date" queryTableFieldId="13" dataDxfId="1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3904071-F60F-4CD6-AB57-E61D5BEC9C5E}" name="ProductData" displayName="ProductData" ref="A3:G13" totalsRowShown="0" headerRowDxfId="11" dataDxfId="9" headerRowBorderDxfId="10" tableBorderDxfId="8" totalsRowBorderDxfId="7">
  <autoFilter ref="A3:G13" xr:uid="{E3904071-F60F-4CD6-AB57-E61D5BEC9C5E}"/>
  <tableColumns count="7">
    <tableColumn id="1" xr3:uid="{744E9DB1-159D-4281-B0BA-3F97BEFCADD6}" name="Code" dataDxfId="6"/>
    <tableColumn id="2" xr3:uid="{BF963843-510E-4AF3-984C-4FF82117F6CA}" name="Item" dataDxfId="5"/>
    <tableColumn id="3" xr3:uid="{11B9A3B2-6088-4D1D-A9B7-D4774B51AC16}" name="Cost" dataDxfId="4"/>
    <tableColumn id="4" xr3:uid="{E311CF1D-32BB-446C-B49D-23454A0174F9}" name="Case Size" dataDxfId="3"/>
    <tableColumn id="5" xr3:uid="{360515B2-1EBE-4473-B0E7-8BBB0996A00E}" name="Retail Price" dataDxfId="2"/>
    <tableColumn id="6" xr3:uid="{AD689326-A27B-41BD-9FE1-46A920765759}" name="Cost Price" dataDxfId="1"/>
    <tableColumn id="7" xr3:uid="{E2C7BF65-2674-4DA0-A993-37F875866B93}" name="Profit"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0EFC8-8BB0-4658-BAE1-E9DB8B630F57}">
  <sheetPr codeName="Sheet13">
    <tabColor theme="3"/>
  </sheetPr>
  <dimension ref="A1:W52"/>
  <sheetViews>
    <sheetView showGridLines="0" tabSelected="1" workbookViewId="0">
      <selection activeCell="A6" sqref="A6:W7"/>
    </sheetView>
  </sheetViews>
  <sheetFormatPr defaultRowHeight="14.4" x14ac:dyDescent="0.3"/>
  <cols>
    <col min="1" max="16384" width="8.88671875" style="2"/>
  </cols>
  <sheetData>
    <row r="1" spans="1:23" ht="23.4" x14ac:dyDescent="0.45">
      <c r="A1" s="146" t="s">
        <v>10796</v>
      </c>
      <c r="B1" s="146"/>
      <c r="C1" s="146"/>
      <c r="D1" s="146"/>
      <c r="E1" s="146"/>
      <c r="F1" s="146"/>
      <c r="G1" s="146"/>
      <c r="H1" s="146"/>
      <c r="I1" s="146"/>
      <c r="J1" s="146"/>
      <c r="K1" s="146"/>
      <c r="L1" s="146"/>
      <c r="M1" s="146"/>
      <c r="N1" s="146"/>
      <c r="O1" s="146"/>
      <c r="P1" s="146"/>
      <c r="Q1" s="146"/>
      <c r="R1" s="146"/>
      <c r="S1" s="146"/>
      <c r="T1" s="146"/>
      <c r="U1" s="146"/>
      <c r="V1" s="146"/>
      <c r="W1" s="146"/>
    </row>
    <row r="2" spans="1:23" x14ac:dyDescent="0.3">
      <c r="A2" s="147" t="s">
        <v>10802</v>
      </c>
      <c r="B2" s="147"/>
      <c r="C2" s="147"/>
      <c r="D2" s="147"/>
      <c r="E2" s="147"/>
      <c r="F2" s="147"/>
      <c r="G2" s="147"/>
      <c r="H2" s="147"/>
      <c r="I2" s="147"/>
      <c r="J2" s="147"/>
      <c r="K2" s="147"/>
      <c r="L2" s="147"/>
      <c r="M2" s="147"/>
      <c r="N2" s="147"/>
      <c r="O2" s="147"/>
      <c r="P2" s="147"/>
      <c r="Q2" s="147"/>
      <c r="R2" s="147"/>
      <c r="S2" s="147"/>
      <c r="T2" s="147"/>
      <c r="U2" s="147"/>
      <c r="V2" s="147"/>
      <c r="W2" s="147"/>
    </row>
    <row r="3" spans="1:23" x14ac:dyDescent="0.3">
      <c r="A3" s="121"/>
      <c r="B3" s="121"/>
      <c r="C3" s="121"/>
      <c r="D3" s="121"/>
      <c r="E3" s="121"/>
      <c r="F3" s="121"/>
      <c r="G3" s="121"/>
      <c r="H3" s="121"/>
      <c r="I3" s="121"/>
      <c r="J3" s="121"/>
      <c r="K3" s="121"/>
      <c r="L3" s="121"/>
      <c r="M3" s="121"/>
      <c r="N3" s="121"/>
      <c r="O3" s="121"/>
      <c r="P3" s="121"/>
      <c r="Q3" s="121"/>
      <c r="R3" s="121"/>
      <c r="S3" s="121"/>
      <c r="T3" s="121"/>
      <c r="U3" s="121"/>
      <c r="V3" s="121"/>
      <c r="W3" s="121"/>
    </row>
    <row r="4" spans="1:23" ht="15.6" x14ac:dyDescent="0.3">
      <c r="A4" s="158" t="s">
        <v>10797</v>
      </c>
      <c r="B4" s="158"/>
      <c r="C4" s="158"/>
      <c r="D4" s="158"/>
      <c r="E4" s="158"/>
      <c r="F4" s="158"/>
      <c r="G4" s="158"/>
      <c r="H4" s="158"/>
      <c r="I4" s="158"/>
      <c r="J4" s="158"/>
      <c r="K4" s="158"/>
      <c r="L4" s="158"/>
      <c r="M4" s="158"/>
      <c r="N4" s="158"/>
      <c r="O4" s="158"/>
      <c r="P4" s="158"/>
      <c r="Q4" s="158"/>
      <c r="R4" s="158"/>
      <c r="S4" s="158"/>
      <c r="T4" s="158"/>
      <c r="U4" s="158"/>
      <c r="V4" s="158"/>
      <c r="W4" s="158"/>
    </row>
    <row r="5" spans="1:23" x14ac:dyDescent="0.3">
      <c r="A5" s="121"/>
      <c r="B5" s="121"/>
      <c r="C5" s="121"/>
      <c r="D5" s="121"/>
      <c r="E5" s="121"/>
      <c r="F5" s="121"/>
      <c r="G5" s="121"/>
      <c r="H5" s="121"/>
      <c r="I5" s="121"/>
      <c r="J5" s="121"/>
      <c r="K5" s="121"/>
      <c r="L5" s="121"/>
      <c r="M5" s="121"/>
      <c r="N5" s="121"/>
      <c r="O5" s="121"/>
      <c r="P5" s="121"/>
      <c r="Q5" s="121"/>
      <c r="R5" s="121"/>
      <c r="S5" s="121"/>
      <c r="T5" s="121"/>
      <c r="U5" s="121"/>
      <c r="V5" s="121"/>
      <c r="W5" s="121"/>
    </row>
    <row r="6" spans="1:23" x14ac:dyDescent="0.3">
      <c r="A6" s="148" t="s">
        <v>10782</v>
      </c>
      <c r="B6" s="148"/>
      <c r="C6" s="148"/>
      <c r="D6" s="148"/>
      <c r="E6" s="148"/>
      <c r="F6" s="148"/>
      <c r="G6" s="148"/>
      <c r="H6" s="148"/>
      <c r="I6" s="148"/>
      <c r="J6" s="148"/>
      <c r="K6" s="148"/>
      <c r="L6" s="148"/>
      <c r="M6" s="148"/>
      <c r="N6" s="148"/>
      <c r="O6" s="148"/>
      <c r="P6" s="148"/>
      <c r="Q6" s="148"/>
      <c r="R6" s="148"/>
      <c r="S6" s="148"/>
      <c r="T6" s="148"/>
      <c r="U6" s="148"/>
      <c r="V6" s="148"/>
      <c r="W6" s="148"/>
    </row>
    <row r="7" spans="1:23" x14ac:dyDescent="0.3">
      <c r="A7" s="148"/>
      <c r="B7" s="148"/>
      <c r="C7" s="148"/>
      <c r="D7" s="148"/>
      <c r="E7" s="148"/>
      <c r="F7" s="148"/>
      <c r="G7" s="148"/>
      <c r="H7" s="148"/>
      <c r="I7" s="148"/>
      <c r="J7" s="148"/>
      <c r="K7" s="148"/>
      <c r="L7" s="148"/>
      <c r="M7" s="148"/>
      <c r="N7" s="148"/>
      <c r="O7" s="148"/>
      <c r="P7" s="148"/>
      <c r="Q7" s="148"/>
      <c r="R7" s="148"/>
      <c r="S7" s="148"/>
      <c r="T7" s="148"/>
      <c r="U7" s="148"/>
      <c r="V7" s="148"/>
      <c r="W7" s="148"/>
    </row>
    <row r="8" spans="1:23" x14ac:dyDescent="0.3">
      <c r="A8" s="121"/>
      <c r="B8" s="121"/>
      <c r="C8" s="121"/>
      <c r="D8" s="121"/>
      <c r="E8" s="121"/>
      <c r="F8" s="121"/>
      <c r="G8" s="121"/>
      <c r="H8" s="121"/>
      <c r="I8" s="121"/>
      <c r="J8" s="121"/>
      <c r="K8" s="121"/>
      <c r="L8" s="121"/>
      <c r="M8" s="121"/>
      <c r="N8" s="121"/>
      <c r="O8" s="121"/>
      <c r="P8" s="121"/>
      <c r="Q8" s="121"/>
      <c r="R8" s="121"/>
      <c r="S8" s="121"/>
      <c r="T8" s="121"/>
      <c r="U8" s="121"/>
      <c r="V8" s="121"/>
      <c r="W8" s="121"/>
    </row>
    <row r="9" spans="1:23" ht="16.2" thickBot="1" x14ac:dyDescent="0.35">
      <c r="A9" s="158" t="s">
        <v>10798</v>
      </c>
      <c r="B9" s="158"/>
      <c r="C9" s="158"/>
      <c r="D9" s="158"/>
      <c r="E9" s="158"/>
      <c r="F9" s="158"/>
      <c r="G9" s="158"/>
      <c r="H9" s="158"/>
      <c r="I9" s="158"/>
      <c r="J9" s="158"/>
      <c r="K9" s="158"/>
      <c r="L9" s="158"/>
      <c r="M9" s="158"/>
      <c r="N9" s="158"/>
      <c r="O9" s="158"/>
      <c r="P9" s="158"/>
      <c r="Q9" s="158"/>
      <c r="R9" s="158"/>
      <c r="S9" s="158"/>
      <c r="T9" s="158"/>
      <c r="U9" s="158"/>
      <c r="V9" s="158"/>
      <c r="W9" s="158"/>
    </row>
    <row r="10" spans="1:23" x14ac:dyDescent="0.3">
      <c r="A10" s="149" t="s">
        <v>10808</v>
      </c>
      <c r="B10" s="150"/>
      <c r="C10" s="150"/>
      <c r="D10" s="150"/>
      <c r="E10" s="150"/>
      <c r="F10" s="150"/>
      <c r="G10" s="151"/>
      <c r="H10" s="123"/>
      <c r="I10" s="150" t="s">
        <v>10799</v>
      </c>
      <c r="J10" s="150"/>
      <c r="K10" s="150"/>
      <c r="L10" s="150"/>
      <c r="M10" s="150"/>
      <c r="N10" s="150"/>
      <c r="O10" s="150"/>
      <c r="P10" s="123"/>
      <c r="Q10" s="149" t="s">
        <v>10800</v>
      </c>
      <c r="R10" s="150"/>
      <c r="S10" s="150"/>
      <c r="T10" s="150"/>
      <c r="U10" s="150"/>
      <c r="V10" s="150"/>
      <c r="W10" s="151"/>
    </row>
    <row r="11" spans="1:23" x14ac:dyDescent="0.3">
      <c r="A11" s="152"/>
      <c r="B11" s="153"/>
      <c r="C11" s="153"/>
      <c r="D11" s="153"/>
      <c r="E11" s="153"/>
      <c r="F11" s="153"/>
      <c r="G11" s="154"/>
      <c r="H11" s="122"/>
      <c r="I11" s="153"/>
      <c r="J11" s="153"/>
      <c r="K11" s="153"/>
      <c r="L11" s="153"/>
      <c r="M11" s="153"/>
      <c r="N11" s="153"/>
      <c r="O11" s="153"/>
      <c r="P11" s="122"/>
      <c r="Q11" s="152"/>
      <c r="R11" s="153"/>
      <c r="S11" s="153"/>
      <c r="T11" s="153"/>
      <c r="U11" s="153"/>
      <c r="V11" s="153"/>
      <c r="W11" s="154"/>
    </row>
    <row r="12" spans="1:23" x14ac:dyDescent="0.3">
      <c r="A12" s="152"/>
      <c r="B12" s="153"/>
      <c r="C12" s="153"/>
      <c r="D12" s="153"/>
      <c r="E12" s="153"/>
      <c r="F12" s="153"/>
      <c r="G12" s="154"/>
      <c r="H12" s="122"/>
      <c r="I12" s="153"/>
      <c r="J12" s="153"/>
      <c r="K12" s="153"/>
      <c r="L12" s="153"/>
      <c r="M12" s="153"/>
      <c r="N12" s="153"/>
      <c r="O12" s="153"/>
      <c r="P12" s="122"/>
      <c r="Q12" s="152"/>
      <c r="R12" s="153"/>
      <c r="S12" s="153"/>
      <c r="T12" s="153"/>
      <c r="U12" s="153"/>
      <c r="V12" s="153"/>
      <c r="W12" s="154"/>
    </row>
    <row r="13" spans="1:23" x14ac:dyDescent="0.3">
      <c r="A13" s="152"/>
      <c r="B13" s="153"/>
      <c r="C13" s="153"/>
      <c r="D13" s="153"/>
      <c r="E13" s="153"/>
      <c r="F13" s="153"/>
      <c r="G13" s="154"/>
      <c r="H13" s="122"/>
      <c r="I13" s="153"/>
      <c r="J13" s="153"/>
      <c r="K13" s="153"/>
      <c r="L13" s="153"/>
      <c r="M13" s="153"/>
      <c r="N13" s="153"/>
      <c r="O13" s="153"/>
      <c r="P13" s="122"/>
      <c r="Q13" s="152"/>
      <c r="R13" s="153"/>
      <c r="S13" s="153"/>
      <c r="T13" s="153"/>
      <c r="U13" s="153"/>
      <c r="V13" s="153"/>
      <c r="W13" s="154"/>
    </row>
    <row r="14" spans="1:23" x14ac:dyDescent="0.3">
      <c r="A14" s="152"/>
      <c r="B14" s="153"/>
      <c r="C14" s="153"/>
      <c r="D14" s="153"/>
      <c r="E14" s="153"/>
      <c r="F14" s="153"/>
      <c r="G14" s="154"/>
      <c r="H14" s="122"/>
      <c r="I14" s="153"/>
      <c r="J14" s="153"/>
      <c r="K14" s="153"/>
      <c r="L14" s="153"/>
      <c r="M14" s="153"/>
      <c r="N14" s="153"/>
      <c r="O14" s="153"/>
      <c r="P14" s="122"/>
      <c r="Q14" s="152"/>
      <c r="R14" s="153"/>
      <c r="S14" s="153"/>
      <c r="T14" s="153"/>
      <c r="U14" s="153"/>
      <c r="V14" s="153"/>
      <c r="W14" s="154"/>
    </row>
    <row r="15" spans="1:23" x14ac:dyDescent="0.3">
      <c r="A15" s="152"/>
      <c r="B15" s="153"/>
      <c r="C15" s="153"/>
      <c r="D15" s="153"/>
      <c r="E15" s="153"/>
      <c r="F15" s="153"/>
      <c r="G15" s="154"/>
      <c r="H15" s="122"/>
      <c r="I15" s="153"/>
      <c r="J15" s="153"/>
      <c r="K15" s="153"/>
      <c r="L15" s="153"/>
      <c r="M15" s="153"/>
      <c r="N15" s="153"/>
      <c r="O15" s="153"/>
      <c r="P15" s="122"/>
      <c r="Q15" s="152"/>
      <c r="R15" s="153"/>
      <c r="S15" s="153"/>
      <c r="T15" s="153"/>
      <c r="U15" s="153"/>
      <c r="V15" s="153"/>
      <c r="W15" s="154"/>
    </row>
    <row r="16" spans="1:23" ht="15" thickBot="1" x14ac:dyDescent="0.35">
      <c r="A16" s="155"/>
      <c r="B16" s="156"/>
      <c r="C16" s="156"/>
      <c r="D16" s="156"/>
      <c r="E16" s="156"/>
      <c r="F16" s="156"/>
      <c r="G16" s="157"/>
      <c r="H16" s="124"/>
      <c r="I16" s="156"/>
      <c r="J16" s="156"/>
      <c r="K16" s="156"/>
      <c r="L16" s="156"/>
      <c r="M16" s="156"/>
      <c r="N16" s="156"/>
      <c r="O16" s="156"/>
      <c r="P16" s="124"/>
      <c r="Q16" s="155"/>
      <c r="R16" s="156"/>
      <c r="S16" s="156"/>
      <c r="T16" s="156"/>
      <c r="U16" s="156"/>
      <c r="V16" s="156"/>
      <c r="W16" s="157"/>
    </row>
    <row r="17" spans="1:23" x14ac:dyDescent="0.3">
      <c r="A17" s="121"/>
      <c r="B17" s="121"/>
      <c r="C17" s="121"/>
      <c r="D17" s="121"/>
      <c r="E17" s="121"/>
      <c r="F17" s="121"/>
      <c r="G17" s="121"/>
      <c r="H17" s="121"/>
      <c r="I17" s="121"/>
      <c r="J17" s="121"/>
      <c r="K17" s="121"/>
      <c r="L17" s="121"/>
      <c r="M17" s="121"/>
      <c r="N17" s="121"/>
      <c r="O17" s="121"/>
      <c r="P17" s="121"/>
      <c r="Q17" s="121"/>
      <c r="R17" s="121"/>
      <c r="S17" s="121"/>
      <c r="T17" s="121"/>
      <c r="U17" s="121"/>
      <c r="V17" s="121"/>
      <c r="W17" s="121"/>
    </row>
    <row r="18" spans="1:23" ht="15.6" x14ac:dyDescent="0.3">
      <c r="A18" s="145" t="s">
        <v>10801</v>
      </c>
      <c r="B18" s="145"/>
      <c r="C18" s="145"/>
      <c r="D18" s="145"/>
      <c r="E18" s="145"/>
      <c r="F18" s="145"/>
      <c r="G18" s="145"/>
      <c r="H18" s="145"/>
      <c r="I18" s="145"/>
      <c r="J18" s="145"/>
      <c r="K18" s="145"/>
      <c r="L18" s="145"/>
      <c r="M18" s="145"/>
      <c r="N18" s="145"/>
      <c r="O18" s="145"/>
      <c r="P18" s="145"/>
      <c r="Q18" s="145"/>
      <c r="R18" s="145"/>
      <c r="S18" s="145"/>
      <c r="T18" s="145"/>
      <c r="U18" s="145"/>
      <c r="V18" s="145"/>
      <c r="W18" s="145"/>
    </row>
    <row r="19" spans="1:23" ht="15.6" x14ac:dyDescent="0.3">
      <c r="A19" s="143"/>
      <c r="B19" s="130" t="s">
        <v>10783</v>
      </c>
      <c r="C19" s="125"/>
      <c r="D19" s="125"/>
      <c r="E19" s="125"/>
      <c r="F19" s="125"/>
      <c r="G19" s="125"/>
      <c r="H19" s="125"/>
      <c r="I19" s="125"/>
      <c r="J19" s="125"/>
      <c r="K19" s="125"/>
      <c r="L19" s="125"/>
      <c r="M19" s="125"/>
      <c r="N19" s="125"/>
      <c r="O19" s="125"/>
      <c r="P19" s="125"/>
      <c r="Q19" s="125"/>
      <c r="R19" s="125"/>
      <c r="S19" s="125"/>
      <c r="T19" s="125"/>
      <c r="U19" s="125"/>
      <c r="V19" s="125"/>
      <c r="W19" s="125"/>
    </row>
    <row r="20" spans="1:23" ht="14.4" customHeight="1" x14ac:dyDescent="0.3">
      <c r="A20" s="143"/>
      <c r="B20" s="144" t="s">
        <v>10809</v>
      </c>
      <c r="C20" s="144"/>
      <c r="D20" s="144"/>
      <c r="E20" s="144"/>
      <c r="F20" s="144"/>
      <c r="G20" s="144"/>
      <c r="H20" s="144"/>
      <c r="I20" s="144"/>
      <c r="J20" s="144"/>
      <c r="K20" s="144"/>
      <c r="L20" s="144"/>
      <c r="M20" s="144"/>
      <c r="N20" s="144"/>
      <c r="O20" s="144"/>
      <c r="P20" s="144"/>
      <c r="Q20" s="144"/>
      <c r="R20" s="144"/>
      <c r="S20" s="144"/>
      <c r="T20" s="144"/>
      <c r="U20" s="144"/>
      <c r="V20" s="144"/>
      <c r="W20" s="126"/>
    </row>
    <row r="21" spans="1:23" x14ac:dyDescent="0.3">
      <c r="A21" s="143"/>
      <c r="B21" s="144"/>
      <c r="C21" s="144"/>
      <c r="D21" s="144"/>
      <c r="E21" s="144"/>
      <c r="F21" s="144"/>
      <c r="G21" s="144"/>
      <c r="H21" s="144"/>
      <c r="I21" s="144"/>
      <c r="J21" s="144"/>
      <c r="K21" s="144"/>
      <c r="L21" s="144"/>
      <c r="M21" s="144"/>
      <c r="N21" s="144"/>
      <c r="O21" s="144"/>
      <c r="P21" s="144"/>
      <c r="Q21" s="144"/>
      <c r="R21" s="144"/>
      <c r="S21" s="144"/>
      <c r="T21" s="144"/>
      <c r="U21" s="144"/>
      <c r="V21" s="144"/>
      <c r="W21" s="126"/>
    </row>
    <row r="22" spans="1:23" x14ac:dyDescent="0.3">
      <c r="A22" s="143"/>
      <c r="B22" s="144"/>
      <c r="C22" s="144"/>
      <c r="D22" s="144"/>
      <c r="E22" s="144"/>
      <c r="F22" s="144"/>
      <c r="G22" s="144"/>
      <c r="H22" s="144"/>
      <c r="I22" s="144"/>
      <c r="J22" s="144"/>
      <c r="K22" s="144"/>
      <c r="L22" s="144"/>
      <c r="M22" s="144"/>
      <c r="N22" s="144"/>
      <c r="O22" s="144"/>
      <c r="P22" s="144"/>
      <c r="Q22" s="144"/>
      <c r="R22" s="144"/>
      <c r="S22" s="144"/>
      <c r="T22" s="144"/>
      <c r="U22" s="144"/>
      <c r="V22" s="144"/>
      <c r="W22" s="126"/>
    </row>
    <row r="23" spans="1:23" x14ac:dyDescent="0.3">
      <c r="A23" s="143"/>
      <c r="B23" s="125"/>
      <c r="C23" s="125"/>
      <c r="D23" s="125"/>
      <c r="E23" s="125"/>
      <c r="F23" s="125"/>
      <c r="G23" s="125"/>
      <c r="H23" s="125"/>
      <c r="I23" s="125"/>
      <c r="J23" s="125"/>
      <c r="K23" s="125"/>
      <c r="L23" s="125"/>
      <c r="M23" s="125"/>
      <c r="N23" s="125"/>
      <c r="O23" s="125"/>
      <c r="P23" s="125"/>
      <c r="Q23" s="125"/>
      <c r="R23" s="125"/>
      <c r="S23" s="125"/>
      <c r="T23" s="125"/>
      <c r="U23" s="125"/>
      <c r="V23" s="125"/>
      <c r="W23" s="125"/>
    </row>
    <row r="24" spans="1:23" ht="15.6" x14ac:dyDescent="0.3">
      <c r="A24" s="143"/>
      <c r="B24" s="130" t="s">
        <v>10784</v>
      </c>
      <c r="C24" s="125"/>
      <c r="D24" s="125"/>
      <c r="E24" s="125"/>
      <c r="F24" s="125"/>
      <c r="G24" s="125"/>
      <c r="H24" s="125"/>
      <c r="I24" s="125"/>
      <c r="J24" s="125"/>
      <c r="K24" s="125"/>
      <c r="L24" s="125"/>
      <c r="M24" s="125"/>
      <c r="N24" s="125"/>
      <c r="O24" s="125"/>
      <c r="P24" s="125"/>
      <c r="Q24" s="125"/>
      <c r="R24" s="125"/>
      <c r="S24" s="125"/>
      <c r="T24" s="125"/>
      <c r="U24" s="125"/>
      <c r="V24" s="125"/>
      <c r="W24" s="125"/>
    </row>
    <row r="25" spans="1:23" ht="14.4" customHeight="1" x14ac:dyDescent="0.3">
      <c r="A25" s="143"/>
      <c r="B25" s="144" t="s">
        <v>10785</v>
      </c>
      <c r="C25" s="144"/>
      <c r="D25" s="144"/>
      <c r="E25" s="144"/>
      <c r="F25" s="144"/>
      <c r="G25" s="144"/>
      <c r="H25" s="144"/>
      <c r="I25" s="144"/>
      <c r="J25" s="144"/>
      <c r="K25" s="144"/>
      <c r="L25" s="144"/>
      <c r="M25" s="144"/>
      <c r="N25" s="144"/>
      <c r="O25" s="144"/>
      <c r="P25" s="144"/>
      <c r="Q25" s="144"/>
      <c r="R25" s="144"/>
      <c r="S25" s="144"/>
      <c r="T25" s="144"/>
      <c r="U25" s="144"/>
      <c r="V25" s="144"/>
      <c r="W25" s="126"/>
    </row>
    <row r="26" spans="1:23" x14ac:dyDescent="0.3">
      <c r="A26" s="143"/>
      <c r="B26" s="144"/>
      <c r="C26" s="144"/>
      <c r="D26" s="144"/>
      <c r="E26" s="144"/>
      <c r="F26" s="144"/>
      <c r="G26" s="144"/>
      <c r="H26" s="144"/>
      <c r="I26" s="144"/>
      <c r="J26" s="144"/>
      <c r="K26" s="144"/>
      <c r="L26" s="144"/>
      <c r="M26" s="144"/>
      <c r="N26" s="144"/>
      <c r="O26" s="144"/>
      <c r="P26" s="144"/>
      <c r="Q26" s="144"/>
      <c r="R26" s="144"/>
      <c r="S26" s="144"/>
      <c r="T26" s="144"/>
      <c r="U26" s="144"/>
      <c r="V26" s="144"/>
      <c r="W26" s="126"/>
    </row>
    <row r="27" spans="1:23" x14ac:dyDescent="0.3">
      <c r="A27" s="143"/>
      <c r="B27" s="127"/>
      <c r="C27" s="127"/>
      <c r="D27" s="127"/>
      <c r="E27" s="127"/>
      <c r="F27" s="127"/>
      <c r="G27" s="127"/>
      <c r="H27" s="127"/>
      <c r="I27" s="127"/>
      <c r="J27" s="127"/>
      <c r="K27" s="127"/>
      <c r="L27" s="127"/>
      <c r="M27" s="127"/>
      <c r="N27" s="127"/>
      <c r="O27" s="127"/>
      <c r="P27" s="127"/>
      <c r="Q27" s="127"/>
      <c r="R27" s="127"/>
      <c r="S27" s="127"/>
      <c r="T27" s="127"/>
      <c r="U27" s="127"/>
      <c r="V27" s="127"/>
      <c r="W27" s="127"/>
    </row>
    <row r="28" spans="1:23" ht="15.6" x14ac:dyDescent="0.3">
      <c r="A28" s="143"/>
      <c r="B28" s="130" t="s">
        <v>10659</v>
      </c>
      <c r="C28" s="125"/>
      <c r="D28" s="125"/>
      <c r="E28" s="125"/>
      <c r="F28" s="125"/>
      <c r="G28" s="125"/>
      <c r="H28" s="125"/>
      <c r="I28" s="125"/>
      <c r="J28" s="125"/>
      <c r="K28" s="125"/>
      <c r="L28" s="125"/>
      <c r="M28" s="125"/>
      <c r="N28" s="125"/>
      <c r="O28" s="125"/>
      <c r="P28" s="125"/>
      <c r="Q28" s="125"/>
      <c r="R28" s="125"/>
      <c r="S28" s="125"/>
      <c r="T28" s="125"/>
      <c r="U28" s="125"/>
      <c r="V28" s="125"/>
      <c r="W28" s="125"/>
    </row>
    <row r="29" spans="1:23" ht="14.4" customHeight="1" x14ac:dyDescent="0.3">
      <c r="A29" s="143"/>
      <c r="B29" s="144" t="s">
        <v>10786</v>
      </c>
      <c r="C29" s="144"/>
      <c r="D29" s="144"/>
      <c r="E29" s="144"/>
      <c r="F29" s="144"/>
      <c r="G29" s="144"/>
      <c r="H29" s="144"/>
      <c r="I29" s="144"/>
      <c r="J29" s="144"/>
      <c r="K29" s="144"/>
      <c r="L29" s="144"/>
      <c r="M29" s="144"/>
      <c r="N29" s="144"/>
      <c r="O29" s="144"/>
      <c r="P29" s="144"/>
      <c r="Q29" s="144"/>
      <c r="R29" s="144"/>
      <c r="S29" s="144"/>
      <c r="T29" s="144"/>
      <c r="U29" s="144"/>
      <c r="V29" s="144"/>
      <c r="W29" s="126"/>
    </row>
    <row r="30" spans="1:23" x14ac:dyDescent="0.3">
      <c r="A30" s="143"/>
      <c r="B30" s="144"/>
      <c r="C30" s="144"/>
      <c r="D30" s="144"/>
      <c r="E30" s="144"/>
      <c r="F30" s="144"/>
      <c r="G30" s="144"/>
      <c r="H30" s="144"/>
      <c r="I30" s="144"/>
      <c r="J30" s="144"/>
      <c r="K30" s="144"/>
      <c r="L30" s="144"/>
      <c r="M30" s="144"/>
      <c r="N30" s="144"/>
      <c r="O30" s="144"/>
      <c r="P30" s="144"/>
      <c r="Q30" s="144"/>
      <c r="R30" s="144"/>
      <c r="S30" s="144"/>
      <c r="T30" s="144"/>
      <c r="U30" s="144"/>
      <c r="V30" s="144"/>
      <c r="W30" s="126"/>
    </row>
    <row r="31" spans="1:23" x14ac:dyDescent="0.3">
      <c r="A31" s="143"/>
      <c r="B31" s="144"/>
      <c r="C31" s="144"/>
      <c r="D31" s="144"/>
      <c r="E31" s="144"/>
      <c r="F31" s="144"/>
      <c r="G31" s="144"/>
      <c r="H31" s="144"/>
      <c r="I31" s="144"/>
      <c r="J31" s="144"/>
      <c r="K31" s="144"/>
      <c r="L31" s="144"/>
      <c r="M31" s="144"/>
      <c r="N31" s="144"/>
      <c r="O31" s="144"/>
      <c r="P31" s="144"/>
      <c r="Q31" s="144"/>
      <c r="R31" s="144"/>
      <c r="S31" s="144"/>
      <c r="T31" s="144"/>
      <c r="U31" s="144"/>
      <c r="V31" s="144"/>
      <c r="W31" s="126"/>
    </row>
    <row r="32" spans="1:23" x14ac:dyDescent="0.3">
      <c r="A32" s="143"/>
      <c r="B32" s="125"/>
      <c r="C32" s="125"/>
      <c r="D32" s="125"/>
      <c r="E32" s="125"/>
      <c r="F32" s="125"/>
      <c r="G32" s="125"/>
      <c r="H32" s="125"/>
      <c r="I32" s="125"/>
      <c r="J32" s="125"/>
      <c r="K32" s="125"/>
      <c r="L32" s="125"/>
      <c r="M32" s="125"/>
      <c r="N32" s="125"/>
      <c r="O32" s="125"/>
      <c r="P32" s="125"/>
      <c r="Q32" s="125"/>
      <c r="R32" s="125"/>
      <c r="S32" s="125"/>
      <c r="T32" s="125"/>
      <c r="U32" s="125"/>
      <c r="V32" s="125"/>
      <c r="W32" s="125"/>
    </row>
    <row r="33" spans="1:23" ht="15.6" x14ac:dyDescent="0.3">
      <c r="A33" s="143"/>
      <c r="B33" s="130" t="s">
        <v>10787</v>
      </c>
      <c r="C33" s="125"/>
      <c r="D33" s="125"/>
      <c r="E33" s="125"/>
      <c r="F33" s="125"/>
      <c r="G33" s="125"/>
      <c r="H33" s="125"/>
      <c r="I33" s="125"/>
      <c r="J33" s="125"/>
      <c r="K33" s="125"/>
      <c r="L33" s="125"/>
      <c r="M33" s="125"/>
      <c r="N33" s="125"/>
      <c r="O33" s="125"/>
      <c r="P33" s="125"/>
      <c r="Q33" s="125"/>
      <c r="R33" s="125"/>
      <c r="S33" s="125"/>
      <c r="T33" s="125"/>
      <c r="U33" s="125"/>
      <c r="V33" s="125"/>
      <c r="W33" s="125"/>
    </row>
    <row r="34" spans="1:23" ht="14.4" customHeight="1" x14ac:dyDescent="0.3">
      <c r="A34" s="143"/>
      <c r="B34" s="144" t="s">
        <v>10810</v>
      </c>
      <c r="C34" s="144"/>
      <c r="D34" s="144"/>
      <c r="E34" s="144"/>
      <c r="F34" s="144"/>
      <c r="G34" s="144"/>
      <c r="H34" s="144"/>
      <c r="I34" s="144"/>
      <c r="J34" s="144"/>
      <c r="K34" s="144"/>
      <c r="L34" s="144"/>
      <c r="M34" s="144"/>
      <c r="N34" s="144"/>
      <c r="O34" s="144"/>
      <c r="P34" s="144"/>
      <c r="Q34" s="144"/>
      <c r="R34" s="144"/>
      <c r="S34" s="144"/>
      <c r="T34" s="144"/>
      <c r="U34" s="144"/>
      <c r="V34" s="144"/>
      <c r="W34" s="126"/>
    </row>
    <row r="35" spans="1:23" x14ac:dyDescent="0.3">
      <c r="A35" s="143"/>
      <c r="B35" s="144"/>
      <c r="C35" s="144"/>
      <c r="D35" s="144"/>
      <c r="E35" s="144"/>
      <c r="F35" s="144"/>
      <c r="G35" s="144"/>
      <c r="H35" s="144"/>
      <c r="I35" s="144"/>
      <c r="J35" s="144"/>
      <c r="K35" s="144"/>
      <c r="L35" s="144"/>
      <c r="M35" s="144"/>
      <c r="N35" s="144"/>
      <c r="O35" s="144"/>
      <c r="P35" s="144"/>
      <c r="Q35" s="144"/>
      <c r="R35" s="144"/>
      <c r="S35" s="144"/>
      <c r="T35" s="144"/>
      <c r="U35" s="144"/>
      <c r="V35" s="144"/>
      <c r="W35" s="126"/>
    </row>
    <row r="36" spans="1:23" x14ac:dyDescent="0.3">
      <c r="A36" s="143"/>
      <c r="B36" s="144"/>
      <c r="C36" s="144"/>
      <c r="D36" s="144"/>
      <c r="E36" s="144"/>
      <c r="F36" s="144"/>
      <c r="G36" s="144"/>
      <c r="H36" s="144"/>
      <c r="I36" s="144"/>
      <c r="J36" s="144"/>
      <c r="K36" s="144"/>
      <c r="L36" s="144"/>
      <c r="M36" s="144"/>
      <c r="N36" s="144"/>
      <c r="O36" s="144"/>
      <c r="P36" s="144"/>
      <c r="Q36" s="144"/>
      <c r="R36" s="144"/>
      <c r="S36" s="144"/>
      <c r="T36" s="144"/>
      <c r="U36" s="144"/>
      <c r="V36" s="144"/>
      <c r="W36" s="126"/>
    </row>
    <row r="37" spans="1:23" x14ac:dyDescent="0.3">
      <c r="A37" s="143"/>
      <c r="B37" s="125"/>
      <c r="C37" s="125"/>
      <c r="D37" s="125"/>
      <c r="E37" s="125"/>
      <c r="F37" s="125"/>
      <c r="G37" s="125"/>
      <c r="H37" s="125"/>
      <c r="I37" s="125"/>
      <c r="J37" s="125"/>
      <c r="K37" s="125"/>
      <c r="L37" s="125"/>
      <c r="M37" s="125"/>
      <c r="N37" s="125"/>
      <c r="O37" s="125"/>
      <c r="P37" s="125"/>
      <c r="Q37" s="125"/>
      <c r="R37" s="125"/>
      <c r="S37" s="125"/>
      <c r="T37" s="125"/>
      <c r="U37" s="125"/>
      <c r="V37" s="125"/>
      <c r="W37" s="125"/>
    </row>
    <row r="38" spans="1:23" ht="15.6" x14ac:dyDescent="0.3">
      <c r="A38" s="143"/>
      <c r="B38" s="130" t="s">
        <v>10788</v>
      </c>
      <c r="C38" s="125"/>
      <c r="D38" s="125"/>
      <c r="E38" s="125"/>
      <c r="F38" s="125"/>
      <c r="G38" s="125"/>
      <c r="H38" s="125"/>
      <c r="I38" s="125"/>
      <c r="J38" s="125"/>
      <c r="K38" s="125"/>
      <c r="L38" s="125"/>
      <c r="M38" s="125"/>
      <c r="N38" s="125"/>
      <c r="O38" s="125"/>
      <c r="P38" s="125"/>
      <c r="Q38" s="125"/>
      <c r="R38" s="125"/>
      <c r="S38" s="125"/>
      <c r="T38" s="125"/>
      <c r="U38" s="125"/>
      <c r="V38" s="125"/>
      <c r="W38" s="125"/>
    </row>
    <row r="39" spans="1:23" ht="14.4" customHeight="1" x14ac:dyDescent="0.3">
      <c r="A39" s="143"/>
      <c r="B39" s="144" t="s">
        <v>10789</v>
      </c>
      <c r="C39" s="144"/>
      <c r="D39" s="144"/>
      <c r="E39" s="144"/>
      <c r="F39" s="144"/>
      <c r="G39" s="144"/>
      <c r="H39" s="144"/>
      <c r="I39" s="144"/>
      <c r="J39" s="144"/>
      <c r="K39" s="144"/>
      <c r="L39" s="144"/>
      <c r="M39" s="144"/>
      <c r="N39" s="144"/>
      <c r="O39" s="144"/>
      <c r="P39" s="144"/>
      <c r="Q39" s="144"/>
      <c r="R39" s="144"/>
      <c r="S39" s="144"/>
      <c r="T39" s="144"/>
      <c r="U39" s="144"/>
      <c r="V39" s="144"/>
      <c r="W39" s="126"/>
    </row>
    <row r="40" spans="1:23" x14ac:dyDescent="0.3">
      <c r="A40" s="143"/>
      <c r="B40" s="144"/>
      <c r="C40" s="144"/>
      <c r="D40" s="144"/>
      <c r="E40" s="144"/>
      <c r="F40" s="144"/>
      <c r="G40" s="144"/>
      <c r="H40" s="144"/>
      <c r="I40" s="144"/>
      <c r="J40" s="144"/>
      <c r="K40" s="144"/>
      <c r="L40" s="144"/>
      <c r="M40" s="144"/>
      <c r="N40" s="144"/>
      <c r="O40" s="144"/>
      <c r="P40" s="144"/>
      <c r="Q40" s="144"/>
      <c r="R40" s="144"/>
      <c r="S40" s="144"/>
      <c r="T40" s="144"/>
      <c r="U40" s="144"/>
      <c r="V40" s="144"/>
      <c r="W40" s="126"/>
    </row>
    <row r="41" spans="1:23" x14ac:dyDescent="0.3">
      <c r="A41" s="143"/>
      <c r="B41" s="125"/>
      <c r="C41" s="125"/>
      <c r="D41" s="125"/>
      <c r="E41" s="125"/>
      <c r="F41" s="125"/>
      <c r="G41" s="125"/>
      <c r="H41" s="125"/>
      <c r="I41" s="125"/>
      <c r="J41" s="125"/>
      <c r="K41" s="125"/>
      <c r="L41" s="125"/>
      <c r="M41" s="125"/>
      <c r="N41" s="125"/>
      <c r="O41" s="125"/>
      <c r="P41" s="125"/>
      <c r="Q41" s="125"/>
      <c r="R41" s="125"/>
      <c r="S41" s="125"/>
      <c r="T41" s="125"/>
      <c r="U41" s="125"/>
      <c r="V41" s="125"/>
      <c r="W41" s="125"/>
    </row>
    <row r="42" spans="1:23" ht="15.6" x14ac:dyDescent="0.3">
      <c r="A42" s="143"/>
      <c r="B42" s="130" t="s">
        <v>10790</v>
      </c>
      <c r="C42" s="125"/>
      <c r="D42" s="125"/>
      <c r="E42" s="125"/>
      <c r="F42" s="125"/>
      <c r="G42" s="125"/>
      <c r="H42" s="125"/>
      <c r="I42" s="125"/>
      <c r="J42" s="125"/>
      <c r="K42" s="125"/>
      <c r="L42" s="125"/>
      <c r="M42" s="125"/>
      <c r="N42" s="125"/>
      <c r="O42" s="125"/>
      <c r="P42" s="125"/>
      <c r="Q42" s="125"/>
      <c r="R42" s="125"/>
      <c r="S42" s="125"/>
      <c r="T42" s="125"/>
      <c r="U42" s="125"/>
      <c r="V42" s="125"/>
      <c r="W42" s="125"/>
    </row>
    <row r="43" spans="1:23" ht="14.4" customHeight="1" x14ac:dyDescent="0.3">
      <c r="A43" s="143"/>
      <c r="B43" s="144" t="s">
        <v>10791</v>
      </c>
      <c r="C43" s="144"/>
      <c r="D43" s="144"/>
      <c r="E43" s="144"/>
      <c r="F43" s="144"/>
      <c r="G43" s="144"/>
      <c r="H43" s="144"/>
      <c r="I43" s="144"/>
      <c r="J43" s="144"/>
      <c r="K43" s="144"/>
      <c r="L43" s="144"/>
      <c r="M43" s="144"/>
      <c r="N43" s="144"/>
      <c r="O43" s="144"/>
      <c r="P43" s="144"/>
      <c r="Q43" s="144"/>
      <c r="R43" s="144"/>
      <c r="S43" s="144"/>
      <c r="T43" s="144"/>
      <c r="U43" s="144"/>
      <c r="V43" s="144"/>
      <c r="W43" s="126"/>
    </row>
    <row r="44" spans="1:23" x14ac:dyDescent="0.3">
      <c r="A44" s="143"/>
      <c r="B44" s="144"/>
      <c r="C44" s="144"/>
      <c r="D44" s="144"/>
      <c r="E44" s="144"/>
      <c r="F44" s="144"/>
      <c r="G44" s="144"/>
      <c r="H44" s="144"/>
      <c r="I44" s="144"/>
      <c r="J44" s="144"/>
      <c r="K44" s="144"/>
      <c r="L44" s="144"/>
      <c r="M44" s="144"/>
      <c r="N44" s="144"/>
      <c r="O44" s="144"/>
      <c r="P44" s="144"/>
      <c r="Q44" s="144"/>
      <c r="R44" s="144"/>
      <c r="S44" s="144"/>
      <c r="T44" s="144"/>
      <c r="U44" s="144"/>
      <c r="V44" s="144"/>
      <c r="W44" s="126"/>
    </row>
    <row r="45" spans="1:23" x14ac:dyDescent="0.3">
      <c r="A45" s="143"/>
      <c r="B45" s="125"/>
      <c r="C45" s="125"/>
      <c r="D45" s="125"/>
      <c r="E45" s="125"/>
      <c r="F45" s="125"/>
      <c r="G45" s="125"/>
      <c r="H45" s="125"/>
      <c r="I45" s="125"/>
      <c r="J45" s="125"/>
      <c r="K45" s="125"/>
      <c r="L45" s="125"/>
      <c r="M45" s="125"/>
      <c r="N45" s="125"/>
      <c r="O45" s="125"/>
      <c r="P45" s="125"/>
      <c r="Q45" s="125"/>
      <c r="R45" s="125"/>
      <c r="S45" s="125"/>
      <c r="T45" s="125"/>
      <c r="U45" s="125"/>
      <c r="V45" s="125"/>
      <c r="W45" s="125"/>
    </row>
    <row r="46" spans="1:23" ht="15.6" x14ac:dyDescent="0.3">
      <c r="A46" s="143"/>
      <c r="B46" s="130" t="s">
        <v>10792</v>
      </c>
      <c r="C46" s="125"/>
      <c r="D46" s="125"/>
      <c r="E46" s="125"/>
      <c r="F46" s="125"/>
      <c r="G46" s="125"/>
      <c r="H46" s="125"/>
      <c r="I46" s="125"/>
      <c r="J46" s="125"/>
      <c r="K46" s="125"/>
      <c r="L46" s="125"/>
      <c r="M46" s="125"/>
      <c r="N46" s="125"/>
      <c r="O46" s="125"/>
      <c r="P46" s="125"/>
      <c r="Q46" s="125"/>
      <c r="R46" s="125"/>
      <c r="S46" s="125"/>
      <c r="T46" s="125"/>
      <c r="U46" s="125"/>
      <c r="V46" s="125"/>
      <c r="W46" s="125"/>
    </row>
    <row r="47" spans="1:23" x14ac:dyDescent="0.3">
      <c r="A47" s="143"/>
      <c r="B47" s="142" t="s">
        <v>10793</v>
      </c>
      <c r="C47" s="142"/>
      <c r="D47" s="142"/>
      <c r="E47" s="142"/>
      <c r="F47" s="142"/>
      <c r="G47" s="142"/>
      <c r="H47" s="142"/>
      <c r="I47" s="142"/>
      <c r="J47" s="142"/>
      <c r="K47" s="142"/>
      <c r="L47" s="142"/>
      <c r="M47" s="142"/>
      <c r="N47" s="142"/>
      <c r="O47" s="142"/>
      <c r="P47" s="142"/>
      <c r="Q47" s="142"/>
      <c r="R47" s="142"/>
      <c r="S47" s="142"/>
      <c r="T47" s="142"/>
      <c r="U47" s="142"/>
      <c r="V47" s="142"/>
      <c r="W47" s="129"/>
    </row>
    <row r="48" spans="1:23" x14ac:dyDescent="0.3">
      <c r="A48" s="143"/>
      <c r="B48" s="142"/>
      <c r="C48" s="142"/>
      <c r="D48" s="142"/>
      <c r="E48" s="142"/>
      <c r="F48" s="142"/>
      <c r="G48" s="142"/>
      <c r="H48" s="142"/>
      <c r="I48" s="142"/>
      <c r="J48" s="142"/>
      <c r="K48" s="142"/>
      <c r="L48" s="142"/>
      <c r="M48" s="142"/>
      <c r="N48" s="142"/>
      <c r="O48" s="142"/>
      <c r="P48" s="142"/>
      <c r="Q48" s="142"/>
      <c r="R48" s="142"/>
      <c r="S48" s="142"/>
      <c r="T48" s="142"/>
      <c r="U48" s="142"/>
      <c r="V48" s="142"/>
      <c r="W48" s="125"/>
    </row>
    <row r="49" spans="1:23" x14ac:dyDescent="0.3">
      <c r="A49" s="143"/>
      <c r="B49" s="125"/>
      <c r="C49" s="125"/>
      <c r="D49" s="125"/>
      <c r="E49" s="125"/>
      <c r="F49" s="125"/>
      <c r="G49" s="125"/>
      <c r="H49" s="125"/>
      <c r="I49" s="125"/>
      <c r="J49" s="125"/>
      <c r="K49" s="125"/>
      <c r="L49" s="125"/>
      <c r="M49" s="125"/>
      <c r="N49" s="125"/>
      <c r="O49" s="125"/>
      <c r="P49" s="125"/>
      <c r="Q49" s="125"/>
      <c r="R49" s="125"/>
      <c r="S49" s="125"/>
      <c r="T49" s="125"/>
      <c r="U49" s="125"/>
      <c r="V49" s="125"/>
      <c r="W49" s="125"/>
    </row>
    <row r="50" spans="1:23" ht="15.6" x14ac:dyDescent="0.3">
      <c r="A50" s="143"/>
      <c r="B50" s="130" t="s">
        <v>10720</v>
      </c>
      <c r="C50" s="125"/>
      <c r="D50" s="125"/>
      <c r="E50" s="125"/>
      <c r="F50" s="125"/>
      <c r="G50" s="125"/>
      <c r="H50" s="125"/>
      <c r="I50" s="125"/>
      <c r="J50" s="125"/>
      <c r="K50" s="125"/>
      <c r="L50" s="125"/>
      <c r="M50" s="125"/>
      <c r="N50" s="125"/>
      <c r="O50" s="125"/>
      <c r="P50" s="125"/>
      <c r="Q50" s="125"/>
      <c r="R50" s="125"/>
      <c r="S50" s="125"/>
      <c r="T50" s="125"/>
      <c r="U50" s="125"/>
      <c r="V50" s="125"/>
      <c r="W50" s="125"/>
    </row>
    <row r="51" spans="1:23" ht="14.4" customHeight="1" x14ac:dyDescent="0.3">
      <c r="A51" s="143"/>
      <c r="B51" s="142" t="s">
        <v>10794</v>
      </c>
      <c r="C51" s="142"/>
      <c r="D51" s="142"/>
      <c r="E51" s="142"/>
      <c r="F51" s="142"/>
      <c r="G51" s="142"/>
      <c r="H51" s="142"/>
      <c r="I51" s="142"/>
      <c r="J51" s="142"/>
      <c r="K51" s="142"/>
      <c r="L51" s="142"/>
      <c r="M51" s="142"/>
      <c r="N51" s="142"/>
      <c r="O51" s="142"/>
      <c r="P51" s="142"/>
      <c r="Q51" s="142"/>
      <c r="R51" s="142"/>
      <c r="S51" s="142"/>
      <c r="T51" s="142"/>
      <c r="U51" s="142"/>
      <c r="V51" s="142"/>
      <c r="W51" s="128"/>
    </row>
    <row r="52" spans="1:23" x14ac:dyDescent="0.3">
      <c r="A52" s="143"/>
      <c r="B52" s="142"/>
      <c r="C52" s="142"/>
      <c r="D52" s="142"/>
      <c r="E52" s="142"/>
      <c r="F52" s="142"/>
      <c r="G52" s="142"/>
      <c r="H52" s="142"/>
      <c r="I52" s="142"/>
      <c r="J52" s="142"/>
      <c r="K52" s="142"/>
      <c r="L52" s="142"/>
      <c r="M52" s="142"/>
      <c r="N52" s="142"/>
      <c r="O52" s="142"/>
      <c r="P52" s="142"/>
      <c r="Q52" s="142"/>
      <c r="R52" s="142"/>
      <c r="S52" s="142"/>
      <c r="T52" s="142"/>
      <c r="U52" s="142"/>
      <c r="V52" s="142"/>
      <c r="W52" s="128"/>
    </row>
  </sheetData>
  <mergeCells count="18">
    <mergeCell ref="A1:W1"/>
    <mergeCell ref="A2:W2"/>
    <mergeCell ref="A6:W7"/>
    <mergeCell ref="A10:G16"/>
    <mergeCell ref="I10:O16"/>
    <mergeCell ref="Q10:W16"/>
    <mergeCell ref="A4:W4"/>
    <mergeCell ref="A9:W9"/>
    <mergeCell ref="A18:W18"/>
    <mergeCell ref="B20:V22"/>
    <mergeCell ref="B25:V26"/>
    <mergeCell ref="B39:V40"/>
    <mergeCell ref="B43:V44"/>
    <mergeCell ref="B47:V48"/>
    <mergeCell ref="B51:V52"/>
    <mergeCell ref="A19:A52"/>
    <mergeCell ref="B29:V31"/>
    <mergeCell ref="B34:V3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61156-6139-4CE6-9B45-22EE986A8E64}">
  <sheetPr codeName="Sheet12">
    <tabColor theme="3" tint="9.9978637043366805E-2"/>
  </sheetPr>
  <dimension ref="A1:W24"/>
  <sheetViews>
    <sheetView showGridLines="0" zoomScaleNormal="100" workbookViewId="0">
      <selection sqref="A1:S1"/>
    </sheetView>
  </sheetViews>
  <sheetFormatPr defaultRowHeight="14.4" x14ac:dyDescent="0.3"/>
  <cols>
    <col min="1" max="1" width="23.33203125" style="23" customWidth="1"/>
    <col min="2" max="2" width="15.21875" style="23" customWidth="1"/>
    <col min="3" max="3" width="4.5546875" style="23" customWidth="1"/>
    <col min="4" max="4" width="7.5546875" style="23" bestFit="1" customWidth="1"/>
    <col min="5" max="5" width="15.21875" style="23" bestFit="1" customWidth="1"/>
    <col min="6" max="6" width="4.77734375" style="23" customWidth="1"/>
    <col min="7" max="7" width="9.33203125" style="23" bestFit="1" customWidth="1"/>
    <col min="8" max="8" width="13.5546875" style="23" customWidth="1"/>
    <col min="9" max="9" width="3.44140625" style="23" customWidth="1"/>
    <col min="10" max="10" width="10.6640625" style="23" customWidth="1"/>
    <col min="11" max="11" width="14.21875" style="23" bestFit="1" customWidth="1"/>
    <col min="12" max="12" width="5.88671875" style="23" customWidth="1"/>
    <col min="13" max="13" width="10.44140625" style="23" customWidth="1"/>
    <col min="14" max="14" width="14.21875" style="23" bestFit="1" customWidth="1"/>
    <col min="15" max="15" width="10.109375" style="23" bestFit="1" customWidth="1"/>
    <col min="16" max="16" width="7.77734375" style="23" customWidth="1"/>
    <col min="17" max="17" width="19" style="23" bestFit="1" customWidth="1"/>
    <col min="18" max="18" width="7" style="23" bestFit="1" customWidth="1"/>
    <col min="19" max="16384" width="8.88671875" style="23"/>
  </cols>
  <sheetData>
    <row r="1" spans="1:23" ht="25.8" x14ac:dyDescent="0.5">
      <c r="A1" s="159" t="s">
        <v>10737</v>
      </c>
      <c r="B1" s="159"/>
      <c r="C1" s="159"/>
      <c r="D1" s="159"/>
      <c r="E1" s="159"/>
      <c r="F1" s="159"/>
      <c r="G1" s="159"/>
      <c r="H1" s="159"/>
      <c r="I1" s="159"/>
      <c r="J1" s="159"/>
      <c r="K1" s="159"/>
      <c r="L1" s="159"/>
      <c r="M1" s="159"/>
      <c r="N1" s="159"/>
      <c r="O1" s="159"/>
      <c r="P1" s="159"/>
      <c r="Q1" s="159"/>
      <c r="R1" s="159"/>
      <c r="S1" s="159"/>
      <c r="T1" s="22"/>
      <c r="U1" s="22"/>
      <c r="V1" s="22"/>
      <c r="W1" s="22"/>
    </row>
    <row r="2" spans="1:23" ht="15" thickBot="1" x14ac:dyDescent="0.35"/>
    <row r="3" spans="1:23" ht="15.6" customHeight="1" x14ac:dyDescent="0.3">
      <c r="A3" s="174" t="s">
        <v>10756</v>
      </c>
      <c r="B3" s="172">
        <f>GETPIVOTDATA("Total Order Value",'Sales by Month and Year'!$A$6)</f>
        <v>3411736.14</v>
      </c>
      <c r="C3" s="176">
        <v>2022</v>
      </c>
      <c r="D3" s="177"/>
      <c r="E3" s="162" t="s">
        <v>10751</v>
      </c>
      <c r="F3" s="164">
        <f>SUM('Cash Flow Forecast'!B14:M14)</f>
        <v>2046520.1600000001</v>
      </c>
      <c r="G3" s="165"/>
      <c r="H3" s="162" t="s">
        <v>10752</v>
      </c>
      <c r="I3" s="164">
        <f>SUM('Cash Flow Forecast'!B26:M26)</f>
        <v>1427507.1969329871</v>
      </c>
      <c r="J3" s="165"/>
      <c r="K3" s="162" t="s">
        <v>10753</v>
      </c>
      <c r="L3" s="164">
        <f>AVERAGE('Cash Flow Forecast'!B14:M14)</f>
        <v>170543.34666666668</v>
      </c>
      <c r="M3" s="165"/>
      <c r="N3" s="162" t="s">
        <v>10754</v>
      </c>
      <c r="O3" s="164">
        <f>AVERAGE('Cash Flow Forecast'!B26:M26)</f>
        <v>118958.93307774892</v>
      </c>
      <c r="P3" s="165"/>
      <c r="Q3" s="162" t="s">
        <v>10755</v>
      </c>
      <c r="R3" s="164">
        <f>'Cash Flow Forecast'!M27</f>
        <v>619012.96306701284</v>
      </c>
      <c r="S3" s="168"/>
    </row>
    <row r="4" spans="1:23" ht="15" customHeight="1" thickBot="1" x14ac:dyDescent="0.35">
      <c r="A4" s="175"/>
      <c r="B4" s="173"/>
      <c r="C4" s="178"/>
      <c r="D4" s="179"/>
      <c r="E4" s="163"/>
      <c r="F4" s="166"/>
      <c r="G4" s="167"/>
      <c r="H4" s="163"/>
      <c r="I4" s="166"/>
      <c r="J4" s="167"/>
      <c r="K4" s="163"/>
      <c r="L4" s="166"/>
      <c r="M4" s="167"/>
      <c r="N4" s="163"/>
      <c r="O4" s="166"/>
      <c r="P4" s="167"/>
      <c r="Q4" s="163"/>
      <c r="R4" s="166"/>
      <c r="S4" s="169"/>
    </row>
    <row r="5" spans="1:23" ht="3" customHeight="1" x14ac:dyDescent="0.3">
      <c r="A5" s="39"/>
    </row>
    <row r="6" spans="1:23" x14ac:dyDescent="0.3">
      <c r="A6" s="26" t="s">
        <v>10738</v>
      </c>
      <c r="B6" s="29">
        <f>AVERAGE('Cash Flow Forecast'!B19:M21)</f>
        <v>27240.003333333338</v>
      </c>
      <c r="C6" s="25"/>
    </row>
    <row r="7" spans="1:23" ht="14.4" customHeight="1" x14ac:dyDescent="0.3">
      <c r="A7" s="27"/>
      <c r="B7" s="28"/>
      <c r="L7" s="24"/>
    </row>
    <row r="8" spans="1:23" ht="15" customHeight="1" x14ac:dyDescent="0.3">
      <c r="A8" s="160" t="s">
        <v>10746</v>
      </c>
      <c r="B8" s="161"/>
    </row>
    <row r="9" spans="1:23" x14ac:dyDescent="0.3">
      <c r="A9" s="26"/>
      <c r="B9" s="28"/>
    </row>
    <row r="10" spans="1:23" x14ac:dyDescent="0.3">
      <c r="A10" s="30" t="s">
        <v>10747</v>
      </c>
      <c r="B10" s="31">
        <f>AVERAGE('Cash Flow Forecast'!B23:M25)</f>
        <v>373.69444444444446</v>
      </c>
    </row>
    <row r="11" spans="1:23" x14ac:dyDescent="0.3">
      <c r="A11" s="30" t="s">
        <v>10748</v>
      </c>
      <c r="B11" s="31">
        <f>'Reference Sheet'!B19</f>
        <v>0.5</v>
      </c>
    </row>
    <row r="12" spans="1:23" x14ac:dyDescent="0.3">
      <c r="A12" s="32"/>
      <c r="B12" s="33"/>
    </row>
    <row r="13" spans="1:23" x14ac:dyDescent="0.3">
      <c r="A13" s="170" t="s">
        <v>10742</v>
      </c>
      <c r="B13" s="171"/>
    </row>
    <row r="14" spans="1:23" x14ac:dyDescent="0.3">
      <c r="A14" s="32"/>
      <c r="B14" s="34"/>
    </row>
    <row r="15" spans="1:23" x14ac:dyDescent="0.3">
      <c r="A15" s="30" t="s">
        <v>10743</v>
      </c>
      <c r="B15" s="31">
        <f>'Cash Flow Forecast'!B13</f>
        <v>650000</v>
      </c>
    </row>
    <row r="16" spans="1:23" x14ac:dyDescent="0.3">
      <c r="A16" s="30" t="s">
        <v>10744</v>
      </c>
      <c r="B16" s="31">
        <f>'Reference Sheet'!B16</f>
        <v>120</v>
      </c>
    </row>
    <row r="17" spans="1:2" x14ac:dyDescent="0.3">
      <c r="A17" s="30" t="s">
        <v>10745</v>
      </c>
      <c r="B17" s="31">
        <f>AVERAGE('Cash Flow Forecast'!C17:M17)</f>
        <v>6674.0069939079021</v>
      </c>
    </row>
    <row r="18" spans="1:2" x14ac:dyDescent="0.3">
      <c r="A18" s="30"/>
      <c r="B18" s="31"/>
    </row>
    <row r="19" spans="1:2" x14ac:dyDescent="0.3">
      <c r="A19" s="35" t="s">
        <v>10740</v>
      </c>
      <c r="B19" s="36">
        <f>AVERAGE('Cash Flow Forecast'!B16:M16)</f>
        <v>30000</v>
      </c>
    </row>
    <row r="20" spans="1:2" x14ac:dyDescent="0.3">
      <c r="A20" s="32"/>
      <c r="B20" s="33"/>
    </row>
    <row r="21" spans="1:2" x14ac:dyDescent="0.3">
      <c r="A21" s="170" t="s">
        <v>10741</v>
      </c>
      <c r="B21" s="171"/>
    </row>
    <row r="22" spans="1:2" x14ac:dyDescent="0.3">
      <c r="A22" s="32"/>
      <c r="B22" s="34"/>
    </row>
    <row r="23" spans="1:2" x14ac:dyDescent="0.3">
      <c r="A23" s="30" t="s">
        <v>10749</v>
      </c>
      <c r="B23" s="31">
        <f>'Cash Flow Forecast'!B12</f>
        <v>45000</v>
      </c>
    </row>
    <row r="24" spans="1:2" x14ac:dyDescent="0.3">
      <c r="A24" s="37" t="s">
        <v>10750</v>
      </c>
      <c r="B24" s="38">
        <f>AVERAGE('Cash Flow Forecast'!C12:M12)</f>
        <v>4000</v>
      </c>
    </row>
  </sheetData>
  <mergeCells count="17">
    <mergeCell ref="A13:B13"/>
    <mergeCell ref="A21:B21"/>
    <mergeCell ref="B3:B4"/>
    <mergeCell ref="A3:A4"/>
    <mergeCell ref="E3:E4"/>
    <mergeCell ref="C3:D4"/>
    <mergeCell ref="A1:S1"/>
    <mergeCell ref="A8:B8"/>
    <mergeCell ref="Q3:Q4"/>
    <mergeCell ref="O3:P4"/>
    <mergeCell ref="R3:S4"/>
    <mergeCell ref="F3:G4"/>
    <mergeCell ref="H3:H4"/>
    <mergeCell ref="I3:J4"/>
    <mergeCell ref="K3:K4"/>
    <mergeCell ref="L3:M4"/>
    <mergeCell ref="N3:N4"/>
  </mergeCells>
  <pageMargins left="0.70866141732283472" right="0.70866141732283472" top="0.74803149606299213" bottom="0.74803149606299213" header="0.31496062992125984" footer="0.31496062992125984"/>
  <pageSetup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oToCashFlowForecast">
                <anchor moveWithCells="1" sizeWithCells="1">
                  <from>
                    <xdr:col>2</xdr:col>
                    <xdr:colOff>76200</xdr:colOff>
                    <xdr:row>5</xdr:row>
                    <xdr:rowOff>38100</xdr:rowOff>
                  </from>
                  <to>
                    <xdr:col>4</xdr:col>
                    <xdr:colOff>899160</xdr:colOff>
                    <xdr:row>7</xdr:row>
                    <xdr:rowOff>15240</xdr:rowOff>
                  </to>
                </anchor>
              </controlPr>
            </control>
          </mc:Choice>
        </mc:AlternateContent>
        <mc:AlternateContent xmlns:mc="http://schemas.openxmlformats.org/markup-compatibility/2006">
          <mc:Choice Requires="x14">
            <control shapeId="14345" r:id="rId5" name="Button 9">
              <controlPr defaultSize="0" print="0" autoFill="0" autoPict="0" macro="[0]!GoToMonthlyAndYearlySales">
                <anchor moveWithCells="1" sizeWithCells="1">
                  <from>
                    <xdr:col>5</xdr:col>
                    <xdr:colOff>106680</xdr:colOff>
                    <xdr:row>5</xdr:row>
                    <xdr:rowOff>30480</xdr:rowOff>
                  </from>
                  <to>
                    <xdr:col>8</xdr:col>
                    <xdr:colOff>76200</xdr:colOff>
                    <xdr:row>7</xdr:row>
                    <xdr:rowOff>7620</xdr:rowOff>
                  </to>
                </anchor>
              </controlPr>
            </control>
          </mc:Choice>
        </mc:AlternateContent>
        <mc:AlternateContent xmlns:mc="http://schemas.openxmlformats.org/markup-compatibility/2006">
          <mc:Choice Requires="x14">
            <control shapeId="14346" r:id="rId6" name="Button 10">
              <controlPr defaultSize="0" print="0" autoFill="0" autoPict="0" macro="[0]!GoToRegionalSales">
                <anchor moveWithCells="1" sizeWithCells="1">
                  <from>
                    <xdr:col>9</xdr:col>
                    <xdr:colOff>137160</xdr:colOff>
                    <xdr:row>5</xdr:row>
                    <xdr:rowOff>22860</xdr:rowOff>
                  </from>
                  <to>
                    <xdr:col>11</xdr:col>
                    <xdr:colOff>220980</xdr:colOff>
                    <xdr:row>7</xdr:row>
                    <xdr:rowOff>0</xdr:rowOff>
                  </to>
                </anchor>
              </controlPr>
            </control>
          </mc:Choice>
        </mc:AlternateContent>
        <mc:AlternateContent xmlns:mc="http://schemas.openxmlformats.org/markup-compatibility/2006">
          <mc:Choice Requires="x14">
            <control shapeId="14347" r:id="rId7" name="Button 11">
              <controlPr defaultSize="0" print="0" autoFill="0" autoPict="0" macro="[0]!GoToMonteCarloSimulation">
                <anchor moveWithCells="1" sizeWithCells="1">
                  <from>
                    <xdr:col>12</xdr:col>
                    <xdr:colOff>114300</xdr:colOff>
                    <xdr:row>5</xdr:row>
                    <xdr:rowOff>15240</xdr:rowOff>
                  </from>
                  <to>
                    <xdr:col>14</xdr:col>
                    <xdr:colOff>289560</xdr:colOff>
                    <xdr:row>6</xdr:row>
                    <xdr:rowOff>167640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846CC-8298-41B9-8D68-2BFF028A3010}">
  <sheetPr codeName="Sheet5">
    <tabColor theme="3" tint="0.249977111117893"/>
  </sheetPr>
  <dimension ref="A1:N62"/>
  <sheetViews>
    <sheetView showGridLines="0" zoomScaleNormal="100" workbookViewId="0">
      <selection sqref="A1:N1"/>
    </sheetView>
  </sheetViews>
  <sheetFormatPr defaultRowHeight="14.4" x14ac:dyDescent="0.3"/>
  <cols>
    <col min="1" max="1" width="22.44140625" style="2" bestFit="1" customWidth="1"/>
    <col min="2" max="2" width="15.5546875" style="2" bestFit="1" customWidth="1"/>
    <col min="3" max="13" width="13.109375" style="2" bestFit="1" customWidth="1"/>
    <col min="14" max="14" width="14.77734375" style="2" bestFit="1" customWidth="1"/>
    <col min="15" max="15" width="10" style="2" bestFit="1" customWidth="1"/>
    <col min="16" max="16" width="8" style="2" bestFit="1" customWidth="1"/>
    <col min="17" max="17" width="9" style="2" bestFit="1" customWidth="1"/>
    <col min="18" max="18" width="10" style="2" bestFit="1" customWidth="1"/>
    <col min="19" max="21" width="9" style="2" bestFit="1" customWidth="1"/>
    <col min="22" max="23" width="10" style="2" bestFit="1" customWidth="1"/>
    <col min="24" max="25" width="9" style="2" bestFit="1" customWidth="1"/>
    <col min="26" max="26" width="10" style="2" bestFit="1" customWidth="1"/>
    <col min="27" max="27" width="11" style="2" bestFit="1" customWidth="1"/>
    <col min="28" max="31" width="10" style="2" bestFit="1" customWidth="1"/>
    <col min="32" max="32" width="9" style="2" bestFit="1" customWidth="1"/>
    <col min="33" max="33" width="8" style="2" bestFit="1" customWidth="1"/>
    <col min="34" max="34" width="9" style="2" bestFit="1" customWidth="1"/>
    <col min="35" max="35" width="10" style="2" bestFit="1" customWidth="1"/>
    <col min="36" max="36" width="9" style="2" bestFit="1" customWidth="1"/>
    <col min="37" max="38" width="10" style="2" bestFit="1" customWidth="1"/>
    <col min="39" max="39" width="9" style="2" bestFit="1" customWidth="1"/>
    <col min="40" max="41" width="11" style="2" bestFit="1" customWidth="1"/>
    <col min="42" max="16384" width="8.88671875" style="2"/>
  </cols>
  <sheetData>
    <row r="1" spans="1:14" x14ac:dyDescent="0.3">
      <c r="A1" s="180" t="s">
        <v>10631</v>
      </c>
      <c r="B1" s="180"/>
      <c r="C1" s="180"/>
      <c r="D1" s="180"/>
      <c r="E1" s="180"/>
      <c r="F1" s="180"/>
      <c r="G1" s="180"/>
      <c r="H1" s="180"/>
      <c r="I1" s="180"/>
      <c r="J1" s="180"/>
      <c r="K1" s="180"/>
      <c r="L1" s="180"/>
      <c r="M1" s="180"/>
      <c r="N1" s="180"/>
    </row>
    <row r="2" spans="1:14" x14ac:dyDescent="0.3">
      <c r="A2" s="181" t="s">
        <v>10633</v>
      </c>
      <c r="B2" s="181"/>
      <c r="C2" s="181"/>
      <c r="D2" s="181"/>
      <c r="E2" s="181"/>
      <c r="F2" s="181"/>
      <c r="G2" s="181"/>
      <c r="H2" s="181"/>
      <c r="I2" s="181"/>
      <c r="J2" s="181"/>
      <c r="K2" s="181"/>
      <c r="L2" s="181"/>
      <c r="M2" s="181"/>
      <c r="N2" s="181"/>
    </row>
    <row r="4" spans="1:14" x14ac:dyDescent="0.3">
      <c r="A4" s="21" t="s">
        <v>10615</v>
      </c>
      <c r="B4" s="11" t="s">
        <v>10736</v>
      </c>
    </row>
    <row r="6" spans="1:14" x14ac:dyDescent="0.3">
      <c r="A6" s="69" t="s">
        <v>10630</v>
      </c>
      <c r="B6" s="69" t="s">
        <v>10618</v>
      </c>
      <c r="C6" s="69"/>
      <c r="D6" s="69"/>
      <c r="E6" s="69"/>
      <c r="F6" s="69"/>
      <c r="G6" s="69"/>
      <c r="H6" s="69"/>
      <c r="I6" s="69"/>
      <c r="J6" s="69"/>
      <c r="K6" s="69"/>
      <c r="L6" s="69"/>
      <c r="M6" s="69"/>
      <c r="N6" s="69"/>
    </row>
    <row r="7" spans="1:14" x14ac:dyDescent="0.3">
      <c r="A7" s="69" t="s">
        <v>10616</v>
      </c>
      <c r="B7" s="70" t="s">
        <v>4239</v>
      </c>
      <c r="C7" s="70" t="s">
        <v>10620</v>
      </c>
      <c r="D7" s="70" t="s">
        <v>10621</v>
      </c>
      <c r="E7" s="70" t="s">
        <v>10622</v>
      </c>
      <c r="F7" s="70" t="s">
        <v>6845</v>
      </c>
      <c r="G7" s="70" t="s">
        <v>10623</v>
      </c>
      <c r="H7" s="70" t="s">
        <v>10624</v>
      </c>
      <c r="I7" s="70" t="s">
        <v>10625</v>
      </c>
      <c r="J7" s="70" t="s">
        <v>10626</v>
      </c>
      <c r="K7" s="70" t="s">
        <v>10627</v>
      </c>
      <c r="L7" s="70" t="s">
        <v>10628</v>
      </c>
      <c r="M7" s="70" t="s">
        <v>10629</v>
      </c>
      <c r="N7" s="70" t="s">
        <v>10617</v>
      </c>
    </row>
    <row r="8" spans="1:14" x14ac:dyDescent="0.3">
      <c r="A8" s="73">
        <v>2020</v>
      </c>
      <c r="B8" s="74">
        <v>77780.5</v>
      </c>
      <c r="C8" s="74">
        <v>53917.700000000012</v>
      </c>
      <c r="D8" s="74">
        <v>82160.62000000001</v>
      </c>
      <c r="E8" s="74">
        <v>100054.73999999999</v>
      </c>
      <c r="F8" s="74">
        <v>72537.5</v>
      </c>
      <c r="G8" s="74">
        <v>75511.540000000008</v>
      </c>
      <c r="H8" s="74">
        <v>86065.579999999987</v>
      </c>
      <c r="I8" s="74">
        <v>83462.080000000002</v>
      </c>
      <c r="J8" s="74">
        <v>76601.72</v>
      </c>
      <c r="K8" s="74">
        <v>104044.8</v>
      </c>
      <c r="L8" s="74">
        <v>74240.920000000013</v>
      </c>
      <c r="M8" s="74">
        <v>79969.52</v>
      </c>
      <c r="N8" s="74">
        <v>966347.22000000009</v>
      </c>
    </row>
    <row r="9" spans="1:14" x14ac:dyDescent="0.3">
      <c r="A9" s="8" t="s">
        <v>10610</v>
      </c>
      <c r="B9" s="9">
        <v>25344.899999999998</v>
      </c>
      <c r="C9" s="9">
        <v>13778.1</v>
      </c>
      <c r="D9" s="9">
        <v>20786.22</v>
      </c>
      <c r="E9" s="9">
        <v>16907.939999999999</v>
      </c>
      <c r="F9" s="9">
        <v>12757.5</v>
      </c>
      <c r="G9" s="9">
        <v>17928.54</v>
      </c>
      <c r="H9" s="9">
        <v>17656.379999999997</v>
      </c>
      <c r="I9" s="9">
        <v>25651.08</v>
      </c>
      <c r="J9" s="9">
        <v>21296.52</v>
      </c>
      <c r="K9" s="9">
        <v>19391.400000000001</v>
      </c>
      <c r="L9" s="9">
        <v>20616.12</v>
      </c>
      <c r="M9" s="9">
        <v>18234.719999999998</v>
      </c>
      <c r="N9" s="9">
        <v>230349.42</v>
      </c>
    </row>
    <row r="10" spans="1:14" x14ac:dyDescent="0.3">
      <c r="A10" s="8" t="s">
        <v>10605</v>
      </c>
      <c r="B10" s="9">
        <v>17326.2</v>
      </c>
      <c r="C10" s="9">
        <v>8241</v>
      </c>
      <c r="D10" s="9">
        <v>17889</v>
      </c>
      <c r="E10" s="9">
        <v>28702.799999999992</v>
      </c>
      <c r="F10" s="9">
        <v>19296</v>
      </c>
      <c r="G10" s="9">
        <v>21426.6</v>
      </c>
      <c r="H10" s="9">
        <v>17245.8</v>
      </c>
      <c r="I10" s="9">
        <v>19979.399999999998</v>
      </c>
      <c r="J10" s="9">
        <v>22150.2</v>
      </c>
      <c r="K10" s="9">
        <v>23717.999999999993</v>
      </c>
      <c r="L10" s="9">
        <v>18934.2</v>
      </c>
      <c r="M10" s="9">
        <v>20622.599999999999</v>
      </c>
      <c r="N10" s="9">
        <v>235531.80000000002</v>
      </c>
    </row>
    <row r="11" spans="1:14" x14ac:dyDescent="0.3">
      <c r="A11" s="8" t="s">
        <v>10611</v>
      </c>
      <c r="B11" s="9">
        <v>35109.4</v>
      </c>
      <c r="C11" s="9">
        <v>31898.600000000009</v>
      </c>
      <c r="D11" s="9">
        <v>43485.400000000009</v>
      </c>
      <c r="E11" s="9">
        <v>54444.000000000007</v>
      </c>
      <c r="F11" s="9">
        <v>40484</v>
      </c>
      <c r="G11" s="9">
        <v>36156.400000000001</v>
      </c>
      <c r="H11" s="9">
        <v>51163.4</v>
      </c>
      <c r="I11" s="9">
        <v>37831.600000000006</v>
      </c>
      <c r="J11" s="9">
        <v>33155</v>
      </c>
      <c r="K11" s="9">
        <v>60935.400000000009</v>
      </c>
      <c r="L11" s="9">
        <v>34690.600000000006</v>
      </c>
      <c r="M11" s="9">
        <v>41112.200000000012</v>
      </c>
      <c r="N11" s="9">
        <v>500466.00000000006</v>
      </c>
    </row>
    <row r="12" spans="1:14" x14ac:dyDescent="0.3">
      <c r="A12" s="73">
        <v>2021</v>
      </c>
      <c r="B12" s="74">
        <v>103645.84</v>
      </c>
      <c r="C12" s="74">
        <v>91729.200000000012</v>
      </c>
      <c r="D12" s="74">
        <v>75270.52</v>
      </c>
      <c r="E12" s="74">
        <v>109559.45999999999</v>
      </c>
      <c r="F12" s="74">
        <v>94528.260000000009</v>
      </c>
      <c r="G12" s="74">
        <v>88968.639999999985</v>
      </c>
      <c r="H12" s="74">
        <v>88809.34</v>
      </c>
      <c r="I12" s="74">
        <v>111682.42</v>
      </c>
      <c r="J12" s="74">
        <v>107381.53999999998</v>
      </c>
      <c r="K12" s="74">
        <v>61468.74</v>
      </c>
      <c r="L12" s="74">
        <v>75927.38</v>
      </c>
      <c r="M12" s="74">
        <v>128897.42</v>
      </c>
      <c r="N12" s="74">
        <v>1137868.76</v>
      </c>
    </row>
    <row r="13" spans="1:14" x14ac:dyDescent="0.3">
      <c r="A13" s="8" t="s">
        <v>10610</v>
      </c>
      <c r="B13" s="9">
        <v>27964.44</v>
      </c>
      <c r="C13" s="9">
        <v>31978.800000000003</v>
      </c>
      <c r="D13" s="9">
        <v>18915.12</v>
      </c>
      <c r="E13" s="9">
        <v>26297.46</v>
      </c>
      <c r="F13" s="9">
        <v>21874.860000000004</v>
      </c>
      <c r="G13" s="9">
        <v>22521.239999999998</v>
      </c>
      <c r="H13" s="9">
        <v>27113.94</v>
      </c>
      <c r="I13" s="9">
        <v>27930.42</v>
      </c>
      <c r="J13" s="9">
        <v>29835.539999999997</v>
      </c>
      <c r="K13" s="9">
        <v>17588.339999999997</v>
      </c>
      <c r="L13" s="9">
        <v>10852.38</v>
      </c>
      <c r="M13" s="9">
        <v>16363.620000000003</v>
      </c>
      <c r="N13" s="9">
        <v>279236.16000000003</v>
      </c>
    </row>
    <row r="14" spans="1:14" x14ac:dyDescent="0.3">
      <c r="A14" s="8" t="s">
        <v>10605</v>
      </c>
      <c r="B14" s="9">
        <v>25285.799999999996</v>
      </c>
      <c r="C14" s="9">
        <v>33366</v>
      </c>
      <c r="D14" s="9">
        <v>18733.2</v>
      </c>
      <c r="E14" s="9">
        <v>45988.799999999996</v>
      </c>
      <c r="F14" s="9">
        <v>14230.8</v>
      </c>
      <c r="G14" s="9">
        <v>27778.199999999997</v>
      </c>
      <c r="H14" s="9">
        <v>23235.599999999999</v>
      </c>
      <c r="I14" s="9">
        <v>29587.199999999993</v>
      </c>
      <c r="J14" s="9">
        <v>29104.799999999992</v>
      </c>
      <c r="K14" s="9">
        <v>12260.999999999998</v>
      </c>
      <c r="L14" s="9">
        <v>21868.799999999999</v>
      </c>
      <c r="M14" s="9">
        <v>32682.6</v>
      </c>
      <c r="N14" s="9">
        <v>314122.79999999993</v>
      </c>
    </row>
    <row r="15" spans="1:14" x14ac:dyDescent="0.3">
      <c r="A15" s="8" t="s">
        <v>10611</v>
      </c>
      <c r="B15" s="9">
        <v>50395.600000000006</v>
      </c>
      <c r="C15" s="9">
        <v>26384.400000000001</v>
      </c>
      <c r="D15" s="9">
        <v>37622.200000000004</v>
      </c>
      <c r="E15" s="9">
        <v>37273.200000000004</v>
      </c>
      <c r="F15" s="9">
        <v>58422.6</v>
      </c>
      <c r="G15" s="9">
        <v>38669.199999999997</v>
      </c>
      <c r="H15" s="9">
        <v>38459.800000000003</v>
      </c>
      <c r="I15" s="9">
        <v>54164.800000000003</v>
      </c>
      <c r="J15" s="9">
        <v>48441.2</v>
      </c>
      <c r="K15" s="9">
        <v>31619.4</v>
      </c>
      <c r="L15" s="9">
        <v>43206.200000000004</v>
      </c>
      <c r="M15" s="9">
        <v>79851.199999999997</v>
      </c>
      <c r="N15" s="9">
        <v>544509.80000000005</v>
      </c>
    </row>
    <row r="16" spans="1:14" x14ac:dyDescent="0.3">
      <c r="A16" s="73">
        <v>2022</v>
      </c>
      <c r="B16" s="74">
        <v>106335.18</v>
      </c>
      <c r="C16" s="74">
        <v>127005.01999999997</v>
      </c>
      <c r="D16" s="74">
        <v>101183.57999999999</v>
      </c>
      <c r="E16" s="74">
        <v>106266.13999999998</v>
      </c>
      <c r="F16" s="74">
        <v>114785.09999999999</v>
      </c>
      <c r="G16" s="74">
        <v>83374.5</v>
      </c>
      <c r="H16" s="74">
        <v>126013.2</v>
      </c>
      <c r="I16" s="74">
        <v>129332.47999999997</v>
      </c>
      <c r="J16" s="74">
        <v>94278.079999999987</v>
      </c>
      <c r="K16" s="74">
        <v>142316.77999999997</v>
      </c>
      <c r="L16" s="74">
        <v>102050.31999999999</v>
      </c>
      <c r="M16" s="74">
        <v>74579.78</v>
      </c>
      <c r="N16" s="74">
        <v>1307520.1600000001</v>
      </c>
    </row>
    <row r="17" spans="1:14" x14ac:dyDescent="0.3">
      <c r="A17" s="8" t="s">
        <v>10610</v>
      </c>
      <c r="B17" s="9">
        <v>22419.179999999997</v>
      </c>
      <c r="C17" s="9">
        <v>19765.619999999995</v>
      </c>
      <c r="D17" s="9">
        <v>35006.579999999994</v>
      </c>
      <c r="E17" s="9">
        <v>27113.939999999995</v>
      </c>
      <c r="F17" s="9">
        <v>20582.099999999999</v>
      </c>
      <c r="G17" s="9">
        <v>26025.299999999996</v>
      </c>
      <c r="H17" s="9">
        <v>29597.399999999998</v>
      </c>
      <c r="I17" s="9">
        <v>21228.479999999996</v>
      </c>
      <c r="J17" s="9">
        <v>23950.080000000002</v>
      </c>
      <c r="K17" s="9">
        <v>23779.979999999996</v>
      </c>
      <c r="L17" s="9">
        <v>19595.52</v>
      </c>
      <c r="M17" s="9">
        <v>16295.58</v>
      </c>
      <c r="N17" s="9">
        <v>285359.76</v>
      </c>
    </row>
    <row r="18" spans="1:14" x14ac:dyDescent="0.3">
      <c r="A18" s="8" t="s">
        <v>10605</v>
      </c>
      <c r="B18" s="9">
        <v>40360.800000000003</v>
      </c>
      <c r="C18" s="9">
        <v>25084.799999999999</v>
      </c>
      <c r="D18" s="9">
        <v>14873.999999999998</v>
      </c>
      <c r="E18" s="9">
        <v>31757.999999999993</v>
      </c>
      <c r="F18" s="9">
        <v>29707.8</v>
      </c>
      <c r="G18" s="9">
        <v>24682.799999999999</v>
      </c>
      <c r="H18" s="9">
        <v>44903.399999999994</v>
      </c>
      <c r="I18" s="9">
        <v>23436.599999999995</v>
      </c>
      <c r="J18" s="9">
        <v>25446.599999999995</v>
      </c>
      <c r="K18" s="9">
        <v>54390.6</v>
      </c>
      <c r="L18" s="9">
        <v>34571.999999999993</v>
      </c>
      <c r="M18" s="9">
        <v>18009.599999999999</v>
      </c>
      <c r="N18" s="9">
        <v>367226.99999999994</v>
      </c>
    </row>
    <row r="19" spans="1:14" x14ac:dyDescent="0.3">
      <c r="A19" s="8" t="s">
        <v>10611</v>
      </c>
      <c r="B19" s="9">
        <v>43555.200000000004</v>
      </c>
      <c r="C19" s="9">
        <v>82154.599999999977</v>
      </c>
      <c r="D19" s="9">
        <v>51303</v>
      </c>
      <c r="E19" s="9">
        <v>47394.200000000004</v>
      </c>
      <c r="F19" s="9">
        <v>64495.199999999997</v>
      </c>
      <c r="G19" s="9">
        <v>32666.400000000001</v>
      </c>
      <c r="H19" s="9">
        <v>51512.400000000009</v>
      </c>
      <c r="I19" s="9">
        <v>84667.39999999998</v>
      </c>
      <c r="J19" s="9">
        <v>44881.399999999994</v>
      </c>
      <c r="K19" s="9">
        <v>64146.2</v>
      </c>
      <c r="L19" s="9">
        <v>47882.8</v>
      </c>
      <c r="M19" s="9">
        <v>40274.600000000006</v>
      </c>
      <c r="N19" s="9">
        <v>654933.4</v>
      </c>
    </row>
    <row r="20" spans="1:14" x14ac:dyDescent="0.3">
      <c r="A20" s="71" t="s">
        <v>10617</v>
      </c>
      <c r="B20" s="72">
        <v>287761.52</v>
      </c>
      <c r="C20" s="72">
        <v>272651.92</v>
      </c>
      <c r="D20" s="72">
        <v>258614.72</v>
      </c>
      <c r="E20" s="72">
        <v>315880.33999999997</v>
      </c>
      <c r="F20" s="72">
        <v>281850.86</v>
      </c>
      <c r="G20" s="72">
        <v>247854.67999999996</v>
      </c>
      <c r="H20" s="72">
        <v>300888.12</v>
      </c>
      <c r="I20" s="72">
        <v>324476.98</v>
      </c>
      <c r="J20" s="72">
        <v>278261.34000000003</v>
      </c>
      <c r="K20" s="72">
        <v>307830.31999999995</v>
      </c>
      <c r="L20" s="72">
        <v>252218.62</v>
      </c>
      <c r="M20" s="72">
        <v>283446.71999999997</v>
      </c>
      <c r="N20" s="72">
        <v>3411736.14</v>
      </c>
    </row>
    <row r="21" spans="1:14" x14ac:dyDescent="0.3">
      <c r="A21"/>
      <c r="B21"/>
      <c r="C21"/>
      <c r="D21"/>
      <c r="E21"/>
      <c r="F21"/>
      <c r="G21"/>
      <c r="H21"/>
      <c r="I21"/>
      <c r="J21"/>
      <c r="K21"/>
      <c r="L21"/>
      <c r="M21"/>
      <c r="N21"/>
    </row>
    <row r="22" spans="1:14" x14ac:dyDescent="0.3">
      <c r="A22"/>
      <c r="B22"/>
      <c r="C22"/>
      <c r="D22"/>
      <c r="E22"/>
      <c r="F22"/>
      <c r="G22"/>
      <c r="H22"/>
      <c r="I22"/>
      <c r="J22"/>
      <c r="K22"/>
      <c r="L22"/>
      <c r="M22"/>
      <c r="N22"/>
    </row>
    <row r="23" spans="1:14" x14ac:dyDescent="0.3">
      <c r="A23"/>
      <c r="B23"/>
      <c r="C23"/>
      <c r="D23"/>
      <c r="E23"/>
      <c r="F23"/>
      <c r="G23"/>
      <c r="H23"/>
      <c r="I23"/>
      <c r="J23"/>
      <c r="K23"/>
      <c r="L23"/>
      <c r="M23"/>
      <c r="N23"/>
    </row>
    <row r="24" spans="1:14" x14ac:dyDescent="0.3">
      <c r="A24"/>
      <c r="B24"/>
      <c r="C24"/>
      <c r="D24"/>
      <c r="E24"/>
      <c r="F24"/>
      <c r="G24"/>
      <c r="H24"/>
      <c r="I24"/>
      <c r="J24"/>
      <c r="K24"/>
      <c r="L24"/>
      <c r="M24"/>
      <c r="N24"/>
    </row>
    <row r="25" spans="1:14" x14ac:dyDescent="0.3">
      <c r="A25"/>
      <c r="B25"/>
      <c r="C25"/>
      <c r="D25"/>
      <c r="E25"/>
      <c r="F25"/>
      <c r="G25"/>
      <c r="H25"/>
      <c r="I25"/>
      <c r="J25"/>
      <c r="K25"/>
      <c r="L25"/>
      <c r="M25"/>
      <c r="N25"/>
    </row>
    <row r="26" spans="1:14" x14ac:dyDescent="0.3">
      <c r="A26"/>
      <c r="B26"/>
      <c r="C26"/>
      <c r="D26"/>
      <c r="E26"/>
      <c r="F26"/>
      <c r="G26"/>
      <c r="H26"/>
      <c r="I26"/>
      <c r="J26"/>
      <c r="K26"/>
      <c r="L26"/>
      <c r="M26"/>
      <c r="N26"/>
    </row>
    <row r="27" spans="1:14" x14ac:dyDescent="0.3">
      <c r="A27"/>
      <c r="B27"/>
      <c r="C27"/>
      <c r="D27"/>
      <c r="E27"/>
      <c r="F27"/>
      <c r="G27"/>
      <c r="H27"/>
      <c r="I27"/>
      <c r="J27"/>
      <c r="K27"/>
      <c r="L27"/>
      <c r="M27"/>
      <c r="N27"/>
    </row>
    <row r="28" spans="1:14" x14ac:dyDescent="0.3">
      <c r="A28"/>
      <c r="B28"/>
      <c r="C28"/>
      <c r="D28"/>
      <c r="E28"/>
      <c r="F28"/>
      <c r="G28"/>
      <c r="H28"/>
      <c r="I28"/>
      <c r="J28"/>
      <c r="K28"/>
      <c r="L28"/>
      <c r="M28"/>
      <c r="N28"/>
    </row>
    <row r="29" spans="1:14" x14ac:dyDescent="0.3">
      <c r="A29"/>
      <c r="B29"/>
      <c r="C29"/>
      <c r="D29"/>
      <c r="E29"/>
      <c r="F29"/>
      <c r="G29"/>
      <c r="H29"/>
      <c r="I29"/>
      <c r="J29"/>
      <c r="K29"/>
      <c r="L29"/>
      <c r="M29"/>
      <c r="N29"/>
    </row>
    <row r="30" spans="1:14" x14ac:dyDescent="0.3">
      <c r="A30"/>
      <c r="B30"/>
      <c r="C30"/>
      <c r="D30"/>
      <c r="E30"/>
      <c r="F30"/>
      <c r="G30"/>
      <c r="H30"/>
      <c r="I30"/>
      <c r="J30"/>
      <c r="K30"/>
      <c r="L30"/>
      <c r="M30"/>
      <c r="N30"/>
    </row>
    <row r="31" spans="1:14" x14ac:dyDescent="0.3">
      <c r="A31"/>
      <c r="B31"/>
      <c r="C31"/>
      <c r="D31"/>
      <c r="E31"/>
      <c r="F31"/>
      <c r="G31"/>
      <c r="H31"/>
      <c r="I31"/>
      <c r="J31"/>
      <c r="K31"/>
      <c r="L31"/>
      <c r="M31"/>
      <c r="N31"/>
    </row>
    <row r="32" spans="1:14" x14ac:dyDescent="0.3">
      <c r="A32"/>
      <c r="B32"/>
      <c r="C32"/>
      <c r="D32"/>
      <c r="E32"/>
      <c r="F32"/>
      <c r="G32"/>
      <c r="H32"/>
      <c r="I32"/>
      <c r="J32"/>
      <c r="K32"/>
      <c r="L32"/>
      <c r="M32"/>
      <c r="N32"/>
    </row>
    <row r="33" spans="1:14" x14ac:dyDescent="0.3">
      <c r="A33"/>
      <c r="B33"/>
      <c r="C33"/>
      <c r="D33"/>
      <c r="E33"/>
      <c r="F33"/>
      <c r="G33"/>
      <c r="H33"/>
      <c r="I33"/>
      <c r="J33"/>
      <c r="K33"/>
      <c r="L33"/>
      <c r="M33"/>
      <c r="N33"/>
    </row>
    <row r="34" spans="1:14" x14ac:dyDescent="0.3">
      <c r="A34"/>
      <c r="B34"/>
      <c r="C34"/>
      <c r="D34"/>
      <c r="E34"/>
      <c r="F34"/>
      <c r="G34"/>
      <c r="H34"/>
      <c r="I34"/>
      <c r="J34"/>
      <c r="K34"/>
      <c r="L34"/>
      <c r="M34"/>
      <c r="N34"/>
    </row>
    <row r="35" spans="1:14" x14ac:dyDescent="0.3">
      <c r="A35"/>
      <c r="B35"/>
      <c r="C35"/>
      <c r="D35"/>
      <c r="E35"/>
      <c r="F35"/>
      <c r="G35"/>
      <c r="H35"/>
      <c r="I35"/>
      <c r="J35"/>
      <c r="K35"/>
      <c r="L35"/>
      <c r="M35"/>
      <c r="N35"/>
    </row>
    <row r="36" spans="1:14" x14ac:dyDescent="0.3">
      <c r="A36"/>
      <c r="B36"/>
      <c r="C36"/>
      <c r="D36"/>
      <c r="E36"/>
      <c r="F36"/>
      <c r="G36"/>
      <c r="H36"/>
      <c r="I36"/>
      <c r="J36"/>
      <c r="K36"/>
      <c r="L36"/>
      <c r="M36"/>
      <c r="N36"/>
    </row>
    <row r="37" spans="1:14" x14ac:dyDescent="0.3">
      <c r="A37"/>
      <c r="B37"/>
      <c r="C37"/>
      <c r="D37"/>
      <c r="E37"/>
      <c r="F37"/>
      <c r="G37"/>
      <c r="H37"/>
      <c r="I37"/>
      <c r="J37"/>
      <c r="K37"/>
      <c r="L37"/>
      <c r="M37"/>
      <c r="N37"/>
    </row>
    <row r="38" spans="1:14" x14ac:dyDescent="0.3">
      <c r="A38"/>
      <c r="B38"/>
      <c r="C38"/>
      <c r="D38"/>
      <c r="E38"/>
      <c r="F38"/>
      <c r="G38"/>
      <c r="H38"/>
      <c r="I38"/>
      <c r="J38"/>
      <c r="K38"/>
      <c r="L38"/>
      <c r="M38"/>
      <c r="N38"/>
    </row>
    <row r="39" spans="1:14" x14ac:dyDescent="0.3">
      <c r="A39"/>
      <c r="B39"/>
      <c r="C39"/>
      <c r="D39"/>
      <c r="E39"/>
      <c r="F39"/>
      <c r="G39"/>
      <c r="H39"/>
      <c r="I39"/>
      <c r="J39"/>
      <c r="K39"/>
      <c r="L39"/>
      <c r="M39"/>
      <c r="N39"/>
    </row>
    <row r="40" spans="1:14" x14ac:dyDescent="0.3">
      <c r="A40"/>
      <c r="B40"/>
      <c r="C40"/>
      <c r="D40"/>
      <c r="E40"/>
      <c r="F40"/>
      <c r="G40"/>
      <c r="H40"/>
      <c r="I40"/>
      <c r="J40"/>
      <c r="K40"/>
      <c r="L40"/>
      <c r="M40"/>
      <c r="N40"/>
    </row>
    <row r="41" spans="1:14" x14ac:dyDescent="0.3">
      <c r="A41"/>
      <c r="B41"/>
      <c r="C41"/>
      <c r="D41"/>
      <c r="E41"/>
      <c r="F41"/>
      <c r="G41"/>
      <c r="H41"/>
      <c r="I41"/>
      <c r="J41"/>
      <c r="K41"/>
      <c r="L41"/>
      <c r="M41"/>
      <c r="N41"/>
    </row>
    <row r="42" spans="1:14" x14ac:dyDescent="0.3">
      <c r="A42"/>
      <c r="B42"/>
      <c r="C42"/>
      <c r="D42"/>
      <c r="E42"/>
      <c r="F42"/>
      <c r="G42"/>
      <c r="H42"/>
      <c r="I42"/>
      <c r="J42"/>
      <c r="K42"/>
      <c r="L42"/>
      <c r="M42"/>
      <c r="N42"/>
    </row>
    <row r="43" spans="1:14" x14ac:dyDescent="0.3">
      <c r="A43"/>
      <c r="B43"/>
      <c r="C43"/>
      <c r="D43"/>
      <c r="E43"/>
      <c r="F43"/>
      <c r="G43"/>
      <c r="H43"/>
      <c r="I43"/>
      <c r="J43"/>
      <c r="K43"/>
      <c r="L43"/>
      <c r="M43"/>
      <c r="N43"/>
    </row>
    <row r="44" spans="1:14" x14ac:dyDescent="0.3">
      <c r="A44"/>
      <c r="B44"/>
      <c r="C44"/>
      <c r="D44"/>
      <c r="E44"/>
      <c r="F44"/>
      <c r="G44"/>
      <c r="H44"/>
      <c r="I44"/>
      <c r="J44"/>
      <c r="K44"/>
      <c r="L44"/>
      <c r="M44"/>
      <c r="N44"/>
    </row>
    <row r="45" spans="1:14" x14ac:dyDescent="0.3">
      <c r="A45"/>
      <c r="B45"/>
      <c r="C45"/>
      <c r="D45"/>
      <c r="E45"/>
      <c r="F45"/>
      <c r="G45"/>
      <c r="H45"/>
      <c r="I45"/>
      <c r="J45"/>
      <c r="K45"/>
      <c r="L45"/>
      <c r="M45"/>
      <c r="N45"/>
    </row>
    <row r="46" spans="1:14" x14ac:dyDescent="0.3">
      <c r="A46"/>
      <c r="B46"/>
      <c r="C46"/>
      <c r="D46"/>
      <c r="E46"/>
      <c r="F46"/>
      <c r="G46"/>
      <c r="H46"/>
      <c r="I46"/>
      <c r="J46"/>
      <c r="K46"/>
      <c r="L46"/>
      <c r="M46"/>
      <c r="N46"/>
    </row>
    <row r="47" spans="1:14" x14ac:dyDescent="0.3">
      <c r="A47"/>
      <c r="B47"/>
      <c r="C47"/>
      <c r="D47"/>
      <c r="E47"/>
      <c r="F47"/>
      <c r="G47"/>
      <c r="H47"/>
      <c r="I47"/>
      <c r="J47"/>
      <c r="K47"/>
      <c r="L47"/>
      <c r="M47"/>
      <c r="N47"/>
    </row>
    <row r="48" spans="1:14" x14ac:dyDescent="0.3">
      <c r="A48"/>
      <c r="B48"/>
      <c r="C48"/>
      <c r="D48"/>
      <c r="E48"/>
      <c r="F48"/>
      <c r="G48"/>
      <c r="H48"/>
      <c r="I48"/>
      <c r="J48"/>
      <c r="K48"/>
      <c r="L48"/>
      <c r="M48"/>
      <c r="N48"/>
    </row>
    <row r="49" spans="1:14" x14ac:dyDescent="0.3">
      <c r="A49"/>
      <c r="B49"/>
      <c r="C49"/>
      <c r="D49"/>
      <c r="E49"/>
      <c r="F49"/>
      <c r="G49"/>
      <c r="H49"/>
      <c r="I49"/>
      <c r="J49"/>
      <c r="K49"/>
      <c r="L49"/>
      <c r="M49"/>
      <c r="N49"/>
    </row>
    <row r="50" spans="1:14" x14ac:dyDescent="0.3">
      <c r="A50"/>
      <c r="B50"/>
      <c r="C50"/>
      <c r="D50"/>
      <c r="E50"/>
      <c r="F50"/>
      <c r="G50"/>
      <c r="H50"/>
      <c r="I50"/>
      <c r="J50"/>
      <c r="K50"/>
      <c r="L50"/>
      <c r="M50"/>
      <c r="N50"/>
    </row>
    <row r="51" spans="1:14" x14ac:dyDescent="0.3">
      <c r="A51"/>
      <c r="B51"/>
      <c r="C51"/>
      <c r="D51"/>
      <c r="E51"/>
      <c r="F51"/>
      <c r="G51"/>
      <c r="H51"/>
      <c r="I51"/>
      <c r="J51"/>
      <c r="K51"/>
      <c r="L51"/>
      <c r="M51"/>
      <c r="N51"/>
    </row>
    <row r="52" spans="1:14" x14ac:dyDescent="0.3">
      <c r="A52"/>
      <c r="B52"/>
      <c r="C52"/>
      <c r="D52"/>
      <c r="E52"/>
      <c r="F52"/>
      <c r="G52"/>
      <c r="H52"/>
      <c r="I52"/>
      <c r="J52"/>
      <c r="K52"/>
      <c r="L52"/>
      <c r="M52"/>
      <c r="N52"/>
    </row>
    <row r="53" spans="1:14" x14ac:dyDescent="0.3">
      <c r="A53"/>
      <c r="B53"/>
      <c r="C53"/>
      <c r="D53"/>
      <c r="E53"/>
      <c r="F53"/>
      <c r="G53"/>
      <c r="H53"/>
      <c r="I53"/>
      <c r="J53"/>
      <c r="K53"/>
      <c r="L53"/>
      <c r="M53"/>
      <c r="N53"/>
    </row>
    <row r="54" spans="1:14" x14ac:dyDescent="0.3">
      <c r="A54"/>
      <c r="B54"/>
      <c r="C54"/>
      <c r="D54"/>
      <c r="E54"/>
      <c r="F54"/>
      <c r="G54"/>
      <c r="H54"/>
      <c r="I54"/>
      <c r="J54"/>
      <c r="K54"/>
      <c r="L54"/>
      <c r="M54"/>
      <c r="N54"/>
    </row>
    <row r="55" spans="1:14" x14ac:dyDescent="0.3">
      <c r="A55"/>
      <c r="B55"/>
      <c r="C55"/>
      <c r="D55"/>
      <c r="E55"/>
      <c r="F55"/>
      <c r="G55"/>
      <c r="H55"/>
      <c r="I55"/>
      <c r="J55"/>
      <c r="K55"/>
      <c r="L55"/>
      <c r="M55"/>
      <c r="N55"/>
    </row>
    <row r="56" spans="1:14" x14ac:dyDescent="0.3">
      <c r="A56"/>
      <c r="B56"/>
      <c r="C56"/>
      <c r="D56"/>
      <c r="E56"/>
      <c r="F56"/>
      <c r="G56"/>
      <c r="H56"/>
      <c r="I56"/>
      <c r="J56"/>
      <c r="K56"/>
      <c r="L56"/>
      <c r="M56"/>
      <c r="N56"/>
    </row>
    <row r="57" spans="1:14" x14ac:dyDescent="0.3">
      <c r="A57"/>
      <c r="B57"/>
      <c r="C57"/>
      <c r="D57"/>
      <c r="E57"/>
      <c r="F57"/>
      <c r="G57"/>
      <c r="H57"/>
      <c r="I57"/>
      <c r="J57"/>
      <c r="K57"/>
      <c r="L57"/>
      <c r="M57"/>
      <c r="N57"/>
    </row>
    <row r="58" spans="1:14" x14ac:dyDescent="0.3">
      <c r="A58"/>
      <c r="B58"/>
      <c r="C58"/>
      <c r="D58"/>
      <c r="E58"/>
      <c r="F58"/>
      <c r="G58"/>
      <c r="H58"/>
      <c r="I58"/>
      <c r="J58"/>
      <c r="K58"/>
      <c r="L58"/>
      <c r="M58"/>
      <c r="N58"/>
    </row>
    <row r="59" spans="1:14" x14ac:dyDescent="0.3">
      <c r="A59"/>
      <c r="B59"/>
      <c r="C59"/>
      <c r="D59"/>
      <c r="E59"/>
      <c r="F59"/>
      <c r="G59"/>
      <c r="H59"/>
      <c r="I59"/>
      <c r="J59"/>
      <c r="K59"/>
      <c r="L59"/>
      <c r="M59"/>
      <c r="N59"/>
    </row>
    <row r="60" spans="1:14" x14ac:dyDescent="0.3">
      <c r="A60"/>
      <c r="B60"/>
      <c r="C60"/>
      <c r="D60"/>
      <c r="E60"/>
      <c r="F60"/>
      <c r="G60"/>
      <c r="H60"/>
      <c r="I60"/>
      <c r="J60"/>
      <c r="K60"/>
      <c r="L60"/>
      <c r="M60"/>
      <c r="N60"/>
    </row>
    <row r="61" spans="1:14" x14ac:dyDescent="0.3">
      <c r="A61"/>
      <c r="B61"/>
      <c r="C61"/>
      <c r="D61"/>
      <c r="E61"/>
      <c r="F61"/>
      <c r="G61"/>
      <c r="H61"/>
      <c r="I61"/>
      <c r="J61"/>
      <c r="K61"/>
      <c r="L61"/>
      <c r="M61"/>
      <c r="N61"/>
    </row>
    <row r="62" spans="1:14" x14ac:dyDescent="0.3">
      <c r="A62"/>
      <c r="B62"/>
      <c r="C62"/>
      <c r="D62"/>
      <c r="E62"/>
      <c r="F62"/>
      <c r="G62"/>
      <c r="H62"/>
      <c r="I62"/>
      <c r="J62"/>
      <c r="K62"/>
      <c r="L62"/>
      <c r="M62"/>
      <c r="N62"/>
    </row>
  </sheetData>
  <mergeCells count="2">
    <mergeCell ref="A1:N1"/>
    <mergeCell ref="A2:N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5CAFB-F539-4D5A-B62F-9E5249F48086}">
  <sheetPr codeName="Sheet11">
    <tabColor rgb="FF0070C0"/>
  </sheetPr>
  <dimension ref="A1:N41"/>
  <sheetViews>
    <sheetView showGridLines="0" zoomScaleNormal="100" workbookViewId="0">
      <selection sqref="A1:N1"/>
    </sheetView>
  </sheetViews>
  <sheetFormatPr defaultRowHeight="14.4" x14ac:dyDescent="0.3"/>
  <cols>
    <col min="1" max="1" width="22.44140625" style="2" bestFit="1" customWidth="1"/>
    <col min="2" max="2" width="16.109375" style="2" bestFit="1" customWidth="1"/>
    <col min="3" max="13" width="13.109375" style="2" bestFit="1" customWidth="1"/>
    <col min="14" max="14" width="14.77734375" style="2" bestFit="1" customWidth="1"/>
    <col min="15" max="15" width="10" style="2" bestFit="1" customWidth="1"/>
    <col min="16" max="16" width="8" style="2" bestFit="1" customWidth="1"/>
    <col min="17" max="17" width="9" style="2" bestFit="1" customWidth="1"/>
    <col min="18" max="18" width="10" style="2" bestFit="1" customWidth="1"/>
    <col min="19" max="21" width="9" style="2" bestFit="1" customWidth="1"/>
    <col min="22" max="23" width="10" style="2" bestFit="1" customWidth="1"/>
    <col min="24" max="25" width="9" style="2" bestFit="1" customWidth="1"/>
    <col min="26" max="26" width="10" style="2" bestFit="1" customWidth="1"/>
    <col min="27" max="27" width="11" style="2" bestFit="1" customWidth="1"/>
    <col min="28" max="31" width="10" style="2" bestFit="1" customWidth="1"/>
    <col min="32" max="32" width="9" style="2" bestFit="1" customWidth="1"/>
    <col min="33" max="33" width="8" style="2" bestFit="1" customWidth="1"/>
    <col min="34" max="34" width="9" style="2" bestFit="1" customWidth="1"/>
    <col min="35" max="35" width="10" style="2" bestFit="1" customWidth="1"/>
    <col min="36" max="36" width="9" style="2" bestFit="1" customWidth="1"/>
    <col min="37" max="38" width="10" style="2" bestFit="1" customWidth="1"/>
    <col min="39" max="39" width="9" style="2" bestFit="1" customWidth="1"/>
    <col min="40" max="41" width="11" style="2" bestFit="1" customWidth="1"/>
    <col min="42" max="16384" width="8.88671875" style="2"/>
  </cols>
  <sheetData>
    <row r="1" spans="1:14" x14ac:dyDescent="0.3">
      <c r="A1" s="180" t="s">
        <v>10632</v>
      </c>
      <c r="B1" s="180"/>
      <c r="C1" s="180"/>
      <c r="D1" s="180"/>
      <c r="E1" s="180"/>
      <c r="F1" s="180"/>
      <c r="G1" s="180"/>
      <c r="H1" s="180"/>
      <c r="I1" s="180"/>
      <c r="J1" s="180"/>
      <c r="K1" s="180"/>
      <c r="L1" s="180"/>
      <c r="M1" s="180"/>
      <c r="N1" s="180"/>
    </row>
    <row r="2" spans="1:14" x14ac:dyDescent="0.3">
      <c r="A2" s="181" t="s">
        <v>10634</v>
      </c>
      <c r="B2" s="181"/>
      <c r="C2" s="181"/>
      <c r="D2" s="181"/>
      <c r="E2" s="181"/>
      <c r="F2" s="181"/>
      <c r="G2" s="181"/>
      <c r="H2" s="181"/>
      <c r="I2" s="181"/>
      <c r="J2" s="181"/>
      <c r="K2" s="181"/>
      <c r="L2" s="181"/>
      <c r="M2" s="181"/>
      <c r="N2" s="181"/>
    </row>
    <row r="3" spans="1:14" x14ac:dyDescent="0.3">
      <c r="A3"/>
      <c r="B3"/>
    </row>
    <row r="4" spans="1:14" x14ac:dyDescent="0.3">
      <c r="A4" s="21" t="s">
        <v>8</v>
      </c>
      <c r="B4" s="11" t="s">
        <v>10619</v>
      </c>
    </row>
    <row r="6" spans="1:14" x14ac:dyDescent="0.3">
      <c r="A6" s="69" t="s">
        <v>10630</v>
      </c>
      <c r="B6" s="69" t="s">
        <v>10618</v>
      </c>
      <c r="C6" s="69"/>
      <c r="D6" s="69"/>
      <c r="E6" s="69"/>
      <c r="F6" s="69"/>
      <c r="G6" s="69"/>
      <c r="H6" s="69"/>
      <c r="I6" s="69"/>
      <c r="J6" s="69"/>
      <c r="K6" s="69"/>
      <c r="L6" s="69"/>
      <c r="M6" s="69"/>
      <c r="N6" s="69"/>
    </row>
    <row r="7" spans="1:14" x14ac:dyDescent="0.3">
      <c r="A7" s="69" t="s">
        <v>10616</v>
      </c>
      <c r="B7" s="70" t="s">
        <v>4239</v>
      </c>
      <c r="C7" s="70" t="s">
        <v>10620</v>
      </c>
      <c r="D7" s="70" t="s">
        <v>10621</v>
      </c>
      <c r="E7" s="70" t="s">
        <v>10622</v>
      </c>
      <c r="F7" s="70" t="s">
        <v>6845</v>
      </c>
      <c r="G7" s="70" t="s">
        <v>10623</v>
      </c>
      <c r="H7" s="70" t="s">
        <v>10624</v>
      </c>
      <c r="I7" s="70" t="s">
        <v>10625</v>
      </c>
      <c r="J7" s="70" t="s">
        <v>10626</v>
      </c>
      <c r="K7" s="70" t="s">
        <v>10627</v>
      </c>
      <c r="L7" s="70" t="s">
        <v>10628</v>
      </c>
      <c r="M7" s="70" t="s">
        <v>10629</v>
      </c>
      <c r="N7" s="70" t="s">
        <v>10617</v>
      </c>
    </row>
    <row r="8" spans="1:14" x14ac:dyDescent="0.3">
      <c r="A8" s="73">
        <v>2020</v>
      </c>
      <c r="B8" s="74">
        <v>142487.64000000001</v>
      </c>
      <c r="C8" s="74">
        <v>146379.81</v>
      </c>
      <c r="D8" s="74">
        <v>149773.19</v>
      </c>
      <c r="E8" s="74">
        <v>181031.16</v>
      </c>
      <c r="F8" s="74">
        <v>146338.34</v>
      </c>
      <c r="G8" s="74">
        <v>149388.69</v>
      </c>
      <c r="H8" s="74">
        <v>190860.33000000002</v>
      </c>
      <c r="I8" s="74">
        <v>186327.87</v>
      </c>
      <c r="J8" s="74">
        <v>156767.32999999999</v>
      </c>
      <c r="K8" s="74">
        <v>134247.91999999998</v>
      </c>
      <c r="L8" s="74">
        <v>144472.79999999999</v>
      </c>
      <c r="M8" s="74">
        <v>158498.99000000002</v>
      </c>
      <c r="N8" s="74">
        <v>1886574.07</v>
      </c>
    </row>
    <row r="9" spans="1:14" x14ac:dyDescent="0.3">
      <c r="A9" s="8" t="s">
        <v>10610</v>
      </c>
      <c r="B9" s="9">
        <v>7212.2399999999989</v>
      </c>
      <c r="C9" s="9">
        <v>8062.74</v>
      </c>
      <c r="D9" s="9">
        <v>6804</v>
      </c>
      <c r="E9" s="9">
        <v>10171.979999999998</v>
      </c>
      <c r="F9" s="9">
        <v>9763.74</v>
      </c>
      <c r="G9" s="9">
        <v>9117.3599999999988</v>
      </c>
      <c r="H9" s="9">
        <v>13267.8</v>
      </c>
      <c r="I9" s="9">
        <v>18881.100000000002</v>
      </c>
      <c r="J9" s="9">
        <v>10342.08</v>
      </c>
      <c r="K9" s="9">
        <v>6361.7400000000007</v>
      </c>
      <c r="L9" s="9">
        <v>10716.3</v>
      </c>
      <c r="M9" s="9">
        <v>13165.74</v>
      </c>
      <c r="N9" s="9">
        <v>123866.82000000002</v>
      </c>
    </row>
    <row r="10" spans="1:14" x14ac:dyDescent="0.3">
      <c r="A10" s="8" t="s">
        <v>10605</v>
      </c>
      <c r="B10" s="9">
        <v>8241</v>
      </c>
      <c r="C10" s="9">
        <v>5225.9999999999991</v>
      </c>
      <c r="D10" s="9">
        <v>11778.599999999999</v>
      </c>
      <c r="E10" s="9">
        <v>19496.999999999996</v>
      </c>
      <c r="F10" s="9">
        <v>6190.7999999999993</v>
      </c>
      <c r="G10" s="9">
        <v>7316.3999999999987</v>
      </c>
      <c r="H10" s="9">
        <v>13949.399999999998</v>
      </c>
      <c r="I10" s="9">
        <v>11778.599999999999</v>
      </c>
      <c r="J10" s="9">
        <v>16039.799999999997</v>
      </c>
      <c r="K10" s="9">
        <v>11175.599999999999</v>
      </c>
      <c r="L10" s="9">
        <v>9165.5999999999985</v>
      </c>
      <c r="M10" s="9">
        <v>14190.599999999999</v>
      </c>
      <c r="N10" s="9">
        <v>134549.4</v>
      </c>
    </row>
    <row r="11" spans="1:14" x14ac:dyDescent="0.3">
      <c r="A11" s="8" t="s">
        <v>10604</v>
      </c>
      <c r="B11" s="9">
        <v>9623.0400000000009</v>
      </c>
      <c r="C11" s="9">
        <v>13016.88</v>
      </c>
      <c r="D11" s="9">
        <v>10396.320000000002</v>
      </c>
      <c r="E11" s="9">
        <v>15938.16</v>
      </c>
      <c r="F11" s="9">
        <v>7646.88</v>
      </c>
      <c r="G11" s="9">
        <v>6701.76</v>
      </c>
      <c r="H11" s="9">
        <v>14864.160000000002</v>
      </c>
      <c r="I11" s="9">
        <v>9107.52</v>
      </c>
      <c r="J11" s="9">
        <v>15207.84</v>
      </c>
      <c r="K11" s="9">
        <v>17098.079999999998</v>
      </c>
      <c r="L11" s="9">
        <v>7947.6</v>
      </c>
      <c r="M11" s="9">
        <v>15594.480000000001</v>
      </c>
      <c r="N11" s="9">
        <v>143142.72</v>
      </c>
    </row>
    <row r="12" spans="1:14" x14ac:dyDescent="0.3">
      <c r="A12" s="8" t="s">
        <v>10603</v>
      </c>
      <c r="B12" s="9">
        <v>9195.1200000000008</v>
      </c>
      <c r="C12" s="9">
        <v>9349.92</v>
      </c>
      <c r="D12" s="9">
        <v>4179.6000000000004</v>
      </c>
      <c r="E12" s="9">
        <v>17987.760000000002</v>
      </c>
      <c r="F12" s="9">
        <v>11331.359999999999</v>
      </c>
      <c r="G12" s="9">
        <v>17058.96</v>
      </c>
      <c r="H12" s="9">
        <v>8916.48</v>
      </c>
      <c r="I12" s="9">
        <v>12817.440000000002</v>
      </c>
      <c r="J12" s="9">
        <v>17740.080000000002</v>
      </c>
      <c r="K12" s="9">
        <v>5356.08</v>
      </c>
      <c r="L12" s="9">
        <v>9969.119999999999</v>
      </c>
      <c r="M12" s="9">
        <v>9226.08</v>
      </c>
      <c r="N12" s="9">
        <v>133128</v>
      </c>
    </row>
    <row r="13" spans="1:14" x14ac:dyDescent="0.3">
      <c r="A13" s="8" t="s">
        <v>10602</v>
      </c>
      <c r="B13" s="9">
        <v>7104.24</v>
      </c>
      <c r="C13" s="9">
        <v>4587.12</v>
      </c>
      <c r="D13" s="9">
        <v>7153.9199999999992</v>
      </c>
      <c r="E13" s="9">
        <v>4603.6799999999994</v>
      </c>
      <c r="F13" s="9">
        <v>3990.9599999999996</v>
      </c>
      <c r="G13" s="9">
        <v>4587.119999999999</v>
      </c>
      <c r="H13" s="9">
        <v>10863.359999999999</v>
      </c>
      <c r="I13" s="9">
        <v>7932.24</v>
      </c>
      <c r="J13" s="9">
        <v>4139.9999999999991</v>
      </c>
      <c r="K13" s="9">
        <v>5829.119999999999</v>
      </c>
      <c r="L13" s="9">
        <v>2748.96</v>
      </c>
      <c r="M13" s="9">
        <v>8379.36</v>
      </c>
      <c r="N13" s="9">
        <v>71920.079999999987</v>
      </c>
    </row>
    <row r="14" spans="1:14" x14ac:dyDescent="0.3">
      <c r="A14" s="8" t="s">
        <v>10611</v>
      </c>
      <c r="B14" s="9">
        <v>5793.4000000000005</v>
      </c>
      <c r="C14" s="9">
        <v>14867.4</v>
      </c>
      <c r="D14" s="9">
        <v>25546.800000000007</v>
      </c>
      <c r="E14" s="9">
        <v>22405.8</v>
      </c>
      <c r="F14" s="9">
        <v>19753.400000000001</v>
      </c>
      <c r="G14" s="9">
        <v>12494.199999999999</v>
      </c>
      <c r="H14" s="9">
        <v>23871.600000000002</v>
      </c>
      <c r="I14" s="9">
        <v>25895.800000000003</v>
      </c>
      <c r="J14" s="9">
        <v>18846</v>
      </c>
      <c r="K14" s="9">
        <v>25616.6</v>
      </c>
      <c r="L14" s="9">
        <v>21847.4</v>
      </c>
      <c r="M14" s="9">
        <v>22824.600000000002</v>
      </c>
      <c r="N14" s="9">
        <v>239763.00000000003</v>
      </c>
    </row>
    <row r="15" spans="1:14" x14ac:dyDescent="0.3">
      <c r="A15" s="8" t="s">
        <v>10606</v>
      </c>
      <c r="B15" s="9">
        <v>9859.3200000000015</v>
      </c>
      <c r="C15" s="9">
        <v>11593.83</v>
      </c>
      <c r="D15" s="9">
        <v>12932.750000000002</v>
      </c>
      <c r="E15" s="9">
        <v>5416.5399999999991</v>
      </c>
      <c r="F15" s="9">
        <v>18136.28</v>
      </c>
      <c r="G15" s="9">
        <v>10194.050000000001</v>
      </c>
      <c r="H15" s="9">
        <v>17740.689999999999</v>
      </c>
      <c r="I15" s="9">
        <v>12385.01</v>
      </c>
      <c r="J15" s="9">
        <v>8489.9700000000012</v>
      </c>
      <c r="K15" s="9">
        <v>18805.739999999994</v>
      </c>
      <c r="L15" s="9">
        <v>11989.42</v>
      </c>
      <c r="M15" s="9">
        <v>20661.97</v>
      </c>
      <c r="N15" s="9">
        <v>158205.57</v>
      </c>
    </row>
    <row r="16" spans="1:14" x14ac:dyDescent="0.3">
      <c r="A16" s="8" t="s">
        <v>10607</v>
      </c>
      <c r="B16" s="9">
        <v>16520</v>
      </c>
      <c r="C16" s="9">
        <v>20178</v>
      </c>
      <c r="D16" s="9">
        <v>13806</v>
      </c>
      <c r="E16" s="9">
        <v>12980</v>
      </c>
      <c r="F16" s="9">
        <v>21889</v>
      </c>
      <c r="G16" s="9">
        <v>17877</v>
      </c>
      <c r="H16" s="9">
        <v>13157</v>
      </c>
      <c r="I16" s="9">
        <v>22656</v>
      </c>
      <c r="J16" s="9">
        <v>11387</v>
      </c>
      <c r="K16" s="9">
        <v>8496</v>
      </c>
      <c r="L16" s="9">
        <v>15930</v>
      </c>
      <c r="M16" s="9">
        <v>7906</v>
      </c>
      <c r="N16" s="9">
        <v>182782</v>
      </c>
    </row>
    <row r="17" spans="1:14" x14ac:dyDescent="0.3">
      <c r="A17" s="8" t="s">
        <v>10608</v>
      </c>
      <c r="B17" s="9">
        <v>39540.960000000006</v>
      </c>
      <c r="C17" s="9">
        <v>27418.32</v>
      </c>
      <c r="D17" s="9">
        <v>17817.84</v>
      </c>
      <c r="E17" s="9">
        <v>44259.839999999997</v>
      </c>
      <c r="F17" s="9">
        <v>32218.559999999998</v>
      </c>
      <c r="G17" s="9">
        <v>16353.36</v>
      </c>
      <c r="H17" s="9">
        <v>39947.760000000002</v>
      </c>
      <c r="I17" s="9">
        <v>28964.16</v>
      </c>
      <c r="J17" s="9">
        <v>41168.160000000003</v>
      </c>
      <c r="K17" s="9">
        <v>8217.36</v>
      </c>
      <c r="L17" s="9">
        <v>18631.440000000002</v>
      </c>
      <c r="M17" s="9">
        <v>29696.400000000001</v>
      </c>
      <c r="N17" s="9">
        <v>344234.16000000003</v>
      </c>
    </row>
    <row r="18" spans="1:14" x14ac:dyDescent="0.3">
      <c r="A18" s="8" t="s">
        <v>10609</v>
      </c>
      <c r="B18" s="9">
        <v>29398.32</v>
      </c>
      <c r="C18" s="9">
        <v>32079.600000000002</v>
      </c>
      <c r="D18" s="9">
        <v>39357.360000000001</v>
      </c>
      <c r="E18" s="9">
        <v>27770.400000000001</v>
      </c>
      <c r="F18" s="9">
        <v>15417.36</v>
      </c>
      <c r="G18" s="9">
        <v>47688.480000000003</v>
      </c>
      <c r="H18" s="9">
        <v>34282.080000000002</v>
      </c>
      <c r="I18" s="9">
        <v>35910</v>
      </c>
      <c r="J18" s="9">
        <v>13406.400000000001</v>
      </c>
      <c r="K18" s="9">
        <v>27291.600000000002</v>
      </c>
      <c r="L18" s="9">
        <v>35526.960000000006</v>
      </c>
      <c r="M18" s="9">
        <v>16853.760000000002</v>
      </c>
      <c r="N18" s="9">
        <v>354982.32</v>
      </c>
    </row>
    <row r="19" spans="1:14" x14ac:dyDescent="0.3">
      <c r="A19" s="141">
        <v>2021</v>
      </c>
      <c r="B19" s="74">
        <v>208752.62</v>
      </c>
      <c r="C19" s="74">
        <v>130294.25999999998</v>
      </c>
      <c r="D19" s="74">
        <v>173392.39</v>
      </c>
      <c r="E19" s="74">
        <v>207019.63999999996</v>
      </c>
      <c r="F19" s="74">
        <v>160355.14000000001</v>
      </c>
      <c r="G19" s="74">
        <v>153727.99000000002</v>
      </c>
      <c r="H19" s="74">
        <v>180401.32</v>
      </c>
      <c r="I19" s="74">
        <v>260332.89000000004</v>
      </c>
      <c r="J19" s="74">
        <v>193832.50999999998</v>
      </c>
      <c r="K19" s="74">
        <v>180337.26</v>
      </c>
      <c r="L19" s="74">
        <v>104820.27000000002</v>
      </c>
      <c r="M19" s="74">
        <v>207966.25000000003</v>
      </c>
      <c r="N19" s="74">
        <v>2161232.54</v>
      </c>
    </row>
    <row r="20" spans="1:14" x14ac:dyDescent="0.3">
      <c r="A20" s="8" t="s">
        <v>10610</v>
      </c>
      <c r="B20" s="9">
        <v>13607.999999999998</v>
      </c>
      <c r="C20" s="9">
        <v>19153.259999999998</v>
      </c>
      <c r="D20" s="9">
        <v>6429.7800000000007</v>
      </c>
      <c r="E20" s="9">
        <v>16193.52</v>
      </c>
      <c r="F20" s="9">
        <v>13539.960000000001</v>
      </c>
      <c r="G20" s="9">
        <v>10444.140000000001</v>
      </c>
      <c r="H20" s="9">
        <v>10954.439999999999</v>
      </c>
      <c r="I20" s="9">
        <v>16023.419999999998</v>
      </c>
      <c r="J20" s="9">
        <v>19561.5</v>
      </c>
      <c r="K20" s="9">
        <v>6838.0199999999995</v>
      </c>
      <c r="L20" s="9">
        <v>5647.32</v>
      </c>
      <c r="M20" s="9">
        <v>14186.340000000002</v>
      </c>
      <c r="N20" s="9">
        <v>152579.70000000001</v>
      </c>
    </row>
    <row r="21" spans="1:14" x14ac:dyDescent="0.3">
      <c r="A21" s="8" t="s">
        <v>10605</v>
      </c>
      <c r="B21" s="9">
        <v>17446.799999999996</v>
      </c>
      <c r="C21" s="9">
        <v>15919.199999999997</v>
      </c>
      <c r="D21" s="9">
        <v>10572.599999999999</v>
      </c>
      <c r="E21" s="9">
        <v>23677.799999999996</v>
      </c>
      <c r="F21" s="9">
        <v>13024.8</v>
      </c>
      <c r="G21" s="9">
        <v>7637.9999999999991</v>
      </c>
      <c r="H21" s="9">
        <v>11376.599999999999</v>
      </c>
      <c r="I21" s="9">
        <v>25084.800000000003</v>
      </c>
      <c r="J21" s="9">
        <v>16120.199999999997</v>
      </c>
      <c r="K21" s="9">
        <v>7999.7999999999984</v>
      </c>
      <c r="L21" s="9">
        <v>9647.9999999999982</v>
      </c>
      <c r="M21" s="9">
        <v>14592.599999999999</v>
      </c>
      <c r="N21" s="9">
        <v>173101.19999999998</v>
      </c>
    </row>
    <row r="22" spans="1:14" x14ac:dyDescent="0.3">
      <c r="A22" s="8" t="s">
        <v>10604</v>
      </c>
      <c r="B22" s="9">
        <v>10095.599999999999</v>
      </c>
      <c r="C22" s="9">
        <v>15250.800000000001</v>
      </c>
      <c r="D22" s="9">
        <v>12544.32</v>
      </c>
      <c r="E22" s="9">
        <v>21952.560000000001</v>
      </c>
      <c r="F22" s="9">
        <v>14004.96</v>
      </c>
      <c r="G22" s="9">
        <v>17656.559999999998</v>
      </c>
      <c r="H22" s="9">
        <v>24916.799999999999</v>
      </c>
      <c r="I22" s="9">
        <v>10782.960000000001</v>
      </c>
      <c r="J22" s="9">
        <v>14606.4</v>
      </c>
      <c r="K22" s="9">
        <v>27494.399999999998</v>
      </c>
      <c r="L22" s="9">
        <v>9365.2800000000007</v>
      </c>
      <c r="M22" s="9">
        <v>7045.4400000000005</v>
      </c>
      <c r="N22" s="9">
        <v>185716.08</v>
      </c>
    </row>
    <row r="23" spans="1:14" x14ac:dyDescent="0.3">
      <c r="A23" s="8" t="s">
        <v>10603</v>
      </c>
      <c r="B23" s="9">
        <v>11826.720000000001</v>
      </c>
      <c r="C23" s="9">
        <v>9504.7199999999993</v>
      </c>
      <c r="D23" s="9">
        <v>8297.2800000000007</v>
      </c>
      <c r="E23" s="9">
        <v>5882.4</v>
      </c>
      <c r="F23" s="9">
        <v>7832.880000000001</v>
      </c>
      <c r="G23" s="9">
        <v>10247.76</v>
      </c>
      <c r="H23" s="9">
        <v>12817.440000000002</v>
      </c>
      <c r="I23" s="9">
        <v>7863.84</v>
      </c>
      <c r="J23" s="9">
        <v>7244.64</v>
      </c>
      <c r="K23" s="9">
        <v>6718.32</v>
      </c>
      <c r="L23" s="9">
        <v>5789.52</v>
      </c>
      <c r="M23" s="9">
        <v>11114.640000000001</v>
      </c>
      <c r="N23" s="9">
        <v>105140.16</v>
      </c>
    </row>
    <row r="24" spans="1:14" x14ac:dyDescent="0.3">
      <c r="A24" s="8" t="s">
        <v>10602</v>
      </c>
      <c r="B24" s="9">
        <v>5564.1599999999989</v>
      </c>
      <c r="C24" s="9">
        <v>5630.4</v>
      </c>
      <c r="D24" s="9">
        <v>4968</v>
      </c>
      <c r="E24" s="9">
        <v>9555.1200000000008</v>
      </c>
      <c r="F24" s="9">
        <v>6259.6799999999994</v>
      </c>
      <c r="G24" s="9">
        <v>6756.4800000000005</v>
      </c>
      <c r="H24" s="9">
        <v>3444.4799999999996</v>
      </c>
      <c r="I24" s="9">
        <v>4818.9599999999991</v>
      </c>
      <c r="J24" s="9">
        <v>8826.4799999999977</v>
      </c>
      <c r="K24" s="9">
        <v>8694</v>
      </c>
      <c r="L24" s="9">
        <v>4371.8399999999992</v>
      </c>
      <c r="M24" s="9">
        <v>8892.7200000000012</v>
      </c>
      <c r="N24" s="9">
        <v>77782.320000000007</v>
      </c>
    </row>
    <row r="25" spans="1:14" x14ac:dyDescent="0.3">
      <c r="A25" s="8" t="s">
        <v>10611</v>
      </c>
      <c r="B25" s="9">
        <v>25686.400000000005</v>
      </c>
      <c r="C25" s="9">
        <v>9143.7999999999993</v>
      </c>
      <c r="D25" s="9">
        <v>32666.400000000001</v>
      </c>
      <c r="E25" s="9">
        <v>17380.2</v>
      </c>
      <c r="F25" s="9">
        <v>29036.800000000003</v>
      </c>
      <c r="G25" s="9">
        <v>18915.8</v>
      </c>
      <c r="H25" s="9">
        <v>23243.4</v>
      </c>
      <c r="I25" s="9">
        <v>24081</v>
      </c>
      <c r="J25" s="9">
        <v>35877.199999999997</v>
      </c>
      <c r="K25" s="9">
        <v>20800.400000000001</v>
      </c>
      <c r="L25" s="9">
        <v>29455.600000000006</v>
      </c>
      <c r="M25" s="9">
        <v>25965.600000000002</v>
      </c>
      <c r="N25" s="9">
        <v>292252.59999999998</v>
      </c>
    </row>
    <row r="26" spans="1:14" x14ac:dyDescent="0.3">
      <c r="A26" s="8" t="s">
        <v>10606</v>
      </c>
      <c r="B26" s="9">
        <v>13815.220000000001</v>
      </c>
      <c r="C26" s="9">
        <v>11198.239999999998</v>
      </c>
      <c r="D26" s="9">
        <v>13723.930000000002</v>
      </c>
      <c r="E26" s="9">
        <v>11441.680000000002</v>
      </c>
      <c r="F26" s="9">
        <v>12841.46</v>
      </c>
      <c r="G26" s="9">
        <v>8855.1299999999992</v>
      </c>
      <c r="H26" s="9">
        <v>14484.68</v>
      </c>
      <c r="I26" s="9">
        <v>14028.23</v>
      </c>
      <c r="J26" s="9">
        <v>15428.01</v>
      </c>
      <c r="K26" s="9">
        <v>18988.32</v>
      </c>
      <c r="L26" s="9">
        <v>4534.0700000000006</v>
      </c>
      <c r="M26" s="9">
        <v>3560.31</v>
      </c>
      <c r="N26" s="9">
        <v>142899.28</v>
      </c>
    </row>
    <row r="27" spans="1:14" x14ac:dyDescent="0.3">
      <c r="A27" s="8" t="s">
        <v>10607</v>
      </c>
      <c r="B27" s="9">
        <v>17523</v>
      </c>
      <c r="C27" s="9">
        <v>10620</v>
      </c>
      <c r="D27" s="9">
        <v>21594</v>
      </c>
      <c r="E27" s="9">
        <v>39943</v>
      </c>
      <c r="F27" s="9">
        <v>13393</v>
      </c>
      <c r="G27" s="9">
        <v>29441</v>
      </c>
      <c r="H27" s="9">
        <v>30503</v>
      </c>
      <c r="I27" s="9">
        <v>9676</v>
      </c>
      <c r="J27" s="9">
        <v>13806</v>
      </c>
      <c r="K27" s="9">
        <v>20650</v>
      </c>
      <c r="L27" s="9">
        <v>3186</v>
      </c>
      <c r="M27" s="9">
        <v>41713</v>
      </c>
      <c r="N27" s="9">
        <v>252048</v>
      </c>
    </row>
    <row r="28" spans="1:14" x14ac:dyDescent="0.3">
      <c r="A28" s="8" t="s">
        <v>10608</v>
      </c>
      <c r="B28" s="9">
        <v>58904.639999999992</v>
      </c>
      <c r="C28" s="9">
        <v>24489.360000000001</v>
      </c>
      <c r="D28" s="9">
        <v>26686.080000000002</v>
      </c>
      <c r="E28" s="9">
        <v>45480.240000000005</v>
      </c>
      <c r="F28" s="9">
        <v>12692.160000000002</v>
      </c>
      <c r="G28" s="9">
        <v>18875.52</v>
      </c>
      <c r="H28" s="9">
        <v>21560.400000000001</v>
      </c>
      <c r="I28" s="9">
        <v>52884</v>
      </c>
      <c r="J28" s="9">
        <v>25302.959999999999</v>
      </c>
      <c r="K28" s="9">
        <v>30265.920000000006</v>
      </c>
      <c r="L28" s="9">
        <v>8786.880000000001</v>
      </c>
      <c r="M28" s="9">
        <v>37995.119999999995</v>
      </c>
      <c r="N28" s="9">
        <v>363923.27999999997</v>
      </c>
    </row>
    <row r="29" spans="1:14" x14ac:dyDescent="0.3">
      <c r="A29" s="8" t="s">
        <v>10609</v>
      </c>
      <c r="B29" s="9">
        <v>34282.080000000009</v>
      </c>
      <c r="C29" s="9">
        <v>9384.4800000000014</v>
      </c>
      <c r="D29" s="9">
        <v>35910</v>
      </c>
      <c r="E29" s="9">
        <v>15513.119999999999</v>
      </c>
      <c r="F29" s="9">
        <v>37729.439999999995</v>
      </c>
      <c r="G29" s="9">
        <v>24897.600000000002</v>
      </c>
      <c r="H29" s="9">
        <v>27100.080000000002</v>
      </c>
      <c r="I29" s="9">
        <v>95089.680000000022</v>
      </c>
      <c r="J29" s="9">
        <v>37059.120000000003</v>
      </c>
      <c r="K29" s="9">
        <v>31888.080000000002</v>
      </c>
      <c r="L29" s="9">
        <v>24035.760000000002</v>
      </c>
      <c r="M29" s="9">
        <v>42900.480000000003</v>
      </c>
      <c r="N29" s="9">
        <v>415789.92</v>
      </c>
    </row>
    <row r="30" spans="1:14" x14ac:dyDescent="0.3">
      <c r="A30" s="73">
        <v>2022</v>
      </c>
      <c r="B30" s="74">
        <v>177149.19</v>
      </c>
      <c r="C30" s="74">
        <v>209240.88999999998</v>
      </c>
      <c r="D30" s="74">
        <v>223085.6</v>
      </c>
      <c r="E30" s="74">
        <v>194133.21000000002</v>
      </c>
      <c r="F30" s="74">
        <v>236156.30000000002</v>
      </c>
      <c r="G30" s="74">
        <v>189018.45</v>
      </c>
      <c r="H30" s="74">
        <v>159929.96999999997</v>
      </c>
      <c r="I30" s="74">
        <v>220596.85</v>
      </c>
      <c r="J30" s="74">
        <v>224564.06</v>
      </c>
      <c r="K30" s="74">
        <v>222879.73000000004</v>
      </c>
      <c r="L30" s="74">
        <v>261766.43999999997</v>
      </c>
      <c r="M30" s="74">
        <v>193515.7</v>
      </c>
      <c r="N30" s="74">
        <v>2512036.39</v>
      </c>
    </row>
    <row r="31" spans="1:14" x14ac:dyDescent="0.3">
      <c r="A31" s="8" t="s">
        <v>10610</v>
      </c>
      <c r="B31" s="9">
        <v>10954.44</v>
      </c>
      <c r="C31" s="9">
        <v>10001.879999999999</v>
      </c>
      <c r="D31" s="9">
        <v>24256.260000000002</v>
      </c>
      <c r="E31" s="9">
        <v>14662.619999999999</v>
      </c>
      <c r="F31" s="9">
        <v>12927.599999999999</v>
      </c>
      <c r="G31" s="9">
        <v>7484.4</v>
      </c>
      <c r="H31" s="9">
        <v>15683.219999999998</v>
      </c>
      <c r="I31" s="9">
        <v>6633.9</v>
      </c>
      <c r="J31" s="9">
        <v>14050.259999999998</v>
      </c>
      <c r="K31" s="9">
        <v>8198.82</v>
      </c>
      <c r="L31" s="9">
        <v>12247.199999999999</v>
      </c>
      <c r="M31" s="9">
        <v>7892.6400000000012</v>
      </c>
      <c r="N31" s="9">
        <v>144993.24</v>
      </c>
    </row>
    <row r="32" spans="1:14" x14ac:dyDescent="0.3">
      <c r="A32" s="8" t="s">
        <v>10605</v>
      </c>
      <c r="B32" s="9">
        <v>21949.199999999997</v>
      </c>
      <c r="C32" s="9">
        <v>14793.599999999999</v>
      </c>
      <c r="D32" s="9">
        <v>12301.199999999999</v>
      </c>
      <c r="E32" s="9">
        <v>20622.600000000002</v>
      </c>
      <c r="F32" s="9">
        <v>9929.4</v>
      </c>
      <c r="G32" s="9">
        <v>14431.799999999997</v>
      </c>
      <c r="H32" s="9">
        <v>17929.2</v>
      </c>
      <c r="I32" s="9">
        <v>13788.599999999999</v>
      </c>
      <c r="J32" s="9">
        <v>15838.799999999997</v>
      </c>
      <c r="K32" s="9">
        <v>27215.4</v>
      </c>
      <c r="L32" s="9">
        <v>15758.400000000001</v>
      </c>
      <c r="M32" s="9">
        <v>10452</v>
      </c>
      <c r="N32" s="9">
        <v>195010.19999999995</v>
      </c>
    </row>
    <row r="33" spans="1:14" x14ac:dyDescent="0.3">
      <c r="A33" s="8" t="s">
        <v>10604</v>
      </c>
      <c r="B33" s="9">
        <v>11942.880000000001</v>
      </c>
      <c r="C33" s="9">
        <v>8119.4400000000005</v>
      </c>
      <c r="D33" s="9">
        <v>16840.32</v>
      </c>
      <c r="E33" s="9">
        <v>17312.88</v>
      </c>
      <c r="F33" s="9">
        <v>19074.240000000002</v>
      </c>
      <c r="G33" s="9">
        <v>18086.160000000003</v>
      </c>
      <c r="H33" s="9">
        <v>9666</v>
      </c>
      <c r="I33" s="9">
        <v>15207.84</v>
      </c>
      <c r="J33" s="9">
        <v>17398.800000000003</v>
      </c>
      <c r="K33" s="9">
        <v>14520.48</v>
      </c>
      <c r="L33" s="9">
        <v>7732.7999999999993</v>
      </c>
      <c r="M33" s="9">
        <v>21394.080000000002</v>
      </c>
      <c r="N33" s="9">
        <v>177295.91999999998</v>
      </c>
    </row>
    <row r="34" spans="1:14" x14ac:dyDescent="0.3">
      <c r="A34" s="8" t="s">
        <v>10603</v>
      </c>
      <c r="B34" s="9">
        <v>4582.08</v>
      </c>
      <c r="C34" s="9">
        <v>11640.960000000001</v>
      </c>
      <c r="D34" s="9">
        <v>6470.64</v>
      </c>
      <c r="E34" s="9">
        <v>6532.56</v>
      </c>
      <c r="F34" s="9">
        <v>6284.88</v>
      </c>
      <c r="G34" s="9">
        <v>3312.7200000000003</v>
      </c>
      <c r="H34" s="9">
        <v>5046.4799999999996</v>
      </c>
      <c r="I34" s="9">
        <v>13281.840000000002</v>
      </c>
      <c r="J34" s="9">
        <v>10526.4</v>
      </c>
      <c r="K34" s="9">
        <v>9195.1200000000008</v>
      </c>
      <c r="L34" s="9">
        <v>17585.280000000002</v>
      </c>
      <c r="M34" s="9">
        <v>2507.7600000000002</v>
      </c>
      <c r="N34" s="9">
        <v>96966.720000000001</v>
      </c>
    </row>
    <row r="35" spans="1:14" x14ac:dyDescent="0.3">
      <c r="A35" s="8" t="s">
        <v>10602</v>
      </c>
      <c r="B35" s="9">
        <v>4338.72</v>
      </c>
      <c r="C35" s="9">
        <v>3295.44</v>
      </c>
      <c r="D35" s="9">
        <v>9654.48</v>
      </c>
      <c r="E35" s="9">
        <v>13264.559999999998</v>
      </c>
      <c r="F35" s="9">
        <v>13512.96</v>
      </c>
      <c r="G35" s="9">
        <v>3047.04</v>
      </c>
      <c r="H35" s="9">
        <v>3278.8799999999997</v>
      </c>
      <c r="I35" s="9">
        <v>12701.519999999999</v>
      </c>
      <c r="J35" s="9">
        <v>11045.52</v>
      </c>
      <c r="K35" s="9">
        <v>9720.7199999999993</v>
      </c>
      <c r="L35" s="9">
        <v>4802.3999999999996</v>
      </c>
      <c r="M35" s="9">
        <v>13529.519999999999</v>
      </c>
      <c r="N35" s="9">
        <v>102191.76</v>
      </c>
    </row>
    <row r="36" spans="1:14" x14ac:dyDescent="0.3">
      <c r="A36" s="8" t="s">
        <v>10611</v>
      </c>
      <c r="B36" s="9">
        <v>23452.799999999999</v>
      </c>
      <c r="C36" s="9">
        <v>52978.200000000004</v>
      </c>
      <c r="D36" s="9">
        <v>29944.200000000004</v>
      </c>
      <c r="E36" s="9">
        <v>28967.000000000004</v>
      </c>
      <c r="F36" s="9">
        <v>34132.199999999997</v>
      </c>
      <c r="G36" s="9">
        <v>12354.599999999999</v>
      </c>
      <c r="H36" s="9">
        <v>32666.400000000001</v>
      </c>
      <c r="I36" s="9">
        <v>45509.599999999999</v>
      </c>
      <c r="J36" s="9">
        <v>24779</v>
      </c>
      <c r="K36" s="9">
        <v>36714.799999999996</v>
      </c>
      <c r="L36" s="9">
        <v>40484</v>
      </c>
      <c r="M36" s="9">
        <v>16403</v>
      </c>
      <c r="N36" s="9">
        <v>378385.8</v>
      </c>
    </row>
    <row r="37" spans="1:14" x14ac:dyDescent="0.3">
      <c r="A37" s="8" t="s">
        <v>10606</v>
      </c>
      <c r="B37" s="9">
        <v>13541.349999999999</v>
      </c>
      <c r="C37" s="9">
        <v>15549.73</v>
      </c>
      <c r="D37" s="9">
        <v>60.86</v>
      </c>
      <c r="E37" s="9">
        <v>13297.91</v>
      </c>
      <c r="F37" s="9">
        <v>15275.86</v>
      </c>
      <c r="G37" s="9">
        <v>15062.849999999999</v>
      </c>
      <c r="H37" s="9">
        <v>8915.99</v>
      </c>
      <c r="I37" s="9">
        <v>19992.509999999998</v>
      </c>
      <c r="J37" s="9">
        <v>14484.68</v>
      </c>
      <c r="K37" s="9">
        <v>11715.55</v>
      </c>
      <c r="L37" s="9">
        <v>15093.279999999999</v>
      </c>
      <c r="M37" s="9">
        <v>14058.66</v>
      </c>
      <c r="N37" s="9">
        <v>157049.23000000001</v>
      </c>
    </row>
    <row r="38" spans="1:14" x14ac:dyDescent="0.3">
      <c r="A38" s="8" t="s">
        <v>10607</v>
      </c>
      <c r="B38" s="9">
        <v>25547</v>
      </c>
      <c r="C38" s="9">
        <v>16461</v>
      </c>
      <c r="D38" s="9">
        <v>13983</v>
      </c>
      <c r="E38" s="9">
        <v>17759</v>
      </c>
      <c r="F38" s="9">
        <v>39589</v>
      </c>
      <c r="G38" s="9">
        <v>13806</v>
      </c>
      <c r="H38" s="9">
        <v>25783</v>
      </c>
      <c r="I38" s="9">
        <v>43778</v>
      </c>
      <c r="J38" s="9">
        <v>20119</v>
      </c>
      <c r="K38" s="9">
        <v>37111</v>
      </c>
      <c r="L38" s="9">
        <v>43365</v>
      </c>
      <c r="M38" s="9">
        <v>36875</v>
      </c>
      <c r="N38" s="9">
        <v>334176</v>
      </c>
    </row>
    <row r="39" spans="1:14" x14ac:dyDescent="0.3">
      <c r="A39" s="8" t="s">
        <v>10608</v>
      </c>
      <c r="B39" s="9">
        <v>22536.720000000001</v>
      </c>
      <c r="C39" s="9">
        <v>24977.52</v>
      </c>
      <c r="D39" s="9">
        <v>62077.680000000008</v>
      </c>
      <c r="E39" s="9">
        <v>39785.040000000008</v>
      </c>
      <c r="F39" s="9">
        <v>26442.000000000004</v>
      </c>
      <c r="G39" s="9">
        <v>45317.52</v>
      </c>
      <c r="H39" s="9">
        <v>22862.16</v>
      </c>
      <c r="I39" s="9">
        <v>13505.76</v>
      </c>
      <c r="J39" s="9">
        <v>40110.480000000003</v>
      </c>
      <c r="K39" s="9">
        <v>31811.759999999998</v>
      </c>
      <c r="L39" s="9">
        <v>34984.800000000003</v>
      </c>
      <c r="M39" s="9">
        <v>42632.640000000007</v>
      </c>
      <c r="N39" s="9">
        <v>407044.08</v>
      </c>
    </row>
    <row r="40" spans="1:14" x14ac:dyDescent="0.3">
      <c r="A40" s="8" t="s">
        <v>10609</v>
      </c>
      <c r="B40" s="9">
        <v>38304</v>
      </c>
      <c r="C40" s="9">
        <v>51423.12</v>
      </c>
      <c r="D40" s="9">
        <v>47496.959999999999</v>
      </c>
      <c r="E40" s="9">
        <v>21929.040000000001</v>
      </c>
      <c r="F40" s="9">
        <v>58988.160000000011</v>
      </c>
      <c r="G40" s="9">
        <v>56115.360000000015</v>
      </c>
      <c r="H40" s="9">
        <v>18098.64</v>
      </c>
      <c r="I40" s="9">
        <v>36197.280000000006</v>
      </c>
      <c r="J40" s="9">
        <v>56211.12</v>
      </c>
      <c r="K40" s="9">
        <v>36676.080000000002</v>
      </c>
      <c r="L40" s="9">
        <v>69713.279999999999</v>
      </c>
      <c r="M40" s="9">
        <v>27770.400000000001</v>
      </c>
      <c r="N40" s="9">
        <v>518923.44000000006</v>
      </c>
    </row>
    <row r="41" spans="1:14" x14ac:dyDescent="0.3">
      <c r="A41" s="71" t="s">
        <v>10617</v>
      </c>
      <c r="B41" s="72">
        <v>528389.44999999995</v>
      </c>
      <c r="C41" s="72">
        <v>485914.95999999996</v>
      </c>
      <c r="D41" s="72">
        <v>546251.18000000005</v>
      </c>
      <c r="E41" s="72">
        <v>582184.00999999989</v>
      </c>
      <c r="F41" s="72">
        <v>542849.78</v>
      </c>
      <c r="G41" s="72">
        <v>492135.13</v>
      </c>
      <c r="H41" s="72">
        <v>531191.62</v>
      </c>
      <c r="I41" s="72">
        <v>667257.6100000001</v>
      </c>
      <c r="J41" s="72">
        <v>575163.9</v>
      </c>
      <c r="K41" s="72">
        <v>537464.90999999992</v>
      </c>
      <c r="L41" s="72">
        <v>511059.51</v>
      </c>
      <c r="M41" s="72">
        <v>559980.94000000006</v>
      </c>
      <c r="N41" s="72">
        <v>6559843</v>
      </c>
    </row>
  </sheetData>
  <mergeCells count="2">
    <mergeCell ref="A1:N1"/>
    <mergeCell ref="A2:N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00AE-2363-4837-A661-C7653B04BD7E}">
  <sheetPr codeName="Sheet6">
    <tabColor theme="7" tint="-0.249977111117893"/>
  </sheetPr>
  <dimension ref="A1:M30"/>
  <sheetViews>
    <sheetView showGridLines="0" workbookViewId="0">
      <selection sqref="A1:M1"/>
    </sheetView>
  </sheetViews>
  <sheetFormatPr defaultRowHeight="14.4" x14ac:dyDescent="0.3"/>
  <cols>
    <col min="1" max="1" width="26.21875" style="2" bestFit="1" customWidth="1"/>
    <col min="2" max="13" width="13.109375" style="2" bestFit="1" customWidth="1"/>
    <col min="14" max="14" width="8.88671875" style="2"/>
    <col min="15" max="15" width="19.44140625" style="2" bestFit="1" customWidth="1"/>
    <col min="16" max="16" width="7.6640625" style="2" bestFit="1" customWidth="1"/>
    <col min="17" max="16384" width="8.88671875" style="2"/>
  </cols>
  <sheetData>
    <row r="1" spans="1:13" ht="19.8" x14ac:dyDescent="0.4">
      <c r="A1" s="182" t="s">
        <v>10659</v>
      </c>
      <c r="B1" s="182"/>
      <c r="C1" s="182"/>
      <c r="D1" s="182"/>
      <c r="E1" s="182"/>
      <c r="F1" s="182"/>
      <c r="G1" s="182"/>
      <c r="H1" s="182"/>
      <c r="I1" s="182"/>
      <c r="J1" s="182"/>
      <c r="K1" s="182"/>
      <c r="L1" s="182"/>
      <c r="M1" s="182"/>
    </row>
    <row r="4" spans="1:13" ht="15" thickBot="1" x14ac:dyDescent="0.35"/>
    <row r="5" spans="1:13" ht="15" thickBot="1" x14ac:dyDescent="0.35">
      <c r="A5" s="75" t="s">
        <v>10668</v>
      </c>
      <c r="B5" s="76" t="s">
        <v>4239</v>
      </c>
      <c r="C5" s="76" t="s">
        <v>10620</v>
      </c>
      <c r="D5" s="76" t="s">
        <v>10621</v>
      </c>
      <c r="E5" s="76" t="s">
        <v>10622</v>
      </c>
      <c r="F5" s="76" t="s">
        <v>6845</v>
      </c>
      <c r="G5" s="76" t="s">
        <v>10623</v>
      </c>
      <c r="H5" s="76" t="s">
        <v>10624</v>
      </c>
      <c r="I5" s="76" t="s">
        <v>10625</v>
      </c>
      <c r="J5" s="76" t="s">
        <v>10626</v>
      </c>
      <c r="K5" s="76" t="s">
        <v>10627</v>
      </c>
      <c r="L5" s="76" t="s">
        <v>10628</v>
      </c>
      <c r="M5" s="77" t="s">
        <v>10629</v>
      </c>
    </row>
    <row r="6" spans="1:13" x14ac:dyDescent="0.3">
      <c r="A6" s="78" t="s">
        <v>10667</v>
      </c>
      <c r="B6" s="79"/>
      <c r="C6" s="79">
        <f t="shared" ref="C6:M6" si="0">B27</f>
        <v>690440.29499999993</v>
      </c>
      <c r="D6" s="79">
        <f t="shared" si="0"/>
        <v>688326.54300609196</v>
      </c>
      <c r="E6" s="79">
        <f t="shared" si="0"/>
        <v>679881.43101218401</v>
      </c>
      <c r="F6" s="79">
        <f t="shared" si="0"/>
        <v>672640.95901827607</v>
      </c>
      <c r="G6" s="79">
        <f t="shared" si="0"/>
        <v>667529.22702436813</v>
      </c>
      <c r="H6" s="79">
        <f t="shared" si="0"/>
        <v>654775.34503046027</v>
      </c>
      <c r="I6" s="79">
        <f t="shared" si="0"/>
        <v>652242.13803655235</v>
      </c>
      <c r="J6" s="79">
        <f t="shared" si="0"/>
        <v>650691.25104264449</v>
      </c>
      <c r="K6" s="79">
        <f t="shared" si="0"/>
        <v>640596.76404873654</v>
      </c>
      <c r="L6" s="79">
        <f t="shared" si="0"/>
        <v>642016.45205482864</v>
      </c>
      <c r="M6" s="80">
        <f t="shared" si="0"/>
        <v>633794.02506092074</v>
      </c>
    </row>
    <row r="7" spans="1:13" x14ac:dyDescent="0.3">
      <c r="A7" s="97" t="s">
        <v>10656</v>
      </c>
      <c r="B7" s="98"/>
      <c r="C7" s="98"/>
      <c r="D7" s="98"/>
      <c r="E7" s="98"/>
      <c r="F7" s="98"/>
      <c r="G7" s="98"/>
      <c r="H7" s="98"/>
      <c r="I7" s="98"/>
      <c r="J7" s="98"/>
      <c r="K7" s="98"/>
      <c r="L7" s="98"/>
      <c r="M7" s="98"/>
    </row>
    <row r="8" spans="1:13" x14ac:dyDescent="0.3">
      <c r="A8" s="97" t="s">
        <v>10657</v>
      </c>
      <c r="B8" s="98"/>
      <c r="C8" s="98"/>
      <c r="D8" s="98"/>
      <c r="E8" s="98"/>
      <c r="F8" s="98"/>
      <c r="G8" s="98"/>
      <c r="H8" s="98"/>
      <c r="I8" s="98"/>
      <c r="J8" s="98"/>
      <c r="K8" s="98"/>
      <c r="L8" s="98"/>
      <c r="M8" s="98"/>
    </row>
    <row r="9" spans="1:13" x14ac:dyDescent="0.3">
      <c r="A9" s="99" t="s">
        <v>10669</v>
      </c>
      <c r="B9" s="100">
        <f>SUMIFS(OrganizedData[Total Order Value], OrganizedData[Product Name], "Gigastuff", OrganizedData[Order Year], 2022, OrganizedData[Order Month], "Jan")</f>
        <v>22419.18</v>
      </c>
      <c r="C9" s="100">
        <f>SUMIFS(OrganizedData[Total Order Value], OrganizedData[Product Name], "Gigastuff", OrganizedData[Order Year], 2022, OrganizedData[Order Month], "Feb")</f>
        <v>19765.619999999995</v>
      </c>
      <c r="D9" s="100">
        <f>SUMIFS(OrganizedData[Total Order Value], OrganizedData[Product Name], "Gigastuff", OrganizedData[Order Year], 2022, OrganizedData[Order Month], "Mar")</f>
        <v>35006.579999999994</v>
      </c>
      <c r="E9" s="100">
        <f>SUMIFS(OrganizedData[Total Order Value], OrganizedData[Product Name], "Gigastuff", OrganizedData[Order Year], 2022, OrganizedData[Order Month], "Apr")</f>
        <v>27113.94</v>
      </c>
      <c r="F9" s="100">
        <f>SUMIFS(OrganizedData[Total Order Value], OrganizedData[Product Name], "Gigastuff", OrganizedData[Order Year], 2022, OrganizedData[Order Month], "May")</f>
        <v>20582.099999999999</v>
      </c>
      <c r="G9" s="100">
        <f>SUMIFS(OrganizedData[Total Order Value], OrganizedData[Product Name], "Gigastuff", OrganizedData[Order Year], 2022, OrganizedData[Order Month], "Jun")</f>
        <v>26025.300000000003</v>
      </c>
      <c r="H9" s="100">
        <f>SUMIFS(OrganizedData[Total Order Value], OrganizedData[Product Name], "Gigastuff", OrganizedData[Order Year], 2022, OrganizedData[Order Month], "Jul")</f>
        <v>29597.399999999998</v>
      </c>
      <c r="I9" s="100">
        <f>SUMIFS(OrganizedData[Total Order Value], OrganizedData[Product Name], "Gigastuff", OrganizedData[Order Year], 2022, OrganizedData[Order Month], "Aug")</f>
        <v>21228.48</v>
      </c>
      <c r="J9" s="100">
        <f>SUMIFS(OrganizedData[Total Order Value], OrganizedData[Product Name], "Gigastuff", OrganizedData[Order Year], 2022, OrganizedData[Order Month], "Sep")</f>
        <v>23950.079999999998</v>
      </c>
      <c r="K9" s="100">
        <f>SUMIFS(OrganizedData[Total Order Value], OrganizedData[Product Name], "Gigastuff", OrganizedData[Order Year], 2022, OrganizedData[Order Month], "Oct")</f>
        <v>23779.980000000003</v>
      </c>
      <c r="L9" s="100">
        <f>SUMIFS(OrganizedData[Total Order Value], OrganizedData[Product Name], "Gigastuff", OrganizedData[Order Year], 2022, OrganizedData[Order Month], "Nov")</f>
        <v>19595.519999999997</v>
      </c>
      <c r="M9" s="101">
        <f>SUMIFS(OrganizedData[Total Order Value], OrganizedData[Product Name], "Gigastuff", OrganizedData[Order Year], 2022, OrganizedData[Order Month], "Dec")</f>
        <v>16295.580000000002</v>
      </c>
    </row>
    <row r="10" spans="1:13" x14ac:dyDescent="0.3">
      <c r="A10" s="99" t="s">
        <v>10670</v>
      </c>
      <c r="B10" s="100">
        <f>SUMIFS(OrganizedData[Total Order Value], OrganizedData[Product Name], "Hyperwotsit", OrganizedData[Order Year], 2022, OrganizedData[Order Month], "Jan")</f>
        <v>40360.799999999988</v>
      </c>
      <c r="C10" s="100">
        <f>SUMIFS(OrganizedData[Total Order Value], OrganizedData[Product Name], "Hyperwotsit", OrganizedData[Order Year], 2022, OrganizedData[Order Month], "Feb")</f>
        <v>25084.799999999999</v>
      </c>
      <c r="D10" s="100">
        <f>SUMIFS(OrganizedData[Total Order Value], OrganizedData[Product Name], "Hyperwotsit", OrganizedData[Order Year], 2022, OrganizedData[Order Month], "Mar")</f>
        <v>14873.999999999998</v>
      </c>
      <c r="E10" s="100">
        <f>SUMIFS(OrganizedData[Total Order Value], OrganizedData[Product Name], "Hyperwotsit", OrganizedData[Order Year], 2022, OrganizedData[Order Month], "Apr")</f>
        <v>31757.999999999996</v>
      </c>
      <c r="F10" s="100">
        <f>SUMIFS(OrganizedData[Total Order Value], OrganizedData[Product Name], "Hyperwotsit", OrganizedData[Order Year], 2022, OrganizedData[Order Month], "May")</f>
        <v>29707.8</v>
      </c>
      <c r="G10" s="100">
        <f>SUMIFS(OrganizedData[Total Order Value], OrganizedData[Product Name], "Hyperwotsit", OrganizedData[Order Year], 2022, OrganizedData[Order Month], "Jun")</f>
        <v>24682.799999999996</v>
      </c>
      <c r="H10" s="100">
        <f>SUMIFS(OrganizedData[Total Order Value], OrganizedData[Product Name], "Hyperwotsit", OrganizedData[Order Year], 2022, OrganizedData[Order Month], "Jul")</f>
        <v>44903.4</v>
      </c>
      <c r="I10" s="100">
        <f>SUMIFS(OrganizedData[Total Order Value], OrganizedData[Product Name], "Hyperwotsit", OrganizedData[Order Year], 2022, OrganizedData[Order Month], "Aug")</f>
        <v>23436.6</v>
      </c>
      <c r="J10" s="100">
        <f>SUMIFS(OrganizedData[Total Order Value], OrganizedData[Product Name], "Hyperwotsit", OrganizedData[Order Year], 2022, OrganizedData[Order Month], "Sep")</f>
        <v>25446.6</v>
      </c>
      <c r="K10" s="100">
        <f>SUMIFS(OrganizedData[Total Order Value], OrganizedData[Product Name], "Hyperwotsit", OrganizedData[Order Year], 2022, OrganizedData[Order Month], "Oct")</f>
        <v>54390.600000000006</v>
      </c>
      <c r="L10" s="100">
        <f>SUMIFS(OrganizedData[Total Order Value], OrganizedData[Product Name], "Hyperwotsit", OrganizedData[Order Year], 2022, OrganizedData[Order Month], "Nov")</f>
        <v>34572</v>
      </c>
      <c r="M10" s="101">
        <f>SUMIFS(OrganizedData[Total Order Value], OrganizedData[Product Name], "Hyperwotsit", OrganizedData[Order Year], 2022, OrganizedData[Order Month], "Dec")</f>
        <v>18009.599999999999</v>
      </c>
    </row>
    <row r="11" spans="1:13" x14ac:dyDescent="0.3">
      <c r="A11" s="99" t="s">
        <v>10671</v>
      </c>
      <c r="B11" s="100">
        <f>SUMIFS(OrganizedData[Total Order Value], OrganizedData[Product Name], "Superwossname", OrganizedData[Order Year], 2022, OrganizedData[Order Month], "Jan")</f>
        <v>43555.199999999997</v>
      </c>
      <c r="C11" s="100">
        <f>SUMIFS(OrganizedData[Total Order Value], OrganizedData[Product Name], "Superwossname", OrganizedData[Order Year], 2022, OrganizedData[Order Month], "Feb")</f>
        <v>82154.599999999991</v>
      </c>
      <c r="D11" s="100">
        <f>SUMIFS(OrganizedData[Total Order Value], OrganizedData[Product Name], "Superwossname", OrganizedData[Order Year], 2022, OrganizedData[Order Month], "Mar")</f>
        <v>51303</v>
      </c>
      <c r="E11" s="100">
        <f>SUMIFS(OrganizedData[Total Order Value], OrganizedData[Product Name], "Superwossname", OrganizedData[Order Year], 2022, OrganizedData[Order Month], "Apr")</f>
        <v>47394.200000000012</v>
      </c>
      <c r="F11" s="100">
        <f>SUMIFS(OrganizedData[Total Order Value], OrganizedData[Product Name], "Superwossname", OrganizedData[Order Year], 2022, OrganizedData[Order Month], "May")</f>
        <v>64495.199999999997</v>
      </c>
      <c r="G11" s="100">
        <f>SUMIFS(OrganizedData[Total Order Value], OrganizedData[Product Name], "Superwossname", OrganizedData[Order Year], 2022, OrganizedData[Order Month], "Jun")</f>
        <v>32666.400000000001</v>
      </c>
      <c r="H11" s="100">
        <f>SUMIFS(OrganizedData[Total Order Value], OrganizedData[Product Name], "Superwossname", OrganizedData[Order Year], 2022, OrganizedData[Order Month], "Jul")</f>
        <v>51512.4</v>
      </c>
      <c r="I11" s="100">
        <f>SUMIFS(OrganizedData[Total Order Value], OrganizedData[Product Name], "Superwossname", OrganizedData[Order Year], 2022, OrganizedData[Order Month], "Aug")</f>
        <v>84667.400000000009</v>
      </c>
      <c r="J11" s="100">
        <f>SUMIFS(OrganizedData[Total Order Value], OrganizedData[Product Name], "Superwossname", OrganizedData[Order Year], 2022, OrganizedData[Order Month], "Sep")</f>
        <v>44881.399999999994</v>
      </c>
      <c r="K11" s="100">
        <f>SUMIFS(OrganizedData[Total Order Value], OrganizedData[Product Name], "Superwossname", OrganizedData[Order Year], 2022, OrganizedData[Order Month], "Oct")</f>
        <v>64146.200000000019</v>
      </c>
      <c r="L11" s="100">
        <f>SUMIFS(OrganizedData[Total Order Value], OrganizedData[Product Name], "Superwossname", OrganizedData[Order Year], 2022, OrganizedData[Order Month], "Nov")</f>
        <v>47882.80000000001</v>
      </c>
      <c r="M11" s="101">
        <f>SUMIFS(OrganizedData[Total Order Value], OrganizedData[Product Name], "Superwossname", OrganizedData[Order Year], 2022, OrganizedData[Order Month], "Dec")</f>
        <v>40274.6</v>
      </c>
    </row>
    <row r="12" spans="1:13" x14ac:dyDescent="0.3">
      <c r="A12" s="99" t="s">
        <v>10672</v>
      </c>
      <c r="B12" s="100">
        <v>45000</v>
      </c>
      <c r="C12" s="100">
        <v>4000</v>
      </c>
      <c r="D12" s="100">
        <v>4000</v>
      </c>
      <c r="E12" s="100">
        <v>4000</v>
      </c>
      <c r="F12" s="100">
        <v>4000</v>
      </c>
      <c r="G12" s="100">
        <v>4000</v>
      </c>
      <c r="H12" s="100">
        <v>4000</v>
      </c>
      <c r="I12" s="100">
        <v>4000</v>
      </c>
      <c r="J12" s="100">
        <v>4000</v>
      </c>
      <c r="K12" s="100">
        <v>4000</v>
      </c>
      <c r="L12" s="100">
        <v>4000</v>
      </c>
      <c r="M12" s="101">
        <v>4000</v>
      </c>
    </row>
    <row r="13" spans="1:13" ht="15" thickBot="1" x14ac:dyDescent="0.35">
      <c r="A13" s="102" t="s">
        <v>10673</v>
      </c>
      <c r="B13" s="103">
        <v>650000</v>
      </c>
      <c r="C13" s="103"/>
      <c r="D13" s="103"/>
      <c r="E13" s="103"/>
      <c r="F13" s="103"/>
      <c r="G13" s="103"/>
      <c r="H13" s="103"/>
      <c r="I13" s="103"/>
      <c r="J13" s="103"/>
      <c r="K13" s="103"/>
      <c r="L13" s="103"/>
      <c r="M13" s="104"/>
    </row>
    <row r="14" spans="1:13" ht="15" thickBot="1" x14ac:dyDescent="0.35">
      <c r="A14" s="105" t="s">
        <v>10660</v>
      </c>
      <c r="B14" s="81">
        <f>SUM(B9:B13)</f>
        <v>801335.17999999993</v>
      </c>
      <c r="C14" s="81">
        <f>SUM(C9:C13)</f>
        <v>131005.01999999999</v>
      </c>
      <c r="D14" s="81">
        <f t="shared" ref="D14:M14" si="1">SUM(D9:D13)</f>
        <v>105183.57999999999</v>
      </c>
      <c r="E14" s="81">
        <f t="shared" si="1"/>
        <v>110266.14000000001</v>
      </c>
      <c r="F14" s="81">
        <f t="shared" si="1"/>
        <v>118785.09999999999</v>
      </c>
      <c r="G14" s="81">
        <f t="shared" si="1"/>
        <v>87374.5</v>
      </c>
      <c r="H14" s="81">
        <f t="shared" si="1"/>
        <v>130013.20000000001</v>
      </c>
      <c r="I14" s="81">
        <f t="shared" si="1"/>
        <v>133332.48000000001</v>
      </c>
      <c r="J14" s="81">
        <f t="shared" si="1"/>
        <v>98278.079999999987</v>
      </c>
      <c r="K14" s="81">
        <f t="shared" si="1"/>
        <v>146316.78000000003</v>
      </c>
      <c r="L14" s="81">
        <f t="shared" si="1"/>
        <v>106050.32</v>
      </c>
      <c r="M14" s="82">
        <f t="shared" si="1"/>
        <v>78579.78</v>
      </c>
    </row>
    <row r="15" spans="1:13" x14ac:dyDescent="0.3">
      <c r="A15" s="88" t="s">
        <v>10658</v>
      </c>
      <c r="B15" s="89"/>
      <c r="C15" s="89"/>
      <c r="D15" s="89"/>
      <c r="E15" s="89"/>
      <c r="F15" s="89"/>
      <c r="G15" s="89"/>
      <c r="H15" s="89"/>
      <c r="I15" s="89"/>
      <c r="J15" s="89"/>
      <c r="K15" s="89"/>
      <c r="L15" s="89"/>
      <c r="M15" s="89"/>
    </row>
    <row r="16" spans="1:13" x14ac:dyDescent="0.3">
      <c r="A16" s="90" t="s">
        <v>10739</v>
      </c>
      <c r="B16" s="91">
        <v>30000</v>
      </c>
      <c r="C16" s="91">
        <v>30000</v>
      </c>
      <c r="D16" s="91">
        <v>30000</v>
      </c>
      <c r="E16" s="91">
        <v>30000</v>
      </c>
      <c r="F16" s="91">
        <v>30000</v>
      </c>
      <c r="G16" s="91">
        <v>30000</v>
      </c>
      <c r="H16" s="91">
        <v>30000</v>
      </c>
      <c r="I16" s="91">
        <v>30000</v>
      </c>
      <c r="J16" s="91">
        <v>30000</v>
      </c>
      <c r="K16" s="91">
        <v>30000</v>
      </c>
      <c r="L16" s="91">
        <v>30000</v>
      </c>
      <c r="M16" s="92">
        <v>30000</v>
      </c>
    </row>
    <row r="17" spans="1:13" x14ac:dyDescent="0.3">
      <c r="A17" s="90" t="s">
        <v>10675</v>
      </c>
      <c r="B17" s="91">
        <v>0</v>
      </c>
      <c r="C17" s="91">
        <f>ABS(PMT('Reference Sheet'!$B$17/12,'Reference Sheet'!$B$16,$B$13))</f>
        <v>6674.0069939079031</v>
      </c>
      <c r="D17" s="91">
        <f>ABS(PMT('Reference Sheet'!$B$17/12,'Reference Sheet'!$B$16,$B$13))</f>
        <v>6674.0069939079031</v>
      </c>
      <c r="E17" s="91">
        <f>ABS(PMT('Reference Sheet'!$B$17/12,'Reference Sheet'!$B$16,$B$13))</f>
        <v>6674.0069939079031</v>
      </c>
      <c r="F17" s="91">
        <f>ABS(PMT('Reference Sheet'!$B$17/12,'Reference Sheet'!$B$16,$B$13))</f>
        <v>6674.0069939079031</v>
      </c>
      <c r="G17" s="91">
        <f>ABS(PMT('Reference Sheet'!$B$17/12,'Reference Sheet'!$B$16,$B$13))</f>
        <v>6674.0069939079031</v>
      </c>
      <c r="H17" s="91">
        <f>ABS(PMT('Reference Sheet'!$B$17/12,'Reference Sheet'!$B$16,$B$13))</f>
        <v>6674.0069939079031</v>
      </c>
      <c r="I17" s="91">
        <f>ABS(PMT('Reference Sheet'!$B$17/12,'Reference Sheet'!$B$16,$B$13))</f>
        <v>6674.0069939079031</v>
      </c>
      <c r="J17" s="91">
        <f>ABS(PMT('Reference Sheet'!$B$17/12,'Reference Sheet'!$B$16,$B$13))</f>
        <v>6674.0069939079031</v>
      </c>
      <c r="K17" s="91">
        <f>ABS(PMT('Reference Sheet'!$B$17/12,'Reference Sheet'!$B$16,$B$13))</f>
        <v>6674.0069939079031</v>
      </c>
      <c r="L17" s="91">
        <f>ABS(PMT('Reference Sheet'!$B$17/12,'Reference Sheet'!$B$16,$B$13))</f>
        <v>6674.0069939079031</v>
      </c>
      <c r="M17" s="92">
        <f>ABS(PMT('Reference Sheet'!$B$17/12,'Reference Sheet'!$B$16,$B$13))</f>
        <v>6674.0069939079031</v>
      </c>
    </row>
    <row r="18" spans="1:13" x14ac:dyDescent="0.3">
      <c r="A18" s="93" t="s">
        <v>10662</v>
      </c>
      <c r="B18" s="91"/>
      <c r="C18" s="91"/>
      <c r="D18" s="91"/>
      <c r="E18" s="91"/>
      <c r="F18" s="91"/>
      <c r="G18" s="91"/>
      <c r="H18" s="91"/>
      <c r="I18" s="91"/>
      <c r="J18" s="91"/>
      <c r="K18" s="91"/>
      <c r="L18" s="91"/>
      <c r="M18" s="92"/>
    </row>
    <row r="19" spans="1:13" x14ac:dyDescent="0.3">
      <c r="A19" s="90" t="s">
        <v>10669</v>
      </c>
      <c r="B19" s="91">
        <f>SUMIFS(OrganizedData[Quantity], OrganizedData[Product Name], "Gigastuff", OrganizedData[Order Year], 2022, OrganizedData[Order Month], "Jan")*'Reference Sheet'!$F$12</f>
        <v>16814.384999999998</v>
      </c>
      <c r="C19" s="91">
        <f>SUMIFS(OrganizedData[Quantity], OrganizedData[Product Name], "Gigastuff", OrganizedData[Order Year], 2022, OrganizedData[Order Month], "Feb")*'Reference Sheet'!$F$12</f>
        <v>14824.214999999998</v>
      </c>
      <c r="D19" s="91">
        <f>SUMIFS(OrganizedData[Quantity], OrganizedData[Product Name], "Gigastuff", OrganizedData[Order Year], 2022, OrganizedData[Order Month], "Mar")*'Reference Sheet'!$F$12</f>
        <v>26254.934999999998</v>
      </c>
      <c r="E19" s="91">
        <f>SUMIFS(OrganizedData[Quantity], OrganizedData[Product Name], "Gigastuff", OrganizedData[Order Year], 2022, OrganizedData[Order Month], "Apr")*'Reference Sheet'!$F$12</f>
        <v>20335.454999999998</v>
      </c>
      <c r="F19" s="91">
        <f>SUMIFS(OrganizedData[Quantity], OrganizedData[Product Name], "Gigastuff", OrganizedData[Order Year], 2022, OrganizedData[Order Month], "May")*'Reference Sheet'!$F$12</f>
        <v>15436.574999999999</v>
      </c>
      <c r="G19" s="91">
        <f>SUMIFS(OrganizedData[Quantity], OrganizedData[Product Name], "Gigastuff", OrganizedData[Order Year], 2022, OrganizedData[Order Month], "Jun")*'Reference Sheet'!$F$12</f>
        <v>19518.974999999999</v>
      </c>
      <c r="H19" s="91">
        <f>SUMIFS(OrganizedData[Quantity], OrganizedData[Product Name], "Gigastuff", OrganizedData[Order Year], 2022, OrganizedData[Order Month], "Jul")*'Reference Sheet'!$F$12</f>
        <v>22198.049999999996</v>
      </c>
      <c r="I19" s="91">
        <f>SUMIFS(OrganizedData[Quantity], OrganizedData[Product Name], "Gigastuff", OrganizedData[Order Year], 2022, OrganizedData[Order Month], "Aug")*'Reference Sheet'!$F$12</f>
        <v>15921.359999999999</v>
      </c>
      <c r="J19" s="91">
        <f>SUMIFS(OrganizedData[Quantity], OrganizedData[Product Name], "Gigastuff", OrganizedData[Order Year], 2022, OrganizedData[Order Month], "Sep")*'Reference Sheet'!$F$12</f>
        <v>17962.559999999998</v>
      </c>
      <c r="K19" s="91">
        <f>SUMIFS(OrganizedData[Quantity], OrganizedData[Product Name], "Gigastuff", OrganizedData[Order Year], 2022, OrganizedData[Order Month], "Oct")*'Reference Sheet'!$F$12</f>
        <v>17834.984999999997</v>
      </c>
      <c r="L19" s="91">
        <f>SUMIFS(OrganizedData[Quantity], OrganizedData[Product Name], "Gigastuff", OrganizedData[Order Year], 2022, OrganizedData[Order Month], "Nov")*'Reference Sheet'!$F$12</f>
        <v>14696.639999999998</v>
      </c>
      <c r="M19" s="91">
        <f>SUMIFS(OrganizedData[Quantity], OrganizedData[Product Name], "Gigastuff", OrganizedData[Order Year], 2022, OrganizedData[Order Month], "Dec")*'Reference Sheet'!$F$12</f>
        <v>12221.684999999998</v>
      </c>
    </row>
    <row r="20" spans="1:13" x14ac:dyDescent="0.3">
      <c r="A20" s="90" t="s">
        <v>10670</v>
      </c>
      <c r="B20" s="91">
        <f>SUMIFS(OrganizedData[Quantity], OrganizedData[Product Name], "Hyperwotsit", OrganizedData[Order Year], 2022, OrganizedData[Order Month], "Jan")*'Reference Sheet'!$F$7</f>
        <v>30270.6</v>
      </c>
      <c r="C20" s="91">
        <f>SUMIFS(OrganizedData[Quantity], OrganizedData[Product Name], "Hyperwotsit", OrganizedData[Order Year], 2022, OrganizedData[Order Month], "Feb")*'Reference Sheet'!$F$7</f>
        <v>18813.599999999999</v>
      </c>
      <c r="D20" s="91">
        <f>SUMIFS(OrganizedData[Quantity], OrganizedData[Product Name], "Hyperwotsit", OrganizedData[Order Year], 2022, OrganizedData[Order Month], "Mar")*'Reference Sheet'!$F$7</f>
        <v>11155.5</v>
      </c>
      <c r="E20" s="91">
        <f>SUMIFS(OrganizedData[Quantity], OrganizedData[Product Name], "Hyperwotsit", OrganizedData[Order Year], 2022, OrganizedData[Order Month], "Apr")*'Reference Sheet'!$F$7</f>
        <v>23818.5</v>
      </c>
      <c r="F20" s="91">
        <f>SUMIFS(OrganizedData[Quantity], OrganizedData[Product Name], "Hyperwotsit", OrganizedData[Order Year], 2022, OrganizedData[Order Month], "May")*'Reference Sheet'!$F$7</f>
        <v>22280.85</v>
      </c>
      <c r="G20" s="91">
        <f>SUMIFS(OrganizedData[Quantity], OrganizedData[Product Name], "Hyperwotsit", OrganizedData[Order Year], 2022, OrganizedData[Order Month], "Jun")*'Reference Sheet'!$F$7</f>
        <v>18512.099999999999</v>
      </c>
      <c r="H20" s="91">
        <f>SUMIFS(OrganizedData[Quantity], OrganizedData[Product Name], "Hyperwotsit", OrganizedData[Order Year], 2022, OrganizedData[Order Month], "Jul")*'Reference Sheet'!$F$7</f>
        <v>33677.549999999996</v>
      </c>
      <c r="I20" s="91">
        <f>SUMIFS(OrganizedData[Quantity], OrganizedData[Product Name], "Hyperwotsit", OrganizedData[Order Year], 2022, OrganizedData[Order Month], "Aug")*'Reference Sheet'!$F$7</f>
        <v>17577.45</v>
      </c>
      <c r="J20" s="91">
        <f>SUMIFS(OrganizedData[Quantity], OrganizedData[Product Name], "Hyperwotsit", OrganizedData[Order Year], 2022, OrganizedData[Order Month], "Sep")*'Reference Sheet'!$F$7</f>
        <v>19084.95</v>
      </c>
      <c r="K20" s="91">
        <f>SUMIFS(OrganizedData[Quantity], OrganizedData[Product Name], "Hyperwotsit", OrganizedData[Order Year], 2022, OrganizedData[Order Month], "Oct")*'Reference Sheet'!$F$7</f>
        <v>40792.949999999997</v>
      </c>
      <c r="L20" s="91">
        <f>SUMIFS(OrganizedData[Quantity], OrganizedData[Product Name], "Hyperwotsit", OrganizedData[Order Year], 2022, OrganizedData[Order Month], "Nov")*'Reference Sheet'!$F$7</f>
        <v>25929</v>
      </c>
      <c r="M20" s="91">
        <f>SUMIFS(OrganizedData[Quantity], OrganizedData[Product Name], "Hyperwotsit", OrganizedData[Order Year], 2022, OrganizedData[Order Month], "Dec")*'Reference Sheet'!$F$7</f>
        <v>13507.199999999999</v>
      </c>
    </row>
    <row r="21" spans="1:13" x14ac:dyDescent="0.3">
      <c r="A21" s="90" t="s">
        <v>10671</v>
      </c>
      <c r="B21" s="91">
        <f>SUMIFS(OrganizedData[Quantity], OrganizedData[Product Name], "Superwossname", OrganizedData[Order Year], 2022, OrganizedData[Order Month], "Jan")*'Reference Sheet'!$F$13</f>
        <v>32666.400000000005</v>
      </c>
      <c r="C21" s="91">
        <f>SUMIFS(OrganizedData[Quantity], OrganizedData[Product Name], "Superwossname", OrganizedData[Order Year], 2022, OrganizedData[Order Month], "Feb")*'Reference Sheet'!$F$13</f>
        <v>61615.950000000012</v>
      </c>
      <c r="D21" s="91">
        <f>SUMIFS(OrganizedData[Quantity], OrganizedData[Product Name], "Superwossname", OrganizedData[Order Year], 2022, OrganizedData[Order Month], "Mar")*'Reference Sheet'!$F$13</f>
        <v>38477.250000000007</v>
      </c>
      <c r="E21" s="91">
        <f>SUMIFS(OrganizedData[Quantity], OrganizedData[Product Name], "Superwossname", OrganizedData[Order Year], 2022, OrganizedData[Order Month], "Apr")*'Reference Sheet'!$F$13</f>
        <v>35545.650000000009</v>
      </c>
      <c r="F21" s="91">
        <f>SUMIFS(OrganizedData[Quantity], OrganizedData[Product Name], "Superwossname", OrganizedData[Order Year], 2022, OrganizedData[Order Month], "May")*'Reference Sheet'!$F$13</f>
        <v>48371.400000000009</v>
      </c>
      <c r="G21" s="91">
        <f>SUMIFS(OrganizedData[Quantity], OrganizedData[Product Name], "Superwossname", OrganizedData[Order Year], 2022, OrganizedData[Order Month], "Jun")*'Reference Sheet'!$F$13</f>
        <v>24499.800000000003</v>
      </c>
      <c r="H21" s="91">
        <f>SUMIFS(OrganizedData[Quantity], OrganizedData[Product Name], "Superwossname", OrganizedData[Order Year], 2022, OrganizedData[Order Month], "Jul")*'Reference Sheet'!$F$13</f>
        <v>38634.300000000003</v>
      </c>
      <c r="I21" s="91">
        <f>SUMIFS(OrganizedData[Quantity], OrganizedData[Product Name], "Superwossname", OrganizedData[Order Year], 2022, OrganizedData[Order Month], "Aug")*'Reference Sheet'!$F$13</f>
        <v>63500.55000000001</v>
      </c>
      <c r="J21" s="91">
        <f>SUMIFS(OrganizedData[Quantity], OrganizedData[Product Name], "Superwossname", OrganizedData[Order Year], 2022, OrganizedData[Order Month], "Sep")*'Reference Sheet'!$F$13</f>
        <v>33661.050000000003</v>
      </c>
      <c r="K21" s="91">
        <f>SUMIFS(OrganizedData[Quantity], OrganizedData[Product Name], "Superwossname", OrganizedData[Order Year], 2022, OrganizedData[Order Month], "Oct")*'Reference Sheet'!$F$13</f>
        <v>48109.650000000009</v>
      </c>
      <c r="L21" s="91">
        <f>SUMIFS(OrganizedData[Quantity], OrganizedData[Product Name], "Superwossname", OrganizedData[Order Year], 2022, OrganizedData[Order Month], "Nov")*'Reference Sheet'!$F$13</f>
        <v>35912.100000000006</v>
      </c>
      <c r="M21" s="91">
        <f>SUMIFS(OrganizedData[Quantity], OrganizedData[Product Name], "Superwossname", OrganizedData[Order Year], 2022, OrganizedData[Order Month], "Dec")*'Reference Sheet'!$F$13</f>
        <v>30205.950000000004</v>
      </c>
    </row>
    <row r="22" spans="1:13" x14ac:dyDescent="0.3">
      <c r="A22" s="93" t="s">
        <v>10663</v>
      </c>
      <c r="B22" s="91"/>
      <c r="C22" s="91"/>
      <c r="D22" s="91"/>
      <c r="E22" s="91"/>
      <c r="F22" s="91"/>
      <c r="G22" s="91"/>
      <c r="H22" s="91"/>
      <c r="I22" s="91"/>
      <c r="J22" s="91"/>
      <c r="K22" s="91"/>
      <c r="L22" s="91"/>
      <c r="M22" s="92"/>
    </row>
    <row r="23" spans="1:13" x14ac:dyDescent="0.3">
      <c r="A23" s="90" t="s">
        <v>10669</v>
      </c>
      <c r="B23" s="91">
        <f>SUMIFS(OrganizedData[Quantity], OrganizedData[Product Name], "Gigastuff", OrganizedData[Order Year], 2022, OrganizedData[Order Month], "Jan")*'Reference Sheet'!$B$19</f>
        <v>329.5</v>
      </c>
      <c r="C23" s="91">
        <f>SUMIFS(OrganizedData[Quantity], OrganizedData[Product Name], "Gigastuff", OrganizedData[Order Year], 2022, OrganizedData[Order Month], "Feb")*'Reference Sheet'!$B$19</f>
        <v>290.5</v>
      </c>
      <c r="D23" s="91">
        <f>SUMIFS(OrganizedData[Quantity], OrganizedData[Product Name], "Gigastuff", OrganizedData[Order Year], 2022, OrganizedData[Order Month], "Mar")*'Reference Sheet'!$B$19</f>
        <v>514.5</v>
      </c>
      <c r="E23" s="91">
        <f>SUMIFS(OrganizedData[Quantity], OrganizedData[Product Name], "Gigastuff", OrganizedData[Order Year], 2022, OrganizedData[Order Month], "Apr")*'Reference Sheet'!$B$19</f>
        <v>398.5</v>
      </c>
      <c r="F23" s="91">
        <f>SUMIFS(OrganizedData[Quantity], OrganizedData[Product Name], "Gigastuff", OrganizedData[Order Year], 2022, OrganizedData[Order Month], "May")*'Reference Sheet'!$B$19</f>
        <v>302.5</v>
      </c>
      <c r="G23" s="91">
        <f>SUMIFS(OrganizedData[Quantity], OrganizedData[Product Name], "Gigastuff", OrganizedData[Order Year], 2022, OrganizedData[Order Month], "Jun")*'Reference Sheet'!$B$19</f>
        <v>382.5</v>
      </c>
      <c r="H23" s="91">
        <f>SUMIFS(OrganizedData[Quantity], OrganizedData[Product Name], "Gigastuff", OrganizedData[Order Year], 2022, OrganizedData[Order Month], "Jul")*'Reference Sheet'!$B$19</f>
        <v>435</v>
      </c>
      <c r="I23" s="91">
        <f>SUMIFS(OrganizedData[Quantity], OrganizedData[Product Name], "Gigastuff", OrganizedData[Order Year], 2022, OrganizedData[Order Month], "Aug")*'Reference Sheet'!$B$19</f>
        <v>312</v>
      </c>
      <c r="J23" s="91">
        <f>SUMIFS(OrganizedData[Quantity], OrganizedData[Product Name], "Gigastuff", OrganizedData[Order Year], 2022, OrganizedData[Order Month], "Sep")*'Reference Sheet'!$B$19</f>
        <v>352</v>
      </c>
      <c r="K23" s="91">
        <f>SUMIFS(OrganizedData[Quantity], OrganizedData[Product Name], "Gigastuff", OrganizedData[Order Year], 2022, OrganizedData[Order Month], "Oct")*'Reference Sheet'!$B$19</f>
        <v>349.5</v>
      </c>
      <c r="L23" s="91">
        <f>SUMIFS(OrganizedData[Quantity], OrganizedData[Product Name], "Gigastuff", OrganizedData[Order Year], 2022, OrganizedData[Order Month], "Nov")*'Reference Sheet'!$B$19</f>
        <v>288</v>
      </c>
      <c r="M23" s="92">
        <f>SUMIFS(OrganizedData[Quantity], OrganizedData[Product Name], "Gigastuff", OrganizedData[Order Year], 2022, OrganizedData[Order Month], "Dec")*'Reference Sheet'!$B$19</f>
        <v>239.5</v>
      </c>
    </row>
    <row r="24" spans="1:13" x14ac:dyDescent="0.3">
      <c r="A24" s="90" t="s">
        <v>10670</v>
      </c>
      <c r="B24" s="91">
        <f>SUMIFS(OrganizedData[Quantity], OrganizedData[Product Name], "Hyperwotsit", OrganizedData[Order Year], 2022, OrganizedData[Order Month], "Jan")*'Reference Sheet'!$B$19</f>
        <v>502</v>
      </c>
      <c r="C24" s="91">
        <f>SUMIFS(OrganizedData[Quantity], OrganizedData[Product Name], "Hyperwotsit", OrganizedData[Order Year], 2022, OrganizedData[Order Month], "Feb")*'Reference Sheet'!$B$19</f>
        <v>312</v>
      </c>
      <c r="D24" s="91">
        <f>SUMIFS(OrganizedData[Quantity], OrganizedData[Product Name], "Hyperwotsit", OrganizedData[Order Year], 2022, OrganizedData[Order Month], "Mar")*'Reference Sheet'!$B$19</f>
        <v>185</v>
      </c>
      <c r="E24" s="91">
        <f>SUMIFS(OrganizedData[Quantity], OrganizedData[Product Name], "Hyperwotsit", OrganizedData[Order Year], 2022, OrganizedData[Order Month], "Apr")*'Reference Sheet'!$B$19</f>
        <v>395</v>
      </c>
      <c r="F24" s="91">
        <f>SUMIFS(OrganizedData[Quantity], OrganizedData[Product Name], "Hyperwotsit", OrganizedData[Order Year], 2022, OrganizedData[Order Month], "May")*'Reference Sheet'!$B$19</f>
        <v>369.5</v>
      </c>
      <c r="G24" s="91">
        <f>SUMIFS(OrganizedData[Quantity], OrganizedData[Product Name], "Hyperwotsit", OrganizedData[Order Year], 2022, OrganizedData[Order Month], "Jun")*'Reference Sheet'!$B$19</f>
        <v>307</v>
      </c>
      <c r="H24" s="91">
        <f>SUMIFS(OrganizedData[Quantity], OrganizedData[Product Name], "Hyperwotsit", OrganizedData[Order Year], 2022, OrganizedData[Order Month], "Jul")*'Reference Sheet'!$B$19</f>
        <v>558.5</v>
      </c>
      <c r="I24" s="91">
        <f>SUMIFS(OrganizedData[Quantity], OrganizedData[Product Name], "Hyperwotsit", OrganizedData[Order Year], 2022, OrganizedData[Order Month], "Aug")*'Reference Sheet'!$B$19</f>
        <v>291.5</v>
      </c>
      <c r="J24" s="91">
        <f>SUMIFS(OrganizedData[Quantity], OrganizedData[Product Name], "Hyperwotsit", OrganizedData[Order Year], 2022, OrganizedData[Order Month], "Sep")*'Reference Sheet'!$B$19</f>
        <v>316.5</v>
      </c>
      <c r="K24" s="91">
        <f>SUMIFS(OrganizedData[Quantity], OrganizedData[Product Name], "Hyperwotsit", OrganizedData[Order Year], 2022, OrganizedData[Order Month], "Oct")*'Reference Sheet'!$B$19</f>
        <v>676.5</v>
      </c>
      <c r="L24" s="91">
        <f>SUMIFS(OrganizedData[Quantity], OrganizedData[Product Name], "Hyperwotsit", OrganizedData[Order Year], 2022, OrganizedData[Order Month], "Nov")*'Reference Sheet'!$B$19</f>
        <v>430</v>
      </c>
      <c r="M24" s="92">
        <f>SUMIFS(OrganizedData[Quantity], OrganizedData[Product Name], "Hyperwotsit", OrganizedData[Order Year], 2022, OrganizedData[Order Month], "Dec")*'Reference Sheet'!$B$19</f>
        <v>224</v>
      </c>
    </row>
    <row r="25" spans="1:13" ht="15" thickBot="1" x14ac:dyDescent="0.35">
      <c r="A25" s="94" t="s">
        <v>10671</v>
      </c>
      <c r="B25" s="95">
        <f>SUMIFS(OrganizedData[Quantity], OrganizedData[Product Name], "Superwossname", OrganizedData[Order Year], 2022, OrganizedData[Order Month], "Jan")*'Reference Sheet'!$B$19</f>
        <v>312</v>
      </c>
      <c r="C25" s="95">
        <f>SUMIFS(OrganizedData[Quantity], OrganizedData[Product Name], "Superwossname", OrganizedData[Order Year], 2022, OrganizedData[Order Month], "Feb")*'Reference Sheet'!$B$19</f>
        <v>588.5</v>
      </c>
      <c r="D25" s="95">
        <f>SUMIFS(OrganizedData[Quantity], OrganizedData[Product Name], "Superwossname", OrganizedData[Order Year], 2022, OrganizedData[Order Month], "Mar")*'Reference Sheet'!$B$19</f>
        <v>367.5</v>
      </c>
      <c r="E25" s="95">
        <f>SUMIFS(OrganizedData[Quantity], OrganizedData[Product Name], "Superwossname", OrganizedData[Order Year], 2022, OrganizedData[Order Month], "Apr")*'Reference Sheet'!$B$19</f>
        <v>339.5</v>
      </c>
      <c r="F25" s="95">
        <f>SUMIFS(OrganizedData[Quantity], OrganizedData[Product Name], "Superwossname", OrganizedData[Order Year], 2022, OrganizedData[Order Month], "May")*'Reference Sheet'!$B$19</f>
        <v>462</v>
      </c>
      <c r="G25" s="95">
        <f>SUMIFS(OrganizedData[Quantity], OrganizedData[Product Name], "Superwossname", OrganizedData[Order Year], 2022, OrganizedData[Order Month], "Jun")*'Reference Sheet'!$B$19</f>
        <v>234</v>
      </c>
      <c r="H25" s="95">
        <f>SUMIFS(OrganizedData[Quantity], OrganizedData[Product Name], "Superwossname", OrganizedData[Order Year], 2022, OrganizedData[Order Month], "Jul")*'Reference Sheet'!$B$19</f>
        <v>369</v>
      </c>
      <c r="I25" s="95">
        <f>SUMIFS(OrganizedData[Quantity], OrganizedData[Product Name], "Superwossname", OrganizedData[Order Year], 2022, OrganizedData[Order Month], "Aug")*'Reference Sheet'!$B$19</f>
        <v>606.5</v>
      </c>
      <c r="J25" s="95">
        <f>SUMIFS(OrganizedData[Quantity], OrganizedData[Product Name], "Superwossname", OrganizedData[Order Year], 2022, OrganizedData[Order Month], "Sep")*'Reference Sheet'!$B$19</f>
        <v>321.5</v>
      </c>
      <c r="K25" s="95">
        <f>SUMIFS(OrganizedData[Quantity], OrganizedData[Product Name], "Superwossname", OrganizedData[Order Year], 2022, OrganizedData[Order Month], "Oct")*'Reference Sheet'!$B$19</f>
        <v>459.5</v>
      </c>
      <c r="L25" s="95">
        <f>SUMIFS(OrganizedData[Quantity], OrganizedData[Product Name], "Superwossname", OrganizedData[Order Year], 2022, OrganizedData[Order Month], "Nov")*'Reference Sheet'!$B$19</f>
        <v>343</v>
      </c>
      <c r="M25" s="96">
        <f>SUMIFS(OrganizedData[Quantity], OrganizedData[Product Name], "Superwossname", OrganizedData[Order Year], 2022, OrganizedData[Order Month], "Dec")*'Reference Sheet'!$B$19</f>
        <v>288.5</v>
      </c>
    </row>
    <row r="26" spans="1:13" ht="15" thickBot="1" x14ac:dyDescent="0.35">
      <c r="A26" s="106" t="s">
        <v>10661</v>
      </c>
      <c r="B26" s="83">
        <f>SUM(B16:B25)</f>
        <v>110894.88499999999</v>
      </c>
      <c r="C26" s="83">
        <f t="shared" ref="C26:M26" si="2">SUM(C16:C25)</f>
        <v>133118.77199390793</v>
      </c>
      <c r="D26" s="83">
        <f t="shared" si="2"/>
        <v>113628.69199390791</v>
      </c>
      <c r="E26" s="83">
        <f t="shared" si="2"/>
        <v>117506.61199390791</v>
      </c>
      <c r="F26" s="83">
        <f t="shared" si="2"/>
        <v>123896.83199390791</v>
      </c>
      <c r="G26" s="83">
        <f t="shared" si="2"/>
        <v>100128.3819939079</v>
      </c>
      <c r="H26" s="83">
        <f t="shared" si="2"/>
        <v>132546.40699390788</v>
      </c>
      <c r="I26" s="83">
        <f t="shared" si="2"/>
        <v>134883.36699390793</v>
      </c>
      <c r="J26" s="83">
        <f t="shared" si="2"/>
        <v>108372.56699390791</v>
      </c>
      <c r="K26" s="83">
        <f t="shared" si="2"/>
        <v>144897.0919939079</v>
      </c>
      <c r="L26" s="83">
        <f t="shared" si="2"/>
        <v>114272.7469939079</v>
      </c>
      <c r="M26" s="84">
        <f t="shared" si="2"/>
        <v>93360.841993907903</v>
      </c>
    </row>
    <row r="27" spans="1:13" ht="15" thickBot="1" x14ac:dyDescent="0.35">
      <c r="A27" s="85" t="s">
        <v>10664</v>
      </c>
      <c r="B27" s="86">
        <f>B14-B26+B6</f>
        <v>690440.29499999993</v>
      </c>
      <c r="C27" s="86">
        <f>C14-C26+C6</f>
        <v>688326.54300609196</v>
      </c>
      <c r="D27" s="86">
        <f>D14-D26+D6</f>
        <v>679881.43101218401</v>
      </c>
      <c r="E27" s="86">
        <f t="shared" ref="E27:M27" si="3">E14-E26+E6</f>
        <v>672640.95901827607</v>
      </c>
      <c r="F27" s="86">
        <f t="shared" si="3"/>
        <v>667529.22702436813</v>
      </c>
      <c r="G27" s="86">
        <f t="shared" si="3"/>
        <v>654775.34503046027</v>
      </c>
      <c r="H27" s="86">
        <f t="shared" si="3"/>
        <v>652242.13803655235</v>
      </c>
      <c r="I27" s="86">
        <f t="shared" si="3"/>
        <v>650691.25104264449</v>
      </c>
      <c r="J27" s="86">
        <f t="shared" si="3"/>
        <v>640596.76404873654</v>
      </c>
      <c r="K27" s="86">
        <f t="shared" si="3"/>
        <v>642016.45205482864</v>
      </c>
      <c r="L27" s="86">
        <f>L14-L26+L6</f>
        <v>633794.02506092074</v>
      </c>
      <c r="M27" s="87">
        <f t="shared" si="3"/>
        <v>619012.96306701284</v>
      </c>
    </row>
    <row r="30" spans="1:13" x14ac:dyDescent="0.3">
      <c r="B30" s="6"/>
      <c r="C30" s="6"/>
      <c r="D30" s="6"/>
      <c r="H30" s="6"/>
    </row>
  </sheetData>
  <mergeCells count="1">
    <mergeCell ref="A1:M1"/>
  </mergeCells>
  <phoneticPr fontId="8" type="noConversion"/>
  <conditionalFormatting sqref="B26 B14">
    <cfRule type="colorScale" priority="12">
      <colorScale>
        <cfvo type="min"/>
        <cfvo type="max"/>
        <color rgb="FFFF7128"/>
        <color rgb="FFFFEF9C"/>
      </colorScale>
    </cfRule>
  </conditionalFormatting>
  <conditionalFormatting sqref="B26 B14">
    <cfRule type="colorScale" priority="11">
      <colorScale>
        <cfvo type="min"/>
        <cfvo type="max"/>
        <color rgb="FFFF0000"/>
        <color theme="9"/>
      </colorScale>
    </cfRule>
  </conditionalFormatting>
  <conditionalFormatting sqref="C14 C26">
    <cfRule type="colorScale" priority="10">
      <colorScale>
        <cfvo type="min"/>
        <cfvo type="max"/>
        <color rgb="FFFF0000"/>
        <color theme="9"/>
      </colorScale>
    </cfRule>
  </conditionalFormatting>
  <conditionalFormatting sqref="D26 D14">
    <cfRule type="colorScale" priority="9">
      <colorScale>
        <cfvo type="min"/>
        <cfvo type="max"/>
        <color rgb="FFFF0000"/>
        <color theme="9"/>
      </colorScale>
    </cfRule>
  </conditionalFormatting>
  <conditionalFormatting sqref="E26 E14">
    <cfRule type="colorScale" priority="8">
      <colorScale>
        <cfvo type="min"/>
        <cfvo type="max"/>
        <color rgb="FFFF0000"/>
        <color theme="9"/>
      </colorScale>
    </cfRule>
  </conditionalFormatting>
  <conditionalFormatting sqref="B14:M14 B26:M26">
    <cfRule type="colorScale" priority="7">
      <colorScale>
        <cfvo type="min"/>
        <cfvo type="max"/>
        <color rgb="FFFF0000"/>
        <color theme="9"/>
      </colorScale>
    </cfRule>
  </conditionalFormatting>
  <conditionalFormatting sqref="B14:M14">
    <cfRule type="colorScale" priority="2">
      <colorScale>
        <cfvo type="min"/>
        <cfvo type="percentile" val="50"/>
        <cfvo type="max"/>
        <color rgb="FFF8696B"/>
        <color rgb="FFFCFCFF"/>
        <color rgb="FF5A8AC6"/>
      </colorScale>
    </cfRule>
    <cfRule type="colorScale" priority="6">
      <colorScale>
        <cfvo type="min"/>
        <cfvo type="percentile" val="50"/>
        <cfvo type="max"/>
        <color rgb="FFF8696B"/>
        <color rgb="FFFFEB84"/>
        <color rgb="FF63BE7B"/>
      </colorScale>
    </cfRule>
  </conditionalFormatting>
  <conditionalFormatting sqref="B26:M26">
    <cfRule type="colorScale" priority="1">
      <colorScale>
        <cfvo type="min"/>
        <cfvo type="percentile" val="50"/>
        <cfvo type="max"/>
        <color rgb="FFF8696B"/>
        <color rgb="FFFCFCFF"/>
        <color rgb="FF5A8AC6"/>
      </colorScale>
    </cfRule>
    <cfRule type="colorScale" priority="5">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user_form">
                <anchor moveWithCells="1" sizeWithCells="1">
                  <from>
                    <xdr:col>11</xdr:col>
                    <xdr:colOff>220980</xdr:colOff>
                    <xdr:row>0</xdr:row>
                    <xdr:rowOff>68580</xdr:rowOff>
                  </from>
                  <to>
                    <xdr:col>13</xdr:col>
                    <xdr:colOff>15240</xdr:colOff>
                    <xdr:row>2</xdr:row>
                    <xdr:rowOff>167640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7CC2F-3D3F-451A-9DF7-C003D9B46286}">
  <sheetPr codeName="Sheet7">
    <tabColor theme="3" tint="0.499984740745262"/>
  </sheetPr>
  <dimension ref="A1:M68"/>
  <sheetViews>
    <sheetView showGridLines="0" workbookViewId="0"/>
  </sheetViews>
  <sheetFormatPr defaultRowHeight="14.4" x14ac:dyDescent="0.3"/>
  <cols>
    <col min="1" max="1" width="26" style="2" customWidth="1"/>
    <col min="2" max="13" width="13.109375" style="2" bestFit="1" customWidth="1"/>
    <col min="14" max="14" width="8.88671875" style="2"/>
    <col min="15" max="15" width="19.44140625" style="2" bestFit="1" customWidth="1"/>
    <col min="16" max="16" width="7.6640625" style="2" bestFit="1" customWidth="1"/>
    <col min="17" max="16384" width="8.88671875" style="2"/>
  </cols>
  <sheetData>
    <row r="1" spans="1:13" x14ac:dyDescent="0.3">
      <c r="A1" s="10" t="s">
        <v>10682</v>
      </c>
    </row>
    <row r="2" spans="1:13" x14ac:dyDescent="0.3">
      <c r="A2" s="2" t="s">
        <v>10680</v>
      </c>
    </row>
    <row r="3" spans="1:13" x14ac:dyDescent="0.3">
      <c r="A3" s="2" t="s">
        <v>10683</v>
      </c>
    </row>
    <row r="4" spans="1:13" x14ac:dyDescent="0.3">
      <c r="A4" s="183" t="s">
        <v>10681</v>
      </c>
      <c r="B4" s="183"/>
      <c r="C4" s="183"/>
      <c r="D4" s="183"/>
      <c r="E4" s="183"/>
      <c r="F4" s="183"/>
      <c r="G4" s="183"/>
      <c r="H4" s="183"/>
      <c r="I4" s="183"/>
      <c r="J4" s="183"/>
      <c r="K4" s="183"/>
      <c r="L4" s="183"/>
      <c r="M4" s="183"/>
    </row>
    <row r="5" spans="1:13" x14ac:dyDescent="0.3">
      <c r="A5" s="183"/>
      <c r="B5" s="183"/>
      <c r="C5" s="183"/>
      <c r="D5" s="183"/>
      <c r="E5" s="183"/>
      <c r="F5" s="183"/>
      <c r="G5" s="183"/>
      <c r="H5" s="183"/>
      <c r="I5" s="183"/>
      <c r="J5" s="183"/>
      <c r="K5" s="183"/>
      <c r="L5" s="183"/>
      <c r="M5" s="183"/>
    </row>
    <row r="6" spans="1:13" x14ac:dyDescent="0.3">
      <c r="A6" s="2" t="s">
        <v>10684</v>
      </c>
    </row>
    <row r="8" spans="1:13" x14ac:dyDescent="0.3">
      <c r="A8" s="2" t="s">
        <v>10686</v>
      </c>
    </row>
    <row r="10" spans="1:13" ht="19.8" x14ac:dyDescent="0.4">
      <c r="A10" s="182" t="s">
        <v>10659</v>
      </c>
      <c r="B10" s="182"/>
      <c r="C10" s="182"/>
      <c r="D10" s="182"/>
      <c r="E10" s="182"/>
      <c r="F10" s="182"/>
      <c r="G10" s="182"/>
      <c r="H10" s="182"/>
      <c r="I10" s="182"/>
      <c r="J10" s="182"/>
      <c r="K10" s="182"/>
      <c r="L10" s="182"/>
      <c r="M10" s="182"/>
    </row>
    <row r="11" spans="1:13" ht="15.6" x14ac:dyDescent="0.3">
      <c r="A11" s="184" t="s">
        <v>10688</v>
      </c>
      <c r="B11" s="184"/>
      <c r="C11" s="184"/>
      <c r="D11" s="184"/>
      <c r="E11" s="184"/>
      <c r="F11" s="184"/>
      <c r="G11" s="184"/>
      <c r="H11" s="184"/>
      <c r="I11" s="184"/>
      <c r="J11" s="184"/>
      <c r="K11" s="184"/>
      <c r="L11" s="184"/>
      <c r="M11" s="184"/>
    </row>
    <row r="12" spans="1:13" ht="15" thickBot="1" x14ac:dyDescent="0.35"/>
    <row r="13" spans="1:13" ht="15" thickBot="1" x14ac:dyDescent="0.35">
      <c r="A13" s="75" t="s">
        <v>10668</v>
      </c>
      <c r="B13" s="76" t="s">
        <v>4239</v>
      </c>
      <c r="C13" s="76" t="s">
        <v>10620</v>
      </c>
      <c r="D13" s="76" t="s">
        <v>10621</v>
      </c>
      <c r="E13" s="76" t="s">
        <v>10622</v>
      </c>
      <c r="F13" s="76" t="s">
        <v>6845</v>
      </c>
      <c r="G13" s="76" t="s">
        <v>10623</v>
      </c>
      <c r="H13" s="76" t="s">
        <v>10624</v>
      </c>
      <c r="I13" s="76" t="s">
        <v>10625</v>
      </c>
      <c r="J13" s="76" t="s">
        <v>10626</v>
      </c>
      <c r="K13" s="76" t="s">
        <v>10627</v>
      </c>
      <c r="L13" s="76" t="s">
        <v>10628</v>
      </c>
      <c r="M13" s="77" t="s">
        <v>10629</v>
      </c>
    </row>
    <row r="14" spans="1:13" x14ac:dyDescent="0.3">
      <c r="A14" s="78" t="s">
        <v>10667</v>
      </c>
      <c r="B14" s="79"/>
      <c r="C14" s="79">
        <f t="shared" ref="C14:M14" si="0">B35</f>
        <v>690440.29499999993</v>
      </c>
      <c r="D14" s="79">
        <f t="shared" si="0"/>
        <v>691461.02954085544</v>
      </c>
      <c r="E14" s="79">
        <f t="shared" si="0"/>
        <v>686150.40408171096</v>
      </c>
      <c r="F14" s="79">
        <f t="shared" si="0"/>
        <v>682044.4186225665</v>
      </c>
      <c r="G14" s="79">
        <f t="shared" si="0"/>
        <v>680067.17316342203</v>
      </c>
      <c r="H14" s="79">
        <f t="shared" si="0"/>
        <v>670447.77770427754</v>
      </c>
      <c r="I14" s="79">
        <f t="shared" si="0"/>
        <v>671049.0572451331</v>
      </c>
      <c r="J14" s="79">
        <f t="shared" si="0"/>
        <v>672632.6567859886</v>
      </c>
      <c r="K14" s="79">
        <f t="shared" si="0"/>
        <v>665672.65632684412</v>
      </c>
      <c r="L14" s="79">
        <f t="shared" si="0"/>
        <v>670226.8308676997</v>
      </c>
      <c r="M14" s="80">
        <f t="shared" si="0"/>
        <v>665138.89040855528</v>
      </c>
    </row>
    <row r="15" spans="1:13" x14ac:dyDescent="0.3">
      <c r="A15" s="97" t="s">
        <v>10656</v>
      </c>
      <c r="B15" s="98"/>
      <c r="C15" s="98"/>
      <c r="D15" s="98"/>
      <c r="E15" s="98"/>
      <c r="F15" s="98"/>
      <c r="G15" s="98"/>
      <c r="H15" s="98"/>
      <c r="I15" s="98"/>
      <c r="J15" s="98"/>
      <c r="K15" s="98"/>
      <c r="L15" s="98"/>
      <c r="M15" s="98"/>
    </row>
    <row r="16" spans="1:13" x14ac:dyDescent="0.3">
      <c r="A16" s="97" t="s">
        <v>10657</v>
      </c>
      <c r="B16" s="98"/>
      <c r="C16" s="98"/>
      <c r="D16" s="98"/>
      <c r="E16" s="98"/>
      <c r="F16" s="98"/>
      <c r="G16" s="98"/>
      <c r="H16" s="98"/>
      <c r="I16" s="98"/>
      <c r="J16" s="98"/>
      <c r="K16" s="98"/>
      <c r="L16" s="98"/>
      <c r="M16" s="98"/>
    </row>
    <row r="17" spans="1:13" x14ac:dyDescent="0.3">
      <c r="A17" s="99" t="s">
        <v>10669</v>
      </c>
      <c r="B17" s="100">
        <f>SUMIFS(OrganizedData[Total Order Value], OrganizedData[Product Name], "Gigastuff", OrganizedData[Order Year], 2022, OrganizedData[Order Month], "Jan")</f>
        <v>22419.18</v>
      </c>
      <c r="C17" s="100">
        <f>SUMIFS(OrganizedData[Total Order Value], OrganizedData[Product Name], "Gigastuff", OrganizedData[Order Year], 2022, OrganizedData[Order Month], "Feb")</f>
        <v>19765.619999999995</v>
      </c>
      <c r="D17" s="100">
        <f>SUMIFS(OrganizedData[Total Order Value], OrganizedData[Product Name], "Gigastuff", OrganizedData[Order Year], 2022, OrganizedData[Order Month], "Mar")</f>
        <v>35006.579999999994</v>
      </c>
      <c r="E17" s="100">
        <f>SUMIFS(OrganizedData[Total Order Value], OrganizedData[Product Name], "Gigastuff", OrganizedData[Order Year], 2022, OrganizedData[Order Month], "Apr")</f>
        <v>27113.94</v>
      </c>
      <c r="F17" s="100">
        <f>SUMIFS(OrganizedData[Total Order Value], OrganizedData[Product Name], "Gigastuff", OrganizedData[Order Year], 2022, OrganizedData[Order Month], "May")</f>
        <v>20582.099999999999</v>
      </c>
      <c r="G17" s="100">
        <f>SUMIFS(OrganizedData[Total Order Value], OrganizedData[Product Name], "Gigastuff", OrganizedData[Order Year], 2022, OrganizedData[Order Month], "Jun")</f>
        <v>26025.300000000003</v>
      </c>
      <c r="H17" s="100">
        <f>SUMIFS(OrganizedData[Total Order Value], OrganizedData[Product Name], "Gigastuff", OrganizedData[Order Year], 2022, OrganizedData[Order Month], "Jul")</f>
        <v>29597.399999999998</v>
      </c>
      <c r="I17" s="100">
        <f>SUMIFS(OrganizedData[Total Order Value], OrganizedData[Product Name], "Gigastuff", OrganizedData[Order Year], 2022, OrganizedData[Order Month], "Aug")</f>
        <v>21228.48</v>
      </c>
      <c r="J17" s="100">
        <f>SUMIFS(OrganizedData[Total Order Value], OrganizedData[Product Name], "Gigastuff", OrganizedData[Order Year], 2022, OrganizedData[Order Month], "Sep")</f>
        <v>23950.079999999998</v>
      </c>
      <c r="K17" s="100">
        <f>SUMIFS(OrganizedData[Total Order Value], OrganizedData[Product Name], "Gigastuff", OrganizedData[Order Year], 2022, OrganizedData[Order Month], "Oct")</f>
        <v>23779.980000000003</v>
      </c>
      <c r="L17" s="100">
        <f>SUMIFS(OrganizedData[Total Order Value], OrganizedData[Product Name], "Gigastuff", OrganizedData[Order Year], 2022, OrganizedData[Order Month], "Nov")</f>
        <v>19595.519999999997</v>
      </c>
      <c r="M17" s="101">
        <f>SUMIFS(OrganizedData[Total Order Value], OrganizedData[Product Name], "Gigastuff", OrganizedData[Order Year], 2022, OrganizedData[Order Month], "Dec")</f>
        <v>16295.580000000002</v>
      </c>
    </row>
    <row r="18" spans="1:13" x14ac:dyDescent="0.3">
      <c r="A18" s="99" t="s">
        <v>10670</v>
      </c>
      <c r="B18" s="100">
        <f>SUMIFS(OrganizedData[Total Order Value], OrganizedData[Product Name], "Hyperwotsit", OrganizedData[Order Year], 2022, OrganizedData[Order Month], "Jan")</f>
        <v>40360.799999999988</v>
      </c>
      <c r="C18" s="100">
        <f>SUMIFS(OrganizedData[Total Order Value], OrganizedData[Product Name], "Hyperwotsit", OrganizedData[Order Year], 2022, OrganizedData[Order Month], "Feb")</f>
        <v>25084.799999999999</v>
      </c>
      <c r="D18" s="100">
        <f>SUMIFS(OrganizedData[Total Order Value], OrganizedData[Product Name], "Hyperwotsit", OrganizedData[Order Year], 2022, OrganizedData[Order Month], "Mar")</f>
        <v>14873.999999999998</v>
      </c>
      <c r="E18" s="100">
        <f>SUMIFS(OrganizedData[Total Order Value], OrganizedData[Product Name], "Hyperwotsit", OrganizedData[Order Year], 2022, OrganizedData[Order Month], "Apr")</f>
        <v>31757.999999999996</v>
      </c>
      <c r="F18" s="100">
        <f>SUMIFS(OrganizedData[Total Order Value], OrganizedData[Product Name], "Hyperwotsit", OrganizedData[Order Year], 2022, OrganizedData[Order Month], "May")</f>
        <v>29707.8</v>
      </c>
      <c r="G18" s="100">
        <f>SUMIFS(OrganizedData[Total Order Value], OrganizedData[Product Name], "Hyperwotsit", OrganizedData[Order Year], 2022, OrganizedData[Order Month], "Jun")</f>
        <v>24682.799999999996</v>
      </c>
      <c r="H18" s="100">
        <f>SUMIFS(OrganizedData[Total Order Value], OrganizedData[Product Name], "Hyperwotsit", OrganizedData[Order Year], 2022, OrganizedData[Order Month], "Jul")</f>
        <v>44903.4</v>
      </c>
      <c r="I18" s="100">
        <f>SUMIFS(OrganizedData[Total Order Value], OrganizedData[Product Name], "Hyperwotsit", OrganizedData[Order Year], 2022, OrganizedData[Order Month], "Aug")</f>
        <v>23436.6</v>
      </c>
      <c r="J18" s="100">
        <f>SUMIFS(OrganizedData[Total Order Value], OrganizedData[Product Name], "Hyperwotsit", OrganizedData[Order Year], 2022, OrganizedData[Order Month], "Sep")</f>
        <v>25446.6</v>
      </c>
      <c r="K18" s="100">
        <f>SUMIFS(OrganizedData[Total Order Value], OrganizedData[Product Name], "Hyperwotsit", OrganizedData[Order Year], 2022, OrganizedData[Order Month], "Oct")</f>
        <v>54390.600000000006</v>
      </c>
      <c r="L18" s="100">
        <f>SUMIFS(OrganizedData[Total Order Value], OrganizedData[Product Name], "Hyperwotsit", OrganizedData[Order Year], 2022, OrganizedData[Order Month], "Nov")</f>
        <v>34572</v>
      </c>
      <c r="M18" s="101">
        <f>SUMIFS(OrganizedData[Total Order Value], OrganizedData[Product Name], "Hyperwotsit", OrganizedData[Order Year], 2022, OrganizedData[Order Month], "Dec")</f>
        <v>18009.599999999999</v>
      </c>
    </row>
    <row r="19" spans="1:13" x14ac:dyDescent="0.3">
      <c r="A19" s="99" t="s">
        <v>10671</v>
      </c>
      <c r="B19" s="100">
        <f>SUMIFS(OrganizedData[Total Order Value], OrganizedData[Product Name], "Superwossname", OrganizedData[Order Year], 2022, OrganizedData[Order Month], "Jan")</f>
        <v>43555.199999999997</v>
      </c>
      <c r="C19" s="100">
        <f>SUMIFS(OrganizedData[Total Order Value], OrganizedData[Product Name], "Superwossname", OrganizedData[Order Year], 2022, OrganizedData[Order Month], "Feb")</f>
        <v>82154.599999999991</v>
      </c>
      <c r="D19" s="100">
        <f>SUMIFS(OrganizedData[Total Order Value], OrganizedData[Product Name], "Superwossname", OrganizedData[Order Year], 2022, OrganizedData[Order Month], "Mar")</f>
        <v>51303</v>
      </c>
      <c r="E19" s="100">
        <f>SUMIFS(OrganizedData[Total Order Value], OrganizedData[Product Name], "Superwossname", OrganizedData[Order Year], 2022, OrganizedData[Order Month], "Apr")</f>
        <v>47394.200000000012</v>
      </c>
      <c r="F19" s="100">
        <f>SUMIFS(OrganizedData[Total Order Value], OrganizedData[Product Name], "Superwossname", OrganizedData[Order Year], 2022, OrganizedData[Order Month], "May")</f>
        <v>64495.199999999997</v>
      </c>
      <c r="G19" s="100">
        <f>SUMIFS(OrganizedData[Total Order Value], OrganizedData[Product Name], "Superwossname", OrganizedData[Order Year], 2022, OrganizedData[Order Month], "Jun")</f>
        <v>32666.400000000001</v>
      </c>
      <c r="H19" s="100">
        <f>SUMIFS(OrganizedData[Total Order Value], OrganizedData[Product Name], "Superwossname", OrganizedData[Order Year], 2022, OrganizedData[Order Month], "Jul")</f>
        <v>51512.4</v>
      </c>
      <c r="I19" s="100">
        <f>SUMIFS(OrganizedData[Total Order Value], OrganizedData[Product Name], "Superwossname", OrganizedData[Order Year], 2022, OrganizedData[Order Month], "Aug")</f>
        <v>84667.400000000009</v>
      </c>
      <c r="J19" s="100">
        <f>SUMIFS(OrganizedData[Total Order Value], OrganizedData[Product Name], "Superwossname", OrganizedData[Order Year], 2022, OrganizedData[Order Month], "Sep")</f>
        <v>44881.399999999994</v>
      </c>
      <c r="K19" s="100">
        <f>SUMIFS(OrganizedData[Total Order Value], OrganizedData[Product Name], "Superwossname", OrganizedData[Order Year], 2022, OrganizedData[Order Month], "Oct")</f>
        <v>64146.200000000019</v>
      </c>
      <c r="L19" s="100">
        <f>SUMIFS(OrganizedData[Total Order Value], OrganizedData[Product Name], "Superwossname", OrganizedData[Order Year], 2022, OrganizedData[Order Month], "Nov")</f>
        <v>47882.80000000001</v>
      </c>
      <c r="M19" s="101">
        <f>SUMIFS(OrganizedData[Total Order Value], OrganizedData[Product Name], "Superwossname", OrganizedData[Order Year], 2022, OrganizedData[Order Month], "Dec")</f>
        <v>40274.6</v>
      </c>
    </row>
    <row r="20" spans="1:13" x14ac:dyDescent="0.3">
      <c r="A20" s="99" t="s">
        <v>10672</v>
      </c>
      <c r="B20" s="100">
        <v>45000</v>
      </c>
      <c r="C20" s="100">
        <v>4000</v>
      </c>
      <c r="D20" s="100">
        <v>4000</v>
      </c>
      <c r="E20" s="100">
        <v>4000</v>
      </c>
      <c r="F20" s="100">
        <v>4000</v>
      </c>
      <c r="G20" s="100">
        <v>4000</v>
      </c>
      <c r="H20" s="100">
        <v>4000</v>
      </c>
      <c r="I20" s="100">
        <v>4000</v>
      </c>
      <c r="J20" s="100">
        <v>4000</v>
      </c>
      <c r="K20" s="100">
        <v>4000</v>
      </c>
      <c r="L20" s="100">
        <v>4000</v>
      </c>
      <c r="M20" s="101">
        <v>4000</v>
      </c>
    </row>
    <row r="21" spans="1:13" ht="15" thickBot="1" x14ac:dyDescent="0.35">
      <c r="A21" s="102" t="s">
        <v>10673</v>
      </c>
      <c r="B21" s="103">
        <v>650000</v>
      </c>
      <c r="C21" s="103"/>
      <c r="D21" s="103"/>
      <c r="E21" s="103"/>
      <c r="F21" s="103"/>
      <c r="G21" s="103"/>
      <c r="H21" s="103"/>
      <c r="I21" s="103"/>
      <c r="J21" s="103"/>
      <c r="K21" s="103"/>
      <c r="L21" s="103"/>
      <c r="M21" s="104"/>
    </row>
    <row r="22" spans="1:13" ht="15" thickBot="1" x14ac:dyDescent="0.35">
      <c r="A22" s="105" t="s">
        <v>10660</v>
      </c>
      <c r="B22" s="107">
        <f>SUM(B17:B21)</f>
        <v>801335.17999999993</v>
      </c>
      <c r="C22" s="107">
        <f t="shared" ref="C22:M22" si="1">SUM(C17:C21)</f>
        <v>131005.01999999999</v>
      </c>
      <c r="D22" s="107">
        <f t="shared" si="1"/>
        <v>105183.57999999999</v>
      </c>
      <c r="E22" s="107">
        <f t="shared" si="1"/>
        <v>110266.14000000001</v>
      </c>
      <c r="F22" s="107">
        <f t="shared" si="1"/>
        <v>118785.09999999999</v>
      </c>
      <c r="G22" s="107">
        <f t="shared" si="1"/>
        <v>87374.5</v>
      </c>
      <c r="H22" s="107">
        <f t="shared" si="1"/>
        <v>130013.20000000001</v>
      </c>
      <c r="I22" s="107">
        <f t="shared" si="1"/>
        <v>133332.48000000001</v>
      </c>
      <c r="J22" s="107">
        <f t="shared" si="1"/>
        <v>98278.079999999987</v>
      </c>
      <c r="K22" s="107">
        <f t="shared" si="1"/>
        <v>146316.78000000003</v>
      </c>
      <c r="L22" s="107">
        <f t="shared" si="1"/>
        <v>106050.32</v>
      </c>
      <c r="M22" s="108">
        <f t="shared" si="1"/>
        <v>78579.78</v>
      </c>
    </row>
    <row r="23" spans="1:13" x14ac:dyDescent="0.3">
      <c r="A23" s="88" t="s">
        <v>10658</v>
      </c>
      <c r="B23" s="89"/>
      <c r="C23" s="89"/>
      <c r="D23" s="89"/>
      <c r="E23" s="89"/>
      <c r="F23" s="89"/>
      <c r="G23" s="89"/>
      <c r="H23" s="89"/>
      <c r="I23" s="89"/>
      <c r="J23" s="89"/>
      <c r="K23" s="89"/>
      <c r="L23" s="89"/>
      <c r="M23" s="89"/>
    </row>
    <row r="24" spans="1:13" x14ac:dyDescent="0.3">
      <c r="A24" s="90" t="s">
        <v>10739</v>
      </c>
      <c r="B24" s="91">
        <v>30000</v>
      </c>
      <c r="C24" s="91">
        <v>30000</v>
      </c>
      <c r="D24" s="91">
        <v>30000</v>
      </c>
      <c r="E24" s="91">
        <v>30000</v>
      </c>
      <c r="F24" s="91">
        <v>30000</v>
      </c>
      <c r="G24" s="91">
        <v>30000</v>
      </c>
      <c r="H24" s="91">
        <v>30000</v>
      </c>
      <c r="I24" s="91">
        <v>30000</v>
      </c>
      <c r="J24" s="91">
        <v>30000</v>
      </c>
      <c r="K24" s="91">
        <v>30000</v>
      </c>
      <c r="L24" s="91">
        <v>30000</v>
      </c>
      <c r="M24" s="92">
        <v>30000</v>
      </c>
    </row>
    <row r="25" spans="1:13" x14ac:dyDescent="0.3">
      <c r="A25" s="90" t="s">
        <v>10675</v>
      </c>
      <c r="B25" s="91">
        <v>0</v>
      </c>
      <c r="C25" s="91">
        <f>ABS(PMT('Reference Sheet'!$B$17/12,'Reference Sheet'!$C$16,$B$21))</f>
        <v>3539.5204591444608</v>
      </c>
      <c r="D25" s="91">
        <f>ABS(PMT('Reference Sheet'!$B$17/12,'Reference Sheet'!$C$16,$B$21))</f>
        <v>3539.5204591444608</v>
      </c>
      <c r="E25" s="91">
        <f>ABS(PMT('Reference Sheet'!$B$17/12,'Reference Sheet'!$C$16,$B$21))</f>
        <v>3539.5204591444608</v>
      </c>
      <c r="F25" s="91">
        <f>ABS(PMT('Reference Sheet'!$B$17/12,'Reference Sheet'!$C$16,$B$21))</f>
        <v>3539.5204591444608</v>
      </c>
      <c r="G25" s="91">
        <f>ABS(PMT('Reference Sheet'!$B$17/12,'Reference Sheet'!$C$16,$B$21))</f>
        <v>3539.5204591444608</v>
      </c>
      <c r="H25" s="91">
        <f>ABS(PMT('Reference Sheet'!$B$17/12,'Reference Sheet'!$C$16,$B$21))</f>
        <v>3539.5204591444608</v>
      </c>
      <c r="I25" s="91">
        <f>ABS(PMT('Reference Sheet'!$B$17/12,'Reference Sheet'!$C$16,$B$21))</f>
        <v>3539.5204591444608</v>
      </c>
      <c r="J25" s="91">
        <f>ABS(PMT('Reference Sheet'!$B$17/12,'Reference Sheet'!$C$16,$B$21))</f>
        <v>3539.5204591444608</v>
      </c>
      <c r="K25" s="91">
        <f>ABS(PMT('Reference Sheet'!$B$17/12,'Reference Sheet'!$C$16,$B$21))</f>
        <v>3539.5204591444608</v>
      </c>
      <c r="L25" s="91">
        <f>ABS(PMT('Reference Sheet'!$B$17/12,'Reference Sheet'!$C$16,$B$21))</f>
        <v>3539.5204591444608</v>
      </c>
      <c r="M25" s="91">
        <f>ABS(PMT('Reference Sheet'!$B$17/12,'Reference Sheet'!$C$16,$B$21))</f>
        <v>3539.5204591444608</v>
      </c>
    </row>
    <row r="26" spans="1:13" x14ac:dyDescent="0.3">
      <c r="A26" s="93" t="s">
        <v>10662</v>
      </c>
      <c r="B26" s="91"/>
      <c r="C26" s="91"/>
      <c r="D26" s="91"/>
      <c r="E26" s="91"/>
      <c r="F26" s="91"/>
      <c r="G26" s="91"/>
      <c r="H26" s="91"/>
      <c r="I26" s="91"/>
      <c r="J26" s="91"/>
      <c r="K26" s="91"/>
      <c r="L26" s="91"/>
      <c r="M26" s="92"/>
    </row>
    <row r="27" spans="1:13" x14ac:dyDescent="0.3">
      <c r="A27" s="90" t="s">
        <v>10669</v>
      </c>
      <c r="B27" s="91">
        <f>SUMIFS(OrganizedData[Quantity], OrganizedData[Product Name], "Gigastuff", OrganizedData[Order Year], 2022, OrganizedData[Order Month], "Jan")*'Reference Sheet'!$F$12</f>
        <v>16814.384999999998</v>
      </c>
      <c r="C27" s="91">
        <f>SUMIFS(OrganizedData[Quantity], OrganizedData[Product Name], "Gigastuff", OrganizedData[Order Year], 2022, OrganizedData[Order Month], "Feb")*'Reference Sheet'!$F$12</f>
        <v>14824.214999999998</v>
      </c>
      <c r="D27" s="91">
        <f>SUMIFS(OrganizedData[Quantity], OrganizedData[Product Name], "Gigastuff", OrganizedData[Order Year], 2022, OrganizedData[Order Month], "Mar")*'Reference Sheet'!$F$12</f>
        <v>26254.934999999998</v>
      </c>
      <c r="E27" s="91">
        <f>SUMIFS(OrganizedData[Quantity], OrganizedData[Product Name], "Gigastuff", OrganizedData[Order Year], 2022, OrganizedData[Order Month], "Apr")*'Reference Sheet'!$F$12</f>
        <v>20335.454999999998</v>
      </c>
      <c r="F27" s="91">
        <f>SUMIFS(OrganizedData[Quantity], OrganizedData[Product Name], "Gigastuff", OrganizedData[Order Year], 2022, OrganizedData[Order Month], "May")*'Reference Sheet'!$F$12</f>
        <v>15436.574999999999</v>
      </c>
      <c r="G27" s="91">
        <f>SUMIFS(OrganizedData[Quantity], OrganizedData[Product Name], "Gigastuff", OrganizedData[Order Year], 2022, OrganizedData[Order Month], "Jun")*'Reference Sheet'!$F$12</f>
        <v>19518.974999999999</v>
      </c>
      <c r="H27" s="91">
        <f>SUMIFS(OrganizedData[Quantity], OrganizedData[Product Name], "Gigastuff", OrganizedData[Order Year], 2022, OrganizedData[Order Month], "Jul")*'Reference Sheet'!$F$12</f>
        <v>22198.049999999996</v>
      </c>
      <c r="I27" s="91">
        <f>SUMIFS(OrganizedData[Quantity], OrganizedData[Product Name], "Gigastuff", OrganizedData[Order Year], 2022, OrganizedData[Order Month], "Aug")*'Reference Sheet'!$F$12</f>
        <v>15921.359999999999</v>
      </c>
      <c r="J27" s="91">
        <f>SUMIFS(OrganizedData[Quantity], OrganizedData[Product Name], "Gigastuff", OrganizedData[Order Year], 2022, OrganizedData[Order Month], "Sep")*'Reference Sheet'!$F$12</f>
        <v>17962.559999999998</v>
      </c>
      <c r="K27" s="91">
        <f>SUMIFS(OrganizedData[Quantity], OrganizedData[Product Name], "Gigastuff", OrganizedData[Order Year], 2022, OrganizedData[Order Month], "Oct")*'Reference Sheet'!$F$12</f>
        <v>17834.984999999997</v>
      </c>
      <c r="L27" s="91">
        <f>SUMIFS(OrganizedData[Quantity], OrganizedData[Product Name], "Gigastuff", OrganizedData[Order Year], 2022, OrganizedData[Order Month], "Nov")*'Reference Sheet'!$F$12</f>
        <v>14696.639999999998</v>
      </c>
      <c r="M27" s="91">
        <f>SUMIFS(OrganizedData[Quantity], OrganizedData[Product Name], "Gigastuff", OrganizedData[Order Year], 2022, OrganizedData[Order Month], "Dec")*'Reference Sheet'!$F$12</f>
        <v>12221.684999999998</v>
      </c>
    </row>
    <row r="28" spans="1:13" x14ac:dyDescent="0.3">
      <c r="A28" s="90" t="s">
        <v>10670</v>
      </c>
      <c r="B28" s="91">
        <f>SUMIFS(OrganizedData[Quantity], OrganizedData[Product Name], "Hyperwotsit", OrganizedData[Order Year], 2022, OrganizedData[Order Month], "Jan")*'Reference Sheet'!$F$7</f>
        <v>30270.6</v>
      </c>
      <c r="C28" s="91">
        <f>SUMIFS(OrganizedData[Quantity], OrganizedData[Product Name], "Hyperwotsit", OrganizedData[Order Year], 2022, OrganizedData[Order Month], "Feb")*'Reference Sheet'!$F$7</f>
        <v>18813.599999999999</v>
      </c>
      <c r="D28" s="91">
        <f>SUMIFS(OrganizedData[Quantity], OrganizedData[Product Name], "Hyperwotsit", OrganizedData[Order Year], 2022, OrganizedData[Order Month], "Mar")*'Reference Sheet'!$F$7</f>
        <v>11155.5</v>
      </c>
      <c r="E28" s="91">
        <f>SUMIFS(OrganizedData[Quantity], OrganizedData[Product Name], "Hyperwotsit", OrganizedData[Order Year], 2022, OrganizedData[Order Month], "Apr")*'Reference Sheet'!$F$7</f>
        <v>23818.5</v>
      </c>
      <c r="F28" s="91">
        <f>SUMIFS(OrganizedData[Quantity], OrganizedData[Product Name], "Hyperwotsit", OrganizedData[Order Year], 2022, OrganizedData[Order Month], "May")*'Reference Sheet'!$F$7</f>
        <v>22280.85</v>
      </c>
      <c r="G28" s="91">
        <f>SUMIFS(OrganizedData[Quantity], OrganizedData[Product Name], "Hyperwotsit", OrganizedData[Order Year], 2022, OrganizedData[Order Month], "Jun")*'Reference Sheet'!$F$7</f>
        <v>18512.099999999999</v>
      </c>
      <c r="H28" s="91">
        <f>SUMIFS(OrganizedData[Quantity], OrganizedData[Product Name], "Hyperwotsit", OrganizedData[Order Year], 2022, OrganizedData[Order Month], "Jul")*'Reference Sheet'!$F$7</f>
        <v>33677.549999999996</v>
      </c>
      <c r="I28" s="91">
        <f>SUMIFS(OrganizedData[Quantity], OrganizedData[Product Name], "Hyperwotsit", OrganizedData[Order Year], 2022, OrganizedData[Order Month], "Aug")*'Reference Sheet'!$F$7</f>
        <v>17577.45</v>
      </c>
      <c r="J28" s="91">
        <f>SUMIFS(OrganizedData[Quantity], OrganizedData[Product Name], "Hyperwotsit", OrganizedData[Order Year], 2022, OrganizedData[Order Month], "Sep")*'Reference Sheet'!$F$7</f>
        <v>19084.95</v>
      </c>
      <c r="K28" s="91">
        <f>SUMIFS(OrganizedData[Quantity], OrganizedData[Product Name], "Hyperwotsit", OrganizedData[Order Year], 2022, OrganizedData[Order Month], "Oct")*'Reference Sheet'!$F$7</f>
        <v>40792.949999999997</v>
      </c>
      <c r="L28" s="91">
        <f>SUMIFS(OrganizedData[Quantity], OrganizedData[Product Name], "Hyperwotsit", OrganizedData[Order Year], 2022, OrganizedData[Order Month], "Nov")*'Reference Sheet'!$F$7</f>
        <v>25929</v>
      </c>
      <c r="M28" s="91">
        <f>SUMIFS(OrganizedData[Quantity], OrganizedData[Product Name], "Hyperwotsit", OrganizedData[Order Year], 2022, OrganizedData[Order Month], "Dec")*'Reference Sheet'!$F$7</f>
        <v>13507.199999999999</v>
      </c>
    </row>
    <row r="29" spans="1:13" x14ac:dyDescent="0.3">
      <c r="A29" s="90" t="s">
        <v>10671</v>
      </c>
      <c r="B29" s="91">
        <f>SUMIFS(OrganizedData[Quantity], OrganizedData[Product Name], "Superwossname", OrganizedData[Order Year], 2022, OrganizedData[Order Month], "Jan")*'Reference Sheet'!$F$13</f>
        <v>32666.400000000005</v>
      </c>
      <c r="C29" s="91">
        <f>SUMIFS(OrganizedData[Quantity], OrganizedData[Product Name], "Superwossname", OrganizedData[Order Year], 2022, OrganizedData[Order Month], "Feb")*'Reference Sheet'!$F$13</f>
        <v>61615.950000000012</v>
      </c>
      <c r="D29" s="91">
        <f>SUMIFS(OrganizedData[Quantity], OrganizedData[Product Name], "Superwossname", OrganizedData[Order Year], 2022, OrganizedData[Order Month], "Mar")*'Reference Sheet'!$F$13</f>
        <v>38477.250000000007</v>
      </c>
      <c r="E29" s="91">
        <f>SUMIFS(OrganizedData[Quantity], OrganizedData[Product Name], "Superwossname", OrganizedData[Order Year], 2022, OrganizedData[Order Month], "Apr")*'Reference Sheet'!$F$13</f>
        <v>35545.650000000009</v>
      </c>
      <c r="F29" s="91">
        <f>SUMIFS(OrganizedData[Quantity], OrganizedData[Product Name], "Superwossname", OrganizedData[Order Year], 2022, OrganizedData[Order Month], "May")*'Reference Sheet'!$F$13</f>
        <v>48371.400000000009</v>
      </c>
      <c r="G29" s="91">
        <f>SUMIFS(OrganizedData[Quantity], OrganizedData[Product Name], "Superwossname", OrganizedData[Order Year], 2022, OrganizedData[Order Month], "Jun")*'Reference Sheet'!$F$13</f>
        <v>24499.800000000003</v>
      </c>
      <c r="H29" s="91">
        <f>SUMIFS(OrganizedData[Quantity], OrganizedData[Product Name], "Superwossname", OrganizedData[Order Year], 2022, OrganizedData[Order Month], "Jul")*'Reference Sheet'!$F$13</f>
        <v>38634.300000000003</v>
      </c>
      <c r="I29" s="91">
        <f>SUMIFS(OrganizedData[Quantity], OrganizedData[Product Name], "Superwossname", OrganizedData[Order Year], 2022, OrganizedData[Order Month], "Aug")*'Reference Sheet'!$F$13</f>
        <v>63500.55000000001</v>
      </c>
      <c r="J29" s="91">
        <f>SUMIFS(OrganizedData[Quantity], OrganizedData[Product Name], "Superwossname", OrganizedData[Order Year], 2022, OrganizedData[Order Month], "Sep")*'Reference Sheet'!$F$13</f>
        <v>33661.050000000003</v>
      </c>
      <c r="K29" s="91">
        <f>SUMIFS(OrganizedData[Quantity], OrganizedData[Product Name], "Superwossname", OrganizedData[Order Year], 2022, OrganizedData[Order Month], "Oct")*'Reference Sheet'!$F$13</f>
        <v>48109.650000000009</v>
      </c>
      <c r="L29" s="91">
        <f>SUMIFS(OrganizedData[Quantity], OrganizedData[Product Name], "Superwossname", OrganizedData[Order Year], 2022, OrganizedData[Order Month], "Nov")*'Reference Sheet'!$F$13</f>
        <v>35912.100000000006</v>
      </c>
      <c r="M29" s="91">
        <f>SUMIFS(OrganizedData[Quantity], OrganizedData[Product Name], "Superwossname", OrganizedData[Order Year], 2022, OrganizedData[Order Month], "Dec")*'Reference Sheet'!$F$13</f>
        <v>30205.950000000004</v>
      </c>
    </row>
    <row r="30" spans="1:13" x14ac:dyDescent="0.3">
      <c r="A30" s="93" t="s">
        <v>10663</v>
      </c>
      <c r="B30" s="91"/>
      <c r="C30" s="91"/>
      <c r="D30" s="91"/>
      <c r="E30" s="91"/>
      <c r="F30" s="91"/>
      <c r="G30" s="91"/>
      <c r="H30" s="91"/>
      <c r="I30" s="91"/>
      <c r="J30" s="91"/>
      <c r="K30" s="91"/>
      <c r="L30" s="91"/>
      <c r="M30" s="92"/>
    </row>
    <row r="31" spans="1:13" x14ac:dyDescent="0.3">
      <c r="A31" s="90" t="s">
        <v>10669</v>
      </c>
      <c r="B31" s="91">
        <f>SUMIFS(OrganizedData[Quantity], OrganizedData[Product Name], "Gigastuff", OrganizedData[Order Year], 2022, OrganizedData[Order Month], "Jan")*'Reference Sheet'!$B$19</f>
        <v>329.5</v>
      </c>
      <c r="C31" s="91">
        <f>SUMIFS(OrganizedData[Quantity], OrganizedData[Product Name], "Gigastuff", OrganizedData[Order Year], 2022, OrganizedData[Order Month], "Feb")*'Reference Sheet'!$B$19</f>
        <v>290.5</v>
      </c>
      <c r="D31" s="91">
        <f>SUMIFS(OrganizedData[Quantity], OrganizedData[Product Name], "Gigastuff", OrganizedData[Order Year], 2022, OrganizedData[Order Month], "Mar")*'Reference Sheet'!$B$19</f>
        <v>514.5</v>
      </c>
      <c r="E31" s="91">
        <f>SUMIFS(OrganizedData[Quantity], OrganizedData[Product Name], "Gigastuff", OrganizedData[Order Year], 2022, OrganizedData[Order Month], "Apr")*'Reference Sheet'!$B$19</f>
        <v>398.5</v>
      </c>
      <c r="F31" s="91">
        <f>SUMIFS(OrganizedData[Quantity], OrganizedData[Product Name], "Gigastuff", OrganizedData[Order Year], 2022, OrganizedData[Order Month], "May")*'Reference Sheet'!$B$19</f>
        <v>302.5</v>
      </c>
      <c r="G31" s="91">
        <f>SUMIFS(OrganizedData[Quantity], OrganizedData[Product Name], "Gigastuff", OrganizedData[Order Year], 2022, OrganizedData[Order Month], "Jun")*'Reference Sheet'!$B$19</f>
        <v>382.5</v>
      </c>
      <c r="H31" s="91">
        <f>SUMIFS(OrganizedData[Quantity], OrganizedData[Product Name], "Gigastuff", OrganizedData[Order Year], 2022, OrganizedData[Order Month], "Jul")*'Reference Sheet'!$B$19</f>
        <v>435</v>
      </c>
      <c r="I31" s="91">
        <f>SUMIFS(OrganizedData[Quantity], OrganizedData[Product Name], "Gigastuff", OrganizedData[Order Year], 2022, OrganizedData[Order Month], "Aug")*'Reference Sheet'!$B$19</f>
        <v>312</v>
      </c>
      <c r="J31" s="91">
        <f>SUMIFS(OrganizedData[Quantity], OrganizedData[Product Name], "Gigastuff", OrganizedData[Order Year], 2022, OrganizedData[Order Month], "Sep")*'Reference Sheet'!$B$19</f>
        <v>352</v>
      </c>
      <c r="K31" s="91">
        <f>SUMIFS(OrganizedData[Quantity], OrganizedData[Product Name], "Gigastuff", OrganizedData[Order Year], 2022, OrganizedData[Order Month], "Oct")*'Reference Sheet'!$B$19</f>
        <v>349.5</v>
      </c>
      <c r="L31" s="91">
        <f>SUMIFS(OrganizedData[Quantity], OrganizedData[Product Name], "Gigastuff", OrganizedData[Order Year], 2022, OrganizedData[Order Month], "Nov")*'Reference Sheet'!$B$19</f>
        <v>288</v>
      </c>
      <c r="M31" s="92">
        <f>SUMIFS(OrganizedData[Quantity], OrganizedData[Product Name], "Gigastuff", OrganizedData[Order Year], 2022, OrganizedData[Order Month], "Dec")*'Reference Sheet'!$B$19</f>
        <v>239.5</v>
      </c>
    </row>
    <row r="32" spans="1:13" x14ac:dyDescent="0.3">
      <c r="A32" s="90" t="s">
        <v>10670</v>
      </c>
      <c r="B32" s="91">
        <f>SUMIFS(OrganizedData[Quantity], OrganizedData[Product Name], "Hyperwotsit", OrganizedData[Order Year], 2022, OrganizedData[Order Month], "Jan")*'Reference Sheet'!$B$19</f>
        <v>502</v>
      </c>
      <c r="C32" s="91">
        <f>SUMIFS(OrganizedData[Quantity], OrganizedData[Product Name], "Hyperwotsit", OrganizedData[Order Year], 2022, OrganizedData[Order Month], "Feb")*'Reference Sheet'!$B$19</f>
        <v>312</v>
      </c>
      <c r="D32" s="91">
        <f>SUMIFS(OrganizedData[Quantity], OrganizedData[Product Name], "Hyperwotsit", OrganizedData[Order Year], 2022, OrganizedData[Order Month], "Mar")*'Reference Sheet'!$B$19</f>
        <v>185</v>
      </c>
      <c r="E32" s="91">
        <f>SUMIFS(OrganizedData[Quantity], OrganizedData[Product Name], "Hyperwotsit", OrganizedData[Order Year], 2022, OrganizedData[Order Month], "Apr")*'Reference Sheet'!$B$19</f>
        <v>395</v>
      </c>
      <c r="F32" s="91">
        <f>SUMIFS(OrganizedData[Quantity], OrganizedData[Product Name], "Hyperwotsit", OrganizedData[Order Year], 2022, OrganizedData[Order Month], "May")*'Reference Sheet'!$B$19</f>
        <v>369.5</v>
      </c>
      <c r="G32" s="91">
        <f>SUMIFS(OrganizedData[Quantity], OrganizedData[Product Name], "Hyperwotsit", OrganizedData[Order Year], 2022, OrganizedData[Order Month], "Jun")*'Reference Sheet'!$B$19</f>
        <v>307</v>
      </c>
      <c r="H32" s="91">
        <f>SUMIFS(OrganizedData[Quantity], OrganizedData[Product Name], "Hyperwotsit", OrganizedData[Order Year], 2022, OrganizedData[Order Month], "Jul")*'Reference Sheet'!$B$19</f>
        <v>558.5</v>
      </c>
      <c r="I32" s="91">
        <f>SUMIFS(OrganizedData[Quantity], OrganizedData[Product Name], "Hyperwotsit", OrganizedData[Order Year], 2022, OrganizedData[Order Month], "Aug")*'Reference Sheet'!$B$19</f>
        <v>291.5</v>
      </c>
      <c r="J32" s="91">
        <f>SUMIFS(OrganizedData[Quantity], OrganizedData[Product Name], "Hyperwotsit", OrganizedData[Order Year], 2022, OrganizedData[Order Month], "Sep")*'Reference Sheet'!$B$19</f>
        <v>316.5</v>
      </c>
      <c r="K32" s="91">
        <f>SUMIFS(OrganizedData[Quantity], OrganizedData[Product Name], "Hyperwotsit", OrganizedData[Order Year], 2022, OrganizedData[Order Month], "Oct")*'Reference Sheet'!$B$19</f>
        <v>676.5</v>
      </c>
      <c r="L32" s="91">
        <f>SUMIFS(OrganizedData[Quantity], OrganizedData[Product Name], "Hyperwotsit", OrganizedData[Order Year], 2022, OrganizedData[Order Month], "Nov")*'Reference Sheet'!$B$19</f>
        <v>430</v>
      </c>
      <c r="M32" s="92">
        <f>SUMIFS(OrganizedData[Quantity], OrganizedData[Product Name], "Hyperwotsit", OrganizedData[Order Year], 2022, OrganizedData[Order Month], "Dec")*'Reference Sheet'!$B$19</f>
        <v>224</v>
      </c>
    </row>
    <row r="33" spans="1:13" ht="15" thickBot="1" x14ac:dyDescent="0.35">
      <c r="A33" s="94" t="s">
        <v>10671</v>
      </c>
      <c r="B33" s="95">
        <f>SUMIFS(OrganizedData[Quantity], OrganizedData[Product Name], "Superwossname", OrganizedData[Order Year], 2022, OrganizedData[Order Month], "Jan")*'Reference Sheet'!$B$19</f>
        <v>312</v>
      </c>
      <c r="C33" s="95">
        <f>SUMIFS(OrganizedData[Quantity], OrganizedData[Product Name], "Superwossname", OrganizedData[Order Year], 2022, OrganizedData[Order Month], "Feb")*'Reference Sheet'!$B$19</f>
        <v>588.5</v>
      </c>
      <c r="D33" s="95">
        <f>SUMIFS(OrganizedData[Quantity], OrganizedData[Product Name], "Superwossname", OrganizedData[Order Year], 2022, OrganizedData[Order Month], "Mar")*'Reference Sheet'!$B$19</f>
        <v>367.5</v>
      </c>
      <c r="E33" s="95">
        <f>SUMIFS(OrganizedData[Quantity], OrganizedData[Product Name], "Superwossname", OrganizedData[Order Year], 2022, OrganizedData[Order Month], "Apr")*'Reference Sheet'!$B$19</f>
        <v>339.5</v>
      </c>
      <c r="F33" s="95">
        <f>SUMIFS(OrganizedData[Quantity], OrganizedData[Product Name], "Superwossname", OrganizedData[Order Year], 2022, OrganizedData[Order Month], "May")*'Reference Sheet'!$B$19</f>
        <v>462</v>
      </c>
      <c r="G33" s="95">
        <f>SUMIFS(OrganizedData[Quantity], OrganizedData[Product Name], "Superwossname", OrganizedData[Order Year], 2022, OrganizedData[Order Month], "Jun")*'Reference Sheet'!$B$19</f>
        <v>234</v>
      </c>
      <c r="H33" s="95">
        <f>SUMIFS(OrganizedData[Quantity], OrganizedData[Product Name], "Superwossname", OrganizedData[Order Year], 2022, OrganizedData[Order Month], "Jul")*'Reference Sheet'!$B$19</f>
        <v>369</v>
      </c>
      <c r="I33" s="95">
        <f>SUMIFS(OrganizedData[Quantity], OrganizedData[Product Name], "Superwossname", OrganizedData[Order Year], 2022, OrganizedData[Order Month], "Aug")*'Reference Sheet'!$B$19</f>
        <v>606.5</v>
      </c>
      <c r="J33" s="95">
        <f>SUMIFS(OrganizedData[Quantity], OrganizedData[Product Name], "Superwossname", OrganizedData[Order Year], 2022, OrganizedData[Order Month], "Sep")*'Reference Sheet'!$B$19</f>
        <v>321.5</v>
      </c>
      <c r="K33" s="95">
        <f>SUMIFS(OrganizedData[Quantity], OrganizedData[Product Name], "Superwossname", OrganizedData[Order Year], 2022, OrganizedData[Order Month], "Oct")*'Reference Sheet'!$B$19</f>
        <v>459.5</v>
      </c>
      <c r="L33" s="95">
        <f>SUMIFS(OrganizedData[Quantity], OrganizedData[Product Name], "Superwossname", OrganizedData[Order Year], 2022, OrganizedData[Order Month], "Nov")*'Reference Sheet'!$B$19</f>
        <v>343</v>
      </c>
      <c r="M33" s="96">
        <f>SUMIFS(OrganizedData[Quantity], OrganizedData[Product Name], "Superwossname", OrganizedData[Order Year], 2022, OrganizedData[Order Month], "Dec")*'Reference Sheet'!$B$19</f>
        <v>288.5</v>
      </c>
    </row>
    <row r="34" spans="1:13" ht="15" thickBot="1" x14ac:dyDescent="0.35">
      <c r="A34" s="106" t="s">
        <v>10661</v>
      </c>
      <c r="B34" s="109">
        <f>SUM(B24:B33)</f>
        <v>110894.88499999999</v>
      </c>
      <c r="C34" s="109">
        <f t="shared" ref="C34:M34" si="2">SUM(C24:C33)</f>
        <v>129984.28545914448</v>
      </c>
      <c r="D34" s="109">
        <f t="shared" si="2"/>
        <v>110494.20545914446</v>
      </c>
      <c r="E34" s="109">
        <f t="shared" si="2"/>
        <v>114372.12545914447</v>
      </c>
      <c r="F34" s="109">
        <f t="shared" si="2"/>
        <v>120762.34545914446</v>
      </c>
      <c r="G34" s="109">
        <f t="shared" si="2"/>
        <v>96993.895459144464</v>
      </c>
      <c r="H34" s="109">
        <f t="shared" si="2"/>
        <v>129411.92045914446</v>
      </c>
      <c r="I34" s="109">
        <f t="shared" si="2"/>
        <v>131748.88045914448</v>
      </c>
      <c r="J34" s="109">
        <f t="shared" si="2"/>
        <v>105238.08045914446</v>
      </c>
      <c r="K34" s="109">
        <f t="shared" si="2"/>
        <v>141762.60545914446</v>
      </c>
      <c r="L34" s="109">
        <f t="shared" si="2"/>
        <v>111138.26045914447</v>
      </c>
      <c r="M34" s="110">
        <f t="shared" si="2"/>
        <v>90226.355459144455</v>
      </c>
    </row>
    <row r="35" spans="1:13" ht="15" thickBot="1" x14ac:dyDescent="0.35">
      <c r="A35" s="85" t="s">
        <v>10664</v>
      </c>
      <c r="B35" s="86">
        <f>B22-B34+B14</f>
        <v>690440.29499999993</v>
      </c>
      <c r="C35" s="86">
        <f>C22-C34+C14</f>
        <v>691461.02954085544</v>
      </c>
      <c r="D35" s="86">
        <f>D22-D34+D14</f>
        <v>686150.40408171096</v>
      </c>
      <c r="E35" s="86">
        <f t="shared" ref="E35:M35" si="3">E22-E34+E14</f>
        <v>682044.4186225665</v>
      </c>
      <c r="F35" s="86">
        <f t="shared" si="3"/>
        <v>680067.17316342203</v>
      </c>
      <c r="G35" s="86">
        <f t="shared" si="3"/>
        <v>670447.77770427754</v>
      </c>
      <c r="H35" s="86">
        <f t="shared" si="3"/>
        <v>671049.0572451331</v>
      </c>
      <c r="I35" s="86">
        <f t="shared" si="3"/>
        <v>672632.6567859886</v>
      </c>
      <c r="J35" s="86">
        <f t="shared" si="3"/>
        <v>665672.65632684412</v>
      </c>
      <c r="K35" s="86">
        <f t="shared" si="3"/>
        <v>670226.8308676997</v>
      </c>
      <c r="L35" s="86">
        <f>L22-L34+L14</f>
        <v>665138.89040855528</v>
      </c>
      <c r="M35" s="87">
        <f t="shared" si="3"/>
        <v>653492.31494941085</v>
      </c>
    </row>
    <row r="37" spans="1:13" x14ac:dyDescent="0.3">
      <c r="A37" s="183" t="s">
        <v>10687</v>
      </c>
      <c r="B37" s="183"/>
      <c r="C37" s="183"/>
      <c r="D37" s="183"/>
      <c r="E37" s="183"/>
      <c r="F37" s="183"/>
      <c r="G37" s="183"/>
      <c r="H37" s="183"/>
      <c r="I37" s="183"/>
      <c r="J37" s="183"/>
      <c r="K37" s="183"/>
      <c r="L37" s="183"/>
      <c r="M37" s="183"/>
    </row>
    <row r="38" spans="1:13" x14ac:dyDescent="0.3">
      <c r="A38" s="183"/>
      <c r="B38" s="183"/>
      <c r="C38" s="183"/>
      <c r="D38" s="183"/>
      <c r="E38" s="183"/>
      <c r="F38" s="183"/>
      <c r="G38" s="183"/>
      <c r="H38" s="183"/>
      <c r="I38" s="183"/>
      <c r="J38" s="183"/>
      <c r="K38" s="183"/>
      <c r="L38" s="183"/>
      <c r="M38" s="183"/>
    </row>
    <row r="40" spans="1:13" ht="19.8" x14ac:dyDescent="0.4">
      <c r="A40" s="182" t="s">
        <v>10659</v>
      </c>
      <c r="B40" s="182"/>
      <c r="C40" s="182"/>
      <c r="D40" s="182"/>
      <c r="E40" s="182"/>
      <c r="F40" s="182"/>
      <c r="G40" s="182"/>
      <c r="H40" s="182"/>
      <c r="I40" s="182"/>
      <c r="J40" s="182"/>
      <c r="K40" s="182"/>
      <c r="L40" s="182"/>
      <c r="M40" s="182"/>
    </row>
    <row r="41" spans="1:13" ht="15.6" x14ac:dyDescent="0.3">
      <c r="A41" s="184" t="s">
        <v>10689</v>
      </c>
      <c r="B41" s="184"/>
      <c r="C41" s="184"/>
      <c r="D41" s="184"/>
      <c r="E41" s="184"/>
      <c r="F41" s="184"/>
      <c r="G41" s="184"/>
      <c r="H41" s="184"/>
      <c r="I41" s="184"/>
      <c r="J41" s="184"/>
      <c r="K41" s="184"/>
      <c r="L41" s="184"/>
      <c r="M41" s="184"/>
    </row>
    <row r="42" spans="1:13" ht="15" thickBot="1" x14ac:dyDescent="0.35"/>
    <row r="43" spans="1:13" ht="15" thickBot="1" x14ac:dyDescent="0.35">
      <c r="A43" s="75" t="s">
        <v>10668</v>
      </c>
      <c r="B43" s="76" t="s">
        <v>4239</v>
      </c>
      <c r="C43" s="76" t="s">
        <v>10620</v>
      </c>
      <c r="D43" s="76" t="s">
        <v>10621</v>
      </c>
      <c r="E43" s="76" t="s">
        <v>10622</v>
      </c>
      <c r="F43" s="76" t="s">
        <v>6845</v>
      </c>
      <c r="G43" s="76" t="s">
        <v>10623</v>
      </c>
      <c r="H43" s="76" t="s">
        <v>10624</v>
      </c>
      <c r="I43" s="76" t="s">
        <v>10625</v>
      </c>
      <c r="J43" s="76" t="s">
        <v>10626</v>
      </c>
      <c r="K43" s="76" t="s">
        <v>10627</v>
      </c>
      <c r="L43" s="76" t="s">
        <v>10628</v>
      </c>
      <c r="M43" s="77" t="s">
        <v>10629</v>
      </c>
    </row>
    <row r="44" spans="1:13" x14ac:dyDescent="0.3">
      <c r="A44" s="78" t="s">
        <v>10667</v>
      </c>
      <c r="B44" s="79"/>
      <c r="C44" s="79">
        <f t="shared" ref="C44" si="4">B65</f>
        <v>701073.81299999997</v>
      </c>
      <c r="D44" s="79">
        <f t="shared" ref="D44" si="5">C65</f>
        <v>714795.04954085546</v>
      </c>
      <c r="E44" s="79">
        <f t="shared" ref="E44" si="6">D65</f>
        <v>719602.78208171099</v>
      </c>
      <c r="F44" s="79">
        <f t="shared" ref="F44" si="7">E65</f>
        <v>726123.41062256647</v>
      </c>
      <c r="G44" s="79">
        <f t="shared" ref="G44" si="8">F65</f>
        <v>735624.67516342201</v>
      </c>
      <c r="H44" s="79">
        <f t="shared" ref="H44" si="9">G65</f>
        <v>734342.72970427759</v>
      </c>
      <c r="I44" s="79">
        <f t="shared" ref="I44" si="10">H65</f>
        <v>747545.32924513309</v>
      </c>
      <c r="J44" s="79">
        <f t="shared" ref="J44" si="11">I65</f>
        <v>762062.17678598862</v>
      </c>
      <c r="K44" s="79">
        <f t="shared" ref="K44" si="12">J65</f>
        <v>764529.9843268441</v>
      </c>
      <c r="L44" s="79">
        <f t="shared" ref="L44" si="13">K65</f>
        <v>783315.83686769963</v>
      </c>
      <c r="M44" s="80">
        <f t="shared" ref="M44" si="14">L65</f>
        <v>788432.92840855522</v>
      </c>
    </row>
    <row r="45" spans="1:13" x14ac:dyDescent="0.3">
      <c r="A45" s="97" t="s">
        <v>10656</v>
      </c>
      <c r="B45" s="98"/>
      <c r="C45" s="98"/>
      <c r="D45" s="98"/>
      <c r="E45" s="98"/>
      <c r="F45" s="98"/>
      <c r="G45" s="98"/>
      <c r="H45" s="98"/>
      <c r="I45" s="98"/>
      <c r="J45" s="98"/>
      <c r="K45" s="98"/>
      <c r="L45" s="98"/>
      <c r="M45" s="98"/>
    </row>
    <row r="46" spans="1:13" x14ac:dyDescent="0.3">
      <c r="A46" s="97" t="s">
        <v>10657</v>
      </c>
      <c r="B46" s="98"/>
      <c r="C46" s="98"/>
      <c r="D46" s="98"/>
      <c r="E46" s="98"/>
      <c r="F46" s="98"/>
      <c r="G46" s="98"/>
      <c r="H46" s="98"/>
      <c r="I46" s="98"/>
      <c r="J46" s="98"/>
      <c r="K46" s="98"/>
      <c r="L46" s="98"/>
      <c r="M46" s="98"/>
    </row>
    <row r="47" spans="1:13" x14ac:dyDescent="0.3">
      <c r="A47" s="99" t="s">
        <v>10669</v>
      </c>
      <c r="B47" s="100">
        <f>SUMIFS(OrganizedData[Total Order Value], OrganizedData[Product Name], "Gigastuff", OrganizedData[Order Year], 2022, OrganizedData[Order Month], "Jan")*'Reference Sheet'!C20</f>
        <v>24661.098000000002</v>
      </c>
      <c r="C47" s="100">
        <f>SUMIFS(OrganizedData[Total Order Value], OrganizedData[Product Name], "Gigastuff", OrganizedData[Order Year], 2022, OrganizedData[Order Month], "Feb")*'Reference Sheet'!C20</f>
        <v>21742.181999999997</v>
      </c>
      <c r="D47" s="100">
        <f>SUMIFS(OrganizedData[Total Order Value], OrganizedData[Product Name], "Gigastuff", OrganizedData[Order Year], 2022, OrganizedData[Order Month], "Mar")*'Reference Sheet'!C20</f>
        <v>38507.237999999998</v>
      </c>
      <c r="E47" s="100">
        <f>SUMIFS(OrganizedData[Total Order Value], OrganizedData[Product Name], "Gigastuff", OrganizedData[Order Year], 2022, OrganizedData[Order Month], "Apr")*'Reference Sheet'!C20</f>
        <v>29825.334000000003</v>
      </c>
      <c r="F47" s="100">
        <f>SUMIFS(OrganizedData[Total Order Value], OrganizedData[Product Name], "Gigastuff", OrganizedData[Order Year], 2022, OrganizedData[Order Month], "May")*'Reference Sheet'!C20</f>
        <v>22640.31</v>
      </c>
      <c r="G47" s="100">
        <f>SUMIFS(OrganizedData[Total Order Value], OrganizedData[Product Name], "Gigastuff", OrganizedData[Order Year], 2022, OrganizedData[Order Month], "Jun")*'Reference Sheet'!C20</f>
        <v>28627.830000000005</v>
      </c>
      <c r="H47" s="100">
        <f>SUMIFS(OrganizedData[Total Order Value], OrganizedData[Product Name], "Gigastuff", OrganizedData[Order Year], 2022, OrganizedData[Order Month], "Jul")*'Reference Sheet'!C20</f>
        <v>32557.14</v>
      </c>
      <c r="I47" s="100">
        <f>SUMIFS(OrganizedData[Total Order Value], OrganizedData[Product Name], "Gigastuff", OrganizedData[Order Year], 2022, OrganizedData[Order Month], "Aug")*'Reference Sheet'!C20</f>
        <v>23351.328000000001</v>
      </c>
      <c r="J47" s="100">
        <f>SUMIFS(OrganizedData[Total Order Value], OrganizedData[Product Name], "Gigastuff", OrganizedData[Order Year], 2022, OrganizedData[Order Month], "Sep")*'Reference Sheet'!C20</f>
        <v>26345.088</v>
      </c>
      <c r="K47" s="100">
        <f>SUMIFS(OrganizedData[Total Order Value], OrganizedData[Product Name], "Gigastuff", OrganizedData[Order Year], 2022, OrganizedData[Order Month], "Oct")*'Reference Sheet'!C20</f>
        <v>26157.978000000006</v>
      </c>
      <c r="L47" s="100">
        <f>SUMIFS(OrganizedData[Total Order Value], OrganizedData[Product Name], "Gigastuff", OrganizedData[Order Year], 2022, OrganizedData[Order Month], "Nov")*'Reference Sheet'!C20</f>
        <v>21555.071999999996</v>
      </c>
      <c r="M47" s="101">
        <f>SUMIFS(OrganizedData[Total Order Value], OrganizedData[Product Name], "Gigastuff", OrganizedData[Order Year], 2022, OrganizedData[Order Month], "Dec")*'Reference Sheet'!C20</f>
        <v>17925.138000000003</v>
      </c>
    </row>
    <row r="48" spans="1:13" x14ac:dyDescent="0.3">
      <c r="A48" s="99" t="s">
        <v>10670</v>
      </c>
      <c r="B48" s="100">
        <f>SUMIFS(OrganizedData[Total Order Value], OrganizedData[Product Name], "Hyperwotsit", OrganizedData[Order Year], 2022, OrganizedData[Order Month], "Jan")*'Reference Sheet'!C20</f>
        <v>44396.87999999999</v>
      </c>
      <c r="C48" s="100">
        <f>SUMIFS(OrganizedData[Total Order Value], OrganizedData[Product Name], "Hyperwotsit", OrganizedData[Order Year], 2022, OrganizedData[Order Month], "Feb")*'Reference Sheet'!C20</f>
        <v>27593.280000000002</v>
      </c>
      <c r="D48" s="100">
        <f>SUMIFS(OrganizedData[Total Order Value], OrganizedData[Product Name], "Hyperwotsit", OrganizedData[Order Year], 2022, OrganizedData[Order Month], "Mar")*'Reference Sheet'!C20</f>
        <v>16361.4</v>
      </c>
      <c r="E48" s="100">
        <f>SUMIFS(OrganizedData[Total Order Value], OrganizedData[Product Name], "Hyperwotsit", OrganizedData[Order Year], 2022, OrganizedData[Order Month], "Apr")*'Reference Sheet'!C20</f>
        <v>34933.799999999996</v>
      </c>
      <c r="F48" s="100">
        <f>SUMIFS(OrganizedData[Total Order Value], OrganizedData[Product Name], "Hyperwotsit", OrganizedData[Order Year], 2022, OrganizedData[Order Month], "May")*'Reference Sheet'!C20</f>
        <v>32678.58</v>
      </c>
      <c r="G48" s="100">
        <f>SUMIFS(OrganizedData[Total Order Value], OrganizedData[Product Name], "Hyperwotsit", OrganizedData[Order Year], 2022, OrganizedData[Order Month], "Jun")*'Reference Sheet'!C20</f>
        <v>27151.079999999998</v>
      </c>
      <c r="H48" s="100">
        <f>SUMIFS(OrganizedData[Total Order Value], OrganizedData[Product Name], "Hyperwotsit", OrganizedData[Order Year], 2022, OrganizedData[Order Month], "Jul")*'Reference Sheet'!C20</f>
        <v>49393.740000000005</v>
      </c>
      <c r="I48" s="100">
        <f>SUMIFS(OrganizedData[Total Order Value], OrganizedData[Product Name], "Hyperwotsit", OrganizedData[Order Year], 2022, OrganizedData[Order Month], "Aug")*'Reference Sheet'!C20</f>
        <v>25780.260000000002</v>
      </c>
      <c r="J48" s="100">
        <f>SUMIFS(OrganizedData[Total Order Value], OrganizedData[Product Name], "Hyperwotsit", OrganizedData[Order Year], 2022, OrganizedData[Order Month], "Sep")*'Reference Sheet'!C20</f>
        <v>27991.260000000002</v>
      </c>
      <c r="K48" s="100">
        <f>SUMIFS(OrganizedData[Total Order Value], OrganizedData[Product Name], "Hyperwotsit", OrganizedData[Order Year], 2022, OrganizedData[Order Month], "Oct")*'Reference Sheet'!C20</f>
        <v>59829.660000000011</v>
      </c>
      <c r="L48" s="100">
        <f>SUMIFS(OrganizedData[Total Order Value], OrganizedData[Product Name], "Hyperwotsit", OrganizedData[Order Year], 2022, OrganizedData[Order Month], "Nov")*'Reference Sheet'!C20</f>
        <v>38029.200000000004</v>
      </c>
      <c r="M48" s="101">
        <f>SUMIFS(OrganizedData[Total Order Value], OrganizedData[Product Name], "Hyperwotsit", OrganizedData[Order Year], 2022, OrganizedData[Order Month], "Dec")*'Reference Sheet'!C20</f>
        <v>19810.560000000001</v>
      </c>
    </row>
    <row r="49" spans="1:13" x14ac:dyDescent="0.3">
      <c r="A49" s="99" t="s">
        <v>10671</v>
      </c>
      <c r="B49" s="100">
        <f>SUMIFS(OrganizedData[Total Order Value], OrganizedData[Product Name], "Superwossname", OrganizedData[Order Year], 2022, OrganizedData[Order Month], "Jan")*'Reference Sheet'!C20</f>
        <v>47910.720000000001</v>
      </c>
      <c r="C49" s="100">
        <f>SUMIFS(OrganizedData[Total Order Value], OrganizedData[Product Name], "Superwossname", OrganizedData[Order Year], 2022, OrganizedData[Order Month], "Feb")*'Reference Sheet'!C20</f>
        <v>90370.06</v>
      </c>
      <c r="D49" s="100">
        <f>SUMIFS(OrganizedData[Total Order Value], OrganizedData[Product Name], "Superwossname", OrganizedData[Order Year], 2022, OrganizedData[Order Month], "Mar")*'Reference Sheet'!C20</f>
        <v>56433.3</v>
      </c>
      <c r="E49" s="100">
        <f>SUMIFS(OrganizedData[Total Order Value], OrganizedData[Product Name], "Superwossname", OrganizedData[Order Year], 2022, OrganizedData[Order Month], "Apr")*'Reference Sheet'!C20</f>
        <v>52133.620000000017</v>
      </c>
      <c r="F49" s="100">
        <f>SUMIFS(OrganizedData[Total Order Value], OrganizedData[Product Name], "Superwossname", OrganizedData[Order Year], 2022, OrganizedData[Order Month], "May")*'Reference Sheet'!C20</f>
        <v>70944.72</v>
      </c>
      <c r="G49" s="100">
        <f>SUMIFS(OrganizedData[Total Order Value], OrganizedData[Product Name], "Superwossname", OrganizedData[Order Year], 2022, OrganizedData[Order Month], "Jun")*'Reference Sheet'!C20</f>
        <v>35933.040000000001</v>
      </c>
      <c r="H49" s="100">
        <f>SUMIFS(OrganizedData[Total Order Value], OrganizedData[Product Name], "Superwossname", OrganizedData[Order Year], 2022, OrganizedData[Order Month], "Jul")*'Reference Sheet'!C20</f>
        <v>56663.640000000007</v>
      </c>
      <c r="I49" s="100">
        <f>SUMIFS(OrganizedData[Total Order Value], OrganizedData[Product Name], "Superwossname", OrganizedData[Order Year], 2022, OrganizedData[Order Month], "Aug")*'Reference Sheet'!C20</f>
        <v>93134.140000000014</v>
      </c>
      <c r="J49" s="100">
        <f>SUMIFS(OrganizedData[Total Order Value], OrganizedData[Product Name], "Superwossname", OrganizedData[Order Year], 2022, OrganizedData[Order Month], "Sep")*'Reference Sheet'!C20</f>
        <v>49369.54</v>
      </c>
      <c r="K49" s="100">
        <f>SUMIFS(OrganizedData[Total Order Value], OrganizedData[Product Name], "Superwossname", OrganizedData[Order Year], 2022, OrganizedData[Order Month], "Oct")*'Reference Sheet'!C20</f>
        <v>70560.820000000022</v>
      </c>
      <c r="L49" s="100">
        <f>SUMIFS(OrganizedData[Total Order Value], OrganizedData[Product Name], "Superwossname", OrganizedData[Order Year], 2022, OrganizedData[Order Month], "Nov")*'Reference Sheet'!C20</f>
        <v>52671.080000000016</v>
      </c>
      <c r="M49" s="101">
        <f>SUMIFS(OrganizedData[Total Order Value], OrganizedData[Product Name], "Superwossname", OrganizedData[Order Year], 2022, OrganizedData[Order Month], "Dec")*'Reference Sheet'!C20</f>
        <v>44302.060000000005</v>
      </c>
    </row>
    <row r="50" spans="1:13" x14ac:dyDescent="0.3">
      <c r="A50" s="99" t="s">
        <v>10672</v>
      </c>
      <c r="B50" s="100">
        <v>45000</v>
      </c>
      <c r="C50" s="100">
        <v>4000</v>
      </c>
      <c r="D50" s="100">
        <v>4000</v>
      </c>
      <c r="E50" s="100">
        <v>4000</v>
      </c>
      <c r="F50" s="100">
        <v>4000</v>
      </c>
      <c r="G50" s="100">
        <v>4000</v>
      </c>
      <c r="H50" s="100">
        <v>4000</v>
      </c>
      <c r="I50" s="100">
        <v>4000</v>
      </c>
      <c r="J50" s="100">
        <v>4000</v>
      </c>
      <c r="K50" s="100">
        <v>4000</v>
      </c>
      <c r="L50" s="100">
        <v>4000</v>
      </c>
      <c r="M50" s="101">
        <v>4000</v>
      </c>
    </row>
    <row r="51" spans="1:13" ht="15" thickBot="1" x14ac:dyDescent="0.35">
      <c r="A51" s="102" t="s">
        <v>10673</v>
      </c>
      <c r="B51" s="103">
        <v>650000</v>
      </c>
      <c r="C51" s="103"/>
      <c r="D51" s="103"/>
      <c r="E51" s="103"/>
      <c r="F51" s="103"/>
      <c r="G51" s="103"/>
      <c r="H51" s="103"/>
      <c r="I51" s="103"/>
      <c r="J51" s="103"/>
      <c r="K51" s="103"/>
      <c r="L51" s="103"/>
      <c r="M51" s="104"/>
    </row>
    <row r="52" spans="1:13" ht="15" thickBot="1" x14ac:dyDescent="0.35">
      <c r="A52" s="105" t="s">
        <v>10660</v>
      </c>
      <c r="B52" s="107">
        <f>SUM(B47:B51)</f>
        <v>811968.69799999997</v>
      </c>
      <c r="C52" s="107">
        <f t="shared" ref="C52:M52" si="15">SUM(C47:C51)</f>
        <v>143705.522</v>
      </c>
      <c r="D52" s="107">
        <f t="shared" si="15"/>
        <v>115301.93799999999</v>
      </c>
      <c r="E52" s="107">
        <f t="shared" si="15"/>
        <v>120892.75400000002</v>
      </c>
      <c r="F52" s="107">
        <f t="shared" si="15"/>
        <v>130263.61</v>
      </c>
      <c r="G52" s="107">
        <f t="shared" si="15"/>
        <v>95711.950000000012</v>
      </c>
      <c r="H52" s="107">
        <f t="shared" si="15"/>
        <v>142614.52000000002</v>
      </c>
      <c r="I52" s="107">
        <f t="shared" si="15"/>
        <v>146265.728</v>
      </c>
      <c r="J52" s="107">
        <f t="shared" si="15"/>
        <v>107705.88800000001</v>
      </c>
      <c r="K52" s="107">
        <f t="shared" si="15"/>
        <v>160548.45800000004</v>
      </c>
      <c r="L52" s="107">
        <f t="shared" si="15"/>
        <v>116255.35200000001</v>
      </c>
      <c r="M52" s="108">
        <f t="shared" si="15"/>
        <v>86037.758000000002</v>
      </c>
    </row>
    <row r="53" spans="1:13" x14ac:dyDescent="0.3">
      <c r="A53" s="88" t="s">
        <v>10658</v>
      </c>
      <c r="B53" s="89"/>
      <c r="C53" s="89"/>
      <c r="D53" s="89"/>
      <c r="E53" s="89"/>
      <c r="F53" s="89"/>
      <c r="G53" s="89"/>
      <c r="H53" s="89"/>
      <c r="I53" s="89"/>
      <c r="J53" s="89"/>
      <c r="K53" s="89"/>
      <c r="L53" s="89"/>
      <c r="M53" s="89"/>
    </row>
    <row r="54" spans="1:13" x14ac:dyDescent="0.3">
      <c r="A54" s="90" t="s">
        <v>10674</v>
      </c>
      <c r="B54" s="91">
        <v>30000</v>
      </c>
      <c r="C54" s="91">
        <v>30000</v>
      </c>
      <c r="D54" s="91">
        <v>30000</v>
      </c>
      <c r="E54" s="91">
        <v>30000</v>
      </c>
      <c r="F54" s="91">
        <v>30000</v>
      </c>
      <c r="G54" s="91">
        <v>30000</v>
      </c>
      <c r="H54" s="91">
        <v>30000</v>
      </c>
      <c r="I54" s="91">
        <v>30000</v>
      </c>
      <c r="J54" s="91">
        <v>30000</v>
      </c>
      <c r="K54" s="91">
        <v>30000</v>
      </c>
      <c r="L54" s="91">
        <v>30000</v>
      </c>
      <c r="M54" s="92">
        <v>30000</v>
      </c>
    </row>
    <row r="55" spans="1:13" x14ac:dyDescent="0.3">
      <c r="A55" s="90" t="s">
        <v>10675</v>
      </c>
      <c r="B55" s="91">
        <v>0</v>
      </c>
      <c r="C55" s="91">
        <f>ABS(PMT('Reference Sheet'!$B$17/12,'Reference Sheet'!$C$16,$B$21))</f>
        <v>3539.5204591444608</v>
      </c>
      <c r="D55" s="91">
        <f>ABS(PMT('Reference Sheet'!$B$17/12,'Reference Sheet'!$C$16,$B$21))</f>
        <v>3539.5204591444608</v>
      </c>
      <c r="E55" s="91">
        <f>ABS(PMT('Reference Sheet'!$B$17/12,'Reference Sheet'!$C$16,$B$21))</f>
        <v>3539.5204591444608</v>
      </c>
      <c r="F55" s="91">
        <f>ABS(PMT('Reference Sheet'!$B$17/12,'Reference Sheet'!$C$16,$B$21))</f>
        <v>3539.5204591444608</v>
      </c>
      <c r="G55" s="91">
        <f>ABS(PMT('Reference Sheet'!$B$17/12,'Reference Sheet'!$C$16,$B$21))</f>
        <v>3539.5204591444608</v>
      </c>
      <c r="H55" s="91">
        <f>ABS(PMT('Reference Sheet'!$B$17/12,'Reference Sheet'!$C$16,$B$21))</f>
        <v>3539.5204591444608</v>
      </c>
      <c r="I55" s="91">
        <f>ABS(PMT('Reference Sheet'!$B$17/12,'Reference Sheet'!$C$16,$B$21))</f>
        <v>3539.5204591444608</v>
      </c>
      <c r="J55" s="91">
        <f>ABS(PMT('Reference Sheet'!$B$17/12,'Reference Sheet'!$C$16,$B$21))</f>
        <v>3539.5204591444608</v>
      </c>
      <c r="K55" s="91">
        <f>ABS(PMT('Reference Sheet'!$B$17/12,'Reference Sheet'!$C$16,$B$21))</f>
        <v>3539.5204591444608</v>
      </c>
      <c r="L55" s="91">
        <f>ABS(PMT('Reference Sheet'!$B$17/12,'Reference Sheet'!$C$16,$B$21))</f>
        <v>3539.5204591444608</v>
      </c>
      <c r="M55" s="91">
        <f>ABS(PMT('Reference Sheet'!$B$17/12,'Reference Sheet'!$C$16,$B$21))</f>
        <v>3539.5204591444608</v>
      </c>
    </row>
    <row r="56" spans="1:13" x14ac:dyDescent="0.3">
      <c r="A56" s="93" t="s">
        <v>10662</v>
      </c>
      <c r="B56" s="91"/>
      <c r="C56" s="91"/>
      <c r="D56" s="91"/>
      <c r="E56" s="91"/>
      <c r="F56" s="91"/>
      <c r="G56" s="91"/>
      <c r="H56" s="91"/>
      <c r="I56" s="91"/>
      <c r="J56" s="91"/>
      <c r="K56" s="91"/>
      <c r="L56" s="91"/>
      <c r="M56" s="92"/>
    </row>
    <row r="57" spans="1:13" x14ac:dyDescent="0.3">
      <c r="A57" s="90" t="s">
        <v>10669</v>
      </c>
      <c r="B57" s="91">
        <f>SUMIFS(OrganizedData[Quantity], OrganizedData[Product Name], "Gigastuff", OrganizedData[Order Year], 2022, OrganizedData[Order Month], "Jan")*'Reference Sheet'!$F$12</f>
        <v>16814.384999999998</v>
      </c>
      <c r="C57" s="91">
        <f>SUMIFS(OrganizedData[Quantity], OrganizedData[Product Name], "Gigastuff", OrganizedData[Order Year], 2022, OrganizedData[Order Month], "Feb")*'Reference Sheet'!$F$12</f>
        <v>14824.214999999998</v>
      </c>
      <c r="D57" s="91">
        <f>SUMIFS(OrganizedData[Quantity], OrganizedData[Product Name], "Gigastuff", OrganizedData[Order Year], 2022, OrganizedData[Order Month], "Mar")*'Reference Sheet'!$F$12</f>
        <v>26254.934999999998</v>
      </c>
      <c r="E57" s="91">
        <f>SUMIFS(OrganizedData[Quantity], OrganizedData[Product Name], "Gigastuff", OrganizedData[Order Year], 2022, OrganizedData[Order Month], "Apr")*'Reference Sheet'!$F$12</f>
        <v>20335.454999999998</v>
      </c>
      <c r="F57" s="91">
        <f>SUMIFS(OrganizedData[Quantity], OrganizedData[Product Name], "Gigastuff", OrganizedData[Order Year], 2022, OrganizedData[Order Month], "May")*'Reference Sheet'!$F$12</f>
        <v>15436.574999999999</v>
      </c>
      <c r="G57" s="91">
        <f>SUMIFS(OrganizedData[Quantity], OrganizedData[Product Name], "Gigastuff", OrganizedData[Order Year], 2022, OrganizedData[Order Month], "Jun")*'Reference Sheet'!$F$12</f>
        <v>19518.974999999999</v>
      </c>
      <c r="H57" s="91">
        <f>SUMIFS(OrganizedData[Quantity], OrganizedData[Product Name], "Gigastuff", OrganizedData[Order Year], 2022, OrganizedData[Order Month], "Jul")*'Reference Sheet'!$F$12</f>
        <v>22198.049999999996</v>
      </c>
      <c r="I57" s="91">
        <f>SUMIFS(OrganizedData[Quantity], OrganizedData[Product Name], "Gigastuff", OrganizedData[Order Year], 2022, OrganizedData[Order Month], "Aug")*'Reference Sheet'!$F$12</f>
        <v>15921.359999999999</v>
      </c>
      <c r="J57" s="91">
        <f>SUMIFS(OrganizedData[Quantity], OrganizedData[Product Name], "Gigastuff", OrganizedData[Order Year], 2022, OrganizedData[Order Month], "Sep")*'Reference Sheet'!$F$12</f>
        <v>17962.559999999998</v>
      </c>
      <c r="K57" s="91">
        <f>SUMIFS(OrganizedData[Quantity], OrganizedData[Product Name], "Gigastuff", OrganizedData[Order Year], 2022, OrganizedData[Order Month], "Oct")*'Reference Sheet'!$F$12</f>
        <v>17834.984999999997</v>
      </c>
      <c r="L57" s="91">
        <f>SUMIFS(OrganizedData[Quantity], OrganizedData[Product Name], "Gigastuff", OrganizedData[Order Year], 2022, OrganizedData[Order Month], "Nov")*'Reference Sheet'!$F$12</f>
        <v>14696.639999999998</v>
      </c>
      <c r="M57" s="91">
        <f>SUMIFS(OrganizedData[Quantity], OrganizedData[Product Name], "Gigastuff", OrganizedData[Order Year], 2022, OrganizedData[Order Month], "Dec")*'Reference Sheet'!$F$12</f>
        <v>12221.684999999998</v>
      </c>
    </row>
    <row r="58" spans="1:13" x14ac:dyDescent="0.3">
      <c r="A58" s="90" t="s">
        <v>10670</v>
      </c>
      <c r="B58" s="91">
        <f>SUMIFS(OrganizedData[Quantity], OrganizedData[Product Name], "Hyperwotsit", OrganizedData[Order Year], 2022, OrganizedData[Order Month], "Jan")*'Reference Sheet'!$F$7</f>
        <v>30270.6</v>
      </c>
      <c r="C58" s="91">
        <f>SUMIFS(OrganizedData[Quantity], OrganizedData[Product Name], "Hyperwotsit", OrganizedData[Order Year], 2022, OrganizedData[Order Month], "Feb")*'Reference Sheet'!$F$7</f>
        <v>18813.599999999999</v>
      </c>
      <c r="D58" s="91">
        <f>SUMIFS(OrganizedData[Quantity], OrganizedData[Product Name], "Hyperwotsit", OrganizedData[Order Year], 2022, OrganizedData[Order Month], "Mar")*'Reference Sheet'!$F$7</f>
        <v>11155.5</v>
      </c>
      <c r="E58" s="91">
        <f>SUMIFS(OrganizedData[Quantity], OrganizedData[Product Name], "Hyperwotsit", OrganizedData[Order Year], 2022, OrganizedData[Order Month], "Apr")*'Reference Sheet'!$F$7</f>
        <v>23818.5</v>
      </c>
      <c r="F58" s="91">
        <f>SUMIFS(OrganizedData[Quantity], OrganizedData[Product Name], "Hyperwotsit", OrganizedData[Order Year], 2022, OrganizedData[Order Month], "May")*'Reference Sheet'!$F$7</f>
        <v>22280.85</v>
      </c>
      <c r="G58" s="91">
        <f>SUMIFS(OrganizedData[Quantity], OrganizedData[Product Name], "Hyperwotsit", OrganizedData[Order Year], 2022, OrganizedData[Order Month], "Jun")*'Reference Sheet'!$F$7</f>
        <v>18512.099999999999</v>
      </c>
      <c r="H58" s="91">
        <f>SUMIFS(OrganizedData[Quantity], OrganizedData[Product Name], "Hyperwotsit", OrganizedData[Order Year], 2022, OrganizedData[Order Month], "Jul")*'Reference Sheet'!$F$7</f>
        <v>33677.549999999996</v>
      </c>
      <c r="I58" s="91">
        <f>SUMIFS(OrganizedData[Quantity], OrganizedData[Product Name], "Hyperwotsit", OrganizedData[Order Year], 2022, OrganizedData[Order Month], "Aug")*'Reference Sheet'!$F$7</f>
        <v>17577.45</v>
      </c>
      <c r="J58" s="91">
        <f>SUMIFS(OrganizedData[Quantity], OrganizedData[Product Name], "Hyperwotsit", OrganizedData[Order Year], 2022, OrganizedData[Order Month], "Sep")*'Reference Sheet'!$F$7</f>
        <v>19084.95</v>
      </c>
      <c r="K58" s="91">
        <f>SUMIFS(OrganizedData[Quantity], OrganizedData[Product Name], "Hyperwotsit", OrganizedData[Order Year], 2022, OrganizedData[Order Month], "Oct")*'Reference Sheet'!$F$7</f>
        <v>40792.949999999997</v>
      </c>
      <c r="L58" s="91">
        <f>SUMIFS(OrganizedData[Quantity], OrganizedData[Product Name], "Hyperwotsit", OrganizedData[Order Year], 2022, OrganizedData[Order Month], "Nov")*'Reference Sheet'!$F$7</f>
        <v>25929</v>
      </c>
      <c r="M58" s="91">
        <f>SUMIFS(OrganizedData[Quantity], OrganizedData[Product Name], "Hyperwotsit", OrganizedData[Order Year], 2022, OrganizedData[Order Month], "Dec")*'Reference Sheet'!$F$7</f>
        <v>13507.199999999999</v>
      </c>
    </row>
    <row r="59" spans="1:13" x14ac:dyDescent="0.3">
      <c r="A59" s="90" t="s">
        <v>10671</v>
      </c>
      <c r="B59" s="91">
        <f>SUMIFS(OrganizedData[Quantity], OrganizedData[Product Name], "Superwossname", OrganizedData[Order Year], 2022, OrganizedData[Order Month], "Jan")*'Reference Sheet'!$F$13</f>
        <v>32666.400000000005</v>
      </c>
      <c r="C59" s="91">
        <f>SUMIFS(OrganizedData[Quantity], OrganizedData[Product Name], "Superwossname", OrganizedData[Order Year], 2022, OrganizedData[Order Month], "Feb")*'Reference Sheet'!$F$13</f>
        <v>61615.950000000012</v>
      </c>
      <c r="D59" s="91">
        <f>SUMIFS(OrganizedData[Quantity], OrganizedData[Product Name], "Superwossname", OrganizedData[Order Year], 2022, OrganizedData[Order Month], "Mar")*'Reference Sheet'!$F$13</f>
        <v>38477.250000000007</v>
      </c>
      <c r="E59" s="91">
        <f>SUMIFS(OrganizedData[Quantity], OrganizedData[Product Name], "Superwossname", OrganizedData[Order Year], 2022, OrganizedData[Order Month], "Apr")*'Reference Sheet'!$F$13</f>
        <v>35545.650000000009</v>
      </c>
      <c r="F59" s="91">
        <f>SUMIFS(OrganizedData[Quantity], OrganizedData[Product Name], "Superwossname", OrganizedData[Order Year], 2022, OrganizedData[Order Month], "May")*'Reference Sheet'!$F$13</f>
        <v>48371.400000000009</v>
      </c>
      <c r="G59" s="91">
        <f>SUMIFS(OrganizedData[Quantity], OrganizedData[Product Name], "Superwossname", OrganizedData[Order Year], 2022, OrganizedData[Order Month], "Jun")*'Reference Sheet'!$F$13</f>
        <v>24499.800000000003</v>
      </c>
      <c r="H59" s="91">
        <f>SUMIFS(OrganizedData[Quantity], OrganizedData[Product Name], "Superwossname", OrganizedData[Order Year], 2022, OrganizedData[Order Month], "Jul")*'Reference Sheet'!$F$13</f>
        <v>38634.300000000003</v>
      </c>
      <c r="I59" s="91">
        <f>SUMIFS(OrganizedData[Quantity], OrganizedData[Product Name], "Superwossname", OrganizedData[Order Year], 2022, OrganizedData[Order Month], "Aug")*'Reference Sheet'!$F$13</f>
        <v>63500.55000000001</v>
      </c>
      <c r="J59" s="91">
        <f>SUMIFS(OrganizedData[Quantity], OrganizedData[Product Name], "Superwossname", OrganizedData[Order Year], 2022, OrganizedData[Order Month], "Sep")*'Reference Sheet'!$F$13</f>
        <v>33661.050000000003</v>
      </c>
      <c r="K59" s="91">
        <f>SUMIFS(OrganizedData[Quantity], OrganizedData[Product Name], "Superwossname", OrganizedData[Order Year], 2022, OrganizedData[Order Month], "Oct")*'Reference Sheet'!$F$13</f>
        <v>48109.650000000009</v>
      </c>
      <c r="L59" s="91">
        <f>SUMIFS(OrganizedData[Quantity], OrganizedData[Product Name], "Superwossname", OrganizedData[Order Year], 2022, OrganizedData[Order Month], "Nov")*'Reference Sheet'!$F$13</f>
        <v>35912.100000000006</v>
      </c>
      <c r="M59" s="91">
        <f>SUMIFS(OrganizedData[Quantity], OrganizedData[Product Name], "Superwossname", OrganizedData[Order Year], 2022, OrganizedData[Order Month], "Dec")*'Reference Sheet'!$F$13</f>
        <v>30205.950000000004</v>
      </c>
    </row>
    <row r="60" spans="1:13" x14ac:dyDescent="0.3">
      <c r="A60" s="93" t="s">
        <v>10663</v>
      </c>
      <c r="B60" s="91"/>
      <c r="C60" s="91"/>
      <c r="D60" s="91"/>
      <c r="E60" s="91"/>
      <c r="F60" s="91"/>
      <c r="G60" s="91"/>
      <c r="H60" s="91"/>
      <c r="I60" s="91"/>
      <c r="J60" s="91"/>
      <c r="K60" s="91"/>
      <c r="L60" s="91"/>
      <c r="M60" s="92"/>
    </row>
    <row r="61" spans="1:13" x14ac:dyDescent="0.3">
      <c r="A61" s="90" t="s">
        <v>10669</v>
      </c>
      <c r="B61" s="91">
        <f>SUMIFS(OrganizedData[Quantity], OrganizedData[Product Name], "Gigastuff", OrganizedData[Order Year], 2022, OrganizedData[Order Month], "Jan")*'Reference Sheet'!$B$19</f>
        <v>329.5</v>
      </c>
      <c r="C61" s="91">
        <f>SUMIFS(OrganizedData[Quantity], OrganizedData[Product Name], "Gigastuff", OrganizedData[Order Year], 2022, OrganizedData[Order Month], "Feb")*'Reference Sheet'!$B$19</f>
        <v>290.5</v>
      </c>
      <c r="D61" s="91">
        <f>SUMIFS(OrganizedData[Quantity], OrganizedData[Product Name], "Gigastuff", OrganizedData[Order Year], 2022, OrganizedData[Order Month], "Mar")*'Reference Sheet'!$B$19</f>
        <v>514.5</v>
      </c>
      <c r="E61" s="91">
        <f>SUMIFS(OrganizedData[Quantity], OrganizedData[Product Name], "Gigastuff", OrganizedData[Order Year], 2022, OrganizedData[Order Month], "Apr")*'Reference Sheet'!$B$19</f>
        <v>398.5</v>
      </c>
      <c r="F61" s="91">
        <f>SUMIFS(OrganizedData[Quantity], OrganizedData[Product Name], "Gigastuff", OrganizedData[Order Year], 2022, OrganizedData[Order Month], "May")*'Reference Sheet'!$B$19</f>
        <v>302.5</v>
      </c>
      <c r="G61" s="91">
        <f>SUMIFS(OrganizedData[Quantity], OrganizedData[Product Name], "Gigastuff", OrganizedData[Order Year], 2022, OrganizedData[Order Month], "Jun")*'Reference Sheet'!$B$19</f>
        <v>382.5</v>
      </c>
      <c r="H61" s="91">
        <f>SUMIFS(OrganizedData[Quantity], OrganizedData[Product Name], "Gigastuff", OrganizedData[Order Year], 2022, OrganizedData[Order Month], "Jul")*'Reference Sheet'!$B$19</f>
        <v>435</v>
      </c>
      <c r="I61" s="91">
        <f>SUMIFS(OrganizedData[Quantity], OrganizedData[Product Name], "Gigastuff", OrganizedData[Order Year], 2022, OrganizedData[Order Month], "Aug")*'Reference Sheet'!$B$19</f>
        <v>312</v>
      </c>
      <c r="J61" s="91">
        <f>SUMIFS(OrganizedData[Quantity], OrganizedData[Product Name], "Gigastuff", OrganizedData[Order Year], 2022, OrganizedData[Order Month], "Sep")*'Reference Sheet'!$B$19</f>
        <v>352</v>
      </c>
      <c r="K61" s="91">
        <f>SUMIFS(OrganizedData[Quantity], OrganizedData[Product Name], "Gigastuff", OrganizedData[Order Year], 2022, OrganizedData[Order Month], "Oct")*'Reference Sheet'!$B$19</f>
        <v>349.5</v>
      </c>
      <c r="L61" s="91">
        <f>SUMIFS(OrganizedData[Quantity], OrganizedData[Product Name], "Gigastuff", OrganizedData[Order Year], 2022, OrganizedData[Order Month], "Nov")*'Reference Sheet'!$B$19</f>
        <v>288</v>
      </c>
      <c r="M61" s="92">
        <f>SUMIFS(OrganizedData[Quantity], OrganizedData[Product Name], "Gigastuff", OrganizedData[Order Year], 2022, OrganizedData[Order Month], "Dec")*'Reference Sheet'!$B$19</f>
        <v>239.5</v>
      </c>
    </row>
    <row r="62" spans="1:13" x14ac:dyDescent="0.3">
      <c r="A62" s="90" t="s">
        <v>10670</v>
      </c>
      <c r="B62" s="91">
        <f>SUMIFS(OrganizedData[Quantity], OrganizedData[Product Name], "Hyperwotsit", OrganizedData[Order Year], 2022, OrganizedData[Order Month], "Jan")*'Reference Sheet'!$B$19</f>
        <v>502</v>
      </c>
      <c r="C62" s="91">
        <f>SUMIFS(OrganizedData[Quantity], OrganizedData[Product Name], "Hyperwotsit", OrganizedData[Order Year], 2022, OrganizedData[Order Month], "Feb")*'Reference Sheet'!$B$19</f>
        <v>312</v>
      </c>
      <c r="D62" s="91">
        <f>SUMIFS(OrganizedData[Quantity], OrganizedData[Product Name], "Hyperwotsit", OrganizedData[Order Year], 2022, OrganizedData[Order Month], "Mar")*'Reference Sheet'!$B$19</f>
        <v>185</v>
      </c>
      <c r="E62" s="91">
        <f>SUMIFS(OrganizedData[Quantity], OrganizedData[Product Name], "Hyperwotsit", OrganizedData[Order Year], 2022, OrganizedData[Order Month], "Apr")*'Reference Sheet'!$B$19</f>
        <v>395</v>
      </c>
      <c r="F62" s="91">
        <f>SUMIFS(OrganizedData[Quantity], OrganizedData[Product Name], "Hyperwotsit", OrganizedData[Order Year], 2022, OrganizedData[Order Month], "May")*'Reference Sheet'!$B$19</f>
        <v>369.5</v>
      </c>
      <c r="G62" s="91">
        <f>SUMIFS(OrganizedData[Quantity], OrganizedData[Product Name], "Hyperwotsit", OrganizedData[Order Year], 2022, OrganizedData[Order Month], "Jun")*'Reference Sheet'!$B$19</f>
        <v>307</v>
      </c>
      <c r="H62" s="91">
        <f>SUMIFS(OrganizedData[Quantity], OrganizedData[Product Name], "Hyperwotsit", OrganizedData[Order Year], 2022, OrganizedData[Order Month], "Jul")*'Reference Sheet'!$B$19</f>
        <v>558.5</v>
      </c>
      <c r="I62" s="91">
        <f>SUMIFS(OrganizedData[Quantity], OrganizedData[Product Name], "Hyperwotsit", OrganizedData[Order Year], 2022, OrganizedData[Order Month], "Aug")*'Reference Sheet'!$B$19</f>
        <v>291.5</v>
      </c>
      <c r="J62" s="91">
        <f>SUMIFS(OrganizedData[Quantity], OrganizedData[Product Name], "Hyperwotsit", OrganizedData[Order Year], 2022, OrganizedData[Order Month], "Sep")*'Reference Sheet'!$B$19</f>
        <v>316.5</v>
      </c>
      <c r="K62" s="91">
        <f>SUMIFS(OrganizedData[Quantity], OrganizedData[Product Name], "Hyperwotsit", OrganizedData[Order Year], 2022, OrganizedData[Order Month], "Oct")*'Reference Sheet'!$B$19</f>
        <v>676.5</v>
      </c>
      <c r="L62" s="91">
        <f>SUMIFS(OrganizedData[Quantity], OrganizedData[Product Name], "Hyperwotsit", OrganizedData[Order Year], 2022, OrganizedData[Order Month], "Nov")*'Reference Sheet'!$B$19</f>
        <v>430</v>
      </c>
      <c r="M62" s="92">
        <f>SUMIFS(OrganizedData[Quantity], OrganizedData[Product Name], "Hyperwotsit", OrganizedData[Order Year], 2022, OrganizedData[Order Month], "Dec")*'Reference Sheet'!$B$19</f>
        <v>224</v>
      </c>
    </row>
    <row r="63" spans="1:13" ht="15" thickBot="1" x14ac:dyDescent="0.35">
      <c r="A63" s="94" t="s">
        <v>10671</v>
      </c>
      <c r="B63" s="95">
        <f>SUMIFS(OrganizedData[Quantity], OrganizedData[Product Name], "Superwossname", OrganizedData[Order Year], 2022, OrganizedData[Order Month], "Jan")*'Reference Sheet'!$B$19</f>
        <v>312</v>
      </c>
      <c r="C63" s="95">
        <f>SUMIFS(OrganizedData[Quantity], OrganizedData[Product Name], "Superwossname", OrganizedData[Order Year], 2022, OrganizedData[Order Month], "Feb")*'Reference Sheet'!$B$19</f>
        <v>588.5</v>
      </c>
      <c r="D63" s="95">
        <f>SUMIFS(OrganizedData[Quantity], OrganizedData[Product Name], "Superwossname", OrganizedData[Order Year], 2022, OrganizedData[Order Month], "Mar")*'Reference Sheet'!$B$19</f>
        <v>367.5</v>
      </c>
      <c r="E63" s="95">
        <f>SUMIFS(OrganizedData[Quantity], OrganizedData[Product Name], "Superwossname", OrganizedData[Order Year], 2022, OrganizedData[Order Month], "Apr")*'Reference Sheet'!$B$19</f>
        <v>339.5</v>
      </c>
      <c r="F63" s="95">
        <f>SUMIFS(OrganizedData[Quantity], OrganizedData[Product Name], "Superwossname", OrganizedData[Order Year], 2022, OrganizedData[Order Month], "May")*'Reference Sheet'!$B$19</f>
        <v>462</v>
      </c>
      <c r="G63" s="95">
        <f>SUMIFS(OrganizedData[Quantity], OrganizedData[Product Name], "Superwossname", OrganizedData[Order Year], 2022, OrganizedData[Order Month], "Jun")*'Reference Sheet'!$B$19</f>
        <v>234</v>
      </c>
      <c r="H63" s="95">
        <f>SUMIFS(OrganizedData[Quantity], OrganizedData[Product Name], "Superwossname", OrganizedData[Order Year], 2022, OrganizedData[Order Month], "Jul")*'Reference Sheet'!$B$19</f>
        <v>369</v>
      </c>
      <c r="I63" s="95">
        <f>SUMIFS(OrganizedData[Quantity], OrganizedData[Product Name], "Superwossname", OrganizedData[Order Year], 2022, OrganizedData[Order Month], "Aug")*'Reference Sheet'!$B$19</f>
        <v>606.5</v>
      </c>
      <c r="J63" s="95">
        <f>SUMIFS(OrganizedData[Quantity], OrganizedData[Product Name], "Superwossname", OrganizedData[Order Year], 2022, OrganizedData[Order Month], "Sep")*'Reference Sheet'!$B$19</f>
        <v>321.5</v>
      </c>
      <c r="K63" s="95">
        <f>SUMIFS(OrganizedData[Quantity], OrganizedData[Product Name], "Superwossname", OrganizedData[Order Year], 2022, OrganizedData[Order Month], "Oct")*'Reference Sheet'!$B$19</f>
        <v>459.5</v>
      </c>
      <c r="L63" s="95">
        <f>SUMIFS(OrganizedData[Quantity], OrganizedData[Product Name], "Superwossname", OrganizedData[Order Year], 2022, OrganizedData[Order Month], "Nov")*'Reference Sheet'!$B$19</f>
        <v>343</v>
      </c>
      <c r="M63" s="96">
        <f>SUMIFS(OrganizedData[Quantity], OrganizedData[Product Name], "Superwossname", OrganizedData[Order Year], 2022, OrganizedData[Order Month], "Dec")*'Reference Sheet'!$B$19</f>
        <v>288.5</v>
      </c>
    </row>
    <row r="64" spans="1:13" ht="15" thickBot="1" x14ac:dyDescent="0.35">
      <c r="A64" s="106" t="s">
        <v>10661</v>
      </c>
      <c r="B64" s="109">
        <f>SUM(B54:B63)</f>
        <v>110894.88499999999</v>
      </c>
      <c r="C64" s="109">
        <f t="shared" ref="C64:M64" si="16">SUM(C54:C63)</f>
        <v>129984.28545914448</v>
      </c>
      <c r="D64" s="109">
        <f t="shared" si="16"/>
        <v>110494.20545914446</v>
      </c>
      <c r="E64" s="109">
        <f t="shared" si="16"/>
        <v>114372.12545914447</v>
      </c>
      <c r="F64" s="109">
        <f t="shared" si="16"/>
        <v>120762.34545914446</v>
      </c>
      <c r="G64" s="109">
        <f t="shared" si="16"/>
        <v>96993.895459144464</v>
      </c>
      <c r="H64" s="109">
        <f t="shared" si="16"/>
        <v>129411.92045914446</v>
      </c>
      <c r="I64" s="109">
        <f t="shared" si="16"/>
        <v>131748.88045914448</v>
      </c>
      <c r="J64" s="109">
        <f t="shared" si="16"/>
        <v>105238.08045914446</v>
      </c>
      <c r="K64" s="109">
        <f t="shared" si="16"/>
        <v>141762.60545914446</v>
      </c>
      <c r="L64" s="109">
        <f t="shared" si="16"/>
        <v>111138.26045914447</v>
      </c>
      <c r="M64" s="110">
        <f t="shared" si="16"/>
        <v>90226.355459144455</v>
      </c>
    </row>
    <row r="65" spans="1:13" ht="15" thickBot="1" x14ac:dyDescent="0.35">
      <c r="A65" s="85" t="s">
        <v>10664</v>
      </c>
      <c r="B65" s="86">
        <f>B52-B64+B44</f>
        <v>701073.81299999997</v>
      </c>
      <c r="C65" s="86">
        <f>C52-C64+C44</f>
        <v>714795.04954085546</v>
      </c>
      <c r="D65" s="86">
        <f>D52-D64+D44</f>
        <v>719602.78208171099</v>
      </c>
      <c r="E65" s="86">
        <f t="shared" ref="E65:K65" si="17">E52-E64+E44</f>
        <v>726123.41062256647</v>
      </c>
      <c r="F65" s="86">
        <f t="shared" si="17"/>
        <v>735624.67516342201</v>
      </c>
      <c r="G65" s="86">
        <f t="shared" si="17"/>
        <v>734342.72970427759</v>
      </c>
      <c r="H65" s="86">
        <f t="shared" si="17"/>
        <v>747545.32924513309</v>
      </c>
      <c r="I65" s="86">
        <f t="shared" si="17"/>
        <v>762062.17678598862</v>
      </c>
      <c r="J65" s="86">
        <f t="shared" si="17"/>
        <v>764529.9843268441</v>
      </c>
      <c r="K65" s="86">
        <f t="shared" si="17"/>
        <v>783315.83686769963</v>
      </c>
      <c r="L65" s="86">
        <f>L52-L64+L44</f>
        <v>788432.92840855522</v>
      </c>
      <c r="M65" s="87">
        <f t="shared" ref="M65" si="18">M52-M64+M44</f>
        <v>784244.3309494108</v>
      </c>
    </row>
    <row r="67" spans="1:13" x14ac:dyDescent="0.3">
      <c r="A67" s="183" t="s">
        <v>10690</v>
      </c>
      <c r="B67" s="183"/>
      <c r="C67" s="183"/>
      <c r="D67" s="183"/>
      <c r="E67" s="183"/>
      <c r="F67" s="183"/>
      <c r="G67" s="183"/>
      <c r="H67" s="183"/>
      <c r="I67" s="183"/>
      <c r="J67" s="183"/>
      <c r="K67" s="183"/>
      <c r="L67" s="183"/>
      <c r="M67" s="183"/>
    </row>
    <row r="68" spans="1:13" x14ac:dyDescent="0.3">
      <c r="A68" s="183"/>
      <c r="B68" s="183"/>
      <c r="C68" s="183"/>
      <c r="D68" s="183"/>
      <c r="E68" s="183"/>
      <c r="F68" s="183"/>
      <c r="G68" s="183"/>
      <c r="H68" s="183"/>
      <c r="I68" s="183"/>
      <c r="J68" s="183"/>
      <c r="K68" s="183"/>
      <c r="L68" s="183"/>
      <c r="M68" s="183"/>
    </row>
  </sheetData>
  <mergeCells count="7">
    <mergeCell ref="A67:M68"/>
    <mergeCell ref="A10:M10"/>
    <mergeCell ref="A4:M5"/>
    <mergeCell ref="A11:M11"/>
    <mergeCell ref="A37:M38"/>
    <mergeCell ref="A40:M40"/>
    <mergeCell ref="A41:M41"/>
  </mergeCells>
  <conditionalFormatting sqref="A52:M52">
    <cfRule type="colorScale" priority="8">
      <colorScale>
        <cfvo type="min"/>
        <cfvo type="percentile" val="50"/>
        <cfvo type="max"/>
        <color rgb="FFFF0000"/>
        <color rgb="FFFFEB84"/>
        <color theme="9"/>
      </colorScale>
    </cfRule>
  </conditionalFormatting>
  <conditionalFormatting sqref="B64:M64">
    <cfRule type="colorScale" priority="1">
      <colorScale>
        <cfvo type="min"/>
        <cfvo type="percentile" val="50"/>
        <cfvo type="max"/>
        <color rgb="FFF8696B"/>
        <color rgb="FFFCFCFF"/>
        <color rgb="FF5A8AC6"/>
      </colorScale>
    </cfRule>
  </conditionalFormatting>
  <conditionalFormatting sqref="B22:M22">
    <cfRule type="colorScale" priority="4">
      <colorScale>
        <cfvo type="min"/>
        <cfvo type="percentile" val="50"/>
        <cfvo type="max"/>
        <color rgb="FFF8696B"/>
        <color rgb="FFFCFCFF"/>
        <color rgb="FF5A8AC6"/>
      </colorScale>
    </cfRule>
  </conditionalFormatting>
  <conditionalFormatting sqref="B34:M34">
    <cfRule type="colorScale" priority="3">
      <colorScale>
        <cfvo type="min"/>
        <cfvo type="percentile" val="50"/>
        <cfvo type="max"/>
        <color rgb="FFF8696B"/>
        <color rgb="FFFCFCFF"/>
        <color rgb="FF5A8AC6"/>
      </colorScale>
    </cfRule>
  </conditionalFormatting>
  <conditionalFormatting sqref="B52:M52">
    <cfRule type="colorScale" priority="2">
      <colorScale>
        <cfvo type="min"/>
        <cfvo type="percentile" val="50"/>
        <cfvo type="max"/>
        <color rgb="FFF8696B"/>
        <color rgb="FFFCFCFF"/>
        <color rgb="FF5A8AC6"/>
      </colorScale>
    </cfRule>
  </conditionalFormatting>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5B8AA-3052-4911-9560-8349DB1CBF32}">
  <sheetPr codeName="Sheet8">
    <tabColor theme="4" tint="0.39997558519241921"/>
  </sheetPr>
  <dimension ref="A1:M33"/>
  <sheetViews>
    <sheetView showGridLines="0" workbookViewId="0">
      <selection sqref="A1:M1"/>
    </sheetView>
  </sheetViews>
  <sheetFormatPr defaultRowHeight="14.4" x14ac:dyDescent="0.3"/>
  <cols>
    <col min="1" max="1" width="26.21875" style="2" bestFit="1" customWidth="1"/>
    <col min="2" max="13" width="13.109375" style="2" bestFit="1" customWidth="1"/>
    <col min="14" max="14" width="8.88671875" style="2"/>
    <col min="15" max="15" width="19.44140625" style="2" bestFit="1" customWidth="1"/>
    <col min="16" max="16" width="7.6640625" style="2" bestFit="1" customWidth="1"/>
    <col min="17" max="16384" width="8.88671875" style="2"/>
  </cols>
  <sheetData>
    <row r="1" spans="1:13" ht="19.8" x14ac:dyDescent="0.4">
      <c r="A1" s="182" t="s">
        <v>10659</v>
      </c>
      <c r="B1" s="182"/>
      <c r="C1" s="182"/>
      <c r="D1" s="182"/>
      <c r="E1" s="182"/>
      <c r="F1" s="182"/>
      <c r="G1" s="182"/>
      <c r="H1" s="182"/>
      <c r="I1" s="182"/>
      <c r="J1" s="182"/>
      <c r="K1" s="182"/>
      <c r="L1" s="182"/>
      <c r="M1" s="182"/>
    </row>
    <row r="2" spans="1:13" ht="15.6" x14ac:dyDescent="0.3">
      <c r="A2" s="184" t="s">
        <v>10693</v>
      </c>
      <c r="B2" s="184"/>
      <c r="C2" s="184"/>
      <c r="D2" s="184"/>
      <c r="E2" s="184"/>
      <c r="F2" s="184"/>
      <c r="G2" s="184"/>
      <c r="H2" s="184"/>
      <c r="I2" s="184"/>
      <c r="J2" s="184"/>
      <c r="K2" s="184"/>
      <c r="L2" s="184"/>
      <c r="M2" s="184"/>
    </row>
    <row r="3" spans="1:13" ht="15" thickBot="1" x14ac:dyDescent="0.35"/>
    <row r="4" spans="1:13" ht="15" thickBot="1" x14ac:dyDescent="0.35">
      <c r="A4" s="75" t="s">
        <v>10668</v>
      </c>
      <c r="B4" s="76" t="s">
        <v>4239</v>
      </c>
      <c r="C4" s="76" t="s">
        <v>10620</v>
      </c>
      <c r="D4" s="76" t="s">
        <v>10621</v>
      </c>
      <c r="E4" s="76" t="s">
        <v>10622</v>
      </c>
      <c r="F4" s="76" t="s">
        <v>6845</v>
      </c>
      <c r="G4" s="76" t="s">
        <v>10623</v>
      </c>
      <c r="H4" s="76" t="s">
        <v>10624</v>
      </c>
      <c r="I4" s="76" t="s">
        <v>10625</v>
      </c>
      <c r="J4" s="76" t="s">
        <v>10626</v>
      </c>
      <c r="K4" s="76" t="s">
        <v>10627</v>
      </c>
      <c r="L4" s="76" t="s">
        <v>10628</v>
      </c>
      <c r="M4" s="77" t="s">
        <v>10629</v>
      </c>
    </row>
    <row r="5" spans="1:13" x14ac:dyDescent="0.3">
      <c r="A5" s="78" t="s">
        <v>10667</v>
      </c>
      <c r="B5" s="79"/>
      <c r="C5" s="79">
        <f t="shared" ref="C5:M5" si="0">B26</f>
        <v>691060.54499999993</v>
      </c>
      <c r="D5" s="79">
        <f t="shared" si="0"/>
        <v>689479.99300609203</v>
      </c>
      <c r="E5" s="79">
        <f t="shared" si="0"/>
        <v>681503.88101218408</v>
      </c>
      <c r="F5" s="79">
        <f t="shared" si="0"/>
        <v>674768.50901827612</v>
      </c>
      <c r="G5" s="79">
        <f t="shared" si="0"/>
        <v>670192.77702436817</v>
      </c>
      <c r="H5" s="79">
        <f t="shared" si="0"/>
        <v>657824.19503046025</v>
      </c>
      <c r="I5" s="79">
        <f t="shared" si="0"/>
        <v>655920.9380365524</v>
      </c>
      <c r="J5" s="79">
        <f t="shared" si="0"/>
        <v>654862.45104264445</v>
      </c>
      <c r="K5" s="79">
        <f t="shared" si="0"/>
        <v>645115.11404873652</v>
      </c>
      <c r="L5" s="79">
        <f t="shared" si="0"/>
        <v>647213.00205482868</v>
      </c>
      <c r="M5" s="80">
        <f t="shared" si="0"/>
        <v>639468.52506092074</v>
      </c>
    </row>
    <row r="6" spans="1:13" x14ac:dyDescent="0.3">
      <c r="A6" s="97" t="s">
        <v>10656</v>
      </c>
      <c r="B6" s="98"/>
      <c r="C6" s="98"/>
      <c r="D6" s="98"/>
      <c r="E6" s="98"/>
      <c r="F6" s="98"/>
      <c r="G6" s="98"/>
      <c r="H6" s="98"/>
      <c r="I6" s="98"/>
      <c r="J6" s="98"/>
      <c r="K6" s="98"/>
      <c r="L6" s="98"/>
      <c r="M6" s="98"/>
    </row>
    <row r="7" spans="1:13" x14ac:dyDescent="0.3">
      <c r="A7" s="97" t="s">
        <v>10657</v>
      </c>
      <c r="B7" s="98"/>
      <c r="C7" s="98"/>
      <c r="D7" s="98"/>
      <c r="E7" s="98"/>
      <c r="F7" s="98"/>
      <c r="G7" s="98"/>
      <c r="H7" s="98"/>
      <c r="I7" s="98"/>
      <c r="J7" s="98"/>
      <c r="K7" s="98"/>
      <c r="L7" s="98"/>
      <c r="M7" s="98"/>
    </row>
    <row r="8" spans="1:13" x14ac:dyDescent="0.3">
      <c r="A8" s="99" t="s">
        <v>10669</v>
      </c>
      <c r="B8" s="100">
        <f>SUMIFS(OrganizedData[Total Order Value], OrganizedData[Product Name], "Gigastuff", OrganizedData[Order Year], 2022, OrganizedData[Order Month], "Jan")</f>
        <v>22419.18</v>
      </c>
      <c r="C8" s="100">
        <f>SUMIFS(OrganizedData[Total Order Value], OrganizedData[Product Name], "Gigastuff", OrganizedData[Order Year], 2022, OrganizedData[Order Month], "Feb")</f>
        <v>19765.619999999995</v>
      </c>
      <c r="D8" s="100">
        <f>SUMIFS(OrganizedData[Total Order Value], OrganizedData[Product Name], "Gigastuff", OrganizedData[Order Year], 2022, OrganizedData[Order Month], "Mar")</f>
        <v>35006.579999999994</v>
      </c>
      <c r="E8" s="100">
        <f>SUMIFS(OrganizedData[Total Order Value], OrganizedData[Product Name], "Gigastuff", OrganizedData[Order Year], 2022, OrganizedData[Order Month], "Apr")</f>
        <v>27113.94</v>
      </c>
      <c r="F8" s="100">
        <f>SUMIFS(OrganizedData[Total Order Value], OrganizedData[Product Name], "Gigastuff", OrganizedData[Order Year], 2022, OrganizedData[Order Month], "May")</f>
        <v>20582.099999999999</v>
      </c>
      <c r="G8" s="100">
        <f>SUMIFS(OrganizedData[Total Order Value], OrganizedData[Product Name], "Gigastuff", OrganizedData[Order Year], 2022, OrganizedData[Order Month], "Jun")</f>
        <v>26025.300000000003</v>
      </c>
      <c r="H8" s="100">
        <f>SUMIFS(OrganizedData[Total Order Value], OrganizedData[Product Name], "Gigastuff", OrganizedData[Order Year], 2022, OrganizedData[Order Month], "Jul")</f>
        <v>29597.399999999998</v>
      </c>
      <c r="I8" s="100">
        <f>SUMIFS(OrganizedData[Total Order Value], OrganizedData[Product Name], "Gigastuff", OrganizedData[Order Year], 2022, OrganizedData[Order Month], "Aug")</f>
        <v>21228.48</v>
      </c>
      <c r="J8" s="100">
        <f>SUMIFS(OrganizedData[Total Order Value], OrganizedData[Product Name], "Gigastuff", OrganizedData[Order Year], 2022, OrganizedData[Order Month], "Sep")</f>
        <v>23950.079999999998</v>
      </c>
      <c r="K8" s="100">
        <f>SUMIFS(OrganizedData[Total Order Value], OrganizedData[Product Name], "Gigastuff", OrganizedData[Order Year], 2022, OrganizedData[Order Month], "Oct")</f>
        <v>23779.980000000003</v>
      </c>
      <c r="L8" s="100">
        <f>SUMIFS(OrganizedData[Total Order Value], OrganizedData[Product Name], "Gigastuff", OrganizedData[Order Year], 2022, OrganizedData[Order Month], "Nov")</f>
        <v>19595.519999999997</v>
      </c>
      <c r="M8" s="101">
        <f>SUMIFS(OrganizedData[Total Order Value], OrganizedData[Product Name], "Gigastuff", OrganizedData[Order Year], 2022, OrganizedData[Order Month], "Dec")</f>
        <v>16295.580000000002</v>
      </c>
    </row>
    <row r="9" spans="1:13" x14ac:dyDescent="0.3">
      <c r="A9" s="99" t="s">
        <v>10670</v>
      </c>
      <c r="B9" s="100">
        <f>SUMIFS(OrganizedData[Total Order Value], OrganizedData[Product Name], "Hyperwotsit", OrganizedData[Order Year], 2022, OrganizedData[Order Month], "Jan")</f>
        <v>40360.799999999988</v>
      </c>
      <c r="C9" s="100">
        <f>SUMIFS(OrganizedData[Total Order Value], OrganizedData[Product Name], "Hyperwotsit", OrganizedData[Order Year], 2022, OrganizedData[Order Month], "Feb")</f>
        <v>25084.799999999999</v>
      </c>
      <c r="D9" s="100">
        <f>SUMIFS(OrganizedData[Total Order Value], OrganizedData[Product Name], "Hyperwotsit", OrganizedData[Order Year], 2022, OrganizedData[Order Month], "Mar")</f>
        <v>14873.999999999998</v>
      </c>
      <c r="E9" s="100">
        <f>SUMIFS(OrganizedData[Total Order Value], OrganizedData[Product Name], "Hyperwotsit", OrganizedData[Order Year], 2022, OrganizedData[Order Month], "Apr")</f>
        <v>31757.999999999996</v>
      </c>
      <c r="F9" s="100">
        <f>SUMIFS(OrganizedData[Total Order Value], OrganizedData[Product Name], "Hyperwotsit", OrganizedData[Order Year], 2022, OrganizedData[Order Month], "May")</f>
        <v>29707.8</v>
      </c>
      <c r="G9" s="100">
        <f>SUMIFS(OrganizedData[Total Order Value], OrganizedData[Product Name], "Hyperwotsit", OrganizedData[Order Year], 2022, OrganizedData[Order Month], "Jun")</f>
        <v>24682.799999999996</v>
      </c>
      <c r="H9" s="100">
        <f>SUMIFS(OrganizedData[Total Order Value], OrganizedData[Product Name], "Hyperwotsit", OrganizedData[Order Year], 2022, OrganizedData[Order Month], "Jul")</f>
        <v>44903.4</v>
      </c>
      <c r="I9" s="100">
        <f>SUMIFS(OrganizedData[Total Order Value], OrganizedData[Product Name], "Hyperwotsit", OrganizedData[Order Year], 2022, OrganizedData[Order Month], "Aug")</f>
        <v>23436.6</v>
      </c>
      <c r="J9" s="100">
        <f>SUMIFS(OrganizedData[Total Order Value], OrganizedData[Product Name], "Hyperwotsit", OrganizedData[Order Year], 2022, OrganizedData[Order Month], "Sep")</f>
        <v>25446.6</v>
      </c>
      <c r="K9" s="100">
        <f>SUMIFS(OrganizedData[Total Order Value], OrganizedData[Product Name], "Hyperwotsit", OrganizedData[Order Year], 2022, OrganizedData[Order Month], "Oct")</f>
        <v>54390.600000000006</v>
      </c>
      <c r="L9" s="100">
        <f>SUMIFS(OrganizedData[Total Order Value], OrganizedData[Product Name], "Hyperwotsit", OrganizedData[Order Year], 2022, OrganizedData[Order Month], "Nov")</f>
        <v>34572</v>
      </c>
      <c r="M9" s="101">
        <f>SUMIFS(OrganizedData[Total Order Value], OrganizedData[Product Name], "Hyperwotsit", OrganizedData[Order Year], 2022, OrganizedData[Order Month], "Dec")</f>
        <v>18009.599999999999</v>
      </c>
    </row>
    <row r="10" spans="1:13" x14ac:dyDescent="0.3">
      <c r="A10" s="99" t="s">
        <v>10671</v>
      </c>
      <c r="B10" s="100">
        <f>SUMIFS(OrganizedData[Total Order Value], OrganizedData[Product Name], "Superwossname", OrganizedData[Order Year], 2022, OrganizedData[Order Month], "Jan")</f>
        <v>43555.199999999997</v>
      </c>
      <c r="C10" s="100">
        <f>SUMIFS(OrganizedData[Total Order Value], OrganizedData[Product Name], "Superwossname", OrganizedData[Order Year], 2022, OrganizedData[Order Month], "Feb")</f>
        <v>82154.599999999991</v>
      </c>
      <c r="D10" s="100">
        <f>SUMIFS(OrganizedData[Total Order Value], OrganizedData[Product Name], "Superwossname", OrganizedData[Order Year], 2022, OrganizedData[Order Month], "Mar")</f>
        <v>51303</v>
      </c>
      <c r="E10" s="100">
        <f>SUMIFS(OrganizedData[Total Order Value], OrganizedData[Product Name], "Superwossname", OrganizedData[Order Year], 2022, OrganizedData[Order Month], "Apr")</f>
        <v>47394.200000000012</v>
      </c>
      <c r="F10" s="100">
        <f>SUMIFS(OrganizedData[Total Order Value], OrganizedData[Product Name], "Superwossname", OrganizedData[Order Year], 2022, OrganizedData[Order Month], "May")</f>
        <v>64495.199999999997</v>
      </c>
      <c r="G10" s="100">
        <f>SUMIFS(OrganizedData[Total Order Value], OrganizedData[Product Name], "Superwossname", OrganizedData[Order Year], 2022, OrganizedData[Order Month], "Jun")</f>
        <v>32666.400000000001</v>
      </c>
      <c r="H10" s="100">
        <f>SUMIFS(OrganizedData[Total Order Value], OrganizedData[Product Name], "Superwossname", OrganizedData[Order Year], 2022, OrganizedData[Order Month], "Jul")</f>
        <v>51512.4</v>
      </c>
      <c r="I10" s="100">
        <f>SUMIFS(OrganizedData[Total Order Value], OrganizedData[Product Name], "Superwossname", OrganizedData[Order Year], 2022, OrganizedData[Order Month], "Aug")</f>
        <v>84667.400000000009</v>
      </c>
      <c r="J10" s="100">
        <f>SUMIFS(OrganizedData[Total Order Value], OrganizedData[Product Name], "Superwossname", OrganizedData[Order Year], 2022, OrganizedData[Order Month], "Sep")</f>
        <v>44881.399999999994</v>
      </c>
      <c r="K10" s="100">
        <f>SUMIFS(OrganizedData[Total Order Value], OrganizedData[Product Name], "Superwossname", OrganizedData[Order Year], 2022, OrganizedData[Order Month], "Oct")</f>
        <v>64146.200000000019</v>
      </c>
      <c r="L10" s="100">
        <f>SUMIFS(OrganizedData[Total Order Value], OrganizedData[Product Name], "Superwossname", OrganizedData[Order Year], 2022, OrganizedData[Order Month], "Nov")</f>
        <v>47882.80000000001</v>
      </c>
      <c r="M10" s="101">
        <f>SUMIFS(OrganizedData[Total Order Value], OrganizedData[Product Name], "Superwossname", OrganizedData[Order Year], 2022, OrganizedData[Order Month], "Dec")</f>
        <v>40274.6</v>
      </c>
    </row>
    <row r="11" spans="1:13" x14ac:dyDescent="0.3">
      <c r="A11" s="99" t="s">
        <v>10672</v>
      </c>
      <c r="B11" s="100">
        <v>45000</v>
      </c>
      <c r="C11" s="100">
        <v>4000</v>
      </c>
      <c r="D11" s="100">
        <v>4000</v>
      </c>
      <c r="E11" s="100">
        <v>4000</v>
      </c>
      <c r="F11" s="100">
        <v>4000</v>
      </c>
      <c r="G11" s="100">
        <v>4000</v>
      </c>
      <c r="H11" s="100">
        <v>4000</v>
      </c>
      <c r="I11" s="100">
        <v>4000</v>
      </c>
      <c r="J11" s="100">
        <v>4000</v>
      </c>
      <c r="K11" s="100">
        <v>4000</v>
      </c>
      <c r="L11" s="100">
        <v>4000</v>
      </c>
      <c r="M11" s="101">
        <v>4000</v>
      </c>
    </row>
    <row r="12" spans="1:13" ht="15" thickBot="1" x14ac:dyDescent="0.35">
      <c r="A12" s="102" t="s">
        <v>10673</v>
      </c>
      <c r="B12" s="103">
        <v>650000</v>
      </c>
      <c r="C12" s="103"/>
      <c r="D12" s="103"/>
      <c r="E12" s="103"/>
      <c r="F12" s="103"/>
      <c r="G12" s="103"/>
      <c r="H12" s="103"/>
      <c r="I12" s="103"/>
      <c r="J12" s="103"/>
      <c r="K12" s="103"/>
      <c r="L12" s="103"/>
      <c r="M12" s="104"/>
    </row>
    <row r="13" spans="1:13" ht="15" thickBot="1" x14ac:dyDescent="0.35">
      <c r="A13" s="105" t="s">
        <v>10660</v>
      </c>
      <c r="B13" s="107">
        <f>SUM(B8:B12)</f>
        <v>801335.17999999993</v>
      </c>
      <c r="C13" s="107">
        <f t="shared" ref="C13:M13" si="1">SUM(C8:C12)</f>
        <v>131005.01999999999</v>
      </c>
      <c r="D13" s="107">
        <f t="shared" si="1"/>
        <v>105183.57999999999</v>
      </c>
      <c r="E13" s="107">
        <f t="shared" si="1"/>
        <v>110266.14000000001</v>
      </c>
      <c r="F13" s="107">
        <f t="shared" si="1"/>
        <v>118785.09999999999</v>
      </c>
      <c r="G13" s="107">
        <f t="shared" si="1"/>
        <v>87374.5</v>
      </c>
      <c r="H13" s="107">
        <f t="shared" si="1"/>
        <v>130013.20000000001</v>
      </c>
      <c r="I13" s="107">
        <f t="shared" si="1"/>
        <v>133332.48000000001</v>
      </c>
      <c r="J13" s="107">
        <f t="shared" si="1"/>
        <v>98278.079999999987</v>
      </c>
      <c r="K13" s="107">
        <f t="shared" si="1"/>
        <v>146316.78000000003</v>
      </c>
      <c r="L13" s="107">
        <f t="shared" si="1"/>
        <v>106050.32</v>
      </c>
      <c r="M13" s="108">
        <f t="shared" si="1"/>
        <v>78579.78</v>
      </c>
    </row>
    <row r="14" spans="1:13" x14ac:dyDescent="0.3">
      <c r="A14" s="88" t="s">
        <v>10658</v>
      </c>
      <c r="B14" s="89"/>
      <c r="C14" s="89"/>
      <c r="D14" s="89"/>
      <c r="E14" s="89"/>
      <c r="F14" s="89"/>
      <c r="G14" s="89"/>
      <c r="H14" s="89"/>
      <c r="I14" s="89"/>
      <c r="J14" s="89"/>
      <c r="K14" s="89"/>
      <c r="L14" s="89"/>
      <c r="M14" s="89"/>
    </row>
    <row r="15" spans="1:13" x14ac:dyDescent="0.3">
      <c r="A15" s="90" t="s">
        <v>10739</v>
      </c>
      <c r="B15" s="91">
        <v>30000</v>
      </c>
      <c r="C15" s="91">
        <v>30000</v>
      </c>
      <c r="D15" s="91">
        <v>30000</v>
      </c>
      <c r="E15" s="91">
        <v>30000</v>
      </c>
      <c r="F15" s="91">
        <v>30000</v>
      </c>
      <c r="G15" s="91">
        <v>30000</v>
      </c>
      <c r="H15" s="91">
        <v>30000</v>
      </c>
      <c r="I15" s="91">
        <v>30000</v>
      </c>
      <c r="J15" s="91">
        <v>30000</v>
      </c>
      <c r="K15" s="91">
        <v>30000</v>
      </c>
      <c r="L15" s="91">
        <v>30000</v>
      </c>
      <c r="M15" s="92">
        <v>30000</v>
      </c>
    </row>
    <row r="16" spans="1:13" x14ac:dyDescent="0.3">
      <c r="A16" s="90" t="s">
        <v>10675</v>
      </c>
      <c r="B16" s="91">
        <v>0</v>
      </c>
      <c r="C16" s="91">
        <f>ABS(PMT('Reference Sheet'!$B$17/12,'Reference Sheet'!$B$16,$B$12))</f>
        <v>6674.0069939079031</v>
      </c>
      <c r="D16" s="91">
        <f>ABS(PMT('Reference Sheet'!$B$17/12,'Reference Sheet'!$B$16,$B$12))</f>
        <v>6674.0069939079031</v>
      </c>
      <c r="E16" s="91">
        <f>ABS(PMT('Reference Sheet'!$B$17/12,'Reference Sheet'!$B$16,$B$12))</f>
        <v>6674.0069939079031</v>
      </c>
      <c r="F16" s="91">
        <f>ABS(PMT('Reference Sheet'!$B$17/12,'Reference Sheet'!$B$16,$B$12))</f>
        <v>6674.0069939079031</v>
      </c>
      <c r="G16" s="91">
        <f>ABS(PMT('Reference Sheet'!$B$17/12,'Reference Sheet'!$B$16,$B$12))</f>
        <v>6674.0069939079031</v>
      </c>
      <c r="H16" s="91">
        <f>ABS(PMT('Reference Sheet'!$B$17/12,'Reference Sheet'!$B$16,$B$12))</f>
        <v>6674.0069939079031</v>
      </c>
      <c r="I16" s="91">
        <f>ABS(PMT('Reference Sheet'!$B$17/12,'Reference Sheet'!$B$16,$B$12))</f>
        <v>6674.0069939079031</v>
      </c>
      <c r="J16" s="91">
        <f>ABS(PMT('Reference Sheet'!$B$17/12,'Reference Sheet'!$B$16,$B$12))</f>
        <v>6674.0069939079031</v>
      </c>
      <c r="K16" s="91">
        <f>ABS(PMT('Reference Sheet'!$B$17/12,'Reference Sheet'!$B$16,$B$12))</f>
        <v>6674.0069939079031</v>
      </c>
      <c r="L16" s="91">
        <f>ABS(PMT('Reference Sheet'!$B$17/12,'Reference Sheet'!$B$16,$B$12))</f>
        <v>6674.0069939079031</v>
      </c>
      <c r="M16" s="92">
        <f>ABS(PMT('Reference Sheet'!$B$17/12,'Reference Sheet'!$B$16,$B$12))</f>
        <v>6674.0069939079031</v>
      </c>
    </row>
    <row r="17" spans="1:13" x14ac:dyDescent="0.3">
      <c r="A17" s="93" t="s">
        <v>10662</v>
      </c>
      <c r="B17" s="91"/>
      <c r="C17" s="91"/>
      <c r="D17" s="91"/>
      <c r="E17" s="91"/>
      <c r="F17" s="91"/>
      <c r="G17" s="91"/>
      <c r="H17" s="91"/>
      <c r="I17" s="91"/>
      <c r="J17" s="91"/>
      <c r="K17" s="91"/>
      <c r="L17" s="91"/>
      <c r="M17" s="92"/>
    </row>
    <row r="18" spans="1:13" x14ac:dyDescent="0.3">
      <c r="A18" s="90" t="s">
        <v>10669</v>
      </c>
      <c r="B18" s="91">
        <f>SUMIFS(OrganizedData[Quantity], OrganizedData[Product Name], "Gigastuff", OrganizedData[Order Year], 2022, OrganizedData[Order Month], "Jan")*'Reference Sheet'!$F$12</f>
        <v>16814.384999999998</v>
      </c>
      <c r="C18" s="91">
        <f>SUMIFS(OrganizedData[Quantity], OrganizedData[Product Name], "Gigastuff", OrganizedData[Order Year], 2022, OrganizedData[Order Month], "Feb")*'Reference Sheet'!$F$12</f>
        <v>14824.214999999998</v>
      </c>
      <c r="D18" s="91">
        <f>SUMIFS(OrganizedData[Quantity], OrganizedData[Product Name], "Gigastuff", OrganizedData[Order Year], 2022, OrganizedData[Order Month], "Mar")*'Reference Sheet'!$F$12</f>
        <v>26254.934999999998</v>
      </c>
      <c r="E18" s="91">
        <f>SUMIFS(OrganizedData[Quantity], OrganizedData[Product Name], "Gigastuff", OrganizedData[Order Year], 2022, OrganizedData[Order Month], "Apr")*'Reference Sheet'!$F$12</f>
        <v>20335.454999999998</v>
      </c>
      <c r="F18" s="91">
        <f>SUMIFS(OrganizedData[Quantity], OrganizedData[Product Name], "Gigastuff", OrganizedData[Order Year], 2022, OrganizedData[Order Month], "May")*'Reference Sheet'!$F$12</f>
        <v>15436.574999999999</v>
      </c>
      <c r="G18" s="91">
        <f>SUMIFS(OrganizedData[Quantity], OrganizedData[Product Name], "Gigastuff", OrganizedData[Order Year], 2022, OrganizedData[Order Month], "Jun")*'Reference Sheet'!$F$12</f>
        <v>19518.974999999999</v>
      </c>
      <c r="H18" s="91">
        <f>SUMIFS(OrganizedData[Quantity], OrganizedData[Product Name], "Gigastuff", OrganizedData[Order Year], 2022, OrganizedData[Order Month], "Jul")*'Reference Sheet'!$F$12</f>
        <v>22198.049999999996</v>
      </c>
      <c r="I18" s="91">
        <f>SUMIFS(OrganizedData[Quantity], OrganizedData[Product Name], "Gigastuff", OrganizedData[Order Year], 2022, OrganizedData[Order Month], "Aug")*'Reference Sheet'!$F$12</f>
        <v>15921.359999999999</v>
      </c>
      <c r="J18" s="91">
        <f>SUMIFS(OrganizedData[Quantity], OrganizedData[Product Name], "Gigastuff", OrganizedData[Order Year], 2022, OrganizedData[Order Month], "Sep")*'Reference Sheet'!$F$12</f>
        <v>17962.559999999998</v>
      </c>
      <c r="K18" s="91">
        <f>SUMIFS(OrganizedData[Quantity], OrganizedData[Product Name], "Gigastuff", OrganizedData[Order Year], 2022, OrganizedData[Order Month], "Oct")*'Reference Sheet'!$F$12</f>
        <v>17834.984999999997</v>
      </c>
      <c r="L18" s="91">
        <f>SUMIFS(OrganizedData[Quantity], OrganizedData[Product Name], "Gigastuff", OrganizedData[Order Year], 2022, OrganizedData[Order Month], "Nov")*'Reference Sheet'!$F$12</f>
        <v>14696.639999999998</v>
      </c>
      <c r="M18" s="91">
        <f>SUMIFS(OrganizedData[Quantity], OrganizedData[Product Name], "Gigastuff", OrganizedData[Order Year], 2022, OrganizedData[Order Month], "Dec")*'Reference Sheet'!$F$12</f>
        <v>12221.684999999998</v>
      </c>
    </row>
    <row r="19" spans="1:13" x14ac:dyDescent="0.3">
      <c r="A19" s="90" t="s">
        <v>10670</v>
      </c>
      <c r="B19" s="91">
        <f>SUMIFS(OrganizedData[Quantity], OrganizedData[Product Name], "Hyperwotsit", OrganizedData[Order Year], 2022, OrganizedData[Order Month], "Jan")*'Reference Sheet'!$F$7</f>
        <v>30270.6</v>
      </c>
      <c r="C19" s="91">
        <f>SUMIFS(OrganizedData[Quantity], OrganizedData[Product Name], "Hyperwotsit", OrganizedData[Order Year], 2022, OrganizedData[Order Month], "Feb")*'Reference Sheet'!$F$7</f>
        <v>18813.599999999999</v>
      </c>
      <c r="D19" s="91">
        <f>SUMIFS(OrganizedData[Quantity], OrganizedData[Product Name], "Hyperwotsit", OrganizedData[Order Year], 2022, OrganizedData[Order Month], "Mar")*'Reference Sheet'!$F$7</f>
        <v>11155.5</v>
      </c>
      <c r="E19" s="91">
        <f>SUMIFS(OrganizedData[Quantity], OrganizedData[Product Name], "Hyperwotsit", OrganizedData[Order Year], 2022, OrganizedData[Order Month], "Apr")*'Reference Sheet'!$F$7</f>
        <v>23818.5</v>
      </c>
      <c r="F19" s="91">
        <f>SUMIFS(OrganizedData[Quantity], OrganizedData[Product Name], "Hyperwotsit", OrganizedData[Order Year], 2022, OrganizedData[Order Month], "May")*'Reference Sheet'!$F$7</f>
        <v>22280.85</v>
      </c>
      <c r="G19" s="91">
        <f>SUMIFS(OrganizedData[Quantity], OrganizedData[Product Name], "Hyperwotsit", OrganizedData[Order Year], 2022, OrganizedData[Order Month], "Jun")*'Reference Sheet'!$F$7</f>
        <v>18512.099999999999</v>
      </c>
      <c r="H19" s="91">
        <f>SUMIFS(OrganizedData[Quantity], OrganizedData[Product Name], "Hyperwotsit", OrganizedData[Order Year], 2022, OrganizedData[Order Month], "Jul")*'Reference Sheet'!$F$7</f>
        <v>33677.549999999996</v>
      </c>
      <c r="I19" s="91">
        <f>SUMIFS(OrganizedData[Quantity], OrganizedData[Product Name], "Hyperwotsit", OrganizedData[Order Year], 2022, OrganizedData[Order Month], "Aug")*'Reference Sheet'!$F$7</f>
        <v>17577.45</v>
      </c>
      <c r="J19" s="91">
        <f>SUMIFS(OrganizedData[Quantity], OrganizedData[Product Name], "Hyperwotsit", OrganizedData[Order Year], 2022, OrganizedData[Order Month], "Sep")*'Reference Sheet'!$F$7</f>
        <v>19084.95</v>
      </c>
      <c r="K19" s="91">
        <f>SUMIFS(OrganizedData[Quantity], OrganizedData[Product Name], "Hyperwotsit", OrganizedData[Order Year], 2022, OrganizedData[Order Month], "Oct")*'Reference Sheet'!$F$7</f>
        <v>40792.949999999997</v>
      </c>
      <c r="L19" s="91">
        <f>SUMIFS(OrganizedData[Quantity], OrganizedData[Product Name], "Hyperwotsit", OrganizedData[Order Year], 2022, OrganizedData[Order Month], "Nov")*'Reference Sheet'!$F$7</f>
        <v>25929</v>
      </c>
      <c r="M19" s="91">
        <f>SUMIFS(OrganizedData[Quantity], OrganizedData[Product Name], "Hyperwotsit", OrganizedData[Order Year], 2022, OrganizedData[Order Month], "Dec")*'Reference Sheet'!$F$7</f>
        <v>13507.199999999999</v>
      </c>
    </row>
    <row r="20" spans="1:13" x14ac:dyDescent="0.3">
      <c r="A20" s="90" t="s">
        <v>10671</v>
      </c>
      <c r="B20" s="91">
        <f>SUMIFS(OrganizedData[Quantity], OrganizedData[Product Name], "Superwossname", OrganizedData[Order Year], 2022, OrganizedData[Order Month], "Jan")*'Reference Sheet'!$F$13</f>
        <v>32666.400000000005</v>
      </c>
      <c r="C20" s="91">
        <f>SUMIFS(OrganizedData[Quantity], OrganizedData[Product Name], "Superwossname", OrganizedData[Order Year], 2022, OrganizedData[Order Month], "Feb")*'Reference Sheet'!$F$13</f>
        <v>61615.950000000012</v>
      </c>
      <c r="D20" s="91">
        <f>SUMIFS(OrganizedData[Quantity], OrganizedData[Product Name], "Superwossname", OrganizedData[Order Year], 2022, OrganizedData[Order Month], "Mar")*'Reference Sheet'!$F$13</f>
        <v>38477.250000000007</v>
      </c>
      <c r="E20" s="91">
        <f>SUMIFS(OrganizedData[Quantity], OrganizedData[Product Name], "Superwossname", OrganizedData[Order Year], 2022, OrganizedData[Order Month], "Apr")*'Reference Sheet'!$F$13</f>
        <v>35545.650000000009</v>
      </c>
      <c r="F20" s="91">
        <f>SUMIFS(OrganizedData[Quantity], OrganizedData[Product Name], "Superwossname", OrganizedData[Order Year], 2022, OrganizedData[Order Month], "May")*'Reference Sheet'!$F$13</f>
        <v>48371.400000000009</v>
      </c>
      <c r="G20" s="91">
        <f>SUMIFS(OrganizedData[Quantity], OrganizedData[Product Name], "Superwossname", OrganizedData[Order Year], 2022, OrganizedData[Order Month], "Jun")*'Reference Sheet'!$F$13</f>
        <v>24499.800000000003</v>
      </c>
      <c r="H20" s="91">
        <f>SUMIFS(OrganizedData[Quantity], OrganizedData[Product Name], "Superwossname", OrganizedData[Order Year], 2022, OrganizedData[Order Month], "Jul")*'Reference Sheet'!$F$13</f>
        <v>38634.300000000003</v>
      </c>
      <c r="I20" s="91">
        <f>SUMIFS(OrganizedData[Quantity], OrganizedData[Product Name], "Superwossname", OrganizedData[Order Year], 2022, OrganizedData[Order Month], "Aug")*'Reference Sheet'!$F$13</f>
        <v>63500.55000000001</v>
      </c>
      <c r="J20" s="91">
        <f>SUMIFS(OrganizedData[Quantity], OrganizedData[Product Name], "Superwossname", OrganizedData[Order Year], 2022, OrganizedData[Order Month], "Sep")*'Reference Sheet'!$F$13</f>
        <v>33661.050000000003</v>
      </c>
      <c r="K20" s="91">
        <f>SUMIFS(OrganizedData[Quantity], OrganizedData[Product Name], "Superwossname", OrganizedData[Order Year], 2022, OrganizedData[Order Month], "Oct")*'Reference Sheet'!$F$13</f>
        <v>48109.650000000009</v>
      </c>
      <c r="L20" s="91">
        <f>SUMIFS(OrganizedData[Quantity], OrganizedData[Product Name], "Superwossname", OrganizedData[Order Year], 2022, OrganizedData[Order Month], "Nov")*'Reference Sheet'!$F$13</f>
        <v>35912.100000000006</v>
      </c>
      <c r="M20" s="91">
        <f>SUMIFS(OrganizedData[Quantity], OrganizedData[Product Name], "Superwossname", OrganizedData[Order Year], 2022, OrganizedData[Order Month], "Dec")*'Reference Sheet'!$F$13</f>
        <v>30205.950000000004</v>
      </c>
    </row>
    <row r="21" spans="1:13" x14ac:dyDescent="0.3">
      <c r="A21" s="93" t="s">
        <v>10663</v>
      </c>
      <c r="B21" s="91"/>
      <c r="C21" s="91"/>
      <c r="D21" s="91"/>
      <c r="E21" s="91"/>
      <c r="F21" s="91"/>
      <c r="G21" s="91"/>
      <c r="H21" s="91"/>
      <c r="I21" s="91"/>
      <c r="J21" s="91"/>
      <c r="K21" s="91"/>
      <c r="L21" s="91"/>
      <c r="M21" s="92"/>
    </row>
    <row r="22" spans="1:13" x14ac:dyDescent="0.3">
      <c r="A22" s="90" t="s">
        <v>10669</v>
      </c>
      <c r="B22" s="91">
        <f>COUNTIFS(OrganizedData[Product Name], "Gigastuff", OrganizedData[Order Year], 2022, OrganizedData[Order Month], "Jan")*'Reference Sheet'!$C$21</f>
        <v>149.5</v>
      </c>
      <c r="C22" s="91">
        <f>COUNTIFS(OrganizedData[Product Name], "Gigastuff", OrganizedData[Order Year], 2022, OrganizedData[Order Month], "Feb")*'Reference Sheet'!$C$21</f>
        <v>179.39999999999998</v>
      </c>
      <c r="D22" s="91">
        <f>COUNTIFS(OrganizedData[Product Name], "Gigastuff", OrganizedData[Order Year], 2022, OrganizedData[Order Month], "Mar")*'Reference Sheet'!$C$21</f>
        <v>239.2</v>
      </c>
      <c r="E22" s="91">
        <f>COUNTIFS(OrganizedData[Product Name], "Gigastuff", OrganizedData[Order Year], 2022, OrganizedData[Order Month], "Apr")*'Reference Sheet'!$C$21</f>
        <v>224.25</v>
      </c>
      <c r="F22" s="91">
        <f>COUNTIFS(OrganizedData[Product Name], "Gigastuff", OrganizedData[Order Year], 2022, OrganizedData[Order Month], "May")*'Reference Sheet'!$C$21</f>
        <v>164.45</v>
      </c>
      <c r="G22" s="91">
        <f>COUNTIFS(OrganizedData[Product Name], "Gigastuff", OrganizedData[Order Year], 2022, OrganizedData[Order Month], "Jun")*'Reference Sheet'!$C$21</f>
        <v>224.25</v>
      </c>
      <c r="H22" s="91">
        <f>COUNTIFS(OrganizedData[Product Name], "Gigastuff", OrganizedData[Order Year], 2022, OrganizedData[Order Month], "Jul")*'Reference Sheet'!$C$21</f>
        <v>224.25</v>
      </c>
      <c r="I22" s="91">
        <f>COUNTIFS(OrganizedData[Product Name], "Gigastuff", OrganizedData[Order Year], 2022, OrganizedData[Order Month], "Aug")*'Reference Sheet'!$C$21</f>
        <v>179.39999999999998</v>
      </c>
      <c r="J22" s="91">
        <f>COUNTIFS(OrganizedData[Product Name], "Gigastuff", OrganizedData[Order Year], 2022, OrganizedData[Order Month], "Sep")*'Reference Sheet'!$C$21</f>
        <v>209.29999999999998</v>
      </c>
      <c r="K22" s="91">
        <f>COUNTIFS(OrganizedData[Product Name], "Gigastuff", OrganizedData[Order Year], 2022, OrganizedData[Order Month], "Oct")*'Reference Sheet'!$C$21</f>
        <v>209.29999999999998</v>
      </c>
      <c r="L22" s="91">
        <f>COUNTIFS(OrganizedData[Product Name], "Gigastuff", OrganizedData[Order Year], 2022, OrganizedData[Order Month], "Nov")*'Reference Sheet'!$C$21</f>
        <v>149.5</v>
      </c>
      <c r="M22" s="91">
        <f>COUNTIFS(OrganizedData[Product Name], "Gigastuff", OrganizedData[Order Year], 2022, OrganizedData[Order Month], "Dec")*'Reference Sheet'!$C$21</f>
        <v>134.54999999999998</v>
      </c>
    </row>
    <row r="23" spans="1:13" x14ac:dyDescent="0.3">
      <c r="A23" s="90" t="s">
        <v>10670</v>
      </c>
      <c r="B23" s="91">
        <f>COUNTIFS(OrganizedData[Product Name], "Hyperwotsit", OrganizedData[Order Year], 2022, OrganizedData[Order Month], "Jan")*'Reference Sheet'!$C$21</f>
        <v>224.25</v>
      </c>
      <c r="C23" s="91">
        <f>COUNTIFS(OrganizedData[Product Name], "Hyperwotsit", OrganizedData[Order Year], 2022, OrganizedData[Order Month], "Feb")*'Reference Sheet'!$C$21</f>
        <v>194.35</v>
      </c>
      <c r="D23" s="91">
        <f>COUNTIFS(OrganizedData[Product Name], "Hyperwotsit", OrganizedData[Order Year], 2022, OrganizedData[Order Month], "Mar")*'Reference Sheet'!$C$21</f>
        <v>134.54999999999998</v>
      </c>
      <c r="E23" s="91">
        <f>COUNTIFS(OrganizedData[Product Name], "Hyperwotsit", OrganizedData[Order Year], 2022, OrganizedData[Order Month], "Apr")*'Reference Sheet'!$C$21</f>
        <v>194.35</v>
      </c>
      <c r="F23" s="91">
        <f>COUNTIFS(OrganizedData[Product Name], "Hyperwotsit", OrganizedData[Order Year], 2022, OrganizedData[Order Month], "May")*'Reference Sheet'!$C$21</f>
        <v>179.39999999999998</v>
      </c>
      <c r="G23" s="91">
        <f>COUNTIFS(OrganizedData[Product Name], "Hyperwotsit", OrganizedData[Order Year], 2022, OrganizedData[Order Month], "Jun")*'Reference Sheet'!$C$21</f>
        <v>179.39999999999998</v>
      </c>
      <c r="H23" s="91">
        <f>COUNTIFS(OrganizedData[Product Name], "Hyperwotsit", OrganizedData[Order Year], 2022, OrganizedData[Order Month], "Jul")*'Reference Sheet'!$C$21</f>
        <v>313.95</v>
      </c>
      <c r="I23" s="91">
        <f>COUNTIFS(OrganizedData[Product Name], "Hyperwotsit", OrganizedData[Order Year], 2022, OrganizedData[Order Month], "Aug")*'Reference Sheet'!$C$21</f>
        <v>224.25</v>
      </c>
      <c r="J23" s="91">
        <f>COUNTIFS(OrganizedData[Product Name], "Hyperwotsit", OrganizedData[Order Year], 2022, OrganizedData[Order Month], "Sep")*'Reference Sheet'!$C$21</f>
        <v>224.25</v>
      </c>
      <c r="K23" s="91">
        <f>COUNTIFS(OrganizedData[Product Name], "Hyperwotsit", OrganizedData[Order Year], 2022, OrganizedData[Order Month], "Oct")*'Reference Sheet'!$C$21</f>
        <v>343.84999999999997</v>
      </c>
      <c r="L23" s="91">
        <f>COUNTIFS(OrganizedData[Product Name], "Hyperwotsit", OrganizedData[Order Year], 2022, OrganizedData[Order Month], "Nov")*'Reference Sheet'!$C$21</f>
        <v>284.05</v>
      </c>
      <c r="M23" s="91">
        <f>COUNTIFS(OrganizedData[Product Name], "Hyperwotsit", OrganizedData[Order Year], 2022, OrganizedData[Order Month], "Dec")*'Reference Sheet'!$C$21</f>
        <v>89.699999999999989</v>
      </c>
    </row>
    <row r="24" spans="1:13" ht="15" thickBot="1" x14ac:dyDescent="0.35">
      <c r="A24" s="94" t="s">
        <v>10671</v>
      </c>
      <c r="B24" s="91">
        <f>COUNTIFS(OrganizedData[Product Name], "Superwossname", OrganizedData[Order Year], 2022, OrganizedData[Order Month], "Jan")*'Reference Sheet'!$C$21</f>
        <v>149.5</v>
      </c>
      <c r="C24" s="91">
        <f>COUNTIFS(OrganizedData[Product Name], "Superwossname", OrganizedData[Order Year], 2022, OrganizedData[Order Month], "Feb")*'Reference Sheet'!$C$21</f>
        <v>284.05</v>
      </c>
      <c r="D24" s="91">
        <f>COUNTIFS(OrganizedData[Product Name], "Superwossname", OrganizedData[Order Year], 2022, OrganizedData[Order Month], "Mar")*'Reference Sheet'!$C$21</f>
        <v>224.25</v>
      </c>
      <c r="E24" s="91">
        <f>COUNTIFS(OrganizedData[Product Name], "Superwossname", OrganizedData[Order Year], 2022, OrganizedData[Order Month], "Apr")*'Reference Sheet'!$C$21</f>
        <v>209.29999999999998</v>
      </c>
      <c r="F24" s="91">
        <f>COUNTIFS(OrganizedData[Product Name], "Superwossname", OrganizedData[Order Year], 2022, OrganizedData[Order Month], "May")*'Reference Sheet'!$C$21</f>
        <v>254.14999999999998</v>
      </c>
      <c r="G24" s="91">
        <f>COUNTIFS(OrganizedData[Product Name], "Superwossname", OrganizedData[Order Year], 2022, OrganizedData[Order Month], "Jun")*'Reference Sheet'!$C$21</f>
        <v>134.54999999999998</v>
      </c>
      <c r="H24" s="91">
        <f>COUNTIFS(OrganizedData[Product Name], "Superwossname", OrganizedData[Order Year], 2022, OrganizedData[Order Month], "Jul")*'Reference Sheet'!$C$21</f>
        <v>194.35</v>
      </c>
      <c r="I24" s="91">
        <f>COUNTIFS(OrganizedData[Product Name], "Superwossname", OrganizedData[Order Year], 2022, OrganizedData[Order Month], "Aug")*'Reference Sheet'!$C$21</f>
        <v>313.95</v>
      </c>
      <c r="J24" s="91">
        <f>COUNTIFS(OrganizedData[Product Name], "Superwossname", OrganizedData[Order Year], 2022, OrganizedData[Order Month], "Sep")*'Reference Sheet'!$C$21</f>
        <v>209.29999999999998</v>
      </c>
      <c r="K24" s="91">
        <f>COUNTIFS(OrganizedData[Product Name], "Superwossname", OrganizedData[Order Year], 2022, OrganizedData[Order Month], "Oct")*'Reference Sheet'!$C$21</f>
        <v>254.14999999999998</v>
      </c>
      <c r="L24" s="91">
        <f>COUNTIFS(OrganizedData[Product Name], "Superwossname", OrganizedData[Order Year], 2022, OrganizedData[Order Month], "Nov")*'Reference Sheet'!$C$21</f>
        <v>149.5</v>
      </c>
      <c r="M24" s="91">
        <f>COUNTIFS(OrganizedData[Product Name], "Superwossname", OrganizedData[Order Year], 2022, OrganizedData[Order Month], "Dec")*'Reference Sheet'!$C$21</f>
        <v>194.35</v>
      </c>
    </row>
    <row r="25" spans="1:13" ht="15" thickBot="1" x14ac:dyDescent="0.35">
      <c r="A25" s="106" t="s">
        <v>10661</v>
      </c>
      <c r="B25" s="109">
        <f>SUM(B15:B24)</f>
        <v>110274.63499999999</v>
      </c>
      <c r="C25" s="109">
        <f t="shared" ref="C25:M25" si="2">SUM(C15:C24)</f>
        <v>132585.57199390791</v>
      </c>
      <c r="D25" s="109">
        <f t="shared" si="2"/>
        <v>113159.69199390791</v>
      </c>
      <c r="E25" s="109">
        <f t="shared" si="2"/>
        <v>117001.51199390792</v>
      </c>
      <c r="F25" s="109">
        <f t="shared" si="2"/>
        <v>123360.83199390789</v>
      </c>
      <c r="G25" s="109">
        <f t="shared" si="2"/>
        <v>99743.081993907894</v>
      </c>
      <c r="H25" s="109">
        <f t="shared" si="2"/>
        <v>131916.45699390789</v>
      </c>
      <c r="I25" s="109">
        <f t="shared" si="2"/>
        <v>134390.96699390793</v>
      </c>
      <c r="J25" s="109">
        <f t="shared" si="2"/>
        <v>108025.41699390791</v>
      </c>
      <c r="K25" s="109">
        <f t="shared" si="2"/>
        <v>144218.89199390789</v>
      </c>
      <c r="L25" s="109">
        <f t="shared" si="2"/>
        <v>113794.7969939079</v>
      </c>
      <c r="M25" s="110">
        <f t="shared" si="2"/>
        <v>93027.441993907909</v>
      </c>
    </row>
    <row r="26" spans="1:13" ht="15" thickBot="1" x14ac:dyDescent="0.35">
      <c r="A26" s="85" t="s">
        <v>10664</v>
      </c>
      <c r="B26" s="86">
        <f>B13-B25+B5</f>
        <v>691060.54499999993</v>
      </c>
      <c r="C26" s="86">
        <f>C13-C25+C5</f>
        <v>689479.99300609203</v>
      </c>
      <c r="D26" s="86">
        <f>D13-D25+D5</f>
        <v>681503.88101218408</v>
      </c>
      <c r="E26" s="86">
        <f t="shared" ref="E26:M26" si="3">E13-E25+E5</f>
        <v>674768.50901827612</v>
      </c>
      <c r="F26" s="86">
        <f t="shared" si="3"/>
        <v>670192.77702436817</v>
      </c>
      <c r="G26" s="86">
        <f t="shared" si="3"/>
        <v>657824.19503046025</v>
      </c>
      <c r="H26" s="86">
        <f t="shared" si="3"/>
        <v>655920.9380365524</v>
      </c>
      <c r="I26" s="86">
        <f t="shared" si="3"/>
        <v>654862.45104264445</v>
      </c>
      <c r="J26" s="86">
        <f t="shared" si="3"/>
        <v>645115.11404873652</v>
      </c>
      <c r="K26" s="86">
        <f t="shared" si="3"/>
        <v>647213.00205482868</v>
      </c>
      <c r="L26" s="86">
        <f>L13-L25+L5</f>
        <v>639468.52506092074</v>
      </c>
      <c r="M26" s="87">
        <f t="shared" si="3"/>
        <v>625020.86306701286</v>
      </c>
    </row>
    <row r="28" spans="1:13" x14ac:dyDescent="0.3">
      <c r="A28" s="113" t="s">
        <v>10694</v>
      </c>
      <c r="B28" s="9">
        <f>SUM('Cash Flow Forecast'!B23:M25)</f>
        <v>13453</v>
      </c>
    </row>
    <row r="29" spans="1:13" x14ac:dyDescent="0.3">
      <c r="A29" s="113" t="s">
        <v>10695</v>
      </c>
      <c r="B29" s="9">
        <f>SUM(B22:M24)</f>
        <v>7445.1000000000013</v>
      </c>
    </row>
    <row r="30" spans="1:13" x14ac:dyDescent="0.3">
      <c r="A30" s="113" t="s">
        <v>10696</v>
      </c>
      <c r="B30" s="9">
        <f>B28-B29</f>
        <v>6007.8999999999987</v>
      </c>
    </row>
    <row r="32" spans="1:13" x14ac:dyDescent="0.3">
      <c r="A32" s="183" t="s">
        <v>10697</v>
      </c>
      <c r="B32" s="183"/>
      <c r="C32" s="183"/>
      <c r="D32" s="183"/>
      <c r="E32" s="183"/>
      <c r="F32" s="183"/>
      <c r="G32" s="183"/>
      <c r="H32" s="183"/>
      <c r="I32" s="183"/>
      <c r="J32" s="183"/>
      <c r="K32" s="183"/>
      <c r="L32" s="183"/>
      <c r="M32" s="183"/>
    </row>
    <row r="33" spans="1:13" x14ac:dyDescent="0.3">
      <c r="A33" s="183"/>
      <c r="B33" s="183"/>
      <c r="C33" s="183"/>
      <c r="D33" s="183"/>
      <c r="E33" s="183"/>
      <c r="F33" s="183"/>
      <c r="G33" s="183"/>
      <c r="H33" s="183"/>
      <c r="I33" s="183"/>
      <c r="J33" s="183"/>
      <c r="K33" s="183"/>
      <c r="L33" s="183"/>
      <c r="M33" s="183"/>
    </row>
  </sheetData>
  <mergeCells count="3">
    <mergeCell ref="A1:M1"/>
    <mergeCell ref="A2:M2"/>
    <mergeCell ref="A32:M33"/>
  </mergeCells>
  <conditionalFormatting sqref="B25 B13">
    <cfRule type="colorScale" priority="12">
      <colorScale>
        <cfvo type="min"/>
        <cfvo type="max"/>
        <color rgb="FFFF7128"/>
        <color rgb="FFFFEF9C"/>
      </colorScale>
    </cfRule>
  </conditionalFormatting>
  <conditionalFormatting sqref="B25 B13">
    <cfRule type="colorScale" priority="11">
      <colorScale>
        <cfvo type="min"/>
        <cfvo type="max"/>
        <color rgb="FFFF0000"/>
        <color theme="9"/>
      </colorScale>
    </cfRule>
  </conditionalFormatting>
  <conditionalFormatting sqref="C13 C25">
    <cfRule type="colorScale" priority="10">
      <colorScale>
        <cfvo type="min"/>
        <cfvo type="max"/>
        <color rgb="FFFF0000"/>
        <color theme="9"/>
      </colorScale>
    </cfRule>
  </conditionalFormatting>
  <conditionalFormatting sqref="D25 D13">
    <cfRule type="colorScale" priority="9">
      <colorScale>
        <cfvo type="min"/>
        <cfvo type="max"/>
        <color rgb="FFFF0000"/>
        <color theme="9"/>
      </colorScale>
    </cfRule>
  </conditionalFormatting>
  <conditionalFormatting sqref="E25 E13">
    <cfRule type="colorScale" priority="8">
      <colorScale>
        <cfvo type="min"/>
        <cfvo type="max"/>
        <color rgb="FFFF0000"/>
        <color theme="9"/>
      </colorScale>
    </cfRule>
  </conditionalFormatting>
  <conditionalFormatting sqref="B13:M13 B25:M25">
    <cfRule type="colorScale" priority="7">
      <colorScale>
        <cfvo type="min"/>
        <cfvo type="max"/>
        <color rgb="FFFF0000"/>
        <color theme="9"/>
      </colorScale>
    </cfRule>
  </conditionalFormatting>
  <conditionalFormatting sqref="B13:M13">
    <cfRule type="colorScale" priority="2">
      <colorScale>
        <cfvo type="min"/>
        <cfvo type="percentile" val="50"/>
        <cfvo type="max"/>
        <color rgb="FFF8696B"/>
        <color rgb="FFFCFCFF"/>
        <color rgb="FF5A8AC6"/>
      </colorScale>
    </cfRule>
    <cfRule type="colorScale" priority="6">
      <colorScale>
        <cfvo type="min"/>
        <cfvo type="percentile" val="50"/>
        <cfvo type="max"/>
        <color rgb="FFF8696B"/>
        <color rgb="FFFFEB84"/>
        <color rgb="FF63BE7B"/>
      </colorScale>
    </cfRule>
  </conditionalFormatting>
  <conditionalFormatting sqref="B25:M25">
    <cfRule type="colorScale" priority="1">
      <colorScale>
        <cfvo type="min"/>
        <cfvo type="percentile" val="50"/>
        <cfvo type="max"/>
        <color rgb="FFF8696B"/>
        <color rgb="FFFCFCFF"/>
        <color rgb="FF5A8AC6"/>
      </colorScale>
    </cfRule>
    <cfRule type="colorScale" priority="5">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32E8-9F92-4DDD-BCD8-36F5E5509386}">
  <sheetPr codeName="Sheet9">
    <tabColor theme="4" tint="0.59999389629810485"/>
  </sheetPr>
  <dimension ref="A1:N34"/>
  <sheetViews>
    <sheetView showGridLines="0" workbookViewId="0">
      <selection sqref="A1:M1"/>
    </sheetView>
  </sheetViews>
  <sheetFormatPr defaultRowHeight="14.4" x14ac:dyDescent="0.3"/>
  <cols>
    <col min="1" max="1" width="33.33203125" style="2" bestFit="1" customWidth="1"/>
    <col min="2" max="13" width="13.109375" style="2" bestFit="1" customWidth="1"/>
    <col min="14" max="14" width="8.88671875" style="2"/>
    <col min="15" max="15" width="19.44140625" style="2" bestFit="1" customWidth="1"/>
    <col min="16" max="16" width="7.6640625" style="2" bestFit="1" customWidth="1"/>
    <col min="17" max="16384" width="8.88671875" style="2"/>
  </cols>
  <sheetData>
    <row r="1" spans="1:14" ht="19.8" x14ac:dyDescent="0.4">
      <c r="A1" s="182" t="s">
        <v>10659</v>
      </c>
      <c r="B1" s="182"/>
      <c r="C1" s="182"/>
      <c r="D1" s="182"/>
      <c r="E1" s="182"/>
      <c r="F1" s="182"/>
      <c r="G1" s="182"/>
      <c r="H1" s="182"/>
      <c r="I1" s="182"/>
      <c r="J1" s="182"/>
      <c r="K1" s="182"/>
      <c r="L1" s="182"/>
      <c r="M1" s="182"/>
    </row>
    <row r="2" spans="1:14" ht="15.6" x14ac:dyDescent="0.3">
      <c r="A2" s="184" t="s">
        <v>10698</v>
      </c>
      <c r="B2" s="184"/>
      <c r="C2" s="184"/>
      <c r="D2" s="184"/>
      <c r="E2" s="184"/>
      <c r="F2" s="184"/>
      <c r="G2" s="184"/>
      <c r="H2" s="184"/>
      <c r="I2" s="184"/>
      <c r="J2" s="184"/>
      <c r="K2" s="184"/>
      <c r="L2" s="184"/>
      <c r="M2" s="184"/>
    </row>
    <row r="3" spans="1:14" ht="15.6" x14ac:dyDescent="0.3">
      <c r="B3" s="12"/>
      <c r="C3" s="12"/>
      <c r="D3" s="12"/>
      <c r="E3" s="12"/>
      <c r="F3" s="12"/>
      <c r="G3" s="12"/>
      <c r="H3" s="12"/>
      <c r="I3" s="12"/>
      <c r="J3" s="12"/>
      <c r="K3" s="12"/>
      <c r="L3" s="12"/>
      <c r="M3" s="12"/>
    </row>
    <row r="4" spans="1:14" ht="15.6" x14ac:dyDescent="0.3">
      <c r="A4" s="14" t="s">
        <v>10704</v>
      </c>
      <c r="B4" s="12"/>
      <c r="C4" s="12"/>
      <c r="D4" s="12"/>
      <c r="E4" s="12"/>
      <c r="F4" s="12"/>
      <c r="G4" s="12"/>
      <c r="H4" s="12"/>
      <c r="I4" s="12"/>
      <c r="J4" s="12"/>
      <c r="K4" s="12"/>
      <c r="L4" s="12"/>
      <c r="M4" s="12"/>
    </row>
    <row r="5" spans="1:14" ht="15" thickBot="1" x14ac:dyDescent="0.35"/>
    <row r="6" spans="1:14" ht="15" thickBot="1" x14ac:dyDescent="0.35">
      <c r="A6" s="75" t="s">
        <v>10668</v>
      </c>
      <c r="B6" s="76" t="s">
        <v>4239</v>
      </c>
      <c r="C6" s="76" t="s">
        <v>10620</v>
      </c>
      <c r="D6" s="76" t="s">
        <v>10621</v>
      </c>
      <c r="E6" s="76" t="s">
        <v>10622</v>
      </c>
      <c r="F6" s="76" t="s">
        <v>6845</v>
      </c>
      <c r="G6" s="76" t="s">
        <v>10623</v>
      </c>
      <c r="H6" s="76" t="s">
        <v>10624</v>
      </c>
      <c r="I6" s="76" t="s">
        <v>10625</v>
      </c>
      <c r="J6" s="76" t="s">
        <v>10626</v>
      </c>
      <c r="K6" s="76" t="s">
        <v>10627</v>
      </c>
      <c r="L6" s="76" t="s">
        <v>10628</v>
      </c>
      <c r="M6" s="77" t="s">
        <v>10629</v>
      </c>
    </row>
    <row r="7" spans="1:14" x14ac:dyDescent="0.3">
      <c r="A7" s="78" t="s">
        <v>10667</v>
      </c>
      <c r="B7" s="79"/>
      <c r="C7" s="79">
        <f t="shared" ref="C7:M7" si="0">B28</f>
        <v>685128.75399999996</v>
      </c>
      <c r="D7" s="79">
        <f t="shared" si="0"/>
        <v>677080.26600609208</v>
      </c>
      <c r="E7" s="79">
        <f t="shared" si="0"/>
        <v>663847.67541218409</v>
      </c>
      <c r="F7" s="79">
        <f t="shared" si="0"/>
        <v>651828.08121827617</v>
      </c>
      <c r="G7" s="79">
        <f t="shared" si="0"/>
        <v>641529.38142436824</v>
      </c>
      <c r="H7" s="79">
        <f t="shared" si="0"/>
        <v>624834.71963046037</v>
      </c>
      <c r="I7" s="79">
        <f t="shared" si="0"/>
        <v>616662.56303655251</v>
      </c>
      <c r="J7" s="79">
        <f t="shared" si="0"/>
        <v>609107.71844264457</v>
      </c>
      <c r="K7" s="79">
        <f t="shared" si="0"/>
        <v>594863.61564873671</v>
      </c>
      <c r="L7" s="79">
        <f t="shared" si="0"/>
        <v>589930.85425482877</v>
      </c>
      <c r="M7" s="80">
        <f t="shared" si="0"/>
        <v>576591.39146092092</v>
      </c>
    </row>
    <row r="8" spans="1:14" x14ac:dyDescent="0.3">
      <c r="A8" s="97" t="s">
        <v>10656</v>
      </c>
      <c r="B8" s="98"/>
      <c r="C8" s="98"/>
      <c r="D8" s="98"/>
      <c r="E8" s="98"/>
      <c r="F8" s="98"/>
      <c r="G8" s="98"/>
      <c r="H8" s="98"/>
      <c r="I8" s="98"/>
      <c r="J8" s="98"/>
      <c r="K8" s="98"/>
      <c r="L8" s="98"/>
      <c r="M8" s="98"/>
    </row>
    <row r="9" spans="1:14" x14ac:dyDescent="0.3">
      <c r="A9" s="97" t="s">
        <v>10657</v>
      </c>
      <c r="B9" s="98"/>
      <c r="C9" s="98"/>
      <c r="D9" s="98"/>
      <c r="E9" s="98"/>
      <c r="F9" s="98"/>
      <c r="G9" s="98"/>
      <c r="H9" s="98"/>
      <c r="I9" s="98"/>
      <c r="J9" s="98"/>
      <c r="K9" s="98"/>
      <c r="L9" s="98"/>
      <c r="M9" s="98"/>
    </row>
    <row r="10" spans="1:14" x14ac:dyDescent="0.3">
      <c r="A10" s="99" t="s">
        <v>10669</v>
      </c>
      <c r="B10" s="100">
        <f>SUMIFS(OrganizedData[Discounted Price],OrganizedData[Product Name], "Gigastuff",OrganizedData[Order Year], 2022,OrganizedData[Order Month], "Jan")</f>
        <v>21257.397000000001</v>
      </c>
      <c r="C10" s="100">
        <f>SUMIFS(OrganizedData[Discounted Price],OrganizedData[Product Name], "Gigastuff",OrganizedData[Order Year], 2022,OrganizedData[Order Month], "Feb")</f>
        <v>18928.727999999999</v>
      </c>
      <c r="D10" s="100">
        <f>SUMIFS(OrganizedData[Discounted Price],OrganizedData[Product Name], "Gigastuff",OrganizedData[Order Year], 2022,OrganizedData[Order Month], "Mar")</f>
        <v>33341.981399999997</v>
      </c>
      <c r="E10" s="100">
        <f>SUMIFS(OrganizedData[Discounted Price],OrganizedData[Product Name], "Gigastuff",OrganizedData[Order Year], 2022,OrganizedData[Order Month], "Apr")</f>
        <v>25814.035799999998</v>
      </c>
      <c r="F10" s="100">
        <f>SUMIFS(OrganizedData[Discounted Price],OrganizedData[Product Name], "Gigastuff",OrganizedData[Order Year], 2022,OrganizedData[Order Month], "May")</f>
        <v>19670.7042</v>
      </c>
      <c r="G10" s="100">
        <f>SUMIFS(OrganizedData[Discounted Price],OrganizedData[Product Name], "Gigastuff",OrganizedData[Order Year], 2022,OrganizedData[Order Month], "Jun")</f>
        <v>24824.734199999995</v>
      </c>
      <c r="H10" s="100">
        <f>SUMIFS(OrganizedData[Discounted Price],OrganizedData[Product Name], "Gigastuff",OrganizedData[Order Year], 2022,OrganizedData[Order Month], "Jul")</f>
        <v>28312.124399999993</v>
      </c>
      <c r="I10" s="100">
        <f>SUMIFS(OrganizedData[Discounted Price],OrganizedData[Product Name], "Gigastuff",OrganizedData[Order Year], 2022,OrganizedData[Order Month], "Aug")</f>
        <v>20123.510399999999</v>
      </c>
      <c r="J10" s="100">
        <f>SUMIFS(OrganizedData[Discounted Price],OrganizedData[Product Name], "Gigastuff",OrganizedData[Order Year], 2022,OrganizedData[Order Month], "Sep")</f>
        <v>22895.800199999998</v>
      </c>
      <c r="K10" s="100">
        <f>SUMIFS(OrganizedData[Discounted Price],OrganizedData[Product Name], "Gigastuff",OrganizedData[Order Year], 2022,OrganizedData[Order Month], "Oct")</f>
        <v>22726.3806</v>
      </c>
      <c r="L10" s="100">
        <f>SUMIFS(OrganizedData[Discounted Price],OrganizedData[Product Name], "Gigastuff",OrganizedData[Order Year], 2022,OrganizedData[Order Month], "Nov")</f>
        <v>18690.928199999998</v>
      </c>
      <c r="M10" s="100">
        <f>SUMIFS(OrganizedData[Discounted Price],OrganizedData[Product Name], "Gigastuff",OrganizedData[Order Year], 2022,OrganizedData[Order Month], "Dec")</f>
        <v>15505.635599999998</v>
      </c>
      <c r="N10" s="6"/>
    </row>
    <row r="11" spans="1:14" x14ac:dyDescent="0.3">
      <c r="A11" s="99" t="s">
        <v>10670</v>
      </c>
      <c r="B11" s="100">
        <f>SUMIFS(OrganizedData[Discounted Price],OrganizedData[Product Name], "Hyperwotsit",OrganizedData[Order Year], 2022,OrganizedData[Order Month], "Jan")</f>
        <v>38326.679999999993</v>
      </c>
      <c r="C11" s="100">
        <f>SUMIFS(OrganizedData[Discounted Price],OrganizedData[Product Name], "Hyperwotsit",OrganizedData[Order Year], 2022,OrganizedData[Order Month], "Feb")</f>
        <v>23994.173999999995</v>
      </c>
      <c r="D11" s="100">
        <f>SUMIFS(OrganizedData[Discounted Price],OrganizedData[Product Name], "Hyperwotsit",OrganizedData[Order Year], 2022,OrganizedData[Order Month], "Mar")</f>
        <v>14219.945999999998</v>
      </c>
      <c r="E11" s="100">
        <f>SUMIFS(OrganizedData[Discounted Price],OrganizedData[Product Name], "Hyperwotsit",OrganizedData[Order Year], 2022,OrganizedData[Order Month], "Apr")</f>
        <v>30267.383999999991</v>
      </c>
      <c r="F11" s="100">
        <f>SUMIFS(OrganizedData[Discounted Price],OrganizedData[Product Name], "Hyperwotsit",OrganizedData[Order Year], 2022,OrganizedData[Order Month], "May")</f>
        <v>28289.141999999996</v>
      </c>
      <c r="G11" s="100">
        <f>SUMIFS(OrganizedData[Discounted Price],OrganizedData[Product Name], "Hyperwotsit",OrganizedData[Order Year], 2022,OrganizedData[Order Month], "Jun")</f>
        <v>23513.784</v>
      </c>
      <c r="H11" s="100">
        <f>SUMIFS(OrganizedData[Discounted Price],OrganizedData[Product Name], "Hyperwotsit",OrganizedData[Order Year], 2022,OrganizedData[Order Month], "Jul")</f>
        <v>42818.225999999995</v>
      </c>
      <c r="I11" s="100">
        <f>SUMIFS(OrganizedData[Discounted Price],OrganizedData[Product Name], "Hyperwotsit",OrganizedData[Order Year], 2022,OrganizedData[Order Month], "Aug")</f>
        <v>22451.297999999999</v>
      </c>
      <c r="J11" s="100">
        <f>SUMIFS(OrganizedData[Discounted Price],OrganizedData[Product Name], "Hyperwotsit",OrganizedData[Order Year], 2022,OrganizedData[Order Month], "Sep")</f>
        <v>24387.329999999998</v>
      </c>
      <c r="K11" s="100">
        <f>SUMIFS(OrganizedData[Discounted Price],OrganizedData[Product Name], "Hyperwotsit",OrganizedData[Order Year], 2022,OrganizedData[Order Month], "Oct")</f>
        <v>51746.243999999992</v>
      </c>
      <c r="L11" s="100">
        <f>SUMIFS(OrganizedData[Discounted Price],OrganizedData[Product Name], "Hyperwotsit",OrganizedData[Order Year], 2022,OrganizedData[Order Month], "Nov")</f>
        <v>33052.439999999995</v>
      </c>
      <c r="M11" s="100">
        <f>SUMIFS(OrganizedData[Discounted Price],OrganizedData[Product Name], "Hyperwotsit",OrganizedData[Order Year], 2022,OrganizedData[Order Month], "Dec")</f>
        <v>17187.911999999997</v>
      </c>
    </row>
    <row r="12" spans="1:14" x14ac:dyDescent="0.3">
      <c r="A12" s="99" t="s">
        <v>10671</v>
      </c>
      <c r="B12" s="100">
        <f>SUMIFS(OrganizedData[Discounted Price],OrganizedData[Product Name], "Superwossname",OrganizedData[Order Year], 2022,OrganizedData[Order Month], "Jan")</f>
        <v>41439.562000000005</v>
      </c>
      <c r="C12" s="100">
        <f>SUMIFS(OrganizedData[Discounted Price],OrganizedData[Product Name], "Superwossname",OrganizedData[Order Year], 2022,OrganizedData[Order Month], "Feb")</f>
        <v>78147.381999999983</v>
      </c>
      <c r="D12" s="100">
        <f>SUMIFS(OrganizedData[Discounted Price],OrganizedData[Product Name], "Superwossname",OrganizedData[Order Year], 2022,OrganizedData[Order Month], "Mar")</f>
        <v>48834.173999999999</v>
      </c>
      <c r="E12" s="100">
        <f>SUMIFS(OrganizedData[Discounted Price],OrganizedData[Product Name], "Superwossname",OrganizedData[Order Year], 2022,OrganizedData[Order Month], "Apr")</f>
        <v>45405.597999999998</v>
      </c>
      <c r="F12" s="100">
        <f>SUMIFS(OrganizedData[Discounted Price],OrganizedData[Product Name], "Superwossname",OrganizedData[Order Year], 2022,OrganizedData[Order Month], "May")</f>
        <v>61638.286</v>
      </c>
      <c r="G12" s="100">
        <f>SUMIFS(OrganizedData[Discounted Price],OrganizedData[Product Name], "Superwossname",OrganizedData[Order Year], 2022,OrganizedData[Order Month], "Jun")</f>
        <v>31095.202000000001</v>
      </c>
      <c r="H12" s="100">
        <f>SUMIFS(OrganizedData[Discounted Price],OrganizedData[Product Name], "Superwossname",OrganizedData[Order Year], 2022,OrganizedData[Order Month], "Jul")</f>
        <v>49243.9</v>
      </c>
      <c r="I12" s="100">
        <f>SUMIFS(OrganizedData[Discounted Price],OrganizedData[Product Name], "Superwossname",OrganizedData[Order Year], 2022,OrganizedData[Order Month], "Aug")</f>
        <v>80753.714000000007</v>
      </c>
      <c r="J12" s="100">
        <f>SUMIFS(OrganizedData[Discounted Price],OrganizedData[Product Name], "Superwossname",OrganizedData[Order Year], 2022,OrganizedData[Order Month], "Sep")</f>
        <v>42845.333999999995</v>
      </c>
      <c r="K12" s="100">
        <f>SUMIFS(OrganizedData[Discounted Price],OrganizedData[Product Name], "Superwossname",OrganizedData[Order Year], 2022,OrganizedData[Order Month], "Oct")</f>
        <v>61491.705999999991</v>
      </c>
      <c r="L12" s="100">
        <f>SUMIFS(OrganizedData[Discounted Price],OrganizedData[Product Name], "Superwossname",OrganizedData[Order Year], 2022,OrganizedData[Order Month], "Nov")</f>
        <v>45189.916000000005</v>
      </c>
      <c r="M12" s="100">
        <f>SUMIFS(OrganizedData[Discounted Price],OrganizedData[Product Name], "Superwossname",OrganizedData[Order Year], 2022,OrganizedData[Order Month], "Dec")</f>
        <v>38544.258000000002</v>
      </c>
    </row>
    <row r="13" spans="1:14" x14ac:dyDescent="0.3">
      <c r="A13" s="99" t="s">
        <v>10672</v>
      </c>
      <c r="B13" s="100">
        <v>45000</v>
      </c>
      <c r="C13" s="100">
        <v>4000</v>
      </c>
      <c r="D13" s="100">
        <v>4000</v>
      </c>
      <c r="E13" s="100">
        <v>4000</v>
      </c>
      <c r="F13" s="100">
        <v>4000</v>
      </c>
      <c r="G13" s="100">
        <v>4000</v>
      </c>
      <c r="H13" s="100">
        <v>4000</v>
      </c>
      <c r="I13" s="100">
        <v>4000</v>
      </c>
      <c r="J13" s="100">
        <v>4000</v>
      </c>
      <c r="K13" s="100">
        <v>4000</v>
      </c>
      <c r="L13" s="100">
        <v>4000</v>
      </c>
      <c r="M13" s="101">
        <v>4000</v>
      </c>
    </row>
    <row r="14" spans="1:14" ht="15" thickBot="1" x14ac:dyDescent="0.35">
      <c r="A14" s="102" t="s">
        <v>10673</v>
      </c>
      <c r="B14" s="103">
        <v>650000</v>
      </c>
      <c r="C14" s="103"/>
      <c r="D14" s="103"/>
      <c r="E14" s="103"/>
      <c r="F14" s="103"/>
      <c r="G14" s="103"/>
      <c r="H14" s="103"/>
      <c r="I14" s="103"/>
      <c r="J14" s="103"/>
      <c r="K14" s="103"/>
      <c r="L14" s="103"/>
      <c r="M14" s="104"/>
    </row>
    <row r="15" spans="1:14" ht="15" thickBot="1" x14ac:dyDescent="0.35">
      <c r="A15" s="105" t="s">
        <v>10660</v>
      </c>
      <c r="B15" s="107">
        <f>SUM(B10:B14)</f>
        <v>796023.63899999997</v>
      </c>
      <c r="C15" s="107">
        <f t="shared" ref="C15:M15" si="1">SUM(C10:C14)</f>
        <v>125070.28399999999</v>
      </c>
      <c r="D15" s="107">
        <f t="shared" si="1"/>
        <v>100396.10139999999</v>
      </c>
      <c r="E15" s="107">
        <f t="shared" si="1"/>
        <v>105487.01779999999</v>
      </c>
      <c r="F15" s="107">
        <f t="shared" si="1"/>
        <v>113598.13219999999</v>
      </c>
      <c r="G15" s="107">
        <f t="shared" si="1"/>
        <v>83433.720199999996</v>
      </c>
      <c r="H15" s="107">
        <f t="shared" si="1"/>
        <v>124374.25039999999</v>
      </c>
      <c r="I15" s="107">
        <f t="shared" si="1"/>
        <v>127328.5224</v>
      </c>
      <c r="J15" s="107">
        <f t="shared" si="1"/>
        <v>94128.464199999988</v>
      </c>
      <c r="K15" s="107">
        <f t="shared" si="1"/>
        <v>139964.33059999999</v>
      </c>
      <c r="L15" s="107">
        <f t="shared" si="1"/>
        <v>100933.28419999999</v>
      </c>
      <c r="M15" s="108">
        <f t="shared" si="1"/>
        <v>75237.805599999992</v>
      </c>
    </row>
    <row r="16" spans="1:14" x14ac:dyDescent="0.3">
      <c r="A16" s="88" t="s">
        <v>10658</v>
      </c>
      <c r="B16" s="89"/>
      <c r="C16" s="89"/>
      <c r="D16" s="89"/>
      <c r="E16" s="89"/>
      <c r="F16" s="89"/>
      <c r="G16" s="89"/>
      <c r="H16" s="89"/>
      <c r="I16" s="89"/>
      <c r="J16" s="89"/>
      <c r="K16" s="89"/>
      <c r="L16" s="89"/>
      <c r="M16" s="89"/>
    </row>
    <row r="17" spans="1:13" x14ac:dyDescent="0.3">
      <c r="A17" s="90" t="s">
        <v>10739</v>
      </c>
      <c r="B17" s="91">
        <v>30000</v>
      </c>
      <c r="C17" s="91">
        <v>30000</v>
      </c>
      <c r="D17" s="91">
        <v>30000</v>
      </c>
      <c r="E17" s="91">
        <v>30000</v>
      </c>
      <c r="F17" s="91">
        <v>30000</v>
      </c>
      <c r="G17" s="91">
        <v>30000</v>
      </c>
      <c r="H17" s="91">
        <v>30000</v>
      </c>
      <c r="I17" s="91">
        <v>30000</v>
      </c>
      <c r="J17" s="91">
        <v>30000</v>
      </c>
      <c r="K17" s="91">
        <v>30000</v>
      </c>
      <c r="L17" s="91">
        <v>30000</v>
      </c>
      <c r="M17" s="92">
        <v>30000</v>
      </c>
    </row>
    <row r="18" spans="1:13" x14ac:dyDescent="0.3">
      <c r="A18" s="90" t="s">
        <v>10675</v>
      </c>
      <c r="B18" s="91">
        <v>0</v>
      </c>
      <c r="C18" s="91">
        <f>ABS(PMT('Reference Sheet'!$B$17/12,'Reference Sheet'!$B$16,$B$14))</f>
        <v>6674.0069939079031</v>
      </c>
      <c r="D18" s="91">
        <f>ABS(PMT('Reference Sheet'!$B$17/12,'Reference Sheet'!$B$16,$B$14))</f>
        <v>6674.0069939079031</v>
      </c>
      <c r="E18" s="91">
        <f>ABS(PMT('Reference Sheet'!$B$17/12,'Reference Sheet'!$B$16,$B$14))</f>
        <v>6674.0069939079031</v>
      </c>
      <c r="F18" s="91">
        <f>ABS(PMT('Reference Sheet'!$B$17/12,'Reference Sheet'!$B$16,$B$14))</f>
        <v>6674.0069939079031</v>
      </c>
      <c r="G18" s="91">
        <f>ABS(PMT('Reference Sheet'!$B$17/12,'Reference Sheet'!$B$16,$B$14))</f>
        <v>6674.0069939079031</v>
      </c>
      <c r="H18" s="91">
        <f>ABS(PMT('Reference Sheet'!$B$17/12,'Reference Sheet'!$B$16,$B$14))</f>
        <v>6674.0069939079031</v>
      </c>
      <c r="I18" s="91">
        <f>ABS(PMT('Reference Sheet'!$B$17/12,'Reference Sheet'!$B$16,$B$14))</f>
        <v>6674.0069939079031</v>
      </c>
      <c r="J18" s="91">
        <f>ABS(PMT('Reference Sheet'!$B$17/12,'Reference Sheet'!$B$16,$B$14))</f>
        <v>6674.0069939079031</v>
      </c>
      <c r="K18" s="91">
        <f>ABS(PMT('Reference Sheet'!$B$17/12,'Reference Sheet'!$B$16,$B$14))</f>
        <v>6674.0069939079031</v>
      </c>
      <c r="L18" s="91">
        <f>ABS(PMT('Reference Sheet'!$B$17/12,'Reference Sheet'!$B$16,$B$14))</f>
        <v>6674.0069939079031</v>
      </c>
      <c r="M18" s="92">
        <f>ABS(PMT('Reference Sheet'!$B$17/12,'Reference Sheet'!$B$16,$B$14))</f>
        <v>6674.0069939079031</v>
      </c>
    </row>
    <row r="19" spans="1:13" x14ac:dyDescent="0.3">
      <c r="A19" s="93" t="s">
        <v>10662</v>
      </c>
      <c r="B19" s="91"/>
      <c r="C19" s="91"/>
      <c r="D19" s="91"/>
      <c r="E19" s="91"/>
      <c r="F19" s="91"/>
      <c r="G19" s="91"/>
      <c r="H19" s="91"/>
      <c r="I19" s="91"/>
      <c r="J19" s="91"/>
      <c r="K19" s="91"/>
      <c r="L19" s="91"/>
      <c r="M19" s="92"/>
    </row>
    <row r="20" spans="1:13" x14ac:dyDescent="0.3">
      <c r="A20" s="90" t="s">
        <v>10669</v>
      </c>
      <c r="B20" s="91">
        <f>SUMIFS(OrganizedData[Quantity], OrganizedData[Product Name], "Gigastuff", OrganizedData[Order Year], 2022, OrganizedData[Order Month], "Jan")*'Reference Sheet'!$F$12</f>
        <v>16814.384999999998</v>
      </c>
      <c r="C20" s="91">
        <f>SUMIFS(OrganizedData[Quantity], OrganizedData[Product Name], "Gigastuff", OrganizedData[Order Year], 2022, OrganizedData[Order Month], "Feb")*'Reference Sheet'!$F$12</f>
        <v>14824.214999999998</v>
      </c>
      <c r="D20" s="91">
        <f>SUMIFS(OrganizedData[Quantity], OrganizedData[Product Name], "Gigastuff", OrganizedData[Order Year], 2022, OrganizedData[Order Month], "Mar")*'Reference Sheet'!$F$12</f>
        <v>26254.934999999998</v>
      </c>
      <c r="E20" s="91">
        <f>SUMIFS(OrganizedData[Quantity], OrganizedData[Product Name], "Gigastuff", OrganizedData[Order Year], 2022, OrganizedData[Order Month], "Apr")*'Reference Sheet'!$F$12</f>
        <v>20335.454999999998</v>
      </c>
      <c r="F20" s="91">
        <f>SUMIFS(OrganizedData[Quantity], OrganizedData[Product Name], "Gigastuff", OrganizedData[Order Year], 2022, OrganizedData[Order Month], "May")*'Reference Sheet'!$F$12</f>
        <v>15436.574999999999</v>
      </c>
      <c r="G20" s="91">
        <f>SUMIFS(OrganizedData[Quantity], OrganizedData[Product Name], "Gigastuff", OrganizedData[Order Year], 2022, OrganizedData[Order Month], "Jun")*'Reference Sheet'!$F$12</f>
        <v>19518.974999999999</v>
      </c>
      <c r="H20" s="91">
        <f>SUMIFS(OrganizedData[Quantity], OrganizedData[Product Name], "Gigastuff", OrganizedData[Order Year], 2022, OrganizedData[Order Month], "Jul")*'Reference Sheet'!$F$12</f>
        <v>22198.049999999996</v>
      </c>
      <c r="I20" s="91">
        <f>SUMIFS(OrganizedData[Quantity], OrganizedData[Product Name], "Gigastuff", OrganizedData[Order Year], 2022, OrganizedData[Order Month], "Aug")*'Reference Sheet'!$F$12</f>
        <v>15921.359999999999</v>
      </c>
      <c r="J20" s="91">
        <f>SUMIFS(OrganizedData[Quantity], OrganizedData[Product Name], "Gigastuff", OrganizedData[Order Year], 2022, OrganizedData[Order Month], "Sep")*'Reference Sheet'!$F$12</f>
        <v>17962.559999999998</v>
      </c>
      <c r="K20" s="91">
        <f>SUMIFS(OrganizedData[Quantity], OrganizedData[Product Name], "Gigastuff", OrganizedData[Order Year], 2022, OrganizedData[Order Month], "Oct")*'Reference Sheet'!$F$12</f>
        <v>17834.984999999997</v>
      </c>
      <c r="L20" s="91">
        <f>SUMIFS(OrganizedData[Quantity], OrganizedData[Product Name], "Gigastuff", OrganizedData[Order Year], 2022, OrganizedData[Order Month], "Nov")*'Reference Sheet'!$F$12</f>
        <v>14696.639999999998</v>
      </c>
      <c r="M20" s="91">
        <f>SUMIFS(OrganizedData[Quantity], OrganizedData[Product Name], "Gigastuff", OrganizedData[Order Year], 2022, OrganizedData[Order Month], "Dec")*'Reference Sheet'!$F$12</f>
        <v>12221.684999999998</v>
      </c>
    </row>
    <row r="21" spans="1:13" x14ac:dyDescent="0.3">
      <c r="A21" s="90" t="s">
        <v>10670</v>
      </c>
      <c r="B21" s="91">
        <f>SUMIFS(OrganizedData[Quantity], OrganizedData[Product Name], "Hyperwotsit", OrganizedData[Order Year], 2022, OrganizedData[Order Month], "Jan")*'Reference Sheet'!$F$7</f>
        <v>30270.6</v>
      </c>
      <c r="C21" s="91">
        <f>SUMIFS(OrganizedData[Quantity], OrganizedData[Product Name], "Hyperwotsit", OrganizedData[Order Year], 2022, OrganizedData[Order Month], "Feb")*'Reference Sheet'!$F$7</f>
        <v>18813.599999999999</v>
      </c>
      <c r="D21" s="91">
        <f>SUMIFS(OrganizedData[Quantity], OrganizedData[Product Name], "Hyperwotsit", OrganizedData[Order Year], 2022, OrganizedData[Order Month], "Mar")*'Reference Sheet'!$F$7</f>
        <v>11155.5</v>
      </c>
      <c r="E21" s="91">
        <f>SUMIFS(OrganizedData[Quantity], OrganizedData[Product Name], "Hyperwotsit", OrganizedData[Order Year], 2022, OrganizedData[Order Month], "Apr")*'Reference Sheet'!$F$7</f>
        <v>23818.5</v>
      </c>
      <c r="F21" s="91">
        <f>SUMIFS(OrganizedData[Quantity], OrganizedData[Product Name], "Hyperwotsit", OrganizedData[Order Year], 2022, OrganizedData[Order Month], "May")*'Reference Sheet'!$F$7</f>
        <v>22280.85</v>
      </c>
      <c r="G21" s="91">
        <f>SUMIFS(OrganizedData[Quantity], OrganizedData[Product Name], "Hyperwotsit", OrganizedData[Order Year], 2022, OrganizedData[Order Month], "Jun")*'Reference Sheet'!$F$7</f>
        <v>18512.099999999999</v>
      </c>
      <c r="H21" s="91">
        <f>SUMIFS(OrganizedData[Quantity], OrganizedData[Product Name], "Hyperwotsit", OrganizedData[Order Year], 2022, OrganizedData[Order Month], "Jul")*'Reference Sheet'!$F$7</f>
        <v>33677.549999999996</v>
      </c>
      <c r="I21" s="91">
        <f>SUMIFS(OrganizedData[Quantity], OrganizedData[Product Name], "Hyperwotsit", OrganizedData[Order Year], 2022, OrganizedData[Order Month], "Aug")*'Reference Sheet'!$F$7</f>
        <v>17577.45</v>
      </c>
      <c r="J21" s="91">
        <f>SUMIFS(OrganizedData[Quantity], OrganizedData[Product Name], "Hyperwotsit", OrganizedData[Order Year], 2022, OrganizedData[Order Month], "Sep")*'Reference Sheet'!$F$7</f>
        <v>19084.95</v>
      </c>
      <c r="K21" s="91">
        <f>SUMIFS(OrganizedData[Quantity], OrganizedData[Product Name], "Hyperwotsit", OrganizedData[Order Year], 2022, OrganizedData[Order Month], "Oct")*'Reference Sheet'!$F$7</f>
        <v>40792.949999999997</v>
      </c>
      <c r="L21" s="91">
        <f>SUMIFS(OrganizedData[Quantity], OrganizedData[Product Name], "Hyperwotsit", OrganizedData[Order Year], 2022, OrganizedData[Order Month], "Nov")*'Reference Sheet'!$F$7</f>
        <v>25929</v>
      </c>
      <c r="M21" s="91">
        <f>SUMIFS(OrganizedData[Quantity], OrganizedData[Product Name], "Hyperwotsit", OrganizedData[Order Year], 2022, OrganizedData[Order Month], "Dec")*'Reference Sheet'!$F$7</f>
        <v>13507.199999999999</v>
      </c>
    </row>
    <row r="22" spans="1:13" x14ac:dyDescent="0.3">
      <c r="A22" s="90" t="s">
        <v>10671</v>
      </c>
      <c r="B22" s="91">
        <f>SUMIFS(OrganizedData[Quantity], OrganizedData[Product Name], "Superwossname", OrganizedData[Order Year], 2022, OrganizedData[Order Month], "Jan")*'Reference Sheet'!$F$13</f>
        <v>32666.400000000005</v>
      </c>
      <c r="C22" s="91">
        <f>SUMIFS(OrganizedData[Quantity], OrganizedData[Product Name], "Superwossname", OrganizedData[Order Year], 2022, OrganizedData[Order Month], "Feb")*'Reference Sheet'!$F$13</f>
        <v>61615.950000000012</v>
      </c>
      <c r="D22" s="91">
        <f>SUMIFS(OrganizedData[Quantity], OrganizedData[Product Name], "Superwossname", OrganizedData[Order Year], 2022, OrganizedData[Order Month], "Mar")*'Reference Sheet'!$F$13</f>
        <v>38477.250000000007</v>
      </c>
      <c r="E22" s="91">
        <f>SUMIFS(OrganizedData[Quantity], OrganizedData[Product Name], "Superwossname", OrganizedData[Order Year], 2022, OrganizedData[Order Month], "Apr")*'Reference Sheet'!$F$13</f>
        <v>35545.650000000009</v>
      </c>
      <c r="F22" s="91">
        <f>SUMIFS(OrganizedData[Quantity], OrganizedData[Product Name], "Superwossname", OrganizedData[Order Year], 2022, OrganizedData[Order Month], "May")*'Reference Sheet'!$F$13</f>
        <v>48371.400000000009</v>
      </c>
      <c r="G22" s="91">
        <f>SUMIFS(OrganizedData[Quantity], OrganizedData[Product Name], "Superwossname", OrganizedData[Order Year], 2022, OrganizedData[Order Month], "Jun")*'Reference Sheet'!$F$13</f>
        <v>24499.800000000003</v>
      </c>
      <c r="H22" s="91">
        <f>SUMIFS(OrganizedData[Quantity], OrganizedData[Product Name], "Superwossname", OrganizedData[Order Year], 2022, OrganizedData[Order Month], "Jul")*'Reference Sheet'!$F$13</f>
        <v>38634.300000000003</v>
      </c>
      <c r="I22" s="91">
        <f>SUMIFS(OrganizedData[Quantity], OrganizedData[Product Name], "Superwossname", OrganizedData[Order Year], 2022, OrganizedData[Order Month], "Aug")*'Reference Sheet'!$F$13</f>
        <v>63500.55000000001</v>
      </c>
      <c r="J22" s="91">
        <f>SUMIFS(OrganizedData[Quantity], OrganizedData[Product Name], "Superwossname", OrganizedData[Order Year], 2022, OrganizedData[Order Month], "Sep")*'Reference Sheet'!$F$13</f>
        <v>33661.050000000003</v>
      </c>
      <c r="K22" s="91">
        <f>SUMIFS(OrganizedData[Quantity], OrganizedData[Product Name], "Superwossname", OrganizedData[Order Year], 2022, OrganizedData[Order Month], "Oct")*'Reference Sheet'!$F$13</f>
        <v>48109.650000000009</v>
      </c>
      <c r="L22" s="91">
        <f>SUMIFS(OrganizedData[Quantity], OrganizedData[Product Name], "Superwossname", OrganizedData[Order Year], 2022, OrganizedData[Order Month], "Nov")*'Reference Sheet'!$F$13</f>
        <v>35912.100000000006</v>
      </c>
      <c r="M22" s="91">
        <f>SUMIFS(OrganizedData[Quantity], OrganizedData[Product Name], "Superwossname", OrganizedData[Order Year], 2022, OrganizedData[Order Month], "Dec")*'Reference Sheet'!$F$13</f>
        <v>30205.950000000004</v>
      </c>
    </row>
    <row r="23" spans="1:13" x14ac:dyDescent="0.3">
      <c r="A23" s="93" t="s">
        <v>10663</v>
      </c>
      <c r="B23" s="91"/>
      <c r="C23" s="91"/>
      <c r="D23" s="91"/>
      <c r="E23" s="91"/>
      <c r="F23" s="91"/>
      <c r="G23" s="91"/>
      <c r="H23" s="91"/>
      <c r="I23" s="91"/>
      <c r="J23" s="91"/>
      <c r="K23" s="91"/>
      <c r="L23" s="91"/>
      <c r="M23" s="92"/>
    </row>
    <row r="24" spans="1:13" x14ac:dyDescent="0.3">
      <c r="A24" s="90" t="s">
        <v>10669</v>
      </c>
      <c r="B24" s="91">
        <f>SUMIFS(OrganizedData[Quantity], OrganizedData[Product Name], "Gigastuff", OrganizedData[Order Year], 2022, OrganizedData[Order Month], "Jan")*'Reference Sheet'!$B$19</f>
        <v>329.5</v>
      </c>
      <c r="C24" s="91">
        <f>SUMIFS(OrganizedData[Quantity], OrganizedData[Product Name], "Gigastuff", OrganizedData[Order Year], 2022, OrganizedData[Order Month], "Feb")*'Reference Sheet'!$B$19</f>
        <v>290.5</v>
      </c>
      <c r="D24" s="91">
        <f>SUMIFS(OrganizedData[Quantity], OrganizedData[Product Name], "Gigastuff", OrganizedData[Order Year], 2022, OrganizedData[Order Month], "Mar")*'Reference Sheet'!$B$19</f>
        <v>514.5</v>
      </c>
      <c r="E24" s="91">
        <f>SUMIFS(OrganizedData[Quantity], OrganizedData[Product Name], "Gigastuff", OrganizedData[Order Year], 2022, OrganizedData[Order Month], "Apr")*'Reference Sheet'!$B$19</f>
        <v>398.5</v>
      </c>
      <c r="F24" s="91">
        <f>SUMIFS(OrganizedData[Quantity], OrganizedData[Product Name], "Gigastuff", OrganizedData[Order Year], 2022, OrganizedData[Order Month], "May")*'Reference Sheet'!$B$19</f>
        <v>302.5</v>
      </c>
      <c r="G24" s="91">
        <f>SUMIFS(OrganizedData[Quantity], OrganizedData[Product Name], "Gigastuff", OrganizedData[Order Year], 2022, OrganizedData[Order Month], "Jun")*'Reference Sheet'!$B$19</f>
        <v>382.5</v>
      </c>
      <c r="H24" s="91">
        <f>SUMIFS(OrganizedData[Quantity], OrganizedData[Product Name], "Gigastuff", OrganizedData[Order Year], 2022, OrganizedData[Order Month], "Jul")*'Reference Sheet'!$B$19</f>
        <v>435</v>
      </c>
      <c r="I24" s="91">
        <f>SUMIFS(OrganizedData[Quantity], OrganizedData[Product Name], "Gigastuff", OrganizedData[Order Year], 2022, OrganizedData[Order Month], "Aug")*'Reference Sheet'!$B$19</f>
        <v>312</v>
      </c>
      <c r="J24" s="91">
        <f>SUMIFS(OrganizedData[Quantity], OrganizedData[Product Name], "Gigastuff", OrganizedData[Order Year], 2022, OrganizedData[Order Month], "Sep")*'Reference Sheet'!$B$19</f>
        <v>352</v>
      </c>
      <c r="K24" s="91">
        <f>SUMIFS(OrganizedData[Quantity], OrganizedData[Product Name], "Gigastuff", OrganizedData[Order Year], 2022, OrganizedData[Order Month], "Oct")*'Reference Sheet'!$B$19</f>
        <v>349.5</v>
      </c>
      <c r="L24" s="91">
        <f>SUMIFS(OrganizedData[Quantity], OrganizedData[Product Name], "Gigastuff", OrganizedData[Order Year], 2022, OrganizedData[Order Month], "Nov")*'Reference Sheet'!$B$19</f>
        <v>288</v>
      </c>
      <c r="M24" s="92">
        <f>SUMIFS(OrganizedData[Quantity], OrganizedData[Product Name], "Gigastuff", OrganizedData[Order Year], 2022, OrganizedData[Order Month], "Dec")*'Reference Sheet'!$B$19</f>
        <v>239.5</v>
      </c>
    </row>
    <row r="25" spans="1:13" x14ac:dyDescent="0.3">
      <c r="A25" s="90" t="s">
        <v>10670</v>
      </c>
      <c r="B25" s="91">
        <f>SUMIFS(OrganizedData[Quantity], OrganizedData[Product Name], "Hyperwotsit", OrganizedData[Order Year], 2022, OrganizedData[Order Month], "Jan")*'Reference Sheet'!$B$19</f>
        <v>502</v>
      </c>
      <c r="C25" s="91">
        <f>SUMIFS(OrganizedData[Quantity], OrganizedData[Product Name], "Hyperwotsit", OrganizedData[Order Year], 2022, OrganizedData[Order Month], "Feb")*'Reference Sheet'!$B$19</f>
        <v>312</v>
      </c>
      <c r="D25" s="91">
        <f>SUMIFS(OrganizedData[Quantity], OrganizedData[Product Name], "Hyperwotsit", OrganizedData[Order Year], 2022, OrganizedData[Order Month], "Mar")*'Reference Sheet'!$B$19</f>
        <v>185</v>
      </c>
      <c r="E25" s="91">
        <f>SUMIFS(OrganizedData[Quantity], OrganizedData[Product Name], "Hyperwotsit", OrganizedData[Order Year], 2022, OrganizedData[Order Month], "Apr")*'Reference Sheet'!$B$19</f>
        <v>395</v>
      </c>
      <c r="F25" s="91">
        <f>SUMIFS(OrganizedData[Quantity], OrganizedData[Product Name], "Hyperwotsit", OrganizedData[Order Year], 2022, OrganizedData[Order Month], "May")*'Reference Sheet'!$B$19</f>
        <v>369.5</v>
      </c>
      <c r="G25" s="91">
        <f>SUMIFS(OrganizedData[Quantity], OrganizedData[Product Name], "Hyperwotsit", OrganizedData[Order Year], 2022, OrganizedData[Order Month], "Jun")*'Reference Sheet'!$B$19</f>
        <v>307</v>
      </c>
      <c r="H25" s="91">
        <f>SUMIFS(OrganizedData[Quantity], OrganizedData[Product Name], "Hyperwotsit", OrganizedData[Order Year], 2022, OrganizedData[Order Month], "Jul")*'Reference Sheet'!$B$19</f>
        <v>558.5</v>
      </c>
      <c r="I25" s="91">
        <f>SUMIFS(OrganizedData[Quantity], OrganizedData[Product Name], "Hyperwotsit", OrganizedData[Order Year], 2022, OrganizedData[Order Month], "Aug")*'Reference Sheet'!$B$19</f>
        <v>291.5</v>
      </c>
      <c r="J25" s="91">
        <f>SUMIFS(OrganizedData[Quantity], OrganizedData[Product Name], "Hyperwotsit", OrganizedData[Order Year], 2022, OrganizedData[Order Month], "Sep")*'Reference Sheet'!$B$19</f>
        <v>316.5</v>
      </c>
      <c r="K25" s="91">
        <f>SUMIFS(OrganizedData[Quantity], OrganizedData[Product Name], "Hyperwotsit", OrganizedData[Order Year], 2022, OrganizedData[Order Month], "Oct")*'Reference Sheet'!$B$19</f>
        <v>676.5</v>
      </c>
      <c r="L25" s="91">
        <f>SUMIFS(OrganizedData[Quantity], OrganizedData[Product Name], "Hyperwotsit", OrganizedData[Order Year], 2022, OrganizedData[Order Month], "Nov")*'Reference Sheet'!$B$19</f>
        <v>430</v>
      </c>
      <c r="M25" s="92">
        <f>SUMIFS(OrganizedData[Quantity], OrganizedData[Product Name], "Hyperwotsit", OrganizedData[Order Year], 2022, OrganizedData[Order Month], "Dec")*'Reference Sheet'!$B$19</f>
        <v>224</v>
      </c>
    </row>
    <row r="26" spans="1:13" ht="15" thickBot="1" x14ac:dyDescent="0.35">
      <c r="A26" s="94" t="s">
        <v>10671</v>
      </c>
      <c r="B26" s="95">
        <f>SUMIFS(OrganizedData[Quantity], OrganizedData[Product Name], "Superwossname", OrganizedData[Order Year], 2022, OrganizedData[Order Month], "Jan")*'Reference Sheet'!$B$19</f>
        <v>312</v>
      </c>
      <c r="C26" s="95">
        <f>SUMIFS(OrganizedData[Quantity], OrganizedData[Product Name], "Superwossname", OrganizedData[Order Year], 2022, OrganizedData[Order Month], "Feb")*'Reference Sheet'!$B$19</f>
        <v>588.5</v>
      </c>
      <c r="D26" s="95">
        <f>SUMIFS(OrganizedData[Quantity], OrganizedData[Product Name], "Superwossname", OrganizedData[Order Year], 2022, OrganizedData[Order Month], "Mar")*'Reference Sheet'!$B$19</f>
        <v>367.5</v>
      </c>
      <c r="E26" s="95">
        <f>SUMIFS(OrganizedData[Quantity], OrganizedData[Product Name], "Superwossname", OrganizedData[Order Year], 2022, OrganizedData[Order Month], "Apr")*'Reference Sheet'!$B$19</f>
        <v>339.5</v>
      </c>
      <c r="F26" s="95">
        <f>SUMIFS(OrganizedData[Quantity], OrganizedData[Product Name], "Superwossname", OrganizedData[Order Year], 2022, OrganizedData[Order Month], "May")*'Reference Sheet'!$B$19</f>
        <v>462</v>
      </c>
      <c r="G26" s="95">
        <f>SUMIFS(OrganizedData[Quantity], OrganizedData[Product Name], "Superwossname", OrganizedData[Order Year], 2022, OrganizedData[Order Month], "Jun")*'Reference Sheet'!$B$19</f>
        <v>234</v>
      </c>
      <c r="H26" s="95">
        <f>SUMIFS(OrganizedData[Quantity], OrganizedData[Product Name], "Superwossname", OrganizedData[Order Year], 2022, OrganizedData[Order Month], "Jul")*'Reference Sheet'!$B$19</f>
        <v>369</v>
      </c>
      <c r="I26" s="95">
        <f>SUMIFS(OrganizedData[Quantity], OrganizedData[Product Name], "Superwossname", OrganizedData[Order Year], 2022, OrganizedData[Order Month], "Aug")*'Reference Sheet'!$B$19</f>
        <v>606.5</v>
      </c>
      <c r="J26" s="95">
        <f>SUMIFS(OrganizedData[Quantity], OrganizedData[Product Name], "Superwossname", OrganizedData[Order Year], 2022, OrganizedData[Order Month], "Sep")*'Reference Sheet'!$B$19</f>
        <v>321.5</v>
      </c>
      <c r="K26" s="95">
        <f>SUMIFS(OrganizedData[Quantity], OrganizedData[Product Name], "Superwossname", OrganizedData[Order Year], 2022, OrganizedData[Order Month], "Oct")*'Reference Sheet'!$B$19</f>
        <v>459.5</v>
      </c>
      <c r="L26" s="95">
        <f>SUMIFS(OrganizedData[Quantity], OrganizedData[Product Name], "Superwossname", OrganizedData[Order Year], 2022, OrganizedData[Order Month], "Nov")*'Reference Sheet'!$B$19</f>
        <v>343</v>
      </c>
      <c r="M26" s="96">
        <f>SUMIFS(OrganizedData[Quantity], OrganizedData[Product Name], "Superwossname", OrganizedData[Order Year], 2022, OrganizedData[Order Month], "Dec")*'Reference Sheet'!$B$19</f>
        <v>288.5</v>
      </c>
    </row>
    <row r="27" spans="1:13" ht="15" thickBot="1" x14ac:dyDescent="0.35">
      <c r="A27" s="106" t="s">
        <v>10661</v>
      </c>
      <c r="B27" s="109">
        <f>SUM(B17:B26)</f>
        <v>110894.88499999999</v>
      </c>
      <c r="C27" s="109">
        <f t="shared" ref="C27:M27" si="2">SUM(C17:C26)</f>
        <v>133118.77199390793</v>
      </c>
      <c r="D27" s="109">
        <f t="shared" si="2"/>
        <v>113628.69199390791</v>
      </c>
      <c r="E27" s="109">
        <f t="shared" si="2"/>
        <v>117506.61199390791</v>
      </c>
      <c r="F27" s="109">
        <f t="shared" si="2"/>
        <v>123896.83199390791</v>
      </c>
      <c r="G27" s="109">
        <f t="shared" si="2"/>
        <v>100128.3819939079</v>
      </c>
      <c r="H27" s="109">
        <f t="shared" si="2"/>
        <v>132546.40699390788</v>
      </c>
      <c r="I27" s="109">
        <f t="shared" si="2"/>
        <v>134883.36699390793</v>
      </c>
      <c r="J27" s="109">
        <f t="shared" si="2"/>
        <v>108372.56699390791</v>
      </c>
      <c r="K27" s="109">
        <f t="shared" si="2"/>
        <v>144897.0919939079</v>
      </c>
      <c r="L27" s="109">
        <f t="shared" si="2"/>
        <v>114272.7469939079</v>
      </c>
      <c r="M27" s="110">
        <f t="shared" si="2"/>
        <v>93360.841993907903</v>
      </c>
    </row>
    <row r="28" spans="1:13" ht="15" thickBot="1" x14ac:dyDescent="0.35">
      <c r="A28" s="85" t="s">
        <v>10664</v>
      </c>
      <c r="B28" s="86">
        <f>B15-B27+B7</f>
        <v>685128.75399999996</v>
      </c>
      <c r="C28" s="86">
        <f>C15-C27+C7</f>
        <v>677080.26600609208</v>
      </c>
      <c r="D28" s="86">
        <f>D15-D27+D7</f>
        <v>663847.67541218409</v>
      </c>
      <c r="E28" s="86">
        <f t="shared" ref="E28:M28" si="3">E15-E27+E7</f>
        <v>651828.08121827617</v>
      </c>
      <c r="F28" s="86">
        <f t="shared" si="3"/>
        <v>641529.38142436824</v>
      </c>
      <c r="G28" s="86">
        <f t="shared" si="3"/>
        <v>624834.71963046037</v>
      </c>
      <c r="H28" s="86">
        <f t="shared" si="3"/>
        <v>616662.56303655251</v>
      </c>
      <c r="I28" s="86">
        <f t="shared" si="3"/>
        <v>609107.71844264457</v>
      </c>
      <c r="J28" s="86">
        <f t="shared" si="3"/>
        <v>594863.61564873671</v>
      </c>
      <c r="K28" s="86">
        <f t="shared" si="3"/>
        <v>589930.85425482877</v>
      </c>
      <c r="L28" s="86">
        <f>L15-L27+L7</f>
        <v>576591.39146092092</v>
      </c>
      <c r="M28" s="87">
        <f t="shared" si="3"/>
        <v>558468.35506701306</v>
      </c>
    </row>
    <row r="30" spans="1:13" x14ac:dyDescent="0.3">
      <c r="A30" s="111" t="s">
        <v>10701</v>
      </c>
      <c r="B30" s="112">
        <f>'Cash Flow Forecast'!B27</f>
        <v>690440.29499999993</v>
      </c>
      <c r="C30" s="112">
        <f>'Cash Flow Forecast'!C27</f>
        <v>688326.54300609196</v>
      </c>
      <c r="D30" s="112">
        <f>'Cash Flow Forecast'!D27</f>
        <v>679881.43101218401</v>
      </c>
      <c r="E30" s="112">
        <f>'Cash Flow Forecast'!E27</f>
        <v>672640.95901827607</v>
      </c>
      <c r="F30" s="112">
        <f>'Cash Flow Forecast'!F27</f>
        <v>667529.22702436813</v>
      </c>
      <c r="G30" s="112">
        <f>'Cash Flow Forecast'!G27</f>
        <v>654775.34503046027</v>
      </c>
      <c r="H30" s="112">
        <f>'Cash Flow Forecast'!H27</f>
        <v>652242.13803655235</v>
      </c>
      <c r="I30" s="112">
        <f>'Cash Flow Forecast'!I27</f>
        <v>650691.25104264449</v>
      </c>
      <c r="J30" s="112">
        <f>'Cash Flow Forecast'!J27</f>
        <v>640596.76404873654</v>
      </c>
      <c r="K30" s="112">
        <f>'Cash Flow Forecast'!K27</f>
        <v>642016.45205482864</v>
      </c>
      <c r="L30" s="112">
        <f>'Cash Flow Forecast'!L27</f>
        <v>633794.02506092074</v>
      </c>
      <c r="M30" s="112">
        <f>'Cash Flow Forecast'!M27</f>
        <v>619012.96306701284</v>
      </c>
    </row>
    <row r="31" spans="1:13" x14ac:dyDescent="0.3">
      <c r="A31" s="111" t="s">
        <v>10702</v>
      </c>
      <c r="B31" s="112">
        <f>B28-B30</f>
        <v>-5311.5409999999683</v>
      </c>
      <c r="C31" s="112">
        <f t="shared" ref="C31:M31" si="4">C28-C30</f>
        <v>-11246.276999999885</v>
      </c>
      <c r="D31" s="112">
        <f t="shared" si="4"/>
        <v>-16033.755599999917</v>
      </c>
      <c r="E31" s="112">
        <f t="shared" si="4"/>
        <v>-20812.8777999999</v>
      </c>
      <c r="F31" s="112">
        <f t="shared" si="4"/>
        <v>-25999.845599999884</v>
      </c>
      <c r="G31" s="112">
        <f t="shared" si="4"/>
        <v>-29940.625399999903</v>
      </c>
      <c r="H31" s="112">
        <f t="shared" si="4"/>
        <v>-35579.574999999837</v>
      </c>
      <c r="I31" s="112">
        <f t="shared" si="4"/>
        <v>-41583.532599999919</v>
      </c>
      <c r="J31" s="112">
        <f t="shared" si="4"/>
        <v>-45733.148399999831</v>
      </c>
      <c r="K31" s="112">
        <f t="shared" si="4"/>
        <v>-52085.597799999872</v>
      </c>
      <c r="L31" s="112">
        <f t="shared" si="4"/>
        <v>-57202.633599999826</v>
      </c>
      <c r="M31" s="112">
        <f t="shared" si="4"/>
        <v>-60544.607999999775</v>
      </c>
    </row>
    <row r="33" spans="1:13" x14ac:dyDescent="0.3">
      <c r="A33" s="183" t="s">
        <v>10703</v>
      </c>
      <c r="B33" s="183"/>
      <c r="C33" s="183"/>
      <c r="D33" s="183"/>
      <c r="E33" s="183"/>
      <c r="F33" s="183"/>
      <c r="G33" s="183"/>
      <c r="H33" s="183"/>
      <c r="I33" s="183"/>
      <c r="J33" s="183"/>
      <c r="K33" s="183"/>
      <c r="L33" s="183"/>
      <c r="M33" s="183"/>
    </row>
    <row r="34" spans="1:13" x14ac:dyDescent="0.3">
      <c r="A34" s="183"/>
      <c r="B34" s="183"/>
      <c r="C34" s="183"/>
      <c r="D34" s="183"/>
      <c r="E34" s="183"/>
      <c r="F34" s="183"/>
      <c r="G34" s="183"/>
      <c r="H34" s="183"/>
      <c r="I34" s="183"/>
      <c r="J34" s="183"/>
      <c r="K34" s="183"/>
      <c r="L34" s="183"/>
      <c r="M34" s="183"/>
    </row>
  </sheetData>
  <mergeCells count="3">
    <mergeCell ref="A1:M1"/>
    <mergeCell ref="A2:M2"/>
    <mergeCell ref="A33:M34"/>
  </mergeCells>
  <phoneticPr fontId="8" type="noConversion"/>
  <conditionalFormatting sqref="B27 B15">
    <cfRule type="colorScale" priority="12">
      <colorScale>
        <cfvo type="min"/>
        <cfvo type="max"/>
        <color rgb="FFFF7128"/>
        <color rgb="FFFFEF9C"/>
      </colorScale>
    </cfRule>
  </conditionalFormatting>
  <conditionalFormatting sqref="B27 B15">
    <cfRule type="colorScale" priority="11">
      <colorScale>
        <cfvo type="min"/>
        <cfvo type="max"/>
        <color rgb="FFFF0000"/>
        <color theme="9"/>
      </colorScale>
    </cfRule>
  </conditionalFormatting>
  <conditionalFormatting sqref="C15 C27">
    <cfRule type="colorScale" priority="10">
      <colorScale>
        <cfvo type="min"/>
        <cfvo type="max"/>
        <color rgb="FFFF0000"/>
        <color theme="9"/>
      </colorScale>
    </cfRule>
  </conditionalFormatting>
  <conditionalFormatting sqref="D27 D15">
    <cfRule type="colorScale" priority="9">
      <colorScale>
        <cfvo type="min"/>
        <cfvo type="max"/>
        <color rgb="FFFF0000"/>
        <color theme="9"/>
      </colorScale>
    </cfRule>
  </conditionalFormatting>
  <conditionalFormatting sqref="E27 E15">
    <cfRule type="colorScale" priority="8">
      <colorScale>
        <cfvo type="min"/>
        <cfvo type="max"/>
        <color rgb="FFFF0000"/>
        <color theme="9"/>
      </colorScale>
    </cfRule>
  </conditionalFormatting>
  <conditionalFormatting sqref="B15:M15 B27:M27">
    <cfRule type="colorScale" priority="7">
      <colorScale>
        <cfvo type="min"/>
        <cfvo type="max"/>
        <color rgb="FFFF0000"/>
        <color theme="9"/>
      </colorScale>
    </cfRule>
  </conditionalFormatting>
  <conditionalFormatting sqref="B15:M15">
    <cfRule type="colorScale" priority="2">
      <colorScale>
        <cfvo type="min"/>
        <cfvo type="percentile" val="50"/>
        <cfvo type="max"/>
        <color rgb="FFF8696B"/>
        <color rgb="FFFCFCFF"/>
        <color rgb="FF5A8AC6"/>
      </colorScale>
    </cfRule>
    <cfRule type="colorScale" priority="6">
      <colorScale>
        <cfvo type="min"/>
        <cfvo type="percentile" val="50"/>
        <cfvo type="max"/>
        <color rgb="FFF8696B"/>
        <color rgb="FFFFEB84"/>
        <color rgb="FF63BE7B"/>
      </colorScale>
    </cfRule>
  </conditionalFormatting>
  <conditionalFormatting sqref="B27:M27">
    <cfRule type="colorScale" priority="1">
      <colorScale>
        <cfvo type="min"/>
        <cfvo type="percentile" val="50"/>
        <cfvo type="max"/>
        <color rgb="FFF8696B"/>
        <color rgb="FFFCFCFF"/>
        <color rgb="FF5A8AC6"/>
      </colorScale>
    </cfRule>
    <cfRule type="colorScale" priority="5">
      <colorScale>
        <cfvo type="min"/>
        <cfvo type="percentile" val="50"/>
        <cfvo type="max"/>
        <color rgb="FFF8696B"/>
        <color rgb="FFFFEB84"/>
        <color rgb="FF63BE7B"/>
      </colorScale>
    </cfRule>
  </conditionalFormatting>
  <pageMargins left="0.7" right="0.7" top="0.75" bottom="0.75" header="0.3" footer="0.3"/>
  <ignoredErrors>
    <ignoredError sqref="C10" formula="1"/>
  </ignoredErrors>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CB1E3-502F-405B-A6AD-624D2D37D929}">
  <sheetPr codeName="Sheet10">
    <tabColor theme="3" tint="0.749992370372631"/>
  </sheetPr>
  <dimension ref="A1:M32"/>
  <sheetViews>
    <sheetView showGridLines="0" workbookViewId="0">
      <selection sqref="A1:M1"/>
    </sheetView>
  </sheetViews>
  <sheetFormatPr defaultRowHeight="14.4" x14ac:dyDescent="0.3"/>
  <cols>
    <col min="1" max="1" width="28.33203125" style="2" bestFit="1" customWidth="1"/>
    <col min="2" max="4" width="13.109375" style="2" bestFit="1" customWidth="1"/>
    <col min="5" max="13" width="13.88671875" style="2" bestFit="1" customWidth="1"/>
    <col min="14" max="14" width="8.88671875" style="2"/>
    <col min="15" max="15" width="19.44140625" style="2" bestFit="1" customWidth="1"/>
    <col min="16" max="16" width="7.6640625" style="2" bestFit="1" customWidth="1"/>
    <col min="17" max="16384" width="8.88671875" style="2"/>
  </cols>
  <sheetData>
    <row r="1" spans="1:13" ht="19.8" x14ac:dyDescent="0.4">
      <c r="A1" s="182" t="s">
        <v>10659</v>
      </c>
      <c r="B1" s="182"/>
      <c r="C1" s="182"/>
      <c r="D1" s="182"/>
      <c r="E1" s="182"/>
      <c r="F1" s="182"/>
      <c r="G1" s="182"/>
      <c r="H1" s="182"/>
      <c r="I1" s="182"/>
      <c r="J1" s="182"/>
      <c r="K1" s="182"/>
      <c r="L1" s="182"/>
      <c r="M1" s="182"/>
    </row>
    <row r="2" spans="1:13" ht="15.6" x14ac:dyDescent="0.3">
      <c r="A2" s="184" t="s">
        <v>10705</v>
      </c>
      <c r="B2" s="184"/>
      <c r="C2" s="184"/>
      <c r="D2" s="184"/>
      <c r="E2" s="184"/>
      <c r="F2" s="184"/>
      <c r="G2" s="184"/>
      <c r="H2" s="184"/>
      <c r="I2" s="184"/>
      <c r="J2" s="184"/>
      <c r="K2" s="184"/>
      <c r="L2" s="184"/>
      <c r="M2" s="184"/>
    </row>
    <row r="3" spans="1:13" ht="15" thickBot="1" x14ac:dyDescent="0.35"/>
    <row r="4" spans="1:13" ht="15" thickBot="1" x14ac:dyDescent="0.35">
      <c r="A4" s="75" t="s">
        <v>10668</v>
      </c>
      <c r="B4" s="76" t="s">
        <v>4239</v>
      </c>
      <c r="C4" s="76" t="s">
        <v>10620</v>
      </c>
      <c r="D4" s="76" t="s">
        <v>10621</v>
      </c>
      <c r="E4" s="76" t="s">
        <v>10622</v>
      </c>
      <c r="F4" s="76" t="s">
        <v>6845</v>
      </c>
      <c r="G4" s="76" t="s">
        <v>10623</v>
      </c>
      <c r="H4" s="76" t="s">
        <v>10624</v>
      </c>
      <c r="I4" s="76" t="s">
        <v>10625</v>
      </c>
      <c r="J4" s="76" t="s">
        <v>10626</v>
      </c>
      <c r="K4" s="76" t="s">
        <v>10627</v>
      </c>
      <c r="L4" s="76" t="s">
        <v>10628</v>
      </c>
      <c r="M4" s="77" t="s">
        <v>10629</v>
      </c>
    </row>
    <row r="5" spans="1:13" x14ac:dyDescent="0.3">
      <c r="A5" s="78" t="s">
        <v>10667</v>
      </c>
      <c r="B5" s="79"/>
      <c r="C5" s="79">
        <f t="shared" ref="C5:M5" si="0">B26</f>
        <v>658684.89500000002</v>
      </c>
      <c r="D5" s="79">
        <f t="shared" si="0"/>
        <v>607874.89200609212</v>
      </c>
      <c r="E5" s="79">
        <f t="shared" si="0"/>
        <v>580470.4074621842</v>
      </c>
      <c r="F5" s="79">
        <f t="shared" si="0"/>
        <v>553299.21329077636</v>
      </c>
      <c r="G5" s="79">
        <f t="shared" si="0"/>
        <v>524054.57001049345</v>
      </c>
      <c r="H5" s="79">
        <f t="shared" si="0"/>
        <v>523110.98616589181</v>
      </c>
      <c r="I5" s="79">
        <f t="shared" si="0"/>
        <v>494508.61722875549</v>
      </c>
      <c r="J5" s="79">
        <f t="shared" si="0"/>
        <v>468566.49019445776</v>
      </c>
      <c r="K5" s="79">
        <f t="shared" si="0"/>
        <v>474382.22515814053</v>
      </c>
      <c r="L5" s="79">
        <f t="shared" si="0"/>
        <v>449182.85021970287</v>
      </c>
      <c r="M5" s="80">
        <f t="shared" si="0"/>
        <v>460392.70613403874</v>
      </c>
    </row>
    <row r="6" spans="1:13" x14ac:dyDescent="0.3">
      <c r="A6" s="97" t="s">
        <v>10656</v>
      </c>
      <c r="B6" s="98"/>
      <c r="C6" s="98"/>
      <c r="D6" s="98"/>
      <c r="E6" s="98"/>
      <c r="F6" s="98"/>
      <c r="G6" s="98"/>
      <c r="H6" s="98"/>
      <c r="I6" s="98"/>
      <c r="J6" s="98"/>
      <c r="K6" s="98"/>
      <c r="L6" s="98"/>
      <c r="M6" s="98"/>
    </row>
    <row r="7" spans="1:13" x14ac:dyDescent="0.3">
      <c r="A7" s="97" t="s">
        <v>10657</v>
      </c>
      <c r="B7" s="98"/>
      <c r="C7" s="98"/>
      <c r="D7" s="98"/>
      <c r="E7" s="98"/>
      <c r="F7" s="98"/>
      <c r="G7" s="98"/>
      <c r="H7" s="98"/>
      <c r="I7" s="98"/>
      <c r="J7" s="98"/>
      <c r="K7" s="98"/>
      <c r="L7" s="98"/>
      <c r="M7" s="98"/>
    </row>
    <row r="8" spans="1:13" x14ac:dyDescent="0.3">
      <c r="A8" s="99" t="s">
        <v>10669</v>
      </c>
      <c r="B8" s="100">
        <f>SUMIFS(OrganizedData[Total Order Value], OrganizedData[Product Name], "Gigastuff", OrganizedData[Order Year], 2022, OrganizedData[Order Month], "Dec")</f>
        <v>16295.580000000002</v>
      </c>
      <c r="C8" s="100">
        <f>CashFlowForecast12[[#This Row],[Jan]]*'Reference Sheet'!$C$22</f>
        <v>17110.359000000004</v>
      </c>
      <c r="D8" s="100">
        <f>CashFlowForecast12[[#This Row],[Feb]]*'Reference Sheet'!$C$22</f>
        <v>17965.876950000005</v>
      </c>
      <c r="E8" s="100">
        <f>CashFlowForecast12[[#This Row],[Mar]]*'Reference Sheet'!$C$22</f>
        <v>18864.170797500006</v>
      </c>
      <c r="F8" s="100">
        <f>CashFlowForecast12[[#This Row],[Apr]]*'Reference Sheet'!$C$22</f>
        <v>19807.379337375009</v>
      </c>
      <c r="G8" s="100">
        <f>CashFlowForecast12[[#This Row],[May]]*'Reference Sheet'!$C$22</f>
        <v>20797.74830424376</v>
      </c>
      <c r="H8" s="100">
        <f>CashFlowForecast12[[#This Row],[Jun]]*'Reference Sheet'!$C$22</f>
        <v>21837.63571945595</v>
      </c>
      <c r="I8" s="100">
        <f>CashFlowForecast12[[#This Row],[Jul]]*'Reference Sheet'!$C$22</f>
        <v>22929.517505428747</v>
      </c>
      <c r="J8" s="100">
        <f>CashFlowForecast12[[#This Row],[Aug]]*'Reference Sheet'!$C$22</f>
        <v>24075.993380700183</v>
      </c>
      <c r="K8" s="100">
        <f>CashFlowForecast12[[#This Row],[Sep]]*'Reference Sheet'!$C$22</f>
        <v>25279.793049735195</v>
      </c>
      <c r="L8" s="100">
        <f>CashFlowForecast12[[#This Row],[Oct]]*'Reference Sheet'!$C$22</f>
        <v>26543.782702221957</v>
      </c>
      <c r="M8" s="100">
        <f>CashFlowForecast12[[#This Row],[Nov]]*'Reference Sheet'!$C$22</f>
        <v>27870.971837333058</v>
      </c>
    </row>
    <row r="9" spans="1:13" x14ac:dyDescent="0.3">
      <c r="A9" s="99" t="s">
        <v>10670</v>
      </c>
      <c r="B9" s="100">
        <f>SUMIFS(OrganizedData[Total Order Value], OrganizedData[Product Name], "Hyperwotsit", OrganizedData[Order Year], 2022, OrganizedData[Order Month], "Dec")</f>
        <v>18009.599999999999</v>
      </c>
      <c r="C9" s="100">
        <f>CashFlowForecast12[[#This Row],[Jan]]*'Reference Sheet'!$C$22</f>
        <v>18910.079999999998</v>
      </c>
      <c r="D9" s="100">
        <f>CashFlowForecast12[[#This Row],[Feb]]*'Reference Sheet'!$C$22</f>
        <v>19855.583999999999</v>
      </c>
      <c r="E9" s="100">
        <f>CashFlowForecast12[[#This Row],[Mar]]*'Reference Sheet'!$C$22</f>
        <v>20848.3632</v>
      </c>
      <c r="F9" s="100">
        <f>CashFlowForecast12[[#This Row],[Apr]]*'Reference Sheet'!$C$22</f>
        <v>21890.781360000001</v>
      </c>
      <c r="G9" s="100">
        <f>CashFlowForecast12[[#This Row],[May]]*'Reference Sheet'!$C$22</f>
        <v>22985.320428000003</v>
      </c>
      <c r="H9" s="100">
        <f>CashFlowForecast12[[#This Row],[Jun]]*'Reference Sheet'!$C$22</f>
        <v>24134.586449400005</v>
      </c>
      <c r="I9" s="100">
        <f>CashFlowForecast12[[#This Row],[Jul]]*'Reference Sheet'!$C$22</f>
        <v>25341.315771870006</v>
      </c>
      <c r="J9" s="100">
        <f>CashFlowForecast12[[#This Row],[Aug]]*'Reference Sheet'!$C$22</f>
        <v>26608.381560463506</v>
      </c>
      <c r="K9" s="100">
        <f>CashFlowForecast12[[#This Row],[Sep]]*'Reference Sheet'!$C$22</f>
        <v>27938.800638486682</v>
      </c>
      <c r="L9" s="100">
        <f>CashFlowForecast12[[#This Row],[Oct]]*'Reference Sheet'!$C$22</f>
        <v>29335.740670411018</v>
      </c>
      <c r="M9" s="100">
        <f>CashFlowForecast12[[#This Row],[Nov]]*'Reference Sheet'!$C$22</f>
        <v>30802.52770393157</v>
      </c>
    </row>
    <row r="10" spans="1:13" x14ac:dyDescent="0.3">
      <c r="A10" s="99" t="s">
        <v>10671</v>
      </c>
      <c r="B10" s="100">
        <f>SUMIFS(OrganizedData[Total Order Value], OrganizedData[Product Name], "Superwossname", OrganizedData[Order Year], 2022, OrganizedData[Order Month], "Dec")</f>
        <v>40274.6</v>
      </c>
      <c r="C10" s="100">
        <f>CashFlowForecast12[[#This Row],[Jan]]*'Reference Sheet'!$C$22</f>
        <v>42288.33</v>
      </c>
      <c r="D10" s="100">
        <f>CashFlowForecast12[[#This Row],[Feb]]*'Reference Sheet'!$C$22</f>
        <v>44402.746500000001</v>
      </c>
      <c r="E10" s="100">
        <f>CashFlowForecast12[[#This Row],[Mar]]*'Reference Sheet'!$C$22</f>
        <v>46622.883825000004</v>
      </c>
      <c r="F10" s="100">
        <f>CashFlowForecast12[[#This Row],[Apr]]*'Reference Sheet'!$C$22</f>
        <v>48954.028016250006</v>
      </c>
      <c r="G10" s="100">
        <f>CashFlowForecast12[[#This Row],[May]]*'Reference Sheet'!$C$22</f>
        <v>51401.72941706251</v>
      </c>
      <c r="H10" s="100">
        <f>CashFlowForecast12[[#This Row],[Jun]]*'Reference Sheet'!$C$22</f>
        <v>53971.81588791564</v>
      </c>
      <c r="I10" s="100">
        <f>CashFlowForecast12[[#This Row],[Jul]]*'Reference Sheet'!$C$22</f>
        <v>56670.406682311426</v>
      </c>
      <c r="J10" s="100">
        <f>CashFlowForecast12[[#This Row],[Aug]]*'Reference Sheet'!$C$22</f>
        <v>59503.927016426998</v>
      </c>
      <c r="K10" s="100">
        <f>CashFlowForecast12[[#This Row],[Sep]]*'Reference Sheet'!$C$22</f>
        <v>62479.12336724835</v>
      </c>
      <c r="L10" s="100">
        <f>CashFlowForecast12[[#This Row],[Oct]]*'Reference Sheet'!$C$22</f>
        <v>65603.07953561077</v>
      </c>
      <c r="M10" s="100">
        <f>CashFlowForecast12[[#This Row],[Nov]]*'Reference Sheet'!$C$22</f>
        <v>68883.233512391307</v>
      </c>
    </row>
    <row r="11" spans="1:13" x14ac:dyDescent="0.3">
      <c r="A11" s="99" t="s">
        <v>10672</v>
      </c>
      <c r="B11" s="100">
        <v>45000</v>
      </c>
      <c r="C11" s="100">
        <v>4000</v>
      </c>
      <c r="D11" s="100">
        <v>4000</v>
      </c>
      <c r="E11" s="100">
        <v>4000</v>
      </c>
      <c r="F11" s="100">
        <v>4000</v>
      </c>
      <c r="G11" s="100">
        <v>4000</v>
      </c>
      <c r="H11" s="100">
        <v>4000</v>
      </c>
      <c r="I11" s="100">
        <v>4000</v>
      </c>
      <c r="J11" s="100">
        <v>4000</v>
      </c>
      <c r="K11" s="100">
        <v>4000</v>
      </c>
      <c r="L11" s="100">
        <v>4000</v>
      </c>
      <c r="M11" s="101">
        <v>4000</v>
      </c>
    </row>
    <row r="12" spans="1:13" ht="15" thickBot="1" x14ac:dyDescent="0.35">
      <c r="A12" s="102" t="s">
        <v>10673</v>
      </c>
      <c r="B12" s="103">
        <v>650000</v>
      </c>
      <c r="C12" s="103"/>
      <c r="D12" s="103"/>
      <c r="E12" s="103"/>
      <c r="F12" s="103"/>
      <c r="G12" s="103"/>
      <c r="H12" s="103"/>
      <c r="I12" s="103"/>
      <c r="J12" s="103"/>
      <c r="K12" s="103"/>
      <c r="L12" s="103"/>
      <c r="M12" s="104"/>
    </row>
    <row r="13" spans="1:13" ht="15" thickBot="1" x14ac:dyDescent="0.35">
      <c r="A13" s="105" t="s">
        <v>10660</v>
      </c>
      <c r="B13" s="107">
        <f>SUM(B8:B12)</f>
        <v>769579.78</v>
      </c>
      <c r="C13" s="107">
        <f t="shared" ref="C13:M13" si="1">SUM(C8:C12)</f>
        <v>82308.769</v>
      </c>
      <c r="D13" s="107">
        <f t="shared" si="1"/>
        <v>86224.207450000016</v>
      </c>
      <c r="E13" s="107">
        <f t="shared" si="1"/>
        <v>90335.417822500021</v>
      </c>
      <c r="F13" s="107">
        <f t="shared" si="1"/>
        <v>94652.188713625015</v>
      </c>
      <c r="G13" s="107">
        <f t="shared" si="1"/>
        <v>99184.798149306269</v>
      </c>
      <c r="H13" s="107">
        <f t="shared" si="1"/>
        <v>103944.03805677159</v>
      </c>
      <c r="I13" s="107">
        <f t="shared" si="1"/>
        <v>108941.23995961017</v>
      </c>
      <c r="J13" s="107">
        <f t="shared" si="1"/>
        <v>114188.30195759068</v>
      </c>
      <c r="K13" s="107">
        <f t="shared" si="1"/>
        <v>119697.71705547023</v>
      </c>
      <c r="L13" s="107">
        <f t="shared" si="1"/>
        <v>125482.60290824375</v>
      </c>
      <c r="M13" s="108">
        <f t="shared" si="1"/>
        <v>131556.73305365595</v>
      </c>
    </row>
    <row r="14" spans="1:13" x14ac:dyDescent="0.3">
      <c r="A14" s="88" t="s">
        <v>10658</v>
      </c>
      <c r="B14" s="89"/>
      <c r="C14" s="89"/>
      <c r="D14" s="89"/>
      <c r="E14" s="89"/>
      <c r="F14" s="89"/>
      <c r="G14" s="89"/>
      <c r="H14" s="89"/>
      <c r="I14" s="89"/>
      <c r="J14" s="89"/>
      <c r="K14" s="89"/>
      <c r="L14" s="89"/>
      <c r="M14" s="89"/>
    </row>
    <row r="15" spans="1:13" x14ac:dyDescent="0.3">
      <c r="A15" s="90" t="s">
        <v>10739</v>
      </c>
      <c r="B15" s="91">
        <v>30000</v>
      </c>
      <c r="C15" s="91">
        <v>30000</v>
      </c>
      <c r="D15" s="91">
        <v>30000</v>
      </c>
      <c r="E15" s="91">
        <v>30000</v>
      </c>
      <c r="F15" s="91">
        <v>30000</v>
      </c>
      <c r="G15" s="91">
        <v>30000</v>
      </c>
      <c r="H15" s="91">
        <v>30000</v>
      </c>
      <c r="I15" s="91">
        <v>30000</v>
      </c>
      <c r="J15" s="91">
        <v>30000</v>
      </c>
      <c r="K15" s="91">
        <v>30000</v>
      </c>
      <c r="L15" s="91">
        <v>30000</v>
      </c>
      <c r="M15" s="92">
        <v>30000</v>
      </c>
    </row>
    <row r="16" spans="1:13" x14ac:dyDescent="0.3">
      <c r="A16" s="90" t="s">
        <v>10675</v>
      </c>
      <c r="B16" s="91">
        <v>0</v>
      </c>
      <c r="C16" s="91">
        <f>ABS(PMT('Reference Sheet'!$B$17/12,'Reference Sheet'!$B$16,$B$12))</f>
        <v>6674.0069939079031</v>
      </c>
      <c r="D16" s="91">
        <f>ABS(PMT('Reference Sheet'!$B$17/12,'Reference Sheet'!$B$16,$B$12))</f>
        <v>6674.0069939079031</v>
      </c>
      <c r="E16" s="91">
        <f>ABS(PMT('Reference Sheet'!$B$17/12,'Reference Sheet'!$B$16,$B$12))</f>
        <v>6674.0069939079031</v>
      </c>
      <c r="F16" s="91">
        <f>ABS(PMT('Reference Sheet'!$B$17/12,'Reference Sheet'!$B$16,$B$12))</f>
        <v>6674.0069939079031</v>
      </c>
      <c r="G16" s="91">
        <f>ABS(PMT('Reference Sheet'!$B$17/12,'Reference Sheet'!$B$16,$B$12))</f>
        <v>6674.0069939079031</v>
      </c>
      <c r="H16" s="91">
        <f>ABS(PMT('Reference Sheet'!$B$17/12,'Reference Sheet'!$B$16,$B$12))</f>
        <v>6674.0069939079031</v>
      </c>
      <c r="I16" s="91">
        <f>ABS(PMT('Reference Sheet'!$B$17/12,'Reference Sheet'!$B$16,$B$12))</f>
        <v>6674.0069939079031</v>
      </c>
      <c r="J16" s="91">
        <f>ABS(PMT('Reference Sheet'!$B$17/12,'Reference Sheet'!$B$16,$B$12))</f>
        <v>6674.0069939079031</v>
      </c>
      <c r="K16" s="91">
        <f>ABS(PMT('Reference Sheet'!$B$17/12,'Reference Sheet'!$B$16,$B$12))</f>
        <v>6674.0069939079031</v>
      </c>
      <c r="L16" s="91">
        <f>ABS(PMT('Reference Sheet'!$B$17/12,'Reference Sheet'!$B$16,$B$12))</f>
        <v>6674.0069939079031</v>
      </c>
      <c r="M16" s="92">
        <f>ABS(PMT('Reference Sheet'!$B$17/12,'Reference Sheet'!$B$16,$B$12))</f>
        <v>6674.0069939079031</v>
      </c>
    </row>
    <row r="17" spans="1:13" x14ac:dyDescent="0.3">
      <c r="A17" s="93" t="s">
        <v>10662</v>
      </c>
      <c r="B17" s="91"/>
      <c r="C17" s="91"/>
      <c r="D17" s="91"/>
      <c r="E17" s="91"/>
      <c r="F17" s="91"/>
      <c r="G17" s="91"/>
      <c r="H17" s="91"/>
      <c r="I17" s="91"/>
      <c r="J17" s="91"/>
      <c r="K17" s="91"/>
      <c r="L17" s="91"/>
      <c r="M17" s="92"/>
    </row>
    <row r="18" spans="1:13" x14ac:dyDescent="0.3">
      <c r="A18" s="90" t="s">
        <v>10669</v>
      </c>
      <c r="B18" s="91">
        <f>SUMIFS(OrganizedData[Quantity], OrganizedData[Product Name], "Gigastuff", OrganizedData[Order Year], 2022, OrganizedData[Order Month], "Jan")*'Reference Sheet'!$F$12</f>
        <v>16814.384999999998</v>
      </c>
      <c r="C18" s="91">
        <f>SUMIFS(OrganizedData[Quantity], OrganizedData[Product Name], "Gigastuff", OrganizedData[Order Year], 2022, OrganizedData[Order Month], "Feb")*'Reference Sheet'!$F$12</f>
        <v>14824.214999999998</v>
      </c>
      <c r="D18" s="91">
        <f>SUMIFS(OrganizedData[Quantity], OrganizedData[Product Name], "Gigastuff", OrganizedData[Order Year], 2022, OrganizedData[Order Month], "Mar")*'Reference Sheet'!$F$12</f>
        <v>26254.934999999998</v>
      </c>
      <c r="E18" s="91">
        <f>SUMIFS(OrganizedData[Quantity], OrganizedData[Product Name], "Gigastuff", OrganizedData[Order Year], 2022, OrganizedData[Order Month], "Apr")*'Reference Sheet'!$F$12</f>
        <v>20335.454999999998</v>
      </c>
      <c r="F18" s="91">
        <f>SUMIFS(OrganizedData[Quantity], OrganizedData[Product Name], "Gigastuff", OrganizedData[Order Year], 2022, OrganizedData[Order Month], "May")*'Reference Sheet'!$F$12</f>
        <v>15436.574999999999</v>
      </c>
      <c r="G18" s="91">
        <f>SUMIFS(OrganizedData[Quantity], OrganizedData[Product Name], "Gigastuff", OrganizedData[Order Year], 2022, OrganizedData[Order Month], "Jun")*'Reference Sheet'!$F$12</f>
        <v>19518.974999999999</v>
      </c>
      <c r="H18" s="91">
        <f>SUMIFS(OrganizedData[Quantity], OrganizedData[Product Name], "Gigastuff", OrganizedData[Order Year], 2022, OrganizedData[Order Month], "Jul")*'Reference Sheet'!$F$12</f>
        <v>22198.049999999996</v>
      </c>
      <c r="I18" s="91">
        <f>SUMIFS(OrganizedData[Quantity], OrganizedData[Product Name], "Gigastuff", OrganizedData[Order Year], 2022, OrganizedData[Order Month], "Aug")*'Reference Sheet'!$F$12</f>
        <v>15921.359999999999</v>
      </c>
      <c r="J18" s="91">
        <f>SUMIFS(OrganizedData[Quantity], OrganizedData[Product Name], "Gigastuff", OrganizedData[Order Year], 2022, OrganizedData[Order Month], "Sep")*'Reference Sheet'!$F$12</f>
        <v>17962.559999999998</v>
      </c>
      <c r="K18" s="91">
        <f>SUMIFS(OrganizedData[Quantity], OrganizedData[Product Name], "Gigastuff", OrganizedData[Order Year], 2022, OrganizedData[Order Month], "Oct")*'Reference Sheet'!$F$12</f>
        <v>17834.984999999997</v>
      </c>
      <c r="L18" s="91">
        <f>SUMIFS(OrganizedData[Quantity], OrganizedData[Product Name], "Gigastuff", OrganizedData[Order Year], 2022, OrganizedData[Order Month], "Nov")*'Reference Sheet'!$F$12</f>
        <v>14696.639999999998</v>
      </c>
      <c r="M18" s="91">
        <f>SUMIFS(OrganizedData[Quantity], OrganizedData[Product Name], "Gigastuff", OrganizedData[Order Year], 2022, OrganizedData[Order Month], "Dec")*'Reference Sheet'!$F$12</f>
        <v>12221.684999999998</v>
      </c>
    </row>
    <row r="19" spans="1:13" x14ac:dyDescent="0.3">
      <c r="A19" s="90" t="s">
        <v>10670</v>
      </c>
      <c r="B19" s="91">
        <f>SUMIFS(OrganizedData[Quantity], OrganizedData[Product Name], "Hyperwotsit", OrganizedData[Order Year], 2022, OrganizedData[Order Month], "Jan")*'Reference Sheet'!$F$7</f>
        <v>30270.6</v>
      </c>
      <c r="C19" s="91">
        <f>SUMIFS(OrganizedData[Quantity], OrganizedData[Product Name], "Hyperwotsit", OrganizedData[Order Year], 2022, OrganizedData[Order Month], "Feb")*'Reference Sheet'!$F$7</f>
        <v>18813.599999999999</v>
      </c>
      <c r="D19" s="91">
        <f>SUMIFS(OrganizedData[Quantity], OrganizedData[Product Name], "Hyperwotsit", OrganizedData[Order Year], 2022, OrganizedData[Order Month], "Mar")*'Reference Sheet'!$F$7</f>
        <v>11155.5</v>
      </c>
      <c r="E19" s="91">
        <f>SUMIFS(OrganizedData[Quantity], OrganizedData[Product Name], "Hyperwotsit", OrganizedData[Order Year], 2022, OrganizedData[Order Month], "Apr")*'Reference Sheet'!$F$7</f>
        <v>23818.5</v>
      </c>
      <c r="F19" s="91">
        <f>SUMIFS(OrganizedData[Quantity], OrganizedData[Product Name], "Hyperwotsit", OrganizedData[Order Year], 2022, OrganizedData[Order Month], "May")*'Reference Sheet'!$F$7</f>
        <v>22280.85</v>
      </c>
      <c r="G19" s="91">
        <f>SUMIFS(OrganizedData[Quantity], OrganizedData[Product Name], "Hyperwotsit", OrganizedData[Order Year], 2022, OrganizedData[Order Month], "Jun")*'Reference Sheet'!$F$7</f>
        <v>18512.099999999999</v>
      </c>
      <c r="H19" s="91">
        <f>SUMIFS(OrganizedData[Quantity], OrganizedData[Product Name], "Hyperwotsit", OrganizedData[Order Year], 2022, OrganizedData[Order Month], "Jul")*'Reference Sheet'!$F$7</f>
        <v>33677.549999999996</v>
      </c>
      <c r="I19" s="91">
        <f>SUMIFS(OrganizedData[Quantity], OrganizedData[Product Name], "Hyperwotsit", OrganizedData[Order Year], 2022, OrganizedData[Order Month], "Aug")*'Reference Sheet'!$F$7</f>
        <v>17577.45</v>
      </c>
      <c r="J19" s="91">
        <f>SUMIFS(OrganizedData[Quantity], OrganizedData[Product Name], "Hyperwotsit", OrganizedData[Order Year], 2022, OrganizedData[Order Month], "Sep")*'Reference Sheet'!$F$7</f>
        <v>19084.95</v>
      </c>
      <c r="K19" s="91">
        <f>SUMIFS(OrganizedData[Quantity], OrganizedData[Product Name], "Hyperwotsit", OrganizedData[Order Year], 2022, OrganizedData[Order Month], "Oct")*'Reference Sheet'!$F$7</f>
        <v>40792.949999999997</v>
      </c>
      <c r="L19" s="91">
        <f>SUMIFS(OrganizedData[Quantity], OrganizedData[Product Name], "Hyperwotsit", OrganizedData[Order Year], 2022, OrganizedData[Order Month], "Nov")*'Reference Sheet'!$F$7</f>
        <v>25929</v>
      </c>
      <c r="M19" s="91">
        <f>SUMIFS(OrganizedData[Quantity], OrganizedData[Product Name], "Hyperwotsit", OrganizedData[Order Year], 2022, OrganizedData[Order Month], "Dec")*'Reference Sheet'!$F$7</f>
        <v>13507.199999999999</v>
      </c>
    </row>
    <row r="20" spans="1:13" x14ac:dyDescent="0.3">
      <c r="A20" s="90" t="s">
        <v>10671</v>
      </c>
      <c r="B20" s="91">
        <f>SUMIFS(OrganizedData[Quantity], OrganizedData[Product Name], "Superwossname", OrganizedData[Order Year], 2022, OrganizedData[Order Month], "Jan")*'Reference Sheet'!$F$13</f>
        <v>32666.400000000005</v>
      </c>
      <c r="C20" s="91">
        <f>SUMIFS(OrganizedData[Quantity], OrganizedData[Product Name], "Superwossname", OrganizedData[Order Year], 2022, OrganizedData[Order Month], "Feb")*'Reference Sheet'!$F$13</f>
        <v>61615.950000000012</v>
      </c>
      <c r="D20" s="91">
        <f>SUMIFS(OrganizedData[Quantity], OrganizedData[Product Name], "Superwossname", OrganizedData[Order Year], 2022, OrganizedData[Order Month], "Mar")*'Reference Sheet'!$F$13</f>
        <v>38477.250000000007</v>
      </c>
      <c r="E20" s="91">
        <f>SUMIFS(OrganizedData[Quantity], OrganizedData[Product Name], "Superwossname", OrganizedData[Order Year], 2022, OrganizedData[Order Month], "Apr")*'Reference Sheet'!$F$13</f>
        <v>35545.650000000009</v>
      </c>
      <c r="F20" s="91">
        <f>SUMIFS(OrganizedData[Quantity], OrganizedData[Product Name], "Superwossname", OrganizedData[Order Year], 2022, OrganizedData[Order Month], "May")*'Reference Sheet'!$F$13</f>
        <v>48371.400000000009</v>
      </c>
      <c r="G20" s="91">
        <f>SUMIFS(OrganizedData[Quantity], OrganizedData[Product Name], "Superwossname", OrganizedData[Order Year], 2022, OrganizedData[Order Month], "Jun")*'Reference Sheet'!$F$13</f>
        <v>24499.800000000003</v>
      </c>
      <c r="H20" s="91">
        <f>SUMIFS(OrganizedData[Quantity], OrganizedData[Product Name], "Superwossname", OrganizedData[Order Year], 2022, OrganizedData[Order Month], "Jul")*'Reference Sheet'!$F$13</f>
        <v>38634.300000000003</v>
      </c>
      <c r="I20" s="91">
        <f>SUMIFS(OrganizedData[Quantity], OrganizedData[Product Name], "Superwossname", OrganizedData[Order Year], 2022, OrganizedData[Order Month], "Aug")*'Reference Sheet'!$F$13</f>
        <v>63500.55000000001</v>
      </c>
      <c r="J20" s="91">
        <f>SUMIFS(OrganizedData[Quantity], OrganizedData[Product Name], "Superwossname", OrganizedData[Order Year], 2022, OrganizedData[Order Month], "Sep")*'Reference Sheet'!$F$13</f>
        <v>33661.050000000003</v>
      </c>
      <c r="K20" s="91">
        <f>SUMIFS(OrganizedData[Quantity], OrganizedData[Product Name], "Superwossname", OrganizedData[Order Year], 2022, OrganizedData[Order Month], "Oct")*'Reference Sheet'!$F$13</f>
        <v>48109.650000000009</v>
      </c>
      <c r="L20" s="91">
        <f>SUMIFS(OrganizedData[Quantity], OrganizedData[Product Name], "Superwossname", OrganizedData[Order Year], 2022, OrganizedData[Order Month], "Nov")*'Reference Sheet'!$F$13</f>
        <v>35912.100000000006</v>
      </c>
      <c r="M20" s="91">
        <f>SUMIFS(OrganizedData[Quantity], OrganizedData[Product Name], "Superwossname", OrganizedData[Order Year], 2022, OrganizedData[Order Month], "Dec")*'Reference Sheet'!$F$13</f>
        <v>30205.950000000004</v>
      </c>
    </row>
    <row r="21" spans="1:13" x14ac:dyDescent="0.3">
      <c r="A21" s="93" t="s">
        <v>10663</v>
      </c>
      <c r="B21" s="91"/>
      <c r="C21" s="91"/>
      <c r="D21" s="91"/>
      <c r="E21" s="91"/>
      <c r="F21" s="91"/>
      <c r="G21" s="91"/>
      <c r="H21" s="91"/>
      <c r="I21" s="91"/>
      <c r="J21" s="91"/>
      <c r="K21" s="91"/>
      <c r="L21" s="91"/>
      <c r="M21" s="92"/>
    </row>
    <row r="22" spans="1:13" x14ac:dyDescent="0.3">
      <c r="A22" s="90" t="s">
        <v>10669</v>
      </c>
      <c r="B22" s="91">
        <f>SUMIFS(OrganizedData[Quantity], OrganizedData[Product Name], "Gigastuff", OrganizedData[Order Year], 2022, OrganizedData[Order Month], "Jan")*'Reference Sheet'!$B$19</f>
        <v>329.5</v>
      </c>
      <c r="C22" s="91">
        <f>SUMIFS(OrganizedData[Quantity], OrganizedData[Product Name], "Gigastuff", OrganizedData[Order Year], 2022, OrganizedData[Order Month], "Feb")*'Reference Sheet'!$B$19</f>
        <v>290.5</v>
      </c>
      <c r="D22" s="91">
        <f>SUMIFS(OrganizedData[Quantity], OrganizedData[Product Name], "Gigastuff", OrganizedData[Order Year], 2022, OrganizedData[Order Month], "Mar")*'Reference Sheet'!$B$19</f>
        <v>514.5</v>
      </c>
      <c r="E22" s="91">
        <f>SUMIFS(OrganizedData[Quantity], OrganizedData[Product Name], "Gigastuff", OrganizedData[Order Year], 2022, OrganizedData[Order Month], "Apr")*'Reference Sheet'!$B$19</f>
        <v>398.5</v>
      </c>
      <c r="F22" s="91">
        <f>SUMIFS(OrganizedData[Quantity], OrganizedData[Product Name], "Gigastuff", OrganizedData[Order Year], 2022, OrganizedData[Order Month], "May")*'Reference Sheet'!$B$19</f>
        <v>302.5</v>
      </c>
      <c r="G22" s="91">
        <f>SUMIFS(OrganizedData[Quantity], OrganizedData[Product Name], "Gigastuff", OrganizedData[Order Year], 2022, OrganizedData[Order Month], "Jun")*'Reference Sheet'!$B$19</f>
        <v>382.5</v>
      </c>
      <c r="H22" s="91">
        <f>SUMIFS(OrganizedData[Quantity], OrganizedData[Product Name], "Gigastuff", OrganizedData[Order Year], 2022, OrganizedData[Order Month], "Jul")*'Reference Sheet'!$B$19</f>
        <v>435</v>
      </c>
      <c r="I22" s="91">
        <f>SUMIFS(OrganizedData[Quantity], OrganizedData[Product Name], "Gigastuff", OrganizedData[Order Year], 2022, OrganizedData[Order Month], "Aug")*'Reference Sheet'!$B$19</f>
        <v>312</v>
      </c>
      <c r="J22" s="91">
        <f>SUMIFS(OrganizedData[Quantity], OrganizedData[Product Name], "Gigastuff", OrganizedData[Order Year], 2022, OrganizedData[Order Month], "Sep")*'Reference Sheet'!$B$19</f>
        <v>352</v>
      </c>
      <c r="K22" s="91">
        <f>SUMIFS(OrganizedData[Quantity], OrganizedData[Product Name], "Gigastuff", OrganizedData[Order Year], 2022, OrganizedData[Order Month], "Oct")*'Reference Sheet'!$B$19</f>
        <v>349.5</v>
      </c>
      <c r="L22" s="91">
        <f>SUMIFS(OrganizedData[Quantity], OrganizedData[Product Name], "Gigastuff", OrganizedData[Order Year], 2022, OrganizedData[Order Month], "Nov")*'Reference Sheet'!$B$19</f>
        <v>288</v>
      </c>
      <c r="M22" s="92">
        <f>SUMIFS(OrganizedData[Quantity], OrganizedData[Product Name], "Gigastuff", OrganizedData[Order Year], 2022, OrganizedData[Order Month], "Dec")*'Reference Sheet'!$B$19</f>
        <v>239.5</v>
      </c>
    </row>
    <row r="23" spans="1:13" x14ac:dyDescent="0.3">
      <c r="A23" s="90" t="s">
        <v>10670</v>
      </c>
      <c r="B23" s="91">
        <f>SUMIFS(OrganizedData[Quantity], OrganizedData[Product Name], "Hyperwotsit", OrganizedData[Order Year], 2022, OrganizedData[Order Month], "Jan")*'Reference Sheet'!$B$19</f>
        <v>502</v>
      </c>
      <c r="C23" s="91">
        <f>SUMIFS(OrganizedData[Quantity], OrganizedData[Product Name], "Hyperwotsit", OrganizedData[Order Year], 2022, OrganizedData[Order Month], "Feb")*'Reference Sheet'!$B$19</f>
        <v>312</v>
      </c>
      <c r="D23" s="91">
        <f>SUMIFS(OrganizedData[Quantity], OrganizedData[Product Name], "Hyperwotsit", OrganizedData[Order Year], 2022, OrganizedData[Order Month], "Mar")*'Reference Sheet'!$B$19</f>
        <v>185</v>
      </c>
      <c r="E23" s="91">
        <f>SUMIFS(OrganizedData[Quantity], OrganizedData[Product Name], "Hyperwotsit", OrganizedData[Order Year], 2022, OrganizedData[Order Month], "Apr")*'Reference Sheet'!$B$19</f>
        <v>395</v>
      </c>
      <c r="F23" s="91">
        <f>SUMIFS(OrganizedData[Quantity], OrganizedData[Product Name], "Hyperwotsit", OrganizedData[Order Year], 2022, OrganizedData[Order Month], "May")*'Reference Sheet'!$B$19</f>
        <v>369.5</v>
      </c>
      <c r="G23" s="91">
        <f>SUMIFS(OrganizedData[Quantity], OrganizedData[Product Name], "Hyperwotsit", OrganizedData[Order Year], 2022, OrganizedData[Order Month], "Jun")*'Reference Sheet'!$B$19</f>
        <v>307</v>
      </c>
      <c r="H23" s="91">
        <f>SUMIFS(OrganizedData[Quantity], OrganizedData[Product Name], "Hyperwotsit", OrganizedData[Order Year], 2022, OrganizedData[Order Month], "Jul")*'Reference Sheet'!$B$19</f>
        <v>558.5</v>
      </c>
      <c r="I23" s="91">
        <f>SUMIFS(OrganizedData[Quantity], OrganizedData[Product Name], "Hyperwotsit", OrganizedData[Order Year], 2022, OrganizedData[Order Month], "Aug")*'Reference Sheet'!$B$19</f>
        <v>291.5</v>
      </c>
      <c r="J23" s="91">
        <f>SUMIFS(OrganizedData[Quantity], OrganizedData[Product Name], "Hyperwotsit", OrganizedData[Order Year], 2022, OrganizedData[Order Month], "Sep")*'Reference Sheet'!$B$19</f>
        <v>316.5</v>
      </c>
      <c r="K23" s="91">
        <f>SUMIFS(OrganizedData[Quantity], OrganizedData[Product Name], "Hyperwotsit", OrganizedData[Order Year], 2022, OrganizedData[Order Month], "Oct")*'Reference Sheet'!$B$19</f>
        <v>676.5</v>
      </c>
      <c r="L23" s="91">
        <f>SUMIFS(OrganizedData[Quantity], OrganizedData[Product Name], "Hyperwotsit", OrganizedData[Order Year], 2022, OrganizedData[Order Month], "Nov")*'Reference Sheet'!$B$19</f>
        <v>430</v>
      </c>
      <c r="M23" s="92">
        <f>SUMIFS(OrganizedData[Quantity], OrganizedData[Product Name], "Hyperwotsit", OrganizedData[Order Year], 2022, OrganizedData[Order Month], "Dec")*'Reference Sheet'!$B$19</f>
        <v>224</v>
      </c>
    </row>
    <row r="24" spans="1:13" ht="15" thickBot="1" x14ac:dyDescent="0.35">
      <c r="A24" s="94" t="s">
        <v>10671</v>
      </c>
      <c r="B24" s="95">
        <f>SUMIFS(OrganizedData[Quantity], OrganizedData[Product Name], "Superwossname", OrganizedData[Order Year], 2022, OrganizedData[Order Month], "Jan")*'Reference Sheet'!$B$19</f>
        <v>312</v>
      </c>
      <c r="C24" s="95">
        <f>SUMIFS(OrganizedData[Quantity], OrganizedData[Product Name], "Superwossname", OrganizedData[Order Year], 2022, OrganizedData[Order Month], "Feb")*'Reference Sheet'!$B$19</f>
        <v>588.5</v>
      </c>
      <c r="D24" s="95">
        <f>SUMIFS(OrganizedData[Quantity], OrganizedData[Product Name], "Superwossname", OrganizedData[Order Year], 2022, OrganizedData[Order Month], "Mar")*'Reference Sheet'!$B$19</f>
        <v>367.5</v>
      </c>
      <c r="E24" s="95">
        <f>SUMIFS(OrganizedData[Quantity], OrganizedData[Product Name], "Superwossname", OrganizedData[Order Year], 2022, OrganizedData[Order Month], "Apr")*'Reference Sheet'!$B$19</f>
        <v>339.5</v>
      </c>
      <c r="F24" s="95">
        <f>SUMIFS(OrganizedData[Quantity], OrganizedData[Product Name], "Superwossname", OrganizedData[Order Year], 2022, OrganizedData[Order Month], "May")*'Reference Sheet'!$B$19</f>
        <v>462</v>
      </c>
      <c r="G24" s="95">
        <f>SUMIFS(OrganizedData[Quantity], OrganizedData[Product Name], "Superwossname", OrganizedData[Order Year], 2022, OrganizedData[Order Month], "Jun")*'Reference Sheet'!$B$19</f>
        <v>234</v>
      </c>
      <c r="H24" s="95">
        <f>SUMIFS(OrganizedData[Quantity], OrganizedData[Product Name], "Superwossname", OrganizedData[Order Year], 2022, OrganizedData[Order Month], "Jul")*'Reference Sheet'!$B$19</f>
        <v>369</v>
      </c>
      <c r="I24" s="95">
        <f>SUMIFS(OrganizedData[Quantity], OrganizedData[Product Name], "Superwossname", OrganizedData[Order Year], 2022, OrganizedData[Order Month], "Aug")*'Reference Sheet'!$B$19</f>
        <v>606.5</v>
      </c>
      <c r="J24" s="95">
        <f>SUMIFS(OrganizedData[Quantity], OrganizedData[Product Name], "Superwossname", OrganizedData[Order Year], 2022, OrganizedData[Order Month], "Sep")*'Reference Sheet'!$B$19</f>
        <v>321.5</v>
      </c>
      <c r="K24" s="95">
        <f>SUMIFS(OrganizedData[Quantity], OrganizedData[Product Name], "Superwossname", OrganizedData[Order Year], 2022, OrganizedData[Order Month], "Oct")*'Reference Sheet'!$B$19</f>
        <v>459.5</v>
      </c>
      <c r="L24" s="95">
        <f>SUMIFS(OrganizedData[Quantity], OrganizedData[Product Name], "Superwossname", OrganizedData[Order Year], 2022, OrganizedData[Order Month], "Nov")*'Reference Sheet'!$B$19</f>
        <v>343</v>
      </c>
      <c r="M24" s="96">
        <f>SUMIFS(OrganizedData[Quantity], OrganizedData[Product Name], "Superwossname", OrganizedData[Order Year], 2022, OrganizedData[Order Month], "Dec")*'Reference Sheet'!$B$19</f>
        <v>288.5</v>
      </c>
    </row>
    <row r="25" spans="1:13" ht="15" thickBot="1" x14ac:dyDescent="0.35">
      <c r="A25" s="106" t="s">
        <v>10661</v>
      </c>
      <c r="B25" s="109">
        <f>SUM(B15:B24)</f>
        <v>110894.88499999999</v>
      </c>
      <c r="C25" s="109">
        <f t="shared" ref="C25:M25" si="2">SUM(C15:C24)</f>
        <v>133118.77199390793</v>
      </c>
      <c r="D25" s="109">
        <f t="shared" si="2"/>
        <v>113628.69199390791</v>
      </c>
      <c r="E25" s="109">
        <f t="shared" si="2"/>
        <v>117506.61199390791</v>
      </c>
      <c r="F25" s="109">
        <f t="shared" si="2"/>
        <v>123896.83199390791</v>
      </c>
      <c r="G25" s="109">
        <f t="shared" si="2"/>
        <v>100128.3819939079</v>
      </c>
      <c r="H25" s="109">
        <f t="shared" si="2"/>
        <v>132546.40699390788</v>
      </c>
      <c r="I25" s="109">
        <f t="shared" si="2"/>
        <v>134883.36699390793</v>
      </c>
      <c r="J25" s="109">
        <f t="shared" si="2"/>
        <v>108372.56699390791</v>
      </c>
      <c r="K25" s="109">
        <f t="shared" si="2"/>
        <v>144897.0919939079</v>
      </c>
      <c r="L25" s="109">
        <f t="shared" si="2"/>
        <v>114272.7469939079</v>
      </c>
      <c r="M25" s="110">
        <f t="shared" si="2"/>
        <v>93360.841993907903</v>
      </c>
    </row>
    <row r="26" spans="1:13" ht="15" thickBot="1" x14ac:dyDescent="0.35">
      <c r="A26" s="85" t="s">
        <v>10664</v>
      </c>
      <c r="B26" s="86">
        <f>B13-B25+B5</f>
        <v>658684.89500000002</v>
      </c>
      <c r="C26" s="86">
        <f>C13-C25+C5</f>
        <v>607874.89200609212</v>
      </c>
      <c r="D26" s="86">
        <f>D13-D25+D5</f>
        <v>580470.4074621842</v>
      </c>
      <c r="E26" s="86">
        <f t="shared" ref="E26:M26" si="3">E13-E25+E5</f>
        <v>553299.21329077636</v>
      </c>
      <c r="F26" s="86">
        <f t="shared" si="3"/>
        <v>524054.57001049345</v>
      </c>
      <c r="G26" s="86">
        <f t="shared" si="3"/>
        <v>523110.98616589181</v>
      </c>
      <c r="H26" s="86">
        <f t="shared" si="3"/>
        <v>494508.61722875549</v>
      </c>
      <c r="I26" s="86">
        <f t="shared" si="3"/>
        <v>468566.49019445776</v>
      </c>
      <c r="J26" s="86">
        <f t="shared" si="3"/>
        <v>474382.22515814053</v>
      </c>
      <c r="K26" s="86">
        <f t="shared" si="3"/>
        <v>449182.85021970287</v>
      </c>
      <c r="L26" s="86">
        <f>L13-L25+L5</f>
        <v>460392.70613403874</v>
      </c>
      <c r="M26" s="87">
        <f t="shared" si="3"/>
        <v>498588.59719378676</v>
      </c>
    </row>
    <row r="28" spans="1:13" x14ac:dyDescent="0.3">
      <c r="A28" s="111" t="s">
        <v>10707</v>
      </c>
      <c r="B28" s="112">
        <f>'Cash Flow Forecast'!B27</f>
        <v>690440.29499999993</v>
      </c>
      <c r="C28" s="112">
        <f>'Cash Flow Forecast'!C27</f>
        <v>688326.54300609196</v>
      </c>
      <c r="D28" s="112">
        <f>'Cash Flow Forecast'!D27</f>
        <v>679881.43101218401</v>
      </c>
      <c r="E28" s="112">
        <f>'Cash Flow Forecast'!E27</f>
        <v>672640.95901827607</v>
      </c>
      <c r="F28" s="112">
        <f>'Cash Flow Forecast'!F27</f>
        <v>667529.22702436813</v>
      </c>
      <c r="G28" s="112">
        <f>'Cash Flow Forecast'!G27</f>
        <v>654775.34503046027</v>
      </c>
      <c r="H28" s="112">
        <f>'Cash Flow Forecast'!H27</f>
        <v>652242.13803655235</v>
      </c>
      <c r="I28" s="112">
        <f>'Cash Flow Forecast'!I27</f>
        <v>650691.25104264449</v>
      </c>
      <c r="J28" s="112">
        <f>'Cash Flow Forecast'!J27</f>
        <v>640596.76404873654</v>
      </c>
      <c r="K28" s="112">
        <f>'Cash Flow Forecast'!K27</f>
        <v>642016.45205482864</v>
      </c>
      <c r="L28" s="112">
        <f>'Cash Flow Forecast'!L27</f>
        <v>633794.02506092074</v>
      </c>
      <c r="M28" s="112">
        <f>'Cash Flow Forecast'!M27</f>
        <v>619012.96306701284</v>
      </c>
    </row>
    <row r="29" spans="1:13" x14ac:dyDescent="0.3">
      <c r="A29" s="111" t="s">
        <v>10702</v>
      </c>
      <c r="B29" s="112">
        <f>B26-B28</f>
        <v>-31755.399999999907</v>
      </c>
      <c r="C29" s="112">
        <f t="shared" ref="C29:M29" si="4">C26-C28</f>
        <v>-80451.650999999838</v>
      </c>
      <c r="D29" s="112">
        <f t="shared" si="4"/>
        <v>-99411.023549999809</v>
      </c>
      <c r="E29" s="112">
        <f t="shared" si="4"/>
        <v>-119341.74572749971</v>
      </c>
      <c r="F29" s="112">
        <f t="shared" si="4"/>
        <v>-143474.65701387468</v>
      </c>
      <c r="G29" s="112">
        <f t="shared" si="4"/>
        <v>-131664.35886456846</v>
      </c>
      <c r="H29" s="112">
        <f t="shared" si="4"/>
        <v>-157733.52080779686</v>
      </c>
      <c r="I29" s="112">
        <f t="shared" si="4"/>
        <v>-182124.76084818674</v>
      </c>
      <c r="J29" s="112">
        <f t="shared" si="4"/>
        <v>-166214.53889059601</v>
      </c>
      <c r="K29" s="112">
        <f t="shared" si="4"/>
        <v>-192833.60183512577</v>
      </c>
      <c r="L29" s="112">
        <f t="shared" si="4"/>
        <v>-173401.318926882</v>
      </c>
      <c r="M29" s="112">
        <f t="shared" si="4"/>
        <v>-120424.36587322608</v>
      </c>
    </row>
    <row r="31" spans="1:13" ht="14.4" customHeight="1" x14ac:dyDescent="0.3">
      <c r="A31" s="183" t="s">
        <v>10708</v>
      </c>
      <c r="B31" s="183"/>
      <c r="C31" s="183"/>
      <c r="D31" s="183"/>
      <c r="E31" s="183"/>
      <c r="F31" s="183"/>
      <c r="G31" s="183"/>
      <c r="H31" s="183"/>
      <c r="I31" s="183"/>
      <c r="J31" s="183"/>
      <c r="K31" s="183"/>
      <c r="L31" s="183"/>
      <c r="M31" s="183"/>
    </row>
    <row r="32" spans="1:13" x14ac:dyDescent="0.3">
      <c r="A32" s="15"/>
      <c r="B32" s="15"/>
      <c r="C32" s="15"/>
      <c r="D32" s="15"/>
      <c r="E32" s="15"/>
      <c r="F32" s="15"/>
      <c r="G32" s="15"/>
      <c r="H32" s="15"/>
      <c r="I32" s="15"/>
      <c r="J32" s="15"/>
      <c r="K32" s="15"/>
      <c r="L32" s="15"/>
      <c r="M32" s="15"/>
    </row>
  </sheetData>
  <mergeCells count="3">
    <mergeCell ref="A1:M1"/>
    <mergeCell ref="A2:M2"/>
    <mergeCell ref="A31:M31"/>
  </mergeCells>
  <conditionalFormatting sqref="B25 B13">
    <cfRule type="colorScale" priority="12">
      <colorScale>
        <cfvo type="min"/>
        <cfvo type="max"/>
        <color rgb="FFFF7128"/>
        <color rgb="FFFFEF9C"/>
      </colorScale>
    </cfRule>
  </conditionalFormatting>
  <conditionalFormatting sqref="B25 B13">
    <cfRule type="colorScale" priority="11">
      <colorScale>
        <cfvo type="min"/>
        <cfvo type="max"/>
        <color rgb="FFFF0000"/>
        <color theme="9"/>
      </colorScale>
    </cfRule>
  </conditionalFormatting>
  <conditionalFormatting sqref="C13 C25">
    <cfRule type="colorScale" priority="10">
      <colorScale>
        <cfvo type="min"/>
        <cfvo type="max"/>
        <color rgb="FFFF0000"/>
        <color theme="9"/>
      </colorScale>
    </cfRule>
  </conditionalFormatting>
  <conditionalFormatting sqref="D25 D13">
    <cfRule type="colorScale" priority="9">
      <colorScale>
        <cfvo type="min"/>
        <cfvo type="max"/>
        <color rgb="FFFF0000"/>
        <color theme="9"/>
      </colorScale>
    </cfRule>
  </conditionalFormatting>
  <conditionalFormatting sqref="E25 E13">
    <cfRule type="colorScale" priority="8">
      <colorScale>
        <cfvo type="min"/>
        <cfvo type="max"/>
        <color rgb="FFFF0000"/>
        <color theme="9"/>
      </colorScale>
    </cfRule>
  </conditionalFormatting>
  <conditionalFormatting sqref="B13:M13 B25:M25">
    <cfRule type="colorScale" priority="7">
      <colorScale>
        <cfvo type="min"/>
        <cfvo type="max"/>
        <color rgb="FFFF0000"/>
        <color theme="9"/>
      </colorScale>
    </cfRule>
  </conditionalFormatting>
  <conditionalFormatting sqref="B13:M13">
    <cfRule type="colorScale" priority="2">
      <colorScale>
        <cfvo type="min"/>
        <cfvo type="percentile" val="50"/>
        <cfvo type="max"/>
        <color rgb="FFF8696B"/>
        <color rgb="FFFCFCFF"/>
        <color rgb="FF5A8AC6"/>
      </colorScale>
    </cfRule>
    <cfRule type="colorScale" priority="6">
      <colorScale>
        <cfvo type="min"/>
        <cfvo type="percentile" val="50"/>
        <cfvo type="max"/>
        <color rgb="FFF8696B"/>
        <color rgb="FFFFEB84"/>
        <color rgb="FF63BE7B"/>
      </colorScale>
    </cfRule>
  </conditionalFormatting>
  <conditionalFormatting sqref="B25:M25">
    <cfRule type="colorScale" priority="1">
      <colorScale>
        <cfvo type="min"/>
        <cfvo type="percentile" val="50"/>
        <cfvo type="max"/>
        <color rgb="FFF8696B"/>
        <color rgb="FFFCFCFF"/>
        <color rgb="FF5A8AC6"/>
      </colorScale>
    </cfRule>
    <cfRule type="colorScale" priority="5">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8193-3428-487E-97FC-867A5F51E8E1}">
  <sheetPr codeName="Sheet16">
    <tabColor theme="4" tint="0.79998168889431442"/>
  </sheetPr>
  <dimension ref="A1:N1002"/>
  <sheetViews>
    <sheetView workbookViewId="0">
      <selection sqref="A1:G1"/>
    </sheetView>
  </sheetViews>
  <sheetFormatPr defaultRowHeight="14.4" x14ac:dyDescent="0.3"/>
  <cols>
    <col min="1" max="1" width="17.33203125" style="2" bestFit="1" customWidth="1"/>
    <col min="2" max="2" width="13.6640625" style="2" bestFit="1" customWidth="1"/>
    <col min="3" max="3" width="14.5546875" style="2" bestFit="1" customWidth="1"/>
    <col min="4" max="4" width="11.88671875" style="2" bestFit="1" customWidth="1"/>
    <col min="5" max="5" width="23.88671875" style="2" bestFit="1" customWidth="1"/>
    <col min="6" max="6" width="15.33203125" style="2" bestFit="1" customWidth="1"/>
    <col min="7" max="7" width="19.77734375" style="2" bestFit="1" customWidth="1"/>
    <col min="8" max="12" width="14.77734375" style="2" customWidth="1"/>
    <col min="13" max="13" width="11.77734375" style="2" bestFit="1" customWidth="1"/>
    <col min="14" max="14" width="12.109375" style="2" bestFit="1" customWidth="1"/>
    <col min="15" max="16384" width="8.88671875" style="2"/>
  </cols>
  <sheetData>
    <row r="1" spans="1:14" x14ac:dyDescent="0.3">
      <c r="A1" s="180" t="s">
        <v>10720</v>
      </c>
      <c r="B1" s="180"/>
      <c r="C1" s="180"/>
      <c r="D1" s="180"/>
      <c r="E1" s="180"/>
      <c r="F1" s="180"/>
      <c r="G1" s="180"/>
      <c r="H1" s="13"/>
      <c r="I1" s="13"/>
      <c r="J1" s="13"/>
      <c r="K1" s="13"/>
      <c r="L1" s="13"/>
    </row>
    <row r="2" spans="1:14" x14ac:dyDescent="0.3">
      <c r="G2" s="17"/>
      <c r="H2" s="17"/>
      <c r="I2" s="17"/>
      <c r="J2" s="17"/>
      <c r="K2" s="17"/>
      <c r="L2" s="17"/>
      <c r="M2" s="113" t="s">
        <v>10732</v>
      </c>
      <c r="N2" s="113" t="s">
        <v>10727</v>
      </c>
    </row>
    <row r="3" spans="1:14" x14ac:dyDescent="0.3">
      <c r="B3" s="114" t="s">
        <v>10656</v>
      </c>
      <c r="C3" s="114" t="s">
        <v>10662</v>
      </c>
      <c r="D3" s="114" t="s">
        <v>10663</v>
      </c>
      <c r="E3" s="114" t="s">
        <v>10740</v>
      </c>
      <c r="F3" s="114" t="s">
        <v>10723</v>
      </c>
      <c r="G3" s="114" t="s">
        <v>10667</v>
      </c>
      <c r="M3" s="11">
        <v>1</v>
      </c>
      <c r="N3" s="20">
        <f ca="1">G10</f>
        <v>571782.6458583551</v>
      </c>
    </row>
    <row r="4" spans="1:14" x14ac:dyDescent="0.3">
      <c r="A4" s="113" t="s">
        <v>10733</v>
      </c>
      <c r="B4" s="9">
        <f>AVERAGE('Cash Flow Forecast'!B14:M14)</f>
        <v>170543.34666666668</v>
      </c>
      <c r="C4" s="9">
        <f>(SUM('Cash Flow Forecast'!B19:B21)+SUM('Cash Flow Forecast'!C19:C21)+SUM('Cash Flow Forecast'!D19:D21)+SUM('Cash Flow Forecast'!E19:E21)+SUM('Cash Flow Forecast'!F19:F21)+SUM('Cash Flow Forecast'!G19:G21)+SUM('Cash Flow Forecast'!H19:H21)+SUM('Cash Flow Forecast'!I19:I21)+SUM('Cash Flow Forecast'!J19:J21)+SUM('Cash Flow Forecast'!K19:K21)+SUM('Cash Flow Forecast'!L19:L21)+SUM('Cash Flow Forecast'!M19:M21))/12</f>
        <v>81720.009999999995</v>
      </c>
      <c r="D4" s="9">
        <f>(SUM('Cash Flow Forecast'!B23:B25)+SUM('Cash Flow Forecast'!C23:C25)+SUM('Cash Flow Forecast'!D23:D25)+SUM('Cash Flow Forecast'!E23:E25)+SUM('Cash Flow Forecast'!F23:F25)+SUM('Cash Flow Forecast'!G23:G25)+SUM('Cash Flow Forecast'!H23:H25)+SUM('Cash Flow Forecast'!I23:I25)+SUM('Cash Flow Forecast'!J23:J25)+SUM('Cash Flow Forecast'!K23:K25)+SUM('Cash Flow Forecast'!L23:L25)+SUM('Cash Flow Forecast'!M23:M25))/12</f>
        <v>1121.0833333333333</v>
      </c>
      <c r="E4" s="9">
        <f>AVERAGE('Cash Flow Forecast'!B16:M16)</f>
        <v>30000</v>
      </c>
      <c r="F4" s="9">
        <f>AVERAGE('Cash Flow Forecast'!B17:M17)</f>
        <v>6117.8397444155771</v>
      </c>
      <c r="G4" s="19">
        <v>661175.86</v>
      </c>
      <c r="H4" s="6"/>
      <c r="I4" s="6"/>
      <c r="J4" s="6"/>
      <c r="K4" s="6"/>
      <c r="L4" s="6"/>
      <c r="M4" s="11">
        <v>2</v>
      </c>
      <c r="N4" s="20">
        <f t="dataTable" ref="N4:N1002" dt2D="0" dtr="0" r1="N2" ca="1"/>
        <v>681475.01805004326</v>
      </c>
    </row>
    <row r="5" spans="1:14" x14ac:dyDescent="0.3">
      <c r="A5" s="113" t="s">
        <v>10709</v>
      </c>
      <c r="B5" s="11">
        <f ca="1">RANDBETWEEN(0,100)</f>
        <v>78</v>
      </c>
      <c r="C5" s="11">
        <f t="shared" ref="C5:G5" ca="1" si="0">RANDBETWEEN(0,100)</f>
        <v>28</v>
      </c>
      <c r="D5" s="11">
        <f t="shared" ca="1" si="0"/>
        <v>4</v>
      </c>
      <c r="E5" s="11">
        <f t="shared" ca="1" si="0"/>
        <v>71</v>
      </c>
      <c r="F5" s="11">
        <f t="shared" ca="1" si="0"/>
        <v>9</v>
      </c>
      <c r="G5" s="11">
        <f t="shared" ca="1" si="0"/>
        <v>15</v>
      </c>
      <c r="M5" s="11">
        <v>3</v>
      </c>
      <c r="N5" s="20">
        <v>806703.62356335938</v>
      </c>
    </row>
    <row r="6" spans="1:14" x14ac:dyDescent="0.3">
      <c r="A6" s="113" t="s">
        <v>10724</v>
      </c>
      <c r="B6" s="11">
        <f ca="1">IF(AND(B5&lt;='Reference Sheet'!$B$34),'Reference Sheet'!$C$34,IF(AND(B5&gt;'Reference Sheet'!$B$34,B5&lt;'Reference Sheet'!$B$35),'Reference Sheet'!$C$35,IF(AND(B5&gt;'Reference Sheet'!$B$35,B5&lt;'Reference Sheet'!$B$36),'Reference Sheet'!$C$36,IF(AND(B5&gt;'Reference Sheet'!$B$36,B5&lt;'Reference Sheet'!$B$37),'Reference Sheet'!$C$37,IF(AND(B5&gt;'Reference Sheet'!$B$37,B5&lt;'Reference Sheet'!$B$38),'Reference Sheet'!$C$38,IF(AND(B5&gt;'Reference Sheet'!$B$38,B5&lt;'Reference Sheet'!$B$39),'Reference Sheet'!$C$39,IF(AND(B5&gt;'Reference Sheet'!$B$39,B5&lt;='Reference Sheet'!$B$40),'Reference Sheet'!$C$40,IF(AND(B5&gt;'Reference Sheet'!$B$40,B5&lt;'Reference Sheet'!$B$41),'Reference Sheet'!$C$41,IF(AND(B5&gt;'Reference Sheet'!$B$41,B5&lt;'Reference Sheet'!$B$42),'Reference Sheet'!$C$42,IF(AND(B5&gt;'Reference Sheet'!$B$42,B5&lt;'Reference Sheet'!$B$43),'Reference Sheet'!$C$43,IF(AND(B5&gt;'Reference Sheet'!$B$43,B5&lt;'Reference Sheet'!$B$44),'Reference Sheet'!$C$44,IF(AND(B5&gt;'Reference Sheet'!$B$44,B5&lt;'Reference Sheet'!$B$45),'Reference Sheet'!$C$45,IF(AND(B5&gt;'Reference Sheet'!$B$45,B5&lt;'Reference Sheet'!$B$46),'Reference Sheet'!$C$46,IF(AND(B5&gt;'Reference Sheet'!$B$46,B5&lt;='Reference Sheet'!$B$47),'Reference Sheet'!$C$47))))))))))))))</f>
        <v>1.1000000000000001</v>
      </c>
      <c r="C6" s="11">
        <f ca="1">IF(AND(C5&lt;='Reference Sheet'!$B$34),'Reference Sheet'!$C$34,IF(AND(C5&gt;'Reference Sheet'!$B$34,C5&lt;'Reference Sheet'!$B$35),'Reference Sheet'!$C$35,IF(AND(C5&gt;'Reference Sheet'!$B$35,C5&lt;'Reference Sheet'!$B$36),'Reference Sheet'!$C$36,IF(AND(C5&gt;'Reference Sheet'!$B$36,C5&lt;'Reference Sheet'!$B$37),'Reference Sheet'!$C$37,IF(AND(C5&gt;'Reference Sheet'!$B$37,C5&lt;'Reference Sheet'!$B$38),'Reference Sheet'!$C$38,IF(AND(C5&gt;'Reference Sheet'!$B$38,C5&lt;'Reference Sheet'!$B$39),'Reference Sheet'!$C$39,IF(AND(C5&gt;'Reference Sheet'!$B$39,C5&lt;='Reference Sheet'!$B$40),'Reference Sheet'!$C$40,IF(AND(C5&gt;'Reference Sheet'!$B$40,C5&lt;'Reference Sheet'!$B$41),'Reference Sheet'!$C$41,IF(AND(C5&gt;'Reference Sheet'!$B$41,C5&lt;'Reference Sheet'!$B$42),'Reference Sheet'!$C$42,IF(AND(C5&gt;'Reference Sheet'!$B$42,C5&lt;'Reference Sheet'!$B$43),'Reference Sheet'!$C$43,IF(AND(C5&gt;'Reference Sheet'!$B$43,C5&lt;'Reference Sheet'!$B$44),'Reference Sheet'!$C$44,IF(AND(C5&gt;'Reference Sheet'!$B$44,C5&lt;'Reference Sheet'!$B$45),'Reference Sheet'!$C$45,IF(AND(C5&gt;'Reference Sheet'!$B$45,C5&lt;'Reference Sheet'!$B$46),'Reference Sheet'!$C$46,IF(AND(C5&gt;'Reference Sheet'!$B$46,C5&lt;='Reference Sheet'!$B$47),'Reference Sheet'!$C$47))))))))))))))</f>
        <v>0.9</v>
      </c>
      <c r="D6" s="11">
        <f ca="1">IF(AND(D5&lt;='Reference Sheet'!$B$34),'Reference Sheet'!$C$34,IF(AND(D5&gt;'Reference Sheet'!$B$34,D5&lt;'Reference Sheet'!$B$35),'Reference Sheet'!$C$35,IF(AND(D5&gt;'Reference Sheet'!$B$35,D5&lt;'Reference Sheet'!$B$36),'Reference Sheet'!$C$36,IF(AND(D5&gt;'Reference Sheet'!$B$36,D5&lt;'Reference Sheet'!$B$37),'Reference Sheet'!$C$37,IF(AND(D5&gt;'Reference Sheet'!$B$37,D5&lt;'Reference Sheet'!$B$38),'Reference Sheet'!$C$38,IF(AND(D5&gt;'Reference Sheet'!$B$38,D5&lt;'Reference Sheet'!$B$39),'Reference Sheet'!$C$39,IF(AND(D5&gt;'Reference Sheet'!$B$39,D5&lt;='Reference Sheet'!$B$40),'Reference Sheet'!$C$40,IF(AND(D5&gt;'Reference Sheet'!$B$40,D5&lt;'Reference Sheet'!$B$41),'Reference Sheet'!$C$41,IF(AND(D5&gt;'Reference Sheet'!$B$41,D5&lt;'Reference Sheet'!$B$42),'Reference Sheet'!$C$42,IF(AND(D5&gt;'Reference Sheet'!$B$42,D5&lt;'Reference Sheet'!$B$43),'Reference Sheet'!$C$43,IF(AND(D5&gt;'Reference Sheet'!$B$43,D5&lt;'Reference Sheet'!$B$44),'Reference Sheet'!$C$44,IF(AND(D5&gt;'Reference Sheet'!$B$44,D5&lt;'Reference Sheet'!$B$45),'Reference Sheet'!$C$45,IF(AND(D5&gt;'Reference Sheet'!$B$45,D5&lt;'Reference Sheet'!$B$46),'Reference Sheet'!$C$46,IF(AND(D5&gt;'Reference Sheet'!$B$46,D5&lt;='Reference Sheet'!$B$47),'Reference Sheet'!$C$47))))))))))))))</f>
        <v>0.5</v>
      </c>
      <c r="E6" s="11">
        <f ca="1">IF(AND(E5&lt;='Reference Sheet'!$B$34),'Reference Sheet'!$C$34,IF(AND(E5&gt;'Reference Sheet'!$B$34,E5&lt;'Reference Sheet'!$B$35),'Reference Sheet'!$C$35,IF(AND(E5&gt;'Reference Sheet'!$B$35,E5&lt;'Reference Sheet'!$B$36),'Reference Sheet'!$C$36,IF(AND(E5&gt;'Reference Sheet'!$B$36,E5&lt;'Reference Sheet'!$B$37),'Reference Sheet'!$C$37,IF(AND(E5&gt;'Reference Sheet'!$B$37,E5&lt;'Reference Sheet'!$B$38),'Reference Sheet'!$C$38,IF(AND(E5&gt;'Reference Sheet'!$B$38,E5&lt;'Reference Sheet'!$B$39),'Reference Sheet'!$C$39,IF(AND(E5&gt;'Reference Sheet'!$B$39,E5&lt;='Reference Sheet'!$B$40),'Reference Sheet'!$C$40,IF(AND(E5&gt;'Reference Sheet'!$B$40,E5&lt;'Reference Sheet'!$B$41),'Reference Sheet'!$C$41,IF(AND(E5&gt;'Reference Sheet'!$B$41,E5&lt;'Reference Sheet'!$B$42),'Reference Sheet'!$C$42,IF(AND(E5&gt;'Reference Sheet'!$B$42,E5&lt;'Reference Sheet'!$B$43),'Reference Sheet'!$C$43,IF(AND(E5&gt;'Reference Sheet'!$B$43,E5&lt;'Reference Sheet'!$B$44),'Reference Sheet'!$C$44,IF(AND(E5&gt;'Reference Sheet'!$B$44,E5&lt;'Reference Sheet'!$B$45),'Reference Sheet'!$C$45,IF(AND(E5&gt;'Reference Sheet'!$B$45,E5&lt;'Reference Sheet'!$B$46),'Reference Sheet'!$C$46,IF(AND(E5&gt;'Reference Sheet'!$B$46,E5&lt;='Reference Sheet'!$B$47),'Reference Sheet'!$C$47))))))))))))))</f>
        <v>1.1000000000000001</v>
      </c>
      <c r="F6" s="11">
        <f ca="1">IF(AND(F5&lt;='Reference Sheet'!$B$34),'Reference Sheet'!$C$34,IF(AND(F5&gt;'Reference Sheet'!$B$34,F5&lt;'Reference Sheet'!$B$35),'Reference Sheet'!$C$35,IF(AND(F5&gt;'Reference Sheet'!$B$35,F5&lt;'Reference Sheet'!$B$36),'Reference Sheet'!$C$36,IF(AND(F5&gt;'Reference Sheet'!$B$36,F5&lt;'Reference Sheet'!$B$37),'Reference Sheet'!$C$37,IF(AND(F5&gt;'Reference Sheet'!$B$37,F5&lt;'Reference Sheet'!$B$38),'Reference Sheet'!$C$38,IF(AND(F5&gt;'Reference Sheet'!$B$38,F5&lt;'Reference Sheet'!$B$39),'Reference Sheet'!$C$39,IF(AND(F5&gt;'Reference Sheet'!$B$39,F5&lt;='Reference Sheet'!$B$40),'Reference Sheet'!$C$40,IF(AND(F5&gt;'Reference Sheet'!$B$40,F5&lt;'Reference Sheet'!$B$41),'Reference Sheet'!$C$41,IF(AND(F5&gt;'Reference Sheet'!$B$41,F5&lt;'Reference Sheet'!$B$42),'Reference Sheet'!$C$42,IF(AND(F5&gt;'Reference Sheet'!$B$42,F5&lt;'Reference Sheet'!$B$43),'Reference Sheet'!$C$43,IF(AND(F5&gt;'Reference Sheet'!$B$43,F5&lt;'Reference Sheet'!$B$44),'Reference Sheet'!$C$44,IF(AND(F5&gt;'Reference Sheet'!$B$44,F5&lt;'Reference Sheet'!$B$45),'Reference Sheet'!$C$45,IF(AND(F5&gt;'Reference Sheet'!$B$45,F5&lt;'Reference Sheet'!$B$46),'Reference Sheet'!$C$46,IF(AND(F5&gt;'Reference Sheet'!$B$46,F5&lt;='Reference Sheet'!$B$47),'Reference Sheet'!$C$47))))))))))))))</f>
        <v>0.75</v>
      </c>
      <c r="G6" s="11">
        <f ca="1">IF(AND(G5&lt;='Reference Sheet'!$B$34),'Reference Sheet'!$C$34,IF(AND(G5&gt;'Reference Sheet'!$B$34,G5&lt;'Reference Sheet'!$B$35),'Reference Sheet'!$C$35,IF(AND(G5&gt;'Reference Sheet'!$B$35,G5&lt;'Reference Sheet'!$B$36),'Reference Sheet'!$C$36,IF(AND(G5&gt;'Reference Sheet'!$B$36,G5&lt;'Reference Sheet'!$B$37),'Reference Sheet'!$C$37,IF(AND(G5&gt;'Reference Sheet'!$B$37,G5&lt;'Reference Sheet'!$B$38),'Reference Sheet'!$C$38,IF(AND(G5&gt;'Reference Sheet'!$B$38,G5&lt;'Reference Sheet'!$B$39),'Reference Sheet'!$C$39,IF(AND(G5&gt;'Reference Sheet'!$B$39,G5&lt;='Reference Sheet'!$B$40),'Reference Sheet'!$C$40,IF(AND(G5&gt;'Reference Sheet'!$B$40,G5&lt;'Reference Sheet'!$B$41),'Reference Sheet'!$C$41,IF(AND(G5&gt;'Reference Sheet'!$B$41,G5&lt;'Reference Sheet'!$B$42),'Reference Sheet'!$C$42,IF(AND(G5&gt;'Reference Sheet'!$B$42,G5&lt;'Reference Sheet'!$B$43),'Reference Sheet'!$C$43,IF(AND(G5&gt;'Reference Sheet'!$B$43,G5&lt;'Reference Sheet'!$B$44),'Reference Sheet'!$C$44,IF(AND(G5&gt;'Reference Sheet'!$B$44,G5&lt;'Reference Sheet'!$B$45),'Reference Sheet'!$C$45,IF(AND(G5&gt;'Reference Sheet'!$B$45,G5&lt;'Reference Sheet'!$B$46),'Reference Sheet'!$C$46,IF(AND(G5&gt;'Reference Sheet'!$B$46,G5&lt;='Reference Sheet'!$B$47),'Reference Sheet'!$C$47))))))))))))))</f>
        <v>0.75</v>
      </c>
      <c r="M6" s="11">
        <v>4</v>
      </c>
      <c r="N6" s="20">
        <v>688486.20975558436</v>
      </c>
    </row>
    <row r="7" spans="1:14" x14ac:dyDescent="0.3">
      <c r="A7" s="113" t="s">
        <v>10730</v>
      </c>
      <c r="B7" s="18">
        <f ca="1">B6</f>
        <v>1.1000000000000001</v>
      </c>
      <c r="C7" s="18">
        <f ca="1">C6</f>
        <v>0.9</v>
      </c>
      <c r="D7" s="18">
        <f ca="1">D6</f>
        <v>0.5</v>
      </c>
      <c r="E7" s="18">
        <f ca="1">E6</f>
        <v>1.1000000000000001</v>
      </c>
      <c r="F7" s="18">
        <f t="shared" ref="F7" ca="1" si="1">F6</f>
        <v>0.75</v>
      </c>
      <c r="G7" s="18">
        <f ca="1">G6</f>
        <v>0.75</v>
      </c>
      <c r="J7" s="6"/>
      <c r="M7" s="11">
        <v>5</v>
      </c>
      <c r="N7" s="20">
        <v>759414.02392225107</v>
      </c>
    </row>
    <row r="8" spans="1:14" x14ac:dyDescent="0.3">
      <c r="A8" s="113" t="s">
        <v>10725</v>
      </c>
      <c r="B8" s="9">
        <f t="shared" ref="B8:G8" ca="1" si="2">B4*B7</f>
        <v>187597.68133333337</v>
      </c>
      <c r="C8" s="9">
        <f ca="1">C4*C7</f>
        <v>73548.008999999991</v>
      </c>
      <c r="D8" s="9">
        <f t="shared" ca="1" si="2"/>
        <v>560.54166666666663</v>
      </c>
      <c r="E8" s="9">
        <f t="shared" ca="1" si="2"/>
        <v>33000</v>
      </c>
      <c r="F8" s="9">
        <f t="shared" ca="1" si="2"/>
        <v>4588.3798083116826</v>
      </c>
      <c r="G8" s="9">
        <f t="shared" ca="1" si="2"/>
        <v>495881.89500000002</v>
      </c>
      <c r="H8" s="16"/>
      <c r="I8" s="16"/>
      <c r="J8" s="16"/>
      <c r="K8" s="16"/>
      <c r="L8" s="16"/>
      <c r="M8" s="11">
        <v>6</v>
      </c>
      <c r="N8" s="20">
        <v>818100.50775558432</v>
      </c>
    </row>
    <row r="9" spans="1:14" ht="15" thickBot="1" x14ac:dyDescent="0.35">
      <c r="H9" s="6"/>
      <c r="I9" s="6"/>
      <c r="J9" s="6"/>
      <c r="K9" s="6"/>
      <c r="L9" s="6"/>
      <c r="M9" s="11">
        <v>7</v>
      </c>
      <c r="N9" s="20">
        <v>699738.64244727278</v>
      </c>
    </row>
    <row r="10" spans="1:14" ht="15" thickBot="1" x14ac:dyDescent="0.35">
      <c r="A10" s="115" t="s">
        <v>10727</v>
      </c>
      <c r="B10" s="116"/>
      <c r="C10" s="116"/>
      <c r="D10" s="116"/>
      <c r="E10" s="117"/>
      <c r="F10" s="117"/>
      <c r="G10" s="118">
        <f ca="1">SUM(B8+G8-(C8+D8+E8+F8))</f>
        <v>571782.6458583551</v>
      </c>
      <c r="M10" s="11">
        <v>8</v>
      </c>
      <c r="N10" s="20">
        <v>617197.12015281385</v>
      </c>
    </row>
    <row r="11" spans="1:14" ht="15" thickBot="1" x14ac:dyDescent="0.35">
      <c r="M11" s="11">
        <v>9</v>
      </c>
      <c r="N11" s="20">
        <v>667124.43692225113</v>
      </c>
    </row>
    <row r="12" spans="1:14" x14ac:dyDescent="0.3">
      <c r="A12" s="131" t="s">
        <v>10731</v>
      </c>
      <c r="B12" s="132"/>
      <c r="M12" s="11">
        <v>10</v>
      </c>
      <c r="N12" s="20">
        <v>695705.93892225111</v>
      </c>
    </row>
    <row r="13" spans="1:14" x14ac:dyDescent="0.3">
      <c r="A13" s="133"/>
      <c r="B13" s="134"/>
      <c r="M13" s="11">
        <v>11</v>
      </c>
      <c r="N13" s="20">
        <v>778266.07561447623</v>
      </c>
    </row>
    <row r="14" spans="1:14" x14ac:dyDescent="0.3">
      <c r="A14" s="133" t="s">
        <v>10728</v>
      </c>
      <c r="B14" s="135">
        <f ca="1">MIN(N3:N1002)</f>
        <v>8329.1153833766439</v>
      </c>
      <c r="M14" s="11">
        <v>12</v>
      </c>
      <c r="N14" s="20">
        <v>596175.33778114291</v>
      </c>
    </row>
    <row r="15" spans="1:14" x14ac:dyDescent="0.3">
      <c r="A15" s="133" t="s">
        <v>10729</v>
      </c>
      <c r="B15" s="135">
        <f ca="1">MAX(N3:N1002)</f>
        <v>1440173.0009611256</v>
      </c>
      <c r="E15" s="6"/>
      <c r="F15" s="6"/>
      <c r="M15" s="11">
        <v>13</v>
      </c>
      <c r="N15" s="20">
        <v>697235.39885835501</v>
      </c>
    </row>
    <row r="16" spans="1:14" x14ac:dyDescent="0.3">
      <c r="A16" s="133" t="s">
        <v>10726</v>
      </c>
      <c r="B16" s="135">
        <f ca="1">AVERAGE(N3:N1002)</f>
        <v>715582.56815578358</v>
      </c>
      <c r="M16" s="11">
        <v>14</v>
      </c>
      <c r="N16" s="20">
        <v>946628.19358891784</v>
      </c>
    </row>
    <row r="17" spans="1:14" ht="15" thickBot="1" x14ac:dyDescent="0.35">
      <c r="A17" s="136" t="s">
        <v>10721</v>
      </c>
      <c r="B17" s="137">
        <f ca="1">_xlfn.STDEV.P(N3:N1002)</f>
        <v>179177.26717022629</v>
      </c>
      <c r="M17" s="11">
        <v>15</v>
      </c>
      <c r="N17" s="20">
        <v>712795.29152502166</v>
      </c>
    </row>
    <row r="18" spans="1:14" ht="15" thickBot="1" x14ac:dyDescent="0.35">
      <c r="M18" s="11">
        <v>16</v>
      </c>
      <c r="N18" s="20">
        <v>706117.73252502165</v>
      </c>
    </row>
    <row r="19" spans="1:14" ht="14.4" customHeight="1" x14ac:dyDescent="0.3">
      <c r="A19" s="185" t="s">
        <v>10795</v>
      </c>
      <c r="B19" s="186"/>
      <c r="C19" s="186"/>
      <c r="D19" s="187"/>
      <c r="M19" s="11">
        <v>17</v>
      </c>
      <c r="N19" s="20">
        <v>732314.93261447619</v>
      </c>
    </row>
    <row r="20" spans="1:14" x14ac:dyDescent="0.3">
      <c r="A20" s="188"/>
      <c r="B20" s="189"/>
      <c r="C20" s="189"/>
      <c r="D20" s="190"/>
      <c r="M20" s="11">
        <v>18</v>
      </c>
      <c r="N20" s="20">
        <v>577180.43823002593</v>
      </c>
    </row>
    <row r="21" spans="1:14" x14ac:dyDescent="0.3">
      <c r="A21" s="188"/>
      <c r="B21" s="189"/>
      <c r="C21" s="189"/>
      <c r="D21" s="190"/>
      <c r="M21" s="11">
        <v>19</v>
      </c>
      <c r="N21" s="20">
        <v>737525.80789669266</v>
      </c>
    </row>
    <row r="22" spans="1:14" x14ac:dyDescent="0.3">
      <c r="A22" s="188"/>
      <c r="B22" s="189"/>
      <c r="C22" s="189"/>
      <c r="D22" s="190"/>
      <c r="M22" s="11">
        <v>20</v>
      </c>
      <c r="N22" s="20">
        <v>773275.79675558442</v>
      </c>
    </row>
    <row r="23" spans="1:14" x14ac:dyDescent="0.3">
      <c r="A23" s="188"/>
      <c r="B23" s="189"/>
      <c r="C23" s="189"/>
      <c r="D23" s="190"/>
      <c r="M23" s="11">
        <v>21</v>
      </c>
      <c r="N23" s="20">
        <v>1231128.2735889177</v>
      </c>
    </row>
    <row r="24" spans="1:14" x14ac:dyDescent="0.3">
      <c r="A24" s="188"/>
      <c r="B24" s="189"/>
      <c r="C24" s="189"/>
      <c r="D24" s="190"/>
      <c r="M24" s="11">
        <v>22</v>
      </c>
      <c r="N24" s="20">
        <v>1036705.6625250217</v>
      </c>
    </row>
    <row r="25" spans="1:14" x14ac:dyDescent="0.3">
      <c r="A25" s="188"/>
      <c r="B25" s="189"/>
      <c r="C25" s="189"/>
      <c r="D25" s="190"/>
      <c r="M25" s="11">
        <v>23</v>
      </c>
      <c r="N25" s="20">
        <v>669958.04225558438</v>
      </c>
    </row>
    <row r="26" spans="1:14" x14ac:dyDescent="0.3">
      <c r="A26" s="188"/>
      <c r="B26" s="189"/>
      <c r="C26" s="189"/>
      <c r="D26" s="190"/>
      <c r="M26" s="11">
        <v>24</v>
      </c>
      <c r="N26" s="20">
        <v>710593.83058891771</v>
      </c>
    </row>
    <row r="27" spans="1:14" x14ac:dyDescent="0.3">
      <c r="A27" s="188"/>
      <c r="B27" s="189"/>
      <c r="C27" s="189"/>
      <c r="D27" s="190"/>
      <c r="M27" s="11">
        <v>25</v>
      </c>
      <c r="N27" s="20">
        <v>528436.63852502161</v>
      </c>
    </row>
    <row r="28" spans="1:14" x14ac:dyDescent="0.3">
      <c r="A28" s="188"/>
      <c r="B28" s="189"/>
      <c r="C28" s="189"/>
      <c r="D28" s="190"/>
      <c r="M28" s="11">
        <v>26</v>
      </c>
      <c r="N28" s="20">
        <v>792651.92342225113</v>
      </c>
    </row>
    <row r="29" spans="1:14" ht="15" thickBot="1" x14ac:dyDescent="0.35">
      <c r="A29" s="191"/>
      <c r="B29" s="192"/>
      <c r="C29" s="192"/>
      <c r="D29" s="193"/>
      <c r="M29" s="11">
        <v>27</v>
      </c>
      <c r="N29" s="20">
        <v>722254.39123002603</v>
      </c>
    </row>
    <row r="30" spans="1:14" x14ac:dyDescent="0.3">
      <c r="M30" s="11">
        <v>28</v>
      </c>
      <c r="N30" s="20">
        <v>564543.2253833767</v>
      </c>
    </row>
    <row r="31" spans="1:14" x14ac:dyDescent="0.3">
      <c r="M31" s="11">
        <v>29</v>
      </c>
      <c r="N31" s="20">
        <v>780295.21119168832</v>
      </c>
    </row>
    <row r="32" spans="1:14" x14ac:dyDescent="0.3">
      <c r="M32" s="11">
        <v>30</v>
      </c>
      <c r="N32" s="20">
        <v>688705.6145633593</v>
      </c>
    </row>
    <row r="33" spans="13:14" x14ac:dyDescent="0.3">
      <c r="M33" s="11">
        <v>31</v>
      </c>
      <c r="N33" s="20">
        <v>8329.1153833766439</v>
      </c>
    </row>
    <row r="34" spans="13:14" x14ac:dyDescent="0.3">
      <c r="M34" s="11">
        <v>32</v>
      </c>
      <c r="N34" s="20">
        <v>882398.82469168829</v>
      </c>
    </row>
    <row r="35" spans="13:14" x14ac:dyDescent="0.3">
      <c r="M35" s="11">
        <v>33</v>
      </c>
      <c r="N35" s="20">
        <v>1198591.250922251</v>
      </c>
    </row>
    <row r="36" spans="13:14" x14ac:dyDescent="0.3">
      <c r="M36" s="11">
        <v>34</v>
      </c>
      <c r="N36" s="20">
        <v>706677.6251916883</v>
      </c>
    </row>
    <row r="37" spans="13:14" x14ac:dyDescent="0.3">
      <c r="M37" s="11">
        <v>35</v>
      </c>
      <c r="N37" s="20">
        <v>804972.05425558449</v>
      </c>
    </row>
    <row r="38" spans="13:14" x14ac:dyDescent="0.3">
      <c r="M38" s="11">
        <v>36</v>
      </c>
      <c r="N38" s="20">
        <v>672124.24439669261</v>
      </c>
    </row>
    <row r="39" spans="13:14" x14ac:dyDescent="0.3">
      <c r="M39" s="11">
        <v>37</v>
      </c>
      <c r="N39" s="20">
        <v>664013.77021670993</v>
      </c>
    </row>
    <row r="40" spans="13:14" x14ac:dyDescent="0.3">
      <c r="M40" s="11">
        <v>38</v>
      </c>
      <c r="N40" s="20">
        <v>712597.57194780954</v>
      </c>
    </row>
    <row r="41" spans="13:14" x14ac:dyDescent="0.3">
      <c r="M41" s="11">
        <v>39</v>
      </c>
      <c r="N41" s="20">
        <v>655146.20173002593</v>
      </c>
    </row>
    <row r="42" spans="13:14" x14ac:dyDescent="0.3">
      <c r="M42" s="11">
        <v>40</v>
      </c>
      <c r="N42" s="20">
        <v>629376.29939669266</v>
      </c>
    </row>
    <row r="43" spans="13:14" x14ac:dyDescent="0.3">
      <c r="M43" s="11">
        <v>41</v>
      </c>
      <c r="N43" s="20">
        <v>750695.62211393937</v>
      </c>
    </row>
    <row r="44" spans="13:14" x14ac:dyDescent="0.3">
      <c r="M44" s="11">
        <v>42</v>
      </c>
      <c r="N44" s="20">
        <v>667052.04411447619</v>
      </c>
    </row>
    <row r="45" spans="13:14" x14ac:dyDescent="0.3">
      <c r="M45" s="11">
        <v>43</v>
      </c>
      <c r="N45" s="20">
        <v>672421.82958891778</v>
      </c>
    </row>
    <row r="46" spans="13:14" x14ac:dyDescent="0.3">
      <c r="M46" s="11">
        <v>44</v>
      </c>
      <c r="N46" s="20">
        <v>716187.18373002601</v>
      </c>
    </row>
    <row r="47" spans="13:14" x14ac:dyDescent="0.3">
      <c r="M47" s="11">
        <v>45</v>
      </c>
      <c r="N47" s="20">
        <v>705295.29152502166</v>
      </c>
    </row>
    <row r="48" spans="13:14" x14ac:dyDescent="0.3">
      <c r="M48" s="11">
        <v>46</v>
      </c>
      <c r="N48" s="20">
        <v>1377948.7844861471</v>
      </c>
    </row>
    <row r="49" spans="13:14" x14ac:dyDescent="0.3">
      <c r="M49" s="11">
        <v>47</v>
      </c>
      <c r="N49" s="20">
        <v>237920.16506335931</v>
      </c>
    </row>
    <row r="50" spans="13:14" x14ac:dyDescent="0.3">
      <c r="M50" s="11">
        <v>48</v>
      </c>
      <c r="N50" s="20">
        <v>762896.11025558447</v>
      </c>
    </row>
    <row r="51" spans="13:14" x14ac:dyDescent="0.3">
      <c r="M51" s="11">
        <v>49</v>
      </c>
      <c r="N51" s="20">
        <v>886095.75975558441</v>
      </c>
    </row>
    <row r="52" spans="13:14" x14ac:dyDescent="0.3">
      <c r="M52" s="11">
        <v>50</v>
      </c>
      <c r="N52" s="20">
        <v>817132.84579445887</v>
      </c>
    </row>
    <row r="53" spans="13:14" x14ac:dyDescent="0.3">
      <c r="M53" s="11">
        <v>51</v>
      </c>
      <c r="N53" s="20">
        <v>854431.05281948054</v>
      </c>
    </row>
    <row r="54" spans="13:14" x14ac:dyDescent="0.3">
      <c r="M54" s="11">
        <v>52</v>
      </c>
      <c r="N54" s="20">
        <v>931956.35442225111</v>
      </c>
    </row>
    <row r="55" spans="13:14" x14ac:dyDescent="0.3">
      <c r="M55" s="11">
        <v>53</v>
      </c>
      <c r="N55" s="20">
        <v>756008.49461447622</v>
      </c>
    </row>
    <row r="56" spans="13:14" x14ac:dyDescent="0.3">
      <c r="M56" s="11">
        <v>54</v>
      </c>
      <c r="N56" s="20">
        <v>881946.29339669261</v>
      </c>
    </row>
    <row r="57" spans="13:14" x14ac:dyDescent="0.3">
      <c r="M57" s="11">
        <v>55</v>
      </c>
      <c r="N57" s="20">
        <v>833947.861858355</v>
      </c>
    </row>
    <row r="58" spans="13:14" x14ac:dyDescent="0.3">
      <c r="M58" s="11">
        <v>56</v>
      </c>
      <c r="N58" s="20">
        <v>615290.96025558445</v>
      </c>
    </row>
    <row r="59" spans="13:14" x14ac:dyDescent="0.3">
      <c r="M59" s="11">
        <v>57</v>
      </c>
      <c r="N59" s="20">
        <v>755396.11025558447</v>
      </c>
    </row>
    <row r="60" spans="13:14" x14ac:dyDescent="0.3">
      <c r="M60" s="11">
        <v>58</v>
      </c>
      <c r="N60" s="20">
        <v>711868.21878114284</v>
      </c>
    </row>
    <row r="61" spans="13:14" x14ac:dyDescent="0.3">
      <c r="M61" s="11">
        <v>59</v>
      </c>
      <c r="N61" s="20">
        <v>917957.37058891775</v>
      </c>
    </row>
    <row r="62" spans="13:14" x14ac:dyDescent="0.3">
      <c r="M62" s="11">
        <v>60</v>
      </c>
      <c r="N62" s="20">
        <v>636976.2445889177</v>
      </c>
    </row>
    <row r="63" spans="13:14" x14ac:dyDescent="0.3">
      <c r="M63" s="11">
        <v>61</v>
      </c>
      <c r="N63" s="20">
        <v>1183476.0499478094</v>
      </c>
    </row>
    <row r="64" spans="13:14" x14ac:dyDescent="0.3">
      <c r="M64" s="11">
        <v>62</v>
      </c>
      <c r="N64" s="20">
        <v>786377.85958891781</v>
      </c>
    </row>
    <row r="65" spans="13:14" x14ac:dyDescent="0.3">
      <c r="M65" s="11">
        <v>63</v>
      </c>
      <c r="N65" s="20">
        <v>710601.0860889178</v>
      </c>
    </row>
    <row r="66" spans="13:14" x14ac:dyDescent="0.3">
      <c r="M66" s="11">
        <v>64</v>
      </c>
      <c r="N66" s="20">
        <v>649967.1131144762</v>
      </c>
    </row>
    <row r="67" spans="13:14" x14ac:dyDescent="0.3">
      <c r="M67" s="11">
        <v>65</v>
      </c>
      <c r="N67" s="20">
        <v>684830.27108891774</v>
      </c>
    </row>
    <row r="68" spans="13:14" x14ac:dyDescent="0.3">
      <c r="M68" s="11">
        <v>66</v>
      </c>
      <c r="N68" s="20">
        <v>564852.15639669274</v>
      </c>
    </row>
    <row r="69" spans="13:14" x14ac:dyDescent="0.3">
      <c r="M69" s="11">
        <v>67</v>
      </c>
      <c r="N69" s="20">
        <v>1035077.6538966928</v>
      </c>
    </row>
    <row r="70" spans="13:14" x14ac:dyDescent="0.3">
      <c r="M70" s="11">
        <v>68</v>
      </c>
      <c r="N70" s="20">
        <v>670124.43692225113</v>
      </c>
    </row>
    <row r="71" spans="13:14" x14ac:dyDescent="0.3">
      <c r="M71" s="11">
        <v>69</v>
      </c>
      <c r="N71" s="20">
        <v>819362.19675558445</v>
      </c>
    </row>
    <row r="72" spans="13:14" x14ac:dyDescent="0.3">
      <c r="M72" s="11">
        <v>70</v>
      </c>
      <c r="N72" s="20">
        <v>799390.37865281384</v>
      </c>
    </row>
    <row r="73" spans="13:14" x14ac:dyDescent="0.3">
      <c r="M73" s="11">
        <v>71</v>
      </c>
      <c r="N73" s="20">
        <v>349446.00792225113</v>
      </c>
    </row>
    <row r="74" spans="13:14" x14ac:dyDescent="0.3">
      <c r="M74" s="11">
        <v>72</v>
      </c>
      <c r="N74" s="20">
        <v>640784.25585835497</v>
      </c>
    </row>
    <row r="75" spans="13:14" x14ac:dyDescent="0.3">
      <c r="M75" s="11">
        <v>73</v>
      </c>
      <c r="N75" s="20">
        <v>441652.52442225115</v>
      </c>
    </row>
    <row r="76" spans="13:14" x14ac:dyDescent="0.3">
      <c r="M76" s="11">
        <v>74</v>
      </c>
      <c r="N76" s="20">
        <v>765519.42785835499</v>
      </c>
    </row>
    <row r="77" spans="13:14" x14ac:dyDescent="0.3">
      <c r="M77" s="11">
        <v>75</v>
      </c>
      <c r="N77" s="20">
        <v>505505.69994727278</v>
      </c>
    </row>
    <row r="78" spans="13:14" x14ac:dyDescent="0.3">
      <c r="M78" s="11">
        <v>76</v>
      </c>
      <c r="N78" s="20">
        <v>805967.04958891775</v>
      </c>
    </row>
    <row r="79" spans="13:14" x14ac:dyDescent="0.3">
      <c r="M79" s="11">
        <v>77</v>
      </c>
      <c r="N79" s="20">
        <v>503974.95423056278</v>
      </c>
    </row>
    <row r="80" spans="13:14" x14ac:dyDescent="0.3">
      <c r="M80" s="11">
        <v>78</v>
      </c>
      <c r="N80" s="20">
        <v>788222.34823002596</v>
      </c>
    </row>
    <row r="81" spans="13:14" x14ac:dyDescent="0.3">
      <c r="M81" s="11">
        <v>79</v>
      </c>
      <c r="N81" s="20">
        <v>726702.4999222511</v>
      </c>
    </row>
    <row r="82" spans="13:14" x14ac:dyDescent="0.3">
      <c r="M82" s="11">
        <v>80</v>
      </c>
      <c r="N82" s="20">
        <v>844831.59042225115</v>
      </c>
    </row>
    <row r="83" spans="13:14" x14ac:dyDescent="0.3">
      <c r="M83" s="11">
        <v>81</v>
      </c>
      <c r="N83" s="20">
        <v>794661.96892225114</v>
      </c>
    </row>
    <row r="84" spans="13:14" x14ac:dyDescent="0.3">
      <c r="M84" s="11">
        <v>82</v>
      </c>
      <c r="N84" s="20">
        <v>811446.33692225104</v>
      </c>
    </row>
    <row r="85" spans="13:14" x14ac:dyDescent="0.3">
      <c r="M85" s="11">
        <v>83</v>
      </c>
      <c r="N85" s="20">
        <v>746943.83842225105</v>
      </c>
    </row>
    <row r="86" spans="13:14" x14ac:dyDescent="0.3">
      <c r="M86" s="11">
        <v>84</v>
      </c>
      <c r="N86" s="20">
        <v>785371.97723002604</v>
      </c>
    </row>
    <row r="87" spans="13:14" x14ac:dyDescent="0.3">
      <c r="M87" s="11">
        <v>85</v>
      </c>
      <c r="N87" s="20">
        <v>915582.73044780944</v>
      </c>
    </row>
    <row r="88" spans="13:14" x14ac:dyDescent="0.3">
      <c r="M88" s="11">
        <v>86</v>
      </c>
      <c r="N88" s="20">
        <v>566280.98273002601</v>
      </c>
    </row>
    <row r="89" spans="13:14" x14ac:dyDescent="0.3">
      <c r="M89" s="11">
        <v>87</v>
      </c>
      <c r="N89" s="20">
        <v>616936.85342225106</v>
      </c>
    </row>
    <row r="90" spans="13:14" x14ac:dyDescent="0.3">
      <c r="M90" s="11">
        <v>88</v>
      </c>
      <c r="N90" s="20">
        <v>978506.53275558446</v>
      </c>
    </row>
    <row r="91" spans="13:14" x14ac:dyDescent="0.3">
      <c r="M91" s="11">
        <v>89</v>
      </c>
      <c r="N91" s="20">
        <v>694235.39885835501</v>
      </c>
    </row>
    <row r="92" spans="13:14" x14ac:dyDescent="0.3">
      <c r="M92" s="11">
        <v>90</v>
      </c>
      <c r="N92" s="20">
        <v>709716.11889669264</v>
      </c>
    </row>
    <row r="93" spans="13:14" x14ac:dyDescent="0.3">
      <c r="M93" s="11">
        <v>91</v>
      </c>
      <c r="N93" s="20">
        <v>878334.50942225102</v>
      </c>
    </row>
    <row r="94" spans="13:14" x14ac:dyDescent="0.3">
      <c r="M94" s="11">
        <v>92</v>
      </c>
      <c r="N94" s="20">
        <v>905423.69942225108</v>
      </c>
    </row>
    <row r="95" spans="13:14" x14ac:dyDescent="0.3">
      <c r="M95" s="11">
        <v>93</v>
      </c>
      <c r="N95" s="20">
        <v>699889.98358891776</v>
      </c>
    </row>
    <row r="96" spans="13:14" x14ac:dyDescent="0.3">
      <c r="M96" s="11">
        <v>94</v>
      </c>
      <c r="N96" s="20">
        <v>595259.42965281382</v>
      </c>
    </row>
    <row r="97" spans="13:14" x14ac:dyDescent="0.3">
      <c r="M97" s="11">
        <v>95</v>
      </c>
      <c r="N97" s="20">
        <v>695356.99715281383</v>
      </c>
    </row>
    <row r="98" spans="13:14" x14ac:dyDescent="0.3">
      <c r="M98" s="11">
        <v>96</v>
      </c>
      <c r="N98" s="20">
        <v>588832.09333333338</v>
      </c>
    </row>
    <row r="99" spans="13:14" x14ac:dyDescent="0.3">
      <c r="M99" s="11">
        <v>97</v>
      </c>
      <c r="N99" s="20">
        <v>805531.94692225114</v>
      </c>
    </row>
    <row r="100" spans="13:14" x14ac:dyDescent="0.3">
      <c r="M100" s="11">
        <v>98</v>
      </c>
      <c r="N100" s="20">
        <v>878166.34692225105</v>
      </c>
    </row>
    <row r="101" spans="13:14" x14ac:dyDescent="0.3">
      <c r="M101" s="11">
        <v>99</v>
      </c>
      <c r="N101" s="20">
        <v>841663.42792225117</v>
      </c>
    </row>
    <row r="102" spans="13:14" x14ac:dyDescent="0.3">
      <c r="M102" s="11">
        <v>100</v>
      </c>
      <c r="N102" s="20">
        <v>742428.76044780947</v>
      </c>
    </row>
    <row r="103" spans="13:14" x14ac:dyDescent="0.3">
      <c r="M103" s="11">
        <v>101</v>
      </c>
      <c r="N103" s="20">
        <v>359966.50942225114</v>
      </c>
    </row>
    <row r="104" spans="13:14" x14ac:dyDescent="0.3">
      <c r="M104" s="11">
        <v>102</v>
      </c>
      <c r="N104" s="20">
        <v>627630.03669168835</v>
      </c>
    </row>
    <row r="105" spans="13:14" x14ac:dyDescent="0.3">
      <c r="M105" s="11">
        <v>103</v>
      </c>
      <c r="N105" s="20">
        <v>584740.6552555844</v>
      </c>
    </row>
    <row r="106" spans="13:14" x14ac:dyDescent="0.3">
      <c r="M106" s="11">
        <v>104</v>
      </c>
      <c r="N106" s="20">
        <v>851513.69625558448</v>
      </c>
    </row>
    <row r="107" spans="13:14" x14ac:dyDescent="0.3">
      <c r="M107" s="11">
        <v>105</v>
      </c>
      <c r="N107" s="20">
        <v>313430.13019168831</v>
      </c>
    </row>
    <row r="108" spans="13:14" x14ac:dyDescent="0.3">
      <c r="M108" s="11">
        <v>106</v>
      </c>
      <c r="N108" s="20">
        <v>810096.00273002603</v>
      </c>
    </row>
    <row r="109" spans="13:14" x14ac:dyDescent="0.3">
      <c r="M109" s="11">
        <v>107</v>
      </c>
      <c r="N109" s="20">
        <v>1379308.6227305627</v>
      </c>
    </row>
    <row r="110" spans="13:14" x14ac:dyDescent="0.3">
      <c r="M110" s="11">
        <v>108</v>
      </c>
      <c r="N110" s="20">
        <v>774436.77946112561</v>
      </c>
    </row>
    <row r="111" spans="13:14" x14ac:dyDescent="0.3">
      <c r="M111" s="11">
        <v>109</v>
      </c>
      <c r="N111" s="20">
        <v>763980.60794780951</v>
      </c>
    </row>
    <row r="112" spans="13:14" x14ac:dyDescent="0.3">
      <c r="M112" s="11">
        <v>110</v>
      </c>
      <c r="N112" s="20">
        <v>776209.37273002602</v>
      </c>
    </row>
    <row r="113" spans="13:14" x14ac:dyDescent="0.3">
      <c r="M113" s="11">
        <v>111</v>
      </c>
      <c r="N113" s="20">
        <v>725601.89628060604</v>
      </c>
    </row>
    <row r="114" spans="13:14" x14ac:dyDescent="0.3">
      <c r="M114" s="11">
        <v>112</v>
      </c>
      <c r="N114" s="20">
        <v>843896.21173002594</v>
      </c>
    </row>
    <row r="115" spans="13:14" x14ac:dyDescent="0.3">
      <c r="M115" s="11">
        <v>113</v>
      </c>
      <c r="N115" s="20">
        <v>717578.49211447616</v>
      </c>
    </row>
    <row r="116" spans="13:14" x14ac:dyDescent="0.3">
      <c r="M116" s="11">
        <v>114</v>
      </c>
      <c r="N116" s="20">
        <v>695726.58489669266</v>
      </c>
    </row>
    <row r="117" spans="13:14" x14ac:dyDescent="0.3">
      <c r="M117" s="11">
        <v>115</v>
      </c>
      <c r="N117" s="20">
        <v>917577.96692225104</v>
      </c>
    </row>
    <row r="118" spans="13:14" x14ac:dyDescent="0.3">
      <c r="M118" s="11">
        <v>116</v>
      </c>
      <c r="N118" s="20">
        <v>733190.27608891774</v>
      </c>
    </row>
    <row r="119" spans="13:14" x14ac:dyDescent="0.3">
      <c r="M119" s="11">
        <v>117</v>
      </c>
      <c r="N119" s="20">
        <v>826116.78125558444</v>
      </c>
    </row>
    <row r="120" spans="13:14" x14ac:dyDescent="0.3">
      <c r="M120" s="11">
        <v>118</v>
      </c>
      <c r="N120" s="20">
        <v>586740.37242225115</v>
      </c>
    </row>
    <row r="121" spans="13:14" x14ac:dyDescent="0.3">
      <c r="M121" s="11">
        <v>119</v>
      </c>
      <c r="N121" s="20">
        <v>48722.647563359322</v>
      </c>
    </row>
    <row r="122" spans="13:14" x14ac:dyDescent="0.3">
      <c r="M122" s="11">
        <v>120</v>
      </c>
      <c r="N122" s="20">
        <v>704476.16425558447</v>
      </c>
    </row>
    <row r="123" spans="13:14" x14ac:dyDescent="0.3">
      <c r="M123" s="11">
        <v>121</v>
      </c>
      <c r="N123" s="20">
        <v>846592.34416666662</v>
      </c>
    </row>
    <row r="124" spans="13:14" x14ac:dyDescent="0.3">
      <c r="M124" s="11">
        <v>122</v>
      </c>
      <c r="N124" s="20">
        <v>1019918.2010889178</v>
      </c>
    </row>
    <row r="125" spans="13:14" x14ac:dyDescent="0.3">
      <c r="M125" s="11">
        <v>123</v>
      </c>
      <c r="N125" s="20">
        <v>762956.32728114282</v>
      </c>
    </row>
    <row r="126" spans="13:14" x14ac:dyDescent="0.3">
      <c r="M126" s="11">
        <v>124</v>
      </c>
      <c r="N126" s="20">
        <v>1343824.0252555844</v>
      </c>
    </row>
    <row r="127" spans="13:14" x14ac:dyDescent="0.3">
      <c r="M127" s="11">
        <v>125</v>
      </c>
      <c r="N127" s="20">
        <v>730375.14992225112</v>
      </c>
    </row>
    <row r="128" spans="13:14" x14ac:dyDescent="0.3">
      <c r="M128" s="11">
        <v>126</v>
      </c>
      <c r="N128" s="20">
        <v>734313.46185835497</v>
      </c>
    </row>
    <row r="129" spans="13:14" x14ac:dyDescent="0.3">
      <c r="M129" s="11">
        <v>127</v>
      </c>
      <c r="N129" s="20">
        <v>800557.05119168828</v>
      </c>
    </row>
    <row r="130" spans="13:14" x14ac:dyDescent="0.3">
      <c r="M130" s="11">
        <v>128</v>
      </c>
      <c r="N130" s="20">
        <v>750561.35871671</v>
      </c>
    </row>
    <row r="131" spans="13:14" x14ac:dyDescent="0.3">
      <c r="M131" s="11">
        <v>129</v>
      </c>
      <c r="N131" s="20">
        <v>727316.23005004332</v>
      </c>
    </row>
    <row r="132" spans="13:14" x14ac:dyDescent="0.3">
      <c r="M132" s="11">
        <v>130</v>
      </c>
      <c r="N132" s="20">
        <v>695705.93892225111</v>
      </c>
    </row>
    <row r="133" spans="13:14" x14ac:dyDescent="0.3">
      <c r="M133" s="11">
        <v>131</v>
      </c>
      <c r="N133" s="20">
        <v>550578.41692225111</v>
      </c>
    </row>
    <row r="134" spans="13:14" x14ac:dyDescent="0.3">
      <c r="M134" s="11">
        <v>132</v>
      </c>
      <c r="N134" s="20">
        <v>695330.27108891774</v>
      </c>
    </row>
    <row r="135" spans="13:14" x14ac:dyDescent="0.3">
      <c r="M135" s="11">
        <v>133</v>
      </c>
      <c r="N135" s="20">
        <v>382284.45192225109</v>
      </c>
    </row>
    <row r="136" spans="13:14" x14ac:dyDescent="0.3">
      <c r="M136" s="11">
        <v>134</v>
      </c>
      <c r="N136" s="20">
        <v>715760.2735889178</v>
      </c>
    </row>
    <row r="137" spans="13:14" x14ac:dyDescent="0.3">
      <c r="M137" s="11">
        <v>135</v>
      </c>
      <c r="N137" s="20">
        <v>349105.35802502173</v>
      </c>
    </row>
    <row r="138" spans="13:14" x14ac:dyDescent="0.3">
      <c r="M138" s="11">
        <v>136</v>
      </c>
      <c r="N138" s="20">
        <v>1075816.153781143</v>
      </c>
    </row>
    <row r="139" spans="13:14" x14ac:dyDescent="0.3">
      <c r="M139" s="11">
        <v>137</v>
      </c>
      <c r="N139" s="20">
        <v>655094.95942225109</v>
      </c>
    </row>
    <row r="140" spans="13:14" x14ac:dyDescent="0.3">
      <c r="M140" s="11">
        <v>138</v>
      </c>
      <c r="N140" s="20">
        <v>814293.96708891774</v>
      </c>
    </row>
    <row r="141" spans="13:14" x14ac:dyDescent="0.3">
      <c r="M141" s="11">
        <v>139</v>
      </c>
      <c r="N141" s="20">
        <v>579568.65425558446</v>
      </c>
    </row>
    <row r="142" spans="13:14" x14ac:dyDescent="0.3">
      <c r="M142" s="11">
        <v>140</v>
      </c>
      <c r="N142" s="20">
        <v>584891.72588337667</v>
      </c>
    </row>
    <row r="143" spans="13:14" x14ac:dyDescent="0.3">
      <c r="M143" s="11">
        <v>141</v>
      </c>
      <c r="N143" s="20">
        <v>554082.53173002601</v>
      </c>
    </row>
    <row r="144" spans="13:14" x14ac:dyDescent="0.3">
      <c r="M144" s="11">
        <v>142</v>
      </c>
      <c r="N144" s="20">
        <v>721030.82328114286</v>
      </c>
    </row>
    <row r="145" spans="13:14" x14ac:dyDescent="0.3">
      <c r="M145" s="11">
        <v>143</v>
      </c>
      <c r="N145" s="20">
        <v>524036.30608891777</v>
      </c>
    </row>
    <row r="146" spans="13:14" x14ac:dyDescent="0.3">
      <c r="M146" s="11">
        <v>144</v>
      </c>
      <c r="N146" s="20">
        <v>798312.2177555844</v>
      </c>
    </row>
    <row r="147" spans="13:14" x14ac:dyDescent="0.3">
      <c r="M147" s="11">
        <v>145</v>
      </c>
      <c r="N147" s="20">
        <v>699442.46292225108</v>
      </c>
    </row>
    <row r="148" spans="13:14" x14ac:dyDescent="0.3">
      <c r="M148" s="11">
        <v>146</v>
      </c>
      <c r="N148" s="20">
        <v>893054.41200000001</v>
      </c>
    </row>
    <row r="149" spans="13:14" x14ac:dyDescent="0.3">
      <c r="M149" s="11">
        <v>147</v>
      </c>
      <c r="N149" s="20">
        <v>643362.41675558442</v>
      </c>
    </row>
    <row r="150" spans="13:14" x14ac:dyDescent="0.3">
      <c r="M150" s="11">
        <v>148</v>
      </c>
      <c r="N150" s="20">
        <v>377500.01823002601</v>
      </c>
    </row>
    <row r="151" spans="13:14" x14ac:dyDescent="0.3">
      <c r="M151" s="11">
        <v>149</v>
      </c>
      <c r="N151" s="20">
        <v>607065.77079445892</v>
      </c>
    </row>
    <row r="152" spans="13:14" x14ac:dyDescent="0.3">
      <c r="M152" s="11">
        <v>150</v>
      </c>
      <c r="N152" s="20">
        <v>373778.99162779225</v>
      </c>
    </row>
    <row r="153" spans="13:14" x14ac:dyDescent="0.3">
      <c r="M153" s="11">
        <v>151</v>
      </c>
      <c r="N153" s="20">
        <v>546905.76692225109</v>
      </c>
    </row>
    <row r="154" spans="13:14" x14ac:dyDescent="0.3">
      <c r="M154" s="11">
        <v>152</v>
      </c>
      <c r="N154" s="20">
        <v>666292.50275558443</v>
      </c>
    </row>
    <row r="155" spans="13:14" x14ac:dyDescent="0.3">
      <c r="M155" s="11">
        <v>153</v>
      </c>
      <c r="N155" s="20">
        <v>745586.34956335928</v>
      </c>
    </row>
    <row r="156" spans="13:14" x14ac:dyDescent="0.3">
      <c r="M156" s="11">
        <v>154</v>
      </c>
      <c r="N156" s="20">
        <v>719368.21878114284</v>
      </c>
    </row>
    <row r="157" spans="13:14" x14ac:dyDescent="0.3">
      <c r="M157" s="11">
        <v>155</v>
      </c>
      <c r="N157" s="20">
        <v>770495.20156335935</v>
      </c>
    </row>
    <row r="158" spans="13:14" x14ac:dyDescent="0.3">
      <c r="M158" s="11">
        <v>156</v>
      </c>
      <c r="N158" s="20">
        <v>715314.28389669268</v>
      </c>
    </row>
    <row r="159" spans="13:14" x14ac:dyDescent="0.3">
      <c r="M159" s="11">
        <v>157</v>
      </c>
      <c r="N159" s="20">
        <v>690990.46875558444</v>
      </c>
    </row>
    <row r="160" spans="13:14" x14ac:dyDescent="0.3">
      <c r="M160" s="11">
        <v>158</v>
      </c>
      <c r="N160" s="20">
        <v>641024.08683333336</v>
      </c>
    </row>
    <row r="161" spans="13:14" x14ac:dyDescent="0.3">
      <c r="M161" s="11">
        <v>159</v>
      </c>
      <c r="N161" s="20">
        <v>707442.37942225114</v>
      </c>
    </row>
    <row r="162" spans="13:14" x14ac:dyDescent="0.3">
      <c r="M162" s="11">
        <v>160</v>
      </c>
      <c r="N162" s="20">
        <v>623393.65528114291</v>
      </c>
    </row>
    <row r="163" spans="13:14" x14ac:dyDescent="0.3">
      <c r="M163" s="11">
        <v>161</v>
      </c>
      <c r="N163" s="20">
        <v>646530.57925558439</v>
      </c>
    </row>
    <row r="164" spans="13:14" x14ac:dyDescent="0.3">
      <c r="M164" s="11">
        <v>162</v>
      </c>
      <c r="N164" s="20">
        <v>695818.04725558439</v>
      </c>
    </row>
    <row r="165" spans="13:14" x14ac:dyDescent="0.3">
      <c r="M165" s="11">
        <v>163</v>
      </c>
      <c r="N165" s="20">
        <v>1224951.1526528136</v>
      </c>
    </row>
    <row r="166" spans="13:14" x14ac:dyDescent="0.3">
      <c r="M166" s="11">
        <v>164</v>
      </c>
      <c r="N166" s="20">
        <v>654634.12125558441</v>
      </c>
    </row>
    <row r="167" spans="13:14" x14ac:dyDescent="0.3">
      <c r="M167" s="11">
        <v>165</v>
      </c>
      <c r="N167" s="20">
        <v>586050.2058966927</v>
      </c>
    </row>
    <row r="168" spans="13:14" x14ac:dyDescent="0.3">
      <c r="M168" s="11">
        <v>166</v>
      </c>
      <c r="N168" s="20">
        <v>767794.06498614722</v>
      </c>
    </row>
    <row r="169" spans="13:14" x14ac:dyDescent="0.3">
      <c r="M169" s="11">
        <v>167</v>
      </c>
      <c r="N169" s="20">
        <v>574145.24073002604</v>
      </c>
    </row>
    <row r="170" spans="13:14" x14ac:dyDescent="0.3">
      <c r="M170" s="11">
        <v>168</v>
      </c>
      <c r="N170" s="20">
        <v>643642.68758891779</v>
      </c>
    </row>
    <row r="171" spans="13:14" x14ac:dyDescent="0.3">
      <c r="M171" s="11">
        <v>169</v>
      </c>
      <c r="N171" s="20">
        <v>640428.84078114282</v>
      </c>
    </row>
    <row r="172" spans="13:14" x14ac:dyDescent="0.3">
      <c r="M172" s="11">
        <v>170</v>
      </c>
      <c r="N172" s="20">
        <v>403275.01361447619</v>
      </c>
    </row>
    <row r="173" spans="13:14" x14ac:dyDescent="0.3">
      <c r="M173" s="11">
        <v>171</v>
      </c>
      <c r="N173" s="20">
        <v>707950.54281948053</v>
      </c>
    </row>
    <row r="174" spans="13:14" x14ac:dyDescent="0.3">
      <c r="M174" s="11">
        <v>172</v>
      </c>
      <c r="N174" s="20">
        <v>837985.76125558442</v>
      </c>
    </row>
    <row r="175" spans="13:14" x14ac:dyDescent="0.3">
      <c r="M175" s="11">
        <v>173</v>
      </c>
      <c r="N175" s="20">
        <v>694347.50719168829</v>
      </c>
    </row>
    <row r="176" spans="13:14" x14ac:dyDescent="0.3">
      <c r="M176" s="11">
        <v>174</v>
      </c>
      <c r="N176" s="20">
        <v>752122.06398614717</v>
      </c>
    </row>
    <row r="177" spans="13:14" x14ac:dyDescent="0.3">
      <c r="M177" s="11">
        <v>175</v>
      </c>
      <c r="N177" s="20">
        <v>556236.5339222512</v>
      </c>
    </row>
    <row r="178" spans="13:14" x14ac:dyDescent="0.3">
      <c r="M178" s="11">
        <v>176</v>
      </c>
      <c r="N178" s="20">
        <v>594295.23078114283</v>
      </c>
    </row>
    <row r="179" spans="13:14" x14ac:dyDescent="0.3">
      <c r="M179" s="11">
        <v>177</v>
      </c>
      <c r="N179" s="20">
        <v>690533.93792225106</v>
      </c>
    </row>
    <row r="180" spans="13:14" x14ac:dyDescent="0.3">
      <c r="M180" s="11">
        <v>178</v>
      </c>
      <c r="N180" s="20">
        <v>709480.00275558443</v>
      </c>
    </row>
    <row r="181" spans="13:14" x14ac:dyDescent="0.3">
      <c r="M181" s="11">
        <v>179</v>
      </c>
      <c r="N181" s="20">
        <v>714926.71658891777</v>
      </c>
    </row>
    <row r="182" spans="13:14" x14ac:dyDescent="0.3">
      <c r="M182" s="11">
        <v>180</v>
      </c>
      <c r="N182" s="20">
        <v>799544.76042225107</v>
      </c>
    </row>
    <row r="183" spans="13:14" x14ac:dyDescent="0.3">
      <c r="M183" s="11">
        <v>181</v>
      </c>
      <c r="N183" s="20">
        <v>535502.47292225109</v>
      </c>
    </row>
    <row r="184" spans="13:14" x14ac:dyDescent="0.3">
      <c r="M184" s="11">
        <v>182</v>
      </c>
      <c r="N184" s="20">
        <v>712872.38192225108</v>
      </c>
    </row>
    <row r="185" spans="13:14" x14ac:dyDescent="0.3">
      <c r="M185" s="11">
        <v>183</v>
      </c>
      <c r="N185" s="20">
        <v>715258.65179445886</v>
      </c>
    </row>
    <row r="186" spans="13:14" x14ac:dyDescent="0.3">
      <c r="M186" s="11">
        <v>184</v>
      </c>
      <c r="N186" s="20">
        <v>1049386.541858355</v>
      </c>
    </row>
    <row r="187" spans="13:14" x14ac:dyDescent="0.3">
      <c r="M187" s="11">
        <v>185</v>
      </c>
      <c r="N187" s="20">
        <v>385172.34358891775</v>
      </c>
    </row>
    <row r="188" spans="13:14" x14ac:dyDescent="0.3">
      <c r="M188" s="11">
        <v>186</v>
      </c>
      <c r="N188" s="20">
        <v>820538.84229445888</v>
      </c>
    </row>
    <row r="189" spans="13:14" x14ac:dyDescent="0.3">
      <c r="M189" s="11">
        <v>187</v>
      </c>
      <c r="N189" s="20">
        <v>805863.46006335935</v>
      </c>
    </row>
    <row r="190" spans="13:14" x14ac:dyDescent="0.3">
      <c r="M190" s="11">
        <v>188</v>
      </c>
      <c r="N190" s="20">
        <v>992540.36592225113</v>
      </c>
    </row>
    <row r="191" spans="13:14" x14ac:dyDescent="0.3">
      <c r="M191" s="11">
        <v>189</v>
      </c>
      <c r="N191" s="20">
        <v>756978.75865281385</v>
      </c>
    </row>
    <row r="192" spans="13:14" x14ac:dyDescent="0.3">
      <c r="M192" s="11">
        <v>190</v>
      </c>
      <c r="N192" s="20">
        <v>570691.6714611256</v>
      </c>
    </row>
    <row r="193" spans="13:14" x14ac:dyDescent="0.3">
      <c r="M193" s="11">
        <v>191</v>
      </c>
      <c r="N193" s="20">
        <v>674552.04411447619</v>
      </c>
    </row>
    <row r="194" spans="13:14" x14ac:dyDescent="0.3">
      <c r="M194" s="11">
        <v>192</v>
      </c>
      <c r="N194" s="20">
        <v>547858.03875558451</v>
      </c>
    </row>
    <row r="195" spans="13:14" x14ac:dyDescent="0.3">
      <c r="M195" s="11">
        <v>193</v>
      </c>
      <c r="N195" s="20">
        <v>757672.21794780949</v>
      </c>
    </row>
    <row r="196" spans="13:14" x14ac:dyDescent="0.3">
      <c r="M196" s="11">
        <v>194</v>
      </c>
      <c r="N196" s="20">
        <v>925250.2922811429</v>
      </c>
    </row>
    <row r="197" spans="13:14" x14ac:dyDescent="0.3">
      <c r="M197" s="11">
        <v>195</v>
      </c>
      <c r="N197" s="20">
        <v>388814.8846528139</v>
      </c>
    </row>
    <row r="198" spans="13:14" x14ac:dyDescent="0.3">
      <c r="M198" s="11">
        <v>196</v>
      </c>
      <c r="N198" s="20">
        <v>727760.2735889178</v>
      </c>
    </row>
    <row r="199" spans="13:14" x14ac:dyDescent="0.3">
      <c r="M199" s="11">
        <v>197</v>
      </c>
      <c r="N199" s="20">
        <v>1024388.7411528139</v>
      </c>
    </row>
    <row r="200" spans="13:14" x14ac:dyDescent="0.3">
      <c r="M200" s="11">
        <v>198</v>
      </c>
      <c r="N200" s="20">
        <v>818793.4625633593</v>
      </c>
    </row>
    <row r="201" spans="13:14" x14ac:dyDescent="0.3">
      <c r="M201" s="11">
        <v>199</v>
      </c>
      <c r="N201" s="20">
        <v>757495.62206335925</v>
      </c>
    </row>
    <row r="202" spans="13:14" x14ac:dyDescent="0.3">
      <c r="M202" s="11">
        <v>200</v>
      </c>
      <c r="N202" s="20">
        <v>867162.50842225109</v>
      </c>
    </row>
    <row r="203" spans="13:14" x14ac:dyDescent="0.3">
      <c r="M203" s="11">
        <v>201</v>
      </c>
      <c r="N203" s="20">
        <v>862452.50039669266</v>
      </c>
    </row>
    <row r="204" spans="13:14" x14ac:dyDescent="0.3">
      <c r="M204" s="11">
        <v>202</v>
      </c>
      <c r="N204" s="20">
        <v>752964.33992225118</v>
      </c>
    </row>
    <row r="205" spans="13:14" x14ac:dyDescent="0.3">
      <c r="M205" s="11">
        <v>203</v>
      </c>
      <c r="N205" s="20">
        <v>821513.69625558448</v>
      </c>
    </row>
    <row r="206" spans="13:14" x14ac:dyDescent="0.3">
      <c r="M206" s="11">
        <v>204</v>
      </c>
      <c r="N206" s="20">
        <v>685778.84861447616</v>
      </c>
    </row>
    <row r="207" spans="13:14" x14ac:dyDescent="0.3">
      <c r="M207" s="11">
        <v>205</v>
      </c>
      <c r="N207" s="20">
        <v>629308.08208891773</v>
      </c>
    </row>
    <row r="208" spans="13:14" x14ac:dyDescent="0.3">
      <c r="M208" s="11">
        <v>206</v>
      </c>
      <c r="N208" s="20">
        <v>726236.21885835496</v>
      </c>
    </row>
    <row r="209" spans="13:14" x14ac:dyDescent="0.3">
      <c r="M209" s="11">
        <v>207</v>
      </c>
      <c r="N209" s="20">
        <v>760148.34523056285</v>
      </c>
    </row>
    <row r="210" spans="13:14" x14ac:dyDescent="0.3">
      <c r="M210" s="11">
        <v>208</v>
      </c>
      <c r="N210" s="20">
        <v>750375.75711447618</v>
      </c>
    </row>
    <row r="211" spans="13:14" x14ac:dyDescent="0.3">
      <c r="M211" s="11">
        <v>209</v>
      </c>
      <c r="N211" s="20">
        <v>747723.78489669261</v>
      </c>
    </row>
    <row r="212" spans="13:14" x14ac:dyDescent="0.3">
      <c r="M212" s="11">
        <v>210</v>
      </c>
      <c r="N212" s="20">
        <v>657499.8394478095</v>
      </c>
    </row>
    <row r="213" spans="13:14" x14ac:dyDescent="0.3">
      <c r="M213" s="11">
        <v>211</v>
      </c>
      <c r="N213" s="20">
        <v>635750.95742225111</v>
      </c>
    </row>
    <row r="214" spans="13:14" x14ac:dyDescent="0.3">
      <c r="M214" s="11">
        <v>212</v>
      </c>
      <c r="N214" s="20">
        <v>553447.84779445885</v>
      </c>
    </row>
    <row r="215" spans="13:14" x14ac:dyDescent="0.3">
      <c r="M215" s="11">
        <v>213</v>
      </c>
      <c r="N215" s="20">
        <v>790381.37373002595</v>
      </c>
    </row>
    <row r="216" spans="13:14" x14ac:dyDescent="0.3">
      <c r="M216" s="11">
        <v>214</v>
      </c>
      <c r="N216" s="20">
        <v>734966.10775558441</v>
      </c>
    </row>
    <row r="217" spans="13:14" x14ac:dyDescent="0.3">
      <c r="M217" s="11">
        <v>215</v>
      </c>
      <c r="N217" s="20">
        <v>671847.0801277922</v>
      </c>
    </row>
    <row r="218" spans="13:14" x14ac:dyDescent="0.3">
      <c r="M218" s="11">
        <v>216</v>
      </c>
      <c r="N218" s="20">
        <v>482871.0094861472</v>
      </c>
    </row>
    <row r="219" spans="13:14" x14ac:dyDescent="0.3">
      <c r="M219" s="11">
        <v>217</v>
      </c>
      <c r="N219" s="20">
        <v>645954.04015281389</v>
      </c>
    </row>
    <row r="220" spans="13:14" x14ac:dyDescent="0.3">
      <c r="M220" s="11">
        <v>218</v>
      </c>
      <c r="N220" s="20">
        <v>695986.20975558436</v>
      </c>
    </row>
    <row r="221" spans="13:14" x14ac:dyDescent="0.3">
      <c r="M221" s="11">
        <v>219</v>
      </c>
      <c r="N221" s="20">
        <v>53652.974422251107</v>
      </c>
    </row>
    <row r="222" spans="13:14" x14ac:dyDescent="0.3">
      <c r="M222" s="11">
        <v>220</v>
      </c>
      <c r="N222" s="20">
        <v>550400.68431948056</v>
      </c>
    </row>
    <row r="223" spans="13:14" x14ac:dyDescent="0.3">
      <c r="M223" s="11">
        <v>221</v>
      </c>
      <c r="N223" s="20">
        <v>633148.89458891773</v>
      </c>
    </row>
    <row r="224" spans="13:14" x14ac:dyDescent="0.3">
      <c r="M224" s="11">
        <v>222</v>
      </c>
      <c r="N224" s="20">
        <v>770705.85858891776</v>
      </c>
    </row>
    <row r="225" spans="13:14" x14ac:dyDescent="0.3">
      <c r="M225" s="11">
        <v>223</v>
      </c>
      <c r="N225" s="20">
        <v>643078.61942225113</v>
      </c>
    </row>
    <row r="226" spans="13:14" x14ac:dyDescent="0.3">
      <c r="M226" s="11">
        <v>224</v>
      </c>
      <c r="N226" s="20">
        <v>692705.93892225111</v>
      </c>
    </row>
    <row r="227" spans="13:14" x14ac:dyDescent="0.3">
      <c r="M227" s="11">
        <v>225</v>
      </c>
      <c r="N227" s="20">
        <v>771438.07661447627</v>
      </c>
    </row>
    <row r="228" spans="13:14" x14ac:dyDescent="0.3">
      <c r="M228" s="11">
        <v>226</v>
      </c>
      <c r="N228" s="20">
        <v>1036425.3916916883</v>
      </c>
    </row>
    <row r="229" spans="13:14" x14ac:dyDescent="0.3">
      <c r="M229" s="11">
        <v>227</v>
      </c>
      <c r="N229" s="20">
        <v>754672.21794780949</v>
      </c>
    </row>
    <row r="230" spans="13:14" x14ac:dyDescent="0.3">
      <c r="M230" s="11">
        <v>228</v>
      </c>
      <c r="N230" s="20">
        <v>786097.58875558444</v>
      </c>
    </row>
    <row r="231" spans="13:14" x14ac:dyDescent="0.3">
      <c r="M231" s="11">
        <v>229</v>
      </c>
      <c r="N231" s="20">
        <v>751367.62311393942</v>
      </c>
    </row>
    <row r="232" spans="13:14" x14ac:dyDescent="0.3">
      <c r="M232" s="11">
        <v>230</v>
      </c>
      <c r="N232" s="20">
        <v>689337.44412779226</v>
      </c>
    </row>
    <row r="233" spans="13:14" x14ac:dyDescent="0.3">
      <c r="M233" s="11">
        <v>231</v>
      </c>
      <c r="N233" s="20">
        <v>856059.51375558448</v>
      </c>
    </row>
    <row r="234" spans="13:14" x14ac:dyDescent="0.3">
      <c r="M234" s="11">
        <v>232</v>
      </c>
      <c r="N234" s="20">
        <v>736190.27608891774</v>
      </c>
    </row>
    <row r="235" spans="13:14" x14ac:dyDescent="0.3">
      <c r="M235" s="11">
        <v>233</v>
      </c>
      <c r="N235" s="20">
        <v>234249.46121670995</v>
      </c>
    </row>
    <row r="236" spans="13:14" x14ac:dyDescent="0.3">
      <c r="M236" s="11">
        <v>234</v>
      </c>
      <c r="N236" s="20">
        <v>517186.03775558446</v>
      </c>
    </row>
    <row r="237" spans="13:14" x14ac:dyDescent="0.3">
      <c r="M237" s="11">
        <v>235</v>
      </c>
      <c r="N237" s="20">
        <v>731528.65519168833</v>
      </c>
    </row>
    <row r="238" spans="13:14" x14ac:dyDescent="0.3">
      <c r="M238" s="11">
        <v>236</v>
      </c>
      <c r="N238" s="20">
        <v>807222.03500000003</v>
      </c>
    </row>
    <row r="239" spans="13:14" x14ac:dyDescent="0.3">
      <c r="M239" s="11">
        <v>237</v>
      </c>
      <c r="N239" s="20">
        <v>721212.5454222511</v>
      </c>
    </row>
    <row r="240" spans="13:14" x14ac:dyDescent="0.3">
      <c r="M240" s="11">
        <v>238</v>
      </c>
      <c r="N240" s="20">
        <v>542578.36858891777</v>
      </c>
    </row>
    <row r="241" spans="13:14" x14ac:dyDescent="0.3">
      <c r="M241" s="11">
        <v>239</v>
      </c>
      <c r="N241" s="20">
        <v>712760.2735889178</v>
      </c>
    </row>
    <row r="242" spans="13:14" x14ac:dyDescent="0.3">
      <c r="M242" s="11">
        <v>240</v>
      </c>
      <c r="N242" s="20">
        <v>918301.8592300259</v>
      </c>
    </row>
    <row r="243" spans="13:14" x14ac:dyDescent="0.3">
      <c r="M243" s="11">
        <v>241</v>
      </c>
      <c r="N243" s="20">
        <v>799561.40685835504</v>
      </c>
    </row>
    <row r="244" spans="13:14" x14ac:dyDescent="0.3">
      <c r="M244" s="11">
        <v>242</v>
      </c>
      <c r="N244" s="20">
        <v>1168097.1437167099</v>
      </c>
    </row>
    <row r="245" spans="13:14" x14ac:dyDescent="0.3">
      <c r="M245" s="11">
        <v>243</v>
      </c>
      <c r="N245" s="20">
        <v>790166.29381948058</v>
      </c>
    </row>
    <row r="246" spans="13:14" x14ac:dyDescent="0.3">
      <c r="M246" s="11">
        <v>244</v>
      </c>
      <c r="N246" s="20">
        <v>718484.44192225114</v>
      </c>
    </row>
    <row r="247" spans="13:14" x14ac:dyDescent="0.3">
      <c r="M247" s="11">
        <v>245</v>
      </c>
      <c r="N247" s="20">
        <v>704377.61556335934</v>
      </c>
    </row>
    <row r="248" spans="13:14" x14ac:dyDescent="0.3">
      <c r="M248" s="11">
        <v>246</v>
      </c>
      <c r="N248" s="20">
        <v>764555.96331948054</v>
      </c>
    </row>
    <row r="249" spans="13:14" x14ac:dyDescent="0.3">
      <c r="M249" s="11">
        <v>247</v>
      </c>
      <c r="N249" s="20">
        <v>764292.00356335938</v>
      </c>
    </row>
    <row r="250" spans="13:14" x14ac:dyDescent="0.3">
      <c r="M250" s="11">
        <v>248</v>
      </c>
      <c r="N250" s="20">
        <v>586960.42623002606</v>
      </c>
    </row>
    <row r="251" spans="13:14" x14ac:dyDescent="0.3">
      <c r="M251" s="11">
        <v>249</v>
      </c>
      <c r="N251" s="20">
        <v>715009.65525558451</v>
      </c>
    </row>
    <row r="252" spans="13:14" x14ac:dyDescent="0.3">
      <c r="M252" s="11">
        <v>250</v>
      </c>
      <c r="N252" s="20">
        <v>782489.64356335928</v>
      </c>
    </row>
    <row r="253" spans="13:14" x14ac:dyDescent="0.3">
      <c r="M253" s="11">
        <v>251</v>
      </c>
      <c r="N253" s="20">
        <v>553736.75085835496</v>
      </c>
    </row>
    <row r="254" spans="13:14" x14ac:dyDescent="0.3">
      <c r="M254" s="11">
        <v>252</v>
      </c>
      <c r="N254" s="20">
        <v>909996.46492225106</v>
      </c>
    </row>
    <row r="255" spans="13:14" x14ac:dyDescent="0.3">
      <c r="M255" s="11">
        <v>253</v>
      </c>
      <c r="N255" s="20">
        <v>715760.2735889178</v>
      </c>
    </row>
    <row r="256" spans="13:14" x14ac:dyDescent="0.3">
      <c r="M256" s="11">
        <v>254</v>
      </c>
      <c r="N256" s="20">
        <v>728432.27458891773</v>
      </c>
    </row>
    <row r="257" spans="13:14" x14ac:dyDescent="0.3">
      <c r="M257" s="11">
        <v>255</v>
      </c>
      <c r="N257" s="20">
        <v>730538.50056335935</v>
      </c>
    </row>
    <row r="258" spans="13:14" x14ac:dyDescent="0.3">
      <c r="M258" s="11">
        <v>256</v>
      </c>
      <c r="N258" s="20">
        <v>1167782.1635889176</v>
      </c>
    </row>
    <row r="259" spans="13:14" x14ac:dyDescent="0.3">
      <c r="M259" s="11">
        <v>257</v>
      </c>
      <c r="N259" s="20">
        <v>791143.73089669272</v>
      </c>
    </row>
    <row r="260" spans="13:14" x14ac:dyDescent="0.3">
      <c r="M260" s="11">
        <v>258</v>
      </c>
      <c r="N260" s="20">
        <v>575823.30365281389</v>
      </c>
    </row>
    <row r="261" spans="13:14" x14ac:dyDescent="0.3">
      <c r="M261" s="11">
        <v>259</v>
      </c>
      <c r="N261" s="20">
        <v>764868.28967783554</v>
      </c>
    </row>
    <row r="262" spans="13:14" x14ac:dyDescent="0.3">
      <c r="M262" s="11">
        <v>260</v>
      </c>
      <c r="N262" s="20">
        <v>638548.49292225111</v>
      </c>
    </row>
    <row r="263" spans="13:14" x14ac:dyDescent="0.3">
      <c r="M263" s="11">
        <v>261</v>
      </c>
      <c r="N263" s="20">
        <v>508442.25589669269</v>
      </c>
    </row>
    <row r="264" spans="13:14" x14ac:dyDescent="0.3">
      <c r="M264" s="11">
        <v>262</v>
      </c>
      <c r="N264" s="20">
        <v>711976.16425558447</v>
      </c>
    </row>
    <row r="265" spans="13:14" x14ac:dyDescent="0.3">
      <c r="M265" s="11">
        <v>263</v>
      </c>
      <c r="N265" s="20">
        <v>916526.02756335924</v>
      </c>
    </row>
    <row r="266" spans="13:14" x14ac:dyDescent="0.3">
      <c r="M266" s="11">
        <v>264</v>
      </c>
      <c r="N266" s="20">
        <v>712760.2735889178</v>
      </c>
    </row>
    <row r="267" spans="13:14" x14ac:dyDescent="0.3">
      <c r="M267" s="11">
        <v>265</v>
      </c>
      <c r="N267" s="20">
        <v>715999.47228060605</v>
      </c>
    </row>
    <row r="268" spans="13:14" x14ac:dyDescent="0.3">
      <c r="M268" s="11">
        <v>266</v>
      </c>
      <c r="N268" s="20">
        <v>732090.71594780951</v>
      </c>
    </row>
    <row r="269" spans="13:14" x14ac:dyDescent="0.3">
      <c r="M269" s="11">
        <v>267</v>
      </c>
      <c r="N269" s="20">
        <v>729814.60825558449</v>
      </c>
    </row>
    <row r="270" spans="13:14" x14ac:dyDescent="0.3">
      <c r="M270" s="11">
        <v>268</v>
      </c>
      <c r="N270" s="20">
        <v>985825.91192225111</v>
      </c>
    </row>
    <row r="271" spans="13:14" x14ac:dyDescent="0.3">
      <c r="M271" s="11">
        <v>269</v>
      </c>
      <c r="N271" s="20">
        <v>737535.08412779216</v>
      </c>
    </row>
    <row r="272" spans="13:14" x14ac:dyDescent="0.3">
      <c r="M272" s="11">
        <v>270</v>
      </c>
      <c r="N272" s="20">
        <v>801798.13019168831</v>
      </c>
    </row>
    <row r="273" spans="13:14" x14ac:dyDescent="0.3">
      <c r="M273" s="11">
        <v>271</v>
      </c>
      <c r="N273" s="20">
        <v>60578.855588917795</v>
      </c>
    </row>
    <row r="274" spans="13:14" x14ac:dyDescent="0.3">
      <c r="M274" s="11">
        <v>272</v>
      </c>
      <c r="N274" s="20">
        <v>402490.23775558441</v>
      </c>
    </row>
    <row r="275" spans="13:14" x14ac:dyDescent="0.3">
      <c r="M275" s="11">
        <v>273</v>
      </c>
      <c r="N275" s="20">
        <v>898608.24889669265</v>
      </c>
    </row>
    <row r="276" spans="13:14" x14ac:dyDescent="0.3">
      <c r="M276" s="11">
        <v>274</v>
      </c>
      <c r="N276" s="20">
        <v>645352.42634450225</v>
      </c>
    </row>
    <row r="277" spans="13:14" x14ac:dyDescent="0.3">
      <c r="M277" s="11">
        <v>275</v>
      </c>
      <c r="N277" s="20">
        <v>687706.2632811428</v>
      </c>
    </row>
    <row r="278" spans="13:14" x14ac:dyDescent="0.3">
      <c r="M278" s="11">
        <v>276</v>
      </c>
      <c r="N278" s="20">
        <v>1370655.8627555845</v>
      </c>
    </row>
    <row r="279" spans="13:14" x14ac:dyDescent="0.3">
      <c r="M279" s="11">
        <v>277</v>
      </c>
      <c r="N279" s="20">
        <v>717553.29302502167</v>
      </c>
    </row>
    <row r="280" spans="13:14" x14ac:dyDescent="0.3">
      <c r="M280" s="11">
        <v>278</v>
      </c>
      <c r="N280" s="20">
        <v>1059902.8626144761</v>
      </c>
    </row>
    <row r="281" spans="13:14" x14ac:dyDescent="0.3">
      <c r="M281" s="11">
        <v>279</v>
      </c>
      <c r="N281" s="20">
        <v>769774.17496112548</v>
      </c>
    </row>
    <row r="282" spans="13:14" x14ac:dyDescent="0.3">
      <c r="M282" s="11">
        <v>280</v>
      </c>
      <c r="N282" s="20">
        <v>645801.87508891779</v>
      </c>
    </row>
    <row r="283" spans="13:14" x14ac:dyDescent="0.3">
      <c r="M283" s="11">
        <v>281</v>
      </c>
      <c r="N283" s="20">
        <v>214380.00038337661</v>
      </c>
    </row>
    <row r="284" spans="13:14" x14ac:dyDescent="0.3">
      <c r="M284" s="11">
        <v>282</v>
      </c>
      <c r="N284" s="20">
        <v>897330.44898614718</v>
      </c>
    </row>
    <row r="285" spans="13:14" x14ac:dyDescent="0.3">
      <c r="M285" s="11">
        <v>283</v>
      </c>
      <c r="N285" s="20">
        <v>643892.15275558445</v>
      </c>
    </row>
    <row r="286" spans="13:14" x14ac:dyDescent="0.3">
      <c r="M286" s="11">
        <v>284</v>
      </c>
      <c r="N286" s="20">
        <v>652701.60746112559</v>
      </c>
    </row>
    <row r="287" spans="13:14" x14ac:dyDescent="0.3">
      <c r="M287" s="11">
        <v>285</v>
      </c>
      <c r="N287" s="20">
        <v>522226.57531948056</v>
      </c>
    </row>
    <row r="288" spans="13:14" x14ac:dyDescent="0.3">
      <c r="M288" s="11">
        <v>286</v>
      </c>
      <c r="N288" s="20">
        <v>534291.61473002611</v>
      </c>
    </row>
    <row r="289" spans="13:14" x14ac:dyDescent="0.3">
      <c r="M289" s="11">
        <v>287</v>
      </c>
      <c r="N289" s="20">
        <v>703597.66908891778</v>
      </c>
    </row>
    <row r="290" spans="13:14" x14ac:dyDescent="0.3">
      <c r="M290" s="11">
        <v>288</v>
      </c>
      <c r="N290" s="20">
        <v>524036.30608891777</v>
      </c>
    </row>
    <row r="291" spans="13:14" x14ac:dyDescent="0.3">
      <c r="M291" s="11">
        <v>289</v>
      </c>
      <c r="N291" s="20">
        <v>458652.55438337661</v>
      </c>
    </row>
    <row r="292" spans="13:14" x14ac:dyDescent="0.3">
      <c r="M292" s="11">
        <v>290</v>
      </c>
      <c r="N292" s="20">
        <v>527648.09006335936</v>
      </c>
    </row>
    <row r="293" spans="13:14" x14ac:dyDescent="0.3">
      <c r="M293" s="11">
        <v>291</v>
      </c>
      <c r="N293" s="20">
        <v>575956.85275558452</v>
      </c>
    </row>
    <row r="294" spans="13:14" x14ac:dyDescent="0.3">
      <c r="M294" s="11">
        <v>292</v>
      </c>
      <c r="N294" s="20">
        <v>729180.28567783558</v>
      </c>
    </row>
    <row r="295" spans="13:14" x14ac:dyDescent="0.3">
      <c r="M295" s="11">
        <v>293</v>
      </c>
      <c r="N295" s="20">
        <v>730598.71758891782</v>
      </c>
    </row>
    <row r="296" spans="13:14" x14ac:dyDescent="0.3">
      <c r="M296" s="11">
        <v>294</v>
      </c>
      <c r="N296" s="20">
        <v>533743.48706335935</v>
      </c>
    </row>
    <row r="297" spans="13:14" x14ac:dyDescent="0.3">
      <c r="M297" s="11">
        <v>295</v>
      </c>
      <c r="N297" s="20">
        <v>732400.7130250216</v>
      </c>
    </row>
    <row r="298" spans="13:14" x14ac:dyDescent="0.3">
      <c r="M298" s="11">
        <v>296</v>
      </c>
      <c r="N298" s="20">
        <v>896414.24358891777</v>
      </c>
    </row>
    <row r="299" spans="13:14" x14ac:dyDescent="0.3">
      <c r="M299" s="11">
        <v>297</v>
      </c>
      <c r="N299" s="20">
        <v>758344.86794780951</v>
      </c>
    </row>
    <row r="300" spans="13:14" x14ac:dyDescent="0.3">
      <c r="M300" s="11">
        <v>298</v>
      </c>
      <c r="N300" s="20">
        <v>774524.98585835495</v>
      </c>
    </row>
    <row r="301" spans="13:14" x14ac:dyDescent="0.3">
      <c r="M301" s="11">
        <v>299</v>
      </c>
      <c r="N301" s="20">
        <v>545198.68861447624</v>
      </c>
    </row>
    <row r="302" spans="13:14" x14ac:dyDescent="0.3">
      <c r="M302" s="11">
        <v>300</v>
      </c>
      <c r="N302" s="20">
        <v>720820.16625558445</v>
      </c>
    </row>
    <row r="303" spans="13:14" x14ac:dyDescent="0.3">
      <c r="M303" s="11">
        <v>301</v>
      </c>
      <c r="N303" s="20">
        <v>381199.11794780957</v>
      </c>
    </row>
    <row r="304" spans="13:14" x14ac:dyDescent="0.3">
      <c r="M304" s="11">
        <v>302</v>
      </c>
      <c r="N304" s="20">
        <v>860388.11994780949</v>
      </c>
    </row>
    <row r="305" spans="13:14" x14ac:dyDescent="0.3">
      <c r="M305" s="11">
        <v>303</v>
      </c>
      <c r="N305" s="20">
        <v>725802.38442225114</v>
      </c>
    </row>
    <row r="306" spans="13:14" x14ac:dyDescent="0.3">
      <c r="M306" s="11">
        <v>304</v>
      </c>
      <c r="N306" s="20">
        <v>654579.18251116888</v>
      </c>
    </row>
    <row r="307" spans="13:14" x14ac:dyDescent="0.3">
      <c r="M307" s="11">
        <v>305</v>
      </c>
      <c r="N307" s="20">
        <v>830888.9419861472</v>
      </c>
    </row>
    <row r="308" spans="13:14" x14ac:dyDescent="0.3">
      <c r="M308" s="11">
        <v>306</v>
      </c>
      <c r="N308" s="20">
        <v>664196.69789669267</v>
      </c>
    </row>
    <row r="309" spans="13:14" x14ac:dyDescent="0.3">
      <c r="M309" s="11">
        <v>307</v>
      </c>
      <c r="N309" s="20">
        <v>776695.75375558448</v>
      </c>
    </row>
    <row r="310" spans="13:14" x14ac:dyDescent="0.3">
      <c r="M310" s="11">
        <v>308</v>
      </c>
      <c r="N310" s="20">
        <v>655052.70355004328</v>
      </c>
    </row>
    <row r="311" spans="13:14" x14ac:dyDescent="0.3">
      <c r="M311" s="11">
        <v>309</v>
      </c>
      <c r="N311" s="20">
        <v>603887.56955004332</v>
      </c>
    </row>
    <row r="312" spans="13:14" x14ac:dyDescent="0.3">
      <c r="M312" s="11">
        <v>310</v>
      </c>
      <c r="N312" s="20">
        <v>958149.39165281388</v>
      </c>
    </row>
    <row r="313" spans="13:14" x14ac:dyDescent="0.3">
      <c r="M313" s="11">
        <v>311</v>
      </c>
      <c r="N313" s="20">
        <v>706117.73252502165</v>
      </c>
    </row>
    <row r="314" spans="13:14" x14ac:dyDescent="0.3">
      <c r="M314" s="11">
        <v>312</v>
      </c>
      <c r="N314" s="20">
        <v>752508.21858891775</v>
      </c>
    </row>
    <row r="315" spans="13:14" x14ac:dyDescent="0.3">
      <c r="M315" s="11">
        <v>313</v>
      </c>
      <c r="N315" s="20">
        <v>701529.35271670995</v>
      </c>
    </row>
    <row r="316" spans="13:14" x14ac:dyDescent="0.3">
      <c r="M316" s="11">
        <v>314</v>
      </c>
      <c r="N316" s="20">
        <v>748865.6775250216</v>
      </c>
    </row>
    <row r="317" spans="13:14" x14ac:dyDescent="0.3">
      <c r="M317" s="11">
        <v>315</v>
      </c>
      <c r="N317" s="20">
        <v>729044.05856335931</v>
      </c>
    </row>
    <row r="318" spans="13:14" x14ac:dyDescent="0.3">
      <c r="M318" s="11">
        <v>316</v>
      </c>
      <c r="N318" s="20">
        <v>729814.60825558449</v>
      </c>
    </row>
    <row r="319" spans="13:14" x14ac:dyDescent="0.3">
      <c r="M319" s="11">
        <v>317</v>
      </c>
      <c r="N319" s="20">
        <v>593726.90473002591</v>
      </c>
    </row>
    <row r="320" spans="13:14" x14ac:dyDescent="0.3">
      <c r="M320" s="11">
        <v>318</v>
      </c>
      <c r="N320" s="20">
        <v>538752.78642225114</v>
      </c>
    </row>
    <row r="321" spans="13:14" x14ac:dyDescent="0.3">
      <c r="M321" s="11">
        <v>319</v>
      </c>
      <c r="N321" s="20">
        <v>689032.15252502169</v>
      </c>
    </row>
    <row r="322" spans="13:14" x14ac:dyDescent="0.3">
      <c r="M322" s="11">
        <v>320</v>
      </c>
      <c r="N322" s="20">
        <v>713320.81525558443</v>
      </c>
    </row>
    <row r="323" spans="13:14" x14ac:dyDescent="0.3">
      <c r="M323" s="11">
        <v>321</v>
      </c>
      <c r="N323" s="20">
        <v>667599.33265281387</v>
      </c>
    </row>
    <row r="324" spans="13:14" x14ac:dyDescent="0.3">
      <c r="M324" s="11">
        <v>322</v>
      </c>
      <c r="N324" s="20">
        <v>890800.46428060601</v>
      </c>
    </row>
    <row r="325" spans="13:14" x14ac:dyDescent="0.3">
      <c r="M325" s="11">
        <v>323</v>
      </c>
      <c r="N325" s="20">
        <v>734552.60565281392</v>
      </c>
    </row>
    <row r="326" spans="13:14" x14ac:dyDescent="0.3">
      <c r="M326" s="11">
        <v>324</v>
      </c>
      <c r="N326" s="20">
        <v>696747.62269168836</v>
      </c>
    </row>
    <row r="327" spans="13:14" x14ac:dyDescent="0.3">
      <c r="M327" s="11">
        <v>325</v>
      </c>
      <c r="N327" s="20">
        <v>718730.8136528139</v>
      </c>
    </row>
    <row r="328" spans="13:14" x14ac:dyDescent="0.3">
      <c r="M328" s="11">
        <v>326</v>
      </c>
      <c r="N328" s="20">
        <v>631863.16346112546</v>
      </c>
    </row>
    <row r="329" spans="13:14" x14ac:dyDescent="0.3">
      <c r="M329" s="11">
        <v>327</v>
      </c>
      <c r="N329" s="20">
        <v>1208959.7867300259</v>
      </c>
    </row>
    <row r="330" spans="13:14" x14ac:dyDescent="0.3">
      <c r="M330" s="11">
        <v>328</v>
      </c>
      <c r="N330" s="20">
        <v>1208642.1685889177</v>
      </c>
    </row>
    <row r="331" spans="13:14" x14ac:dyDescent="0.3">
      <c r="M331" s="11">
        <v>329</v>
      </c>
      <c r="N331" s="20">
        <v>740086.36192225106</v>
      </c>
    </row>
    <row r="332" spans="13:14" x14ac:dyDescent="0.3">
      <c r="M332" s="11">
        <v>330</v>
      </c>
      <c r="N332" s="20">
        <v>730306.07873002603</v>
      </c>
    </row>
    <row r="333" spans="13:14" x14ac:dyDescent="0.3">
      <c r="M333" s="11">
        <v>331</v>
      </c>
      <c r="N333" s="20">
        <v>929308.12512779224</v>
      </c>
    </row>
    <row r="334" spans="13:14" x14ac:dyDescent="0.3">
      <c r="M334" s="11">
        <v>332</v>
      </c>
      <c r="N334" s="20">
        <v>713320.81525558443</v>
      </c>
    </row>
    <row r="335" spans="13:14" x14ac:dyDescent="0.3">
      <c r="M335" s="11">
        <v>333</v>
      </c>
      <c r="N335" s="20">
        <v>362036.50692225108</v>
      </c>
    </row>
    <row r="336" spans="13:14" x14ac:dyDescent="0.3">
      <c r="M336" s="11">
        <v>334</v>
      </c>
      <c r="N336" s="20">
        <v>523682.52361447626</v>
      </c>
    </row>
    <row r="337" spans="13:14" x14ac:dyDescent="0.3">
      <c r="M337" s="11">
        <v>335</v>
      </c>
      <c r="N337" s="20">
        <v>700432.69508891774</v>
      </c>
    </row>
    <row r="338" spans="13:14" x14ac:dyDescent="0.3">
      <c r="M338" s="11">
        <v>336</v>
      </c>
      <c r="N338" s="20">
        <v>549579.38971670996</v>
      </c>
    </row>
    <row r="339" spans="13:14" x14ac:dyDescent="0.3">
      <c r="M339" s="11">
        <v>337</v>
      </c>
      <c r="N339" s="20">
        <v>840569.90142225102</v>
      </c>
    </row>
    <row r="340" spans="13:14" x14ac:dyDescent="0.3">
      <c r="M340" s="11">
        <v>338</v>
      </c>
      <c r="N340" s="20">
        <v>738577.89173002599</v>
      </c>
    </row>
    <row r="341" spans="13:14" x14ac:dyDescent="0.3">
      <c r="M341" s="11">
        <v>339</v>
      </c>
      <c r="N341" s="20">
        <v>704588.27258891775</v>
      </c>
    </row>
    <row r="342" spans="13:14" x14ac:dyDescent="0.3">
      <c r="M342" s="11">
        <v>340</v>
      </c>
      <c r="N342" s="20">
        <v>732690.00006335927</v>
      </c>
    </row>
    <row r="343" spans="13:14" x14ac:dyDescent="0.3">
      <c r="M343" s="11">
        <v>341</v>
      </c>
      <c r="N343" s="20">
        <v>732526.1448966926</v>
      </c>
    </row>
    <row r="344" spans="13:14" x14ac:dyDescent="0.3">
      <c r="M344" s="11">
        <v>342</v>
      </c>
      <c r="N344" s="20">
        <v>752449.29871670995</v>
      </c>
    </row>
    <row r="345" spans="13:14" x14ac:dyDescent="0.3">
      <c r="M345" s="11">
        <v>343</v>
      </c>
      <c r="N345" s="20">
        <v>761618.88529445883</v>
      </c>
    </row>
    <row r="346" spans="13:14" x14ac:dyDescent="0.3">
      <c r="M346" s="11">
        <v>344</v>
      </c>
      <c r="N346" s="20">
        <v>840055.99961447623</v>
      </c>
    </row>
    <row r="347" spans="13:14" x14ac:dyDescent="0.3">
      <c r="M347" s="11">
        <v>345</v>
      </c>
      <c r="N347" s="20">
        <v>198939.07673002596</v>
      </c>
    </row>
    <row r="348" spans="13:14" x14ac:dyDescent="0.3">
      <c r="M348" s="11">
        <v>346</v>
      </c>
      <c r="N348" s="20">
        <v>533568.3714222511</v>
      </c>
    </row>
    <row r="349" spans="13:14" x14ac:dyDescent="0.3">
      <c r="M349" s="11">
        <v>347</v>
      </c>
      <c r="N349" s="20">
        <v>638529.60646112554</v>
      </c>
    </row>
    <row r="350" spans="13:14" x14ac:dyDescent="0.3">
      <c r="M350" s="11">
        <v>348</v>
      </c>
      <c r="N350" s="20">
        <v>919440.88615281379</v>
      </c>
    </row>
    <row r="351" spans="13:14" x14ac:dyDescent="0.3">
      <c r="M351" s="11">
        <v>349</v>
      </c>
      <c r="N351" s="20">
        <v>594305.38998614717</v>
      </c>
    </row>
    <row r="352" spans="13:14" x14ac:dyDescent="0.3">
      <c r="M352" s="11">
        <v>350</v>
      </c>
      <c r="N352" s="20">
        <v>206354.4766528139</v>
      </c>
    </row>
    <row r="353" spans="13:14" x14ac:dyDescent="0.3">
      <c r="M353" s="11">
        <v>351</v>
      </c>
      <c r="N353" s="20">
        <v>760836.07311447617</v>
      </c>
    </row>
    <row r="354" spans="13:14" x14ac:dyDescent="0.3">
      <c r="M354" s="11">
        <v>352</v>
      </c>
      <c r="N354" s="20">
        <v>545936.84865281393</v>
      </c>
    </row>
    <row r="355" spans="13:14" x14ac:dyDescent="0.3">
      <c r="M355" s="11">
        <v>353</v>
      </c>
      <c r="N355" s="20">
        <v>700294.31873056269</v>
      </c>
    </row>
    <row r="356" spans="13:14" x14ac:dyDescent="0.3">
      <c r="M356" s="11">
        <v>354</v>
      </c>
      <c r="N356" s="20">
        <v>769123.21019168827</v>
      </c>
    </row>
    <row r="357" spans="13:14" x14ac:dyDescent="0.3">
      <c r="M357" s="11">
        <v>355</v>
      </c>
      <c r="N357" s="20">
        <v>541382.36794727272</v>
      </c>
    </row>
    <row r="358" spans="13:14" x14ac:dyDescent="0.3">
      <c r="M358" s="11">
        <v>356</v>
      </c>
      <c r="N358" s="20">
        <v>776054.44579445885</v>
      </c>
    </row>
    <row r="359" spans="13:14" x14ac:dyDescent="0.3">
      <c r="M359" s="11">
        <v>357</v>
      </c>
      <c r="N359" s="20">
        <v>695610.54192225111</v>
      </c>
    </row>
    <row r="360" spans="13:14" x14ac:dyDescent="0.3">
      <c r="M360" s="11">
        <v>358</v>
      </c>
      <c r="N360" s="20">
        <v>668543.23015281383</v>
      </c>
    </row>
    <row r="361" spans="13:14" x14ac:dyDescent="0.3">
      <c r="M361" s="11">
        <v>359</v>
      </c>
      <c r="N361" s="20">
        <v>906866.25011447619</v>
      </c>
    </row>
    <row r="362" spans="13:14" x14ac:dyDescent="0.3">
      <c r="M362" s="11">
        <v>360</v>
      </c>
      <c r="N362" s="20">
        <v>642694.11006335937</v>
      </c>
    </row>
    <row r="363" spans="13:14" x14ac:dyDescent="0.3">
      <c r="M363" s="11">
        <v>361</v>
      </c>
      <c r="N363" s="20">
        <v>733190.27608891774</v>
      </c>
    </row>
    <row r="364" spans="13:14" x14ac:dyDescent="0.3">
      <c r="M364" s="11">
        <v>362</v>
      </c>
      <c r="N364" s="20">
        <v>901324.78828114283</v>
      </c>
    </row>
    <row r="365" spans="13:14" x14ac:dyDescent="0.3">
      <c r="M365" s="11">
        <v>363</v>
      </c>
      <c r="N365" s="20">
        <v>716372.05756335938</v>
      </c>
    </row>
    <row r="366" spans="13:14" x14ac:dyDescent="0.3">
      <c r="M366" s="11">
        <v>364</v>
      </c>
      <c r="N366" s="20">
        <v>1064338.7477555845</v>
      </c>
    </row>
    <row r="367" spans="13:14" x14ac:dyDescent="0.3">
      <c r="M367" s="11">
        <v>365</v>
      </c>
      <c r="N367" s="20">
        <v>677743.71829445893</v>
      </c>
    </row>
    <row r="368" spans="13:14" x14ac:dyDescent="0.3">
      <c r="M368" s="11">
        <v>366</v>
      </c>
      <c r="N368" s="20">
        <v>770062.82928114291</v>
      </c>
    </row>
    <row r="369" spans="13:14" x14ac:dyDescent="0.3">
      <c r="M369" s="11">
        <v>367</v>
      </c>
      <c r="N369" s="20">
        <v>779489.64356335928</v>
      </c>
    </row>
    <row r="370" spans="13:14" x14ac:dyDescent="0.3">
      <c r="M370" s="11">
        <v>368</v>
      </c>
      <c r="N370" s="20">
        <v>650918.6027555844</v>
      </c>
    </row>
    <row r="371" spans="13:14" x14ac:dyDescent="0.3">
      <c r="M371" s="11">
        <v>369</v>
      </c>
      <c r="N371" s="20">
        <v>805480.05561447621</v>
      </c>
    </row>
    <row r="372" spans="13:14" x14ac:dyDescent="0.3">
      <c r="M372" s="11">
        <v>370</v>
      </c>
      <c r="N372" s="20">
        <v>703117.73252502165</v>
      </c>
    </row>
    <row r="373" spans="13:14" x14ac:dyDescent="0.3">
      <c r="M373" s="11">
        <v>371</v>
      </c>
      <c r="N373" s="20">
        <v>739784.32628114289</v>
      </c>
    </row>
    <row r="374" spans="13:14" x14ac:dyDescent="0.3">
      <c r="M374" s="11">
        <v>372</v>
      </c>
      <c r="N374" s="20">
        <v>388214.13006335933</v>
      </c>
    </row>
    <row r="375" spans="13:14" x14ac:dyDescent="0.3">
      <c r="M375" s="11">
        <v>373</v>
      </c>
      <c r="N375" s="20">
        <v>712648.81425558438</v>
      </c>
    </row>
    <row r="376" spans="13:14" x14ac:dyDescent="0.3">
      <c r="M376" s="11">
        <v>374</v>
      </c>
      <c r="N376" s="20">
        <v>800971.58542225114</v>
      </c>
    </row>
    <row r="377" spans="13:14" x14ac:dyDescent="0.3">
      <c r="M377" s="11">
        <v>375</v>
      </c>
      <c r="N377" s="20">
        <v>885381.91323002591</v>
      </c>
    </row>
    <row r="378" spans="13:14" x14ac:dyDescent="0.3">
      <c r="M378" s="11">
        <v>376</v>
      </c>
      <c r="N378" s="20">
        <v>672512.65294780955</v>
      </c>
    </row>
    <row r="379" spans="13:14" x14ac:dyDescent="0.3">
      <c r="M379" s="11">
        <v>377</v>
      </c>
      <c r="N379" s="20">
        <v>390456.45292225108</v>
      </c>
    </row>
    <row r="380" spans="13:14" x14ac:dyDescent="0.3">
      <c r="M380" s="11">
        <v>378</v>
      </c>
      <c r="N380" s="20">
        <v>721101.0860889178</v>
      </c>
    </row>
    <row r="381" spans="13:14" x14ac:dyDescent="0.3">
      <c r="M381" s="11">
        <v>379</v>
      </c>
      <c r="N381" s="20">
        <v>770425.58775558439</v>
      </c>
    </row>
    <row r="382" spans="13:14" x14ac:dyDescent="0.3">
      <c r="M382" s="11">
        <v>380</v>
      </c>
      <c r="N382" s="20">
        <v>713040.54442225106</v>
      </c>
    </row>
    <row r="383" spans="13:14" x14ac:dyDescent="0.3">
      <c r="M383" s="11">
        <v>381</v>
      </c>
      <c r="N383" s="20">
        <v>964855.37185835501</v>
      </c>
    </row>
    <row r="384" spans="13:14" x14ac:dyDescent="0.3">
      <c r="M384" s="11">
        <v>382</v>
      </c>
      <c r="N384" s="20">
        <v>546312.51648614719</v>
      </c>
    </row>
    <row r="385" spans="13:14" x14ac:dyDescent="0.3">
      <c r="M385" s="11">
        <v>383</v>
      </c>
      <c r="N385" s="20">
        <v>752484.49006389617</v>
      </c>
    </row>
    <row r="386" spans="13:14" x14ac:dyDescent="0.3">
      <c r="M386" s="11">
        <v>384</v>
      </c>
      <c r="N386" s="20">
        <v>884382.56194780953</v>
      </c>
    </row>
    <row r="387" spans="13:14" x14ac:dyDescent="0.3">
      <c r="M387" s="11">
        <v>385</v>
      </c>
      <c r="N387" s="20">
        <v>743544.38292225113</v>
      </c>
    </row>
    <row r="388" spans="13:14" x14ac:dyDescent="0.3">
      <c r="M388" s="11">
        <v>386</v>
      </c>
      <c r="N388" s="20">
        <v>883167.3197167099</v>
      </c>
    </row>
    <row r="389" spans="13:14" x14ac:dyDescent="0.3">
      <c r="M389" s="11">
        <v>387</v>
      </c>
      <c r="N389" s="20">
        <v>553471.86658891779</v>
      </c>
    </row>
    <row r="390" spans="13:14" x14ac:dyDescent="0.3">
      <c r="M390" s="11">
        <v>388</v>
      </c>
      <c r="N390" s="20">
        <v>880144.2401916883</v>
      </c>
    </row>
    <row r="391" spans="13:14" x14ac:dyDescent="0.3">
      <c r="M391" s="11">
        <v>389</v>
      </c>
      <c r="N391" s="20">
        <v>753866.65031948057</v>
      </c>
    </row>
    <row r="392" spans="13:14" x14ac:dyDescent="0.3">
      <c r="M392" s="11">
        <v>390</v>
      </c>
      <c r="N392" s="20">
        <v>775877.85958891781</v>
      </c>
    </row>
    <row r="393" spans="13:14" x14ac:dyDescent="0.3">
      <c r="M393" s="11">
        <v>391</v>
      </c>
      <c r="N393" s="20">
        <v>644142.36323002598</v>
      </c>
    </row>
    <row r="394" spans="13:14" x14ac:dyDescent="0.3">
      <c r="M394" s="11">
        <v>392</v>
      </c>
      <c r="N394" s="20">
        <v>404378.17775558436</v>
      </c>
    </row>
    <row r="395" spans="13:14" x14ac:dyDescent="0.3">
      <c r="M395" s="11">
        <v>393</v>
      </c>
      <c r="N395" s="20">
        <v>689271.35121670994</v>
      </c>
    </row>
    <row r="396" spans="13:14" x14ac:dyDescent="0.3">
      <c r="M396" s="11">
        <v>394</v>
      </c>
      <c r="N396" s="20">
        <v>981385.64198614715</v>
      </c>
    </row>
    <row r="397" spans="13:14" x14ac:dyDescent="0.3">
      <c r="M397" s="11">
        <v>395</v>
      </c>
      <c r="N397" s="20">
        <v>684498.75794780953</v>
      </c>
    </row>
    <row r="398" spans="13:14" x14ac:dyDescent="0.3">
      <c r="M398" s="11">
        <v>396</v>
      </c>
      <c r="N398" s="20">
        <v>1215904.1711916882</v>
      </c>
    </row>
    <row r="399" spans="13:14" x14ac:dyDescent="0.3">
      <c r="M399" s="11">
        <v>397</v>
      </c>
      <c r="N399" s="20">
        <v>864583.69852502167</v>
      </c>
    </row>
    <row r="400" spans="13:14" x14ac:dyDescent="0.3">
      <c r="M400" s="11">
        <v>398</v>
      </c>
      <c r="N400" s="20">
        <v>890436.2478966926</v>
      </c>
    </row>
    <row r="401" spans="13:14" x14ac:dyDescent="0.3">
      <c r="M401" s="11">
        <v>399</v>
      </c>
      <c r="N401" s="20">
        <v>688830.59544780955</v>
      </c>
    </row>
    <row r="402" spans="13:14" x14ac:dyDescent="0.3">
      <c r="M402" s="11">
        <v>400</v>
      </c>
      <c r="N402" s="20">
        <v>872083.69852502167</v>
      </c>
    </row>
    <row r="403" spans="13:14" x14ac:dyDescent="0.3">
      <c r="M403" s="11">
        <v>401</v>
      </c>
      <c r="N403" s="20">
        <v>554966.30858891783</v>
      </c>
    </row>
    <row r="404" spans="13:14" x14ac:dyDescent="0.3">
      <c r="M404" s="11">
        <v>402</v>
      </c>
      <c r="N404" s="20">
        <v>759447.44923002599</v>
      </c>
    </row>
    <row r="405" spans="13:14" x14ac:dyDescent="0.3">
      <c r="M405" s="11">
        <v>403</v>
      </c>
      <c r="N405" s="20">
        <v>612394.97108891781</v>
      </c>
    </row>
    <row r="406" spans="13:14" x14ac:dyDescent="0.3">
      <c r="M406" s="11">
        <v>404</v>
      </c>
      <c r="N406" s="20">
        <v>811705.64646112558</v>
      </c>
    </row>
    <row r="407" spans="13:14" x14ac:dyDescent="0.3">
      <c r="M407" s="11">
        <v>405</v>
      </c>
      <c r="N407" s="20">
        <v>768442.98646112555</v>
      </c>
    </row>
    <row r="408" spans="13:14" x14ac:dyDescent="0.3">
      <c r="M408" s="11">
        <v>406</v>
      </c>
      <c r="N408" s="20">
        <v>604316.59925558441</v>
      </c>
    </row>
    <row r="409" spans="13:14" x14ac:dyDescent="0.3">
      <c r="M409" s="11">
        <v>407</v>
      </c>
      <c r="N409" s="20">
        <v>729314.93261447619</v>
      </c>
    </row>
    <row r="410" spans="13:14" x14ac:dyDescent="0.3">
      <c r="M410" s="11">
        <v>408</v>
      </c>
      <c r="N410" s="20">
        <v>742905.79458891775</v>
      </c>
    </row>
    <row r="411" spans="13:14" x14ac:dyDescent="0.3">
      <c r="M411" s="11">
        <v>409</v>
      </c>
      <c r="N411" s="20">
        <v>697106.1027555844</v>
      </c>
    </row>
    <row r="412" spans="13:14" x14ac:dyDescent="0.3">
      <c r="M412" s="11">
        <v>410</v>
      </c>
      <c r="N412" s="20">
        <v>681157.76556335925</v>
      </c>
    </row>
    <row r="413" spans="13:14" x14ac:dyDescent="0.3">
      <c r="M413" s="11">
        <v>411</v>
      </c>
      <c r="N413" s="20">
        <v>616222.32108891779</v>
      </c>
    </row>
    <row r="414" spans="13:14" x14ac:dyDescent="0.3">
      <c r="M414" s="11">
        <v>412</v>
      </c>
      <c r="N414" s="20">
        <v>878054.23858891777</v>
      </c>
    </row>
    <row r="415" spans="13:14" x14ac:dyDescent="0.3">
      <c r="M415" s="11">
        <v>413</v>
      </c>
      <c r="N415" s="20">
        <v>765956.32728114282</v>
      </c>
    </row>
    <row r="416" spans="13:14" x14ac:dyDescent="0.3">
      <c r="M416" s="11">
        <v>414</v>
      </c>
      <c r="N416" s="20">
        <v>712760.2735889178</v>
      </c>
    </row>
    <row r="417" spans="13:14" x14ac:dyDescent="0.3">
      <c r="M417" s="11">
        <v>415</v>
      </c>
      <c r="N417" s="20">
        <v>786877.535230026</v>
      </c>
    </row>
    <row r="418" spans="13:14" x14ac:dyDescent="0.3">
      <c r="M418" s="11">
        <v>416</v>
      </c>
      <c r="N418" s="20">
        <v>670684.97858891776</v>
      </c>
    </row>
    <row r="419" spans="13:14" x14ac:dyDescent="0.3">
      <c r="M419" s="11">
        <v>417</v>
      </c>
      <c r="N419" s="20">
        <v>598834.84992225107</v>
      </c>
    </row>
    <row r="420" spans="13:14" x14ac:dyDescent="0.3">
      <c r="M420" s="11">
        <v>418</v>
      </c>
      <c r="N420" s="20">
        <v>629588.3529222511</v>
      </c>
    </row>
    <row r="421" spans="13:14" x14ac:dyDescent="0.3">
      <c r="M421" s="11">
        <v>419</v>
      </c>
      <c r="N421" s="20">
        <v>715931.30179445888</v>
      </c>
    </row>
    <row r="422" spans="13:14" x14ac:dyDescent="0.3">
      <c r="M422" s="11">
        <v>420</v>
      </c>
      <c r="N422" s="20">
        <v>650780.36878114287</v>
      </c>
    </row>
    <row r="423" spans="13:14" x14ac:dyDescent="0.3">
      <c r="M423" s="11">
        <v>421</v>
      </c>
      <c r="N423" s="20">
        <v>773991.36121670995</v>
      </c>
    </row>
    <row r="424" spans="13:14" x14ac:dyDescent="0.3">
      <c r="M424" s="11">
        <v>422</v>
      </c>
      <c r="N424" s="20">
        <v>727314.28389669268</v>
      </c>
    </row>
    <row r="425" spans="13:14" x14ac:dyDescent="0.3">
      <c r="M425" s="11">
        <v>423</v>
      </c>
      <c r="N425" s="20">
        <v>992208.85278114292</v>
      </c>
    </row>
    <row r="426" spans="13:14" x14ac:dyDescent="0.3">
      <c r="M426" s="11">
        <v>424</v>
      </c>
      <c r="N426" s="20">
        <v>559420.42500000005</v>
      </c>
    </row>
    <row r="427" spans="13:14" x14ac:dyDescent="0.3">
      <c r="M427" s="11">
        <v>425</v>
      </c>
      <c r="N427" s="20">
        <v>1032176.2025889178</v>
      </c>
    </row>
    <row r="428" spans="13:14" x14ac:dyDescent="0.3">
      <c r="M428" s="11">
        <v>426</v>
      </c>
      <c r="N428" s="20">
        <v>704489.72389669262</v>
      </c>
    </row>
    <row r="429" spans="13:14" x14ac:dyDescent="0.3">
      <c r="M429" s="11">
        <v>427</v>
      </c>
      <c r="N429" s="20">
        <v>611829.43031948048</v>
      </c>
    </row>
    <row r="430" spans="13:14" x14ac:dyDescent="0.3">
      <c r="M430" s="11">
        <v>428</v>
      </c>
      <c r="N430" s="20">
        <v>573437.99485835503</v>
      </c>
    </row>
    <row r="431" spans="13:14" x14ac:dyDescent="0.3">
      <c r="M431" s="11">
        <v>429</v>
      </c>
      <c r="N431" s="20">
        <v>586378.25294780952</v>
      </c>
    </row>
    <row r="432" spans="13:14" x14ac:dyDescent="0.3">
      <c r="M432" s="11">
        <v>430</v>
      </c>
      <c r="N432" s="20">
        <v>618100.90111447615</v>
      </c>
    </row>
    <row r="433" spans="13:14" x14ac:dyDescent="0.3">
      <c r="M433" s="11">
        <v>431</v>
      </c>
      <c r="N433" s="20">
        <v>799419.97042225115</v>
      </c>
    </row>
    <row r="434" spans="13:14" x14ac:dyDescent="0.3">
      <c r="M434" s="11">
        <v>432</v>
      </c>
      <c r="N434" s="20">
        <v>894615.78301116882</v>
      </c>
    </row>
    <row r="435" spans="13:14" x14ac:dyDescent="0.3">
      <c r="M435" s="11">
        <v>433</v>
      </c>
      <c r="N435" s="20">
        <v>631117.812858355</v>
      </c>
    </row>
    <row r="436" spans="13:14" x14ac:dyDescent="0.3">
      <c r="M436" s="11">
        <v>434</v>
      </c>
      <c r="N436" s="20">
        <v>91832.034230026009</v>
      </c>
    </row>
    <row r="437" spans="13:14" x14ac:dyDescent="0.3">
      <c r="M437" s="11">
        <v>435</v>
      </c>
      <c r="N437" s="20">
        <v>692818.04725558439</v>
      </c>
    </row>
    <row r="438" spans="13:14" x14ac:dyDescent="0.3">
      <c r="M438" s="11">
        <v>436</v>
      </c>
      <c r="N438" s="20">
        <v>788579.32052502164</v>
      </c>
    </row>
    <row r="439" spans="13:14" x14ac:dyDescent="0.3">
      <c r="M439" s="11">
        <v>437</v>
      </c>
      <c r="N439" s="20">
        <v>712760.2735889178</v>
      </c>
    </row>
    <row r="440" spans="13:14" x14ac:dyDescent="0.3">
      <c r="M440" s="11">
        <v>438</v>
      </c>
      <c r="N440" s="20">
        <v>732298.22128114291</v>
      </c>
    </row>
    <row r="441" spans="13:14" x14ac:dyDescent="0.3">
      <c r="M441" s="11">
        <v>439</v>
      </c>
      <c r="N441" s="20">
        <v>778093.75025558448</v>
      </c>
    </row>
    <row r="442" spans="13:14" x14ac:dyDescent="0.3">
      <c r="M442" s="11">
        <v>440</v>
      </c>
      <c r="N442" s="20">
        <v>764985.46285835502</v>
      </c>
    </row>
    <row r="443" spans="13:14" x14ac:dyDescent="0.3">
      <c r="M443" s="11">
        <v>441</v>
      </c>
      <c r="N443" s="20">
        <v>645225.33598614717</v>
      </c>
    </row>
    <row r="444" spans="13:14" x14ac:dyDescent="0.3">
      <c r="M444" s="11">
        <v>442</v>
      </c>
      <c r="N444" s="20">
        <v>528746.38685835502</v>
      </c>
    </row>
    <row r="445" spans="13:14" x14ac:dyDescent="0.3">
      <c r="M445" s="11">
        <v>443</v>
      </c>
      <c r="N445" s="20">
        <v>709384.60575558443</v>
      </c>
    </row>
    <row r="446" spans="13:14" x14ac:dyDescent="0.3">
      <c r="M446" s="11">
        <v>444</v>
      </c>
      <c r="N446" s="20">
        <v>629213.18961447617</v>
      </c>
    </row>
    <row r="447" spans="13:14" x14ac:dyDescent="0.3">
      <c r="M447" s="11">
        <v>445</v>
      </c>
      <c r="N447" s="20">
        <v>565192.64425558446</v>
      </c>
    </row>
    <row r="448" spans="13:14" x14ac:dyDescent="0.3">
      <c r="M448" s="11">
        <v>446</v>
      </c>
      <c r="N448" s="20">
        <v>550965.98423002602</v>
      </c>
    </row>
    <row r="449" spans="13:14" x14ac:dyDescent="0.3">
      <c r="M449" s="11">
        <v>447</v>
      </c>
      <c r="N449" s="20">
        <v>761914.36092225113</v>
      </c>
    </row>
    <row r="450" spans="13:14" x14ac:dyDescent="0.3">
      <c r="M450" s="11">
        <v>448</v>
      </c>
      <c r="N450" s="20">
        <v>678796.11356335937</v>
      </c>
    </row>
    <row r="451" spans="13:14" x14ac:dyDescent="0.3">
      <c r="M451" s="11">
        <v>449</v>
      </c>
      <c r="N451" s="20">
        <v>877773.9677555844</v>
      </c>
    </row>
    <row r="452" spans="13:14" x14ac:dyDescent="0.3">
      <c r="M452" s="11">
        <v>450</v>
      </c>
      <c r="N452" s="20">
        <v>1021733.6518966928</v>
      </c>
    </row>
    <row r="453" spans="13:14" x14ac:dyDescent="0.3">
      <c r="M453" s="11">
        <v>451</v>
      </c>
      <c r="N453" s="20">
        <v>619316.59925558441</v>
      </c>
    </row>
    <row r="454" spans="13:14" x14ac:dyDescent="0.3">
      <c r="M454" s="11">
        <v>452</v>
      </c>
      <c r="N454" s="20">
        <v>429114.56992225116</v>
      </c>
    </row>
    <row r="455" spans="13:14" x14ac:dyDescent="0.3">
      <c r="M455" s="11">
        <v>453</v>
      </c>
      <c r="N455" s="20">
        <v>711656.5873966926</v>
      </c>
    </row>
    <row r="456" spans="13:14" x14ac:dyDescent="0.3">
      <c r="M456" s="11">
        <v>454</v>
      </c>
      <c r="N456" s="20">
        <v>518735.17758891778</v>
      </c>
    </row>
    <row r="457" spans="13:14" x14ac:dyDescent="0.3">
      <c r="M457" s="11">
        <v>455</v>
      </c>
      <c r="N457" s="20">
        <v>809842.01961447624</v>
      </c>
    </row>
    <row r="458" spans="13:14" x14ac:dyDescent="0.3">
      <c r="M458" s="11">
        <v>456</v>
      </c>
      <c r="N458" s="20">
        <v>855923.74794727273</v>
      </c>
    </row>
    <row r="459" spans="13:14" x14ac:dyDescent="0.3">
      <c r="M459" s="11">
        <v>457</v>
      </c>
      <c r="N459" s="20">
        <v>663085.2382811429</v>
      </c>
    </row>
    <row r="460" spans="13:14" x14ac:dyDescent="0.3">
      <c r="M460" s="11">
        <v>458</v>
      </c>
      <c r="N460" s="20">
        <v>663697.02225558448</v>
      </c>
    </row>
    <row r="461" spans="13:14" x14ac:dyDescent="0.3">
      <c r="M461" s="11">
        <v>459</v>
      </c>
      <c r="N461" s="20">
        <v>385879.52456335933</v>
      </c>
    </row>
    <row r="462" spans="13:14" x14ac:dyDescent="0.3">
      <c r="M462" s="11">
        <v>460</v>
      </c>
      <c r="N462" s="20">
        <v>637364.94565281388</v>
      </c>
    </row>
    <row r="463" spans="13:14" x14ac:dyDescent="0.3">
      <c r="M463" s="11">
        <v>461</v>
      </c>
      <c r="N463" s="20">
        <v>617769.195730026</v>
      </c>
    </row>
    <row r="464" spans="13:14" x14ac:dyDescent="0.3">
      <c r="M464" s="11">
        <v>462</v>
      </c>
      <c r="N464" s="20">
        <v>685951.35442225111</v>
      </c>
    </row>
    <row r="465" spans="13:14" x14ac:dyDescent="0.3">
      <c r="M465" s="11">
        <v>463</v>
      </c>
      <c r="N465" s="20">
        <v>528624.68589722947</v>
      </c>
    </row>
    <row r="466" spans="13:14" x14ac:dyDescent="0.3">
      <c r="M466" s="11">
        <v>464</v>
      </c>
      <c r="N466" s="20">
        <v>657926.79692225112</v>
      </c>
    </row>
    <row r="467" spans="13:14" x14ac:dyDescent="0.3">
      <c r="M467" s="11">
        <v>465</v>
      </c>
      <c r="N467" s="20">
        <v>712200.38092225115</v>
      </c>
    </row>
    <row r="468" spans="13:14" x14ac:dyDescent="0.3">
      <c r="M468" s="11">
        <v>466</v>
      </c>
      <c r="N468" s="20">
        <v>758211.74094780954</v>
      </c>
    </row>
    <row r="469" spans="13:14" x14ac:dyDescent="0.3">
      <c r="M469" s="11">
        <v>467</v>
      </c>
      <c r="N469" s="20">
        <v>778936.77946112561</v>
      </c>
    </row>
    <row r="470" spans="13:14" x14ac:dyDescent="0.3">
      <c r="M470" s="11">
        <v>468</v>
      </c>
      <c r="N470" s="20">
        <v>208594.2692555844</v>
      </c>
    </row>
    <row r="471" spans="13:14" x14ac:dyDescent="0.3">
      <c r="M471" s="11">
        <v>469</v>
      </c>
      <c r="N471" s="20">
        <v>730190.27608891774</v>
      </c>
    </row>
    <row r="472" spans="13:14" x14ac:dyDescent="0.3">
      <c r="M472" s="11">
        <v>470</v>
      </c>
      <c r="N472" s="20">
        <v>943192.77811447624</v>
      </c>
    </row>
    <row r="473" spans="13:14" x14ac:dyDescent="0.3">
      <c r="M473" s="11">
        <v>471</v>
      </c>
      <c r="N473" s="20">
        <v>778450.9494478096</v>
      </c>
    </row>
    <row r="474" spans="13:14" x14ac:dyDescent="0.3">
      <c r="M474" s="11">
        <v>472</v>
      </c>
      <c r="N474" s="20">
        <v>634876.49192225107</v>
      </c>
    </row>
    <row r="475" spans="13:14" x14ac:dyDescent="0.3">
      <c r="M475" s="11">
        <v>473</v>
      </c>
      <c r="N475" s="20">
        <v>655353.46544780955</v>
      </c>
    </row>
    <row r="476" spans="13:14" x14ac:dyDescent="0.3">
      <c r="M476" s="11">
        <v>474</v>
      </c>
      <c r="N476" s="20">
        <v>646030.90361447621</v>
      </c>
    </row>
    <row r="477" spans="13:14" x14ac:dyDescent="0.3">
      <c r="M477" s="11">
        <v>475</v>
      </c>
      <c r="N477" s="20">
        <v>676304.8715889178</v>
      </c>
    </row>
    <row r="478" spans="13:14" x14ac:dyDescent="0.3">
      <c r="M478" s="11">
        <v>476</v>
      </c>
      <c r="N478" s="20">
        <v>560908.85928114294</v>
      </c>
    </row>
    <row r="479" spans="13:14" x14ac:dyDescent="0.3">
      <c r="M479" s="11">
        <v>477</v>
      </c>
      <c r="N479" s="20">
        <v>399338.78658891778</v>
      </c>
    </row>
    <row r="480" spans="13:14" x14ac:dyDescent="0.3">
      <c r="M480" s="11">
        <v>478</v>
      </c>
      <c r="N480" s="20">
        <v>783438.23861447617</v>
      </c>
    </row>
    <row r="481" spans="13:14" x14ac:dyDescent="0.3">
      <c r="M481" s="11">
        <v>479</v>
      </c>
      <c r="N481" s="20">
        <v>715760.2735889178</v>
      </c>
    </row>
    <row r="482" spans="13:14" x14ac:dyDescent="0.3">
      <c r="M482" s="11">
        <v>480</v>
      </c>
      <c r="N482" s="20">
        <v>787992.50742225116</v>
      </c>
    </row>
    <row r="483" spans="13:14" x14ac:dyDescent="0.3">
      <c r="M483" s="11">
        <v>481</v>
      </c>
      <c r="N483" s="20">
        <v>796431.86989669269</v>
      </c>
    </row>
    <row r="484" spans="13:14" x14ac:dyDescent="0.3">
      <c r="M484" s="11">
        <v>482</v>
      </c>
      <c r="N484" s="20">
        <v>644809.87729445891</v>
      </c>
    </row>
    <row r="485" spans="13:14" x14ac:dyDescent="0.3">
      <c r="M485" s="11">
        <v>483</v>
      </c>
      <c r="N485" s="20">
        <v>719368.21878114284</v>
      </c>
    </row>
    <row r="486" spans="13:14" x14ac:dyDescent="0.3">
      <c r="M486" s="11">
        <v>484</v>
      </c>
      <c r="N486" s="20">
        <v>564172.41878114291</v>
      </c>
    </row>
    <row r="487" spans="13:14" x14ac:dyDescent="0.3">
      <c r="M487" s="11">
        <v>485</v>
      </c>
      <c r="N487" s="20">
        <v>566827.80535835493</v>
      </c>
    </row>
    <row r="488" spans="13:14" x14ac:dyDescent="0.3">
      <c r="M488" s="11">
        <v>486</v>
      </c>
      <c r="N488" s="20">
        <v>668869.02325558441</v>
      </c>
    </row>
    <row r="489" spans="13:14" x14ac:dyDescent="0.3">
      <c r="M489" s="11">
        <v>487</v>
      </c>
      <c r="N489" s="20">
        <v>704928.76044780947</v>
      </c>
    </row>
    <row r="490" spans="13:14" x14ac:dyDescent="0.3">
      <c r="M490" s="11">
        <v>488</v>
      </c>
      <c r="N490" s="20">
        <v>725690.27608891774</v>
      </c>
    </row>
    <row r="491" spans="13:14" x14ac:dyDescent="0.3">
      <c r="M491" s="11">
        <v>489</v>
      </c>
      <c r="N491" s="20">
        <v>649082.6504478096</v>
      </c>
    </row>
    <row r="492" spans="13:14" x14ac:dyDescent="0.3">
      <c r="M492" s="11">
        <v>490</v>
      </c>
      <c r="N492" s="20">
        <v>400868.24652502168</v>
      </c>
    </row>
    <row r="493" spans="13:14" x14ac:dyDescent="0.3">
      <c r="M493" s="11">
        <v>491</v>
      </c>
      <c r="N493" s="20">
        <v>773986.12942225114</v>
      </c>
    </row>
    <row r="494" spans="13:14" x14ac:dyDescent="0.3">
      <c r="M494" s="11">
        <v>492</v>
      </c>
      <c r="N494" s="20">
        <v>792894.67358891771</v>
      </c>
    </row>
    <row r="495" spans="13:14" x14ac:dyDescent="0.3">
      <c r="M495" s="11">
        <v>493</v>
      </c>
      <c r="N495" s="20">
        <v>733975.41755004332</v>
      </c>
    </row>
    <row r="496" spans="13:14" x14ac:dyDescent="0.3">
      <c r="M496" s="11">
        <v>494</v>
      </c>
      <c r="N496" s="20">
        <v>776437.896730026</v>
      </c>
    </row>
    <row r="497" spans="13:14" x14ac:dyDescent="0.3">
      <c r="M497" s="11">
        <v>495</v>
      </c>
      <c r="N497" s="20">
        <v>645912.49242225115</v>
      </c>
    </row>
    <row r="498" spans="13:14" x14ac:dyDescent="0.3">
      <c r="M498" s="11">
        <v>496</v>
      </c>
      <c r="N498" s="20">
        <v>1394626.4028194805</v>
      </c>
    </row>
    <row r="499" spans="13:14" x14ac:dyDescent="0.3">
      <c r="M499" s="11">
        <v>497</v>
      </c>
      <c r="N499" s="20">
        <v>303216.21744780958</v>
      </c>
    </row>
    <row r="500" spans="13:14" x14ac:dyDescent="0.3">
      <c r="M500" s="11">
        <v>498</v>
      </c>
      <c r="N500" s="20">
        <v>1192000.6003194805</v>
      </c>
    </row>
    <row r="501" spans="13:14" x14ac:dyDescent="0.3">
      <c r="M501" s="11">
        <v>499</v>
      </c>
      <c r="N501" s="20">
        <v>674756.91492225113</v>
      </c>
    </row>
    <row r="502" spans="13:14" x14ac:dyDescent="0.3">
      <c r="M502" s="11">
        <v>500</v>
      </c>
      <c r="N502" s="20">
        <v>900260.07275558438</v>
      </c>
    </row>
    <row r="503" spans="13:14" x14ac:dyDescent="0.3">
      <c r="M503" s="11">
        <v>501</v>
      </c>
      <c r="N503" s="20">
        <v>721271.4652944589</v>
      </c>
    </row>
    <row r="504" spans="13:14" x14ac:dyDescent="0.3">
      <c r="M504" s="11">
        <v>502</v>
      </c>
      <c r="N504" s="20">
        <v>711587.94794780947</v>
      </c>
    </row>
    <row r="505" spans="13:14" x14ac:dyDescent="0.3">
      <c r="M505" s="11">
        <v>503</v>
      </c>
      <c r="N505" s="20">
        <v>339443.68794727279</v>
      </c>
    </row>
    <row r="506" spans="13:14" x14ac:dyDescent="0.3">
      <c r="M506" s="11">
        <v>504</v>
      </c>
      <c r="N506" s="20">
        <v>533299.86558891775</v>
      </c>
    </row>
    <row r="507" spans="13:14" x14ac:dyDescent="0.3">
      <c r="M507" s="11">
        <v>505</v>
      </c>
      <c r="N507" s="20">
        <v>778989.96792225109</v>
      </c>
    </row>
    <row r="508" spans="13:14" x14ac:dyDescent="0.3">
      <c r="M508" s="11">
        <v>506</v>
      </c>
      <c r="N508" s="20">
        <v>737932.69508891774</v>
      </c>
    </row>
    <row r="509" spans="13:14" x14ac:dyDescent="0.3">
      <c r="M509" s="11">
        <v>507</v>
      </c>
      <c r="N509" s="20">
        <v>1061502.0983966927</v>
      </c>
    </row>
    <row r="510" spans="13:14" x14ac:dyDescent="0.3">
      <c r="M510" s="11">
        <v>508</v>
      </c>
      <c r="N510" s="20">
        <v>672200.53639669262</v>
      </c>
    </row>
    <row r="511" spans="13:14" x14ac:dyDescent="0.3">
      <c r="M511" s="11">
        <v>509</v>
      </c>
      <c r="N511" s="20">
        <v>750132.50242225116</v>
      </c>
    </row>
    <row r="512" spans="13:14" x14ac:dyDescent="0.3">
      <c r="M512" s="11">
        <v>510</v>
      </c>
      <c r="N512" s="20">
        <v>565613.03031948046</v>
      </c>
    </row>
    <row r="513" spans="13:14" x14ac:dyDescent="0.3">
      <c r="M513" s="11">
        <v>511</v>
      </c>
      <c r="N513" s="20">
        <v>712996.38973002601</v>
      </c>
    </row>
    <row r="514" spans="13:14" x14ac:dyDescent="0.3">
      <c r="M514" s="11">
        <v>512</v>
      </c>
      <c r="N514" s="20">
        <v>798991.1141277923</v>
      </c>
    </row>
    <row r="515" spans="13:14" x14ac:dyDescent="0.3">
      <c r="M515" s="11">
        <v>513</v>
      </c>
      <c r="N515" s="20">
        <v>653922.63378114288</v>
      </c>
    </row>
    <row r="516" spans="13:14" x14ac:dyDescent="0.3">
      <c r="M516" s="11">
        <v>514</v>
      </c>
      <c r="N516" s="20">
        <v>761120.2785889178</v>
      </c>
    </row>
    <row r="517" spans="13:14" x14ac:dyDescent="0.3">
      <c r="M517" s="11">
        <v>515</v>
      </c>
      <c r="N517" s="20">
        <v>690984.16589669266</v>
      </c>
    </row>
    <row r="518" spans="13:14" x14ac:dyDescent="0.3">
      <c r="M518" s="11">
        <v>516</v>
      </c>
      <c r="N518" s="20">
        <v>673236.54525558441</v>
      </c>
    </row>
    <row r="519" spans="13:14" x14ac:dyDescent="0.3">
      <c r="M519" s="11">
        <v>517</v>
      </c>
      <c r="N519" s="20">
        <v>654814.68858891772</v>
      </c>
    </row>
    <row r="520" spans="13:14" x14ac:dyDescent="0.3">
      <c r="M520" s="11">
        <v>518</v>
      </c>
      <c r="N520" s="20">
        <v>718419.30461447616</v>
      </c>
    </row>
    <row r="521" spans="13:14" x14ac:dyDescent="0.3">
      <c r="M521" s="11">
        <v>519</v>
      </c>
      <c r="N521" s="20">
        <v>645542.08394727274</v>
      </c>
    </row>
    <row r="522" spans="13:14" x14ac:dyDescent="0.3">
      <c r="M522" s="11">
        <v>520</v>
      </c>
      <c r="N522" s="20">
        <v>725742.005358355</v>
      </c>
    </row>
    <row r="523" spans="13:14" x14ac:dyDescent="0.3">
      <c r="M523" s="11">
        <v>521</v>
      </c>
      <c r="N523" s="20">
        <v>675554.43942225107</v>
      </c>
    </row>
    <row r="524" spans="13:14" x14ac:dyDescent="0.3">
      <c r="M524" s="11">
        <v>522</v>
      </c>
      <c r="N524" s="20">
        <v>390415.47173056274</v>
      </c>
    </row>
    <row r="525" spans="13:14" x14ac:dyDescent="0.3">
      <c r="M525" s="11">
        <v>523</v>
      </c>
      <c r="N525" s="20">
        <v>902092.05448614724</v>
      </c>
    </row>
    <row r="526" spans="13:14" x14ac:dyDescent="0.3">
      <c r="M526" s="11">
        <v>524</v>
      </c>
      <c r="N526" s="20">
        <v>768120.6029478095</v>
      </c>
    </row>
    <row r="527" spans="13:14" x14ac:dyDescent="0.3">
      <c r="M527" s="11">
        <v>525</v>
      </c>
      <c r="N527" s="20">
        <v>800342.78228114289</v>
      </c>
    </row>
    <row r="528" spans="13:14" x14ac:dyDescent="0.3">
      <c r="M528" s="11">
        <v>526</v>
      </c>
      <c r="N528" s="20">
        <v>552314.9551277922</v>
      </c>
    </row>
    <row r="529" spans="13:14" x14ac:dyDescent="0.3">
      <c r="M529" s="11">
        <v>527</v>
      </c>
      <c r="N529" s="20">
        <v>539294.30758891779</v>
      </c>
    </row>
    <row r="530" spans="13:14" x14ac:dyDescent="0.3">
      <c r="M530" s="11">
        <v>528</v>
      </c>
      <c r="N530" s="20">
        <v>685671.8937806061</v>
      </c>
    </row>
    <row r="531" spans="13:14" x14ac:dyDescent="0.3">
      <c r="M531" s="11">
        <v>529</v>
      </c>
      <c r="N531" s="20">
        <v>543048.95698614721</v>
      </c>
    </row>
    <row r="532" spans="13:14" x14ac:dyDescent="0.3">
      <c r="M532" s="11">
        <v>530</v>
      </c>
      <c r="N532" s="20">
        <v>837123.71239669272</v>
      </c>
    </row>
    <row r="533" spans="13:14" x14ac:dyDescent="0.3">
      <c r="M533" s="11">
        <v>531</v>
      </c>
      <c r="N533" s="20">
        <v>733914.16839669272</v>
      </c>
    </row>
    <row r="534" spans="13:14" x14ac:dyDescent="0.3">
      <c r="M534" s="11">
        <v>532</v>
      </c>
      <c r="N534" s="20">
        <v>644142.36323002598</v>
      </c>
    </row>
    <row r="535" spans="13:14" x14ac:dyDescent="0.3">
      <c r="M535" s="11">
        <v>533</v>
      </c>
      <c r="N535" s="20">
        <v>726755.68838337669</v>
      </c>
    </row>
    <row r="536" spans="13:14" x14ac:dyDescent="0.3">
      <c r="M536" s="11">
        <v>534</v>
      </c>
      <c r="N536" s="20">
        <v>709260.5979478095</v>
      </c>
    </row>
    <row r="537" spans="13:14" x14ac:dyDescent="0.3">
      <c r="M537" s="11">
        <v>535</v>
      </c>
      <c r="N537" s="20">
        <v>855736.29608891776</v>
      </c>
    </row>
    <row r="538" spans="13:14" x14ac:dyDescent="0.3">
      <c r="M538" s="11">
        <v>536</v>
      </c>
      <c r="N538" s="20">
        <v>1366324.0252555844</v>
      </c>
    </row>
    <row r="539" spans="13:14" x14ac:dyDescent="0.3">
      <c r="M539" s="11">
        <v>537</v>
      </c>
      <c r="N539" s="20">
        <v>762865.20869168837</v>
      </c>
    </row>
    <row r="540" spans="13:14" x14ac:dyDescent="0.3">
      <c r="M540" s="11">
        <v>538</v>
      </c>
      <c r="N540" s="20">
        <v>736678.05225558439</v>
      </c>
    </row>
    <row r="541" spans="13:14" x14ac:dyDescent="0.3">
      <c r="M541" s="11">
        <v>539</v>
      </c>
      <c r="N541" s="20">
        <v>720470.28161447623</v>
      </c>
    </row>
    <row r="542" spans="13:14" x14ac:dyDescent="0.3">
      <c r="M542" s="11">
        <v>540</v>
      </c>
      <c r="N542" s="20">
        <v>720348.6533972295</v>
      </c>
    </row>
    <row r="543" spans="13:14" x14ac:dyDescent="0.3">
      <c r="M543" s="11">
        <v>541</v>
      </c>
      <c r="N543" s="20">
        <v>769685.951</v>
      </c>
    </row>
    <row r="544" spans="13:14" x14ac:dyDescent="0.3">
      <c r="M544" s="11">
        <v>542</v>
      </c>
      <c r="N544" s="20">
        <v>620846.05919168831</v>
      </c>
    </row>
    <row r="545" spans="13:14" x14ac:dyDescent="0.3">
      <c r="M545" s="11">
        <v>543</v>
      </c>
      <c r="N545" s="20">
        <v>921939.26435835497</v>
      </c>
    </row>
    <row r="546" spans="13:14" x14ac:dyDescent="0.3">
      <c r="M546" s="11">
        <v>544</v>
      </c>
      <c r="N546" s="20">
        <v>662926.4725633593</v>
      </c>
    </row>
    <row r="547" spans="13:14" x14ac:dyDescent="0.3">
      <c r="M547" s="11">
        <v>545</v>
      </c>
      <c r="N547" s="20">
        <v>677330.27108891774</v>
      </c>
    </row>
    <row r="548" spans="13:14" x14ac:dyDescent="0.3">
      <c r="M548" s="11">
        <v>546</v>
      </c>
      <c r="N548" s="20">
        <v>20120.577922251119</v>
      </c>
    </row>
    <row r="549" spans="13:14" x14ac:dyDescent="0.3">
      <c r="M549" s="11">
        <v>547</v>
      </c>
      <c r="N549" s="20">
        <v>795091.3817555845</v>
      </c>
    </row>
    <row r="550" spans="13:14" x14ac:dyDescent="0.3">
      <c r="M550" s="11">
        <v>548</v>
      </c>
      <c r="N550" s="20">
        <v>766264.60505004332</v>
      </c>
    </row>
    <row r="551" spans="13:14" x14ac:dyDescent="0.3">
      <c r="M551" s="11">
        <v>549</v>
      </c>
      <c r="N551" s="20">
        <v>745646.06078114291</v>
      </c>
    </row>
    <row r="552" spans="13:14" x14ac:dyDescent="0.3">
      <c r="M552" s="11">
        <v>550</v>
      </c>
      <c r="N552" s="20">
        <v>1105167.6050889178</v>
      </c>
    </row>
    <row r="553" spans="13:14" x14ac:dyDescent="0.3">
      <c r="M553" s="11">
        <v>551</v>
      </c>
      <c r="N553" s="20">
        <v>712760.2735889178</v>
      </c>
    </row>
    <row r="554" spans="13:14" x14ac:dyDescent="0.3">
      <c r="M554" s="11">
        <v>552</v>
      </c>
      <c r="N554" s="20">
        <v>397977.48915281391</v>
      </c>
    </row>
    <row r="555" spans="13:14" x14ac:dyDescent="0.3">
      <c r="M555" s="11">
        <v>553</v>
      </c>
      <c r="N555" s="20">
        <v>621696.62275558442</v>
      </c>
    </row>
    <row r="556" spans="13:14" x14ac:dyDescent="0.3">
      <c r="M556" s="11">
        <v>554</v>
      </c>
      <c r="N556" s="20">
        <v>682058.79508891772</v>
      </c>
    </row>
    <row r="557" spans="13:14" x14ac:dyDescent="0.3">
      <c r="M557" s="11">
        <v>555</v>
      </c>
      <c r="N557" s="20">
        <v>795984.50762779219</v>
      </c>
    </row>
    <row r="558" spans="13:14" x14ac:dyDescent="0.3">
      <c r="M558" s="11">
        <v>556</v>
      </c>
      <c r="N558" s="20">
        <v>662624.43692225113</v>
      </c>
    </row>
    <row r="559" spans="13:14" x14ac:dyDescent="0.3">
      <c r="M559" s="11">
        <v>557</v>
      </c>
      <c r="N559" s="20">
        <v>667184.79842225113</v>
      </c>
    </row>
    <row r="560" spans="13:14" x14ac:dyDescent="0.3">
      <c r="M560" s="11">
        <v>558</v>
      </c>
      <c r="N560" s="20">
        <v>624571.11681948055</v>
      </c>
    </row>
    <row r="561" spans="13:14" x14ac:dyDescent="0.3">
      <c r="M561" s="11">
        <v>559</v>
      </c>
      <c r="N561" s="20">
        <v>260458.11275558441</v>
      </c>
    </row>
    <row r="562" spans="13:14" x14ac:dyDescent="0.3">
      <c r="M562" s="11">
        <v>560</v>
      </c>
      <c r="N562" s="20">
        <v>629535.1644611255</v>
      </c>
    </row>
    <row r="563" spans="13:14" x14ac:dyDescent="0.3">
      <c r="M563" s="11">
        <v>561</v>
      </c>
      <c r="N563" s="20">
        <v>704588.27258891775</v>
      </c>
    </row>
    <row r="564" spans="13:14" x14ac:dyDescent="0.3">
      <c r="M564" s="11">
        <v>562</v>
      </c>
      <c r="N564" s="20">
        <v>814625.48023002595</v>
      </c>
    </row>
    <row r="565" spans="13:14" x14ac:dyDescent="0.3">
      <c r="M565" s="11">
        <v>563</v>
      </c>
      <c r="N565" s="20">
        <v>273263.25831948052</v>
      </c>
    </row>
    <row r="566" spans="13:14" x14ac:dyDescent="0.3">
      <c r="M566" s="11">
        <v>564</v>
      </c>
      <c r="N566" s="20">
        <v>564520.64325558452</v>
      </c>
    </row>
    <row r="567" spans="13:14" x14ac:dyDescent="0.3">
      <c r="M567" s="11">
        <v>565</v>
      </c>
      <c r="N567" s="20">
        <v>599174.04062779224</v>
      </c>
    </row>
    <row r="568" spans="13:14" x14ac:dyDescent="0.3">
      <c r="M568" s="11">
        <v>566</v>
      </c>
      <c r="N568" s="20">
        <v>711289.7335250217</v>
      </c>
    </row>
    <row r="569" spans="13:14" x14ac:dyDescent="0.3">
      <c r="M569" s="11">
        <v>567</v>
      </c>
      <c r="N569" s="20">
        <v>1049098.2677806059</v>
      </c>
    </row>
    <row r="570" spans="13:14" x14ac:dyDescent="0.3">
      <c r="M570" s="11">
        <v>568</v>
      </c>
      <c r="N570" s="20">
        <v>856167.0936277922</v>
      </c>
    </row>
    <row r="571" spans="13:14" x14ac:dyDescent="0.3">
      <c r="M571" s="11">
        <v>569</v>
      </c>
      <c r="N571" s="20">
        <v>935356.79428114288</v>
      </c>
    </row>
    <row r="572" spans="13:14" x14ac:dyDescent="0.3">
      <c r="M572" s="11">
        <v>570</v>
      </c>
      <c r="N572" s="20">
        <v>670585.2382811429</v>
      </c>
    </row>
    <row r="573" spans="13:14" x14ac:dyDescent="0.3">
      <c r="M573" s="11">
        <v>571</v>
      </c>
      <c r="N573" s="20">
        <v>694176.47898614721</v>
      </c>
    </row>
    <row r="574" spans="13:14" x14ac:dyDescent="0.3">
      <c r="M574" s="11">
        <v>572</v>
      </c>
      <c r="N574" s="20">
        <v>1029519.8802300261</v>
      </c>
    </row>
    <row r="575" spans="13:14" x14ac:dyDescent="0.3">
      <c r="M575" s="11">
        <v>573</v>
      </c>
      <c r="N575" s="20">
        <v>527692.2447555844</v>
      </c>
    </row>
    <row r="576" spans="13:14" x14ac:dyDescent="0.3">
      <c r="M576" s="11">
        <v>574</v>
      </c>
      <c r="N576" s="20">
        <v>358768.466730026</v>
      </c>
    </row>
    <row r="577" spans="13:14" x14ac:dyDescent="0.3">
      <c r="M577" s="11">
        <v>575</v>
      </c>
      <c r="N577" s="20">
        <v>764704.0731916884</v>
      </c>
    </row>
    <row r="578" spans="13:14" x14ac:dyDescent="0.3">
      <c r="M578" s="11">
        <v>576</v>
      </c>
      <c r="N578" s="20">
        <v>656935.93552502163</v>
      </c>
    </row>
    <row r="579" spans="13:14" x14ac:dyDescent="0.3">
      <c r="M579" s="11">
        <v>577</v>
      </c>
      <c r="N579" s="20">
        <v>867162.50842225109</v>
      </c>
    </row>
    <row r="580" spans="13:14" x14ac:dyDescent="0.3">
      <c r="M580" s="11">
        <v>578</v>
      </c>
      <c r="N580" s="20">
        <v>658345.60956335929</v>
      </c>
    </row>
    <row r="581" spans="13:14" x14ac:dyDescent="0.3">
      <c r="M581" s="11">
        <v>579</v>
      </c>
      <c r="N581" s="20">
        <v>637812.24523002596</v>
      </c>
    </row>
    <row r="582" spans="13:14" x14ac:dyDescent="0.3">
      <c r="M582" s="11">
        <v>580</v>
      </c>
      <c r="N582" s="20">
        <v>637858.90261447616</v>
      </c>
    </row>
    <row r="583" spans="13:14" x14ac:dyDescent="0.3">
      <c r="M583" s="11">
        <v>581</v>
      </c>
      <c r="N583" s="20">
        <v>660085.2382811429</v>
      </c>
    </row>
    <row r="584" spans="13:14" x14ac:dyDescent="0.3">
      <c r="M584" s="11">
        <v>582</v>
      </c>
      <c r="N584" s="20">
        <v>512928.78296112554</v>
      </c>
    </row>
    <row r="585" spans="13:14" x14ac:dyDescent="0.3">
      <c r="M585" s="11">
        <v>583</v>
      </c>
      <c r="N585" s="20">
        <v>778877.85958891781</v>
      </c>
    </row>
    <row r="586" spans="13:14" x14ac:dyDescent="0.3">
      <c r="M586" s="11">
        <v>584</v>
      </c>
      <c r="N586" s="20">
        <v>547686.36239669262</v>
      </c>
    </row>
    <row r="587" spans="13:14" x14ac:dyDescent="0.3">
      <c r="M587" s="11">
        <v>585</v>
      </c>
      <c r="N587" s="20">
        <v>695818.04725558439</v>
      </c>
    </row>
    <row r="588" spans="13:14" x14ac:dyDescent="0.3">
      <c r="M588" s="11">
        <v>586</v>
      </c>
      <c r="N588" s="20">
        <v>855827.90292225103</v>
      </c>
    </row>
    <row r="589" spans="13:14" x14ac:dyDescent="0.3">
      <c r="M589" s="11">
        <v>587</v>
      </c>
      <c r="N589" s="20">
        <v>724384.60575558443</v>
      </c>
    </row>
    <row r="590" spans="13:14" x14ac:dyDescent="0.3">
      <c r="M590" s="11">
        <v>588</v>
      </c>
      <c r="N590" s="20">
        <v>662423.94878060604</v>
      </c>
    </row>
    <row r="591" spans="13:14" x14ac:dyDescent="0.3">
      <c r="M591" s="11">
        <v>589</v>
      </c>
      <c r="N591" s="20">
        <v>1268122.3494222511</v>
      </c>
    </row>
    <row r="592" spans="13:14" x14ac:dyDescent="0.3">
      <c r="M592" s="11">
        <v>590</v>
      </c>
      <c r="N592" s="20">
        <v>715636.26578114287</v>
      </c>
    </row>
    <row r="593" spans="13:14" x14ac:dyDescent="0.3">
      <c r="M593" s="11">
        <v>591</v>
      </c>
      <c r="N593" s="20">
        <v>781037.04708891781</v>
      </c>
    </row>
    <row r="594" spans="13:14" x14ac:dyDescent="0.3">
      <c r="M594" s="11">
        <v>592</v>
      </c>
      <c r="N594" s="20">
        <v>765956.32728114282</v>
      </c>
    </row>
    <row r="595" spans="13:14" x14ac:dyDescent="0.3">
      <c r="M595" s="11">
        <v>593</v>
      </c>
      <c r="N595" s="20">
        <v>1020668.819422251</v>
      </c>
    </row>
    <row r="596" spans="13:14" x14ac:dyDescent="0.3">
      <c r="M596" s="11">
        <v>594</v>
      </c>
      <c r="N596" s="20">
        <v>752744.93511447625</v>
      </c>
    </row>
    <row r="597" spans="13:14" x14ac:dyDescent="0.3">
      <c r="M597" s="11">
        <v>595</v>
      </c>
      <c r="N597" s="20">
        <v>1207469.8429478095</v>
      </c>
    </row>
    <row r="598" spans="13:14" x14ac:dyDescent="0.3">
      <c r="M598" s="11">
        <v>596</v>
      </c>
      <c r="N598" s="20">
        <v>704088.59694780956</v>
      </c>
    </row>
    <row r="599" spans="13:14" x14ac:dyDescent="0.3">
      <c r="M599" s="11">
        <v>597</v>
      </c>
      <c r="N599" s="20">
        <v>720320.49061447615</v>
      </c>
    </row>
    <row r="600" spans="13:14" x14ac:dyDescent="0.3">
      <c r="M600" s="11">
        <v>598</v>
      </c>
      <c r="N600" s="20">
        <v>643754.79592225107</v>
      </c>
    </row>
    <row r="601" spans="13:14" x14ac:dyDescent="0.3">
      <c r="M601" s="11">
        <v>599</v>
      </c>
      <c r="N601" s="20">
        <v>667065.51705004333</v>
      </c>
    </row>
    <row r="602" spans="13:14" x14ac:dyDescent="0.3">
      <c r="M602" s="11">
        <v>600</v>
      </c>
      <c r="N602" s="20">
        <v>484005.60812779225</v>
      </c>
    </row>
    <row r="603" spans="13:14" x14ac:dyDescent="0.3">
      <c r="M603" s="11">
        <v>601</v>
      </c>
      <c r="N603" s="20">
        <v>719919.78573002596</v>
      </c>
    </row>
    <row r="604" spans="13:14" x14ac:dyDescent="0.3">
      <c r="M604" s="11">
        <v>602</v>
      </c>
      <c r="N604" s="20">
        <v>554574.57842225116</v>
      </c>
    </row>
    <row r="605" spans="13:14" x14ac:dyDescent="0.3">
      <c r="M605" s="11">
        <v>603</v>
      </c>
      <c r="N605" s="20">
        <v>713320.16625558445</v>
      </c>
    </row>
    <row r="606" spans="13:14" x14ac:dyDescent="0.3">
      <c r="M606" s="11">
        <v>604</v>
      </c>
      <c r="N606" s="20">
        <v>653036.20315281383</v>
      </c>
    </row>
    <row r="607" spans="13:14" x14ac:dyDescent="0.3">
      <c r="M607" s="11">
        <v>605</v>
      </c>
      <c r="N607" s="20">
        <v>702519.50819168834</v>
      </c>
    </row>
    <row r="608" spans="13:14" x14ac:dyDescent="0.3">
      <c r="M608" s="11">
        <v>606</v>
      </c>
      <c r="N608" s="20">
        <v>651284.25585835497</v>
      </c>
    </row>
    <row r="609" spans="13:14" x14ac:dyDescent="0.3">
      <c r="M609" s="11">
        <v>607</v>
      </c>
      <c r="N609" s="20">
        <v>904509.26189669268</v>
      </c>
    </row>
    <row r="610" spans="13:14" x14ac:dyDescent="0.3">
      <c r="M610" s="11">
        <v>608</v>
      </c>
      <c r="N610" s="20">
        <v>489309.61425558443</v>
      </c>
    </row>
    <row r="611" spans="13:14" x14ac:dyDescent="0.3">
      <c r="M611" s="11">
        <v>609</v>
      </c>
      <c r="N611" s="20">
        <v>872941.15746112552</v>
      </c>
    </row>
    <row r="612" spans="13:14" x14ac:dyDescent="0.3">
      <c r="M612" s="11">
        <v>610</v>
      </c>
      <c r="N612" s="20">
        <v>806135.27698614728</v>
      </c>
    </row>
    <row r="613" spans="13:14" x14ac:dyDescent="0.3">
      <c r="M613" s="11">
        <v>611</v>
      </c>
      <c r="N613" s="20">
        <v>802782.77538337663</v>
      </c>
    </row>
    <row r="614" spans="13:14" x14ac:dyDescent="0.3">
      <c r="M614" s="11">
        <v>612</v>
      </c>
      <c r="N614" s="20">
        <v>733538.50056335935</v>
      </c>
    </row>
    <row r="615" spans="13:14" x14ac:dyDescent="0.3">
      <c r="M615" s="11">
        <v>613</v>
      </c>
      <c r="N615" s="20">
        <v>691342.8192811429</v>
      </c>
    </row>
    <row r="616" spans="13:14" x14ac:dyDescent="0.3">
      <c r="M616" s="11">
        <v>614</v>
      </c>
      <c r="N616" s="20">
        <v>777896.11025558447</v>
      </c>
    </row>
    <row r="617" spans="13:14" x14ac:dyDescent="0.3">
      <c r="M617" s="11">
        <v>615</v>
      </c>
      <c r="N617" s="20">
        <v>619719.17751116888</v>
      </c>
    </row>
    <row r="618" spans="13:14" x14ac:dyDescent="0.3">
      <c r="M618" s="11">
        <v>616</v>
      </c>
      <c r="N618" s="20">
        <v>719343.89478060603</v>
      </c>
    </row>
    <row r="619" spans="13:14" x14ac:dyDescent="0.3">
      <c r="M619" s="11">
        <v>617</v>
      </c>
      <c r="N619" s="20">
        <v>690209.67315281392</v>
      </c>
    </row>
    <row r="620" spans="13:14" x14ac:dyDescent="0.3">
      <c r="M620" s="11">
        <v>618</v>
      </c>
      <c r="N620" s="20">
        <v>799673.51519168832</v>
      </c>
    </row>
    <row r="621" spans="13:14" x14ac:dyDescent="0.3">
      <c r="M621" s="11">
        <v>619</v>
      </c>
      <c r="N621" s="20">
        <v>847219.20606335928</v>
      </c>
    </row>
    <row r="622" spans="13:14" x14ac:dyDescent="0.3">
      <c r="M622" s="11">
        <v>620</v>
      </c>
      <c r="N622" s="20">
        <v>690200.05656335934</v>
      </c>
    </row>
    <row r="623" spans="13:14" x14ac:dyDescent="0.3">
      <c r="M623" s="11">
        <v>621</v>
      </c>
      <c r="N623" s="20">
        <v>806173.20839669264</v>
      </c>
    </row>
    <row r="624" spans="13:14" x14ac:dyDescent="0.3">
      <c r="M624" s="11">
        <v>622</v>
      </c>
      <c r="N624" s="20">
        <v>1361175.752780606</v>
      </c>
    </row>
    <row r="625" spans="13:14" x14ac:dyDescent="0.3">
      <c r="M625" s="11">
        <v>623</v>
      </c>
      <c r="N625" s="20">
        <v>764179.89523002598</v>
      </c>
    </row>
    <row r="626" spans="13:14" x14ac:dyDescent="0.3">
      <c r="M626" s="11">
        <v>624</v>
      </c>
      <c r="N626" s="20">
        <v>574673.76455004327</v>
      </c>
    </row>
    <row r="627" spans="13:14" x14ac:dyDescent="0.3">
      <c r="M627" s="11">
        <v>625</v>
      </c>
      <c r="N627" s="20">
        <v>760931.47011447616</v>
      </c>
    </row>
    <row r="628" spans="13:14" x14ac:dyDescent="0.3">
      <c r="M628" s="11">
        <v>626</v>
      </c>
      <c r="N628" s="20">
        <v>879608.89761447615</v>
      </c>
    </row>
    <row r="629" spans="13:14" x14ac:dyDescent="0.3">
      <c r="M629" s="11">
        <v>627</v>
      </c>
      <c r="N629" s="20">
        <v>803931.86989669269</v>
      </c>
    </row>
    <row r="630" spans="13:14" x14ac:dyDescent="0.3">
      <c r="M630" s="11">
        <v>628</v>
      </c>
      <c r="N630" s="20">
        <v>644250.53692225111</v>
      </c>
    </row>
    <row r="631" spans="13:14" x14ac:dyDescent="0.3">
      <c r="M631" s="11">
        <v>629</v>
      </c>
      <c r="N631" s="20">
        <v>733190.27608891774</v>
      </c>
    </row>
    <row r="632" spans="13:14" x14ac:dyDescent="0.3">
      <c r="M632" s="11">
        <v>630</v>
      </c>
      <c r="N632" s="20">
        <v>362711.25935835496</v>
      </c>
    </row>
    <row r="633" spans="13:14" x14ac:dyDescent="0.3">
      <c r="M633" s="11">
        <v>631</v>
      </c>
      <c r="N633" s="20">
        <v>852228.22858891776</v>
      </c>
    </row>
    <row r="634" spans="13:14" x14ac:dyDescent="0.3">
      <c r="M634" s="11">
        <v>632</v>
      </c>
      <c r="N634" s="20">
        <v>739354.14389669267</v>
      </c>
    </row>
    <row r="635" spans="13:14" x14ac:dyDescent="0.3">
      <c r="M635" s="11">
        <v>633</v>
      </c>
      <c r="N635" s="20">
        <v>595998.0385633593</v>
      </c>
    </row>
    <row r="636" spans="13:14" x14ac:dyDescent="0.3">
      <c r="M636" s="11">
        <v>634</v>
      </c>
      <c r="N636" s="20">
        <v>628660.92589669267</v>
      </c>
    </row>
    <row r="637" spans="13:14" x14ac:dyDescent="0.3">
      <c r="M637" s="11">
        <v>635</v>
      </c>
      <c r="N637" s="20">
        <v>737202.4999222511</v>
      </c>
    </row>
    <row r="638" spans="13:14" x14ac:dyDescent="0.3">
      <c r="M638" s="11">
        <v>636</v>
      </c>
      <c r="N638" s="20">
        <v>761211.74094780954</v>
      </c>
    </row>
    <row r="639" spans="13:14" x14ac:dyDescent="0.3">
      <c r="M639" s="11">
        <v>637</v>
      </c>
      <c r="N639" s="20">
        <v>641582.6504478096</v>
      </c>
    </row>
    <row r="640" spans="13:14" x14ac:dyDescent="0.3">
      <c r="M640" s="11">
        <v>638</v>
      </c>
      <c r="N640" s="20">
        <v>795932.1942555845</v>
      </c>
    </row>
    <row r="641" spans="13:14" x14ac:dyDescent="0.3">
      <c r="M641" s="11">
        <v>639</v>
      </c>
      <c r="N641" s="20">
        <v>716484.16589669266</v>
      </c>
    </row>
    <row r="642" spans="13:14" x14ac:dyDescent="0.3">
      <c r="M642" s="11">
        <v>640</v>
      </c>
      <c r="N642" s="20">
        <v>715147.19246112555</v>
      </c>
    </row>
    <row r="643" spans="13:14" x14ac:dyDescent="0.3">
      <c r="M643" s="11">
        <v>641</v>
      </c>
      <c r="N643" s="20">
        <v>706376.31812779221</v>
      </c>
    </row>
    <row r="644" spans="13:14" x14ac:dyDescent="0.3">
      <c r="M644" s="11">
        <v>642</v>
      </c>
      <c r="N644" s="20">
        <v>870606.12989669258</v>
      </c>
    </row>
    <row r="645" spans="13:14" x14ac:dyDescent="0.3">
      <c r="M645" s="11">
        <v>643</v>
      </c>
      <c r="N645" s="20">
        <v>707919.78573002596</v>
      </c>
    </row>
    <row r="646" spans="13:14" x14ac:dyDescent="0.3">
      <c r="M646" s="11">
        <v>644</v>
      </c>
      <c r="N646" s="20">
        <v>860402.88512779213</v>
      </c>
    </row>
    <row r="647" spans="13:14" x14ac:dyDescent="0.3">
      <c r="M647" s="11">
        <v>645</v>
      </c>
      <c r="N647" s="20">
        <v>1038900.0948966927</v>
      </c>
    </row>
    <row r="648" spans="13:14" x14ac:dyDescent="0.3">
      <c r="M648" s="11">
        <v>646</v>
      </c>
      <c r="N648" s="20">
        <v>896561.16973002604</v>
      </c>
    </row>
    <row r="649" spans="13:14" x14ac:dyDescent="0.3">
      <c r="M649" s="11">
        <v>647</v>
      </c>
      <c r="N649" s="20">
        <v>672136.38473002601</v>
      </c>
    </row>
    <row r="650" spans="13:14" x14ac:dyDescent="0.3">
      <c r="M650" s="11">
        <v>648</v>
      </c>
      <c r="N650" s="20">
        <v>654118.95906389609</v>
      </c>
    </row>
    <row r="651" spans="13:14" x14ac:dyDescent="0.3">
      <c r="M651" s="11">
        <v>649</v>
      </c>
      <c r="N651" s="20">
        <v>692330.27108891774</v>
      </c>
    </row>
    <row r="652" spans="13:14" x14ac:dyDescent="0.3">
      <c r="M652" s="11">
        <v>650</v>
      </c>
      <c r="N652" s="20">
        <v>743630.56358891772</v>
      </c>
    </row>
    <row r="653" spans="13:14" x14ac:dyDescent="0.3">
      <c r="M653" s="11">
        <v>651</v>
      </c>
      <c r="N653" s="20">
        <v>94832.034230026009</v>
      </c>
    </row>
    <row r="654" spans="13:14" x14ac:dyDescent="0.3">
      <c r="M654" s="11">
        <v>652</v>
      </c>
      <c r="N654" s="20">
        <v>843642.29423002596</v>
      </c>
    </row>
    <row r="655" spans="13:14" x14ac:dyDescent="0.3">
      <c r="M655" s="11">
        <v>653</v>
      </c>
      <c r="N655" s="20">
        <v>570511.93352502165</v>
      </c>
    </row>
    <row r="656" spans="13:14" x14ac:dyDescent="0.3">
      <c r="M656" s="11">
        <v>654</v>
      </c>
      <c r="N656" s="20">
        <v>712760.2735889178</v>
      </c>
    </row>
    <row r="657" spans="13:14" x14ac:dyDescent="0.3">
      <c r="M657" s="11">
        <v>655</v>
      </c>
      <c r="N657" s="20">
        <v>640595.28406335926</v>
      </c>
    </row>
    <row r="658" spans="13:14" x14ac:dyDescent="0.3">
      <c r="M658" s="11">
        <v>656</v>
      </c>
      <c r="N658" s="20">
        <v>726814.60825558449</v>
      </c>
    </row>
    <row r="659" spans="13:14" x14ac:dyDescent="0.3">
      <c r="M659" s="11">
        <v>657</v>
      </c>
      <c r="N659" s="20">
        <v>743922.55344780954</v>
      </c>
    </row>
    <row r="660" spans="13:14" x14ac:dyDescent="0.3">
      <c r="M660" s="11">
        <v>658</v>
      </c>
      <c r="N660" s="20">
        <v>893726.2395889177</v>
      </c>
    </row>
    <row r="661" spans="13:14" x14ac:dyDescent="0.3">
      <c r="M661" s="11">
        <v>659</v>
      </c>
      <c r="N661" s="20">
        <v>771377.85958891781</v>
      </c>
    </row>
    <row r="662" spans="13:14" x14ac:dyDescent="0.3">
      <c r="M662" s="11">
        <v>660</v>
      </c>
      <c r="N662" s="20">
        <v>531182.5236144762</v>
      </c>
    </row>
    <row r="663" spans="13:14" x14ac:dyDescent="0.3">
      <c r="M663" s="11">
        <v>661</v>
      </c>
      <c r="N663" s="20">
        <v>689942.05506335932</v>
      </c>
    </row>
    <row r="664" spans="13:14" x14ac:dyDescent="0.3">
      <c r="M664" s="11">
        <v>662</v>
      </c>
      <c r="N664" s="20">
        <v>860179.09552502155</v>
      </c>
    </row>
    <row r="665" spans="13:14" x14ac:dyDescent="0.3">
      <c r="M665" s="11">
        <v>663</v>
      </c>
      <c r="N665" s="20">
        <v>740262.71694780956</v>
      </c>
    </row>
    <row r="666" spans="13:14" x14ac:dyDescent="0.3">
      <c r="M666" s="11">
        <v>664</v>
      </c>
      <c r="N666" s="20">
        <v>671762.03461447626</v>
      </c>
    </row>
    <row r="667" spans="13:14" x14ac:dyDescent="0.3">
      <c r="M667" s="11">
        <v>665</v>
      </c>
      <c r="N667" s="20">
        <v>657802.28375558439</v>
      </c>
    </row>
    <row r="668" spans="13:14" x14ac:dyDescent="0.3">
      <c r="M668" s="11">
        <v>666</v>
      </c>
      <c r="N668" s="20">
        <v>1051520.2045889178</v>
      </c>
    </row>
    <row r="669" spans="13:14" x14ac:dyDescent="0.3">
      <c r="M669" s="11">
        <v>667</v>
      </c>
      <c r="N669" s="20">
        <v>735336.07311447617</v>
      </c>
    </row>
    <row r="670" spans="13:14" x14ac:dyDescent="0.3">
      <c r="M670" s="11">
        <v>668</v>
      </c>
      <c r="N670" s="20">
        <v>1060682.8090889177</v>
      </c>
    </row>
    <row r="671" spans="13:14" x14ac:dyDescent="0.3">
      <c r="M671" s="11">
        <v>669</v>
      </c>
      <c r="N671" s="20">
        <v>719248.04975558445</v>
      </c>
    </row>
    <row r="672" spans="13:14" x14ac:dyDescent="0.3">
      <c r="M672" s="11">
        <v>670</v>
      </c>
      <c r="N672" s="20">
        <v>795151.59878114285</v>
      </c>
    </row>
    <row r="673" spans="13:14" x14ac:dyDescent="0.3">
      <c r="M673" s="11">
        <v>671</v>
      </c>
      <c r="N673" s="20">
        <v>944593.62775558443</v>
      </c>
    </row>
    <row r="674" spans="13:14" x14ac:dyDescent="0.3">
      <c r="M674" s="11">
        <v>672</v>
      </c>
      <c r="N674" s="20">
        <v>685145.72189669264</v>
      </c>
    </row>
    <row r="675" spans="13:14" x14ac:dyDescent="0.3">
      <c r="M675" s="11">
        <v>673</v>
      </c>
      <c r="N675" s="20">
        <v>821513.69625558448</v>
      </c>
    </row>
    <row r="676" spans="13:14" x14ac:dyDescent="0.3">
      <c r="M676" s="11">
        <v>674</v>
      </c>
      <c r="N676" s="20">
        <v>908332.77311447624</v>
      </c>
    </row>
    <row r="677" spans="13:14" x14ac:dyDescent="0.3">
      <c r="M677" s="11">
        <v>675</v>
      </c>
      <c r="N677" s="20">
        <v>887720.68158891774</v>
      </c>
    </row>
    <row r="678" spans="13:14" x14ac:dyDescent="0.3">
      <c r="M678" s="11">
        <v>676</v>
      </c>
      <c r="N678" s="20">
        <v>379503.85673002596</v>
      </c>
    </row>
    <row r="679" spans="13:14" x14ac:dyDescent="0.3">
      <c r="M679" s="11">
        <v>677</v>
      </c>
      <c r="N679" s="20">
        <v>1046847.879230026</v>
      </c>
    </row>
    <row r="680" spans="13:14" x14ac:dyDescent="0.3">
      <c r="M680" s="11">
        <v>678</v>
      </c>
      <c r="N680" s="20">
        <v>468116.01792225108</v>
      </c>
    </row>
    <row r="681" spans="13:14" x14ac:dyDescent="0.3">
      <c r="M681" s="11">
        <v>679</v>
      </c>
      <c r="N681" s="20">
        <v>778546.3464478096</v>
      </c>
    </row>
    <row r="682" spans="13:14" x14ac:dyDescent="0.3">
      <c r="M682" s="11">
        <v>680</v>
      </c>
      <c r="N682" s="20">
        <v>735129.96292225108</v>
      </c>
    </row>
    <row r="683" spans="13:14" x14ac:dyDescent="0.3">
      <c r="M683" s="11">
        <v>681</v>
      </c>
      <c r="N683" s="20">
        <v>1165394.5479478093</v>
      </c>
    </row>
    <row r="684" spans="13:14" x14ac:dyDescent="0.3">
      <c r="M684" s="11">
        <v>682</v>
      </c>
      <c r="N684" s="20">
        <v>751030.82328114286</v>
      </c>
    </row>
    <row r="685" spans="13:14" x14ac:dyDescent="0.3">
      <c r="M685" s="11">
        <v>683</v>
      </c>
      <c r="N685" s="20">
        <v>584740.6552555844</v>
      </c>
    </row>
    <row r="686" spans="13:14" x14ac:dyDescent="0.3">
      <c r="M686" s="11">
        <v>684</v>
      </c>
      <c r="N686" s="20">
        <v>863999.90392225108</v>
      </c>
    </row>
    <row r="687" spans="13:14" x14ac:dyDescent="0.3">
      <c r="M687" s="11">
        <v>685</v>
      </c>
      <c r="N687" s="20">
        <v>1025962.3557811431</v>
      </c>
    </row>
    <row r="688" spans="13:14" x14ac:dyDescent="0.3">
      <c r="M688" s="11">
        <v>686</v>
      </c>
      <c r="N688" s="20">
        <v>705276.92002502165</v>
      </c>
    </row>
    <row r="689" spans="13:14" x14ac:dyDescent="0.3">
      <c r="M689" s="11">
        <v>687</v>
      </c>
      <c r="N689" s="20">
        <v>670012.32858891774</v>
      </c>
    </row>
    <row r="690" spans="13:14" x14ac:dyDescent="0.3">
      <c r="M690" s="11">
        <v>688</v>
      </c>
      <c r="N690" s="20">
        <v>362729.7928966927</v>
      </c>
    </row>
    <row r="691" spans="13:14" x14ac:dyDescent="0.3">
      <c r="M691" s="11">
        <v>689</v>
      </c>
      <c r="N691" s="20">
        <v>591134.36178060609</v>
      </c>
    </row>
    <row r="692" spans="13:14" x14ac:dyDescent="0.3">
      <c r="M692" s="11">
        <v>690</v>
      </c>
      <c r="N692" s="20">
        <v>725461.73452502163</v>
      </c>
    </row>
    <row r="693" spans="13:14" x14ac:dyDescent="0.3">
      <c r="M693" s="11">
        <v>691</v>
      </c>
      <c r="N693" s="20">
        <v>614143.93173002603</v>
      </c>
    </row>
    <row r="694" spans="13:14" x14ac:dyDescent="0.3">
      <c r="M694" s="11">
        <v>692</v>
      </c>
      <c r="N694" s="20">
        <v>602648.4191916883</v>
      </c>
    </row>
    <row r="695" spans="13:14" x14ac:dyDescent="0.3">
      <c r="M695" s="11">
        <v>693</v>
      </c>
      <c r="N695" s="20">
        <v>738349.36773002602</v>
      </c>
    </row>
    <row r="696" spans="13:14" x14ac:dyDescent="0.3">
      <c r="M696" s="11">
        <v>694</v>
      </c>
      <c r="N696" s="20">
        <v>761823.52492225112</v>
      </c>
    </row>
    <row r="697" spans="13:14" x14ac:dyDescent="0.3">
      <c r="M697" s="11">
        <v>695</v>
      </c>
      <c r="N697" s="20">
        <v>889946.16131948051</v>
      </c>
    </row>
    <row r="698" spans="13:14" x14ac:dyDescent="0.3">
      <c r="M698" s="11">
        <v>696</v>
      </c>
      <c r="N698" s="20">
        <v>780414.49256389611</v>
      </c>
    </row>
    <row r="699" spans="13:14" x14ac:dyDescent="0.3">
      <c r="M699" s="11">
        <v>697</v>
      </c>
      <c r="N699" s="20">
        <v>1020250.3146144763</v>
      </c>
    </row>
    <row r="700" spans="13:14" x14ac:dyDescent="0.3">
      <c r="M700" s="11">
        <v>698</v>
      </c>
      <c r="N700" s="20">
        <v>1310443.3018583548</v>
      </c>
    </row>
    <row r="701" spans="13:14" x14ac:dyDescent="0.3">
      <c r="M701" s="11">
        <v>699</v>
      </c>
      <c r="N701" s="20">
        <v>867733.31611393939</v>
      </c>
    </row>
    <row r="702" spans="13:14" x14ac:dyDescent="0.3">
      <c r="M702" s="11">
        <v>700</v>
      </c>
      <c r="N702" s="20">
        <v>730222.98485835502</v>
      </c>
    </row>
    <row r="703" spans="13:14" x14ac:dyDescent="0.3">
      <c r="M703" s="11">
        <v>701</v>
      </c>
      <c r="N703" s="20">
        <v>779377.535230026</v>
      </c>
    </row>
    <row r="704" spans="13:14" x14ac:dyDescent="0.3">
      <c r="M704" s="11">
        <v>702</v>
      </c>
      <c r="N704" s="20">
        <v>723914.68528114283</v>
      </c>
    </row>
    <row r="705" spans="13:14" x14ac:dyDescent="0.3">
      <c r="M705" s="11">
        <v>703</v>
      </c>
      <c r="N705" s="20">
        <v>729142.60725558444</v>
      </c>
    </row>
    <row r="706" spans="13:14" x14ac:dyDescent="0.3">
      <c r="M706" s="11">
        <v>704</v>
      </c>
      <c r="N706" s="20">
        <v>700243.03748614725</v>
      </c>
    </row>
    <row r="707" spans="13:14" x14ac:dyDescent="0.3">
      <c r="M707" s="11">
        <v>705</v>
      </c>
      <c r="N707" s="20">
        <v>653642.36294780951</v>
      </c>
    </row>
    <row r="708" spans="13:14" x14ac:dyDescent="0.3">
      <c r="M708" s="11">
        <v>706</v>
      </c>
      <c r="N708" s="20">
        <v>614613.12494780961</v>
      </c>
    </row>
    <row r="709" spans="13:14" x14ac:dyDescent="0.3">
      <c r="M709" s="11">
        <v>707</v>
      </c>
      <c r="N709" s="20">
        <v>639327.97211393935</v>
      </c>
    </row>
    <row r="710" spans="13:14" x14ac:dyDescent="0.3">
      <c r="M710" s="11">
        <v>708</v>
      </c>
      <c r="N710" s="20">
        <v>915538.5757555844</v>
      </c>
    </row>
    <row r="711" spans="13:14" x14ac:dyDescent="0.3">
      <c r="M711" s="11">
        <v>709</v>
      </c>
      <c r="N711" s="20">
        <v>481349.22711447626</v>
      </c>
    </row>
    <row r="712" spans="13:14" x14ac:dyDescent="0.3">
      <c r="M712" s="11">
        <v>710</v>
      </c>
      <c r="N712" s="20">
        <v>693800.81115281384</v>
      </c>
    </row>
    <row r="713" spans="13:14" x14ac:dyDescent="0.3">
      <c r="M713" s="11">
        <v>711</v>
      </c>
      <c r="N713" s="20">
        <v>1440173.0009611256</v>
      </c>
    </row>
    <row r="714" spans="13:14" x14ac:dyDescent="0.3">
      <c r="M714" s="11">
        <v>712</v>
      </c>
      <c r="N714" s="20">
        <v>778454.88408891775</v>
      </c>
    </row>
    <row r="715" spans="13:14" x14ac:dyDescent="0.3">
      <c r="M715" s="11">
        <v>713</v>
      </c>
      <c r="N715" s="20">
        <v>831215.15719168831</v>
      </c>
    </row>
    <row r="716" spans="13:14" x14ac:dyDescent="0.3">
      <c r="M716" s="11">
        <v>714</v>
      </c>
      <c r="N716" s="20">
        <v>542765.82044727274</v>
      </c>
    </row>
    <row r="717" spans="13:14" x14ac:dyDescent="0.3">
      <c r="M717" s="11">
        <v>715</v>
      </c>
      <c r="N717" s="20">
        <v>643754.79592225107</v>
      </c>
    </row>
    <row r="718" spans="13:14" x14ac:dyDescent="0.3">
      <c r="M718" s="11">
        <v>716</v>
      </c>
      <c r="N718" s="20">
        <v>870232.18131948053</v>
      </c>
    </row>
    <row r="719" spans="13:14" x14ac:dyDescent="0.3">
      <c r="M719" s="11">
        <v>717</v>
      </c>
      <c r="N719" s="20">
        <v>809571.74594780954</v>
      </c>
    </row>
    <row r="720" spans="13:14" x14ac:dyDescent="0.3">
      <c r="M720" s="11">
        <v>718</v>
      </c>
      <c r="N720" s="20">
        <v>992652.47425558441</v>
      </c>
    </row>
    <row r="721" spans="13:14" x14ac:dyDescent="0.3">
      <c r="M721" s="11">
        <v>719</v>
      </c>
      <c r="N721" s="20">
        <v>616816.85775558441</v>
      </c>
    </row>
    <row r="722" spans="13:14" x14ac:dyDescent="0.3">
      <c r="M722" s="11">
        <v>720</v>
      </c>
      <c r="N722" s="20">
        <v>717040.21978114289</v>
      </c>
    </row>
    <row r="723" spans="13:14" x14ac:dyDescent="0.3">
      <c r="M723" s="11">
        <v>721</v>
      </c>
      <c r="N723" s="20">
        <v>720040.21978114289</v>
      </c>
    </row>
    <row r="724" spans="13:14" x14ac:dyDescent="0.3">
      <c r="M724" s="11">
        <v>722</v>
      </c>
      <c r="N724" s="20">
        <v>621482.86884450214</v>
      </c>
    </row>
    <row r="725" spans="13:14" x14ac:dyDescent="0.3">
      <c r="M725" s="11">
        <v>723</v>
      </c>
      <c r="N725" s="20">
        <v>715243.03748614725</v>
      </c>
    </row>
    <row r="726" spans="13:14" x14ac:dyDescent="0.3">
      <c r="M726" s="11">
        <v>724</v>
      </c>
      <c r="N726" s="20">
        <v>1043236.0952555845</v>
      </c>
    </row>
    <row r="727" spans="13:14" x14ac:dyDescent="0.3">
      <c r="M727" s="11">
        <v>725</v>
      </c>
      <c r="N727" s="20">
        <v>933080.68658891774</v>
      </c>
    </row>
    <row r="728" spans="13:14" x14ac:dyDescent="0.3">
      <c r="M728" s="11">
        <v>726</v>
      </c>
      <c r="N728" s="20">
        <v>788432.1942555845</v>
      </c>
    </row>
    <row r="729" spans="13:14" x14ac:dyDescent="0.3">
      <c r="M729" s="11">
        <v>727</v>
      </c>
      <c r="N729" s="20">
        <v>570896.31108891778</v>
      </c>
    </row>
    <row r="730" spans="13:14" x14ac:dyDescent="0.3">
      <c r="M730" s="11">
        <v>728</v>
      </c>
      <c r="N730" s="20">
        <v>568251.56412779226</v>
      </c>
    </row>
    <row r="731" spans="13:14" x14ac:dyDescent="0.3">
      <c r="M731" s="11">
        <v>729</v>
      </c>
      <c r="N731" s="20">
        <v>651336.00269168837</v>
      </c>
    </row>
    <row r="732" spans="13:14" x14ac:dyDescent="0.3">
      <c r="M732" s="11">
        <v>730</v>
      </c>
      <c r="N732" s="20">
        <v>647908.5880250216</v>
      </c>
    </row>
    <row r="733" spans="13:14" x14ac:dyDescent="0.3">
      <c r="M733" s="11">
        <v>731</v>
      </c>
      <c r="N733" s="20">
        <v>796263.70739669271</v>
      </c>
    </row>
    <row r="734" spans="13:14" x14ac:dyDescent="0.3">
      <c r="M734" s="11">
        <v>732</v>
      </c>
      <c r="N734" s="20">
        <v>662906.47558891773</v>
      </c>
    </row>
    <row r="735" spans="13:14" x14ac:dyDescent="0.3">
      <c r="M735" s="11">
        <v>733</v>
      </c>
      <c r="N735" s="20">
        <v>533509.8560889177</v>
      </c>
    </row>
    <row r="736" spans="13:14" x14ac:dyDescent="0.3">
      <c r="M736" s="11">
        <v>734</v>
      </c>
      <c r="N736" s="20">
        <v>829082.44961447618</v>
      </c>
    </row>
    <row r="737" spans="13:14" x14ac:dyDescent="0.3">
      <c r="M737" s="11">
        <v>735</v>
      </c>
      <c r="N737" s="20">
        <v>712480.00275558443</v>
      </c>
    </row>
    <row r="738" spans="13:14" x14ac:dyDescent="0.3">
      <c r="M738" s="11">
        <v>736</v>
      </c>
      <c r="N738" s="20">
        <v>535570.41528114292</v>
      </c>
    </row>
    <row r="739" spans="13:14" x14ac:dyDescent="0.3">
      <c r="M739" s="11">
        <v>737</v>
      </c>
      <c r="N739" s="20">
        <v>637746.79428114288</v>
      </c>
    </row>
    <row r="740" spans="13:14" x14ac:dyDescent="0.3">
      <c r="M740" s="11">
        <v>738</v>
      </c>
      <c r="N740" s="20">
        <v>777635.84352502169</v>
      </c>
    </row>
    <row r="741" spans="13:14" x14ac:dyDescent="0.3">
      <c r="M741" s="11">
        <v>739</v>
      </c>
      <c r="N741" s="20">
        <v>744165.18938337662</v>
      </c>
    </row>
    <row r="742" spans="13:14" x14ac:dyDescent="0.3">
      <c r="M742" s="11">
        <v>740</v>
      </c>
      <c r="N742" s="20">
        <v>575577.17278114287</v>
      </c>
    </row>
    <row r="743" spans="13:14" x14ac:dyDescent="0.3">
      <c r="M743" s="11">
        <v>741</v>
      </c>
      <c r="N743" s="20">
        <v>765407.14611393935</v>
      </c>
    </row>
    <row r="744" spans="13:14" x14ac:dyDescent="0.3">
      <c r="M744" s="11">
        <v>742</v>
      </c>
      <c r="N744" s="20">
        <v>821341.37089669262</v>
      </c>
    </row>
    <row r="745" spans="13:14" x14ac:dyDescent="0.3">
      <c r="M745" s="11">
        <v>743</v>
      </c>
      <c r="N745" s="20">
        <v>548026.85025558446</v>
      </c>
    </row>
    <row r="746" spans="13:14" x14ac:dyDescent="0.3">
      <c r="M746" s="11">
        <v>744</v>
      </c>
      <c r="N746" s="20">
        <v>772408.71281948057</v>
      </c>
    </row>
    <row r="747" spans="13:14" x14ac:dyDescent="0.3">
      <c r="M747" s="11">
        <v>745</v>
      </c>
      <c r="N747" s="20">
        <v>1191307.5630889176</v>
      </c>
    </row>
    <row r="748" spans="13:14" x14ac:dyDescent="0.3">
      <c r="M748" s="11">
        <v>746</v>
      </c>
      <c r="N748" s="20">
        <v>644376.5402555844</v>
      </c>
    </row>
    <row r="749" spans="13:14" x14ac:dyDescent="0.3">
      <c r="M749" s="11">
        <v>747</v>
      </c>
      <c r="N749" s="20">
        <v>608417.02948614722</v>
      </c>
    </row>
    <row r="750" spans="13:14" x14ac:dyDescent="0.3">
      <c r="M750" s="11">
        <v>748</v>
      </c>
      <c r="N750" s="20">
        <v>771658.13042225107</v>
      </c>
    </row>
    <row r="751" spans="13:14" x14ac:dyDescent="0.3">
      <c r="M751" s="11">
        <v>749</v>
      </c>
      <c r="N751" s="20">
        <v>696317.72289669258</v>
      </c>
    </row>
    <row r="752" spans="13:14" x14ac:dyDescent="0.3">
      <c r="M752" s="11">
        <v>750</v>
      </c>
      <c r="N752" s="20">
        <v>717873.35471670993</v>
      </c>
    </row>
    <row r="753" spans="13:14" x14ac:dyDescent="0.3">
      <c r="M753" s="11">
        <v>751</v>
      </c>
      <c r="N753" s="20">
        <v>713065.56519168837</v>
      </c>
    </row>
    <row r="754" spans="13:14" x14ac:dyDescent="0.3">
      <c r="M754" s="11">
        <v>752</v>
      </c>
      <c r="N754" s="20">
        <v>703990.04825558444</v>
      </c>
    </row>
    <row r="755" spans="13:14" x14ac:dyDescent="0.3">
      <c r="M755" s="11">
        <v>753</v>
      </c>
      <c r="N755" s="20">
        <v>569353.4535500434</v>
      </c>
    </row>
    <row r="756" spans="13:14" x14ac:dyDescent="0.3">
      <c r="M756" s="11">
        <v>754</v>
      </c>
      <c r="N756" s="20">
        <v>720932.27458891773</v>
      </c>
    </row>
    <row r="757" spans="13:14" x14ac:dyDescent="0.3">
      <c r="M757" s="11">
        <v>755</v>
      </c>
      <c r="N757" s="20">
        <v>716122.54381948058</v>
      </c>
    </row>
    <row r="758" spans="13:14" x14ac:dyDescent="0.3">
      <c r="M758" s="11">
        <v>756</v>
      </c>
      <c r="N758" s="20">
        <v>1055212.793794459</v>
      </c>
    </row>
    <row r="759" spans="13:14" x14ac:dyDescent="0.3">
      <c r="M759" s="11">
        <v>757</v>
      </c>
      <c r="N759" s="20">
        <v>875290.35473002598</v>
      </c>
    </row>
    <row r="760" spans="13:14" x14ac:dyDescent="0.3">
      <c r="M760" s="11">
        <v>758</v>
      </c>
      <c r="N760" s="20">
        <v>714367.70189669263</v>
      </c>
    </row>
    <row r="761" spans="13:14" x14ac:dyDescent="0.3">
      <c r="M761" s="11">
        <v>759</v>
      </c>
      <c r="N761" s="20">
        <v>727148.48961447622</v>
      </c>
    </row>
    <row r="762" spans="13:14" x14ac:dyDescent="0.3">
      <c r="M762" s="11">
        <v>760</v>
      </c>
      <c r="N762" s="20">
        <v>777127.04869168834</v>
      </c>
    </row>
    <row r="763" spans="13:14" x14ac:dyDescent="0.3">
      <c r="M763" s="11">
        <v>761</v>
      </c>
      <c r="N763" s="20">
        <v>764759.86861447617</v>
      </c>
    </row>
    <row r="764" spans="13:14" x14ac:dyDescent="0.3">
      <c r="M764" s="11">
        <v>762</v>
      </c>
      <c r="N764" s="20">
        <v>734094.55444780958</v>
      </c>
    </row>
    <row r="765" spans="13:14" x14ac:dyDescent="0.3">
      <c r="M765" s="11">
        <v>763</v>
      </c>
      <c r="N765" s="20">
        <v>664082.65044780949</v>
      </c>
    </row>
    <row r="766" spans="13:14" x14ac:dyDescent="0.3">
      <c r="M766" s="11">
        <v>764</v>
      </c>
      <c r="N766" s="20">
        <v>713652.32839669264</v>
      </c>
    </row>
    <row r="767" spans="13:14" x14ac:dyDescent="0.3">
      <c r="M767" s="11">
        <v>765</v>
      </c>
      <c r="N767" s="20">
        <v>305184.77958891774</v>
      </c>
    </row>
    <row r="768" spans="13:14" x14ac:dyDescent="0.3">
      <c r="M768" s="11">
        <v>766</v>
      </c>
      <c r="N768" s="20">
        <v>631976.56894780952</v>
      </c>
    </row>
    <row r="769" spans="13:14" x14ac:dyDescent="0.3">
      <c r="M769" s="11">
        <v>767</v>
      </c>
      <c r="N769" s="20">
        <v>674400.59294780949</v>
      </c>
    </row>
    <row r="770" spans="13:14" x14ac:dyDescent="0.3">
      <c r="M770" s="11">
        <v>768</v>
      </c>
      <c r="N770" s="20">
        <v>378796.6757555845</v>
      </c>
    </row>
    <row r="771" spans="13:14" x14ac:dyDescent="0.3">
      <c r="M771" s="11">
        <v>769</v>
      </c>
      <c r="N771" s="20">
        <v>608708.52198614727</v>
      </c>
    </row>
    <row r="772" spans="13:14" x14ac:dyDescent="0.3">
      <c r="M772" s="11">
        <v>770</v>
      </c>
      <c r="N772" s="20">
        <v>709760.2735889178</v>
      </c>
    </row>
    <row r="773" spans="13:14" x14ac:dyDescent="0.3">
      <c r="M773" s="11">
        <v>771</v>
      </c>
      <c r="N773" s="20">
        <v>655636.48058891774</v>
      </c>
    </row>
    <row r="774" spans="13:14" x14ac:dyDescent="0.3">
      <c r="M774" s="11">
        <v>772</v>
      </c>
      <c r="N774" s="20">
        <v>782048.88779445889</v>
      </c>
    </row>
    <row r="775" spans="13:14" x14ac:dyDescent="0.3">
      <c r="M775" s="11">
        <v>773</v>
      </c>
      <c r="N775" s="20">
        <v>732723.78489669273</v>
      </c>
    </row>
    <row r="776" spans="13:14" x14ac:dyDescent="0.3">
      <c r="M776" s="11">
        <v>774</v>
      </c>
      <c r="N776" s="20">
        <v>510035.15988337668</v>
      </c>
    </row>
    <row r="777" spans="13:14" x14ac:dyDescent="0.3">
      <c r="M777" s="11">
        <v>775</v>
      </c>
      <c r="N777" s="20">
        <v>578288.10058891785</v>
      </c>
    </row>
    <row r="778" spans="13:14" x14ac:dyDescent="0.3">
      <c r="M778" s="11">
        <v>776</v>
      </c>
      <c r="N778" s="20">
        <v>642918.79528114281</v>
      </c>
    </row>
    <row r="779" spans="13:14" x14ac:dyDescent="0.3">
      <c r="M779" s="11">
        <v>777</v>
      </c>
      <c r="N779" s="20">
        <v>671900.2685889178</v>
      </c>
    </row>
    <row r="780" spans="13:14" x14ac:dyDescent="0.3">
      <c r="M780" s="11">
        <v>778</v>
      </c>
      <c r="N780" s="20">
        <v>668594.97698614723</v>
      </c>
    </row>
    <row r="781" spans="13:14" x14ac:dyDescent="0.3">
      <c r="M781" s="11">
        <v>779</v>
      </c>
      <c r="N781" s="20">
        <v>699218.48711447627</v>
      </c>
    </row>
    <row r="782" spans="13:14" x14ac:dyDescent="0.3">
      <c r="M782" s="11">
        <v>780</v>
      </c>
      <c r="N782" s="20">
        <v>917690.07525558444</v>
      </c>
    </row>
    <row r="783" spans="13:14" x14ac:dyDescent="0.3">
      <c r="M783" s="11">
        <v>781</v>
      </c>
      <c r="N783" s="20">
        <v>692050.00025558448</v>
      </c>
    </row>
    <row r="784" spans="13:14" x14ac:dyDescent="0.3">
      <c r="M784" s="11">
        <v>782</v>
      </c>
      <c r="N784" s="20">
        <v>503301.01198614726</v>
      </c>
    </row>
    <row r="785" spans="13:14" x14ac:dyDescent="0.3">
      <c r="M785" s="11">
        <v>783</v>
      </c>
      <c r="N785" s="20">
        <v>729009.46269168833</v>
      </c>
    </row>
    <row r="786" spans="13:14" x14ac:dyDescent="0.3">
      <c r="M786" s="11">
        <v>784</v>
      </c>
      <c r="N786" s="20">
        <v>775877.85958891781</v>
      </c>
    </row>
    <row r="787" spans="13:14" x14ac:dyDescent="0.3">
      <c r="M787" s="11">
        <v>785</v>
      </c>
      <c r="N787" s="20">
        <v>641844.59755004337</v>
      </c>
    </row>
    <row r="788" spans="13:14" x14ac:dyDescent="0.3">
      <c r="M788" s="11">
        <v>786</v>
      </c>
      <c r="N788" s="20">
        <v>828303.27688337665</v>
      </c>
    </row>
    <row r="789" spans="13:14" x14ac:dyDescent="0.3">
      <c r="M789" s="11">
        <v>787</v>
      </c>
      <c r="N789" s="20">
        <v>731634.09008891776</v>
      </c>
    </row>
    <row r="790" spans="13:14" x14ac:dyDescent="0.3">
      <c r="M790" s="11">
        <v>788</v>
      </c>
      <c r="N790" s="20">
        <v>697980.32739669271</v>
      </c>
    </row>
    <row r="791" spans="13:14" x14ac:dyDescent="0.3">
      <c r="M791" s="11">
        <v>789</v>
      </c>
      <c r="N791" s="20">
        <v>1042484.3115638961</v>
      </c>
    </row>
    <row r="792" spans="13:14" x14ac:dyDescent="0.3">
      <c r="M792" s="11">
        <v>790</v>
      </c>
      <c r="N792" s="20">
        <v>661672.16508891771</v>
      </c>
    </row>
    <row r="793" spans="13:14" x14ac:dyDescent="0.3">
      <c r="M793" s="11">
        <v>791</v>
      </c>
      <c r="N793" s="20">
        <v>639927.82905004336</v>
      </c>
    </row>
    <row r="794" spans="13:14" x14ac:dyDescent="0.3">
      <c r="M794" s="11">
        <v>792</v>
      </c>
      <c r="N794" s="20">
        <v>902325.05358891771</v>
      </c>
    </row>
    <row r="795" spans="13:14" x14ac:dyDescent="0.3">
      <c r="M795" s="11">
        <v>793</v>
      </c>
      <c r="N795" s="20">
        <v>710601.0860889178</v>
      </c>
    </row>
    <row r="796" spans="13:14" x14ac:dyDescent="0.3">
      <c r="M796" s="11">
        <v>794</v>
      </c>
      <c r="N796" s="20">
        <v>712760.2735889178</v>
      </c>
    </row>
    <row r="797" spans="13:14" x14ac:dyDescent="0.3">
      <c r="M797" s="11">
        <v>795</v>
      </c>
      <c r="N797" s="20">
        <v>660611.83435835503</v>
      </c>
    </row>
    <row r="798" spans="13:14" x14ac:dyDescent="0.3">
      <c r="M798" s="11">
        <v>796</v>
      </c>
      <c r="N798" s="20">
        <v>639474.200730026</v>
      </c>
    </row>
    <row r="799" spans="13:14" x14ac:dyDescent="0.3">
      <c r="M799" s="11">
        <v>797</v>
      </c>
      <c r="N799" s="20">
        <v>677563.81175558444</v>
      </c>
    </row>
    <row r="800" spans="13:14" x14ac:dyDescent="0.3">
      <c r="M800" s="11">
        <v>798</v>
      </c>
      <c r="N800" s="20">
        <v>623470.68658891774</v>
      </c>
    </row>
    <row r="801" spans="13:14" x14ac:dyDescent="0.3">
      <c r="M801" s="11">
        <v>799</v>
      </c>
      <c r="N801" s="20">
        <v>738017.85458891781</v>
      </c>
    </row>
    <row r="802" spans="13:14" x14ac:dyDescent="0.3">
      <c r="M802" s="11">
        <v>800</v>
      </c>
      <c r="N802" s="20">
        <v>519867.81923002598</v>
      </c>
    </row>
    <row r="803" spans="13:14" x14ac:dyDescent="0.3">
      <c r="M803" s="11">
        <v>801</v>
      </c>
      <c r="N803" s="20">
        <v>646642.68758891779</v>
      </c>
    </row>
    <row r="804" spans="13:14" x14ac:dyDescent="0.3">
      <c r="M804" s="11">
        <v>802</v>
      </c>
      <c r="N804" s="20">
        <v>69381.67858891777</v>
      </c>
    </row>
    <row r="805" spans="13:14" x14ac:dyDescent="0.3">
      <c r="M805" s="11">
        <v>803</v>
      </c>
      <c r="N805" s="20">
        <v>740374.82528114296</v>
      </c>
    </row>
    <row r="806" spans="13:14" x14ac:dyDescent="0.3">
      <c r="M806" s="11">
        <v>804</v>
      </c>
      <c r="N806" s="20">
        <v>1043179.3920889178</v>
      </c>
    </row>
    <row r="807" spans="13:14" x14ac:dyDescent="0.3">
      <c r="M807" s="11">
        <v>805</v>
      </c>
      <c r="N807" s="20">
        <v>814020.86929445888</v>
      </c>
    </row>
    <row r="808" spans="13:14" x14ac:dyDescent="0.3">
      <c r="M808" s="11">
        <v>806</v>
      </c>
      <c r="N808" s="20">
        <v>731456.17652502167</v>
      </c>
    </row>
    <row r="809" spans="13:14" x14ac:dyDescent="0.3">
      <c r="M809" s="11">
        <v>807</v>
      </c>
      <c r="N809" s="20">
        <v>842546.70025558444</v>
      </c>
    </row>
    <row r="810" spans="13:14" x14ac:dyDescent="0.3">
      <c r="M810" s="11">
        <v>808</v>
      </c>
      <c r="N810" s="20">
        <v>897530.60596112558</v>
      </c>
    </row>
    <row r="811" spans="13:14" x14ac:dyDescent="0.3">
      <c r="M811" s="11">
        <v>809</v>
      </c>
      <c r="N811" s="20">
        <v>754082.84778114292</v>
      </c>
    </row>
    <row r="812" spans="13:14" x14ac:dyDescent="0.3">
      <c r="M812" s="11">
        <v>810</v>
      </c>
      <c r="N812" s="20">
        <v>529424.52211447619</v>
      </c>
    </row>
    <row r="813" spans="13:14" x14ac:dyDescent="0.3">
      <c r="M813" s="11">
        <v>811</v>
      </c>
      <c r="N813" s="20">
        <v>713040.54442225106</v>
      </c>
    </row>
    <row r="814" spans="13:14" x14ac:dyDescent="0.3">
      <c r="M814" s="11">
        <v>812</v>
      </c>
      <c r="N814" s="20">
        <v>732298.22128114291</v>
      </c>
    </row>
    <row r="815" spans="13:14" x14ac:dyDescent="0.3">
      <c r="M815" s="11">
        <v>813</v>
      </c>
      <c r="N815" s="20">
        <v>782158.13042225107</v>
      </c>
    </row>
    <row r="816" spans="13:14" x14ac:dyDescent="0.3">
      <c r="M816" s="11">
        <v>814</v>
      </c>
      <c r="N816" s="20">
        <v>787049.86058891774</v>
      </c>
    </row>
    <row r="817" spans="13:14" x14ac:dyDescent="0.3">
      <c r="M817" s="11">
        <v>815</v>
      </c>
      <c r="N817" s="20">
        <v>566908.85928114294</v>
      </c>
    </row>
    <row r="818" spans="13:14" x14ac:dyDescent="0.3">
      <c r="M818" s="11">
        <v>816</v>
      </c>
      <c r="N818" s="20">
        <v>751784.32628114289</v>
      </c>
    </row>
    <row r="819" spans="13:14" x14ac:dyDescent="0.3">
      <c r="M819" s="11">
        <v>817</v>
      </c>
      <c r="N819" s="20">
        <v>814104.62256335933</v>
      </c>
    </row>
    <row r="820" spans="13:14" x14ac:dyDescent="0.3">
      <c r="M820" s="11">
        <v>818</v>
      </c>
      <c r="N820" s="20">
        <v>700045.74125558441</v>
      </c>
    </row>
    <row r="821" spans="13:14" x14ac:dyDescent="0.3">
      <c r="M821" s="11">
        <v>819</v>
      </c>
      <c r="N821" s="20">
        <v>715872.38192225108</v>
      </c>
    </row>
    <row r="822" spans="13:14" x14ac:dyDescent="0.3">
      <c r="M822" s="11">
        <v>820</v>
      </c>
      <c r="N822" s="20">
        <v>708407.39985835494</v>
      </c>
    </row>
    <row r="823" spans="13:14" x14ac:dyDescent="0.3">
      <c r="M823" s="11">
        <v>821</v>
      </c>
      <c r="N823" s="20">
        <v>674959.1884611256</v>
      </c>
    </row>
    <row r="824" spans="13:14" x14ac:dyDescent="0.3">
      <c r="M824" s="11">
        <v>822</v>
      </c>
      <c r="N824" s="20">
        <v>884783.68889669259</v>
      </c>
    </row>
    <row r="825" spans="13:14" x14ac:dyDescent="0.3">
      <c r="M825" s="11">
        <v>823</v>
      </c>
      <c r="N825" s="20">
        <v>767275.79675558442</v>
      </c>
    </row>
    <row r="826" spans="13:14" x14ac:dyDescent="0.3">
      <c r="M826" s="11">
        <v>824</v>
      </c>
      <c r="N826" s="20">
        <v>682450.52525558439</v>
      </c>
    </row>
    <row r="827" spans="13:14" x14ac:dyDescent="0.3">
      <c r="M827" s="11">
        <v>825</v>
      </c>
      <c r="N827" s="20">
        <v>513312.46211447625</v>
      </c>
    </row>
    <row r="828" spans="13:14" x14ac:dyDescent="0.3">
      <c r="M828" s="11">
        <v>826</v>
      </c>
      <c r="N828" s="20">
        <v>915538.5757555844</v>
      </c>
    </row>
    <row r="829" spans="13:14" x14ac:dyDescent="0.3">
      <c r="M829" s="11">
        <v>827</v>
      </c>
      <c r="N829" s="20">
        <v>836803.89156389609</v>
      </c>
    </row>
    <row r="830" spans="13:14" x14ac:dyDescent="0.3">
      <c r="M830" s="11">
        <v>828</v>
      </c>
      <c r="N830" s="20">
        <v>753918.39715281385</v>
      </c>
    </row>
    <row r="831" spans="13:14" x14ac:dyDescent="0.3">
      <c r="M831" s="11">
        <v>829</v>
      </c>
      <c r="N831" s="20">
        <v>712760.2735889178</v>
      </c>
    </row>
    <row r="832" spans="13:14" x14ac:dyDescent="0.3">
      <c r="M832" s="11">
        <v>830</v>
      </c>
      <c r="N832" s="20">
        <v>682670.5790633593</v>
      </c>
    </row>
    <row r="833" spans="13:14" x14ac:dyDescent="0.3">
      <c r="M833" s="11">
        <v>831</v>
      </c>
      <c r="N833" s="20">
        <v>806921.28021670994</v>
      </c>
    </row>
    <row r="834" spans="13:14" x14ac:dyDescent="0.3">
      <c r="M834" s="11">
        <v>832</v>
      </c>
      <c r="N834" s="20">
        <v>1150727.828922251</v>
      </c>
    </row>
    <row r="835" spans="13:14" x14ac:dyDescent="0.3">
      <c r="M835" s="11">
        <v>833</v>
      </c>
      <c r="N835" s="20">
        <v>767495.20156335935</v>
      </c>
    </row>
    <row r="836" spans="13:14" x14ac:dyDescent="0.3">
      <c r="M836" s="11">
        <v>834</v>
      </c>
      <c r="N836" s="20">
        <v>760175.87656335928</v>
      </c>
    </row>
    <row r="837" spans="13:14" x14ac:dyDescent="0.3">
      <c r="M837" s="11">
        <v>835</v>
      </c>
      <c r="N837" s="20">
        <v>750931.79475558444</v>
      </c>
    </row>
    <row r="838" spans="13:14" x14ac:dyDescent="0.3">
      <c r="M838" s="11">
        <v>836</v>
      </c>
      <c r="N838" s="20">
        <v>630156.48673002596</v>
      </c>
    </row>
    <row r="839" spans="13:14" x14ac:dyDescent="0.3">
      <c r="M839" s="11">
        <v>837</v>
      </c>
      <c r="N839" s="20">
        <v>688257.83023002592</v>
      </c>
    </row>
    <row r="840" spans="13:14" x14ac:dyDescent="0.3">
      <c r="M840" s="11">
        <v>838</v>
      </c>
      <c r="N840" s="20">
        <v>883506.51042225107</v>
      </c>
    </row>
    <row r="841" spans="13:14" x14ac:dyDescent="0.3">
      <c r="M841" s="11">
        <v>839</v>
      </c>
      <c r="N841" s="20">
        <v>716601.0860889178</v>
      </c>
    </row>
    <row r="842" spans="13:14" x14ac:dyDescent="0.3">
      <c r="M842" s="11">
        <v>840</v>
      </c>
      <c r="N842" s="20">
        <v>737406.07061447622</v>
      </c>
    </row>
    <row r="843" spans="13:14" x14ac:dyDescent="0.3">
      <c r="M843" s="11">
        <v>841</v>
      </c>
      <c r="N843" s="20">
        <v>689942.05506335932</v>
      </c>
    </row>
    <row r="844" spans="13:14" x14ac:dyDescent="0.3">
      <c r="M844" s="11">
        <v>842</v>
      </c>
      <c r="N844" s="20">
        <v>766236.59811447619</v>
      </c>
    </row>
    <row r="845" spans="13:14" x14ac:dyDescent="0.3">
      <c r="M845" s="11">
        <v>843</v>
      </c>
      <c r="N845" s="20">
        <v>737874.50092225114</v>
      </c>
    </row>
    <row r="846" spans="13:14" x14ac:dyDescent="0.3">
      <c r="M846" s="11">
        <v>844</v>
      </c>
      <c r="N846" s="20">
        <v>364506.22494780959</v>
      </c>
    </row>
    <row r="847" spans="13:14" x14ac:dyDescent="0.3">
      <c r="M847" s="11">
        <v>845</v>
      </c>
      <c r="N847" s="20">
        <v>789849.54585835501</v>
      </c>
    </row>
    <row r="848" spans="13:14" x14ac:dyDescent="0.3">
      <c r="M848" s="11">
        <v>846</v>
      </c>
      <c r="N848" s="20">
        <v>839883.67425558448</v>
      </c>
    </row>
    <row r="849" spans="13:14" x14ac:dyDescent="0.3">
      <c r="M849" s="11">
        <v>847</v>
      </c>
      <c r="N849" s="20">
        <v>390396.23589669267</v>
      </c>
    </row>
    <row r="850" spans="13:14" x14ac:dyDescent="0.3">
      <c r="M850" s="11">
        <v>848</v>
      </c>
      <c r="N850" s="20">
        <v>648095.28406335926</v>
      </c>
    </row>
    <row r="851" spans="13:14" x14ac:dyDescent="0.3">
      <c r="M851" s="11">
        <v>849</v>
      </c>
      <c r="N851" s="20">
        <v>734648.48961447622</v>
      </c>
    </row>
    <row r="852" spans="13:14" x14ac:dyDescent="0.3">
      <c r="M852" s="11">
        <v>850</v>
      </c>
      <c r="N852" s="20">
        <v>861481.64644780953</v>
      </c>
    </row>
    <row r="853" spans="13:14" x14ac:dyDescent="0.3">
      <c r="M853" s="11">
        <v>851</v>
      </c>
      <c r="N853" s="20">
        <v>683627.34911447624</v>
      </c>
    </row>
    <row r="854" spans="13:14" x14ac:dyDescent="0.3">
      <c r="M854" s="11">
        <v>852</v>
      </c>
      <c r="N854" s="20">
        <v>790506.45756335929</v>
      </c>
    </row>
    <row r="855" spans="13:14" x14ac:dyDescent="0.3">
      <c r="M855" s="11">
        <v>853</v>
      </c>
      <c r="N855" s="20">
        <v>625737.78935835499</v>
      </c>
    </row>
    <row r="856" spans="13:14" x14ac:dyDescent="0.3">
      <c r="M856" s="11">
        <v>854</v>
      </c>
      <c r="N856" s="20">
        <v>755508.21858891775</v>
      </c>
    </row>
    <row r="857" spans="13:14" x14ac:dyDescent="0.3">
      <c r="M857" s="11">
        <v>855</v>
      </c>
      <c r="N857" s="20">
        <v>624422.95842225105</v>
      </c>
    </row>
    <row r="858" spans="13:14" x14ac:dyDescent="0.3">
      <c r="M858" s="11">
        <v>856</v>
      </c>
      <c r="N858" s="20">
        <v>527036.30608891777</v>
      </c>
    </row>
    <row r="859" spans="13:14" x14ac:dyDescent="0.3">
      <c r="M859" s="11">
        <v>857</v>
      </c>
      <c r="N859" s="20">
        <v>805018.13542225107</v>
      </c>
    </row>
    <row r="860" spans="13:14" x14ac:dyDescent="0.3">
      <c r="M860" s="11">
        <v>858</v>
      </c>
      <c r="N860" s="20">
        <v>406304.92461447621</v>
      </c>
    </row>
    <row r="861" spans="13:14" x14ac:dyDescent="0.3">
      <c r="M861" s="11">
        <v>859</v>
      </c>
      <c r="N861" s="20">
        <v>648516.49173002597</v>
      </c>
    </row>
    <row r="862" spans="13:14" x14ac:dyDescent="0.3">
      <c r="M862" s="11">
        <v>860</v>
      </c>
      <c r="N862" s="20">
        <v>775502.19175558444</v>
      </c>
    </row>
    <row r="863" spans="13:14" x14ac:dyDescent="0.3">
      <c r="M863" s="11">
        <v>861</v>
      </c>
      <c r="N863" s="20">
        <v>619606.62115281378</v>
      </c>
    </row>
    <row r="864" spans="13:14" x14ac:dyDescent="0.3">
      <c r="M864" s="11">
        <v>862</v>
      </c>
      <c r="N864" s="20">
        <v>604022.21652502171</v>
      </c>
    </row>
    <row r="865" spans="13:14" x14ac:dyDescent="0.3">
      <c r="M865" s="11">
        <v>863</v>
      </c>
      <c r="N865" s="20">
        <v>758735.30096112553</v>
      </c>
    </row>
    <row r="866" spans="13:14" x14ac:dyDescent="0.3">
      <c r="M866" s="11">
        <v>864</v>
      </c>
      <c r="N866" s="20">
        <v>869059.79658891773</v>
      </c>
    </row>
    <row r="867" spans="13:14" x14ac:dyDescent="0.3">
      <c r="M867" s="11">
        <v>865</v>
      </c>
      <c r="N867" s="20">
        <v>719402.81465281383</v>
      </c>
    </row>
    <row r="868" spans="13:14" x14ac:dyDescent="0.3">
      <c r="M868" s="11">
        <v>866</v>
      </c>
      <c r="N868" s="20">
        <v>898431.05262779223</v>
      </c>
    </row>
    <row r="869" spans="13:14" x14ac:dyDescent="0.3">
      <c r="M869" s="11">
        <v>867</v>
      </c>
      <c r="N869" s="20">
        <v>635470.68658891774</v>
      </c>
    </row>
    <row r="870" spans="13:14" x14ac:dyDescent="0.3">
      <c r="M870" s="11">
        <v>868</v>
      </c>
      <c r="N870" s="20">
        <v>769655.03806335933</v>
      </c>
    </row>
    <row r="871" spans="13:14" x14ac:dyDescent="0.3">
      <c r="M871" s="11">
        <v>869</v>
      </c>
      <c r="N871" s="20">
        <v>696317.72289669258</v>
      </c>
    </row>
    <row r="872" spans="13:14" x14ac:dyDescent="0.3">
      <c r="M872" s="11">
        <v>870</v>
      </c>
      <c r="N872" s="20">
        <v>232550.37958891777</v>
      </c>
    </row>
    <row r="873" spans="13:14" x14ac:dyDescent="0.3">
      <c r="M873" s="11">
        <v>871</v>
      </c>
      <c r="N873" s="20">
        <v>808362.52111447626</v>
      </c>
    </row>
    <row r="874" spans="13:14" x14ac:dyDescent="0.3">
      <c r="M874" s="11">
        <v>872</v>
      </c>
      <c r="N874" s="20">
        <v>747220.88223056286</v>
      </c>
    </row>
    <row r="875" spans="13:14" x14ac:dyDescent="0.3">
      <c r="M875" s="11">
        <v>873</v>
      </c>
      <c r="N875" s="20">
        <v>985479.75839669257</v>
      </c>
    </row>
    <row r="876" spans="13:14" x14ac:dyDescent="0.3">
      <c r="M876" s="11">
        <v>874</v>
      </c>
      <c r="N876" s="20">
        <v>641484.24623002601</v>
      </c>
    </row>
    <row r="877" spans="13:14" x14ac:dyDescent="0.3">
      <c r="M877" s="11">
        <v>875</v>
      </c>
      <c r="N877" s="20">
        <v>685296.76228114287</v>
      </c>
    </row>
    <row r="878" spans="13:14" x14ac:dyDescent="0.3">
      <c r="M878" s="11">
        <v>876</v>
      </c>
      <c r="N878" s="20">
        <v>654702.58025558444</v>
      </c>
    </row>
    <row r="879" spans="13:14" x14ac:dyDescent="0.3">
      <c r="M879" s="11">
        <v>877</v>
      </c>
      <c r="N879" s="20">
        <v>702045.12962779216</v>
      </c>
    </row>
    <row r="880" spans="13:14" x14ac:dyDescent="0.3">
      <c r="M880" s="11">
        <v>878</v>
      </c>
      <c r="N880" s="20">
        <v>760806.7576528138</v>
      </c>
    </row>
    <row r="881" spans="13:14" x14ac:dyDescent="0.3">
      <c r="M881" s="11">
        <v>879</v>
      </c>
      <c r="N881" s="20">
        <v>406786.8952811429</v>
      </c>
    </row>
    <row r="882" spans="13:14" x14ac:dyDescent="0.3">
      <c r="M882" s="11">
        <v>880</v>
      </c>
      <c r="N882" s="20">
        <v>870029.36385835498</v>
      </c>
    </row>
    <row r="883" spans="13:14" x14ac:dyDescent="0.3">
      <c r="M883" s="11">
        <v>881</v>
      </c>
      <c r="N883" s="20">
        <v>773047.46371670999</v>
      </c>
    </row>
    <row r="884" spans="13:14" x14ac:dyDescent="0.3">
      <c r="M884" s="11">
        <v>882</v>
      </c>
      <c r="N884" s="20">
        <v>724526.46925558441</v>
      </c>
    </row>
    <row r="885" spans="13:14" x14ac:dyDescent="0.3">
      <c r="M885" s="11">
        <v>883</v>
      </c>
      <c r="N885" s="20">
        <v>358009.73908891779</v>
      </c>
    </row>
    <row r="886" spans="13:14" x14ac:dyDescent="0.3">
      <c r="M886" s="11">
        <v>884</v>
      </c>
      <c r="N886" s="20">
        <v>95521.954422251103</v>
      </c>
    </row>
    <row r="887" spans="13:14" x14ac:dyDescent="0.3">
      <c r="M887" s="11">
        <v>885</v>
      </c>
      <c r="N887" s="20">
        <v>454189.01139669266</v>
      </c>
    </row>
    <row r="888" spans="13:14" x14ac:dyDescent="0.3">
      <c r="M888" s="11">
        <v>886</v>
      </c>
      <c r="N888" s="20">
        <v>778765.75125558442</v>
      </c>
    </row>
    <row r="889" spans="13:14" x14ac:dyDescent="0.3">
      <c r="M889" s="11">
        <v>887</v>
      </c>
      <c r="N889" s="20">
        <v>782601.75189669267</v>
      </c>
    </row>
    <row r="890" spans="13:14" x14ac:dyDescent="0.3">
      <c r="M890" s="11">
        <v>888</v>
      </c>
      <c r="N890" s="20">
        <v>674952.01542225108</v>
      </c>
    </row>
    <row r="891" spans="13:14" x14ac:dyDescent="0.3">
      <c r="M891" s="11">
        <v>889</v>
      </c>
      <c r="N891" s="20">
        <v>719290.70631948055</v>
      </c>
    </row>
    <row r="892" spans="13:14" x14ac:dyDescent="0.3">
      <c r="M892" s="11">
        <v>890</v>
      </c>
      <c r="N892" s="20">
        <v>654254.79592225107</v>
      </c>
    </row>
    <row r="893" spans="13:14" x14ac:dyDescent="0.3">
      <c r="M893" s="11">
        <v>891</v>
      </c>
      <c r="N893" s="20">
        <v>763282.60862779221</v>
      </c>
    </row>
    <row r="894" spans="13:14" x14ac:dyDescent="0.3">
      <c r="M894" s="11">
        <v>892</v>
      </c>
      <c r="N894" s="20">
        <v>430618.69125558448</v>
      </c>
    </row>
    <row r="895" spans="13:14" x14ac:dyDescent="0.3">
      <c r="M895" s="11">
        <v>893</v>
      </c>
      <c r="N895" s="20">
        <v>838723.69352502166</v>
      </c>
    </row>
    <row r="896" spans="13:14" x14ac:dyDescent="0.3">
      <c r="M896" s="11">
        <v>894</v>
      </c>
      <c r="N896" s="20">
        <v>693205.6145633593</v>
      </c>
    </row>
    <row r="897" spans="13:14" x14ac:dyDescent="0.3">
      <c r="M897" s="11">
        <v>895</v>
      </c>
      <c r="N897" s="20">
        <v>382284.45192225109</v>
      </c>
    </row>
    <row r="898" spans="13:14" x14ac:dyDescent="0.3">
      <c r="M898" s="11">
        <v>896</v>
      </c>
      <c r="N898" s="20">
        <v>672012.37692225107</v>
      </c>
    </row>
    <row r="899" spans="13:14" x14ac:dyDescent="0.3">
      <c r="M899" s="11">
        <v>897</v>
      </c>
      <c r="N899" s="20">
        <v>785253.52742225106</v>
      </c>
    </row>
    <row r="900" spans="13:14" x14ac:dyDescent="0.3">
      <c r="M900" s="11">
        <v>898</v>
      </c>
      <c r="N900" s="20">
        <v>715148.48961447622</v>
      </c>
    </row>
    <row r="901" spans="13:14" x14ac:dyDescent="0.3">
      <c r="M901" s="11">
        <v>899</v>
      </c>
      <c r="N901" s="20">
        <v>778877.85958891781</v>
      </c>
    </row>
    <row r="902" spans="13:14" x14ac:dyDescent="0.3">
      <c r="M902" s="11">
        <v>900</v>
      </c>
      <c r="N902" s="20">
        <v>776935.6332555844</v>
      </c>
    </row>
    <row r="903" spans="13:14" x14ac:dyDescent="0.3">
      <c r="M903" s="11">
        <v>901</v>
      </c>
      <c r="N903" s="20">
        <v>734914.36092225113</v>
      </c>
    </row>
    <row r="904" spans="13:14" x14ac:dyDescent="0.3">
      <c r="M904" s="11">
        <v>902</v>
      </c>
      <c r="N904" s="20">
        <v>711118.7053194805</v>
      </c>
    </row>
    <row r="905" spans="13:14" x14ac:dyDescent="0.3">
      <c r="M905" s="11">
        <v>903</v>
      </c>
      <c r="N905" s="20">
        <v>584899.40344780963</v>
      </c>
    </row>
    <row r="906" spans="13:14" x14ac:dyDescent="0.3">
      <c r="M906" s="11">
        <v>904</v>
      </c>
      <c r="N906" s="20">
        <v>1005849.6402555844</v>
      </c>
    </row>
    <row r="907" spans="13:14" x14ac:dyDescent="0.3">
      <c r="M907" s="11">
        <v>905</v>
      </c>
      <c r="N907" s="20">
        <v>897496.78928114288</v>
      </c>
    </row>
    <row r="908" spans="13:14" x14ac:dyDescent="0.3">
      <c r="M908" s="11">
        <v>906</v>
      </c>
      <c r="N908" s="20">
        <v>1008772.2595889178</v>
      </c>
    </row>
    <row r="909" spans="13:14" x14ac:dyDescent="0.3">
      <c r="M909" s="11">
        <v>907</v>
      </c>
      <c r="N909" s="20">
        <v>794152.12275558442</v>
      </c>
    </row>
    <row r="910" spans="13:14" x14ac:dyDescent="0.3">
      <c r="M910" s="11">
        <v>908</v>
      </c>
      <c r="N910" s="20">
        <v>727088.27258891775</v>
      </c>
    </row>
    <row r="911" spans="13:14" x14ac:dyDescent="0.3">
      <c r="M911" s="11">
        <v>909</v>
      </c>
      <c r="N911" s="20">
        <v>703052.09069168835</v>
      </c>
    </row>
    <row r="912" spans="13:14" x14ac:dyDescent="0.3">
      <c r="M912" s="11">
        <v>910</v>
      </c>
      <c r="N912" s="20">
        <v>704588.27258891775</v>
      </c>
    </row>
    <row r="913" spans="13:14" x14ac:dyDescent="0.3">
      <c r="M913" s="11">
        <v>911</v>
      </c>
      <c r="N913" s="20">
        <v>673451.67165281391</v>
      </c>
    </row>
    <row r="914" spans="13:14" x14ac:dyDescent="0.3">
      <c r="M914" s="11">
        <v>912</v>
      </c>
      <c r="N914" s="20">
        <v>778877.85958891781</v>
      </c>
    </row>
    <row r="915" spans="13:14" x14ac:dyDescent="0.3">
      <c r="M915" s="11">
        <v>913</v>
      </c>
      <c r="N915" s="20">
        <v>746478.75865281385</v>
      </c>
    </row>
    <row r="916" spans="13:14" x14ac:dyDescent="0.3">
      <c r="M916" s="11">
        <v>914</v>
      </c>
      <c r="N916" s="20">
        <v>773876.23779445887</v>
      </c>
    </row>
    <row r="917" spans="13:14" x14ac:dyDescent="0.3">
      <c r="M917" s="11">
        <v>915</v>
      </c>
      <c r="N917" s="20">
        <v>563960.10158891778</v>
      </c>
    </row>
    <row r="918" spans="13:14" x14ac:dyDescent="0.3">
      <c r="M918" s="11">
        <v>916</v>
      </c>
      <c r="N918" s="20">
        <v>697813.88411447615</v>
      </c>
    </row>
    <row r="919" spans="13:14" x14ac:dyDescent="0.3">
      <c r="M919" s="11">
        <v>917</v>
      </c>
      <c r="N919" s="20">
        <v>221501.77633333334</v>
      </c>
    </row>
    <row r="920" spans="13:14" x14ac:dyDescent="0.3">
      <c r="M920" s="11">
        <v>918</v>
      </c>
      <c r="N920" s="20">
        <v>862382.23758891772</v>
      </c>
    </row>
    <row r="921" spans="13:14" x14ac:dyDescent="0.3">
      <c r="M921" s="11">
        <v>919</v>
      </c>
      <c r="N921" s="20">
        <v>1101544.5819222513</v>
      </c>
    </row>
    <row r="922" spans="13:14" x14ac:dyDescent="0.3">
      <c r="M922" s="11">
        <v>920</v>
      </c>
      <c r="N922" s="20">
        <v>665201.27046112553</v>
      </c>
    </row>
    <row r="923" spans="13:14" x14ac:dyDescent="0.3">
      <c r="M923" s="11">
        <v>921</v>
      </c>
      <c r="N923" s="20">
        <v>47972.629614476216</v>
      </c>
    </row>
    <row r="924" spans="13:14" x14ac:dyDescent="0.3">
      <c r="M924" s="11">
        <v>922</v>
      </c>
      <c r="N924" s="20">
        <v>43243.601088917785</v>
      </c>
    </row>
    <row r="925" spans="13:14" x14ac:dyDescent="0.3">
      <c r="M925" s="11">
        <v>923</v>
      </c>
      <c r="N925" s="20">
        <v>778062.5049222511</v>
      </c>
    </row>
    <row r="926" spans="13:14" x14ac:dyDescent="0.3">
      <c r="M926" s="11">
        <v>924</v>
      </c>
      <c r="N926" s="20">
        <v>665193.77342225111</v>
      </c>
    </row>
    <row r="927" spans="13:14" x14ac:dyDescent="0.3">
      <c r="M927" s="11">
        <v>925</v>
      </c>
      <c r="N927" s="20">
        <v>650767.01975558442</v>
      </c>
    </row>
    <row r="928" spans="13:14" x14ac:dyDescent="0.3">
      <c r="M928" s="11">
        <v>926</v>
      </c>
      <c r="N928" s="20">
        <v>622837.01725558448</v>
      </c>
    </row>
    <row r="929" spans="13:14" x14ac:dyDescent="0.3">
      <c r="M929" s="11">
        <v>927</v>
      </c>
      <c r="N929" s="20">
        <v>618416.35192225105</v>
      </c>
    </row>
    <row r="930" spans="13:14" x14ac:dyDescent="0.3">
      <c r="M930" s="11">
        <v>928</v>
      </c>
      <c r="N930" s="20">
        <v>1025301.8711277924</v>
      </c>
    </row>
    <row r="931" spans="13:14" x14ac:dyDescent="0.3">
      <c r="M931" s="11">
        <v>929</v>
      </c>
      <c r="N931" s="20">
        <v>629018.06019168836</v>
      </c>
    </row>
    <row r="932" spans="13:14" x14ac:dyDescent="0.3">
      <c r="M932" s="11">
        <v>930</v>
      </c>
      <c r="N932" s="20">
        <v>844196.18081948056</v>
      </c>
    </row>
    <row r="933" spans="13:14" x14ac:dyDescent="0.3">
      <c r="M933" s="11">
        <v>931</v>
      </c>
      <c r="N933" s="20">
        <v>826448.37906335935</v>
      </c>
    </row>
    <row r="934" spans="13:14" x14ac:dyDescent="0.3">
      <c r="M934" s="11">
        <v>932</v>
      </c>
      <c r="N934" s="20">
        <v>822872.12798614718</v>
      </c>
    </row>
    <row r="935" spans="13:14" x14ac:dyDescent="0.3">
      <c r="M935" s="11">
        <v>933</v>
      </c>
      <c r="N935" s="20">
        <v>547244.95762779226</v>
      </c>
    </row>
    <row r="936" spans="13:14" x14ac:dyDescent="0.3">
      <c r="M936" s="11">
        <v>934</v>
      </c>
      <c r="N936" s="20">
        <v>751512.33339669264</v>
      </c>
    </row>
    <row r="937" spans="13:14" x14ac:dyDescent="0.3">
      <c r="M937" s="11">
        <v>935</v>
      </c>
      <c r="N937" s="20">
        <v>736690.19258891779</v>
      </c>
    </row>
    <row r="938" spans="13:14" x14ac:dyDescent="0.3">
      <c r="M938" s="11">
        <v>936</v>
      </c>
      <c r="N938" s="20">
        <v>674404.38311447622</v>
      </c>
    </row>
    <row r="939" spans="13:14" x14ac:dyDescent="0.3">
      <c r="M939" s="11">
        <v>937</v>
      </c>
      <c r="N939" s="20">
        <v>731063.79735835502</v>
      </c>
    </row>
    <row r="940" spans="13:14" x14ac:dyDescent="0.3">
      <c r="M940" s="11">
        <v>938</v>
      </c>
      <c r="N940" s="20">
        <v>384448.45128114289</v>
      </c>
    </row>
    <row r="941" spans="13:14" x14ac:dyDescent="0.3">
      <c r="M941" s="11">
        <v>939</v>
      </c>
      <c r="N941" s="20">
        <v>562361.45575558452</v>
      </c>
    </row>
    <row r="942" spans="13:14" x14ac:dyDescent="0.3">
      <c r="M942" s="11">
        <v>940</v>
      </c>
      <c r="N942" s="20">
        <v>736190.27608891774</v>
      </c>
    </row>
    <row r="943" spans="13:14" x14ac:dyDescent="0.3">
      <c r="M943" s="11">
        <v>941</v>
      </c>
      <c r="N943" s="20">
        <v>499670.09408891783</v>
      </c>
    </row>
    <row r="944" spans="13:14" x14ac:dyDescent="0.3">
      <c r="M944" s="11">
        <v>942</v>
      </c>
      <c r="N944" s="20">
        <v>820901.9122811429</v>
      </c>
    </row>
    <row r="945" spans="13:14" x14ac:dyDescent="0.3">
      <c r="M945" s="11">
        <v>943</v>
      </c>
      <c r="N945" s="20">
        <v>547797.82173002604</v>
      </c>
    </row>
    <row r="946" spans="13:14" x14ac:dyDescent="0.3">
      <c r="M946" s="11">
        <v>944</v>
      </c>
      <c r="N946" s="20">
        <v>646974.200730026</v>
      </c>
    </row>
    <row r="947" spans="13:14" x14ac:dyDescent="0.3">
      <c r="M947" s="11">
        <v>945</v>
      </c>
      <c r="N947" s="20">
        <v>851565.31621670991</v>
      </c>
    </row>
    <row r="948" spans="13:14" x14ac:dyDescent="0.3">
      <c r="M948" s="11">
        <v>946</v>
      </c>
      <c r="N948" s="20">
        <v>883019.3832555844</v>
      </c>
    </row>
    <row r="949" spans="13:14" x14ac:dyDescent="0.3">
      <c r="M949" s="11">
        <v>947</v>
      </c>
      <c r="N949" s="20">
        <v>729314.93261447619</v>
      </c>
    </row>
    <row r="950" spans="13:14" x14ac:dyDescent="0.3">
      <c r="M950" s="11">
        <v>948</v>
      </c>
      <c r="N950" s="20">
        <v>750453.13778114284</v>
      </c>
    </row>
    <row r="951" spans="13:14" x14ac:dyDescent="0.3">
      <c r="M951" s="11">
        <v>949</v>
      </c>
      <c r="N951" s="20">
        <v>754212.0655889177</v>
      </c>
    </row>
    <row r="952" spans="13:14" x14ac:dyDescent="0.3">
      <c r="M952" s="11">
        <v>950</v>
      </c>
      <c r="N952" s="20">
        <v>730375.14992225112</v>
      </c>
    </row>
    <row r="953" spans="13:14" x14ac:dyDescent="0.3">
      <c r="M953" s="11">
        <v>951</v>
      </c>
      <c r="N953" s="20">
        <v>799588.13292225113</v>
      </c>
    </row>
    <row r="954" spans="13:14" x14ac:dyDescent="0.3">
      <c r="M954" s="11">
        <v>952</v>
      </c>
      <c r="N954" s="20">
        <v>770836.51183333341</v>
      </c>
    </row>
    <row r="955" spans="13:14" x14ac:dyDescent="0.3">
      <c r="M955" s="11">
        <v>953</v>
      </c>
      <c r="N955" s="20">
        <v>568620.80378114292</v>
      </c>
    </row>
    <row r="956" spans="13:14" x14ac:dyDescent="0.3">
      <c r="M956" s="11">
        <v>954</v>
      </c>
      <c r="N956" s="20">
        <v>593161.0651277923</v>
      </c>
    </row>
    <row r="957" spans="13:14" x14ac:dyDescent="0.3">
      <c r="M957" s="11">
        <v>955</v>
      </c>
      <c r="N957" s="20">
        <v>716023.83308891777</v>
      </c>
    </row>
    <row r="958" spans="13:14" x14ac:dyDescent="0.3">
      <c r="M958" s="11">
        <v>956</v>
      </c>
      <c r="N958" s="20">
        <v>713372.05756335938</v>
      </c>
    </row>
    <row r="959" spans="13:14" x14ac:dyDescent="0.3">
      <c r="M959" s="11">
        <v>957</v>
      </c>
      <c r="N959" s="20">
        <v>769176.39865281386</v>
      </c>
    </row>
    <row r="960" spans="13:14" x14ac:dyDescent="0.3">
      <c r="M960" s="11">
        <v>958</v>
      </c>
      <c r="N960" s="20">
        <v>753651.52392225107</v>
      </c>
    </row>
    <row r="961" spans="13:14" x14ac:dyDescent="0.3">
      <c r="M961" s="11">
        <v>959</v>
      </c>
      <c r="N961" s="20">
        <v>503861.55365281389</v>
      </c>
    </row>
    <row r="962" spans="13:14" x14ac:dyDescent="0.3">
      <c r="M962" s="11">
        <v>960</v>
      </c>
      <c r="N962" s="20">
        <v>703450.54281948053</v>
      </c>
    </row>
    <row r="963" spans="13:14" x14ac:dyDescent="0.3">
      <c r="M963" s="11">
        <v>961</v>
      </c>
      <c r="N963" s="20">
        <v>1353394.0227555844</v>
      </c>
    </row>
    <row r="964" spans="13:14" x14ac:dyDescent="0.3">
      <c r="M964" s="11">
        <v>962</v>
      </c>
      <c r="N964" s="20">
        <v>626928.05858891772</v>
      </c>
    </row>
    <row r="965" spans="13:14" x14ac:dyDescent="0.3">
      <c r="M965" s="11">
        <v>963</v>
      </c>
      <c r="N965" s="20">
        <v>799782.24061447615</v>
      </c>
    </row>
    <row r="966" spans="13:14" x14ac:dyDescent="0.3">
      <c r="M966" s="11">
        <v>964</v>
      </c>
      <c r="N966" s="20">
        <v>770593.75025558448</v>
      </c>
    </row>
    <row r="967" spans="13:14" x14ac:dyDescent="0.3">
      <c r="M967" s="11">
        <v>965</v>
      </c>
      <c r="N967" s="20">
        <v>706381.35692225106</v>
      </c>
    </row>
    <row r="968" spans="13:14" x14ac:dyDescent="0.3">
      <c r="M968" s="11">
        <v>966</v>
      </c>
      <c r="N968" s="20">
        <v>654234.14994780952</v>
      </c>
    </row>
    <row r="969" spans="13:14" x14ac:dyDescent="0.3">
      <c r="M969" s="11">
        <v>967</v>
      </c>
      <c r="N969" s="20">
        <v>735148.1652555844</v>
      </c>
    </row>
    <row r="970" spans="13:14" x14ac:dyDescent="0.3">
      <c r="M970" s="11">
        <v>968</v>
      </c>
      <c r="N970" s="20">
        <v>759791.30679445888</v>
      </c>
    </row>
    <row r="971" spans="13:14" x14ac:dyDescent="0.3">
      <c r="M971" s="11">
        <v>969</v>
      </c>
      <c r="N971" s="20">
        <v>707588.27258891775</v>
      </c>
    </row>
    <row r="972" spans="13:14" x14ac:dyDescent="0.3">
      <c r="M972" s="11">
        <v>970</v>
      </c>
      <c r="N972" s="20">
        <v>491659.88258891774</v>
      </c>
    </row>
    <row r="973" spans="13:14" x14ac:dyDescent="0.3">
      <c r="M973" s="11">
        <v>971</v>
      </c>
      <c r="N973" s="20">
        <v>814103.04905004334</v>
      </c>
    </row>
    <row r="974" spans="13:14" x14ac:dyDescent="0.3">
      <c r="M974" s="11">
        <v>972</v>
      </c>
      <c r="N974" s="20">
        <v>779158.13042225107</v>
      </c>
    </row>
    <row r="975" spans="13:14" x14ac:dyDescent="0.3">
      <c r="M975" s="11">
        <v>973</v>
      </c>
      <c r="N975" s="20">
        <v>671917.52125558443</v>
      </c>
    </row>
    <row r="976" spans="13:14" x14ac:dyDescent="0.3">
      <c r="M976" s="11">
        <v>974</v>
      </c>
      <c r="N976" s="20">
        <v>835698.67275558435</v>
      </c>
    </row>
    <row r="977" spans="13:14" x14ac:dyDescent="0.3">
      <c r="M977" s="11">
        <v>975</v>
      </c>
      <c r="N977" s="20">
        <v>657932.52833333332</v>
      </c>
    </row>
    <row r="978" spans="13:14" x14ac:dyDescent="0.3">
      <c r="M978" s="11">
        <v>976</v>
      </c>
      <c r="N978" s="20">
        <v>712648.1652555844</v>
      </c>
    </row>
    <row r="979" spans="13:14" x14ac:dyDescent="0.3">
      <c r="M979" s="11">
        <v>977</v>
      </c>
      <c r="N979" s="20">
        <v>704139.19025558443</v>
      </c>
    </row>
    <row r="980" spans="13:14" x14ac:dyDescent="0.3">
      <c r="M980" s="11">
        <v>978</v>
      </c>
      <c r="N980" s="20">
        <v>688019.07956335938</v>
      </c>
    </row>
    <row r="981" spans="13:14" x14ac:dyDescent="0.3">
      <c r="M981" s="11">
        <v>979</v>
      </c>
      <c r="N981" s="20">
        <v>797919.83858891774</v>
      </c>
    </row>
    <row r="982" spans="13:14" x14ac:dyDescent="0.3">
      <c r="M982" s="11">
        <v>980</v>
      </c>
      <c r="N982" s="20">
        <v>821625.80458891776</v>
      </c>
    </row>
    <row r="983" spans="13:14" x14ac:dyDescent="0.3">
      <c r="M983" s="11">
        <v>981</v>
      </c>
      <c r="N983" s="20">
        <v>382564.07375558442</v>
      </c>
    </row>
    <row r="984" spans="13:14" x14ac:dyDescent="0.3">
      <c r="M984" s="11">
        <v>982</v>
      </c>
      <c r="N984" s="20">
        <v>580628.69111447618</v>
      </c>
    </row>
    <row r="985" spans="13:14" x14ac:dyDescent="0.3">
      <c r="M985" s="11">
        <v>983</v>
      </c>
      <c r="N985" s="20">
        <v>661196.69789669267</v>
      </c>
    </row>
    <row r="986" spans="13:14" x14ac:dyDescent="0.3">
      <c r="M986" s="11">
        <v>984</v>
      </c>
      <c r="N986" s="20">
        <v>585133.03442225105</v>
      </c>
    </row>
    <row r="987" spans="13:14" x14ac:dyDescent="0.3">
      <c r="M987" s="11">
        <v>985</v>
      </c>
      <c r="N987" s="20">
        <v>830001.74844780948</v>
      </c>
    </row>
    <row r="988" spans="13:14" x14ac:dyDescent="0.3">
      <c r="M988" s="11">
        <v>986</v>
      </c>
      <c r="N988" s="20">
        <v>753508.17025558441</v>
      </c>
    </row>
    <row r="989" spans="13:14" x14ac:dyDescent="0.3">
      <c r="M989" s="11">
        <v>987</v>
      </c>
      <c r="N989" s="20">
        <v>745505.16031948046</v>
      </c>
    </row>
    <row r="990" spans="13:14" x14ac:dyDescent="0.3">
      <c r="M990" s="11">
        <v>988</v>
      </c>
      <c r="N990" s="20">
        <v>651411.34621670994</v>
      </c>
    </row>
    <row r="991" spans="13:14" x14ac:dyDescent="0.3">
      <c r="M991" s="11">
        <v>989</v>
      </c>
      <c r="N991" s="20">
        <v>892513.70102502161</v>
      </c>
    </row>
    <row r="992" spans="13:14" x14ac:dyDescent="0.3">
      <c r="M992" s="11">
        <v>990</v>
      </c>
      <c r="N992" s="20">
        <v>804674.48798614717</v>
      </c>
    </row>
    <row r="993" spans="13:14" x14ac:dyDescent="0.3">
      <c r="M993" s="11">
        <v>991</v>
      </c>
      <c r="N993" s="20">
        <v>234492.60592225112</v>
      </c>
    </row>
    <row r="994" spans="13:14" x14ac:dyDescent="0.3">
      <c r="M994" s="11">
        <v>992</v>
      </c>
      <c r="N994" s="20">
        <v>729202.82428114291</v>
      </c>
    </row>
    <row r="995" spans="13:14" x14ac:dyDescent="0.3">
      <c r="M995" s="11">
        <v>993</v>
      </c>
      <c r="N995" s="20">
        <v>798696.07811447617</v>
      </c>
    </row>
    <row r="996" spans="13:14" x14ac:dyDescent="0.3">
      <c r="M996" s="11">
        <v>994</v>
      </c>
      <c r="N996" s="20">
        <v>807603.87089669274</v>
      </c>
    </row>
    <row r="997" spans="13:14" x14ac:dyDescent="0.3">
      <c r="M997" s="11">
        <v>995</v>
      </c>
      <c r="N997" s="20">
        <v>1051459.9875633593</v>
      </c>
    </row>
    <row r="998" spans="13:14" x14ac:dyDescent="0.3">
      <c r="M998" s="11">
        <v>996</v>
      </c>
      <c r="N998" s="20">
        <v>1104262.5432555843</v>
      </c>
    </row>
    <row r="999" spans="13:14" x14ac:dyDescent="0.3">
      <c r="M999" s="11">
        <v>997</v>
      </c>
      <c r="N999" s="20">
        <v>892721.65438337659</v>
      </c>
    </row>
    <row r="1000" spans="13:14" x14ac:dyDescent="0.3">
      <c r="M1000" s="11">
        <v>998</v>
      </c>
      <c r="N1000" s="20">
        <v>646133.388230026</v>
      </c>
    </row>
    <row r="1001" spans="13:14" x14ac:dyDescent="0.3">
      <c r="M1001" s="11">
        <v>999</v>
      </c>
      <c r="N1001" s="20">
        <v>687421.82958891778</v>
      </c>
    </row>
    <row r="1002" spans="13:14" x14ac:dyDescent="0.3">
      <c r="M1002" s="11">
        <v>1000</v>
      </c>
      <c r="N1002" s="20">
        <v>734642.87256335933</v>
      </c>
    </row>
  </sheetData>
  <autoFilter ref="M2:N1002" xr:uid="{C025E4CD-AD65-4A2F-9FDB-3FFE75E973BA}"/>
  <mergeCells count="2">
    <mergeCell ref="A1:G1"/>
    <mergeCell ref="A19:D29"/>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9F53D-FBD0-4C50-8EC7-1253D3249A38}">
  <sheetPr codeName="Sheet14">
    <tabColor rgb="FFD5FFFF"/>
  </sheetPr>
  <dimension ref="A1:W15"/>
  <sheetViews>
    <sheetView workbookViewId="0">
      <selection sqref="A1:G1"/>
    </sheetView>
  </sheetViews>
  <sheetFormatPr defaultRowHeight="14.4" x14ac:dyDescent="0.3"/>
  <cols>
    <col min="1" max="1" width="7.109375" style="2" bestFit="1" customWidth="1"/>
    <col min="2" max="2" width="18" style="2" customWidth="1"/>
    <col min="3" max="3" width="42.44140625" style="2" customWidth="1"/>
    <col min="4" max="4" width="54.77734375" style="2" customWidth="1"/>
    <col min="5" max="5" width="32.109375" style="2" customWidth="1"/>
    <col min="6" max="6" width="38" style="2" customWidth="1"/>
    <col min="7" max="7" width="10" style="2" customWidth="1"/>
    <col min="8" max="16384" width="8.88671875" style="2"/>
  </cols>
  <sheetData>
    <row r="1" spans="1:23" x14ac:dyDescent="0.3">
      <c r="A1" s="180" t="s">
        <v>10757</v>
      </c>
      <c r="B1" s="180"/>
      <c r="C1" s="180"/>
      <c r="D1" s="180"/>
      <c r="E1" s="180"/>
      <c r="F1" s="180"/>
      <c r="G1" s="180"/>
      <c r="H1" s="10"/>
      <c r="I1" s="10"/>
      <c r="J1" s="10"/>
      <c r="K1" s="10"/>
      <c r="L1" s="10"/>
      <c r="M1" s="10"/>
      <c r="N1" s="10"/>
      <c r="O1" s="10"/>
      <c r="P1" s="10"/>
      <c r="Q1" s="10"/>
      <c r="R1" s="10"/>
      <c r="S1" s="10"/>
      <c r="T1" s="10"/>
      <c r="U1" s="10"/>
      <c r="V1" s="10"/>
      <c r="W1" s="10"/>
    </row>
    <row r="3" spans="1:23" x14ac:dyDescent="0.3">
      <c r="A3" s="46" t="s">
        <v>10758</v>
      </c>
      <c r="B3" s="47" t="s">
        <v>5266</v>
      </c>
      <c r="C3" s="47" t="s">
        <v>10759</v>
      </c>
      <c r="D3" s="47" t="s">
        <v>10760</v>
      </c>
      <c r="E3" s="47" t="s">
        <v>10761</v>
      </c>
      <c r="F3" s="47" t="s">
        <v>10762</v>
      </c>
      <c r="G3" s="48" t="s">
        <v>10767</v>
      </c>
    </row>
    <row r="4" spans="1:23" ht="172.8" x14ac:dyDescent="0.3">
      <c r="A4" s="44">
        <v>1</v>
      </c>
      <c r="B4" s="42" t="s">
        <v>10763</v>
      </c>
      <c r="C4" s="43" t="s">
        <v>10764</v>
      </c>
      <c r="D4" s="43" t="s">
        <v>10769</v>
      </c>
      <c r="E4" s="43" t="s">
        <v>10765</v>
      </c>
      <c r="F4" s="43" t="s">
        <v>10766</v>
      </c>
      <c r="G4" s="45" t="s">
        <v>10768</v>
      </c>
    </row>
    <row r="5" spans="1:23" ht="187.2" x14ac:dyDescent="0.3">
      <c r="A5" s="138">
        <v>2</v>
      </c>
      <c r="B5" s="139" t="s">
        <v>10803</v>
      </c>
      <c r="C5" s="139" t="s">
        <v>10804</v>
      </c>
      <c r="D5" s="139" t="s">
        <v>10805</v>
      </c>
      <c r="E5" s="139" t="s">
        <v>10806</v>
      </c>
      <c r="F5" s="139" t="s">
        <v>10807</v>
      </c>
      <c r="G5" s="140" t="s">
        <v>10768</v>
      </c>
    </row>
    <row r="6" spans="1:23" ht="187.2" x14ac:dyDescent="0.3">
      <c r="A6" s="44">
        <v>3</v>
      </c>
      <c r="B6" s="43" t="s">
        <v>10775</v>
      </c>
      <c r="C6" s="43" t="s">
        <v>10776</v>
      </c>
      <c r="D6" s="43" t="s">
        <v>10777</v>
      </c>
      <c r="E6" s="43" t="s">
        <v>10779</v>
      </c>
      <c r="F6" s="43" t="s">
        <v>10778</v>
      </c>
      <c r="G6" s="45" t="s">
        <v>10768</v>
      </c>
    </row>
    <row r="7" spans="1:23" ht="86.4" x14ac:dyDescent="0.3">
      <c r="A7" s="44">
        <v>4</v>
      </c>
      <c r="B7" s="43" t="s">
        <v>10770</v>
      </c>
      <c r="C7" s="43" t="s">
        <v>10771</v>
      </c>
      <c r="D7" s="43" t="s">
        <v>10773</v>
      </c>
      <c r="E7" s="43" t="s">
        <v>10772</v>
      </c>
      <c r="F7" s="43" t="s">
        <v>10774</v>
      </c>
      <c r="G7" s="45" t="s">
        <v>10768</v>
      </c>
    </row>
    <row r="8" spans="1:23" x14ac:dyDescent="0.3">
      <c r="A8" s="41"/>
    </row>
    <row r="9" spans="1:23" x14ac:dyDescent="0.3">
      <c r="A9" s="41"/>
    </row>
    <row r="10" spans="1:23" x14ac:dyDescent="0.3">
      <c r="A10" s="41"/>
    </row>
    <row r="11" spans="1:23" x14ac:dyDescent="0.3">
      <c r="A11" s="41"/>
    </row>
    <row r="12" spans="1:23" x14ac:dyDescent="0.3">
      <c r="A12" s="41"/>
    </row>
    <row r="13" spans="1:23" x14ac:dyDescent="0.3">
      <c r="A13" s="41"/>
    </row>
    <row r="14" spans="1:23" x14ac:dyDescent="0.3">
      <c r="A14" s="40"/>
    </row>
    <row r="15" spans="1:23" x14ac:dyDescent="0.3">
      <c r="A15" s="40"/>
    </row>
  </sheetData>
  <mergeCells count="1">
    <mergeCell ref="A1:G1"/>
  </mergeCells>
  <conditionalFormatting sqref="G4:G7">
    <cfRule type="containsText" dxfId="74" priority="1" operator="containsText" text="Fail">
      <formula>NOT(ISERROR(SEARCH("Fail",G4)))</formula>
    </cfRule>
    <cfRule type="containsText" dxfId="73" priority="2" operator="containsText" text="Pass">
      <formula>NOT(ISERROR(SEARCH("Pass",G4)))</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6AC7D-5F5E-45CD-B971-DFBEAB59D398}">
  <sheetPr codeName="Sheet3">
    <tabColor rgb="FFB1FDF8"/>
  </sheetPr>
  <dimension ref="A1:S4961"/>
  <sheetViews>
    <sheetView workbookViewId="0"/>
  </sheetViews>
  <sheetFormatPr defaultRowHeight="14.4" x14ac:dyDescent="0.3"/>
  <cols>
    <col min="1" max="1" width="5" style="2" bestFit="1" customWidth="1"/>
    <col min="2" max="2" width="12.109375" style="2" bestFit="1" customWidth="1"/>
    <col min="3" max="3" width="12.21875" style="2" bestFit="1" customWidth="1"/>
    <col min="4" max="4" width="6.77734375" style="2" bestFit="1" customWidth="1"/>
    <col min="5" max="5" width="9.33203125" style="2" bestFit="1" customWidth="1"/>
    <col min="6" max="6" width="8.21875" style="2" bestFit="1" customWidth="1"/>
    <col min="7" max="7" width="21.109375" style="2" bestFit="1" customWidth="1"/>
    <col min="8" max="8" width="21.6640625" style="2" bestFit="1" customWidth="1"/>
    <col min="9" max="9" width="16.109375" style="2" bestFit="1" customWidth="1"/>
    <col min="10" max="10" width="15.6640625" style="2" bestFit="1" customWidth="1"/>
    <col min="11" max="11" width="12.109375" style="2" bestFit="1" customWidth="1"/>
    <col min="12" max="12" width="14.21875" style="2" bestFit="1" customWidth="1"/>
    <col min="13" max="13" width="10.5546875" style="2" bestFit="1" customWidth="1"/>
    <col min="14" max="14" width="14.6640625" style="2" bestFit="1" customWidth="1"/>
    <col min="15" max="15" width="15.44140625" style="2" bestFit="1" customWidth="1"/>
    <col min="16" max="16" width="20.109375" style="2" bestFit="1" customWidth="1"/>
    <col min="17" max="17" width="18" style="2" bestFit="1" customWidth="1"/>
    <col min="18" max="18" width="18" style="2" customWidth="1"/>
    <col min="19" max="19" width="10.109375" style="2" bestFit="1" customWidth="1"/>
    <col min="20" max="16384" width="8.88671875" style="2"/>
  </cols>
  <sheetData>
    <row r="1" spans="1:19" x14ac:dyDescent="0.3">
      <c r="A1" s="10" t="s">
        <v>10650</v>
      </c>
    </row>
    <row r="2" spans="1:19" x14ac:dyDescent="0.3">
      <c r="A2" s="2" t="s">
        <v>10652</v>
      </c>
    </row>
    <row r="3" spans="1:19" x14ac:dyDescent="0.3">
      <c r="A3" s="2" t="s">
        <v>10653</v>
      </c>
    </row>
    <row r="4" spans="1:19" x14ac:dyDescent="0.3">
      <c r="A4" s="2" t="s">
        <v>10654</v>
      </c>
    </row>
    <row r="5" spans="1:19" x14ac:dyDescent="0.3">
      <c r="A5" s="2" t="s">
        <v>10655</v>
      </c>
    </row>
    <row r="7" spans="1:19" x14ac:dyDescent="0.3">
      <c r="A7" s="2" t="s">
        <v>0</v>
      </c>
      <c r="B7" s="2" t="s">
        <v>1</v>
      </c>
      <c r="C7" s="2" t="s">
        <v>2</v>
      </c>
      <c r="D7" s="2" t="s">
        <v>3</v>
      </c>
      <c r="E7" s="2" t="s">
        <v>4</v>
      </c>
      <c r="F7" s="2" t="s">
        <v>5</v>
      </c>
      <c r="G7" s="2" t="s">
        <v>6</v>
      </c>
      <c r="H7" s="2" t="s">
        <v>7</v>
      </c>
      <c r="I7" s="2" t="s">
        <v>8</v>
      </c>
      <c r="J7" s="2" t="s">
        <v>9</v>
      </c>
      <c r="K7" s="2" t="s">
        <v>10595</v>
      </c>
      <c r="L7" s="2" t="s">
        <v>10596</v>
      </c>
      <c r="M7" s="2" t="s">
        <v>10</v>
      </c>
      <c r="N7" s="2" t="s">
        <v>10615</v>
      </c>
      <c r="O7" s="2" t="s">
        <v>10612</v>
      </c>
      <c r="P7" s="2" t="s">
        <v>10613</v>
      </c>
      <c r="Q7" s="2" t="s">
        <v>10614</v>
      </c>
      <c r="R7" s="2" t="s">
        <v>10700</v>
      </c>
    </row>
    <row r="8" spans="1:19" x14ac:dyDescent="0.3">
      <c r="A8" s="2">
        <v>1</v>
      </c>
      <c r="B8" s="2" t="s">
        <v>13</v>
      </c>
      <c r="C8" s="2" t="s">
        <v>14</v>
      </c>
      <c r="D8" s="2" t="s">
        <v>15</v>
      </c>
      <c r="E8" s="2" t="s">
        <v>16</v>
      </c>
      <c r="F8" s="2">
        <v>30</v>
      </c>
      <c r="G8" s="2" t="s">
        <v>17</v>
      </c>
      <c r="H8" s="2" t="s">
        <v>18</v>
      </c>
      <c r="I8" s="2" t="s">
        <v>19</v>
      </c>
      <c r="J8" s="3">
        <v>44754</v>
      </c>
      <c r="K8" s="5">
        <f>YEAR(OrganizedData[[#This Row],[Order Date]])</f>
        <v>2022</v>
      </c>
      <c r="L8" s="7" t="str">
        <f>TEXT(OrganizedData[[#This Row],[Order Date]],"mmm")</f>
        <v>Jul</v>
      </c>
      <c r="M8" s="2">
        <v>73</v>
      </c>
      <c r="N8" s="2" t="s">
        <v>20</v>
      </c>
      <c r="O8" s="2" t="str">
        <f>VLOOKUP(OrganizedData[[#This Row],[Product Code]],ProductData[[Code]:[Item]],2,FALSE)</f>
        <v>Hyperwotsit</v>
      </c>
      <c r="P8" s="4">
        <f>OrganizedData[[#This Row],[Quantity]]*VLOOKUP(OrganizedData[[#This Row],[Product Code]],ProductData[],4,FALSE)</f>
        <v>1460</v>
      </c>
      <c r="Q8" s="6">
        <f>OrganizedData[[#This Row],[Total Items Ordered]]*VLOOKUP(OrganizedData[[#This Row],[Product Code]],ProductData[],3,FALSE)</f>
        <v>2934.6</v>
      </c>
      <c r="R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9" spans="1:19" x14ac:dyDescent="0.3">
      <c r="A9" s="2">
        <v>2</v>
      </c>
      <c r="B9" s="2" t="s">
        <v>21</v>
      </c>
      <c r="C9" s="2" t="s">
        <v>22</v>
      </c>
      <c r="D9" s="2" t="s">
        <v>15</v>
      </c>
      <c r="E9" s="2" t="s">
        <v>16</v>
      </c>
      <c r="F9" s="2">
        <v>60</v>
      </c>
      <c r="G9" s="2" t="s">
        <v>23</v>
      </c>
      <c r="H9" s="2" t="s">
        <v>24</v>
      </c>
      <c r="I9" s="2" t="s">
        <v>25</v>
      </c>
      <c r="J9" s="3">
        <v>44865</v>
      </c>
      <c r="K9" s="5">
        <f>YEAR(OrganizedData[[#This Row],[Order Date]])</f>
        <v>2022</v>
      </c>
      <c r="L9" s="7" t="str">
        <f>TEXT(OrganizedData[[#This Row],[Order Date]],"mmm")</f>
        <v>Oct</v>
      </c>
      <c r="M9" s="2">
        <v>13</v>
      </c>
      <c r="N9" s="2" t="s">
        <v>20</v>
      </c>
      <c r="O9" s="2" t="str">
        <f>VLOOKUP(OrganizedData[[#This Row],[Product Code]],ProductData[[Code]:[Item]],2,FALSE)</f>
        <v>Hyperwotsit</v>
      </c>
      <c r="P9" s="4">
        <f>OrganizedData[[#This Row],[Quantity]]*VLOOKUP(OrganizedData[[#This Row],[Product Code]],ProductData[],4,FALSE)</f>
        <v>260</v>
      </c>
      <c r="Q9" s="6">
        <f>OrganizedData[[#This Row],[Total Items Ordered]]*VLOOKUP(OrganizedData[[#This Row],[Product Code]],ProductData[],3,FALSE)</f>
        <v>522.59999999999991</v>
      </c>
      <c r="R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10" spans="1:19" x14ac:dyDescent="0.3">
      <c r="A10" s="2">
        <v>3</v>
      </c>
      <c r="B10" s="2" t="s">
        <v>26</v>
      </c>
      <c r="C10" s="2" t="s">
        <v>27</v>
      </c>
      <c r="D10" s="2" t="s">
        <v>28</v>
      </c>
      <c r="E10" s="2" t="s">
        <v>29</v>
      </c>
      <c r="F10" s="2">
        <v>90</v>
      </c>
      <c r="G10" s="2" t="s">
        <v>30</v>
      </c>
      <c r="H10" s="2" t="s">
        <v>31</v>
      </c>
      <c r="I10" s="2" t="s">
        <v>32</v>
      </c>
      <c r="J10" s="3">
        <v>44348</v>
      </c>
      <c r="K10" s="5">
        <f>YEAR(OrganizedData[[#This Row],[Order Date]])</f>
        <v>2021</v>
      </c>
      <c r="L10" s="7" t="str">
        <f>TEXT(OrganizedData[[#This Row],[Order Date]],"mmm")</f>
        <v>Jun</v>
      </c>
      <c r="M10" s="2">
        <v>75</v>
      </c>
      <c r="N10" s="2" t="s">
        <v>33</v>
      </c>
      <c r="O10" s="2" t="str">
        <f>VLOOKUP(OrganizedData[[#This Row],[Product Code]],ProductData[[Code]:[Item]],2,FALSE)</f>
        <v>Megawidget L</v>
      </c>
      <c r="P10" s="4">
        <f>OrganizedData[[#This Row],[Quantity]]*VLOOKUP(OrganizedData[[#This Row],[Product Code]],ProductData[],4,FALSE)</f>
        <v>1800</v>
      </c>
      <c r="Q10" s="6">
        <f>OrganizedData[[#This Row],[Total Items Ordered]]*VLOOKUP(OrganizedData[[#This Row],[Product Code]],ProductData[],3,FALSE)</f>
        <v>3222</v>
      </c>
      <c r="R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11" spans="1:19" x14ac:dyDescent="0.3">
      <c r="A11" s="2">
        <v>4</v>
      </c>
      <c r="B11" s="2" t="s">
        <v>34</v>
      </c>
      <c r="C11" s="2" t="s">
        <v>35</v>
      </c>
      <c r="D11" s="2" t="s">
        <v>28</v>
      </c>
      <c r="E11" s="2" t="s">
        <v>29</v>
      </c>
      <c r="F11" s="2">
        <v>60</v>
      </c>
      <c r="G11" s="2" t="s">
        <v>36</v>
      </c>
      <c r="H11" s="2" t="s">
        <v>37</v>
      </c>
      <c r="I11" s="2" t="s">
        <v>38</v>
      </c>
      <c r="J11" s="3">
        <v>44796</v>
      </c>
      <c r="K11" s="5">
        <f>YEAR(OrganizedData[[#This Row],[Order Date]])</f>
        <v>2022</v>
      </c>
      <c r="L11" s="7" t="str">
        <f>TEXT(OrganizedData[[#This Row],[Order Date]],"mmm")</f>
        <v>Aug</v>
      </c>
      <c r="M11" s="2">
        <v>91</v>
      </c>
      <c r="N11" s="2" t="s">
        <v>39</v>
      </c>
      <c r="O11" s="2" t="str">
        <f>VLOOKUP(OrganizedData[[#This Row],[Product Code]],ProductData[[Code]:[Item]],2,FALSE)</f>
        <v>Ultrathing V1</v>
      </c>
      <c r="P11" s="4">
        <f>OrganizedData[[#This Row],[Quantity]]*VLOOKUP(OrganizedData[[#This Row],[Product Code]],ProductData[],4,FALSE)</f>
        <v>1547</v>
      </c>
      <c r="Q11" s="6">
        <f>OrganizedData[[#This Row],[Total Items Ordered]]*VLOOKUP(OrganizedData[[#This Row],[Product Code]],ProductData[],3,FALSE)</f>
        <v>2769.13</v>
      </c>
      <c r="R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2630.6734999999999</v>
      </c>
    </row>
    <row r="12" spans="1:19" x14ac:dyDescent="0.3">
      <c r="A12" s="2">
        <v>5</v>
      </c>
      <c r="B12" s="2" t="s">
        <v>49</v>
      </c>
      <c r="C12" s="2" t="s">
        <v>50</v>
      </c>
      <c r="D12" s="2" t="s">
        <v>51</v>
      </c>
      <c r="E12" s="2" t="s">
        <v>16</v>
      </c>
      <c r="F12" s="2">
        <v>30</v>
      </c>
      <c r="G12" s="2" t="s">
        <v>52</v>
      </c>
      <c r="H12" s="2" t="s">
        <v>53</v>
      </c>
      <c r="I12" s="2" t="s">
        <v>32</v>
      </c>
      <c r="J12" s="3">
        <v>44681</v>
      </c>
      <c r="K12" s="5">
        <f>YEAR(OrganizedData[[#This Row],[Order Date]])</f>
        <v>2022</v>
      </c>
      <c r="L12" s="7" t="str">
        <f>TEXT(OrganizedData[[#This Row],[Order Date]],"mmm")</f>
        <v>Apr</v>
      </c>
      <c r="M12" s="2">
        <v>104</v>
      </c>
      <c r="N12" s="2" t="s">
        <v>54</v>
      </c>
      <c r="O12" s="2" t="str">
        <f>VLOOKUP(OrganizedData[[#This Row],[Product Code]],ProductData[[Code]:[Item]],2,FALSE)</f>
        <v>Megawidget S</v>
      </c>
      <c r="P12" s="4">
        <f>OrganizedData[[#This Row],[Quantity]]*VLOOKUP(OrganizedData[[#This Row],[Product Code]],ProductData[],4,FALSE)</f>
        <v>2496</v>
      </c>
      <c r="Q12" s="6">
        <f>OrganizedData[[#This Row],[Total Items Ordered]]*VLOOKUP(OrganizedData[[#This Row],[Product Code]],ProductData[],3,FALSE)</f>
        <v>1722.2399999999998</v>
      </c>
      <c r="R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1601.6831999999999</v>
      </c>
      <c r="S12" s="6"/>
    </row>
    <row r="13" spans="1:19" x14ac:dyDescent="0.3">
      <c r="A13" s="2">
        <v>6</v>
      </c>
      <c r="B13" s="2" t="s">
        <v>55</v>
      </c>
      <c r="C13" s="2" t="s">
        <v>56</v>
      </c>
      <c r="D13" s="2" t="s">
        <v>28</v>
      </c>
      <c r="E13" s="2" t="s">
        <v>29</v>
      </c>
      <c r="F13" s="2">
        <v>60</v>
      </c>
      <c r="G13" s="2" t="s">
        <v>57</v>
      </c>
      <c r="H13" s="2" t="s">
        <v>58</v>
      </c>
      <c r="I13" s="2" t="s">
        <v>59</v>
      </c>
      <c r="J13" s="3">
        <v>44651</v>
      </c>
      <c r="K13" s="5">
        <f>YEAR(OrganizedData[[#This Row],[Order Date]])</f>
        <v>2022</v>
      </c>
      <c r="L13" s="7" t="str">
        <f>TEXT(OrganizedData[[#This Row],[Order Date]],"mmm")</f>
        <v>Mar</v>
      </c>
      <c r="M13" s="2">
        <v>79</v>
      </c>
      <c r="N13" s="2" t="s">
        <v>45</v>
      </c>
      <c r="O13" s="2" t="str">
        <f>VLOOKUP(OrganizedData[[#This Row],[Product Code]],ProductData[[Code]:[Item]],2,FALSE)</f>
        <v>Gigastuff</v>
      </c>
      <c r="P13" s="4">
        <f>OrganizedData[[#This Row],[Quantity]]*VLOOKUP(OrganizedData[[#This Row],[Product Code]],ProductData[],4,FALSE)</f>
        <v>1422</v>
      </c>
      <c r="Q13" s="6">
        <f>OrganizedData[[#This Row],[Total Items Ordered]]*VLOOKUP(OrganizedData[[#This Row],[Product Code]],ProductData[],3,FALSE)</f>
        <v>2687.58</v>
      </c>
      <c r="R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14" spans="1:19" x14ac:dyDescent="0.3">
      <c r="A14" s="2">
        <v>7</v>
      </c>
      <c r="B14" s="2" t="s">
        <v>60</v>
      </c>
      <c r="C14" s="2" t="s">
        <v>61</v>
      </c>
      <c r="D14" s="2" t="s">
        <v>15</v>
      </c>
      <c r="E14" s="2" t="s">
        <v>16</v>
      </c>
      <c r="F14" s="2">
        <v>90</v>
      </c>
      <c r="G14" s="2" t="s">
        <v>62</v>
      </c>
      <c r="H14" s="2" t="s">
        <v>63</v>
      </c>
      <c r="I14" s="2" t="s">
        <v>32</v>
      </c>
      <c r="J14" s="3">
        <v>44417</v>
      </c>
      <c r="K14" s="5">
        <f>YEAR(OrganizedData[[#This Row],[Order Date]])</f>
        <v>2021</v>
      </c>
      <c r="L14" s="7" t="str">
        <f>TEXT(OrganizedData[[#This Row],[Order Date]],"mmm")</f>
        <v>Aug</v>
      </c>
      <c r="M14" s="2">
        <v>86</v>
      </c>
      <c r="N14" s="2" t="s">
        <v>64</v>
      </c>
      <c r="O14" s="2" t="str">
        <f>VLOOKUP(OrganizedData[[#This Row],[Product Code]],ProductData[[Code]:[Item]],2,FALSE)</f>
        <v>Ultrathing V4</v>
      </c>
      <c r="P14" s="4">
        <f>OrganizedData[[#This Row],[Quantity]]*VLOOKUP(OrganizedData[[#This Row],[Product Code]],ProductData[],4,FALSE)</f>
        <v>2064</v>
      </c>
      <c r="Q14" s="6">
        <f>OrganizedData[[#This Row],[Total Items Ordered]]*VLOOKUP(OrganizedData[[#This Row],[Product Code]],ProductData[],3,FALSE)</f>
        <v>8235.36</v>
      </c>
      <c r="R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7823.5920000000006</v>
      </c>
    </row>
    <row r="15" spans="1:19" x14ac:dyDescent="0.3">
      <c r="A15" s="2">
        <v>8</v>
      </c>
      <c r="B15" s="2" t="s">
        <v>65</v>
      </c>
      <c r="C15" s="2" t="s">
        <v>66</v>
      </c>
      <c r="D15" s="2" t="s">
        <v>41</v>
      </c>
      <c r="E15" s="2" t="s">
        <v>16</v>
      </c>
      <c r="F15" s="2">
        <v>90</v>
      </c>
      <c r="G15" s="2" t="s">
        <v>67</v>
      </c>
      <c r="H15" s="2" t="s">
        <v>68</v>
      </c>
      <c r="I15" s="2" t="s">
        <v>69</v>
      </c>
      <c r="J15" s="3">
        <v>43854</v>
      </c>
      <c r="K15" s="5">
        <f>YEAR(OrganizedData[[#This Row],[Order Date]])</f>
        <v>2020</v>
      </c>
      <c r="L15" s="7" t="str">
        <f>TEXT(OrganizedData[[#This Row],[Order Date]],"mmm")</f>
        <v>Jan</v>
      </c>
      <c r="M15" s="2">
        <v>66</v>
      </c>
      <c r="N15" s="2" t="s">
        <v>70</v>
      </c>
      <c r="O15" s="2" t="str">
        <f>VLOOKUP(OrganizedData[[#This Row],[Product Code]],ProductData[[Code]:[Item]],2,FALSE)</f>
        <v>Megawidget M</v>
      </c>
      <c r="P15" s="4">
        <f>OrganizedData[[#This Row],[Quantity]]*VLOOKUP(OrganizedData[[#This Row],[Product Code]],ProductData[],4,FALSE)</f>
        <v>1584</v>
      </c>
      <c r="Q15" s="6">
        <f>OrganizedData[[#This Row],[Total Items Ordered]]*VLOOKUP(OrganizedData[[#This Row],[Product Code]],ProductData[],3,FALSE)</f>
        <v>2043.3600000000001</v>
      </c>
      <c r="R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1941.192</v>
      </c>
    </row>
    <row r="16" spans="1:19" x14ac:dyDescent="0.3">
      <c r="A16" s="2">
        <v>9</v>
      </c>
      <c r="B16" s="2" t="s">
        <v>71</v>
      </c>
      <c r="C16" s="2" t="s">
        <v>72</v>
      </c>
      <c r="D16" s="2" t="s">
        <v>51</v>
      </c>
      <c r="E16" s="2" t="s">
        <v>16</v>
      </c>
      <c r="F16" s="2">
        <v>90</v>
      </c>
      <c r="G16" s="2" t="s">
        <v>73</v>
      </c>
      <c r="H16" s="2" t="s">
        <v>74</v>
      </c>
      <c r="I16" s="2" t="s">
        <v>32</v>
      </c>
      <c r="J16" s="3">
        <v>44030</v>
      </c>
      <c r="K16" s="5">
        <f>YEAR(OrganizedData[[#This Row],[Order Date]])</f>
        <v>2020</v>
      </c>
      <c r="L16" s="7" t="str">
        <f>TEXT(OrganizedData[[#This Row],[Order Date]],"mmm")</f>
        <v>Jul</v>
      </c>
      <c r="M16" s="2">
        <v>18</v>
      </c>
      <c r="N16" s="2" t="s">
        <v>54</v>
      </c>
      <c r="O16" s="2" t="str">
        <f>VLOOKUP(OrganizedData[[#This Row],[Product Code]],ProductData[[Code]:[Item]],2,FALSE)</f>
        <v>Megawidget S</v>
      </c>
      <c r="P16" s="4">
        <f>OrganizedData[[#This Row],[Quantity]]*VLOOKUP(OrganizedData[[#This Row],[Product Code]],ProductData[],4,FALSE)</f>
        <v>432</v>
      </c>
      <c r="Q16" s="6">
        <f>OrganizedData[[#This Row],[Total Items Ordered]]*VLOOKUP(OrganizedData[[#This Row],[Product Code]],ProductData[],3,FALSE)</f>
        <v>298.08</v>
      </c>
      <c r="R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298.08</v>
      </c>
    </row>
    <row r="17" spans="1:18" x14ac:dyDescent="0.3">
      <c r="A17" s="2">
        <v>10</v>
      </c>
      <c r="B17" s="2" t="s">
        <v>75</v>
      </c>
      <c r="C17" s="2" t="s">
        <v>76</v>
      </c>
      <c r="D17" s="2" t="s">
        <v>28</v>
      </c>
      <c r="E17" s="2" t="s">
        <v>29</v>
      </c>
      <c r="F17" s="2">
        <v>30</v>
      </c>
      <c r="G17" s="2" t="s">
        <v>77</v>
      </c>
      <c r="H17" s="2" t="s">
        <v>78</v>
      </c>
      <c r="I17" s="2" t="s">
        <v>79</v>
      </c>
      <c r="J17" s="3">
        <v>44512</v>
      </c>
      <c r="K17" s="5">
        <f>YEAR(OrganizedData[[#This Row],[Order Date]])</f>
        <v>2021</v>
      </c>
      <c r="L17" s="7" t="str">
        <f>TEXT(OrganizedData[[#This Row],[Order Date]],"mmm")</f>
        <v>Nov</v>
      </c>
      <c r="M17" s="2">
        <v>77</v>
      </c>
      <c r="N17" s="2" t="s">
        <v>80</v>
      </c>
      <c r="O17" s="2" t="str">
        <f>VLOOKUP(OrganizedData[[#This Row],[Product Code]],ProductData[[Code]:[Item]],2,FALSE)</f>
        <v>Ultrathing V2</v>
      </c>
      <c r="P17" s="4">
        <f>OrganizedData[[#This Row],[Quantity]]*VLOOKUP(OrganizedData[[#This Row],[Product Code]],ProductData[],4,FALSE)</f>
        <v>1540</v>
      </c>
      <c r="Q17" s="6">
        <f>OrganizedData[[#This Row],[Total Items Ordered]]*VLOOKUP(OrganizedData[[#This Row],[Product Code]],ProductData[],3,FALSE)</f>
        <v>4543</v>
      </c>
      <c r="R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4315.8499999999995</v>
      </c>
    </row>
    <row r="18" spans="1:18" x14ac:dyDescent="0.3">
      <c r="A18" s="2">
        <v>11</v>
      </c>
      <c r="B18" s="2" t="s">
        <v>81</v>
      </c>
      <c r="C18" s="2" t="s">
        <v>82</v>
      </c>
      <c r="D18" s="2" t="s">
        <v>15</v>
      </c>
      <c r="E18" s="2" t="s">
        <v>16</v>
      </c>
      <c r="F18" s="2">
        <v>30</v>
      </c>
      <c r="G18" s="2" t="s">
        <v>83</v>
      </c>
      <c r="H18" s="2" t="s">
        <v>84</v>
      </c>
      <c r="I18" s="2" t="s">
        <v>32</v>
      </c>
      <c r="J18" s="3">
        <v>44025</v>
      </c>
      <c r="K18" s="5">
        <f>YEAR(OrganizedData[[#This Row],[Order Date]])</f>
        <v>2020</v>
      </c>
      <c r="L18" s="7" t="str">
        <f>TEXT(OrganizedData[[#This Row],[Order Date]],"mmm")</f>
        <v>Jul</v>
      </c>
      <c r="M18" s="2">
        <v>5</v>
      </c>
      <c r="N18" s="2" t="s">
        <v>45</v>
      </c>
      <c r="O18" s="2" t="str">
        <f>VLOOKUP(OrganizedData[[#This Row],[Product Code]],ProductData[[Code]:[Item]],2,FALSE)</f>
        <v>Gigastuff</v>
      </c>
      <c r="P18" s="4">
        <f>OrganizedData[[#This Row],[Quantity]]*VLOOKUP(OrganizedData[[#This Row],[Product Code]],ProductData[],4,FALSE)</f>
        <v>90</v>
      </c>
      <c r="Q18" s="6">
        <f>OrganizedData[[#This Row],[Total Items Ordered]]*VLOOKUP(OrganizedData[[#This Row],[Product Code]],ProductData[],3,FALSE)</f>
        <v>170.1</v>
      </c>
      <c r="R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19" spans="1:18" x14ac:dyDescent="0.3">
      <c r="A19" s="2">
        <v>12</v>
      </c>
      <c r="B19" s="2" t="s">
        <v>85</v>
      </c>
      <c r="C19" s="2" t="s">
        <v>86</v>
      </c>
      <c r="D19" s="2" t="s">
        <v>28</v>
      </c>
      <c r="E19" s="2" t="s">
        <v>29</v>
      </c>
      <c r="F19" s="2">
        <v>60</v>
      </c>
      <c r="G19" s="2" t="s">
        <v>87</v>
      </c>
      <c r="H19" s="2" t="s">
        <v>88</v>
      </c>
      <c r="I19" s="2" t="s">
        <v>89</v>
      </c>
      <c r="J19" s="3">
        <v>44282</v>
      </c>
      <c r="K19" s="5">
        <f>YEAR(OrganizedData[[#This Row],[Order Date]])</f>
        <v>2021</v>
      </c>
      <c r="L19" s="7" t="str">
        <f>TEXT(OrganizedData[[#This Row],[Order Date]],"mmm")</f>
        <v>Mar</v>
      </c>
      <c r="M19" s="2">
        <v>50</v>
      </c>
      <c r="N19" s="2" t="s">
        <v>54</v>
      </c>
      <c r="O19" s="2" t="str">
        <f>VLOOKUP(OrganizedData[[#This Row],[Product Code]],ProductData[[Code]:[Item]],2,FALSE)</f>
        <v>Megawidget S</v>
      </c>
      <c r="P19" s="4">
        <f>OrganizedData[[#This Row],[Quantity]]*VLOOKUP(OrganizedData[[#This Row],[Product Code]],ProductData[],4,FALSE)</f>
        <v>1200</v>
      </c>
      <c r="Q19" s="6">
        <f>OrganizedData[[#This Row],[Total Items Ordered]]*VLOOKUP(OrganizedData[[#This Row],[Product Code]],ProductData[],3,FALSE)</f>
        <v>827.99999999999989</v>
      </c>
      <c r="R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20" spans="1:18" x14ac:dyDescent="0.3">
      <c r="A20" s="2">
        <v>13</v>
      </c>
      <c r="B20" s="2" t="s">
        <v>90</v>
      </c>
      <c r="C20" s="2" t="s">
        <v>91</v>
      </c>
      <c r="D20" s="2" t="s">
        <v>92</v>
      </c>
      <c r="E20" s="2" t="s">
        <v>29</v>
      </c>
      <c r="F20" s="2">
        <v>60</v>
      </c>
      <c r="G20" s="2" t="s">
        <v>93</v>
      </c>
      <c r="H20" s="2" t="s">
        <v>94</v>
      </c>
      <c r="I20" s="2" t="s">
        <v>95</v>
      </c>
      <c r="J20" s="3">
        <v>44773</v>
      </c>
      <c r="K20" s="5">
        <f>YEAR(OrganizedData[[#This Row],[Order Date]])</f>
        <v>2022</v>
      </c>
      <c r="L20" s="7" t="str">
        <f>TEXT(OrganizedData[[#This Row],[Order Date]],"mmm")</f>
        <v>Jul</v>
      </c>
      <c r="M20" s="2">
        <v>16</v>
      </c>
      <c r="N20" s="2" t="s">
        <v>20</v>
      </c>
      <c r="O20" s="2" t="str">
        <f>VLOOKUP(OrganizedData[[#This Row],[Product Code]],ProductData[[Code]:[Item]],2,FALSE)</f>
        <v>Hyperwotsit</v>
      </c>
      <c r="P20" s="4">
        <f>OrganizedData[[#This Row],[Quantity]]*VLOOKUP(OrganizedData[[#This Row],[Product Code]],ProductData[],4,FALSE)</f>
        <v>320</v>
      </c>
      <c r="Q20" s="6">
        <f>OrganizedData[[#This Row],[Total Items Ordered]]*VLOOKUP(OrganizedData[[#This Row],[Product Code]],ProductData[],3,FALSE)</f>
        <v>643.19999999999993</v>
      </c>
      <c r="R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643.19999999999993</v>
      </c>
    </row>
    <row r="21" spans="1:18" x14ac:dyDescent="0.3">
      <c r="A21" s="2">
        <v>14</v>
      </c>
      <c r="B21" s="2" t="s">
        <v>96</v>
      </c>
      <c r="C21" s="2" t="s">
        <v>97</v>
      </c>
      <c r="D21" s="2" t="s">
        <v>28</v>
      </c>
      <c r="E21" s="2" t="s">
        <v>29</v>
      </c>
      <c r="F21" s="2">
        <v>30</v>
      </c>
      <c r="G21" s="2" t="s">
        <v>98</v>
      </c>
      <c r="H21" s="2" t="s">
        <v>99</v>
      </c>
      <c r="I21" s="2" t="s">
        <v>100</v>
      </c>
      <c r="J21" s="3">
        <v>44548</v>
      </c>
      <c r="K21" s="5">
        <f>YEAR(OrganizedData[[#This Row],[Order Date]])</f>
        <v>2021</v>
      </c>
      <c r="L21" s="7" t="str">
        <f>TEXT(OrganizedData[[#This Row],[Order Date]],"mmm")</f>
        <v>Dec</v>
      </c>
      <c r="M21" s="2">
        <v>49</v>
      </c>
      <c r="N21" s="2" t="s">
        <v>101</v>
      </c>
      <c r="O21" s="2" t="str">
        <f>VLOOKUP(OrganizedData[[#This Row],[Product Code]],ProductData[[Code]:[Item]],2,FALSE)</f>
        <v>Superwossname</v>
      </c>
      <c r="P21" s="4">
        <f>OrganizedData[[#This Row],[Quantity]]*VLOOKUP(OrganizedData[[#This Row],[Product Code]],ProductData[],4,FALSE)</f>
        <v>980</v>
      </c>
      <c r="Q21" s="6">
        <f>OrganizedData[[#This Row],[Total Items Ordered]]*VLOOKUP(OrganizedData[[#This Row],[Product Code]],ProductData[],3,FALSE)</f>
        <v>3420.2000000000003</v>
      </c>
      <c r="R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3317.5940000000001</v>
      </c>
    </row>
    <row r="22" spans="1:18" x14ac:dyDescent="0.3">
      <c r="A22" s="2">
        <v>15</v>
      </c>
      <c r="B22" s="2" t="s">
        <v>102</v>
      </c>
      <c r="C22" s="2" t="s">
        <v>103</v>
      </c>
      <c r="D22" s="2" t="s">
        <v>28</v>
      </c>
      <c r="E22" s="2" t="s">
        <v>29</v>
      </c>
      <c r="F22" s="2">
        <v>90</v>
      </c>
      <c r="G22" s="2" t="s">
        <v>104</v>
      </c>
      <c r="H22" s="2" t="s">
        <v>105</v>
      </c>
      <c r="I22" s="2" t="s">
        <v>32</v>
      </c>
      <c r="J22" s="3">
        <v>44160</v>
      </c>
      <c r="K22" s="5">
        <f>YEAR(OrganizedData[[#This Row],[Order Date]])</f>
        <v>2020</v>
      </c>
      <c r="L22" s="7" t="str">
        <f>TEXT(OrganizedData[[#This Row],[Order Date]],"mmm")</f>
        <v>Nov</v>
      </c>
      <c r="M22" s="2">
        <v>83</v>
      </c>
      <c r="N22" s="2" t="s">
        <v>101</v>
      </c>
      <c r="O22" s="2" t="str">
        <f>VLOOKUP(OrganizedData[[#This Row],[Product Code]],ProductData[[Code]:[Item]],2,FALSE)</f>
        <v>Superwossname</v>
      </c>
      <c r="P22" s="4">
        <f>OrganizedData[[#This Row],[Quantity]]*VLOOKUP(OrganizedData[[#This Row],[Product Code]],ProductData[],4,FALSE)</f>
        <v>1660</v>
      </c>
      <c r="Q22" s="6">
        <f>OrganizedData[[#This Row],[Total Items Ordered]]*VLOOKUP(OrganizedData[[#This Row],[Product Code]],ProductData[],3,FALSE)</f>
        <v>5793.4000000000005</v>
      </c>
      <c r="R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23" spans="1:18" x14ac:dyDescent="0.3">
      <c r="A23" s="2">
        <v>16</v>
      </c>
      <c r="B23" s="2" t="s">
        <v>106</v>
      </c>
      <c r="C23" s="2" t="s">
        <v>107</v>
      </c>
      <c r="D23" s="2" t="s">
        <v>28</v>
      </c>
      <c r="E23" s="2" t="s">
        <v>29</v>
      </c>
      <c r="F23" s="2">
        <v>90</v>
      </c>
      <c r="G23" s="2" t="s">
        <v>108</v>
      </c>
      <c r="H23" s="2" t="s">
        <v>109</v>
      </c>
      <c r="I23" s="2" t="s">
        <v>110</v>
      </c>
      <c r="J23" s="3">
        <v>44281</v>
      </c>
      <c r="K23" s="5">
        <f>YEAR(OrganizedData[[#This Row],[Order Date]])</f>
        <v>2021</v>
      </c>
      <c r="L23" s="7" t="str">
        <f>TEXT(OrganizedData[[#This Row],[Order Date]],"mmm")</f>
        <v>Mar</v>
      </c>
      <c r="M23" s="2">
        <v>66</v>
      </c>
      <c r="N23" s="2" t="s">
        <v>45</v>
      </c>
      <c r="O23" s="2" t="str">
        <f>VLOOKUP(OrganizedData[[#This Row],[Product Code]],ProductData[[Code]:[Item]],2,FALSE)</f>
        <v>Gigastuff</v>
      </c>
      <c r="P23" s="4">
        <f>OrganizedData[[#This Row],[Quantity]]*VLOOKUP(OrganizedData[[#This Row],[Product Code]],ProductData[],4,FALSE)</f>
        <v>1188</v>
      </c>
      <c r="Q23" s="6">
        <f>OrganizedData[[#This Row],[Total Items Ordered]]*VLOOKUP(OrganizedData[[#This Row],[Product Code]],ProductData[],3,FALSE)</f>
        <v>2245.3199999999997</v>
      </c>
      <c r="R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2133.0539999999996</v>
      </c>
    </row>
    <row r="24" spans="1:18" x14ac:dyDescent="0.3">
      <c r="A24" s="2">
        <v>17</v>
      </c>
      <c r="B24" s="2" t="s">
        <v>111</v>
      </c>
      <c r="C24" s="2" t="s">
        <v>112</v>
      </c>
      <c r="D24" s="2" t="s">
        <v>28</v>
      </c>
      <c r="E24" s="2" t="s">
        <v>29</v>
      </c>
      <c r="F24" s="2">
        <v>90</v>
      </c>
      <c r="G24" s="2" t="s">
        <v>113</v>
      </c>
      <c r="H24" s="2" t="s">
        <v>114</v>
      </c>
      <c r="I24" s="2" t="s">
        <v>38</v>
      </c>
      <c r="J24" s="3">
        <v>44455</v>
      </c>
      <c r="K24" s="5">
        <f>YEAR(OrganizedData[[#This Row],[Order Date]])</f>
        <v>2021</v>
      </c>
      <c r="L24" s="7" t="str">
        <f>TEXT(OrganizedData[[#This Row],[Order Date]],"mmm")</f>
        <v>Sep</v>
      </c>
      <c r="M24" s="2">
        <v>85</v>
      </c>
      <c r="N24" s="2" t="s">
        <v>45</v>
      </c>
      <c r="O24" s="2" t="str">
        <f>VLOOKUP(OrganizedData[[#This Row],[Product Code]],ProductData[[Code]:[Item]],2,FALSE)</f>
        <v>Gigastuff</v>
      </c>
      <c r="P24" s="4">
        <f>OrganizedData[[#This Row],[Quantity]]*VLOOKUP(OrganizedData[[#This Row],[Product Code]],ProductData[],4,FALSE)</f>
        <v>1530</v>
      </c>
      <c r="Q24" s="6">
        <f>OrganizedData[[#This Row],[Total Items Ordered]]*VLOOKUP(OrganizedData[[#This Row],[Product Code]],ProductData[],3,FALSE)</f>
        <v>2891.7</v>
      </c>
      <c r="R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25" spans="1:18" x14ac:dyDescent="0.3">
      <c r="A25" s="2">
        <v>18</v>
      </c>
      <c r="B25" s="2" t="s">
        <v>115</v>
      </c>
      <c r="C25" s="2" t="s">
        <v>116</v>
      </c>
      <c r="D25" s="2" t="s">
        <v>117</v>
      </c>
      <c r="E25" s="2" t="s">
        <v>29</v>
      </c>
      <c r="F25" s="2">
        <v>30</v>
      </c>
      <c r="G25" s="2" t="s">
        <v>118</v>
      </c>
      <c r="H25" s="2" t="s">
        <v>119</v>
      </c>
      <c r="I25" s="2" t="s">
        <v>32</v>
      </c>
      <c r="J25" s="3">
        <v>44272</v>
      </c>
      <c r="K25" s="5">
        <f>YEAR(OrganizedData[[#This Row],[Order Date]])</f>
        <v>2021</v>
      </c>
      <c r="L25" s="7" t="str">
        <f>TEXT(OrganizedData[[#This Row],[Order Date]],"mmm")</f>
        <v>Mar</v>
      </c>
      <c r="M25" s="2">
        <v>38</v>
      </c>
      <c r="N25" s="2" t="s">
        <v>33</v>
      </c>
      <c r="O25" s="2" t="str">
        <f>VLOOKUP(OrganizedData[[#This Row],[Product Code]],ProductData[[Code]:[Item]],2,FALSE)</f>
        <v>Megawidget L</v>
      </c>
      <c r="P25" s="4">
        <f>OrganizedData[[#This Row],[Quantity]]*VLOOKUP(OrganizedData[[#This Row],[Product Code]],ProductData[],4,FALSE)</f>
        <v>912</v>
      </c>
      <c r="Q25" s="6">
        <f>OrganizedData[[#This Row],[Total Items Ordered]]*VLOOKUP(OrganizedData[[#This Row],[Product Code]],ProductData[],3,FALSE)</f>
        <v>1632.48</v>
      </c>
      <c r="R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26" spans="1:18" x14ac:dyDescent="0.3">
      <c r="A26" s="2">
        <v>19</v>
      </c>
      <c r="B26" s="2" t="s">
        <v>120</v>
      </c>
      <c r="C26" s="2" t="s">
        <v>121</v>
      </c>
      <c r="D26" s="2" t="s">
        <v>15</v>
      </c>
      <c r="E26" s="2" t="s">
        <v>16</v>
      </c>
      <c r="F26" s="2">
        <v>90</v>
      </c>
      <c r="G26" s="2" t="s">
        <v>122</v>
      </c>
      <c r="H26" s="2" t="s">
        <v>123</v>
      </c>
      <c r="I26" s="2" t="s">
        <v>124</v>
      </c>
      <c r="J26" s="3">
        <v>44202</v>
      </c>
      <c r="K26" s="5">
        <f>YEAR(OrganizedData[[#This Row],[Order Date]])</f>
        <v>2021</v>
      </c>
      <c r="L26" s="7" t="str">
        <f>TEXT(OrganizedData[[#This Row],[Order Date]],"mmm")</f>
        <v>Jan</v>
      </c>
      <c r="M26" s="2">
        <v>18</v>
      </c>
      <c r="N26" s="2" t="s">
        <v>20</v>
      </c>
      <c r="O26" s="2" t="str">
        <f>VLOOKUP(OrganizedData[[#This Row],[Product Code]],ProductData[[Code]:[Item]],2,FALSE)</f>
        <v>Hyperwotsit</v>
      </c>
      <c r="P26" s="4">
        <f>OrganizedData[[#This Row],[Quantity]]*VLOOKUP(OrganizedData[[#This Row],[Product Code]],ProductData[],4,FALSE)</f>
        <v>360</v>
      </c>
      <c r="Q26" s="6">
        <f>OrganizedData[[#This Row],[Total Items Ordered]]*VLOOKUP(OrganizedData[[#This Row],[Product Code]],ProductData[],3,FALSE)</f>
        <v>723.59999999999991</v>
      </c>
      <c r="R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27" spans="1:18" x14ac:dyDescent="0.3">
      <c r="A27" s="2">
        <v>20</v>
      </c>
      <c r="B27" s="2" t="s">
        <v>125</v>
      </c>
      <c r="C27" s="2" t="s">
        <v>126</v>
      </c>
      <c r="D27" s="2" t="s">
        <v>28</v>
      </c>
      <c r="E27" s="2" t="s">
        <v>29</v>
      </c>
      <c r="F27" s="2">
        <v>60</v>
      </c>
      <c r="G27" s="2" t="s">
        <v>127</v>
      </c>
      <c r="H27" s="2" t="s">
        <v>128</v>
      </c>
      <c r="I27" s="2" t="s">
        <v>129</v>
      </c>
      <c r="J27" s="3">
        <v>44595</v>
      </c>
      <c r="K27" s="5">
        <f>YEAR(OrganizedData[[#This Row],[Order Date]])</f>
        <v>2022</v>
      </c>
      <c r="L27" s="7" t="str">
        <f>TEXT(OrganizedData[[#This Row],[Order Date]],"mmm")</f>
        <v>Feb</v>
      </c>
      <c r="M27" s="2">
        <v>50</v>
      </c>
      <c r="N27" s="2" t="s">
        <v>33</v>
      </c>
      <c r="O27" s="2" t="str">
        <f>VLOOKUP(OrganizedData[[#This Row],[Product Code]],ProductData[[Code]:[Item]],2,FALSE)</f>
        <v>Megawidget L</v>
      </c>
      <c r="P27" s="4">
        <f>OrganizedData[[#This Row],[Quantity]]*VLOOKUP(OrganizedData[[#This Row],[Product Code]],ProductData[],4,FALSE)</f>
        <v>1200</v>
      </c>
      <c r="Q27" s="6">
        <f>OrganizedData[[#This Row],[Total Items Ordered]]*VLOOKUP(OrganizedData[[#This Row],[Product Code]],ProductData[],3,FALSE)</f>
        <v>2148</v>
      </c>
      <c r="R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28" spans="1:18" x14ac:dyDescent="0.3">
      <c r="A28" s="2">
        <v>21</v>
      </c>
      <c r="B28" s="2" t="s">
        <v>130</v>
      </c>
      <c r="C28" s="2" t="s">
        <v>131</v>
      </c>
      <c r="D28" s="2" t="s">
        <v>28</v>
      </c>
      <c r="E28" s="2" t="s">
        <v>29</v>
      </c>
      <c r="F28" s="2">
        <v>60</v>
      </c>
      <c r="G28" s="2" t="s">
        <v>132</v>
      </c>
      <c r="H28" s="2" t="s">
        <v>133</v>
      </c>
      <c r="I28" s="2" t="s">
        <v>124</v>
      </c>
      <c r="J28" s="3">
        <v>43944</v>
      </c>
      <c r="K28" s="5">
        <f>YEAR(OrganizedData[[#This Row],[Order Date]])</f>
        <v>2020</v>
      </c>
      <c r="L28" s="7" t="str">
        <f>TEXT(OrganizedData[[#This Row],[Order Date]],"mmm")</f>
        <v>Apr</v>
      </c>
      <c r="M28" s="2">
        <v>75</v>
      </c>
      <c r="N28" s="2" t="s">
        <v>20</v>
      </c>
      <c r="O28" s="2" t="str">
        <f>VLOOKUP(OrganizedData[[#This Row],[Product Code]],ProductData[[Code]:[Item]],2,FALSE)</f>
        <v>Hyperwotsit</v>
      </c>
      <c r="P28" s="4">
        <f>OrganizedData[[#This Row],[Quantity]]*VLOOKUP(OrganizedData[[#This Row],[Product Code]],ProductData[],4,FALSE)</f>
        <v>1500</v>
      </c>
      <c r="Q28" s="6">
        <f>OrganizedData[[#This Row],[Total Items Ordered]]*VLOOKUP(OrganizedData[[#This Row],[Product Code]],ProductData[],3,FALSE)</f>
        <v>3014.9999999999995</v>
      </c>
      <c r="R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2864.2499999999995</v>
      </c>
    </row>
    <row r="29" spans="1:18" x14ac:dyDescent="0.3">
      <c r="A29" s="2">
        <v>22</v>
      </c>
      <c r="B29" s="2" t="s">
        <v>134</v>
      </c>
      <c r="C29" s="2" t="s">
        <v>135</v>
      </c>
      <c r="D29" s="2" t="s">
        <v>28</v>
      </c>
      <c r="E29" s="2" t="s">
        <v>29</v>
      </c>
      <c r="F29" s="2">
        <v>60</v>
      </c>
      <c r="G29" s="2" t="s">
        <v>136</v>
      </c>
      <c r="H29" s="2" t="s">
        <v>137</v>
      </c>
      <c r="I29" s="2" t="s">
        <v>32</v>
      </c>
      <c r="J29" s="3">
        <v>44818</v>
      </c>
      <c r="K29" s="5">
        <f>YEAR(OrganizedData[[#This Row],[Order Date]])</f>
        <v>2022</v>
      </c>
      <c r="L29" s="7" t="str">
        <f>TEXT(OrganizedData[[#This Row],[Order Date]],"mmm")</f>
        <v>Sep</v>
      </c>
      <c r="M29" s="2">
        <v>68</v>
      </c>
      <c r="N29" s="2" t="s">
        <v>39</v>
      </c>
      <c r="O29" s="2" t="str">
        <f>VLOOKUP(OrganizedData[[#This Row],[Product Code]],ProductData[[Code]:[Item]],2,FALSE)</f>
        <v>Ultrathing V1</v>
      </c>
      <c r="P29" s="4">
        <f>OrganizedData[[#This Row],[Quantity]]*VLOOKUP(OrganizedData[[#This Row],[Product Code]],ProductData[],4,FALSE)</f>
        <v>1156</v>
      </c>
      <c r="Q29" s="6">
        <f>OrganizedData[[#This Row],[Total Items Ordered]]*VLOOKUP(OrganizedData[[#This Row],[Product Code]],ProductData[],3,FALSE)</f>
        <v>2069.2400000000002</v>
      </c>
      <c r="R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30" spans="1:18" x14ac:dyDescent="0.3">
      <c r="A30" s="2">
        <v>23</v>
      </c>
      <c r="B30" s="2" t="s">
        <v>138</v>
      </c>
      <c r="C30" s="2" t="s">
        <v>139</v>
      </c>
      <c r="D30" s="2" t="s">
        <v>28</v>
      </c>
      <c r="E30" s="2" t="s">
        <v>29</v>
      </c>
      <c r="F30" s="2">
        <v>30</v>
      </c>
      <c r="G30" s="2" t="s">
        <v>140</v>
      </c>
      <c r="H30" s="2" t="s">
        <v>141</v>
      </c>
      <c r="I30" s="2" t="s">
        <v>32</v>
      </c>
      <c r="J30" s="3">
        <v>44490</v>
      </c>
      <c r="K30" s="5">
        <f>YEAR(OrganizedData[[#This Row],[Order Date]])</f>
        <v>2021</v>
      </c>
      <c r="L30" s="7" t="str">
        <f>TEXT(OrganizedData[[#This Row],[Order Date]],"mmm")</f>
        <v>Oct</v>
      </c>
      <c r="M30" s="2">
        <v>14</v>
      </c>
      <c r="N30" s="2" t="s">
        <v>20</v>
      </c>
      <c r="O30" s="2" t="str">
        <f>VLOOKUP(OrganizedData[[#This Row],[Product Code]],ProductData[[Code]:[Item]],2,FALSE)</f>
        <v>Hyperwotsit</v>
      </c>
      <c r="P30" s="4">
        <f>OrganizedData[[#This Row],[Quantity]]*VLOOKUP(OrganizedData[[#This Row],[Product Code]],ProductData[],4,FALSE)</f>
        <v>280</v>
      </c>
      <c r="Q30" s="6">
        <f>OrganizedData[[#This Row],[Total Items Ordered]]*VLOOKUP(OrganizedData[[#This Row],[Product Code]],ProductData[],3,FALSE)</f>
        <v>562.79999999999995</v>
      </c>
      <c r="R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31" spans="1:18" x14ac:dyDescent="0.3">
      <c r="A31" s="2">
        <v>24</v>
      </c>
      <c r="B31" s="2" t="s">
        <v>142</v>
      </c>
      <c r="C31" s="2" t="s">
        <v>143</v>
      </c>
      <c r="D31" s="2" t="s">
        <v>15</v>
      </c>
      <c r="E31" s="2" t="s">
        <v>16</v>
      </c>
      <c r="F31" s="2">
        <v>90</v>
      </c>
      <c r="G31" s="2" t="s">
        <v>144</v>
      </c>
      <c r="H31" s="2" t="s">
        <v>145</v>
      </c>
      <c r="I31" s="2" t="s">
        <v>146</v>
      </c>
      <c r="J31" s="3">
        <v>44374</v>
      </c>
      <c r="K31" s="5">
        <f>YEAR(OrganizedData[[#This Row],[Order Date]])</f>
        <v>2021</v>
      </c>
      <c r="L31" s="7" t="str">
        <f>TEXT(OrganizedData[[#This Row],[Order Date]],"mmm")</f>
        <v>Jun</v>
      </c>
      <c r="M31" s="2">
        <v>75</v>
      </c>
      <c r="N31" s="2" t="s">
        <v>45</v>
      </c>
      <c r="O31" s="2" t="str">
        <f>VLOOKUP(OrganizedData[[#This Row],[Product Code]],ProductData[[Code]:[Item]],2,FALSE)</f>
        <v>Gigastuff</v>
      </c>
      <c r="P31" s="4">
        <f>OrganizedData[[#This Row],[Quantity]]*VLOOKUP(OrganizedData[[#This Row],[Product Code]],ProductData[],4,FALSE)</f>
        <v>1350</v>
      </c>
      <c r="Q31" s="6">
        <f>OrganizedData[[#This Row],[Total Items Ordered]]*VLOOKUP(OrganizedData[[#This Row],[Product Code]],ProductData[],3,FALSE)</f>
        <v>2551.5</v>
      </c>
      <c r="R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2423.9249999999997</v>
      </c>
    </row>
    <row r="32" spans="1:18" x14ac:dyDescent="0.3">
      <c r="A32" s="2">
        <v>25</v>
      </c>
      <c r="B32" s="2" t="s">
        <v>147</v>
      </c>
      <c r="C32" s="2" t="s">
        <v>148</v>
      </c>
      <c r="D32" s="2" t="s">
        <v>15</v>
      </c>
      <c r="E32" s="2" t="s">
        <v>16</v>
      </c>
      <c r="F32" s="2">
        <v>30</v>
      </c>
      <c r="G32" s="2" t="s">
        <v>149</v>
      </c>
      <c r="H32" s="2" t="s">
        <v>150</v>
      </c>
      <c r="I32" s="2" t="s">
        <v>110</v>
      </c>
      <c r="J32" s="3">
        <v>44466</v>
      </c>
      <c r="K32" s="5">
        <f>YEAR(OrganizedData[[#This Row],[Order Date]])</f>
        <v>2021</v>
      </c>
      <c r="L32" s="7" t="str">
        <f>TEXT(OrganizedData[[#This Row],[Order Date]],"mmm")</f>
        <v>Sep</v>
      </c>
      <c r="M32" s="2">
        <v>18</v>
      </c>
      <c r="N32" s="2" t="s">
        <v>101</v>
      </c>
      <c r="O32" s="2" t="str">
        <f>VLOOKUP(OrganizedData[[#This Row],[Product Code]],ProductData[[Code]:[Item]],2,FALSE)</f>
        <v>Superwossname</v>
      </c>
      <c r="P32" s="4">
        <f>OrganizedData[[#This Row],[Quantity]]*VLOOKUP(OrganizedData[[#This Row],[Product Code]],ProductData[],4,FALSE)</f>
        <v>360</v>
      </c>
      <c r="Q32" s="6">
        <f>OrganizedData[[#This Row],[Total Items Ordered]]*VLOOKUP(OrganizedData[[#This Row],[Product Code]],ProductData[],3,FALSE)</f>
        <v>1256.4000000000001</v>
      </c>
      <c r="R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33" spans="1:18" x14ac:dyDescent="0.3">
      <c r="A33" s="2">
        <v>26</v>
      </c>
      <c r="B33" s="2" t="s">
        <v>151</v>
      </c>
      <c r="C33" s="2" t="s">
        <v>152</v>
      </c>
      <c r="D33" s="2" t="s">
        <v>51</v>
      </c>
      <c r="E33" s="2" t="s">
        <v>16</v>
      </c>
      <c r="F33" s="2">
        <v>30</v>
      </c>
      <c r="G33" s="2" t="s">
        <v>153</v>
      </c>
      <c r="H33" s="2" t="s">
        <v>154</v>
      </c>
      <c r="I33" s="2" t="s">
        <v>25</v>
      </c>
      <c r="J33" s="3">
        <v>44901</v>
      </c>
      <c r="K33" s="5">
        <f>YEAR(OrganizedData[[#This Row],[Order Date]])</f>
        <v>2022</v>
      </c>
      <c r="L33" s="7" t="str">
        <f>TEXT(OrganizedData[[#This Row],[Order Date]],"mmm")</f>
        <v>Dec</v>
      </c>
      <c r="M33" s="2">
        <v>89</v>
      </c>
      <c r="N33" s="2" t="s">
        <v>80</v>
      </c>
      <c r="O33" s="2" t="str">
        <f>VLOOKUP(OrganizedData[[#This Row],[Product Code]],ProductData[[Code]:[Item]],2,FALSE)</f>
        <v>Ultrathing V2</v>
      </c>
      <c r="P33" s="4">
        <f>OrganizedData[[#This Row],[Quantity]]*VLOOKUP(OrganizedData[[#This Row],[Product Code]],ProductData[],4,FALSE)</f>
        <v>1780</v>
      </c>
      <c r="Q33" s="6">
        <f>OrganizedData[[#This Row],[Total Items Ordered]]*VLOOKUP(OrganizedData[[#This Row],[Product Code]],ProductData[],3,FALSE)</f>
        <v>5251</v>
      </c>
      <c r="R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4988.45</v>
      </c>
    </row>
    <row r="34" spans="1:18" x14ac:dyDescent="0.3">
      <c r="A34" s="2">
        <v>27</v>
      </c>
      <c r="B34" s="2" t="s">
        <v>155</v>
      </c>
      <c r="C34" s="2" t="s">
        <v>156</v>
      </c>
      <c r="D34" s="2" t="s">
        <v>28</v>
      </c>
      <c r="E34" s="2" t="s">
        <v>29</v>
      </c>
      <c r="F34" s="2">
        <v>90</v>
      </c>
      <c r="G34" s="2" t="s">
        <v>157</v>
      </c>
      <c r="H34" s="2" t="s">
        <v>158</v>
      </c>
      <c r="I34" s="2" t="s">
        <v>32</v>
      </c>
      <c r="J34" s="3">
        <v>44313</v>
      </c>
      <c r="K34" s="5">
        <f>YEAR(OrganizedData[[#This Row],[Order Date]])</f>
        <v>2021</v>
      </c>
      <c r="L34" s="7" t="str">
        <f>TEXT(OrganizedData[[#This Row],[Order Date]],"mmm")</f>
        <v>Apr</v>
      </c>
      <c r="M34" s="2">
        <v>89</v>
      </c>
      <c r="N34" s="2" t="s">
        <v>159</v>
      </c>
      <c r="O34" s="2" t="str">
        <f>VLOOKUP(OrganizedData[[#This Row],[Product Code]],ProductData[[Code]:[Item]],2,FALSE)</f>
        <v>Ultrathing V3</v>
      </c>
      <c r="P34" s="4">
        <f>OrganizedData[[#This Row],[Quantity]]*VLOOKUP(OrganizedData[[#This Row],[Product Code]],ProductData[],4,FALSE)</f>
        <v>2136</v>
      </c>
      <c r="Q34" s="6">
        <f>OrganizedData[[#This Row],[Total Items Ordered]]*VLOOKUP(OrganizedData[[#This Row],[Product Code]],ProductData[],3,FALSE)</f>
        <v>7241.04</v>
      </c>
      <c r="R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6878.9879999999994</v>
      </c>
    </row>
    <row r="35" spans="1:18" x14ac:dyDescent="0.3">
      <c r="A35" s="2">
        <v>28</v>
      </c>
      <c r="B35" s="2" t="s">
        <v>160</v>
      </c>
      <c r="C35" s="2" t="s">
        <v>161</v>
      </c>
      <c r="D35" s="2" t="s">
        <v>28</v>
      </c>
      <c r="E35" s="2" t="s">
        <v>29</v>
      </c>
      <c r="F35" s="2">
        <v>60</v>
      </c>
      <c r="G35" s="2" t="s">
        <v>162</v>
      </c>
      <c r="H35" s="2" t="s">
        <v>163</v>
      </c>
      <c r="I35" s="2" t="s">
        <v>164</v>
      </c>
      <c r="J35" s="3">
        <v>44402</v>
      </c>
      <c r="K35" s="5">
        <f>YEAR(OrganizedData[[#This Row],[Order Date]])</f>
        <v>2021</v>
      </c>
      <c r="L35" s="7" t="str">
        <f>TEXT(OrganizedData[[#This Row],[Order Date]],"mmm")</f>
        <v>Jul</v>
      </c>
      <c r="M35" s="2">
        <v>43</v>
      </c>
      <c r="N35" s="2" t="s">
        <v>70</v>
      </c>
      <c r="O35" s="2" t="str">
        <f>VLOOKUP(OrganizedData[[#This Row],[Product Code]],ProductData[[Code]:[Item]],2,FALSE)</f>
        <v>Megawidget M</v>
      </c>
      <c r="P35" s="4">
        <f>OrganizedData[[#This Row],[Quantity]]*VLOOKUP(OrganizedData[[#This Row],[Product Code]],ProductData[],4,FALSE)</f>
        <v>1032</v>
      </c>
      <c r="Q35" s="6">
        <f>OrganizedData[[#This Row],[Total Items Ordered]]*VLOOKUP(OrganizedData[[#This Row],[Product Code]],ProductData[],3,FALSE)</f>
        <v>1331.28</v>
      </c>
      <c r="R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36" spans="1:18" x14ac:dyDescent="0.3">
      <c r="A36" s="2">
        <v>29</v>
      </c>
      <c r="B36" s="2" t="s">
        <v>165</v>
      </c>
      <c r="C36" s="2" t="s">
        <v>166</v>
      </c>
      <c r="D36" s="2" t="s">
        <v>15</v>
      </c>
      <c r="E36" s="2" t="s">
        <v>16</v>
      </c>
      <c r="F36" s="2">
        <v>60</v>
      </c>
      <c r="G36" s="2" t="s">
        <v>167</v>
      </c>
      <c r="H36" s="2" t="s">
        <v>168</v>
      </c>
      <c r="I36" s="2" t="s">
        <v>32</v>
      </c>
      <c r="J36" s="3">
        <v>44266</v>
      </c>
      <c r="K36" s="5">
        <f>YEAR(OrganizedData[[#This Row],[Order Date]])</f>
        <v>2021</v>
      </c>
      <c r="L36" s="7" t="str">
        <f>TEXT(OrganizedData[[#This Row],[Order Date]],"mmm")</f>
        <v>Mar</v>
      </c>
      <c r="M36" s="2">
        <v>37</v>
      </c>
      <c r="N36" s="2" t="s">
        <v>45</v>
      </c>
      <c r="O36" s="2" t="str">
        <f>VLOOKUP(OrganizedData[[#This Row],[Product Code]],ProductData[[Code]:[Item]],2,FALSE)</f>
        <v>Gigastuff</v>
      </c>
      <c r="P36" s="4">
        <f>OrganizedData[[#This Row],[Quantity]]*VLOOKUP(OrganizedData[[#This Row],[Product Code]],ProductData[],4,FALSE)</f>
        <v>666</v>
      </c>
      <c r="Q36" s="6">
        <f>OrganizedData[[#This Row],[Total Items Ordered]]*VLOOKUP(OrganizedData[[#This Row],[Product Code]],ProductData[],3,FALSE)</f>
        <v>1258.74</v>
      </c>
      <c r="R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1220.9777999999999</v>
      </c>
    </row>
    <row r="37" spans="1:18" x14ac:dyDescent="0.3">
      <c r="A37" s="2">
        <v>30</v>
      </c>
      <c r="B37" s="2" t="s">
        <v>169</v>
      </c>
      <c r="C37" s="2" t="s">
        <v>170</v>
      </c>
      <c r="D37" s="2" t="s">
        <v>15</v>
      </c>
      <c r="E37" s="2" t="s">
        <v>16</v>
      </c>
      <c r="F37" s="2">
        <v>90</v>
      </c>
      <c r="G37" s="2" t="s">
        <v>171</v>
      </c>
      <c r="H37" s="2" t="s">
        <v>172</v>
      </c>
      <c r="I37" s="2" t="s">
        <v>173</v>
      </c>
      <c r="J37" s="3">
        <v>44540</v>
      </c>
      <c r="K37" s="5">
        <f>YEAR(OrganizedData[[#This Row],[Order Date]])</f>
        <v>2021</v>
      </c>
      <c r="L37" s="7" t="str">
        <f>TEXT(OrganizedData[[#This Row],[Order Date]],"mmm")</f>
        <v>Dec</v>
      </c>
      <c r="M37" s="2">
        <v>55</v>
      </c>
      <c r="N37" s="2" t="s">
        <v>64</v>
      </c>
      <c r="O37" s="2" t="str">
        <f>VLOOKUP(OrganizedData[[#This Row],[Product Code]],ProductData[[Code]:[Item]],2,FALSE)</f>
        <v>Ultrathing V4</v>
      </c>
      <c r="P37" s="4">
        <f>OrganizedData[[#This Row],[Quantity]]*VLOOKUP(OrganizedData[[#This Row],[Product Code]],ProductData[],4,FALSE)</f>
        <v>1320</v>
      </c>
      <c r="Q37" s="6">
        <f>OrganizedData[[#This Row],[Total Items Ordered]]*VLOOKUP(OrganizedData[[#This Row],[Product Code]],ProductData[],3,FALSE)</f>
        <v>5266.8</v>
      </c>
      <c r="R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38" spans="1:18" x14ac:dyDescent="0.3">
      <c r="A38" s="2">
        <v>31</v>
      </c>
      <c r="B38" s="2" t="s">
        <v>174</v>
      </c>
      <c r="C38" s="2" t="s">
        <v>175</v>
      </c>
      <c r="D38" s="2" t="s">
        <v>51</v>
      </c>
      <c r="E38" s="2" t="s">
        <v>16</v>
      </c>
      <c r="F38" s="2">
        <v>60</v>
      </c>
      <c r="G38" s="2" t="s">
        <v>176</v>
      </c>
      <c r="H38" s="2" t="s">
        <v>177</v>
      </c>
      <c r="I38" s="2" t="s">
        <v>178</v>
      </c>
      <c r="J38" s="3">
        <v>44354</v>
      </c>
      <c r="K38" s="5">
        <f>YEAR(OrganizedData[[#This Row],[Order Date]])</f>
        <v>2021</v>
      </c>
      <c r="L38" s="7" t="str">
        <f>TEXT(OrganizedData[[#This Row],[Order Date]],"mmm")</f>
        <v>Jun</v>
      </c>
      <c r="M38" s="2">
        <v>92</v>
      </c>
      <c r="N38" s="2" t="s">
        <v>64</v>
      </c>
      <c r="O38" s="2" t="str">
        <f>VLOOKUP(OrganizedData[[#This Row],[Product Code]],ProductData[[Code]:[Item]],2,FALSE)</f>
        <v>Ultrathing V4</v>
      </c>
      <c r="P38" s="4">
        <f>OrganizedData[[#This Row],[Quantity]]*VLOOKUP(OrganizedData[[#This Row],[Product Code]],ProductData[],4,FALSE)</f>
        <v>2208</v>
      </c>
      <c r="Q38" s="6">
        <f>OrganizedData[[#This Row],[Total Items Ordered]]*VLOOKUP(OrganizedData[[#This Row],[Product Code]],ProductData[],3,FALSE)</f>
        <v>8809.92</v>
      </c>
      <c r="R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8369.4239999999991</v>
      </c>
    </row>
    <row r="39" spans="1:18" x14ac:dyDescent="0.3">
      <c r="A39" s="2">
        <v>32</v>
      </c>
      <c r="B39" s="2" t="s">
        <v>179</v>
      </c>
      <c r="C39" s="2" t="s">
        <v>180</v>
      </c>
      <c r="D39" s="2" t="s">
        <v>28</v>
      </c>
      <c r="E39" s="2" t="s">
        <v>29</v>
      </c>
      <c r="F39" s="2">
        <v>60</v>
      </c>
      <c r="G39" s="2" t="s">
        <v>181</v>
      </c>
      <c r="H39" s="2" t="s">
        <v>182</v>
      </c>
      <c r="I39" s="2" t="s">
        <v>32</v>
      </c>
      <c r="J39" s="3">
        <v>44577</v>
      </c>
      <c r="K39" s="5">
        <f>YEAR(OrganizedData[[#This Row],[Order Date]])</f>
        <v>2022</v>
      </c>
      <c r="L39" s="7" t="str">
        <f>TEXT(OrganizedData[[#This Row],[Order Date]],"mmm")</f>
        <v>Jan</v>
      </c>
      <c r="M39" s="2">
        <v>105</v>
      </c>
      <c r="N39" s="2" t="s">
        <v>45</v>
      </c>
      <c r="O39" s="2" t="str">
        <f>VLOOKUP(OrganizedData[[#This Row],[Product Code]],ProductData[[Code]:[Item]],2,FALSE)</f>
        <v>Gigastuff</v>
      </c>
      <c r="P39" s="4">
        <f>OrganizedData[[#This Row],[Quantity]]*VLOOKUP(OrganizedData[[#This Row],[Product Code]],ProductData[],4,FALSE)</f>
        <v>1890</v>
      </c>
      <c r="Q39" s="6">
        <f>OrganizedData[[#This Row],[Total Items Ordered]]*VLOOKUP(OrganizedData[[#This Row],[Product Code]],ProductData[],3,FALSE)</f>
        <v>3572.1</v>
      </c>
      <c r="R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3322.0529999999999</v>
      </c>
    </row>
    <row r="40" spans="1:18" x14ac:dyDescent="0.3">
      <c r="A40" s="2">
        <v>33</v>
      </c>
      <c r="B40" s="2" t="s">
        <v>183</v>
      </c>
      <c r="C40" s="2" t="s">
        <v>184</v>
      </c>
      <c r="D40" s="2" t="s">
        <v>28</v>
      </c>
      <c r="E40" s="2" t="s">
        <v>29</v>
      </c>
      <c r="F40" s="2">
        <v>30</v>
      </c>
      <c r="G40" s="2" t="s">
        <v>185</v>
      </c>
      <c r="H40" s="2" t="s">
        <v>186</v>
      </c>
      <c r="I40" s="2" t="s">
        <v>187</v>
      </c>
      <c r="J40" s="3">
        <v>44036</v>
      </c>
      <c r="K40" s="5">
        <f>YEAR(OrganizedData[[#This Row],[Order Date]])</f>
        <v>2020</v>
      </c>
      <c r="L40" s="7" t="str">
        <f>TEXT(OrganizedData[[#This Row],[Order Date]],"mmm")</f>
        <v>Jul</v>
      </c>
      <c r="M40" s="2">
        <v>30</v>
      </c>
      <c r="N40" s="2" t="s">
        <v>101</v>
      </c>
      <c r="O40" s="2" t="str">
        <f>VLOOKUP(OrganizedData[[#This Row],[Product Code]],ProductData[[Code]:[Item]],2,FALSE)</f>
        <v>Superwossname</v>
      </c>
      <c r="P40" s="4">
        <f>OrganizedData[[#This Row],[Quantity]]*VLOOKUP(OrganizedData[[#This Row],[Product Code]],ProductData[],4,FALSE)</f>
        <v>600</v>
      </c>
      <c r="Q40" s="6">
        <f>OrganizedData[[#This Row],[Total Items Ordered]]*VLOOKUP(OrganizedData[[#This Row],[Product Code]],ProductData[],3,FALSE)</f>
        <v>2094</v>
      </c>
      <c r="R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2031.1799999999998</v>
      </c>
    </row>
    <row r="41" spans="1:18" x14ac:dyDescent="0.3">
      <c r="A41" s="2">
        <v>34</v>
      </c>
      <c r="B41" s="2" t="s">
        <v>188</v>
      </c>
      <c r="C41" s="2" t="s">
        <v>189</v>
      </c>
      <c r="D41" s="2" t="s">
        <v>28</v>
      </c>
      <c r="E41" s="2" t="s">
        <v>29</v>
      </c>
      <c r="F41" s="2">
        <v>90</v>
      </c>
      <c r="G41" s="2" t="s">
        <v>190</v>
      </c>
      <c r="H41" s="2" t="s">
        <v>191</v>
      </c>
      <c r="I41" s="2" t="s">
        <v>89</v>
      </c>
      <c r="J41" s="3">
        <v>43982</v>
      </c>
      <c r="K41" s="5">
        <f>YEAR(OrganizedData[[#This Row],[Order Date]])</f>
        <v>2020</v>
      </c>
      <c r="L41" s="7" t="str">
        <f>TEXT(OrganizedData[[#This Row],[Order Date]],"mmm")</f>
        <v>May</v>
      </c>
      <c r="M41" s="2">
        <v>7</v>
      </c>
      <c r="N41" s="2" t="s">
        <v>54</v>
      </c>
      <c r="O41" s="2" t="str">
        <f>VLOOKUP(OrganizedData[[#This Row],[Product Code]],ProductData[[Code]:[Item]],2,FALSE)</f>
        <v>Megawidget S</v>
      </c>
      <c r="P41" s="4">
        <f>OrganizedData[[#This Row],[Quantity]]*VLOOKUP(OrganizedData[[#This Row],[Product Code]],ProductData[],4,FALSE)</f>
        <v>168</v>
      </c>
      <c r="Q41" s="6">
        <f>OrganizedData[[#This Row],[Total Items Ordered]]*VLOOKUP(OrganizedData[[#This Row],[Product Code]],ProductData[],3,FALSE)</f>
        <v>115.91999999999999</v>
      </c>
      <c r="R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42" spans="1:18" x14ac:dyDescent="0.3">
      <c r="A42" s="2">
        <v>35</v>
      </c>
      <c r="B42" s="2" t="s">
        <v>192</v>
      </c>
      <c r="C42" s="2" t="s">
        <v>193</v>
      </c>
      <c r="D42" s="2" t="s">
        <v>15</v>
      </c>
      <c r="E42" s="2" t="s">
        <v>16</v>
      </c>
      <c r="F42" s="2">
        <v>90</v>
      </c>
      <c r="G42" s="2" t="s">
        <v>194</v>
      </c>
      <c r="H42" s="2" t="s">
        <v>195</v>
      </c>
      <c r="I42" s="2" t="s">
        <v>187</v>
      </c>
      <c r="J42" s="3">
        <v>44049</v>
      </c>
      <c r="K42" s="5">
        <f>YEAR(OrganizedData[[#This Row],[Order Date]])</f>
        <v>2020</v>
      </c>
      <c r="L42" s="7" t="str">
        <f>TEXT(OrganizedData[[#This Row],[Order Date]],"mmm")</f>
        <v>Aug</v>
      </c>
      <c r="M42" s="2">
        <v>10</v>
      </c>
      <c r="N42" s="2" t="s">
        <v>159</v>
      </c>
      <c r="O42" s="2" t="str">
        <f>VLOOKUP(OrganizedData[[#This Row],[Product Code]],ProductData[[Code]:[Item]],2,FALSE)</f>
        <v>Ultrathing V3</v>
      </c>
      <c r="P42" s="4">
        <f>OrganizedData[[#This Row],[Quantity]]*VLOOKUP(OrganizedData[[#This Row],[Product Code]],ProductData[],4,FALSE)</f>
        <v>240</v>
      </c>
      <c r="Q42" s="6">
        <f>OrganizedData[[#This Row],[Total Items Ordered]]*VLOOKUP(OrganizedData[[#This Row],[Product Code]],ProductData[],3,FALSE)</f>
        <v>813.6</v>
      </c>
      <c r="R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43" spans="1:18" x14ac:dyDescent="0.3">
      <c r="A43" s="2">
        <v>36</v>
      </c>
      <c r="B43" s="2" t="s">
        <v>196</v>
      </c>
      <c r="C43" s="2" t="s">
        <v>197</v>
      </c>
      <c r="D43" s="2" t="s">
        <v>28</v>
      </c>
      <c r="E43" s="2" t="s">
        <v>29</v>
      </c>
      <c r="F43" s="2">
        <v>30</v>
      </c>
      <c r="G43" s="2" t="s">
        <v>198</v>
      </c>
      <c r="H43" s="2" t="s">
        <v>199</v>
      </c>
      <c r="I43" s="2" t="s">
        <v>32</v>
      </c>
      <c r="J43" s="3">
        <v>44190</v>
      </c>
      <c r="K43" s="5">
        <f>YEAR(OrganizedData[[#This Row],[Order Date]])</f>
        <v>2020</v>
      </c>
      <c r="L43" s="7" t="str">
        <f>TEXT(OrganizedData[[#This Row],[Order Date]],"mmm")</f>
        <v>Dec</v>
      </c>
      <c r="M43" s="2">
        <v>14</v>
      </c>
      <c r="N43" s="2" t="s">
        <v>101</v>
      </c>
      <c r="O43" s="2" t="str">
        <f>VLOOKUP(OrganizedData[[#This Row],[Product Code]],ProductData[[Code]:[Item]],2,FALSE)</f>
        <v>Superwossname</v>
      </c>
      <c r="P43" s="4">
        <f>OrganizedData[[#This Row],[Quantity]]*VLOOKUP(OrganizedData[[#This Row],[Product Code]],ProductData[],4,FALSE)</f>
        <v>280</v>
      </c>
      <c r="Q43" s="6">
        <f>OrganizedData[[#This Row],[Total Items Ordered]]*VLOOKUP(OrganizedData[[#This Row],[Product Code]],ProductData[],3,FALSE)</f>
        <v>977.2</v>
      </c>
      <c r="R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977.2</v>
      </c>
    </row>
    <row r="44" spans="1:18" x14ac:dyDescent="0.3">
      <c r="A44" s="2">
        <v>37</v>
      </c>
      <c r="B44" s="2" t="s">
        <v>200</v>
      </c>
      <c r="C44" s="2" t="s">
        <v>201</v>
      </c>
      <c r="D44" s="2" t="s">
        <v>51</v>
      </c>
      <c r="E44" s="2" t="s">
        <v>16</v>
      </c>
      <c r="F44" s="2">
        <v>30</v>
      </c>
      <c r="G44" s="2" t="s">
        <v>202</v>
      </c>
      <c r="H44" s="2" t="s">
        <v>203</v>
      </c>
      <c r="I44" s="2" t="s">
        <v>32</v>
      </c>
      <c r="J44" s="3">
        <v>43853</v>
      </c>
      <c r="K44" s="5">
        <f>YEAR(OrganizedData[[#This Row],[Order Date]])</f>
        <v>2020</v>
      </c>
      <c r="L44" s="7" t="str">
        <f>TEXT(OrganizedData[[#This Row],[Order Date]],"mmm")</f>
        <v>Jan</v>
      </c>
      <c r="M44" s="2">
        <v>5</v>
      </c>
      <c r="N44" s="2" t="s">
        <v>39</v>
      </c>
      <c r="O44" s="2" t="str">
        <f>VLOOKUP(OrganizedData[[#This Row],[Product Code]],ProductData[[Code]:[Item]],2,FALSE)</f>
        <v>Ultrathing V1</v>
      </c>
      <c r="P44" s="4">
        <f>OrganizedData[[#This Row],[Quantity]]*VLOOKUP(OrganizedData[[#This Row],[Product Code]],ProductData[],4,FALSE)</f>
        <v>85</v>
      </c>
      <c r="Q44" s="6">
        <f>OrganizedData[[#This Row],[Total Items Ordered]]*VLOOKUP(OrganizedData[[#This Row],[Product Code]],ProductData[],3,FALSE)</f>
        <v>152.15</v>
      </c>
      <c r="R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152.15</v>
      </c>
    </row>
    <row r="45" spans="1:18" x14ac:dyDescent="0.3">
      <c r="A45" s="2">
        <v>38</v>
      </c>
      <c r="B45" s="2" t="s">
        <v>204</v>
      </c>
      <c r="C45" s="2" t="s">
        <v>205</v>
      </c>
      <c r="D45" s="2" t="s">
        <v>28</v>
      </c>
      <c r="E45" s="2" t="s">
        <v>29</v>
      </c>
      <c r="F45" s="2">
        <v>60</v>
      </c>
      <c r="G45" s="2" t="s">
        <v>206</v>
      </c>
      <c r="H45" s="2" t="s">
        <v>207</v>
      </c>
      <c r="I45" s="2" t="s">
        <v>208</v>
      </c>
      <c r="J45" s="3">
        <v>44897</v>
      </c>
      <c r="K45" s="5">
        <f>YEAR(OrganizedData[[#This Row],[Order Date]])</f>
        <v>2022</v>
      </c>
      <c r="L45" s="7" t="str">
        <f>TEXT(OrganizedData[[#This Row],[Order Date]],"mmm")</f>
        <v>Dec</v>
      </c>
      <c r="M45" s="2">
        <v>2</v>
      </c>
      <c r="N45" s="2" t="s">
        <v>80</v>
      </c>
      <c r="O45" s="2" t="str">
        <f>VLOOKUP(OrganizedData[[#This Row],[Product Code]],ProductData[[Code]:[Item]],2,FALSE)</f>
        <v>Ultrathing V2</v>
      </c>
      <c r="P45" s="4">
        <f>OrganizedData[[#This Row],[Quantity]]*VLOOKUP(OrganizedData[[#This Row],[Product Code]],ProductData[],4,FALSE)</f>
        <v>40</v>
      </c>
      <c r="Q45" s="6">
        <f>OrganizedData[[#This Row],[Total Items Ordered]]*VLOOKUP(OrganizedData[[#This Row],[Product Code]],ProductData[],3,FALSE)</f>
        <v>118</v>
      </c>
      <c r="R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46" spans="1:18" x14ac:dyDescent="0.3">
      <c r="A46" s="2">
        <v>39</v>
      </c>
      <c r="B46" s="2" t="s">
        <v>209</v>
      </c>
      <c r="C46" s="2" t="s">
        <v>210</v>
      </c>
      <c r="D46" s="2" t="s">
        <v>28</v>
      </c>
      <c r="E46" s="2" t="s">
        <v>29</v>
      </c>
      <c r="F46" s="2">
        <v>90</v>
      </c>
      <c r="G46" s="2" t="s">
        <v>211</v>
      </c>
      <c r="H46" s="2" t="s">
        <v>212</v>
      </c>
      <c r="I46" s="2" t="s">
        <v>213</v>
      </c>
      <c r="J46" s="3">
        <v>44101</v>
      </c>
      <c r="K46" s="5">
        <f>YEAR(OrganizedData[[#This Row],[Order Date]])</f>
        <v>2020</v>
      </c>
      <c r="L46" s="7" t="str">
        <f>TEXT(OrganizedData[[#This Row],[Order Date]],"mmm")</f>
        <v>Sep</v>
      </c>
      <c r="M46" s="2">
        <v>46</v>
      </c>
      <c r="N46" s="2" t="s">
        <v>39</v>
      </c>
      <c r="O46" s="2" t="str">
        <f>VLOOKUP(OrganizedData[[#This Row],[Product Code]],ProductData[[Code]:[Item]],2,FALSE)</f>
        <v>Ultrathing V1</v>
      </c>
      <c r="P46" s="4">
        <f>OrganizedData[[#This Row],[Quantity]]*VLOOKUP(OrganizedData[[#This Row],[Product Code]],ProductData[],4,FALSE)</f>
        <v>782</v>
      </c>
      <c r="Q46" s="6">
        <f>OrganizedData[[#This Row],[Total Items Ordered]]*VLOOKUP(OrganizedData[[#This Row],[Product Code]],ProductData[],3,FALSE)</f>
        <v>1399.78</v>
      </c>
      <c r="R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47" spans="1:18" x14ac:dyDescent="0.3">
      <c r="A47" s="2">
        <v>40</v>
      </c>
      <c r="B47" s="2" t="s">
        <v>214</v>
      </c>
      <c r="C47" s="2" t="s">
        <v>215</v>
      </c>
      <c r="D47" s="2" t="s">
        <v>28</v>
      </c>
      <c r="E47" s="2" t="s">
        <v>29</v>
      </c>
      <c r="F47" s="2">
        <v>90</v>
      </c>
      <c r="G47" s="2" t="s">
        <v>216</v>
      </c>
      <c r="H47" s="2" t="s">
        <v>217</v>
      </c>
      <c r="I47" s="2" t="s">
        <v>124</v>
      </c>
      <c r="J47" s="3">
        <v>44030</v>
      </c>
      <c r="K47" s="5">
        <f>YEAR(OrganizedData[[#This Row],[Order Date]])</f>
        <v>2020</v>
      </c>
      <c r="L47" s="7" t="str">
        <f>TEXT(OrganizedData[[#This Row],[Order Date]],"mmm")</f>
        <v>Jul</v>
      </c>
      <c r="M47" s="2">
        <v>18</v>
      </c>
      <c r="N47" s="2" t="s">
        <v>33</v>
      </c>
      <c r="O47" s="2" t="str">
        <f>VLOOKUP(OrganizedData[[#This Row],[Product Code]],ProductData[[Code]:[Item]],2,FALSE)</f>
        <v>Megawidget L</v>
      </c>
      <c r="P47" s="4">
        <f>OrganizedData[[#This Row],[Quantity]]*VLOOKUP(OrganizedData[[#This Row],[Product Code]],ProductData[],4,FALSE)</f>
        <v>432</v>
      </c>
      <c r="Q47" s="6">
        <f>OrganizedData[[#This Row],[Total Items Ordered]]*VLOOKUP(OrganizedData[[#This Row],[Product Code]],ProductData[],3,FALSE)</f>
        <v>773.28</v>
      </c>
      <c r="R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773.28</v>
      </c>
    </row>
    <row r="48" spans="1:18" x14ac:dyDescent="0.3">
      <c r="A48" s="2">
        <v>41</v>
      </c>
      <c r="B48" s="2" t="s">
        <v>218</v>
      </c>
      <c r="C48" s="2" t="s">
        <v>219</v>
      </c>
      <c r="D48" s="2" t="s">
        <v>28</v>
      </c>
      <c r="E48" s="2" t="s">
        <v>29</v>
      </c>
      <c r="F48" s="2">
        <v>60</v>
      </c>
      <c r="G48" s="2" t="s">
        <v>220</v>
      </c>
      <c r="H48" s="2" t="s">
        <v>221</v>
      </c>
      <c r="I48" s="2" t="s">
        <v>32</v>
      </c>
      <c r="J48" s="3">
        <v>44346</v>
      </c>
      <c r="K48" s="5">
        <f>YEAR(OrganizedData[[#This Row],[Order Date]])</f>
        <v>2021</v>
      </c>
      <c r="L48" s="7" t="str">
        <f>TEXT(OrganizedData[[#This Row],[Order Date]],"mmm")</f>
        <v>May</v>
      </c>
      <c r="M48" s="2">
        <v>56</v>
      </c>
      <c r="N48" s="2" t="s">
        <v>101</v>
      </c>
      <c r="O48" s="2" t="str">
        <f>VLOOKUP(OrganizedData[[#This Row],[Product Code]],ProductData[[Code]:[Item]],2,FALSE)</f>
        <v>Superwossname</v>
      </c>
      <c r="P48" s="4">
        <f>OrganizedData[[#This Row],[Quantity]]*VLOOKUP(OrganizedData[[#This Row],[Product Code]],ProductData[],4,FALSE)</f>
        <v>1120</v>
      </c>
      <c r="Q48" s="6">
        <f>OrganizedData[[#This Row],[Total Items Ordered]]*VLOOKUP(OrganizedData[[#This Row],[Product Code]],ProductData[],3,FALSE)</f>
        <v>3908.8</v>
      </c>
      <c r="R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3713.36</v>
      </c>
    </row>
    <row r="49" spans="1:18" x14ac:dyDescent="0.3">
      <c r="A49" s="2">
        <v>42</v>
      </c>
      <c r="B49" s="2" t="s">
        <v>222</v>
      </c>
      <c r="C49" s="2" t="s">
        <v>152</v>
      </c>
      <c r="D49" s="2" t="s">
        <v>28</v>
      </c>
      <c r="E49" s="2" t="s">
        <v>29</v>
      </c>
      <c r="F49" s="2">
        <v>60</v>
      </c>
      <c r="G49" s="2" t="s">
        <v>223</v>
      </c>
      <c r="H49" s="2" t="s">
        <v>224</v>
      </c>
      <c r="I49" s="2" t="s">
        <v>124</v>
      </c>
      <c r="J49" s="3">
        <v>44127</v>
      </c>
      <c r="K49" s="5">
        <f>YEAR(OrganizedData[[#This Row],[Order Date]])</f>
        <v>2020</v>
      </c>
      <c r="L49" s="7" t="str">
        <f>TEXT(OrganizedData[[#This Row],[Order Date]],"mmm")</f>
        <v>Oct</v>
      </c>
      <c r="M49" s="2">
        <v>63</v>
      </c>
      <c r="N49" s="2" t="s">
        <v>20</v>
      </c>
      <c r="O49" s="2" t="str">
        <f>VLOOKUP(OrganizedData[[#This Row],[Product Code]],ProductData[[Code]:[Item]],2,FALSE)</f>
        <v>Hyperwotsit</v>
      </c>
      <c r="P49" s="4">
        <f>OrganizedData[[#This Row],[Quantity]]*VLOOKUP(OrganizedData[[#This Row],[Product Code]],ProductData[],4,FALSE)</f>
        <v>1260</v>
      </c>
      <c r="Q49" s="6">
        <f>OrganizedData[[#This Row],[Total Items Ordered]]*VLOOKUP(OrganizedData[[#This Row],[Product Code]],ProductData[],3,FALSE)</f>
        <v>2532.6</v>
      </c>
      <c r="R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2405.9699999999998</v>
      </c>
    </row>
    <row r="50" spans="1:18" x14ac:dyDescent="0.3">
      <c r="A50" s="2">
        <v>43</v>
      </c>
      <c r="B50" s="2" t="s">
        <v>142</v>
      </c>
      <c r="C50" s="2" t="s">
        <v>225</v>
      </c>
      <c r="D50" s="2" t="s">
        <v>41</v>
      </c>
      <c r="E50" s="2" t="s">
        <v>16</v>
      </c>
      <c r="F50" s="2">
        <v>30</v>
      </c>
      <c r="G50" s="2" t="s">
        <v>226</v>
      </c>
      <c r="H50" s="2" t="s">
        <v>227</v>
      </c>
      <c r="I50" s="2" t="s">
        <v>178</v>
      </c>
      <c r="J50" s="3">
        <v>44829</v>
      </c>
      <c r="K50" s="5">
        <f>YEAR(OrganizedData[[#This Row],[Order Date]])</f>
        <v>2022</v>
      </c>
      <c r="L50" s="7" t="str">
        <f>TEXT(OrganizedData[[#This Row],[Order Date]],"mmm")</f>
        <v>Sep</v>
      </c>
      <c r="M50" s="2">
        <v>6</v>
      </c>
      <c r="N50" s="2" t="s">
        <v>20</v>
      </c>
      <c r="O50" s="2" t="str">
        <f>VLOOKUP(OrganizedData[[#This Row],[Product Code]],ProductData[[Code]:[Item]],2,FALSE)</f>
        <v>Hyperwotsit</v>
      </c>
      <c r="P50" s="4">
        <f>OrganizedData[[#This Row],[Quantity]]*VLOOKUP(OrganizedData[[#This Row],[Product Code]],ProductData[],4,FALSE)</f>
        <v>120</v>
      </c>
      <c r="Q50" s="6">
        <f>OrganizedData[[#This Row],[Total Items Ordered]]*VLOOKUP(OrganizedData[[#This Row],[Product Code]],ProductData[],3,FALSE)</f>
        <v>241.2</v>
      </c>
      <c r="R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241.2</v>
      </c>
    </row>
    <row r="51" spans="1:18" x14ac:dyDescent="0.3">
      <c r="A51" s="2">
        <v>44</v>
      </c>
      <c r="B51" s="2" t="s">
        <v>228</v>
      </c>
      <c r="C51" s="2" t="s">
        <v>229</v>
      </c>
      <c r="D51" s="2" t="s">
        <v>28</v>
      </c>
      <c r="E51" s="2" t="s">
        <v>29</v>
      </c>
      <c r="F51" s="2">
        <v>30</v>
      </c>
      <c r="G51" s="2" t="s">
        <v>230</v>
      </c>
      <c r="H51" s="2" t="s">
        <v>231</v>
      </c>
      <c r="I51" s="2" t="s">
        <v>178</v>
      </c>
      <c r="J51" s="3">
        <v>44199</v>
      </c>
      <c r="K51" s="5">
        <f>YEAR(OrganizedData[[#This Row],[Order Date]])</f>
        <v>2021</v>
      </c>
      <c r="L51" s="7" t="str">
        <f>TEXT(OrganizedData[[#This Row],[Order Date]],"mmm")</f>
        <v>Jan</v>
      </c>
      <c r="M51" s="2">
        <v>31</v>
      </c>
      <c r="N51" s="2" t="s">
        <v>80</v>
      </c>
      <c r="O51" s="2" t="str">
        <f>VLOOKUP(OrganizedData[[#This Row],[Product Code]],ProductData[[Code]:[Item]],2,FALSE)</f>
        <v>Ultrathing V2</v>
      </c>
      <c r="P51" s="4">
        <f>OrganizedData[[#This Row],[Quantity]]*VLOOKUP(OrganizedData[[#This Row],[Product Code]],ProductData[],4,FALSE)</f>
        <v>620</v>
      </c>
      <c r="Q51" s="6">
        <f>OrganizedData[[#This Row],[Total Items Ordered]]*VLOOKUP(OrganizedData[[#This Row],[Product Code]],ProductData[],3,FALSE)</f>
        <v>1829</v>
      </c>
      <c r="R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1774.1299999999999</v>
      </c>
    </row>
    <row r="52" spans="1:18" x14ac:dyDescent="0.3">
      <c r="A52" s="2">
        <v>45</v>
      </c>
      <c r="B52" s="2" t="s">
        <v>232</v>
      </c>
      <c r="C52" s="2" t="s">
        <v>233</v>
      </c>
      <c r="D52" s="2" t="s">
        <v>51</v>
      </c>
      <c r="E52" s="2" t="s">
        <v>16</v>
      </c>
      <c r="F52" s="2">
        <v>30</v>
      </c>
      <c r="G52" s="2" t="s">
        <v>234</v>
      </c>
      <c r="H52" s="2" t="s">
        <v>235</v>
      </c>
      <c r="I52" s="2" t="s">
        <v>146</v>
      </c>
      <c r="J52" s="3">
        <v>44706</v>
      </c>
      <c r="K52" s="5">
        <f>YEAR(OrganizedData[[#This Row],[Order Date]])</f>
        <v>2022</v>
      </c>
      <c r="L52" s="7" t="str">
        <f>TEXT(OrganizedData[[#This Row],[Order Date]],"mmm")</f>
        <v>May</v>
      </c>
      <c r="M52" s="2">
        <v>19</v>
      </c>
      <c r="N52" s="2" t="s">
        <v>20</v>
      </c>
      <c r="O52" s="2" t="str">
        <f>VLOOKUP(OrganizedData[[#This Row],[Product Code]],ProductData[[Code]:[Item]],2,FALSE)</f>
        <v>Hyperwotsit</v>
      </c>
      <c r="P52" s="4">
        <f>OrganizedData[[#This Row],[Quantity]]*VLOOKUP(OrganizedData[[#This Row],[Product Code]],ProductData[],4,FALSE)</f>
        <v>380</v>
      </c>
      <c r="Q52" s="6">
        <f>OrganizedData[[#This Row],[Total Items Ordered]]*VLOOKUP(OrganizedData[[#This Row],[Product Code]],ProductData[],3,FALSE)</f>
        <v>763.8</v>
      </c>
      <c r="R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53" spans="1:18" x14ac:dyDescent="0.3">
      <c r="A53" s="2">
        <v>46</v>
      </c>
      <c r="B53" s="2" t="s">
        <v>236</v>
      </c>
      <c r="C53" s="2" t="s">
        <v>237</v>
      </c>
      <c r="D53" s="2" t="s">
        <v>51</v>
      </c>
      <c r="E53" s="2" t="s">
        <v>16</v>
      </c>
      <c r="F53" s="2">
        <v>90</v>
      </c>
      <c r="G53" s="2" t="s">
        <v>238</v>
      </c>
      <c r="H53" s="2" t="s">
        <v>239</v>
      </c>
      <c r="I53" s="2" t="s">
        <v>240</v>
      </c>
      <c r="J53" s="3">
        <v>43941</v>
      </c>
      <c r="K53" s="5">
        <f>YEAR(OrganizedData[[#This Row],[Order Date]])</f>
        <v>2020</v>
      </c>
      <c r="L53" s="7" t="str">
        <f>TEXT(OrganizedData[[#This Row],[Order Date]],"mmm")</f>
        <v>Apr</v>
      </c>
      <c r="M53" s="2">
        <v>44</v>
      </c>
      <c r="N53" s="2" t="s">
        <v>33</v>
      </c>
      <c r="O53" s="2" t="str">
        <f>VLOOKUP(OrganizedData[[#This Row],[Product Code]],ProductData[[Code]:[Item]],2,FALSE)</f>
        <v>Megawidget L</v>
      </c>
      <c r="P53" s="4">
        <f>OrganizedData[[#This Row],[Quantity]]*VLOOKUP(OrganizedData[[#This Row],[Product Code]],ProductData[],4,FALSE)</f>
        <v>1056</v>
      </c>
      <c r="Q53" s="6">
        <f>OrganizedData[[#This Row],[Total Items Ordered]]*VLOOKUP(OrganizedData[[#This Row],[Product Code]],ProductData[],3,FALSE)</f>
        <v>1890.24</v>
      </c>
      <c r="R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1833.5328</v>
      </c>
    </row>
    <row r="54" spans="1:18" x14ac:dyDescent="0.3">
      <c r="A54" s="2">
        <v>47</v>
      </c>
      <c r="B54" s="2" t="s">
        <v>241</v>
      </c>
      <c r="C54" s="2" t="s">
        <v>242</v>
      </c>
      <c r="D54" s="2" t="s">
        <v>15</v>
      </c>
      <c r="E54" s="2" t="s">
        <v>16</v>
      </c>
      <c r="F54" s="2">
        <v>90</v>
      </c>
      <c r="G54" s="2" t="s">
        <v>243</v>
      </c>
      <c r="H54" s="2" t="s">
        <v>244</v>
      </c>
      <c r="I54" s="2" t="s">
        <v>240</v>
      </c>
      <c r="J54" s="3">
        <v>44071</v>
      </c>
      <c r="K54" s="5">
        <f>YEAR(OrganizedData[[#This Row],[Order Date]])</f>
        <v>2020</v>
      </c>
      <c r="L54" s="7" t="str">
        <f>TEXT(OrganizedData[[#This Row],[Order Date]],"mmm")</f>
        <v>Aug</v>
      </c>
      <c r="M54" s="2">
        <v>5</v>
      </c>
      <c r="N54" s="2" t="s">
        <v>45</v>
      </c>
      <c r="O54" s="2" t="str">
        <f>VLOOKUP(OrganizedData[[#This Row],[Product Code]],ProductData[[Code]:[Item]],2,FALSE)</f>
        <v>Gigastuff</v>
      </c>
      <c r="P54" s="4">
        <f>OrganizedData[[#This Row],[Quantity]]*VLOOKUP(OrganizedData[[#This Row],[Product Code]],ProductData[],4,FALSE)</f>
        <v>90</v>
      </c>
      <c r="Q54" s="6">
        <f>OrganizedData[[#This Row],[Total Items Ordered]]*VLOOKUP(OrganizedData[[#This Row],[Product Code]],ProductData[],3,FALSE)</f>
        <v>170.1</v>
      </c>
      <c r="R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55" spans="1:18" x14ac:dyDescent="0.3">
      <c r="A55" s="2">
        <v>48</v>
      </c>
      <c r="B55" s="2" t="s">
        <v>245</v>
      </c>
      <c r="C55" s="2" t="s">
        <v>246</v>
      </c>
      <c r="D55" s="2" t="s">
        <v>28</v>
      </c>
      <c r="E55" s="2" t="s">
        <v>29</v>
      </c>
      <c r="F55" s="2">
        <v>30</v>
      </c>
      <c r="G55" s="2" t="s">
        <v>247</v>
      </c>
      <c r="H55" s="2" t="s">
        <v>248</v>
      </c>
      <c r="I55" s="2" t="s">
        <v>178</v>
      </c>
      <c r="J55" s="3">
        <v>44374</v>
      </c>
      <c r="K55" s="5">
        <f>YEAR(OrganizedData[[#This Row],[Order Date]])</f>
        <v>2021</v>
      </c>
      <c r="L55" s="7" t="str">
        <f>TEXT(OrganizedData[[#This Row],[Order Date]],"mmm")</f>
        <v>Jun</v>
      </c>
      <c r="M55" s="2">
        <v>24</v>
      </c>
      <c r="N55" s="2" t="s">
        <v>20</v>
      </c>
      <c r="O55" s="2" t="str">
        <f>VLOOKUP(OrganizedData[[#This Row],[Product Code]],ProductData[[Code]:[Item]],2,FALSE)</f>
        <v>Hyperwotsit</v>
      </c>
      <c r="P55" s="4">
        <f>OrganizedData[[#This Row],[Quantity]]*VLOOKUP(OrganizedData[[#This Row],[Product Code]],ProductData[],4,FALSE)</f>
        <v>480</v>
      </c>
      <c r="Q55" s="6">
        <f>OrganizedData[[#This Row],[Total Items Ordered]]*VLOOKUP(OrganizedData[[#This Row],[Product Code]],ProductData[],3,FALSE)</f>
        <v>964.8</v>
      </c>
      <c r="R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935.85599999999988</v>
      </c>
    </row>
    <row r="56" spans="1:18" x14ac:dyDescent="0.3">
      <c r="A56" s="2">
        <v>49</v>
      </c>
      <c r="B56" s="2" t="s">
        <v>249</v>
      </c>
      <c r="C56" s="2" t="s">
        <v>66</v>
      </c>
      <c r="D56" s="2" t="s">
        <v>28</v>
      </c>
      <c r="E56" s="2" t="s">
        <v>29</v>
      </c>
      <c r="F56" s="2">
        <v>30</v>
      </c>
      <c r="G56" s="2" t="s">
        <v>250</v>
      </c>
      <c r="H56" s="2" t="s">
        <v>251</v>
      </c>
      <c r="I56" s="2" t="s">
        <v>146</v>
      </c>
      <c r="J56" s="3">
        <v>44084</v>
      </c>
      <c r="K56" s="5">
        <f>YEAR(OrganizedData[[#This Row],[Order Date]])</f>
        <v>2020</v>
      </c>
      <c r="L56" s="7" t="str">
        <f>TEXT(OrganizedData[[#This Row],[Order Date]],"mmm")</f>
        <v>Sep</v>
      </c>
      <c r="M56" s="2">
        <v>85</v>
      </c>
      <c r="N56" s="2" t="s">
        <v>101</v>
      </c>
      <c r="O56" s="2" t="str">
        <f>VLOOKUP(OrganizedData[[#This Row],[Product Code]],ProductData[[Code]:[Item]],2,FALSE)</f>
        <v>Superwossname</v>
      </c>
      <c r="P56" s="4">
        <f>OrganizedData[[#This Row],[Quantity]]*VLOOKUP(OrganizedData[[#This Row],[Product Code]],ProductData[],4,FALSE)</f>
        <v>1700</v>
      </c>
      <c r="Q56" s="6">
        <f>OrganizedData[[#This Row],[Total Items Ordered]]*VLOOKUP(OrganizedData[[#This Row],[Product Code]],ProductData[],3,FALSE)</f>
        <v>5933</v>
      </c>
      <c r="R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5636.3499999999995</v>
      </c>
    </row>
    <row r="57" spans="1:18" x14ac:dyDescent="0.3">
      <c r="A57" s="2">
        <v>50</v>
      </c>
      <c r="B57" s="2" t="s">
        <v>252</v>
      </c>
      <c r="C57" s="2" t="s">
        <v>253</v>
      </c>
      <c r="D57" s="2" t="s">
        <v>15</v>
      </c>
      <c r="E57" s="2" t="s">
        <v>16</v>
      </c>
      <c r="F57" s="2">
        <v>30</v>
      </c>
      <c r="G57" s="2" t="s">
        <v>254</v>
      </c>
      <c r="H57" s="2" t="s">
        <v>255</v>
      </c>
      <c r="I57" s="2" t="s">
        <v>32</v>
      </c>
      <c r="J57" s="3">
        <v>43895</v>
      </c>
      <c r="K57" s="5">
        <f>YEAR(OrganizedData[[#This Row],[Order Date]])</f>
        <v>2020</v>
      </c>
      <c r="L57" s="7" t="str">
        <f>TEXT(OrganizedData[[#This Row],[Order Date]],"mmm")</f>
        <v>Mar</v>
      </c>
      <c r="M57" s="2">
        <v>56</v>
      </c>
      <c r="N57" s="2" t="s">
        <v>45</v>
      </c>
      <c r="O57" s="2" t="str">
        <f>VLOOKUP(OrganizedData[[#This Row],[Product Code]],ProductData[[Code]:[Item]],2,FALSE)</f>
        <v>Gigastuff</v>
      </c>
      <c r="P57" s="4">
        <f>OrganizedData[[#This Row],[Quantity]]*VLOOKUP(OrganizedData[[#This Row],[Product Code]],ProductData[],4,FALSE)</f>
        <v>1008</v>
      </c>
      <c r="Q57" s="6">
        <f>OrganizedData[[#This Row],[Total Items Ordered]]*VLOOKUP(OrganizedData[[#This Row],[Product Code]],ProductData[],3,FALSE)</f>
        <v>1905.12</v>
      </c>
      <c r="R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1809.8639999999998</v>
      </c>
    </row>
    <row r="58" spans="1:18" x14ac:dyDescent="0.3">
      <c r="A58" s="2">
        <v>51</v>
      </c>
      <c r="B58" s="2" t="s">
        <v>256</v>
      </c>
      <c r="C58" s="2" t="s">
        <v>257</v>
      </c>
      <c r="D58" s="2" t="s">
        <v>117</v>
      </c>
      <c r="E58" s="2" t="s">
        <v>29</v>
      </c>
      <c r="F58" s="2">
        <v>30</v>
      </c>
      <c r="G58" s="2" t="s">
        <v>254</v>
      </c>
      <c r="H58" s="2" t="s">
        <v>258</v>
      </c>
      <c r="I58" s="2" t="s">
        <v>32</v>
      </c>
      <c r="J58" s="3">
        <v>44451</v>
      </c>
      <c r="K58" s="5">
        <f>YEAR(OrganizedData[[#This Row],[Order Date]])</f>
        <v>2021</v>
      </c>
      <c r="L58" s="7" t="str">
        <f>TEXT(OrganizedData[[#This Row],[Order Date]],"mmm")</f>
        <v>Sep</v>
      </c>
      <c r="M58" s="2">
        <v>77</v>
      </c>
      <c r="N58" s="2" t="s">
        <v>80</v>
      </c>
      <c r="O58" s="2" t="str">
        <f>VLOOKUP(OrganizedData[[#This Row],[Product Code]],ProductData[[Code]:[Item]],2,FALSE)</f>
        <v>Ultrathing V2</v>
      </c>
      <c r="P58" s="4">
        <f>OrganizedData[[#This Row],[Quantity]]*VLOOKUP(OrganizedData[[#This Row],[Product Code]],ProductData[],4,FALSE)</f>
        <v>1540</v>
      </c>
      <c r="Q58" s="6">
        <f>OrganizedData[[#This Row],[Total Items Ordered]]*VLOOKUP(OrganizedData[[#This Row],[Product Code]],ProductData[],3,FALSE)</f>
        <v>4543</v>
      </c>
      <c r="R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4315.8499999999995</v>
      </c>
    </row>
    <row r="59" spans="1:18" x14ac:dyDescent="0.3">
      <c r="A59" s="2">
        <v>52</v>
      </c>
      <c r="B59" s="2" t="s">
        <v>259</v>
      </c>
      <c r="C59" s="2" t="s">
        <v>260</v>
      </c>
      <c r="D59" s="2" t="s">
        <v>28</v>
      </c>
      <c r="E59" s="2" t="s">
        <v>29</v>
      </c>
      <c r="F59" s="2">
        <v>60</v>
      </c>
      <c r="G59" s="2" t="s">
        <v>261</v>
      </c>
      <c r="H59" s="2" t="s">
        <v>262</v>
      </c>
      <c r="I59" s="2" t="s">
        <v>110</v>
      </c>
      <c r="J59" s="3">
        <v>44050</v>
      </c>
      <c r="K59" s="5">
        <f>YEAR(OrganizedData[[#This Row],[Order Date]])</f>
        <v>2020</v>
      </c>
      <c r="L59" s="7" t="str">
        <f>TEXT(OrganizedData[[#This Row],[Order Date]],"mmm")</f>
        <v>Aug</v>
      </c>
      <c r="M59" s="2">
        <v>39</v>
      </c>
      <c r="N59" s="2" t="s">
        <v>101</v>
      </c>
      <c r="O59" s="2" t="str">
        <f>VLOOKUP(OrganizedData[[#This Row],[Product Code]],ProductData[[Code]:[Item]],2,FALSE)</f>
        <v>Superwossname</v>
      </c>
      <c r="P59" s="4">
        <f>OrganizedData[[#This Row],[Quantity]]*VLOOKUP(OrganizedData[[#This Row],[Product Code]],ProductData[],4,FALSE)</f>
        <v>780</v>
      </c>
      <c r="Q59" s="6">
        <f>OrganizedData[[#This Row],[Total Items Ordered]]*VLOOKUP(OrganizedData[[#This Row],[Product Code]],ProductData[],3,FALSE)</f>
        <v>2722.2000000000003</v>
      </c>
      <c r="R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2640.5340000000001</v>
      </c>
    </row>
    <row r="60" spans="1:18" x14ac:dyDescent="0.3">
      <c r="A60" s="2">
        <v>53</v>
      </c>
      <c r="B60" s="2" t="s">
        <v>263</v>
      </c>
      <c r="C60" s="2" t="s">
        <v>264</v>
      </c>
      <c r="D60" s="2" t="s">
        <v>51</v>
      </c>
      <c r="E60" s="2" t="s">
        <v>16</v>
      </c>
      <c r="F60" s="2">
        <v>30</v>
      </c>
      <c r="G60" s="2" t="s">
        <v>265</v>
      </c>
      <c r="H60" s="2" t="s">
        <v>266</v>
      </c>
      <c r="I60" s="2" t="s">
        <v>32</v>
      </c>
      <c r="J60" s="3">
        <v>43908</v>
      </c>
      <c r="K60" s="5">
        <f>YEAR(OrganizedData[[#This Row],[Order Date]])</f>
        <v>2020</v>
      </c>
      <c r="L60" s="7" t="str">
        <f>TEXT(OrganizedData[[#This Row],[Order Date]],"mmm")</f>
        <v>Mar</v>
      </c>
      <c r="M60" s="2">
        <v>63</v>
      </c>
      <c r="N60" s="2" t="s">
        <v>54</v>
      </c>
      <c r="O60" s="2" t="str">
        <f>VLOOKUP(OrganizedData[[#This Row],[Product Code]],ProductData[[Code]:[Item]],2,FALSE)</f>
        <v>Megawidget S</v>
      </c>
      <c r="P60" s="4">
        <f>OrganizedData[[#This Row],[Quantity]]*VLOOKUP(OrganizedData[[#This Row],[Product Code]],ProductData[],4,FALSE)</f>
        <v>1512</v>
      </c>
      <c r="Q60" s="6">
        <f>OrganizedData[[#This Row],[Total Items Ordered]]*VLOOKUP(OrganizedData[[#This Row],[Product Code]],ProductData[],3,FALSE)</f>
        <v>1043.28</v>
      </c>
      <c r="R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991.11599999999987</v>
      </c>
    </row>
    <row r="61" spans="1:18" x14ac:dyDescent="0.3">
      <c r="A61" s="2">
        <v>54</v>
      </c>
      <c r="B61" s="2" t="s">
        <v>267</v>
      </c>
      <c r="C61" s="2" t="s">
        <v>268</v>
      </c>
      <c r="D61" s="2" t="s">
        <v>28</v>
      </c>
      <c r="E61" s="2" t="s">
        <v>29</v>
      </c>
      <c r="F61" s="2">
        <v>90</v>
      </c>
      <c r="G61" s="2" t="s">
        <v>269</v>
      </c>
      <c r="H61" s="2" t="s">
        <v>270</v>
      </c>
      <c r="I61" s="2" t="s">
        <v>187</v>
      </c>
      <c r="J61" s="3">
        <v>44590</v>
      </c>
      <c r="K61" s="5">
        <f>YEAR(OrganizedData[[#This Row],[Order Date]])</f>
        <v>2022</v>
      </c>
      <c r="L61" s="7" t="str">
        <f>TEXT(OrganizedData[[#This Row],[Order Date]],"mmm")</f>
        <v>Jan</v>
      </c>
      <c r="M61" s="2">
        <v>60</v>
      </c>
      <c r="N61" s="2" t="s">
        <v>33</v>
      </c>
      <c r="O61" s="2" t="str">
        <f>VLOOKUP(OrganizedData[[#This Row],[Product Code]],ProductData[[Code]:[Item]],2,FALSE)</f>
        <v>Megawidget L</v>
      </c>
      <c r="P61" s="4">
        <f>OrganizedData[[#This Row],[Quantity]]*VLOOKUP(OrganizedData[[#This Row],[Product Code]],ProductData[],4,FALSE)</f>
        <v>1440</v>
      </c>
      <c r="Q61" s="6">
        <f>OrganizedData[[#This Row],[Total Items Ordered]]*VLOOKUP(OrganizedData[[#This Row],[Product Code]],ProductData[],3,FALSE)</f>
        <v>2577.6</v>
      </c>
      <c r="R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2448.7199999999998</v>
      </c>
    </row>
    <row r="62" spans="1:18" x14ac:dyDescent="0.3">
      <c r="A62" s="2">
        <v>55</v>
      </c>
      <c r="B62" s="2" t="s">
        <v>271</v>
      </c>
      <c r="C62" s="2" t="s">
        <v>272</v>
      </c>
      <c r="D62" s="2" t="s">
        <v>15</v>
      </c>
      <c r="E62" s="2" t="s">
        <v>16</v>
      </c>
      <c r="F62" s="2">
        <v>90</v>
      </c>
      <c r="G62" s="2" t="s">
        <v>274</v>
      </c>
      <c r="H62" s="2" t="s">
        <v>275</v>
      </c>
      <c r="I62" s="2" t="s">
        <v>32</v>
      </c>
      <c r="J62" s="3">
        <v>44375</v>
      </c>
      <c r="K62" s="5">
        <f>YEAR(OrganizedData[[#This Row],[Order Date]])</f>
        <v>2021</v>
      </c>
      <c r="L62" s="7" t="str">
        <f>TEXT(OrganizedData[[#This Row],[Order Date]],"mmm")</f>
        <v>Jun</v>
      </c>
      <c r="M62" s="2">
        <v>26</v>
      </c>
      <c r="N62" s="2" t="s">
        <v>70</v>
      </c>
      <c r="O62" s="2" t="str">
        <f>VLOOKUP(OrganizedData[[#This Row],[Product Code]],ProductData[[Code]:[Item]],2,FALSE)</f>
        <v>Megawidget M</v>
      </c>
      <c r="P62" s="4">
        <f>OrganizedData[[#This Row],[Quantity]]*VLOOKUP(OrganizedData[[#This Row],[Product Code]],ProductData[],4,FALSE)</f>
        <v>624</v>
      </c>
      <c r="Q62" s="6">
        <f>OrganizedData[[#This Row],[Total Items Ordered]]*VLOOKUP(OrganizedData[[#This Row],[Product Code]],ProductData[],3,FALSE)</f>
        <v>804.96</v>
      </c>
      <c r="R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780.81119999999999</v>
      </c>
    </row>
    <row r="63" spans="1:18" x14ac:dyDescent="0.3">
      <c r="A63" s="2">
        <v>56</v>
      </c>
      <c r="B63" s="2" t="s">
        <v>276</v>
      </c>
      <c r="C63" s="2" t="s">
        <v>277</v>
      </c>
      <c r="D63" s="2" t="s">
        <v>15</v>
      </c>
      <c r="E63" s="2" t="s">
        <v>16</v>
      </c>
      <c r="F63" s="2">
        <v>30</v>
      </c>
      <c r="G63" s="2" t="s">
        <v>278</v>
      </c>
      <c r="H63" s="2" t="s">
        <v>279</v>
      </c>
      <c r="I63" s="2" t="s">
        <v>213</v>
      </c>
      <c r="J63" s="3">
        <v>44612</v>
      </c>
      <c r="K63" s="5">
        <f>YEAR(OrganizedData[[#This Row],[Order Date]])</f>
        <v>2022</v>
      </c>
      <c r="L63" s="7" t="str">
        <f>TEXT(OrganizedData[[#This Row],[Order Date]],"mmm")</f>
        <v>Feb</v>
      </c>
      <c r="M63" s="2">
        <v>31</v>
      </c>
      <c r="N63" s="2" t="s">
        <v>54</v>
      </c>
      <c r="O63" s="2" t="str">
        <f>VLOOKUP(OrganizedData[[#This Row],[Product Code]],ProductData[[Code]:[Item]],2,FALSE)</f>
        <v>Megawidget S</v>
      </c>
      <c r="P63" s="4">
        <f>OrganizedData[[#This Row],[Quantity]]*VLOOKUP(OrganizedData[[#This Row],[Product Code]],ProductData[],4,FALSE)</f>
        <v>744</v>
      </c>
      <c r="Q63" s="6">
        <f>OrganizedData[[#This Row],[Total Items Ordered]]*VLOOKUP(OrganizedData[[#This Row],[Product Code]],ProductData[],3,FALSE)</f>
        <v>513.36</v>
      </c>
      <c r="R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497.95920000000001</v>
      </c>
    </row>
    <row r="64" spans="1:18" x14ac:dyDescent="0.3">
      <c r="A64" s="2">
        <v>57</v>
      </c>
      <c r="B64" s="2" t="s">
        <v>280</v>
      </c>
      <c r="C64" s="2" t="s">
        <v>281</v>
      </c>
      <c r="D64" s="2" t="s">
        <v>51</v>
      </c>
      <c r="E64" s="2" t="s">
        <v>16</v>
      </c>
      <c r="F64" s="2">
        <v>30</v>
      </c>
      <c r="G64" s="2" t="s">
        <v>283</v>
      </c>
      <c r="H64" s="2" t="s">
        <v>284</v>
      </c>
      <c r="I64" s="2" t="s">
        <v>146</v>
      </c>
      <c r="J64" s="3">
        <v>44645</v>
      </c>
      <c r="K64" s="5">
        <f>YEAR(OrganizedData[[#This Row],[Order Date]])</f>
        <v>2022</v>
      </c>
      <c r="L64" s="7" t="str">
        <f>TEXT(OrganizedData[[#This Row],[Order Date]],"mmm")</f>
        <v>Mar</v>
      </c>
      <c r="M64" s="2">
        <v>50</v>
      </c>
      <c r="N64" s="2" t="s">
        <v>54</v>
      </c>
      <c r="O64" s="2" t="str">
        <f>VLOOKUP(OrganizedData[[#This Row],[Product Code]],ProductData[[Code]:[Item]],2,FALSE)</f>
        <v>Megawidget S</v>
      </c>
      <c r="P64" s="4">
        <f>OrganizedData[[#This Row],[Quantity]]*VLOOKUP(OrganizedData[[#This Row],[Product Code]],ProductData[],4,FALSE)</f>
        <v>1200</v>
      </c>
      <c r="Q64" s="6">
        <f>OrganizedData[[#This Row],[Total Items Ordered]]*VLOOKUP(OrganizedData[[#This Row],[Product Code]],ProductData[],3,FALSE)</f>
        <v>827.99999999999989</v>
      </c>
      <c r="R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65" spans="1:18" x14ac:dyDescent="0.3">
      <c r="A65" s="2">
        <v>58</v>
      </c>
      <c r="B65" s="2" t="s">
        <v>289</v>
      </c>
      <c r="C65" s="2" t="s">
        <v>290</v>
      </c>
      <c r="D65" s="2" t="s">
        <v>51</v>
      </c>
      <c r="E65" s="2" t="s">
        <v>16</v>
      </c>
      <c r="F65" s="2">
        <v>90</v>
      </c>
      <c r="G65" s="2" t="s">
        <v>292</v>
      </c>
      <c r="H65" s="2" t="s">
        <v>293</v>
      </c>
      <c r="I65" s="2" t="s">
        <v>294</v>
      </c>
      <c r="J65" s="3">
        <v>44445</v>
      </c>
      <c r="K65" s="5">
        <f>YEAR(OrganizedData[[#This Row],[Order Date]])</f>
        <v>2021</v>
      </c>
      <c r="L65" s="7" t="str">
        <f>TEXT(OrganizedData[[#This Row],[Order Date]],"mmm")</f>
        <v>Sep</v>
      </c>
      <c r="M65" s="2">
        <v>11</v>
      </c>
      <c r="N65" s="2" t="s">
        <v>33</v>
      </c>
      <c r="O65" s="2" t="str">
        <f>VLOOKUP(OrganizedData[[#This Row],[Product Code]],ProductData[[Code]:[Item]],2,FALSE)</f>
        <v>Megawidget L</v>
      </c>
      <c r="P65" s="4">
        <f>OrganizedData[[#This Row],[Quantity]]*VLOOKUP(OrganizedData[[#This Row],[Product Code]],ProductData[],4,FALSE)</f>
        <v>264</v>
      </c>
      <c r="Q65" s="6">
        <f>OrganizedData[[#This Row],[Total Items Ordered]]*VLOOKUP(OrganizedData[[#This Row],[Product Code]],ProductData[],3,FALSE)</f>
        <v>472.56</v>
      </c>
      <c r="R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472.56</v>
      </c>
    </row>
    <row r="66" spans="1:18" x14ac:dyDescent="0.3">
      <c r="A66" s="2">
        <v>59</v>
      </c>
      <c r="B66" s="2" t="s">
        <v>295</v>
      </c>
      <c r="C66" s="2" t="s">
        <v>296</v>
      </c>
      <c r="D66" s="2" t="s">
        <v>28</v>
      </c>
      <c r="E66" s="2" t="s">
        <v>29</v>
      </c>
      <c r="F66" s="2">
        <v>60</v>
      </c>
      <c r="G66" s="2" t="s">
        <v>297</v>
      </c>
      <c r="H66" s="2" t="s">
        <v>298</v>
      </c>
      <c r="I66" s="2" t="s">
        <v>25</v>
      </c>
      <c r="J66" s="3">
        <v>44714</v>
      </c>
      <c r="K66" s="5">
        <f>YEAR(OrganizedData[[#This Row],[Order Date]])</f>
        <v>2022</v>
      </c>
      <c r="L66" s="7" t="str">
        <f>TEXT(OrganizedData[[#This Row],[Order Date]],"mmm")</f>
        <v>Jun</v>
      </c>
      <c r="M66" s="2">
        <v>28</v>
      </c>
      <c r="N66" s="2" t="s">
        <v>159</v>
      </c>
      <c r="O66" s="2" t="str">
        <f>VLOOKUP(OrganizedData[[#This Row],[Product Code]],ProductData[[Code]:[Item]],2,FALSE)</f>
        <v>Ultrathing V3</v>
      </c>
      <c r="P66" s="4">
        <f>OrganizedData[[#This Row],[Quantity]]*VLOOKUP(OrganizedData[[#This Row],[Product Code]],ProductData[],4,FALSE)</f>
        <v>672</v>
      </c>
      <c r="Q66" s="6">
        <f>OrganizedData[[#This Row],[Total Items Ordered]]*VLOOKUP(OrganizedData[[#This Row],[Product Code]],ProductData[],3,FALSE)</f>
        <v>2278.08</v>
      </c>
      <c r="R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2209.7375999999999</v>
      </c>
    </row>
    <row r="67" spans="1:18" x14ac:dyDescent="0.3">
      <c r="A67" s="2">
        <v>60</v>
      </c>
      <c r="B67" s="2" t="s">
        <v>299</v>
      </c>
      <c r="C67" s="2" t="s">
        <v>300</v>
      </c>
      <c r="D67" s="2" t="s">
        <v>41</v>
      </c>
      <c r="E67" s="2" t="s">
        <v>16</v>
      </c>
      <c r="F67" s="2">
        <v>60</v>
      </c>
      <c r="G67" s="2" t="s">
        <v>301</v>
      </c>
      <c r="H67" s="2" t="s">
        <v>302</v>
      </c>
      <c r="I67" s="2" t="s">
        <v>303</v>
      </c>
      <c r="J67" s="3">
        <v>43922</v>
      </c>
      <c r="K67" s="5">
        <f>YEAR(OrganizedData[[#This Row],[Order Date]])</f>
        <v>2020</v>
      </c>
      <c r="L67" s="7" t="str">
        <f>TEXT(OrganizedData[[#This Row],[Order Date]],"mmm")</f>
        <v>Apr</v>
      </c>
      <c r="M67" s="2">
        <v>49</v>
      </c>
      <c r="N67" s="2" t="s">
        <v>70</v>
      </c>
      <c r="O67" s="2" t="str">
        <f>VLOOKUP(OrganizedData[[#This Row],[Product Code]],ProductData[[Code]:[Item]],2,FALSE)</f>
        <v>Megawidget M</v>
      </c>
      <c r="P67" s="4">
        <f>OrganizedData[[#This Row],[Quantity]]*VLOOKUP(OrganizedData[[#This Row],[Product Code]],ProductData[],4,FALSE)</f>
        <v>1176</v>
      </c>
      <c r="Q67" s="6">
        <f>OrganizedData[[#This Row],[Total Items Ordered]]*VLOOKUP(OrganizedData[[#This Row],[Product Code]],ProductData[],3,FALSE)</f>
        <v>1517.04</v>
      </c>
      <c r="R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68" spans="1:18" x14ac:dyDescent="0.3">
      <c r="A68" s="2">
        <v>61</v>
      </c>
      <c r="B68" s="2" t="s">
        <v>304</v>
      </c>
      <c r="C68" s="2" t="s">
        <v>305</v>
      </c>
      <c r="D68" s="2" t="s">
        <v>51</v>
      </c>
      <c r="E68" s="2" t="s">
        <v>16</v>
      </c>
      <c r="F68" s="2">
        <v>60</v>
      </c>
      <c r="G68" s="2" t="s">
        <v>306</v>
      </c>
      <c r="H68" s="2" t="s">
        <v>307</v>
      </c>
      <c r="I68" s="2" t="s">
        <v>32</v>
      </c>
      <c r="J68" s="3">
        <v>44792</v>
      </c>
      <c r="K68" s="5">
        <f>YEAR(OrganizedData[[#This Row],[Order Date]])</f>
        <v>2022</v>
      </c>
      <c r="L68" s="7" t="str">
        <f>TEXT(OrganizedData[[#This Row],[Order Date]],"mmm")</f>
        <v>Aug</v>
      </c>
      <c r="M68" s="2">
        <v>105</v>
      </c>
      <c r="N68" s="2" t="s">
        <v>39</v>
      </c>
      <c r="O68" s="2" t="str">
        <f>VLOOKUP(OrganizedData[[#This Row],[Product Code]],ProductData[[Code]:[Item]],2,FALSE)</f>
        <v>Ultrathing V1</v>
      </c>
      <c r="P68" s="4">
        <f>OrganizedData[[#This Row],[Quantity]]*VLOOKUP(OrganizedData[[#This Row],[Product Code]],ProductData[],4,FALSE)</f>
        <v>1785</v>
      </c>
      <c r="Q68" s="6">
        <f>OrganizedData[[#This Row],[Total Items Ordered]]*VLOOKUP(OrganizedData[[#This Row],[Product Code]],ProductData[],3,FALSE)</f>
        <v>3195.15</v>
      </c>
      <c r="R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2971.4895000000001</v>
      </c>
    </row>
    <row r="69" spans="1:18" x14ac:dyDescent="0.3">
      <c r="A69" s="2">
        <v>62</v>
      </c>
      <c r="B69" s="2" t="s">
        <v>308</v>
      </c>
      <c r="C69" s="2" t="s">
        <v>309</v>
      </c>
      <c r="D69" s="2" t="s">
        <v>51</v>
      </c>
      <c r="E69" s="2" t="s">
        <v>16</v>
      </c>
      <c r="F69" s="2">
        <v>90</v>
      </c>
      <c r="G69" s="2" t="s">
        <v>310</v>
      </c>
      <c r="H69" s="2" t="s">
        <v>311</v>
      </c>
      <c r="I69" s="2" t="s">
        <v>32</v>
      </c>
      <c r="J69" s="3">
        <v>44425</v>
      </c>
      <c r="K69" s="5">
        <f>YEAR(OrganizedData[[#This Row],[Order Date]])</f>
        <v>2021</v>
      </c>
      <c r="L69" s="7" t="str">
        <f>TEXT(OrganizedData[[#This Row],[Order Date]],"mmm")</f>
        <v>Aug</v>
      </c>
      <c r="M69" s="2">
        <v>32</v>
      </c>
      <c r="N69" s="2" t="s">
        <v>45</v>
      </c>
      <c r="O69" s="2" t="str">
        <f>VLOOKUP(OrganizedData[[#This Row],[Product Code]],ProductData[[Code]:[Item]],2,FALSE)</f>
        <v>Gigastuff</v>
      </c>
      <c r="P69" s="4">
        <f>OrganizedData[[#This Row],[Quantity]]*VLOOKUP(OrganizedData[[#This Row],[Product Code]],ProductData[],4,FALSE)</f>
        <v>576</v>
      </c>
      <c r="Q69" s="6">
        <f>OrganizedData[[#This Row],[Total Items Ordered]]*VLOOKUP(OrganizedData[[#This Row],[Product Code]],ProductData[],3,FALSE)</f>
        <v>1088.6399999999999</v>
      </c>
      <c r="R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70" spans="1:18" x14ac:dyDescent="0.3">
      <c r="A70" s="2">
        <v>63</v>
      </c>
      <c r="B70" s="2" t="s">
        <v>312</v>
      </c>
      <c r="C70" s="2" t="s">
        <v>313</v>
      </c>
      <c r="D70" s="2" t="s">
        <v>41</v>
      </c>
      <c r="E70" s="2" t="s">
        <v>16</v>
      </c>
      <c r="F70" s="2">
        <v>90</v>
      </c>
      <c r="G70" s="2" t="s">
        <v>314</v>
      </c>
      <c r="H70" s="2" t="s">
        <v>315</v>
      </c>
      <c r="I70" s="2" t="s">
        <v>32</v>
      </c>
      <c r="J70" s="3">
        <v>44024</v>
      </c>
      <c r="K70" s="5">
        <f>YEAR(OrganizedData[[#This Row],[Order Date]])</f>
        <v>2020</v>
      </c>
      <c r="L70" s="7" t="str">
        <f>TEXT(OrganizedData[[#This Row],[Order Date]],"mmm")</f>
        <v>Jul</v>
      </c>
      <c r="M70" s="2">
        <v>31</v>
      </c>
      <c r="N70" s="2" t="s">
        <v>33</v>
      </c>
      <c r="O70" s="2" t="str">
        <f>VLOOKUP(OrganizedData[[#This Row],[Product Code]],ProductData[[Code]:[Item]],2,FALSE)</f>
        <v>Megawidget L</v>
      </c>
      <c r="P70" s="4">
        <f>OrganizedData[[#This Row],[Quantity]]*VLOOKUP(OrganizedData[[#This Row],[Product Code]],ProductData[],4,FALSE)</f>
        <v>744</v>
      </c>
      <c r="Q70" s="6">
        <f>OrganizedData[[#This Row],[Total Items Ordered]]*VLOOKUP(OrganizedData[[#This Row],[Product Code]],ProductData[],3,FALSE)</f>
        <v>1331.76</v>
      </c>
      <c r="R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1291.8072</v>
      </c>
    </row>
    <row r="71" spans="1:18" x14ac:dyDescent="0.3">
      <c r="A71" s="2">
        <v>64</v>
      </c>
      <c r="B71" s="2" t="s">
        <v>316</v>
      </c>
      <c r="C71" s="2" t="s">
        <v>317</v>
      </c>
      <c r="D71" s="2" t="s">
        <v>15</v>
      </c>
      <c r="E71" s="2" t="s">
        <v>16</v>
      </c>
      <c r="F71" s="2">
        <v>30</v>
      </c>
      <c r="G71" s="2" t="s">
        <v>318</v>
      </c>
      <c r="H71" s="2" t="s">
        <v>319</v>
      </c>
      <c r="I71" s="2" t="s">
        <v>208</v>
      </c>
      <c r="J71" s="3">
        <v>44110</v>
      </c>
      <c r="K71" s="5">
        <f>YEAR(OrganizedData[[#This Row],[Order Date]])</f>
        <v>2020</v>
      </c>
      <c r="L71" s="7" t="str">
        <f>TEXT(OrganizedData[[#This Row],[Order Date]],"mmm")</f>
        <v>Oct</v>
      </c>
      <c r="M71" s="2">
        <v>23</v>
      </c>
      <c r="N71" s="2" t="s">
        <v>159</v>
      </c>
      <c r="O71" s="2" t="str">
        <f>VLOOKUP(OrganizedData[[#This Row],[Product Code]],ProductData[[Code]:[Item]],2,FALSE)</f>
        <v>Ultrathing V3</v>
      </c>
      <c r="P71" s="4">
        <f>OrganizedData[[#This Row],[Quantity]]*VLOOKUP(OrganizedData[[#This Row],[Product Code]],ProductData[],4,FALSE)</f>
        <v>552</v>
      </c>
      <c r="Q71" s="6">
        <f>OrganizedData[[#This Row],[Total Items Ordered]]*VLOOKUP(OrganizedData[[#This Row],[Product Code]],ProductData[],3,FALSE)</f>
        <v>1871.28</v>
      </c>
      <c r="R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1815.1415999999999</v>
      </c>
    </row>
    <row r="72" spans="1:18" x14ac:dyDescent="0.3">
      <c r="A72" s="2">
        <v>65</v>
      </c>
      <c r="B72" s="2" t="s">
        <v>320</v>
      </c>
      <c r="C72" s="2" t="s">
        <v>321</v>
      </c>
      <c r="D72" s="2" t="s">
        <v>15</v>
      </c>
      <c r="E72" s="2" t="s">
        <v>16</v>
      </c>
      <c r="F72" s="2">
        <v>60</v>
      </c>
      <c r="G72" s="2" t="s">
        <v>318</v>
      </c>
      <c r="H72" s="2" t="s">
        <v>322</v>
      </c>
      <c r="I72" s="2" t="s">
        <v>32</v>
      </c>
      <c r="J72" s="3">
        <v>43845</v>
      </c>
      <c r="K72" s="5">
        <f>YEAR(OrganizedData[[#This Row],[Order Date]])</f>
        <v>2020</v>
      </c>
      <c r="L72" s="7" t="str">
        <f>TEXT(OrganizedData[[#This Row],[Order Date]],"mmm")</f>
        <v>Jan</v>
      </c>
      <c r="M72" s="2">
        <v>51</v>
      </c>
      <c r="N72" s="2" t="s">
        <v>33</v>
      </c>
      <c r="O72" s="2" t="str">
        <f>VLOOKUP(OrganizedData[[#This Row],[Product Code]],ProductData[[Code]:[Item]],2,FALSE)</f>
        <v>Megawidget L</v>
      </c>
      <c r="P72" s="4">
        <f>OrganizedData[[#This Row],[Quantity]]*VLOOKUP(OrganizedData[[#This Row],[Product Code]],ProductData[],4,FALSE)</f>
        <v>1224</v>
      </c>
      <c r="Q72" s="6">
        <f>OrganizedData[[#This Row],[Total Items Ordered]]*VLOOKUP(OrganizedData[[#This Row],[Product Code]],ProductData[],3,FALSE)</f>
        <v>2190.96</v>
      </c>
      <c r="R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73" spans="1:18" x14ac:dyDescent="0.3">
      <c r="A73" s="2">
        <v>66</v>
      </c>
      <c r="B73" s="2" t="s">
        <v>323</v>
      </c>
      <c r="C73" s="2" t="s">
        <v>324</v>
      </c>
      <c r="D73" s="2" t="s">
        <v>28</v>
      </c>
      <c r="E73" s="2" t="s">
        <v>29</v>
      </c>
      <c r="F73" s="2">
        <v>60</v>
      </c>
      <c r="G73" s="2" t="s">
        <v>325</v>
      </c>
      <c r="H73" s="2" t="s">
        <v>326</v>
      </c>
      <c r="I73" s="2" t="s">
        <v>25</v>
      </c>
      <c r="J73" s="3">
        <v>44084</v>
      </c>
      <c r="K73" s="5">
        <f>YEAR(OrganizedData[[#This Row],[Order Date]])</f>
        <v>2020</v>
      </c>
      <c r="L73" s="7" t="str">
        <f>TEXT(OrganizedData[[#This Row],[Order Date]],"mmm")</f>
        <v>Sep</v>
      </c>
      <c r="M73" s="2">
        <v>59</v>
      </c>
      <c r="N73" s="2" t="s">
        <v>159</v>
      </c>
      <c r="O73" s="2" t="str">
        <f>VLOOKUP(OrganizedData[[#This Row],[Product Code]],ProductData[[Code]:[Item]],2,FALSE)</f>
        <v>Ultrathing V3</v>
      </c>
      <c r="P73" s="4">
        <f>OrganizedData[[#This Row],[Quantity]]*VLOOKUP(OrganizedData[[#This Row],[Product Code]],ProductData[],4,FALSE)</f>
        <v>1416</v>
      </c>
      <c r="Q73" s="6">
        <f>OrganizedData[[#This Row],[Total Items Ordered]]*VLOOKUP(OrganizedData[[#This Row],[Product Code]],ProductData[],3,FALSE)</f>
        <v>4800.24</v>
      </c>
      <c r="R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74" spans="1:18" x14ac:dyDescent="0.3">
      <c r="A74" s="2">
        <v>67</v>
      </c>
      <c r="B74" s="2" t="s">
        <v>327</v>
      </c>
      <c r="C74" s="2" t="s">
        <v>328</v>
      </c>
      <c r="D74" s="2" t="s">
        <v>51</v>
      </c>
      <c r="E74" s="2" t="s">
        <v>16</v>
      </c>
      <c r="F74" s="2">
        <v>60</v>
      </c>
      <c r="G74" s="2" t="s">
        <v>329</v>
      </c>
      <c r="H74" s="2" t="s">
        <v>330</v>
      </c>
      <c r="I74" s="2" t="s">
        <v>32</v>
      </c>
      <c r="J74" s="3">
        <v>44465</v>
      </c>
      <c r="K74" s="5">
        <f>YEAR(OrganizedData[[#This Row],[Order Date]])</f>
        <v>2021</v>
      </c>
      <c r="L74" s="7" t="str">
        <f>TEXT(OrganizedData[[#This Row],[Order Date]],"mmm")</f>
        <v>Sep</v>
      </c>
      <c r="M74" s="2">
        <v>37</v>
      </c>
      <c r="N74" s="2" t="s">
        <v>45</v>
      </c>
      <c r="O74" s="2" t="str">
        <f>VLOOKUP(OrganizedData[[#This Row],[Product Code]],ProductData[[Code]:[Item]],2,FALSE)</f>
        <v>Gigastuff</v>
      </c>
      <c r="P74" s="4">
        <f>OrganizedData[[#This Row],[Quantity]]*VLOOKUP(OrganizedData[[#This Row],[Product Code]],ProductData[],4,FALSE)</f>
        <v>666</v>
      </c>
      <c r="Q74" s="6">
        <f>OrganizedData[[#This Row],[Total Items Ordered]]*VLOOKUP(OrganizedData[[#This Row],[Product Code]],ProductData[],3,FALSE)</f>
        <v>1258.74</v>
      </c>
      <c r="R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1220.9777999999999</v>
      </c>
    </row>
    <row r="75" spans="1:18" x14ac:dyDescent="0.3">
      <c r="A75" s="2">
        <v>68</v>
      </c>
      <c r="B75" s="2" t="s">
        <v>331</v>
      </c>
      <c r="C75" s="2" t="s">
        <v>332</v>
      </c>
      <c r="D75" s="2" t="s">
        <v>51</v>
      </c>
      <c r="E75" s="2" t="s">
        <v>16</v>
      </c>
      <c r="F75" s="2">
        <v>90</v>
      </c>
      <c r="G75" s="2" t="s">
        <v>333</v>
      </c>
      <c r="H75" s="2" t="s">
        <v>334</v>
      </c>
      <c r="I75" s="2" t="s">
        <v>124</v>
      </c>
      <c r="J75" s="3">
        <v>43929</v>
      </c>
      <c r="K75" s="5">
        <f>YEAR(OrganizedData[[#This Row],[Order Date]])</f>
        <v>2020</v>
      </c>
      <c r="L75" s="7" t="str">
        <f>TEXT(OrganizedData[[#This Row],[Order Date]],"mmm")</f>
        <v>Apr</v>
      </c>
      <c r="M75" s="2">
        <v>29</v>
      </c>
      <c r="N75" s="2" t="s">
        <v>54</v>
      </c>
      <c r="O75" s="2" t="str">
        <f>VLOOKUP(OrganizedData[[#This Row],[Product Code]],ProductData[[Code]:[Item]],2,FALSE)</f>
        <v>Megawidget S</v>
      </c>
      <c r="P75" s="4">
        <f>OrganizedData[[#This Row],[Quantity]]*VLOOKUP(OrganizedData[[#This Row],[Product Code]],ProductData[],4,FALSE)</f>
        <v>696</v>
      </c>
      <c r="Q75" s="6">
        <f>OrganizedData[[#This Row],[Total Items Ordered]]*VLOOKUP(OrganizedData[[#This Row],[Product Code]],ProductData[],3,FALSE)</f>
        <v>480.23999999999995</v>
      </c>
      <c r="R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76" spans="1:18" x14ac:dyDescent="0.3">
      <c r="A76" s="2">
        <v>69</v>
      </c>
      <c r="B76" s="2" t="s">
        <v>335</v>
      </c>
      <c r="C76" s="2" t="s">
        <v>336</v>
      </c>
      <c r="D76" s="2" t="s">
        <v>28</v>
      </c>
      <c r="E76" s="2" t="s">
        <v>29</v>
      </c>
      <c r="F76" s="2">
        <v>90</v>
      </c>
      <c r="G76" s="2" t="s">
        <v>337</v>
      </c>
      <c r="H76" s="2" t="s">
        <v>338</v>
      </c>
      <c r="I76" s="2" t="s">
        <v>173</v>
      </c>
      <c r="J76" s="3">
        <v>44347</v>
      </c>
      <c r="K76" s="5">
        <f>YEAR(OrganizedData[[#This Row],[Order Date]])</f>
        <v>2021</v>
      </c>
      <c r="L76" s="7" t="str">
        <f>TEXT(OrganizedData[[#This Row],[Order Date]],"mmm")</f>
        <v>May</v>
      </c>
      <c r="M76" s="2">
        <v>83</v>
      </c>
      <c r="N76" s="2" t="s">
        <v>101</v>
      </c>
      <c r="O76" s="2" t="str">
        <f>VLOOKUP(OrganizedData[[#This Row],[Product Code]],ProductData[[Code]:[Item]],2,FALSE)</f>
        <v>Superwossname</v>
      </c>
      <c r="P76" s="4">
        <f>OrganizedData[[#This Row],[Quantity]]*VLOOKUP(OrganizedData[[#This Row],[Product Code]],ProductData[],4,FALSE)</f>
        <v>1660</v>
      </c>
      <c r="Q76" s="6">
        <f>OrganizedData[[#This Row],[Total Items Ordered]]*VLOOKUP(OrganizedData[[#This Row],[Product Code]],ProductData[],3,FALSE)</f>
        <v>5793.4000000000005</v>
      </c>
      <c r="R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77" spans="1:18" x14ac:dyDescent="0.3">
      <c r="A77" s="2">
        <v>70</v>
      </c>
      <c r="B77" s="2" t="s">
        <v>339</v>
      </c>
      <c r="C77" s="2" t="s">
        <v>340</v>
      </c>
      <c r="D77" s="2" t="s">
        <v>28</v>
      </c>
      <c r="E77" s="2" t="s">
        <v>29</v>
      </c>
      <c r="F77" s="2">
        <v>30</v>
      </c>
      <c r="G77" s="2" t="s">
        <v>341</v>
      </c>
      <c r="H77" s="2" t="s">
        <v>342</v>
      </c>
      <c r="I77" s="2" t="s">
        <v>25</v>
      </c>
      <c r="J77" s="3">
        <v>44641</v>
      </c>
      <c r="K77" s="5">
        <f>YEAR(OrganizedData[[#This Row],[Order Date]])</f>
        <v>2022</v>
      </c>
      <c r="L77" s="7" t="str">
        <f>TEXT(OrganizedData[[#This Row],[Order Date]],"mmm")</f>
        <v>Mar</v>
      </c>
      <c r="M77" s="2">
        <v>5</v>
      </c>
      <c r="N77" s="2" t="s">
        <v>64</v>
      </c>
      <c r="O77" s="2" t="str">
        <f>VLOOKUP(OrganizedData[[#This Row],[Product Code]],ProductData[[Code]:[Item]],2,FALSE)</f>
        <v>Ultrathing V4</v>
      </c>
      <c r="P77" s="4">
        <f>OrganizedData[[#This Row],[Quantity]]*VLOOKUP(OrganizedData[[#This Row],[Product Code]],ProductData[],4,FALSE)</f>
        <v>120</v>
      </c>
      <c r="Q77" s="6">
        <f>OrganizedData[[#This Row],[Total Items Ordered]]*VLOOKUP(OrganizedData[[#This Row],[Product Code]],ProductData[],3,FALSE)</f>
        <v>478.8</v>
      </c>
      <c r="R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78" spans="1:18" x14ac:dyDescent="0.3">
      <c r="A78" s="2">
        <v>71</v>
      </c>
      <c r="B78" s="2" t="s">
        <v>343</v>
      </c>
      <c r="C78" s="2" t="s">
        <v>344</v>
      </c>
      <c r="D78" s="2" t="s">
        <v>28</v>
      </c>
      <c r="E78" s="2" t="s">
        <v>29</v>
      </c>
      <c r="F78" s="2">
        <v>90</v>
      </c>
      <c r="G78" s="2" t="s">
        <v>345</v>
      </c>
      <c r="H78" s="2" t="s">
        <v>346</v>
      </c>
      <c r="I78" s="2" t="s">
        <v>32</v>
      </c>
      <c r="J78" s="3">
        <v>44145</v>
      </c>
      <c r="K78" s="5">
        <f>YEAR(OrganizedData[[#This Row],[Order Date]])</f>
        <v>2020</v>
      </c>
      <c r="L78" s="7" t="str">
        <f>TEXT(OrganizedData[[#This Row],[Order Date]],"mmm")</f>
        <v>Nov</v>
      </c>
      <c r="M78" s="2">
        <v>55</v>
      </c>
      <c r="N78" s="2" t="s">
        <v>54</v>
      </c>
      <c r="O78" s="2" t="str">
        <f>VLOOKUP(OrganizedData[[#This Row],[Product Code]],ProductData[[Code]:[Item]],2,FALSE)</f>
        <v>Megawidget S</v>
      </c>
      <c r="P78" s="4">
        <f>OrganizedData[[#This Row],[Quantity]]*VLOOKUP(OrganizedData[[#This Row],[Product Code]],ProductData[],4,FALSE)</f>
        <v>1320</v>
      </c>
      <c r="Q78" s="6">
        <f>OrganizedData[[#This Row],[Total Items Ordered]]*VLOOKUP(OrganizedData[[#This Row],[Product Code]],ProductData[],3,FALSE)</f>
        <v>910.8</v>
      </c>
      <c r="R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865.25999999999988</v>
      </c>
    </row>
    <row r="79" spans="1:18" x14ac:dyDescent="0.3">
      <c r="A79" s="2">
        <v>72</v>
      </c>
      <c r="B79" s="2" t="s">
        <v>347</v>
      </c>
      <c r="C79" s="2" t="s">
        <v>348</v>
      </c>
      <c r="D79" s="2" t="s">
        <v>51</v>
      </c>
      <c r="E79" s="2" t="s">
        <v>16</v>
      </c>
      <c r="F79" s="2">
        <v>30</v>
      </c>
      <c r="G79" s="2" t="s">
        <v>349</v>
      </c>
      <c r="H79" s="2" t="s">
        <v>350</v>
      </c>
      <c r="I79" s="2" t="s">
        <v>25</v>
      </c>
      <c r="J79" s="3">
        <v>44827</v>
      </c>
      <c r="K79" s="5">
        <f>YEAR(OrganizedData[[#This Row],[Order Date]])</f>
        <v>2022</v>
      </c>
      <c r="L79" s="7" t="str">
        <f>TEXT(OrganizedData[[#This Row],[Order Date]],"mmm")</f>
        <v>Sep</v>
      </c>
      <c r="M79" s="2">
        <v>88</v>
      </c>
      <c r="N79" s="2" t="s">
        <v>33</v>
      </c>
      <c r="O79" s="2" t="str">
        <f>VLOOKUP(OrganizedData[[#This Row],[Product Code]],ProductData[[Code]:[Item]],2,FALSE)</f>
        <v>Megawidget L</v>
      </c>
      <c r="P79" s="4">
        <f>OrganizedData[[#This Row],[Quantity]]*VLOOKUP(OrganizedData[[#This Row],[Product Code]],ProductData[],4,FALSE)</f>
        <v>2112</v>
      </c>
      <c r="Q79" s="6">
        <f>OrganizedData[[#This Row],[Total Items Ordered]]*VLOOKUP(OrganizedData[[#This Row],[Product Code]],ProductData[],3,FALSE)</f>
        <v>3780.48</v>
      </c>
      <c r="R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3591.4559999999997</v>
      </c>
    </row>
    <row r="80" spans="1:18" x14ac:dyDescent="0.3">
      <c r="A80" s="2">
        <v>73</v>
      </c>
      <c r="B80" s="2" t="s">
        <v>351</v>
      </c>
      <c r="C80" s="2" t="s">
        <v>352</v>
      </c>
      <c r="D80" s="2" t="s">
        <v>15</v>
      </c>
      <c r="E80" s="2" t="s">
        <v>16</v>
      </c>
      <c r="F80" s="2">
        <v>60</v>
      </c>
      <c r="G80" s="2" t="s">
        <v>353</v>
      </c>
      <c r="H80" s="2" t="s">
        <v>123</v>
      </c>
      <c r="I80" s="2" t="s">
        <v>124</v>
      </c>
      <c r="J80" s="3">
        <v>44035</v>
      </c>
      <c r="K80" s="5">
        <f>YEAR(OrganizedData[[#This Row],[Order Date]])</f>
        <v>2020</v>
      </c>
      <c r="L80" s="7" t="str">
        <f>TEXT(OrganizedData[[#This Row],[Order Date]],"mmm")</f>
        <v>Jul</v>
      </c>
      <c r="M80" s="2">
        <v>9</v>
      </c>
      <c r="N80" s="2" t="s">
        <v>33</v>
      </c>
      <c r="O80" s="2" t="str">
        <f>VLOOKUP(OrganizedData[[#This Row],[Product Code]],ProductData[[Code]:[Item]],2,FALSE)</f>
        <v>Megawidget L</v>
      </c>
      <c r="P80" s="4">
        <f>OrganizedData[[#This Row],[Quantity]]*VLOOKUP(OrganizedData[[#This Row],[Product Code]],ProductData[],4,FALSE)</f>
        <v>216</v>
      </c>
      <c r="Q80" s="6">
        <f>OrganizedData[[#This Row],[Total Items Ordered]]*VLOOKUP(OrganizedData[[#This Row],[Product Code]],ProductData[],3,FALSE)</f>
        <v>386.64</v>
      </c>
      <c r="R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386.64</v>
      </c>
    </row>
    <row r="81" spans="1:18" x14ac:dyDescent="0.3">
      <c r="A81" s="2">
        <v>74</v>
      </c>
      <c r="B81" s="2" t="s">
        <v>134</v>
      </c>
      <c r="C81" s="2" t="s">
        <v>354</v>
      </c>
      <c r="D81" s="2" t="s">
        <v>28</v>
      </c>
      <c r="E81" s="2" t="s">
        <v>29</v>
      </c>
      <c r="F81" s="2">
        <v>90</v>
      </c>
      <c r="G81" s="2" t="s">
        <v>355</v>
      </c>
      <c r="H81" s="2" t="s">
        <v>356</v>
      </c>
      <c r="I81" s="2" t="s">
        <v>178</v>
      </c>
      <c r="J81" s="3">
        <v>44152</v>
      </c>
      <c r="K81" s="5">
        <f>YEAR(OrganizedData[[#This Row],[Order Date]])</f>
        <v>2020</v>
      </c>
      <c r="L81" s="7" t="str">
        <f>TEXT(OrganizedData[[#This Row],[Order Date]],"mmm")</f>
        <v>Nov</v>
      </c>
      <c r="M81" s="2">
        <v>84</v>
      </c>
      <c r="N81" s="2" t="s">
        <v>70</v>
      </c>
      <c r="O81" s="2" t="str">
        <f>VLOOKUP(OrganizedData[[#This Row],[Product Code]],ProductData[[Code]:[Item]],2,FALSE)</f>
        <v>Megawidget M</v>
      </c>
      <c r="P81" s="4">
        <f>OrganizedData[[#This Row],[Quantity]]*VLOOKUP(OrganizedData[[#This Row],[Product Code]],ProductData[],4,FALSE)</f>
        <v>2016</v>
      </c>
      <c r="Q81" s="6">
        <f>OrganizedData[[#This Row],[Total Items Ordered]]*VLOOKUP(OrganizedData[[#This Row],[Product Code]],ProductData[],3,FALSE)</f>
        <v>2600.64</v>
      </c>
      <c r="R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2470.6079999999997</v>
      </c>
    </row>
    <row r="82" spans="1:18" x14ac:dyDescent="0.3">
      <c r="A82" s="2">
        <v>75</v>
      </c>
      <c r="B82" s="2" t="s">
        <v>357</v>
      </c>
      <c r="C82" s="2" t="s">
        <v>358</v>
      </c>
      <c r="D82" s="2" t="s">
        <v>51</v>
      </c>
      <c r="E82" s="2" t="s">
        <v>16</v>
      </c>
      <c r="F82" s="2">
        <v>30</v>
      </c>
      <c r="G82" s="2" t="s">
        <v>359</v>
      </c>
      <c r="H82" s="2" t="s">
        <v>360</v>
      </c>
      <c r="I82" s="2" t="s">
        <v>25</v>
      </c>
      <c r="J82" s="3">
        <v>44115</v>
      </c>
      <c r="K82" s="5">
        <f>YEAR(OrganizedData[[#This Row],[Order Date]])</f>
        <v>2020</v>
      </c>
      <c r="L82" s="7" t="str">
        <f>TEXT(OrganizedData[[#This Row],[Order Date]],"mmm")</f>
        <v>Oct</v>
      </c>
      <c r="M82" s="2">
        <v>19</v>
      </c>
      <c r="N82" s="2" t="s">
        <v>54</v>
      </c>
      <c r="O82" s="2" t="str">
        <f>VLOOKUP(OrganizedData[[#This Row],[Product Code]],ProductData[[Code]:[Item]],2,FALSE)</f>
        <v>Megawidget S</v>
      </c>
      <c r="P82" s="4">
        <f>OrganizedData[[#This Row],[Quantity]]*VLOOKUP(OrganizedData[[#This Row],[Product Code]],ProductData[],4,FALSE)</f>
        <v>456</v>
      </c>
      <c r="Q82" s="6">
        <f>OrganizedData[[#This Row],[Total Items Ordered]]*VLOOKUP(OrganizedData[[#This Row],[Product Code]],ProductData[],3,FALSE)</f>
        <v>314.64</v>
      </c>
      <c r="R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314.64</v>
      </c>
    </row>
    <row r="83" spans="1:18" x14ac:dyDescent="0.3">
      <c r="A83" s="2">
        <v>76</v>
      </c>
      <c r="B83" s="2" t="s">
        <v>34</v>
      </c>
      <c r="C83" s="2" t="s">
        <v>361</v>
      </c>
      <c r="D83" s="2" t="s">
        <v>28</v>
      </c>
      <c r="E83" s="2" t="s">
        <v>29</v>
      </c>
      <c r="F83" s="2">
        <v>90</v>
      </c>
      <c r="G83" s="2" t="s">
        <v>362</v>
      </c>
      <c r="H83" s="2" t="s">
        <v>363</v>
      </c>
      <c r="I83" s="2" t="s">
        <v>110</v>
      </c>
      <c r="J83" s="3">
        <v>44118</v>
      </c>
      <c r="K83" s="5">
        <f>YEAR(OrganizedData[[#This Row],[Order Date]])</f>
        <v>2020</v>
      </c>
      <c r="L83" s="7" t="str">
        <f>TEXT(OrganizedData[[#This Row],[Order Date]],"mmm")</f>
        <v>Oct</v>
      </c>
      <c r="M83" s="2">
        <v>13</v>
      </c>
      <c r="N83" s="2" t="s">
        <v>80</v>
      </c>
      <c r="O83" s="2" t="str">
        <f>VLOOKUP(OrganizedData[[#This Row],[Product Code]],ProductData[[Code]:[Item]],2,FALSE)</f>
        <v>Ultrathing V2</v>
      </c>
      <c r="P83" s="4">
        <f>OrganizedData[[#This Row],[Quantity]]*VLOOKUP(OrganizedData[[#This Row],[Product Code]],ProductData[],4,FALSE)</f>
        <v>260</v>
      </c>
      <c r="Q83" s="6">
        <f>OrganizedData[[#This Row],[Total Items Ordered]]*VLOOKUP(OrganizedData[[#This Row],[Product Code]],ProductData[],3,FALSE)</f>
        <v>767</v>
      </c>
      <c r="R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v>
      </c>
    </row>
    <row r="84" spans="1:18" x14ac:dyDescent="0.3">
      <c r="A84" s="2">
        <v>77</v>
      </c>
      <c r="B84" s="2" t="s">
        <v>367</v>
      </c>
      <c r="C84" s="2" t="s">
        <v>368</v>
      </c>
      <c r="D84" s="2" t="s">
        <v>28</v>
      </c>
      <c r="E84" s="2" t="s">
        <v>29</v>
      </c>
      <c r="F84" s="2">
        <v>90</v>
      </c>
      <c r="G84" s="2" t="s">
        <v>369</v>
      </c>
      <c r="H84" s="2" t="s">
        <v>370</v>
      </c>
      <c r="I84" s="2" t="s">
        <v>32</v>
      </c>
      <c r="J84" s="3">
        <v>44202</v>
      </c>
      <c r="K84" s="5">
        <f>YEAR(OrganizedData[[#This Row],[Order Date]])</f>
        <v>2021</v>
      </c>
      <c r="L84" s="7" t="str">
        <f>TEXT(OrganizedData[[#This Row],[Order Date]],"mmm")</f>
        <v>Jan</v>
      </c>
      <c r="M84" s="2">
        <v>5</v>
      </c>
      <c r="N84" s="2" t="s">
        <v>101</v>
      </c>
      <c r="O84" s="2" t="str">
        <f>VLOOKUP(OrganizedData[[#This Row],[Product Code]],ProductData[[Code]:[Item]],2,FALSE)</f>
        <v>Superwossname</v>
      </c>
      <c r="P84" s="4">
        <f>OrganizedData[[#This Row],[Quantity]]*VLOOKUP(OrganizedData[[#This Row],[Product Code]],ProductData[],4,FALSE)</f>
        <v>100</v>
      </c>
      <c r="Q84" s="6">
        <f>OrganizedData[[#This Row],[Total Items Ordered]]*VLOOKUP(OrganizedData[[#This Row],[Product Code]],ProductData[],3,FALSE)</f>
        <v>349</v>
      </c>
      <c r="R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85" spans="1:18" x14ac:dyDescent="0.3">
      <c r="A85" s="2">
        <v>78</v>
      </c>
      <c r="B85" s="2" t="s">
        <v>371</v>
      </c>
      <c r="C85" s="2" t="s">
        <v>372</v>
      </c>
      <c r="D85" s="2" t="s">
        <v>28</v>
      </c>
      <c r="E85" s="2" t="s">
        <v>29</v>
      </c>
      <c r="F85" s="2">
        <v>60</v>
      </c>
      <c r="G85" s="2" t="s">
        <v>373</v>
      </c>
      <c r="H85" s="2" t="s">
        <v>374</v>
      </c>
      <c r="I85" s="2" t="s">
        <v>25</v>
      </c>
      <c r="J85" s="3">
        <v>44484</v>
      </c>
      <c r="K85" s="5">
        <f>YEAR(OrganizedData[[#This Row],[Order Date]])</f>
        <v>2021</v>
      </c>
      <c r="L85" s="7" t="str">
        <f>TEXT(OrganizedData[[#This Row],[Order Date]],"mmm")</f>
        <v>Oct</v>
      </c>
      <c r="M85" s="2">
        <v>14</v>
      </c>
      <c r="N85" s="2" t="s">
        <v>80</v>
      </c>
      <c r="O85" s="2" t="str">
        <f>VLOOKUP(OrganizedData[[#This Row],[Product Code]],ProductData[[Code]:[Item]],2,FALSE)</f>
        <v>Ultrathing V2</v>
      </c>
      <c r="P85" s="4">
        <f>OrganizedData[[#This Row],[Quantity]]*VLOOKUP(OrganizedData[[#This Row],[Product Code]],ProductData[],4,FALSE)</f>
        <v>280</v>
      </c>
      <c r="Q85" s="6">
        <f>OrganizedData[[#This Row],[Total Items Ordered]]*VLOOKUP(OrganizedData[[#This Row],[Product Code]],ProductData[],3,FALSE)</f>
        <v>826</v>
      </c>
      <c r="R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v>
      </c>
    </row>
    <row r="86" spans="1:18" x14ac:dyDescent="0.3">
      <c r="A86" s="2">
        <v>79</v>
      </c>
      <c r="B86" s="2" t="s">
        <v>375</v>
      </c>
      <c r="C86" s="2" t="s">
        <v>376</v>
      </c>
      <c r="D86" s="2" t="s">
        <v>28</v>
      </c>
      <c r="E86" s="2" t="s">
        <v>29</v>
      </c>
      <c r="F86" s="2">
        <v>30</v>
      </c>
      <c r="G86" s="2" t="s">
        <v>377</v>
      </c>
      <c r="H86" s="2" t="s">
        <v>378</v>
      </c>
      <c r="I86" s="2" t="s">
        <v>146</v>
      </c>
      <c r="J86" s="3">
        <v>44191</v>
      </c>
      <c r="K86" s="5">
        <f>YEAR(OrganizedData[[#This Row],[Order Date]])</f>
        <v>2020</v>
      </c>
      <c r="L86" s="7" t="str">
        <f>TEXT(OrganizedData[[#This Row],[Order Date]],"mmm")</f>
        <v>Dec</v>
      </c>
      <c r="M86" s="2">
        <v>36</v>
      </c>
      <c r="N86" s="2" t="s">
        <v>70</v>
      </c>
      <c r="O86" s="2" t="str">
        <f>VLOOKUP(OrganizedData[[#This Row],[Product Code]],ProductData[[Code]:[Item]],2,FALSE)</f>
        <v>Megawidget M</v>
      </c>
      <c r="P86" s="4">
        <f>OrganizedData[[#This Row],[Quantity]]*VLOOKUP(OrganizedData[[#This Row],[Product Code]],ProductData[],4,FALSE)</f>
        <v>864</v>
      </c>
      <c r="Q86" s="6">
        <f>OrganizedData[[#This Row],[Total Items Ordered]]*VLOOKUP(OrganizedData[[#This Row],[Product Code]],ProductData[],3,FALSE)</f>
        <v>1114.56</v>
      </c>
      <c r="R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1081.1232</v>
      </c>
    </row>
    <row r="87" spans="1:18" x14ac:dyDescent="0.3">
      <c r="A87" s="2">
        <v>80</v>
      </c>
      <c r="B87" s="2" t="s">
        <v>379</v>
      </c>
      <c r="C87" s="2" t="s">
        <v>380</v>
      </c>
      <c r="D87" s="2" t="s">
        <v>51</v>
      </c>
      <c r="E87" s="2" t="s">
        <v>16</v>
      </c>
      <c r="F87" s="2">
        <v>30</v>
      </c>
      <c r="G87" s="2" t="s">
        <v>381</v>
      </c>
      <c r="H87" s="2" t="s">
        <v>382</v>
      </c>
      <c r="I87" s="2" t="s">
        <v>32</v>
      </c>
      <c r="J87" s="3">
        <v>43944</v>
      </c>
      <c r="K87" s="5">
        <f>YEAR(OrganizedData[[#This Row],[Order Date]])</f>
        <v>2020</v>
      </c>
      <c r="L87" s="7" t="str">
        <f>TEXT(OrganizedData[[#This Row],[Order Date]],"mmm")</f>
        <v>Apr</v>
      </c>
      <c r="M87" s="2">
        <v>79</v>
      </c>
      <c r="N87" s="2" t="s">
        <v>70</v>
      </c>
      <c r="O87" s="2" t="str">
        <f>VLOOKUP(OrganizedData[[#This Row],[Product Code]],ProductData[[Code]:[Item]],2,FALSE)</f>
        <v>Megawidget M</v>
      </c>
      <c r="P87" s="4">
        <f>OrganizedData[[#This Row],[Quantity]]*VLOOKUP(OrganizedData[[#This Row],[Product Code]],ProductData[],4,FALSE)</f>
        <v>1896</v>
      </c>
      <c r="Q87" s="6">
        <f>OrganizedData[[#This Row],[Total Items Ordered]]*VLOOKUP(OrganizedData[[#This Row],[Product Code]],ProductData[],3,FALSE)</f>
        <v>2445.84</v>
      </c>
      <c r="R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2323.5480000000002</v>
      </c>
    </row>
    <row r="88" spans="1:18" x14ac:dyDescent="0.3">
      <c r="A88" s="2">
        <v>81</v>
      </c>
      <c r="B88" s="2" t="s">
        <v>383</v>
      </c>
      <c r="C88" s="2" t="s">
        <v>384</v>
      </c>
      <c r="D88" s="2" t="s">
        <v>51</v>
      </c>
      <c r="E88" s="2" t="s">
        <v>16</v>
      </c>
      <c r="F88" s="2">
        <v>60</v>
      </c>
      <c r="G88" s="2" t="s">
        <v>385</v>
      </c>
      <c r="H88" s="2" t="s">
        <v>386</v>
      </c>
      <c r="I88" s="2" t="s">
        <v>294</v>
      </c>
      <c r="J88" s="3">
        <v>44141</v>
      </c>
      <c r="K88" s="5">
        <f>YEAR(OrganizedData[[#This Row],[Order Date]])</f>
        <v>2020</v>
      </c>
      <c r="L88" s="7" t="str">
        <f>TEXT(OrganizedData[[#This Row],[Order Date]],"mmm")</f>
        <v>Nov</v>
      </c>
      <c r="M88" s="2">
        <v>80</v>
      </c>
      <c r="N88" s="2" t="s">
        <v>45</v>
      </c>
      <c r="O88" s="2" t="str">
        <f>VLOOKUP(OrganizedData[[#This Row],[Product Code]],ProductData[[Code]:[Item]],2,FALSE)</f>
        <v>Gigastuff</v>
      </c>
      <c r="P88" s="4">
        <f>OrganizedData[[#This Row],[Quantity]]*VLOOKUP(OrganizedData[[#This Row],[Product Code]],ProductData[],4,FALSE)</f>
        <v>1440</v>
      </c>
      <c r="Q88" s="6">
        <f>OrganizedData[[#This Row],[Total Items Ordered]]*VLOOKUP(OrganizedData[[#This Row],[Product Code]],ProductData[],3,FALSE)</f>
        <v>2721.6</v>
      </c>
      <c r="R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2585.52</v>
      </c>
    </row>
    <row r="89" spans="1:18" x14ac:dyDescent="0.3">
      <c r="A89" s="2">
        <v>82</v>
      </c>
      <c r="B89" s="2" t="s">
        <v>387</v>
      </c>
      <c r="C89" s="2" t="s">
        <v>388</v>
      </c>
      <c r="D89" s="2" t="s">
        <v>92</v>
      </c>
      <c r="E89" s="2" t="s">
        <v>16</v>
      </c>
      <c r="F89" s="2">
        <v>30</v>
      </c>
      <c r="G89" s="2" t="s">
        <v>385</v>
      </c>
      <c r="H89" s="2" t="s">
        <v>389</v>
      </c>
      <c r="I89" s="2" t="s">
        <v>32</v>
      </c>
      <c r="J89" s="3">
        <v>44473</v>
      </c>
      <c r="K89" s="5">
        <f>YEAR(OrganizedData[[#This Row],[Order Date]])</f>
        <v>2021</v>
      </c>
      <c r="L89" s="7" t="str">
        <f>TEXT(OrganizedData[[#This Row],[Order Date]],"mmm")</f>
        <v>Oct</v>
      </c>
      <c r="M89" s="2">
        <v>43</v>
      </c>
      <c r="N89" s="2" t="s">
        <v>33</v>
      </c>
      <c r="O89" s="2" t="str">
        <f>VLOOKUP(OrganizedData[[#This Row],[Product Code]],ProductData[[Code]:[Item]],2,FALSE)</f>
        <v>Megawidget L</v>
      </c>
      <c r="P89" s="4">
        <f>OrganizedData[[#This Row],[Quantity]]*VLOOKUP(OrganizedData[[#This Row],[Product Code]],ProductData[],4,FALSE)</f>
        <v>1032</v>
      </c>
      <c r="Q89" s="6">
        <f>OrganizedData[[#This Row],[Total Items Ordered]]*VLOOKUP(OrganizedData[[#This Row],[Product Code]],ProductData[],3,FALSE)</f>
        <v>1847.28</v>
      </c>
      <c r="R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90" spans="1:18" x14ac:dyDescent="0.3">
      <c r="A90" s="2">
        <v>83</v>
      </c>
      <c r="B90" s="2" t="s">
        <v>390</v>
      </c>
      <c r="C90" s="2" t="s">
        <v>391</v>
      </c>
      <c r="D90" s="2" t="s">
        <v>28</v>
      </c>
      <c r="E90" s="2" t="s">
        <v>29</v>
      </c>
      <c r="F90" s="2">
        <v>30</v>
      </c>
      <c r="G90" s="2" t="s">
        <v>392</v>
      </c>
      <c r="H90" s="2" t="s">
        <v>393</v>
      </c>
      <c r="I90" s="2" t="s">
        <v>32</v>
      </c>
      <c r="J90" s="3">
        <v>44171</v>
      </c>
      <c r="K90" s="5">
        <f>YEAR(OrganizedData[[#This Row],[Order Date]])</f>
        <v>2020</v>
      </c>
      <c r="L90" s="7" t="str">
        <f>TEXT(OrganizedData[[#This Row],[Order Date]],"mmm")</f>
        <v>Dec</v>
      </c>
      <c r="M90" s="2">
        <v>85</v>
      </c>
      <c r="N90" s="2" t="s">
        <v>45</v>
      </c>
      <c r="O90" s="2" t="str">
        <f>VLOOKUP(OrganizedData[[#This Row],[Product Code]],ProductData[[Code]:[Item]],2,FALSE)</f>
        <v>Gigastuff</v>
      </c>
      <c r="P90" s="4">
        <f>OrganizedData[[#This Row],[Quantity]]*VLOOKUP(OrganizedData[[#This Row],[Product Code]],ProductData[],4,FALSE)</f>
        <v>1530</v>
      </c>
      <c r="Q90" s="6">
        <f>OrganizedData[[#This Row],[Total Items Ordered]]*VLOOKUP(OrganizedData[[#This Row],[Product Code]],ProductData[],3,FALSE)</f>
        <v>2891.7</v>
      </c>
      <c r="R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91" spans="1:18" x14ac:dyDescent="0.3">
      <c r="A91" s="2">
        <v>84</v>
      </c>
      <c r="B91" s="2" t="s">
        <v>106</v>
      </c>
      <c r="C91" s="2" t="s">
        <v>394</v>
      </c>
      <c r="D91" s="2" t="s">
        <v>28</v>
      </c>
      <c r="E91" s="2" t="s">
        <v>29</v>
      </c>
      <c r="F91" s="2">
        <v>30</v>
      </c>
      <c r="G91" s="2" t="s">
        <v>395</v>
      </c>
      <c r="H91" s="2" t="s">
        <v>396</v>
      </c>
      <c r="I91" s="2" t="s">
        <v>32</v>
      </c>
      <c r="J91" s="3">
        <v>43922</v>
      </c>
      <c r="K91" s="5">
        <f>YEAR(OrganizedData[[#This Row],[Order Date]])</f>
        <v>2020</v>
      </c>
      <c r="L91" s="7" t="str">
        <f>TEXT(OrganizedData[[#This Row],[Order Date]],"mmm")</f>
        <v>Apr</v>
      </c>
      <c r="M91" s="2">
        <v>71</v>
      </c>
      <c r="N91" s="2" t="s">
        <v>33</v>
      </c>
      <c r="O91" s="2" t="str">
        <f>VLOOKUP(OrganizedData[[#This Row],[Product Code]],ProductData[[Code]:[Item]],2,FALSE)</f>
        <v>Megawidget L</v>
      </c>
      <c r="P91" s="4">
        <f>OrganizedData[[#This Row],[Quantity]]*VLOOKUP(OrganizedData[[#This Row],[Product Code]],ProductData[],4,FALSE)</f>
        <v>1704</v>
      </c>
      <c r="Q91" s="6">
        <f>OrganizedData[[#This Row],[Total Items Ordered]]*VLOOKUP(OrganizedData[[#This Row],[Product Code]],ProductData[],3,FALSE)</f>
        <v>3050.16</v>
      </c>
      <c r="R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92" spans="1:18" x14ac:dyDescent="0.3">
      <c r="A92" s="2">
        <v>85</v>
      </c>
      <c r="B92" s="2" t="s">
        <v>397</v>
      </c>
      <c r="C92" s="2" t="s">
        <v>398</v>
      </c>
      <c r="D92" s="2" t="s">
        <v>51</v>
      </c>
      <c r="E92" s="2" t="s">
        <v>16</v>
      </c>
      <c r="F92" s="2">
        <v>90</v>
      </c>
      <c r="G92" s="2" t="s">
        <v>399</v>
      </c>
      <c r="H92" s="2" t="s">
        <v>400</v>
      </c>
      <c r="I92" s="2" t="s">
        <v>401</v>
      </c>
      <c r="J92" s="3">
        <v>44084</v>
      </c>
      <c r="K92" s="5">
        <f>YEAR(OrganizedData[[#This Row],[Order Date]])</f>
        <v>2020</v>
      </c>
      <c r="L92" s="7" t="str">
        <f>TEXT(OrganizedData[[#This Row],[Order Date]],"mmm")</f>
        <v>Sep</v>
      </c>
      <c r="M92" s="2">
        <v>47</v>
      </c>
      <c r="N92" s="2" t="s">
        <v>45</v>
      </c>
      <c r="O92" s="2" t="str">
        <f>VLOOKUP(OrganizedData[[#This Row],[Product Code]],ProductData[[Code]:[Item]],2,FALSE)</f>
        <v>Gigastuff</v>
      </c>
      <c r="P92" s="4">
        <f>OrganizedData[[#This Row],[Quantity]]*VLOOKUP(OrganizedData[[#This Row],[Product Code]],ProductData[],4,FALSE)</f>
        <v>846</v>
      </c>
      <c r="Q92" s="6">
        <f>OrganizedData[[#This Row],[Total Items Ordered]]*VLOOKUP(OrganizedData[[#This Row],[Product Code]],ProductData[],3,FALSE)</f>
        <v>1598.9399999999998</v>
      </c>
      <c r="R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93" spans="1:18" x14ac:dyDescent="0.3">
      <c r="A93" s="2">
        <v>86</v>
      </c>
      <c r="B93" s="2" t="s">
        <v>402</v>
      </c>
      <c r="C93" s="2" t="s">
        <v>403</v>
      </c>
      <c r="D93" s="2" t="s">
        <v>15</v>
      </c>
      <c r="E93" s="2" t="s">
        <v>16</v>
      </c>
      <c r="F93" s="2">
        <v>30</v>
      </c>
      <c r="G93" s="2" t="s">
        <v>404</v>
      </c>
      <c r="H93" s="2" t="s">
        <v>405</v>
      </c>
      <c r="I93" s="2" t="s">
        <v>32</v>
      </c>
      <c r="J93" s="3">
        <v>43997</v>
      </c>
      <c r="K93" s="5">
        <f>YEAR(OrganizedData[[#This Row],[Order Date]])</f>
        <v>2020</v>
      </c>
      <c r="L93" s="7" t="str">
        <f>TEXT(OrganizedData[[#This Row],[Order Date]],"mmm")</f>
        <v>Jun</v>
      </c>
      <c r="M93" s="2">
        <v>77</v>
      </c>
      <c r="N93" s="2" t="s">
        <v>39</v>
      </c>
      <c r="O93" s="2" t="str">
        <f>VLOOKUP(OrganizedData[[#This Row],[Product Code]],ProductData[[Code]:[Item]],2,FALSE)</f>
        <v>Ultrathing V1</v>
      </c>
      <c r="P93" s="4">
        <f>OrganizedData[[#This Row],[Quantity]]*VLOOKUP(OrganizedData[[#This Row],[Product Code]],ProductData[],4,FALSE)</f>
        <v>1309</v>
      </c>
      <c r="Q93" s="6">
        <f>OrganizedData[[#This Row],[Total Items Ordered]]*VLOOKUP(OrganizedData[[#This Row],[Product Code]],ProductData[],3,FALSE)</f>
        <v>2343.11</v>
      </c>
      <c r="R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94" spans="1:18" x14ac:dyDescent="0.3">
      <c r="A94" s="2">
        <v>87</v>
      </c>
      <c r="B94" s="2" t="s">
        <v>116</v>
      </c>
      <c r="C94" s="2" t="s">
        <v>406</v>
      </c>
      <c r="D94" s="2" t="s">
        <v>28</v>
      </c>
      <c r="E94" s="2" t="s">
        <v>29</v>
      </c>
      <c r="F94" s="2">
        <v>90</v>
      </c>
      <c r="G94" s="2" t="s">
        <v>407</v>
      </c>
      <c r="H94" s="2" t="s">
        <v>408</v>
      </c>
      <c r="I94" s="2" t="s">
        <v>25</v>
      </c>
      <c r="J94" s="3">
        <v>44160</v>
      </c>
      <c r="K94" s="5">
        <f>YEAR(OrganizedData[[#This Row],[Order Date]])</f>
        <v>2020</v>
      </c>
      <c r="L94" s="7" t="str">
        <f>TEXT(OrganizedData[[#This Row],[Order Date]],"mmm")</f>
        <v>Nov</v>
      </c>
      <c r="M94" s="2">
        <v>11</v>
      </c>
      <c r="N94" s="2" t="s">
        <v>54</v>
      </c>
      <c r="O94" s="2" t="str">
        <f>VLOOKUP(OrganizedData[[#This Row],[Product Code]],ProductData[[Code]:[Item]],2,FALSE)</f>
        <v>Megawidget S</v>
      </c>
      <c r="P94" s="4">
        <f>OrganizedData[[#This Row],[Quantity]]*VLOOKUP(OrganizedData[[#This Row],[Product Code]],ProductData[],4,FALSE)</f>
        <v>264</v>
      </c>
      <c r="Q94" s="6">
        <f>OrganizedData[[#This Row],[Total Items Ordered]]*VLOOKUP(OrganizedData[[#This Row],[Product Code]],ProductData[],3,FALSE)</f>
        <v>182.16</v>
      </c>
      <c r="R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182.16</v>
      </c>
    </row>
    <row r="95" spans="1:18" x14ac:dyDescent="0.3">
      <c r="A95" s="2">
        <v>88</v>
      </c>
      <c r="B95" s="2" t="s">
        <v>409</v>
      </c>
      <c r="C95" s="2" t="s">
        <v>410</v>
      </c>
      <c r="D95" s="2" t="s">
        <v>51</v>
      </c>
      <c r="E95" s="2" t="s">
        <v>16</v>
      </c>
      <c r="F95" s="2">
        <v>30</v>
      </c>
      <c r="G95" s="2" t="s">
        <v>411</v>
      </c>
      <c r="H95" s="2" t="s">
        <v>412</v>
      </c>
      <c r="I95" s="2" t="s">
        <v>187</v>
      </c>
      <c r="J95" s="3">
        <v>44091</v>
      </c>
      <c r="K95" s="5">
        <f>YEAR(OrganizedData[[#This Row],[Order Date]])</f>
        <v>2020</v>
      </c>
      <c r="L95" s="7" t="str">
        <f>TEXT(OrganizedData[[#This Row],[Order Date]],"mmm")</f>
        <v>Sep</v>
      </c>
      <c r="M95" s="2">
        <v>61</v>
      </c>
      <c r="N95" s="2" t="s">
        <v>39</v>
      </c>
      <c r="O95" s="2" t="str">
        <f>VLOOKUP(OrganizedData[[#This Row],[Product Code]],ProductData[[Code]:[Item]],2,FALSE)</f>
        <v>Ultrathing V1</v>
      </c>
      <c r="P95" s="4">
        <f>OrganizedData[[#This Row],[Quantity]]*VLOOKUP(OrganizedData[[#This Row],[Product Code]],ProductData[],4,FALSE)</f>
        <v>1037</v>
      </c>
      <c r="Q95" s="6">
        <f>OrganizedData[[#This Row],[Total Items Ordered]]*VLOOKUP(OrganizedData[[#This Row],[Product Code]],ProductData[],3,FALSE)</f>
        <v>1856.23</v>
      </c>
      <c r="R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1763.4185</v>
      </c>
    </row>
    <row r="96" spans="1:18" x14ac:dyDescent="0.3">
      <c r="A96" s="2">
        <v>89</v>
      </c>
      <c r="B96" s="2" t="s">
        <v>413</v>
      </c>
      <c r="C96" s="2" t="s">
        <v>414</v>
      </c>
      <c r="D96" s="2" t="s">
        <v>15</v>
      </c>
      <c r="E96" s="2" t="s">
        <v>16</v>
      </c>
      <c r="F96" s="2">
        <v>90</v>
      </c>
      <c r="G96" s="2" t="s">
        <v>415</v>
      </c>
      <c r="H96" s="2" t="s">
        <v>416</v>
      </c>
      <c r="I96" s="2" t="s">
        <v>32</v>
      </c>
      <c r="J96" s="3">
        <v>44707</v>
      </c>
      <c r="K96" s="5">
        <f>YEAR(OrganizedData[[#This Row],[Order Date]])</f>
        <v>2022</v>
      </c>
      <c r="L96" s="7" t="str">
        <f>TEXT(OrganizedData[[#This Row],[Order Date]],"mmm")</f>
        <v>May</v>
      </c>
      <c r="M96" s="2">
        <v>92</v>
      </c>
      <c r="N96" s="2" t="s">
        <v>54</v>
      </c>
      <c r="O96" s="2" t="str">
        <f>VLOOKUP(OrganizedData[[#This Row],[Product Code]],ProductData[[Code]:[Item]],2,FALSE)</f>
        <v>Megawidget S</v>
      </c>
      <c r="P96" s="4">
        <f>OrganizedData[[#This Row],[Quantity]]*VLOOKUP(OrganizedData[[#This Row],[Product Code]],ProductData[],4,FALSE)</f>
        <v>2208</v>
      </c>
      <c r="Q96" s="6">
        <f>OrganizedData[[#This Row],[Total Items Ordered]]*VLOOKUP(OrganizedData[[#This Row],[Product Code]],ProductData[],3,FALSE)</f>
        <v>1523.52</v>
      </c>
      <c r="R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1447.3439999999998</v>
      </c>
    </row>
    <row r="97" spans="1:18" x14ac:dyDescent="0.3">
      <c r="A97" s="2">
        <v>90</v>
      </c>
      <c r="B97" s="2" t="s">
        <v>417</v>
      </c>
      <c r="C97" s="2" t="s">
        <v>418</v>
      </c>
      <c r="D97" s="2" t="s">
        <v>51</v>
      </c>
      <c r="E97" s="2" t="s">
        <v>16</v>
      </c>
      <c r="F97" s="2">
        <v>30</v>
      </c>
      <c r="G97" s="2" t="s">
        <v>419</v>
      </c>
      <c r="H97" s="2" t="s">
        <v>420</v>
      </c>
      <c r="I97" s="2" t="s">
        <v>32</v>
      </c>
      <c r="J97" s="3">
        <v>44823</v>
      </c>
      <c r="K97" s="5">
        <f>YEAR(OrganizedData[[#This Row],[Order Date]])</f>
        <v>2022</v>
      </c>
      <c r="L97" s="7" t="str">
        <f>TEXT(OrganizedData[[#This Row],[Order Date]],"mmm")</f>
        <v>Sep</v>
      </c>
      <c r="M97" s="2">
        <v>81</v>
      </c>
      <c r="N97" s="2" t="s">
        <v>101</v>
      </c>
      <c r="O97" s="2" t="str">
        <f>VLOOKUP(OrganizedData[[#This Row],[Product Code]],ProductData[[Code]:[Item]],2,FALSE)</f>
        <v>Superwossname</v>
      </c>
      <c r="P97" s="4">
        <f>OrganizedData[[#This Row],[Quantity]]*VLOOKUP(OrganizedData[[#This Row],[Product Code]],ProductData[],4,FALSE)</f>
        <v>1620</v>
      </c>
      <c r="Q97" s="6">
        <f>OrganizedData[[#This Row],[Total Items Ordered]]*VLOOKUP(OrganizedData[[#This Row],[Product Code]],ProductData[],3,FALSE)</f>
        <v>5653.8</v>
      </c>
      <c r="R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5371.11</v>
      </c>
    </row>
    <row r="98" spans="1:18" x14ac:dyDescent="0.3">
      <c r="A98" s="2">
        <v>91</v>
      </c>
      <c r="B98" s="2" t="s">
        <v>421</v>
      </c>
      <c r="C98" s="2" t="s">
        <v>422</v>
      </c>
      <c r="D98" s="2" t="s">
        <v>51</v>
      </c>
      <c r="E98" s="2" t="s">
        <v>16</v>
      </c>
      <c r="F98" s="2">
        <v>60</v>
      </c>
      <c r="G98" s="2" t="s">
        <v>423</v>
      </c>
      <c r="H98" s="2" t="s">
        <v>424</v>
      </c>
      <c r="I98" s="2" t="s">
        <v>425</v>
      </c>
      <c r="J98" s="3">
        <v>44746</v>
      </c>
      <c r="K98" s="5">
        <f>YEAR(OrganizedData[[#This Row],[Order Date]])</f>
        <v>2022</v>
      </c>
      <c r="L98" s="7" t="str">
        <f>TEXT(OrganizedData[[#This Row],[Order Date]],"mmm")</f>
        <v>Jul</v>
      </c>
      <c r="M98" s="2">
        <v>50</v>
      </c>
      <c r="N98" s="2" t="s">
        <v>159</v>
      </c>
      <c r="O98" s="2" t="str">
        <f>VLOOKUP(OrganizedData[[#This Row],[Product Code]],ProductData[[Code]:[Item]],2,FALSE)</f>
        <v>Ultrathing V3</v>
      </c>
      <c r="P98" s="4">
        <f>OrganizedData[[#This Row],[Quantity]]*VLOOKUP(OrganizedData[[#This Row],[Product Code]],ProductData[],4,FALSE)</f>
        <v>1200</v>
      </c>
      <c r="Q98" s="6">
        <f>OrganizedData[[#This Row],[Total Items Ordered]]*VLOOKUP(OrganizedData[[#This Row],[Product Code]],ProductData[],3,FALSE)</f>
        <v>4068</v>
      </c>
      <c r="R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99" spans="1:18" x14ac:dyDescent="0.3">
      <c r="A99" s="2">
        <v>92</v>
      </c>
      <c r="B99" s="2" t="s">
        <v>426</v>
      </c>
      <c r="C99" s="2" t="s">
        <v>427</v>
      </c>
      <c r="D99" s="2" t="s">
        <v>15</v>
      </c>
      <c r="E99" s="2" t="s">
        <v>16</v>
      </c>
      <c r="F99" s="2">
        <v>30</v>
      </c>
      <c r="G99" s="2" t="s">
        <v>428</v>
      </c>
      <c r="H99" s="2" t="s">
        <v>429</v>
      </c>
      <c r="I99" s="2" t="s">
        <v>32</v>
      </c>
      <c r="J99" s="3">
        <v>44218</v>
      </c>
      <c r="K99" s="5">
        <f>YEAR(OrganizedData[[#This Row],[Order Date]])</f>
        <v>2021</v>
      </c>
      <c r="L99" s="7" t="str">
        <f>TEXT(OrganizedData[[#This Row],[Order Date]],"mmm")</f>
        <v>Jan</v>
      </c>
      <c r="M99" s="2">
        <v>38</v>
      </c>
      <c r="N99" s="2" t="s">
        <v>101</v>
      </c>
      <c r="O99" s="2" t="str">
        <f>VLOOKUP(OrganizedData[[#This Row],[Product Code]],ProductData[[Code]:[Item]],2,FALSE)</f>
        <v>Superwossname</v>
      </c>
      <c r="P99" s="4">
        <f>OrganizedData[[#This Row],[Quantity]]*VLOOKUP(OrganizedData[[#This Row],[Product Code]],ProductData[],4,FALSE)</f>
        <v>760</v>
      </c>
      <c r="Q99" s="6">
        <f>OrganizedData[[#This Row],[Total Items Ordered]]*VLOOKUP(OrganizedData[[#This Row],[Product Code]],ProductData[],3,FALSE)</f>
        <v>2652.4</v>
      </c>
      <c r="R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2572.828</v>
      </c>
    </row>
    <row r="100" spans="1:18" x14ac:dyDescent="0.3">
      <c r="A100" s="2">
        <v>93</v>
      </c>
      <c r="B100" s="2" t="s">
        <v>430</v>
      </c>
      <c r="C100" s="2" t="s">
        <v>232</v>
      </c>
      <c r="D100" s="2" t="s">
        <v>28</v>
      </c>
      <c r="E100" s="2" t="s">
        <v>29</v>
      </c>
      <c r="F100" s="2">
        <v>30</v>
      </c>
      <c r="G100" s="2" t="s">
        <v>431</v>
      </c>
      <c r="H100" s="2" t="s">
        <v>432</v>
      </c>
      <c r="I100" s="2" t="s">
        <v>32</v>
      </c>
      <c r="J100" s="3">
        <v>44616</v>
      </c>
      <c r="K100" s="5">
        <f>YEAR(OrganizedData[[#This Row],[Order Date]])</f>
        <v>2022</v>
      </c>
      <c r="L100" s="7" t="str">
        <f>TEXT(OrganizedData[[#This Row],[Order Date]],"mmm")</f>
        <v>Feb</v>
      </c>
      <c r="M100" s="2">
        <v>86</v>
      </c>
      <c r="N100" s="2" t="s">
        <v>101</v>
      </c>
      <c r="O100" s="2" t="str">
        <f>VLOOKUP(OrganizedData[[#This Row],[Product Code]],ProductData[[Code]:[Item]],2,FALSE)</f>
        <v>Superwossname</v>
      </c>
      <c r="P100" s="4">
        <f>OrganizedData[[#This Row],[Quantity]]*VLOOKUP(OrganizedData[[#This Row],[Product Code]],ProductData[],4,FALSE)</f>
        <v>1720</v>
      </c>
      <c r="Q100" s="6">
        <f>OrganizedData[[#This Row],[Total Items Ordered]]*VLOOKUP(OrganizedData[[#This Row],[Product Code]],ProductData[],3,FALSE)</f>
        <v>6002.8</v>
      </c>
      <c r="R1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5702.66</v>
      </c>
    </row>
    <row r="101" spans="1:18" x14ac:dyDescent="0.3">
      <c r="A101" s="2">
        <v>94</v>
      </c>
      <c r="B101" s="2" t="s">
        <v>433</v>
      </c>
      <c r="C101" s="2" t="s">
        <v>434</v>
      </c>
      <c r="D101" s="2" t="s">
        <v>28</v>
      </c>
      <c r="E101" s="2" t="s">
        <v>29</v>
      </c>
      <c r="F101" s="2">
        <v>30</v>
      </c>
      <c r="G101" s="2" t="s">
        <v>435</v>
      </c>
      <c r="H101" s="2" t="s">
        <v>436</v>
      </c>
      <c r="I101" s="2" t="s">
        <v>32</v>
      </c>
      <c r="J101" s="3">
        <v>44050</v>
      </c>
      <c r="K101" s="5">
        <f>YEAR(OrganizedData[[#This Row],[Order Date]])</f>
        <v>2020</v>
      </c>
      <c r="L101" s="7" t="str">
        <f>TEXT(OrganizedData[[#This Row],[Order Date]],"mmm")</f>
        <v>Aug</v>
      </c>
      <c r="M101" s="2">
        <v>56</v>
      </c>
      <c r="N101" s="2" t="s">
        <v>159</v>
      </c>
      <c r="O101" s="2" t="str">
        <f>VLOOKUP(OrganizedData[[#This Row],[Product Code]],ProductData[[Code]:[Item]],2,FALSE)</f>
        <v>Ultrathing V3</v>
      </c>
      <c r="P101" s="4">
        <f>OrganizedData[[#This Row],[Quantity]]*VLOOKUP(OrganizedData[[#This Row],[Product Code]],ProductData[],4,FALSE)</f>
        <v>1344</v>
      </c>
      <c r="Q101" s="6">
        <f>OrganizedData[[#This Row],[Total Items Ordered]]*VLOOKUP(OrganizedData[[#This Row],[Product Code]],ProductData[],3,FALSE)</f>
        <v>4556.16</v>
      </c>
      <c r="R1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4328.3519999999999</v>
      </c>
    </row>
    <row r="102" spans="1:18" x14ac:dyDescent="0.3">
      <c r="A102" s="2">
        <v>95</v>
      </c>
      <c r="B102" s="2" t="s">
        <v>437</v>
      </c>
      <c r="C102" s="2" t="s">
        <v>438</v>
      </c>
      <c r="D102" s="2" t="s">
        <v>15</v>
      </c>
      <c r="E102" s="2" t="s">
        <v>16</v>
      </c>
      <c r="F102" s="2">
        <v>90</v>
      </c>
      <c r="G102" s="2" t="s">
        <v>439</v>
      </c>
      <c r="H102" s="2" t="s">
        <v>440</v>
      </c>
      <c r="I102" s="2" t="s">
        <v>25</v>
      </c>
      <c r="J102" s="3">
        <v>44178</v>
      </c>
      <c r="K102" s="5">
        <f>YEAR(OrganizedData[[#This Row],[Order Date]])</f>
        <v>2020</v>
      </c>
      <c r="L102" s="7" t="str">
        <f>TEXT(OrganizedData[[#This Row],[Order Date]],"mmm")</f>
        <v>Dec</v>
      </c>
      <c r="M102" s="2">
        <v>85</v>
      </c>
      <c r="N102" s="2" t="s">
        <v>64</v>
      </c>
      <c r="O102" s="2" t="str">
        <f>VLOOKUP(OrganizedData[[#This Row],[Product Code]],ProductData[[Code]:[Item]],2,FALSE)</f>
        <v>Ultrathing V4</v>
      </c>
      <c r="P102" s="4">
        <f>OrganizedData[[#This Row],[Quantity]]*VLOOKUP(OrganizedData[[#This Row],[Product Code]],ProductData[],4,FALSE)</f>
        <v>2040</v>
      </c>
      <c r="Q102" s="6">
        <f>OrganizedData[[#This Row],[Total Items Ordered]]*VLOOKUP(OrganizedData[[#This Row],[Product Code]],ProductData[],3,FALSE)</f>
        <v>8139.6</v>
      </c>
      <c r="R1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7732.62</v>
      </c>
    </row>
    <row r="103" spans="1:18" x14ac:dyDescent="0.3">
      <c r="A103" s="2">
        <v>96</v>
      </c>
      <c r="B103" s="2" t="s">
        <v>68</v>
      </c>
      <c r="C103" s="2" t="s">
        <v>441</v>
      </c>
      <c r="D103" s="2" t="s">
        <v>51</v>
      </c>
      <c r="E103" s="2" t="s">
        <v>16</v>
      </c>
      <c r="F103" s="2">
        <v>30</v>
      </c>
      <c r="G103" s="2" t="s">
        <v>442</v>
      </c>
      <c r="H103" s="2" t="s">
        <v>443</v>
      </c>
      <c r="I103" s="2" t="s">
        <v>294</v>
      </c>
      <c r="J103" s="3">
        <v>44891</v>
      </c>
      <c r="K103" s="5">
        <f>YEAR(OrganizedData[[#This Row],[Order Date]])</f>
        <v>2022</v>
      </c>
      <c r="L103" s="7" t="str">
        <f>TEXT(OrganizedData[[#This Row],[Order Date]],"mmm")</f>
        <v>Nov</v>
      </c>
      <c r="M103" s="2">
        <v>9</v>
      </c>
      <c r="N103" s="2" t="s">
        <v>39</v>
      </c>
      <c r="O103" s="2" t="str">
        <f>VLOOKUP(OrganizedData[[#This Row],[Product Code]],ProductData[[Code]:[Item]],2,FALSE)</f>
        <v>Ultrathing V1</v>
      </c>
      <c r="P103" s="4">
        <f>OrganizedData[[#This Row],[Quantity]]*VLOOKUP(OrganizedData[[#This Row],[Product Code]],ProductData[],4,FALSE)</f>
        <v>153</v>
      </c>
      <c r="Q103" s="6">
        <f>OrganizedData[[#This Row],[Total Items Ordered]]*VLOOKUP(OrganizedData[[#This Row],[Product Code]],ProductData[],3,FALSE)</f>
        <v>273.87</v>
      </c>
      <c r="R1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104" spans="1:18" x14ac:dyDescent="0.3">
      <c r="A104" s="2">
        <v>97</v>
      </c>
      <c r="B104" s="2" t="s">
        <v>444</v>
      </c>
      <c r="C104" s="2" t="s">
        <v>445</v>
      </c>
      <c r="D104" s="2" t="s">
        <v>51</v>
      </c>
      <c r="E104" s="2" t="s">
        <v>16</v>
      </c>
      <c r="F104" s="2">
        <v>90</v>
      </c>
      <c r="G104" s="2" t="s">
        <v>446</v>
      </c>
      <c r="H104" s="2" t="s">
        <v>447</v>
      </c>
      <c r="I104" s="2" t="s">
        <v>32</v>
      </c>
      <c r="J104" s="3">
        <v>44703</v>
      </c>
      <c r="K104" s="5">
        <f>YEAR(OrganizedData[[#This Row],[Order Date]])</f>
        <v>2022</v>
      </c>
      <c r="L104" s="7" t="str">
        <f>TEXT(OrganizedData[[#This Row],[Order Date]],"mmm")</f>
        <v>May</v>
      </c>
      <c r="M104" s="2">
        <v>83</v>
      </c>
      <c r="N104" s="2" t="s">
        <v>45</v>
      </c>
      <c r="O104" s="2" t="str">
        <f>VLOOKUP(OrganizedData[[#This Row],[Product Code]],ProductData[[Code]:[Item]],2,FALSE)</f>
        <v>Gigastuff</v>
      </c>
      <c r="P104" s="4">
        <f>OrganizedData[[#This Row],[Quantity]]*VLOOKUP(OrganizedData[[#This Row],[Product Code]],ProductData[],4,FALSE)</f>
        <v>1494</v>
      </c>
      <c r="Q104" s="6">
        <f>OrganizedData[[#This Row],[Total Items Ordered]]*VLOOKUP(OrganizedData[[#This Row],[Product Code]],ProductData[],3,FALSE)</f>
        <v>2823.66</v>
      </c>
      <c r="R1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2682.4769999999999</v>
      </c>
    </row>
    <row r="105" spans="1:18" x14ac:dyDescent="0.3">
      <c r="A105" s="2">
        <v>98</v>
      </c>
      <c r="B105" s="2" t="s">
        <v>448</v>
      </c>
      <c r="C105" s="2" t="s">
        <v>449</v>
      </c>
      <c r="D105" s="2" t="s">
        <v>15</v>
      </c>
      <c r="E105" s="2" t="s">
        <v>16</v>
      </c>
      <c r="F105" s="2">
        <v>60</v>
      </c>
      <c r="G105" s="2" t="s">
        <v>450</v>
      </c>
      <c r="H105" s="2" t="s">
        <v>451</v>
      </c>
      <c r="I105" s="2" t="s">
        <v>294</v>
      </c>
      <c r="J105" s="3">
        <v>44784</v>
      </c>
      <c r="K105" s="5">
        <f>YEAR(OrganizedData[[#This Row],[Order Date]])</f>
        <v>2022</v>
      </c>
      <c r="L105" s="7" t="str">
        <f>TEXT(OrganizedData[[#This Row],[Order Date]],"mmm")</f>
        <v>Aug</v>
      </c>
      <c r="M105" s="2">
        <v>49</v>
      </c>
      <c r="N105" s="2" t="s">
        <v>70</v>
      </c>
      <c r="O105" s="2" t="str">
        <f>VLOOKUP(OrganizedData[[#This Row],[Product Code]],ProductData[[Code]:[Item]],2,FALSE)</f>
        <v>Megawidget M</v>
      </c>
      <c r="P105" s="4">
        <f>OrganizedData[[#This Row],[Quantity]]*VLOOKUP(OrganizedData[[#This Row],[Product Code]],ProductData[],4,FALSE)</f>
        <v>1176</v>
      </c>
      <c r="Q105" s="6">
        <f>OrganizedData[[#This Row],[Total Items Ordered]]*VLOOKUP(OrganizedData[[#This Row],[Product Code]],ProductData[],3,FALSE)</f>
        <v>1517.04</v>
      </c>
      <c r="R1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106" spans="1:18" x14ac:dyDescent="0.3">
      <c r="A106" s="2">
        <v>99</v>
      </c>
      <c r="B106" s="2" t="s">
        <v>452</v>
      </c>
      <c r="C106" s="2" t="s">
        <v>453</v>
      </c>
      <c r="D106" s="2" t="s">
        <v>28</v>
      </c>
      <c r="E106" s="2" t="s">
        <v>29</v>
      </c>
      <c r="F106" s="2">
        <v>30</v>
      </c>
      <c r="G106" s="2" t="s">
        <v>454</v>
      </c>
      <c r="H106" s="2" t="s">
        <v>455</v>
      </c>
      <c r="I106" s="2" t="s">
        <v>187</v>
      </c>
      <c r="J106" s="3">
        <v>44243</v>
      </c>
      <c r="K106" s="5">
        <f>YEAR(OrganizedData[[#This Row],[Order Date]])</f>
        <v>2021</v>
      </c>
      <c r="L106" s="7" t="str">
        <f>TEXT(OrganizedData[[#This Row],[Order Date]],"mmm")</f>
        <v>Feb</v>
      </c>
      <c r="M106" s="2">
        <v>77</v>
      </c>
      <c r="N106" s="2" t="s">
        <v>33</v>
      </c>
      <c r="O106" s="2" t="str">
        <f>VLOOKUP(OrganizedData[[#This Row],[Product Code]],ProductData[[Code]:[Item]],2,FALSE)</f>
        <v>Megawidget L</v>
      </c>
      <c r="P106" s="4">
        <f>OrganizedData[[#This Row],[Quantity]]*VLOOKUP(OrganizedData[[#This Row],[Product Code]],ProductData[],4,FALSE)</f>
        <v>1848</v>
      </c>
      <c r="Q106" s="6">
        <f>OrganizedData[[#This Row],[Total Items Ordered]]*VLOOKUP(OrganizedData[[#This Row],[Product Code]],ProductData[],3,FALSE)</f>
        <v>3307.92</v>
      </c>
      <c r="R1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3142.5239999999999</v>
      </c>
    </row>
    <row r="107" spans="1:18" x14ac:dyDescent="0.3">
      <c r="A107" s="2">
        <v>100</v>
      </c>
      <c r="B107" s="2" t="s">
        <v>456</v>
      </c>
      <c r="C107" s="2" t="s">
        <v>457</v>
      </c>
      <c r="D107" s="2" t="s">
        <v>15</v>
      </c>
      <c r="E107" s="2" t="s">
        <v>16</v>
      </c>
      <c r="F107" s="2">
        <v>90</v>
      </c>
      <c r="G107" s="2" t="s">
        <v>454</v>
      </c>
      <c r="H107" s="2" t="s">
        <v>458</v>
      </c>
      <c r="I107" s="2" t="s">
        <v>294</v>
      </c>
      <c r="J107" s="3">
        <v>44755</v>
      </c>
      <c r="K107" s="5">
        <f>YEAR(OrganizedData[[#This Row],[Order Date]])</f>
        <v>2022</v>
      </c>
      <c r="L107" s="7" t="str">
        <f>TEXT(OrganizedData[[#This Row],[Order Date]],"mmm")</f>
        <v>Jul</v>
      </c>
      <c r="M107" s="2">
        <v>29</v>
      </c>
      <c r="N107" s="2" t="s">
        <v>70</v>
      </c>
      <c r="O107" s="2" t="str">
        <f>VLOOKUP(OrganizedData[[#This Row],[Product Code]],ProductData[[Code]:[Item]],2,FALSE)</f>
        <v>Megawidget M</v>
      </c>
      <c r="P107" s="4">
        <f>OrganizedData[[#This Row],[Quantity]]*VLOOKUP(OrganizedData[[#This Row],[Product Code]],ProductData[],4,FALSE)</f>
        <v>696</v>
      </c>
      <c r="Q107" s="6">
        <f>OrganizedData[[#This Row],[Total Items Ordered]]*VLOOKUP(OrganizedData[[#This Row],[Product Code]],ProductData[],3,FALSE)</f>
        <v>897.84</v>
      </c>
      <c r="R1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870.90480000000002</v>
      </c>
    </row>
    <row r="108" spans="1:18" x14ac:dyDescent="0.3">
      <c r="A108" s="2">
        <v>101</v>
      </c>
      <c r="B108" s="2" t="s">
        <v>459</v>
      </c>
      <c r="C108" s="2" t="s">
        <v>460</v>
      </c>
      <c r="D108" s="2" t="s">
        <v>51</v>
      </c>
      <c r="E108" s="2" t="s">
        <v>16</v>
      </c>
      <c r="F108" s="2">
        <v>30</v>
      </c>
      <c r="G108" s="2" t="s">
        <v>461</v>
      </c>
      <c r="H108" s="2" t="s">
        <v>462</v>
      </c>
      <c r="I108" s="2" t="s">
        <v>32</v>
      </c>
      <c r="J108" s="3">
        <v>44636</v>
      </c>
      <c r="K108" s="5">
        <f>YEAR(OrganizedData[[#This Row],[Order Date]])</f>
        <v>2022</v>
      </c>
      <c r="L108" s="7" t="str">
        <f>TEXT(OrganizedData[[#This Row],[Order Date]],"mmm")</f>
        <v>Mar</v>
      </c>
      <c r="M108" s="2">
        <v>93</v>
      </c>
      <c r="N108" s="2" t="s">
        <v>70</v>
      </c>
      <c r="O108" s="2" t="str">
        <f>VLOOKUP(OrganizedData[[#This Row],[Product Code]],ProductData[[Code]:[Item]],2,FALSE)</f>
        <v>Megawidget M</v>
      </c>
      <c r="P108" s="4">
        <f>OrganizedData[[#This Row],[Quantity]]*VLOOKUP(OrganizedData[[#This Row],[Product Code]],ProductData[],4,FALSE)</f>
        <v>2232</v>
      </c>
      <c r="Q108" s="6">
        <f>OrganizedData[[#This Row],[Total Items Ordered]]*VLOOKUP(OrganizedData[[#This Row],[Product Code]],ProductData[],3,FALSE)</f>
        <v>2879.28</v>
      </c>
      <c r="R1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2735.3160000000003</v>
      </c>
    </row>
    <row r="109" spans="1:18" x14ac:dyDescent="0.3">
      <c r="A109" s="2">
        <v>102</v>
      </c>
      <c r="B109" s="2" t="s">
        <v>463</v>
      </c>
      <c r="C109" s="2" t="s">
        <v>464</v>
      </c>
      <c r="D109" s="2" t="s">
        <v>15</v>
      </c>
      <c r="E109" s="2" t="s">
        <v>16</v>
      </c>
      <c r="F109" s="2">
        <v>60</v>
      </c>
      <c r="G109" s="2" t="s">
        <v>465</v>
      </c>
      <c r="H109" s="2" t="s">
        <v>466</v>
      </c>
      <c r="I109" s="2" t="s">
        <v>187</v>
      </c>
      <c r="J109" s="3">
        <v>44153</v>
      </c>
      <c r="K109" s="5">
        <f>YEAR(OrganizedData[[#This Row],[Order Date]])</f>
        <v>2020</v>
      </c>
      <c r="L109" s="7" t="str">
        <f>TEXT(OrganizedData[[#This Row],[Order Date]],"mmm")</f>
        <v>Nov</v>
      </c>
      <c r="M109" s="2">
        <v>79</v>
      </c>
      <c r="N109" s="2" t="s">
        <v>64</v>
      </c>
      <c r="O109" s="2" t="str">
        <f>VLOOKUP(OrganizedData[[#This Row],[Product Code]],ProductData[[Code]:[Item]],2,FALSE)</f>
        <v>Ultrathing V4</v>
      </c>
      <c r="P109" s="4">
        <f>OrganizedData[[#This Row],[Quantity]]*VLOOKUP(OrganizedData[[#This Row],[Product Code]],ProductData[],4,FALSE)</f>
        <v>1896</v>
      </c>
      <c r="Q109" s="6">
        <f>OrganizedData[[#This Row],[Total Items Ordered]]*VLOOKUP(OrganizedData[[#This Row],[Product Code]],ProductData[],3,FALSE)</f>
        <v>7565.04</v>
      </c>
      <c r="R1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110" spans="1:18" x14ac:dyDescent="0.3">
      <c r="A110" s="2">
        <v>103</v>
      </c>
      <c r="B110" s="2" t="s">
        <v>467</v>
      </c>
      <c r="C110" s="2" t="s">
        <v>468</v>
      </c>
      <c r="D110" s="2" t="s">
        <v>51</v>
      </c>
      <c r="E110" s="2" t="s">
        <v>16</v>
      </c>
      <c r="F110" s="2">
        <v>60</v>
      </c>
      <c r="G110" s="2" t="s">
        <v>469</v>
      </c>
      <c r="H110" s="2" t="s">
        <v>470</v>
      </c>
      <c r="I110" s="2" t="s">
        <v>32</v>
      </c>
      <c r="J110" s="3">
        <v>44400</v>
      </c>
      <c r="K110" s="5">
        <f>YEAR(OrganizedData[[#This Row],[Order Date]])</f>
        <v>2021</v>
      </c>
      <c r="L110" s="7" t="str">
        <f>TEXT(OrganizedData[[#This Row],[Order Date]],"mmm")</f>
        <v>Jul</v>
      </c>
      <c r="M110" s="2">
        <v>87</v>
      </c>
      <c r="N110" s="2" t="s">
        <v>45</v>
      </c>
      <c r="O110" s="2" t="str">
        <f>VLOOKUP(OrganizedData[[#This Row],[Product Code]],ProductData[[Code]:[Item]],2,FALSE)</f>
        <v>Gigastuff</v>
      </c>
      <c r="P110" s="4">
        <f>OrganizedData[[#This Row],[Quantity]]*VLOOKUP(OrganizedData[[#This Row],[Product Code]],ProductData[],4,FALSE)</f>
        <v>1566</v>
      </c>
      <c r="Q110" s="6">
        <f>OrganizedData[[#This Row],[Total Items Ordered]]*VLOOKUP(OrganizedData[[#This Row],[Product Code]],ProductData[],3,FALSE)</f>
        <v>2959.74</v>
      </c>
      <c r="R1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2811.7529999999997</v>
      </c>
    </row>
    <row r="111" spans="1:18" x14ac:dyDescent="0.3">
      <c r="A111" s="2">
        <v>104</v>
      </c>
      <c r="B111" s="2" t="s">
        <v>471</v>
      </c>
      <c r="C111" s="2" t="s">
        <v>472</v>
      </c>
      <c r="D111" s="2" t="s">
        <v>28</v>
      </c>
      <c r="E111" s="2" t="s">
        <v>29</v>
      </c>
      <c r="F111" s="2">
        <v>30</v>
      </c>
      <c r="G111" s="2" t="s">
        <v>473</v>
      </c>
      <c r="H111" s="2" t="s">
        <v>474</v>
      </c>
      <c r="I111" s="2" t="s">
        <v>475</v>
      </c>
      <c r="J111" s="3">
        <v>44622</v>
      </c>
      <c r="K111" s="5">
        <f>YEAR(OrganizedData[[#This Row],[Order Date]])</f>
        <v>2022</v>
      </c>
      <c r="L111" s="7" t="str">
        <f>TEXT(OrganizedData[[#This Row],[Order Date]],"mmm")</f>
        <v>Mar</v>
      </c>
      <c r="M111" s="2">
        <v>67</v>
      </c>
      <c r="N111" s="2" t="s">
        <v>39</v>
      </c>
      <c r="O111" s="2" t="str">
        <f>VLOOKUP(OrganizedData[[#This Row],[Product Code]],ProductData[[Code]:[Item]],2,FALSE)</f>
        <v>Ultrathing V1</v>
      </c>
      <c r="P111" s="4">
        <f>OrganizedData[[#This Row],[Quantity]]*VLOOKUP(OrganizedData[[#This Row],[Product Code]],ProductData[],4,FALSE)</f>
        <v>1139</v>
      </c>
      <c r="Q111" s="6">
        <f>OrganizedData[[#This Row],[Total Items Ordered]]*VLOOKUP(OrganizedData[[#This Row],[Product Code]],ProductData[],3,FALSE)</f>
        <v>2038.81</v>
      </c>
      <c r="R1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1936.8694999999998</v>
      </c>
    </row>
    <row r="112" spans="1:18" x14ac:dyDescent="0.3">
      <c r="A112" s="2">
        <v>105</v>
      </c>
      <c r="B112" s="2" t="s">
        <v>476</v>
      </c>
      <c r="C112" s="2" t="s">
        <v>477</v>
      </c>
      <c r="D112" s="2" t="s">
        <v>28</v>
      </c>
      <c r="E112" s="2" t="s">
        <v>29</v>
      </c>
      <c r="F112" s="2">
        <v>60</v>
      </c>
      <c r="G112" s="2" t="s">
        <v>478</v>
      </c>
      <c r="H112" s="2" t="s">
        <v>479</v>
      </c>
      <c r="I112" s="2" t="s">
        <v>303</v>
      </c>
      <c r="J112" s="3">
        <v>44274</v>
      </c>
      <c r="K112" s="5">
        <f>YEAR(OrganizedData[[#This Row],[Order Date]])</f>
        <v>2021</v>
      </c>
      <c r="L112" s="7" t="str">
        <f>TEXT(OrganizedData[[#This Row],[Order Date]],"mmm")</f>
        <v>Mar</v>
      </c>
      <c r="M112" s="2">
        <v>54</v>
      </c>
      <c r="N112" s="2" t="s">
        <v>64</v>
      </c>
      <c r="O112" s="2" t="str">
        <f>VLOOKUP(OrganizedData[[#This Row],[Product Code]],ProductData[[Code]:[Item]],2,FALSE)</f>
        <v>Ultrathing V4</v>
      </c>
      <c r="P112" s="4">
        <f>OrganizedData[[#This Row],[Quantity]]*VLOOKUP(OrganizedData[[#This Row],[Product Code]],ProductData[],4,FALSE)</f>
        <v>1296</v>
      </c>
      <c r="Q112" s="6">
        <f>OrganizedData[[#This Row],[Total Items Ordered]]*VLOOKUP(OrganizedData[[#This Row],[Product Code]],ProductData[],3,FALSE)</f>
        <v>5171.04</v>
      </c>
      <c r="R1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113" spans="1:18" x14ac:dyDescent="0.3">
      <c r="A113" s="2">
        <v>106</v>
      </c>
      <c r="B113" s="2" t="s">
        <v>480</v>
      </c>
      <c r="C113" s="2" t="s">
        <v>481</v>
      </c>
      <c r="D113" s="2" t="s">
        <v>51</v>
      </c>
      <c r="E113" s="2" t="s">
        <v>16</v>
      </c>
      <c r="F113" s="2">
        <v>60</v>
      </c>
      <c r="G113" s="2" t="s">
        <v>482</v>
      </c>
      <c r="H113" s="2" t="s">
        <v>483</v>
      </c>
      <c r="I113" s="2" t="s">
        <v>32</v>
      </c>
      <c r="J113" s="3">
        <v>43834</v>
      </c>
      <c r="K113" s="5">
        <f>YEAR(OrganizedData[[#This Row],[Order Date]])</f>
        <v>2020</v>
      </c>
      <c r="L113" s="7" t="str">
        <f>TEXT(OrganizedData[[#This Row],[Order Date]],"mmm")</f>
        <v>Jan</v>
      </c>
      <c r="M113" s="2">
        <v>64</v>
      </c>
      <c r="N113" s="2" t="s">
        <v>39</v>
      </c>
      <c r="O113" s="2" t="str">
        <f>VLOOKUP(OrganizedData[[#This Row],[Product Code]],ProductData[[Code]:[Item]],2,FALSE)</f>
        <v>Ultrathing V1</v>
      </c>
      <c r="P113" s="4">
        <f>OrganizedData[[#This Row],[Quantity]]*VLOOKUP(OrganizedData[[#This Row],[Product Code]],ProductData[],4,FALSE)</f>
        <v>1088</v>
      </c>
      <c r="Q113" s="6">
        <f>OrganizedData[[#This Row],[Total Items Ordered]]*VLOOKUP(OrganizedData[[#This Row],[Product Code]],ProductData[],3,FALSE)</f>
        <v>1947.52</v>
      </c>
      <c r="R1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1850.144</v>
      </c>
    </row>
    <row r="114" spans="1:18" x14ac:dyDescent="0.3">
      <c r="A114" s="2">
        <v>107</v>
      </c>
      <c r="B114" s="2" t="s">
        <v>484</v>
      </c>
      <c r="C114" s="2" t="s">
        <v>485</v>
      </c>
      <c r="D114" s="2" t="s">
        <v>28</v>
      </c>
      <c r="E114" s="2" t="s">
        <v>29</v>
      </c>
      <c r="F114" s="2">
        <v>30</v>
      </c>
      <c r="G114" s="2" t="s">
        <v>486</v>
      </c>
      <c r="H114" s="2" t="s">
        <v>487</v>
      </c>
      <c r="I114" s="2" t="s">
        <v>32</v>
      </c>
      <c r="J114" s="3">
        <v>43896</v>
      </c>
      <c r="K114" s="5">
        <f>YEAR(OrganizedData[[#This Row],[Order Date]])</f>
        <v>2020</v>
      </c>
      <c r="L114" s="7" t="str">
        <f>TEXT(OrganizedData[[#This Row],[Order Date]],"mmm")</f>
        <v>Mar</v>
      </c>
      <c r="M114" s="2">
        <v>37</v>
      </c>
      <c r="N114" s="2" t="s">
        <v>101</v>
      </c>
      <c r="O114" s="2" t="str">
        <f>VLOOKUP(OrganizedData[[#This Row],[Product Code]],ProductData[[Code]:[Item]],2,FALSE)</f>
        <v>Superwossname</v>
      </c>
      <c r="P114" s="4">
        <f>OrganizedData[[#This Row],[Quantity]]*VLOOKUP(OrganizedData[[#This Row],[Product Code]],ProductData[],4,FALSE)</f>
        <v>740</v>
      </c>
      <c r="Q114" s="6">
        <f>OrganizedData[[#This Row],[Total Items Ordered]]*VLOOKUP(OrganizedData[[#This Row],[Product Code]],ProductData[],3,FALSE)</f>
        <v>2582.6000000000004</v>
      </c>
      <c r="R1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115" spans="1:18" x14ac:dyDescent="0.3">
      <c r="A115" s="2">
        <v>108</v>
      </c>
      <c r="B115" s="2" t="s">
        <v>488</v>
      </c>
      <c r="C115" s="2" t="s">
        <v>489</v>
      </c>
      <c r="D115" s="2" t="s">
        <v>51</v>
      </c>
      <c r="E115" s="2" t="s">
        <v>16</v>
      </c>
      <c r="F115" s="2">
        <v>90</v>
      </c>
      <c r="G115" s="2" t="s">
        <v>490</v>
      </c>
      <c r="H115" s="2" t="s">
        <v>491</v>
      </c>
      <c r="I115" s="2" t="s">
        <v>32</v>
      </c>
      <c r="J115" s="3">
        <v>43944</v>
      </c>
      <c r="K115" s="5">
        <f>YEAR(OrganizedData[[#This Row],[Order Date]])</f>
        <v>2020</v>
      </c>
      <c r="L115" s="7" t="str">
        <f>TEXT(OrganizedData[[#This Row],[Order Date]],"mmm")</f>
        <v>Apr</v>
      </c>
      <c r="M115" s="2">
        <v>78</v>
      </c>
      <c r="N115" s="2" t="s">
        <v>33</v>
      </c>
      <c r="O115" s="2" t="str">
        <f>VLOOKUP(OrganizedData[[#This Row],[Product Code]],ProductData[[Code]:[Item]],2,FALSE)</f>
        <v>Megawidget L</v>
      </c>
      <c r="P115" s="4">
        <f>OrganizedData[[#This Row],[Quantity]]*VLOOKUP(OrganizedData[[#This Row],[Product Code]],ProductData[],4,FALSE)</f>
        <v>1872</v>
      </c>
      <c r="Q115" s="6">
        <f>OrganizedData[[#This Row],[Total Items Ordered]]*VLOOKUP(OrganizedData[[#This Row],[Product Code]],ProductData[],3,FALSE)</f>
        <v>3350.88</v>
      </c>
      <c r="R1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3183.3359999999998</v>
      </c>
    </row>
    <row r="116" spans="1:18" x14ac:dyDescent="0.3">
      <c r="A116" s="2">
        <v>109</v>
      </c>
      <c r="B116" s="2" t="s">
        <v>492</v>
      </c>
      <c r="C116" s="2" t="s">
        <v>493</v>
      </c>
      <c r="D116" s="2" t="s">
        <v>51</v>
      </c>
      <c r="E116" s="2" t="s">
        <v>16</v>
      </c>
      <c r="F116" s="2">
        <v>90</v>
      </c>
      <c r="G116" s="2" t="s">
        <v>494</v>
      </c>
      <c r="H116" s="2" t="s">
        <v>495</v>
      </c>
      <c r="I116" s="2" t="s">
        <v>173</v>
      </c>
      <c r="J116" s="3">
        <v>44699</v>
      </c>
      <c r="K116" s="5">
        <f>YEAR(OrganizedData[[#This Row],[Order Date]])</f>
        <v>2022</v>
      </c>
      <c r="L116" s="7" t="str">
        <f>TEXT(OrganizedData[[#This Row],[Order Date]],"mmm")</f>
        <v>May</v>
      </c>
      <c r="M116" s="2">
        <v>60</v>
      </c>
      <c r="N116" s="2" t="s">
        <v>159</v>
      </c>
      <c r="O116" s="2" t="str">
        <f>VLOOKUP(OrganizedData[[#This Row],[Product Code]],ProductData[[Code]:[Item]],2,FALSE)</f>
        <v>Ultrathing V3</v>
      </c>
      <c r="P116" s="4">
        <f>OrganizedData[[#This Row],[Quantity]]*VLOOKUP(OrganizedData[[#This Row],[Product Code]],ProductData[],4,FALSE)</f>
        <v>1440</v>
      </c>
      <c r="Q116" s="6">
        <f>OrganizedData[[#This Row],[Total Items Ordered]]*VLOOKUP(OrganizedData[[#This Row],[Product Code]],ProductData[],3,FALSE)</f>
        <v>4881.6000000000004</v>
      </c>
      <c r="R1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4637.5200000000004</v>
      </c>
    </row>
    <row r="117" spans="1:18" x14ac:dyDescent="0.3">
      <c r="A117" s="2">
        <v>110</v>
      </c>
      <c r="B117" s="2" t="s">
        <v>496</v>
      </c>
      <c r="C117" s="2" t="s">
        <v>290</v>
      </c>
      <c r="D117" s="2" t="s">
        <v>28</v>
      </c>
      <c r="E117" s="2" t="s">
        <v>29</v>
      </c>
      <c r="F117" s="2">
        <v>90</v>
      </c>
      <c r="G117" s="2" t="s">
        <v>497</v>
      </c>
      <c r="H117" s="2" t="s">
        <v>498</v>
      </c>
      <c r="I117" s="2" t="s">
        <v>32</v>
      </c>
      <c r="J117" s="3">
        <v>44235</v>
      </c>
      <c r="K117" s="5">
        <f>YEAR(OrganizedData[[#This Row],[Order Date]])</f>
        <v>2021</v>
      </c>
      <c r="L117" s="7" t="str">
        <f>TEXT(OrganizedData[[#This Row],[Order Date]],"mmm")</f>
        <v>Feb</v>
      </c>
      <c r="M117" s="2">
        <v>58</v>
      </c>
      <c r="N117" s="2" t="s">
        <v>54</v>
      </c>
      <c r="O117" s="2" t="str">
        <f>VLOOKUP(OrganizedData[[#This Row],[Product Code]],ProductData[[Code]:[Item]],2,FALSE)</f>
        <v>Megawidget S</v>
      </c>
      <c r="P117" s="4">
        <f>OrganizedData[[#This Row],[Quantity]]*VLOOKUP(OrganizedData[[#This Row],[Product Code]],ProductData[],4,FALSE)</f>
        <v>1392</v>
      </c>
      <c r="Q117" s="6">
        <f>OrganizedData[[#This Row],[Total Items Ordered]]*VLOOKUP(OrganizedData[[#This Row],[Product Code]],ProductData[],3,FALSE)</f>
        <v>960.4799999999999</v>
      </c>
      <c r="R1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118" spans="1:18" x14ac:dyDescent="0.3">
      <c r="A118" s="2">
        <v>111</v>
      </c>
      <c r="B118" s="2" t="s">
        <v>499</v>
      </c>
      <c r="C118" s="2" t="s">
        <v>500</v>
      </c>
      <c r="D118" s="2" t="s">
        <v>51</v>
      </c>
      <c r="E118" s="2" t="s">
        <v>16</v>
      </c>
      <c r="F118" s="2">
        <v>90</v>
      </c>
      <c r="G118" s="2" t="s">
        <v>501</v>
      </c>
      <c r="H118" s="2" t="s">
        <v>502</v>
      </c>
      <c r="I118" s="2" t="s">
        <v>294</v>
      </c>
      <c r="J118" s="3">
        <v>44604</v>
      </c>
      <c r="K118" s="5">
        <f>YEAR(OrganizedData[[#This Row],[Order Date]])</f>
        <v>2022</v>
      </c>
      <c r="L118" s="7" t="str">
        <f>TEXT(OrganizedData[[#This Row],[Order Date]],"mmm")</f>
        <v>Feb</v>
      </c>
      <c r="M118" s="2">
        <v>10</v>
      </c>
      <c r="N118" s="2" t="s">
        <v>54</v>
      </c>
      <c r="O118" s="2" t="str">
        <f>VLOOKUP(OrganizedData[[#This Row],[Product Code]],ProductData[[Code]:[Item]],2,FALSE)</f>
        <v>Megawidget S</v>
      </c>
      <c r="P118" s="4">
        <f>OrganizedData[[#This Row],[Quantity]]*VLOOKUP(OrganizedData[[#This Row],[Product Code]],ProductData[],4,FALSE)</f>
        <v>240</v>
      </c>
      <c r="Q118" s="6">
        <f>OrganizedData[[#This Row],[Total Items Ordered]]*VLOOKUP(OrganizedData[[#This Row],[Product Code]],ProductData[],3,FALSE)</f>
        <v>165.6</v>
      </c>
      <c r="R1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165.6</v>
      </c>
    </row>
    <row r="119" spans="1:18" x14ac:dyDescent="0.3">
      <c r="A119" s="2">
        <v>112</v>
      </c>
      <c r="B119" s="2" t="s">
        <v>503</v>
      </c>
      <c r="C119" s="2" t="s">
        <v>504</v>
      </c>
      <c r="D119" s="2" t="s">
        <v>28</v>
      </c>
      <c r="E119" s="2" t="s">
        <v>29</v>
      </c>
      <c r="F119" s="2">
        <v>30</v>
      </c>
      <c r="G119" s="2" t="s">
        <v>505</v>
      </c>
      <c r="H119" s="2" t="s">
        <v>506</v>
      </c>
      <c r="I119" s="2" t="s">
        <v>32</v>
      </c>
      <c r="J119" s="3">
        <v>44494</v>
      </c>
      <c r="K119" s="5">
        <f>YEAR(OrganizedData[[#This Row],[Order Date]])</f>
        <v>2021</v>
      </c>
      <c r="L119" s="7" t="str">
        <f>TEXT(OrganizedData[[#This Row],[Order Date]],"mmm")</f>
        <v>Oct</v>
      </c>
      <c r="M119" s="2">
        <v>70</v>
      </c>
      <c r="N119" s="2" t="s">
        <v>64</v>
      </c>
      <c r="O119" s="2" t="str">
        <f>VLOOKUP(OrganizedData[[#This Row],[Product Code]],ProductData[[Code]:[Item]],2,FALSE)</f>
        <v>Ultrathing V4</v>
      </c>
      <c r="P119" s="4">
        <f>OrganizedData[[#This Row],[Quantity]]*VLOOKUP(OrganizedData[[#This Row],[Product Code]],ProductData[],4,FALSE)</f>
        <v>1680</v>
      </c>
      <c r="Q119" s="6">
        <f>OrganizedData[[#This Row],[Total Items Ordered]]*VLOOKUP(OrganizedData[[#This Row],[Product Code]],ProductData[],3,FALSE)</f>
        <v>6703.2000000000007</v>
      </c>
      <c r="R1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6368.04</v>
      </c>
    </row>
    <row r="120" spans="1:18" x14ac:dyDescent="0.3">
      <c r="A120" s="2">
        <v>113</v>
      </c>
      <c r="B120" s="2" t="s">
        <v>507</v>
      </c>
      <c r="C120" s="2" t="s">
        <v>508</v>
      </c>
      <c r="D120" s="2" t="s">
        <v>28</v>
      </c>
      <c r="E120" s="2" t="s">
        <v>29</v>
      </c>
      <c r="F120" s="2">
        <v>30</v>
      </c>
      <c r="G120" s="2" t="s">
        <v>509</v>
      </c>
      <c r="H120" s="2" t="s">
        <v>510</v>
      </c>
      <c r="I120" s="2" t="s">
        <v>32</v>
      </c>
      <c r="J120" s="3">
        <v>44273</v>
      </c>
      <c r="K120" s="5">
        <f>YEAR(OrganizedData[[#This Row],[Order Date]])</f>
        <v>2021</v>
      </c>
      <c r="L120" s="7" t="str">
        <f>TEXT(OrganizedData[[#This Row],[Order Date]],"mmm")</f>
        <v>Mar</v>
      </c>
      <c r="M120" s="2">
        <v>73</v>
      </c>
      <c r="N120" s="2" t="s">
        <v>54</v>
      </c>
      <c r="O120" s="2" t="str">
        <f>VLOOKUP(OrganizedData[[#This Row],[Product Code]],ProductData[[Code]:[Item]],2,FALSE)</f>
        <v>Megawidget S</v>
      </c>
      <c r="P120" s="4">
        <f>OrganizedData[[#This Row],[Quantity]]*VLOOKUP(OrganizedData[[#This Row],[Product Code]],ProductData[],4,FALSE)</f>
        <v>1752</v>
      </c>
      <c r="Q120" s="6">
        <f>OrganizedData[[#This Row],[Total Items Ordered]]*VLOOKUP(OrganizedData[[#This Row],[Product Code]],ProductData[],3,FALSE)</f>
        <v>1208.8799999999999</v>
      </c>
      <c r="R1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1148.4359999999999</v>
      </c>
    </row>
    <row r="121" spans="1:18" x14ac:dyDescent="0.3">
      <c r="A121" s="2">
        <v>114</v>
      </c>
      <c r="B121" s="2" t="s">
        <v>511</v>
      </c>
      <c r="C121" s="2" t="s">
        <v>512</v>
      </c>
      <c r="D121" s="2" t="s">
        <v>28</v>
      </c>
      <c r="E121" s="2" t="s">
        <v>29</v>
      </c>
      <c r="F121" s="2">
        <v>60</v>
      </c>
      <c r="G121" s="2" t="s">
        <v>513</v>
      </c>
      <c r="H121" s="2" t="s">
        <v>514</v>
      </c>
      <c r="I121" s="2" t="s">
        <v>19</v>
      </c>
      <c r="J121" s="3">
        <v>44853</v>
      </c>
      <c r="K121" s="5">
        <f>YEAR(OrganizedData[[#This Row],[Order Date]])</f>
        <v>2022</v>
      </c>
      <c r="L121" s="7" t="str">
        <f>TEXT(OrganizedData[[#This Row],[Order Date]],"mmm")</f>
        <v>Oct</v>
      </c>
      <c r="M121" s="2">
        <v>101</v>
      </c>
      <c r="N121" s="2" t="s">
        <v>54</v>
      </c>
      <c r="O121" s="2" t="str">
        <f>VLOOKUP(OrganizedData[[#This Row],[Product Code]],ProductData[[Code]:[Item]],2,FALSE)</f>
        <v>Megawidget S</v>
      </c>
      <c r="P121" s="4">
        <f>OrganizedData[[#This Row],[Quantity]]*VLOOKUP(OrganizedData[[#This Row],[Product Code]],ProductData[],4,FALSE)</f>
        <v>2424</v>
      </c>
      <c r="Q121" s="6">
        <f>OrganizedData[[#This Row],[Total Items Ordered]]*VLOOKUP(OrganizedData[[#This Row],[Product Code]],ProductData[],3,FALSE)</f>
        <v>1672.56</v>
      </c>
      <c r="R1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1555.4808</v>
      </c>
    </row>
    <row r="122" spans="1:18" x14ac:dyDescent="0.3">
      <c r="A122" s="2">
        <v>115</v>
      </c>
      <c r="B122" s="2" t="s">
        <v>515</v>
      </c>
      <c r="C122" s="2" t="s">
        <v>516</v>
      </c>
      <c r="D122" s="2" t="s">
        <v>15</v>
      </c>
      <c r="E122" s="2" t="s">
        <v>16</v>
      </c>
      <c r="F122" s="2">
        <v>60</v>
      </c>
      <c r="G122" s="2" t="s">
        <v>517</v>
      </c>
      <c r="H122" s="2" t="s">
        <v>518</v>
      </c>
      <c r="I122" s="2" t="s">
        <v>32</v>
      </c>
      <c r="J122" s="3">
        <v>43975</v>
      </c>
      <c r="K122" s="5">
        <f>YEAR(OrganizedData[[#This Row],[Order Date]])</f>
        <v>2020</v>
      </c>
      <c r="L122" s="7" t="str">
        <f>TEXT(OrganizedData[[#This Row],[Order Date]],"mmm")</f>
        <v>May</v>
      </c>
      <c r="M122" s="2">
        <v>38</v>
      </c>
      <c r="N122" s="2" t="s">
        <v>159</v>
      </c>
      <c r="O122" s="2" t="str">
        <f>VLOOKUP(OrganizedData[[#This Row],[Product Code]],ProductData[[Code]:[Item]],2,FALSE)</f>
        <v>Ultrathing V3</v>
      </c>
      <c r="P122" s="4">
        <f>OrganizedData[[#This Row],[Quantity]]*VLOOKUP(OrganizedData[[#This Row],[Product Code]],ProductData[],4,FALSE)</f>
        <v>912</v>
      </c>
      <c r="Q122" s="6">
        <f>OrganizedData[[#This Row],[Total Items Ordered]]*VLOOKUP(OrganizedData[[#This Row],[Product Code]],ProductData[],3,FALSE)</f>
        <v>3091.6800000000003</v>
      </c>
      <c r="R1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2998.9296000000004</v>
      </c>
    </row>
    <row r="123" spans="1:18" x14ac:dyDescent="0.3">
      <c r="A123" s="2">
        <v>116</v>
      </c>
      <c r="B123" s="2" t="s">
        <v>519</v>
      </c>
      <c r="C123" s="2" t="s">
        <v>520</v>
      </c>
      <c r="D123" s="2" t="s">
        <v>15</v>
      </c>
      <c r="E123" s="2" t="s">
        <v>16</v>
      </c>
      <c r="F123" s="2">
        <v>60</v>
      </c>
      <c r="G123" s="2" t="s">
        <v>521</v>
      </c>
      <c r="H123" s="2" t="s">
        <v>522</v>
      </c>
      <c r="I123" s="2" t="s">
        <v>32</v>
      </c>
      <c r="J123" s="3">
        <v>44912</v>
      </c>
      <c r="K123" s="5">
        <f>YEAR(OrganizedData[[#This Row],[Order Date]])</f>
        <v>2022</v>
      </c>
      <c r="L123" s="7" t="str">
        <f>TEXT(OrganizedData[[#This Row],[Order Date]],"mmm")</f>
        <v>Dec</v>
      </c>
      <c r="M123" s="2">
        <v>95</v>
      </c>
      <c r="N123" s="2" t="s">
        <v>80</v>
      </c>
      <c r="O123" s="2" t="str">
        <f>VLOOKUP(OrganizedData[[#This Row],[Product Code]],ProductData[[Code]:[Item]],2,FALSE)</f>
        <v>Ultrathing V2</v>
      </c>
      <c r="P123" s="4">
        <f>OrganizedData[[#This Row],[Quantity]]*VLOOKUP(OrganizedData[[#This Row],[Product Code]],ProductData[],4,FALSE)</f>
        <v>1900</v>
      </c>
      <c r="Q123" s="6">
        <f>OrganizedData[[#This Row],[Total Items Ordered]]*VLOOKUP(OrganizedData[[#This Row],[Product Code]],ProductData[],3,FALSE)</f>
        <v>5605</v>
      </c>
      <c r="R1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5324.75</v>
      </c>
    </row>
    <row r="124" spans="1:18" x14ac:dyDescent="0.3">
      <c r="A124" s="2">
        <v>117</v>
      </c>
      <c r="B124" s="2" t="s">
        <v>523</v>
      </c>
      <c r="C124" s="2" t="s">
        <v>524</v>
      </c>
      <c r="D124" s="2" t="s">
        <v>15</v>
      </c>
      <c r="E124" s="2" t="s">
        <v>16</v>
      </c>
      <c r="F124" s="2">
        <v>60</v>
      </c>
      <c r="G124" s="2" t="s">
        <v>525</v>
      </c>
      <c r="H124" s="2" t="s">
        <v>526</v>
      </c>
      <c r="I124" s="2" t="s">
        <v>32</v>
      </c>
      <c r="J124" s="3">
        <v>44084</v>
      </c>
      <c r="K124" s="5">
        <f>YEAR(OrganizedData[[#This Row],[Order Date]])</f>
        <v>2020</v>
      </c>
      <c r="L124" s="7" t="str">
        <f>TEXT(OrganizedData[[#This Row],[Order Date]],"mmm")</f>
        <v>Sep</v>
      </c>
      <c r="M124" s="2">
        <v>43</v>
      </c>
      <c r="N124" s="2" t="s">
        <v>20</v>
      </c>
      <c r="O124" s="2" t="str">
        <f>VLOOKUP(OrganizedData[[#This Row],[Product Code]],ProductData[[Code]:[Item]],2,FALSE)</f>
        <v>Hyperwotsit</v>
      </c>
      <c r="P124" s="4">
        <f>OrganizedData[[#This Row],[Quantity]]*VLOOKUP(OrganizedData[[#This Row],[Product Code]],ProductData[],4,FALSE)</f>
        <v>860</v>
      </c>
      <c r="Q124" s="6">
        <f>OrganizedData[[#This Row],[Total Items Ordered]]*VLOOKUP(OrganizedData[[#This Row],[Product Code]],ProductData[],3,FALSE)</f>
        <v>1728.6</v>
      </c>
      <c r="R1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1676.742</v>
      </c>
    </row>
    <row r="125" spans="1:18" x14ac:dyDescent="0.3">
      <c r="A125" s="2">
        <v>118</v>
      </c>
      <c r="B125" s="2" t="s">
        <v>527</v>
      </c>
      <c r="C125" s="2" t="s">
        <v>528</v>
      </c>
      <c r="D125" s="2" t="s">
        <v>28</v>
      </c>
      <c r="E125" s="2" t="s">
        <v>29</v>
      </c>
      <c r="F125" s="2">
        <v>90</v>
      </c>
      <c r="G125" s="2" t="s">
        <v>529</v>
      </c>
      <c r="H125" s="2" t="s">
        <v>530</v>
      </c>
      <c r="I125" s="2" t="s">
        <v>124</v>
      </c>
      <c r="J125" s="3">
        <v>44369</v>
      </c>
      <c r="K125" s="5">
        <f>YEAR(OrganizedData[[#This Row],[Order Date]])</f>
        <v>2021</v>
      </c>
      <c r="L125" s="7" t="str">
        <f>TEXT(OrganizedData[[#This Row],[Order Date]],"mmm")</f>
        <v>Jun</v>
      </c>
      <c r="M125" s="2">
        <v>26</v>
      </c>
      <c r="N125" s="2" t="s">
        <v>80</v>
      </c>
      <c r="O125" s="2" t="str">
        <f>VLOOKUP(OrganizedData[[#This Row],[Product Code]],ProductData[[Code]:[Item]],2,FALSE)</f>
        <v>Ultrathing V2</v>
      </c>
      <c r="P125" s="4">
        <f>OrganizedData[[#This Row],[Quantity]]*VLOOKUP(OrganizedData[[#This Row],[Product Code]],ProductData[],4,FALSE)</f>
        <v>520</v>
      </c>
      <c r="Q125" s="6">
        <f>OrganizedData[[#This Row],[Total Items Ordered]]*VLOOKUP(OrganizedData[[#This Row],[Product Code]],ProductData[],3,FALSE)</f>
        <v>1534</v>
      </c>
      <c r="R1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126" spans="1:18" x14ac:dyDescent="0.3">
      <c r="A126" s="2">
        <v>119</v>
      </c>
      <c r="B126" s="2" t="s">
        <v>531</v>
      </c>
      <c r="C126" s="2" t="s">
        <v>532</v>
      </c>
      <c r="D126" s="2" t="s">
        <v>51</v>
      </c>
      <c r="E126" s="2" t="s">
        <v>16</v>
      </c>
      <c r="F126" s="2">
        <v>90</v>
      </c>
      <c r="G126" s="2" t="s">
        <v>533</v>
      </c>
      <c r="H126" s="2" t="s">
        <v>534</v>
      </c>
      <c r="I126" s="2" t="s">
        <v>32</v>
      </c>
      <c r="J126" s="3">
        <v>43905</v>
      </c>
      <c r="K126" s="5">
        <f>YEAR(OrganizedData[[#This Row],[Order Date]])</f>
        <v>2020</v>
      </c>
      <c r="L126" s="7" t="str">
        <f>TEXT(OrganizedData[[#This Row],[Order Date]],"mmm")</f>
        <v>Mar</v>
      </c>
      <c r="M126" s="2">
        <v>26</v>
      </c>
      <c r="N126" s="2" t="s">
        <v>101</v>
      </c>
      <c r="O126" s="2" t="str">
        <f>VLOOKUP(OrganizedData[[#This Row],[Product Code]],ProductData[[Code]:[Item]],2,FALSE)</f>
        <v>Superwossname</v>
      </c>
      <c r="P126" s="4">
        <f>OrganizedData[[#This Row],[Quantity]]*VLOOKUP(OrganizedData[[#This Row],[Product Code]],ProductData[],4,FALSE)</f>
        <v>520</v>
      </c>
      <c r="Q126" s="6">
        <f>OrganizedData[[#This Row],[Total Items Ordered]]*VLOOKUP(OrganizedData[[#This Row],[Product Code]],ProductData[],3,FALSE)</f>
        <v>1814.8000000000002</v>
      </c>
      <c r="R1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1760.3560000000002</v>
      </c>
    </row>
    <row r="127" spans="1:18" x14ac:dyDescent="0.3">
      <c r="A127" s="2">
        <v>120</v>
      </c>
      <c r="B127" s="2" t="s">
        <v>535</v>
      </c>
      <c r="C127" s="2" t="s">
        <v>536</v>
      </c>
      <c r="D127" s="2" t="s">
        <v>28</v>
      </c>
      <c r="E127" s="2" t="s">
        <v>29</v>
      </c>
      <c r="F127" s="2">
        <v>30</v>
      </c>
      <c r="G127" s="2" t="s">
        <v>537</v>
      </c>
      <c r="H127" s="2" t="s">
        <v>538</v>
      </c>
      <c r="I127" s="2" t="s">
        <v>32</v>
      </c>
      <c r="J127" s="3">
        <v>44199</v>
      </c>
      <c r="K127" s="5">
        <f>YEAR(OrganizedData[[#This Row],[Order Date]])</f>
        <v>2021</v>
      </c>
      <c r="L127" s="7" t="str">
        <f>TEXT(OrganizedData[[#This Row],[Order Date]],"mmm")</f>
        <v>Jan</v>
      </c>
      <c r="M127" s="2">
        <v>45</v>
      </c>
      <c r="N127" s="2" t="s">
        <v>64</v>
      </c>
      <c r="O127" s="2" t="str">
        <f>VLOOKUP(OrganizedData[[#This Row],[Product Code]],ProductData[[Code]:[Item]],2,FALSE)</f>
        <v>Ultrathing V4</v>
      </c>
      <c r="P127" s="4">
        <f>OrganizedData[[#This Row],[Quantity]]*VLOOKUP(OrganizedData[[#This Row],[Product Code]],ProductData[],4,FALSE)</f>
        <v>1080</v>
      </c>
      <c r="Q127" s="6">
        <f>OrganizedData[[#This Row],[Total Items Ordered]]*VLOOKUP(OrganizedData[[#This Row],[Product Code]],ProductData[],3,FALSE)</f>
        <v>4309.2</v>
      </c>
      <c r="R1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4179.924</v>
      </c>
    </row>
    <row r="128" spans="1:18" x14ac:dyDescent="0.3">
      <c r="A128" s="2">
        <v>121</v>
      </c>
      <c r="B128" s="2" t="s">
        <v>539</v>
      </c>
      <c r="C128" s="2" t="s">
        <v>540</v>
      </c>
      <c r="D128" s="2" t="s">
        <v>15</v>
      </c>
      <c r="E128" s="2" t="s">
        <v>16</v>
      </c>
      <c r="F128" s="2">
        <v>30</v>
      </c>
      <c r="G128" s="2" t="s">
        <v>541</v>
      </c>
      <c r="H128" s="2" t="s">
        <v>31</v>
      </c>
      <c r="I128" s="2" t="s">
        <v>32</v>
      </c>
      <c r="J128" s="3">
        <v>44887</v>
      </c>
      <c r="K128" s="5">
        <f>YEAR(OrganizedData[[#This Row],[Order Date]])</f>
        <v>2022</v>
      </c>
      <c r="L128" s="7" t="str">
        <f>TEXT(OrganizedData[[#This Row],[Order Date]],"mmm")</f>
        <v>Nov</v>
      </c>
      <c r="M128" s="2">
        <v>88</v>
      </c>
      <c r="N128" s="2" t="s">
        <v>80</v>
      </c>
      <c r="O128" s="2" t="str">
        <f>VLOOKUP(OrganizedData[[#This Row],[Product Code]],ProductData[[Code]:[Item]],2,FALSE)</f>
        <v>Ultrathing V2</v>
      </c>
      <c r="P128" s="4">
        <f>OrganizedData[[#This Row],[Quantity]]*VLOOKUP(OrganizedData[[#This Row],[Product Code]],ProductData[],4,FALSE)</f>
        <v>1760</v>
      </c>
      <c r="Q128" s="6">
        <f>OrganizedData[[#This Row],[Total Items Ordered]]*VLOOKUP(OrganizedData[[#This Row],[Product Code]],ProductData[],3,FALSE)</f>
        <v>5192</v>
      </c>
      <c r="R1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4932.3999999999996</v>
      </c>
    </row>
    <row r="129" spans="1:18" x14ac:dyDescent="0.3">
      <c r="A129" s="2">
        <v>122</v>
      </c>
      <c r="B129" s="2" t="s">
        <v>542</v>
      </c>
      <c r="C129" s="2" t="s">
        <v>543</v>
      </c>
      <c r="D129" s="2" t="s">
        <v>15</v>
      </c>
      <c r="E129" s="2" t="s">
        <v>16</v>
      </c>
      <c r="F129" s="2">
        <v>60</v>
      </c>
      <c r="G129" s="2" t="s">
        <v>544</v>
      </c>
      <c r="H129" s="2" t="s">
        <v>545</v>
      </c>
      <c r="I129" s="2" t="s">
        <v>173</v>
      </c>
      <c r="J129" s="3">
        <v>44584</v>
      </c>
      <c r="K129" s="5">
        <f>YEAR(OrganizedData[[#This Row],[Order Date]])</f>
        <v>2022</v>
      </c>
      <c r="L129" s="7" t="str">
        <f>TEXT(OrganizedData[[#This Row],[Order Date]],"mmm")</f>
        <v>Jan</v>
      </c>
      <c r="M129" s="2">
        <v>87</v>
      </c>
      <c r="N129" s="2" t="s">
        <v>80</v>
      </c>
      <c r="O129" s="2" t="str">
        <f>VLOOKUP(OrganizedData[[#This Row],[Product Code]],ProductData[[Code]:[Item]],2,FALSE)</f>
        <v>Ultrathing V2</v>
      </c>
      <c r="P129" s="4">
        <f>OrganizedData[[#This Row],[Quantity]]*VLOOKUP(OrganizedData[[#This Row],[Product Code]],ProductData[],4,FALSE)</f>
        <v>1740</v>
      </c>
      <c r="Q129" s="6">
        <f>OrganizedData[[#This Row],[Total Items Ordered]]*VLOOKUP(OrganizedData[[#This Row],[Product Code]],ProductData[],3,FALSE)</f>
        <v>5133</v>
      </c>
      <c r="R1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130" spans="1:18" x14ac:dyDescent="0.3">
      <c r="A130" s="2">
        <v>123</v>
      </c>
      <c r="B130" s="2" t="s">
        <v>546</v>
      </c>
      <c r="C130" s="2" t="s">
        <v>547</v>
      </c>
      <c r="D130" s="2" t="s">
        <v>51</v>
      </c>
      <c r="E130" s="2" t="s">
        <v>16</v>
      </c>
      <c r="F130" s="2">
        <v>30</v>
      </c>
      <c r="G130" s="2" t="s">
        <v>548</v>
      </c>
      <c r="H130" s="2" t="s">
        <v>549</v>
      </c>
      <c r="I130" s="2" t="s">
        <v>425</v>
      </c>
      <c r="J130" s="3">
        <v>44804</v>
      </c>
      <c r="K130" s="5">
        <f>YEAR(OrganizedData[[#This Row],[Order Date]])</f>
        <v>2022</v>
      </c>
      <c r="L130" s="7" t="str">
        <f>TEXT(OrganizedData[[#This Row],[Order Date]],"mmm")</f>
        <v>Aug</v>
      </c>
      <c r="M130" s="2">
        <v>19</v>
      </c>
      <c r="N130" s="2" t="s">
        <v>70</v>
      </c>
      <c r="O130" s="2" t="str">
        <f>VLOOKUP(OrganizedData[[#This Row],[Product Code]],ProductData[[Code]:[Item]],2,FALSE)</f>
        <v>Megawidget M</v>
      </c>
      <c r="P130" s="4">
        <f>OrganizedData[[#This Row],[Quantity]]*VLOOKUP(OrganizedData[[#This Row],[Product Code]],ProductData[],4,FALSE)</f>
        <v>456</v>
      </c>
      <c r="Q130" s="6">
        <f>OrganizedData[[#This Row],[Total Items Ordered]]*VLOOKUP(OrganizedData[[#This Row],[Product Code]],ProductData[],3,FALSE)</f>
        <v>588.24</v>
      </c>
      <c r="R1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131" spans="1:18" x14ac:dyDescent="0.3">
      <c r="A131" s="2">
        <v>124</v>
      </c>
      <c r="B131" s="2" t="s">
        <v>550</v>
      </c>
      <c r="C131" s="2" t="s">
        <v>551</v>
      </c>
      <c r="D131" s="2" t="s">
        <v>28</v>
      </c>
      <c r="E131" s="2" t="s">
        <v>29</v>
      </c>
      <c r="F131" s="2">
        <v>30</v>
      </c>
      <c r="G131" s="2" t="s">
        <v>552</v>
      </c>
      <c r="H131" s="2" t="s">
        <v>553</v>
      </c>
      <c r="I131" s="2" t="s">
        <v>554</v>
      </c>
      <c r="J131" s="3">
        <v>44813</v>
      </c>
      <c r="K131" s="5">
        <f>YEAR(OrganizedData[[#This Row],[Order Date]])</f>
        <v>2022</v>
      </c>
      <c r="L131" s="7" t="str">
        <f>TEXT(OrganizedData[[#This Row],[Order Date]],"mmm")</f>
        <v>Sep</v>
      </c>
      <c r="M131" s="2">
        <v>81</v>
      </c>
      <c r="N131" s="2" t="s">
        <v>20</v>
      </c>
      <c r="O131" s="2" t="str">
        <f>VLOOKUP(OrganizedData[[#This Row],[Product Code]],ProductData[[Code]:[Item]],2,FALSE)</f>
        <v>Hyperwotsit</v>
      </c>
      <c r="P131" s="4">
        <f>OrganizedData[[#This Row],[Quantity]]*VLOOKUP(OrganizedData[[#This Row],[Product Code]],ProductData[],4,FALSE)</f>
        <v>1620</v>
      </c>
      <c r="Q131" s="6">
        <f>OrganizedData[[#This Row],[Total Items Ordered]]*VLOOKUP(OrganizedData[[#This Row],[Product Code]],ProductData[],3,FALSE)</f>
        <v>3256.2</v>
      </c>
      <c r="R1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132" spans="1:18" x14ac:dyDescent="0.3">
      <c r="A132" s="2">
        <v>125</v>
      </c>
      <c r="B132" s="2" t="s">
        <v>555</v>
      </c>
      <c r="C132" s="2" t="s">
        <v>556</v>
      </c>
      <c r="D132" s="2" t="s">
        <v>28</v>
      </c>
      <c r="E132" s="2" t="s">
        <v>29</v>
      </c>
      <c r="F132" s="2">
        <v>30</v>
      </c>
      <c r="G132" s="2" t="s">
        <v>10414</v>
      </c>
      <c r="H132" s="2" t="s">
        <v>558</v>
      </c>
      <c r="I132" s="2" t="s">
        <v>32</v>
      </c>
      <c r="J132" s="3">
        <v>44280</v>
      </c>
      <c r="K132" s="5">
        <f>YEAR(OrganizedData[[#This Row],[Order Date]])</f>
        <v>2021</v>
      </c>
      <c r="L132" s="7" t="str">
        <f>TEXT(OrganizedData[[#This Row],[Order Date]],"mmm")</f>
        <v>Mar</v>
      </c>
      <c r="M132" s="2">
        <v>38</v>
      </c>
      <c r="N132" s="2" t="s">
        <v>54</v>
      </c>
      <c r="O132" s="2" t="str">
        <f>VLOOKUP(OrganizedData[[#This Row],[Product Code]],ProductData[[Code]:[Item]],2,FALSE)</f>
        <v>Megawidget S</v>
      </c>
      <c r="P132" s="4">
        <f>OrganizedData[[#This Row],[Quantity]]*VLOOKUP(OrganizedData[[#This Row],[Product Code]],ProductData[],4,FALSE)</f>
        <v>912</v>
      </c>
      <c r="Q132" s="6">
        <f>OrganizedData[[#This Row],[Total Items Ordered]]*VLOOKUP(OrganizedData[[#This Row],[Product Code]],ProductData[],3,FALSE)</f>
        <v>629.28</v>
      </c>
      <c r="R1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610.40159999999992</v>
      </c>
    </row>
    <row r="133" spans="1:18" x14ac:dyDescent="0.3">
      <c r="A133" s="2">
        <v>126</v>
      </c>
      <c r="B133" s="2" t="s">
        <v>559</v>
      </c>
      <c r="C133" s="2" t="s">
        <v>560</v>
      </c>
      <c r="D133" s="2" t="s">
        <v>51</v>
      </c>
      <c r="E133" s="2" t="s">
        <v>16</v>
      </c>
      <c r="F133" s="2">
        <v>30</v>
      </c>
      <c r="G133" s="2" t="s">
        <v>10415</v>
      </c>
      <c r="H133" s="2" t="s">
        <v>562</v>
      </c>
      <c r="I133" s="2" t="s">
        <v>187</v>
      </c>
      <c r="J133" s="3">
        <v>43852</v>
      </c>
      <c r="K133" s="5">
        <f>YEAR(OrganizedData[[#This Row],[Order Date]])</f>
        <v>2020</v>
      </c>
      <c r="L133" s="7" t="str">
        <f>TEXT(OrganizedData[[#This Row],[Order Date]],"mmm")</f>
        <v>Jan</v>
      </c>
      <c r="M133" s="2">
        <v>56</v>
      </c>
      <c r="N133" s="2" t="s">
        <v>54</v>
      </c>
      <c r="O133" s="2" t="str">
        <f>VLOOKUP(OrganizedData[[#This Row],[Product Code]],ProductData[[Code]:[Item]],2,FALSE)</f>
        <v>Megawidget S</v>
      </c>
      <c r="P133" s="4">
        <f>OrganizedData[[#This Row],[Quantity]]*VLOOKUP(OrganizedData[[#This Row],[Product Code]],ProductData[],4,FALSE)</f>
        <v>1344</v>
      </c>
      <c r="Q133" s="6">
        <f>OrganizedData[[#This Row],[Total Items Ordered]]*VLOOKUP(OrganizedData[[#This Row],[Product Code]],ProductData[],3,FALSE)</f>
        <v>927.3599999999999</v>
      </c>
      <c r="R1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880.99199999999985</v>
      </c>
    </row>
    <row r="134" spans="1:18" x14ac:dyDescent="0.3">
      <c r="A134" s="2">
        <v>127</v>
      </c>
      <c r="B134" s="2" t="s">
        <v>563</v>
      </c>
      <c r="C134" s="2" t="s">
        <v>564</v>
      </c>
      <c r="D134" s="2" t="s">
        <v>28</v>
      </c>
      <c r="E134" s="2" t="s">
        <v>29</v>
      </c>
      <c r="F134" s="2">
        <v>60</v>
      </c>
      <c r="G134" s="2" t="s">
        <v>565</v>
      </c>
      <c r="H134" s="2" t="s">
        <v>566</v>
      </c>
      <c r="I134" s="2" t="s">
        <v>110</v>
      </c>
      <c r="J134" s="3">
        <v>43864</v>
      </c>
      <c r="K134" s="5">
        <f>YEAR(OrganizedData[[#This Row],[Order Date]])</f>
        <v>2020</v>
      </c>
      <c r="L134" s="7" t="str">
        <f>TEXT(OrganizedData[[#This Row],[Order Date]],"mmm")</f>
        <v>Feb</v>
      </c>
      <c r="M134" s="2">
        <v>52</v>
      </c>
      <c r="N134" s="2" t="s">
        <v>70</v>
      </c>
      <c r="O134" s="2" t="str">
        <f>VLOOKUP(OrganizedData[[#This Row],[Product Code]],ProductData[[Code]:[Item]],2,FALSE)</f>
        <v>Megawidget M</v>
      </c>
      <c r="P134" s="4">
        <f>OrganizedData[[#This Row],[Quantity]]*VLOOKUP(OrganizedData[[#This Row],[Product Code]],ProductData[],4,FALSE)</f>
        <v>1248</v>
      </c>
      <c r="Q134" s="6">
        <f>OrganizedData[[#This Row],[Total Items Ordered]]*VLOOKUP(OrganizedData[[#This Row],[Product Code]],ProductData[],3,FALSE)</f>
        <v>1609.92</v>
      </c>
      <c r="R1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1529.424</v>
      </c>
    </row>
    <row r="135" spans="1:18" x14ac:dyDescent="0.3">
      <c r="A135" s="2">
        <v>128</v>
      </c>
      <c r="B135" s="2" t="s">
        <v>567</v>
      </c>
      <c r="C135" s="2" t="s">
        <v>568</v>
      </c>
      <c r="D135" s="2" t="s">
        <v>28</v>
      </c>
      <c r="E135" s="2" t="s">
        <v>29</v>
      </c>
      <c r="F135" s="2">
        <v>30</v>
      </c>
      <c r="G135" s="2" t="s">
        <v>569</v>
      </c>
      <c r="H135" s="2" t="s">
        <v>570</v>
      </c>
      <c r="I135" s="2" t="s">
        <v>187</v>
      </c>
      <c r="J135" s="3">
        <v>44748</v>
      </c>
      <c r="K135" s="5">
        <f>YEAR(OrganizedData[[#This Row],[Order Date]])</f>
        <v>2022</v>
      </c>
      <c r="L135" s="7" t="str">
        <f>TEXT(OrganizedData[[#This Row],[Order Date]],"mmm")</f>
        <v>Jul</v>
      </c>
      <c r="M135" s="2">
        <v>25</v>
      </c>
      <c r="N135" s="2" t="s">
        <v>159</v>
      </c>
      <c r="O135" s="2" t="str">
        <f>VLOOKUP(OrganizedData[[#This Row],[Product Code]],ProductData[[Code]:[Item]],2,FALSE)</f>
        <v>Ultrathing V3</v>
      </c>
      <c r="P135" s="4">
        <f>OrganizedData[[#This Row],[Quantity]]*VLOOKUP(OrganizedData[[#This Row],[Product Code]],ProductData[],4,FALSE)</f>
        <v>600</v>
      </c>
      <c r="Q135" s="6">
        <f>OrganizedData[[#This Row],[Total Items Ordered]]*VLOOKUP(OrganizedData[[#This Row],[Product Code]],ProductData[],3,FALSE)</f>
        <v>2034</v>
      </c>
      <c r="R1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1972.98</v>
      </c>
    </row>
    <row r="136" spans="1:18" x14ac:dyDescent="0.3">
      <c r="A136" s="2">
        <v>129</v>
      </c>
      <c r="B136" s="2" t="s">
        <v>571</v>
      </c>
      <c r="C136" s="2" t="s">
        <v>572</v>
      </c>
      <c r="D136" s="2" t="s">
        <v>15</v>
      </c>
      <c r="E136" s="2" t="s">
        <v>16</v>
      </c>
      <c r="F136" s="2">
        <v>60</v>
      </c>
      <c r="G136" s="2" t="s">
        <v>573</v>
      </c>
      <c r="H136" s="2" t="s">
        <v>574</v>
      </c>
      <c r="I136" s="2" t="s">
        <v>575</v>
      </c>
      <c r="J136" s="3">
        <v>43922</v>
      </c>
      <c r="K136" s="5">
        <f>YEAR(OrganizedData[[#This Row],[Order Date]])</f>
        <v>2020</v>
      </c>
      <c r="L136" s="7" t="str">
        <f>TEXT(OrganizedData[[#This Row],[Order Date]],"mmm")</f>
        <v>Apr</v>
      </c>
      <c r="M136" s="2">
        <v>38</v>
      </c>
      <c r="N136" s="2" t="s">
        <v>80</v>
      </c>
      <c r="O136" s="2" t="str">
        <f>VLOOKUP(OrganizedData[[#This Row],[Product Code]],ProductData[[Code]:[Item]],2,FALSE)</f>
        <v>Ultrathing V2</v>
      </c>
      <c r="P136" s="4">
        <f>OrganizedData[[#This Row],[Quantity]]*VLOOKUP(OrganizedData[[#This Row],[Product Code]],ProductData[],4,FALSE)</f>
        <v>760</v>
      </c>
      <c r="Q136" s="6">
        <f>OrganizedData[[#This Row],[Total Items Ordered]]*VLOOKUP(OrganizedData[[#This Row],[Product Code]],ProductData[],3,FALSE)</f>
        <v>2242</v>
      </c>
      <c r="R1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137" spans="1:18" x14ac:dyDescent="0.3">
      <c r="A137" s="2">
        <v>130</v>
      </c>
      <c r="B137" s="2" t="s">
        <v>576</v>
      </c>
      <c r="C137" s="2" t="s">
        <v>577</v>
      </c>
      <c r="D137" s="2" t="s">
        <v>28</v>
      </c>
      <c r="E137" s="2" t="s">
        <v>29</v>
      </c>
      <c r="F137" s="2">
        <v>60</v>
      </c>
      <c r="G137" s="2" t="s">
        <v>578</v>
      </c>
      <c r="H137" s="2" t="s">
        <v>579</v>
      </c>
      <c r="I137" s="2" t="s">
        <v>32</v>
      </c>
      <c r="J137" s="3">
        <v>44359</v>
      </c>
      <c r="K137" s="5">
        <f>YEAR(OrganizedData[[#This Row],[Order Date]])</f>
        <v>2021</v>
      </c>
      <c r="L137" s="7" t="str">
        <f>TEXT(OrganizedData[[#This Row],[Order Date]],"mmm")</f>
        <v>Jun</v>
      </c>
      <c r="M137" s="2">
        <v>74</v>
      </c>
      <c r="N137" s="2" t="s">
        <v>64</v>
      </c>
      <c r="O137" s="2" t="str">
        <f>VLOOKUP(OrganizedData[[#This Row],[Product Code]],ProductData[[Code]:[Item]],2,FALSE)</f>
        <v>Ultrathing V4</v>
      </c>
      <c r="P137" s="4">
        <f>OrganizedData[[#This Row],[Quantity]]*VLOOKUP(OrganizedData[[#This Row],[Product Code]],ProductData[],4,FALSE)</f>
        <v>1776</v>
      </c>
      <c r="Q137" s="6">
        <f>OrganizedData[[#This Row],[Total Items Ordered]]*VLOOKUP(OrganizedData[[#This Row],[Product Code]],ProductData[],3,FALSE)</f>
        <v>7086.2400000000007</v>
      </c>
      <c r="R1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6731.9280000000008</v>
      </c>
    </row>
    <row r="138" spans="1:18" x14ac:dyDescent="0.3">
      <c r="A138" s="2">
        <v>131</v>
      </c>
      <c r="B138" s="2" t="s">
        <v>580</v>
      </c>
      <c r="C138" s="2" t="s">
        <v>581</v>
      </c>
      <c r="D138" s="2" t="s">
        <v>28</v>
      </c>
      <c r="E138" s="2" t="s">
        <v>29</v>
      </c>
      <c r="F138" s="2">
        <v>60</v>
      </c>
      <c r="G138" s="2" t="s">
        <v>582</v>
      </c>
      <c r="H138" s="2" t="s">
        <v>583</v>
      </c>
      <c r="I138" s="2" t="s">
        <v>32</v>
      </c>
      <c r="J138" s="3">
        <v>44671</v>
      </c>
      <c r="K138" s="5">
        <f>YEAR(OrganizedData[[#This Row],[Order Date]])</f>
        <v>2022</v>
      </c>
      <c r="L138" s="7" t="str">
        <f>TEXT(OrganizedData[[#This Row],[Order Date]],"mmm")</f>
        <v>Apr</v>
      </c>
      <c r="M138" s="2">
        <v>97</v>
      </c>
      <c r="N138" s="2" t="s">
        <v>20</v>
      </c>
      <c r="O138" s="2" t="str">
        <f>VLOOKUP(OrganizedData[[#This Row],[Product Code]],ProductData[[Code]:[Item]],2,FALSE)</f>
        <v>Hyperwotsit</v>
      </c>
      <c r="P138" s="4">
        <f>OrganizedData[[#This Row],[Quantity]]*VLOOKUP(OrganizedData[[#This Row],[Product Code]],ProductData[],4,FALSE)</f>
        <v>1940</v>
      </c>
      <c r="Q138" s="6">
        <f>OrganizedData[[#This Row],[Total Items Ordered]]*VLOOKUP(OrganizedData[[#This Row],[Product Code]],ProductData[],3,FALSE)</f>
        <v>3899.3999999999996</v>
      </c>
      <c r="R1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3704.4299999999994</v>
      </c>
    </row>
    <row r="139" spans="1:18" x14ac:dyDescent="0.3">
      <c r="A139" s="2">
        <v>132</v>
      </c>
      <c r="B139" s="2" t="s">
        <v>584</v>
      </c>
      <c r="C139" s="2" t="s">
        <v>585</v>
      </c>
      <c r="D139" s="2" t="s">
        <v>15</v>
      </c>
      <c r="E139" s="2" t="s">
        <v>16</v>
      </c>
      <c r="F139" s="2">
        <v>30</v>
      </c>
      <c r="G139" s="2" t="s">
        <v>586</v>
      </c>
      <c r="H139" s="2" t="s">
        <v>587</v>
      </c>
      <c r="I139" s="2" t="s">
        <v>25</v>
      </c>
      <c r="J139" s="3">
        <v>44581</v>
      </c>
      <c r="K139" s="5">
        <f>YEAR(OrganizedData[[#This Row],[Order Date]])</f>
        <v>2022</v>
      </c>
      <c r="L139" s="7" t="str">
        <f>TEXT(OrganizedData[[#This Row],[Order Date]],"mmm")</f>
        <v>Jan</v>
      </c>
      <c r="M139" s="2">
        <v>84</v>
      </c>
      <c r="N139" s="2" t="s">
        <v>45</v>
      </c>
      <c r="O139" s="2" t="str">
        <f>VLOOKUP(OrganizedData[[#This Row],[Product Code]],ProductData[[Code]:[Item]],2,FALSE)</f>
        <v>Gigastuff</v>
      </c>
      <c r="P139" s="4">
        <f>OrganizedData[[#This Row],[Quantity]]*VLOOKUP(OrganizedData[[#This Row],[Product Code]],ProductData[],4,FALSE)</f>
        <v>1512</v>
      </c>
      <c r="Q139" s="6">
        <f>OrganizedData[[#This Row],[Total Items Ordered]]*VLOOKUP(OrganizedData[[#This Row],[Product Code]],ProductData[],3,FALSE)</f>
        <v>2857.68</v>
      </c>
      <c r="R1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140" spans="1:18" x14ac:dyDescent="0.3">
      <c r="A140" s="2">
        <v>133</v>
      </c>
      <c r="B140" s="2" t="s">
        <v>588</v>
      </c>
      <c r="C140" s="2" t="s">
        <v>589</v>
      </c>
      <c r="D140" s="2" t="s">
        <v>28</v>
      </c>
      <c r="E140" s="2" t="s">
        <v>29</v>
      </c>
      <c r="F140" s="2">
        <v>90</v>
      </c>
      <c r="G140" s="2" t="s">
        <v>590</v>
      </c>
      <c r="H140" s="2" t="s">
        <v>591</v>
      </c>
      <c r="I140" s="2" t="s">
        <v>32</v>
      </c>
      <c r="J140" s="3">
        <v>44223</v>
      </c>
      <c r="K140" s="5">
        <f>YEAR(OrganizedData[[#This Row],[Order Date]])</f>
        <v>2021</v>
      </c>
      <c r="L140" s="7" t="str">
        <f>TEXT(OrganizedData[[#This Row],[Order Date]],"mmm")</f>
        <v>Jan</v>
      </c>
      <c r="M140" s="2">
        <v>91</v>
      </c>
      <c r="N140" s="2" t="s">
        <v>39</v>
      </c>
      <c r="O140" s="2" t="str">
        <f>VLOOKUP(OrganizedData[[#This Row],[Product Code]],ProductData[[Code]:[Item]],2,FALSE)</f>
        <v>Ultrathing V1</v>
      </c>
      <c r="P140" s="4">
        <f>OrganizedData[[#This Row],[Quantity]]*VLOOKUP(OrganizedData[[#This Row],[Product Code]],ProductData[],4,FALSE)</f>
        <v>1547</v>
      </c>
      <c r="Q140" s="6">
        <f>OrganizedData[[#This Row],[Total Items Ordered]]*VLOOKUP(OrganizedData[[#This Row],[Product Code]],ProductData[],3,FALSE)</f>
        <v>2769.13</v>
      </c>
      <c r="R1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2630.6734999999999</v>
      </c>
    </row>
    <row r="141" spans="1:18" x14ac:dyDescent="0.3">
      <c r="A141" s="2">
        <v>134</v>
      </c>
      <c r="B141" s="2" t="s">
        <v>592</v>
      </c>
      <c r="C141" s="2" t="s">
        <v>593</v>
      </c>
      <c r="D141" s="2" t="s">
        <v>28</v>
      </c>
      <c r="E141" s="2" t="s">
        <v>29</v>
      </c>
      <c r="F141" s="2">
        <v>60</v>
      </c>
      <c r="G141" s="2" t="s">
        <v>594</v>
      </c>
      <c r="H141" s="2" t="s">
        <v>595</v>
      </c>
      <c r="I141" s="2" t="s">
        <v>124</v>
      </c>
      <c r="J141" s="3">
        <v>44386</v>
      </c>
      <c r="K141" s="5">
        <f>YEAR(OrganizedData[[#This Row],[Order Date]])</f>
        <v>2021</v>
      </c>
      <c r="L141" s="7" t="str">
        <f>TEXT(OrganizedData[[#This Row],[Order Date]],"mmm")</f>
        <v>Jul</v>
      </c>
      <c r="M141" s="2">
        <v>23</v>
      </c>
      <c r="N141" s="2" t="s">
        <v>159</v>
      </c>
      <c r="O141" s="2" t="str">
        <f>VLOOKUP(OrganizedData[[#This Row],[Product Code]],ProductData[[Code]:[Item]],2,FALSE)</f>
        <v>Ultrathing V3</v>
      </c>
      <c r="P141" s="4">
        <f>OrganizedData[[#This Row],[Quantity]]*VLOOKUP(OrganizedData[[#This Row],[Product Code]],ProductData[],4,FALSE)</f>
        <v>552</v>
      </c>
      <c r="Q141" s="6">
        <f>OrganizedData[[#This Row],[Total Items Ordered]]*VLOOKUP(OrganizedData[[#This Row],[Product Code]],ProductData[],3,FALSE)</f>
        <v>1871.28</v>
      </c>
      <c r="R1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1815.1415999999999</v>
      </c>
    </row>
    <row r="142" spans="1:18" x14ac:dyDescent="0.3">
      <c r="A142" s="2">
        <v>135</v>
      </c>
      <c r="B142" s="2" t="s">
        <v>596</v>
      </c>
      <c r="C142" s="2" t="s">
        <v>597</v>
      </c>
      <c r="D142" s="2" t="s">
        <v>28</v>
      </c>
      <c r="E142" s="2" t="s">
        <v>29</v>
      </c>
      <c r="F142" s="2">
        <v>90</v>
      </c>
      <c r="G142" s="2" t="s">
        <v>598</v>
      </c>
      <c r="H142" s="2" t="s">
        <v>599</v>
      </c>
      <c r="I142" s="2" t="s">
        <v>32</v>
      </c>
      <c r="J142" s="3">
        <v>43877</v>
      </c>
      <c r="K142" s="5">
        <f>YEAR(OrganizedData[[#This Row],[Order Date]])</f>
        <v>2020</v>
      </c>
      <c r="L142" s="7" t="str">
        <f>TEXT(OrganizedData[[#This Row],[Order Date]],"mmm")</f>
        <v>Feb</v>
      </c>
      <c r="M142" s="2">
        <v>81</v>
      </c>
      <c r="N142" s="2" t="s">
        <v>33</v>
      </c>
      <c r="O142" s="2" t="str">
        <f>VLOOKUP(OrganizedData[[#This Row],[Product Code]],ProductData[[Code]:[Item]],2,FALSE)</f>
        <v>Megawidget L</v>
      </c>
      <c r="P142" s="4">
        <f>OrganizedData[[#This Row],[Quantity]]*VLOOKUP(OrganizedData[[#This Row],[Product Code]],ProductData[],4,FALSE)</f>
        <v>1944</v>
      </c>
      <c r="Q142" s="6">
        <f>OrganizedData[[#This Row],[Total Items Ordered]]*VLOOKUP(OrganizedData[[#This Row],[Product Code]],ProductData[],3,FALSE)</f>
        <v>3479.76</v>
      </c>
      <c r="R1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3305.7719999999999</v>
      </c>
    </row>
    <row r="143" spans="1:18" x14ac:dyDescent="0.3">
      <c r="A143" s="2">
        <v>136</v>
      </c>
      <c r="B143" s="2" t="s">
        <v>600</v>
      </c>
      <c r="C143" s="2" t="s">
        <v>601</v>
      </c>
      <c r="D143" s="2" t="s">
        <v>15</v>
      </c>
      <c r="E143" s="2" t="s">
        <v>16</v>
      </c>
      <c r="F143" s="2">
        <v>30</v>
      </c>
      <c r="G143" s="2" t="s">
        <v>602</v>
      </c>
      <c r="H143" s="2" t="s">
        <v>603</v>
      </c>
      <c r="I143" s="2" t="s">
        <v>187</v>
      </c>
      <c r="J143" s="3">
        <v>43949</v>
      </c>
      <c r="K143" s="5">
        <f>YEAR(OrganizedData[[#This Row],[Order Date]])</f>
        <v>2020</v>
      </c>
      <c r="L143" s="7" t="str">
        <f>TEXT(OrganizedData[[#This Row],[Order Date]],"mmm")</f>
        <v>Apr</v>
      </c>
      <c r="M143" s="2">
        <v>51</v>
      </c>
      <c r="N143" s="2" t="s">
        <v>101</v>
      </c>
      <c r="O143" s="2" t="str">
        <f>VLOOKUP(OrganizedData[[#This Row],[Product Code]],ProductData[[Code]:[Item]],2,FALSE)</f>
        <v>Superwossname</v>
      </c>
      <c r="P143" s="4">
        <f>OrganizedData[[#This Row],[Quantity]]*VLOOKUP(OrganizedData[[#This Row],[Product Code]],ProductData[],4,FALSE)</f>
        <v>1020</v>
      </c>
      <c r="Q143" s="6">
        <f>OrganizedData[[#This Row],[Total Items Ordered]]*VLOOKUP(OrganizedData[[#This Row],[Product Code]],ProductData[],3,FALSE)</f>
        <v>3559.8</v>
      </c>
      <c r="R1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3381.81</v>
      </c>
    </row>
    <row r="144" spans="1:18" x14ac:dyDescent="0.3">
      <c r="A144" s="2">
        <v>137</v>
      </c>
      <c r="B144" s="2" t="s">
        <v>604</v>
      </c>
      <c r="C144" s="2" t="s">
        <v>605</v>
      </c>
      <c r="D144" s="2" t="s">
        <v>51</v>
      </c>
      <c r="E144" s="2" t="s">
        <v>16</v>
      </c>
      <c r="F144" s="2">
        <v>30</v>
      </c>
      <c r="G144" s="2" t="s">
        <v>606</v>
      </c>
      <c r="H144" s="2" t="s">
        <v>607</v>
      </c>
      <c r="I144" s="2" t="s">
        <v>32</v>
      </c>
      <c r="J144" s="3">
        <v>44150</v>
      </c>
      <c r="K144" s="5">
        <f>YEAR(OrganizedData[[#This Row],[Order Date]])</f>
        <v>2020</v>
      </c>
      <c r="L144" s="7" t="str">
        <f>TEXT(OrganizedData[[#This Row],[Order Date]],"mmm")</f>
        <v>Nov</v>
      </c>
      <c r="M144" s="2">
        <v>13</v>
      </c>
      <c r="N144" s="2" t="s">
        <v>33</v>
      </c>
      <c r="O144" s="2" t="str">
        <f>VLOOKUP(OrganizedData[[#This Row],[Product Code]],ProductData[[Code]:[Item]],2,FALSE)</f>
        <v>Megawidget L</v>
      </c>
      <c r="P144" s="4">
        <f>OrganizedData[[#This Row],[Quantity]]*VLOOKUP(OrganizedData[[#This Row],[Product Code]],ProductData[],4,FALSE)</f>
        <v>312</v>
      </c>
      <c r="Q144" s="6">
        <f>OrganizedData[[#This Row],[Total Items Ordered]]*VLOOKUP(OrganizedData[[#This Row],[Product Code]],ProductData[],3,FALSE)</f>
        <v>558.48</v>
      </c>
      <c r="R1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145" spans="1:18" x14ac:dyDescent="0.3">
      <c r="A145" s="2">
        <v>138</v>
      </c>
      <c r="B145" s="2" t="s">
        <v>608</v>
      </c>
      <c r="C145" s="2" t="s">
        <v>609</v>
      </c>
      <c r="D145" s="2" t="s">
        <v>15</v>
      </c>
      <c r="E145" s="2" t="s">
        <v>16</v>
      </c>
      <c r="F145" s="2">
        <v>30</v>
      </c>
      <c r="G145" s="2" t="s">
        <v>610</v>
      </c>
      <c r="H145" s="2" t="s">
        <v>611</v>
      </c>
      <c r="I145" s="2" t="s">
        <v>32</v>
      </c>
      <c r="J145" s="3">
        <v>43925</v>
      </c>
      <c r="K145" s="5">
        <f>YEAR(OrganizedData[[#This Row],[Order Date]])</f>
        <v>2020</v>
      </c>
      <c r="L145" s="7" t="str">
        <f>TEXT(OrganizedData[[#This Row],[Order Date]],"mmm")</f>
        <v>Apr</v>
      </c>
      <c r="M145" s="2">
        <v>12</v>
      </c>
      <c r="N145" s="2" t="s">
        <v>54</v>
      </c>
      <c r="O145" s="2" t="str">
        <f>VLOOKUP(OrganizedData[[#This Row],[Product Code]],ProductData[[Code]:[Item]],2,FALSE)</f>
        <v>Megawidget S</v>
      </c>
      <c r="P145" s="4">
        <f>OrganizedData[[#This Row],[Quantity]]*VLOOKUP(OrganizedData[[#This Row],[Product Code]],ProductData[],4,FALSE)</f>
        <v>288</v>
      </c>
      <c r="Q145" s="6">
        <f>OrganizedData[[#This Row],[Total Items Ordered]]*VLOOKUP(OrganizedData[[#This Row],[Product Code]],ProductData[],3,FALSE)</f>
        <v>198.71999999999997</v>
      </c>
      <c r="R1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198.71999999999997</v>
      </c>
    </row>
    <row r="146" spans="1:18" x14ac:dyDescent="0.3">
      <c r="A146" s="2">
        <v>139</v>
      </c>
      <c r="B146" s="2" t="s">
        <v>612</v>
      </c>
      <c r="C146" s="2" t="s">
        <v>613</v>
      </c>
      <c r="D146" s="2" t="s">
        <v>28</v>
      </c>
      <c r="E146" s="2" t="s">
        <v>29</v>
      </c>
      <c r="F146" s="2">
        <v>30</v>
      </c>
      <c r="G146" s="2" t="s">
        <v>614</v>
      </c>
      <c r="H146" s="2" t="s">
        <v>615</v>
      </c>
      <c r="I146" s="2" t="s">
        <v>32</v>
      </c>
      <c r="J146" s="3">
        <v>44713</v>
      </c>
      <c r="K146" s="5">
        <f>YEAR(OrganizedData[[#This Row],[Order Date]])</f>
        <v>2022</v>
      </c>
      <c r="L146" s="7" t="str">
        <f>TEXT(OrganizedData[[#This Row],[Order Date]],"mmm")</f>
        <v>Jun</v>
      </c>
      <c r="M146" s="2">
        <v>101</v>
      </c>
      <c r="N146" s="2" t="s">
        <v>39</v>
      </c>
      <c r="O146" s="2" t="str">
        <f>VLOOKUP(OrganizedData[[#This Row],[Product Code]],ProductData[[Code]:[Item]],2,FALSE)</f>
        <v>Ultrathing V1</v>
      </c>
      <c r="P146" s="4">
        <f>OrganizedData[[#This Row],[Quantity]]*VLOOKUP(OrganizedData[[#This Row],[Product Code]],ProductData[],4,FALSE)</f>
        <v>1717</v>
      </c>
      <c r="Q146" s="6">
        <f>OrganizedData[[#This Row],[Total Items Ordered]]*VLOOKUP(OrganizedData[[#This Row],[Product Code]],ProductData[],3,FALSE)</f>
        <v>3073.43</v>
      </c>
      <c r="R1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2858.2899000000002</v>
      </c>
    </row>
    <row r="147" spans="1:18" x14ac:dyDescent="0.3">
      <c r="A147" s="2">
        <v>140</v>
      </c>
      <c r="B147" s="2" t="s">
        <v>616</v>
      </c>
      <c r="C147" s="2" t="s">
        <v>617</v>
      </c>
      <c r="D147" s="2" t="s">
        <v>28</v>
      </c>
      <c r="E147" s="2" t="s">
        <v>29</v>
      </c>
      <c r="F147" s="2">
        <v>30</v>
      </c>
      <c r="G147" s="2" t="s">
        <v>618</v>
      </c>
      <c r="H147" s="2" t="s">
        <v>619</v>
      </c>
      <c r="I147" s="2" t="s">
        <v>187</v>
      </c>
      <c r="J147" s="3">
        <v>44725</v>
      </c>
      <c r="K147" s="5">
        <f>YEAR(OrganizedData[[#This Row],[Order Date]])</f>
        <v>2022</v>
      </c>
      <c r="L147" s="7" t="str">
        <f>TEXT(OrganizedData[[#This Row],[Order Date]],"mmm")</f>
        <v>Jun</v>
      </c>
      <c r="M147" s="2">
        <v>25</v>
      </c>
      <c r="N147" s="2" t="s">
        <v>70</v>
      </c>
      <c r="O147" s="2" t="str">
        <f>VLOOKUP(OrganizedData[[#This Row],[Product Code]],ProductData[[Code]:[Item]],2,FALSE)</f>
        <v>Megawidget M</v>
      </c>
      <c r="P147" s="4">
        <f>OrganizedData[[#This Row],[Quantity]]*VLOOKUP(OrganizedData[[#This Row],[Product Code]],ProductData[],4,FALSE)</f>
        <v>600</v>
      </c>
      <c r="Q147" s="6">
        <f>OrganizedData[[#This Row],[Total Items Ordered]]*VLOOKUP(OrganizedData[[#This Row],[Product Code]],ProductData[],3,FALSE)</f>
        <v>774</v>
      </c>
      <c r="R1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148" spans="1:18" x14ac:dyDescent="0.3">
      <c r="A148" s="2">
        <v>141</v>
      </c>
      <c r="B148" s="2" t="s">
        <v>179</v>
      </c>
      <c r="C148" s="2" t="s">
        <v>620</v>
      </c>
      <c r="D148" s="2" t="s">
        <v>621</v>
      </c>
      <c r="E148" s="2" t="s">
        <v>29</v>
      </c>
      <c r="F148" s="2">
        <v>30</v>
      </c>
      <c r="G148" s="2" t="s">
        <v>622</v>
      </c>
      <c r="H148" s="2" t="s">
        <v>623</v>
      </c>
      <c r="I148" s="2" t="s">
        <v>32</v>
      </c>
      <c r="J148" s="3">
        <v>44846</v>
      </c>
      <c r="K148" s="5">
        <f>YEAR(OrganizedData[[#This Row],[Order Date]])</f>
        <v>2022</v>
      </c>
      <c r="L148" s="7" t="str">
        <f>TEXT(OrganizedData[[#This Row],[Order Date]],"mmm")</f>
        <v>Oct</v>
      </c>
      <c r="M148" s="2">
        <v>71</v>
      </c>
      <c r="N148" s="2" t="s">
        <v>80</v>
      </c>
      <c r="O148" s="2" t="str">
        <f>VLOOKUP(OrganizedData[[#This Row],[Product Code]],ProductData[[Code]:[Item]],2,FALSE)</f>
        <v>Ultrathing V2</v>
      </c>
      <c r="P148" s="4">
        <f>OrganizedData[[#This Row],[Quantity]]*VLOOKUP(OrganizedData[[#This Row],[Product Code]],ProductData[],4,FALSE)</f>
        <v>1420</v>
      </c>
      <c r="Q148" s="6">
        <f>OrganizedData[[#This Row],[Total Items Ordered]]*VLOOKUP(OrganizedData[[#This Row],[Product Code]],ProductData[],3,FALSE)</f>
        <v>4189</v>
      </c>
      <c r="R1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3979.5499999999997</v>
      </c>
    </row>
    <row r="149" spans="1:18" x14ac:dyDescent="0.3">
      <c r="A149" s="2">
        <v>142</v>
      </c>
      <c r="B149" s="2" t="s">
        <v>624</v>
      </c>
      <c r="C149" s="2" t="s">
        <v>625</v>
      </c>
      <c r="D149" s="2" t="s">
        <v>28</v>
      </c>
      <c r="E149" s="2" t="s">
        <v>29</v>
      </c>
      <c r="F149" s="2">
        <v>60</v>
      </c>
      <c r="G149" s="2" t="s">
        <v>626</v>
      </c>
      <c r="H149" s="2" t="s">
        <v>627</v>
      </c>
      <c r="I149" s="2" t="s">
        <v>294</v>
      </c>
      <c r="J149" s="3">
        <v>44499</v>
      </c>
      <c r="K149" s="5">
        <f>YEAR(OrganizedData[[#This Row],[Order Date]])</f>
        <v>2021</v>
      </c>
      <c r="L149" s="7" t="str">
        <f>TEXT(OrganizedData[[#This Row],[Order Date]],"mmm")</f>
        <v>Oct</v>
      </c>
      <c r="M149" s="2">
        <v>58</v>
      </c>
      <c r="N149" s="2" t="s">
        <v>45</v>
      </c>
      <c r="O149" s="2" t="str">
        <f>VLOOKUP(OrganizedData[[#This Row],[Product Code]],ProductData[[Code]:[Item]],2,FALSE)</f>
        <v>Gigastuff</v>
      </c>
      <c r="P149" s="4">
        <f>OrganizedData[[#This Row],[Quantity]]*VLOOKUP(OrganizedData[[#This Row],[Product Code]],ProductData[],4,FALSE)</f>
        <v>1044</v>
      </c>
      <c r="Q149" s="6">
        <f>OrganizedData[[#This Row],[Total Items Ordered]]*VLOOKUP(OrganizedData[[#This Row],[Product Code]],ProductData[],3,FALSE)</f>
        <v>1973.1599999999999</v>
      </c>
      <c r="R1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1874.5019999999997</v>
      </c>
    </row>
    <row r="150" spans="1:18" x14ac:dyDescent="0.3">
      <c r="A150" s="2">
        <v>143</v>
      </c>
      <c r="B150" s="2" t="s">
        <v>628</v>
      </c>
      <c r="C150" s="2" t="s">
        <v>629</v>
      </c>
      <c r="D150" s="2" t="s">
        <v>15</v>
      </c>
      <c r="E150" s="2" t="s">
        <v>16</v>
      </c>
      <c r="F150" s="2">
        <v>60</v>
      </c>
      <c r="G150" s="2" t="s">
        <v>630</v>
      </c>
      <c r="H150" s="2" t="s">
        <v>203</v>
      </c>
      <c r="I150" s="2" t="s">
        <v>32</v>
      </c>
      <c r="J150" s="3">
        <v>43928</v>
      </c>
      <c r="K150" s="5">
        <f>YEAR(OrganizedData[[#This Row],[Order Date]])</f>
        <v>2020</v>
      </c>
      <c r="L150" s="7" t="str">
        <f>TEXT(OrganizedData[[#This Row],[Order Date]],"mmm")</f>
        <v>Apr</v>
      </c>
      <c r="M150" s="2">
        <v>75</v>
      </c>
      <c r="N150" s="2" t="s">
        <v>101</v>
      </c>
      <c r="O150" s="2" t="str">
        <f>VLOOKUP(OrganizedData[[#This Row],[Product Code]],ProductData[[Code]:[Item]],2,FALSE)</f>
        <v>Superwossname</v>
      </c>
      <c r="P150" s="4">
        <f>OrganizedData[[#This Row],[Quantity]]*VLOOKUP(OrganizedData[[#This Row],[Product Code]],ProductData[],4,FALSE)</f>
        <v>1500</v>
      </c>
      <c r="Q150" s="6">
        <f>OrganizedData[[#This Row],[Total Items Ordered]]*VLOOKUP(OrganizedData[[#This Row],[Product Code]],ProductData[],3,FALSE)</f>
        <v>5235</v>
      </c>
      <c r="R1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151" spans="1:18" x14ac:dyDescent="0.3">
      <c r="A151" s="2">
        <v>144</v>
      </c>
      <c r="B151" s="2" t="s">
        <v>631</v>
      </c>
      <c r="C151" s="2" t="s">
        <v>632</v>
      </c>
      <c r="D151" s="2" t="s">
        <v>51</v>
      </c>
      <c r="E151" s="2" t="s">
        <v>16</v>
      </c>
      <c r="F151" s="2">
        <v>60</v>
      </c>
      <c r="G151" s="2" t="s">
        <v>633</v>
      </c>
      <c r="H151" s="2" t="s">
        <v>634</v>
      </c>
      <c r="I151" s="2" t="s">
        <v>32</v>
      </c>
      <c r="J151" s="3">
        <v>44167</v>
      </c>
      <c r="K151" s="5">
        <f>YEAR(OrganizedData[[#This Row],[Order Date]])</f>
        <v>2020</v>
      </c>
      <c r="L151" s="7" t="str">
        <f>TEXT(OrganizedData[[#This Row],[Order Date]],"mmm")</f>
        <v>Dec</v>
      </c>
      <c r="M151" s="2">
        <v>72</v>
      </c>
      <c r="N151" s="2" t="s">
        <v>39</v>
      </c>
      <c r="O151" s="2" t="str">
        <f>VLOOKUP(OrganizedData[[#This Row],[Product Code]],ProductData[[Code]:[Item]],2,FALSE)</f>
        <v>Ultrathing V1</v>
      </c>
      <c r="P151" s="4">
        <f>OrganizedData[[#This Row],[Quantity]]*VLOOKUP(OrganizedData[[#This Row],[Product Code]],ProductData[],4,FALSE)</f>
        <v>1224</v>
      </c>
      <c r="Q151" s="6">
        <f>OrganizedData[[#This Row],[Total Items Ordered]]*VLOOKUP(OrganizedData[[#This Row],[Product Code]],ProductData[],3,FALSE)</f>
        <v>2190.96</v>
      </c>
      <c r="R1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152" spans="1:18" x14ac:dyDescent="0.3">
      <c r="A152" s="2">
        <v>145</v>
      </c>
      <c r="B152" s="2" t="s">
        <v>347</v>
      </c>
      <c r="C152" s="2" t="s">
        <v>635</v>
      </c>
      <c r="D152" s="2" t="s">
        <v>15</v>
      </c>
      <c r="E152" s="2" t="s">
        <v>16</v>
      </c>
      <c r="F152" s="2">
        <v>90</v>
      </c>
      <c r="G152" s="2" t="s">
        <v>636</v>
      </c>
      <c r="H152" s="2" t="s">
        <v>637</v>
      </c>
      <c r="I152" s="2" t="s">
        <v>32</v>
      </c>
      <c r="J152" s="3">
        <v>44374</v>
      </c>
      <c r="K152" s="5">
        <f>YEAR(OrganizedData[[#This Row],[Order Date]])</f>
        <v>2021</v>
      </c>
      <c r="L152" s="7" t="str">
        <f>TEXT(OrganizedData[[#This Row],[Order Date]],"mmm")</f>
        <v>Jun</v>
      </c>
      <c r="M152" s="2">
        <v>35</v>
      </c>
      <c r="N152" s="2" t="s">
        <v>45</v>
      </c>
      <c r="O152" s="2" t="str">
        <f>VLOOKUP(OrganizedData[[#This Row],[Product Code]],ProductData[[Code]:[Item]],2,FALSE)</f>
        <v>Gigastuff</v>
      </c>
      <c r="P152" s="4">
        <f>OrganizedData[[#This Row],[Quantity]]*VLOOKUP(OrganizedData[[#This Row],[Product Code]],ProductData[],4,FALSE)</f>
        <v>630</v>
      </c>
      <c r="Q152" s="6">
        <f>OrganizedData[[#This Row],[Total Items Ordered]]*VLOOKUP(OrganizedData[[#This Row],[Product Code]],ProductData[],3,FALSE)</f>
        <v>1190.7</v>
      </c>
      <c r="R1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1154.979</v>
      </c>
    </row>
    <row r="153" spans="1:18" x14ac:dyDescent="0.3">
      <c r="A153" s="2">
        <v>146</v>
      </c>
      <c r="B153" s="2" t="s">
        <v>638</v>
      </c>
      <c r="C153" s="2" t="s">
        <v>639</v>
      </c>
      <c r="D153" s="2" t="s">
        <v>51</v>
      </c>
      <c r="E153" s="2" t="s">
        <v>16</v>
      </c>
      <c r="F153" s="2">
        <v>30</v>
      </c>
      <c r="G153" s="2" t="s">
        <v>640</v>
      </c>
      <c r="H153" s="2" t="s">
        <v>641</v>
      </c>
      <c r="I153" s="2" t="s">
        <v>294</v>
      </c>
      <c r="J153" s="3">
        <v>44136</v>
      </c>
      <c r="K153" s="5">
        <f>YEAR(OrganizedData[[#This Row],[Order Date]])</f>
        <v>2020</v>
      </c>
      <c r="L153" s="7" t="str">
        <f>TEXT(OrganizedData[[#This Row],[Order Date]],"mmm")</f>
        <v>Nov</v>
      </c>
      <c r="M153" s="2">
        <v>62</v>
      </c>
      <c r="N153" s="2" t="s">
        <v>45</v>
      </c>
      <c r="O153" s="2" t="str">
        <f>VLOOKUP(OrganizedData[[#This Row],[Product Code]],ProductData[[Code]:[Item]],2,FALSE)</f>
        <v>Gigastuff</v>
      </c>
      <c r="P153" s="4">
        <f>OrganizedData[[#This Row],[Quantity]]*VLOOKUP(OrganizedData[[#This Row],[Product Code]],ProductData[],4,FALSE)</f>
        <v>1116</v>
      </c>
      <c r="Q153" s="6">
        <f>OrganizedData[[#This Row],[Total Items Ordered]]*VLOOKUP(OrganizedData[[#This Row],[Product Code]],ProductData[],3,FALSE)</f>
        <v>2109.2399999999998</v>
      </c>
      <c r="R1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154" spans="1:18" x14ac:dyDescent="0.3">
      <c r="A154" s="2">
        <v>147</v>
      </c>
      <c r="B154" s="2" t="s">
        <v>642</v>
      </c>
      <c r="C154" s="2" t="s">
        <v>97</v>
      </c>
      <c r="D154" s="2" t="s">
        <v>15</v>
      </c>
      <c r="E154" s="2" t="s">
        <v>16</v>
      </c>
      <c r="F154" s="2">
        <v>90</v>
      </c>
      <c r="G154" s="2" t="s">
        <v>643</v>
      </c>
      <c r="H154" s="2" t="s">
        <v>644</v>
      </c>
      <c r="I154" s="2" t="s">
        <v>645</v>
      </c>
      <c r="J154" s="3">
        <v>44565</v>
      </c>
      <c r="K154" s="5">
        <f>YEAR(OrganizedData[[#This Row],[Order Date]])</f>
        <v>2022</v>
      </c>
      <c r="L154" s="7" t="str">
        <f>TEXT(OrganizedData[[#This Row],[Order Date]],"mmm")</f>
        <v>Jan</v>
      </c>
      <c r="M154" s="2">
        <v>95</v>
      </c>
      <c r="N154" s="2" t="s">
        <v>20</v>
      </c>
      <c r="O154" s="2" t="str">
        <f>VLOOKUP(OrganizedData[[#This Row],[Product Code]],ProductData[[Code]:[Item]],2,FALSE)</f>
        <v>Hyperwotsit</v>
      </c>
      <c r="P154" s="4">
        <f>OrganizedData[[#This Row],[Quantity]]*VLOOKUP(OrganizedData[[#This Row],[Product Code]],ProductData[],4,FALSE)</f>
        <v>1900</v>
      </c>
      <c r="Q154" s="6">
        <f>OrganizedData[[#This Row],[Total Items Ordered]]*VLOOKUP(OrganizedData[[#This Row],[Product Code]],ProductData[],3,FALSE)</f>
        <v>3818.9999999999995</v>
      </c>
      <c r="R1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3628.0499999999993</v>
      </c>
    </row>
    <row r="155" spans="1:18" x14ac:dyDescent="0.3">
      <c r="A155" s="2">
        <v>148</v>
      </c>
      <c r="B155" s="2" t="s">
        <v>646</v>
      </c>
      <c r="C155" s="2" t="s">
        <v>647</v>
      </c>
      <c r="D155" s="2" t="s">
        <v>28</v>
      </c>
      <c r="E155" s="2" t="s">
        <v>29</v>
      </c>
      <c r="F155" s="2">
        <v>30</v>
      </c>
      <c r="G155" s="2" t="s">
        <v>648</v>
      </c>
      <c r="H155" s="2" t="s">
        <v>649</v>
      </c>
      <c r="I155" s="2" t="s">
        <v>240</v>
      </c>
      <c r="J155" s="3">
        <v>43902</v>
      </c>
      <c r="K155" s="5">
        <f>YEAR(OrganizedData[[#This Row],[Order Date]])</f>
        <v>2020</v>
      </c>
      <c r="L155" s="7" t="str">
        <f>TEXT(OrganizedData[[#This Row],[Order Date]],"mmm")</f>
        <v>Mar</v>
      </c>
      <c r="M155" s="2">
        <v>54</v>
      </c>
      <c r="N155" s="2" t="s">
        <v>39</v>
      </c>
      <c r="O155" s="2" t="str">
        <f>VLOOKUP(OrganizedData[[#This Row],[Product Code]],ProductData[[Code]:[Item]],2,FALSE)</f>
        <v>Ultrathing V1</v>
      </c>
      <c r="P155" s="4">
        <f>OrganizedData[[#This Row],[Quantity]]*VLOOKUP(OrganizedData[[#This Row],[Product Code]],ProductData[],4,FALSE)</f>
        <v>918</v>
      </c>
      <c r="Q155" s="6">
        <f>OrganizedData[[#This Row],[Total Items Ordered]]*VLOOKUP(OrganizedData[[#This Row],[Product Code]],ProductData[],3,FALSE)</f>
        <v>1643.22</v>
      </c>
      <c r="R1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1561.059</v>
      </c>
    </row>
    <row r="156" spans="1:18" x14ac:dyDescent="0.3">
      <c r="A156" s="2">
        <v>149</v>
      </c>
      <c r="B156" s="2" t="s">
        <v>650</v>
      </c>
      <c r="C156" s="2" t="s">
        <v>651</v>
      </c>
      <c r="D156" s="2" t="s">
        <v>15</v>
      </c>
      <c r="E156" s="2" t="s">
        <v>16</v>
      </c>
      <c r="F156" s="2">
        <v>60</v>
      </c>
      <c r="G156" s="2" t="s">
        <v>648</v>
      </c>
      <c r="H156" s="2" t="s">
        <v>652</v>
      </c>
      <c r="I156" s="2" t="s">
        <v>32</v>
      </c>
      <c r="J156" s="3">
        <v>44196</v>
      </c>
      <c r="K156" s="5">
        <f>YEAR(OrganizedData[[#This Row],[Order Date]])</f>
        <v>2020</v>
      </c>
      <c r="L156" s="7" t="str">
        <f>TEXT(OrganizedData[[#This Row],[Order Date]],"mmm")</f>
        <v>Dec</v>
      </c>
      <c r="M156" s="2">
        <v>69</v>
      </c>
      <c r="N156" s="2" t="s">
        <v>33</v>
      </c>
      <c r="O156" s="2" t="str">
        <f>VLOOKUP(OrganizedData[[#This Row],[Product Code]],ProductData[[Code]:[Item]],2,FALSE)</f>
        <v>Megawidget L</v>
      </c>
      <c r="P156" s="4">
        <f>OrganizedData[[#This Row],[Quantity]]*VLOOKUP(OrganizedData[[#This Row],[Product Code]],ProductData[],4,FALSE)</f>
        <v>1656</v>
      </c>
      <c r="Q156" s="6">
        <f>OrganizedData[[#This Row],[Total Items Ordered]]*VLOOKUP(OrganizedData[[#This Row],[Product Code]],ProductData[],3,FALSE)</f>
        <v>2964.2400000000002</v>
      </c>
      <c r="R1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2816.0280000000002</v>
      </c>
    </row>
    <row r="157" spans="1:18" x14ac:dyDescent="0.3">
      <c r="A157" s="2">
        <v>150</v>
      </c>
      <c r="B157" s="2" t="s">
        <v>653</v>
      </c>
      <c r="C157" s="2" t="s">
        <v>585</v>
      </c>
      <c r="D157" s="2" t="s">
        <v>28</v>
      </c>
      <c r="E157" s="2" t="s">
        <v>29</v>
      </c>
      <c r="F157" s="2">
        <v>60</v>
      </c>
      <c r="G157" s="2" t="s">
        <v>654</v>
      </c>
      <c r="H157" s="2" t="s">
        <v>655</v>
      </c>
      <c r="I157" s="2" t="s">
        <v>32</v>
      </c>
      <c r="J157" s="3">
        <v>43989</v>
      </c>
      <c r="K157" s="5">
        <f>YEAR(OrganizedData[[#This Row],[Order Date]])</f>
        <v>2020</v>
      </c>
      <c r="L157" s="7" t="str">
        <f>TEXT(OrganizedData[[#This Row],[Order Date]],"mmm")</f>
        <v>Jun</v>
      </c>
      <c r="M157" s="2">
        <v>15</v>
      </c>
      <c r="N157" s="2" t="s">
        <v>45</v>
      </c>
      <c r="O157" s="2" t="str">
        <f>VLOOKUP(OrganizedData[[#This Row],[Product Code]],ProductData[[Code]:[Item]],2,FALSE)</f>
        <v>Gigastuff</v>
      </c>
      <c r="P157" s="4">
        <f>OrganizedData[[#This Row],[Quantity]]*VLOOKUP(OrganizedData[[#This Row],[Product Code]],ProductData[],4,FALSE)</f>
        <v>270</v>
      </c>
      <c r="Q157" s="6">
        <f>OrganizedData[[#This Row],[Total Items Ordered]]*VLOOKUP(OrganizedData[[#This Row],[Product Code]],ProductData[],3,FALSE)</f>
        <v>510.29999999999995</v>
      </c>
      <c r="R1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510.29999999999995</v>
      </c>
    </row>
    <row r="158" spans="1:18" x14ac:dyDescent="0.3">
      <c r="A158" s="2">
        <v>151</v>
      </c>
      <c r="B158" s="2" t="s">
        <v>656</v>
      </c>
      <c r="C158" s="2" t="s">
        <v>657</v>
      </c>
      <c r="D158" s="2" t="s">
        <v>51</v>
      </c>
      <c r="E158" s="2" t="s">
        <v>16</v>
      </c>
      <c r="F158" s="2">
        <v>90</v>
      </c>
      <c r="G158" s="2" t="s">
        <v>658</v>
      </c>
      <c r="H158" s="2" t="s">
        <v>659</v>
      </c>
      <c r="I158" s="2" t="s">
        <v>32</v>
      </c>
      <c r="J158" s="3">
        <v>44411</v>
      </c>
      <c r="K158" s="5">
        <f>YEAR(OrganizedData[[#This Row],[Order Date]])</f>
        <v>2021</v>
      </c>
      <c r="L158" s="7" t="str">
        <f>TEXT(OrganizedData[[#This Row],[Order Date]],"mmm")</f>
        <v>Aug</v>
      </c>
      <c r="M158" s="2">
        <v>65</v>
      </c>
      <c r="N158" s="2" t="s">
        <v>64</v>
      </c>
      <c r="O158" s="2" t="str">
        <f>VLOOKUP(OrganizedData[[#This Row],[Product Code]],ProductData[[Code]:[Item]],2,FALSE)</f>
        <v>Ultrathing V4</v>
      </c>
      <c r="P158" s="4">
        <f>OrganizedData[[#This Row],[Quantity]]*VLOOKUP(OrganizedData[[#This Row],[Product Code]],ProductData[],4,FALSE)</f>
        <v>1560</v>
      </c>
      <c r="Q158" s="6">
        <f>OrganizedData[[#This Row],[Total Items Ordered]]*VLOOKUP(OrganizedData[[#This Row],[Product Code]],ProductData[],3,FALSE)</f>
        <v>6224.4000000000005</v>
      </c>
      <c r="R1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5913.18</v>
      </c>
    </row>
    <row r="159" spans="1:18" x14ac:dyDescent="0.3">
      <c r="A159" s="2">
        <v>152</v>
      </c>
      <c r="B159" s="2" t="s">
        <v>660</v>
      </c>
      <c r="C159" s="2" t="s">
        <v>661</v>
      </c>
      <c r="D159" s="2" t="s">
        <v>28</v>
      </c>
      <c r="E159" s="2" t="s">
        <v>29</v>
      </c>
      <c r="F159" s="2">
        <v>90</v>
      </c>
      <c r="G159" s="2" t="s">
        <v>662</v>
      </c>
      <c r="H159" s="2" t="s">
        <v>663</v>
      </c>
      <c r="I159" s="2" t="s">
        <v>32</v>
      </c>
      <c r="J159" s="3">
        <v>44090</v>
      </c>
      <c r="K159" s="5">
        <f>YEAR(OrganizedData[[#This Row],[Order Date]])</f>
        <v>2020</v>
      </c>
      <c r="L159" s="7" t="str">
        <f>TEXT(OrganizedData[[#This Row],[Order Date]],"mmm")</f>
        <v>Sep</v>
      </c>
      <c r="M159" s="2">
        <v>54</v>
      </c>
      <c r="N159" s="2" t="s">
        <v>39</v>
      </c>
      <c r="O159" s="2" t="str">
        <f>VLOOKUP(OrganizedData[[#This Row],[Product Code]],ProductData[[Code]:[Item]],2,FALSE)</f>
        <v>Ultrathing V1</v>
      </c>
      <c r="P159" s="4">
        <f>OrganizedData[[#This Row],[Quantity]]*VLOOKUP(OrganizedData[[#This Row],[Product Code]],ProductData[],4,FALSE)</f>
        <v>918</v>
      </c>
      <c r="Q159" s="6">
        <f>OrganizedData[[#This Row],[Total Items Ordered]]*VLOOKUP(OrganizedData[[#This Row],[Product Code]],ProductData[],3,FALSE)</f>
        <v>1643.22</v>
      </c>
      <c r="R1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1561.059</v>
      </c>
    </row>
    <row r="160" spans="1:18" x14ac:dyDescent="0.3">
      <c r="A160" s="2">
        <v>153</v>
      </c>
      <c r="B160" s="2" t="s">
        <v>664</v>
      </c>
      <c r="C160" s="2" t="s">
        <v>665</v>
      </c>
      <c r="D160" s="2" t="s">
        <v>51</v>
      </c>
      <c r="E160" s="2" t="s">
        <v>16</v>
      </c>
      <c r="F160" s="2">
        <v>30</v>
      </c>
      <c r="G160" s="2" t="s">
        <v>666</v>
      </c>
      <c r="H160" s="2" t="s">
        <v>667</v>
      </c>
      <c r="I160" s="2" t="s">
        <v>25</v>
      </c>
      <c r="J160" s="3">
        <v>44613</v>
      </c>
      <c r="K160" s="5">
        <f>YEAR(OrganizedData[[#This Row],[Order Date]])</f>
        <v>2022</v>
      </c>
      <c r="L160" s="7" t="str">
        <f>TEXT(OrganizedData[[#This Row],[Order Date]],"mmm")</f>
        <v>Feb</v>
      </c>
      <c r="M160" s="2">
        <v>58</v>
      </c>
      <c r="N160" s="2" t="s">
        <v>80</v>
      </c>
      <c r="O160" s="2" t="str">
        <f>VLOOKUP(OrganizedData[[#This Row],[Product Code]],ProductData[[Code]:[Item]],2,FALSE)</f>
        <v>Ultrathing V2</v>
      </c>
      <c r="P160" s="4">
        <f>OrganizedData[[#This Row],[Quantity]]*VLOOKUP(OrganizedData[[#This Row],[Product Code]],ProductData[],4,FALSE)</f>
        <v>1160</v>
      </c>
      <c r="Q160" s="6">
        <f>OrganizedData[[#This Row],[Total Items Ordered]]*VLOOKUP(OrganizedData[[#This Row],[Product Code]],ProductData[],3,FALSE)</f>
        <v>3422</v>
      </c>
      <c r="R1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3250.8999999999996</v>
      </c>
    </row>
    <row r="161" spans="1:18" x14ac:dyDescent="0.3">
      <c r="A161" s="2">
        <v>154</v>
      </c>
      <c r="B161" s="2" t="s">
        <v>668</v>
      </c>
      <c r="C161" s="2" t="s">
        <v>669</v>
      </c>
      <c r="D161" s="2" t="s">
        <v>28</v>
      </c>
      <c r="E161" s="2" t="s">
        <v>29</v>
      </c>
      <c r="F161" s="2">
        <v>60</v>
      </c>
      <c r="G161" s="2" t="s">
        <v>670</v>
      </c>
      <c r="H161" s="2" t="s">
        <v>549</v>
      </c>
      <c r="I161" s="2" t="s">
        <v>425</v>
      </c>
      <c r="J161" s="3">
        <v>44877</v>
      </c>
      <c r="K161" s="5">
        <f>YEAR(OrganizedData[[#This Row],[Order Date]])</f>
        <v>2022</v>
      </c>
      <c r="L161" s="7" t="str">
        <f>TEXT(OrganizedData[[#This Row],[Order Date]],"mmm")</f>
        <v>Nov</v>
      </c>
      <c r="M161" s="2">
        <v>43</v>
      </c>
      <c r="N161" s="2" t="s">
        <v>20</v>
      </c>
      <c r="O161" s="2" t="str">
        <f>VLOOKUP(OrganizedData[[#This Row],[Product Code]],ProductData[[Code]:[Item]],2,FALSE)</f>
        <v>Hyperwotsit</v>
      </c>
      <c r="P161" s="4">
        <f>OrganizedData[[#This Row],[Quantity]]*VLOOKUP(OrganizedData[[#This Row],[Product Code]],ProductData[],4,FALSE)</f>
        <v>860</v>
      </c>
      <c r="Q161" s="6">
        <f>OrganizedData[[#This Row],[Total Items Ordered]]*VLOOKUP(OrganizedData[[#This Row],[Product Code]],ProductData[],3,FALSE)</f>
        <v>1728.6</v>
      </c>
      <c r="R1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1676.742</v>
      </c>
    </row>
    <row r="162" spans="1:18" x14ac:dyDescent="0.3">
      <c r="A162" s="2">
        <v>155</v>
      </c>
      <c r="B162" s="2" t="s">
        <v>671</v>
      </c>
      <c r="C162" s="2" t="s">
        <v>672</v>
      </c>
      <c r="D162" s="2" t="s">
        <v>15</v>
      </c>
      <c r="E162" s="2" t="s">
        <v>16</v>
      </c>
      <c r="F162" s="2">
        <v>30</v>
      </c>
      <c r="G162" s="2" t="s">
        <v>673</v>
      </c>
      <c r="H162" s="2" t="s">
        <v>674</v>
      </c>
      <c r="I162" s="2" t="s">
        <v>32</v>
      </c>
      <c r="J162" s="3">
        <v>44881</v>
      </c>
      <c r="K162" s="5">
        <f>YEAR(OrganizedData[[#This Row],[Order Date]])</f>
        <v>2022</v>
      </c>
      <c r="L162" s="7" t="str">
        <f>TEXT(OrganizedData[[#This Row],[Order Date]],"mmm")</f>
        <v>Nov</v>
      </c>
      <c r="M162" s="2">
        <v>67</v>
      </c>
      <c r="N162" s="2" t="s">
        <v>20</v>
      </c>
      <c r="O162" s="2" t="str">
        <f>VLOOKUP(OrganizedData[[#This Row],[Product Code]],ProductData[[Code]:[Item]],2,FALSE)</f>
        <v>Hyperwotsit</v>
      </c>
      <c r="P162" s="4">
        <f>OrganizedData[[#This Row],[Quantity]]*VLOOKUP(OrganizedData[[#This Row],[Product Code]],ProductData[],4,FALSE)</f>
        <v>1340</v>
      </c>
      <c r="Q162" s="6">
        <f>OrganizedData[[#This Row],[Total Items Ordered]]*VLOOKUP(OrganizedData[[#This Row],[Product Code]],ProductData[],3,FALSE)</f>
        <v>2693.3999999999996</v>
      </c>
      <c r="R1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2558.7299999999996</v>
      </c>
    </row>
    <row r="163" spans="1:18" x14ac:dyDescent="0.3">
      <c r="A163" s="2">
        <v>156</v>
      </c>
      <c r="B163" s="2" t="s">
        <v>675</v>
      </c>
      <c r="C163" s="2" t="s">
        <v>676</v>
      </c>
      <c r="D163" s="2" t="s">
        <v>28</v>
      </c>
      <c r="E163" s="2" t="s">
        <v>29</v>
      </c>
      <c r="F163" s="2">
        <v>30</v>
      </c>
      <c r="G163" s="2" t="s">
        <v>677</v>
      </c>
      <c r="H163" s="2" t="s">
        <v>678</v>
      </c>
      <c r="I163" s="2" t="s">
        <v>32</v>
      </c>
      <c r="J163" s="3">
        <v>44494</v>
      </c>
      <c r="K163" s="5">
        <f>YEAR(OrganizedData[[#This Row],[Order Date]])</f>
        <v>2021</v>
      </c>
      <c r="L163" s="7" t="str">
        <f>TEXT(OrganizedData[[#This Row],[Order Date]],"mmm")</f>
        <v>Oct</v>
      </c>
      <c r="M163" s="2">
        <v>87</v>
      </c>
      <c r="N163" s="2" t="s">
        <v>80</v>
      </c>
      <c r="O163" s="2" t="str">
        <f>VLOOKUP(OrganizedData[[#This Row],[Product Code]],ProductData[[Code]:[Item]],2,FALSE)</f>
        <v>Ultrathing V2</v>
      </c>
      <c r="P163" s="4">
        <f>OrganizedData[[#This Row],[Quantity]]*VLOOKUP(OrganizedData[[#This Row],[Product Code]],ProductData[],4,FALSE)</f>
        <v>1740</v>
      </c>
      <c r="Q163" s="6">
        <f>OrganizedData[[#This Row],[Total Items Ordered]]*VLOOKUP(OrganizedData[[#This Row],[Product Code]],ProductData[],3,FALSE)</f>
        <v>5133</v>
      </c>
      <c r="R1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164" spans="1:18" x14ac:dyDescent="0.3">
      <c r="A164" s="2">
        <v>157</v>
      </c>
      <c r="B164" s="2" t="s">
        <v>679</v>
      </c>
      <c r="C164" s="2" t="s">
        <v>680</v>
      </c>
      <c r="D164" s="2" t="s">
        <v>28</v>
      </c>
      <c r="E164" s="2" t="s">
        <v>29</v>
      </c>
      <c r="F164" s="2">
        <v>90</v>
      </c>
      <c r="G164" s="2" t="s">
        <v>681</v>
      </c>
      <c r="H164" s="2" t="s">
        <v>682</v>
      </c>
      <c r="I164" s="2" t="s">
        <v>32</v>
      </c>
      <c r="J164" s="3">
        <v>44121</v>
      </c>
      <c r="K164" s="5">
        <f>YEAR(OrganizedData[[#This Row],[Order Date]])</f>
        <v>2020</v>
      </c>
      <c r="L164" s="7" t="str">
        <f>TEXT(OrganizedData[[#This Row],[Order Date]],"mmm")</f>
        <v>Oct</v>
      </c>
      <c r="M164" s="2">
        <v>13</v>
      </c>
      <c r="N164" s="2" t="s">
        <v>45</v>
      </c>
      <c r="O164" s="2" t="str">
        <f>VLOOKUP(OrganizedData[[#This Row],[Product Code]],ProductData[[Code]:[Item]],2,FALSE)</f>
        <v>Gigastuff</v>
      </c>
      <c r="P164" s="4">
        <f>OrganizedData[[#This Row],[Quantity]]*VLOOKUP(OrganizedData[[#This Row],[Product Code]],ProductData[],4,FALSE)</f>
        <v>234</v>
      </c>
      <c r="Q164" s="6">
        <f>OrganizedData[[#This Row],[Total Items Ordered]]*VLOOKUP(OrganizedData[[#This Row],[Product Code]],ProductData[],3,FALSE)</f>
        <v>442.26</v>
      </c>
      <c r="R1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165" spans="1:18" x14ac:dyDescent="0.3">
      <c r="A165" s="2">
        <v>158</v>
      </c>
      <c r="B165" s="2" t="s">
        <v>683</v>
      </c>
      <c r="C165" s="2" t="s">
        <v>445</v>
      </c>
      <c r="D165" s="2" t="s">
        <v>28</v>
      </c>
      <c r="E165" s="2" t="s">
        <v>29</v>
      </c>
      <c r="F165" s="2">
        <v>60</v>
      </c>
      <c r="G165" s="2" t="s">
        <v>684</v>
      </c>
      <c r="H165" s="2" t="s">
        <v>685</v>
      </c>
      <c r="I165" s="2" t="s">
        <v>686</v>
      </c>
      <c r="J165" s="3">
        <v>43985</v>
      </c>
      <c r="K165" s="5">
        <f>YEAR(OrganizedData[[#This Row],[Order Date]])</f>
        <v>2020</v>
      </c>
      <c r="L165" s="7" t="str">
        <f>TEXT(OrganizedData[[#This Row],[Order Date]],"mmm")</f>
        <v>Jun</v>
      </c>
      <c r="M165" s="2">
        <v>54</v>
      </c>
      <c r="N165" s="2" t="s">
        <v>70</v>
      </c>
      <c r="O165" s="2" t="str">
        <f>VLOOKUP(OrganizedData[[#This Row],[Product Code]],ProductData[[Code]:[Item]],2,FALSE)</f>
        <v>Megawidget M</v>
      </c>
      <c r="P165" s="4">
        <f>OrganizedData[[#This Row],[Quantity]]*VLOOKUP(OrganizedData[[#This Row],[Product Code]],ProductData[],4,FALSE)</f>
        <v>1296</v>
      </c>
      <c r="Q165" s="6">
        <f>OrganizedData[[#This Row],[Total Items Ordered]]*VLOOKUP(OrganizedData[[#This Row],[Product Code]],ProductData[],3,FALSE)</f>
        <v>1671.8400000000001</v>
      </c>
      <c r="R1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1588.248</v>
      </c>
    </row>
    <row r="166" spans="1:18" x14ac:dyDescent="0.3">
      <c r="A166" s="2">
        <v>159</v>
      </c>
      <c r="B166" s="2" t="s">
        <v>687</v>
      </c>
      <c r="C166" s="2" t="s">
        <v>688</v>
      </c>
      <c r="D166" s="2" t="s">
        <v>51</v>
      </c>
      <c r="E166" s="2" t="s">
        <v>16</v>
      </c>
      <c r="F166" s="2">
        <v>60</v>
      </c>
      <c r="G166" s="2" t="s">
        <v>689</v>
      </c>
      <c r="H166" s="2" t="s">
        <v>690</v>
      </c>
      <c r="I166" s="2" t="s">
        <v>32</v>
      </c>
      <c r="J166" s="3">
        <v>44255</v>
      </c>
      <c r="K166" s="5">
        <f>YEAR(OrganizedData[[#This Row],[Order Date]])</f>
        <v>2021</v>
      </c>
      <c r="L166" s="7" t="str">
        <f>TEXT(OrganizedData[[#This Row],[Order Date]],"mmm")</f>
        <v>Feb</v>
      </c>
      <c r="M166" s="2">
        <v>39</v>
      </c>
      <c r="N166" s="2" t="s">
        <v>80</v>
      </c>
      <c r="O166" s="2" t="str">
        <f>VLOOKUP(OrganizedData[[#This Row],[Product Code]],ProductData[[Code]:[Item]],2,FALSE)</f>
        <v>Ultrathing V2</v>
      </c>
      <c r="P166" s="4">
        <f>OrganizedData[[#This Row],[Quantity]]*VLOOKUP(OrganizedData[[#This Row],[Product Code]],ProductData[],4,FALSE)</f>
        <v>780</v>
      </c>
      <c r="Q166" s="6">
        <f>OrganizedData[[#This Row],[Total Items Ordered]]*VLOOKUP(OrganizedData[[#This Row],[Product Code]],ProductData[],3,FALSE)</f>
        <v>2301</v>
      </c>
      <c r="R1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167" spans="1:18" x14ac:dyDescent="0.3">
      <c r="A167" s="2">
        <v>160</v>
      </c>
      <c r="B167" s="2" t="s">
        <v>691</v>
      </c>
      <c r="C167" s="2" t="s">
        <v>692</v>
      </c>
      <c r="D167" s="2" t="s">
        <v>28</v>
      </c>
      <c r="E167" s="2" t="s">
        <v>29</v>
      </c>
      <c r="F167" s="2">
        <v>30</v>
      </c>
      <c r="G167" s="2" t="s">
        <v>693</v>
      </c>
      <c r="H167" s="2" t="s">
        <v>694</v>
      </c>
      <c r="I167" s="2" t="s">
        <v>32</v>
      </c>
      <c r="J167" s="3">
        <v>44019</v>
      </c>
      <c r="K167" s="5">
        <f>YEAR(OrganizedData[[#This Row],[Order Date]])</f>
        <v>2020</v>
      </c>
      <c r="L167" s="7" t="str">
        <f>TEXT(OrganizedData[[#This Row],[Order Date]],"mmm")</f>
        <v>Jul</v>
      </c>
      <c r="M167" s="2">
        <v>75</v>
      </c>
      <c r="N167" s="2" t="s">
        <v>159</v>
      </c>
      <c r="O167" s="2" t="str">
        <f>VLOOKUP(OrganizedData[[#This Row],[Product Code]],ProductData[[Code]:[Item]],2,FALSE)</f>
        <v>Ultrathing V3</v>
      </c>
      <c r="P167" s="4">
        <f>OrganizedData[[#This Row],[Quantity]]*VLOOKUP(OrganizedData[[#This Row],[Product Code]],ProductData[],4,FALSE)</f>
        <v>1800</v>
      </c>
      <c r="Q167" s="6">
        <f>OrganizedData[[#This Row],[Total Items Ordered]]*VLOOKUP(OrganizedData[[#This Row],[Product Code]],ProductData[],3,FALSE)</f>
        <v>6102</v>
      </c>
      <c r="R1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168" spans="1:18" x14ac:dyDescent="0.3">
      <c r="A168" s="2">
        <v>161</v>
      </c>
      <c r="B168" s="2" t="s">
        <v>695</v>
      </c>
      <c r="C168" s="2" t="s">
        <v>696</v>
      </c>
      <c r="D168" s="2" t="s">
        <v>51</v>
      </c>
      <c r="E168" s="2" t="s">
        <v>16</v>
      </c>
      <c r="F168" s="2">
        <v>30</v>
      </c>
      <c r="G168" s="2" t="s">
        <v>697</v>
      </c>
      <c r="H168" s="2" t="s">
        <v>698</v>
      </c>
      <c r="I168" s="2" t="s">
        <v>213</v>
      </c>
      <c r="J168" s="3">
        <v>44022</v>
      </c>
      <c r="K168" s="5">
        <f>YEAR(OrganizedData[[#This Row],[Order Date]])</f>
        <v>2020</v>
      </c>
      <c r="L168" s="7" t="str">
        <f>TEXT(OrganizedData[[#This Row],[Order Date]],"mmm")</f>
        <v>Jul</v>
      </c>
      <c r="M168" s="2">
        <v>47</v>
      </c>
      <c r="N168" s="2" t="s">
        <v>33</v>
      </c>
      <c r="O168" s="2" t="str">
        <f>VLOOKUP(OrganizedData[[#This Row],[Product Code]],ProductData[[Code]:[Item]],2,FALSE)</f>
        <v>Megawidget L</v>
      </c>
      <c r="P168" s="4">
        <f>OrganizedData[[#This Row],[Quantity]]*VLOOKUP(OrganizedData[[#This Row],[Product Code]],ProductData[],4,FALSE)</f>
        <v>1128</v>
      </c>
      <c r="Q168" s="6">
        <f>OrganizedData[[#This Row],[Total Items Ordered]]*VLOOKUP(OrganizedData[[#This Row],[Product Code]],ProductData[],3,FALSE)</f>
        <v>2019.1200000000001</v>
      </c>
      <c r="R1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169" spans="1:18" x14ac:dyDescent="0.3">
      <c r="A169" s="2">
        <v>162</v>
      </c>
      <c r="B169" s="2" t="s">
        <v>699</v>
      </c>
      <c r="C169" s="2" t="s">
        <v>700</v>
      </c>
      <c r="D169" s="2" t="s">
        <v>28</v>
      </c>
      <c r="E169" s="2" t="s">
        <v>29</v>
      </c>
      <c r="F169" s="2">
        <v>60</v>
      </c>
      <c r="G169" s="2" t="s">
        <v>701</v>
      </c>
      <c r="H169" s="2" t="s">
        <v>702</v>
      </c>
      <c r="I169" s="2" t="s">
        <v>703</v>
      </c>
      <c r="J169" s="3">
        <v>44743</v>
      </c>
      <c r="K169" s="5">
        <f>YEAR(OrganizedData[[#This Row],[Order Date]])</f>
        <v>2022</v>
      </c>
      <c r="L169" s="7" t="str">
        <f>TEXT(OrganizedData[[#This Row],[Order Date]],"mmm")</f>
        <v>Jul</v>
      </c>
      <c r="M169" s="2">
        <v>83</v>
      </c>
      <c r="N169" s="2" t="s">
        <v>80</v>
      </c>
      <c r="O169" s="2" t="str">
        <f>VLOOKUP(OrganizedData[[#This Row],[Product Code]],ProductData[[Code]:[Item]],2,FALSE)</f>
        <v>Ultrathing V2</v>
      </c>
      <c r="P169" s="4">
        <f>OrganizedData[[#This Row],[Quantity]]*VLOOKUP(OrganizedData[[#This Row],[Product Code]],ProductData[],4,FALSE)</f>
        <v>1660</v>
      </c>
      <c r="Q169" s="6">
        <f>OrganizedData[[#This Row],[Total Items Ordered]]*VLOOKUP(OrganizedData[[#This Row],[Product Code]],ProductData[],3,FALSE)</f>
        <v>4897</v>
      </c>
      <c r="R1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4652.1499999999996</v>
      </c>
    </row>
    <row r="170" spans="1:18" x14ac:dyDescent="0.3">
      <c r="A170" s="2">
        <v>163</v>
      </c>
      <c r="B170" s="2" t="s">
        <v>704</v>
      </c>
      <c r="C170" s="2" t="s">
        <v>705</v>
      </c>
      <c r="D170" s="2" t="s">
        <v>51</v>
      </c>
      <c r="E170" s="2" t="s">
        <v>16</v>
      </c>
      <c r="F170" s="2">
        <v>60</v>
      </c>
      <c r="G170" s="2" t="s">
        <v>706</v>
      </c>
      <c r="H170" s="2" t="s">
        <v>163</v>
      </c>
      <c r="I170" s="2" t="s">
        <v>164</v>
      </c>
      <c r="J170" s="3">
        <v>44405</v>
      </c>
      <c r="K170" s="5">
        <f>YEAR(OrganizedData[[#This Row],[Order Date]])</f>
        <v>2021</v>
      </c>
      <c r="L170" s="7" t="str">
        <f>TEXT(OrganizedData[[#This Row],[Order Date]],"mmm")</f>
        <v>Jul</v>
      </c>
      <c r="M170" s="2">
        <v>64</v>
      </c>
      <c r="N170" s="2" t="s">
        <v>101</v>
      </c>
      <c r="O170" s="2" t="str">
        <f>VLOOKUP(OrganizedData[[#This Row],[Product Code]],ProductData[[Code]:[Item]],2,FALSE)</f>
        <v>Superwossname</v>
      </c>
      <c r="P170" s="4">
        <f>OrganizedData[[#This Row],[Quantity]]*VLOOKUP(OrganizedData[[#This Row],[Product Code]],ProductData[],4,FALSE)</f>
        <v>1280</v>
      </c>
      <c r="Q170" s="6">
        <f>OrganizedData[[#This Row],[Total Items Ordered]]*VLOOKUP(OrganizedData[[#This Row],[Product Code]],ProductData[],3,FALSE)</f>
        <v>4467.2000000000007</v>
      </c>
      <c r="R1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171" spans="1:18" x14ac:dyDescent="0.3">
      <c r="A171" s="2">
        <v>164</v>
      </c>
      <c r="B171" s="2" t="s">
        <v>707</v>
      </c>
      <c r="C171" s="2" t="s">
        <v>708</v>
      </c>
      <c r="D171" s="2" t="s">
        <v>28</v>
      </c>
      <c r="E171" s="2" t="s">
        <v>29</v>
      </c>
      <c r="F171" s="2">
        <v>30</v>
      </c>
      <c r="G171" s="2" t="s">
        <v>709</v>
      </c>
      <c r="H171" s="2" t="s">
        <v>710</v>
      </c>
      <c r="I171" s="2" t="s">
        <v>187</v>
      </c>
      <c r="J171" s="3">
        <v>44495</v>
      </c>
      <c r="K171" s="5">
        <f>YEAR(OrganizedData[[#This Row],[Order Date]])</f>
        <v>2021</v>
      </c>
      <c r="L171" s="7" t="str">
        <f>TEXT(OrganizedData[[#This Row],[Order Date]],"mmm")</f>
        <v>Oct</v>
      </c>
      <c r="M171" s="2">
        <v>36</v>
      </c>
      <c r="N171" s="2" t="s">
        <v>45</v>
      </c>
      <c r="O171" s="2" t="str">
        <f>VLOOKUP(OrganizedData[[#This Row],[Product Code]],ProductData[[Code]:[Item]],2,FALSE)</f>
        <v>Gigastuff</v>
      </c>
      <c r="P171" s="4">
        <f>OrganizedData[[#This Row],[Quantity]]*VLOOKUP(OrganizedData[[#This Row],[Product Code]],ProductData[],4,FALSE)</f>
        <v>648</v>
      </c>
      <c r="Q171" s="6">
        <f>OrganizedData[[#This Row],[Total Items Ordered]]*VLOOKUP(OrganizedData[[#This Row],[Product Code]],ProductData[],3,FALSE)</f>
        <v>1224.72</v>
      </c>
      <c r="R1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1187.9784</v>
      </c>
    </row>
    <row r="172" spans="1:18" x14ac:dyDescent="0.3">
      <c r="A172" s="2">
        <v>165</v>
      </c>
      <c r="B172" s="2" t="s">
        <v>711</v>
      </c>
      <c r="C172" s="2" t="s">
        <v>82</v>
      </c>
      <c r="D172" s="2" t="s">
        <v>28</v>
      </c>
      <c r="E172" s="2" t="s">
        <v>29</v>
      </c>
      <c r="F172" s="2">
        <v>30</v>
      </c>
      <c r="G172" s="2" t="s">
        <v>712</v>
      </c>
      <c r="H172" s="2" t="s">
        <v>713</v>
      </c>
      <c r="I172" s="2" t="s">
        <v>146</v>
      </c>
      <c r="J172" s="3">
        <v>44252</v>
      </c>
      <c r="K172" s="5">
        <f>YEAR(OrganizedData[[#This Row],[Order Date]])</f>
        <v>2021</v>
      </c>
      <c r="L172" s="7" t="str">
        <f>TEXT(OrganizedData[[#This Row],[Order Date]],"mmm")</f>
        <v>Feb</v>
      </c>
      <c r="M172" s="2">
        <v>36</v>
      </c>
      <c r="N172" s="2" t="s">
        <v>45</v>
      </c>
      <c r="O172" s="2" t="str">
        <f>VLOOKUP(OrganizedData[[#This Row],[Product Code]],ProductData[[Code]:[Item]],2,FALSE)</f>
        <v>Gigastuff</v>
      </c>
      <c r="P172" s="4">
        <f>OrganizedData[[#This Row],[Quantity]]*VLOOKUP(OrganizedData[[#This Row],[Product Code]],ProductData[],4,FALSE)</f>
        <v>648</v>
      </c>
      <c r="Q172" s="6">
        <f>OrganizedData[[#This Row],[Total Items Ordered]]*VLOOKUP(OrganizedData[[#This Row],[Product Code]],ProductData[],3,FALSE)</f>
        <v>1224.72</v>
      </c>
      <c r="R1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1187.9784</v>
      </c>
    </row>
    <row r="173" spans="1:18" x14ac:dyDescent="0.3">
      <c r="A173" s="2">
        <v>166</v>
      </c>
      <c r="B173" s="2" t="s">
        <v>714</v>
      </c>
      <c r="C173" s="2" t="s">
        <v>715</v>
      </c>
      <c r="D173" s="2" t="s">
        <v>28</v>
      </c>
      <c r="E173" s="2" t="s">
        <v>29</v>
      </c>
      <c r="F173" s="2">
        <v>30</v>
      </c>
      <c r="G173" s="2" t="s">
        <v>712</v>
      </c>
      <c r="H173" s="2" t="s">
        <v>716</v>
      </c>
      <c r="I173" s="2" t="s">
        <v>32</v>
      </c>
      <c r="J173" s="3">
        <v>44294</v>
      </c>
      <c r="K173" s="5">
        <f>YEAR(OrganizedData[[#This Row],[Order Date]])</f>
        <v>2021</v>
      </c>
      <c r="L173" s="7" t="str">
        <f>TEXT(OrganizedData[[#This Row],[Order Date]],"mmm")</f>
        <v>Apr</v>
      </c>
      <c r="M173" s="2">
        <v>91</v>
      </c>
      <c r="N173" s="2" t="s">
        <v>80</v>
      </c>
      <c r="O173" s="2" t="str">
        <f>VLOOKUP(OrganizedData[[#This Row],[Product Code]],ProductData[[Code]:[Item]],2,FALSE)</f>
        <v>Ultrathing V2</v>
      </c>
      <c r="P173" s="4">
        <f>OrganizedData[[#This Row],[Quantity]]*VLOOKUP(OrganizedData[[#This Row],[Product Code]],ProductData[],4,FALSE)</f>
        <v>1820</v>
      </c>
      <c r="Q173" s="6">
        <f>OrganizedData[[#This Row],[Total Items Ordered]]*VLOOKUP(OrganizedData[[#This Row],[Product Code]],ProductData[],3,FALSE)</f>
        <v>5369</v>
      </c>
      <c r="R1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174" spans="1:18" x14ac:dyDescent="0.3">
      <c r="A174" s="2">
        <v>167</v>
      </c>
      <c r="B174" s="2" t="s">
        <v>717</v>
      </c>
      <c r="C174" s="2" t="s">
        <v>718</v>
      </c>
      <c r="D174" s="2" t="s">
        <v>51</v>
      </c>
      <c r="E174" s="2" t="s">
        <v>16</v>
      </c>
      <c r="F174" s="2">
        <v>60</v>
      </c>
      <c r="G174" s="2" t="s">
        <v>10459</v>
      </c>
      <c r="H174" s="2" t="s">
        <v>720</v>
      </c>
      <c r="I174" s="2" t="s">
        <v>686</v>
      </c>
      <c r="J174" s="3">
        <v>44720</v>
      </c>
      <c r="K174" s="5">
        <f>YEAR(OrganizedData[[#This Row],[Order Date]])</f>
        <v>2022</v>
      </c>
      <c r="L174" s="7" t="str">
        <f>TEXT(OrganizedData[[#This Row],[Order Date]],"mmm")</f>
        <v>Jun</v>
      </c>
      <c r="M174" s="2">
        <v>73</v>
      </c>
      <c r="N174" s="2" t="s">
        <v>159</v>
      </c>
      <c r="O174" s="2" t="str">
        <f>VLOOKUP(OrganizedData[[#This Row],[Product Code]],ProductData[[Code]:[Item]],2,FALSE)</f>
        <v>Ultrathing V3</v>
      </c>
      <c r="P174" s="4">
        <f>OrganizedData[[#This Row],[Quantity]]*VLOOKUP(OrganizedData[[#This Row],[Product Code]],ProductData[],4,FALSE)</f>
        <v>1752</v>
      </c>
      <c r="Q174" s="6">
        <f>OrganizedData[[#This Row],[Total Items Ordered]]*VLOOKUP(OrganizedData[[#This Row],[Product Code]],ProductData[],3,FALSE)</f>
        <v>5939.2800000000007</v>
      </c>
      <c r="R1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175" spans="1:18" x14ac:dyDescent="0.3">
      <c r="A175" s="2">
        <v>168</v>
      </c>
      <c r="B175" s="2" t="s">
        <v>721</v>
      </c>
      <c r="C175" s="2" t="s">
        <v>722</v>
      </c>
      <c r="D175" s="2" t="s">
        <v>28</v>
      </c>
      <c r="E175" s="2" t="s">
        <v>29</v>
      </c>
      <c r="F175" s="2">
        <v>60</v>
      </c>
      <c r="G175" s="2" t="s">
        <v>723</v>
      </c>
      <c r="H175" s="2" t="s">
        <v>724</v>
      </c>
      <c r="I175" s="2" t="s">
        <v>240</v>
      </c>
      <c r="J175" s="3">
        <v>44849</v>
      </c>
      <c r="K175" s="5">
        <f>YEAR(OrganizedData[[#This Row],[Order Date]])</f>
        <v>2022</v>
      </c>
      <c r="L175" s="7" t="str">
        <f>TEXT(OrganizedData[[#This Row],[Order Date]],"mmm")</f>
        <v>Oct</v>
      </c>
      <c r="M175" s="2">
        <v>52</v>
      </c>
      <c r="N175" s="2" t="s">
        <v>70</v>
      </c>
      <c r="O175" s="2" t="str">
        <f>VLOOKUP(OrganizedData[[#This Row],[Product Code]],ProductData[[Code]:[Item]],2,FALSE)</f>
        <v>Megawidget M</v>
      </c>
      <c r="P175" s="4">
        <f>OrganizedData[[#This Row],[Quantity]]*VLOOKUP(OrganizedData[[#This Row],[Product Code]],ProductData[],4,FALSE)</f>
        <v>1248</v>
      </c>
      <c r="Q175" s="6">
        <f>OrganizedData[[#This Row],[Total Items Ordered]]*VLOOKUP(OrganizedData[[#This Row],[Product Code]],ProductData[],3,FALSE)</f>
        <v>1609.92</v>
      </c>
      <c r="R1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1529.424</v>
      </c>
    </row>
    <row r="176" spans="1:18" x14ac:dyDescent="0.3">
      <c r="A176" s="2">
        <v>169</v>
      </c>
      <c r="B176" s="2" t="s">
        <v>725</v>
      </c>
      <c r="C176" s="2" t="s">
        <v>242</v>
      </c>
      <c r="D176" s="2" t="s">
        <v>28</v>
      </c>
      <c r="E176" s="2" t="s">
        <v>29</v>
      </c>
      <c r="F176" s="2">
        <v>60</v>
      </c>
      <c r="G176" s="2" t="s">
        <v>723</v>
      </c>
      <c r="H176" s="2" t="s">
        <v>726</v>
      </c>
      <c r="I176" s="2" t="s">
        <v>32</v>
      </c>
      <c r="J176" s="3">
        <v>44766</v>
      </c>
      <c r="K176" s="5">
        <f>YEAR(OrganizedData[[#This Row],[Order Date]])</f>
        <v>2022</v>
      </c>
      <c r="L176" s="7" t="str">
        <f>TEXT(OrganizedData[[#This Row],[Order Date]],"mmm")</f>
        <v>Jul</v>
      </c>
      <c r="M176" s="2">
        <v>94</v>
      </c>
      <c r="N176" s="2" t="s">
        <v>33</v>
      </c>
      <c r="O176" s="2" t="str">
        <f>VLOOKUP(OrganizedData[[#This Row],[Product Code]],ProductData[[Code]:[Item]],2,FALSE)</f>
        <v>Megawidget L</v>
      </c>
      <c r="P176" s="4">
        <f>OrganizedData[[#This Row],[Quantity]]*VLOOKUP(OrganizedData[[#This Row],[Product Code]],ProductData[],4,FALSE)</f>
        <v>2256</v>
      </c>
      <c r="Q176" s="6">
        <f>OrganizedData[[#This Row],[Total Items Ordered]]*VLOOKUP(OrganizedData[[#This Row],[Product Code]],ProductData[],3,FALSE)</f>
        <v>4038.2400000000002</v>
      </c>
      <c r="R1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3836.328</v>
      </c>
    </row>
    <row r="177" spans="1:18" x14ac:dyDescent="0.3">
      <c r="A177" s="2">
        <v>170</v>
      </c>
      <c r="B177" s="2" t="s">
        <v>727</v>
      </c>
      <c r="C177" s="2" t="s">
        <v>728</v>
      </c>
      <c r="D177" s="2" t="s">
        <v>28</v>
      </c>
      <c r="E177" s="2" t="s">
        <v>29</v>
      </c>
      <c r="F177" s="2">
        <v>90</v>
      </c>
      <c r="G177" s="2" t="s">
        <v>10460</v>
      </c>
      <c r="H177" s="2" t="s">
        <v>730</v>
      </c>
      <c r="I177" s="2" t="s">
        <v>187</v>
      </c>
      <c r="J177" s="3">
        <v>44484</v>
      </c>
      <c r="K177" s="5">
        <f>YEAR(OrganizedData[[#This Row],[Order Date]])</f>
        <v>2021</v>
      </c>
      <c r="L177" s="7" t="str">
        <f>TEXT(OrganizedData[[#This Row],[Order Date]],"mmm")</f>
        <v>Oct</v>
      </c>
      <c r="M177" s="2">
        <v>17</v>
      </c>
      <c r="N177" s="2" t="s">
        <v>64</v>
      </c>
      <c r="O177" s="2" t="str">
        <f>VLOOKUP(OrganizedData[[#This Row],[Product Code]],ProductData[[Code]:[Item]],2,FALSE)</f>
        <v>Ultrathing V4</v>
      </c>
      <c r="P177" s="4">
        <f>OrganizedData[[#This Row],[Quantity]]*VLOOKUP(OrganizedData[[#This Row],[Product Code]],ProductData[],4,FALSE)</f>
        <v>408</v>
      </c>
      <c r="Q177" s="6">
        <f>OrganizedData[[#This Row],[Total Items Ordered]]*VLOOKUP(OrganizedData[[#This Row],[Product Code]],ProductData[],3,FALSE)</f>
        <v>1627.92</v>
      </c>
      <c r="R1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1627.92</v>
      </c>
    </row>
    <row r="178" spans="1:18" x14ac:dyDescent="0.3">
      <c r="A178" s="2">
        <v>171</v>
      </c>
      <c r="B178" s="2" t="s">
        <v>731</v>
      </c>
      <c r="C178" s="2" t="s">
        <v>732</v>
      </c>
      <c r="D178" s="2" t="s">
        <v>28</v>
      </c>
      <c r="E178" s="2" t="s">
        <v>29</v>
      </c>
      <c r="F178" s="2">
        <v>60</v>
      </c>
      <c r="G178" s="2" t="s">
        <v>10461</v>
      </c>
      <c r="H178" s="2" t="s">
        <v>734</v>
      </c>
      <c r="I178" s="2" t="s">
        <v>32</v>
      </c>
      <c r="J178" s="3">
        <v>43835</v>
      </c>
      <c r="K178" s="5">
        <f>YEAR(OrganizedData[[#This Row],[Order Date]])</f>
        <v>2020</v>
      </c>
      <c r="L178" s="7" t="str">
        <f>TEXT(OrganizedData[[#This Row],[Order Date]],"mmm")</f>
        <v>Jan</v>
      </c>
      <c r="M178" s="2">
        <v>40</v>
      </c>
      <c r="N178" s="2" t="s">
        <v>54</v>
      </c>
      <c r="O178" s="2" t="str">
        <f>VLOOKUP(OrganizedData[[#This Row],[Product Code]],ProductData[[Code]:[Item]],2,FALSE)</f>
        <v>Megawidget S</v>
      </c>
      <c r="P178" s="4">
        <f>OrganizedData[[#This Row],[Quantity]]*VLOOKUP(OrganizedData[[#This Row],[Product Code]],ProductData[],4,FALSE)</f>
        <v>960</v>
      </c>
      <c r="Q178" s="6">
        <f>OrganizedData[[#This Row],[Total Items Ordered]]*VLOOKUP(OrganizedData[[#This Row],[Product Code]],ProductData[],3,FALSE)</f>
        <v>662.4</v>
      </c>
      <c r="R1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179" spans="1:18" x14ac:dyDescent="0.3">
      <c r="A179" s="2">
        <v>172</v>
      </c>
      <c r="B179" s="2" t="s">
        <v>735</v>
      </c>
      <c r="C179" s="2" t="s">
        <v>736</v>
      </c>
      <c r="D179" s="2" t="s">
        <v>28</v>
      </c>
      <c r="E179" s="2" t="s">
        <v>29</v>
      </c>
      <c r="F179" s="2">
        <v>60</v>
      </c>
      <c r="G179" s="2" t="s">
        <v>737</v>
      </c>
      <c r="H179" s="2" t="s">
        <v>738</v>
      </c>
      <c r="I179" s="2" t="s">
        <v>38</v>
      </c>
      <c r="J179" s="3">
        <v>44222</v>
      </c>
      <c r="K179" s="5">
        <f>YEAR(OrganizedData[[#This Row],[Order Date]])</f>
        <v>2021</v>
      </c>
      <c r="L179" s="7" t="str">
        <f>TEXT(OrganizedData[[#This Row],[Order Date]],"mmm")</f>
        <v>Jan</v>
      </c>
      <c r="M179" s="2">
        <v>2</v>
      </c>
      <c r="N179" s="2" t="s">
        <v>20</v>
      </c>
      <c r="O179" s="2" t="str">
        <f>VLOOKUP(OrganizedData[[#This Row],[Product Code]],ProductData[[Code]:[Item]],2,FALSE)</f>
        <v>Hyperwotsit</v>
      </c>
      <c r="P179" s="4">
        <f>OrganizedData[[#This Row],[Quantity]]*VLOOKUP(OrganizedData[[#This Row],[Product Code]],ProductData[],4,FALSE)</f>
        <v>40</v>
      </c>
      <c r="Q179" s="6">
        <f>OrganizedData[[#This Row],[Total Items Ordered]]*VLOOKUP(OrganizedData[[#This Row],[Product Code]],ProductData[],3,FALSE)</f>
        <v>80.399999999999991</v>
      </c>
      <c r="R1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180" spans="1:18" x14ac:dyDescent="0.3">
      <c r="A180" s="2">
        <v>173</v>
      </c>
      <c r="B180" s="2" t="s">
        <v>739</v>
      </c>
      <c r="C180" s="2" t="s">
        <v>740</v>
      </c>
      <c r="D180" s="2" t="s">
        <v>51</v>
      </c>
      <c r="E180" s="2" t="s">
        <v>16</v>
      </c>
      <c r="F180" s="2">
        <v>30</v>
      </c>
      <c r="G180" s="2" t="s">
        <v>741</v>
      </c>
      <c r="H180" s="2" t="s">
        <v>742</v>
      </c>
      <c r="I180" s="2" t="s">
        <v>124</v>
      </c>
      <c r="J180" s="3">
        <v>44311</v>
      </c>
      <c r="K180" s="5">
        <f>YEAR(OrganizedData[[#This Row],[Order Date]])</f>
        <v>2021</v>
      </c>
      <c r="L180" s="7" t="str">
        <f>TEXT(OrganizedData[[#This Row],[Order Date]],"mmm")</f>
        <v>Apr</v>
      </c>
      <c r="M180" s="2">
        <v>50</v>
      </c>
      <c r="N180" s="2" t="s">
        <v>45</v>
      </c>
      <c r="O180" s="2" t="str">
        <f>VLOOKUP(OrganizedData[[#This Row],[Product Code]],ProductData[[Code]:[Item]],2,FALSE)</f>
        <v>Gigastuff</v>
      </c>
      <c r="P180" s="4">
        <f>OrganizedData[[#This Row],[Quantity]]*VLOOKUP(OrganizedData[[#This Row],[Product Code]],ProductData[],4,FALSE)</f>
        <v>900</v>
      </c>
      <c r="Q180" s="6">
        <f>OrganizedData[[#This Row],[Total Items Ordered]]*VLOOKUP(OrganizedData[[#This Row],[Product Code]],ProductData[],3,FALSE)</f>
        <v>1701</v>
      </c>
      <c r="R1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1649.97</v>
      </c>
    </row>
    <row r="181" spans="1:18" x14ac:dyDescent="0.3">
      <c r="A181" s="2">
        <v>174</v>
      </c>
      <c r="B181" s="2" t="s">
        <v>743</v>
      </c>
      <c r="C181" s="2" t="s">
        <v>744</v>
      </c>
      <c r="D181" s="2" t="s">
        <v>28</v>
      </c>
      <c r="E181" s="2" t="s">
        <v>29</v>
      </c>
      <c r="F181" s="2">
        <v>60</v>
      </c>
      <c r="G181" s="2" t="s">
        <v>745</v>
      </c>
      <c r="H181" s="2" t="s">
        <v>746</v>
      </c>
      <c r="I181" s="2" t="s">
        <v>32</v>
      </c>
      <c r="J181" s="3">
        <v>43991</v>
      </c>
      <c r="K181" s="5">
        <f>YEAR(OrganizedData[[#This Row],[Order Date]])</f>
        <v>2020</v>
      </c>
      <c r="L181" s="7" t="str">
        <f>TEXT(OrganizedData[[#This Row],[Order Date]],"mmm")</f>
        <v>Jun</v>
      </c>
      <c r="M181" s="2">
        <v>66</v>
      </c>
      <c r="N181" s="2" t="s">
        <v>54</v>
      </c>
      <c r="O181" s="2" t="str">
        <f>VLOOKUP(OrganizedData[[#This Row],[Product Code]],ProductData[[Code]:[Item]],2,FALSE)</f>
        <v>Megawidget S</v>
      </c>
      <c r="P181" s="4">
        <f>OrganizedData[[#This Row],[Quantity]]*VLOOKUP(OrganizedData[[#This Row],[Product Code]],ProductData[],4,FALSE)</f>
        <v>1584</v>
      </c>
      <c r="Q181" s="6">
        <f>OrganizedData[[#This Row],[Total Items Ordered]]*VLOOKUP(OrganizedData[[#This Row],[Product Code]],ProductData[],3,FALSE)</f>
        <v>1092.9599999999998</v>
      </c>
      <c r="R1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82" spans="1:18" x14ac:dyDescent="0.3">
      <c r="A182" s="2">
        <v>175</v>
      </c>
      <c r="B182" s="2" t="s">
        <v>747</v>
      </c>
      <c r="C182" s="2" t="s">
        <v>748</v>
      </c>
      <c r="D182" s="2" t="s">
        <v>28</v>
      </c>
      <c r="E182" s="2" t="s">
        <v>29</v>
      </c>
      <c r="F182" s="2">
        <v>90</v>
      </c>
      <c r="G182" s="2" t="s">
        <v>749</v>
      </c>
      <c r="H182" s="2" t="s">
        <v>750</v>
      </c>
      <c r="I182" s="2" t="s">
        <v>25</v>
      </c>
      <c r="J182" s="3">
        <v>44887</v>
      </c>
      <c r="K182" s="5">
        <f>YEAR(OrganizedData[[#This Row],[Order Date]])</f>
        <v>2022</v>
      </c>
      <c r="L182" s="7" t="str">
        <f>TEXT(OrganizedData[[#This Row],[Order Date]],"mmm")</f>
        <v>Nov</v>
      </c>
      <c r="M182" s="2">
        <v>50</v>
      </c>
      <c r="N182" s="2" t="s">
        <v>64</v>
      </c>
      <c r="O182" s="2" t="str">
        <f>VLOOKUP(OrganizedData[[#This Row],[Product Code]],ProductData[[Code]:[Item]],2,FALSE)</f>
        <v>Ultrathing V4</v>
      </c>
      <c r="P182" s="4">
        <f>OrganizedData[[#This Row],[Quantity]]*VLOOKUP(OrganizedData[[#This Row],[Product Code]],ProductData[],4,FALSE)</f>
        <v>1200</v>
      </c>
      <c r="Q182" s="6">
        <f>OrganizedData[[#This Row],[Total Items Ordered]]*VLOOKUP(OrganizedData[[#This Row],[Product Code]],ProductData[],3,FALSE)</f>
        <v>4788</v>
      </c>
      <c r="R1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4644.3599999999997</v>
      </c>
    </row>
    <row r="183" spans="1:18" x14ac:dyDescent="0.3">
      <c r="A183" s="2">
        <v>176</v>
      </c>
      <c r="B183" s="2" t="s">
        <v>751</v>
      </c>
      <c r="C183" s="2" t="s">
        <v>752</v>
      </c>
      <c r="D183" s="2" t="s">
        <v>28</v>
      </c>
      <c r="E183" s="2" t="s">
        <v>29</v>
      </c>
      <c r="F183" s="2">
        <v>90</v>
      </c>
      <c r="G183" s="2" t="s">
        <v>753</v>
      </c>
      <c r="H183" s="2" t="s">
        <v>754</v>
      </c>
      <c r="I183" s="2" t="s">
        <v>25</v>
      </c>
      <c r="J183" s="3">
        <v>44872</v>
      </c>
      <c r="K183" s="5">
        <f>YEAR(OrganizedData[[#This Row],[Order Date]])</f>
        <v>2022</v>
      </c>
      <c r="L183" s="7" t="str">
        <f>TEXT(OrganizedData[[#This Row],[Order Date]],"mmm")</f>
        <v>Nov</v>
      </c>
      <c r="M183" s="2">
        <v>96</v>
      </c>
      <c r="N183" s="2" t="s">
        <v>39</v>
      </c>
      <c r="O183" s="2" t="str">
        <f>VLOOKUP(OrganizedData[[#This Row],[Product Code]],ProductData[[Code]:[Item]],2,FALSE)</f>
        <v>Ultrathing V1</v>
      </c>
      <c r="P183" s="4">
        <f>OrganizedData[[#This Row],[Quantity]]*VLOOKUP(OrganizedData[[#This Row],[Product Code]],ProductData[],4,FALSE)</f>
        <v>1632</v>
      </c>
      <c r="Q183" s="6">
        <f>OrganizedData[[#This Row],[Total Items Ordered]]*VLOOKUP(OrganizedData[[#This Row],[Product Code]],ProductData[],3,FALSE)</f>
        <v>2921.28</v>
      </c>
      <c r="R1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184" spans="1:18" x14ac:dyDescent="0.3">
      <c r="A184" s="2">
        <v>177</v>
      </c>
      <c r="B184" s="2" t="s">
        <v>755</v>
      </c>
      <c r="C184" s="2" t="s">
        <v>756</v>
      </c>
      <c r="D184" s="2" t="s">
        <v>28</v>
      </c>
      <c r="E184" s="2" t="s">
        <v>29</v>
      </c>
      <c r="F184" s="2">
        <v>30</v>
      </c>
      <c r="G184" s="2" t="s">
        <v>757</v>
      </c>
      <c r="H184" s="2" t="s">
        <v>462</v>
      </c>
      <c r="I184" s="2" t="s">
        <v>32</v>
      </c>
      <c r="J184" s="3">
        <v>44779</v>
      </c>
      <c r="K184" s="5">
        <f>YEAR(OrganizedData[[#This Row],[Order Date]])</f>
        <v>2022</v>
      </c>
      <c r="L184" s="7" t="str">
        <f>TEXT(OrganizedData[[#This Row],[Order Date]],"mmm")</f>
        <v>Aug</v>
      </c>
      <c r="M184" s="2">
        <v>38</v>
      </c>
      <c r="N184" s="2" t="s">
        <v>39</v>
      </c>
      <c r="O184" s="2" t="str">
        <f>VLOOKUP(OrganizedData[[#This Row],[Product Code]],ProductData[[Code]:[Item]],2,FALSE)</f>
        <v>Ultrathing V1</v>
      </c>
      <c r="P184" s="4">
        <f>OrganizedData[[#This Row],[Quantity]]*VLOOKUP(OrganizedData[[#This Row],[Product Code]],ProductData[],4,FALSE)</f>
        <v>646</v>
      </c>
      <c r="Q184" s="6">
        <f>OrganizedData[[#This Row],[Total Items Ordered]]*VLOOKUP(OrganizedData[[#This Row],[Product Code]],ProductData[],3,FALSE)</f>
        <v>1156.3399999999999</v>
      </c>
      <c r="R1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1121.6497999999999</v>
      </c>
    </row>
    <row r="185" spans="1:18" x14ac:dyDescent="0.3">
      <c r="A185" s="2">
        <v>178</v>
      </c>
      <c r="B185" s="2" t="s">
        <v>758</v>
      </c>
      <c r="C185" s="2" t="s">
        <v>759</v>
      </c>
      <c r="D185" s="2" t="s">
        <v>51</v>
      </c>
      <c r="E185" s="2" t="s">
        <v>16</v>
      </c>
      <c r="F185" s="2">
        <v>60</v>
      </c>
      <c r="G185" s="2" t="s">
        <v>760</v>
      </c>
      <c r="H185" s="2" t="s">
        <v>627</v>
      </c>
      <c r="I185" s="2" t="s">
        <v>294</v>
      </c>
      <c r="J185" s="3">
        <v>43881</v>
      </c>
      <c r="K185" s="5">
        <f>YEAR(OrganizedData[[#This Row],[Order Date]])</f>
        <v>2020</v>
      </c>
      <c r="L185" s="7" t="str">
        <f>TEXT(OrganizedData[[#This Row],[Order Date]],"mmm")</f>
        <v>Feb</v>
      </c>
      <c r="M185" s="2">
        <v>42</v>
      </c>
      <c r="N185" s="2" t="s">
        <v>70</v>
      </c>
      <c r="O185" s="2" t="str">
        <f>VLOOKUP(OrganizedData[[#This Row],[Product Code]],ProductData[[Code]:[Item]],2,FALSE)</f>
        <v>Megawidget M</v>
      </c>
      <c r="P185" s="4">
        <f>OrganizedData[[#This Row],[Quantity]]*VLOOKUP(OrganizedData[[#This Row],[Product Code]],ProductData[],4,FALSE)</f>
        <v>1008</v>
      </c>
      <c r="Q185" s="6">
        <f>OrganizedData[[#This Row],[Total Items Ordered]]*VLOOKUP(OrganizedData[[#This Row],[Product Code]],ProductData[],3,FALSE)</f>
        <v>1300.32</v>
      </c>
      <c r="R1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186" spans="1:18" x14ac:dyDescent="0.3">
      <c r="A186" s="2">
        <v>179</v>
      </c>
      <c r="B186" s="2" t="s">
        <v>761</v>
      </c>
      <c r="C186" s="2" t="s">
        <v>762</v>
      </c>
      <c r="D186" s="2" t="s">
        <v>15</v>
      </c>
      <c r="E186" s="2" t="s">
        <v>16</v>
      </c>
      <c r="F186" s="2">
        <v>60</v>
      </c>
      <c r="G186" s="2" t="s">
        <v>763</v>
      </c>
      <c r="H186" s="2" t="s">
        <v>764</v>
      </c>
      <c r="I186" s="2" t="s">
        <v>32</v>
      </c>
      <c r="J186" s="3">
        <v>44347</v>
      </c>
      <c r="K186" s="5">
        <f>YEAR(OrganizedData[[#This Row],[Order Date]])</f>
        <v>2021</v>
      </c>
      <c r="L186" s="7" t="str">
        <f>TEXT(OrganizedData[[#This Row],[Order Date]],"mmm")</f>
        <v>May</v>
      </c>
      <c r="M186" s="2">
        <v>31</v>
      </c>
      <c r="N186" s="2" t="s">
        <v>45</v>
      </c>
      <c r="O186" s="2" t="str">
        <f>VLOOKUP(OrganizedData[[#This Row],[Product Code]],ProductData[[Code]:[Item]],2,FALSE)</f>
        <v>Gigastuff</v>
      </c>
      <c r="P186" s="4">
        <f>OrganizedData[[#This Row],[Quantity]]*VLOOKUP(OrganizedData[[#This Row],[Product Code]],ProductData[],4,FALSE)</f>
        <v>558</v>
      </c>
      <c r="Q186" s="6">
        <f>OrganizedData[[#This Row],[Total Items Ordered]]*VLOOKUP(OrganizedData[[#This Row],[Product Code]],ProductData[],3,FALSE)</f>
        <v>1054.6199999999999</v>
      </c>
      <c r="R1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1022.9813999999999</v>
      </c>
    </row>
    <row r="187" spans="1:18" x14ac:dyDescent="0.3">
      <c r="A187" s="2">
        <v>180</v>
      </c>
      <c r="B187" s="2" t="s">
        <v>765</v>
      </c>
      <c r="C187" s="2" t="s">
        <v>766</v>
      </c>
      <c r="D187" s="2" t="s">
        <v>28</v>
      </c>
      <c r="E187" s="2" t="s">
        <v>29</v>
      </c>
      <c r="F187" s="2">
        <v>60</v>
      </c>
      <c r="G187" s="2" t="s">
        <v>767</v>
      </c>
      <c r="H187" s="2" t="s">
        <v>768</v>
      </c>
      <c r="I187" s="2" t="s">
        <v>124</v>
      </c>
      <c r="J187" s="3">
        <v>44198</v>
      </c>
      <c r="K187" s="5">
        <f>YEAR(OrganizedData[[#This Row],[Order Date]])</f>
        <v>2021</v>
      </c>
      <c r="L187" s="7" t="str">
        <f>TEXT(OrganizedData[[#This Row],[Order Date]],"mmm")</f>
        <v>Jan</v>
      </c>
      <c r="M187" s="2">
        <v>18</v>
      </c>
      <c r="N187" s="2" t="s">
        <v>20</v>
      </c>
      <c r="O187" s="2" t="str">
        <f>VLOOKUP(OrganizedData[[#This Row],[Product Code]],ProductData[[Code]:[Item]],2,FALSE)</f>
        <v>Hyperwotsit</v>
      </c>
      <c r="P187" s="4">
        <f>OrganizedData[[#This Row],[Quantity]]*VLOOKUP(OrganizedData[[#This Row],[Product Code]],ProductData[],4,FALSE)</f>
        <v>360</v>
      </c>
      <c r="Q187" s="6">
        <f>OrganizedData[[#This Row],[Total Items Ordered]]*VLOOKUP(OrganizedData[[#This Row],[Product Code]],ProductData[],3,FALSE)</f>
        <v>723.59999999999991</v>
      </c>
      <c r="R1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188" spans="1:18" x14ac:dyDescent="0.3">
      <c r="A188" s="2">
        <v>181</v>
      </c>
      <c r="B188" s="2" t="s">
        <v>769</v>
      </c>
      <c r="C188" s="2" t="s">
        <v>770</v>
      </c>
      <c r="D188" s="2" t="s">
        <v>51</v>
      </c>
      <c r="E188" s="2" t="s">
        <v>16</v>
      </c>
      <c r="F188" s="2">
        <v>30</v>
      </c>
      <c r="G188" s="2" t="s">
        <v>771</v>
      </c>
      <c r="H188" s="2" t="s">
        <v>772</v>
      </c>
      <c r="I188" s="2" t="s">
        <v>32</v>
      </c>
      <c r="J188" s="3">
        <v>43943</v>
      </c>
      <c r="K188" s="5">
        <f>YEAR(OrganizedData[[#This Row],[Order Date]])</f>
        <v>2020</v>
      </c>
      <c r="L188" s="7" t="str">
        <f>TEXT(OrganizedData[[#This Row],[Order Date]],"mmm")</f>
        <v>Apr</v>
      </c>
      <c r="M188" s="2">
        <v>73</v>
      </c>
      <c r="N188" s="2" t="s">
        <v>70</v>
      </c>
      <c r="O188" s="2" t="str">
        <f>VLOOKUP(OrganizedData[[#This Row],[Product Code]],ProductData[[Code]:[Item]],2,FALSE)</f>
        <v>Megawidget M</v>
      </c>
      <c r="P188" s="4">
        <f>OrganizedData[[#This Row],[Quantity]]*VLOOKUP(OrganizedData[[#This Row],[Product Code]],ProductData[],4,FALSE)</f>
        <v>1752</v>
      </c>
      <c r="Q188" s="6">
        <f>OrganizedData[[#This Row],[Total Items Ordered]]*VLOOKUP(OrganizedData[[#This Row],[Product Code]],ProductData[],3,FALSE)</f>
        <v>2260.08</v>
      </c>
      <c r="R1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189" spans="1:18" x14ac:dyDescent="0.3">
      <c r="A189" s="2">
        <v>182</v>
      </c>
      <c r="B189" s="2" t="s">
        <v>773</v>
      </c>
      <c r="C189" s="2" t="s">
        <v>774</v>
      </c>
      <c r="D189" s="2" t="s">
        <v>28</v>
      </c>
      <c r="E189" s="2" t="s">
        <v>29</v>
      </c>
      <c r="F189" s="2">
        <v>30</v>
      </c>
      <c r="G189" s="2" t="s">
        <v>775</v>
      </c>
      <c r="H189" s="2" t="s">
        <v>776</v>
      </c>
      <c r="I189" s="2" t="s">
        <v>777</v>
      </c>
      <c r="J189" s="3">
        <v>44557</v>
      </c>
      <c r="K189" s="5">
        <f>YEAR(OrganizedData[[#This Row],[Order Date]])</f>
        <v>2021</v>
      </c>
      <c r="L189" s="7" t="str">
        <f>TEXT(OrganizedData[[#This Row],[Order Date]],"mmm")</f>
        <v>Dec</v>
      </c>
      <c r="M189" s="2">
        <v>44</v>
      </c>
      <c r="N189" s="2" t="s">
        <v>33</v>
      </c>
      <c r="O189" s="2" t="str">
        <f>VLOOKUP(OrganizedData[[#This Row],[Product Code]],ProductData[[Code]:[Item]],2,FALSE)</f>
        <v>Megawidget L</v>
      </c>
      <c r="P189" s="4">
        <f>OrganizedData[[#This Row],[Quantity]]*VLOOKUP(OrganizedData[[#This Row],[Product Code]],ProductData[],4,FALSE)</f>
        <v>1056</v>
      </c>
      <c r="Q189" s="6">
        <f>OrganizedData[[#This Row],[Total Items Ordered]]*VLOOKUP(OrganizedData[[#This Row],[Product Code]],ProductData[],3,FALSE)</f>
        <v>1890.24</v>
      </c>
      <c r="R1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1833.5328</v>
      </c>
    </row>
    <row r="190" spans="1:18" x14ac:dyDescent="0.3">
      <c r="A190" s="2">
        <v>183</v>
      </c>
      <c r="B190" s="2" t="s">
        <v>778</v>
      </c>
      <c r="C190" s="2" t="s">
        <v>779</v>
      </c>
      <c r="D190" s="2" t="s">
        <v>28</v>
      </c>
      <c r="E190" s="2" t="s">
        <v>29</v>
      </c>
      <c r="F190" s="2">
        <v>60</v>
      </c>
      <c r="G190" s="2" t="s">
        <v>780</v>
      </c>
      <c r="H190" s="2" t="s">
        <v>781</v>
      </c>
      <c r="I190" s="2" t="s">
        <v>294</v>
      </c>
      <c r="J190" s="3">
        <v>44049</v>
      </c>
      <c r="K190" s="5">
        <f>YEAR(OrganizedData[[#This Row],[Order Date]])</f>
        <v>2020</v>
      </c>
      <c r="L190" s="7" t="str">
        <f>TEXT(OrganizedData[[#This Row],[Order Date]],"mmm")</f>
        <v>Aug</v>
      </c>
      <c r="M190" s="2">
        <v>21</v>
      </c>
      <c r="N190" s="2" t="s">
        <v>20</v>
      </c>
      <c r="O190" s="2" t="str">
        <f>VLOOKUP(OrganizedData[[#This Row],[Product Code]],ProductData[[Code]:[Item]],2,FALSE)</f>
        <v>Hyperwotsit</v>
      </c>
      <c r="P190" s="4">
        <f>OrganizedData[[#This Row],[Quantity]]*VLOOKUP(OrganizedData[[#This Row],[Product Code]],ProductData[],4,FALSE)</f>
        <v>420</v>
      </c>
      <c r="Q190" s="6">
        <f>OrganizedData[[#This Row],[Total Items Ordered]]*VLOOKUP(OrganizedData[[#This Row],[Product Code]],ProductData[],3,FALSE)</f>
        <v>844.19999999999993</v>
      </c>
      <c r="R1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818.87399999999991</v>
      </c>
    </row>
    <row r="191" spans="1:18" x14ac:dyDescent="0.3">
      <c r="A191" s="2">
        <v>184</v>
      </c>
      <c r="B191" s="2" t="s">
        <v>782</v>
      </c>
      <c r="C191" s="2" t="s">
        <v>783</v>
      </c>
      <c r="D191" s="2" t="s">
        <v>41</v>
      </c>
      <c r="E191" s="2" t="s">
        <v>16</v>
      </c>
      <c r="F191" s="2">
        <v>90</v>
      </c>
      <c r="G191" s="2" t="s">
        <v>784</v>
      </c>
      <c r="H191" s="2" t="s">
        <v>443</v>
      </c>
      <c r="I191" s="2" t="s">
        <v>294</v>
      </c>
      <c r="J191" s="3">
        <v>44054</v>
      </c>
      <c r="K191" s="5">
        <f>YEAR(OrganizedData[[#This Row],[Order Date]])</f>
        <v>2020</v>
      </c>
      <c r="L191" s="7" t="str">
        <f>TEXT(OrganizedData[[#This Row],[Order Date]],"mmm")</f>
        <v>Aug</v>
      </c>
      <c r="M191" s="2">
        <v>46</v>
      </c>
      <c r="N191" s="2" t="s">
        <v>101</v>
      </c>
      <c r="O191" s="2" t="str">
        <f>VLOOKUP(OrganizedData[[#This Row],[Product Code]],ProductData[[Code]:[Item]],2,FALSE)</f>
        <v>Superwossname</v>
      </c>
      <c r="P191" s="4">
        <f>OrganizedData[[#This Row],[Quantity]]*VLOOKUP(OrganizedData[[#This Row],[Product Code]],ProductData[],4,FALSE)</f>
        <v>920</v>
      </c>
      <c r="Q191" s="6">
        <f>OrganizedData[[#This Row],[Total Items Ordered]]*VLOOKUP(OrganizedData[[#This Row],[Product Code]],ProductData[],3,FALSE)</f>
        <v>3210.8</v>
      </c>
      <c r="R1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192" spans="1:18" x14ac:dyDescent="0.3">
      <c r="A192" s="2">
        <v>185</v>
      </c>
      <c r="B192" s="2" t="s">
        <v>785</v>
      </c>
      <c r="C192" s="2" t="s">
        <v>121</v>
      </c>
      <c r="D192" s="2" t="s">
        <v>28</v>
      </c>
      <c r="E192" s="2" t="s">
        <v>29</v>
      </c>
      <c r="F192" s="2">
        <v>30</v>
      </c>
      <c r="G192" s="2" t="s">
        <v>786</v>
      </c>
      <c r="H192" s="2" t="s">
        <v>538</v>
      </c>
      <c r="I192" s="2" t="s">
        <v>32</v>
      </c>
      <c r="J192" s="3">
        <v>43946</v>
      </c>
      <c r="K192" s="5">
        <f>YEAR(OrganizedData[[#This Row],[Order Date]])</f>
        <v>2020</v>
      </c>
      <c r="L192" s="7" t="str">
        <f>TEXT(OrganizedData[[#This Row],[Order Date]],"mmm")</f>
        <v>Apr</v>
      </c>
      <c r="M192" s="2">
        <v>20</v>
      </c>
      <c r="N192" s="2" t="s">
        <v>70</v>
      </c>
      <c r="O192" s="2" t="str">
        <f>VLOOKUP(OrganizedData[[#This Row],[Product Code]],ProductData[[Code]:[Item]],2,FALSE)</f>
        <v>Megawidget M</v>
      </c>
      <c r="P192" s="4">
        <f>OrganizedData[[#This Row],[Quantity]]*VLOOKUP(OrganizedData[[#This Row],[Product Code]],ProductData[],4,FALSE)</f>
        <v>480</v>
      </c>
      <c r="Q192" s="6">
        <f>OrganizedData[[#This Row],[Total Items Ordered]]*VLOOKUP(OrganizedData[[#This Row],[Product Code]],ProductData[],3,FALSE)</f>
        <v>619.20000000000005</v>
      </c>
      <c r="R1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619.20000000000005</v>
      </c>
    </row>
    <row r="193" spans="1:18" x14ac:dyDescent="0.3">
      <c r="A193" s="2">
        <v>186</v>
      </c>
      <c r="B193" s="2" t="s">
        <v>787</v>
      </c>
      <c r="C193" s="2" t="s">
        <v>788</v>
      </c>
      <c r="D193" s="2" t="s">
        <v>28</v>
      </c>
      <c r="E193" s="2" t="s">
        <v>29</v>
      </c>
      <c r="F193" s="2">
        <v>30</v>
      </c>
      <c r="G193" s="2" t="s">
        <v>789</v>
      </c>
      <c r="H193" s="2" t="s">
        <v>378</v>
      </c>
      <c r="I193" s="2" t="s">
        <v>146</v>
      </c>
      <c r="J193" s="3">
        <v>44417</v>
      </c>
      <c r="K193" s="5">
        <f>YEAR(OrganizedData[[#This Row],[Order Date]])</f>
        <v>2021</v>
      </c>
      <c r="L193" s="7" t="str">
        <f>TEXT(OrganizedData[[#This Row],[Order Date]],"mmm")</f>
        <v>Aug</v>
      </c>
      <c r="M193" s="2">
        <v>6</v>
      </c>
      <c r="N193" s="2" t="s">
        <v>45</v>
      </c>
      <c r="O193" s="2" t="str">
        <f>VLOOKUP(OrganizedData[[#This Row],[Product Code]],ProductData[[Code]:[Item]],2,FALSE)</f>
        <v>Gigastuff</v>
      </c>
      <c r="P193" s="4">
        <f>OrganizedData[[#This Row],[Quantity]]*VLOOKUP(OrganizedData[[#This Row],[Product Code]],ProductData[],4,FALSE)</f>
        <v>108</v>
      </c>
      <c r="Q193" s="6">
        <f>OrganizedData[[#This Row],[Total Items Ordered]]*VLOOKUP(OrganizedData[[#This Row],[Product Code]],ProductData[],3,FALSE)</f>
        <v>204.11999999999998</v>
      </c>
      <c r="R1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204.11999999999998</v>
      </c>
    </row>
    <row r="194" spans="1:18" x14ac:dyDescent="0.3">
      <c r="A194" s="2">
        <v>187</v>
      </c>
      <c r="B194" s="2" t="s">
        <v>790</v>
      </c>
      <c r="C194" s="2" t="s">
        <v>791</v>
      </c>
      <c r="D194" s="2" t="s">
        <v>117</v>
      </c>
      <c r="E194" s="2" t="s">
        <v>16</v>
      </c>
      <c r="F194" s="2">
        <v>90</v>
      </c>
      <c r="G194" s="2" t="s">
        <v>792</v>
      </c>
      <c r="H194" s="2" t="s">
        <v>793</v>
      </c>
      <c r="I194" s="2" t="s">
        <v>178</v>
      </c>
      <c r="J194" s="3">
        <v>44348</v>
      </c>
      <c r="K194" s="5">
        <f>YEAR(OrganizedData[[#This Row],[Order Date]])</f>
        <v>2021</v>
      </c>
      <c r="L194" s="7" t="str">
        <f>TEXT(OrganizedData[[#This Row],[Order Date]],"mmm")</f>
        <v>Jun</v>
      </c>
      <c r="M194" s="2">
        <v>38</v>
      </c>
      <c r="N194" s="2" t="s">
        <v>33</v>
      </c>
      <c r="O194" s="2" t="str">
        <f>VLOOKUP(OrganizedData[[#This Row],[Product Code]],ProductData[[Code]:[Item]],2,FALSE)</f>
        <v>Megawidget L</v>
      </c>
      <c r="P194" s="4">
        <f>OrganizedData[[#This Row],[Quantity]]*VLOOKUP(OrganizedData[[#This Row],[Product Code]],ProductData[],4,FALSE)</f>
        <v>912</v>
      </c>
      <c r="Q194" s="6">
        <f>OrganizedData[[#This Row],[Total Items Ordered]]*VLOOKUP(OrganizedData[[#This Row],[Product Code]],ProductData[],3,FALSE)</f>
        <v>1632.48</v>
      </c>
      <c r="R1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195" spans="1:18" x14ac:dyDescent="0.3">
      <c r="A195" s="2">
        <v>188</v>
      </c>
      <c r="B195" s="2" t="s">
        <v>794</v>
      </c>
      <c r="C195" s="2" t="s">
        <v>795</v>
      </c>
      <c r="D195" s="2" t="s">
        <v>51</v>
      </c>
      <c r="E195" s="2" t="s">
        <v>16</v>
      </c>
      <c r="F195" s="2">
        <v>30</v>
      </c>
      <c r="G195" s="2" t="s">
        <v>796</v>
      </c>
      <c r="H195" s="2" t="s">
        <v>288</v>
      </c>
      <c r="I195" s="2" t="s">
        <v>32</v>
      </c>
      <c r="J195" s="3">
        <v>43965</v>
      </c>
      <c r="K195" s="5">
        <f>YEAR(OrganizedData[[#This Row],[Order Date]])</f>
        <v>2020</v>
      </c>
      <c r="L195" s="7" t="str">
        <f>TEXT(OrganizedData[[#This Row],[Order Date]],"mmm")</f>
        <v>May</v>
      </c>
      <c r="M195" s="2">
        <v>56</v>
      </c>
      <c r="N195" s="2" t="s">
        <v>39</v>
      </c>
      <c r="O195" s="2" t="str">
        <f>VLOOKUP(OrganizedData[[#This Row],[Product Code]],ProductData[[Code]:[Item]],2,FALSE)</f>
        <v>Ultrathing V1</v>
      </c>
      <c r="P195" s="4">
        <f>OrganizedData[[#This Row],[Quantity]]*VLOOKUP(OrganizedData[[#This Row],[Product Code]],ProductData[],4,FALSE)</f>
        <v>952</v>
      </c>
      <c r="Q195" s="6">
        <f>OrganizedData[[#This Row],[Total Items Ordered]]*VLOOKUP(OrganizedData[[#This Row],[Product Code]],ProductData[],3,FALSE)</f>
        <v>1704.08</v>
      </c>
      <c r="R1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1618.8759999999997</v>
      </c>
    </row>
    <row r="196" spans="1:18" x14ac:dyDescent="0.3">
      <c r="A196" s="2">
        <v>189</v>
      </c>
      <c r="B196" s="2" t="s">
        <v>797</v>
      </c>
      <c r="C196" s="2" t="s">
        <v>798</v>
      </c>
      <c r="D196" s="2" t="s">
        <v>15</v>
      </c>
      <c r="E196" s="2" t="s">
        <v>16</v>
      </c>
      <c r="F196" s="2">
        <v>90</v>
      </c>
      <c r="G196" s="2" t="s">
        <v>799</v>
      </c>
      <c r="H196" s="2" t="s">
        <v>781</v>
      </c>
      <c r="I196" s="2" t="s">
        <v>294</v>
      </c>
      <c r="J196" s="3">
        <v>44449</v>
      </c>
      <c r="K196" s="5">
        <f>YEAR(OrganizedData[[#This Row],[Order Date]])</f>
        <v>2021</v>
      </c>
      <c r="L196" s="7" t="str">
        <f>TEXT(OrganizedData[[#This Row],[Order Date]],"mmm")</f>
        <v>Sep</v>
      </c>
      <c r="M196" s="2">
        <v>88</v>
      </c>
      <c r="N196" s="2" t="s">
        <v>20</v>
      </c>
      <c r="O196" s="2" t="str">
        <f>VLOOKUP(OrganizedData[[#This Row],[Product Code]],ProductData[[Code]:[Item]],2,FALSE)</f>
        <v>Hyperwotsit</v>
      </c>
      <c r="P196" s="4">
        <f>OrganizedData[[#This Row],[Quantity]]*VLOOKUP(OrganizedData[[#This Row],[Product Code]],ProductData[],4,FALSE)</f>
        <v>1760</v>
      </c>
      <c r="Q196" s="6">
        <f>OrganizedData[[#This Row],[Total Items Ordered]]*VLOOKUP(OrganizedData[[#This Row],[Product Code]],ProductData[],3,FALSE)</f>
        <v>3537.5999999999995</v>
      </c>
      <c r="R1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3360.7199999999993</v>
      </c>
    </row>
    <row r="197" spans="1:18" x14ac:dyDescent="0.3">
      <c r="A197" s="2">
        <v>190</v>
      </c>
      <c r="B197" s="2" t="s">
        <v>800</v>
      </c>
      <c r="C197" s="2" t="s">
        <v>317</v>
      </c>
      <c r="D197" s="2" t="s">
        <v>28</v>
      </c>
      <c r="E197" s="2" t="s">
        <v>29</v>
      </c>
      <c r="F197" s="2">
        <v>60</v>
      </c>
      <c r="G197" s="2" t="s">
        <v>801</v>
      </c>
      <c r="H197" s="2" t="s">
        <v>802</v>
      </c>
      <c r="I197" s="2" t="s">
        <v>294</v>
      </c>
      <c r="J197" s="3">
        <v>44500</v>
      </c>
      <c r="K197" s="5">
        <f>YEAR(OrganizedData[[#This Row],[Order Date]])</f>
        <v>2021</v>
      </c>
      <c r="L197" s="7" t="str">
        <f>TEXT(OrganizedData[[#This Row],[Order Date]],"mmm")</f>
        <v>Oct</v>
      </c>
      <c r="M197" s="2">
        <v>9</v>
      </c>
      <c r="N197" s="2" t="s">
        <v>70</v>
      </c>
      <c r="O197" s="2" t="str">
        <f>VLOOKUP(OrganizedData[[#This Row],[Product Code]],ProductData[[Code]:[Item]],2,FALSE)</f>
        <v>Megawidget M</v>
      </c>
      <c r="P197" s="4">
        <f>OrganizedData[[#This Row],[Quantity]]*VLOOKUP(OrganizedData[[#This Row],[Product Code]],ProductData[],4,FALSE)</f>
        <v>216</v>
      </c>
      <c r="Q197" s="6">
        <f>OrganizedData[[#This Row],[Total Items Ordered]]*VLOOKUP(OrganizedData[[#This Row],[Product Code]],ProductData[],3,FALSE)</f>
        <v>278.64</v>
      </c>
      <c r="R1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278.64</v>
      </c>
    </row>
    <row r="198" spans="1:18" x14ac:dyDescent="0.3">
      <c r="A198" s="2">
        <v>191</v>
      </c>
      <c r="B198" s="2" t="s">
        <v>803</v>
      </c>
      <c r="C198" s="2" t="s">
        <v>804</v>
      </c>
      <c r="D198" s="2" t="s">
        <v>28</v>
      </c>
      <c r="E198" s="2" t="s">
        <v>29</v>
      </c>
      <c r="F198" s="2">
        <v>90</v>
      </c>
      <c r="G198" s="2" t="s">
        <v>805</v>
      </c>
      <c r="H198" s="2" t="s">
        <v>806</v>
      </c>
      <c r="I198" s="2" t="s">
        <v>178</v>
      </c>
      <c r="J198" s="3">
        <v>44536</v>
      </c>
      <c r="K198" s="5">
        <f>YEAR(OrganizedData[[#This Row],[Order Date]])</f>
        <v>2021</v>
      </c>
      <c r="L198" s="7" t="str">
        <f>TEXT(OrganizedData[[#This Row],[Order Date]],"mmm")</f>
        <v>Dec</v>
      </c>
      <c r="M198" s="2">
        <v>38</v>
      </c>
      <c r="N198" s="2" t="s">
        <v>33</v>
      </c>
      <c r="O198" s="2" t="str">
        <f>VLOOKUP(OrganizedData[[#This Row],[Product Code]],ProductData[[Code]:[Item]],2,FALSE)</f>
        <v>Megawidget L</v>
      </c>
      <c r="P198" s="4">
        <f>OrganizedData[[#This Row],[Quantity]]*VLOOKUP(OrganizedData[[#This Row],[Product Code]],ProductData[],4,FALSE)</f>
        <v>912</v>
      </c>
      <c r="Q198" s="6">
        <f>OrganizedData[[#This Row],[Total Items Ordered]]*VLOOKUP(OrganizedData[[#This Row],[Product Code]],ProductData[],3,FALSE)</f>
        <v>1632.48</v>
      </c>
      <c r="R1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199" spans="1:18" x14ac:dyDescent="0.3">
      <c r="A199" s="2">
        <v>192</v>
      </c>
      <c r="B199" s="2" t="s">
        <v>807</v>
      </c>
      <c r="C199" s="2" t="s">
        <v>808</v>
      </c>
      <c r="D199" s="2" t="s">
        <v>117</v>
      </c>
      <c r="E199" s="2" t="s">
        <v>29</v>
      </c>
      <c r="F199" s="2">
        <v>60</v>
      </c>
      <c r="G199" s="2" t="s">
        <v>809</v>
      </c>
      <c r="H199" s="2" t="s">
        <v>810</v>
      </c>
      <c r="I199" s="2" t="s">
        <v>32</v>
      </c>
      <c r="J199" s="3">
        <v>44565</v>
      </c>
      <c r="K199" s="5">
        <f>YEAR(OrganizedData[[#This Row],[Order Date]])</f>
        <v>2022</v>
      </c>
      <c r="L199" s="7" t="str">
        <f>TEXT(OrganizedData[[#This Row],[Order Date]],"mmm")</f>
        <v>Jan</v>
      </c>
      <c r="M199" s="2">
        <v>10</v>
      </c>
      <c r="N199" s="2" t="s">
        <v>70</v>
      </c>
      <c r="O199" s="2" t="str">
        <f>VLOOKUP(OrganizedData[[#This Row],[Product Code]],ProductData[[Code]:[Item]],2,FALSE)</f>
        <v>Megawidget M</v>
      </c>
      <c r="P199" s="4">
        <f>OrganizedData[[#This Row],[Quantity]]*VLOOKUP(OrganizedData[[#This Row],[Product Code]],ProductData[],4,FALSE)</f>
        <v>240</v>
      </c>
      <c r="Q199" s="6">
        <f>OrganizedData[[#This Row],[Total Items Ordered]]*VLOOKUP(OrganizedData[[#This Row],[Product Code]],ProductData[],3,FALSE)</f>
        <v>309.60000000000002</v>
      </c>
      <c r="R1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309.60000000000002</v>
      </c>
    </row>
    <row r="200" spans="1:18" x14ac:dyDescent="0.3">
      <c r="A200" s="2">
        <v>193</v>
      </c>
      <c r="B200" s="2" t="s">
        <v>811</v>
      </c>
      <c r="C200" s="2" t="s">
        <v>812</v>
      </c>
      <c r="D200" s="2" t="s">
        <v>28</v>
      </c>
      <c r="E200" s="2" t="s">
        <v>29</v>
      </c>
      <c r="F200" s="2">
        <v>30</v>
      </c>
      <c r="G200" s="2" t="s">
        <v>813</v>
      </c>
      <c r="H200" s="2" t="s">
        <v>814</v>
      </c>
      <c r="I200" s="2" t="s">
        <v>124</v>
      </c>
      <c r="J200" s="3">
        <v>44494</v>
      </c>
      <c r="K200" s="5">
        <f>YEAR(OrganizedData[[#This Row],[Order Date]])</f>
        <v>2021</v>
      </c>
      <c r="L200" s="7" t="str">
        <f>TEXT(OrganizedData[[#This Row],[Order Date]],"mmm")</f>
        <v>Oct</v>
      </c>
      <c r="M200" s="2">
        <v>72</v>
      </c>
      <c r="N200" s="2" t="s">
        <v>54</v>
      </c>
      <c r="O200" s="2" t="str">
        <f>VLOOKUP(OrganizedData[[#This Row],[Product Code]],ProductData[[Code]:[Item]],2,FALSE)</f>
        <v>Megawidget S</v>
      </c>
      <c r="P200" s="4">
        <f>OrganizedData[[#This Row],[Quantity]]*VLOOKUP(OrganizedData[[#This Row],[Product Code]],ProductData[],4,FALSE)</f>
        <v>1728</v>
      </c>
      <c r="Q200" s="6">
        <f>OrganizedData[[#This Row],[Total Items Ordered]]*VLOOKUP(OrganizedData[[#This Row],[Product Code]],ProductData[],3,FALSE)</f>
        <v>1192.32</v>
      </c>
      <c r="R2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201" spans="1:18" x14ac:dyDescent="0.3">
      <c r="A201" s="2">
        <v>194</v>
      </c>
      <c r="B201" s="2" t="s">
        <v>815</v>
      </c>
      <c r="C201" s="2" t="s">
        <v>816</v>
      </c>
      <c r="D201" s="2" t="s">
        <v>15</v>
      </c>
      <c r="E201" s="2" t="s">
        <v>16</v>
      </c>
      <c r="F201" s="2">
        <v>60</v>
      </c>
      <c r="G201" s="2" t="s">
        <v>817</v>
      </c>
      <c r="H201" s="2" t="s">
        <v>818</v>
      </c>
      <c r="I201" s="2" t="s">
        <v>819</v>
      </c>
      <c r="J201" s="3">
        <v>44531</v>
      </c>
      <c r="K201" s="5">
        <f>YEAR(OrganizedData[[#This Row],[Order Date]])</f>
        <v>2021</v>
      </c>
      <c r="L201" s="7" t="str">
        <f>TEXT(OrganizedData[[#This Row],[Order Date]],"mmm")</f>
        <v>Dec</v>
      </c>
      <c r="M201" s="2">
        <v>69</v>
      </c>
      <c r="N201" s="2" t="s">
        <v>159</v>
      </c>
      <c r="O201" s="2" t="str">
        <f>VLOOKUP(OrganizedData[[#This Row],[Product Code]],ProductData[[Code]:[Item]],2,FALSE)</f>
        <v>Ultrathing V3</v>
      </c>
      <c r="P201" s="4">
        <f>OrganizedData[[#This Row],[Quantity]]*VLOOKUP(OrganizedData[[#This Row],[Product Code]],ProductData[],4,FALSE)</f>
        <v>1656</v>
      </c>
      <c r="Q201" s="6">
        <f>OrganizedData[[#This Row],[Total Items Ordered]]*VLOOKUP(OrganizedData[[#This Row],[Product Code]],ProductData[],3,FALSE)</f>
        <v>5613.84</v>
      </c>
      <c r="R2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5333.1480000000001</v>
      </c>
    </row>
    <row r="202" spans="1:18" x14ac:dyDescent="0.3">
      <c r="A202" s="2">
        <v>195</v>
      </c>
      <c r="B202" s="2" t="s">
        <v>820</v>
      </c>
      <c r="C202" s="2" t="s">
        <v>821</v>
      </c>
      <c r="D202" s="2" t="s">
        <v>28</v>
      </c>
      <c r="E202" s="2" t="s">
        <v>29</v>
      </c>
      <c r="F202" s="2">
        <v>90</v>
      </c>
      <c r="G202" s="2" t="s">
        <v>822</v>
      </c>
      <c r="H202" s="2" t="s">
        <v>823</v>
      </c>
      <c r="I202" s="2" t="s">
        <v>187</v>
      </c>
      <c r="J202" s="3">
        <v>44584</v>
      </c>
      <c r="K202" s="5">
        <f>YEAR(OrganizedData[[#This Row],[Order Date]])</f>
        <v>2022</v>
      </c>
      <c r="L202" s="7" t="str">
        <f>TEXT(OrganizedData[[#This Row],[Order Date]],"mmm")</f>
        <v>Jan</v>
      </c>
      <c r="M202" s="2">
        <v>80</v>
      </c>
      <c r="N202" s="2" t="s">
        <v>39</v>
      </c>
      <c r="O202" s="2" t="str">
        <f>VLOOKUP(OrganizedData[[#This Row],[Product Code]],ProductData[[Code]:[Item]],2,FALSE)</f>
        <v>Ultrathing V1</v>
      </c>
      <c r="P202" s="4">
        <f>OrganizedData[[#This Row],[Quantity]]*VLOOKUP(OrganizedData[[#This Row],[Product Code]],ProductData[],4,FALSE)</f>
        <v>1360</v>
      </c>
      <c r="Q202" s="6">
        <f>OrganizedData[[#This Row],[Total Items Ordered]]*VLOOKUP(OrganizedData[[#This Row],[Product Code]],ProductData[],3,FALSE)</f>
        <v>2434.4</v>
      </c>
      <c r="R2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2312.6799999999998</v>
      </c>
    </row>
    <row r="203" spans="1:18" x14ac:dyDescent="0.3">
      <c r="A203" s="2">
        <v>196</v>
      </c>
      <c r="B203" s="2" t="s">
        <v>824</v>
      </c>
      <c r="C203" s="2" t="s">
        <v>825</v>
      </c>
      <c r="D203" s="2" t="s">
        <v>28</v>
      </c>
      <c r="E203" s="2" t="s">
        <v>29</v>
      </c>
      <c r="F203" s="2">
        <v>30</v>
      </c>
      <c r="G203" s="2" t="s">
        <v>826</v>
      </c>
      <c r="H203" s="2" t="s">
        <v>827</v>
      </c>
      <c r="I203" s="2" t="s">
        <v>124</v>
      </c>
      <c r="J203" s="3">
        <v>44352</v>
      </c>
      <c r="K203" s="5">
        <f>YEAR(OrganizedData[[#This Row],[Order Date]])</f>
        <v>2021</v>
      </c>
      <c r="L203" s="7" t="str">
        <f>TEXT(OrganizedData[[#This Row],[Order Date]],"mmm")</f>
        <v>Jun</v>
      </c>
      <c r="M203" s="2">
        <v>80</v>
      </c>
      <c r="N203" s="2" t="s">
        <v>159</v>
      </c>
      <c r="O203" s="2" t="str">
        <f>VLOOKUP(OrganizedData[[#This Row],[Product Code]],ProductData[[Code]:[Item]],2,FALSE)</f>
        <v>Ultrathing V3</v>
      </c>
      <c r="P203" s="4">
        <f>OrganizedData[[#This Row],[Quantity]]*VLOOKUP(OrganizedData[[#This Row],[Product Code]],ProductData[],4,FALSE)</f>
        <v>1920</v>
      </c>
      <c r="Q203" s="6">
        <f>OrganizedData[[#This Row],[Total Items Ordered]]*VLOOKUP(OrganizedData[[#This Row],[Product Code]],ProductData[],3,FALSE)</f>
        <v>6508.8</v>
      </c>
      <c r="R2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6183.36</v>
      </c>
    </row>
    <row r="204" spans="1:18" x14ac:dyDescent="0.3">
      <c r="A204" s="2">
        <v>197</v>
      </c>
      <c r="B204" s="2" t="s">
        <v>831</v>
      </c>
      <c r="C204" s="2" t="s">
        <v>832</v>
      </c>
      <c r="D204" s="2" t="s">
        <v>28</v>
      </c>
      <c r="E204" s="2" t="s">
        <v>29</v>
      </c>
      <c r="F204" s="2">
        <v>30</v>
      </c>
      <c r="G204" s="2" t="s">
        <v>833</v>
      </c>
      <c r="H204" s="2" t="s">
        <v>834</v>
      </c>
      <c r="I204" s="2" t="s">
        <v>32</v>
      </c>
      <c r="J204" s="3">
        <v>44823</v>
      </c>
      <c r="K204" s="5">
        <f>YEAR(OrganizedData[[#This Row],[Order Date]])</f>
        <v>2022</v>
      </c>
      <c r="L204" s="7" t="str">
        <f>TEXT(OrganizedData[[#This Row],[Order Date]],"mmm")</f>
        <v>Sep</v>
      </c>
      <c r="M204" s="2">
        <v>50</v>
      </c>
      <c r="N204" s="2" t="s">
        <v>45</v>
      </c>
      <c r="O204" s="2" t="str">
        <f>VLOOKUP(OrganizedData[[#This Row],[Product Code]],ProductData[[Code]:[Item]],2,FALSE)</f>
        <v>Gigastuff</v>
      </c>
      <c r="P204" s="4">
        <f>OrganizedData[[#This Row],[Quantity]]*VLOOKUP(OrganizedData[[#This Row],[Product Code]],ProductData[],4,FALSE)</f>
        <v>900</v>
      </c>
      <c r="Q204" s="6">
        <f>OrganizedData[[#This Row],[Total Items Ordered]]*VLOOKUP(OrganizedData[[#This Row],[Product Code]],ProductData[],3,FALSE)</f>
        <v>1701</v>
      </c>
      <c r="R2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1649.97</v>
      </c>
    </row>
    <row r="205" spans="1:18" x14ac:dyDescent="0.3">
      <c r="A205" s="2">
        <v>198</v>
      </c>
      <c r="B205" s="2" t="s">
        <v>835</v>
      </c>
      <c r="C205" s="2" t="s">
        <v>836</v>
      </c>
      <c r="D205" s="2" t="s">
        <v>51</v>
      </c>
      <c r="E205" s="2" t="s">
        <v>16</v>
      </c>
      <c r="F205" s="2">
        <v>60</v>
      </c>
      <c r="G205" s="2" t="s">
        <v>837</v>
      </c>
      <c r="H205" s="2" t="s">
        <v>838</v>
      </c>
      <c r="I205" s="2" t="s">
        <v>839</v>
      </c>
      <c r="J205" s="3">
        <v>44065</v>
      </c>
      <c r="K205" s="5">
        <f>YEAR(OrganizedData[[#This Row],[Order Date]])</f>
        <v>2020</v>
      </c>
      <c r="L205" s="7" t="str">
        <f>TEXT(OrganizedData[[#This Row],[Order Date]],"mmm")</f>
        <v>Aug</v>
      </c>
      <c r="M205" s="2">
        <v>19</v>
      </c>
      <c r="N205" s="2" t="s">
        <v>20</v>
      </c>
      <c r="O205" s="2" t="str">
        <f>VLOOKUP(OrganizedData[[#This Row],[Product Code]],ProductData[[Code]:[Item]],2,FALSE)</f>
        <v>Hyperwotsit</v>
      </c>
      <c r="P205" s="4">
        <f>OrganizedData[[#This Row],[Quantity]]*VLOOKUP(OrganizedData[[#This Row],[Product Code]],ProductData[],4,FALSE)</f>
        <v>380</v>
      </c>
      <c r="Q205" s="6">
        <f>OrganizedData[[#This Row],[Total Items Ordered]]*VLOOKUP(OrganizedData[[#This Row],[Product Code]],ProductData[],3,FALSE)</f>
        <v>763.8</v>
      </c>
      <c r="R2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206" spans="1:18" x14ac:dyDescent="0.3">
      <c r="A206" s="2">
        <v>199</v>
      </c>
      <c r="B206" s="2" t="s">
        <v>840</v>
      </c>
      <c r="C206" s="2" t="s">
        <v>841</v>
      </c>
      <c r="D206" s="2" t="s">
        <v>28</v>
      </c>
      <c r="E206" s="2" t="s">
        <v>29</v>
      </c>
      <c r="F206" s="2">
        <v>30</v>
      </c>
      <c r="G206" s="2" t="s">
        <v>837</v>
      </c>
      <c r="H206" s="2" t="s">
        <v>842</v>
      </c>
      <c r="I206" s="2" t="s">
        <v>32</v>
      </c>
      <c r="J206" s="3">
        <v>44261</v>
      </c>
      <c r="K206" s="5">
        <f>YEAR(OrganizedData[[#This Row],[Order Date]])</f>
        <v>2021</v>
      </c>
      <c r="L206" s="7" t="str">
        <f>TEXT(OrganizedData[[#This Row],[Order Date]],"mmm")</f>
        <v>Mar</v>
      </c>
      <c r="M206" s="2">
        <v>46</v>
      </c>
      <c r="N206" s="2" t="s">
        <v>54</v>
      </c>
      <c r="O206" s="2" t="str">
        <f>VLOOKUP(OrganizedData[[#This Row],[Product Code]],ProductData[[Code]:[Item]],2,FALSE)</f>
        <v>Megawidget S</v>
      </c>
      <c r="P206" s="4">
        <f>OrganizedData[[#This Row],[Quantity]]*VLOOKUP(OrganizedData[[#This Row],[Product Code]],ProductData[],4,FALSE)</f>
        <v>1104</v>
      </c>
      <c r="Q206" s="6">
        <f>OrganizedData[[#This Row],[Total Items Ordered]]*VLOOKUP(OrganizedData[[#This Row],[Product Code]],ProductData[],3,FALSE)</f>
        <v>761.76</v>
      </c>
      <c r="R2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207" spans="1:18" x14ac:dyDescent="0.3">
      <c r="A207" s="2">
        <v>200</v>
      </c>
      <c r="B207" s="2" t="s">
        <v>843</v>
      </c>
      <c r="C207" s="2" t="s">
        <v>844</v>
      </c>
      <c r="D207" s="2" t="s">
        <v>51</v>
      </c>
      <c r="E207" s="2" t="s">
        <v>16</v>
      </c>
      <c r="F207" s="2">
        <v>90</v>
      </c>
      <c r="G207" s="2" t="s">
        <v>845</v>
      </c>
      <c r="H207" s="2" t="s">
        <v>447</v>
      </c>
      <c r="I207" s="2" t="s">
        <v>32</v>
      </c>
      <c r="J207" s="3">
        <v>44524</v>
      </c>
      <c r="K207" s="5">
        <f>YEAR(OrganizedData[[#This Row],[Order Date]])</f>
        <v>2021</v>
      </c>
      <c r="L207" s="7" t="str">
        <f>TEXT(OrganizedData[[#This Row],[Order Date]],"mmm")</f>
        <v>Nov</v>
      </c>
      <c r="M207" s="2">
        <v>74</v>
      </c>
      <c r="N207" s="2" t="s">
        <v>20</v>
      </c>
      <c r="O207" s="2" t="str">
        <f>VLOOKUP(OrganizedData[[#This Row],[Product Code]],ProductData[[Code]:[Item]],2,FALSE)</f>
        <v>Hyperwotsit</v>
      </c>
      <c r="P207" s="4">
        <f>OrganizedData[[#This Row],[Quantity]]*VLOOKUP(OrganizedData[[#This Row],[Product Code]],ProductData[],4,FALSE)</f>
        <v>1480</v>
      </c>
      <c r="Q207" s="6">
        <f>OrganizedData[[#This Row],[Total Items Ordered]]*VLOOKUP(OrganizedData[[#This Row],[Product Code]],ProductData[],3,FALSE)</f>
        <v>2974.7999999999997</v>
      </c>
      <c r="R2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2826.0599999999995</v>
      </c>
    </row>
    <row r="208" spans="1:18" x14ac:dyDescent="0.3">
      <c r="A208" s="2">
        <v>201</v>
      </c>
      <c r="B208" s="2" t="s">
        <v>846</v>
      </c>
      <c r="C208" s="2" t="s">
        <v>847</v>
      </c>
      <c r="D208" s="2" t="s">
        <v>28</v>
      </c>
      <c r="E208" s="2" t="s">
        <v>29</v>
      </c>
      <c r="F208" s="2">
        <v>60</v>
      </c>
      <c r="G208" s="2" t="s">
        <v>848</v>
      </c>
      <c r="H208" s="2" t="s">
        <v>849</v>
      </c>
      <c r="I208" s="2" t="s">
        <v>124</v>
      </c>
      <c r="J208" s="3">
        <v>43844</v>
      </c>
      <c r="K208" s="5">
        <f>YEAR(OrganizedData[[#This Row],[Order Date]])</f>
        <v>2020</v>
      </c>
      <c r="L208" s="7" t="str">
        <f>TEXT(OrganizedData[[#This Row],[Order Date]],"mmm")</f>
        <v>Jan</v>
      </c>
      <c r="M208" s="2">
        <v>17</v>
      </c>
      <c r="N208" s="2" t="s">
        <v>33</v>
      </c>
      <c r="O208" s="2" t="str">
        <f>VLOOKUP(OrganizedData[[#This Row],[Product Code]],ProductData[[Code]:[Item]],2,FALSE)</f>
        <v>Megawidget L</v>
      </c>
      <c r="P208" s="4">
        <f>OrganizedData[[#This Row],[Quantity]]*VLOOKUP(OrganizedData[[#This Row],[Product Code]],ProductData[],4,FALSE)</f>
        <v>408</v>
      </c>
      <c r="Q208" s="6">
        <f>OrganizedData[[#This Row],[Total Items Ordered]]*VLOOKUP(OrganizedData[[#This Row],[Product Code]],ProductData[],3,FALSE)</f>
        <v>730.32</v>
      </c>
      <c r="R2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209" spans="1:18" x14ac:dyDescent="0.3">
      <c r="A209" s="2">
        <v>202</v>
      </c>
      <c r="B209" s="2" t="s">
        <v>850</v>
      </c>
      <c r="C209" s="2" t="s">
        <v>851</v>
      </c>
      <c r="D209" s="2" t="s">
        <v>15</v>
      </c>
      <c r="E209" s="2" t="s">
        <v>16</v>
      </c>
      <c r="F209" s="2">
        <v>60</v>
      </c>
      <c r="G209" s="2" t="s">
        <v>852</v>
      </c>
      <c r="H209" s="2" t="s">
        <v>853</v>
      </c>
      <c r="I209" s="2" t="s">
        <v>32</v>
      </c>
      <c r="J209" s="3">
        <v>44758</v>
      </c>
      <c r="K209" s="5">
        <f>YEAR(OrganizedData[[#This Row],[Order Date]])</f>
        <v>2022</v>
      </c>
      <c r="L209" s="7" t="str">
        <f>TEXT(OrganizedData[[#This Row],[Order Date]],"mmm")</f>
        <v>Jul</v>
      </c>
      <c r="M209" s="2">
        <v>8</v>
      </c>
      <c r="N209" s="2" t="s">
        <v>33</v>
      </c>
      <c r="O209" s="2" t="str">
        <f>VLOOKUP(OrganizedData[[#This Row],[Product Code]],ProductData[[Code]:[Item]],2,FALSE)</f>
        <v>Megawidget L</v>
      </c>
      <c r="P209" s="4">
        <f>OrganizedData[[#This Row],[Quantity]]*VLOOKUP(OrganizedData[[#This Row],[Product Code]],ProductData[],4,FALSE)</f>
        <v>192</v>
      </c>
      <c r="Q209" s="6">
        <f>OrganizedData[[#This Row],[Total Items Ordered]]*VLOOKUP(OrganizedData[[#This Row],[Product Code]],ProductData[],3,FALSE)</f>
        <v>343.68</v>
      </c>
      <c r="R2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343.68</v>
      </c>
    </row>
    <row r="210" spans="1:18" x14ac:dyDescent="0.3">
      <c r="A210" s="2">
        <v>203</v>
      </c>
      <c r="B210" s="2" t="s">
        <v>854</v>
      </c>
      <c r="C210" s="2" t="s">
        <v>855</v>
      </c>
      <c r="D210" s="2" t="s">
        <v>51</v>
      </c>
      <c r="E210" s="2" t="s">
        <v>16</v>
      </c>
      <c r="F210" s="2">
        <v>60</v>
      </c>
      <c r="G210" s="2" t="s">
        <v>856</v>
      </c>
      <c r="H210" s="2" t="s">
        <v>702</v>
      </c>
      <c r="I210" s="2" t="s">
        <v>703</v>
      </c>
      <c r="J210" s="3">
        <v>44813</v>
      </c>
      <c r="K210" s="5">
        <f>YEAR(OrganizedData[[#This Row],[Order Date]])</f>
        <v>2022</v>
      </c>
      <c r="L210" s="7" t="str">
        <f>TEXT(OrganizedData[[#This Row],[Order Date]],"mmm")</f>
        <v>Sep</v>
      </c>
      <c r="M210" s="2">
        <v>4</v>
      </c>
      <c r="N210" s="2" t="s">
        <v>159</v>
      </c>
      <c r="O210" s="2" t="str">
        <f>VLOOKUP(OrganizedData[[#This Row],[Product Code]],ProductData[[Code]:[Item]],2,FALSE)</f>
        <v>Ultrathing V3</v>
      </c>
      <c r="P210" s="4">
        <f>OrganizedData[[#This Row],[Quantity]]*VLOOKUP(OrganizedData[[#This Row],[Product Code]],ProductData[],4,FALSE)</f>
        <v>96</v>
      </c>
      <c r="Q210" s="6">
        <f>OrganizedData[[#This Row],[Total Items Ordered]]*VLOOKUP(OrganizedData[[#This Row],[Product Code]],ProductData[],3,FALSE)</f>
        <v>325.44</v>
      </c>
      <c r="R2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325.44</v>
      </c>
    </row>
    <row r="211" spans="1:18" x14ac:dyDescent="0.3">
      <c r="A211" s="2">
        <v>204</v>
      </c>
      <c r="B211" s="2" t="s">
        <v>857</v>
      </c>
      <c r="C211" s="2" t="s">
        <v>858</v>
      </c>
      <c r="D211" s="2" t="s">
        <v>51</v>
      </c>
      <c r="E211" s="2" t="s">
        <v>16</v>
      </c>
      <c r="F211" s="2">
        <v>30</v>
      </c>
      <c r="G211" s="2" t="s">
        <v>859</v>
      </c>
      <c r="H211" s="2" t="s">
        <v>860</v>
      </c>
      <c r="I211" s="2" t="s">
        <v>861</v>
      </c>
      <c r="J211" s="3">
        <v>44397</v>
      </c>
      <c r="K211" s="5">
        <f>YEAR(OrganizedData[[#This Row],[Order Date]])</f>
        <v>2021</v>
      </c>
      <c r="L211" s="7" t="str">
        <f>TEXT(OrganizedData[[#This Row],[Order Date]],"mmm")</f>
        <v>Jul</v>
      </c>
      <c r="M211" s="2">
        <v>35</v>
      </c>
      <c r="N211" s="2" t="s">
        <v>64</v>
      </c>
      <c r="O211" s="2" t="str">
        <f>VLOOKUP(OrganizedData[[#This Row],[Product Code]],ProductData[[Code]:[Item]],2,FALSE)</f>
        <v>Ultrathing V4</v>
      </c>
      <c r="P211" s="4">
        <f>OrganizedData[[#This Row],[Quantity]]*VLOOKUP(OrganizedData[[#This Row],[Product Code]],ProductData[],4,FALSE)</f>
        <v>840</v>
      </c>
      <c r="Q211" s="6">
        <f>OrganizedData[[#This Row],[Total Items Ordered]]*VLOOKUP(OrganizedData[[#This Row],[Product Code]],ProductData[],3,FALSE)</f>
        <v>3351.6000000000004</v>
      </c>
      <c r="R2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212" spans="1:18" x14ac:dyDescent="0.3">
      <c r="A212" s="2">
        <v>205</v>
      </c>
      <c r="B212" s="2" t="s">
        <v>862</v>
      </c>
      <c r="C212" s="2" t="s">
        <v>653</v>
      </c>
      <c r="D212" s="2" t="s">
        <v>15</v>
      </c>
      <c r="E212" s="2" t="s">
        <v>16</v>
      </c>
      <c r="F212" s="2">
        <v>30</v>
      </c>
      <c r="G212" s="2" t="s">
        <v>863</v>
      </c>
      <c r="H212" s="2" t="s">
        <v>864</v>
      </c>
      <c r="I212" s="2" t="s">
        <v>19</v>
      </c>
      <c r="J212" s="3">
        <v>44175</v>
      </c>
      <c r="K212" s="5">
        <f>YEAR(OrganizedData[[#This Row],[Order Date]])</f>
        <v>2020</v>
      </c>
      <c r="L212" s="7" t="str">
        <f>TEXT(OrganizedData[[#This Row],[Order Date]],"mmm")</f>
        <v>Dec</v>
      </c>
      <c r="M212" s="2">
        <v>3</v>
      </c>
      <c r="N212" s="2" t="s">
        <v>70</v>
      </c>
      <c r="O212" s="2" t="str">
        <f>VLOOKUP(OrganizedData[[#This Row],[Product Code]],ProductData[[Code]:[Item]],2,FALSE)</f>
        <v>Megawidget M</v>
      </c>
      <c r="P212" s="4">
        <f>OrganizedData[[#This Row],[Quantity]]*VLOOKUP(OrganizedData[[#This Row],[Product Code]],ProductData[],4,FALSE)</f>
        <v>72</v>
      </c>
      <c r="Q212" s="6">
        <f>OrganizedData[[#This Row],[Total Items Ordered]]*VLOOKUP(OrganizedData[[#This Row],[Product Code]],ProductData[],3,FALSE)</f>
        <v>92.88</v>
      </c>
      <c r="R2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92.88</v>
      </c>
    </row>
    <row r="213" spans="1:18" x14ac:dyDescent="0.3">
      <c r="A213" s="2">
        <v>206</v>
      </c>
      <c r="B213" s="2" t="s">
        <v>865</v>
      </c>
      <c r="C213" s="2" t="s">
        <v>866</v>
      </c>
      <c r="D213" s="2" t="s">
        <v>28</v>
      </c>
      <c r="E213" s="2" t="s">
        <v>29</v>
      </c>
      <c r="F213" s="2">
        <v>90</v>
      </c>
      <c r="G213" s="2" t="s">
        <v>867</v>
      </c>
      <c r="H213" s="2" t="s">
        <v>868</v>
      </c>
      <c r="I213" s="2" t="s">
        <v>32</v>
      </c>
      <c r="J213" s="3">
        <v>44462</v>
      </c>
      <c r="K213" s="5">
        <f>YEAR(OrganizedData[[#This Row],[Order Date]])</f>
        <v>2021</v>
      </c>
      <c r="L213" s="7" t="str">
        <f>TEXT(OrganizedData[[#This Row],[Order Date]],"mmm")</f>
        <v>Sep</v>
      </c>
      <c r="M213" s="2">
        <v>87</v>
      </c>
      <c r="N213" s="2" t="s">
        <v>20</v>
      </c>
      <c r="O213" s="2" t="str">
        <f>VLOOKUP(OrganizedData[[#This Row],[Product Code]],ProductData[[Code]:[Item]],2,FALSE)</f>
        <v>Hyperwotsit</v>
      </c>
      <c r="P213" s="4">
        <f>OrganizedData[[#This Row],[Quantity]]*VLOOKUP(OrganizedData[[#This Row],[Product Code]],ProductData[],4,FALSE)</f>
        <v>1740</v>
      </c>
      <c r="Q213" s="6">
        <f>OrganizedData[[#This Row],[Total Items Ordered]]*VLOOKUP(OrganizedData[[#This Row],[Product Code]],ProductData[],3,FALSE)</f>
        <v>3497.3999999999996</v>
      </c>
      <c r="R2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3322.5299999999993</v>
      </c>
    </row>
    <row r="214" spans="1:18" x14ac:dyDescent="0.3">
      <c r="A214" s="2">
        <v>207</v>
      </c>
      <c r="B214" s="2" t="s">
        <v>869</v>
      </c>
      <c r="C214" s="2" t="s">
        <v>870</v>
      </c>
      <c r="D214" s="2" t="s">
        <v>28</v>
      </c>
      <c r="E214" s="2" t="s">
        <v>29</v>
      </c>
      <c r="F214" s="2">
        <v>60</v>
      </c>
      <c r="G214" s="2" t="s">
        <v>871</v>
      </c>
      <c r="H214" s="2" t="s">
        <v>466</v>
      </c>
      <c r="I214" s="2" t="s">
        <v>187</v>
      </c>
      <c r="J214" s="3">
        <v>44518</v>
      </c>
      <c r="K214" s="5">
        <f>YEAR(OrganizedData[[#This Row],[Order Date]])</f>
        <v>2021</v>
      </c>
      <c r="L214" s="7" t="str">
        <f>TEXT(OrganizedData[[#This Row],[Order Date]],"mmm")</f>
        <v>Nov</v>
      </c>
      <c r="M214" s="2">
        <v>42</v>
      </c>
      <c r="N214" s="2" t="s">
        <v>33</v>
      </c>
      <c r="O214" s="2" t="str">
        <f>VLOOKUP(OrganizedData[[#This Row],[Product Code]],ProductData[[Code]:[Item]],2,FALSE)</f>
        <v>Megawidget L</v>
      </c>
      <c r="P214" s="4">
        <f>OrganizedData[[#This Row],[Quantity]]*VLOOKUP(OrganizedData[[#This Row],[Product Code]],ProductData[],4,FALSE)</f>
        <v>1008</v>
      </c>
      <c r="Q214" s="6">
        <f>OrganizedData[[#This Row],[Total Items Ordered]]*VLOOKUP(OrganizedData[[#This Row],[Product Code]],ProductData[],3,FALSE)</f>
        <v>1804.32</v>
      </c>
      <c r="R2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215" spans="1:18" x14ac:dyDescent="0.3">
      <c r="A215" s="2">
        <v>208</v>
      </c>
      <c r="B215" s="2" t="s">
        <v>872</v>
      </c>
      <c r="C215" s="2" t="s">
        <v>873</v>
      </c>
      <c r="D215" s="2" t="s">
        <v>28</v>
      </c>
      <c r="E215" s="2" t="s">
        <v>29</v>
      </c>
      <c r="F215" s="2">
        <v>60</v>
      </c>
      <c r="G215" s="2" t="s">
        <v>874</v>
      </c>
      <c r="H215" s="2" t="s">
        <v>875</v>
      </c>
      <c r="I215" s="2" t="s">
        <v>187</v>
      </c>
      <c r="J215" s="3">
        <v>44819</v>
      </c>
      <c r="K215" s="5">
        <f>YEAR(OrganizedData[[#This Row],[Order Date]])</f>
        <v>2022</v>
      </c>
      <c r="L215" s="7" t="str">
        <f>TEXT(OrganizedData[[#This Row],[Order Date]],"mmm")</f>
        <v>Sep</v>
      </c>
      <c r="M215" s="2">
        <v>93</v>
      </c>
      <c r="N215" s="2" t="s">
        <v>159</v>
      </c>
      <c r="O215" s="2" t="str">
        <f>VLOOKUP(OrganizedData[[#This Row],[Product Code]],ProductData[[Code]:[Item]],2,FALSE)</f>
        <v>Ultrathing V3</v>
      </c>
      <c r="P215" s="4">
        <f>OrganizedData[[#This Row],[Quantity]]*VLOOKUP(OrganizedData[[#This Row],[Product Code]],ProductData[],4,FALSE)</f>
        <v>2232</v>
      </c>
      <c r="Q215" s="6">
        <f>OrganizedData[[#This Row],[Total Items Ordered]]*VLOOKUP(OrganizedData[[#This Row],[Product Code]],ProductData[],3,FALSE)</f>
        <v>7566.4800000000005</v>
      </c>
      <c r="R2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7188.1559999999999</v>
      </c>
    </row>
    <row r="216" spans="1:18" x14ac:dyDescent="0.3">
      <c r="A216" s="2">
        <v>209</v>
      </c>
      <c r="B216" s="2" t="s">
        <v>782</v>
      </c>
      <c r="C216" s="2" t="s">
        <v>441</v>
      </c>
      <c r="D216" s="2" t="s">
        <v>51</v>
      </c>
      <c r="E216" s="2" t="s">
        <v>16</v>
      </c>
      <c r="F216" s="2">
        <v>60</v>
      </c>
      <c r="G216" s="2" t="s">
        <v>876</v>
      </c>
      <c r="H216" s="2" t="s">
        <v>877</v>
      </c>
      <c r="I216" s="2" t="s">
        <v>32</v>
      </c>
      <c r="J216" s="3">
        <v>44651</v>
      </c>
      <c r="K216" s="5">
        <f>YEAR(OrganizedData[[#This Row],[Order Date]])</f>
        <v>2022</v>
      </c>
      <c r="L216" s="7" t="str">
        <f>TEXT(OrganizedData[[#This Row],[Order Date]],"mmm")</f>
        <v>Mar</v>
      </c>
      <c r="M216" s="2">
        <v>100</v>
      </c>
      <c r="N216" s="2" t="s">
        <v>45</v>
      </c>
      <c r="O216" s="2" t="str">
        <f>VLOOKUP(OrganizedData[[#This Row],[Product Code]],ProductData[[Code]:[Item]],2,FALSE)</f>
        <v>Gigastuff</v>
      </c>
      <c r="P216" s="4">
        <f>OrganizedData[[#This Row],[Quantity]]*VLOOKUP(OrganizedData[[#This Row],[Product Code]],ProductData[],4,FALSE)</f>
        <v>1800</v>
      </c>
      <c r="Q216" s="6">
        <f>OrganizedData[[#This Row],[Total Items Ordered]]*VLOOKUP(OrganizedData[[#This Row],[Product Code]],ProductData[],3,FALSE)</f>
        <v>3402</v>
      </c>
      <c r="R2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3231.8999999999996</v>
      </c>
    </row>
    <row r="217" spans="1:18" x14ac:dyDescent="0.3">
      <c r="A217" s="2">
        <v>210</v>
      </c>
      <c r="B217" s="2" t="s">
        <v>878</v>
      </c>
      <c r="C217" s="2" t="s">
        <v>879</v>
      </c>
      <c r="D217" s="2" t="s">
        <v>28</v>
      </c>
      <c r="E217" s="2" t="s">
        <v>29</v>
      </c>
      <c r="F217" s="2">
        <v>30</v>
      </c>
      <c r="G217" s="2" t="s">
        <v>880</v>
      </c>
      <c r="H217" s="2" t="s">
        <v>881</v>
      </c>
      <c r="I217" s="2" t="s">
        <v>178</v>
      </c>
      <c r="J217" s="3">
        <v>44382</v>
      </c>
      <c r="K217" s="5">
        <f>YEAR(OrganizedData[[#This Row],[Order Date]])</f>
        <v>2021</v>
      </c>
      <c r="L217" s="7" t="str">
        <f>TEXT(OrganizedData[[#This Row],[Order Date]],"mmm")</f>
        <v>Jul</v>
      </c>
      <c r="M217" s="2">
        <v>42</v>
      </c>
      <c r="N217" s="2" t="s">
        <v>39</v>
      </c>
      <c r="O217" s="2" t="str">
        <f>VLOOKUP(OrganizedData[[#This Row],[Product Code]],ProductData[[Code]:[Item]],2,FALSE)</f>
        <v>Ultrathing V1</v>
      </c>
      <c r="P217" s="4">
        <f>OrganizedData[[#This Row],[Quantity]]*VLOOKUP(OrganizedData[[#This Row],[Product Code]],ProductData[],4,FALSE)</f>
        <v>714</v>
      </c>
      <c r="Q217" s="6">
        <f>OrganizedData[[#This Row],[Total Items Ordered]]*VLOOKUP(OrganizedData[[#This Row],[Product Code]],ProductData[],3,FALSE)</f>
        <v>1278.06</v>
      </c>
      <c r="R2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1239.7182</v>
      </c>
    </row>
    <row r="218" spans="1:18" x14ac:dyDescent="0.3">
      <c r="A218" s="2">
        <v>211</v>
      </c>
      <c r="B218" s="2" t="s">
        <v>882</v>
      </c>
      <c r="C218" s="2" t="s">
        <v>883</v>
      </c>
      <c r="D218" s="2" t="s">
        <v>28</v>
      </c>
      <c r="E218" s="2" t="s">
        <v>29</v>
      </c>
      <c r="F218" s="2">
        <v>90</v>
      </c>
      <c r="G218" s="2" t="s">
        <v>884</v>
      </c>
      <c r="H218" s="2" t="s">
        <v>885</v>
      </c>
      <c r="I218" s="2" t="s">
        <v>886</v>
      </c>
      <c r="J218" s="3">
        <v>44582</v>
      </c>
      <c r="K218" s="5">
        <f>YEAR(OrganizedData[[#This Row],[Order Date]])</f>
        <v>2022</v>
      </c>
      <c r="L218" s="7" t="str">
        <f>TEXT(OrganizedData[[#This Row],[Order Date]],"mmm")</f>
        <v>Jan</v>
      </c>
      <c r="M218" s="2">
        <v>92</v>
      </c>
      <c r="N218" s="2" t="s">
        <v>64</v>
      </c>
      <c r="O218" s="2" t="str">
        <f>VLOOKUP(OrganizedData[[#This Row],[Product Code]],ProductData[[Code]:[Item]],2,FALSE)</f>
        <v>Ultrathing V4</v>
      </c>
      <c r="P218" s="4">
        <f>OrganizedData[[#This Row],[Quantity]]*VLOOKUP(OrganizedData[[#This Row],[Product Code]],ProductData[],4,FALSE)</f>
        <v>2208</v>
      </c>
      <c r="Q218" s="6">
        <f>OrganizedData[[#This Row],[Total Items Ordered]]*VLOOKUP(OrganizedData[[#This Row],[Product Code]],ProductData[],3,FALSE)</f>
        <v>8809.92</v>
      </c>
      <c r="R2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8369.4239999999991</v>
      </c>
    </row>
    <row r="219" spans="1:18" x14ac:dyDescent="0.3">
      <c r="A219" s="2">
        <v>212</v>
      </c>
      <c r="B219" s="2" t="s">
        <v>887</v>
      </c>
      <c r="C219" s="2" t="s">
        <v>888</v>
      </c>
      <c r="D219" s="2" t="s">
        <v>28</v>
      </c>
      <c r="E219" s="2" t="s">
        <v>29</v>
      </c>
      <c r="F219" s="2">
        <v>60</v>
      </c>
      <c r="G219" s="2" t="s">
        <v>889</v>
      </c>
      <c r="H219" s="2" t="s">
        <v>890</v>
      </c>
      <c r="I219" s="2" t="s">
        <v>178</v>
      </c>
      <c r="J219" s="3">
        <v>44653</v>
      </c>
      <c r="K219" s="5">
        <f>YEAR(OrganizedData[[#This Row],[Order Date]])</f>
        <v>2022</v>
      </c>
      <c r="L219" s="7" t="str">
        <f>TEXT(OrganizedData[[#This Row],[Order Date]],"mmm")</f>
        <v>Apr</v>
      </c>
      <c r="M219" s="2">
        <v>100</v>
      </c>
      <c r="N219" s="2" t="s">
        <v>45</v>
      </c>
      <c r="O219" s="2" t="str">
        <f>VLOOKUP(OrganizedData[[#This Row],[Product Code]],ProductData[[Code]:[Item]],2,FALSE)</f>
        <v>Gigastuff</v>
      </c>
      <c r="P219" s="4">
        <f>OrganizedData[[#This Row],[Quantity]]*VLOOKUP(OrganizedData[[#This Row],[Product Code]],ProductData[],4,FALSE)</f>
        <v>1800</v>
      </c>
      <c r="Q219" s="6">
        <f>OrganizedData[[#This Row],[Total Items Ordered]]*VLOOKUP(OrganizedData[[#This Row],[Product Code]],ProductData[],3,FALSE)</f>
        <v>3402</v>
      </c>
      <c r="R2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3231.8999999999996</v>
      </c>
    </row>
    <row r="220" spans="1:18" x14ac:dyDescent="0.3">
      <c r="A220" s="2">
        <v>213</v>
      </c>
      <c r="B220" s="2" t="s">
        <v>891</v>
      </c>
      <c r="C220" s="2" t="s">
        <v>892</v>
      </c>
      <c r="D220" s="2" t="s">
        <v>28</v>
      </c>
      <c r="E220" s="2" t="s">
        <v>29</v>
      </c>
      <c r="F220" s="2">
        <v>90</v>
      </c>
      <c r="G220" s="2" t="s">
        <v>893</v>
      </c>
      <c r="H220" s="2" t="s">
        <v>894</v>
      </c>
      <c r="I220" s="2" t="s">
        <v>38</v>
      </c>
      <c r="J220" s="3">
        <v>44542</v>
      </c>
      <c r="K220" s="5">
        <f>YEAR(OrganizedData[[#This Row],[Order Date]])</f>
        <v>2021</v>
      </c>
      <c r="L220" s="7" t="str">
        <f>TEXT(OrganizedData[[#This Row],[Order Date]],"mmm")</f>
        <v>Dec</v>
      </c>
      <c r="M220" s="2">
        <v>16</v>
      </c>
      <c r="N220" s="2" t="s">
        <v>54</v>
      </c>
      <c r="O220" s="2" t="str">
        <f>VLOOKUP(OrganizedData[[#This Row],[Product Code]],ProductData[[Code]:[Item]],2,FALSE)</f>
        <v>Megawidget S</v>
      </c>
      <c r="P220" s="4">
        <f>OrganizedData[[#This Row],[Quantity]]*VLOOKUP(OrganizedData[[#This Row],[Product Code]],ProductData[],4,FALSE)</f>
        <v>384</v>
      </c>
      <c r="Q220" s="6">
        <f>OrganizedData[[#This Row],[Total Items Ordered]]*VLOOKUP(OrganizedData[[#This Row],[Product Code]],ProductData[],3,FALSE)</f>
        <v>264.95999999999998</v>
      </c>
      <c r="R2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221" spans="1:18" x14ac:dyDescent="0.3">
      <c r="A221" s="2">
        <v>214</v>
      </c>
      <c r="B221" s="2" t="s">
        <v>895</v>
      </c>
      <c r="C221" s="2" t="s">
        <v>896</v>
      </c>
      <c r="D221" s="2" t="s">
        <v>51</v>
      </c>
      <c r="E221" s="2" t="s">
        <v>16</v>
      </c>
      <c r="F221" s="2">
        <v>30</v>
      </c>
      <c r="G221" s="2" t="s">
        <v>897</v>
      </c>
      <c r="H221" s="2" t="s">
        <v>898</v>
      </c>
      <c r="I221" s="2" t="s">
        <v>32</v>
      </c>
      <c r="J221" s="3">
        <v>44507</v>
      </c>
      <c r="K221" s="5">
        <f>YEAR(OrganizedData[[#This Row],[Order Date]])</f>
        <v>2021</v>
      </c>
      <c r="L221" s="7" t="str">
        <f>TEXT(OrganizedData[[#This Row],[Order Date]],"mmm")</f>
        <v>Nov</v>
      </c>
      <c r="M221" s="2">
        <v>24</v>
      </c>
      <c r="N221" s="2" t="s">
        <v>101</v>
      </c>
      <c r="O221" s="2" t="str">
        <f>VLOOKUP(OrganizedData[[#This Row],[Product Code]],ProductData[[Code]:[Item]],2,FALSE)</f>
        <v>Superwossname</v>
      </c>
      <c r="P221" s="4">
        <f>OrganizedData[[#This Row],[Quantity]]*VLOOKUP(OrganizedData[[#This Row],[Product Code]],ProductData[],4,FALSE)</f>
        <v>480</v>
      </c>
      <c r="Q221" s="6">
        <f>OrganizedData[[#This Row],[Total Items Ordered]]*VLOOKUP(OrganizedData[[#This Row],[Product Code]],ProductData[],3,FALSE)</f>
        <v>1675.2</v>
      </c>
      <c r="R2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1624.944</v>
      </c>
    </row>
    <row r="222" spans="1:18" x14ac:dyDescent="0.3">
      <c r="A222" s="2">
        <v>215</v>
      </c>
      <c r="B222" s="2" t="s">
        <v>899</v>
      </c>
      <c r="C222" s="2" t="s">
        <v>644</v>
      </c>
      <c r="D222" s="2" t="s">
        <v>28</v>
      </c>
      <c r="E222" s="2" t="s">
        <v>29</v>
      </c>
      <c r="F222" s="2">
        <v>30</v>
      </c>
      <c r="G222" s="2" t="s">
        <v>900</v>
      </c>
      <c r="H222" s="2" t="s">
        <v>901</v>
      </c>
      <c r="I222" s="2" t="s">
        <v>146</v>
      </c>
      <c r="J222" s="3">
        <v>44726</v>
      </c>
      <c r="K222" s="5">
        <f>YEAR(OrganizedData[[#This Row],[Order Date]])</f>
        <v>2022</v>
      </c>
      <c r="L222" s="7" t="str">
        <f>TEXT(OrganizedData[[#This Row],[Order Date]],"mmm")</f>
        <v>Jun</v>
      </c>
      <c r="M222" s="2">
        <v>25</v>
      </c>
      <c r="N222" s="2" t="s">
        <v>80</v>
      </c>
      <c r="O222" s="2" t="str">
        <f>VLOOKUP(OrganizedData[[#This Row],[Product Code]],ProductData[[Code]:[Item]],2,FALSE)</f>
        <v>Ultrathing V2</v>
      </c>
      <c r="P222" s="4">
        <f>OrganizedData[[#This Row],[Quantity]]*VLOOKUP(OrganizedData[[#This Row],[Product Code]],ProductData[],4,FALSE)</f>
        <v>500</v>
      </c>
      <c r="Q222" s="6">
        <f>OrganizedData[[#This Row],[Total Items Ordered]]*VLOOKUP(OrganizedData[[#This Row],[Product Code]],ProductData[],3,FALSE)</f>
        <v>1475</v>
      </c>
      <c r="R2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1430.75</v>
      </c>
    </row>
    <row r="223" spans="1:18" x14ac:dyDescent="0.3">
      <c r="A223" s="2">
        <v>216</v>
      </c>
      <c r="B223" s="2" t="s">
        <v>188</v>
      </c>
      <c r="C223" s="2" t="s">
        <v>902</v>
      </c>
      <c r="D223" s="2" t="s">
        <v>117</v>
      </c>
      <c r="E223" s="2" t="s">
        <v>29</v>
      </c>
      <c r="F223" s="2">
        <v>90</v>
      </c>
      <c r="G223" s="2" t="s">
        <v>903</v>
      </c>
      <c r="H223" s="2" t="s">
        <v>904</v>
      </c>
      <c r="I223" s="2" t="s">
        <v>32</v>
      </c>
      <c r="J223" s="3">
        <v>44517</v>
      </c>
      <c r="K223" s="5">
        <f>YEAR(OrganizedData[[#This Row],[Order Date]])</f>
        <v>2021</v>
      </c>
      <c r="L223" s="7" t="str">
        <f>TEXT(OrganizedData[[#This Row],[Order Date]],"mmm")</f>
        <v>Nov</v>
      </c>
      <c r="M223" s="2">
        <v>4</v>
      </c>
      <c r="N223" s="2" t="s">
        <v>80</v>
      </c>
      <c r="O223" s="2" t="str">
        <f>VLOOKUP(OrganizedData[[#This Row],[Product Code]],ProductData[[Code]:[Item]],2,FALSE)</f>
        <v>Ultrathing V2</v>
      </c>
      <c r="P223" s="4">
        <f>OrganizedData[[#This Row],[Quantity]]*VLOOKUP(OrganizedData[[#This Row],[Product Code]],ProductData[],4,FALSE)</f>
        <v>80</v>
      </c>
      <c r="Q223" s="6">
        <f>OrganizedData[[#This Row],[Total Items Ordered]]*VLOOKUP(OrganizedData[[#This Row],[Product Code]],ProductData[],3,FALSE)</f>
        <v>236</v>
      </c>
      <c r="R2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224" spans="1:18" x14ac:dyDescent="0.3">
      <c r="A224" s="2">
        <v>217</v>
      </c>
      <c r="B224" s="2" t="s">
        <v>905</v>
      </c>
      <c r="C224" s="2" t="s">
        <v>906</v>
      </c>
      <c r="D224" s="2" t="s">
        <v>28</v>
      </c>
      <c r="E224" s="2" t="s">
        <v>29</v>
      </c>
      <c r="F224" s="2">
        <v>60</v>
      </c>
      <c r="G224" s="2" t="s">
        <v>907</v>
      </c>
      <c r="H224" s="2" t="s">
        <v>908</v>
      </c>
      <c r="I224" s="2" t="s">
        <v>575</v>
      </c>
      <c r="J224" s="3">
        <v>44728</v>
      </c>
      <c r="K224" s="5">
        <f>YEAR(OrganizedData[[#This Row],[Order Date]])</f>
        <v>2022</v>
      </c>
      <c r="L224" s="7" t="str">
        <f>TEXT(OrganizedData[[#This Row],[Order Date]],"mmm")</f>
        <v>Jun</v>
      </c>
      <c r="M224" s="2">
        <v>103</v>
      </c>
      <c r="N224" s="2" t="s">
        <v>39</v>
      </c>
      <c r="O224" s="2" t="str">
        <f>VLOOKUP(OrganizedData[[#This Row],[Product Code]],ProductData[[Code]:[Item]],2,FALSE)</f>
        <v>Ultrathing V1</v>
      </c>
      <c r="P224" s="4">
        <f>OrganizedData[[#This Row],[Quantity]]*VLOOKUP(OrganizedData[[#This Row],[Product Code]],ProductData[],4,FALSE)</f>
        <v>1751</v>
      </c>
      <c r="Q224" s="6">
        <f>OrganizedData[[#This Row],[Total Items Ordered]]*VLOOKUP(OrganizedData[[#This Row],[Product Code]],ProductData[],3,FALSE)</f>
        <v>3134.29</v>
      </c>
      <c r="R2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2914.8897000000002</v>
      </c>
    </row>
    <row r="225" spans="1:18" x14ac:dyDescent="0.3">
      <c r="A225" s="2">
        <v>218</v>
      </c>
      <c r="B225" s="2" t="s">
        <v>909</v>
      </c>
      <c r="C225" s="2" t="s">
        <v>910</v>
      </c>
      <c r="D225" s="2" t="s">
        <v>51</v>
      </c>
      <c r="E225" s="2" t="s">
        <v>16</v>
      </c>
      <c r="F225" s="2">
        <v>30</v>
      </c>
      <c r="G225" s="2" t="s">
        <v>911</v>
      </c>
      <c r="H225" s="2" t="s">
        <v>912</v>
      </c>
      <c r="I225" s="2" t="s">
        <v>913</v>
      </c>
      <c r="J225" s="3">
        <v>44334</v>
      </c>
      <c r="K225" s="5">
        <f>YEAR(OrganizedData[[#This Row],[Order Date]])</f>
        <v>2021</v>
      </c>
      <c r="L225" s="7" t="str">
        <f>TEXT(OrganizedData[[#This Row],[Order Date]],"mmm")</f>
        <v>May</v>
      </c>
      <c r="M225" s="2">
        <v>28</v>
      </c>
      <c r="N225" s="2" t="s">
        <v>39</v>
      </c>
      <c r="O225" s="2" t="str">
        <f>VLOOKUP(OrganizedData[[#This Row],[Product Code]],ProductData[[Code]:[Item]],2,FALSE)</f>
        <v>Ultrathing V1</v>
      </c>
      <c r="P225" s="4">
        <f>OrganizedData[[#This Row],[Quantity]]*VLOOKUP(OrganizedData[[#This Row],[Product Code]],ProductData[],4,FALSE)</f>
        <v>476</v>
      </c>
      <c r="Q225" s="6">
        <f>OrganizedData[[#This Row],[Total Items Ordered]]*VLOOKUP(OrganizedData[[#This Row],[Product Code]],ProductData[],3,FALSE)</f>
        <v>852.04</v>
      </c>
      <c r="R2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826.47879999999998</v>
      </c>
    </row>
    <row r="226" spans="1:18" x14ac:dyDescent="0.3">
      <c r="A226" s="2">
        <v>219</v>
      </c>
      <c r="B226" s="2" t="s">
        <v>914</v>
      </c>
      <c r="C226" s="2" t="s">
        <v>915</v>
      </c>
      <c r="D226" s="2" t="s">
        <v>28</v>
      </c>
      <c r="E226" s="2" t="s">
        <v>29</v>
      </c>
      <c r="F226" s="2">
        <v>30</v>
      </c>
      <c r="G226" s="2" t="s">
        <v>916</v>
      </c>
      <c r="H226" s="2" t="s">
        <v>917</v>
      </c>
      <c r="I226" s="2" t="s">
        <v>32</v>
      </c>
      <c r="J226" s="3">
        <v>44802</v>
      </c>
      <c r="K226" s="5">
        <f>YEAR(OrganizedData[[#This Row],[Order Date]])</f>
        <v>2022</v>
      </c>
      <c r="L226" s="7" t="str">
        <f>TEXT(OrganizedData[[#This Row],[Order Date]],"mmm")</f>
        <v>Aug</v>
      </c>
      <c r="M226" s="2">
        <v>14</v>
      </c>
      <c r="N226" s="2" t="s">
        <v>70</v>
      </c>
      <c r="O226" s="2" t="str">
        <f>VLOOKUP(OrganizedData[[#This Row],[Product Code]],ProductData[[Code]:[Item]],2,FALSE)</f>
        <v>Megawidget M</v>
      </c>
      <c r="P226" s="4">
        <f>OrganizedData[[#This Row],[Quantity]]*VLOOKUP(OrganizedData[[#This Row],[Product Code]],ProductData[],4,FALSE)</f>
        <v>336</v>
      </c>
      <c r="Q226" s="6">
        <f>OrganizedData[[#This Row],[Total Items Ordered]]*VLOOKUP(OrganizedData[[#This Row],[Product Code]],ProductData[],3,FALSE)</f>
        <v>433.44</v>
      </c>
      <c r="R2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227" spans="1:18" x14ac:dyDescent="0.3">
      <c r="A227" s="2">
        <v>220</v>
      </c>
      <c r="B227" s="2" t="s">
        <v>918</v>
      </c>
      <c r="C227" s="2" t="s">
        <v>189</v>
      </c>
      <c r="D227" s="2" t="s">
        <v>15</v>
      </c>
      <c r="E227" s="2" t="s">
        <v>16</v>
      </c>
      <c r="F227" s="2">
        <v>30</v>
      </c>
      <c r="G227" s="2" t="s">
        <v>919</v>
      </c>
      <c r="H227" s="2" t="s">
        <v>920</v>
      </c>
      <c r="I227" s="2" t="s">
        <v>178</v>
      </c>
      <c r="J227" s="3">
        <v>44544</v>
      </c>
      <c r="K227" s="5">
        <f>YEAR(OrganizedData[[#This Row],[Order Date]])</f>
        <v>2021</v>
      </c>
      <c r="L227" s="7" t="str">
        <f>TEXT(OrganizedData[[#This Row],[Order Date]],"mmm")</f>
        <v>Dec</v>
      </c>
      <c r="M227" s="2">
        <v>54</v>
      </c>
      <c r="N227" s="2" t="s">
        <v>45</v>
      </c>
      <c r="O227" s="2" t="str">
        <f>VLOOKUP(OrganizedData[[#This Row],[Product Code]],ProductData[[Code]:[Item]],2,FALSE)</f>
        <v>Gigastuff</v>
      </c>
      <c r="P227" s="4">
        <f>OrganizedData[[#This Row],[Quantity]]*VLOOKUP(OrganizedData[[#This Row],[Product Code]],ProductData[],4,FALSE)</f>
        <v>972</v>
      </c>
      <c r="Q227" s="6">
        <f>OrganizedData[[#This Row],[Total Items Ordered]]*VLOOKUP(OrganizedData[[#This Row],[Product Code]],ProductData[],3,FALSE)</f>
        <v>1837.08</v>
      </c>
      <c r="R2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1745.2259999999999</v>
      </c>
    </row>
    <row r="228" spans="1:18" x14ac:dyDescent="0.3">
      <c r="A228" s="2">
        <v>221</v>
      </c>
      <c r="B228" s="2" t="s">
        <v>921</v>
      </c>
      <c r="C228" s="2" t="s">
        <v>922</v>
      </c>
      <c r="D228" s="2" t="s">
        <v>28</v>
      </c>
      <c r="E228" s="2" t="s">
        <v>29</v>
      </c>
      <c r="F228" s="2">
        <v>30</v>
      </c>
      <c r="G228" s="2" t="s">
        <v>923</v>
      </c>
      <c r="H228" s="2" t="s">
        <v>924</v>
      </c>
      <c r="I228" s="2" t="s">
        <v>32</v>
      </c>
      <c r="J228" s="3">
        <v>44815</v>
      </c>
      <c r="K228" s="5">
        <f>YEAR(OrganizedData[[#This Row],[Order Date]])</f>
        <v>2022</v>
      </c>
      <c r="L228" s="7" t="str">
        <f>TEXT(OrganizedData[[#This Row],[Order Date]],"mmm")</f>
        <v>Sep</v>
      </c>
      <c r="M228" s="2">
        <v>68</v>
      </c>
      <c r="N228" s="2" t="s">
        <v>64</v>
      </c>
      <c r="O228" s="2" t="str">
        <f>VLOOKUP(OrganizedData[[#This Row],[Product Code]],ProductData[[Code]:[Item]],2,FALSE)</f>
        <v>Ultrathing V4</v>
      </c>
      <c r="P228" s="4">
        <f>OrganizedData[[#This Row],[Quantity]]*VLOOKUP(OrganizedData[[#This Row],[Product Code]],ProductData[],4,FALSE)</f>
        <v>1632</v>
      </c>
      <c r="Q228" s="6">
        <f>OrganizedData[[#This Row],[Total Items Ordered]]*VLOOKUP(OrganizedData[[#This Row],[Product Code]],ProductData[],3,FALSE)</f>
        <v>6511.68</v>
      </c>
      <c r="R2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229" spans="1:18" x14ac:dyDescent="0.3">
      <c r="A229" s="2">
        <v>222</v>
      </c>
      <c r="B229" s="2" t="s">
        <v>452</v>
      </c>
      <c r="C229" s="2" t="s">
        <v>925</v>
      </c>
      <c r="D229" s="2" t="s">
        <v>28</v>
      </c>
      <c r="E229" s="2" t="s">
        <v>29</v>
      </c>
      <c r="F229" s="2">
        <v>60</v>
      </c>
      <c r="G229" s="2" t="s">
        <v>926</v>
      </c>
      <c r="H229" s="2" t="s">
        <v>927</v>
      </c>
      <c r="I229" s="2" t="s">
        <v>129</v>
      </c>
      <c r="J229" s="3">
        <v>44158</v>
      </c>
      <c r="K229" s="5">
        <f>YEAR(OrganizedData[[#This Row],[Order Date]])</f>
        <v>2020</v>
      </c>
      <c r="L229" s="7" t="str">
        <f>TEXT(OrganizedData[[#This Row],[Order Date]],"mmm")</f>
        <v>Nov</v>
      </c>
      <c r="M229" s="2">
        <v>9</v>
      </c>
      <c r="N229" s="2" t="s">
        <v>101</v>
      </c>
      <c r="O229" s="2" t="str">
        <f>VLOOKUP(OrganizedData[[#This Row],[Product Code]],ProductData[[Code]:[Item]],2,FALSE)</f>
        <v>Superwossname</v>
      </c>
      <c r="P229" s="4">
        <f>OrganizedData[[#This Row],[Quantity]]*VLOOKUP(OrganizedData[[#This Row],[Product Code]],ProductData[],4,FALSE)</f>
        <v>180</v>
      </c>
      <c r="Q229" s="6">
        <f>OrganizedData[[#This Row],[Total Items Ordered]]*VLOOKUP(OrganizedData[[#This Row],[Product Code]],ProductData[],3,FALSE)</f>
        <v>628.20000000000005</v>
      </c>
      <c r="R2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628.20000000000005</v>
      </c>
    </row>
    <row r="230" spans="1:18" x14ac:dyDescent="0.3">
      <c r="A230" s="2">
        <v>223</v>
      </c>
      <c r="B230" s="2" t="s">
        <v>928</v>
      </c>
      <c r="C230" s="2" t="s">
        <v>929</v>
      </c>
      <c r="D230" s="2" t="s">
        <v>28</v>
      </c>
      <c r="E230" s="2" t="s">
        <v>29</v>
      </c>
      <c r="F230" s="2">
        <v>30</v>
      </c>
      <c r="G230" s="2" t="s">
        <v>930</v>
      </c>
      <c r="H230" s="2" t="s">
        <v>742</v>
      </c>
      <c r="I230" s="2" t="s">
        <v>124</v>
      </c>
      <c r="J230" s="3">
        <v>44897</v>
      </c>
      <c r="K230" s="5">
        <f>YEAR(OrganizedData[[#This Row],[Order Date]])</f>
        <v>2022</v>
      </c>
      <c r="L230" s="7" t="str">
        <f>TEXT(OrganizedData[[#This Row],[Order Date]],"mmm")</f>
        <v>Dec</v>
      </c>
      <c r="M230" s="2">
        <v>46</v>
      </c>
      <c r="N230" s="2" t="s">
        <v>70</v>
      </c>
      <c r="O230" s="2" t="str">
        <f>VLOOKUP(OrganizedData[[#This Row],[Product Code]],ProductData[[Code]:[Item]],2,FALSE)</f>
        <v>Megawidget M</v>
      </c>
      <c r="P230" s="4">
        <f>OrganizedData[[#This Row],[Quantity]]*VLOOKUP(OrganizedData[[#This Row],[Product Code]],ProductData[],4,FALSE)</f>
        <v>1104</v>
      </c>
      <c r="Q230" s="6">
        <f>OrganizedData[[#This Row],[Total Items Ordered]]*VLOOKUP(OrganizedData[[#This Row],[Product Code]],ProductData[],3,FALSE)</f>
        <v>1424.16</v>
      </c>
      <c r="R2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231" spans="1:18" x14ac:dyDescent="0.3">
      <c r="A231" s="2">
        <v>224</v>
      </c>
      <c r="B231" s="2" t="s">
        <v>492</v>
      </c>
      <c r="C231" s="2" t="s">
        <v>931</v>
      </c>
      <c r="D231" s="2" t="s">
        <v>28</v>
      </c>
      <c r="E231" s="2" t="s">
        <v>29</v>
      </c>
      <c r="F231" s="2">
        <v>60</v>
      </c>
      <c r="G231" s="2" t="s">
        <v>932</v>
      </c>
      <c r="H231" s="2" t="s">
        <v>933</v>
      </c>
      <c r="I231" s="2" t="s">
        <v>934</v>
      </c>
      <c r="J231" s="3">
        <v>44214</v>
      </c>
      <c r="K231" s="5">
        <f>YEAR(OrganizedData[[#This Row],[Order Date]])</f>
        <v>2021</v>
      </c>
      <c r="L231" s="7" t="str">
        <f>TEXT(OrganizedData[[#This Row],[Order Date]],"mmm")</f>
        <v>Jan</v>
      </c>
      <c r="M231" s="2">
        <v>53</v>
      </c>
      <c r="N231" s="2" t="s">
        <v>20</v>
      </c>
      <c r="O231" s="2" t="str">
        <f>VLOOKUP(OrganizedData[[#This Row],[Product Code]],ProductData[[Code]:[Item]],2,FALSE)</f>
        <v>Hyperwotsit</v>
      </c>
      <c r="P231" s="4">
        <f>OrganizedData[[#This Row],[Quantity]]*VLOOKUP(OrganizedData[[#This Row],[Product Code]],ProductData[],4,FALSE)</f>
        <v>1060</v>
      </c>
      <c r="Q231" s="6">
        <f>OrganizedData[[#This Row],[Total Items Ordered]]*VLOOKUP(OrganizedData[[#This Row],[Product Code]],ProductData[],3,FALSE)</f>
        <v>2130.6</v>
      </c>
      <c r="R2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2024.0699999999997</v>
      </c>
    </row>
    <row r="232" spans="1:18" x14ac:dyDescent="0.3">
      <c r="A232" s="2">
        <v>225</v>
      </c>
      <c r="B232" s="2" t="s">
        <v>935</v>
      </c>
      <c r="C232" s="2" t="s">
        <v>936</v>
      </c>
      <c r="D232" s="2" t="s">
        <v>28</v>
      </c>
      <c r="E232" s="2" t="s">
        <v>29</v>
      </c>
      <c r="F232" s="2">
        <v>30</v>
      </c>
      <c r="G232" s="2" t="s">
        <v>937</v>
      </c>
      <c r="H232" s="2" t="s">
        <v>938</v>
      </c>
      <c r="I232" s="2" t="s">
        <v>25</v>
      </c>
      <c r="J232" s="3">
        <v>43959</v>
      </c>
      <c r="K232" s="5">
        <f>YEAR(OrganizedData[[#This Row],[Order Date]])</f>
        <v>2020</v>
      </c>
      <c r="L232" s="7" t="str">
        <f>TEXT(OrganizedData[[#This Row],[Order Date]],"mmm")</f>
        <v>May</v>
      </c>
      <c r="M232" s="2">
        <v>20</v>
      </c>
      <c r="N232" s="2" t="s">
        <v>70</v>
      </c>
      <c r="O232" s="2" t="str">
        <f>VLOOKUP(OrganizedData[[#This Row],[Product Code]],ProductData[[Code]:[Item]],2,FALSE)</f>
        <v>Megawidget M</v>
      </c>
      <c r="P232" s="4">
        <f>OrganizedData[[#This Row],[Quantity]]*VLOOKUP(OrganizedData[[#This Row],[Product Code]],ProductData[],4,FALSE)</f>
        <v>480</v>
      </c>
      <c r="Q232" s="6">
        <f>OrganizedData[[#This Row],[Total Items Ordered]]*VLOOKUP(OrganizedData[[#This Row],[Product Code]],ProductData[],3,FALSE)</f>
        <v>619.20000000000005</v>
      </c>
      <c r="R2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619.20000000000005</v>
      </c>
    </row>
    <row r="233" spans="1:18" x14ac:dyDescent="0.3">
      <c r="A233" s="2">
        <v>226</v>
      </c>
      <c r="B233" s="2" t="s">
        <v>939</v>
      </c>
      <c r="C233" s="2" t="s">
        <v>940</v>
      </c>
      <c r="D233" s="2" t="s">
        <v>15</v>
      </c>
      <c r="E233" s="2" t="s">
        <v>16</v>
      </c>
      <c r="F233" s="2">
        <v>30</v>
      </c>
      <c r="G233" s="2" t="s">
        <v>941</v>
      </c>
      <c r="H233" s="2" t="s">
        <v>942</v>
      </c>
      <c r="I233" s="2" t="s">
        <v>32</v>
      </c>
      <c r="J233" s="3">
        <v>44635</v>
      </c>
      <c r="K233" s="5">
        <f>YEAR(OrganizedData[[#This Row],[Order Date]])</f>
        <v>2022</v>
      </c>
      <c r="L233" s="7" t="str">
        <f>TEXT(OrganizedData[[#This Row],[Order Date]],"mmm")</f>
        <v>Mar</v>
      </c>
      <c r="M233" s="2">
        <v>55</v>
      </c>
      <c r="N233" s="2" t="s">
        <v>64</v>
      </c>
      <c r="O233" s="2" t="str">
        <f>VLOOKUP(OrganizedData[[#This Row],[Product Code]],ProductData[[Code]:[Item]],2,FALSE)</f>
        <v>Ultrathing V4</v>
      </c>
      <c r="P233" s="4">
        <f>OrganizedData[[#This Row],[Quantity]]*VLOOKUP(OrganizedData[[#This Row],[Product Code]],ProductData[],4,FALSE)</f>
        <v>1320</v>
      </c>
      <c r="Q233" s="6">
        <f>OrganizedData[[#This Row],[Total Items Ordered]]*VLOOKUP(OrganizedData[[#This Row],[Product Code]],ProductData[],3,FALSE)</f>
        <v>5266.8</v>
      </c>
      <c r="R2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234" spans="1:18" x14ac:dyDescent="0.3">
      <c r="A234" s="2">
        <v>227</v>
      </c>
      <c r="B234" s="2" t="s">
        <v>943</v>
      </c>
      <c r="C234" s="2" t="s">
        <v>944</v>
      </c>
      <c r="D234" s="2" t="s">
        <v>92</v>
      </c>
      <c r="E234" s="2" t="s">
        <v>29</v>
      </c>
      <c r="F234" s="2">
        <v>30</v>
      </c>
      <c r="G234" s="2" t="s">
        <v>945</v>
      </c>
      <c r="H234" s="2" t="s">
        <v>946</v>
      </c>
      <c r="I234" s="2" t="s">
        <v>947</v>
      </c>
      <c r="J234" s="3">
        <v>44299</v>
      </c>
      <c r="K234" s="5">
        <f>YEAR(OrganizedData[[#This Row],[Order Date]])</f>
        <v>2021</v>
      </c>
      <c r="L234" s="7" t="str">
        <f>TEXT(OrganizedData[[#This Row],[Order Date]],"mmm")</f>
        <v>Apr</v>
      </c>
      <c r="M234" s="2">
        <v>86</v>
      </c>
      <c r="N234" s="2" t="s">
        <v>33</v>
      </c>
      <c r="O234" s="2" t="str">
        <f>VLOOKUP(OrganizedData[[#This Row],[Product Code]],ProductData[[Code]:[Item]],2,FALSE)</f>
        <v>Megawidget L</v>
      </c>
      <c r="P234" s="4">
        <f>OrganizedData[[#This Row],[Quantity]]*VLOOKUP(OrganizedData[[#This Row],[Product Code]],ProductData[],4,FALSE)</f>
        <v>2064</v>
      </c>
      <c r="Q234" s="6">
        <f>OrganizedData[[#This Row],[Total Items Ordered]]*VLOOKUP(OrganizedData[[#This Row],[Product Code]],ProductData[],3,FALSE)</f>
        <v>3694.56</v>
      </c>
      <c r="R2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3509.8319999999999</v>
      </c>
    </row>
    <row r="235" spans="1:18" x14ac:dyDescent="0.3">
      <c r="A235" s="2">
        <v>228</v>
      </c>
      <c r="B235" s="2" t="s">
        <v>948</v>
      </c>
      <c r="C235" s="2" t="s">
        <v>949</v>
      </c>
      <c r="D235" s="2" t="s">
        <v>28</v>
      </c>
      <c r="E235" s="2" t="s">
        <v>29</v>
      </c>
      <c r="F235" s="2">
        <v>60</v>
      </c>
      <c r="G235" s="2" t="s">
        <v>950</v>
      </c>
      <c r="H235" s="2" t="s">
        <v>951</v>
      </c>
      <c r="I235" s="2" t="s">
        <v>95</v>
      </c>
      <c r="J235" s="3">
        <v>44219</v>
      </c>
      <c r="K235" s="5">
        <f>YEAR(OrganizedData[[#This Row],[Order Date]])</f>
        <v>2021</v>
      </c>
      <c r="L235" s="7" t="str">
        <f>TEXT(OrganizedData[[#This Row],[Order Date]],"mmm")</f>
        <v>Jan</v>
      </c>
      <c r="M235" s="2">
        <v>70</v>
      </c>
      <c r="N235" s="2" t="s">
        <v>45</v>
      </c>
      <c r="O235" s="2" t="str">
        <f>VLOOKUP(OrganizedData[[#This Row],[Product Code]],ProductData[[Code]:[Item]],2,FALSE)</f>
        <v>Gigastuff</v>
      </c>
      <c r="P235" s="4">
        <f>OrganizedData[[#This Row],[Quantity]]*VLOOKUP(OrganizedData[[#This Row],[Product Code]],ProductData[],4,FALSE)</f>
        <v>1260</v>
      </c>
      <c r="Q235" s="6">
        <f>OrganizedData[[#This Row],[Total Items Ordered]]*VLOOKUP(OrganizedData[[#This Row],[Product Code]],ProductData[],3,FALSE)</f>
        <v>2381.4</v>
      </c>
      <c r="R2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2262.33</v>
      </c>
    </row>
    <row r="236" spans="1:18" x14ac:dyDescent="0.3">
      <c r="A236" s="2">
        <v>229</v>
      </c>
      <c r="B236" s="2" t="s">
        <v>952</v>
      </c>
      <c r="C236" s="2" t="s">
        <v>953</v>
      </c>
      <c r="D236" s="2" t="s">
        <v>15</v>
      </c>
      <c r="E236" s="2" t="s">
        <v>16</v>
      </c>
      <c r="F236" s="2">
        <v>60</v>
      </c>
      <c r="G236" s="2" t="s">
        <v>954</v>
      </c>
      <c r="H236" s="2" t="s">
        <v>908</v>
      </c>
      <c r="I236" s="2" t="s">
        <v>575</v>
      </c>
      <c r="J236" s="3">
        <v>44836</v>
      </c>
      <c r="K236" s="5">
        <f>YEAR(OrganizedData[[#This Row],[Order Date]])</f>
        <v>2022</v>
      </c>
      <c r="L236" s="7" t="str">
        <f>TEXT(OrganizedData[[#This Row],[Order Date]],"mmm")</f>
        <v>Oct</v>
      </c>
      <c r="M236" s="2">
        <v>2</v>
      </c>
      <c r="N236" s="2" t="s">
        <v>80</v>
      </c>
      <c r="O236" s="2" t="str">
        <f>VLOOKUP(OrganizedData[[#This Row],[Product Code]],ProductData[[Code]:[Item]],2,FALSE)</f>
        <v>Ultrathing V2</v>
      </c>
      <c r="P236" s="4">
        <f>OrganizedData[[#This Row],[Quantity]]*VLOOKUP(OrganizedData[[#This Row],[Product Code]],ProductData[],4,FALSE)</f>
        <v>40</v>
      </c>
      <c r="Q236" s="6">
        <f>OrganizedData[[#This Row],[Total Items Ordered]]*VLOOKUP(OrganizedData[[#This Row],[Product Code]],ProductData[],3,FALSE)</f>
        <v>118</v>
      </c>
      <c r="R2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237" spans="1:18" x14ac:dyDescent="0.3">
      <c r="A237" s="2">
        <v>230</v>
      </c>
      <c r="B237" s="2" t="s">
        <v>68</v>
      </c>
      <c r="C237" s="2" t="s">
        <v>955</v>
      </c>
      <c r="D237" s="2" t="s">
        <v>51</v>
      </c>
      <c r="E237" s="2" t="s">
        <v>16</v>
      </c>
      <c r="F237" s="2">
        <v>90</v>
      </c>
      <c r="G237" s="2" t="s">
        <v>956</v>
      </c>
      <c r="H237" s="2" t="s">
        <v>957</v>
      </c>
      <c r="I237" s="2" t="s">
        <v>95</v>
      </c>
      <c r="J237" s="3">
        <v>44580</v>
      </c>
      <c r="K237" s="5">
        <f>YEAR(OrganizedData[[#This Row],[Order Date]])</f>
        <v>2022</v>
      </c>
      <c r="L237" s="7" t="str">
        <f>TEXT(OrganizedData[[#This Row],[Order Date]],"mmm")</f>
        <v>Jan</v>
      </c>
      <c r="M237" s="2">
        <v>99</v>
      </c>
      <c r="N237" s="2" t="s">
        <v>20</v>
      </c>
      <c r="O237" s="2" t="str">
        <f>VLOOKUP(OrganizedData[[#This Row],[Product Code]],ProductData[[Code]:[Item]],2,FALSE)</f>
        <v>Hyperwotsit</v>
      </c>
      <c r="P237" s="4">
        <f>OrganizedData[[#This Row],[Quantity]]*VLOOKUP(OrganizedData[[#This Row],[Product Code]],ProductData[],4,FALSE)</f>
        <v>1980</v>
      </c>
      <c r="Q237" s="6">
        <f>OrganizedData[[#This Row],[Total Items Ordered]]*VLOOKUP(OrganizedData[[#This Row],[Product Code]],ProductData[],3,FALSE)</f>
        <v>3979.7999999999997</v>
      </c>
      <c r="R2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3780.8099999999995</v>
      </c>
    </row>
    <row r="238" spans="1:18" x14ac:dyDescent="0.3">
      <c r="A238" s="2">
        <v>231</v>
      </c>
      <c r="B238" s="2" t="s">
        <v>958</v>
      </c>
      <c r="C238" s="2" t="s">
        <v>928</v>
      </c>
      <c r="D238" s="2" t="s">
        <v>15</v>
      </c>
      <c r="E238" s="2" t="s">
        <v>16</v>
      </c>
      <c r="F238" s="2">
        <v>90</v>
      </c>
      <c r="G238" s="2" t="s">
        <v>959</v>
      </c>
      <c r="H238" s="2" t="s">
        <v>408</v>
      </c>
      <c r="I238" s="2" t="s">
        <v>25</v>
      </c>
      <c r="J238" s="3">
        <v>44164</v>
      </c>
      <c r="K238" s="5">
        <f>YEAR(OrganizedData[[#This Row],[Order Date]])</f>
        <v>2020</v>
      </c>
      <c r="L238" s="7" t="str">
        <f>TEXT(OrganizedData[[#This Row],[Order Date]],"mmm")</f>
        <v>Nov</v>
      </c>
      <c r="M238" s="2">
        <v>30</v>
      </c>
      <c r="N238" s="2" t="s">
        <v>101</v>
      </c>
      <c r="O238" s="2" t="str">
        <f>VLOOKUP(OrganizedData[[#This Row],[Product Code]],ProductData[[Code]:[Item]],2,FALSE)</f>
        <v>Superwossname</v>
      </c>
      <c r="P238" s="4">
        <f>OrganizedData[[#This Row],[Quantity]]*VLOOKUP(OrganizedData[[#This Row],[Product Code]],ProductData[],4,FALSE)</f>
        <v>600</v>
      </c>
      <c r="Q238" s="6">
        <f>OrganizedData[[#This Row],[Total Items Ordered]]*VLOOKUP(OrganizedData[[#This Row],[Product Code]],ProductData[],3,FALSE)</f>
        <v>2094</v>
      </c>
      <c r="R2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2031.1799999999998</v>
      </c>
    </row>
    <row r="239" spans="1:18" x14ac:dyDescent="0.3">
      <c r="A239" s="2">
        <v>232</v>
      </c>
      <c r="B239" s="2" t="s">
        <v>960</v>
      </c>
      <c r="C239" s="2" t="s">
        <v>961</v>
      </c>
      <c r="D239" s="2" t="s">
        <v>28</v>
      </c>
      <c r="E239" s="2" t="s">
        <v>29</v>
      </c>
      <c r="F239" s="2">
        <v>60</v>
      </c>
      <c r="G239" s="2" t="s">
        <v>962</v>
      </c>
      <c r="H239" s="2" t="s">
        <v>963</v>
      </c>
      <c r="I239" s="2" t="s">
        <v>25</v>
      </c>
      <c r="J239" s="3">
        <v>44416</v>
      </c>
      <c r="K239" s="5">
        <f>YEAR(OrganizedData[[#This Row],[Order Date]])</f>
        <v>2021</v>
      </c>
      <c r="L239" s="7" t="str">
        <f>TEXT(OrganizedData[[#This Row],[Order Date]],"mmm")</f>
        <v>Aug</v>
      </c>
      <c r="M239" s="2">
        <v>89</v>
      </c>
      <c r="N239" s="2" t="s">
        <v>54</v>
      </c>
      <c r="O239" s="2" t="str">
        <f>VLOOKUP(OrganizedData[[#This Row],[Product Code]],ProductData[[Code]:[Item]],2,FALSE)</f>
        <v>Megawidget S</v>
      </c>
      <c r="P239" s="4">
        <f>OrganizedData[[#This Row],[Quantity]]*VLOOKUP(OrganizedData[[#This Row],[Product Code]],ProductData[],4,FALSE)</f>
        <v>2136</v>
      </c>
      <c r="Q239" s="6">
        <f>OrganizedData[[#This Row],[Total Items Ordered]]*VLOOKUP(OrganizedData[[#This Row],[Product Code]],ProductData[],3,FALSE)</f>
        <v>1473.84</v>
      </c>
      <c r="R2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1400.1479999999999</v>
      </c>
    </row>
    <row r="240" spans="1:18" x14ac:dyDescent="0.3">
      <c r="A240" s="2">
        <v>233</v>
      </c>
      <c r="B240" s="2" t="s">
        <v>964</v>
      </c>
      <c r="C240" s="2" t="s">
        <v>335</v>
      </c>
      <c r="D240" s="2" t="s">
        <v>28</v>
      </c>
      <c r="E240" s="2" t="s">
        <v>29</v>
      </c>
      <c r="F240" s="2">
        <v>60</v>
      </c>
      <c r="G240" s="2" t="s">
        <v>965</v>
      </c>
      <c r="H240" s="2" t="s">
        <v>966</v>
      </c>
      <c r="I240" s="2" t="s">
        <v>187</v>
      </c>
      <c r="J240" s="3">
        <v>44677</v>
      </c>
      <c r="K240" s="5">
        <f>YEAR(OrganizedData[[#This Row],[Order Date]])</f>
        <v>2022</v>
      </c>
      <c r="L240" s="7" t="str">
        <f>TEXT(OrganizedData[[#This Row],[Order Date]],"mmm")</f>
        <v>Apr</v>
      </c>
      <c r="M240" s="2">
        <v>80</v>
      </c>
      <c r="N240" s="2" t="s">
        <v>70</v>
      </c>
      <c r="O240" s="2" t="str">
        <f>VLOOKUP(OrganizedData[[#This Row],[Product Code]],ProductData[[Code]:[Item]],2,FALSE)</f>
        <v>Megawidget M</v>
      </c>
      <c r="P240" s="4">
        <f>OrganizedData[[#This Row],[Quantity]]*VLOOKUP(OrganizedData[[#This Row],[Product Code]],ProductData[],4,FALSE)</f>
        <v>1920</v>
      </c>
      <c r="Q240" s="6">
        <f>OrganizedData[[#This Row],[Total Items Ordered]]*VLOOKUP(OrganizedData[[#This Row],[Product Code]],ProductData[],3,FALSE)</f>
        <v>2476.8000000000002</v>
      </c>
      <c r="R2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2352.96</v>
      </c>
    </row>
    <row r="241" spans="1:18" x14ac:dyDescent="0.3">
      <c r="A241" s="2">
        <v>234</v>
      </c>
      <c r="B241" s="2" t="s">
        <v>967</v>
      </c>
      <c r="C241" s="2" t="s">
        <v>968</v>
      </c>
      <c r="D241" s="2" t="s">
        <v>51</v>
      </c>
      <c r="E241" s="2" t="s">
        <v>16</v>
      </c>
      <c r="F241" s="2">
        <v>30</v>
      </c>
      <c r="G241" s="2" t="s">
        <v>969</v>
      </c>
      <c r="H241" s="2" t="s">
        <v>970</v>
      </c>
      <c r="I241" s="2" t="s">
        <v>187</v>
      </c>
      <c r="J241" s="3">
        <v>44516</v>
      </c>
      <c r="K241" s="5">
        <f>YEAR(OrganizedData[[#This Row],[Order Date]])</f>
        <v>2021</v>
      </c>
      <c r="L241" s="7" t="str">
        <f>TEXT(OrganizedData[[#This Row],[Order Date]],"mmm")</f>
        <v>Nov</v>
      </c>
      <c r="M241" s="2">
        <v>42</v>
      </c>
      <c r="N241" s="2" t="s">
        <v>39</v>
      </c>
      <c r="O241" s="2" t="str">
        <f>VLOOKUP(OrganizedData[[#This Row],[Product Code]],ProductData[[Code]:[Item]],2,FALSE)</f>
        <v>Ultrathing V1</v>
      </c>
      <c r="P241" s="4">
        <f>OrganizedData[[#This Row],[Quantity]]*VLOOKUP(OrganizedData[[#This Row],[Product Code]],ProductData[],4,FALSE)</f>
        <v>714</v>
      </c>
      <c r="Q241" s="6">
        <f>OrganizedData[[#This Row],[Total Items Ordered]]*VLOOKUP(OrganizedData[[#This Row],[Product Code]],ProductData[],3,FALSE)</f>
        <v>1278.06</v>
      </c>
      <c r="R2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1239.7182</v>
      </c>
    </row>
    <row r="242" spans="1:18" x14ac:dyDescent="0.3">
      <c r="A242" s="2">
        <v>235</v>
      </c>
      <c r="B242" s="2" t="s">
        <v>971</v>
      </c>
      <c r="C242" s="2" t="s">
        <v>972</v>
      </c>
      <c r="D242" s="2" t="s">
        <v>51</v>
      </c>
      <c r="E242" s="2" t="s">
        <v>16</v>
      </c>
      <c r="F242" s="2">
        <v>60</v>
      </c>
      <c r="G242" s="2" t="s">
        <v>10416</v>
      </c>
      <c r="H242" s="2" t="s">
        <v>974</v>
      </c>
      <c r="I242" s="2" t="s">
        <v>32</v>
      </c>
      <c r="J242" s="3">
        <v>44063</v>
      </c>
      <c r="K242" s="5">
        <f>YEAR(OrganizedData[[#This Row],[Order Date]])</f>
        <v>2020</v>
      </c>
      <c r="L242" s="7" t="str">
        <f>TEXT(OrganizedData[[#This Row],[Order Date]],"mmm")</f>
        <v>Aug</v>
      </c>
      <c r="M242" s="2">
        <v>84</v>
      </c>
      <c r="N242" s="2" t="s">
        <v>80</v>
      </c>
      <c r="O242" s="2" t="str">
        <f>VLOOKUP(OrganizedData[[#This Row],[Product Code]],ProductData[[Code]:[Item]],2,FALSE)</f>
        <v>Ultrathing V2</v>
      </c>
      <c r="P242" s="4">
        <f>OrganizedData[[#This Row],[Quantity]]*VLOOKUP(OrganizedData[[#This Row],[Product Code]],ProductData[],4,FALSE)</f>
        <v>1680</v>
      </c>
      <c r="Q242" s="6">
        <f>OrganizedData[[#This Row],[Total Items Ordered]]*VLOOKUP(OrganizedData[[#This Row],[Product Code]],ProductData[],3,FALSE)</f>
        <v>4956</v>
      </c>
      <c r="R2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243" spans="1:18" x14ac:dyDescent="0.3">
      <c r="A243" s="2">
        <v>236</v>
      </c>
      <c r="B243" s="2" t="s">
        <v>975</v>
      </c>
      <c r="C243" s="2" t="s">
        <v>976</v>
      </c>
      <c r="D243" s="2" t="s">
        <v>28</v>
      </c>
      <c r="E243" s="2" t="s">
        <v>29</v>
      </c>
      <c r="F243" s="2">
        <v>30</v>
      </c>
      <c r="G243" s="2" t="s">
        <v>977</v>
      </c>
      <c r="H243" s="2" t="s">
        <v>978</v>
      </c>
      <c r="I243" s="2" t="s">
        <v>294</v>
      </c>
      <c r="J243" s="3">
        <v>43923</v>
      </c>
      <c r="K243" s="5">
        <f>YEAR(OrganizedData[[#This Row],[Order Date]])</f>
        <v>2020</v>
      </c>
      <c r="L243" s="7" t="str">
        <f>TEXT(OrganizedData[[#This Row],[Order Date]],"mmm")</f>
        <v>Apr</v>
      </c>
      <c r="M243" s="2">
        <v>80</v>
      </c>
      <c r="N243" s="2" t="s">
        <v>70</v>
      </c>
      <c r="O243" s="2" t="str">
        <f>VLOOKUP(OrganizedData[[#This Row],[Product Code]],ProductData[[Code]:[Item]],2,FALSE)</f>
        <v>Megawidget M</v>
      </c>
      <c r="P243" s="4">
        <f>OrganizedData[[#This Row],[Quantity]]*VLOOKUP(OrganizedData[[#This Row],[Product Code]],ProductData[],4,FALSE)</f>
        <v>1920</v>
      </c>
      <c r="Q243" s="6">
        <f>OrganizedData[[#This Row],[Total Items Ordered]]*VLOOKUP(OrganizedData[[#This Row],[Product Code]],ProductData[],3,FALSE)</f>
        <v>2476.8000000000002</v>
      </c>
      <c r="R2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2352.96</v>
      </c>
    </row>
    <row r="244" spans="1:18" x14ac:dyDescent="0.3">
      <c r="A244" s="2">
        <v>237</v>
      </c>
      <c r="B244" s="2" t="s">
        <v>979</v>
      </c>
      <c r="C244" s="2" t="s">
        <v>940</v>
      </c>
      <c r="D244" s="2" t="s">
        <v>28</v>
      </c>
      <c r="E244" s="2" t="s">
        <v>29</v>
      </c>
      <c r="F244" s="2">
        <v>60</v>
      </c>
      <c r="G244" s="2" t="s">
        <v>980</v>
      </c>
      <c r="H244" s="2" t="s">
        <v>981</v>
      </c>
      <c r="I244" s="2" t="s">
        <v>32</v>
      </c>
      <c r="J244" s="3">
        <v>44609</v>
      </c>
      <c r="K244" s="5">
        <f>YEAR(OrganizedData[[#This Row],[Order Date]])</f>
        <v>2022</v>
      </c>
      <c r="L244" s="7" t="str">
        <f>TEXT(OrganizedData[[#This Row],[Order Date]],"mmm")</f>
        <v>Feb</v>
      </c>
      <c r="M244" s="2">
        <v>40</v>
      </c>
      <c r="N244" s="2" t="s">
        <v>39</v>
      </c>
      <c r="O244" s="2" t="str">
        <f>VLOOKUP(OrganizedData[[#This Row],[Product Code]],ProductData[[Code]:[Item]],2,FALSE)</f>
        <v>Ultrathing V1</v>
      </c>
      <c r="P244" s="4">
        <f>OrganizedData[[#This Row],[Quantity]]*VLOOKUP(OrganizedData[[#This Row],[Product Code]],ProductData[],4,FALSE)</f>
        <v>680</v>
      </c>
      <c r="Q244" s="6">
        <f>OrganizedData[[#This Row],[Total Items Ordered]]*VLOOKUP(OrganizedData[[#This Row],[Product Code]],ProductData[],3,FALSE)</f>
        <v>1217.2</v>
      </c>
      <c r="R2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1180.684</v>
      </c>
    </row>
    <row r="245" spans="1:18" x14ac:dyDescent="0.3">
      <c r="A245" s="2">
        <v>238</v>
      </c>
      <c r="B245" s="2" t="s">
        <v>982</v>
      </c>
      <c r="C245" s="2" t="s">
        <v>983</v>
      </c>
      <c r="D245" s="2" t="s">
        <v>28</v>
      </c>
      <c r="E245" s="2" t="s">
        <v>29</v>
      </c>
      <c r="F245" s="2">
        <v>90</v>
      </c>
      <c r="G245" s="2" t="s">
        <v>984</v>
      </c>
      <c r="H245" s="2" t="s">
        <v>985</v>
      </c>
      <c r="I245" s="2" t="s">
        <v>38</v>
      </c>
      <c r="J245" s="3">
        <v>44093</v>
      </c>
      <c r="K245" s="5">
        <f>YEAR(OrganizedData[[#This Row],[Order Date]])</f>
        <v>2020</v>
      </c>
      <c r="L245" s="7" t="str">
        <f>TEXT(OrganizedData[[#This Row],[Order Date]],"mmm")</f>
        <v>Sep</v>
      </c>
      <c r="M245" s="2">
        <v>7</v>
      </c>
      <c r="N245" s="2" t="s">
        <v>39</v>
      </c>
      <c r="O245" s="2" t="str">
        <f>VLOOKUP(OrganizedData[[#This Row],[Product Code]],ProductData[[Code]:[Item]],2,FALSE)</f>
        <v>Ultrathing V1</v>
      </c>
      <c r="P245" s="4">
        <f>OrganizedData[[#This Row],[Quantity]]*VLOOKUP(OrganizedData[[#This Row],[Product Code]],ProductData[],4,FALSE)</f>
        <v>119</v>
      </c>
      <c r="Q245" s="6">
        <f>OrganizedData[[#This Row],[Total Items Ordered]]*VLOOKUP(OrganizedData[[#This Row],[Product Code]],ProductData[],3,FALSE)</f>
        <v>213.01</v>
      </c>
      <c r="R2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213.01</v>
      </c>
    </row>
    <row r="246" spans="1:18" x14ac:dyDescent="0.3">
      <c r="A246" s="2">
        <v>239</v>
      </c>
      <c r="B246" s="2" t="s">
        <v>986</v>
      </c>
      <c r="C246" s="2" t="s">
        <v>987</v>
      </c>
      <c r="D246" s="2" t="s">
        <v>28</v>
      </c>
      <c r="E246" s="2" t="s">
        <v>29</v>
      </c>
      <c r="F246" s="2">
        <v>60</v>
      </c>
      <c r="G246" s="2" t="s">
        <v>988</v>
      </c>
      <c r="H246" s="2" t="s">
        <v>989</v>
      </c>
      <c r="I246" s="2" t="s">
        <v>124</v>
      </c>
      <c r="J246" s="3">
        <v>43846</v>
      </c>
      <c r="K246" s="5">
        <f>YEAR(OrganizedData[[#This Row],[Order Date]])</f>
        <v>2020</v>
      </c>
      <c r="L246" s="7" t="str">
        <f>TEXT(OrganizedData[[#This Row],[Order Date]],"mmm")</f>
        <v>Jan</v>
      </c>
      <c r="M246" s="2">
        <v>71</v>
      </c>
      <c r="N246" s="2" t="s">
        <v>20</v>
      </c>
      <c r="O246" s="2" t="str">
        <f>VLOOKUP(OrganizedData[[#This Row],[Product Code]],ProductData[[Code]:[Item]],2,FALSE)</f>
        <v>Hyperwotsit</v>
      </c>
      <c r="P246" s="4">
        <f>OrganizedData[[#This Row],[Quantity]]*VLOOKUP(OrganizedData[[#This Row],[Product Code]],ProductData[],4,FALSE)</f>
        <v>1420</v>
      </c>
      <c r="Q246" s="6">
        <f>OrganizedData[[#This Row],[Total Items Ordered]]*VLOOKUP(OrganizedData[[#This Row],[Product Code]],ProductData[],3,FALSE)</f>
        <v>2854.2</v>
      </c>
      <c r="R2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247" spans="1:18" x14ac:dyDescent="0.3">
      <c r="A247" s="2">
        <v>240</v>
      </c>
      <c r="B247" s="2" t="s">
        <v>990</v>
      </c>
      <c r="C247" s="2" t="s">
        <v>991</v>
      </c>
      <c r="D247" s="2" t="s">
        <v>28</v>
      </c>
      <c r="E247" s="2" t="s">
        <v>29</v>
      </c>
      <c r="F247" s="2">
        <v>90</v>
      </c>
      <c r="G247" s="2" t="s">
        <v>992</v>
      </c>
      <c r="H247" s="2" t="s">
        <v>993</v>
      </c>
      <c r="I247" s="2" t="s">
        <v>32</v>
      </c>
      <c r="J247" s="3">
        <v>44272</v>
      </c>
      <c r="K247" s="5">
        <f>YEAR(OrganizedData[[#This Row],[Order Date]])</f>
        <v>2021</v>
      </c>
      <c r="L247" s="7" t="str">
        <f>TEXT(OrganizedData[[#This Row],[Order Date]],"mmm")</f>
        <v>Mar</v>
      </c>
      <c r="M247" s="2">
        <v>20</v>
      </c>
      <c r="N247" s="2" t="s">
        <v>20</v>
      </c>
      <c r="O247" s="2" t="str">
        <f>VLOOKUP(OrganizedData[[#This Row],[Product Code]],ProductData[[Code]:[Item]],2,FALSE)</f>
        <v>Hyperwotsit</v>
      </c>
      <c r="P247" s="4">
        <f>OrganizedData[[#This Row],[Quantity]]*VLOOKUP(OrganizedData[[#This Row],[Product Code]],ProductData[],4,FALSE)</f>
        <v>400</v>
      </c>
      <c r="Q247" s="6">
        <f>OrganizedData[[#This Row],[Total Items Ordered]]*VLOOKUP(OrganizedData[[#This Row],[Product Code]],ProductData[],3,FALSE)</f>
        <v>803.99999999999989</v>
      </c>
      <c r="R2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248" spans="1:18" x14ac:dyDescent="0.3">
      <c r="A248" s="2">
        <v>241</v>
      </c>
      <c r="B248" s="2" t="s">
        <v>994</v>
      </c>
      <c r="C248" s="2" t="s">
        <v>995</v>
      </c>
      <c r="D248" s="2" t="s">
        <v>28</v>
      </c>
      <c r="E248" s="2" t="s">
        <v>29</v>
      </c>
      <c r="F248" s="2">
        <v>30</v>
      </c>
      <c r="G248" s="2" t="s">
        <v>996</v>
      </c>
      <c r="H248" s="2" t="s">
        <v>997</v>
      </c>
      <c r="I248" s="2" t="s">
        <v>110</v>
      </c>
      <c r="J248" s="3">
        <v>44826</v>
      </c>
      <c r="K248" s="5">
        <f>YEAR(OrganizedData[[#This Row],[Order Date]])</f>
        <v>2022</v>
      </c>
      <c r="L248" s="7" t="str">
        <f>TEXT(OrganizedData[[#This Row],[Order Date]],"mmm")</f>
        <v>Sep</v>
      </c>
      <c r="M248" s="2">
        <v>8</v>
      </c>
      <c r="N248" s="2" t="s">
        <v>20</v>
      </c>
      <c r="O248" s="2" t="str">
        <f>VLOOKUP(OrganizedData[[#This Row],[Product Code]],ProductData[[Code]:[Item]],2,FALSE)</f>
        <v>Hyperwotsit</v>
      </c>
      <c r="P248" s="4">
        <f>OrganizedData[[#This Row],[Quantity]]*VLOOKUP(OrganizedData[[#This Row],[Product Code]],ProductData[],4,FALSE)</f>
        <v>160</v>
      </c>
      <c r="Q248" s="6">
        <f>OrganizedData[[#This Row],[Total Items Ordered]]*VLOOKUP(OrganizedData[[#This Row],[Product Code]],ProductData[],3,FALSE)</f>
        <v>321.59999999999997</v>
      </c>
      <c r="R2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321.59999999999997</v>
      </c>
    </row>
    <row r="249" spans="1:18" x14ac:dyDescent="0.3">
      <c r="A249" s="2">
        <v>242</v>
      </c>
      <c r="B249" s="2" t="s">
        <v>998</v>
      </c>
      <c r="C249" s="2" t="s">
        <v>999</v>
      </c>
      <c r="D249" s="2" t="s">
        <v>51</v>
      </c>
      <c r="E249" s="2" t="s">
        <v>16</v>
      </c>
      <c r="F249" s="2">
        <v>30</v>
      </c>
      <c r="G249" s="2" t="s">
        <v>1000</v>
      </c>
      <c r="H249" s="2" t="s">
        <v>1001</v>
      </c>
      <c r="I249" s="2" t="s">
        <v>32</v>
      </c>
      <c r="J249" s="3">
        <v>44450</v>
      </c>
      <c r="K249" s="5">
        <f>YEAR(OrganizedData[[#This Row],[Order Date]])</f>
        <v>2021</v>
      </c>
      <c r="L249" s="7" t="str">
        <f>TEXT(OrganizedData[[#This Row],[Order Date]],"mmm")</f>
        <v>Sep</v>
      </c>
      <c r="M249" s="2">
        <v>6</v>
      </c>
      <c r="N249" s="2" t="s">
        <v>64</v>
      </c>
      <c r="O249" s="2" t="str">
        <f>VLOOKUP(OrganizedData[[#This Row],[Product Code]],ProductData[[Code]:[Item]],2,FALSE)</f>
        <v>Ultrathing V4</v>
      </c>
      <c r="P249" s="4">
        <f>OrganizedData[[#This Row],[Quantity]]*VLOOKUP(OrganizedData[[#This Row],[Product Code]],ProductData[],4,FALSE)</f>
        <v>144</v>
      </c>
      <c r="Q249" s="6">
        <f>OrganizedData[[#This Row],[Total Items Ordered]]*VLOOKUP(OrganizedData[[#This Row],[Product Code]],ProductData[],3,FALSE)</f>
        <v>574.56000000000006</v>
      </c>
      <c r="R2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574.56000000000006</v>
      </c>
    </row>
    <row r="250" spans="1:18" x14ac:dyDescent="0.3">
      <c r="A250" s="2">
        <v>243</v>
      </c>
      <c r="B250" s="2" t="s">
        <v>1002</v>
      </c>
      <c r="C250" s="2" t="s">
        <v>1003</v>
      </c>
      <c r="D250" s="2" t="s">
        <v>28</v>
      </c>
      <c r="E250" s="2" t="s">
        <v>29</v>
      </c>
      <c r="F250" s="2">
        <v>90</v>
      </c>
      <c r="G250" s="2" t="s">
        <v>1004</v>
      </c>
      <c r="H250" s="2" t="s">
        <v>1005</v>
      </c>
      <c r="I250" s="2" t="s">
        <v>178</v>
      </c>
      <c r="J250" s="3">
        <v>44108</v>
      </c>
      <c r="K250" s="5">
        <f>YEAR(OrganizedData[[#This Row],[Order Date]])</f>
        <v>2020</v>
      </c>
      <c r="L250" s="7" t="str">
        <f>TEXT(OrganizedData[[#This Row],[Order Date]],"mmm")</f>
        <v>Oct</v>
      </c>
      <c r="M250" s="2">
        <v>8</v>
      </c>
      <c r="N250" s="2" t="s">
        <v>54</v>
      </c>
      <c r="O250" s="2" t="str">
        <f>VLOOKUP(OrganizedData[[#This Row],[Product Code]],ProductData[[Code]:[Item]],2,FALSE)</f>
        <v>Megawidget S</v>
      </c>
      <c r="P250" s="4">
        <f>OrganizedData[[#This Row],[Quantity]]*VLOOKUP(OrganizedData[[#This Row],[Product Code]],ProductData[],4,FALSE)</f>
        <v>192</v>
      </c>
      <c r="Q250" s="6">
        <f>OrganizedData[[#This Row],[Total Items Ordered]]*VLOOKUP(OrganizedData[[#This Row],[Product Code]],ProductData[],3,FALSE)</f>
        <v>132.47999999999999</v>
      </c>
      <c r="R2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132.47999999999999</v>
      </c>
    </row>
    <row r="251" spans="1:18" x14ac:dyDescent="0.3">
      <c r="A251" s="2">
        <v>244</v>
      </c>
      <c r="B251" s="2" t="s">
        <v>1006</v>
      </c>
      <c r="C251" s="2" t="s">
        <v>955</v>
      </c>
      <c r="D251" s="2" t="s">
        <v>41</v>
      </c>
      <c r="E251" s="2" t="s">
        <v>16</v>
      </c>
      <c r="F251" s="2">
        <v>90</v>
      </c>
      <c r="G251" s="2" t="s">
        <v>1007</v>
      </c>
      <c r="H251" s="2" t="s">
        <v>1008</v>
      </c>
      <c r="I251" s="2" t="s">
        <v>32</v>
      </c>
      <c r="J251" s="3">
        <v>44308</v>
      </c>
      <c r="K251" s="5">
        <f>YEAR(OrganizedData[[#This Row],[Order Date]])</f>
        <v>2021</v>
      </c>
      <c r="L251" s="7" t="str">
        <f>TEXT(OrganizedData[[#This Row],[Order Date]],"mmm")</f>
        <v>Apr</v>
      </c>
      <c r="M251" s="2">
        <v>32</v>
      </c>
      <c r="N251" s="2" t="s">
        <v>45</v>
      </c>
      <c r="O251" s="2" t="str">
        <f>VLOOKUP(OrganizedData[[#This Row],[Product Code]],ProductData[[Code]:[Item]],2,FALSE)</f>
        <v>Gigastuff</v>
      </c>
      <c r="P251" s="4">
        <f>OrganizedData[[#This Row],[Quantity]]*VLOOKUP(OrganizedData[[#This Row],[Product Code]],ProductData[],4,FALSE)</f>
        <v>576</v>
      </c>
      <c r="Q251" s="6">
        <f>OrganizedData[[#This Row],[Total Items Ordered]]*VLOOKUP(OrganizedData[[#This Row],[Product Code]],ProductData[],3,FALSE)</f>
        <v>1088.6399999999999</v>
      </c>
      <c r="R2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252" spans="1:18" x14ac:dyDescent="0.3">
      <c r="A252" s="2">
        <v>245</v>
      </c>
      <c r="B252" s="2" t="s">
        <v>1009</v>
      </c>
      <c r="C252" s="2" t="s">
        <v>1010</v>
      </c>
      <c r="D252" s="2" t="s">
        <v>28</v>
      </c>
      <c r="E252" s="2" t="s">
        <v>29</v>
      </c>
      <c r="F252" s="2">
        <v>90</v>
      </c>
      <c r="G252" s="2" t="s">
        <v>1007</v>
      </c>
      <c r="H252" s="2" t="s">
        <v>1011</v>
      </c>
      <c r="I252" s="2" t="s">
        <v>32</v>
      </c>
      <c r="J252" s="3">
        <v>44710</v>
      </c>
      <c r="K252" s="5">
        <f>YEAR(OrganizedData[[#This Row],[Order Date]])</f>
        <v>2022</v>
      </c>
      <c r="L252" s="7" t="str">
        <f>TEXT(OrganizedData[[#This Row],[Order Date]],"mmm")</f>
        <v>May</v>
      </c>
      <c r="M252" s="2">
        <v>85</v>
      </c>
      <c r="N252" s="2" t="s">
        <v>39</v>
      </c>
      <c r="O252" s="2" t="str">
        <f>VLOOKUP(OrganizedData[[#This Row],[Product Code]],ProductData[[Code]:[Item]],2,FALSE)</f>
        <v>Ultrathing V1</v>
      </c>
      <c r="P252" s="4">
        <f>OrganizedData[[#This Row],[Quantity]]*VLOOKUP(OrganizedData[[#This Row],[Product Code]],ProductData[],4,FALSE)</f>
        <v>1445</v>
      </c>
      <c r="Q252" s="6">
        <f>OrganizedData[[#This Row],[Total Items Ordered]]*VLOOKUP(OrganizedData[[#This Row],[Product Code]],ProductData[],3,FALSE)</f>
        <v>2586.5500000000002</v>
      </c>
      <c r="R2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253" spans="1:18" x14ac:dyDescent="0.3">
      <c r="A253" s="2">
        <v>246</v>
      </c>
      <c r="B253" s="2" t="s">
        <v>1012</v>
      </c>
      <c r="C253" s="2" t="s">
        <v>1013</v>
      </c>
      <c r="D253" s="2" t="s">
        <v>15</v>
      </c>
      <c r="E253" s="2" t="s">
        <v>16</v>
      </c>
      <c r="F253" s="2">
        <v>60</v>
      </c>
      <c r="G253" s="2" t="s">
        <v>1014</v>
      </c>
      <c r="H253" s="2" t="s">
        <v>641</v>
      </c>
      <c r="I253" s="2" t="s">
        <v>294</v>
      </c>
      <c r="J253" s="3">
        <v>44838</v>
      </c>
      <c r="K253" s="5">
        <f>YEAR(OrganizedData[[#This Row],[Order Date]])</f>
        <v>2022</v>
      </c>
      <c r="L253" s="7" t="str">
        <f>TEXT(OrganizedData[[#This Row],[Order Date]],"mmm")</f>
        <v>Oct</v>
      </c>
      <c r="M253" s="2">
        <v>24</v>
      </c>
      <c r="N253" s="2" t="s">
        <v>54</v>
      </c>
      <c r="O253" s="2" t="str">
        <f>VLOOKUP(OrganizedData[[#This Row],[Product Code]],ProductData[[Code]:[Item]],2,FALSE)</f>
        <v>Megawidget S</v>
      </c>
      <c r="P253" s="4">
        <f>OrganizedData[[#This Row],[Quantity]]*VLOOKUP(OrganizedData[[#This Row],[Product Code]],ProductData[],4,FALSE)</f>
        <v>576</v>
      </c>
      <c r="Q253" s="6">
        <f>OrganizedData[[#This Row],[Total Items Ordered]]*VLOOKUP(OrganizedData[[#This Row],[Product Code]],ProductData[],3,FALSE)</f>
        <v>397.43999999999994</v>
      </c>
      <c r="R2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385.51679999999993</v>
      </c>
    </row>
    <row r="254" spans="1:18" x14ac:dyDescent="0.3">
      <c r="A254" s="2">
        <v>247</v>
      </c>
      <c r="B254" s="2" t="s">
        <v>1015</v>
      </c>
      <c r="C254" s="2" t="s">
        <v>1016</v>
      </c>
      <c r="D254" s="2" t="s">
        <v>28</v>
      </c>
      <c r="E254" s="2" t="s">
        <v>29</v>
      </c>
      <c r="F254" s="2">
        <v>90</v>
      </c>
      <c r="G254" s="2" t="s">
        <v>1017</v>
      </c>
      <c r="H254" s="2" t="s">
        <v>1018</v>
      </c>
      <c r="I254" s="2" t="s">
        <v>294</v>
      </c>
      <c r="J254" s="3">
        <v>43929</v>
      </c>
      <c r="K254" s="5">
        <f>YEAR(OrganizedData[[#This Row],[Order Date]])</f>
        <v>2020</v>
      </c>
      <c r="L254" s="7" t="str">
        <f>TEXT(OrganizedData[[#This Row],[Order Date]],"mmm")</f>
        <v>Apr</v>
      </c>
      <c r="M254" s="2">
        <v>55</v>
      </c>
      <c r="N254" s="2" t="s">
        <v>80</v>
      </c>
      <c r="O254" s="2" t="str">
        <f>VLOOKUP(OrganizedData[[#This Row],[Product Code]],ProductData[[Code]:[Item]],2,FALSE)</f>
        <v>Ultrathing V2</v>
      </c>
      <c r="P254" s="4">
        <f>OrganizedData[[#This Row],[Quantity]]*VLOOKUP(OrganizedData[[#This Row],[Product Code]],ProductData[],4,FALSE)</f>
        <v>1100</v>
      </c>
      <c r="Q254" s="6">
        <f>OrganizedData[[#This Row],[Total Items Ordered]]*VLOOKUP(OrganizedData[[#This Row],[Product Code]],ProductData[],3,FALSE)</f>
        <v>3245</v>
      </c>
      <c r="R2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3082.75</v>
      </c>
    </row>
    <row r="255" spans="1:18" x14ac:dyDescent="0.3">
      <c r="A255" s="2">
        <v>248</v>
      </c>
      <c r="B255" s="2" t="s">
        <v>1019</v>
      </c>
      <c r="C255" s="2" t="s">
        <v>1020</v>
      </c>
      <c r="D255" s="2" t="s">
        <v>28</v>
      </c>
      <c r="E255" s="2" t="s">
        <v>29</v>
      </c>
      <c r="F255" s="2">
        <v>90</v>
      </c>
      <c r="G255" s="2" t="s">
        <v>1021</v>
      </c>
      <c r="H255" s="2" t="s">
        <v>1022</v>
      </c>
      <c r="I255" s="2" t="s">
        <v>164</v>
      </c>
      <c r="J255" s="3">
        <v>44887</v>
      </c>
      <c r="K255" s="5">
        <f>YEAR(OrganizedData[[#This Row],[Order Date]])</f>
        <v>2022</v>
      </c>
      <c r="L255" s="7" t="str">
        <f>TEXT(OrganizedData[[#This Row],[Order Date]],"mmm")</f>
        <v>Nov</v>
      </c>
      <c r="M255" s="2">
        <v>95</v>
      </c>
      <c r="N255" s="2" t="s">
        <v>64</v>
      </c>
      <c r="O255" s="2" t="str">
        <f>VLOOKUP(OrganizedData[[#This Row],[Product Code]],ProductData[[Code]:[Item]],2,FALSE)</f>
        <v>Ultrathing V4</v>
      </c>
      <c r="P255" s="4">
        <f>OrganizedData[[#This Row],[Quantity]]*VLOOKUP(OrganizedData[[#This Row],[Product Code]],ProductData[],4,FALSE)</f>
        <v>2280</v>
      </c>
      <c r="Q255" s="6">
        <f>OrganizedData[[#This Row],[Total Items Ordered]]*VLOOKUP(OrganizedData[[#This Row],[Product Code]],ProductData[],3,FALSE)</f>
        <v>9097.2000000000007</v>
      </c>
      <c r="R2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8642.34</v>
      </c>
    </row>
    <row r="256" spans="1:18" x14ac:dyDescent="0.3">
      <c r="A256" s="2">
        <v>249</v>
      </c>
      <c r="B256" s="2" t="s">
        <v>1023</v>
      </c>
      <c r="C256" s="2" t="s">
        <v>1024</v>
      </c>
      <c r="D256" s="2" t="s">
        <v>28</v>
      </c>
      <c r="E256" s="2" t="s">
        <v>29</v>
      </c>
      <c r="F256" s="2">
        <v>60</v>
      </c>
      <c r="G256" s="2" t="s">
        <v>1025</v>
      </c>
      <c r="H256" s="2" t="s">
        <v>1026</v>
      </c>
      <c r="I256" s="2" t="s">
        <v>32</v>
      </c>
      <c r="J256" s="3">
        <v>43856</v>
      </c>
      <c r="K256" s="5">
        <f>YEAR(OrganizedData[[#This Row],[Order Date]])</f>
        <v>2020</v>
      </c>
      <c r="L256" s="7" t="str">
        <f>TEXT(OrganizedData[[#This Row],[Order Date]],"mmm")</f>
        <v>Jan</v>
      </c>
      <c r="M256" s="2">
        <v>12</v>
      </c>
      <c r="N256" s="2" t="s">
        <v>45</v>
      </c>
      <c r="O256" s="2" t="str">
        <f>VLOOKUP(OrganizedData[[#This Row],[Product Code]],ProductData[[Code]:[Item]],2,FALSE)</f>
        <v>Gigastuff</v>
      </c>
      <c r="P256" s="4">
        <f>OrganizedData[[#This Row],[Quantity]]*VLOOKUP(OrganizedData[[#This Row],[Product Code]],ProductData[],4,FALSE)</f>
        <v>216</v>
      </c>
      <c r="Q256" s="6">
        <f>OrganizedData[[#This Row],[Total Items Ordered]]*VLOOKUP(OrganizedData[[#This Row],[Product Code]],ProductData[],3,FALSE)</f>
        <v>408.23999999999995</v>
      </c>
      <c r="R2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408.23999999999995</v>
      </c>
    </row>
    <row r="257" spans="1:18" x14ac:dyDescent="0.3">
      <c r="A257" s="2">
        <v>250</v>
      </c>
      <c r="B257" s="2" t="s">
        <v>1027</v>
      </c>
      <c r="C257" s="2" t="s">
        <v>564</v>
      </c>
      <c r="D257" s="2" t="s">
        <v>28</v>
      </c>
      <c r="E257" s="2" t="s">
        <v>29</v>
      </c>
      <c r="F257" s="2">
        <v>60</v>
      </c>
      <c r="G257" s="2" t="s">
        <v>1028</v>
      </c>
      <c r="H257" s="2" t="s">
        <v>641</v>
      </c>
      <c r="I257" s="2" t="s">
        <v>294</v>
      </c>
      <c r="J257" s="3">
        <v>43846</v>
      </c>
      <c r="K257" s="5">
        <f>YEAR(OrganizedData[[#This Row],[Order Date]])</f>
        <v>2020</v>
      </c>
      <c r="L257" s="7" t="str">
        <f>TEXT(OrganizedData[[#This Row],[Order Date]],"mmm")</f>
        <v>Jan</v>
      </c>
      <c r="M257" s="2">
        <v>79</v>
      </c>
      <c r="N257" s="2" t="s">
        <v>159</v>
      </c>
      <c r="O257" s="2" t="str">
        <f>VLOOKUP(OrganizedData[[#This Row],[Product Code]],ProductData[[Code]:[Item]],2,FALSE)</f>
        <v>Ultrathing V3</v>
      </c>
      <c r="P257" s="4">
        <f>OrganizedData[[#This Row],[Quantity]]*VLOOKUP(OrganizedData[[#This Row],[Product Code]],ProductData[],4,FALSE)</f>
        <v>1896</v>
      </c>
      <c r="Q257" s="6">
        <f>OrganizedData[[#This Row],[Total Items Ordered]]*VLOOKUP(OrganizedData[[#This Row],[Product Code]],ProductData[],3,FALSE)</f>
        <v>6427.4400000000005</v>
      </c>
      <c r="R2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6106.0680000000002</v>
      </c>
    </row>
    <row r="258" spans="1:18" x14ac:dyDescent="0.3">
      <c r="A258" s="2">
        <v>251</v>
      </c>
      <c r="B258" s="2" t="s">
        <v>1029</v>
      </c>
      <c r="C258" s="2" t="s">
        <v>1030</v>
      </c>
      <c r="D258" s="2" t="s">
        <v>15</v>
      </c>
      <c r="E258" s="2" t="s">
        <v>16</v>
      </c>
      <c r="F258" s="2">
        <v>30</v>
      </c>
      <c r="G258" s="2" t="s">
        <v>1028</v>
      </c>
      <c r="H258" s="2" t="s">
        <v>393</v>
      </c>
      <c r="I258" s="2" t="s">
        <v>32</v>
      </c>
      <c r="J258" s="3">
        <v>44653</v>
      </c>
      <c r="K258" s="5">
        <f>YEAR(OrganizedData[[#This Row],[Order Date]])</f>
        <v>2022</v>
      </c>
      <c r="L258" s="7" t="str">
        <f>TEXT(OrganizedData[[#This Row],[Order Date]],"mmm")</f>
        <v>Apr</v>
      </c>
      <c r="M258" s="2">
        <v>12</v>
      </c>
      <c r="N258" s="2" t="s">
        <v>101</v>
      </c>
      <c r="O258" s="2" t="str">
        <f>VLOOKUP(OrganizedData[[#This Row],[Product Code]],ProductData[[Code]:[Item]],2,FALSE)</f>
        <v>Superwossname</v>
      </c>
      <c r="P258" s="4">
        <f>OrganizedData[[#This Row],[Quantity]]*VLOOKUP(OrganizedData[[#This Row],[Product Code]],ProductData[],4,FALSE)</f>
        <v>240</v>
      </c>
      <c r="Q258" s="6">
        <f>OrganizedData[[#This Row],[Total Items Ordered]]*VLOOKUP(OrganizedData[[#This Row],[Product Code]],ProductData[],3,FALSE)</f>
        <v>837.6</v>
      </c>
      <c r="R2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259" spans="1:18" x14ac:dyDescent="0.3">
      <c r="A259" s="2">
        <v>252</v>
      </c>
      <c r="B259" s="2" t="s">
        <v>1031</v>
      </c>
      <c r="C259" s="2" t="s">
        <v>1032</v>
      </c>
      <c r="D259" s="2" t="s">
        <v>28</v>
      </c>
      <c r="E259" s="2" t="s">
        <v>29</v>
      </c>
      <c r="F259" s="2">
        <v>60</v>
      </c>
      <c r="G259" s="2" t="s">
        <v>1033</v>
      </c>
      <c r="H259" s="2" t="s">
        <v>1034</v>
      </c>
      <c r="I259" s="2" t="s">
        <v>1035</v>
      </c>
      <c r="J259" s="3">
        <v>44021</v>
      </c>
      <c r="K259" s="5">
        <f>YEAR(OrganizedData[[#This Row],[Order Date]])</f>
        <v>2020</v>
      </c>
      <c r="L259" s="7" t="str">
        <f>TEXT(OrganizedData[[#This Row],[Order Date]],"mmm")</f>
        <v>Jul</v>
      </c>
      <c r="M259" s="2">
        <v>3</v>
      </c>
      <c r="N259" s="2" t="s">
        <v>54</v>
      </c>
      <c r="O259" s="2" t="str">
        <f>VLOOKUP(OrganizedData[[#This Row],[Product Code]],ProductData[[Code]:[Item]],2,FALSE)</f>
        <v>Megawidget S</v>
      </c>
      <c r="P259" s="4">
        <f>OrganizedData[[#This Row],[Quantity]]*VLOOKUP(OrganizedData[[#This Row],[Product Code]],ProductData[],4,FALSE)</f>
        <v>72</v>
      </c>
      <c r="Q259" s="6">
        <f>OrganizedData[[#This Row],[Total Items Ordered]]*VLOOKUP(OrganizedData[[#This Row],[Product Code]],ProductData[],3,FALSE)</f>
        <v>49.679999999999993</v>
      </c>
      <c r="R2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49.679999999999993</v>
      </c>
    </row>
    <row r="260" spans="1:18" x14ac:dyDescent="0.3">
      <c r="A260" s="2">
        <v>253</v>
      </c>
      <c r="B260" s="2" t="s">
        <v>1036</v>
      </c>
      <c r="C260" s="2" t="s">
        <v>1037</v>
      </c>
      <c r="D260" s="2" t="s">
        <v>28</v>
      </c>
      <c r="E260" s="2" t="s">
        <v>29</v>
      </c>
      <c r="F260" s="2">
        <v>30</v>
      </c>
      <c r="G260" s="2" t="s">
        <v>1038</v>
      </c>
      <c r="H260" s="2" t="s">
        <v>1039</v>
      </c>
      <c r="I260" s="2" t="s">
        <v>25</v>
      </c>
      <c r="J260" s="3">
        <v>44819</v>
      </c>
      <c r="K260" s="5">
        <f>YEAR(OrganizedData[[#This Row],[Order Date]])</f>
        <v>2022</v>
      </c>
      <c r="L260" s="7" t="str">
        <f>TEXT(OrganizedData[[#This Row],[Order Date]],"mmm")</f>
        <v>Sep</v>
      </c>
      <c r="M260" s="2">
        <v>85</v>
      </c>
      <c r="N260" s="2" t="s">
        <v>159</v>
      </c>
      <c r="O260" s="2" t="str">
        <f>VLOOKUP(OrganizedData[[#This Row],[Product Code]],ProductData[[Code]:[Item]],2,FALSE)</f>
        <v>Ultrathing V3</v>
      </c>
      <c r="P260" s="4">
        <f>OrganizedData[[#This Row],[Quantity]]*VLOOKUP(OrganizedData[[#This Row],[Product Code]],ProductData[],4,FALSE)</f>
        <v>2040</v>
      </c>
      <c r="Q260" s="6">
        <f>OrganizedData[[#This Row],[Total Items Ordered]]*VLOOKUP(OrganizedData[[#This Row],[Product Code]],ProductData[],3,FALSE)</f>
        <v>6915.6</v>
      </c>
      <c r="R2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261" spans="1:18" x14ac:dyDescent="0.3">
      <c r="A261" s="2">
        <v>254</v>
      </c>
      <c r="B261" s="2" t="s">
        <v>1040</v>
      </c>
      <c r="C261" s="2" t="s">
        <v>1041</v>
      </c>
      <c r="D261" s="2" t="s">
        <v>15</v>
      </c>
      <c r="E261" s="2" t="s">
        <v>16</v>
      </c>
      <c r="F261" s="2">
        <v>30</v>
      </c>
      <c r="G261" s="2" t="s">
        <v>1038</v>
      </c>
      <c r="H261" s="2" t="s">
        <v>1042</v>
      </c>
      <c r="I261" s="2" t="s">
        <v>32</v>
      </c>
      <c r="J261" s="3">
        <v>44681</v>
      </c>
      <c r="K261" s="5">
        <f>YEAR(OrganizedData[[#This Row],[Order Date]])</f>
        <v>2022</v>
      </c>
      <c r="L261" s="7" t="str">
        <f>TEXT(OrganizedData[[#This Row],[Order Date]],"mmm")</f>
        <v>Apr</v>
      </c>
      <c r="M261" s="2">
        <v>46</v>
      </c>
      <c r="N261" s="2" t="s">
        <v>45</v>
      </c>
      <c r="O261" s="2" t="str">
        <f>VLOOKUP(OrganizedData[[#This Row],[Product Code]],ProductData[[Code]:[Item]],2,FALSE)</f>
        <v>Gigastuff</v>
      </c>
      <c r="P261" s="4">
        <f>OrganizedData[[#This Row],[Quantity]]*VLOOKUP(OrganizedData[[#This Row],[Product Code]],ProductData[],4,FALSE)</f>
        <v>828</v>
      </c>
      <c r="Q261" s="6">
        <f>OrganizedData[[#This Row],[Total Items Ordered]]*VLOOKUP(OrganizedData[[#This Row],[Product Code]],ProductData[],3,FALSE)</f>
        <v>1564.9199999999998</v>
      </c>
      <c r="R2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1517.9723999999999</v>
      </c>
    </row>
    <row r="262" spans="1:18" x14ac:dyDescent="0.3">
      <c r="A262" s="2">
        <v>255</v>
      </c>
      <c r="B262" s="2" t="s">
        <v>1043</v>
      </c>
      <c r="C262" s="2" t="s">
        <v>1044</v>
      </c>
      <c r="D262" s="2" t="s">
        <v>15</v>
      </c>
      <c r="E262" s="2" t="s">
        <v>16</v>
      </c>
      <c r="F262" s="2">
        <v>30</v>
      </c>
      <c r="G262" s="2" t="s">
        <v>1045</v>
      </c>
      <c r="H262" s="2" t="s">
        <v>378</v>
      </c>
      <c r="I262" s="2" t="s">
        <v>146</v>
      </c>
      <c r="J262" s="3">
        <v>44525</v>
      </c>
      <c r="K262" s="5">
        <f>YEAR(OrganizedData[[#This Row],[Order Date]])</f>
        <v>2021</v>
      </c>
      <c r="L262" s="7" t="str">
        <f>TEXT(OrganizedData[[#This Row],[Order Date]],"mmm")</f>
        <v>Nov</v>
      </c>
      <c r="M262" s="2">
        <v>68</v>
      </c>
      <c r="N262" s="2" t="s">
        <v>33</v>
      </c>
      <c r="O262" s="2" t="str">
        <f>VLOOKUP(OrganizedData[[#This Row],[Product Code]],ProductData[[Code]:[Item]],2,FALSE)</f>
        <v>Megawidget L</v>
      </c>
      <c r="P262" s="4">
        <f>OrganizedData[[#This Row],[Quantity]]*VLOOKUP(OrganizedData[[#This Row],[Product Code]],ProductData[],4,FALSE)</f>
        <v>1632</v>
      </c>
      <c r="Q262" s="6">
        <f>OrganizedData[[#This Row],[Total Items Ordered]]*VLOOKUP(OrganizedData[[#This Row],[Product Code]],ProductData[],3,FALSE)</f>
        <v>2921.28</v>
      </c>
      <c r="R2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263" spans="1:18" x14ac:dyDescent="0.3">
      <c r="A263" s="2">
        <v>256</v>
      </c>
      <c r="B263" s="2" t="s">
        <v>1046</v>
      </c>
      <c r="C263" s="2" t="s">
        <v>1047</v>
      </c>
      <c r="D263" s="2" t="s">
        <v>117</v>
      </c>
      <c r="E263" s="2" t="s">
        <v>16</v>
      </c>
      <c r="F263" s="2">
        <v>30</v>
      </c>
      <c r="G263" s="2" t="s">
        <v>1048</v>
      </c>
      <c r="H263" s="2" t="s">
        <v>443</v>
      </c>
      <c r="I263" s="2" t="s">
        <v>294</v>
      </c>
      <c r="J263" s="3">
        <v>44018</v>
      </c>
      <c r="K263" s="5">
        <f>YEAR(OrganizedData[[#This Row],[Order Date]])</f>
        <v>2020</v>
      </c>
      <c r="L263" s="7" t="str">
        <f>TEXT(OrganizedData[[#This Row],[Order Date]],"mmm")</f>
        <v>Jul</v>
      </c>
      <c r="M263" s="2">
        <v>31</v>
      </c>
      <c r="N263" s="2" t="s">
        <v>39</v>
      </c>
      <c r="O263" s="2" t="str">
        <f>VLOOKUP(OrganizedData[[#This Row],[Product Code]],ProductData[[Code]:[Item]],2,FALSE)</f>
        <v>Ultrathing V1</v>
      </c>
      <c r="P263" s="4">
        <f>OrganizedData[[#This Row],[Quantity]]*VLOOKUP(OrganizedData[[#This Row],[Product Code]],ProductData[],4,FALSE)</f>
        <v>527</v>
      </c>
      <c r="Q263" s="6">
        <f>OrganizedData[[#This Row],[Total Items Ordered]]*VLOOKUP(OrganizedData[[#This Row],[Product Code]],ProductData[],3,FALSE)</f>
        <v>943.33</v>
      </c>
      <c r="R2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264" spans="1:18" x14ac:dyDescent="0.3">
      <c r="A264" s="2">
        <v>257</v>
      </c>
      <c r="B264" s="2" t="s">
        <v>1049</v>
      </c>
      <c r="C264" s="2" t="s">
        <v>1050</v>
      </c>
      <c r="D264" s="2" t="s">
        <v>28</v>
      </c>
      <c r="E264" s="2" t="s">
        <v>29</v>
      </c>
      <c r="F264" s="2">
        <v>30</v>
      </c>
      <c r="G264" s="2" t="s">
        <v>1051</v>
      </c>
      <c r="H264" s="2" t="s">
        <v>1052</v>
      </c>
      <c r="I264" s="2" t="s">
        <v>32</v>
      </c>
      <c r="J264" s="3">
        <v>44453</v>
      </c>
      <c r="K264" s="5">
        <f>YEAR(OrganizedData[[#This Row],[Order Date]])</f>
        <v>2021</v>
      </c>
      <c r="L264" s="7" t="str">
        <f>TEXT(OrganizedData[[#This Row],[Order Date]],"mmm")</f>
        <v>Sep</v>
      </c>
      <c r="M264" s="2">
        <v>49</v>
      </c>
      <c r="N264" s="2" t="s">
        <v>54</v>
      </c>
      <c r="O264" s="2" t="str">
        <f>VLOOKUP(OrganizedData[[#This Row],[Product Code]],ProductData[[Code]:[Item]],2,FALSE)</f>
        <v>Megawidget S</v>
      </c>
      <c r="P264" s="4">
        <f>OrganizedData[[#This Row],[Quantity]]*VLOOKUP(OrganizedData[[#This Row],[Product Code]],ProductData[],4,FALSE)</f>
        <v>1176</v>
      </c>
      <c r="Q264" s="6">
        <f>OrganizedData[[#This Row],[Total Items Ordered]]*VLOOKUP(OrganizedData[[#This Row],[Product Code]],ProductData[],3,FALSE)</f>
        <v>811.43999999999994</v>
      </c>
      <c r="R2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787.09679999999992</v>
      </c>
    </row>
    <row r="265" spans="1:18" x14ac:dyDescent="0.3">
      <c r="A265" s="2">
        <v>258</v>
      </c>
      <c r="B265" s="2" t="s">
        <v>1053</v>
      </c>
      <c r="C265" s="2" t="s">
        <v>1054</v>
      </c>
      <c r="D265" s="2" t="s">
        <v>51</v>
      </c>
      <c r="E265" s="2" t="s">
        <v>16</v>
      </c>
      <c r="F265" s="2">
        <v>60</v>
      </c>
      <c r="G265" s="2" t="s">
        <v>1055</v>
      </c>
      <c r="H265" s="2" t="s">
        <v>1056</v>
      </c>
      <c r="I265" s="2" t="s">
        <v>129</v>
      </c>
      <c r="J265" s="3">
        <v>44235</v>
      </c>
      <c r="K265" s="5">
        <f>YEAR(OrganizedData[[#This Row],[Order Date]])</f>
        <v>2021</v>
      </c>
      <c r="L265" s="7" t="str">
        <f>TEXT(OrganizedData[[#This Row],[Order Date]],"mmm")</f>
        <v>Feb</v>
      </c>
      <c r="M265" s="2">
        <v>11</v>
      </c>
      <c r="N265" s="2" t="s">
        <v>45</v>
      </c>
      <c r="O265" s="2" t="str">
        <f>VLOOKUP(OrganizedData[[#This Row],[Product Code]],ProductData[[Code]:[Item]],2,FALSE)</f>
        <v>Gigastuff</v>
      </c>
      <c r="P265" s="4">
        <f>OrganizedData[[#This Row],[Quantity]]*VLOOKUP(OrganizedData[[#This Row],[Product Code]],ProductData[],4,FALSE)</f>
        <v>198</v>
      </c>
      <c r="Q265" s="6">
        <f>OrganizedData[[#This Row],[Total Items Ordered]]*VLOOKUP(OrganizedData[[#This Row],[Product Code]],ProductData[],3,FALSE)</f>
        <v>374.21999999999997</v>
      </c>
      <c r="R2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374.21999999999997</v>
      </c>
    </row>
    <row r="266" spans="1:18" x14ac:dyDescent="0.3">
      <c r="A266" s="2">
        <v>259</v>
      </c>
      <c r="B266" s="2" t="s">
        <v>1057</v>
      </c>
      <c r="C266" s="2" t="s">
        <v>1058</v>
      </c>
      <c r="D266" s="2" t="s">
        <v>51</v>
      </c>
      <c r="E266" s="2" t="s">
        <v>16</v>
      </c>
      <c r="F266" s="2">
        <v>60</v>
      </c>
      <c r="G266" s="2" t="s">
        <v>10462</v>
      </c>
      <c r="H266" s="2" t="s">
        <v>1060</v>
      </c>
      <c r="I266" s="2" t="s">
        <v>38</v>
      </c>
      <c r="J266" s="3">
        <v>43973</v>
      </c>
      <c r="K266" s="5">
        <f>YEAR(OrganizedData[[#This Row],[Order Date]])</f>
        <v>2020</v>
      </c>
      <c r="L266" s="7" t="str">
        <f>TEXT(OrganizedData[[#This Row],[Order Date]],"mmm")</f>
        <v>May</v>
      </c>
      <c r="M266" s="2">
        <v>6</v>
      </c>
      <c r="N266" s="2" t="s">
        <v>80</v>
      </c>
      <c r="O266" s="2" t="str">
        <f>VLOOKUP(OrganizedData[[#This Row],[Product Code]],ProductData[[Code]:[Item]],2,FALSE)</f>
        <v>Ultrathing V2</v>
      </c>
      <c r="P266" s="4">
        <f>OrganizedData[[#This Row],[Quantity]]*VLOOKUP(OrganizedData[[#This Row],[Product Code]],ProductData[],4,FALSE)</f>
        <v>120</v>
      </c>
      <c r="Q266" s="6">
        <f>OrganizedData[[#This Row],[Total Items Ordered]]*VLOOKUP(OrganizedData[[#This Row],[Product Code]],ProductData[],3,FALSE)</f>
        <v>354</v>
      </c>
      <c r="R2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354</v>
      </c>
    </row>
    <row r="267" spans="1:18" x14ac:dyDescent="0.3">
      <c r="A267" s="2">
        <v>260</v>
      </c>
      <c r="B267" s="2" t="s">
        <v>1061</v>
      </c>
      <c r="C267" s="2" t="s">
        <v>1062</v>
      </c>
      <c r="D267" s="2" t="s">
        <v>15</v>
      </c>
      <c r="E267" s="2" t="s">
        <v>16</v>
      </c>
      <c r="F267" s="2">
        <v>90</v>
      </c>
      <c r="G267" s="2" t="s">
        <v>1063</v>
      </c>
      <c r="H267" s="2" t="s">
        <v>1064</v>
      </c>
      <c r="I267" s="2" t="s">
        <v>886</v>
      </c>
      <c r="J267" s="3">
        <v>44134</v>
      </c>
      <c r="K267" s="5">
        <f>YEAR(OrganizedData[[#This Row],[Order Date]])</f>
        <v>2020</v>
      </c>
      <c r="L267" s="7" t="str">
        <f>TEXT(OrganizedData[[#This Row],[Order Date]],"mmm")</f>
        <v>Oct</v>
      </c>
      <c r="M267" s="2">
        <v>14</v>
      </c>
      <c r="N267" s="2" t="s">
        <v>70</v>
      </c>
      <c r="O267" s="2" t="str">
        <f>VLOOKUP(OrganizedData[[#This Row],[Product Code]],ProductData[[Code]:[Item]],2,FALSE)</f>
        <v>Megawidget M</v>
      </c>
      <c r="P267" s="4">
        <f>OrganizedData[[#This Row],[Quantity]]*VLOOKUP(OrganizedData[[#This Row],[Product Code]],ProductData[],4,FALSE)</f>
        <v>336</v>
      </c>
      <c r="Q267" s="6">
        <f>OrganizedData[[#This Row],[Total Items Ordered]]*VLOOKUP(OrganizedData[[#This Row],[Product Code]],ProductData[],3,FALSE)</f>
        <v>433.44</v>
      </c>
      <c r="R2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268" spans="1:18" x14ac:dyDescent="0.3">
      <c r="A268" s="2">
        <v>261</v>
      </c>
      <c r="B268" s="2" t="s">
        <v>1065</v>
      </c>
      <c r="C268" s="2" t="s">
        <v>1066</v>
      </c>
      <c r="D268" s="2" t="s">
        <v>28</v>
      </c>
      <c r="E268" s="2" t="s">
        <v>29</v>
      </c>
      <c r="F268" s="2">
        <v>30</v>
      </c>
      <c r="G268" s="2" t="s">
        <v>1067</v>
      </c>
      <c r="H268" s="2" t="s">
        <v>293</v>
      </c>
      <c r="I268" s="2" t="s">
        <v>294</v>
      </c>
      <c r="J268" s="3">
        <v>44014</v>
      </c>
      <c r="K268" s="5">
        <f>YEAR(OrganizedData[[#This Row],[Order Date]])</f>
        <v>2020</v>
      </c>
      <c r="L268" s="7" t="str">
        <f>TEXT(OrganizedData[[#This Row],[Order Date]],"mmm")</f>
        <v>Jul</v>
      </c>
      <c r="M268" s="2">
        <v>40</v>
      </c>
      <c r="N268" s="2" t="s">
        <v>159</v>
      </c>
      <c r="O268" s="2" t="str">
        <f>VLOOKUP(OrganizedData[[#This Row],[Product Code]],ProductData[[Code]:[Item]],2,FALSE)</f>
        <v>Ultrathing V3</v>
      </c>
      <c r="P268" s="4">
        <f>OrganizedData[[#This Row],[Quantity]]*VLOOKUP(OrganizedData[[#This Row],[Product Code]],ProductData[],4,FALSE)</f>
        <v>960</v>
      </c>
      <c r="Q268" s="6">
        <f>OrganizedData[[#This Row],[Total Items Ordered]]*VLOOKUP(OrganizedData[[#This Row],[Product Code]],ProductData[],3,FALSE)</f>
        <v>3254.4</v>
      </c>
      <c r="R2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3156.768</v>
      </c>
    </row>
    <row r="269" spans="1:18" x14ac:dyDescent="0.3">
      <c r="A269" s="2">
        <v>262</v>
      </c>
      <c r="B269" s="2" t="s">
        <v>1068</v>
      </c>
      <c r="C269" s="2" t="s">
        <v>800</v>
      </c>
      <c r="D269" s="2" t="s">
        <v>15</v>
      </c>
      <c r="E269" s="2" t="s">
        <v>16</v>
      </c>
      <c r="F269" s="2">
        <v>30</v>
      </c>
      <c r="G269" s="2" t="s">
        <v>1069</v>
      </c>
      <c r="H269" s="2" t="s">
        <v>1070</v>
      </c>
      <c r="I269" s="2" t="s">
        <v>32</v>
      </c>
      <c r="J269" s="3">
        <v>43978</v>
      </c>
      <c r="K269" s="5">
        <f>YEAR(OrganizedData[[#This Row],[Order Date]])</f>
        <v>2020</v>
      </c>
      <c r="L269" s="7" t="str">
        <f>TEXT(OrganizedData[[#This Row],[Order Date]],"mmm")</f>
        <v>May</v>
      </c>
      <c r="M269" s="2">
        <v>21</v>
      </c>
      <c r="N269" s="2" t="s">
        <v>54</v>
      </c>
      <c r="O269" s="2" t="str">
        <f>VLOOKUP(OrganizedData[[#This Row],[Product Code]],ProductData[[Code]:[Item]],2,FALSE)</f>
        <v>Megawidget S</v>
      </c>
      <c r="P269" s="4">
        <f>OrganizedData[[#This Row],[Quantity]]*VLOOKUP(OrganizedData[[#This Row],[Product Code]],ProductData[],4,FALSE)</f>
        <v>504</v>
      </c>
      <c r="Q269" s="6">
        <f>OrganizedData[[#This Row],[Total Items Ordered]]*VLOOKUP(OrganizedData[[#This Row],[Product Code]],ProductData[],3,FALSE)</f>
        <v>347.76</v>
      </c>
      <c r="R2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337.3272</v>
      </c>
    </row>
    <row r="270" spans="1:18" x14ac:dyDescent="0.3">
      <c r="A270" s="2">
        <v>263</v>
      </c>
      <c r="B270" s="2" t="s">
        <v>1071</v>
      </c>
      <c r="C270" s="2" t="s">
        <v>1072</v>
      </c>
      <c r="D270" s="2" t="s">
        <v>51</v>
      </c>
      <c r="E270" s="2" t="s">
        <v>16</v>
      </c>
      <c r="F270" s="2">
        <v>60</v>
      </c>
      <c r="G270" s="2" t="s">
        <v>1073</v>
      </c>
      <c r="H270" s="2" t="s">
        <v>981</v>
      </c>
      <c r="I270" s="2" t="s">
        <v>32</v>
      </c>
      <c r="J270" s="3">
        <v>44682</v>
      </c>
      <c r="K270" s="5">
        <f>YEAR(OrganizedData[[#This Row],[Order Date]])</f>
        <v>2022</v>
      </c>
      <c r="L270" s="7" t="str">
        <f>TEXT(OrganizedData[[#This Row],[Order Date]],"mmm")</f>
        <v>May</v>
      </c>
      <c r="M270" s="2">
        <v>64</v>
      </c>
      <c r="N270" s="2" t="s">
        <v>80</v>
      </c>
      <c r="O270" s="2" t="str">
        <f>VLOOKUP(OrganizedData[[#This Row],[Product Code]],ProductData[[Code]:[Item]],2,FALSE)</f>
        <v>Ultrathing V2</v>
      </c>
      <c r="P270" s="4">
        <f>OrganizedData[[#This Row],[Quantity]]*VLOOKUP(OrganizedData[[#This Row],[Product Code]],ProductData[],4,FALSE)</f>
        <v>1280</v>
      </c>
      <c r="Q270" s="6">
        <f>OrganizedData[[#This Row],[Total Items Ordered]]*VLOOKUP(OrganizedData[[#This Row],[Product Code]],ProductData[],3,FALSE)</f>
        <v>3776</v>
      </c>
      <c r="R2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3587.2</v>
      </c>
    </row>
    <row r="271" spans="1:18" x14ac:dyDescent="0.3">
      <c r="A271" s="2">
        <v>264</v>
      </c>
      <c r="B271" s="2" t="s">
        <v>1074</v>
      </c>
      <c r="C271" s="2" t="s">
        <v>1075</v>
      </c>
      <c r="D271" s="2" t="s">
        <v>15</v>
      </c>
      <c r="E271" s="2" t="s">
        <v>16</v>
      </c>
      <c r="F271" s="2">
        <v>90</v>
      </c>
      <c r="G271" s="2" t="s">
        <v>1076</v>
      </c>
      <c r="H271" s="2" t="s">
        <v>1077</v>
      </c>
      <c r="I271" s="2" t="s">
        <v>1078</v>
      </c>
      <c r="J271" s="3">
        <v>44450</v>
      </c>
      <c r="K271" s="5">
        <f>YEAR(OrganizedData[[#This Row],[Order Date]])</f>
        <v>2021</v>
      </c>
      <c r="L271" s="7" t="str">
        <f>TEXT(OrganizedData[[#This Row],[Order Date]],"mmm")</f>
        <v>Sep</v>
      </c>
      <c r="M271" s="2">
        <v>30</v>
      </c>
      <c r="N271" s="2" t="s">
        <v>64</v>
      </c>
      <c r="O271" s="2" t="str">
        <f>VLOOKUP(OrganizedData[[#This Row],[Product Code]],ProductData[[Code]:[Item]],2,FALSE)</f>
        <v>Ultrathing V4</v>
      </c>
      <c r="P271" s="4">
        <f>OrganizedData[[#This Row],[Quantity]]*VLOOKUP(OrganizedData[[#This Row],[Product Code]],ProductData[],4,FALSE)</f>
        <v>720</v>
      </c>
      <c r="Q271" s="6">
        <f>OrganizedData[[#This Row],[Total Items Ordered]]*VLOOKUP(OrganizedData[[#This Row],[Product Code]],ProductData[],3,FALSE)</f>
        <v>2872.8</v>
      </c>
      <c r="R2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2786.616</v>
      </c>
    </row>
    <row r="272" spans="1:18" x14ac:dyDescent="0.3">
      <c r="A272" s="2">
        <v>265</v>
      </c>
      <c r="B272" s="2" t="s">
        <v>1079</v>
      </c>
      <c r="C272" s="2" t="s">
        <v>1080</v>
      </c>
      <c r="D272" s="2" t="s">
        <v>51</v>
      </c>
      <c r="E272" s="2" t="s">
        <v>16</v>
      </c>
      <c r="F272" s="2">
        <v>60</v>
      </c>
      <c r="G272" s="2" t="s">
        <v>1081</v>
      </c>
      <c r="H272" s="2" t="s">
        <v>1082</v>
      </c>
      <c r="I272" s="2" t="s">
        <v>1083</v>
      </c>
      <c r="J272" s="3">
        <v>44769</v>
      </c>
      <c r="K272" s="5">
        <f>YEAR(OrganizedData[[#This Row],[Order Date]])</f>
        <v>2022</v>
      </c>
      <c r="L272" s="7" t="str">
        <f>TEXT(OrganizedData[[#This Row],[Order Date]],"mmm")</f>
        <v>Jul</v>
      </c>
      <c r="M272" s="2">
        <v>41</v>
      </c>
      <c r="N272" s="2" t="s">
        <v>101</v>
      </c>
      <c r="O272" s="2" t="str">
        <f>VLOOKUP(OrganizedData[[#This Row],[Product Code]],ProductData[[Code]:[Item]],2,FALSE)</f>
        <v>Superwossname</v>
      </c>
      <c r="P272" s="4">
        <f>OrganizedData[[#This Row],[Quantity]]*VLOOKUP(OrganizedData[[#This Row],[Product Code]],ProductData[],4,FALSE)</f>
        <v>820</v>
      </c>
      <c r="Q272" s="6">
        <f>OrganizedData[[#This Row],[Total Items Ordered]]*VLOOKUP(OrganizedData[[#This Row],[Product Code]],ProductData[],3,FALSE)</f>
        <v>2861.8</v>
      </c>
      <c r="R2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273" spans="1:18" x14ac:dyDescent="0.3">
      <c r="A273" s="2">
        <v>266</v>
      </c>
      <c r="B273" s="2" t="s">
        <v>1084</v>
      </c>
      <c r="C273" s="2" t="s">
        <v>1085</v>
      </c>
      <c r="D273" s="2" t="s">
        <v>15</v>
      </c>
      <c r="E273" s="2" t="s">
        <v>16</v>
      </c>
      <c r="F273" s="2">
        <v>90</v>
      </c>
      <c r="G273" s="2" t="s">
        <v>1086</v>
      </c>
      <c r="H273" s="2" t="s">
        <v>1087</v>
      </c>
      <c r="I273" s="2" t="s">
        <v>554</v>
      </c>
      <c r="J273" s="3">
        <v>44908</v>
      </c>
      <c r="K273" s="5">
        <f>YEAR(OrganizedData[[#This Row],[Order Date]])</f>
        <v>2022</v>
      </c>
      <c r="L273" s="7" t="str">
        <f>TEXT(OrganizedData[[#This Row],[Order Date]],"mmm")</f>
        <v>Dec</v>
      </c>
      <c r="M273" s="2">
        <v>27</v>
      </c>
      <c r="N273" s="2" t="s">
        <v>64</v>
      </c>
      <c r="O273" s="2" t="str">
        <f>VLOOKUP(OrganizedData[[#This Row],[Product Code]],ProductData[[Code]:[Item]],2,FALSE)</f>
        <v>Ultrathing V4</v>
      </c>
      <c r="P273" s="4">
        <f>OrganizedData[[#This Row],[Quantity]]*VLOOKUP(OrganizedData[[#This Row],[Product Code]],ProductData[],4,FALSE)</f>
        <v>648</v>
      </c>
      <c r="Q273" s="6">
        <f>OrganizedData[[#This Row],[Total Items Ordered]]*VLOOKUP(OrganizedData[[#This Row],[Product Code]],ProductData[],3,FALSE)</f>
        <v>2585.52</v>
      </c>
      <c r="R2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2507.9544000000001</v>
      </c>
    </row>
    <row r="274" spans="1:18" x14ac:dyDescent="0.3">
      <c r="A274" s="2">
        <v>267</v>
      </c>
      <c r="B274" s="2" t="s">
        <v>1088</v>
      </c>
      <c r="C274" s="2" t="s">
        <v>1089</v>
      </c>
      <c r="D274" s="2" t="s">
        <v>51</v>
      </c>
      <c r="E274" s="2" t="s">
        <v>16</v>
      </c>
      <c r="F274" s="2">
        <v>90</v>
      </c>
      <c r="G274" s="2" t="s">
        <v>1090</v>
      </c>
      <c r="H274" s="2" t="s">
        <v>1091</v>
      </c>
      <c r="I274" s="2" t="s">
        <v>32</v>
      </c>
      <c r="J274" s="3">
        <v>44413</v>
      </c>
      <c r="K274" s="5">
        <f>YEAR(OrganizedData[[#This Row],[Order Date]])</f>
        <v>2021</v>
      </c>
      <c r="L274" s="7" t="str">
        <f>TEXT(OrganizedData[[#This Row],[Order Date]],"mmm")</f>
        <v>Aug</v>
      </c>
      <c r="M274" s="2">
        <v>58</v>
      </c>
      <c r="N274" s="2" t="s">
        <v>54</v>
      </c>
      <c r="O274" s="2" t="str">
        <f>VLOOKUP(OrganizedData[[#This Row],[Product Code]],ProductData[[Code]:[Item]],2,FALSE)</f>
        <v>Megawidget S</v>
      </c>
      <c r="P274" s="4">
        <f>OrganizedData[[#This Row],[Quantity]]*VLOOKUP(OrganizedData[[#This Row],[Product Code]],ProductData[],4,FALSE)</f>
        <v>1392</v>
      </c>
      <c r="Q274" s="6">
        <f>OrganizedData[[#This Row],[Total Items Ordered]]*VLOOKUP(OrganizedData[[#This Row],[Product Code]],ProductData[],3,FALSE)</f>
        <v>960.4799999999999</v>
      </c>
      <c r="R2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275" spans="1:18" x14ac:dyDescent="0.3">
      <c r="A275" s="2">
        <v>268</v>
      </c>
      <c r="B275" s="2" t="s">
        <v>1092</v>
      </c>
      <c r="C275" s="2" t="s">
        <v>1093</v>
      </c>
      <c r="D275" s="2" t="s">
        <v>15</v>
      </c>
      <c r="E275" s="2" t="s">
        <v>16</v>
      </c>
      <c r="F275" s="2">
        <v>30</v>
      </c>
      <c r="G275" s="2" t="s">
        <v>1094</v>
      </c>
      <c r="H275" s="2" t="s">
        <v>1095</v>
      </c>
      <c r="I275" s="2" t="s">
        <v>178</v>
      </c>
      <c r="J275" s="3">
        <v>44480</v>
      </c>
      <c r="K275" s="5">
        <f>YEAR(OrganizedData[[#This Row],[Order Date]])</f>
        <v>2021</v>
      </c>
      <c r="L275" s="7" t="str">
        <f>TEXT(OrganizedData[[#This Row],[Order Date]],"mmm")</f>
        <v>Oct</v>
      </c>
      <c r="M275" s="2">
        <v>3</v>
      </c>
      <c r="N275" s="2" t="s">
        <v>159</v>
      </c>
      <c r="O275" s="2" t="str">
        <f>VLOOKUP(OrganizedData[[#This Row],[Product Code]],ProductData[[Code]:[Item]],2,FALSE)</f>
        <v>Ultrathing V3</v>
      </c>
      <c r="P275" s="4">
        <f>OrganizedData[[#This Row],[Quantity]]*VLOOKUP(OrganizedData[[#This Row],[Product Code]],ProductData[],4,FALSE)</f>
        <v>72</v>
      </c>
      <c r="Q275" s="6">
        <f>OrganizedData[[#This Row],[Total Items Ordered]]*VLOOKUP(OrganizedData[[#This Row],[Product Code]],ProductData[],3,FALSE)</f>
        <v>244.08</v>
      </c>
      <c r="R2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276" spans="1:18" x14ac:dyDescent="0.3">
      <c r="A276" s="2">
        <v>269</v>
      </c>
      <c r="B276" s="2" t="s">
        <v>1096</v>
      </c>
      <c r="C276" s="2" t="s">
        <v>1097</v>
      </c>
      <c r="D276" s="2" t="s">
        <v>28</v>
      </c>
      <c r="E276" s="2" t="s">
        <v>29</v>
      </c>
      <c r="F276" s="2">
        <v>30</v>
      </c>
      <c r="G276" s="2" t="s">
        <v>1098</v>
      </c>
      <c r="H276" s="2" t="s">
        <v>1099</v>
      </c>
      <c r="I276" s="2" t="s">
        <v>25</v>
      </c>
      <c r="J276" s="3">
        <v>44360</v>
      </c>
      <c r="K276" s="5">
        <f>YEAR(OrganizedData[[#This Row],[Order Date]])</f>
        <v>2021</v>
      </c>
      <c r="L276" s="7" t="str">
        <f>TEXT(OrganizedData[[#This Row],[Order Date]],"mmm")</f>
        <v>Jun</v>
      </c>
      <c r="M276" s="2">
        <v>38</v>
      </c>
      <c r="N276" s="2" t="s">
        <v>159</v>
      </c>
      <c r="O276" s="2" t="str">
        <f>VLOOKUP(OrganizedData[[#This Row],[Product Code]],ProductData[[Code]:[Item]],2,FALSE)</f>
        <v>Ultrathing V3</v>
      </c>
      <c r="P276" s="4">
        <f>OrganizedData[[#This Row],[Quantity]]*VLOOKUP(OrganizedData[[#This Row],[Product Code]],ProductData[],4,FALSE)</f>
        <v>912</v>
      </c>
      <c r="Q276" s="6">
        <f>OrganizedData[[#This Row],[Total Items Ordered]]*VLOOKUP(OrganizedData[[#This Row],[Product Code]],ProductData[],3,FALSE)</f>
        <v>3091.6800000000003</v>
      </c>
      <c r="R2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2998.9296000000004</v>
      </c>
    </row>
    <row r="277" spans="1:18" x14ac:dyDescent="0.3">
      <c r="A277" s="2">
        <v>270</v>
      </c>
      <c r="B277" s="2" t="s">
        <v>1100</v>
      </c>
      <c r="C277" s="2" t="s">
        <v>1101</v>
      </c>
      <c r="D277" s="2" t="s">
        <v>51</v>
      </c>
      <c r="E277" s="2" t="s">
        <v>16</v>
      </c>
      <c r="F277" s="2">
        <v>30</v>
      </c>
      <c r="G277" s="2" t="s">
        <v>1102</v>
      </c>
      <c r="H277" s="2" t="s">
        <v>1103</v>
      </c>
      <c r="I277" s="2" t="s">
        <v>25</v>
      </c>
      <c r="J277" s="3">
        <v>44561</v>
      </c>
      <c r="K277" s="5">
        <f>YEAR(OrganizedData[[#This Row],[Order Date]])</f>
        <v>2021</v>
      </c>
      <c r="L277" s="7" t="str">
        <f>TEXT(OrganizedData[[#This Row],[Order Date]],"mmm")</f>
        <v>Dec</v>
      </c>
      <c r="M277" s="2">
        <v>43</v>
      </c>
      <c r="N277" s="2" t="s">
        <v>101</v>
      </c>
      <c r="O277" s="2" t="str">
        <f>VLOOKUP(OrganizedData[[#This Row],[Product Code]],ProductData[[Code]:[Item]],2,FALSE)</f>
        <v>Superwossname</v>
      </c>
      <c r="P277" s="4">
        <f>OrganizedData[[#This Row],[Quantity]]*VLOOKUP(OrganizedData[[#This Row],[Product Code]],ProductData[],4,FALSE)</f>
        <v>860</v>
      </c>
      <c r="Q277" s="6">
        <f>OrganizedData[[#This Row],[Total Items Ordered]]*VLOOKUP(OrganizedData[[#This Row],[Product Code]],ProductData[],3,FALSE)</f>
        <v>3001.4</v>
      </c>
      <c r="R2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278" spans="1:18" x14ac:dyDescent="0.3">
      <c r="A278" s="2">
        <v>271</v>
      </c>
      <c r="B278" s="2" t="s">
        <v>1104</v>
      </c>
      <c r="C278" s="2" t="s">
        <v>1105</v>
      </c>
      <c r="D278" s="2" t="s">
        <v>28</v>
      </c>
      <c r="E278" s="2" t="s">
        <v>29</v>
      </c>
      <c r="F278" s="2">
        <v>60</v>
      </c>
      <c r="G278" s="2" t="s">
        <v>1106</v>
      </c>
      <c r="H278" s="2" t="s">
        <v>1107</v>
      </c>
      <c r="I278" s="2" t="s">
        <v>32</v>
      </c>
      <c r="J278" s="3">
        <v>44305</v>
      </c>
      <c r="K278" s="5">
        <f>YEAR(OrganizedData[[#This Row],[Order Date]])</f>
        <v>2021</v>
      </c>
      <c r="L278" s="7" t="str">
        <f>TEXT(OrganizedData[[#This Row],[Order Date]],"mmm")</f>
        <v>Apr</v>
      </c>
      <c r="M278" s="2">
        <v>36</v>
      </c>
      <c r="N278" s="2" t="s">
        <v>64</v>
      </c>
      <c r="O278" s="2" t="str">
        <f>VLOOKUP(OrganizedData[[#This Row],[Product Code]],ProductData[[Code]:[Item]],2,FALSE)</f>
        <v>Ultrathing V4</v>
      </c>
      <c r="P278" s="4">
        <f>OrganizedData[[#This Row],[Quantity]]*VLOOKUP(OrganizedData[[#This Row],[Product Code]],ProductData[],4,FALSE)</f>
        <v>864</v>
      </c>
      <c r="Q278" s="6">
        <f>OrganizedData[[#This Row],[Total Items Ordered]]*VLOOKUP(OrganizedData[[#This Row],[Product Code]],ProductData[],3,FALSE)</f>
        <v>3447.36</v>
      </c>
      <c r="R2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3343.9392000000003</v>
      </c>
    </row>
    <row r="279" spans="1:18" x14ac:dyDescent="0.3">
      <c r="A279" s="2">
        <v>272</v>
      </c>
      <c r="B279" s="2" t="s">
        <v>1108</v>
      </c>
      <c r="C279" s="2" t="s">
        <v>1109</v>
      </c>
      <c r="D279" s="2" t="s">
        <v>28</v>
      </c>
      <c r="E279" s="2" t="s">
        <v>29</v>
      </c>
      <c r="F279" s="2">
        <v>60</v>
      </c>
      <c r="G279" s="2" t="s">
        <v>1110</v>
      </c>
      <c r="H279" s="2" t="s">
        <v>1111</v>
      </c>
      <c r="I279" s="2" t="s">
        <v>32</v>
      </c>
      <c r="J279" s="3">
        <v>44204</v>
      </c>
      <c r="K279" s="5">
        <f>YEAR(OrganizedData[[#This Row],[Order Date]])</f>
        <v>2021</v>
      </c>
      <c r="L279" s="7" t="str">
        <f>TEXT(OrganizedData[[#This Row],[Order Date]],"mmm")</f>
        <v>Jan</v>
      </c>
      <c r="M279" s="2">
        <v>51</v>
      </c>
      <c r="N279" s="2" t="s">
        <v>54</v>
      </c>
      <c r="O279" s="2" t="str">
        <f>VLOOKUP(OrganizedData[[#This Row],[Product Code]],ProductData[[Code]:[Item]],2,FALSE)</f>
        <v>Megawidget S</v>
      </c>
      <c r="P279" s="4">
        <f>OrganizedData[[#This Row],[Quantity]]*VLOOKUP(OrganizedData[[#This Row],[Product Code]],ProductData[],4,FALSE)</f>
        <v>1224</v>
      </c>
      <c r="Q279" s="6">
        <f>OrganizedData[[#This Row],[Total Items Ordered]]*VLOOKUP(OrganizedData[[#This Row],[Product Code]],ProductData[],3,FALSE)</f>
        <v>844.56</v>
      </c>
      <c r="R2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280" spans="1:18" x14ac:dyDescent="0.3">
      <c r="A280" s="2">
        <v>273</v>
      </c>
      <c r="B280" s="2" t="s">
        <v>1112</v>
      </c>
      <c r="C280" s="2" t="s">
        <v>1113</v>
      </c>
      <c r="D280" s="2" t="s">
        <v>51</v>
      </c>
      <c r="E280" s="2" t="s">
        <v>16</v>
      </c>
      <c r="F280" s="2">
        <v>60</v>
      </c>
      <c r="G280" s="2" t="s">
        <v>1114</v>
      </c>
      <c r="H280" s="2" t="s">
        <v>1115</v>
      </c>
      <c r="I280" s="2" t="s">
        <v>32</v>
      </c>
      <c r="J280" s="3">
        <v>44578</v>
      </c>
      <c r="K280" s="5">
        <f>YEAR(OrganizedData[[#This Row],[Order Date]])</f>
        <v>2022</v>
      </c>
      <c r="L280" s="7" t="str">
        <f>TEXT(OrganizedData[[#This Row],[Order Date]],"mmm")</f>
        <v>Jan</v>
      </c>
      <c r="M280" s="2">
        <v>86</v>
      </c>
      <c r="N280" s="2" t="s">
        <v>159</v>
      </c>
      <c r="O280" s="2" t="str">
        <f>VLOOKUP(OrganizedData[[#This Row],[Product Code]],ProductData[[Code]:[Item]],2,FALSE)</f>
        <v>Ultrathing V3</v>
      </c>
      <c r="P280" s="4">
        <f>OrganizedData[[#This Row],[Quantity]]*VLOOKUP(OrganizedData[[#This Row],[Product Code]],ProductData[],4,FALSE)</f>
        <v>2064</v>
      </c>
      <c r="Q280" s="6">
        <f>OrganizedData[[#This Row],[Total Items Ordered]]*VLOOKUP(OrganizedData[[#This Row],[Product Code]],ProductData[],3,FALSE)</f>
        <v>6996.96</v>
      </c>
      <c r="R2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6647.1120000000001</v>
      </c>
    </row>
    <row r="281" spans="1:18" x14ac:dyDescent="0.3">
      <c r="A281" s="2">
        <v>274</v>
      </c>
      <c r="B281" s="2" t="s">
        <v>1116</v>
      </c>
      <c r="C281" s="2" t="s">
        <v>1117</v>
      </c>
      <c r="D281" s="2" t="s">
        <v>28</v>
      </c>
      <c r="E281" s="2" t="s">
        <v>29</v>
      </c>
      <c r="F281" s="2">
        <v>30</v>
      </c>
      <c r="G281" s="2" t="s">
        <v>1118</v>
      </c>
      <c r="H281" s="2" t="s">
        <v>1119</v>
      </c>
      <c r="I281" s="2" t="s">
        <v>240</v>
      </c>
      <c r="J281" s="3">
        <v>44416</v>
      </c>
      <c r="K281" s="5">
        <f>YEAR(OrganizedData[[#This Row],[Order Date]])</f>
        <v>2021</v>
      </c>
      <c r="L281" s="7" t="str">
        <f>TEXT(OrganizedData[[#This Row],[Order Date]],"mmm")</f>
        <v>Aug</v>
      </c>
      <c r="M281" s="2">
        <v>6</v>
      </c>
      <c r="N281" s="2" t="s">
        <v>80</v>
      </c>
      <c r="O281" s="2" t="str">
        <f>VLOOKUP(OrganizedData[[#This Row],[Product Code]],ProductData[[Code]:[Item]],2,FALSE)</f>
        <v>Ultrathing V2</v>
      </c>
      <c r="P281" s="4">
        <f>OrganizedData[[#This Row],[Quantity]]*VLOOKUP(OrganizedData[[#This Row],[Product Code]],ProductData[],4,FALSE)</f>
        <v>120</v>
      </c>
      <c r="Q281" s="6">
        <f>OrganizedData[[#This Row],[Total Items Ordered]]*VLOOKUP(OrganizedData[[#This Row],[Product Code]],ProductData[],3,FALSE)</f>
        <v>354</v>
      </c>
      <c r="R2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354</v>
      </c>
    </row>
    <row r="282" spans="1:18" x14ac:dyDescent="0.3">
      <c r="A282" s="2">
        <v>275</v>
      </c>
      <c r="B282" s="2" t="s">
        <v>1120</v>
      </c>
      <c r="C282" s="2" t="s">
        <v>1121</v>
      </c>
      <c r="D282" s="2" t="s">
        <v>28</v>
      </c>
      <c r="E282" s="2" t="s">
        <v>29</v>
      </c>
      <c r="F282" s="2">
        <v>60</v>
      </c>
      <c r="G282" s="2" t="s">
        <v>10463</v>
      </c>
      <c r="H282" s="2" t="s">
        <v>917</v>
      </c>
      <c r="I282" s="2" t="s">
        <v>32</v>
      </c>
      <c r="J282" s="3">
        <v>44372</v>
      </c>
      <c r="K282" s="5">
        <f>YEAR(OrganizedData[[#This Row],[Order Date]])</f>
        <v>2021</v>
      </c>
      <c r="L282" s="7" t="str">
        <f>TEXT(OrganizedData[[#This Row],[Order Date]],"mmm")</f>
        <v>Jun</v>
      </c>
      <c r="M282" s="2">
        <v>40</v>
      </c>
      <c r="N282" s="2" t="s">
        <v>20</v>
      </c>
      <c r="O282" s="2" t="str">
        <f>VLOOKUP(OrganizedData[[#This Row],[Product Code]],ProductData[[Code]:[Item]],2,FALSE)</f>
        <v>Hyperwotsit</v>
      </c>
      <c r="P282" s="4">
        <f>OrganizedData[[#This Row],[Quantity]]*VLOOKUP(OrganizedData[[#This Row],[Product Code]],ProductData[],4,FALSE)</f>
        <v>800</v>
      </c>
      <c r="Q282" s="6">
        <f>OrganizedData[[#This Row],[Total Items Ordered]]*VLOOKUP(OrganizedData[[#This Row],[Product Code]],ProductData[],3,FALSE)</f>
        <v>1607.9999999999998</v>
      </c>
      <c r="R2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283" spans="1:18" x14ac:dyDescent="0.3">
      <c r="A283" s="2">
        <v>276</v>
      </c>
      <c r="B283" s="2" t="s">
        <v>1123</v>
      </c>
      <c r="C283" s="2" t="s">
        <v>657</v>
      </c>
      <c r="D283" s="2" t="s">
        <v>51</v>
      </c>
      <c r="E283" s="2" t="s">
        <v>16</v>
      </c>
      <c r="F283" s="2">
        <v>90</v>
      </c>
      <c r="G283" s="2" t="s">
        <v>1124</v>
      </c>
      <c r="H283" s="2" t="s">
        <v>1125</v>
      </c>
      <c r="I283" s="2" t="s">
        <v>1126</v>
      </c>
      <c r="J283" s="3">
        <v>44053</v>
      </c>
      <c r="K283" s="5">
        <f>YEAR(OrganizedData[[#This Row],[Order Date]])</f>
        <v>2020</v>
      </c>
      <c r="L283" s="7" t="str">
        <f>TEXT(OrganizedData[[#This Row],[Order Date]],"mmm")</f>
        <v>Aug</v>
      </c>
      <c r="M283" s="2">
        <v>52</v>
      </c>
      <c r="N283" s="2" t="s">
        <v>54</v>
      </c>
      <c r="O283" s="2" t="str">
        <f>VLOOKUP(OrganizedData[[#This Row],[Product Code]],ProductData[[Code]:[Item]],2,FALSE)</f>
        <v>Megawidget S</v>
      </c>
      <c r="P283" s="4">
        <f>OrganizedData[[#This Row],[Quantity]]*VLOOKUP(OrganizedData[[#This Row],[Product Code]],ProductData[],4,FALSE)</f>
        <v>1248</v>
      </c>
      <c r="Q283" s="6">
        <f>OrganizedData[[#This Row],[Total Items Ordered]]*VLOOKUP(OrganizedData[[#This Row],[Product Code]],ProductData[],3,FALSE)</f>
        <v>861.11999999999989</v>
      </c>
      <c r="R2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818.06399999999985</v>
      </c>
    </row>
    <row r="284" spans="1:18" x14ac:dyDescent="0.3">
      <c r="A284" s="2">
        <v>277</v>
      </c>
      <c r="B284" s="2" t="s">
        <v>437</v>
      </c>
      <c r="C284" s="2" t="s">
        <v>770</v>
      </c>
      <c r="D284" s="2" t="s">
        <v>15</v>
      </c>
      <c r="E284" s="2" t="s">
        <v>16</v>
      </c>
      <c r="F284" s="2">
        <v>30</v>
      </c>
      <c r="G284" s="2" t="s">
        <v>1127</v>
      </c>
      <c r="H284" s="2" t="s">
        <v>1018</v>
      </c>
      <c r="I284" s="2" t="s">
        <v>294</v>
      </c>
      <c r="J284" s="3">
        <v>44261</v>
      </c>
      <c r="K284" s="5">
        <f>YEAR(OrganizedData[[#This Row],[Order Date]])</f>
        <v>2021</v>
      </c>
      <c r="L284" s="7" t="str">
        <f>TEXT(OrganizedData[[#This Row],[Order Date]],"mmm")</f>
        <v>Mar</v>
      </c>
      <c r="M284" s="2">
        <v>66</v>
      </c>
      <c r="N284" s="2" t="s">
        <v>101</v>
      </c>
      <c r="O284" s="2" t="str">
        <f>VLOOKUP(OrganizedData[[#This Row],[Product Code]],ProductData[[Code]:[Item]],2,FALSE)</f>
        <v>Superwossname</v>
      </c>
      <c r="P284" s="4">
        <f>OrganizedData[[#This Row],[Quantity]]*VLOOKUP(OrganizedData[[#This Row],[Product Code]],ProductData[],4,FALSE)</f>
        <v>1320</v>
      </c>
      <c r="Q284" s="6">
        <f>OrganizedData[[#This Row],[Total Items Ordered]]*VLOOKUP(OrganizedData[[#This Row],[Product Code]],ProductData[],3,FALSE)</f>
        <v>4606.8</v>
      </c>
      <c r="R2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285" spans="1:18" x14ac:dyDescent="0.3">
      <c r="A285" s="2">
        <v>278</v>
      </c>
      <c r="B285" s="2" t="s">
        <v>1128</v>
      </c>
      <c r="C285" s="2" t="s">
        <v>1129</v>
      </c>
      <c r="D285" s="2" t="s">
        <v>28</v>
      </c>
      <c r="E285" s="2" t="s">
        <v>29</v>
      </c>
      <c r="F285" s="2">
        <v>60</v>
      </c>
      <c r="G285" s="2" t="s">
        <v>1130</v>
      </c>
      <c r="H285" s="2" t="s">
        <v>1131</v>
      </c>
      <c r="I285" s="2" t="s">
        <v>32</v>
      </c>
      <c r="J285" s="3">
        <v>44509</v>
      </c>
      <c r="K285" s="5">
        <f>YEAR(OrganizedData[[#This Row],[Order Date]])</f>
        <v>2021</v>
      </c>
      <c r="L285" s="7" t="str">
        <f>TEXT(OrganizedData[[#This Row],[Order Date]],"mmm")</f>
        <v>Nov</v>
      </c>
      <c r="M285" s="2">
        <v>41</v>
      </c>
      <c r="N285" s="2" t="s">
        <v>101</v>
      </c>
      <c r="O285" s="2" t="str">
        <f>VLOOKUP(OrganizedData[[#This Row],[Product Code]],ProductData[[Code]:[Item]],2,FALSE)</f>
        <v>Superwossname</v>
      </c>
      <c r="P285" s="4">
        <f>OrganizedData[[#This Row],[Quantity]]*VLOOKUP(OrganizedData[[#This Row],[Product Code]],ProductData[],4,FALSE)</f>
        <v>820</v>
      </c>
      <c r="Q285" s="6">
        <f>OrganizedData[[#This Row],[Total Items Ordered]]*VLOOKUP(OrganizedData[[#This Row],[Product Code]],ProductData[],3,FALSE)</f>
        <v>2861.8</v>
      </c>
      <c r="R2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286" spans="1:18" x14ac:dyDescent="0.3">
      <c r="A286" s="2">
        <v>279</v>
      </c>
      <c r="B286" s="2" t="s">
        <v>1132</v>
      </c>
      <c r="C286" s="2" t="s">
        <v>1133</v>
      </c>
      <c r="D286" s="2" t="s">
        <v>28</v>
      </c>
      <c r="E286" s="2" t="s">
        <v>29</v>
      </c>
      <c r="F286" s="2">
        <v>30</v>
      </c>
      <c r="G286" s="2" t="s">
        <v>1134</v>
      </c>
      <c r="H286" s="2" t="s">
        <v>1135</v>
      </c>
      <c r="I286" s="2" t="s">
        <v>38</v>
      </c>
      <c r="J286" s="3">
        <v>44515</v>
      </c>
      <c r="K286" s="5">
        <f>YEAR(OrganizedData[[#This Row],[Order Date]])</f>
        <v>2021</v>
      </c>
      <c r="L286" s="7" t="str">
        <f>TEXT(OrganizedData[[#This Row],[Order Date]],"mmm")</f>
        <v>Nov</v>
      </c>
      <c r="M286" s="2">
        <v>33</v>
      </c>
      <c r="N286" s="2" t="s">
        <v>80</v>
      </c>
      <c r="O286" s="2" t="str">
        <f>VLOOKUP(OrganizedData[[#This Row],[Product Code]],ProductData[[Code]:[Item]],2,FALSE)</f>
        <v>Ultrathing V2</v>
      </c>
      <c r="P286" s="4">
        <f>OrganizedData[[#This Row],[Quantity]]*VLOOKUP(OrganizedData[[#This Row],[Product Code]],ProductData[],4,FALSE)</f>
        <v>660</v>
      </c>
      <c r="Q286" s="6">
        <f>OrganizedData[[#This Row],[Total Items Ordered]]*VLOOKUP(OrganizedData[[#This Row],[Product Code]],ProductData[],3,FALSE)</f>
        <v>1947.0000000000002</v>
      </c>
      <c r="R2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1888.5900000000001</v>
      </c>
    </row>
    <row r="287" spans="1:18" x14ac:dyDescent="0.3">
      <c r="A287" s="2">
        <v>280</v>
      </c>
      <c r="B287" s="2" t="s">
        <v>1136</v>
      </c>
      <c r="C287" s="2" t="s">
        <v>1137</v>
      </c>
      <c r="D287" s="2" t="s">
        <v>51</v>
      </c>
      <c r="E287" s="2" t="s">
        <v>16</v>
      </c>
      <c r="F287" s="2">
        <v>90</v>
      </c>
      <c r="G287" s="2" t="s">
        <v>1134</v>
      </c>
      <c r="H287" s="2" t="s">
        <v>1138</v>
      </c>
      <c r="I287" s="2" t="s">
        <v>124</v>
      </c>
      <c r="J287" s="3">
        <v>44805</v>
      </c>
      <c r="K287" s="5">
        <f>YEAR(OrganizedData[[#This Row],[Order Date]])</f>
        <v>2022</v>
      </c>
      <c r="L287" s="7" t="str">
        <f>TEXT(OrganizedData[[#This Row],[Order Date]],"mmm")</f>
        <v>Sep</v>
      </c>
      <c r="M287" s="2">
        <v>29</v>
      </c>
      <c r="N287" s="2" t="s">
        <v>20</v>
      </c>
      <c r="O287" s="2" t="str">
        <f>VLOOKUP(OrganizedData[[#This Row],[Product Code]],ProductData[[Code]:[Item]],2,FALSE)</f>
        <v>Hyperwotsit</v>
      </c>
      <c r="P287" s="4">
        <f>OrganizedData[[#This Row],[Quantity]]*VLOOKUP(OrganizedData[[#This Row],[Product Code]],ProductData[],4,FALSE)</f>
        <v>580</v>
      </c>
      <c r="Q287" s="6">
        <f>OrganizedData[[#This Row],[Total Items Ordered]]*VLOOKUP(OrganizedData[[#This Row],[Product Code]],ProductData[],3,FALSE)</f>
        <v>1165.8</v>
      </c>
      <c r="R2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288" spans="1:18" x14ac:dyDescent="0.3">
      <c r="A288" s="2">
        <v>281</v>
      </c>
      <c r="B288" s="2" t="s">
        <v>1139</v>
      </c>
      <c r="C288" s="2" t="s">
        <v>1140</v>
      </c>
      <c r="D288" s="2" t="s">
        <v>15</v>
      </c>
      <c r="E288" s="2" t="s">
        <v>16</v>
      </c>
      <c r="F288" s="2">
        <v>30</v>
      </c>
      <c r="G288" s="2" t="s">
        <v>1141</v>
      </c>
      <c r="H288" s="2" t="s">
        <v>1142</v>
      </c>
      <c r="I288" s="2" t="s">
        <v>38</v>
      </c>
      <c r="J288" s="3">
        <v>44862</v>
      </c>
      <c r="K288" s="5">
        <f>YEAR(OrganizedData[[#This Row],[Order Date]])</f>
        <v>2022</v>
      </c>
      <c r="L288" s="7" t="str">
        <f>TEXT(OrganizedData[[#This Row],[Order Date]],"mmm")</f>
        <v>Oct</v>
      </c>
      <c r="M288" s="2">
        <v>38</v>
      </c>
      <c r="N288" s="2" t="s">
        <v>64</v>
      </c>
      <c r="O288" s="2" t="str">
        <f>VLOOKUP(OrganizedData[[#This Row],[Product Code]],ProductData[[Code]:[Item]],2,FALSE)</f>
        <v>Ultrathing V4</v>
      </c>
      <c r="P288" s="4">
        <f>OrganizedData[[#This Row],[Quantity]]*VLOOKUP(OrganizedData[[#This Row],[Product Code]],ProductData[],4,FALSE)</f>
        <v>912</v>
      </c>
      <c r="Q288" s="6">
        <f>OrganizedData[[#This Row],[Total Items Ordered]]*VLOOKUP(OrganizedData[[#This Row],[Product Code]],ProductData[],3,FALSE)</f>
        <v>3638.88</v>
      </c>
      <c r="R2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289" spans="1:18" x14ac:dyDescent="0.3">
      <c r="A289" s="2">
        <v>282</v>
      </c>
      <c r="B289" s="2" t="s">
        <v>843</v>
      </c>
      <c r="C289" s="2" t="s">
        <v>394</v>
      </c>
      <c r="D289" s="2" t="s">
        <v>15</v>
      </c>
      <c r="E289" s="2" t="s">
        <v>16</v>
      </c>
      <c r="F289" s="2">
        <v>60</v>
      </c>
      <c r="G289" s="2" t="s">
        <v>1143</v>
      </c>
      <c r="H289" s="2" t="s">
        <v>951</v>
      </c>
      <c r="I289" s="2" t="s">
        <v>95</v>
      </c>
      <c r="J289" s="3">
        <v>44622</v>
      </c>
      <c r="K289" s="5">
        <f>YEAR(OrganizedData[[#This Row],[Order Date]])</f>
        <v>2022</v>
      </c>
      <c r="L289" s="7" t="str">
        <f>TEXT(OrganizedData[[#This Row],[Order Date]],"mmm")</f>
        <v>Mar</v>
      </c>
      <c r="M289" s="2">
        <v>4</v>
      </c>
      <c r="N289" s="2" t="s">
        <v>33</v>
      </c>
      <c r="O289" s="2" t="str">
        <f>VLOOKUP(OrganizedData[[#This Row],[Product Code]],ProductData[[Code]:[Item]],2,FALSE)</f>
        <v>Megawidget L</v>
      </c>
      <c r="P289" s="4">
        <f>OrganizedData[[#This Row],[Quantity]]*VLOOKUP(OrganizedData[[#This Row],[Product Code]],ProductData[],4,FALSE)</f>
        <v>96</v>
      </c>
      <c r="Q289" s="6">
        <f>OrganizedData[[#This Row],[Total Items Ordered]]*VLOOKUP(OrganizedData[[#This Row],[Product Code]],ProductData[],3,FALSE)</f>
        <v>171.84</v>
      </c>
      <c r="R2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171.84</v>
      </c>
    </row>
    <row r="290" spans="1:18" x14ac:dyDescent="0.3">
      <c r="A290" s="2">
        <v>283</v>
      </c>
      <c r="B290" s="2" t="s">
        <v>1144</v>
      </c>
      <c r="C290" s="2" t="s">
        <v>1145</v>
      </c>
      <c r="D290" s="2" t="s">
        <v>117</v>
      </c>
      <c r="E290" s="2" t="s">
        <v>16</v>
      </c>
      <c r="F290" s="2">
        <v>60</v>
      </c>
      <c r="G290" s="2" t="s">
        <v>1146</v>
      </c>
      <c r="H290" s="2" t="s">
        <v>182</v>
      </c>
      <c r="I290" s="2" t="s">
        <v>32</v>
      </c>
      <c r="J290" s="3">
        <v>44733</v>
      </c>
      <c r="K290" s="5">
        <f>YEAR(OrganizedData[[#This Row],[Order Date]])</f>
        <v>2022</v>
      </c>
      <c r="L290" s="7" t="str">
        <f>TEXT(OrganizedData[[#This Row],[Order Date]],"mmm")</f>
        <v>Jun</v>
      </c>
      <c r="M290" s="2">
        <v>29</v>
      </c>
      <c r="N290" s="2" t="s">
        <v>80</v>
      </c>
      <c r="O290" s="2" t="str">
        <f>VLOOKUP(OrganizedData[[#This Row],[Product Code]],ProductData[[Code]:[Item]],2,FALSE)</f>
        <v>Ultrathing V2</v>
      </c>
      <c r="P290" s="4">
        <f>OrganizedData[[#This Row],[Quantity]]*VLOOKUP(OrganizedData[[#This Row],[Product Code]],ProductData[],4,FALSE)</f>
        <v>580</v>
      </c>
      <c r="Q290" s="6">
        <f>OrganizedData[[#This Row],[Total Items Ordered]]*VLOOKUP(OrganizedData[[#This Row],[Product Code]],ProductData[],3,FALSE)</f>
        <v>1711</v>
      </c>
      <c r="R2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1659.6699999999998</v>
      </c>
    </row>
    <row r="291" spans="1:18" x14ac:dyDescent="0.3">
      <c r="A291" s="2">
        <v>284</v>
      </c>
      <c r="B291" s="2" t="s">
        <v>1147</v>
      </c>
      <c r="C291" s="2" t="s">
        <v>1148</v>
      </c>
      <c r="D291" s="2" t="s">
        <v>28</v>
      </c>
      <c r="E291" s="2" t="s">
        <v>29</v>
      </c>
      <c r="F291" s="2">
        <v>30</v>
      </c>
      <c r="G291" s="2" t="s">
        <v>1149</v>
      </c>
      <c r="H291" s="2" t="s">
        <v>1150</v>
      </c>
      <c r="I291" s="2" t="s">
        <v>32</v>
      </c>
      <c r="J291" s="3">
        <v>44023</v>
      </c>
      <c r="K291" s="5">
        <f>YEAR(OrganizedData[[#This Row],[Order Date]])</f>
        <v>2020</v>
      </c>
      <c r="L291" s="7" t="str">
        <f>TEXT(OrganizedData[[#This Row],[Order Date]],"mmm")</f>
        <v>Jul</v>
      </c>
      <c r="M291" s="2">
        <v>48</v>
      </c>
      <c r="N291" s="2" t="s">
        <v>45</v>
      </c>
      <c r="O291" s="2" t="str">
        <f>VLOOKUP(OrganizedData[[#This Row],[Product Code]],ProductData[[Code]:[Item]],2,FALSE)</f>
        <v>Gigastuff</v>
      </c>
      <c r="P291" s="4">
        <f>OrganizedData[[#This Row],[Quantity]]*VLOOKUP(OrganizedData[[#This Row],[Product Code]],ProductData[],4,FALSE)</f>
        <v>864</v>
      </c>
      <c r="Q291" s="6">
        <f>OrganizedData[[#This Row],[Total Items Ordered]]*VLOOKUP(OrganizedData[[#This Row],[Product Code]],ProductData[],3,FALSE)</f>
        <v>1632.9599999999998</v>
      </c>
      <c r="R2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1583.9711999999997</v>
      </c>
    </row>
    <row r="292" spans="1:18" x14ac:dyDescent="0.3">
      <c r="A292" s="2">
        <v>285</v>
      </c>
      <c r="B292" s="2" t="s">
        <v>1151</v>
      </c>
      <c r="C292" s="2" t="s">
        <v>1152</v>
      </c>
      <c r="D292" s="2" t="s">
        <v>15</v>
      </c>
      <c r="E292" s="2" t="s">
        <v>16</v>
      </c>
      <c r="F292" s="2">
        <v>30</v>
      </c>
      <c r="G292" s="2" t="s">
        <v>1153</v>
      </c>
      <c r="H292" s="2" t="s">
        <v>917</v>
      </c>
      <c r="I292" s="2" t="s">
        <v>32</v>
      </c>
      <c r="J292" s="3">
        <v>44625</v>
      </c>
      <c r="K292" s="5">
        <f>YEAR(OrganizedData[[#This Row],[Order Date]])</f>
        <v>2022</v>
      </c>
      <c r="L292" s="7" t="str">
        <f>TEXT(OrganizedData[[#This Row],[Order Date]],"mmm")</f>
        <v>Mar</v>
      </c>
      <c r="M292" s="2">
        <v>11</v>
      </c>
      <c r="N292" s="2" t="s">
        <v>64</v>
      </c>
      <c r="O292" s="2" t="str">
        <f>VLOOKUP(OrganizedData[[#This Row],[Product Code]],ProductData[[Code]:[Item]],2,FALSE)</f>
        <v>Ultrathing V4</v>
      </c>
      <c r="P292" s="4">
        <f>OrganizedData[[#This Row],[Quantity]]*VLOOKUP(OrganizedData[[#This Row],[Product Code]],ProductData[],4,FALSE)</f>
        <v>264</v>
      </c>
      <c r="Q292" s="6">
        <f>OrganizedData[[#This Row],[Total Items Ordered]]*VLOOKUP(OrganizedData[[#This Row],[Product Code]],ProductData[],3,FALSE)</f>
        <v>1053.3600000000001</v>
      </c>
      <c r="R2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1053.3600000000001</v>
      </c>
    </row>
    <row r="293" spans="1:18" x14ac:dyDescent="0.3">
      <c r="A293" s="2">
        <v>286</v>
      </c>
      <c r="B293" s="2" t="s">
        <v>34</v>
      </c>
      <c r="C293" s="2" t="s">
        <v>1154</v>
      </c>
      <c r="D293" s="2" t="s">
        <v>28</v>
      </c>
      <c r="E293" s="2" t="s">
        <v>29</v>
      </c>
      <c r="F293" s="2">
        <v>30</v>
      </c>
      <c r="G293" s="2" t="s">
        <v>1155</v>
      </c>
      <c r="H293" s="2" t="s">
        <v>1156</v>
      </c>
      <c r="I293" s="2" t="s">
        <v>1157</v>
      </c>
      <c r="J293" s="3">
        <v>44863</v>
      </c>
      <c r="K293" s="5">
        <f>YEAR(OrganizedData[[#This Row],[Order Date]])</f>
        <v>2022</v>
      </c>
      <c r="L293" s="7" t="str">
        <f>TEXT(OrganizedData[[#This Row],[Order Date]],"mmm")</f>
        <v>Oct</v>
      </c>
      <c r="M293" s="2">
        <v>72</v>
      </c>
      <c r="N293" s="2" t="s">
        <v>70</v>
      </c>
      <c r="O293" s="2" t="str">
        <f>VLOOKUP(OrganizedData[[#This Row],[Product Code]],ProductData[[Code]:[Item]],2,FALSE)</f>
        <v>Megawidget M</v>
      </c>
      <c r="P293" s="4">
        <f>OrganizedData[[#This Row],[Quantity]]*VLOOKUP(OrganizedData[[#This Row],[Product Code]],ProductData[],4,FALSE)</f>
        <v>1728</v>
      </c>
      <c r="Q293" s="6">
        <f>OrganizedData[[#This Row],[Total Items Ordered]]*VLOOKUP(OrganizedData[[#This Row],[Product Code]],ProductData[],3,FALSE)</f>
        <v>2229.12</v>
      </c>
      <c r="R2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294" spans="1:18" x14ac:dyDescent="0.3">
      <c r="A294" s="2">
        <v>287</v>
      </c>
      <c r="B294" s="2" t="s">
        <v>1158</v>
      </c>
      <c r="C294" s="2" t="s">
        <v>1159</v>
      </c>
      <c r="D294" s="2" t="s">
        <v>28</v>
      </c>
      <c r="E294" s="2" t="s">
        <v>29</v>
      </c>
      <c r="F294" s="2">
        <v>60</v>
      </c>
      <c r="G294" s="2" t="s">
        <v>1155</v>
      </c>
      <c r="H294" s="2" t="s">
        <v>1160</v>
      </c>
      <c r="I294" s="2" t="s">
        <v>25</v>
      </c>
      <c r="J294" s="3">
        <v>44018</v>
      </c>
      <c r="K294" s="5">
        <f>YEAR(OrganizedData[[#This Row],[Order Date]])</f>
        <v>2020</v>
      </c>
      <c r="L294" s="7" t="str">
        <f>TEXT(OrganizedData[[#This Row],[Order Date]],"mmm")</f>
        <v>Jul</v>
      </c>
      <c r="M294" s="2">
        <v>14</v>
      </c>
      <c r="N294" s="2" t="s">
        <v>33</v>
      </c>
      <c r="O294" s="2" t="str">
        <f>VLOOKUP(OrganizedData[[#This Row],[Product Code]],ProductData[[Code]:[Item]],2,FALSE)</f>
        <v>Megawidget L</v>
      </c>
      <c r="P294" s="4">
        <f>OrganizedData[[#This Row],[Quantity]]*VLOOKUP(OrganizedData[[#This Row],[Product Code]],ProductData[],4,FALSE)</f>
        <v>336</v>
      </c>
      <c r="Q294" s="6">
        <f>OrganizedData[[#This Row],[Total Items Ordered]]*VLOOKUP(OrganizedData[[#This Row],[Product Code]],ProductData[],3,FALSE)</f>
        <v>601.44000000000005</v>
      </c>
      <c r="R2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601.44000000000005</v>
      </c>
    </row>
    <row r="295" spans="1:18" x14ac:dyDescent="0.3">
      <c r="A295" s="2">
        <v>288</v>
      </c>
      <c r="B295" s="2" t="s">
        <v>1161</v>
      </c>
      <c r="C295" s="2" t="s">
        <v>1162</v>
      </c>
      <c r="D295" s="2" t="s">
        <v>41</v>
      </c>
      <c r="E295" s="2" t="s">
        <v>16</v>
      </c>
      <c r="F295" s="2">
        <v>30</v>
      </c>
      <c r="G295" s="2" t="s">
        <v>1163</v>
      </c>
      <c r="H295" s="2" t="s">
        <v>1164</v>
      </c>
      <c r="I295" s="2" t="s">
        <v>89</v>
      </c>
      <c r="J295" s="3">
        <v>44701</v>
      </c>
      <c r="K295" s="5">
        <f>YEAR(OrganizedData[[#This Row],[Order Date]])</f>
        <v>2022</v>
      </c>
      <c r="L295" s="7" t="str">
        <f>TEXT(OrganizedData[[#This Row],[Order Date]],"mmm")</f>
        <v>May</v>
      </c>
      <c r="M295" s="2">
        <v>70</v>
      </c>
      <c r="N295" s="2" t="s">
        <v>101</v>
      </c>
      <c r="O295" s="2" t="str">
        <f>VLOOKUP(OrganizedData[[#This Row],[Product Code]],ProductData[[Code]:[Item]],2,FALSE)</f>
        <v>Superwossname</v>
      </c>
      <c r="P295" s="4">
        <f>OrganizedData[[#This Row],[Quantity]]*VLOOKUP(OrganizedData[[#This Row],[Product Code]],ProductData[],4,FALSE)</f>
        <v>1400</v>
      </c>
      <c r="Q295" s="6">
        <f>OrganizedData[[#This Row],[Total Items Ordered]]*VLOOKUP(OrganizedData[[#This Row],[Product Code]],ProductData[],3,FALSE)</f>
        <v>4886</v>
      </c>
      <c r="R2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4641.7</v>
      </c>
    </row>
    <row r="296" spans="1:18" x14ac:dyDescent="0.3">
      <c r="A296" s="2">
        <v>289</v>
      </c>
      <c r="B296" s="2" t="s">
        <v>1165</v>
      </c>
      <c r="C296" s="2" t="s">
        <v>1166</v>
      </c>
      <c r="D296" s="2" t="s">
        <v>41</v>
      </c>
      <c r="E296" s="2" t="s">
        <v>16</v>
      </c>
      <c r="F296" s="2">
        <v>30</v>
      </c>
      <c r="G296" s="2" t="s">
        <v>1167</v>
      </c>
      <c r="H296" s="2" t="s">
        <v>1168</v>
      </c>
      <c r="I296" s="2" t="s">
        <v>32</v>
      </c>
      <c r="J296" s="3">
        <v>43913</v>
      </c>
      <c r="K296" s="5">
        <f>YEAR(OrganizedData[[#This Row],[Order Date]])</f>
        <v>2020</v>
      </c>
      <c r="L296" s="7" t="str">
        <f>TEXT(OrganizedData[[#This Row],[Order Date]],"mmm")</f>
        <v>Mar</v>
      </c>
      <c r="M296" s="2">
        <v>82</v>
      </c>
      <c r="N296" s="2" t="s">
        <v>80</v>
      </c>
      <c r="O296" s="2" t="str">
        <f>VLOOKUP(OrganizedData[[#This Row],[Product Code]],ProductData[[Code]:[Item]],2,FALSE)</f>
        <v>Ultrathing V2</v>
      </c>
      <c r="P296" s="4">
        <f>OrganizedData[[#This Row],[Quantity]]*VLOOKUP(OrganizedData[[#This Row],[Product Code]],ProductData[],4,FALSE)</f>
        <v>1640</v>
      </c>
      <c r="Q296" s="6">
        <f>OrganizedData[[#This Row],[Total Items Ordered]]*VLOOKUP(OrganizedData[[#This Row],[Product Code]],ProductData[],3,FALSE)</f>
        <v>4838</v>
      </c>
      <c r="R2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4596.0999999999995</v>
      </c>
    </row>
    <row r="297" spans="1:18" x14ac:dyDescent="0.3">
      <c r="A297" s="2">
        <v>290</v>
      </c>
      <c r="B297" s="2" t="s">
        <v>1169</v>
      </c>
      <c r="C297" s="2" t="s">
        <v>1170</v>
      </c>
      <c r="D297" s="2" t="s">
        <v>28</v>
      </c>
      <c r="E297" s="2" t="s">
        <v>29</v>
      </c>
      <c r="F297" s="2">
        <v>60</v>
      </c>
      <c r="G297" s="2" t="s">
        <v>1171</v>
      </c>
      <c r="H297" s="2" t="s">
        <v>534</v>
      </c>
      <c r="I297" s="2" t="s">
        <v>32</v>
      </c>
      <c r="J297" s="3">
        <v>44493</v>
      </c>
      <c r="K297" s="5">
        <f>YEAR(OrganizedData[[#This Row],[Order Date]])</f>
        <v>2021</v>
      </c>
      <c r="L297" s="7" t="str">
        <f>TEXT(OrganizedData[[#This Row],[Order Date]],"mmm")</f>
        <v>Oct</v>
      </c>
      <c r="M297" s="2">
        <v>44</v>
      </c>
      <c r="N297" s="2" t="s">
        <v>54</v>
      </c>
      <c r="O297" s="2" t="str">
        <f>VLOOKUP(OrganizedData[[#This Row],[Product Code]],ProductData[[Code]:[Item]],2,FALSE)</f>
        <v>Megawidget S</v>
      </c>
      <c r="P297" s="4">
        <f>OrganizedData[[#This Row],[Quantity]]*VLOOKUP(OrganizedData[[#This Row],[Product Code]],ProductData[],4,FALSE)</f>
        <v>1056</v>
      </c>
      <c r="Q297" s="6">
        <f>OrganizedData[[#This Row],[Total Items Ordered]]*VLOOKUP(OrganizedData[[#This Row],[Product Code]],ProductData[],3,FALSE)</f>
        <v>728.64</v>
      </c>
      <c r="R2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298" spans="1:18" x14ac:dyDescent="0.3">
      <c r="A298" s="2">
        <v>291</v>
      </c>
      <c r="B298" s="2" t="s">
        <v>612</v>
      </c>
      <c r="C298" s="2" t="s">
        <v>1172</v>
      </c>
      <c r="D298" s="2" t="s">
        <v>28</v>
      </c>
      <c r="E298" s="2" t="s">
        <v>29</v>
      </c>
      <c r="F298" s="2">
        <v>90</v>
      </c>
      <c r="G298" s="2" t="s">
        <v>1171</v>
      </c>
      <c r="H298" s="2" t="s">
        <v>1173</v>
      </c>
      <c r="I298" s="2" t="s">
        <v>32</v>
      </c>
      <c r="J298" s="3">
        <v>44256</v>
      </c>
      <c r="K298" s="5">
        <f>YEAR(OrganizedData[[#This Row],[Order Date]])</f>
        <v>2021</v>
      </c>
      <c r="L298" s="7" t="str">
        <f>TEXT(OrganizedData[[#This Row],[Order Date]],"mmm")</f>
        <v>Mar</v>
      </c>
      <c r="M298" s="2">
        <v>18</v>
      </c>
      <c r="N298" s="2" t="s">
        <v>70</v>
      </c>
      <c r="O298" s="2" t="str">
        <f>VLOOKUP(OrganizedData[[#This Row],[Product Code]],ProductData[[Code]:[Item]],2,FALSE)</f>
        <v>Megawidget M</v>
      </c>
      <c r="P298" s="4">
        <f>OrganizedData[[#This Row],[Quantity]]*VLOOKUP(OrganizedData[[#This Row],[Product Code]],ProductData[],4,FALSE)</f>
        <v>432</v>
      </c>
      <c r="Q298" s="6">
        <f>OrganizedData[[#This Row],[Total Items Ordered]]*VLOOKUP(OrganizedData[[#This Row],[Product Code]],ProductData[],3,FALSE)</f>
        <v>557.28</v>
      </c>
      <c r="R2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299" spans="1:18" x14ac:dyDescent="0.3">
      <c r="A299" s="2">
        <v>292</v>
      </c>
      <c r="B299" s="2" t="s">
        <v>1174</v>
      </c>
      <c r="C299" s="2" t="s">
        <v>1175</v>
      </c>
      <c r="D299" s="2" t="s">
        <v>15</v>
      </c>
      <c r="E299" s="2" t="s">
        <v>16</v>
      </c>
      <c r="F299" s="2">
        <v>30</v>
      </c>
      <c r="G299" s="2" t="s">
        <v>1176</v>
      </c>
      <c r="H299" s="2" t="s">
        <v>1177</v>
      </c>
      <c r="I299" s="2" t="s">
        <v>32</v>
      </c>
      <c r="J299" s="3">
        <v>44160</v>
      </c>
      <c r="K299" s="5">
        <f>YEAR(OrganizedData[[#This Row],[Order Date]])</f>
        <v>2020</v>
      </c>
      <c r="L299" s="7" t="str">
        <f>TEXT(OrganizedData[[#This Row],[Order Date]],"mmm")</f>
        <v>Nov</v>
      </c>
      <c r="M299" s="2">
        <v>8</v>
      </c>
      <c r="N299" s="2" t="s">
        <v>80</v>
      </c>
      <c r="O299" s="2" t="str">
        <f>VLOOKUP(OrganizedData[[#This Row],[Product Code]],ProductData[[Code]:[Item]],2,FALSE)</f>
        <v>Ultrathing V2</v>
      </c>
      <c r="P299" s="4">
        <f>OrganizedData[[#This Row],[Quantity]]*VLOOKUP(OrganizedData[[#This Row],[Product Code]],ProductData[],4,FALSE)</f>
        <v>160</v>
      </c>
      <c r="Q299" s="6">
        <f>OrganizedData[[#This Row],[Total Items Ordered]]*VLOOKUP(OrganizedData[[#This Row],[Product Code]],ProductData[],3,FALSE)</f>
        <v>472</v>
      </c>
      <c r="R2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v>
      </c>
    </row>
    <row r="300" spans="1:18" x14ac:dyDescent="0.3">
      <c r="A300" s="2">
        <v>293</v>
      </c>
      <c r="B300" s="2" t="s">
        <v>1178</v>
      </c>
      <c r="C300" s="2" t="s">
        <v>1179</v>
      </c>
      <c r="D300" s="2" t="s">
        <v>51</v>
      </c>
      <c r="E300" s="2" t="s">
        <v>16</v>
      </c>
      <c r="F300" s="2">
        <v>90</v>
      </c>
      <c r="G300" s="2" t="s">
        <v>1180</v>
      </c>
      <c r="H300" s="2" t="s">
        <v>702</v>
      </c>
      <c r="I300" s="2" t="s">
        <v>703</v>
      </c>
      <c r="J300" s="3">
        <v>44857</v>
      </c>
      <c r="K300" s="5">
        <f>YEAR(OrganizedData[[#This Row],[Order Date]])</f>
        <v>2022</v>
      </c>
      <c r="L300" s="7" t="str">
        <f>TEXT(OrganizedData[[#This Row],[Order Date]],"mmm")</f>
        <v>Oct</v>
      </c>
      <c r="M300" s="2">
        <v>5</v>
      </c>
      <c r="N300" s="2" t="s">
        <v>39</v>
      </c>
      <c r="O300" s="2" t="str">
        <f>VLOOKUP(OrganizedData[[#This Row],[Product Code]],ProductData[[Code]:[Item]],2,FALSE)</f>
        <v>Ultrathing V1</v>
      </c>
      <c r="P300" s="4">
        <f>OrganizedData[[#This Row],[Quantity]]*VLOOKUP(OrganizedData[[#This Row],[Product Code]],ProductData[],4,FALSE)</f>
        <v>85</v>
      </c>
      <c r="Q300" s="6">
        <f>OrganizedData[[#This Row],[Total Items Ordered]]*VLOOKUP(OrganizedData[[#This Row],[Product Code]],ProductData[],3,FALSE)</f>
        <v>152.15</v>
      </c>
      <c r="R3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152.15</v>
      </c>
    </row>
    <row r="301" spans="1:18" x14ac:dyDescent="0.3">
      <c r="A301" s="2">
        <v>294</v>
      </c>
      <c r="B301" s="2" t="s">
        <v>1181</v>
      </c>
      <c r="C301" s="2" t="s">
        <v>1182</v>
      </c>
      <c r="D301" s="2" t="s">
        <v>15</v>
      </c>
      <c r="E301" s="2" t="s">
        <v>16</v>
      </c>
      <c r="F301" s="2">
        <v>90</v>
      </c>
      <c r="G301" s="2" t="s">
        <v>1183</v>
      </c>
      <c r="H301" s="2" t="s">
        <v>1184</v>
      </c>
      <c r="I301" s="2" t="s">
        <v>886</v>
      </c>
      <c r="J301" s="3">
        <v>44891</v>
      </c>
      <c r="K301" s="5">
        <f>YEAR(OrganizedData[[#This Row],[Order Date]])</f>
        <v>2022</v>
      </c>
      <c r="L301" s="7" t="str">
        <f>TEXT(OrganizedData[[#This Row],[Order Date]],"mmm")</f>
        <v>Nov</v>
      </c>
      <c r="M301" s="2">
        <v>36</v>
      </c>
      <c r="N301" s="2" t="s">
        <v>80</v>
      </c>
      <c r="O301" s="2" t="str">
        <f>VLOOKUP(OrganizedData[[#This Row],[Product Code]],ProductData[[Code]:[Item]],2,FALSE)</f>
        <v>Ultrathing V2</v>
      </c>
      <c r="P301" s="4">
        <f>OrganizedData[[#This Row],[Quantity]]*VLOOKUP(OrganizedData[[#This Row],[Product Code]],ProductData[],4,FALSE)</f>
        <v>720</v>
      </c>
      <c r="Q301" s="6">
        <f>OrganizedData[[#This Row],[Total Items Ordered]]*VLOOKUP(OrganizedData[[#This Row],[Product Code]],ProductData[],3,FALSE)</f>
        <v>2124</v>
      </c>
      <c r="R3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302" spans="1:18" x14ac:dyDescent="0.3">
      <c r="A302" s="2">
        <v>295</v>
      </c>
      <c r="B302" s="2" t="s">
        <v>935</v>
      </c>
      <c r="C302" s="2" t="s">
        <v>196</v>
      </c>
      <c r="D302" s="2" t="s">
        <v>28</v>
      </c>
      <c r="E302" s="2" t="s">
        <v>29</v>
      </c>
      <c r="F302" s="2">
        <v>30</v>
      </c>
      <c r="G302" s="2" t="s">
        <v>10457</v>
      </c>
      <c r="H302" s="2" t="s">
        <v>1186</v>
      </c>
      <c r="I302" s="2" t="s">
        <v>32</v>
      </c>
      <c r="J302" s="3">
        <v>44042</v>
      </c>
      <c r="K302" s="5">
        <f>YEAR(OrganizedData[[#This Row],[Order Date]])</f>
        <v>2020</v>
      </c>
      <c r="L302" s="7" t="str">
        <f>TEXT(OrganizedData[[#This Row],[Order Date]],"mmm")</f>
        <v>Jul</v>
      </c>
      <c r="M302" s="2">
        <v>65</v>
      </c>
      <c r="N302" s="2" t="s">
        <v>54</v>
      </c>
      <c r="O302" s="2" t="str">
        <f>VLOOKUP(OrganizedData[[#This Row],[Product Code]],ProductData[[Code]:[Item]],2,FALSE)</f>
        <v>Megawidget S</v>
      </c>
      <c r="P302" s="4">
        <f>OrganizedData[[#This Row],[Quantity]]*VLOOKUP(OrganizedData[[#This Row],[Product Code]],ProductData[],4,FALSE)</f>
        <v>1560</v>
      </c>
      <c r="Q302" s="6">
        <f>OrganizedData[[#This Row],[Total Items Ordered]]*VLOOKUP(OrganizedData[[#This Row],[Product Code]],ProductData[],3,FALSE)</f>
        <v>1076.3999999999999</v>
      </c>
      <c r="R3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303" spans="1:18" x14ac:dyDescent="0.3">
      <c r="A303" s="2">
        <v>296</v>
      </c>
      <c r="B303" s="2" t="s">
        <v>1187</v>
      </c>
      <c r="C303" s="2" t="s">
        <v>1188</v>
      </c>
      <c r="D303" s="2" t="s">
        <v>28</v>
      </c>
      <c r="E303" s="2" t="s">
        <v>29</v>
      </c>
      <c r="F303" s="2">
        <v>30</v>
      </c>
      <c r="G303" s="2" t="s">
        <v>1189</v>
      </c>
      <c r="H303" s="2" t="s">
        <v>1190</v>
      </c>
      <c r="I303" s="2" t="s">
        <v>173</v>
      </c>
      <c r="J303" s="3">
        <v>44681</v>
      </c>
      <c r="K303" s="5">
        <f>YEAR(OrganizedData[[#This Row],[Order Date]])</f>
        <v>2022</v>
      </c>
      <c r="L303" s="7" t="str">
        <f>TEXT(OrganizedData[[#This Row],[Order Date]],"mmm")</f>
        <v>Apr</v>
      </c>
      <c r="M303" s="2">
        <v>3</v>
      </c>
      <c r="N303" s="2" t="s">
        <v>80</v>
      </c>
      <c r="O303" s="2" t="str">
        <f>VLOOKUP(OrganizedData[[#This Row],[Product Code]],ProductData[[Code]:[Item]],2,FALSE)</f>
        <v>Ultrathing V2</v>
      </c>
      <c r="P303" s="4">
        <f>OrganizedData[[#This Row],[Quantity]]*VLOOKUP(OrganizedData[[#This Row],[Product Code]],ProductData[],4,FALSE)</f>
        <v>60</v>
      </c>
      <c r="Q303" s="6">
        <f>OrganizedData[[#This Row],[Total Items Ordered]]*VLOOKUP(OrganizedData[[#This Row],[Product Code]],ProductData[],3,FALSE)</f>
        <v>177</v>
      </c>
      <c r="R3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v>
      </c>
    </row>
    <row r="304" spans="1:18" x14ac:dyDescent="0.3">
      <c r="A304" s="2">
        <v>297</v>
      </c>
      <c r="B304" s="2" t="s">
        <v>1191</v>
      </c>
      <c r="C304" s="2" t="s">
        <v>1192</v>
      </c>
      <c r="D304" s="2" t="s">
        <v>28</v>
      </c>
      <c r="E304" s="2" t="s">
        <v>29</v>
      </c>
      <c r="F304" s="2">
        <v>90</v>
      </c>
      <c r="G304" s="2" t="s">
        <v>1193</v>
      </c>
      <c r="H304" s="2" t="s">
        <v>1194</v>
      </c>
      <c r="I304" s="2" t="s">
        <v>38</v>
      </c>
      <c r="J304" s="3">
        <v>44556</v>
      </c>
      <c r="K304" s="5">
        <f>YEAR(OrganizedData[[#This Row],[Order Date]])</f>
        <v>2021</v>
      </c>
      <c r="L304" s="7" t="str">
        <f>TEXT(OrganizedData[[#This Row],[Order Date]],"mmm")</f>
        <v>Dec</v>
      </c>
      <c r="M304" s="2">
        <v>22</v>
      </c>
      <c r="N304" s="2" t="s">
        <v>101</v>
      </c>
      <c r="O304" s="2" t="str">
        <f>VLOOKUP(OrganizedData[[#This Row],[Product Code]],ProductData[[Code]:[Item]],2,FALSE)</f>
        <v>Superwossname</v>
      </c>
      <c r="P304" s="4">
        <f>OrganizedData[[#This Row],[Quantity]]*VLOOKUP(OrganizedData[[#This Row],[Product Code]],ProductData[],4,FALSE)</f>
        <v>440</v>
      </c>
      <c r="Q304" s="6">
        <f>OrganizedData[[#This Row],[Total Items Ordered]]*VLOOKUP(OrganizedData[[#This Row],[Product Code]],ProductData[],3,FALSE)</f>
        <v>1535.6000000000001</v>
      </c>
      <c r="R3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305" spans="1:18" x14ac:dyDescent="0.3">
      <c r="A305" s="2">
        <v>298</v>
      </c>
      <c r="B305" s="2" t="s">
        <v>1195</v>
      </c>
      <c r="C305" s="2" t="s">
        <v>1196</v>
      </c>
      <c r="D305" s="2" t="s">
        <v>15</v>
      </c>
      <c r="E305" s="2" t="s">
        <v>16</v>
      </c>
      <c r="F305" s="2">
        <v>90</v>
      </c>
      <c r="G305" s="2" t="s">
        <v>1197</v>
      </c>
      <c r="H305" s="2" t="s">
        <v>1198</v>
      </c>
      <c r="I305" s="2" t="s">
        <v>1199</v>
      </c>
      <c r="J305" s="3">
        <v>44298</v>
      </c>
      <c r="K305" s="5">
        <f>YEAR(OrganizedData[[#This Row],[Order Date]])</f>
        <v>2021</v>
      </c>
      <c r="L305" s="7" t="str">
        <f>TEXT(OrganizedData[[#This Row],[Order Date]],"mmm")</f>
        <v>Apr</v>
      </c>
      <c r="M305" s="2">
        <v>4</v>
      </c>
      <c r="N305" s="2" t="s">
        <v>64</v>
      </c>
      <c r="O305" s="2" t="str">
        <f>VLOOKUP(OrganizedData[[#This Row],[Product Code]],ProductData[[Code]:[Item]],2,FALSE)</f>
        <v>Ultrathing V4</v>
      </c>
      <c r="P305" s="4">
        <f>OrganizedData[[#This Row],[Quantity]]*VLOOKUP(OrganizedData[[#This Row],[Product Code]],ProductData[],4,FALSE)</f>
        <v>96</v>
      </c>
      <c r="Q305" s="6">
        <f>OrganizedData[[#This Row],[Total Items Ordered]]*VLOOKUP(OrganizedData[[#This Row],[Product Code]],ProductData[],3,FALSE)</f>
        <v>383.04</v>
      </c>
      <c r="R3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306" spans="1:18" x14ac:dyDescent="0.3">
      <c r="A306" s="2">
        <v>299</v>
      </c>
      <c r="B306" s="2" t="s">
        <v>1200</v>
      </c>
      <c r="C306" s="2" t="s">
        <v>441</v>
      </c>
      <c r="D306" s="2" t="s">
        <v>28</v>
      </c>
      <c r="E306" s="2" t="s">
        <v>29</v>
      </c>
      <c r="F306" s="2">
        <v>60</v>
      </c>
      <c r="G306" s="2" t="s">
        <v>10417</v>
      </c>
      <c r="H306" s="2" t="s">
        <v>1202</v>
      </c>
      <c r="I306" s="2" t="s">
        <v>32</v>
      </c>
      <c r="J306" s="3">
        <v>44534</v>
      </c>
      <c r="K306" s="5">
        <f>YEAR(OrganizedData[[#This Row],[Order Date]])</f>
        <v>2021</v>
      </c>
      <c r="L306" s="7" t="str">
        <f>TEXT(OrganizedData[[#This Row],[Order Date]],"mmm")</f>
        <v>Dec</v>
      </c>
      <c r="M306" s="2">
        <v>60</v>
      </c>
      <c r="N306" s="2" t="s">
        <v>54</v>
      </c>
      <c r="O306" s="2" t="str">
        <f>VLOOKUP(OrganizedData[[#This Row],[Product Code]],ProductData[[Code]:[Item]],2,FALSE)</f>
        <v>Megawidget S</v>
      </c>
      <c r="P306" s="4">
        <f>OrganizedData[[#This Row],[Quantity]]*VLOOKUP(OrganizedData[[#This Row],[Product Code]],ProductData[],4,FALSE)</f>
        <v>1440</v>
      </c>
      <c r="Q306" s="6">
        <f>OrganizedData[[#This Row],[Total Items Ordered]]*VLOOKUP(OrganizedData[[#This Row],[Product Code]],ProductData[],3,FALSE)</f>
        <v>993.59999999999991</v>
      </c>
      <c r="R3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307" spans="1:18" x14ac:dyDescent="0.3">
      <c r="A307" s="2">
        <v>300</v>
      </c>
      <c r="B307" s="2" t="s">
        <v>1203</v>
      </c>
      <c r="C307" s="2" t="s">
        <v>1204</v>
      </c>
      <c r="D307" s="2" t="s">
        <v>51</v>
      </c>
      <c r="E307" s="2" t="s">
        <v>16</v>
      </c>
      <c r="F307" s="2">
        <v>60</v>
      </c>
      <c r="G307" s="2" t="s">
        <v>1205</v>
      </c>
      <c r="H307" s="2" t="s">
        <v>1206</v>
      </c>
      <c r="I307" s="2" t="s">
        <v>294</v>
      </c>
      <c r="J307" s="3">
        <v>44359</v>
      </c>
      <c r="K307" s="5">
        <f>YEAR(OrganizedData[[#This Row],[Order Date]])</f>
        <v>2021</v>
      </c>
      <c r="L307" s="7" t="str">
        <f>TEXT(OrganizedData[[#This Row],[Order Date]],"mmm")</f>
        <v>Jun</v>
      </c>
      <c r="M307" s="2">
        <v>4</v>
      </c>
      <c r="N307" s="2" t="s">
        <v>159</v>
      </c>
      <c r="O307" s="2" t="str">
        <f>VLOOKUP(OrganizedData[[#This Row],[Product Code]],ProductData[[Code]:[Item]],2,FALSE)</f>
        <v>Ultrathing V3</v>
      </c>
      <c r="P307" s="4">
        <f>OrganizedData[[#This Row],[Quantity]]*VLOOKUP(OrganizedData[[#This Row],[Product Code]],ProductData[],4,FALSE)</f>
        <v>96</v>
      </c>
      <c r="Q307" s="6">
        <f>OrganizedData[[#This Row],[Total Items Ordered]]*VLOOKUP(OrganizedData[[#This Row],[Product Code]],ProductData[],3,FALSE)</f>
        <v>325.44</v>
      </c>
      <c r="R3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325.44</v>
      </c>
    </row>
    <row r="308" spans="1:18" x14ac:dyDescent="0.3">
      <c r="A308" s="2">
        <v>301</v>
      </c>
      <c r="B308" s="2" t="s">
        <v>1207</v>
      </c>
      <c r="C308" s="2" t="s">
        <v>1208</v>
      </c>
      <c r="D308" s="2" t="s">
        <v>28</v>
      </c>
      <c r="E308" s="2" t="s">
        <v>29</v>
      </c>
      <c r="F308" s="2">
        <v>90</v>
      </c>
      <c r="G308" s="2" t="s">
        <v>1209</v>
      </c>
      <c r="H308" s="2" t="s">
        <v>1210</v>
      </c>
      <c r="I308" s="2" t="s">
        <v>294</v>
      </c>
      <c r="J308" s="3">
        <v>44920</v>
      </c>
      <c r="K308" s="5">
        <f>YEAR(OrganizedData[[#This Row],[Order Date]])</f>
        <v>2022</v>
      </c>
      <c r="L308" s="7" t="str">
        <f>TEXT(OrganizedData[[#This Row],[Order Date]],"mmm")</f>
        <v>Dec</v>
      </c>
      <c r="M308" s="2">
        <v>104</v>
      </c>
      <c r="N308" s="2" t="s">
        <v>45</v>
      </c>
      <c r="O308" s="2" t="str">
        <f>VLOOKUP(OrganizedData[[#This Row],[Product Code]],ProductData[[Code]:[Item]],2,FALSE)</f>
        <v>Gigastuff</v>
      </c>
      <c r="P308" s="4">
        <f>OrganizedData[[#This Row],[Quantity]]*VLOOKUP(OrganizedData[[#This Row],[Product Code]],ProductData[],4,FALSE)</f>
        <v>1872</v>
      </c>
      <c r="Q308" s="6">
        <f>OrganizedData[[#This Row],[Total Items Ordered]]*VLOOKUP(OrganizedData[[#This Row],[Product Code]],ProductData[],3,FALSE)</f>
        <v>3538.08</v>
      </c>
      <c r="R3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3290.4144000000001</v>
      </c>
    </row>
    <row r="309" spans="1:18" x14ac:dyDescent="0.3">
      <c r="A309" s="2">
        <v>302</v>
      </c>
      <c r="B309" s="2" t="s">
        <v>1211</v>
      </c>
      <c r="C309" s="2" t="s">
        <v>1212</v>
      </c>
      <c r="D309" s="2" t="s">
        <v>28</v>
      </c>
      <c r="E309" s="2" t="s">
        <v>29</v>
      </c>
      <c r="F309" s="2">
        <v>30</v>
      </c>
      <c r="G309" s="2" t="s">
        <v>1213</v>
      </c>
      <c r="H309" s="2" t="s">
        <v>1214</v>
      </c>
      <c r="I309" s="2" t="s">
        <v>32</v>
      </c>
      <c r="J309" s="3">
        <v>43953</v>
      </c>
      <c r="K309" s="5">
        <f>YEAR(OrganizedData[[#This Row],[Order Date]])</f>
        <v>2020</v>
      </c>
      <c r="L309" s="7" t="str">
        <f>TEXT(OrganizedData[[#This Row],[Order Date]],"mmm")</f>
        <v>May</v>
      </c>
      <c r="M309" s="2">
        <v>82</v>
      </c>
      <c r="N309" s="2" t="s">
        <v>101</v>
      </c>
      <c r="O309" s="2" t="str">
        <f>VLOOKUP(OrganizedData[[#This Row],[Product Code]],ProductData[[Code]:[Item]],2,FALSE)</f>
        <v>Superwossname</v>
      </c>
      <c r="P309" s="4">
        <f>OrganizedData[[#This Row],[Quantity]]*VLOOKUP(OrganizedData[[#This Row],[Product Code]],ProductData[],4,FALSE)</f>
        <v>1640</v>
      </c>
      <c r="Q309" s="6">
        <f>OrganizedData[[#This Row],[Total Items Ordered]]*VLOOKUP(OrganizedData[[#This Row],[Product Code]],ProductData[],3,FALSE)</f>
        <v>5723.6</v>
      </c>
      <c r="R3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5437.42</v>
      </c>
    </row>
    <row r="310" spans="1:18" x14ac:dyDescent="0.3">
      <c r="A310" s="2">
        <v>303</v>
      </c>
      <c r="B310" s="2" t="s">
        <v>1215</v>
      </c>
      <c r="C310" s="2" t="s">
        <v>1216</v>
      </c>
      <c r="D310" s="2" t="s">
        <v>51</v>
      </c>
      <c r="E310" s="2" t="s">
        <v>16</v>
      </c>
      <c r="F310" s="2">
        <v>90</v>
      </c>
      <c r="G310" s="2" t="s">
        <v>1217</v>
      </c>
      <c r="H310" s="2" t="s">
        <v>1218</v>
      </c>
      <c r="I310" s="2" t="s">
        <v>294</v>
      </c>
      <c r="J310" s="3">
        <v>44899</v>
      </c>
      <c r="K310" s="5">
        <f>YEAR(OrganizedData[[#This Row],[Order Date]])</f>
        <v>2022</v>
      </c>
      <c r="L310" s="7" t="str">
        <f>TEXT(OrganizedData[[#This Row],[Order Date]],"mmm")</f>
        <v>Dec</v>
      </c>
      <c r="M310" s="2">
        <v>2</v>
      </c>
      <c r="N310" s="2" t="s">
        <v>101</v>
      </c>
      <c r="O310" s="2" t="str">
        <f>VLOOKUP(OrganizedData[[#This Row],[Product Code]],ProductData[[Code]:[Item]],2,FALSE)</f>
        <v>Superwossname</v>
      </c>
      <c r="P310" s="4">
        <f>OrganizedData[[#This Row],[Quantity]]*VLOOKUP(OrganizedData[[#This Row],[Product Code]],ProductData[],4,FALSE)</f>
        <v>40</v>
      </c>
      <c r="Q310" s="6">
        <f>OrganizedData[[#This Row],[Total Items Ordered]]*VLOOKUP(OrganizedData[[#This Row],[Product Code]],ProductData[],3,FALSE)</f>
        <v>139.60000000000002</v>
      </c>
      <c r="R3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311" spans="1:18" x14ac:dyDescent="0.3">
      <c r="A311" s="2">
        <v>304</v>
      </c>
      <c r="B311" s="2" t="s">
        <v>1129</v>
      </c>
      <c r="C311" s="2" t="s">
        <v>1219</v>
      </c>
      <c r="D311" s="2" t="s">
        <v>28</v>
      </c>
      <c r="E311" s="2" t="s">
        <v>29</v>
      </c>
      <c r="F311" s="2">
        <v>90</v>
      </c>
      <c r="G311" s="2" t="s">
        <v>1220</v>
      </c>
      <c r="H311" s="2" t="s">
        <v>1221</v>
      </c>
      <c r="I311" s="2" t="s">
        <v>124</v>
      </c>
      <c r="J311" s="3">
        <v>44249</v>
      </c>
      <c r="K311" s="5">
        <f>YEAR(OrganizedData[[#This Row],[Order Date]])</f>
        <v>2021</v>
      </c>
      <c r="L311" s="7" t="str">
        <f>TEXT(OrganizedData[[#This Row],[Order Date]],"mmm")</f>
        <v>Feb</v>
      </c>
      <c r="M311" s="2">
        <v>71</v>
      </c>
      <c r="N311" s="2" t="s">
        <v>45</v>
      </c>
      <c r="O311" s="2" t="str">
        <f>VLOOKUP(OrganizedData[[#This Row],[Product Code]],ProductData[[Code]:[Item]],2,FALSE)</f>
        <v>Gigastuff</v>
      </c>
      <c r="P311" s="4">
        <f>OrganizedData[[#This Row],[Quantity]]*VLOOKUP(OrganizedData[[#This Row],[Product Code]],ProductData[],4,FALSE)</f>
        <v>1278</v>
      </c>
      <c r="Q311" s="6">
        <f>OrganizedData[[#This Row],[Total Items Ordered]]*VLOOKUP(OrganizedData[[#This Row],[Product Code]],ProductData[],3,FALSE)</f>
        <v>2415.42</v>
      </c>
      <c r="R3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312" spans="1:18" x14ac:dyDescent="0.3">
      <c r="A312" s="2">
        <v>305</v>
      </c>
      <c r="B312" s="2" t="s">
        <v>846</v>
      </c>
      <c r="C312" s="2" t="s">
        <v>1222</v>
      </c>
      <c r="D312" s="2" t="s">
        <v>28</v>
      </c>
      <c r="E312" s="2" t="s">
        <v>29</v>
      </c>
      <c r="F312" s="2">
        <v>90</v>
      </c>
      <c r="G312" s="2" t="s">
        <v>1223</v>
      </c>
      <c r="H312" s="2" t="s">
        <v>1224</v>
      </c>
      <c r="I312" s="2" t="s">
        <v>25</v>
      </c>
      <c r="J312" s="3">
        <v>44036</v>
      </c>
      <c r="K312" s="5">
        <f>YEAR(OrganizedData[[#This Row],[Order Date]])</f>
        <v>2020</v>
      </c>
      <c r="L312" s="7" t="str">
        <f>TEXT(OrganizedData[[#This Row],[Order Date]],"mmm")</f>
        <v>Jul</v>
      </c>
      <c r="M312" s="2">
        <v>75</v>
      </c>
      <c r="N312" s="2" t="s">
        <v>33</v>
      </c>
      <c r="O312" s="2" t="str">
        <f>VLOOKUP(OrganizedData[[#This Row],[Product Code]],ProductData[[Code]:[Item]],2,FALSE)</f>
        <v>Megawidget L</v>
      </c>
      <c r="P312" s="4">
        <f>OrganizedData[[#This Row],[Quantity]]*VLOOKUP(OrganizedData[[#This Row],[Product Code]],ProductData[],4,FALSE)</f>
        <v>1800</v>
      </c>
      <c r="Q312" s="6">
        <f>OrganizedData[[#This Row],[Total Items Ordered]]*VLOOKUP(OrganizedData[[#This Row],[Product Code]],ProductData[],3,FALSE)</f>
        <v>3222</v>
      </c>
      <c r="R3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313" spans="1:18" x14ac:dyDescent="0.3">
      <c r="A313" s="2">
        <v>306</v>
      </c>
      <c r="B313" s="2" t="s">
        <v>1225</v>
      </c>
      <c r="C313" s="2" t="s">
        <v>1226</v>
      </c>
      <c r="D313" s="2" t="s">
        <v>28</v>
      </c>
      <c r="E313" s="2" t="s">
        <v>29</v>
      </c>
      <c r="F313" s="2">
        <v>90</v>
      </c>
      <c r="G313" s="2" t="s">
        <v>10464</v>
      </c>
      <c r="H313" s="2" t="s">
        <v>1228</v>
      </c>
      <c r="I313" s="2" t="s">
        <v>25</v>
      </c>
      <c r="J313" s="3">
        <v>44758</v>
      </c>
      <c r="K313" s="5">
        <f>YEAR(OrganizedData[[#This Row],[Order Date]])</f>
        <v>2022</v>
      </c>
      <c r="L313" s="7" t="str">
        <f>TEXT(OrganizedData[[#This Row],[Order Date]],"mmm")</f>
        <v>Jul</v>
      </c>
      <c r="M313" s="2">
        <v>45</v>
      </c>
      <c r="N313" s="2" t="s">
        <v>54</v>
      </c>
      <c r="O313" s="2" t="str">
        <f>VLOOKUP(OrganizedData[[#This Row],[Product Code]],ProductData[[Code]:[Item]],2,FALSE)</f>
        <v>Megawidget S</v>
      </c>
      <c r="P313" s="4">
        <f>OrganizedData[[#This Row],[Quantity]]*VLOOKUP(OrganizedData[[#This Row],[Product Code]],ProductData[],4,FALSE)</f>
        <v>1080</v>
      </c>
      <c r="Q313" s="6">
        <f>OrganizedData[[#This Row],[Total Items Ordered]]*VLOOKUP(OrganizedData[[#This Row],[Product Code]],ProductData[],3,FALSE)</f>
        <v>745.19999999999993</v>
      </c>
      <c r="R3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722.84399999999994</v>
      </c>
    </row>
    <row r="314" spans="1:18" x14ac:dyDescent="0.3">
      <c r="A314" s="2">
        <v>307</v>
      </c>
      <c r="B314" s="2" t="s">
        <v>1229</v>
      </c>
      <c r="C314" s="2" t="s">
        <v>1230</v>
      </c>
      <c r="D314" s="2" t="s">
        <v>28</v>
      </c>
      <c r="E314" s="2" t="s">
        <v>29</v>
      </c>
      <c r="F314" s="2">
        <v>30</v>
      </c>
      <c r="G314" s="2" t="s">
        <v>1231</v>
      </c>
      <c r="H314" s="2" t="s">
        <v>1232</v>
      </c>
      <c r="I314" s="2" t="s">
        <v>1233</v>
      </c>
      <c r="J314" s="3">
        <v>44724</v>
      </c>
      <c r="K314" s="5">
        <f>YEAR(OrganizedData[[#This Row],[Order Date]])</f>
        <v>2022</v>
      </c>
      <c r="L314" s="7" t="str">
        <f>TEXT(OrganizedData[[#This Row],[Order Date]],"mmm")</f>
        <v>Jun</v>
      </c>
      <c r="M314" s="2">
        <v>86</v>
      </c>
      <c r="N314" s="2" t="s">
        <v>39</v>
      </c>
      <c r="O314" s="2" t="str">
        <f>VLOOKUP(OrganizedData[[#This Row],[Product Code]],ProductData[[Code]:[Item]],2,FALSE)</f>
        <v>Ultrathing V1</v>
      </c>
      <c r="P314" s="4">
        <f>OrganizedData[[#This Row],[Quantity]]*VLOOKUP(OrganizedData[[#This Row],[Product Code]],ProductData[],4,FALSE)</f>
        <v>1462</v>
      </c>
      <c r="Q314" s="6">
        <f>OrganizedData[[#This Row],[Total Items Ordered]]*VLOOKUP(OrganizedData[[#This Row],[Product Code]],ProductData[],3,FALSE)</f>
        <v>2616.98</v>
      </c>
      <c r="R3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2486.1309999999999</v>
      </c>
    </row>
    <row r="315" spans="1:18" x14ac:dyDescent="0.3">
      <c r="A315" s="2">
        <v>308</v>
      </c>
      <c r="B315" s="2" t="s">
        <v>1234</v>
      </c>
      <c r="C315" s="2" t="s">
        <v>500</v>
      </c>
      <c r="D315" s="2" t="s">
        <v>28</v>
      </c>
      <c r="E315" s="2" t="s">
        <v>29</v>
      </c>
      <c r="F315" s="2">
        <v>60</v>
      </c>
      <c r="G315" s="2" t="s">
        <v>1235</v>
      </c>
      <c r="H315" s="2" t="s">
        <v>99</v>
      </c>
      <c r="I315" s="2" t="s">
        <v>100</v>
      </c>
      <c r="J315" s="3">
        <v>44838</v>
      </c>
      <c r="K315" s="5">
        <f>YEAR(OrganizedData[[#This Row],[Order Date]])</f>
        <v>2022</v>
      </c>
      <c r="L315" s="7" t="str">
        <f>TEXT(OrganizedData[[#This Row],[Order Date]],"mmm")</f>
        <v>Oct</v>
      </c>
      <c r="M315" s="2">
        <v>19</v>
      </c>
      <c r="N315" s="2" t="s">
        <v>64</v>
      </c>
      <c r="O315" s="2" t="str">
        <f>VLOOKUP(OrganizedData[[#This Row],[Product Code]],ProductData[[Code]:[Item]],2,FALSE)</f>
        <v>Ultrathing V4</v>
      </c>
      <c r="P315" s="4">
        <f>OrganizedData[[#This Row],[Quantity]]*VLOOKUP(OrganizedData[[#This Row],[Product Code]],ProductData[],4,FALSE)</f>
        <v>456</v>
      </c>
      <c r="Q315" s="6">
        <f>OrganizedData[[#This Row],[Total Items Ordered]]*VLOOKUP(OrganizedData[[#This Row],[Product Code]],ProductData[],3,FALSE)</f>
        <v>1819.44</v>
      </c>
      <c r="R3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316" spans="1:18" x14ac:dyDescent="0.3">
      <c r="A316" s="2">
        <v>309</v>
      </c>
      <c r="B316" s="2" t="s">
        <v>1236</v>
      </c>
      <c r="C316" s="2" t="s">
        <v>1237</v>
      </c>
      <c r="D316" s="2" t="s">
        <v>51</v>
      </c>
      <c r="E316" s="2" t="s">
        <v>16</v>
      </c>
      <c r="F316" s="2">
        <v>90</v>
      </c>
      <c r="G316" s="2" t="s">
        <v>1238</v>
      </c>
      <c r="H316" s="2" t="s">
        <v>746</v>
      </c>
      <c r="I316" s="2" t="s">
        <v>32</v>
      </c>
      <c r="J316" s="3">
        <v>44358</v>
      </c>
      <c r="K316" s="5">
        <f>YEAR(OrganizedData[[#This Row],[Order Date]])</f>
        <v>2021</v>
      </c>
      <c r="L316" s="7" t="str">
        <f>TEXT(OrganizedData[[#This Row],[Order Date]],"mmm")</f>
        <v>Jun</v>
      </c>
      <c r="M316" s="2">
        <v>85</v>
      </c>
      <c r="N316" s="2" t="s">
        <v>45</v>
      </c>
      <c r="O316" s="2" t="str">
        <f>VLOOKUP(OrganizedData[[#This Row],[Product Code]],ProductData[[Code]:[Item]],2,FALSE)</f>
        <v>Gigastuff</v>
      </c>
      <c r="P316" s="4">
        <f>OrganizedData[[#This Row],[Quantity]]*VLOOKUP(OrganizedData[[#This Row],[Product Code]],ProductData[],4,FALSE)</f>
        <v>1530</v>
      </c>
      <c r="Q316" s="6">
        <f>OrganizedData[[#This Row],[Total Items Ordered]]*VLOOKUP(OrganizedData[[#This Row],[Product Code]],ProductData[],3,FALSE)</f>
        <v>2891.7</v>
      </c>
      <c r="R3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317" spans="1:18" x14ac:dyDescent="0.3">
      <c r="A317" s="2">
        <v>310</v>
      </c>
      <c r="B317" s="2" t="s">
        <v>1239</v>
      </c>
      <c r="C317" s="2" t="s">
        <v>1240</v>
      </c>
      <c r="D317" s="2" t="s">
        <v>28</v>
      </c>
      <c r="E317" s="2" t="s">
        <v>29</v>
      </c>
      <c r="F317" s="2">
        <v>90</v>
      </c>
      <c r="G317" s="2" t="s">
        <v>1241</v>
      </c>
      <c r="H317" s="2" t="s">
        <v>1242</v>
      </c>
      <c r="I317" s="2" t="s">
        <v>38</v>
      </c>
      <c r="J317" s="3">
        <v>44625</v>
      </c>
      <c r="K317" s="5">
        <f>YEAR(OrganizedData[[#This Row],[Order Date]])</f>
        <v>2022</v>
      </c>
      <c r="L317" s="7" t="str">
        <f>TEXT(OrganizedData[[#This Row],[Order Date]],"mmm")</f>
        <v>Mar</v>
      </c>
      <c r="M317" s="2">
        <v>104</v>
      </c>
      <c r="N317" s="2" t="s">
        <v>64</v>
      </c>
      <c r="O317" s="2" t="str">
        <f>VLOOKUP(OrganizedData[[#This Row],[Product Code]],ProductData[[Code]:[Item]],2,FALSE)</f>
        <v>Ultrathing V4</v>
      </c>
      <c r="P317" s="4">
        <f>OrganizedData[[#This Row],[Quantity]]*VLOOKUP(OrganizedData[[#This Row],[Product Code]],ProductData[],4,FALSE)</f>
        <v>2496</v>
      </c>
      <c r="Q317" s="6">
        <f>OrganizedData[[#This Row],[Total Items Ordered]]*VLOOKUP(OrganizedData[[#This Row],[Product Code]],ProductData[],3,FALSE)</f>
        <v>9959.0400000000009</v>
      </c>
      <c r="R3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9261.9072000000015</v>
      </c>
    </row>
    <row r="318" spans="1:18" x14ac:dyDescent="0.3">
      <c r="A318" s="2">
        <v>311</v>
      </c>
      <c r="B318" s="2" t="s">
        <v>1243</v>
      </c>
      <c r="C318" s="2" t="s">
        <v>1244</v>
      </c>
      <c r="D318" s="2" t="s">
        <v>28</v>
      </c>
      <c r="E318" s="2" t="s">
        <v>29</v>
      </c>
      <c r="F318" s="2">
        <v>30</v>
      </c>
      <c r="G318" s="2" t="s">
        <v>10465</v>
      </c>
      <c r="H318" s="2" t="s">
        <v>145</v>
      </c>
      <c r="I318" s="2" t="s">
        <v>146</v>
      </c>
      <c r="J318" s="3">
        <v>43887</v>
      </c>
      <c r="K318" s="5">
        <f>YEAR(OrganizedData[[#This Row],[Order Date]])</f>
        <v>2020</v>
      </c>
      <c r="L318" s="7" t="str">
        <f>TEXT(OrganizedData[[#This Row],[Order Date]],"mmm")</f>
        <v>Feb</v>
      </c>
      <c r="M318" s="2">
        <v>18</v>
      </c>
      <c r="N318" s="2" t="s">
        <v>70</v>
      </c>
      <c r="O318" s="2" t="str">
        <f>VLOOKUP(OrganizedData[[#This Row],[Product Code]],ProductData[[Code]:[Item]],2,FALSE)</f>
        <v>Megawidget M</v>
      </c>
      <c r="P318" s="4">
        <f>OrganizedData[[#This Row],[Quantity]]*VLOOKUP(OrganizedData[[#This Row],[Product Code]],ProductData[],4,FALSE)</f>
        <v>432</v>
      </c>
      <c r="Q318" s="6">
        <f>OrganizedData[[#This Row],[Total Items Ordered]]*VLOOKUP(OrganizedData[[#This Row],[Product Code]],ProductData[],3,FALSE)</f>
        <v>557.28</v>
      </c>
      <c r="R3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319" spans="1:18" x14ac:dyDescent="0.3">
      <c r="A319" s="2">
        <v>312</v>
      </c>
      <c r="B319" s="2" t="s">
        <v>1246</v>
      </c>
      <c r="C319" s="2" t="s">
        <v>1247</v>
      </c>
      <c r="D319" s="2" t="s">
        <v>28</v>
      </c>
      <c r="E319" s="2" t="s">
        <v>29</v>
      </c>
      <c r="F319" s="2">
        <v>60</v>
      </c>
      <c r="G319" s="2" t="s">
        <v>1248</v>
      </c>
      <c r="H319" s="2" t="s">
        <v>1249</v>
      </c>
      <c r="I319" s="2" t="s">
        <v>146</v>
      </c>
      <c r="J319" s="3">
        <v>44006</v>
      </c>
      <c r="K319" s="5">
        <f>YEAR(OrganizedData[[#This Row],[Order Date]])</f>
        <v>2020</v>
      </c>
      <c r="L319" s="7" t="str">
        <f>TEXT(OrganizedData[[#This Row],[Order Date]],"mmm")</f>
        <v>Jun</v>
      </c>
      <c r="M319" s="2">
        <v>67</v>
      </c>
      <c r="N319" s="2" t="s">
        <v>159</v>
      </c>
      <c r="O319" s="2" t="str">
        <f>VLOOKUP(OrganizedData[[#This Row],[Product Code]],ProductData[[Code]:[Item]],2,FALSE)</f>
        <v>Ultrathing V3</v>
      </c>
      <c r="P319" s="4">
        <f>OrganizedData[[#This Row],[Quantity]]*VLOOKUP(OrganizedData[[#This Row],[Product Code]],ProductData[],4,FALSE)</f>
        <v>1608</v>
      </c>
      <c r="Q319" s="6">
        <f>OrganizedData[[#This Row],[Total Items Ordered]]*VLOOKUP(OrganizedData[[#This Row],[Product Code]],ProductData[],3,FALSE)</f>
        <v>5451.12</v>
      </c>
      <c r="R3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5178.5639999999994</v>
      </c>
    </row>
    <row r="320" spans="1:18" x14ac:dyDescent="0.3">
      <c r="A320" s="2">
        <v>313</v>
      </c>
      <c r="B320" s="2" t="s">
        <v>1250</v>
      </c>
      <c r="C320" s="2" t="s">
        <v>1251</v>
      </c>
      <c r="D320" s="2" t="s">
        <v>51</v>
      </c>
      <c r="E320" s="2" t="s">
        <v>16</v>
      </c>
      <c r="F320" s="2">
        <v>30</v>
      </c>
      <c r="G320" s="2" t="s">
        <v>1252</v>
      </c>
      <c r="H320" s="2" t="s">
        <v>1253</v>
      </c>
      <c r="I320" s="2" t="s">
        <v>32</v>
      </c>
      <c r="J320" s="3">
        <v>44573</v>
      </c>
      <c r="K320" s="5">
        <f>YEAR(OrganizedData[[#This Row],[Order Date]])</f>
        <v>2022</v>
      </c>
      <c r="L320" s="7" t="str">
        <f>TEXT(OrganizedData[[#This Row],[Order Date]],"mmm")</f>
        <v>Jan</v>
      </c>
      <c r="M320" s="2">
        <v>68</v>
      </c>
      <c r="N320" s="2" t="s">
        <v>20</v>
      </c>
      <c r="O320" s="2" t="str">
        <f>VLOOKUP(OrganizedData[[#This Row],[Product Code]],ProductData[[Code]:[Item]],2,FALSE)</f>
        <v>Hyperwotsit</v>
      </c>
      <c r="P320" s="4">
        <f>OrganizedData[[#This Row],[Quantity]]*VLOOKUP(OrganizedData[[#This Row],[Product Code]],ProductData[],4,FALSE)</f>
        <v>1360</v>
      </c>
      <c r="Q320" s="6">
        <f>OrganizedData[[#This Row],[Total Items Ordered]]*VLOOKUP(OrganizedData[[#This Row],[Product Code]],ProductData[],3,FALSE)</f>
        <v>2733.6</v>
      </c>
      <c r="R3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2596.9199999999996</v>
      </c>
    </row>
    <row r="321" spans="1:18" x14ac:dyDescent="0.3">
      <c r="A321" s="2">
        <v>314</v>
      </c>
      <c r="B321" s="2" t="s">
        <v>1254</v>
      </c>
      <c r="C321" s="2" t="s">
        <v>948</v>
      </c>
      <c r="D321" s="2" t="s">
        <v>15</v>
      </c>
      <c r="E321" s="2" t="s">
        <v>16</v>
      </c>
      <c r="F321" s="2">
        <v>60</v>
      </c>
      <c r="G321" s="2" t="s">
        <v>1255</v>
      </c>
      <c r="H321" s="2" t="s">
        <v>1256</v>
      </c>
      <c r="I321" s="2" t="s">
        <v>32</v>
      </c>
      <c r="J321" s="3">
        <v>44561</v>
      </c>
      <c r="K321" s="5">
        <f>YEAR(OrganizedData[[#This Row],[Order Date]])</f>
        <v>2021</v>
      </c>
      <c r="L321" s="7" t="str">
        <f>TEXT(OrganizedData[[#This Row],[Order Date]],"mmm")</f>
        <v>Dec</v>
      </c>
      <c r="M321" s="2">
        <v>54</v>
      </c>
      <c r="N321" s="2" t="s">
        <v>70</v>
      </c>
      <c r="O321" s="2" t="str">
        <f>VLOOKUP(OrganizedData[[#This Row],[Product Code]],ProductData[[Code]:[Item]],2,FALSE)</f>
        <v>Megawidget M</v>
      </c>
      <c r="P321" s="4">
        <f>OrganizedData[[#This Row],[Quantity]]*VLOOKUP(OrganizedData[[#This Row],[Product Code]],ProductData[],4,FALSE)</f>
        <v>1296</v>
      </c>
      <c r="Q321" s="6">
        <f>OrganizedData[[#This Row],[Total Items Ordered]]*VLOOKUP(OrganizedData[[#This Row],[Product Code]],ProductData[],3,FALSE)</f>
        <v>1671.8400000000001</v>
      </c>
      <c r="R3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1588.248</v>
      </c>
    </row>
    <row r="322" spans="1:18" x14ac:dyDescent="0.3">
      <c r="A322" s="2">
        <v>315</v>
      </c>
      <c r="B322" s="2" t="s">
        <v>752</v>
      </c>
      <c r="C322" s="2" t="s">
        <v>394</v>
      </c>
      <c r="D322" s="2" t="s">
        <v>28</v>
      </c>
      <c r="E322" s="2" t="s">
        <v>29</v>
      </c>
      <c r="F322" s="2">
        <v>60</v>
      </c>
      <c r="G322" s="2" t="s">
        <v>1257</v>
      </c>
      <c r="H322" s="2" t="s">
        <v>1258</v>
      </c>
      <c r="I322" s="2" t="s">
        <v>32</v>
      </c>
      <c r="J322" s="3">
        <v>44817</v>
      </c>
      <c r="K322" s="5">
        <f>YEAR(OrganizedData[[#This Row],[Order Date]])</f>
        <v>2022</v>
      </c>
      <c r="L322" s="7" t="str">
        <f>TEXT(OrganizedData[[#This Row],[Order Date]],"mmm")</f>
        <v>Sep</v>
      </c>
      <c r="M322" s="2">
        <v>42</v>
      </c>
      <c r="N322" s="2" t="s">
        <v>20</v>
      </c>
      <c r="O322" s="2" t="str">
        <f>VLOOKUP(OrganizedData[[#This Row],[Product Code]],ProductData[[Code]:[Item]],2,FALSE)</f>
        <v>Hyperwotsit</v>
      </c>
      <c r="P322" s="4">
        <f>OrganizedData[[#This Row],[Quantity]]*VLOOKUP(OrganizedData[[#This Row],[Product Code]],ProductData[],4,FALSE)</f>
        <v>840</v>
      </c>
      <c r="Q322" s="6">
        <f>OrganizedData[[#This Row],[Total Items Ordered]]*VLOOKUP(OrganizedData[[#This Row],[Product Code]],ProductData[],3,FALSE)</f>
        <v>1688.3999999999999</v>
      </c>
      <c r="R3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1637.7479999999998</v>
      </c>
    </row>
    <row r="323" spans="1:18" x14ac:dyDescent="0.3">
      <c r="A323" s="2">
        <v>316</v>
      </c>
      <c r="B323" s="2" t="s">
        <v>351</v>
      </c>
      <c r="C323" s="2" t="s">
        <v>1259</v>
      </c>
      <c r="D323" s="2" t="s">
        <v>51</v>
      </c>
      <c r="E323" s="2" t="s">
        <v>16</v>
      </c>
      <c r="F323" s="2">
        <v>30</v>
      </c>
      <c r="G323" s="2" t="s">
        <v>1260</v>
      </c>
      <c r="H323" s="2" t="s">
        <v>1261</v>
      </c>
      <c r="I323" s="2" t="s">
        <v>32</v>
      </c>
      <c r="J323" s="3">
        <v>44820</v>
      </c>
      <c r="K323" s="5">
        <f>YEAR(OrganizedData[[#This Row],[Order Date]])</f>
        <v>2022</v>
      </c>
      <c r="L323" s="7" t="str">
        <f>TEXT(OrganizedData[[#This Row],[Order Date]],"mmm")</f>
        <v>Sep</v>
      </c>
      <c r="M323" s="2">
        <v>86</v>
      </c>
      <c r="N323" s="2" t="s">
        <v>101</v>
      </c>
      <c r="O323" s="2" t="str">
        <f>VLOOKUP(OrganizedData[[#This Row],[Product Code]],ProductData[[Code]:[Item]],2,FALSE)</f>
        <v>Superwossname</v>
      </c>
      <c r="P323" s="4">
        <f>OrganizedData[[#This Row],[Quantity]]*VLOOKUP(OrganizedData[[#This Row],[Product Code]],ProductData[],4,FALSE)</f>
        <v>1720</v>
      </c>
      <c r="Q323" s="6">
        <f>OrganizedData[[#This Row],[Total Items Ordered]]*VLOOKUP(OrganizedData[[#This Row],[Product Code]],ProductData[],3,FALSE)</f>
        <v>6002.8</v>
      </c>
      <c r="R3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5702.66</v>
      </c>
    </row>
    <row r="324" spans="1:18" x14ac:dyDescent="0.3">
      <c r="A324" s="2">
        <v>317</v>
      </c>
      <c r="B324" s="2" t="s">
        <v>1262</v>
      </c>
      <c r="C324" s="2" t="s">
        <v>1263</v>
      </c>
      <c r="D324" s="2" t="s">
        <v>28</v>
      </c>
      <c r="E324" s="2" t="s">
        <v>29</v>
      </c>
      <c r="F324" s="2">
        <v>60</v>
      </c>
      <c r="G324" s="2" t="s">
        <v>1264</v>
      </c>
      <c r="H324" s="2" t="s">
        <v>1265</v>
      </c>
      <c r="I324" s="2" t="s">
        <v>32</v>
      </c>
      <c r="J324" s="3">
        <v>43939</v>
      </c>
      <c r="K324" s="5">
        <f>YEAR(OrganizedData[[#This Row],[Order Date]])</f>
        <v>2020</v>
      </c>
      <c r="L324" s="7" t="str">
        <f>TEXT(OrganizedData[[#This Row],[Order Date]],"mmm")</f>
        <v>Apr</v>
      </c>
      <c r="M324" s="2">
        <v>49</v>
      </c>
      <c r="N324" s="2" t="s">
        <v>39</v>
      </c>
      <c r="O324" s="2" t="str">
        <f>VLOOKUP(OrganizedData[[#This Row],[Product Code]],ProductData[[Code]:[Item]],2,FALSE)</f>
        <v>Ultrathing V1</v>
      </c>
      <c r="P324" s="4">
        <f>OrganizedData[[#This Row],[Quantity]]*VLOOKUP(OrganizedData[[#This Row],[Product Code]],ProductData[],4,FALSE)</f>
        <v>833</v>
      </c>
      <c r="Q324" s="6">
        <f>OrganizedData[[#This Row],[Total Items Ordered]]*VLOOKUP(OrganizedData[[#This Row],[Product Code]],ProductData[],3,FALSE)</f>
        <v>1491.07</v>
      </c>
      <c r="R3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1446.3379</v>
      </c>
    </row>
    <row r="325" spans="1:18" x14ac:dyDescent="0.3">
      <c r="A325" s="2">
        <v>318</v>
      </c>
      <c r="B325" s="2" t="s">
        <v>1266</v>
      </c>
      <c r="C325" s="2" t="s">
        <v>1267</v>
      </c>
      <c r="D325" s="2" t="s">
        <v>51</v>
      </c>
      <c r="E325" s="2" t="s">
        <v>16</v>
      </c>
      <c r="F325" s="2">
        <v>90</v>
      </c>
      <c r="G325" s="2" t="s">
        <v>1268</v>
      </c>
      <c r="H325" s="2" t="s">
        <v>1269</v>
      </c>
      <c r="I325" s="2" t="s">
        <v>187</v>
      </c>
      <c r="J325" s="3">
        <v>44622</v>
      </c>
      <c r="K325" s="5">
        <f>YEAR(OrganizedData[[#This Row],[Order Date]])</f>
        <v>2022</v>
      </c>
      <c r="L325" s="7" t="str">
        <f>TEXT(OrganizedData[[#This Row],[Order Date]],"mmm")</f>
        <v>Mar</v>
      </c>
      <c r="M325" s="2">
        <v>15</v>
      </c>
      <c r="N325" s="2" t="s">
        <v>159</v>
      </c>
      <c r="O325" s="2" t="str">
        <f>VLOOKUP(OrganizedData[[#This Row],[Product Code]],ProductData[[Code]:[Item]],2,FALSE)</f>
        <v>Ultrathing V3</v>
      </c>
      <c r="P325" s="4">
        <f>OrganizedData[[#This Row],[Quantity]]*VLOOKUP(OrganizedData[[#This Row],[Product Code]],ProductData[],4,FALSE)</f>
        <v>360</v>
      </c>
      <c r="Q325" s="6">
        <f>OrganizedData[[#This Row],[Total Items Ordered]]*VLOOKUP(OrganizedData[[#This Row],[Product Code]],ProductData[],3,FALSE)</f>
        <v>1220.4000000000001</v>
      </c>
      <c r="R3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1220.4000000000001</v>
      </c>
    </row>
    <row r="326" spans="1:18" x14ac:dyDescent="0.3">
      <c r="A326" s="2">
        <v>319</v>
      </c>
      <c r="B326" s="2" t="s">
        <v>559</v>
      </c>
      <c r="C326" s="2" t="s">
        <v>1270</v>
      </c>
      <c r="D326" s="2" t="s">
        <v>51</v>
      </c>
      <c r="E326" s="2" t="s">
        <v>16</v>
      </c>
      <c r="F326" s="2">
        <v>60</v>
      </c>
      <c r="G326" s="2" t="s">
        <v>1271</v>
      </c>
      <c r="H326" s="2" t="s">
        <v>1272</v>
      </c>
      <c r="I326" s="2" t="s">
        <v>59</v>
      </c>
      <c r="J326" s="3">
        <v>44413</v>
      </c>
      <c r="K326" s="5">
        <f>YEAR(OrganizedData[[#This Row],[Order Date]])</f>
        <v>2021</v>
      </c>
      <c r="L326" s="7" t="str">
        <f>TEXT(OrganizedData[[#This Row],[Order Date]],"mmm")</f>
        <v>Aug</v>
      </c>
      <c r="M326" s="2">
        <v>42</v>
      </c>
      <c r="N326" s="2" t="s">
        <v>64</v>
      </c>
      <c r="O326" s="2" t="str">
        <f>VLOOKUP(OrganizedData[[#This Row],[Product Code]],ProductData[[Code]:[Item]],2,FALSE)</f>
        <v>Ultrathing V4</v>
      </c>
      <c r="P326" s="4">
        <f>OrganizedData[[#This Row],[Quantity]]*VLOOKUP(OrganizedData[[#This Row],[Product Code]],ProductData[],4,FALSE)</f>
        <v>1008</v>
      </c>
      <c r="Q326" s="6">
        <f>OrganizedData[[#This Row],[Total Items Ordered]]*VLOOKUP(OrganizedData[[#This Row],[Product Code]],ProductData[],3,FALSE)</f>
        <v>4021.92</v>
      </c>
      <c r="R3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327" spans="1:18" x14ac:dyDescent="0.3">
      <c r="A327" s="2">
        <v>320</v>
      </c>
      <c r="B327" s="2" t="s">
        <v>1273</v>
      </c>
      <c r="C327" s="2" t="s">
        <v>1274</v>
      </c>
      <c r="D327" s="2" t="s">
        <v>28</v>
      </c>
      <c r="E327" s="2" t="s">
        <v>29</v>
      </c>
      <c r="F327" s="2">
        <v>60</v>
      </c>
      <c r="G327" s="2" t="s">
        <v>1275</v>
      </c>
      <c r="H327" s="2" t="s">
        <v>1276</v>
      </c>
      <c r="I327" s="2" t="s">
        <v>32</v>
      </c>
      <c r="J327" s="3">
        <v>43886</v>
      </c>
      <c r="K327" s="5">
        <f>YEAR(OrganizedData[[#This Row],[Order Date]])</f>
        <v>2020</v>
      </c>
      <c r="L327" s="7" t="str">
        <f>TEXT(OrganizedData[[#This Row],[Order Date]],"mmm")</f>
        <v>Feb</v>
      </c>
      <c r="M327" s="2">
        <v>36</v>
      </c>
      <c r="N327" s="2" t="s">
        <v>80</v>
      </c>
      <c r="O327" s="2" t="str">
        <f>VLOOKUP(OrganizedData[[#This Row],[Product Code]],ProductData[[Code]:[Item]],2,FALSE)</f>
        <v>Ultrathing V2</v>
      </c>
      <c r="P327" s="4">
        <f>OrganizedData[[#This Row],[Quantity]]*VLOOKUP(OrganizedData[[#This Row],[Product Code]],ProductData[],4,FALSE)</f>
        <v>720</v>
      </c>
      <c r="Q327" s="6">
        <f>OrganizedData[[#This Row],[Total Items Ordered]]*VLOOKUP(OrganizedData[[#This Row],[Product Code]],ProductData[],3,FALSE)</f>
        <v>2124</v>
      </c>
      <c r="R3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328" spans="1:18" x14ac:dyDescent="0.3">
      <c r="A328" s="2">
        <v>321</v>
      </c>
      <c r="B328" s="2" t="s">
        <v>1277</v>
      </c>
      <c r="C328" s="2" t="s">
        <v>1278</v>
      </c>
      <c r="D328" s="2" t="s">
        <v>51</v>
      </c>
      <c r="E328" s="2" t="s">
        <v>16</v>
      </c>
      <c r="F328" s="2">
        <v>90</v>
      </c>
      <c r="G328" s="2" t="s">
        <v>1279</v>
      </c>
      <c r="H328" s="2" t="s">
        <v>1280</v>
      </c>
      <c r="I328" s="2" t="s">
        <v>95</v>
      </c>
      <c r="J328" s="3">
        <v>44749</v>
      </c>
      <c r="K328" s="5">
        <f>YEAR(OrganizedData[[#This Row],[Order Date]])</f>
        <v>2022</v>
      </c>
      <c r="L328" s="7" t="str">
        <f>TEXT(OrganizedData[[#This Row],[Order Date]],"mmm")</f>
        <v>Jul</v>
      </c>
      <c r="M328" s="2">
        <v>14</v>
      </c>
      <c r="N328" s="2" t="s">
        <v>64</v>
      </c>
      <c r="O328" s="2" t="str">
        <f>VLOOKUP(OrganizedData[[#This Row],[Product Code]],ProductData[[Code]:[Item]],2,FALSE)</f>
        <v>Ultrathing V4</v>
      </c>
      <c r="P328" s="4">
        <f>OrganizedData[[#This Row],[Quantity]]*VLOOKUP(OrganizedData[[#This Row],[Product Code]],ProductData[],4,FALSE)</f>
        <v>336</v>
      </c>
      <c r="Q328" s="6">
        <f>OrganizedData[[#This Row],[Total Items Ordered]]*VLOOKUP(OrganizedData[[#This Row],[Product Code]],ProductData[],3,FALSE)</f>
        <v>1340.64</v>
      </c>
      <c r="R3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1340.64</v>
      </c>
    </row>
    <row r="329" spans="1:18" x14ac:dyDescent="0.3">
      <c r="A329" s="2">
        <v>322</v>
      </c>
      <c r="B329" s="2" t="s">
        <v>1281</v>
      </c>
      <c r="C329" s="2" t="s">
        <v>1282</v>
      </c>
      <c r="D329" s="2" t="s">
        <v>28</v>
      </c>
      <c r="E329" s="2" t="s">
        <v>29</v>
      </c>
      <c r="F329" s="2">
        <v>60</v>
      </c>
      <c r="G329" s="2" t="s">
        <v>1283</v>
      </c>
      <c r="H329" s="2" t="s">
        <v>1284</v>
      </c>
      <c r="I329" s="2" t="s">
        <v>32</v>
      </c>
      <c r="J329" s="3">
        <v>43841</v>
      </c>
      <c r="K329" s="5">
        <f>YEAR(OrganizedData[[#This Row],[Order Date]])</f>
        <v>2020</v>
      </c>
      <c r="L329" s="7" t="str">
        <f>TEXT(OrganizedData[[#This Row],[Order Date]],"mmm")</f>
        <v>Jan</v>
      </c>
      <c r="M329" s="2">
        <v>73</v>
      </c>
      <c r="N329" s="2" t="s">
        <v>64</v>
      </c>
      <c r="O329" s="2" t="str">
        <f>VLOOKUP(OrganizedData[[#This Row],[Product Code]],ProductData[[Code]:[Item]],2,FALSE)</f>
        <v>Ultrathing V4</v>
      </c>
      <c r="P329" s="4">
        <f>OrganizedData[[#This Row],[Quantity]]*VLOOKUP(OrganizedData[[#This Row],[Product Code]],ProductData[],4,FALSE)</f>
        <v>1752</v>
      </c>
      <c r="Q329" s="6">
        <f>OrganizedData[[#This Row],[Total Items Ordered]]*VLOOKUP(OrganizedData[[#This Row],[Product Code]],ProductData[],3,FALSE)</f>
        <v>6990.4800000000005</v>
      </c>
      <c r="R3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6640.9560000000001</v>
      </c>
    </row>
    <row r="330" spans="1:18" x14ac:dyDescent="0.3">
      <c r="A330" s="2">
        <v>323</v>
      </c>
      <c r="B330" s="2" t="s">
        <v>1285</v>
      </c>
      <c r="C330" s="2" t="s">
        <v>1286</v>
      </c>
      <c r="D330" s="2" t="s">
        <v>15</v>
      </c>
      <c r="E330" s="2" t="s">
        <v>16</v>
      </c>
      <c r="F330" s="2">
        <v>90</v>
      </c>
      <c r="G330" s="2" t="s">
        <v>10458</v>
      </c>
      <c r="H330" s="2" t="s">
        <v>1214</v>
      </c>
      <c r="I330" s="2" t="s">
        <v>32</v>
      </c>
      <c r="J330" s="3">
        <v>44318</v>
      </c>
      <c r="K330" s="5">
        <f>YEAR(OrganizedData[[#This Row],[Order Date]])</f>
        <v>2021</v>
      </c>
      <c r="L330" s="7" t="str">
        <f>TEXT(OrganizedData[[#This Row],[Order Date]],"mmm")</f>
        <v>May</v>
      </c>
      <c r="M330" s="2">
        <v>80</v>
      </c>
      <c r="N330" s="2" t="s">
        <v>54</v>
      </c>
      <c r="O330" s="2" t="str">
        <f>VLOOKUP(OrganizedData[[#This Row],[Product Code]],ProductData[[Code]:[Item]],2,FALSE)</f>
        <v>Megawidget S</v>
      </c>
      <c r="P330" s="4">
        <f>OrganizedData[[#This Row],[Quantity]]*VLOOKUP(OrganizedData[[#This Row],[Product Code]],ProductData[],4,FALSE)</f>
        <v>1920</v>
      </c>
      <c r="Q330" s="6">
        <f>OrganizedData[[#This Row],[Total Items Ordered]]*VLOOKUP(OrganizedData[[#This Row],[Product Code]],ProductData[],3,FALSE)</f>
        <v>1324.8</v>
      </c>
      <c r="R3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1258.56</v>
      </c>
    </row>
    <row r="331" spans="1:18" x14ac:dyDescent="0.3">
      <c r="A331" s="2">
        <v>324</v>
      </c>
      <c r="B331" s="2" t="s">
        <v>1288</v>
      </c>
      <c r="C331" s="2" t="s">
        <v>365</v>
      </c>
      <c r="D331" s="2" t="s">
        <v>15</v>
      </c>
      <c r="E331" s="2" t="s">
        <v>16</v>
      </c>
      <c r="F331" s="2">
        <v>30</v>
      </c>
      <c r="G331" s="2" t="s">
        <v>1289</v>
      </c>
      <c r="H331" s="2" t="s">
        <v>637</v>
      </c>
      <c r="I331" s="2" t="s">
        <v>32</v>
      </c>
      <c r="J331" s="3">
        <v>43833</v>
      </c>
      <c r="K331" s="5">
        <f>YEAR(OrganizedData[[#This Row],[Order Date]])</f>
        <v>2020</v>
      </c>
      <c r="L331" s="7" t="str">
        <f>TEXT(OrganizedData[[#This Row],[Order Date]],"mmm")</f>
        <v>Jan</v>
      </c>
      <c r="M331" s="2">
        <v>60</v>
      </c>
      <c r="N331" s="2" t="s">
        <v>70</v>
      </c>
      <c r="O331" s="2" t="str">
        <f>VLOOKUP(OrganizedData[[#This Row],[Product Code]],ProductData[[Code]:[Item]],2,FALSE)</f>
        <v>Megawidget M</v>
      </c>
      <c r="P331" s="4">
        <f>OrganizedData[[#This Row],[Quantity]]*VLOOKUP(OrganizedData[[#This Row],[Product Code]],ProductData[],4,FALSE)</f>
        <v>1440</v>
      </c>
      <c r="Q331" s="6">
        <f>OrganizedData[[#This Row],[Total Items Ordered]]*VLOOKUP(OrganizedData[[#This Row],[Product Code]],ProductData[],3,FALSE)</f>
        <v>1857.6000000000001</v>
      </c>
      <c r="R3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1764.72</v>
      </c>
    </row>
    <row r="332" spans="1:18" x14ac:dyDescent="0.3">
      <c r="A332" s="2">
        <v>325</v>
      </c>
      <c r="B332" s="2" t="s">
        <v>1290</v>
      </c>
      <c r="C332" s="2" t="s">
        <v>111</v>
      </c>
      <c r="D332" s="2" t="s">
        <v>15</v>
      </c>
      <c r="E332" s="2" t="s">
        <v>16</v>
      </c>
      <c r="F332" s="2">
        <v>60</v>
      </c>
      <c r="G332" s="2" t="s">
        <v>1291</v>
      </c>
      <c r="H332" s="2" t="s">
        <v>1292</v>
      </c>
      <c r="I332" s="2" t="s">
        <v>32</v>
      </c>
      <c r="J332" s="3">
        <v>44482</v>
      </c>
      <c r="K332" s="5">
        <f>YEAR(OrganizedData[[#This Row],[Order Date]])</f>
        <v>2021</v>
      </c>
      <c r="L332" s="7" t="str">
        <f>TEXT(OrganizedData[[#This Row],[Order Date]],"mmm")</f>
        <v>Oct</v>
      </c>
      <c r="M332" s="2">
        <v>58</v>
      </c>
      <c r="N332" s="2" t="s">
        <v>33</v>
      </c>
      <c r="O332" s="2" t="str">
        <f>VLOOKUP(OrganizedData[[#This Row],[Product Code]],ProductData[[Code]:[Item]],2,FALSE)</f>
        <v>Megawidget L</v>
      </c>
      <c r="P332" s="4">
        <f>OrganizedData[[#This Row],[Quantity]]*VLOOKUP(OrganizedData[[#This Row],[Product Code]],ProductData[],4,FALSE)</f>
        <v>1392</v>
      </c>
      <c r="Q332" s="6">
        <f>OrganizedData[[#This Row],[Total Items Ordered]]*VLOOKUP(OrganizedData[[#This Row],[Product Code]],ProductData[],3,FALSE)</f>
        <v>2491.6799999999998</v>
      </c>
      <c r="R3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333" spans="1:18" x14ac:dyDescent="0.3">
      <c r="A333" s="2">
        <v>326</v>
      </c>
      <c r="B333" s="2" t="s">
        <v>1293</v>
      </c>
      <c r="C333" s="2" t="s">
        <v>26</v>
      </c>
      <c r="D333" s="2" t="s">
        <v>51</v>
      </c>
      <c r="E333" s="2" t="s">
        <v>16</v>
      </c>
      <c r="F333" s="2">
        <v>30</v>
      </c>
      <c r="G333" s="2" t="s">
        <v>1294</v>
      </c>
      <c r="H333" s="2" t="s">
        <v>1295</v>
      </c>
      <c r="I333" s="2" t="s">
        <v>32</v>
      </c>
      <c r="J333" s="3">
        <v>44344</v>
      </c>
      <c r="K333" s="5">
        <f>YEAR(OrganizedData[[#This Row],[Order Date]])</f>
        <v>2021</v>
      </c>
      <c r="L333" s="7" t="str">
        <f>TEXT(OrganizedData[[#This Row],[Order Date]],"mmm")</f>
        <v>May</v>
      </c>
      <c r="M333" s="2">
        <v>70</v>
      </c>
      <c r="N333" s="2" t="s">
        <v>39</v>
      </c>
      <c r="O333" s="2" t="str">
        <f>VLOOKUP(OrganizedData[[#This Row],[Product Code]],ProductData[[Code]:[Item]],2,FALSE)</f>
        <v>Ultrathing V1</v>
      </c>
      <c r="P333" s="4">
        <f>OrganizedData[[#This Row],[Quantity]]*VLOOKUP(OrganizedData[[#This Row],[Product Code]],ProductData[],4,FALSE)</f>
        <v>1190</v>
      </c>
      <c r="Q333" s="6">
        <f>OrganizedData[[#This Row],[Total Items Ordered]]*VLOOKUP(OrganizedData[[#This Row],[Product Code]],ProductData[],3,FALSE)</f>
        <v>2130.1</v>
      </c>
      <c r="R3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2023.5949999999998</v>
      </c>
    </row>
    <row r="334" spans="1:18" x14ac:dyDescent="0.3">
      <c r="A334" s="2">
        <v>327</v>
      </c>
      <c r="B334" s="2" t="s">
        <v>1296</v>
      </c>
      <c r="C334" s="2" t="s">
        <v>1297</v>
      </c>
      <c r="D334" s="2" t="s">
        <v>28</v>
      </c>
      <c r="E334" s="2" t="s">
        <v>29</v>
      </c>
      <c r="F334" s="2">
        <v>30</v>
      </c>
      <c r="G334" s="2" t="s">
        <v>1298</v>
      </c>
      <c r="H334" s="2" t="s">
        <v>1299</v>
      </c>
      <c r="I334" s="2" t="s">
        <v>1199</v>
      </c>
      <c r="J334" s="3">
        <v>44170</v>
      </c>
      <c r="K334" s="5">
        <f>YEAR(OrganizedData[[#This Row],[Order Date]])</f>
        <v>2020</v>
      </c>
      <c r="L334" s="7" t="str">
        <f>TEXT(OrganizedData[[#This Row],[Order Date]],"mmm")</f>
        <v>Dec</v>
      </c>
      <c r="M334" s="2">
        <v>55</v>
      </c>
      <c r="N334" s="2" t="s">
        <v>54</v>
      </c>
      <c r="O334" s="2" t="str">
        <f>VLOOKUP(OrganizedData[[#This Row],[Product Code]],ProductData[[Code]:[Item]],2,FALSE)</f>
        <v>Megawidget S</v>
      </c>
      <c r="P334" s="4">
        <f>OrganizedData[[#This Row],[Quantity]]*VLOOKUP(OrganizedData[[#This Row],[Product Code]],ProductData[],4,FALSE)</f>
        <v>1320</v>
      </c>
      <c r="Q334" s="6">
        <f>OrganizedData[[#This Row],[Total Items Ordered]]*VLOOKUP(OrganizedData[[#This Row],[Product Code]],ProductData[],3,FALSE)</f>
        <v>910.8</v>
      </c>
      <c r="R3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865.25999999999988</v>
      </c>
    </row>
    <row r="335" spans="1:18" x14ac:dyDescent="0.3">
      <c r="A335" s="2">
        <v>328</v>
      </c>
      <c r="B335" s="2" t="s">
        <v>1300</v>
      </c>
      <c r="C335" s="2" t="s">
        <v>1301</v>
      </c>
      <c r="D335" s="2" t="s">
        <v>28</v>
      </c>
      <c r="E335" s="2" t="s">
        <v>29</v>
      </c>
      <c r="F335" s="2">
        <v>90</v>
      </c>
      <c r="G335" s="2" t="s">
        <v>1302</v>
      </c>
      <c r="H335" s="2" t="s">
        <v>1261</v>
      </c>
      <c r="I335" s="2" t="s">
        <v>32</v>
      </c>
      <c r="J335" s="3">
        <v>44383</v>
      </c>
      <c r="K335" s="5">
        <f>YEAR(OrganizedData[[#This Row],[Order Date]])</f>
        <v>2021</v>
      </c>
      <c r="L335" s="7" t="str">
        <f>TEXT(OrganizedData[[#This Row],[Order Date]],"mmm")</f>
        <v>Jul</v>
      </c>
      <c r="M335" s="2">
        <v>32</v>
      </c>
      <c r="N335" s="2" t="s">
        <v>54</v>
      </c>
      <c r="O335" s="2" t="str">
        <f>VLOOKUP(OrganizedData[[#This Row],[Product Code]],ProductData[[Code]:[Item]],2,FALSE)</f>
        <v>Megawidget S</v>
      </c>
      <c r="P335" s="4">
        <f>OrganizedData[[#This Row],[Quantity]]*VLOOKUP(OrganizedData[[#This Row],[Product Code]],ProductData[],4,FALSE)</f>
        <v>768</v>
      </c>
      <c r="Q335" s="6">
        <f>OrganizedData[[#This Row],[Total Items Ordered]]*VLOOKUP(OrganizedData[[#This Row],[Product Code]],ProductData[],3,FALSE)</f>
        <v>529.91999999999996</v>
      </c>
      <c r="R3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514.02239999999995</v>
      </c>
    </row>
    <row r="336" spans="1:18" x14ac:dyDescent="0.3">
      <c r="A336" s="2">
        <v>329</v>
      </c>
      <c r="B336" s="2" t="s">
        <v>1303</v>
      </c>
      <c r="C336" s="2" t="s">
        <v>1304</v>
      </c>
      <c r="D336" s="2" t="s">
        <v>41</v>
      </c>
      <c r="E336" s="2" t="s">
        <v>16</v>
      </c>
      <c r="F336" s="2">
        <v>30</v>
      </c>
      <c r="G336" s="2" t="s">
        <v>1305</v>
      </c>
      <c r="H336" s="2" t="s">
        <v>1306</v>
      </c>
      <c r="I336" s="2" t="s">
        <v>32</v>
      </c>
      <c r="J336" s="3">
        <v>44123</v>
      </c>
      <c r="K336" s="5">
        <f>YEAR(OrganizedData[[#This Row],[Order Date]])</f>
        <v>2020</v>
      </c>
      <c r="L336" s="7" t="str">
        <f>TEXT(OrganizedData[[#This Row],[Order Date]],"mmm")</f>
        <v>Oct</v>
      </c>
      <c r="M336" s="2">
        <v>77</v>
      </c>
      <c r="N336" s="2" t="s">
        <v>64</v>
      </c>
      <c r="O336" s="2" t="str">
        <f>VLOOKUP(OrganizedData[[#This Row],[Product Code]],ProductData[[Code]:[Item]],2,FALSE)</f>
        <v>Ultrathing V4</v>
      </c>
      <c r="P336" s="4">
        <f>OrganizedData[[#This Row],[Quantity]]*VLOOKUP(OrganizedData[[#This Row],[Product Code]],ProductData[],4,FALSE)</f>
        <v>1848</v>
      </c>
      <c r="Q336" s="6">
        <f>OrganizedData[[#This Row],[Total Items Ordered]]*VLOOKUP(OrganizedData[[#This Row],[Product Code]],ProductData[],3,FALSE)</f>
        <v>7373.52</v>
      </c>
      <c r="R3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7004.8440000000001</v>
      </c>
    </row>
    <row r="337" spans="1:18" x14ac:dyDescent="0.3">
      <c r="A337" s="2">
        <v>330</v>
      </c>
      <c r="B337" s="2" t="s">
        <v>1307</v>
      </c>
      <c r="C337" s="2" t="s">
        <v>1308</v>
      </c>
      <c r="D337" s="2" t="s">
        <v>28</v>
      </c>
      <c r="E337" s="2" t="s">
        <v>29</v>
      </c>
      <c r="F337" s="2">
        <v>30</v>
      </c>
      <c r="G337" s="2" t="s">
        <v>1309</v>
      </c>
      <c r="H337" s="2" t="s">
        <v>1310</v>
      </c>
      <c r="I337" s="2" t="s">
        <v>1311</v>
      </c>
      <c r="J337" s="3">
        <v>43861</v>
      </c>
      <c r="K337" s="5">
        <f>YEAR(OrganizedData[[#This Row],[Order Date]])</f>
        <v>2020</v>
      </c>
      <c r="L337" s="7" t="str">
        <f>TEXT(OrganizedData[[#This Row],[Order Date]],"mmm")</f>
        <v>Jan</v>
      </c>
      <c r="M337" s="2">
        <v>57</v>
      </c>
      <c r="N337" s="2" t="s">
        <v>101</v>
      </c>
      <c r="O337" s="2" t="str">
        <f>VLOOKUP(OrganizedData[[#This Row],[Product Code]],ProductData[[Code]:[Item]],2,FALSE)</f>
        <v>Superwossname</v>
      </c>
      <c r="P337" s="4">
        <f>OrganizedData[[#This Row],[Quantity]]*VLOOKUP(OrganizedData[[#This Row],[Product Code]],ProductData[],4,FALSE)</f>
        <v>1140</v>
      </c>
      <c r="Q337" s="6">
        <f>OrganizedData[[#This Row],[Total Items Ordered]]*VLOOKUP(OrganizedData[[#This Row],[Product Code]],ProductData[],3,FALSE)</f>
        <v>3978.6000000000004</v>
      </c>
      <c r="R3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3779.67</v>
      </c>
    </row>
    <row r="338" spans="1:18" x14ac:dyDescent="0.3">
      <c r="A338" s="2">
        <v>331</v>
      </c>
      <c r="B338" s="2" t="s">
        <v>1312</v>
      </c>
      <c r="C338" s="2" t="s">
        <v>1313</v>
      </c>
      <c r="D338" s="2" t="s">
        <v>28</v>
      </c>
      <c r="E338" s="2" t="s">
        <v>29</v>
      </c>
      <c r="F338" s="2">
        <v>90</v>
      </c>
      <c r="G338" s="2" t="s">
        <v>1314</v>
      </c>
      <c r="H338" s="2" t="s">
        <v>1315</v>
      </c>
      <c r="I338" s="2" t="s">
        <v>32</v>
      </c>
      <c r="J338" s="3">
        <v>44304</v>
      </c>
      <c r="K338" s="5">
        <f>YEAR(OrganizedData[[#This Row],[Order Date]])</f>
        <v>2021</v>
      </c>
      <c r="L338" s="7" t="str">
        <f>TEXT(OrganizedData[[#This Row],[Order Date]],"mmm")</f>
        <v>Apr</v>
      </c>
      <c r="M338" s="2">
        <v>5</v>
      </c>
      <c r="N338" s="2" t="s">
        <v>64</v>
      </c>
      <c r="O338" s="2" t="str">
        <f>VLOOKUP(OrganizedData[[#This Row],[Product Code]],ProductData[[Code]:[Item]],2,FALSE)</f>
        <v>Ultrathing V4</v>
      </c>
      <c r="P338" s="4">
        <f>OrganizedData[[#This Row],[Quantity]]*VLOOKUP(OrganizedData[[#This Row],[Product Code]],ProductData[],4,FALSE)</f>
        <v>120</v>
      </c>
      <c r="Q338" s="6">
        <f>OrganizedData[[#This Row],[Total Items Ordered]]*VLOOKUP(OrganizedData[[#This Row],[Product Code]],ProductData[],3,FALSE)</f>
        <v>478.8</v>
      </c>
      <c r="R3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339" spans="1:18" x14ac:dyDescent="0.3">
      <c r="A339" s="2">
        <v>332</v>
      </c>
      <c r="B339" s="2" t="s">
        <v>1316</v>
      </c>
      <c r="C339" s="2" t="s">
        <v>1317</v>
      </c>
      <c r="D339" s="2" t="s">
        <v>28</v>
      </c>
      <c r="E339" s="2" t="s">
        <v>29</v>
      </c>
      <c r="F339" s="2">
        <v>60</v>
      </c>
      <c r="G339" s="2" t="s">
        <v>1314</v>
      </c>
      <c r="H339" s="2" t="s">
        <v>1318</v>
      </c>
      <c r="I339" s="2" t="s">
        <v>32</v>
      </c>
      <c r="J339" s="3">
        <v>44275</v>
      </c>
      <c r="K339" s="5">
        <f>YEAR(OrganizedData[[#This Row],[Order Date]])</f>
        <v>2021</v>
      </c>
      <c r="L339" s="7" t="str">
        <f>TEXT(OrganizedData[[#This Row],[Order Date]],"mmm")</f>
        <v>Mar</v>
      </c>
      <c r="M339" s="2">
        <v>10</v>
      </c>
      <c r="N339" s="2" t="s">
        <v>64</v>
      </c>
      <c r="O339" s="2" t="str">
        <f>VLOOKUP(OrganizedData[[#This Row],[Product Code]],ProductData[[Code]:[Item]],2,FALSE)</f>
        <v>Ultrathing V4</v>
      </c>
      <c r="P339" s="4">
        <f>OrganizedData[[#This Row],[Quantity]]*VLOOKUP(OrganizedData[[#This Row],[Product Code]],ProductData[],4,FALSE)</f>
        <v>240</v>
      </c>
      <c r="Q339" s="6">
        <f>OrganizedData[[#This Row],[Total Items Ordered]]*VLOOKUP(OrganizedData[[#This Row],[Product Code]],ProductData[],3,FALSE)</f>
        <v>957.6</v>
      </c>
      <c r="R3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957.6</v>
      </c>
    </row>
    <row r="340" spans="1:18" x14ac:dyDescent="0.3">
      <c r="A340" s="2">
        <v>333</v>
      </c>
      <c r="B340" s="2" t="s">
        <v>1319</v>
      </c>
      <c r="C340" s="2" t="s">
        <v>1320</v>
      </c>
      <c r="D340" s="2" t="s">
        <v>15</v>
      </c>
      <c r="E340" s="2" t="s">
        <v>16</v>
      </c>
      <c r="F340" s="2">
        <v>90</v>
      </c>
      <c r="G340" s="2" t="s">
        <v>1321</v>
      </c>
      <c r="H340" s="2" t="s">
        <v>978</v>
      </c>
      <c r="I340" s="2" t="s">
        <v>294</v>
      </c>
      <c r="J340" s="3">
        <v>44258</v>
      </c>
      <c r="K340" s="5">
        <f>YEAR(OrganizedData[[#This Row],[Order Date]])</f>
        <v>2021</v>
      </c>
      <c r="L340" s="7" t="str">
        <f>TEXT(OrganizedData[[#This Row],[Order Date]],"mmm")</f>
        <v>Mar</v>
      </c>
      <c r="M340" s="2">
        <v>58</v>
      </c>
      <c r="N340" s="2" t="s">
        <v>101</v>
      </c>
      <c r="O340" s="2" t="str">
        <f>VLOOKUP(OrganizedData[[#This Row],[Product Code]],ProductData[[Code]:[Item]],2,FALSE)</f>
        <v>Superwossname</v>
      </c>
      <c r="P340" s="4">
        <f>OrganizedData[[#This Row],[Quantity]]*VLOOKUP(OrganizedData[[#This Row],[Product Code]],ProductData[],4,FALSE)</f>
        <v>1160</v>
      </c>
      <c r="Q340" s="6">
        <f>OrganizedData[[#This Row],[Total Items Ordered]]*VLOOKUP(OrganizedData[[#This Row],[Product Code]],ProductData[],3,FALSE)</f>
        <v>4048.4</v>
      </c>
      <c r="R3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341" spans="1:18" x14ac:dyDescent="0.3">
      <c r="A341" s="2">
        <v>334</v>
      </c>
      <c r="B341" s="2" t="s">
        <v>1322</v>
      </c>
      <c r="C341" s="2" t="s">
        <v>1323</v>
      </c>
      <c r="D341" s="2" t="s">
        <v>15</v>
      </c>
      <c r="E341" s="2" t="s">
        <v>16</v>
      </c>
      <c r="F341" s="2">
        <v>60</v>
      </c>
      <c r="G341" s="2" t="s">
        <v>1324</v>
      </c>
      <c r="H341" s="2" t="s">
        <v>1325</v>
      </c>
      <c r="I341" s="2" t="s">
        <v>187</v>
      </c>
      <c r="J341" s="3">
        <v>44790</v>
      </c>
      <c r="K341" s="5">
        <f>YEAR(OrganizedData[[#This Row],[Order Date]])</f>
        <v>2022</v>
      </c>
      <c r="L341" s="7" t="str">
        <f>TEXT(OrganizedData[[#This Row],[Order Date]],"mmm")</f>
        <v>Aug</v>
      </c>
      <c r="M341" s="2">
        <v>105</v>
      </c>
      <c r="N341" s="2" t="s">
        <v>54</v>
      </c>
      <c r="O341" s="2" t="str">
        <f>VLOOKUP(OrganizedData[[#This Row],[Product Code]],ProductData[[Code]:[Item]],2,FALSE)</f>
        <v>Megawidget S</v>
      </c>
      <c r="P341" s="4">
        <f>OrganizedData[[#This Row],[Quantity]]*VLOOKUP(OrganizedData[[#This Row],[Product Code]],ProductData[],4,FALSE)</f>
        <v>2520</v>
      </c>
      <c r="Q341" s="6">
        <f>OrganizedData[[#This Row],[Total Items Ordered]]*VLOOKUP(OrganizedData[[#This Row],[Product Code]],ProductData[],3,FALSE)</f>
        <v>1738.8</v>
      </c>
      <c r="R3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1617.0840000000001</v>
      </c>
    </row>
    <row r="342" spans="1:18" x14ac:dyDescent="0.3">
      <c r="A342" s="2">
        <v>335</v>
      </c>
      <c r="B342" s="2" t="s">
        <v>1326</v>
      </c>
      <c r="C342" s="2" t="s">
        <v>1327</v>
      </c>
      <c r="D342" s="2" t="s">
        <v>28</v>
      </c>
      <c r="E342" s="2" t="s">
        <v>29</v>
      </c>
      <c r="F342" s="2">
        <v>30</v>
      </c>
      <c r="G342" s="2" t="s">
        <v>1328</v>
      </c>
      <c r="H342" s="2" t="s">
        <v>1329</v>
      </c>
      <c r="I342" s="2" t="s">
        <v>95</v>
      </c>
      <c r="J342" s="3">
        <v>43898</v>
      </c>
      <c r="K342" s="5">
        <f>YEAR(OrganizedData[[#This Row],[Order Date]])</f>
        <v>2020</v>
      </c>
      <c r="L342" s="7" t="str">
        <f>TEXT(OrganizedData[[#This Row],[Order Date]],"mmm")</f>
        <v>Mar</v>
      </c>
      <c r="M342" s="2">
        <v>84</v>
      </c>
      <c r="N342" s="2" t="s">
        <v>45</v>
      </c>
      <c r="O342" s="2" t="str">
        <f>VLOOKUP(OrganizedData[[#This Row],[Product Code]],ProductData[[Code]:[Item]],2,FALSE)</f>
        <v>Gigastuff</v>
      </c>
      <c r="P342" s="4">
        <f>OrganizedData[[#This Row],[Quantity]]*VLOOKUP(OrganizedData[[#This Row],[Product Code]],ProductData[],4,FALSE)</f>
        <v>1512</v>
      </c>
      <c r="Q342" s="6">
        <f>OrganizedData[[#This Row],[Total Items Ordered]]*VLOOKUP(OrganizedData[[#This Row],[Product Code]],ProductData[],3,FALSE)</f>
        <v>2857.68</v>
      </c>
      <c r="R3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343" spans="1:18" x14ac:dyDescent="0.3">
      <c r="A343" s="2">
        <v>336</v>
      </c>
      <c r="B343" s="2" t="s">
        <v>616</v>
      </c>
      <c r="C343" s="2" t="s">
        <v>1330</v>
      </c>
      <c r="D343" s="2" t="s">
        <v>28</v>
      </c>
      <c r="E343" s="2" t="s">
        <v>29</v>
      </c>
      <c r="F343" s="2">
        <v>60</v>
      </c>
      <c r="G343" s="2" t="s">
        <v>1331</v>
      </c>
      <c r="H343" s="2" t="s">
        <v>1332</v>
      </c>
      <c r="I343" s="2" t="s">
        <v>32</v>
      </c>
      <c r="J343" s="3">
        <v>43937</v>
      </c>
      <c r="K343" s="5">
        <f>YEAR(OrganizedData[[#This Row],[Order Date]])</f>
        <v>2020</v>
      </c>
      <c r="L343" s="7" t="str">
        <f>TEXT(OrganizedData[[#This Row],[Order Date]],"mmm")</f>
        <v>Apr</v>
      </c>
      <c r="M343" s="2">
        <v>35</v>
      </c>
      <c r="N343" s="2" t="s">
        <v>101</v>
      </c>
      <c r="O343" s="2" t="str">
        <f>VLOOKUP(OrganizedData[[#This Row],[Product Code]],ProductData[[Code]:[Item]],2,FALSE)</f>
        <v>Superwossname</v>
      </c>
      <c r="P343" s="4">
        <f>OrganizedData[[#This Row],[Quantity]]*VLOOKUP(OrganizedData[[#This Row],[Product Code]],ProductData[],4,FALSE)</f>
        <v>700</v>
      </c>
      <c r="Q343" s="6">
        <f>OrganizedData[[#This Row],[Total Items Ordered]]*VLOOKUP(OrganizedData[[#This Row],[Product Code]],ProductData[],3,FALSE)</f>
        <v>2443</v>
      </c>
      <c r="R3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2369.71</v>
      </c>
    </row>
    <row r="344" spans="1:18" x14ac:dyDescent="0.3">
      <c r="A344" s="2">
        <v>337</v>
      </c>
      <c r="B344" s="2" t="s">
        <v>1333</v>
      </c>
      <c r="C344" s="2" t="s">
        <v>1334</v>
      </c>
      <c r="D344" s="2" t="s">
        <v>28</v>
      </c>
      <c r="E344" s="2" t="s">
        <v>29</v>
      </c>
      <c r="F344" s="2">
        <v>90</v>
      </c>
      <c r="G344" s="2" t="s">
        <v>1335</v>
      </c>
      <c r="H344" s="2" t="s">
        <v>1336</v>
      </c>
      <c r="I344" s="2" t="s">
        <v>129</v>
      </c>
      <c r="J344" s="3">
        <v>44853</v>
      </c>
      <c r="K344" s="5">
        <f>YEAR(OrganizedData[[#This Row],[Order Date]])</f>
        <v>2022</v>
      </c>
      <c r="L344" s="7" t="str">
        <f>TEXT(OrganizedData[[#This Row],[Order Date]],"mmm")</f>
        <v>Oct</v>
      </c>
      <c r="M344" s="2">
        <v>42</v>
      </c>
      <c r="N344" s="2" t="s">
        <v>101</v>
      </c>
      <c r="O344" s="2" t="str">
        <f>VLOOKUP(OrganizedData[[#This Row],[Product Code]],ProductData[[Code]:[Item]],2,FALSE)</f>
        <v>Superwossname</v>
      </c>
      <c r="P344" s="4">
        <f>OrganizedData[[#This Row],[Quantity]]*VLOOKUP(OrganizedData[[#This Row],[Product Code]],ProductData[],4,FALSE)</f>
        <v>840</v>
      </c>
      <c r="Q344" s="6">
        <f>OrganizedData[[#This Row],[Total Items Ordered]]*VLOOKUP(OrganizedData[[#This Row],[Product Code]],ProductData[],3,FALSE)</f>
        <v>2931.6000000000004</v>
      </c>
      <c r="R3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345" spans="1:18" x14ac:dyDescent="0.3">
      <c r="A345" s="2">
        <v>338</v>
      </c>
      <c r="B345" s="2" t="s">
        <v>1337</v>
      </c>
      <c r="C345" s="2" t="s">
        <v>1338</v>
      </c>
      <c r="D345" s="2" t="s">
        <v>28</v>
      </c>
      <c r="E345" s="2" t="s">
        <v>29</v>
      </c>
      <c r="F345" s="2">
        <v>60</v>
      </c>
      <c r="G345" s="2" t="s">
        <v>1339</v>
      </c>
      <c r="H345" s="2" t="s">
        <v>199</v>
      </c>
      <c r="I345" s="2" t="s">
        <v>32</v>
      </c>
      <c r="J345" s="3">
        <v>44900</v>
      </c>
      <c r="K345" s="5">
        <f>YEAR(OrganizedData[[#This Row],[Order Date]])</f>
        <v>2022</v>
      </c>
      <c r="L345" s="7" t="str">
        <f>TEXT(OrganizedData[[#This Row],[Order Date]],"mmm")</f>
        <v>Dec</v>
      </c>
      <c r="M345" s="2">
        <v>55</v>
      </c>
      <c r="N345" s="2" t="s">
        <v>33</v>
      </c>
      <c r="O345" s="2" t="str">
        <f>VLOOKUP(OrganizedData[[#This Row],[Product Code]],ProductData[[Code]:[Item]],2,FALSE)</f>
        <v>Megawidget L</v>
      </c>
      <c r="P345" s="4">
        <f>OrganizedData[[#This Row],[Quantity]]*VLOOKUP(OrganizedData[[#This Row],[Product Code]],ProductData[],4,FALSE)</f>
        <v>1320</v>
      </c>
      <c r="Q345" s="6">
        <f>OrganizedData[[#This Row],[Total Items Ordered]]*VLOOKUP(OrganizedData[[#This Row],[Product Code]],ProductData[],3,FALSE)</f>
        <v>2362.8000000000002</v>
      </c>
      <c r="R3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2244.66</v>
      </c>
    </row>
    <row r="346" spans="1:18" x14ac:dyDescent="0.3">
      <c r="A346" s="2">
        <v>339</v>
      </c>
      <c r="B346" s="2" t="s">
        <v>1340</v>
      </c>
      <c r="C346" s="2" t="s">
        <v>1341</v>
      </c>
      <c r="D346" s="2" t="s">
        <v>41</v>
      </c>
      <c r="E346" s="2" t="s">
        <v>16</v>
      </c>
      <c r="F346" s="2">
        <v>30</v>
      </c>
      <c r="G346" s="2" t="s">
        <v>1342</v>
      </c>
      <c r="H346" s="2" t="s">
        <v>1343</v>
      </c>
      <c r="I346" s="2" t="s">
        <v>294</v>
      </c>
      <c r="J346" s="3">
        <v>44451</v>
      </c>
      <c r="K346" s="5">
        <f>YEAR(OrganizedData[[#This Row],[Order Date]])</f>
        <v>2021</v>
      </c>
      <c r="L346" s="7" t="str">
        <f>TEXT(OrganizedData[[#This Row],[Order Date]],"mmm")</f>
        <v>Sep</v>
      </c>
      <c r="M346" s="2">
        <v>82</v>
      </c>
      <c r="N346" s="2" t="s">
        <v>45</v>
      </c>
      <c r="O346" s="2" t="str">
        <f>VLOOKUP(OrganizedData[[#This Row],[Product Code]],ProductData[[Code]:[Item]],2,FALSE)</f>
        <v>Gigastuff</v>
      </c>
      <c r="P346" s="4">
        <f>OrganizedData[[#This Row],[Quantity]]*VLOOKUP(OrganizedData[[#This Row],[Product Code]],ProductData[],4,FALSE)</f>
        <v>1476</v>
      </c>
      <c r="Q346" s="6">
        <f>OrganizedData[[#This Row],[Total Items Ordered]]*VLOOKUP(OrganizedData[[#This Row],[Product Code]],ProductData[],3,FALSE)</f>
        <v>2789.64</v>
      </c>
      <c r="R3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347" spans="1:18" x14ac:dyDescent="0.3">
      <c r="A347" s="2">
        <v>340</v>
      </c>
      <c r="B347" s="2" t="s">
        <v>1344</v>
      </c>
      <c r="C347" s="2" t="s">
        <v>1345</v>
      </c>
      <c r="D347" s="2" t="s">
        <v>15</v>
      </c>
      <c r="E347" s="2" t="s">
        <v>16</v>
      </c>
      <c r="F347" s="2">
        <v>60</v>
      </c>
      <c r="G347" s="2" t="s">
        <v>1346</v>
      </c>
      <c r="H347" s="2" t="s">
        <v>1347</v>
      </c>
      <c r="I347" s="2" t="s">
        <v>32</v>
      </c>
      <c r="J347" s="3">
        <v>44806</v>
      </c>
      <c r="K347" s="5">
        <f>YEAR(OrganizedData[[#This Row],[Order Date]])</f>
        <v>2022</v>
      </c>
      <c r="L347" s="7" t="str">
        <f>TEXT(OrganizedData[[#This Row],[Order Date]],"mmm")</f>
        <v>Sep</v>
      </c>
      <c r="M347" s="2">
        <v>37</v>
      </c>
      <c r="N347" s="2" t="s">
        <v>70</v>
      </c>
      <c r="O347" s="2" t="str">
        <f>VLOOKUP(OrganizedData[[#This Row],[Product Code]],ProductData[[Code]:[Item]],2,FALSE)</f>
        <v>Megawidget M</v>
      </c>
      <c r="P347" s="4">
        <f>OrganizedData[[#This Row],[Quantity]]*VLOOKUP(OrganizedData[[#This Row],[Product Code]],ProductData[],4,FALSE)</f>
        <v>888</v>
      </c>
      <c r="Q347" s="6">
        <f>OrganizedData[[#This Row],[Total Items Ordered]]*VLOOKUP(OrganizedData[[#This Row],[Product Code]],ProductData[],3,FALSE)</f>
        <v>1145.52</v>
      </c>
      <c r="R3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348" spans="1:18" x14ac:dyDescent="0.3">
      <c r="A348" s="2">
        <v>341</v>
      </c>
      <c r="B348" s="2" t="s">
        <v>800</v>
      </c>
      <c r="C348" s="2" t="s">
        <v>1348</v>
      </c>
      <c r="D348" s="2" t="s">
        <v>28</v>
      </c>
      <c r="E348" s="2" t="s">
        <v>29</v>
      </c>
      <c r="F348" s="2">
        <v>30</v>
      </c>
      <c r="G348" s="2" t="s">
        <v>1349</v>
      </c>
      <c r="H348" s="2" t="s">
        <v>1350</v>
      </c>
      <c r="I348" s="2" t="s">
        <v>32</v>
      </c>
      <c r="J348" s="3">
        <v>44189</v>
      </c>
      <c r="K348" s="5">
        <f>YEAR(OrganizedData[[#This Row],[Order Date]])</f>
        <v>2020</v>
      </c>
      <c r="L348" s="7" t="str">
        <f>TEXT(OrganizedData[[#This Row],[Order Date]],"mmm")</f>
        <v>Dec</v>
      </c>
      <c r="M348" s="2">
        <v>81</v>
      </c>
      <c r="N348" s="2" t="s">
        <v>39</v>
      </c>
      <c r="O348" s="2" t="str">
        <f>VLOOKUP(OrganizedData[[#This Row],[Product Code]],ProductData[[Code]:[Item]],2,FALSE)</f>
        <v>Ultrathing V1</v>
      </c>
      <c r="P348" s="4">
        <f>OrganizedData[[#This Row],[Quantity]]*VLOOKUP(OrganizedData[[#This Row],[Product Code]],ProductData[],4,FALSE)</f>
        <v>1377</v>
      </c>
      <c r="Q348" s="6">
        <f>OrganizedData[[#This Row],[Total Items Ordered]]*VLOOKUP(OrganizedData[[#This Row],[Product Code]],ProductData[],3,FALSE)</f>
        <v>2464.83</v>
      </c>
      <c r="R3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2341.5884999999998</v>
      </c>
    </row>
    <row r="349" spans="1:18" x14ac:dyDescent="0.3">
      <c r="A349" s="2">
        <v>342</v>
      </c>
      <c r="B349" s="2" t="s">
        <v>1351</v>
      </c>
      <c r="C349" s="2" t="s">
        <v>1352</v>
      </c>
      <c r="D349" s="2" t="s">
        <v>28</v>
      </c>
      <c r="E349" s="2" t="s">
        <v>29</v>
      </c>
      <c r="F349" s="2">
        <v>60</v>
      </c>
      <c r="G349" s="2" t="s">
        <v>1353</v>
      </c>
      <c r="H349" s="2" t="s">
        <v>1354</v>
      </c>
      <c r="I349" s="2" t="s">
        <v>294</v>
      </c>
      <c r="J349" s="3">
        <v>44470</v>
      </c>
      <c r="K349" s="5">
        <f>YEAR(OrganizedData[[#This Row],[Order Date]])</f>
        <v>2021</v>
      </c>
      <c r="L349" s="7" t="str">
        <f>TEXT(OrganizedData[[#This Row],[Order Date]],"mmm")</f>
        <v>Oct</v>
      </c>
      <c r="M349" s="2">
        <v>52</v>
      </c>
      <c r="N349" s="2" t="s">
        <v>54</v>
      </c>
      <c r="O349" s="2" t="str">
        <f>VLOOKUP(OrganizedData[[#This Row],[Product Code]],ProductData[[Code]:[Item]],2,FALSE)</f>
        <v>Megawidget S</v>
      </c>
      <c r="P349" s="4">
        <f>OrganizedData[[#This Row],[Quantity]]*VLOOKUP(OrganizedData[[#This Row],[Product Code]],ProductData[],4,FALSE)</f>
        <v>1248</v>
      </c>
      <c r="Q349" s="6">
        <f>OrganizedData[[#This Row],[Total Items Ordered]]*VLOOKUP(OrganizedData[[#This Row],[Product Code]],ProductData[],3,FALSE)</f>
        <v>861.11999999999989</v>
      </c>
      <c r="R3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818.06399999999985</v>
      </c>
    </row>
    <row r="350" spans="1:18" x14ac:dyDescent="0.3">
      <c r="A350" s="2">
        <v>343</v>
      </c>
      <c r="B350" s="2" t="s">
        <v>1355</v>
      </c>
      <c r="C350" s="2" t="s">
        <v>1356</v>
      </c>
      <c r="D350" s="2" t="s">
        <v>15</v>
      </c>
      <c r="E350" s="2" t="s">
        <v>16</v>
      </c>
      <c r="F350" s="2">
        <v>60</v>
      </c>
      <c r="G350" s="2" t="s">
        <v>1357</v>
      </c>
      <c r="H350" s="2" t="s">
        <v>1358</v>
      </c>
      <c r="I350" s="2" t="s">
        <v>1359</v>
      </c>
      <c r="J350" s="3">
        <v>44015</v>
      </c>
      <c r="K350" s="5">
        <f>YEAR(OrganizedData[[#This Row],[Order Date]])</f>
        <v>2020</v>
      </c>
      <c r="L350" s="7" t="str">
        <f>TEXT(OrganizedData[[#This Row],[Order Date]],"mmm")</f>
        <v>Jul</v>
      </c>
      <c r="M350" s="2">
        <v>83</v>
      </c>
      <c r="N350" s="2" t="s">
        <v>70</v>
      </c>
      <c r="O350" s="2" t="str">
        <f>VLOOKUP(OrganizedData[[#This Row],[Product Code]],ProductData[[Code]:[Item]],2,FALSE)</f>
        <v>Megawidget M</v>
      </c>
      <c r="P350" s="4">
        <f>OrganizedData[[#This Row],[Quantity]]*VLOOKUP(OrganizedData[[#This Row],[Product Code]],ProductData[],4,FALSE)</f>
        <v>1992</v>
      </c>
      <c r="Q350" s="6">
        <f>OrganizedData[[#This Row],[Total Items Ordered]]*VLOOKUP(OrganizedData[[#This Row],[Product Code]],ProductData[],3,FALSE)</f>
        <v>2569.6800000000003</v>
      </c>
      <c r="R3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2441.1960000000004</v>
      </c>
    </row>
    <row r="351" spans="1:18" x14ac:dyDescent="0.3">
      <c r="A351" s="2">
        <v>344</v>
      </c>
      <c r="B351" s="2" t="s">
        <v>1360</v>
      </c>
      <c r="C351" s="2" t="s">
        <v>1361</v>
      </c>
      <c r="D351" s="2" t="s">
        <v>51</v>
      </c>
      <c r="E351" s="2" t="s">
        <v>16</v>
      </c>
      <c r="F351" s="2">
        <v>30</v>
      </c>
      <c r="G351" s="2" t="s">
        <v>1357</v>
      </c>
      <c r="H351" s="2" t="s">
        <v>1362</v>
      </c>
      <c r="I351" s="2" t="s">
        <v>178</v>
      </c>
      <c r="J351" s="3">
        <v>43851</v>
      </c>
      <c r="K351" s="5">
        <f>YEAR(OrganizedData[[#This Row],[Order Date]])</f>
        <v>2020</v>
      </c>
      <c r="L351" s="7" t="str">
        <f>TEXT(OrganizedData[[#This Row],[Order Date]],"mmm")</f>
        <v>Jan</v>
      </c>
      <c r="M351" s="2">
        <v>29</v>
      </c>
      <c r="N351" s="2" t="s">
        <v>101</v>
      </c>
      <c r="O351" s="2" t="str">
        <f>VLOOKUP(OrganizedData[[#This Row],[Product Code]],ProductData[[Code]:[Item]],2,FALSE)</f>
        <v>Superwossname</v>
      </c>
      <c r="P351" s="4">
        <f>OrganizedData[[#This Row],[Quantity]]*VLOOKUP(OrganizedData[[#This Row],[Product Code]],ProductData[],4,FALSE)</f>
        <v>580</v>
      </c>
      <c r="Q351" s="6">
        <f>OrganizedData[[#This Row],[Total Items Ordered]]*VLOOKUP(OrganizedData[[#This Row],[Product Code]],ProductData[],3,FALSE)</f>
        <v>2024.2</v>
      </c>
      <c r="R3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352" spans="1:18" x14ac:dyDescent="0.3">
      <c r="A352" s="2">
        <v>345</v>
      </c>
      <c r="B352" s="2" t="s">
        <v>1363</v>
      </c>
      <c r="C352" s="2" t="s">
        <v>1364</v>
      </c>
      <c r="D352" s="2" t="s">
        <v>28</v>
      </c>
      <c r="E352" s="2" t="s">
        <v>29</v>
      </c>
      <c r="F352" s="2">
        <v>90</v>
      </c>
      <c r="G352" s="2" t="s">
        <v>1365</v>
      </c>
      <c r="H352" s="2" t="s">
        <v>1366</v>
      </c>
      <c r="I352" s="2" t="s">
        <v>1367</v>
      </c>
      <c r="J352" s="3">
        <v>44727</v>
      </c>
      <c r="K352" s="5">
        <f>YEAR(OrganizedData[[#This Row],[Order Date]])</f>
        <v>2022</v>
      </c>
      <c r="L352" s="7" t="str">
        <f>TEXT(OrganizedData[[#This Row],[Order Date]],"mmm")</f>
        <v>Jun</v>
      </c>
      <c r="M352" s="2">
        <v>71</v>
      </c>
      <c r="N352" s="2" t="s">
        <v>45</v>
      </c>
      <c r="O352" s="2" t="str">
        <f>VLOOKUP(OrganizedData[[#This Row],[Product Code]],ProductData[[Code]:[Item]],2,FALSE)</f>
        <v>Gigastuff</v>
      </c>
      <c r="P352" s="4">
        <f>OrganizedData[[#This Row],[Quantity]]*VLOOKUP(OrganizedData[[#This Row],[Product Code]],ProductData[],4,FALSE)</f>
        <v>1278</v>
      </c>
      <c r="Q352" s="6">
        <f>OrganizedData[[#This Row],[Total Items Ordered]]*VLOOKUP(OrganizedData[[#This Row],[Product Code]],ProductData[],3,FALSE)</f>
        <v>2415.42</v>
      </c>
      <c r="R3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353" spans="1:18" x14ac:dyDescent="0.3">
      <c r="A353" s="2">
        <v>346</v>
      </c>
      <c r="B353" s="2" t="s">
        <v>1368</v>
      </c>
      <c r="C353" s="2" t="s">
        <v>367</v>
      </c>
      <c r="D353" s="2" t="s">
        <v>15</v>
      </c>
      <c r="E353" s="2" t="s">
        <v>16</v>
      </c>
      <c r="F353" s="2">
        <v>90</v>
      </c>
      <c r="G353" s="2" t="s">
        <v>1369</v>
      </c>
      <c r="H353" s="2" t="s">
        <v>1370</v>
      </c>
      <c r="I353" s="2" t="s">
        <v>32</v>
      </c>
      <c r="J353" s="3">
        <v>44926</v>
      </c>
      <c r="K353" s="5">
        <f>YEAR(OrganizedData[[#This Row],[Order Date]])</f>
        <v>2022</v>
      </c>
      <c r="L353" s="7" t="str">
        <f>TEXT(OrganizedData[[#This Row],[Order Date]],"mmm")</f>
        <v>Dec</v>
      </c>
      <c r="M353" s="2">
        <v>13</v>
      </c>
      <c r="N353" s="2" t="s">
        <v>54</v>
      </c>
      <c r="O353" s="2" t="str">
        <f>VLOOKUP(OrganizedData[[#This Row],[Product Code]],ProductData[[Code]:[Item]],2,FALSE)</f>
        <v>Megawidget S</v>
      </c>
      <c r="P353" s="4">
        <f>OrganizedData[[#This Row],[Quantity]]*VLOOKUP(OrganizedData[[#This Row],[Product Code]],ProductData[],4,FALSE)</f>
        <v>312</v>
      </c>
      <c r="Q353" s="6">
        <f>OrganizedData[[#This Row],[Total Items Ordered]]*VLOOKUP(OrganizedData[[#This Row],[Product Code]],ProductData[],3,FALSE)</f>
        <v>215.27999999999997</v>
      </c>
      <c r="R3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215.27999999999997</v>
      </c>
    </row>
    <row r="354" spans="1:18" x14ac:dyDescent="0.3">
      <c r="A354" s="2">
        <v>347</v>
      </c>
      <c r="B354" s="2" t="s">
        <v>1371</v>
      </c>
      <c r="C354" s="2" t="s">
        <v>1372</v>
      </c>
      <c r="D354" s="2" t="s">
        <v>28</v>
      </c>
      <c r="E354" s="2" t="s">
        <v>29</v>
      </c>
      <c r="F354" s="2">
        <v>90</v>
      </c>
      <c r="G354" s="2" t="s">
        <v>1373</v>
      </c>
      <c r="H354" s="2" t="s">
        <v>1374</v>
      </c>
      <c r="I354" s="2" t="s">
        <v>294</v>
      </c>
      <c r="J354" s="3">
        <v>44430</v>
      </c>
      <c r="K354" s="5">
        <f>YEAR(OrganizedData[[#This Row],[Order Date]])</f>
        <v>2021</v>
      </c>
      <c r="L354" s="7" t="str">
        <f>TEXT(OrganizedData[[#This Row],[Order Date]],"mmm")</f>
        <v>Aug</v>
      </c>
      <c r="M354" s="2">
        <v>92</v>
      </c>
      <c r="N354" s="2" t="s">
        <v>20</v>
      </c>
      <c r="O354" s="2" t="str">
        <f>VLOOKUP(OrganizedData[[#This Row],[Product Code]],ProductData[[Code]:[Item]],2,FALSE)</f>
        <v>Hyperwotsit</v>
      </c>
      <c r="P354" s="4">
        <f>OrganizedData[[#This Row],[Quantity]]*VLOOKUP(OrganizedData[[#This Row],[Product Code]],ProductData[],4,FALSE)</f>
        <v>1840</v>
      </c>
      <c r="Q354" s="6">
        <f>OrganizedData[[#This Row],[Total Items Ordered]]*VLOOKUP(OrganizedData[[#This Row],[Product Code]],ProductData[],3,FALSE)</f>
        <v>3698.3999999999996</v>
      </c>
      <c r="R3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3513.4799999999996</v>
      </c>
    </row>
    <row r="355" spans="1:18" x14ac:dyDescent="0.3">
      <c r="A355" s="2">
        <v>348</v>
      </c>
      <c r="B355" s="2" t="s">
        <v>1375</v>
      </c>
      <c r="C355" s="2" t="s">
        <v>1376</v>
      </c>
      <c r="D355" s="2" t="s">
        <v>28</v>
      </c>
      <c r="E355" s="2" t="s">
        <v>29</v>
      </c>
      <c r="F355" s="2">
        <v>30</v>
      </c>
      <c r="G355" s="2" t="s">
        <v>1377</v>
      </c>
      <c r="H355" s="2" t="s">
        <v>1378</v>
      </c>
      <c r="I355" s="2" t="s">
        <v>32</v>
      </c>
      <c r="J355" s="3">
        <v>44860</v>
      </c>
      <c r="K355" s="5">
        <f>YEAR(OrganizedData[[#This Row],[Order Date]])</f>
        <v>2022</v>
      </c>
      <c r="L355" s="7" t="str">
        <f>TEXT(OrganizedData[[#This Row],[Order Date]],"mmm")</f>
        <v>Oct</v>
      </c>
      <c r="M355" s="2">
        <v>55</v>
      </c>
      <c r="N355" s="2" t="s">
        <v>101</v>
      </c>
      <c r="O355" s="2" t="str">
        <f>VLOOKUP(OrganizedData[[#This Row],[Product Code]],ProductData[[Code]:[Item]],2,FALSE)</f>
        <v>Superwossname</v>
      </c>
      <c r="P355" s="4">
        <f>OrganizedData[[#This Row],[Quantity]]*VLOOKUP(OrganizedData[[#This Row],[Product Code]],ProductData[],4,FALSE)</f>
        <v>1100</v>
      </c>
      <c r="Q355" s="6">
        <f>OrganizedData[[#This Row],[Total Items Ordered]]*VLOOKUP(OrganizedData[[#This Row],[Product Code]],ProductData[],3,FALSE)</f>
        <v>3839.0000000000005</v>
      </c>
      <c r="R3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3647.05</v>
      </c>
    </row>
    <row r="356" spans="1:18" x14ac:dyDescent="0.3">
      <c r="A356" s="2">
        <v>349</v>
      </c>
      <c r="B356" s="2" t="s">
        <v>1379</v>
      </c>
      <c r="C356" s="2" t="s">
        <v>1380</v>
      </c>
      <c r="D356" s="2" t="s">
        <v>28</v>
      </c>
      <c r="E356" s="2" t="s">
        <v>29</v>
      </c>
      <c r="F356" s="2">
        <v>90</v>
      </c>
      <c r="G356" s="2" t="s">
        <v>1381</v>
      </c>
      <c r="H356" s="2" t="s">
        <v>1382</v>
      </c>
      <c r="I356" s="2" t="s">
        <v>32</v>
      </c>
      <c r="J356" s="3">
        <v>43962</v>
      </c>
      <c r="K356" s="5">
        <f>YEAR(OrganizedData[[#This Row],[Order Date]])</f>
        <v>2020</v>
      </c>
      <c r="L356" s="7" t="str">
        <f>TEXT(OrganizedData[[#This Row],[Order Date]],"mmm")</f>
        <v>May</v>
      </c>
      <c r="M356" s="2">
        <v>39</v>
      </c>
      <c r="N356" s="2" t="s">
        <v>70</v>
      </c>
      <c r="O356" s="2" t="str">
        <f>VLOOKUP(OrganizedData[[#This Row],[Product Code]],ProductData[[Code]:[Item]],2,FALSE)</f>
        <v>Megawidget M</v>
      </c>
      <c r="P356" s="4">
        <f>OrganizedData[[#This Row],[Quantity]]*VLOOKUP(OrganizedData[[#This Row],[Product Code]],ProductData[],4,FALSE)</f>
        <v>936</v>
      </c>
      <c r="Q356" s="6">
        <f>OrganizedData[[#This Row],[Total Items Ordered]]*VLOOKUP(OrganizedData[[#This Row],[Product Code]],ProductData[],3,FALSE)</f>
        <v>1207.44</v>
      </c>
      <c r="R3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357" spans="1:18" x14ac:dyDescent="0.3">
      <c r="A357" s="2">
        <v>350</v>
      </c>
      <c r="B357" s="2" t="s">
        <v>1383</v>
      </c>
      <c r="C357" s="2" t="s">
        <v>1384</v>
      </c>
      <c r="D357" s="2" t="s">
        <v>28</v>
      </c>
      <c r="E357" s="2" t="s">
        <v>29</v>
      </c>
      <c r="F357" s="2">
        <v>60</v>
      </c>
      <c r="G357" s="2" t="s">
        <v>1385</v>
      </c>
      <c r="H357" s="2" t="s">
        <v>957</v>
      </c>
      <c r="I357" s="2" t="s">
        <v>95</v>
      </c>
      <c r="J357" s="3">
        <v>44042</v>
      </c>
      <c r="K357" s="5">
        <f>YEAR(OrganizedData[[#This Row],[Order Date]])</f>
        <v>2020</v>
      </c>
      <c r="L357" s="7" t="str">
        <f>TEXT(OrganizedData[[#This Row],[Order Date]],"mmm")</f>
        <v>Jul</v>
      </c>
      <c r="M357" s="2">
        <v>7</v>
      </c>
      <c r="N357" s="2" t="s">
        <v>101</v>
      </c>
      <c r="O357" s="2" t="str">
        <f>VLOOKUP(OrganizedData[[#This Row],[Product Code]],ProductData[[Code]:[Item]],2,FALSE)</f>
        <v>Superwossname</v>
      </c>
      <c r="P357" s="4">
        <f>OrganizedData[[#This Row],[Quantity]]*VLOOKUP(OrganizedData[[#This Row],[Product Code]],ProductData[],4,FALSE)</f>
        <v>140</v>
      </c>
      <c r="Q357" s="6">
        <f>OrganizedData[[#This Row],[Total Items Ordered]]*VLOOKUP(OrganizedData[[#This Row],[Product Code]],ProductData[],3,FALSE)</f>
        <v>488.6</v>
      </c>
      <c r="R3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488.6</v>
      </c>
    </row>
    <row r="358" spans="1:18" x14ac:dyDescent="0.3">
      <c r="A358" s="2">
        <v>351</v>
      </c>
      <c r="B358" s="2" t="s">
        <v>879</v>
      </c>
      <c r="C358" s="2" t="s">
        <v>1386</v>
      </c>
      <c r="D358" s="2" t="s">
        <v>621</v>
      </c>
      <c r="E358" s="2" t="s">
        <v>29</v>
      </c>
      <c r="F358" s="2">
        <v>60</v>
      </c>
      <c r="G358" s="2" t="s">
        <v>1387</v>
      </c>
      <c r="H358" s="2" t="s">
        <v>1388</v>
      </c>
      <c r="I358" s="2" t="s">
        <v>32</v>
      </c>
      <c r="J358" s="3">
        <v>44131</v>
      </c>
      <c r="K358" s="5">
        <f>YEAR(OrganizedData[[#This Row],[Order Date]])</f>
        <v>2020</v>
      </c>
      <c r="L358" s="7" t="str">
        <f>TEXT(OrganizedData[[#This Row],[Order Date]],"mmm")</f>
        <v>Oct</v>
      </c>
      <c r="M358" s="2">
        <v>50</v>
      </c>
      <c r="N358" s="2" t="s">
        <v>39</v>
      </c>
      <c r="O358" s="2" t="str">
        <f>VLOOKUP(OrganizedData[[#This Row],[Product Code]],ProductData[[Code]:[Item]],2,FALSE)</f>
        <v>Ultrathing V1</v>
      </c>
      <c r="P358" s="4">
        <f>OrganizedData[[#This Row],[Quantity]]*VLOOKUP(OrganizedData[[#This Row],[Product Code]],ProductData[],4,FALSE)</f>
        <v>850</v>
      </c>
      <c r="Q358" s="6">
        <f>OrganizedData[[#This Row],[Total Items Ordered]]*VLOOKUP(OrganizedData[[#This Row],[Product Code]],ProductData[],3,FALSE)</f>
        <v>1521.5</v>
      </c>
      <c r="R3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359" spans="1:18" x14ac:dyDescent="0.3">
      <c r="A359" s="2">
        <v>352</v>
      </c>
      <c r="B359" s="2" t="s">
        <v>1389</v>
      </c>
      <c r="C359" s="2" t="s">
        <v>1390</v>
      </c>
      <c r="D359" s="2" t="s">
        <v>41</v>
      </c>
      <c r="E359" s="2" t="s">
        <v>16</v>
      </c>
      <c r="F359" s="2">
        <v>30</v>
      </c>
      <c r="G359" s="2" t="s">
        <v>1387</v>
      </c>
      <c r="H359" s="2" t="s">
        <v>1391</v>
      </c>
      <c r="I359" s="2" t="s">
        <v>32</v>
      </c>
      <c r="J359" s="3">
        <v>44105</v>
      </c>
      <c r="K359" s="5">
        <f>YEAR(OrganizedData[[#This Row],[Order Date]])</f>
        <v>2020</v>
      </c>
      <c r="L359" s="7" t="str">
        <f>TEXT(OrganizedData[[#This Row],[Order Date]],"mmm")</f>
        <v>Oct</v>
      </c>
      <c r="M359" s="2">
        <v>27</v>
      </c>
      <c r="N359" s="2" t="s">
        <v>101</v>
      </c>
      <c r="O359" s="2" t="str">
        <f>VLOOKUP(OrganizedData[[#This Row],[Product Code]],ProductData[[Code]:[Item]],2,FALSE)</f>
        <v>Superwossname</v>
      </c>
      <c r="P359" s="4">
        <f>OrganizedData[[#This Row],[Quantity]]*VLOOKUP(OrganizedData[[#This Row],[Product Code]],ProductData[],4,FALSE)</f>
        <v>540</v>
      </c>
      <c r="Q359" s="6">
        <f>OrganizedData[[#This Row],[Total Items Ordered]]*VLOOKUP(OrganizedData[[#This Row],[Product Code]],ProductData[],3,FALSE)</f>
        <v>1884.6000000000001</v>
      </c>
      <c r="R3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1828.0620000000001</v>
      </c>
    </row>
    <row r="360" spans="1:18" x14ac:dyDescent="0.3">
      <c r="A360" s="2">
        <v>353</v>
      </c>
      <c r="B360" s="2" t="s">
        <v>1392</v>
      </c>
      <c r="C360" s="2" t="s">
        <v>883</v>
      </c>
      <c r="D360" s="2" t="s">
        <v>28</v>
      </c>
      <c r="E360" s="2" t="s">
        <v>29</v>
      </c>
      <c r="F360" s="2">
        <v>30</v>
      </c>
      <c r="G360" s="2" t="s">
        <v>1393</v>
      </c>
      <c r="H360" s="2" t="s">
        <v>1394</v>
      </c>
      <c r="I360" s="2" t="s">
        <v>1199</v>
      </c>
      <c r="J360" s="3">
        <v>43889</v>
      </c>
      <c r="K360" s="5">
        <f>YEAR(OrganizedData[[#This Row],[Order Date]])</f>
        <v>2020</v>
      </c>
      <c r="L360" s="7" t="str">
        <f>TEXT(OrganizedData[[#This Row],[Order Date]],"mmm")</f>
        <v>Feb</v>
      </c>
      <c r="M360" s="2">
        <v>55</v>
      </c>
      <c r="N360" s="2" t="s">
        <v>101</v>
      </c>
      <c r="O360" s="2" t="str">
        <f>VLOOKUP(OrganizedData[[#This Row],[Product Code]],ProductData[[Code]:[Item]],2,FALSE)</f>
        <v>Superwossname</v>
      </c>
      <c r="P360" s="4">
        <f>OrganizedData[[#This Row],[Quantity]]*VLOOKUP(OrganizedData[[#This Row],[Product Code]],ProductData[],4,FALSE)</f>
        <v>1100</v>
      </c>
      <c r="Q360" s="6">
        <f>OrganizedData[[#This Row],[Total Items Ordered]]*VLOOKUP(OrganizedData[[#This Row],[Product Code]],ProductData[],3,FALSE)</f>
        <v>3839.0000000000005</v>
      </c>
      <c r="R3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3647.05</v>
      </c>
    </row>
    <row r="361" spans="1:18" x14ac:dyDescent="0.3">
      <c r="A361" s="2">
        <v>354</v>
      </c>
      <c r="B361" s="2" t="s">
        <v>1395</v>
      </c>
      <c r="C361" s="2" t="s">
        <v>1396</v>
      </c>
      <c r="D361" s="2" t="s">
        <v>15</v>
      </c>
      <c r="E361" s="2" t="s">
        <v>16</v>
      </c>
      <c r="F361" s="2">
        <v>60</v>
      </c>
      <c r="G361" s="2" t="s">
        <v>1397</v>
      </c>
      <c r="H361" s="2" t="s">
        <v>534</v>
      </c>
      <c r="I361" s="2" t="s">
        <v>32</v>
      </c>
      <c r="J361" s="3">
        <v>44895</v>
      </c>
      <c r="K361" s="5">
        <f>YEAR(OrganizedData[[#This Row],[Order Date]])</f>
        <v>2022</v>
      </c>
      <c r="L361" s="7" t="str">
        <f>TEXT(OrganizedData[[#This Row],[Order Date]],"mmm")</f>
        <v>Nov</v>
      </c>
      <c r="M361" s="2">
        <v>80</v>
      </c>
      <c r="N361" s="2" t="s">
        <v>39</v>
      </c>
      <c r="O361" s="2" t="str">
        <f>VLOOKUP(OrganizedData[[#This Row],[Product Code]],ProductData[[Code]:[Item]],2,FALSE)</f>
        <v>Ultrathing V1</v>
      </c>
      <c r="P361" s="4">
        <f>OrganizedData[[#This Row],[Quantity]]*VLOOKUP(OrganizedData[[#This Row],[Product Code]],ProductData[],4,FALSE)</f>
        <v>1360</v>
      </c>
      <c r="Q361" s="6">
        <f>OrganizedData[[#This Row],[Total Items Ordered]]*VLOOKUP(OrganizedData[[#This Row],[Product Code]],ProductData[],3,FALSE)</f>
        <v>2434.4</v>
      </c>
      <c r="R3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2312.6799999999998</v>
      </c>
    </row>
    <row r="362" spans="1:18" x14ac:dyDescent="0.3">
      <c r="A362" s="2">
        <v>355</v>
      </c>
      <c r="B362" s="2" t="s">
        <v>1398</v>
      </c>
      <c r="C362" s="2" t="s">
        <v>1399</v>
      </c>
      <c r="D362" s="2" t="s">
        <v>15</v>
      </c>
      <c r="E362" s="2" t="s">
        <v>16</v>
      </c>
      <c r="F362" s="2">
        <v>90</v>
      </c>
      <c r="G362" s="2" t="s">
        <v>1400</v>
      </c>
      <c r="H362" s="2" t="s">
        <v>1401</v>
      </c>
      <c r="I362" s="2" t="s">
        <v>1402</v>
      </c>
      <c r="J362" s="3">
        <v>44297</v>
      </c>
      <c r="K362" s="5">
        <f>YEAR(OrganizedData[[#This Row],[Order Date]])</f>
        <v>2021</v>
      </c>
      <c r="L362" s="7" t="str">
        <f>TEXT(OrganizedData[[#This Row],[Order Date]],"mmm")</f>
        <v>Apr</v>
      </c>
      <c r="M362" s="2">
        <v>34</v>
      </c>
      <c r="N362" s="2" t="s">
        <v>80</v>
      </c>
      <c r="O362" s="2" t="str">
        <f>VLOOKUP(OrganizedData[[#This Row],[Product Code]],ProductData[[Code]:[Item]],2,FALSE)</f>
        <v>Ultrathing V2</v>
      </c>
      <c r="P362" s="4">
        <f>OrganizedData[[#This Row],[Quantity]]*VLOOKUP(OrganizedData[[#This Row],[Product Code]],ProductData[],4,FALSE)</f>
        <v>680</v>
      </c>
      <c r="Q362" s="6">
        <f>OrganizedData[[#This Row],[Total Items Ordered]]*VLOOKUP(OrganizedData[[#This Row],[Product Code]],ProductData[],3,FALSE)</f>
        <v>2006.0000000000002</v>
      </c>
      <c r="R3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1945.8200000000002</v>
      </c>
    </row>
    <row r="363" spans="1:18" x14ac:dyDescent="0.3">
      <c r="A363" s="2">
        <v>356</v>
      </c>
      <c r="B363" s="2" t="s">
        <v>1403</v>
      </c>
      <c r="C363" s="2" t="s">
        <v>281</v>
      </c>
      <c r="D363" s="2" t="s">
        <v>28</v>
      </c>
      <c r="E363" s="2" t="s">
        <v>29</v>
      </c>
      <c r="F363" s="2">
        <v>60</v>
      </c>
      <c r="G363" s="2" t="s">
        <v>1404</v>
      </c>
      <c r="H363" s="2" t="s">
        <v>458</v>
      </c>
      <c r="I363" s="2" t="s">
        <v>294</v>
      </c>
      <c r="J363" s="3">
        <v>43924</v>
      </c>
      <c r="K363" s="5">
        <f>YEAR(OrganizedData[[#This Row],[Order Date]])</f>
        <v>2020</v>
      </c>
      <c r="L363" s="7" t="str">
        <f>TEXT(OrganizedData[[#This Row],[Order Date]],"mmm")</f>
        <v>Apr</v>
      </c>
      <c r="M363" s="2">
        <v>49</v>
      </c>
      <c r="N363" s="2" t="s">
        <v>101</v>
      </c>
      <c r="O363" s="2" t="str">
        <f>VLOOKUP(OrganizedData[[#This Row],[Product Code]],ProductData[[Code]:[Item]],2,FALSE)</f>
        <v>Superwossname</v>
      </c>
      <c r="P363" s="4">
        <f>OrganizedData[[#This Row],[Quantity]]*VLOOKUP(OrganizedData[[#This Row],[Product Code]],ProductData[],4,FALSE)</f>
        <v>980</v>
      </c>
      <c r="Q363" s="6">
        <f>OrganizedData[[#This Row],[Total Items Ordered]]*VLOOKUP(OrganizedData[[#This Row],[Product Code]],ProductData[],3,FALSE)</f>
        <v>3420.2000000000003</v>
      </c>
      <c r="R3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3317.5940000000001</v>
      </c>
    </row>
    <row r="364" spans="1:18" x14ac:dyDescent="0.3">
      <c r="A364" s="2">
        <v>357</v>
      </c>
      <c r="B364" s="2" t="s">
        <v>1405</v>
      </c>
      <c r="C364" s="2" t="s">
        <v>1406</v>
      </c>
      <c r="D364" s="2" t="s">
        <v>28</v>
      </c>
      <c r="E364" s="2" t="s">
        <v>29</v>
      </c>
      <c r="F364" s="2">
        <v>60</v>
      </c>
      <c r="G364" s="2" t="s">
        <v>1407</v>
      </c>
      <c r="H364" s="2" t="s">
        <v>1408</v>
      </c>
      <c r="I364" s="2" t="s">
        <v>1083</v>
      </c>
      <c r="J364" s="3">
        <v>44166</v>
      </c>
      <c r="K364" s="5">
        <f>YEAR(OrganizedData[[#This Row],[Order Date]])</f>
        <v>2020</v>
      </c>
      <c r="L364" s="7" t="str">
        <f>TEXT(OrganizedData[[#This Row],[Order Date]],"mmm")</f>
        <v>Dec</v>
      </c>
      <c r="M364" s="2">
        <v>18</v>
      </c>
      <c r="N364" s="2" t="s">
        <v>45</v>
      </c>
      <c r="O364" s="2" t="str">
        <f>VLOOKUP(OrganizedData[[#This Row],[Product Code]],ProductData[[Code]:[Item]],2,FALSE)</f>
        <v>Gigastuff</v>
      </c>
      <c r="P364" s="4">
        <f>OrganizedData[[#This Row],[Quantity]]*VLOOKUP(OrganizedData[[#This Row],[Product Code]],ProductData[],4,FALSE)</f>
        <v>324</v>
      </c>
      <c r="Q364" s="6">
        <f>OrganizedData[[#This Row],[Total Items Ordered]]*VLOOKUP(OrganizedData[[#This Row],[Product Code]],ProductData[],3,FALSE)</f>
        <v>612.36</v>
      </c>
      <c r="R3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612.36</v>
      </c>
    </row>
    <row r="365" spans="1:18" x14ac:dyDescent="0.3">
      <c r="A365" s="2">
        <v>358</v>
      </c>
      <c r="B365" s="2" t="s">
        <v>1409</v>
      </c>
      <c r="C365" s="2" t="s">
        <v>1410</v>
      </c>
      <c r="D365" s="2" t="s">
        <v>28</v>
      </c>
      <c r="E365" s="2" t="s">
        <v>29</v>
      </c>
      <c r="F365" s="2">
        <v>30</v>
      </c>
      <c r="G365" s="2" t="s">
        <v>1411</v>
      </c>
      <c r="H365" s="2" t="s">
        <v>1412</v>
      </c>
      <c r="I365" s="2" t="s">
        <v>1413</v>
      </c>
      <c r="J365" s="3">
        <v>44865</v>
      </c>
      <c r="K365" s="5">
        <f>YEAR(OrganizedData[[#This Row],[Order Date]])</f>
        <v>2022</v>
      </c>
      <c r="L365" s="7" t="str">
        <f>TEXT(OrganizedData[[#This Row],[Order Date]],"mmm")</f>
        <v>Oct</v>
      </c>
      <c r="M365" s="2">
        <v>101</v>
      </c>
      <c r="N365" s="2" t="s">
        <v>20</v>
      </c>
      <c r="O365" s="2" t="str">
        <f>VLOOKUP(OrganizedData[[#This Row],[Product Code]],ProductData[[Code]:[Item]],2,FALSE)</f>
        <v>Hyperwotsit</v>
      </c>
      <c r="P365" s="4">
        <f>OrganizedData[[#This Row],[Quantity]]*VLOOKUP(OrganizedData[[#This Row],[Product Code]],ProductData[],4,FALSE)</f>
        <v>2020</v>
      </c>
      <c r="Q365" s="6">
        <f>OrganizedData[[#This Row],[Total Items Ordered]]*VLOOKUP(OrganizedData[[#This Row],[Product Code]],ProductData[],3,FALSE)</f>
        <v>4060.1999999999994</v>
      </c>
      <c r="R3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3775.9859999999994</v>
      </c>
    </row>
    <row r="366" spans="1:18" x14ac:dyDescent="0.3">
      <c r="A366" s="2">
        <v>359</v>
      </c>
      <c r="B366" s="2" t="s">
        <v>1414</v>
      </c>
      <c r="C366" s="2" t="s">
        <v>1415</v>
      </c>
      <c r="D366" s="2" t="s">
        <v>28</v>
      </c>
      <c r="E366" s="2" t="s">
        <v>29</v>
      </c>
      <c r="F366" s="2">
        <v>60</v>
      </c>
      <c r="G366" s="2" t="s">
        <v>1416</v>
      </c>
      <c r="H366" s="2" t="s">
        <v>1417</v>
      </c>
      <c r="I366" s="2" t="s">
        <v>32</v>
      </c>
      <c r="J366" s="3">
        <v>44369</v>
      </c>
      <c r="K366" s="5">
        <f>YEAR(OrganizedData[[#This Row],[Order Date]])</f>
        <v>2021</v>
      </c>
      <c r="L366" s="7" t="str">
        <f>TEXT(OrganizedData[[#This Row],[Order Date]],"mmm")</f>
        <v>Jun</v>
      </c>
      <c r="M366" s="2">
        <v>72</v>
      </c>
      <c r="N366" s="2" t="s">
        <v>70</v>
      </c>
      <c r="O366" s="2" t="str">
        <f>VLOOKUP(OrganizedData[[#This Row],[Product Code]],ProductData[[Code]:[Item]],2,FALSE)</f>
        <v>Megawidget M</v>
      </c>
      <c r="P366" s="4">
        <f>OrganizedData[[#This Row],[Quantity]]*VLOOKUP(OrganizedData[[#This Row],[Product Code]],ProductData[],4,FALSE)</f>
        <v>1728</v>
      </c>
      <c r="Q366" s="6">
        <f>OrganizedData[[#This Row],[Total Items Ordered]]*VLOOKUP(OrganizedData[[#This Row],[Product Code]],ProductData[],3,FALSE)</f>
        <v>2229.12</v>
      </c>
      <c r="R3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367" spans="1:18" x14ac:dyDescent="0.3">
      <c r="A367" s="2">
        <v>360</v>
      </c>
      <c r="B367" s="2" t="s">
        <v>1234</v>
      </c>
      <c r="C367" s="2" t="s">
        <v>1418</v>
      </c>
      <c r="D367" s="2" t="s">
        <v>28</v>
      </c>
      <c r="E367" s="2" t="s">
        <v>29</v>
      </c>
      <c r="F367" s="2">
        <v>30</v>
      </c>
      <c r="G367" s="2" t="s">
        <v>1419</v>
      </c>
      <c r="H367" s="2" t="s">
        <v>105</v>
      </c>
      <c r="I367" s="2" t="s">
        <v>32</v>
      </c>
      <c r="J367" s="3">
        <v>44051</v>
      </c>
      <c r="K367" s="5">
        <f>YEAR(OrganizedData[[#This Row],[Order Date]])</f>
        <v>2020</v>
      </c>
      <c r="L367" s="7" t="str">
        <f>TEXT(OrganizedData[[#This Row],[Order Date]],"mmm")</f>
        <v>Aug</v>
      </c>
      <c r="M367" s="2">
        <v>80</v>
      </c>
      <c r="N367" s="2" t="s">
        <v>45</v>
      </c>
      <c r="O367" s="2" t="str">
        <f>VLOOKUP(OrganizedData[[#This Row],[Product Code]],ProductData[[Code]:[Item]],2,FALSE)</f>
        <v>Gigastuff</v>
      </c>
      <c r="P367" s="4">
        <f>OrganizedData[[#This Row],[Quantity]]*VLOOKUP(OrganizedData[[#This Row],[Product Code]],ProductData[],4,FALSE)</f>
        <v>1440</v>
      </c>
      <c r="Q367" s="6">
        <f>OrganizedData[[#This Row],[Total Items Ordered]]*VLOOKUP(OrganizedData[[#This Row],[Product Code]],ProductData[],3,FALSE)</f>
        <v>2721.6</v>
      </c>
      <c r="R3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2585.52</v>
      </c>
    </row>
    <row r="368" spans="1:18" x14ac:dyDescent="0.3">
      <c r="A368" s="2">
        <v>361</v>
      </c>
      <c r="B368" s="2" t="s">
        <v>1420</v>
      </c>
      <c r="C368" s="2" t="s">
        <v>870</v>
      </c>
      <c r="D368" s="2" t="s">
        <v>15</v>
      </c>
      <c r="E368" s="2" t="s">
        <v>16</v>
      </c>
      <c r="F368" s="2">
        <v>90</v>
      </c>
      <c r="G368" s="2" t="s">
        <v>1421</v>
      </c>
      <c r="H368" s="2" t="s">
        <v>1422</v>
      </c>
      <c r="I368" s="2" t="s">
        <v>575</v>
      </c>
      <c r="J368" s="3">
        <v>44813</v>
      </c>
      <c r="K368" s="5">
        <f>YEAR(OrganizedData[[#This Row],[Order Date]])</f>
        <v>2022</v>
      </c>
      <c r="L368" s="7" t="str">
        <f>TEXT(OrganizedData[[#This Row],[Order Date]],"mmm")</f>
        <v>Sep</v>
      </c>
      <c r="M368" s="2">
        <v>27</v>
      </c>
      <c r="N368" s="2" t="s">
        <v>45</v>
      </c>
      <c r="O368" s="2" t="str">
        <f>VLOOKUP(OrganizedData[[#This Row],[Product Code]],ProductData[[Code]:[Item]],2,FALSE)</f>
        <v>Gigastuff</v>
      </c>
      <c r="P368" s="4">
        <f>OrganizedData[[#This Row],[Quantity]]*VLOOKUP(OrganizedData[[#This Row],[Product Code]],ProductData[],4,FALSE)</f>
        <v>486</v>
      </c>
      <c r="Q368" s="6">
        <f>OrganizedData[[#This Row],[Total Items Ordered]]*VLOOKUP(OrganizedData[[#This Row],[Product Code]],ProductData[],3,FALSE)</f>
        <v>918.54</v>
      </c>
      <c r="R3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890.98379999999997</v>
      </c>
    </row>
    <row r="369" spans="1:18" x14ac:dyDescent="0.3">
      <c r="A369" s="2">
        <v>362</v>
      </c>
      <c r="B369" s="2" t="s">
        <v>1423</v>
      </c>
      <c r="C369" s="2" t="s">
        <v>1424</v>
      </c>
      <c r="D369" s="2" t="s">
        <v>51</v>
      </c>
      <c r="E369" s="2" t="s">
        <v>16</v>
      </c>
      <c r="F369" s="2">
        <v>30</v>
      </c>
      <c r="G369" s="2" t="s">
        <v>1425</v>
      </c>
      <c r="H369" s="2" t="s">
        <v>1426</v>
      </c>
      <c r="I369" s="2" t="s">
        <v>32</v>
      </c>
      <c r="J369" s="3">
        <v>44920</v>
      </c>
      <c r="K369" s="5">
        <f>YEAR(OrganizedData[[#This Row],[Order Date]])</f>
        <v>2022</v>
      </c>
      <c r="L369" s="7" t="str">
        <f>TEXT(OrganizedData[[#This Row],[Order Date]],"mmm")</f>
        <v>Dec</v>
      </c>
      <c r="M369" s="2">
        <v>61</v>
      </c>
      <c r="N369" s="2" t="s">
        <v>80</v>
      </c>
      <c r="O369" s="2" t="str">
        <f>VLOOKUP(OrganizedData[[#This Row],[Product Code]],ProductData[[Code]:[Item]],2,FALSE)</f>
        <v>Ultrathing V2</v>
      </c>
      <c r="P369" s="4">
        <f>OrganizedData[[#This Row],[Quantity]]*VLOOKUP(OrganizedData[[#This Row],[Product Code]],ProductData[],4,FALSE)</f>
        <v>1220</v>
      </c>
      <c r="Q369" s="6">
        <f>OrganizedData[[#This Row],[Total Items Ordered]]*VLOOKUP(OrganizedData[[#This Row],[Product Code]],ProductData[],3,FALSE)</f>
        <v>3599</v>
      </c>
      <c r="R3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3419.0499999999997</v>
      </c>
    </row>
    <row r="370" spans="1:18" x14ac:dyDescent="0.3">
      <c r="A370" s="2">
        <v>363</v>
      </c>
      <c r="B370" s="2" t="s">
        <v>1427</v>
      </c>
      <c r="C370" s="2" t="s">
        <v>1428</v>
      </c>
      <c r="D370" s="2" t="s">
        <v>28</v>
      </c>
      <c r="E370" s="2" t="s">
        <v>29</v>
      </c>
      <c r="F370" s="2">
        <v>90</v>
      </c>
      <c r="G370" s="2" t="s">
        <v>1429</v>
      </c>
      <c r="H370" s="2" t="s">
        <v>1430</v>
      </c>
      <c r="I370" s="2" t="s">
        <v>32</v>
      </c>
      <c r="J370" s="3">
        <v>44646</v>
      </c>
      <c r="K370" s="5">
        <f>YEAR(OrganizedData[[#This Row],[Order Date]])</f>
        <v>2022</v>
      </c>
      <c r="L370" s="7" t="str">
        <f>TEXT(OrganizedData[[#This Row],[Order Date]],"mmm")</f>
        <v>Mar</v>
      </c>
      <c r="M370" s="2">
        <v>54</v>
      </c>
      <c r="N370" s="2" t="s">
        <v>80</v>
      </c>
      <c r="O370" s="2" t="str">
        <f>VLOOKUP(OrganizedData[[#This Row],[Product Code]],ProductData[[Code]:[Item]],2,FALSE)</f>
        <v>Ultrathing V2</v>
      </c>
      <c r="P370" s="4">
        <f>OrganizedData[[#This Row],[Quantity]]*VLOOKUP(OrganizedData[[#This Row],[Product Code]],ProductData[],4,FALSE)</f>
        <v>1080</v>
      </c>
      <c r="Q370" s="6">
        <f>OrganizedData[[#This Row],[Total Items Ordered]]*VLOOKUP(OrganizedData[[#This Row],[Product Code]],ProductData[],3,FALSE)</f>
        <v>3186</v>
      </c>
      <c r="R3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3026.7</v>
      </c>
    </row>
    <row r="371" spans="1:18" x14ac:dyDescent="0.3">
      <c r="A371" s="2">
        <v>364</v>
      </c>
      <c r="B371" s="2" t="s">
        <v>1431</v>
      </c>
      <c r="C371" s="2" t="s">
        <v>1432</v>
      </c>
      <c r="D371" s="2" t="s">
        <v>51</v>
      </c>
      <c r="E371" s="2" t="s">
        <v>16</v>
      </c>
      <c r="F371" s="2">
        <v>90</v>
      </c>
      <c r="G371" s="2" t="s">
        <v>1433</v>
      </c>
      <c r="H371" s="2" t="s">
        <v>1434</v>
      </c>
      <c r="I371" s="2" t="s">
        <v>1435</v>
      </c>
      <c r="J371" s="3">
        <v>44698</v>
      </c>
      <c r="K371" s="5">
        <f>YEAR(OrganizedData[[#This Row],[Order Date]])</f>
        <v>2022</v>
      </c>
      <c r="L371" s="7" t="str">
        <f>TEXT(OrganizedData[[#This Row],[Order Date]],"mmm")</f>
        <v>May</v>
      </c>
      <c r="M371" s="2">
        <v>26</v>
      </c>
      <c r="N371" s="2" t="s">
        <v>101</v>
      </c>
      <c r="O371" s="2" t="str">
        <f>VLOOKUP(OrganizedData[[#This Row],[Product Code]],ProductData[[Code]:[Item]],2,FALSE)</f>
        <v>Superwossname</v>
      </c>
      <c r="P371" s="4">
        <f>OrganizedData[[#This Row],[Quantity]]*VLOOKUP(OrganizedData[[#This Row],[Product Code]],ProductData[],4,FALSE)</f>
        <v>520</v>
      </c>
      <c r="Q371" s="6">
        <f>OrganizedData[[#This Row],[Total Items Ordered]]*VLOOKUP(OrganizedData[[#This Row],[Product Code]],ProductData[],3,FALSE)</f>
        <v>1814.8000000000002</v>
      </c>
      <c r="R3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1760.3560000000002</v>
      </c>
    </row>
    <row r="372" spans="1:18" x14ac:dyDescent="0.3">
      <c r="A372" s="2">
        <v>365</v>
      </c>
      <c r="B372" s="2" t="s">
        <v>1436</v>
      </c>
      <c r="C372" s="2" t="s">
        <v>257</v>
      </c>
      <c r="D372" s="2" t="s">
        <v>28</v>
      </c>
      <c r="E372" s="2" t="s">
        <v>29</v>
      </c>
      <c r="F372" s="2">
        <v>90</v>
      </c>
      <c r="G372" s="2" t="s">
        <v>1437</v>
      </c>
      <c r="H372" s="2" t="s">
        <v>827</v>
      </c>
      <c r="I372" s="2" t="s">
        <v>124</v>
      </c>
      <c r="J372" s="3">
        <v>44617</v>
      </c>
      <c r="K372" s="5">
        <f>YEAR(OrganizedData[[#This Row],[Order Date]])</f>
        <v>2022</v>
      </c>
      <c r="L372" s="7" t="str">
        <f>TEXT(OrganizedData[[#This Row],[Order Date]],"mmm")</f>
        <v>Feb</v>
      </c>
      <c r="M372" s="2">
        <v>54</v>
      </c>
      <c r="N372" s="2" t="s">
        <v>54</v>
      </c>
      <c r="O372" s="2" t="str">
        <f>VLOOKUP(OrganizedData[[#This Row],[Product Code]],ProductData[[Code]:[Item]],2,FALSE)</f>
        <v>Megawidget S</v>
      </c>
      <c r="P372" s="4">
        <f>OrganizedData[[#This Row],[Quantity]]*VLOOKUP(OrganizedData[[#This Row],[Product Code]],ProductData[],4,FALSE)</f>
        <v>1296</v>
      </c>
      <c r="Q372" s="6">
        <f>OrganizedData[[#This Row],[Total Items Ordered]]*VLOOKUP(OrganizedData[[#This Row],[Product Code]],ProductData[],3,FALSE)</f>
        <v>894.2399999999999</v>
      </c>
      <c r="R3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849.52799999999991</v>
      </c>
    </row>
    <row r="373" spans="1:18" x14ac:dyDescent="0.3">
      <c r="A373" s="2">
        <v>366</v>
      </c>
      <c r="B373" s="2" t="s">
        <v>1441</v>
      </c>
      <c r="C373" s="2" t="s">
        <v>1442</v>
      </c>
      <c r="D373" s="2" t="s">
        <v>41</v>
      </c>
      <c r="E373" s="2" t="s">
        <v>16</v>
      </c>
      <c r="F373" s="2">
        <v>60</v>
      </c>
      <c r="G373" s="2" t="s">
        <v>1443</v>
      </c>
      <c r="H373" s="2" t="s">
        <v>1444</v>
      </c>
      <c r="I373" s="2" t="s">
        <v>1199</v>
      </c>
      <c r="J373" s="3">
        <v>44710</v>
      </c>
      <c r="K373" s="5">
        <f>YEAR(OrganizedData[[#This Row],[Order Date]])</f>
        <v>2022</v>
      </c>
      <c r="L373" s="7" t="str">
        <f>TEXT(OrganizedData[[#This Row],[Order Date]],"mmm")</f>
        <v>May</v>
      </c>
      <c r="M373" s="2">
        <v>22</v>
      </c>
      <c r="N373" s="2" t="s">
        <v>54</v>
      </c>
      <c r="O373" s="2" t="str">
        <f>VLOOKUP(OrganizedData[[#This Row],[Product Code]],ProductData[[Code]:[Item]],2,FALSE)</f>
        <v>Megawidget S</v>
      </c>
      <c r="P373" s="4">
        <f>OrganizedData[[#This Row],[Quantity]]*VLOOKUP(OrganizedData[[#This Row],[Product Code]],ProductData[],4,FALSE)</f>
        <v>528</v>
      </c>
      <c r="Q373" s="6">
        <f>OrganizedData[[#This Row],[Total Items Ordered]]*VLOOKUP(OrganizedData[[#This Row],[Product Code]],ProductData[],3,FALSE)</f>
        <v>364.32</v>
      </c>
      <c r="R3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353.3904</v>
      </c>
    </row>
    <row r="374" spans="1:18" x14ac:dyDescent="0.3">
      <c r="A374" s="2">
        <v>367</v>
      </c>
      <c r="B374" s="2" t="s">
        <v>1445</v>
      </c>
      <c r="C374" s="2" t="s">
        <v>1446</v>
      </c>
      <c r="D374" s="2" t="s">
        <v>28</v>
      </c>
      <c r="E374" s="2" t="s">
        <v>29</v>
      </c>
      <c r="F374" s="2">
        <v>30</v>
      </c>
      <c r="G374" s="2" t="s">
        <v>1447</v>
      </c>
      <c r="H374" s="2" t="s">
        <v>1448</v>
      </c>
      <c r="I374" s="2" t="s">
        <v>1449</v>
      </c>
      <c r="J374" s="3">
        <v>44546</v>
      </c>
      <c r="K374" s="5">
        <f>YEAR(OrganizedData[[#This Row],[Order Date]])</f>
        <v>2021</v>
      </c>
      <c r="L374" s="7" t="str">
        <f>TEXT(OrganizedData[[#This Row],[Order Date]],"mmm")</f>
        <v>Dec</v>
      </c>
      <c r="M374" s="2">
        <v>7</v>
      </c>
      <c r="N374" s="2" t="s">
        <v>45</v>
      </c>
      <c r="O374" s="2" t="str">
        <f>VLOOKUP(OrganizedData[[#This Row],[Product Code]],ProductData[[Code]:[Item]],2,FALSE)</f>
        <v>Gigastuff</v>
      </c>
      <c r="P374" s="4">
        <f>OrganizedData[[#This Row],[Quantity]]*VLOOKUP(OrganizedData[[#This Row],[Product Code]],ProductData[],4,FALSE)</f>
        <v>126</v>
      </c>
      <c r="Q374" s="6">
        <f>OrganizedData[[#This Row],[Total Items Ordered]]*VLOOKUP(OrganizedData[[#This Row],[Product Code]],ProductData[],3,FALSE)</f>
        <v>238.14</v>
      </c>
      <c r="R3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375" spans="1:18" x14ac:dyDescent="0.3">
      <c r="A375" s="2">
        <v>368</v>
      </c>
      <c r="B375" s="2" t="s">
        <v>1450</v>
      </c>
      <c r="C375" s="2" t="s">
        <v>1451</v>
      </c>
      <c r="D375" s="2" t="s">
        <v>51</v>
      </c>
      <c r="E375" s="2" t="s">
        <v>16</v>
      </c>
      <c r="F375" s="2">
        <v>60</v>
      </c>
      <c r="G375" s="2" t="s">
        <v>1452</v>
      </c>
      <c r="H375" s="2" t="s">
        <v>1453</v>
      </c>
      <c r="I375" s="2" t="s">
        <v>1454</v>
      </c>
      <c r="J375" s="3">
        <v>44633</v>
      </c>
      <c r="K375" s="5">
        <f>YEAR(OrganizedData[[#This Row],[Order Date]])</f>
        <v>2022</v>
      </c>
      <c r="L375" s="7" t="str">
        <f>TEXT(OrganizedData[[#This Row],[Order Date]],"mmm")</f>
        <v>Mar</v>
      </c>
      <c r="M375" s="2">
        <v>48</v>
      </c>
      <c r="N375" s="2" t="s">
        <v>33</v>
      </c>
      <c r="O375" s="2" t="str">
        <f>VLOOKUP(OrganizedData[[#This Row],[Product Code]],ProductData[[Code]:[Item]],2,FALSE)</f>
        <v>Megawidget L</v>
      </c>
      <c r="P375" s="4">
        <f>OrganizedData[[#This Row],[Quantity]]*VLOOKUP(OrganizedData[[#This Row],[Product Code]],ProductData[],4,FALSE)</f>
        <v>1152</v>
      </c>
      <c r="Q375" s="6">
        <f>OrganizedData[[#This Row],[Total Items Ordered]]*VLOOKUP(OrganizedData[[#This Row],[Product Code]],ProductData[],3,FALSE)</f>
        <v>2062.08</v>
      </c>
      <c r="R3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2000.2175999999999</v>
      </c>
    </row>
    <row r="376" spans="1:18" x14ac:dyDescent="0.3">
      <c r="A376" s="2">
        <v>369</v>
      </c>
      <c r="B376" s="2" t="s">
        <v>1455</v>
      </c>
      <c r="C376" s="2" t="s">
        <v>700</v>
      </c>
      <c r="D376" s="2" t="s">
        <v>51</v>
      </c>
      <c r="E376" s="2" t="s">
        <v>16</v>
      </c>
      <c r="F376" s="2">
        <v>90</v>
      </c>
      <c r="G376" s="2" t="s">
        <v>1456</v>
      </c>
      <c r="H376" s="2" t="s">
        <v>1457</v>
      </c>
      <c r="I376" s="2" t="s">
        <v>187</v>
      </c>
      <c r="J376" s="3">
        <v>43899</v>
      </c>
      <c r="K376" s="5">
        <f>YEAR(OrganizedData[[#This Row],[Order Date]])</f>
        <v>2020</v>
      </c>
      <c r="L376" s="7" t="str">
        <f>TEXT(OrganizedData[[#This Row],[Order Date]],"mmm")</f>
        <v>Mar</v>
      </c>
      <c r="M376" s="2">
        <v>57</v>
      </c>
      <c r="N376" s="2" t="s">
        <v>159</v>
      </c>
      <c r="O376" s="2" t="str">
        <f>VLOOKUP(OrganizedData[[#This Row],[Product Code]],ProductData[[Code]:[Item]],2,FALSE)</f>
        <v>Ultrathing V3</v>
      </c>
      <c r="P376" s="4">
        <f>OrganizedData[[#This Row],[Quantity]]*VLOOKUP(OrganizedData[[#This Row],[Product Code]],ProductData[],4,FALSE)</f>
        <v>1368</v>
      </c>
      <c r="Q376" s="6">
        <f>OrganizedData[[#This Row],[Total Items Ordered]]*VLOOKUP(OrganizedData[[#This Row],[Product Code]],ProductData[],3,FALSE)</f>
        <v>4637.5200000000004</v>
      </c>
      <c r="R3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4405.6440000000002</v>
      </c>
    </row>
    <row r="377" spans="1:18" x14ac:dyDescent="0.3">
      <c r="A377" s="2">
        <v>370</v>
      </c>
      <c r="B377" s="2" t="s">
        <v>1458</v>
      </c>
      <c r="C377" s="2" t="s">
        <v>1459</v>
      </c>
      <c r="D377" s="2" t="s">
        <v>28</v>
      </c>
      <c r="E377" s="2" t="s">
        <v>29</v>
      </c>
      <c r="F377" s="2">
        <v>90</v>
      </c>
      <c r="G377" s="2" t="s">
        <v>1460</v>
      </c>
      <c r="H377" s="2" t="s">
        <v>663</v>
      </c>
      <c r="I377" s="2" t="s">
        <v>32</v>
      </c>
      <c r="J377" s="3">
        <v>44135</v>
      </c>
      <c r="K377" s="5">
        <f>YEAR(OrganizedData[[#This Row],[Order Date]])</f>
        <v>2020</v>
      </c>
      <c r="L377" s="7" t="str">
        <f>TEXT(OrganizedData[[#This Row],[Order Date]],"mmm")</f>
        <v>Oct</v>
      </c>
      <c r="M377" s="2">
        <v>75</v>
      </c>
      <c r="N377" s="2" t="s">
        <v>54</v>
      </c>
      <c r="O377" s="2" t="str">
        <f>VLOOKUP(OrganizedData[[#This Row],[Product Code]],ProductData[[Code]:[Item]],2,FALSE)</f>
        <v>Megawidget S</v>
      </c>
      <c r="P377" s="4">
        <f>OrganizedData[[#This Row],[Quantity]]*VLOOKUP(OrganizedData[[#This Row],[Product Code]],ProductData[],4,FALSE)</f>
        <v>1800</v>
      </c>
      <c r="Q377" s="6">
        <f>OrganizedData[[#This Row],[Total Items Ordered]]*VLOOKUP(OrganizedData[[#This Row],[Product Code]],ProductData[],3,FALSE)</f>
        <v>1242</v>
      </c>
      <c r="R3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1179.8999999999999</v>
      </c>
    </row>
    <row r="378" spans="1:18" x14ac:dyDescent="0.3">
      <c r="A378" s="2">
        <v>371</v>
      </c>
      <c r="B378" s="2" t="s">
        <v>1019</v>
      </c>
      <c r="C378" s="2" t="s">
        <v>1461</v>
      </c>
      <c r="D378" s="2" t="s">
        <v>28</v>
      </c>
      <c r="E378" s="2" t="s">
        <v>29</v>
      </c>
      <c r="F378" s="2">
        <v>60</v>
      </c>
      <c r="G378" s="2" t="s">
        <v>1462</v>
      </c>
      <c r="H378" s="2" t="s">
        <v>1463</v>
      </c>
      <c r="I378" s="2" t="s">
        <v>19</v>
      </c>
      <c r="J378" s="3">
        <v>44707</v>
      </c>
      <c r="K378" s="5">
        <f>YEAR(OrganizedData[[#This Row],[Order Date]])</f>
        <v>2022</v>
      </c>
      <c r="L378" s="7" t="str">
        <f>TEXT(OrganizedData[[#This Row],[Order Date]],"mmm")</f>
        <v>May</v>
      </c>
      <c r="M378" s="2">
        <v>37</v>
      </c>
      <c r="N378" s="2" t="s">
        <v>101</v>
      </c>
      <c r="O378" s="2" t="str">
        <f>VLOOKUP(OrganizedData[[#This Row],[Product Code]],ProductData[[Code]:[Item]],2,FALSE)</f>
        <v>Superwossname</v>
      </c>
      <c r="P378" s="4">
        <f>OrganizedData[[#This Row],[Quantity]]*VLOOKUP(OrganizedData[[#This Row],[Product Code]],ProductData[],4,FALSE)</f>
        <v>740</v>
      </c>
      <c r="Q378" s="6">
        <f>OrganizedData[[#This Row],[Total Items Ordered]]*VLOOKUP(OrganizedData[[#This Row],[Product Code]],ProductData[],3,FALSE)</f>
        <v>2582.6000000000004</v>
      </c>
      <c r="R3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379" spans="1:18" x14ac:dyDescent="0.3">
      <c r="A379" s="2">
        <v>372</v>
      </c>
      <c r="B379" s="2" t="s">
        <v>1464</v>
      </c>
      <c r="C379" s="2" t="s">
        <v>1465</v>
      </c>
      <c r="D379" s="2" t="s">
        <v>28</v>
      </c>
      <c r="E379" s="2" t="s">
        <v>29</v>
      </c>
      <c r="F379" s="2">
        <v>90</v>
      </c>
      <c r="G379" s="2" t="s">
        <v>1466</v>
      </c>
      <c r="H379" s="2" t="s">
        <v>993</v>
      </c>
      <c r="I379" s="2" t="s">
        <v>32</v>
      </c>
      <c r="J379" s="3">
        <v>44644</v>
      </c>
      <c r="K379" s="5">
        <f>YEAR(OrganizedData[[#This Row],[Order Date]])</f>
        <v>2022</v>
      </c>
      <c r="L379" s="7" t="str">
        <f>TEXT(OrganizedData[[#This Row],[Order Date]],"mmm")</f>
        <v>Mar</v>
      </c>
      <c r="M379" s="2">
        <v>32</v>
      </c>
      <c r="N379" s="2" t="s">
        <v>20</v>
      </c>
      <c r="O379" s="2" t="str">
        <f>VLOOKUP(OrganizedData[[#This Row],[Product Code]],ProductData[[Code]:[Item]],2,FALSE)</f>
        <v>Hyperwotsit</v>
      </c>
      <c r="P379" s="4">
        <f>OrganizedData[[#This Row],[Quantity]]*VLOOKUP(OrganizedData[[#This Row],[Product Code]],ProductData[],4,FALSE)</f>
        <v>640</v>
      </c>
      <c r="Q379" s="6">
        <f>OrganizedData[[#This Row],[Total Items Ordered]]*VLOOKUP(OrganizedData[[#This Row],[Product Code]],ProductData[],3,FALSE)</f>
        <v>1286.3999999999999</v>
      </c>
      <c r="R3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380" spans="1:18" x14ac:dyDescent="0.3">
      <c r="A380" s="2">
        <v>373</v>
      </c>
      <c r="B380" s="2" t="s">
        <v>1467</v>
      </c>
      <c r="C380" s="2" t="s">
        <v>1468</v>
      </c>
      <c r="D380" s="2" t="s">
        <v>28</v>
      </c>
      <c r="E380" s="2" t="s">
        <v>29</v>
      </c>
      <c r="F380" s="2">
        <v>90</v>
      </c>
      <c r="G380" s="2" t="s">
        <v>1469</v>
      </c>
      <c r="H380" s="2" t="s">
        <v>1378</v>
      </c>
      <c r="I380" s="2" t="s">
        <v>32</v>
      </c>
      <c r="J380" s="3">
        <v>44388</v>
      </c>
      <c r="K380" s="5">
        <f>YEAR(OrganizedData[[#This Row],[Order Date]])</f>
        <v>2021</v>
      </c>
      <c r="L380" s="7" t="str">
        <f>TEXT(OrganizedData[[#This Row],[Order Date]],"mmm")</f>
        <v>Jul</v>
      </c>
      <c r="M380" s="2">
        <v>22</v>
      </c>
      <c r="N380" s="2" t="s">
        <v>70</v>
      </c>
      <c r="O380" s="2" t="str">
        <f>VLOOKUP(OrganizedData[[#This Row],[Product Code]],ProductData[[Code]:[Item]],2,FALSE)</f>
        <v>Megawidget M</v>
      </c>
      <c r="P380" s="4">
        <f>OrganizedData[[#This Row],[Quantity]]*VLOOKUP(OrganizedData[[#This Row],[Product Code]],ProductData[],4,FALSE)</f>
        <v>528</v>
      </c>
      <c r="Q380" s="6">
        <f>OrganizedData[[#This Row],[Total Items Ordered]]*VLOOKUP(OrganizedData[[#This Row],[Product Code]],ProductData[],3,FALSE)</f>
        <v>681.12</v>
      </c>
      <c r="R3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381" spans="1:18" x14ac:dyDescent="0.3">
      <c r="A381" s="2">
        <v>374</v>
      </c>
      <c r="B381" s="2" t="s">
        <v>1470</v>
      </c>
      <c r="C381" s="2" t="s">
        <v>1471</v>
      </c>
      <c r="D381" s="2" t="s">
        <v>28</v>
      </c>
      <c r="E381" s="2" t="s">
        <v>29</v>
      </c>
      <c r="F381" s="2">
        <v>60</v>
      </c>
      <c r="G381" s="2" t="s">
        <v>1472</v>
      </c>
      <c r="H381" s="2" t="s">
        <v>1473</v>
      </c>
      <c r="I381" s="2" t="s">
        <v>38</v>
      </c>
      <c r="J381" s="3">
        <v>43885</v>
      </c>
      <c r="K381" s="5">
        <f>YEAR(OrganizedData[[#This Row],[Order Date]])</f>
        <v>2020</v>
      </c>
      <c r="L381" s="7" t="str">
        <f>TEXT(OrganizedData[[#This Row],[Order Date]],"mmm")</f>
        <v>Feb</v>
      </c>
      <c r="M381" s="2">
        <v>10</v>
      </c>
      <c r="N381" s="2" t="s">
        <v>39</v>
      </c>
      <c r="O381" s="2" t="str">
        <f>VLOOKUP(OrganizedData[[#This Row],[Product Code]],ProductData[[Code]:[Item]],2,FALSE)</f>
        <v>Ultrathing V1</v>
      </c>
      <c r="P381" s="4">
        <f>OrganizedData[[#This Row],[Quantity]]*VLOOKUP(OrganizedData[[#This Row],[Product Code]],ProductData[],4,FALSE)</f>
        <v>170</v>
      </c>
      <c r="Q381" s="6">
        <f>OrganizedData[[#This Row],[Total Items Ordered]]*VLOOKUP(OrganizedData[[#This Row],[Product Code]],ProductData[],3,FALSE)</f>
        <v>304.3</v>
      </c>
      <c r="R3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382" spans="1:18" x14ac:dyDescent="0.3">
      <c r="A382" s="2">
        <v>375</v>
      </c>
      <c r="B382" s="2" t="s">
        <v>1474</v>
      </c>
      <c r="C382" s="2" t="s">
        <v>1475</v>
      </c>
      <c r="D382" s="2" t="s">
        <v>15</v>
      </c>
      <c r="E382" s="2" t="s">
        <v>16</v>
      </c>
      <c r="F382" s="2">
        <v>60</v>
      </c>
      <c r="G382" s="2" t="s">
        <v>1476</v>
      </c>
      <c r="H382" s="2" t="s">
        <v>1477</v>
      </c>
      <c r="I382" s="2" t="s">
        <v>1478</v>
      </c>
      <c r="J382" s="3">
        <v>44305</v>
      </c>
      <c r="K382" s="5">
        <f>YEAR(OrganizedData[[#This Row],[Order Date]])</f>
        <v>2021</v>
      </c>
      <c r="L382" s="7" t="str">
        <f>TEXT(OrganizedData[[#This Row],[Order Date]],"mmm")</f>
        <v>Apr</v>
      </c>
      <c r="M382" s="2">
        <v>2</v>
      </c>
      <c r="N382" s="2" t="s">
        <v>33</v>
      </c>
      <c r="O382" s="2" t="str">
        <f>VLOOKUP(OrganizedData[[#This Row],[Product Code]],ProductData[[Code]:[Item]],2,FALSE)</f>
        <v>Megawidget L</v>
      </c>
      <c r="P382" s="4">
        <f>OrganizedData[[#This Row],[Quantity]]*VLOOKUP(OrganizedData[[#This Row],[Product Code]],ProductData[],4,FALSE)</f>
        <v>48</v>
      </c>
      <c r="Q382" s="6">
        <f>OrganizedData[[#This Row],[Total Items Ordered]]*VLOOKUP(OrganizedData[[#This Row],[Product Code]],ProductData[],3,FALSE)</f>
        <v>85.92</v>
      </c>
      <c r="R3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383" spans="1:18" x14ac:dyDescent="0.3">
      <c r="A383" s="2">
        <v>376</v>
      </c>
      <c r="B383" s="2" t="s">
        <v>1479</v>
      </c>
      <c r="C383" s="2" t="s">
        <v>1480</v>
      </c>
      <c r="D383" s="2" t="s">
        <v>15</v>
      </c>
      <c r="E383" s="2" t="s">
        <v>16</v>
      </c>
      <c r="F383" s="2">
        <v>60</v>
      </c>
      <c r="G383" s="2" t="s">
        <v>1481</v>
      </c>
      <c r="H383" s="2" t="s">
        <v>1482</v>
      </c>
      <c r="I383" s="2" t="s">
        <v>1483</v>
      </c>
      <c r="J383" s="3">
        <v>44447</v>
      </c>
      <c r="K383" s="5">
        <f>YEAR(OrganizedData[[#This Row],[Order Date]])</f>
        <v>2021</v>
      </c>
      <c r="L383" s="7" t="str">
        <f>TEXT(OrganizedData[[#This Row],[Order Date]],"mmm")</f>
        <v>Sep</v>
      </c>
      <c r="M383" s="2">
        <v>12</v>
      </c>
      <c r="N383" s="2" t="s">
        <v>70</v>
      </c>
      <c r="O383" s="2" t="str">
        <f>VLOOKUP(OrganizedData[[#This Row],[Product Code]],ProductData[[Code]:[Item]],2,FALSE)</f>
        <v>Megawidget M</v>
      </c>
      <c r="P383" s="4">
        <f>OrganizedData[[#This Row],[Quantity]]*VLOOKUP(OrganizedData[[#This Row],[Product Code]],ProductData[],4,FALSE)</f>
        <v>288</v>
      </c>
      <c r="Q383" s="6">
        <f>OrganizedData[[#This Row],[Total Items Ordered]]*VLOOKUP(OrganizedData[[#This Row],[Product Code]],ProductData[],3,FALSE)</f>
        <v>371.52</v>
      </c>
      <c r="R3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371.52</v>
      </c>
    </row>
    <row r="384" spans="1:18" x14ac:dyDescent="0.3">
      <c r="A384" s="2">
        <v>377</v>
      </c>
      <c r="B384" s="2" t="s">
        <v>1484</v>
      </c>
      <c r="C384" s="2" t="s">
        <v>1485</v>
      </c>
      <c r="D384" s="2" t="s">
        <v>15</v>
      </c>
      <c r="E384" s="2" t="s">
        <v>16</v>
      </c>
      <c r="F384" s="2">
        <v>30</v>
      </c>
      <c r="G384" s="2" t="s">
        <v>1481</v>
      </c>
      <c r="H384" s="2" t="s">
        <v>1486</v>
      </c>
      <c r="I384" s="2" t="s">
        <v>32</v>
      </c>
      <c r="J384" s="3">
        <v>44684</v>
      </c>
      <c r="K384" s="5">
        <f>YEAR(OrganizedData[[#This Row],[Order Date]])</f>
        <v>2022</v>
      </c>
      <c r="L384" s="7" t="str">
        <f>TEXT(OrganizedData[[#This Row],[Order Date]],"mmm")</f>
        <v>May</v>
      </c>
      <c r="M384" s="2">
        <v>42</v>
      </c>
      <c r="N384" s="2" t="s">
        <v>101</v>
      </c>
      <c r="O384" s="2" t="str">
        <f>VLOOKUP(OrganizedData[[#This Row],[Product Code]],ProductData[[Code]:[Item]],2,FALSE)</f>
        <v>Superwossname</v>
      </c>
      <c r="P384" s="4">
        <f>OrganizedData[[#This Row],[Quantity]]*VLOOKUP(OrganizedData[[#This Row],[Product Code]],ProductData[],4,FALSE)</f>
        <v>840</v>
      </c>
      <c r="Q384" s="6">
        <f>OrganizedData[[#This Row],[Total Items Ordered]]*VLOOKUP(OrganizedData[[#This Row],[Product Code]],ProductData[],3,FALSE)</f>
        <v>2931.6000000000004</v>
      </c>
      <c r="R3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385" spans="1:18" x14ac:dyDescent="0.3">
      <c r="A385" s="2">
        <v>378</v>
      </c>
      <c r="B385" s="2" t="s">
        <v>1487</v>
      </c>
      <c r="C385" s="2" t="s">
        <v>1488</v>
      </c>
      <c r="D385" s="2" t="s">
        <v>15</v>
      </c>
      <c r="E385" s="2" t="s">
        <v>16</v>
      </c>
      <c r="F385" s="2">
        <v>30</v>
      </c>
      <c r="G385" s="2" t="s">
        <v>1489</v>
      </c>
      <c r="H385" s="2" t="s">
        <v>1490</v>
      </c>
      <c r="I385" s="2" t="s">
        <v>294</v>
      </c>
      <c r="J385" s="3">
        <v>44701</v>
      </c>
      <c r="K385" s="5">
        <f>YEAR(OrganizedData[[#This Row],[Order Date]])</f>
        <v>2022</v>
      </c>
      <c r="L385" s="7" t="str">
        <f>TEXT(OrganizedData[[#This Row],[Order Date]],"mmm")</f>
        <v>May</v>
      </c>
      <c r="M385" s="2">
        <v>2</v>
      </c>
      <c r="N385" s="2" t="s">
        <v>64</v>
      </c>
      <c r="O385" s="2" t="str">
        <f>VLOOKUP(OrganizedData[[#This Row],[Product Code]],ProductData[[Code]:[Item]],2,FALSE)</f>
        <v>Ultrathing V4</v>
      </c>
      <c r="P385" s="4">
        <f>OrganizedData[[#This Row],[Quantity]]*VLOOKUP(OrganizedData[[#This Row],[Product Code]],ProductData[],4,FALSE)</f>
        <v>48</v>
      </c>
      <c r="Q385" s="6">
        <f>OrganizedData[[#This Row],[Total Items Ordered]]*VLOOKUP(OrganizedData[[#This Row],[Product Code]],ProductData[],3,FALSE)</f>
        <v>191.52</v>
      </c>
      <c r="R3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386" spans="1:18" x14ac:dyDescent="0.3">
      <c r="A386" s="2">
        <v>379</v>
      </c>
      <c r="B386" s="2" t="s">
        <v>1491</v>
      </c>
      <c r="C386" s="2" t="s">
        <v>1492</v>
      </c>
      <c r="D386" s="2" t="s">
        <v>51</v>
      </c>
      <c r="E386" s="2" t="s">
        <v>16</v>
      </c>
      <c r="F386" s="2">
        <v>90</v>
      </c>
      <c r="G386" s="2" t="s">
        <v>1493</v>
      </c>
      <c r="H386" s="2" t="s">
        <v>1494</v>
      </c>
      <c r="I386" s="2" t="s">
        <v>32</v>
      </c>
      <c r="J386" s="3">
        <v>44386</v>
      </c>
      <c r="K386" s="5">
        <f>YEAR(OrganizedData[[#This Row],[Order Date]])</f>
        <v>2021</v>
      </c>
      <c r="L386" s="7" t="str">
        <f>TEXT(OrganizedData[[#This Row],[Order Date]],"mmm")</f>
        <v>Jul</v>
      </c>
      <c r="M386" s="2">
        <v>83</v>
      </c>
      <c r="N386" s="2" t="s">
        <v>54</v>
      </c>
      <c r="O386" s="2" t="str">
        <f>VLOOKUP(OrganizedData[[#This Row],[Product Code]],ProductData[[Code]:[Item]],2,FALSE)</f>
        <v>Megawidget S</v>
      </c>
      <c r="P386" s="4">
        <f>OrganizedData[[#This Row],[Quantity]]*VLOOKUP(OrganizedData[[#This Row],[Product Code]],ProductData[],4,FALSE)</f>
        <v>1992</v>
      </c>
      <c r="Q386" s="6">
        <f>OrganizedData[[#This Row],[Total Items Ordered]]*VLOOKUP(OrganizedData[[#This Row],[Product Code]],ProductData[],3,FALSE)</f>
        <v>1374.4799999999998</v>
      </c>
      <c r="R3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1305.7559999999996</v>
      </c>
    </row>
    <row r="387" spans="1:18" x14ac:dyDescent="0.3">
      <c r="A387" s="2">
        <v>380</v>
      </c>
      <c r="B387" s="2" t="s">
        <v>1495</v>
      </c>
      <c r="C387" s="2" t="s">
        <v>1496</v>
      </c>
      <c r="D387" s="2" t="s">
        <v>51</v>
      </c>
      <c r="E387" s="2" t="s">
        <v>16</v>
      </c>
      <c r="F387" s="2">
        <v>60</v>
      </c>
      <c r="G387" s="2" t="s">
        <v>1497</v>
      </c>
      <c r="H387" s="2" t="s">
        <v>738</v>
      </c>
      <c r="I387" s="2" t="s">
        <v>38</v>
      </c>
      <c r="J387" s="3">
        <v>44011</v>
      </c>
      <c r="K387" s="5">
        <f>YEAR(OrganizedData[[#This Row],[Order Date]])</f>
        <v>2020</v>
      </c>
      <c r="L387" s="7" t="str">
        <f>TEXT(OrganizedData[[#This Row],[Order Date]],"mmm")</f>
        <v>Jun</v>
      </c>
      <c r="M387" s="2">
        <v>36</v>
      </c>
      <c r="N387" s="2" t="s">
        <v>45</v>
      </c>
      <c r="O387" s="2" t="str">
        <f>VLOOKUP(OrganizedData[[#This Row],[Product Code]],ProductData[[Code]:[Item]],2,FALSE)</f>
        <v>Gigastuff</v>
      </c>
      <c r="P387" s="4">
        <f>OrganizedData[[#This Row],[Quantity]]*VLOOKUP(OrganizedData[[#This Row],[Product Code]],ProductData[],4,FALSE)</f>
        <v>648</v>
      </c>
      <c r="Q387" s="6">
        <f>OrganizedData[[#This Row],[Total Items Ordered]]*VLOOKUP(OrganizedData[[#This Row],[Product Code]],ProductData[],3,FALSE)</f>
        <v>1224.72</v>
      </c>
      <c r="R3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1187.9784</v>
      </c>
    </row>
    <row r="388" spans="1:18" x14ac:dyDescent="0.3">
      <c r="A388" s="2">
        <v>381</v>
      </c>
      <c r="B388" s="2" t="s">
        <v>1498</v>
      </c>
      <c r="C388" s="2" t="s">
        <v>752</v>
      </c>
      <c r="D388" s="2" t="s">
        <v>28</v>
      </c>
      <c r="E388" s="2" t="s">
        <v>29</v>
      </c>
      <c r="F388" s="2">
        <v>90</v>
      </c>
      <c r="G388" s="2" t="s">
        <v>1499</v>
      </c>
      <c r="H388" s="2" t="s">
        <v>1242</v>
      </c>
      <c r="I388" s="2" t="s">
        <v>38</v>
      </c>
      <c r="J388" s="3">
        <v>44189</v>
      </c>
      <c r="K388" s="5">
        <f>YEAR(OrganizedData[[#This Row],[Order Date]])</f>
        <v>2020</v>
      </c>
      <c r="L388" s="7" t="str">
        <f>TEXT(OrganizedData[[#This Row],[Order Date]],"mmm")</f>
        <v>Dec</v>
      </c>
      <c r="M388" s="2">
        <v>12</v>
      </c>
      <c r="N388" s="2" t="s">
        <v>33</v>
      </c>
      <c r="O388" s="2" t="str">
        <f>VLOOKUP(OrganizedData[[#This Row],[Product Code]],ProductData[[Code]:[Item]],2,FALSE)</f>
        <v>Megawidget L</v>
      </c>
      <c r="P388" s="4">
        <f>OrganizedData[[#This Row],[Quantity]]*VLOOKUP(OrganizedData[[#This Row],[Product Code]],ProductData[],4,FALSE)</f>
        <v>288</v>
      </c>
      <c r="Q388" s="6">
        <f>OrganizedData[[#This Row],[Total Items Ordered]]*VLOOKUP(OrganizedData[[#This Row],[Product Code]],ProductData[],3,FALSE)</f>
        <v>515.52</v>
      </c>
      <c r="R3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515.52</v>
      </c>
    </row>
    <row r="389" spans="1:18" x14ac:dyDescent="0.3">
      <c r="A389" s="2">
        <v>382</v>
      </c>
      <c r="B389" s="2" t="s">
        <v>1500</v>
      </c>
      <c r="C389" s="2" t="s">
        <v>1501</v>
      </c>
      <c r="D389" s="2" t="s">
        <v>28</v>
      </c>
      <c r="E389" s="2" t="s">
        <v>29</v>
      </c>
      <c r="F389" s="2">
        <v>30</v>
      </c>
      <c r="G389" s="2" t="s">
        <v>1502</v>
      </c>
      <c r="H389" s="2" t="s">
        <v>288</v>
      </c>
      <c r="I389" s="2" t="s">
        <v>32</v>
      </c>
      <c r="J389" s="3">
        <v>44876</v>
      </c>
      <c r="K389" s="5">
        <f>YEAR(OrganizedData[[#This Row],[Order Date]])</f>
        <v>2022</v>
      </c>
      <c r="L389" s="7" t="str">
        <f>TEXT(OrganizedData[[#This Row],[Order Date]],"mmm")</f>
        <v>Nov</v>
      </c>
      <c r="M389" s="2">
        <v>98</v>
      </c>
      <c r="N389" s="2" t="s">
        <v>80</v>
      </c>
      <c r="O389" s="2" t="str">
        <f>VLOOKUP(OrganizedData[[#This Row],[Product Code]],ProductData[[Code]:[Item]],2,FALSE)</f>
        <v>Ultrathing V2</v>
      </c>
      <c r="P389" s="4">
        <f>OrganizedData[[#This Row],[Quantity]]*VLOOKUP(OrganizedData[[#This Row],[Product Code]],ProductData[],4,FALSE)</f>
        <v>1960</v>
      </c>
      <c r="Q389" s="6">
        <f>OrganizedData[[#This Row],[Total Items Ordered]]*VLOOKUP(OrganizedData[[#This Row],[Product Code]],ProductData[],3,FALSE)</f>
        <v>5782</v>
      </c>
      <c r="R3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5492.9</v>
      </c>
    </row>
    <row r="390" spans="1:18" x14ac:dyDescent="0.3">
      <c r="A390" s="2">
        <v>383</v>
      </c>
      <c r="B390" s="2" t="s">
        <v>1503</v>
      </c>
      <c r="C390" s="2" t="s">
        <v>500</v>
      </c>
      <c r="D390" s="2" t="s">
        <v>92</v>
      </c>
      <c r="E390" s="2" t="s">
        <v>29</v>
      </c>
      <c r="F390" s="2">
        <v>60</v>
      </c>
      <c r="G390" s="2" t="s">
        <v>10418</v>
      </c>
      <c r="H390" s="2" t="s">
        <v>1505</v>
      </c>
      <c r="I390" s="2" t="s">
        <v>32</v>
      </c>
      <c r="J390" s="3">
        <v>44842</v>
      </c>
      <c r="K390" s="5">
        <f>YEAR(OrganizedData[[#This Row],[Order Date]])</f>
        <v>2022</v>
      </c>
      <c r="L390" s="7" t="str">
        <f>TEXT(OrganizedData[[#This Row],[Order Date]],"mmm")</f>
        <v>Oct</v>
      </c>
      <c r="M390" s="2">
        <v>87</v>
      </c>
      <c r="N390" s="2" t="s">
        <v>101</v>
      </c>
      <c r="O390" s="2" t="str">
        <f>VLOOKUP(OrganizedData[[#This Row],[Product Code]],ProductData[[Code]:[Item]],2,FALSE)</f>
        <v>Superwossname</v>
      </c>
      <c r="P390" s="4">
        <f>OrganizedData[[#This Row],[Quantity]]*VLOOKUP(OrganizedData[[#This Row],[Product Code]],ProductData[],4,FALSE)</f>
        <v>1740</v>
      </c>
      <c r="Q390" s="6">
        <f>OrganizedData[[#This Row],[Total Items Ordered]]*VLOOKUP(OrganizedData[[#This Row],[Product Code]],ProductData[],3,FALSE)</f>
        <v>6072.6</v>
      </c>
      <c r="R3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5768.97</v>
      </c>
    </row>
    <row r="391" spans="1:18" x14ac:dyDescent="0.3">
      <c r="A391" s="2">
        <v>384</v>
      </c>
      <c r="B391" s="2" t="s">
        <v>1506</v>
      </c>
      <c r="C391" s="2" t="s">
        <v>639</v>
      </c>
      <c r="D391" s="2" t="s">
        <v>51</v>
      </c>
      <c r="E391" s="2" t="s">
        <v>16</v>
      </c>
      <c r="F391" s="2">
        <v>60</v>
      </c>
      <c r="G391" s="2" t="s">
        <v>1507</v>
      </c>
      <c r="H391" s="2" t="s">
        <v>1508</v>
      </c>
      <c r="I391" s="2" t="s">
        <v>32</v>
      </c>
      <c r="J391" s="3">
        <v>43983</v>
      </c>
      <c r="K391" s="5">
        <f>YEAR(OrganizedData[[#This Row],[Order Date]])</f>
        <v>2020</v>
      </c>
      <c r="L391" s="7" t="str">
        <f>TEXT(OrganizedData[[#This Row],[Order Date]],"mmm")</f>
        <v>Jun</v>
      </c>
      <c r="M391" s="2">
        <v>36</v>
      </c>
      <c r="N391" s="2" t="s">
        <v>20</v>
      </c>
      <c r="O391" s="2" t="str">
        <f>VLOOKUP(OrganizedData[[#This Row],[Product Code]],ProductData[[Code]:[Item]],2,FALSE)</f>
        <v>Hyperwotsit</v>
      </c>
      <c r="P391" s="4">
        <f>OrganizedData[[#This Row],[Quantity]]*VLOOKUP(OrganizedData[[#This Row],[Product Code]],ProductData[],4,FALSE)</f>
        <v>720</v>
      </c>
      <c r="Q391" s="6">
        <f>OrganizedData[[#This Row],[Total Items Ordered]]*VLOOKUP(OrganizedData[[#This Row],[Product Code]],ProductData[],3,FALSE)</f>
        <v>1447.1999999999998</v>
      </c>
      <c r="R3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1403.7839999999999</v>
      </c>
    </row>
    <row r="392" spans="1:18" x14ac:dyDescent="0.3">
      <c r="A392" s="2">
        <v>385</v>
      </c>
      <c r="B392" s="2" t="s">
        <v>1509</v>
      </c>
      <c r="C392" s="2" t="s">
        <v>1510</v>
      </c>
      <c r="D392" s="2" t="s">
        <v>28</v>
      </c>
      <c r="E392" s="2" t="s">
        <v>29</v>
      </c>
      <c r="F392" s="2">
        <v>90</v>
      </c>
      <c r="G392" s="2" t="s">
        <v>1511</v>
      </c>
      <c r="H392" s="2" t="s">
        <v>1512</v>
      </c>
      <c r="I392" s="2" t="s">
        <v>25</v>
      </c>
      <c r="J392" s="3">
        <v>44537</v>
      </c>
      <c r="K392" s="5">
        <f>YEAR(OrganizedData[[#This Row],[Order Date]])</f>
        <v>2021</v>
      </c>
      <c r="L392" s="7" t="str">
        <f>TEXT(OrganizedData[[#This Row],[Order Date]],"mmm")</f>
        <v>Dec</v>
      </c>
      <c r="M392" s="2">
        <v>79</v>
      </c>
      <c r="N392" s="2" t="s">
        <v>101</v>
      </c>
      <c r="O392" s="2" t="str">
        <f>VLOOKUP(OrganizedData[[#This Row],[Product Code]],ProductData[[Code]:[Item]],2,FALSE)</f>
        <v>Superwossname</v>
      </c>
      <c r="P392" s="4">
        <f>OrganizedData[[#This Row],[Quantity]]*VLOOKUP(OrganizedData[[#This Row],[Product Code]],ProductData[],4,FALSE)</f>
        <v>1580</v>
      </c>
      <c r="Q392" s="6">
        <f>OrganizedData[[#This Row],[Total Items Ordered]]*VLOOKUP(OrganizedData[[#This Row],[Product Code]],ProductData[],3,FALSE)</f>
        <v>5514.2000000000007</v>
      </c>
      <c r="R3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5238.4900000000007</v>
      </c>
    </row>
    <row r="393" spans="1:18" x14ac:dyDescent="0.3">
      <c r="A393" s="2">
        <v>386</v>
      </c>
      <c r="B393" s="2" t="s">
        <v>1513</v>
      </c>
      <c r="C393" s="2" t="s">
        <v>836</v>
      </c>
      <c r="D393" s="2" t="s">
        <v>15</v>
      </c>
      <c r="E393" s="2" t="s">
        <v>16</v>
      </c>
      <c r="F393" s="2">
        <v>60</v>
      </c>
      <c r="G393" s="2" t="s">
        <v>1514</v>
      </c>
      <c r="H393" s="2" t="s">
        <v>1515</v>
      </c>
      <c r="I393" s="2" t="s">
        <v>124</v>
      </c>
      <c r="J393" s="3">
        <v>44019</v>
      </c>
      <c r="K393" s="5">
        <f>YEAR(OrganizedData[[#This Row],[Order Date]])</f>
        <v>2020</v>
      </c>
      <c r="L393" s="7" t="str">
        <f>TEXT(OrganizedData[[#This Row],[Order Date]],"mmm")</f>
        <v>Jul</v>
      </c>
      <c r="M393" s="2">
        <v>66</v>
      </c>
      <c r="N393" s="2" t="s">
        <v>101</v>
      </c>
      <c r="O393" s="2" t="str">
        <f>VLOOKUP(OrganizedData[[#This Row],[Product Code]],ProductData[[Code]:[Item]],2,FALSE)</f>
        <v>Superwossname</v>
      </c>
      <c r="P393" s="4">
        <f>OrganizedData[[#This Row],[Quantity]]*VLOOKUP(OrganizedData[[#This Row],[Product Code]],ProductData[],4,FALSE)</f>
        <v>1320</v>
      </c>
      <c r="Q393" s="6">
        <f>OrganizedData[[#This Row],[Total Items Ordered]]*VLOOKUP(OrganizedData[[#This Row],[Product Code]],ProductData[],3,FALSE)</f>
        <v>4606.8</v>
      </c>
      <c r="R3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394" spans="1:18" x14ac:dyDescent="0.3">
      <c r="A394" s="2">
        <v>387</v>
      </c>
      <c r="B394" s="2" t="s">
        <v>1516</v>
      </c>
      <c r="C394" s="2" t="s">
        <v>1517</v>
      </c>
      <c r="D394" s="2" t="s">
        <v>51</v>
      </c>
      <c r="E394" s="2" t="s">
        <v>16</v>
      </c>
      <c r="F394" s="2">
        <v>30</v>
      </c>
      <c r="G394" s="2" t="s">
        <v>1518</v>
      </c>
      <c r="H394" s="2" t="s">
        <v>1519</v>
      </c>
      <c r="I394" s="2" t="s">
        <v>32</v>
      </c>
      <c r="J394" s="3">
        <v>44024</v>
      </c>
      <c r="K394" s="5">
        <f>YEAR(OrganizedData[[#This Row],[Order Date]])</f>
        <v>2020</v>
      </c>
      <c r="L394" s="7" t="str">
        <f>TEXT(OrganizedData[[#This Row],[Order Date]],"mmm")</f>
        <v>Jul</v>
      </c>
      <c r="M394" s="2">
        <v>44</v>
      </c>
      <c r="N394" s="2" t="s">
        <v>101</v>
      </c>
      <c r="O394" s="2" t="str">
        <f>VLOOKUP(OrganizedData[[#This Row],[Product Code]],ProductData[[Code]:[Item]],2,FALSE)</f>
        <v>Superwossname</v>
      </c>
      <c r="P394" s="4">
        <f>OrganizedData[[#This Row],[Quantity]]*VLOOKUP(OrganizedData[[#This Row],[Product Code]],ProductData[],4,FALSE)</f>
        <v>880</v>
      </c>
      <c r="Q394" s="6">
        <f>OrganizedData[[#This Row],[Total Items Ordered]]*VLOOKUP(OrganizedData[[#This Row],[Product Code]],ProductData[],3,FALSE)</f>
        <v>3071.2000000000003</v>
      </c>
      <c r="R3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395" spans="1:18" x14ac:dyDescent="0.3">
      <c r="A395" s="2">
        <v>388</v>
      </c>
      <c r="B395" s="2" t="s">
        <v>1520</v>
      </c>
      <c r="C395" s="2" t="s">
        <v>1521</v>
      </c>
      <c r="D395" s="2" t="s">
        <v>15</v>
      </c>
      <c r="E395" s="2" t="s">
        <v>16</v>
      </c>
      <c r="F395" s="2">
        <v>90</v>
      </c>
      <c r="G395" s="2" t="s">
        <v>1522</v>
      </c>
      <c r="H395" s="2" t="s">
        <v>1523</v>
      </c>
      <c r="I395" s="2" t="s">
        <v>32</v>
      </c>
      <c r="J395" s="3">
        <v>44540</v>
      </c>
      <c r="K395" s="5">
        <f>YEAR(OrganizedData[[#This Row],[Order Date]])</f>
        <v>2021</v>
      </c>
      <c r="L395" s="7" t="str">
        <f>TEXT(OrganizedData[[#This Row],[Order Date]],"mmm")</f>
        <v>Dec</v>
      </c>
      <c r="M395" s="2">
        <v>14</v>
      </c>
      <c r="N395" s="2" t="s">
        <v>39</v>
      </c>
      <c r="O395" s="2" t="str">
        <f>VLOOKUP(OrganizedData[[#This Row],[Product Code]],ProductData[[Code]:[Item]],2,FALSE)</f>
        <v>Ultrathing V1</v>
      </c>
      <c r="P395" s="4">
        <f>OrganizedData[[#This Row],[Quantity]]*VLOOKUP(OrganizedData[[#This Row],[Product Code]],ProductData[],4,FALSE)</f>
        <v>238</v>
      </c>
      <c r="Q395" s="6">
        <f>OrganizedData[[#This Row],[Total Items Ordered]]*VLOOKUP(OrganizedData[[#This Row],[Product Code]],ProductData[],3,FALSE)</f>
        <v>426.02</v>
      </c>
      <c r="R3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396" spans="1:18" x14ac:dyDescent="0.3">
      <c r="A396" s="2">
        <v>389</v>
      </c>
      <c r="B396" s="2" t="s">
        <v>1524</v>
      </c>
      <c r="C396" s="2" t="s">
        <v>380</v>
      </c>
      <c r="D396" s="2" t="s">
        <v>51</v>
      </c>
      <c r="E396" s="2" t="s">
        <v>16</v>
      </c>
      <c r="F396" s="2">
        <v>60</v>
      </c>
      <c r="G396" s="2" t="s">
        <v>1525</v>
      </c>
      <c r="H396" s="2" t="s">
        <v>1526</v>
      </c>
      <c r="I396" s="2" t="s">
        <v>173</v>
      </c>
      <c r="J396" s="3">
        <v>43876</v>
      </c>
      <c r="K396" s="5">
        <f>YEAR(OrganizedData[[#This Row],[Order Date]])</f>
        <v>2020</v>
      </c>
      <c r="L396" s="7" t="str">
        <f>TEXT(OrganizedData[[#This Row],[Order Date]],"mmm")</f>
        <v>Feb</v>
      </c>
      <c r="M396" s="2">
        <v>58</v>
      </c>
      <c r="N396" s="2" t="s">
        <v>54</v>
      </c>
      <c r="O396" s="2" t="str">
        <f>VLOOKUP(OrganizedData[[#This Row],[Product Code]],ProductData[[Code]:[Item]],2,FALSE)</f>
        <v>Megawidget S</v>
      </c>
      <c r="P396" s="4">
        <f>OrganizedData[[#This Row],[Quantity]]*VLOOKUP(OrganizedData[[#This Row],[Product Code]],ProductData[],4,FALSE)</f>
        <v>1392</v>
      </c>
      <c r="Q396" s="6">
        <f>OrganizedData[[#This Row],[Total Items Ordered]]*VLOOKUP(OrganizedData[[#This Row],[Product Code]],ProductData[],3,FALSE)</f>
        <v>960.4799999999999</v>
      </c>
      <c r="R3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397" spans="1:18" x14ac:dyDescent="0.3">
      <c r="A397" s="2">
        <v>390</v>
      </c>
      <c r="B397" s="2" t="s">
        <v>1527</v>
      </c>
      <c r="C397" s="2" t="s">
        <v>1528</v>
      </c>
      <c r="D397" s="2" t="s">
        <v>41</v>
      </c>
      <c r="E397" s="2" t="s">
        <v>16</v>
      </c>
      <c r="F397" s="2">
        <v>60</v>
      </c>
      <c r="G397" s="2" t="s">
        <v>1529</v>
      </c>
      <c r="H397" s="2" t="s">
        <v>1530</v>
      </c>
      <c r="I397" s="2" t="s">
        <v>32</v>
      </c>
      <c r="J397" s="3">
        <v>44559</v>
      </c>
      <c r="K397" s="5">
        <f>YEAR(OrganizedData[[#This Row],[Order Date]])</f>
        <v>2021</v>
      </c>
      <c r="L397" s="7" t="str">
        <f>TEXT(OrganizedData[[#This Row],[Order Date]],"mmm")</f>
        <v>Dec</v>
      </c>
      <c r="M397" s="2">
        <v>42</v>
      </c>
      <c r="N397" s="2" t="s">
        <v>64</v>
      </c>
      <c r="O397" s="2" t="str">
        <f>VLOOKUP(OrganizedData[[#This Row],[Product Code]],ProductData[[Code]:[Item]],2,FALSE)</f>
        <v>Ultrathing V4</v>
      </c>
      <c r="P397" s="4">
        <f>OrganizedData[[#This Row],[Quantity]]*VLOOKUP(OrganizedData[[#This Row],[Product Code]],ProductData[],4,FALSE)</f>
        <v>1008</v>
      </c>
      <c r="Q397" s="6">
        <f>OrganizedData[[#This Row],[Total Items Ordered]]*VLOOKUP(OrganizedData[[#This Row],[Product Code]],ProductData[],3,FALSE)</f>
        <v>4021.92</v>
      </c>
      <c r="R3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398" spans="1:18" x14ac:dyDescent="0.3">
      <c r="A398" s="2">
        <v>391</v>
      </c>
      <c r="B398" s="2" t="s">
        <v>1531</v>
      </c>
      <c r="C398" s="2" t="s">
        <v>1532</v>
      </c>
      <c r="D398" s="2" t="s">
        <v>51</v>
      </c>
      <c r="E398" s="2" t="s">
        <v>16</v>
      </c>
      <c r="F398" s="2">
        <v>90</v>
      </c>
      <c r="G398" s="2" t="s">
        <v>1533</v>
      </c>
      <c r="H398" s="2" t="s">
        <v>1534</v>
      </c>
      <c r="I398" s="2" t="s">
        <v>32</v>
      </c>
      <c r="J398" s="3">
        <v>44774</v>
      </c>
      <c r="K398" s="5">
        <f>YEAR(OrganizedData[[#This Row],[Order Date]])</f>
        <v>2022</v>
      </c>
      <c r="L398" s="7" t="str">
        <f>TEXT(OrganizedData[[#This Row],[Order Date]],"mmm")</f>
        <v>Aug</v>
      </c>
      <c r="M398" s="2">
        <v>20</v>
      </c>
      <c r="N398" s="2" t="s">
        <v>33</v>
      </c>
      <c r="O398" s="2" t="str">
        <f>VLOOKUP(OrganizedData[[#This Row],[Product Code]],ProductData[[Code]:[Item]],2,FALSE)</f>
        <v>Megawidget L</v>
      </c>
      <c r="P398" s="4">
        <f>OrganizedData[[#This Row],[Quantity]]*VLOOKUP(OrganizedData[[#This Row],[Product Code]],ProductData[],4,FALSE)</f>
        <v>480</v>
      </c>
      <c r="Q398" s="6">
        <f>OrganizedData[[#This Row],[Total Items Ordered]]*VLOOKUP(OrganizedData[[#This Row],[Product Code]],ProductData[],3,FALSE)</f>
        <v>859.2</v>
      </c>
      <c r="R3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399" spans="1:18" x14ac:dyDescent="0.3">
      <c r="A399" s="2">
        <v>392</v>
      </c>
      <c r="B399" s="2" t="s">
        <v>1363</v>
      </c>
      <c r="C399" s="2" t="s">
        <v>1535</v>
      </c>
      <c r="D399" s="2" t="s">
        <v>28</v>
      </c>
      <c r="E399" s="2" t="s">
        <v>29</v>
      </c>
      <c r="F399" s="2">
        <v>60</v>
      </c>
      <c r="G399" s="2" t="s">
        <v>1536</v>
      </c>
      <c r="H399" s="2" t="s">
        <v>1537</v>
      </c>
      <c r="I399" s="2" t="s">
        <v>294</v>
      </c>
      <c r="J399" s="3">
        <v>44642</v>
      </c>
      <c r="K399" s="5">
        <f>YEAR(OrganizedData[[#This Row],[Order Date]])</f>
        <v>2022</v>
      </c>
      <c r="L399" s="7" t="str">
        <f>TEXT(OrganizedData[[#This Row],[Order Date]],"mmm")</f>
        <v>Mar</v>
      </c>
      <c r="M399" s="2">
        <v>77</v>
      </c>
      <c r="N399" s="2" t="s">
        <v>54</v>
      </c>
      <c r="O399" s="2" t="str">
        <f>VLOOKUP(OrganizedData[[#This Row],[Product Code]],ProductData[[Code]:[Item]],2,FALSE)</f>
        <v>Megawidget S</v>
      </c>
      <c r="P399" s="4">
        <f>OrganizedData[[#This Row],[Quantity]]*VLOOKUP(OrganizedData[[#This Row],[Product Code]],ProductData[],4,FALSE)</f>
        <v>1848</v>
      </c>
      <c r="Q399" s="6">
        <f>OrganizedData[[#This Row],[Total Items Ordered]]*VLOOKUP(OrganizedData[[#This Row],[Product Code]],ProductData[],3,FALSE)</f>
        <v>1275.1199999999999</v>
      </c>
      <c r="R3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1211.3639999999998</v>
      </c>
    </row>
    <row r="400" spans="1:18" x14ac:dyDescent="0.3">
      <c r="A400" s="2">
        <v>393</v>
      </c>
      <c r="B400" s="2" t="s">
        <v>1538</v>
      </c>
      <c r="C400" s="2" t="s">
        <v>1539</v>
      </c>
      <c r="D400" s="2" t="s">
        <v>15</v>
      </c>
      <c r="E400" s="2" t="s">
        <v>16</v>
      </c>
      <c r="F400" s="2">
        <v>90</v>
      </c>
      <c r="G400" s="2" t="s">
        <v>1540</v>
      </c>
      <c r="H400" s="2" t="s">
        <v>1541</v>
      </c>
      <c r="I400" s="2" t="s">
        <v>32</v>
      </c>
      <c r="J400" s="3">
        <v>44557</v>
      </c>
      <c r="K400" s="5">
        <f>YEAR(OrganizedData[[#This Row],[Order Date]])</f>
        <v>2021</v>
      </c>
      <c r="L400" s="7" t="str">
        <f>TEXT(OrganizedData[[#This Row],[Order Date]],"mmm")</f>
        <v>Dec</v>
      </c>
      <c r="M400" s="2">
        <v>20</v>
      </c>
      <c r="N400" s="2" t="s">
        <v>159</v>
      </c>
      <c r="O400" s="2" t="str">
        <f>VLOOKUP(OrganizedData[[#This Row],[Product Code]],ProductData[[Code]:[Item]],2,FALSE)</f>
        <v>Ultrathing V3</v>
      </c>
      <c r="P400" s="4">
        <f>OrganizedData[[#This Row],[Quantity]]*VLOOKUP(OrganizedData[[#This Row],[Product Code]],ProductData[],4,FALSE)</f>
        <v>480</v>
      </c>
      <c r="Q400" s="6">
        <f>OrganizedData[[#This Row],[Total Items Ordered]]*VLOOKUP(OrganizedData[[#This Row],[Product Code]],ProductData[],3,FALSE)</f>
        <v>1627.2</v>
      </c>
      <c r="R4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1627.2</v>
      </c>
    </row>
    <row r="401" spans="1:18" x14ac:dyDescent="0.3">
      <c r="A401" s="2">
        <v>394</v>
      </c>
      <c r="B401" s="2" t="s">
        <v>1542</v>
      </c>
      <c r="C401" s="2" t="s">
        <v>1543</v>
      </c>
      <c r="D401" s="2" t="s">
        <v>41</v>
      </c>
      <c r="E401" s="2" t="s">
        <v>16</v>
      </c>
      <c r="F401" s="2">
        <v>60</v>
      </c>
      <c r="G401" s="2" t="s">
        <v>1544</v>
      </c>
      <c r="H401" s="2" t="s">
        <v>951</v>
      </c>
      <c r="I401" s="2" t="s">
        <v>95</v>
      </c>
      <c r="J401" s="3">
        <v>44369</v>
      </c>
      <c r="K401" s="5">
        <f>YEAR(OrganizedData[[#This Row],[Order Date]])</f>
        <v>2021</v>
      </c>
      <c r="L401" s="7" t="str">
        <f>TEXT(OrganizedData[[#This Row],[Order Date]],"mmm")</f>
        <v>Jun</v>
      </c>
      <c r="M401" s="2">
        <v>40</v>
      </c>
      <c r="N401" s="2" t="s">
        <v>54</v>
      </c>
      <c r="O401" s="2" t="str">
        <f>VLOOKUP(OrganizedData[[#This Row],[Product Code]],ProductData[[Code]:[Item]],2,FALSE)</f>
        <v>Megawidget S</v>
      </c>
      <c r="P401" s="4">
        <f>OrganizedData[[#This Row],[Quantity]]*VLOOKUP(OrganizedData[[#This Row],[Product Code]],ProductData[],4,FALSE)</f>
        <v>960</v>
      </c>
      <c r="Q401" s="6">
        <f>OrganizedData[[#This Row],[Total Items Ordered]]*VLOOKUP(OrganizedData[[#This Row],[Product Code]],ProductData[],3,FALSE)</f>
        <v>662.4</v>
      </c>
      <c r="R4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402" spans="1:18" x14ac:dyDescent="0.3">
      <c r="A402" s="2">
        <v>395</v>
      </c>
      <c r="B402" s="2" t="s">
        <v>1545</v>
      </c>
      <c r="C402" s="2" t="s">
        <v>1546</v>
      </c>
      <c r="D402" s="2" t="s">
        <v>15</v>
      </c>
      <c r="E402" s="2" t="s">
        <v>16</v>
      </c>
      <c r="F402" s="2">
        <v>90</v>
      </c>
      <c r="G402" s="2" t="s">
        <v>1547</v>
      </c>
      <c r="H402" s="2" t="s">
        <v>1548</v>
      </c>
      <c r="I402" s="2" t="s">
        <v>1549</v>
      </c>
      <c r="J402" s="3">
        <v>44467</v>
      </c>
      <c r="K402" s="5">
        <f>YEAR(OrganizedData[[#This Row],[Order Date]])</f>
        <v>2021</v>
      </c>
      <c r="L402" s="7" t="str">
        <f>TEXT(OrganizedData[[#This Row],[Order Date]],"mmm")</f>
        <v>Sep</v>
      </c>
      <c r="M402" s="2">
        <v>21</v>
      </c>
      <c r="N402" s="2" t="s">
        <v>70</v>
      </c>
      <c r="O402" s="2" t="str">
        <f>VLOOKUP(OrganizedData[[#This Row],[Product Code]],ProductData[[Code]:[Item]],2,FALSE)</f>
        <v>Megawidget M</v>
      </c>
      <c r="P402" s="4">
        <f>OrganizedData[[#This Row],[Quantity]]*VLOOKUP(OrganizedData[[#This Row],[Product Code]],ProductData[],4,FALSE)</f>
        <v>504</v>
      </c>
      <c r="Q402" s="6">
        <f>OrganizedData[[#This Row],[Total Items Ordered]]*VLOOKUP(OrganizedData[[#This Row],[Product Code]],ProductData[],3,FALSE)</f>
        <v>650.16</v>
      </c>
      <c r="R4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630.65519999999992</v>
      </c>
    </row>
    <row r="403" spans="1:18" x14ac:dyDescent="0.3">
      <c r="A403" s="2">
        <v>396</v>
      </c>
      <c r="B403" s="2" t="s">
        <v>1550</v>
      </c>
      <c r="C403" s="2" t="s">
        <v>1551</v>
      </c>
      <c r="D403" s="2" t="s">
        <v>51</v>
      </c>
      <c r="E403" s="2" t="s">
        <v>16</v>
      </c>
      <c r="F403" s="2">
        <v>60</v>
      </c>
      <c r="G403" s="2" t="s">
        <v>1552</v>
      </c>
      <c r="H403" s="2" t="s">
        <v>1064</v>
      </c>
      <c r="I403" s="2" t="s">
        <v>886</v>
      </c>
      <c r="J403" s="3">
        <v>43959</v>
      </c>
      <c r="K403" s="5">
        <f>YEAR(OrganizedData[[#This Row],[Order Date]])</f>
        <v>2020</v>
      </c>
      <c r="L403" s="7" t="str">
        <f>TEXT(OrganizedData[[#This Row],[Order Date]],"mmm")</f>
        <v>May</v>
      </c>
      <c r="M403" s="2">
        <v>63</v>
      </c>
      <c r="N403" s="2" t="s">
        <v>33</v>
      </c>
      <c r="O403" s="2" t="str">
        <f>VLOOKUP(OrganizedData[[#This Row],[Product Code]],ProductData[[Code]:[Item]],2,FALSE)</f>
        <v>Megawidget L</v>
      </c>
      <c r="P403" s="4">
        <f>OrganizedData[[#This Row],[Quantity]]*VLOOKUP(OrganizedData[[#This Row],[Product Code]],ProductData[],4,FALSE)</f>
        <v>1512</v>
      </c>
      <c r="Q403" s="6">
        <f>OrganizedData[[#This Row],[Total Items Ordered]]*VLOOKUP(OrganizedData[[#This Row],[Product Code]],ProductData[],3,FALSE)</f>
        <v>2706.48</v>
      </c>
      <c r="R4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2571.1559999999999</v>
      </c>
    </row>
    <row r="404" spans="1:18" x14ac:dyDescent="0.3">
      <c r="A404" s="2">
        <v>397</v>
      </c>
      <c r="B404" s="2" t="s">
        <v>1553</v>
      </c>
      <c r="C404" s="2" t="s">
        <v>1554</v>
      </c>
      <c r="D404" s="2" t="s">
        <v>28</v>
      </c>
      <c r="E404" s="2" t="s">
        <v>29</v>
      </c>
      <c r="F404" s="2">
        <v>90</v>
      </c>
      <c r="G404" s="2" t="s">
        <v>1555</v>
      </c>
      <c r="H404" s="2" t="s">
        <v>1556</v>
      </c>
      <c r="I404" s="2" t="s">
        <v>1311</v>
      </c>
      <c r="J404" s="3">
        <v>44887</v>
      </c>
      <c r="K404" s="5">
        <f>YEAR(OrganizedData[[#This Row],[Order Date]])</f>
        <v>2022</v>
      </c>
      <c r="L404" s="7" t="str">
        <f>TEXT(OrganizedData[[#This Row],[Order Date]],"mmm")</f>
        <v>Nov</v>
      </c>
      <c r="M404" s="2">
        <v>65</v>
      </c>
      <c r="N404" s="2" t="s">
        <v>101</v>
      </c>
      <c r="O404" s="2" t="str">
        <f>VLOOKUP(OrganizedData[[#This Row],[Product Code]],ProductData[[Code]:[Item]],2,FALSE)</f>
        <v>Superwossname</v>
      </c>
      <c r="P404" s="4">
        <f>OrganizedData[[#This Row],[Quantity]]*VLOOKUP(OrganizedData[[#This Row],[Product Code]],ProductData[],4,FALSE)</f>
        <v>1300</v>
      </c>
      <c r="Q404" s="6">
        <f>OrganizedData[[#This Row],[Total Items Ordered]]*VLOOKUP(OrganizedData[[#This Row],[Product Code]],ProductData[],3,FALSE)</f>
        <v>4537</v>
      </c>
      <c r="R4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4310.1499999999996</v>
      </c>
    </row>
    <row r="405" spans="1:18" x14ac:dyDescent="0.3">
      <c r="A405" s="2">
        <v>398</v>
      </c>
      <c r="B405" s="2" t="s">
        <v>1557</v>
      </c>
      <c r="C405" s="2" t="s">
        <v>1558</v>
      </c>
      <c r="D405" s="2" t="s">
        <v>15</v>
      </c>
      <c r="E405" s="2" t="s">
        <v>16</v>
      </c>
      <c r="F405" s="2">
        <v>60</v>
      </c>
      <c r="G405" s="2" t="s">
        <v>1559</v>
      </c>
      <c r="H405" s="2" t="s">
        <v>641</v>
      </c>
      <c r="I405" s="2" t="s">
        <v>294</v>
      </c>
      <c r="J405" s="3">
        <v>44165</v>
      </c>
      <c r="K405" s="5">
        <f>YEAR(OrganizedData[[#This Row],[Order Date]])</f>
        <v>2020</v>
      </c>
      <c r="L405" s="7" t="str">
        <f>TEXT(OrganizedData[[#This Row],[Order Date]],"mmm")</f>
        <v>Nov</v>
      </c>
      <c r="M405" s="2">
        <v>71</v>
      </c>
      <c r="N405" s="2" t="s">
        <v>54</v>
      </c>
      <c r="O405" s="2" t="str">
        <f>VLOOKUP(OrganizedData[[#This Row],[Product Code]],ProductData[[Code]:[Item]],2,FALSE)</f>
        <v>Megawidget S</v>
      </c>
      <c r="P405" s="4">
        <f>OrganizedData[[#This Row],[Quantity]]*VLOOKUP(OrganizedData[[#This Row],[Product Code]],ProductData[],4,FALSE)</f>
        <v>1704</v>
      </c>
      <c r="Q405" s="6">
        <f>OrganizedData[[#This Row],[Total Items Ordered]]*VLOOKUP(OrganizedData[[#This Row],[Product Code]],ProductData[],3,FALSE)</f>
        <v>1175.76</v>
      </c>
      <c r="R4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1116.972</v>
      </c>
    </row>
    <row r="406" spans="1:18" x14ac:dyDescent="0.3">
      <c r="A406" s="2">
        <v>399</v>
      </c>
      <c r="B406" s="2" t="s">
        <v>1560</v>
      </c>
      <c r="C406" s="2" t="s">
        <v>1561</v>
      </c>
      <c r="D406" s="2" t="s">
        <v>15</v>
      </c>
      <c r="E406" s="2" t="s">
        <v>16</v>
      </c>
      <c r="F406" s="2">
        <v>30</v>
      </c>
      <c r="G406" s="2" t="s">
        <v>1562</v>
      </c>
      <c r="H406" s="2" t="s">
        <v>641</v>
      </c>
      <c r="I406" s="2" t="s">
        <v>294</v>
      </c>
      <c r="J406" s="3">
        <v>44243</v>
      </c>
      <c r="K406" s="5">
        <f>YEAR(OrganizedData[[#This Row],[Order Date]])</f>
        <v>2021</v>
      </c>
      <c r="L406" s="7" t="str">
        <f>TEXT(OrganizedData[[#This Row],[Order Date]],"mmm")</f>
        <v>Feb</v>
      </c>
      <c r="M406" s="2">
        <v>27</v>
      </c>
      <c r="N406" s="2" t="s">
        <v>20</v>
      </c>
      <c r="O406" s="2" t="str">
        <f>VLOOKUP(OrganizedData[[#This Row],[Product Code]],ProductData[[Code]:[Item]],2,FALSE)</f>
        <v>Hyperwotsit</v>
      </c>
      <c r="P406" s="4">
        <f>OrganizedData[[#This Row],[Quantity]]*VLOOKUP(OrganizedData[[#This Row],[Product Code]],ProductData[],4,FALSE)</f>
        <v>540</v>
      </c>
      <c r="Q406" s="6">
        <f>OrganizedData[[#This Row],[Total Items Ordered]]*VLOOKUP(OrganizedData[[#This Row],[Product Code]],ProductData[],3,FALSE)</f>
        <v>1085.3999999999999</v>
      </c>
      <c r="R4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1052.8379999999997</v>
      </c>
    </row>
    <row r="407" spans="1:18" x14ac:dyDescent="0.3">
      <c r="A407" s="2">
        <v>400</v>
      </c>
      <c r="B407" s="2" t="s">
        <v>1563</v>
      </c>
      <c r="C407" s="2" t="s">
        <v>1564</v>
      </c>
      <c r="D407" s="2" t="s">
        <v>51</v>
      </c>
      <c r="E407" s="2" t="s">
        <v>16</v>
      </c>
      <c r="F407" s="2">
        <v>90</v>
      </c>
      <c r="G407" s="2" t="s">
        <v>1565</v>
      </c>
      <c r="H407" s="2" t="s">
        <v>877</v>
      </c>
      <c r="I407" s="2" t="s">
        <v>32</v>
      </c>
      <c r="J407" s="3">
        <v>44589</v>
      </c>
      <c r="K407" s="5">
        <f>YEAR(OrganizedData[[#This Row],[Order Date]])</f>
        <v>2022</v>
      </c>
      <c r="L407" s="7" t="str">
        <f>TEXT(OrganizedData[[#This Row],[Order Date]],"mmm")</f>
        <v>Jan</v>
      </c>
      <c r="M407" s="2">
        <v>19</v>
      </c>
      <c r="N407" s="2" t="s">
        <v>39</v>
      </c>
      <c r="O407" s="2" t="str">
        <f>VLOOKUP(OrganizedData[[#This Row],[Product Code]],ProductData[[Code]:[Item]],2,FALSE)</f>
        <v>Ultrathing V1</v>
      </c>
      <c r="P407" s="4">
        <f>OrganizedData[[#This Row],[Quantity]]*VLOOKUP(OrganizedData[[#This Row],[Product Code]],ProductData[],4,FALSE)</f>
        <v>323</v>
      </c>
      <c r="Q407" s="6">
        <f>OrganizedData[[#This Row],[Total Items Ordered]]*VLOOKUP(OrganizedData[[#This Row],[Product Code]],ProductData[],3,FALSE)</f>
        <v>578.16999999999996</v>
      </c>
      <c r="R4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578.16999999999996</v>
      </c>
    </row>
    <row r="408" spans="1:18" x14ac:dyDescent="0.3">
      <c r="A408" s="2">
        <v>401</v>
      </c>
      <c r="B408" s="2" t="s">
        <v>476</v>
      </c>
      <c r="C408" s="2" t="s">
        <v>1566</v>
      </c>
      <c r="D408" s="2" t="s">
        <v>28</v>
      </c>
      <c r="E408" s="2" t="s">
        <v>29</v>
      </c>
      <c r="F408" s="2">
        <v>90</v>
      </c>
      <c r="G408" s="2" t="s">
        <v>1567</v>
      </c>
      <c r="H408" s="2" t="s">
        <v>1568</v>
      </c>
      <c r="I408" s="2" t="s">
        <v>32</v>
      </c>
      <c r="J408" s="3">
        <v>43997</v>
      </c>
      <c r="K408" s="5">
        <f>YEAR(OrganizedData[[#This Row],[Order Date]])</f>
        <v>2020</v>
      </c>
      <c r="L408" s="7" t="str">
        <f>TEXT(OrganizedData[[#This Row],[Order Date]],"mmm")</f>
        <v>Jun</v>
      </c>
      <c r="M408" s="2">
        <v>30</v>
      </c>
      <c r="N408" s="2" t="s">
        <v>64</v>
      </c>
      <c r="O408" s="2" t="str">
        <f>VLOOKUP(OrganizedData[[#This Row],[Product Code]],ProductData[[Code]:[Item]],2,FALSE)</f>
        <v>Ultrathing V4</v>
      </c>
      <c r="P408" s="4">
        <f>OrganizedData[[#This Row],[Quantity]]*VLOOKUP(OrganizedData[[#This Row],[Product Code]],ProductData[],4,FALSE)</f>
        <v>720</v>
      </c>
      <c r="Q408" s="6">
        <f>OrganizedData[[#This Row],[Total Items Ordered]]*VLOOKUP(OrganizedData[[#This Row],[Product Code]],ProductData[],3,FALSE)</f>
        <v>2872.8</v>
      </c>
      <c r="R4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2786.616</v>
      </c>
    </row>
    <row r="409" spans="1:18" x14ac:dyDescent="0.3">
      <c r="A409" s="2">
        <v>402</v>
      </c>
      <c r="B409" s="2" t="s">
        <v>1569</v>
      </c>
      <c r="C409" s="2" t="s">
        <v>1251</v>
      </c>
      <c r="D409" s="2" t="s">
        <v>15</v>
      </c>
      <c r="E409" s="2" t="s">
        <v>16</v>
      </c>
      <c r="F409" s="2">
        <v>30</v>
      </c>
      <c r="G409" s="2" t="s">
        <v>1570</v>
      </c>
      <c r="H409" s="2" t="s">
        <v>1571</v>
      </c>
      <c r="I409" s="2" t="s">
        <v>110</v>
      </c>
      <c r="J409" s="3">
        <v>44766</v>
      </c>
      <c r="K409" s="5">
        <f>YEAR(OrganizedData[[#This Row],[Order Date]])</f>
        <v>2022</v>
      </c>
      <c r="L409" s="7" t="str">
        <f>TEXT(OrganizedData[[#This Row],[Order Date]],"mmm")</f>
        <v>Jul</v>
      </c>
      <c r="M409" s="2">
        <v>41</v>
      </c>
      <c r="N409" s="2" t="s">
        <v>45</v>
      </c>
      <c r="O409" s="2" t="str">
        <f>VLOOKUP(OrganizedData[[#This Row],[Product Code]],ProductData[[Code]:[Item]],2,FALSE)</f>
        <v>Gigastuff</v>
      </c>
      <c r="P409" s="4">
        <f>OrganizedData[[#This Row],[Quantity]]*VLOOKUP(OrganizedData[[#This Row],[Product Code]],ProductData[],4,FALSE)</f>
        <v>738</v>
      </c>
      <c r="Q409" s="6">
        <f>OrganizedData[[#This Row],[Total Items Ordered]]*VLOOKUP(OrganizedData[[#This Row],[Product Code]],ProductData[],3,FALSE)</f>
        <v>1394.82</v>
      </c>
      <c r="R4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410" spans="1:18" x14ac:dyDescent="0.3">
      <c r="A410" s="2">
        <v>403</v>
      </c>
      <c r="B410" s="2" t="s">
        <v>1572</v>
      </c>
      <c r="C410" s="2" t="s">
        <v>1573</v>
      </c>
      <c r="D410" s="2" t="s">
        <v>28</v>
      </c>
      <c r="E410" s="2" t="s">
        <v>29</v>
      </c>
      <c r="F410" s="2">
        <v>30</v>
      </c>
      <c r="G410" s="2" t="s">
        <v>1574</v>
      </c>
      <c r="H410" s="2" t="s">
        <v>1575</v>
      </c>
      <c r="I410" s="2" t="s">
        <v>1576</v>
      </c>
      <c r="J410" s="3">
        <v>44021</v>
      </c>
      <c r="K410" s="5">
        <f>YEAR(OrganizedData[[#This Row],[Order Date]])</f>
        <v>2020</v>
      </c>
      <c r="L410" s="7" t="str">
        <f>TEXT(OrganizedData[[#This Row],[Order Date]],"mmm")</f>
        <v>Jul</v>
      </c>
      <c r="M410" s="2">
        <v>38</v>
      </c>
      <c r="N410" s="2" t="s">
        <v>159</v>
      </c>
      <c r="O410" s="2" t="str">
        <f>VLOOKUP(OrganizedData[[#This Row],[Product Code]],ProductData[[Code]:[Item]],2,FALSE)</f>
        <v>Ultrathing V3</v>
      </c>
      <c r="P410" s="4">
        <f>OrganizedData[[#This Row],[Quantity]]*VLOOKUP(OrganizedData[[#This Row],[Product Code]],ProductData[],4,FALSE)</f>
        <v>912</v>
      </c>
      <c r="Q410" s="6">
        <f>OrganizedData[[#This Row],[Total Items Ordered]]*VLOOKUP(OrganizedData[[#This Row],[Product Code]],ProductData[],3,FALSE)</f>
        <v>3091.6800000000003</v>
      </c>
      <c r="R4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2998.9296000000004</v>
      </c>
    </row>
    <row r="411" spans="1:18" x14ac:dyDescent="0.3">
      <c r="A411" s="2">
        <v>404</v>
      </c>
      <c r="B411" s="2" t="s">
        <v>1577</v>
      </c>
      <c r="C411" s="2" t="s">
        <v>1578</v>
      </c>
      <c r="D411" s="2" t="s">
        <v>15</v>
      </c>
      <c r="E411" s="2" t="s">
        <v>16</v>
      </c>
      <c r="F411" s="2">
        <v>30</v>
      </c>
      <c r="G411" s="2" t="s">
        <v>1579</v>
      </c>
      <c r="H411" s="2" t="s">
        <v>1095</v>
      </c>
      <c r="I411" s="2" t="s">
        <v>178</v>
      </c>
      <c r="J411" s="3">
        <v>44592</v>
      </c>
      <c r="K411" s="5">
        <f>YEAR(OrganizedData[[#This Row],[Order Date]])</f>
        <v>2022</v>
      </c>
      <c r="L411" s="7" t="str">
        <f>TEXT(OrganizedData[[#This Row],[Order Date]],"mmm")</f>
        <v>Jan</v>
      </c>
      <c r="M411" s="2">
        <v>31</v>
      </c>
      <c r="N411" s="2" t="s">
        <v>39</v>
      </c>
      <c r="O411" s="2" t="str">
        <f>VLOOKUP(OrganizedData[[#This Row],[Product Code]],ProductData[[Code]:[Item]],2,FALSE)</f>
        <v>Ultrathing V1</v>
      </c>
      <c r="P411" s="4">
        <f>OrganizedData[[#This Row],[Quantity]]*VLOOKUP(OrganizedData[[#This Row],[Product Code]],ProductData[],4,FALSE)</f>
        <v>527</v>
      </c>
      <c r="Q411" s="6">
        <f>OrganizedData[[#This Row],[Total Items Ordered]]*VLOOKUP(OrganizedData[[#This Row],[Product Code]],ProductData[],3,FALSE)</f>
        <v>943.33</v>
      </c>
      <c r="R4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412" spans="1:18" x14ac:dyDescent="0.3">
      <c r="A412" s="2">
        <v>405</v>
      </c>
      <c r="B412" s="2" t="s">
        <v>1580</v>
      </c>
      <c r="C412" s="2" t="s">
        <v>1581</v>
      </c>
      <c r="D412" s="2" t="s">
        <v>41</v>
      </c>
      <c r="E412" s="2" t="s">
        <v>16</v>
      </c>
      <c r="F412" s="2">
        <v>30</v>
      </c>
      <c r="G412" s="2" t="s">
        <v>1582</v>
      </c>
      <c r="H412" s="2" t="s">
        <v>1583</v>
      </c>
      <c r="I412" s="2" t="s">
        <v>178</v>
      </c>
      <c r="J412" s="3">
        <v>43950</v>
      </c>
      <c r="K412" s="5">
        <f>YEAR(OrganizedData[[#This Row],[Order Date]])</f>
        <v>2020</v>
      </c>
      <c r="L412" s="7" t="str">
        <f>TEXT(OrganizedData[[#This Row],[Order Date]],"mmm")</f>
        <v>Apr</v>
      </c>
      <c r="M412" s="2">
        <v>5</v>
      </c>
      <c r="N412" s="2" t="s">
        <v>101</v>
      </c>
      <c r="O412" s="2" t="str">
        <f>VLOOKUP(OrganizedData[[#This Row],[Product Code]],ProductData[[Code]:[Item]],2,FALSE)</f>
        <v>Superwossname</v>
      </c>
      <c r="P412" s="4">
        <f>OrganizedData[[#This Row],[Quantity]]*VLOOKUP(OrganizedData[[#This Row],[Product Code]],ProductData[],4,FALSE)</f>
        <v>100</v>
      </c>
      <c r="Q412" s="6">
        <f>OrganizedData[[#This Row],[Total Items Ordered]]*VLOOKUP(OrganizedData[[#This Row],[Product Code]],ProductData[],3,FALSE)</f>
        <v>349</v>
      </c>
      <c r="R4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413" spans="1:18" x14ac:dyDescent="0.3">
      <c r="A413" s="2">
        <v>406</v>
      </c>
      <c r="B413" s="2" t="s">
        <v>1584</v>
      </c>
      <c r="C413" s="2" t="s">
        <v>1585</v>
      </c>
      <c r="D413" s="2" t="s">
        <v>15</v>
      </c>
      <c r="E413" s="2" t="s">
        <v>16</v>
      </c>
      <c r="F413" s="2">
        <v>30</v>
      </c>
      <c r="G413" s="2" t="s">
        <v>1586</v>
      </c>
      <c r="H413" s="2" t="s">
        <v>1587</v>
      </c>
      <c r="I413" s="2" t="s">
        <v>32</v>
      </c>
      <c r="J413" s="3">
        <v>43997</v>
      </c>
      <c r="K413" s="5">
        <f>YEAR(OrganizedData[[#This Row],[Order Date]])</f>
        <v>2020</v>
      </c>
      <c r="L413" s="7" t="str">
        <f>TEXT(OrganizedData[[#This Row],[Order Date]],"mmm")</f>
        <v>Jun</v>
      </c>
      <c r="M413" s="2">
        <v>37</v>
      </c>
      <c r="N413" s="2" t="s">
        <v>70</v>
      </c>
      <c r="O413" s="2" t="str">
        <f>VLOOKUP(OrganizedData[[#This Row],[Product Code]],ProductData[[Code]:[Item]],2,FALSE)</f>
        <v>Megawidget M</v>
      </c>
      <c r="P413" s="4">
        <f>OrganizedData[[#This Row],[Quantity]]*VLOOKUP(OrganizedData[[#This Row],[Product Code]],ProductData[],4,FALSE)</f>
        <v>888</v>
      </c>
      <c r="Q413" s="6">
        <f>OrganizedData[[#This Row],[Total Items Ordered]]*VLOOKUP(OrganizedData[[#This Row],[Product Code]],ProductData[],3,FALSE)</f>
        <v>1145.52</v>
      </c>
      <c r="R4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414" spans="1:18" x14ac:dyDescent="0.3">
      <c r="A414" s="2">
        <v>407</v>
      </c>
      <c r="B414" s="2" t="s">
        <v>1506</v>
      </c>
      <c r="C414" s="2" t="s">
        <v>1588</v>
      </c>
      <c r="D414" s="2" t="s">
        <v>15</v>
      </c>
      <c r="E414" s="2" t="s">
        <v>16</v>
      </c>
      <c r="F414" s="2">
        <v>90</v>
      </c>
      <c r="G414" s="2" t="s">
        <v>1589</v>
      </c>
      <c r="H414" s="2" t="s">
        <v>1590</v>
      </c>
      <c r="I414" s="2" t="s">
        <v>32</v>
      </c>
      <c r="J414" s="3">
        <v>44223</v>
      </c>
      <c r="K414" s="5">
        <f>YEAR(OrganizedData[[#This Row],[Order Date]])</f>
        <v>2021</v>
      </c>
      <c r="L414" s="7" t="str">
        <f>TEXT(OrganizedData[[#This Row],[Order Date]],"mmm")</f>
        <v>Jan</v>
      </c>
      <c r="M414" s="2">
        <v>66</v>
      </c>
      <c r="N414" s="2" t="s">
        <v>20</v>
      </c>
      <c r="O414" s="2" t="str">
        <f>VLOOKUP(OrganizedData[[#This Row],[Product Code]],ProductData[[Code]:[Item]],2,FALSE)</f>
        <v>Hyperwotsit</v>
      </c>
      <c r="P414" s="4">
        <f>OrganizedData[[#This Row],[Quantity]]*VLOOKUP(OrganizedData[[#This Row],[Product Code]],ProductData[],4,FALSE)</f>
        <v>1320</v>
      </c>
      <c r="Q414" s="6">
        <f>OrganizedData[[#This Row],[Total Items Ordered]]*VLOOKUP(OrganizedData[[#This Row],[Product Code]],ProductData[],3,FALSE)</f>
        <v>2653.2</v>
      </c>
      <c r="R4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2520.5399999999995</v>
      </c>
    </row>
    <row r="415" spans="1:18" x14ac:dyDescent="0.3">
      <c r="A415" s="2">
        <v>408</v>
      </c>
      <c r="B415" s="2" t="s">
        <v>1591</v>
      </c>
      <c r="C415" s="2" t="s">
        <v>1592</v>
      </c>
      <c r="D415" s="2" t="s">
        <v>15</v>
      </c>
      <c r="E415" s="2" t="s">
        <v>16</v>
      </c>
      <c r="F415" s="2">
        <v>90</v>
      </c>
      <c r="G415" s="2" t="s">
        <v>1593</v>
      </c>
      <c r="H415" s="2" t="s">
        <v>1594</v>
      </c>
      <c r="I415" s="2" t="s">
        <v>178</v>
      </c>
      <c r="J415" s="3">
        <v>44403</v>
      </c>
      <c r="K415" s="5">
        <f>YEAR(OrganizedData[[#This Row],[Order Date]])</f>
        <v>2021</v>
      </c>
      <c r="L415" s="7" t="str">
        <f>TEXT(OrganizedData[[#This Row],[Order Date]],"mmm")</f>
        <v>Jul</v>
      </c>
      <c r="M415" s="2">
        <v>32</v>
      </c>
      <c r="N415" s="2" t="s">
        <v>20</v>
      </c>
      <c r="O415" s="2" t="str">
        <f>VLOOKUP(OrganizedData[[#This Row],[Product Code]],ProductData[[Code]:[Item]],2,FALSE)</f>
        <v>Hyperwotsit</v>
      </c>
      <c r="P415" s="4">
        <f>OrganizedData[[#This Row],[Quantity]]*VLOOKUP(OrganizedData[[#This Row],[Product Code]],ProductData[],4,FALSE)</f>
        <v>640</v>
      </c>
      <c r="Q415" s="6">
        <f>OrganizedData[[#This Row],[Total Items Ordered]]*VLOOKUP(OrganizedData[[#This Row],[Product Code]],ProductData[],3,FALSE)</f>
        <v>1286.3999999999999</v>
      </c>
      <c r="R4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416" spans="1:18" x14ac:dyDescent="0.3">
      <c r="A416" s="2">
        <v>409</v>
      </c>
      <c r="B416" s="2" t="s">
        <v>1595</v>
      </c>
      <c r="C416" s="2" t="s">
        <v>1596</v>
      </c>
      <c r="D416" s="2" t="s">
        <v>15</v>
      </c>
      <c r="E416" s="2" t="s">
        <v>16</v>
      </c>
      <c r="F416" s="2">
        <v>60</v>
      </c>
      <c r="G416" s="2" t="s">
        <v>10419</v>
      </c>
      <c r="H416" s="2" t="s">
        <v>1598</v>
      </c>
      <c r="I416" s="2" t="s">
        <v>32</v>
      </c>
      <c r="J416" s="3">
        <v>44450</v>
      </c>
      <c r="K416" s="5">
        <f>YEAR(OrganizedData[[#This Row],[Order Date]])</f>
        <v>2021</v>
      </c>
      <c r="L416" s="7" t="str">
        <f>TEXT(OrganizedData[[#This Row],[Order Date]],"mmm")</f>
        <v>Sep</v>
      </c>
      <c r="M416" s="2">
        <v>25</v>
      </c>
      <c r="N416" s="2" t="s">
        <v>54</v>
      </c>
      <c r="O416" s="2" t="str">
        <f>VLOOKUP(OrganizedData[[#This Row],[Product Code]],ProductData[[Code]:[Item]],2,FALSE)</f>
        <v>Megawidget S</v>
      </c>
      <c r="P416" s="4">
        <f>OrganizedData[[#This Row],[Quantity]]*VLOOKUP(OrganizedData[[#This Row],[Product Code]],ProductData[],4,FALSE)</f>
        <v>600</v>
      </c>
      <c r="Q416" s="6">
        <f>OrganizedData[[#This Row],[Total Items Ordered]]*VLOOKUP(OrganizedData[[#This Row],[Product Code]],ProductData[],3,FALSE)</f>
        <v>413.99999999999994</v>
      </c>
      <c r="R4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401.57999999999993</v>
      </c>
    </row>
    <row r="417" spans="1:18" x14ac:dyDescent="0.3">
      <c r="A417" s="2">
        <v>410</v>
      </c>
      <c r="B417" s="2" t="s">
        <v>1290</v>
      </c>
      <c r="C417" s="2" t="s">
        <v>1599</v>
      </c>
      <c r="D417" s="2" t="s">
        <v>51</v>
      </c>
      <c r="E417" s="2" t="s">
        <v>16</v>
      </c>
      <c r="F417" s="2">
        <v>30</v>
      </c>
      <c r="G417" s="2" t="s">
        <v>1600</v>
      </c>
      <c r="H417" s="2" t="s">
        <v>1601</v>
      </c>
      <c r="I417" s="2" t="s">
        <v>32</v>
      </c>
      <c r="J417" s="3">
        <v>44353</v>
      </c>
      <c r="K417" s="5">
        <f>YEAR(OrganizedData[[#This Row],[Order Date]])</f>
        <v>2021</v>
      </c>
      <c r="L417" s="7" t="str">
        <f>TEXT(OrganizedData[[#This Row],[Order Date]],"mmm")</f>
        <v>Jun</v>
      </c>
      <c r="M417" s="2">
        <v>63</v>
      </c>
      <c r="N417" s="2" t="s">
        <v>39</v>
      </c>
      <c r="O417" s="2" t="str">
        <f>VLOOKUP(OrganizedData[[#This Row],[Product Code]],ProductData[[Code]:[Item]],2,FALSE)</f>
        <v>Ultrathing V1</v>
      </c>
      <c r="P417" s="4">
        <f>OrganizedData[[#This Row],[Quantity]]*VLOOKUP(OrganizedData[[#This Row],[Product Code]],ProductData[],4,FALSE)</f>
        <v>1071</v>
      </c>
      <c r="Q417" s="6">
        <f>OrganizedData[[#This Row],[Total Items Ordered]]*VLOOKUP(OrganizedData[[#This Row],[Product Code]],ProductData[],3,FALSE)</f>
        <v>1917.0900000000001</v>
      </c>
      <c r="R4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418" spans="1:18" x14ac:dyDescent="0.3">
      <c r="A418" s="2">
        <v>411</v>
      </c>
      <c r="B418" s="2" t="s">
        <v>1602</v>
      </c>
      <c r="C418" s="2" t="s">
        <v>1603</v>
      </c>
      <c r="D418" s="2" t="s">
        <v>15</v>
      </c>
      <c r="E418" s="2" t="s">
        <v>16</v>
      </c>
      <c r="F418" s="2">
        <v>90</v>
      </c>
      <c r="G418" s="2" t="s">
        <v>1604</v>
      </c>
      <c r="H418" s="2" t="s">
        <v>1605</v>
      </c>
      <c r="I418" s="2" t="s">
        <v>32</v>
      </c>
      <c r="J418" s="3">
        <v>44864</v>
      </c>
      <c r="K418" s="5">
        <f>YEAR(OrganizedData[[#This Row],[Order Date]])</f>
        <v>2022</v>
      </c>
      <c r="L418" s="7" t="str">
        <f>TEXT(OrganizedData[[#This Row],[Order Date]],"mmm")</f>
        <v>Oct</v>
      </c>
      <c r="M418" s="2">
        <v>99</v>
      </c>
      <c r="N418" s="2" t="s">
        <v>45</v>
      </c>
      <c r="O418" s="2" t="str">
        <f>VLOOKUP(OrganizedData[[#This Row],[Product Code]],ProductData[[Code]:[Item]],2,FALSE)</f>
        <v>Gigastuff</v>
      </c>
      <c r="P418" s="4">
        <f>OrganizedData[[#This Row],[Quantity]]*VLOOKUP(OrganizedData[[#This Row],[Product Code]],ProductData[],4,FALSE)</f>
        <v>1782</v>
      </c>
      <c r="Q418" s="6">
        <f>OrganizedData[[#This Row],[Total Items Ordered]]*VLOOKUP(OrganizedData[[#This Row],[Product Code]],ProductData[],3,FALSE)</f>
        <v>3367.98</v>
      </c>
      <c r="R4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3199.5809999999997</v>
      </c>
    </row>
    <row r="419" spans="1:18" x14ac:dyDescent="0.3">
      <c r="A419" s="2">
        <v>412</v>
      </c>
      <c r="B419" s="2" t="s">
        <v>1606</v>
      </c>
      <c r="C419" s="2" t="s">
        <v>1607</v>
      </c>
      <c r="D419" s="2" t="s">
        <v>28</v>
      </c>
      <c r="E419" s="2" t="s">
        <v>29</v>
      </c>
      <c r="F419" s="2">
        <v>60</v>
      </c>
      <c r="G419" s="2" t="s">
        <v>1608</v>
      </c>
      <c r="H419" s="2" t="s">
        <v>1609</v>
      </c>
      <c r="I419" s="2" t="s">
        <v>32</v>
      </c>
      <c r="J419" s="3">
        <v>44093</v>
      </c>
      <c r="K419" s="5">
        <f>YEAR(OrganizedData[[#This Row],[Order Date]])</f>
        <v>2020</v>
      </c>
      <c r="L419" s="7" t="str">
        <f>TEXT(OrganizedData[[#This Row],[Order Date]],"mmm")</f>
        <v>Sep</v>
      </c>
      <c r="M419" s="2">
        <v>62</v>
      </c>
      <c r="N419" s="2" t="s">
        <v>70</v>
      </c>
      <c r="O419" s="2" t="str">
        <f>VLOOKUP(OrganizedData[[#This Row],[Product Code]],ProductData[[Code]:[Item]],2,FALSE)</f>
        <v>Megawidget M</v>
      </c>
      <c r="P419" s="4">
        <f>OrganizedData[[#This Row],[Quantity]]*VLOOKUP(OrganizedData[[#This Row],[Product Code]],ProductData[],4,FALSE)</f>
        <v>1488</v>
      </c>
      <c r="Q419" s="6">
        <f>OrganizedData[[#This Row],[Total Items Ordered]]*VLOOKUP(OrganizedData[[#This Row],[Product Code]],ProductData[],3,FALSE)</f>
        <v>1919.52</v>
      </c>
      <c r="R4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420" spans="1:18" x14ac:dyDescent="0.3">
      <c r="A420" s="2">
        <v>413</v>
      </c>
      <c r="B420" s="2" t="s">
        <v>1610</v>
      </c>
      <c r="C420" s="2" t="s">
        <v>1030</v>
      </c>
      <c r="D420" s="2" t="s">
        <v>28</v>
      </c>
      <c r="E420" s="2" t="s">
        <v>29</v>
      </c>
      <c r="F420" s="2">
        <v>90</v>
      </c>
      <c r="G420" s="2" t="s">
        <v>1611</v>
      </c>
      <c r="H420" s="2" t="s">
        <v>1612</v>
      </c>
      <c r="I420" s="2" t="s">
        <v>240</v>
      </c>
      <c r="J420" s="3">
        <v>44236</v>
      </c>
      <c r="K420" s="5">
        <f>YEAR(OrganizedData[[#This Row],[Order Date]])</f>
        <v>2021</v>
      </c>
      <c r="L420" s="7" t="str">
        <f>TEXT(OrganizedData[[#This Row],[Order Date]],"mmm")</f>
        <v>Feb</v>
      </c>
      <c r="M420" s="2">
        <v>85</v>
      </c>
      <c r="N420" s="2" t="s">
        <v>80</v>
      </c>
      <c r="O420" s="2" t="str">
        <f>VLOOKUP(OrganizedData[[#This Row],[Product Code]],ProductData[[Code]:[Item]],2,FALSE)</f>
        <v>Ultrathing V2</v>
      </c>
      <c r="P420" s="4">
        <f>OrganizedData[[#This Row],[Quantity]]*VLOOKUP(OrganizedData[[#This Row],[Product Code]],ProductData[],4,FALSE)</f>
        <v>1700</v>
      </c>
      <c r="Q420" s="6">
        <f>OrganizedData[[#This Row],[Total Items Ordered]]*VLOOKUP(OrganizedData[[#This Row],[Product Code]],ProductData[],3,FALSE)</f>
        <v>5015</v>
      </c>
      <c r="R4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4764.25</v>
      </c>
    </row>
    <row r="421" spans="1:18" x14ac:dyDescent="0.3">
      <c r="A421" s="2">
        <v>414</v>
      </c>
      <c r="B421" s="2" t="s">
        <v>1613</v>
      </c>
      <c r="C421" s="2" t="s">
        <v>1614</v>
      </c>
      <c r="D421" s="2" t="s">
        <v>28</v>
      </c>
      <c r="E421" s="2" t="s">
        <v>29</v>
      </c>
      <c r="F421" s="2">
        <v>60</v>
      </c>
      <c r="G421" s="2" t="s">
        <v>1611</v>
      </c>
      <c r="H421" s="2" t="s">
        <v>1615</v>
      </c>
      <c r="I421" s="2" t="s">
        <v>32</v>
      </c>
      <c r="J421" s="3">
        <v>44140</v>
      </c>
      <c r="K421" s="5">
        <f>YEAR(OrganizedData[[#This Row],[Order Date]])</f>
        <v>2020</v>
      </c>
      <c r="L421" s="7" t="str">
        <f>TEXT(OrganizedData[[#This Row],[Order Date]],"mmm")</f>
        <v>Nov</v>
      </c>
      <c r="M421" s="2">
        <v>10</v>
      </c>
      <c r="N421" s="2" t="s">
        <v>39</v>
      </c>
      <c r="O421" s="2" t="str">
        <f>VLOOKUP(OrganizedData[[#This Row],[Product Code]],ProductData[[Code]:[Item]],2,FALSE)</f>
        <v>Ultrathing V1</v>
      </c>
      <c r="P421" s="4">
        <f>OrganizedData[[#This Row],[Quantity]]*VLOOKUP(OrganizedData[[#This Row],[Product Code]],ProductData[],4,FALSE)</f>
        <v>170</v>
      </c>
      <c r="Q421" s="6">
        <f>OrganizedData[[#This Row],[Total Items Ordered]]*VLOOKUP(OrganizedData[[#This Row],[Product Code]],ProductData[],3,FALSE)</f>
        <v>304.3</v>
      </c>
      <c r="R4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422" spans="1:18" x14ac:dyDescent="0.3">
      <c r="A422" s="2">
        <v>415</v>
      </c>
      <c r="B422" s="2" t="s">
        <v>1616</v>
      </c>
      <c r="C422" s="2" t="s">
        <v>1617</v>
      </c>
      <c r="D422" s="2" t="s">
        <v>15</v>
      </c>
      <c r="E422" s="2" t="s">
        <v>16</v>
      </c>
      <c r="F422" s="2">
        <v>60</v>
      </c>
      <c r="G422" s="2" t="s">
        <v>1618</v>
      </c>
      <c r="H422" s="2" t="s">
        <v>1619</v>
      </c>
      <c r="I422" s="2" t="s">
        <v>44</v>
      </c>
      <c r="J422" s="3">
        <v>43950</v>
      </c>
      <c r="K422" s="5">
        <f>YEAR(OrganizedData[[#This Row],[Order Date]])</f>
        <v>2020</v>
      </c>
      <c r="L422" s="7" t="str">
        <f>TEXT(OrganizedData[[#This Row],[Order Date]],"mmm")</f>
        <v>Apr</v>
      </c>
      <c r="M422" s="2">
        <v>65</v>
      </c>
      <c r="N422" s="2" t="s">
        <v>20</v>
      </c>
      <c r="O422" s="2" t="str">
        <f>VLOOKUP(OrganizedData[[#This Row],[Product Code]],ProductData[[Code]:[Item]],2,FALSE)</f>
        <v>Hyperwotsit</v>
      </c>
      <c r="P422" s="4">
        <f>OrganizedData[[#This Row],[Quantity]]*VLOOKUP(OrganizedData[[#This Row],[Product Code]],ProductData[],4,FALSE)</f>
        <v>1300</v>
      </c>
      <c r="Q422" s="6">
        <f>OrganizedData[[#This Row],[Total Items Ordered]]*VLOOKUP(OrganizedData[[#This Row],[Product Code]],ProductData[],3,FALSE)</f>
        <v>2612.9999999999995</v>
      </c>
      <c r="R4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2482.3499999999995</v>
      </c>
    </row>
    <row r="423" spans="1:18" x14ac:dyDescent="0.3">
      <c r="A423" s="2">
        <v>416</v>
      </c>
      <c r="B423" s="2" t="s">
        <v>371</v>
      </c>
      <c r="C423" s="2" t="s">
        <v>1296</v>
      </c>
      <c r="D423" s="2" t="s">
        <v>28</v>
      </c>
      <c r="E423" s="2" t="s">
        <v>29</v>
      </c>
      <c r="F423" s="2">
        <v>90</v>
      </c>
      <c r="G423" s="2" t="s">
        <v>1620</v>
      </c>
      <c r="H423" s="2" t="s">
        <v>1621</v>
      </c>
      <c r="I423" s="2" t="s">
        <v>146</v>
      </c>
      <c r="J423" s="3">
        <v>44535</v>
      </c>
      <c r="K423" s="5">
        <f>YEAR(OrganizedData[[#This Row],[Order Date]])</f>
        <v>2021</v>
      </c>
      <c r="L423" s="7" t="str">
        <f>TEXT(OrganizedData[[#This Row],[Order Date]],"mmm")</f>
        <v>Dec</v>
      </c>
      <c r="M423" s="2">
        <v>82</v>
      </c>
      <c r="N423" s="2" t="s">
        <v>101</v>
      </c>
      <c r="O423" s="2" t="str">
        <f>VLOOKUP(OrganizedData[[#This Row],[Product Code]],ProductData[[Code]:[Item]],2,FALSE)</f>
        <v>Superwossname</v>
      </c>
      <c r="P423" s="4">
        <f>OrganizedData[[#This Row],[Quantity]]*VLOOKUP(OrganizedData[[#This Row],[Product Code]],ProductData[],4,FALSE)</f>
        <v>1640</v>
      </c>
      <c r="Q423" s="6">
        <f>OrganizedData[[#This Row],[Total Items Ordered]]*VLOOKUP(OrganizedData[[#This Row],[Product Code]],ProductData[],3,FALSE)</f>
        <v>5723.6</v>
      </c>
      <c r="R4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5437.42</v>
      </c>
    </row>
    <row r="424" spans="1:18" x14ac:dyDescent="0.3">
      <c r="A424" s="2">
        <v>417</v>
      </c>
      <c r="B424" s="2" t="s">
        <v>1622</v>
      </c>
      <c r="C424" s="2" t="s">
        <v>1623</v>
      </c>
      <c r="D424" s="2" t="s">
        <v>28</v>
      </c>
      <c r="E424" s="2" t="s">
        <v>29</v>
      </c>
      <c r="F424" s="2">
        <v>60</v>
      </c>
      <c r="G424" s="2" t="s">
        <v>1624</v>
      </c>
      <c r="H424" s="2" t="s">
        <v>1625</v>
      </c>
      <c r="I424" s="2" t="s">
        <v>32</v>
      </c>
      <c r="J424" s="3">
        <v>44622</v>
      </c>
      <c r="K424" s="5">
        <f>YEAR(OrganizedData[[#This Row],[Order Date]])</f>
        <v>2022</v>
      </c>
      <c r="L424" s="7" t="str">
        <f>TEXT(OrganizedData[[#This Row],[Order Date]],"mmm")</f>
        <v>Mar</v>
      </c>
      <c r="M424" s="2">
        <v>21</v>
      </c>
      <c r="N424" s="2" t="s">
        <v>45</v>
      </c>
      <c r="O424" s="2" t="str">
        <f>VLOOKUP(OrganizedData[[#This Row],[Product Code]],ProductData[[Code]:[Item]],2,FALSE)</f>
        <v>Gigastuff</v>
      </c>
      <c r="P424" s="4">
        <f>OrganizedData[[#This Row],[Quantity]]*VLOOKUP(OrganizedData[[#This Row],[Product Code]],ProductData[],4,FALSE)</f>
        <v>378</v>
      </c>
      <c r="Q424" s="6">
        <f>OrganizedData[[#This Row],[Total Items Ordered]]*VLOOKUP(OrganizedData[[#This Row],[Product Code]],ProductData[],3,FALSE)</f>
        <v>714.42</v>
      </c>
      <c r="R4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692.98739999999998</v>
      </c>
    </row>
    <row r="425" spans="1:18" x14ac:dyDescent="0.3">
      <c r="A425" s="2">
        <v>418</v>
      </c>
      <c r="B425" s="2" t="s">
        <v>1626</v>
      </c>
      <c r="C425" s="2" t="s">
        <v>1627</v>
      </c>
      <c r="D425" s="2" t="s">
        <v>51</v>
      </c>
      <c r="E425" s="2" t="s">
        <v>16</v>
      </c>
      <c r="F425" s="2">
        <v>60</v>
      </c>
      <c r="G425" s="2" t="s">
        <v>1628</v>
      </c>
      <c r="H425" s="2" t="s">
        <v>1629</v>
      </c>
      <c r="I425" s="2" t="s">
        <v>32</v>
      </c>
      <c r="J425" s="3">
        <v>44597</v>
      </c>
      <c r="K425" s="5">
        <f>YEAR(OrganizedData[[#This Row],[Order Date]])</f>
        <v>2022</v>
      </c>
      <c r="L425" s="7" t="str">
        <f>TEXT(OrganizedData[[#This Row],[Order Date]],"mmm")</f>
        <v>Feb</v>
      </c>
      <c r="M425" s="2">
        <v>19</v>
      </c>
      <c r="N425" s="2" t="s">
        <v>20</v>
      </c>
      <c r="O425" s="2" t="str">
        <f>VLOOKUP(OrganizedData[[#This Row],[Product Code]],ProductData[[Code]:[Item]],2,FALSE)</f>
        <v>Hyperwotsit</v>
      </c>
      <c r="P425" s="4">
        <f>OrganizedData[[#This Row],[Quantity]]*VLOOKUP(OrganizedData[[#This Row],[Product Code]],ProductData[],4,FALSE)</f>
        <v>380</v>
      </c>
      <c r="Q425" s="6">
        <f>OrganizedData[[#This Row],[Total Items Ordered]]*VLOOKUP(OrganizedData[[#This Row],[Product Code]],ProductData[],3,FALSE)</f>
        <v>763.8</v>
      </c>
      <c r="R4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426" spans="1:18" x14ac:dyDescent="0.3">
      <c r="A426" s="2">
        <v>419</v>
      </c>
      <c r="B426" s="2" t="s">
        <v>1630</v>
      </c>
      <c r="C426" s="2" t="s">
        <v>708</v>
      </c>
      <c r="D426" s="2" t="s">
        <v>28</v>
      </c>
      <c r="E426" s="2" t="s">
        <v>29</v>
      </c>
      <c r="F426" s="2">
        <v>60</v>
      </c>
      <c r="G426" s="2" t="s">
        <v>1631</v>
      </c>
      <c r="H426" s="2" t="s">
        <v>1632</v>
      </c>
      <c r="I426" s="2" t="s">
        <v>32</v>
      </c>
      <c r="J426" s="3">
        <v>44694</v>
      </c>
      <c r="K426" s="5">
        <f>YEAR(OrganizedData[[#This Row],[Order Date]])</f>
        <v>2022</v>
      </c>
      <c r="L426" s="7" t="str">
        <f>TEXT(OrganizedData[[#This Row],[Order Date]],"mmm")</f>
        <v>May</v>
      </c>
      <c r="M426" s="2">
        <v>76</v>
      </c>
      <c r="N426" s="2" t="s">
        <v>39</v>
      </c>
      <c r="O426" s="2" t="str">
        <f>VLOOKUP(OrganizedData[[#This Row],[Product Code]],ProductData[[Code]:[Item]],2,FALSE)</f>
        <v>Ultrathing V1</v>
      </c>
      <c r="P426" s="4">
        <f>OrganizedData[[#This Row],[Quantity]]*VLOOKUP(OrganizedData[[#This Row],[Product Code]],ProductData[],4,FALSE)</f>
        <v>1292</v>
      </c>
      <c r="Q426" s="6">
        <f>OrganizedData[[#This Row],[Total Items Ordered]]*VLOOKUP(OrganizedData[[#This Row],[Product Code]],ProductData[],3,FALSE)</f>
        <v>2312.6799999999998</v>
      </c>
      <c r="R4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427" spans="1:18" x14ac:dyDescent="0.3">
      <c r="A427" s="2">
        <v>420</v>
      </c>
      <c r="B427" s="2" t="s">
        <v>179</v>
      </c>
      <c r="C427" s="2" t="s">
        <v>357</v>
      </c>
      <c r="D427" s="2" t="s">
        <v>28</v>
      </c>
      <c r="E427" s="2" t="s">
        <v>29</v>
      </c>
      <c r="F427" s="2">
        <v>90</v>
      </c>
      <c r="G427" s="2" t="s">
        <v>1633</v>
      </c>
      <c r="H427" s="2" t="s">
        <v>750</v>
      </c>
      <c r="I427" s="2" t="s">
        <v>25</v>
      </c>
      <c r="J427" s="3">
        <v>44461</v>
      </c>
      <c r="K427" s="5">
        <f>YEAR(OrganizedData[[#This Row],[Order Date]])</f>
        <v>2021</v>
      </c>
      <c r="L427" s="7" t="str">
        <f>TEXT(OrganizedData[[#This Row],[Order Date]],"mmm")</f>
        <v>Sep</v>
      </c>
      <c r="M427" s="2">
        <v>41</v>
      </c>
      <c r="N427" s="2" t="s">
        <v>159</v>
      </c>
      <c r="O427" s="2" t="str">
        <f>VLOOKUP(OrganizedData[[#This Row],[Product Code]],ProductData[[Code]:[Item]],2,FALSE)</f>
        <v>Ultrathing V3</v>
      </c>
      <c r="P427" s="4">
        <f>OrganizedData[[#This Row],[Quantity]]*VLOOKUP(OrganizedData[[#This Row],[Product Code]],ProductData[],4,FALSE)</f>
        <v>984</v>
      </c>
      <c r="Q427" s="6">
        <f>OrganizedData[[#This Row],[Total Items Ordered]]*VLOOKUP(OrganizedData[[#This Row],[Product Code]],ProductData[],3,FALSE)</f>
        <v>3335.76</v>
      </c>
      <c r="R4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3235.6872000000003</v>
      </c>
    </row>
    <row r="428" spans="1:18" x14ac:dyDescent="0.3">
      <c r="A428" s="2">
        <v>421</v>
      </c>
      <c r="B428" s="2" t="s">
        <v>1634</v>
      </c>
      <c r="C428" s="2" t="s">
        <v>1635</v>
      </c>
      <c r="D428" s="2" t="s">
        <v>28</v>
      </c>
      <c r="E428" s="2" t="s">
        <v>29</v>
      </c>
      <c r="F428" s="2">
        <v>60</v>
      </c>
      <c r="G428" s="2" t="s">
        <v>1636</v>
      </c>
      <c r="H428" s="2" t="s">
        <v>137</v>
      </c>
      <c r="I428" s="2" t="s">
        <v>32</v>
      </c>
      <c r="J428" s="3">
        <v>44911</v>
      </c>
      <c r="K428" s="5">
        <f>YEAR(OrganizedData[[#This Row],[Order Date]])</f>
        <v>2022</v>
      </c>
      <c r="L428" s="7" t="str">
        <f>TEXT(OrganizedData[[#This Row],[Order Date]],"mmm")</f>
        <v>Dec</v>
      </c>
      <c r="M428" s="2">
        <v>42</v>
      </c>
      <c r="N428" s="2" t="s">
        <v>80</v>
      </c>
      <c r="O428" s="2" t="str">
        <f>VLOOKUP(OrganizedData[[#This Row],[Product Code]],ProductData[[Code]:[Item]],2,FALSE)</f>
        <v>Ultrathing V2</v>
      </c>
      <c r="P428" s="4">
        <f>OrganizedData[[#This Row],[Quantity]]*VLOOKUP(OrganizedData[[#This Row],[Product Code]],ProductData[],4,FALSE)</f>
        <v>840</v>
      </c>
      <c r="Q428" s="6">
        <f>OrganizedData[[#This Row],[Total Items Ordered]]*VLOOKUP(OrganizedData[[#This Row],[Product Code]],ProductData[],3,FALSE)</f>
        <v>2478</v>
      </c>
      <c r="R4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2403.66</v>
      </c>
    </row>
    <row r="429" spans="1:18" x14ac:dyDescent="0.3">
      <c r="A429" s="2">
        <v>422</v>
      </c>
      <c r="B429" s="2" t="s">
        <v>1637</v>
      </c>
      <c r="C429" s="2" t="s">
        <v>1638</v>
      </c>
      <c r="D429" s="2" t="s">
        <v>28</v>
      </c>
      <c r="E429" s="2" t="s">
        <v>29</v>
      </c>
      <c r="F429" s="2">
        <v>30</v>
      </c>
      <c r="G429" s="2" t="s">
        <v>1639</v>
      </c>
      <c r="H429" s="2" t="s">
        <v>498</v>
      </c>
      <c r="I429" s="2" t="s">
        <v>32</v>
      </c>
      <c r="J429" s="3">
        <v>44645</v>
      </c>
      <c r="K429" s="5">
        <f>YEAR(OrganizedData[[#This Row],[Order Date]])</f>
        <v>2022</v>
      </c>
      <c r="L429" s="7" t="str">
        <f>TEXT(OrganizedData[[#This Row],[Order Date]],"mmm")</f>
        <v>Mar</v>
      </c>
      <c r="M429" s="2">
        <v>38</v>
      </c>
      <c r="N429" s="2" t="s">
        <v>70</v>
      </c>
      <c r="O429" s="2" t="str">
        <f>VLOOKUP(OrganizedData[[#This Row],[Product Code]],ProductData[[Code]:[Item]],2,FALSE)</f>
        <v>Megawidget M</v>
      </c>
      <c r="P429" s="4">
        <f>OrganizedData[[#This Row],[Quantity]]*VLOOKUP(OrganizedData[[#This Row],[Product Code]],ProductData[],4,FALSE)</f>
        <v>912</v>
      </c>
      <c r="Q429" s="6">
        <f>OrganizedData[[#This Row],[Total Items Ordered]]*VLOOKUP(OrganizedData[[#This Row],[Product Code]],ProductData[],3,FALSE)</f>
        <v>1176.48</v>
      </c>
      <c r="R4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1141.1856</v>
      </c>
    </row>
    <row r="430" spans="1:18" x14ac:dyDescent="0.3">
      <c r="A430" s="2">
        <v>423</v>
      </c>
      <c r="B430" s="2" t="s">
        <v>1640</v>
      </c>
      <c r="C430" s="2" t="s">
        <v>1641</v>
      </c>
      <c r="D430" s="2" t="s">
        <v>51</v>
      </c>
      <c r="E430" s="2" t="s">
        <v>16</v>
      </c>
      <c r="F430" s="2">
        <v>30</v>
      </c>
      <c r="G430" s="2" t="s">
        <v>1642</v>
      </c>
      <c r="H430" s="2" t="s">
        <v>1643</v>
      </c>
      <c r="I430" s="2" t="s">
        <v>124</v>
      </c>
      <c r="J430" s="3">
        <v>44343</v>
      </c>
      <c r="K430" s="5">
        <f>YEAR(OrganizedData[[#This Row],[Order Date]])</f>
        <v>2021</v>
      </c>
      <c r="L430" s="7" t="str">
        <f>TEXT(OrganizedData[[#This Row],[Order Date]],"mmm")</f>
        <v>May</v>
      </c>
      <c r="M430" s="2">
        <v>87</v>
      </c>
      <c r="N430" s="2" t="s">
        <v>159</v>
      </c>
      <c r="O430" s="2" t="str">
        <f>VLOOKUP(OrganizedData[[#This Row],[Product Code]],ProductData[[Code]:[Item]],2,FALSE)</f>
        <v>Ultrathing V3</v>
      </c>
      <c r="P430" s="4">
        <f>OrganizedData[[#This Row],[Quantity]]*VLOOKUP(OrganizedData[[#This Row],[Product Code]],ProductData[],4,FALSE)</f>
        <v>2088</v>
      </c>
      <c r="Q430" s="6">
        <f>OrganizedData[[#This Row],[Total Items Ordered]]*VLOOKUP(OrganizedData[[#This Row],[Product Code]],ProductData[],3,FALSE)</f>
        <v>7078.3200000000006</v>
      </c>
      <c r="R4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6724.4040000000005</v>
      </c>
    </row>
    <row r="431" spans="1:18" x14ac:dyDescent="0.3">
      <c r="A431" s="2">
        <v>424</v>
      </c>
      <c r="B431" s="2" t="s">
        <v>1644</v>
      </c>
      <c r="C431" s="2" t="s">
        <v>1645</v>
      </c>
      <c r="D431" s="2" t="s">
        <v>41</v>
      </c>
      <c r="E431" s="2" t="s">
        <v>16</v>
      </c>
      <c r="F431" s="2">
        <v>90</v>
      </c>
      <c r="G431" s="2" t="s">
        <v>1646</v>
      </c>
      <c r="H431" s="2" t="s">
        <v>1647</v>
      </c>
      <c r="I431" s="2" t="s">
        <v>554</v>
      </c>
      <c r="J431" s="3">
        <v>44709</v>
      </c>
      <c r="K431" s="5">
        <f>YEAR(OrganizedData[[#This Row],[Order Date]])</f>
        <v>2022</v>
      </c>
      <c r="L431" s="7" t="str">
        <f>TEXT(OrganizedData[[#This Row],[Order Date]],"mmm")</f>
        <v>May</v>
      </c>
      <c r="M431" s="2">
        <v>96</v>
      </c>
      <c r="N431" s="2" t="s">
        <v>159</v>
      </c>
      <c r="O431" s="2" t="str">
        <f>VLOOKUP(OrganizedData[[#This Row],[Product Code]],ProductData[[Code]:[Item]],2,FALSE)</f>
        <v>Ultrathing V3</v>
      </c>
      <c r="P431" s="4">
        <f>OrganizedData[[#This Row],[Quantity]]*VLOOKUP(OrganizedData[[#This Row],[Product Code]],ProductData[],4,FALSE)</f>
        <v>2304</v>
      </c>
      <c r="Q431" s="6">
        <f>OrganizedData[[#This Row],[Total Items Ordered]]*VLOOKUP(OrganizedData[[#This Row],[Product Code]],ProductData[],3,FALSE)</f>
        <v>7810.56</v>
      </c>
      <c r="R4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7420.0320000000002</v>
      </c>
    </row>
    <row r="432" spans="1:18" x14ac:dyDescent="0.3">
      <c r="A432" s="2">
        <v>425</v>
      </c>
      <c r="B432" s="2" t="s">
        <v>1648</v>
      </c>
      <c r="C432" s="2" t="s">
        <v>1649</v>
      </c>
      <c r="D432" s="2" t="s">
        <v>41</v>
      </c>
      <c r="E432" s="2" t="s">
        <v>16</v>
      </c>
      <c r="F432" s="2">
        <v>30</v>
      </c>
      <c r="G432" s="2" t="s">
        <v>1650</v>
      </c>
      <c r="H432" s="2" t="s">
        <v>1651</v>
      </c>
      <c r="I432" s="2" t="s">
        <v>1652</v>
      </c>
      <c r="J432" s="3">
        <v>44425</v>
      </c>
      <c r="K432" s="5">
        <f>YEAR(OrganizedData[[#This Row],[Order Date]])</f>
        <v>2021</v>
      </c>
      <c r="L432" s="7" t="str">
        <f>TEXT(OrganizedData[[#This Row],[Order Date]],"mmm")</f>
        <v>Aug</v>
      </c>
      <c r="M432" s="2">
        <v>79</v>
      </c>
      <c r="N432" s="2" t="s">
        <v>101</v>
      </c>
      <c r="O432" s="2" t="str">
        <f>VLOOKUP(OrganizedData[[#This Row],[Product Code]],ProductData[[Code]:[Item]],2,FALSE)</f>
        <v>Superwossname</v>
      </c>
      <c r="P432" s="4">
        <f>OrganizedData[[#This Row],[Quantity]]*VLOOKUP(OrganizedData[[#This Row],[Product Code]],ProductData[],4,FALSE)</f>
        <v>1580</v>
      </c>
      <c r="Q432" s="6">
        <f>OrganizedData[[#This Row],[Total Items Ordered]]*VLOOKUP(OrganizedData[[#This Row],[Product Code]],ProductData[],3,FALSE)</f>
        <v>5514.2000000000007</v>
      </c>
      <c r="R4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5238.4900000000007</v>
      </c>
    </row>
    <row r="433" spans="1:18" x14ac:dyDescent="0.3">
      <c r="A433" s="2">
        <v>426</v>
      </c>
      <c r="B433" s="2" t="s">
        <v>1653</v>
      </c>
      <c r="C433" s="2" t="s">
        <v>1654</v>
      </c>
      <c r="D433" s="2" t="s">
        <v>92</v>
      </c>
      <c r="E433" s="2" t="s">
        <v>16</v>
      </c>
      <c r="F433" s="2">
        <v>30</v>
      </c>
      <c r="G433" s="2" t="s">
        <v>1655</v>
      </c>
      <c r="H433" s="2" t="s">
        <v>1656</v>
      </c>
      <c r="I433" s="2" t="s">
        <v>187</v>
      </c>
      <c r="J433" s="3">
        <v>44102</v>
      </c>
      <c r="K433" s="5">
        <f>YEAR(OrganizedData[[#This Row],[Order Date]])</f>
        <v>2020</v>
      </c>
      <c r="L433" s="7" t="str">
        <f>TEXT(OrganizedData[[#This Row],[Order Date]],"mmm")</f>
        <v>Sep</v>
      </c>
      <c r="M433" s="2">
        <v>78</v>
      </c>
      <c r="N433" s="2" t="s">
        <v>159</v>
      </c>
      <c r="O433" s="2" t="str">
        <f>VLOOKUP(OrganizedData[[#This Row],[Product Code]],ProductData[[Code]:[Item]],2,FALSE)</f>
        <v>Ultrathing V3</v>
      </c>
      <c r="P433" s="4">
        <f>OrganizedData[[#This Row],[Quantity]]*VLOOKUP(OrganizedData[[#This Row],[Product Code]],ProductData[],4,FALSE)</f>
        <v>1872</v>
      </c>
      <c r="Q433" s="6">
        <f>OrganizedData[[#This Row],[Total Items Ordered]]*VLOOKUP(OrganizedData[[#This Row],[Product Code]],ProductData[],3,FALSE)</f>
        <v>6346.08</v>
      </c>
      <c r="R4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434" spans="1:18" x14ac:dyDescent="0.3">
      <c r="A434" s="2">
        <v>427</v>
      </c>
      <c r="B434" s="2" t="s">
        <v>1657</v>
      </c>
      <c r="C434" s="2" t="s">
        <v>1658</v>
      </c>
      <c r="D434" s="2" t="s">
        <v>28</v>
      </c>
      <c r="E434" s="2" t="s">
        <v>29</v>
      </c>
      <c r="F434" s="2">
        <v>60</v>
      </c>
      <c r="G434" s="2" t="s">
        <v>1659</v>
      </c>
      <c r="H434" s="2" t="s">
        <v>1660</v>
      </c>
      <c r="I434" s="2" t="s">
        <v>32</v>
      </c>
      <c r="J434" s="3">
        <v>44760</v>
      </c>
      <c r="K434" s="5">
        <f>YEAR(OrganizedData[[#This Row],[Order Date]])</f>
        <v>2022</v>
      </c>
      <c r="L434" s="7" t="str">
        <f>TEXT(OrganizedData[[#This Row],[Order Date]],"mmm")</f>
        <v>Jul</v>
      </c>
      <c r="M434" s="2">
        <v>23</v>
      </c>
      <c r="N434" s="2" t="s">
        <v>39</v>
      </c>
      <c r="O434" s="2" t="str">
        <f>VLOOKUP(OrganizedData[[#This Row],[Product Code]],ProductData[[Code]:[Item]],2,FALSE)</f>
        <v>Ultrathing V1</v>
      </c>
      <c r="P434" s="4">
        <f>OrganizedData[[#This Row],[Quantity]]*VLOOKUP(OrganizedData[[#This Row],[Product Code]],ProductData[],4,FALSE)</f>
        <v>391</v>
      </c>
      <c r="Q434" s="6">
        <f>OrganizedData[[#This Row],[Total Items Ordered]]*VLOOKUP(OrganizedData[[#This Row],[Product Code]],ProductData[],3,FALSE)</f>
        <v>699.89</v>
      </c>
      <c r="R4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435" spans="1:18" x14ac:dyDescent="0.3">
      <c r="A435" s="2">
        <v>428</v>
      </c>
      <c r="B435" s="2" t="s">
        <v>1664</v>
      </c>
      <c r="C435" s="2" t="s">
        <v>1665</v>
      </c>
      <c r="D435" s="2" t="s">
        <v>15</v>
      </c>
      <c r="E435" s="2" t="s">
        <v>16</v>
      </c>
      <c r="F435" s="2">
        <v>60</v>
      </c>
      <c r="G435" s="2" t="s">
        <v>1666</v>
      </c>
      <c r="H435" s="2" t="s">
        <v>1667</v>
      </c>
      <c r="I435" s="2" t="s">
        <v>32</v>
      </c>
      <c r="J435" s="3">
        <v>44288</v>
      </c>
      <c r="K435" s="5">
        <f>YEAR(OrganizedData[[#This Row],[Order Date]])</f>
        <v>2021</v>
      </c>
      <c r="L435" s="7" t="str">
        <f>TEXT(OrganizedData[[#This Row],[Order Date]],"mmm")</f>
        <v>Apr</v>
      </c>
      <c r="M435" s="2">
        <v>63</v>
      </c>
      <c r="N435" s="2" t="s">
        <v>159</v>
      </c>
      <c r="O435" s="2" t="str">
        <f>VLOOKUP(OrganizedData[[#This Row],[Product Code]],ProductData[[Code]:[Item]],2,FALSE)</f>
        <v>Ultrathing V3</v>
      </c>
      <c r="P435" s="4">
        <f>OrganizedData[[#This Row],[Quantity]]*VLOOKUP(OrganizedData[[#This Row],[Product Code]],ProductData[],4,FALSE)</f>
        <v>1512</v>
      </c>
      <c r="Q435" s="6">
        <f>OrganizedData[[#This Row],[Total Items Ordered]]*VLOOKUP(OrganizedData[[#This Row],[Product Code]],ProductData[],3,FALSE)</f>
        <v>5125.68</v>
      </c>
      <c r="R4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4869.3959999999997</v>
      </c>
    </row>
    <row r="436" spans="1:18" x14ac:dyDescent="0.3">
      <c r="A436" s="2">
        <v>429</v>
      </c>
      <c r="B436" s="2" t="s">
        <v>1668</v>
      </c>
      <c r="C436" s="2" t="s">
        <v>1669</v>
      </c>
      <c r="D436" s="2" t="s">
        <v>15</v>
      </c>
      <c r="E436" s="2" t="s">
        <v>16</v>
      </c>
      <c r="F436" s="2">
        <v>30</v>
      </c>
      <c r="G436" s="2" t="s">
        <v>1670</v>
      </c>
      <c r="H436" s="2" t="s">
        <v>1022</v>
      </c>
      <c r="I436" s="2" t="s">
        <v>164</v>
      </c>
      <c r="J436" s="3">
        <v>44348</v>
      </c>
      <c r="K436" s="5">
        <f>YEAR(OrganizedData[[#This Row],[Order Date]])</f>
        <v>2021</v>
      </c>
      <c r="L436" s="7" t="str">
        <f>TEXT(OrganizedData[[#This Row],[Order Date]],"mmm")</f>
        <v>Jun</v>
      </c>
      <c r="M436" s="2">
        <v>22</v>
      </c>
      <c r="N436" s="2" t="s">
        <v>70</v>
      </c>
      <c r="O436" s="2" t="str">
        <f>VLOOKUP(OrganizedData[[#This Row],[Product Code]],ProductData[[Code]:[Item]],2,FALSE)</f>
        <v>Megawidget M</v>
      </c>
      <c r="P436" s="4">
        <f>OrganizedData[[#This Row],[Quantity]]*VLOOKUP(OrganizedData[[#This Row],[Product Code]],ProductData[],4,FALSE)</f>
        <v>528</v>
      </c>
      <c r="Q436" s="6">
        <f>OrganizedData[[#This Row],[Total Items Ordered]]*VLOOKUP(OrganizedData[[#This Row],[Product Code]],ProductData[],3,FALSE)</f>
        <v>681.12</v>
      </c>
      <c r="R4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437" spans="1:18" x14ac:dyDescent="0.3">
      <c r="A437" s="2">
        <v>430</v>
      </c>
      <c r="B437" s="2" t="s">
        <v>1671</v>
      </c>
      <c r="C437" s="2" t="s">
        <v>1672</v>
      </c>
      <c r="D437" s="2" t="s">
        <v>28</v>
      </c>
      <c r="E437" s="2" t="s">
        <v>29</v>
      </c>
      <c r="F437" s="2">
        <v>90</v>
      </c>
      <c r="G437" s="2" t="s">
        <v>1673</v>
      </c>
      <c r="H437" s="2" t="s">
        <v>1674</v>
      </c>
      <c r="I437" s="2" t="s">
        <v>25</v>
      </c>
      <c r="J437" s="3">
        <v>43891</v>
      </c>
      <c r="K437" s="5">
        <f>YEAR(OrganizedData[[#This Row],[Order Date]])</f>
        <v>2020</v>
      </c>
      <c r="L437" s="7" t="str">
        <f>TEXT(OrganizedData[[#This Row],[Order Date]],"mmm")</f>
        <v>Mar</v>
      </c>
      <c r="M437" s="2">
        <v>57</v>
      </c>
      <c r="N437" s="2" t="s">
        <v>54</v>
      </c>
      <c r="O437" s="2" t="str">
        <f>VLOOKUP(OrganizedData[[#This Row],[Product Code]],ProductData[[Code]:[Item]],2,FALSE)</f>
        <v>Megawidget S</v>
      </c>
      <c r="P437" s="4">
        <f>OrganizedData[[#This Row],[Quantity]]*VLOOKUP(OrganizedData[[#This Row],[Product Code]],ProductData[],4,FALSE)</f>
        <v>1368</v>
      </c>
      <c r="Q437" s="6">
        <f>OrganizedData[[#This Row],[Total Items Ordered]]*VLOOKUP(OrganizedData[[#This Row],[Product Code]],ProductData[],3,FALSE)</f>
        <v>943.92</v>
      </c>
      <c r="R4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896.72399999999993</v>
      </c>
    </row>
    <row r="438" spans="1:18" x14ac:dyDescent="0.3">
      <c r="A438" s="2">
        <v>431</v>
      </c>
      <c r="B438" s="2" t="s">
        <v>1675</v>
      </c>
      <c r="C438" s="2" t="s">
        <v>722</v>
      </c>
      <c r="D438" s="2" t="s">
        <v>15</v>
      </c>
      <c r="E438" s="2" t="s">
        <v>16</v>
      </c>
      <c r="F438" s="2">
        <v>90</v>
      </c>
      <c r="G438" s="2" t="s">
        <v>1676</v>
      </c>
      <c r="H438" s="2" t="s">
        <v>655</v>
      </c>
      <c r="I438" s="2" t="s">
        <v>32</v>
      </c>
      <c r="J438" s="3">
        <v>44885</v>
      </c>
      <c r="K438" s="5">
        <f>YEAR(OrganizedData[[#This Row],[Order Date]])</f>
        <v>2022</v>
      </c>
      <c r="L438" s="7" t="str">
        <f>TEXT(OrganizedData[[#This Row],[Order Date]],"mmm")</f>
        <v>Nov</v>
      </c>
      <c r="M438" s="2">
        <v>49</v>
      </c>
      <c r="N438" s="2" t="s">
        <v>20</v>
      </c>
      <c r="O438" s="2" t="str">
        <f>VLOOKUP(OrganizedData[[#This Row],[Product Code]],ProductData[[Code]:[Item]],2,FALSE)</f>
        <v>Hyperwotsit</v>
      </c>
      <c r="P438" s="4">
        <f>OrganizedData[[#This Row],[Quantity]]*VLOOKUP(OrganizedData[[#This Row],[Product Code]],ProductData[],4,FALSE)</f>
        <v>980</v>
      </c>
      <c r="Q438" s="6">
        <f>OrganizedData[[#This Row],[Total Items Ordered]]*VLOOKUP(OrganizedData[[#This Row],[Product Code]],ProductData[],3,FALSE)</f>
        <v>1969.7999999999997</v>
      </c>
      <c r="R4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1910.7059999999997</v>
      </c>
    </row>
    <row r="439" spans="1:18" x14ac:dyDescent="0.3">
      <c r="A439" s="2">
        <v>432</v>
      </c>
      <c r="B439" s="2" t="s">
        <v>1677</v>
      </c>
      <c r="C439" s="2" t="s">
        <v>1678</v>
      </c>
      <c r="D439" s="2" t="s">
        <v>28</v>
      </c>
      <c r="E439" s="2" t="s">
        <v>29</v>
      </c>
      <c r="F439" s="2">
        <v>60</v>
      </c>
      <c r="G439" s="2" t="s">
        <v>1679</v>
      </c>
      <c r="H439" s="2" t="s">
        <v>1680</v>
      </c>
      <c r="I439" s="2" t="s">
        <v>19</v>
      </c>
      <c r="J439" s="3">
        <v>44021</v>
      </c>
      <c r="K439" s="5">
        <f>YEAR(OrganizedData[[#This Row],[Order Date]])</f>
        <v>2020</v>
      </c>
      <c r="L439" s="7" t="str">
        <f>TEXT(OrganizedData[[#This Row],[Order Date]],"mmm")</f>
        <v>Jul</v>
      </c>
      <c r="M439" s="2">
        <v>50</v>
      </c>
      <c r="N439" s="2" t="s">
        <v>159</v>
      </c>
      <c r="O439" s="2" t="str">
        <f>VLOOKUP(OrganizedData[[#This Row],[Product Code]],ProductData[[Code]:[Item]],2,FALSE)</f>
        <v>Ultrathing V3</v>
      </c>
      <c r="P439" s="4">
        <f>OrganizedData[[#This Row],[Quantity]]*VLOOKUP(OrganizedData[[#This Row],[Product Code]],ProductData[],4,FALSE)</f>
        <v>1200</v>
      </c>
      <c r="Q439" s="6">
        <f>OrganizedData[[#This Row],[Total Items Ordered]]*VLOOKUP(OrganizedData[[#This Row],[Product Code]],ProductData[],3,FALSE)</f>
        <v>4068</v>
      </c>
      <c r="R4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440" spans="1:18" x14ac:dyDescent="0.3">
      <c r="A440" s="2">
        <v>433</v>
      </c>
      <c r="B440" s="2" t="s">
        <v>1681</v>
      </c>
      <c r="C440" s="2" t="s">
        <v>1682</v>
      </c>
      <c r="D440" s="2" t="s">
        <v>51</v>
      </c>
      <c r="E440" s="2" t="s">
        <v>16</v>
      </c>
      <c r="F440" s="2">
        <v>90</v>
      </c>
      <c r="G440" s="2" t="s">
        <v>1683</v>
      </c>
      <c r="H440" s="2" t="s">
        <v>685</v>
      </c>
      <c r="I440" s="2" t="s">
        <v>686</v>
      </c>
      <c r="J440" s="3">
        <v>44150</v>
      </c>
      <c r="K440" s="5">
        <f>YEAR(OrganizedData[[#This Row],[Order Date]])</f>
        <v>2020</v>
      </c>
      <c r="L440" s="7" t="str">
        <f>TEXT(OrganizedData[[#This Row],[Order Date]],"mmm")</f>
        <v>Nov</v>
      </c>
      <c r="M440" s="2">
        <v>59</v>
      </c>
      <c r="N440" s="2" t="s">
        <v>64</v>
      </c>
      <c r="O440" s="2" t="str">
        <f>VLOOKUP(OrganizedData[[#This Row],[Product Code]],ProductData[[Code]:[Item]],2,FALSE)</f>
        <v>Ultrathing V4</v>
      </c>
      <c r="P440" s="4">
        <f>OrganizedData[[#This Row],[Quantity]]*VLOOKUP(OrganizedData[[#This Row],[Product Code]],ProductData[],4,FALSE)</f>
        <v>1416</v>
      </c>
      <c r="Q440" s="6">
        <f>OrganizedData[[#This Row],[Total Items Ordered]]*VLOOKUP(OrganizedData[[#This Row],[Product Code]],ProductData[],3,FALSE)</f>
        <v>5649.84</v>
      </c>
      <c r="R4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5367.348</v>
      </c>
    </row>
    <row r="441" spans="1:18" x14ac:dyDescent="0.3">
      <c r="A441" s="2">
        <v>434</v>
      </c>
      <c r="B441" s="2" t="s">
        <v>1684</v>
      </c>
      <c r="C441" s="2" t="s">
        <v>1685</v>
      </c>
      <c r="D441" s="2" t="s">
        <v>28</v>
      </c>
      <c r="E441" s="2" t="s">
        <v>29</v>
      </c>
      <c r="F441" s="2">
        <v>60</v>
      </c>
      <c r="G441" s="2" t="s">
        <v>1686</v>
      </c>
      <c r="H441" s="2" t="s">
        <v>510</v>
      </c>
      <c r="I441" s="2" t="s">
        <v>32</v>
      </c>
      <c r="J441" s="3">
        <v>44106</v>
      </c>
      <c r="K441" s="5">
        <f>YEAR(OrganizedData[[#This Row],[Order Date]])</f>
        <v>2020</v>
      </c>
      <c r="L441" s="7" t="str">
        <f>TEXT(OrganizedData[[#This Row],[Order Date]],"mmm")</f>
        <v>Oct</v>
      </c>
      <c r="M441" s="2">
        <v>16</v>
      </c>
      <c r="N441" s="2" t="s">
        <v>39</v>
      </c>
      <c r="O441" s="2" t="str">
        <f>VLOOKUP(OrganizedData[[#This Row],[Product Code]],ProductData[[Code]:[Item]],2,FALSE)</f>
        <v>Ultrathing V1</v>
      </c>
      <c r="P441" s="4">
        <f>OrganizedData[[#This Row],[Quantity]]*VLOOKUP(OrganizedData[[#This Row],[Product Code]],ProductData[],4,FALSE)</f>
        <v>272</v>
      </c>
      <c r="Q441" s="6">
        <f>OrganizedData[[#This Row],[Total Items Ordered]]*VLOOKUP(OrganizedData[[#This Row],[Product Code]],ProductData[],3,FALSE)</f>
        <v>486.88</v>
      </c>
      <c r="R4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486.88</v>
      </c>
    </row>
    <row r="442" spans="1:18" x14ac:dyDescent="0.3">
      <c r="A442" s="2">
        <v>435</v>
      </c>
      <c r="B442" s="2" t="s">
        <v>1687</v>
      </c>
      <c r="C442" s="2" t="s">
        <v>1688</v>
      </c>
      <c r="D442" s="2" t="s">
        <v>117</v>
      </c>
      <c r="E442" s="2" t="s">
        <v>29</v>
      </c>
      <c r="F442" s="2">
        <v>90</v>
      </c>
      <c r="G442" s="2" t="s">
        <v>1689</v>
      </c>
      <c r="H442" s="2" t="s">
        <v>1690</v>
      </c>
      <c r="I442" s="2" t="s">
        <v>208</v>
      </c>
      <c r="J442" s="3">
        <v>43846</v>
      </c>
      <c r="K442" s="5">
        <f>YEAR(OrganizedData[[#This Row],[Order Date]])</f>
        <v>2020</v>
      </c>
      <c r="L442" s="7" t="str">
        <f>TEXT(OrganizedData[[#This Row],[Order Date]],"mmm")</f>
        <v>Jan</v>
      </c>
      <c r="M442" s="2">
        <v>74</v>
      </c>
      <c r="N442" s="2" t="s">
        <v>33</v>
      </c>
      <c r="O442" s="2" t="str">
        <f>VLOOKUP(OrganizedData[[#This Row],[Product Code]],ProductData[[Code]:[Item]],2,FALSE)</f>
        <v>Megawidget L</v>
      </c>
      <c r="P442" s="4">
        <f>OrganizedData[[#This Row],[Quantity]]*VLOOKUP(OrganizedData[[#This Row],[Product Code]],ProductData[],4,FALSE)</f>
        <v>1776</v>
      </c>
      <c r="Q442" s="6">
        <f>OrganizedData[[#This Row],[Total Items Ordered]]*VLOOKUP(OrganizedData[[#This Row],[Product Code]],ProductData[],3,FALSE)</f>
        <v>3179.04</v>
      </c>
      <c r="R4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443" spans="1:18" x14ac:dyDescent="0.3">
      <c r="A443" s="2">
        <v>436</v>
      </c>
      <c r="B443" s="2" t="s">
        <v>1691</v>
      </c>
      <c r="C443" s="2" t="s">
        <v>1692</v>
      </c>
      <c r="D443" s="2" t="s">
        <v>15</v>
      </c>
      <c r="E443" s="2" t="s">
        <v>16</v>
      </c>
      <c r="F443" s="2">
        <v>90</v>
      </c>
      <c r="G443" s="2" t="s">
        <v>1693</v>
      </c>
      <c r="H443" s="2" t="s">
        <v>1694</v>
      </c>
      <c r="I443" s="2" t="s">
        <v>32</v>
      </c>
      <c r="J443" s="3">
        <v>44630</v>
      </c>
      <c r="K443" s="5">
        <f>YEAR(OrganizedData[[#This Row],[Order Date]])</f>
        <v>2022</v>
      </c>
      <c r="L443" s="7" t="str">
        <f>TEXT(OrganizedData[[#This Row],[Order Date]],"mmm")</f>
        <v>Mar</v>
      </c>
      <c r="M443" s="2">
        <v>95</v>
      </c>
      <c r="N443" s="2" t="s">
        <v>54</v>
      </c>
      <c r="O443" s="2" t="str">
        <f>VLOOKUP(OrganizedData[[#This Row],[Product Code]],ProductData[[Code]:[Item]],2,FALSE)</f>
        <v>Megawidget S</v>
      </c>
      <c r="P443" s="4">
        <f>OrganizedData[[#This Row],[Quantity]]*VLOOKUP(OrganizedData[[#This Row],[Product Code]],ProductData[],4,FALSE)</f>
        <v>2280</v>
      </c>
      <c r="Q443" s="6">
        <f>OrganizedData[[#This Row],[Total Items Ordered]]*VLOOKUP(OrganizedData[[#This Row],[Product Code]],ProductData[],3,FALSE)</f>
        <v>1573.1999999999998</v>
      </c>
      <c r="R4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1494.5399999999997</v>
      </c>
    </row>
    <row r="444" spans="1:18" x14ac:dyDescent="0.3">
      <c r="A444" s="2">
        <v>437</v>
      </c>
      <c r="B444" s="2" t="s">
        <v>1695</v>
      </c>
      <c r="C444" s="2" t="s">
        <v>1696</v>
      </c>
      <c r="D444" s="2" t="s">
        <v>51</v>
      </c>
      <c r="E444" s="2" t="s">
        <v>16</v>
      </c>
      <c r="F444" s="2">
        <v>60</v>
      </c>
      <c r="G444" s="2" t="s">
        <v>1697</v>
      </c>
      <c r="H444" s="2" t="s">
        <v>1556</v>
      </c>
      <c r="I444" s="2" t="s">
        <v>1311</v>
      </c>
      <c r="J444" s="3">
        <v>44524</v>
      </c>
      <c r="K444" s="5">
        <f>YEAR(OrganizedData[[#This Row],[Order Date]])</f>
        <v>2021</v>
      </c>
      <c r="L444" s="7" t="str">
        <f>TEXT(OrganizedData[[#This Row],[Order Date]],"mmm")</f>
        <v>Nov</v>
      </c>
      <c r="M444" s="2">
        <v>34</v>
      </c>
      <c r="N444" s="2" t="s">
        <v>33</v>
      </c>
      <c r="O444" s="2" t="str">
        <f>VLOOKUP(OrganizedData[[#This Row],[Product Code]],ProductData[[Code]:[Item]],2,FALSE)</f>
        <v>Megawidget L</v>
      </c>
      <c r="P444" s="4">
        <f>OrganizedData[[#This Row],[Quantity]]*VLOOKUP(OrganizedData[[#This Row],[Product Code]],ProductData[],4,FALSE)</f>
        <v>816</v>
      </c>
      <c r="Q444" s="6">
        <f>OrganizedData[[#This Row],[Total Items Ordered]]*VLOOKUP(OrganizedData[[#This Row],[Product Code]],ProductData[],3,FALSE)</f>
        <v>1460.64</v>
      </c>
      <c r="R4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1416.8208</v>
      </c>
    </row>
    <row r="445" spans="1:18" x14ac:dyDescent="0.3">
      <c r="A445" s="2">
        <v>438</v>
      </c>
      <c r="B445" s="2" t="s">
        <v>1657</v>
      </c>
      <c r="C445" s="2" t="s">
        <v>1698</v>
      </c>
      <c r="D445" s="2" t="s">
        <v>28</v>
      </c>
      <c r="E445" s="2" t="s">
        <v>29</v>
      </c>
      <c r="F445" s="2">
        <v>30</v>
      </c>
      <c r="G445" s="2" t="s">
        <v>1697</v>
      </c>
      <c r="H445" s="2" t="s">
        <v>1473</v>
      </c>
      <c r="I445" s="2" t="s">
        <v>38</v>
      </c>
      <c r="J445" s="3">
        <v>43887</v>
      </c>
      <c r="K445" s="5">
        <f>YEAR(OrganizedData[[#This Row],[Order Date]])</f>
        <v>2020</v>
      </c>
      <c r="L445" s="7" t="str">
        <f>TEXT(OrganizedData[[#This Row],[Order Date]],"mmm")</f>
        <v>Feb</v>
      </c>
      <c r="M445" s="2">
        <v>61</v>
      </c>
      <c r="N445" s="2" t="s">
        <v>45</v>
      </c>
      <c r="O445" s="2" t="str">
        <f>VLOOKUP(OrganizedData[[#This Row],[Product Code]],ProductData[[Code]:[Item]],2,FALSE)</f>
        <v>Gigastuff</v>
      </c>
      <c r="P445" s="4">
        <f>OrganizedData[[#This Row],[Quantity]]*VLOOKUP(OrganizedData[[#This Row],[Product Code]],ProductData[],4,FALSE)</f>
        <v>1098</v>
      </c>
      <c r="Q445" s="6">
        <f>OrganizedData[[#This Row],[Total Items Ordered]]*VLOOKUP(OrganizedData[[#This Row],[Product Code]],ProductData[],3,FALSE)</f>
        <v>2075.2199999999998</v>
      </c>
      <c r="R4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1971.4589999999996</v>
      </c>
    </row>
    <row r="446" spans="1:18" x14ac:dyDescent="0.3">
      <c r="A446" s="2">
        <v>439</v>
      </c>
      <c r="B446" s="2" t="s">
        <v>1699</v>
      </c>
      <c r="C446" s="2" t="s">
        <v>1700</v>
      </c>
      <c r="D446" s="2" t="s">
        <v>28</v>
      </c>
      <c r="E446" s="2" t="s">
        <v>29</v>
      </c>
      <c r="F446" s="2">
        <v>30</v>
      </c>
      <c r="G446" s="2" t="s">
        <v>1701</v>
      </c>
      <c r="H446" s="2" t="s">
        <v>685</v>
      </c>
      <c r="I446" s="2" t="s">
        <v>686</v>
      </c>
      <c r="J446" s="3">
        <v>44550</v>
      </c>
      <c r="K446" s="5">
        <f>YEAR(OrganizedData[[#This Row],[Order Date]])</f>
        <v>2021</v>
      </c>
      <c r="L446" s="7" t="str">
        <f>TEXT(OrganizedData[[#This Row],[Order Date]],"mmm")</f>
        <v>Dec</v>
      </c>
      <c r="M446" s="2">
        <v>36</v>
      </c>
      <c r="N446" s="2" t="s">
        <v>64</v>
      </c>
      <c r="O446" s="2" t="str">
        <f>VLOOKUP(OrganizedData[[#This Row],[Product Code]],ProductData[[Code]:[Item]],2,FALSE)</f>
        <v>Ultrathing V4</v>
      </c>
      <c r="P446" s="4">
        <f>OrganizedData[[#This Row],[Quantity]]*VLOOKUP(OrganizedData[[#This Row],[Product Code]],ProductData[],4,FALSE)</f>
        <v>864</v>
      </c>
      <c r="Q446" s="6">
        <f>OrganizedData[[#This Row],[Total Items Ordered]]*VLOOKUP(OrganizedData[[#This Row],[Product Code]],ProductData[],3,FALSE)</f>
        <v>3447.36</v>
      </c>
      <c r="R4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3343.9392000000003</v>
      </c>
    </row>
    <row r="447" spans="1:18" x14ac:dyDescent="0.3">
      <c r="A447" s="2">
        <v>440</v>
      </c>
      <c r="B447" s="2" t="s">
        <v>1702</v>
      </c>
      <c r="C447" s="2" t="s">
        <v>1703</v>
      </c>
      <c r="D447" s="2" t="s">
        <v>51</v>
      </c>
      <c r="E447" s="2" t="s">
        <v>16</v>
      </c>
      <c r="F447" s="2">
        <v>60</v>
      </c>
      <c r="G447" s="2" t="s">
        <v>1704</v>
      </c>
      <c r="H447" s="2" t="s">
        <v>1177</v>
      </c>
      <c r="I447" s="2" t="s">
        <v>32</v>
      </c>
      <c r="J447" s="3">
        <v>44239</v>
      </c>
      <c r="K447" s="5">
        <f>YEAR(OrganizedData[[#This Row],[Order Date]])</f>
        <v>2021</v>
      </c>
      <c r="L447" s="7" t="str">
        <f>TEXT(OrganizedData[[#This Row],[Order Date]],"mmm")</f>
        <v>Feb</v>
      </c>
      <c r="M447" s="2">
        <v>50</v>
      </c>
      <c r="N447" s="2" t="s">
        <v>80</v>
      </c>
      <c r="O447" s="2" t="str">
        <f>VLOOKUP(OrganizedData[[#This Row],[Product Code]],ProductData[[Code]:[Item]],2,FALSE)</f>
        <v>Ultrathing V2</v>
      </c>
      <c r="P447" s="4">
        <f>OrganizedData[[#This Row],[Quantity]]*VLOOKUP(OrganizedData[[#This Row],[Product Code]],ProductData[],4,FALSE)</f>
        <v>1000</v>
      </c>
      <c r="Q447" s="6">
        <f>OrganizedData[[#This Row],[Total Items Ordered]]*VLOOKUP(OrganizedData[[#This Row],[Product Code]],ProductData[],3,FALSE)</f>
        <v>2950</v>
      </c>
      <c r="R4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2861.5</v>
      </c>
    </row>
    <row r="448" spans="1:18" x14ac:dyDescent="0.3">
      <c r="A448" s="2">
        <v>441</v>
      </c>
      <c r="B448" s="2" t="s">
        <v>1705</v>
      </c>
      <c r="C448" s="2" t="s">
        <v>1706</v>
      </c>
      <c r="D448" s="2" t="s">
        <v>15</v>
      </c>
      <c r="E448" s="2" t="s">
        <v>16</v>
      </c>
      <c r="F448" s="2">
        <v>30</v>
      </c>
      <c r="G448" s="2" t="s">
        <v>1707</v>
      </c>
      <c r="H448" s="2" t="s">
        <v>1708</v>
      </c>
      <c r="I448" s="2" t="s">
        <v>124</v>
      </c>
      <c r="J448" s="3">
        <v>44743</v>
      </c>
      <c r="K448" s="5">
        <f>YEAR(OrganizedData[[#This Row],[Order Date]])</f>
        <v>2022</v>
      </c>
      <c r="L448" s="7" t="str">
        <f>TEXT(OrganizedData[[#This Row],[Order Date]],"mmm")</f>
        <v>Jul</v>
      </c>
      <c r="M448" s="2">
        <v>94</v>
      </c>
      <c r="N448" s="2" t="s">
        <v>20</v>
      </c>
      <c r="O448" s="2" t="str">
        <f>VLOOKUP(OrganizedData[[#This Row],[Product Code]],ProductData[[Code]:[Item]],2,FALSE)</f>
        <v>Hyperwotsit</v>
      </c>
      <c r="P448" s="4">
        <f>OrganizedData[[#This Row],[Quantity]]*VLOOKUP(OrganizedData[[#This Row],[Product Code]],ProductData[],4,FALSE)</f>
        <v>1880</v>
      </c>
      <c r="Q448" s="6">
        <f>OrganizedData[[#This Row],[Total Items Ordered]]*VLOOKUP(OrganizedData[[#This Row],[Product Code]],ProductData[],3,FALSE)</f>
        <v>3778.7999999999997</v>
      </c>
      <c r="R4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3589.8599999999997</v>
      </c>
    </row>
    <row r="449" spans="1:18" x14ac:dyDescent="0.3">
      <c r="A449" s="2">
        <v>442</v>
      </c>
      <c r="B449" s="2" t="s">
        <v>1709</v>
      </c>
      <c r="C449" s="2" t="s">
        <v>1710</v>
      </c>
      <c r="D449" s="2" t="s">
        <v>51</v>
      </c>
      <c r="E449" s="2" t="s">
        <v>16</v>
      </c>
      <c r="F449" s="2">
        <v>90</v>
      </c>
      <c r="G449" s="2" t="s">
        <v>1711</v>
      </c>
      <c r="H449" s="2" t="s">
        <v>1712</v>
      </c>
      <c r="I449" s="2" t="s">
        <v>187</v>
      </c>
      <c r="J449" s="3">
        <v>43852</v>
      </c>
      <c r="K449" s="5">
        <f>YEAR(OrganizedData[[#This Row],[Order Date]])</f>
        <v>2020</v>
      </c>
      <c r="L449" s="7" t="str">
        <f>TEXT(OrganizedData[[#This Row],[Order Date]],"mmm")</f>
        <v>Jan</v>
      </c>
      <c r="M449" s="2">
        <v>64</v>
      </c>
      <c r="N449" s="2" t="s">
        <v>33</v>
      </c>
      <c r="O449" s="2" t="str">
        <f>VLOOKUP(OrganizedData[[#This Row],[Product Code]],ProductData[[Code]:[Item]],2,FALSE)</f>
        <v>Megawidget L</v>
      </c>
      <c r="P449" s="4">
        <f>OrganizedData[[#This Row],[Quantity]]*VLOOKUP(OrganizedData[[#This Row],[Product Code]],ProductData[],4,FALSE)</f>
        <v>1536</v>
      </c>
      <c r="Q449" s="6">
        <f>OrganizedData[[#This Row],[Total Items Ordered]]*VLOOKUP(OrganizedData[[#This Row],[Product Code]],ProductData[],3,FALSE)</f>
        <v>2749.44</v>
      </c>
      <c r="R4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2611.9679999999998</v>
      </c>
    </row>
    <row r="450" spans="1:18" x14ac:dyDescent="0.3">
      <c r="A450" s="2">
        <v>443</v>
      </c>
      <c r="B450" s="2" t="s">
        <v>1713</v>
      </c>
      <c r="C450" s="2" t="s">
        <v>1714</v>
      </c>
      <c r="D450" s="2" t="s">
        <v>15</v>
      </c>
      <c r="E450" s="2" t="s">
        <v>16</v>
      </c>
      <c r="F450" s="2">
        <v>60</v>
      </c>
      <c r="G450" s="2" t="s">
        <v>1715</v>
      </c>
      <c r="H450" s="2" t="s">
        <v>1716</v>
      </c>
      <c r="I450" s="2" t="s">
        <v>425</v>
      </c>
      <c r="J450" s="3">
        <v>44246</v>
      </c>
      <c r="K450" s="5">
        <f>YEAR(OrganizedData[[#This Row],[Order Date]])</f>
        <v>2021</v>
      </c>
      <c r="L450" s="7" t="str">
        <f>TEXT(OrganizedData[[#This Row],[Order Date]],"mmm")</f>
        <v>Feb</v>
      </c>
      <c r="M450" s="2">
        <v>84</v>
      </c>
      <c r="N450" s="2" t="s">
        <v>159</v>
      </c>
      <c r="O450" s="2" t="str">
        <f>VLOOKUP(OrganizedData[[#This Row],[Product Code]],ProductData[[Code]:[Item]],2,FALSE)</f>
        <v>Ultrathing V3</v>
      </c>
      <c r="P450" s="4">
        <f>OrganizedData[[#This Row],[Quantity]]*VLOOKUP(OrganizedData[[#This Row],[Product Code]],ProductData[],4,FALSE)</f>
        <v>2016</v>
      </c>
      <c r="Q450" s="6">
        <f>OrganizedData[[#This Row],[Total Items Ordered]]*VLOOKUP(OrganizedData[[#This Row],[Product Code]],ProductData[],3,FALSE)</f>
        <v>6834.2400000000007</v>
      </c>
      <c r="R4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451" spans="1:18" x14ac:dyDescent="0.3">
      <c r="A451" s="2">
        <v>444</v>
      </c>
      <c r="B451" s="2" t="s">
        <v>642</v>
      </c>
      <c r="C451" s="2" t="s">
        <v>1717</v>
      </c>
      <c r="D451" s="2" t="s">
        <v>28</v>
      </c>
      <c r="E451" s="2" t="s">
        <v>29</v>
      </c>
      <c r="F451" s="2">
        <v>90</v>
      </c>
      <c r="G451" s="2" t="s">
        <v>1718</v>
      </c>
      <c r="H451" s="2" t="s">
        <v>1719</v>
      </c>
      <c r="I451" s="2" t="s">
        <v>38</v>
      </c>
      <c r="J451" s="3">
        <v>44847</v>
      </c>
      <c r="K451" s="5">
        <f>YEAR(OrganizedData[[#This Row],[Order Date]])</f>
        <v>2022</v>
      </c>
      <c r="L451" s="7" t="str">
        <f>TEXT(OrganizedData[[#This Row],[Order Date]],"mmm")</f>
        <v>Oct</v>
      </c>
      <c r="M451" s="2">
        <v>89</v>
      </c>
      <c r="N451" s="2" t="s">
        <v>54</v>
      </c>
      <c r="O451" s="2" t="str">
        <f>VLOOKUP(OrganizedData[[#This Row],[Product Code]],ProductData[[Code]:[Item]],2,FALSE)</f>
        <v>Megawidget S</v>
      </c>
      <c r="P451" s="4">
        <f>OrganizedData[[#This Row],[Quantity]]*VLOOKUP(OrganizedData[[#This Row],[Product Code]],ProductData[],4,FALSE)</f>
        <v>2136</v>
      </c>
      <c r="Q451" s="6">
        <f>OrganizedData[[#This Row],[Total Items Ordered]]*VLOOKUP(OrganizedData[[#This Row],[Product Code]],ProductData[],3,FALSE)</f>
        <v>1473.84</v>
      </c>
      <c r="R4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1400.1479999999999</v>
      </c>
    </row>
    <row r="452" spans="1:18" x14ac:dyDescent="0.3">
      <c r="A452" s="2">
        <v>445</v>
      </c>
      <c r="B452" s="2" t="s">
        <v>1720</v>
      </c>
      <c r="C452" s="2" t="s">
        <v>1721</v>
      </c>
      <c r="D452" s="2" t="s">
        <v>15</v>
      </c>
      <c r="E452" s="2" t="s">
        <v>16</v>
      </c>
      <c r="F452" s="2">
        <v>30</v>
      </c>
      <c r="G452" s="2" t="s">
        <v>1722</v>
      </c>
      <c r="H452" s="2" t="s">
        <v>1723</v>
      </c>
      <c r="I452" s="2" t="s">
        <v>173</v>
      </c>
      <c r="J452" s="3">
        <v>44105</v>
      </c>
      <c r="K452" s="5">
        <f>YEAR(OrganizedData[[#This Row],[Order Date]])</f>
        <v>2020</v>
      </c>
      <c r="L452" s="7" t="str">
        <f>TEXT(OrganizedData[[#This Row],[Order Date]],"mmm")</f>
        <v>Oct</v>
      </c>
      <c r="M452" s="2">
        <v>3</v>
      </c>
      <c r="N452" s="2" t="s">
        <v>45</v>
      </c>
      <c r="O452" s="2" t="str">
        <f>VLOOKUP(OrganizedData[[#This Row],[Product Code]],ProductData[[Code]:[Item]],2,FALSE)</f>
        <v>Gigastuff</v>
      </c>
      <c r="P452" s="4">
        <f>OrganizedData[[#This Row],[Quantity]]*VLOOKUP(OrganizedData[[#This Row],[Product Code]],ProductData[],4,FALSE)</f>
        <v>54</v>
      </c>
      <c r="Q452" s="6">
        <f>OrganizedData[[#This Row],[Total Items Ordered]]*VLOOKUP(OrganizedData[[#This Row],[Product Code]],ProductData[],3,FALSE)</f>
        <v>102.05999999999999</v>
      </c>
      <c r="R4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453" spans="1:18" x14ac:dyDescent="0.3">
      <c r="A453" s="2">
        <v>446</v>
      </c>
      <c r="B453" s="2" t="s">
        <v>1724</v>
      </c>
      <c r="C453" s="2" t="s">
        <v>629</v>
      </c>
      <c r="D453" s="2" t="s">
        <v>15</v>
      </c>
      <c r="E453" s="2" t="s">
        <v>16</v>
      </c>
      <c r="F453" s="2">
        <v>60</v>
      </c>
      <c r="G453" s="2" t="s">
        <v>1725</v>
      </c>
      <c r="H453" s="2" t="s">
        <v>105</v>
      </c>
      <c r="I453" s="2" t="s">
        <v>32</v>
      </c>
      <c r="J453" s="3">
        <v>44013</v>
      </c>
      <c r="K453" s="5">
        <f>YEAR(OrganizedData[[#This Row],[Order Date]])</f>
        <v>2020</v>
      </c>
      <c r="L453" s="7" t="str">
        <f>TEXT(OrganizedData[[#This Row],[Order Date]],"mmm")</f>
        <v>Jul</v>
      </c>
      <c r="M453" s="2">
        <v>67</v>
      </c>
      <c r="N453" s="2" t="s">
        <v>20</v>
      </c>
      <c r="O453" s="2" t="str">
        <f>VLOOKUP(OrganizedData[[#This Row],[Product Code]],ProductData[[Code]:[Item]],2,FALSE)</f>
        <v>Hyperwotsit</v>
      </c>
      <c r="P453" s="4">
        <f>OrganizedData[[#This Row],[Quantity]]*VLOOKUP(OrganizedData[[#This Row],[Product Code]],ProductData[],4,FALSE)</f>
        <v>1340</v>
      </c>
      <c r="Q453" s="6">
        <f>OrganizedData[[#This Row],[Total Items Ordered]]*VLOOKUP(OrganizedData[[#This Row],[Product Code]],ProductData[],3,FALSE)</f>
        <v>2693.3999999999996</v>
      </c>
      <c r="R4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2558.7299999999996</v>
      </c>
    </row>
    <row r="454" spans="1:18" x14ac:dyDescent="0.3">
      <c r="A454" s="2">
        <v>447</v>
      </c>
      <c r="B454" s="2" t="s">
        <v>1726</v>
      </c>
      <c r="C454" s="2" t="s">
        <v>1727</v>
      </c>
      <c r="D454" s="2" t="s">
        <v>51</v>
      </c>
      <c r="E454" s="2" t="s">
        <v>16</v>
      </c>
      <c r="F454" s="2">
        <v>30</v>
      </c>
      <c r="G454" s="2" t="s">
        <v>1728</v>
      </c>
      <c r="H454" s="2" t="s">
        <v>1729</v>
      </c>
      <c r="I454" s="2" t="s">
        <v>32</v>
      </c>
      <c r="J454" s="3">
        <v>44829</v>
      </c>
      <c r="K454" s="5">
        <f>YEAR(OrganizedData[[#This Row],[Order Date]])</f>
        <v>2022</v>
      </c>
      <c r="L454" s="7" t="str">
        <f>TEXT(OrganizedData[[#This Row],[Order Date]],"mmm")</f>
        <v>Sep</v>
      </c>
      <c r="M454" s="2">
        <v>72</v>
      </c>
      <c r="N454" s="2" t="s">
        <v>159</v>
      </c>
      <c r="O454" s="2" t="str">
        <f>VLOOKUP(OrganizedData[[#This Row],[Product Code]],ProductData[[Code]:[Item]],2,FALSE)</f>
        <v>Ultrathing V3</v>
      </c>
      <c r="P454" s="4">
        <f>OrganizedData[[#This Row],[Quantity]]*VLOOKUP(OrganizedData[[#This Row],[Product Code]],ProductData[],4,FALSE)</f>
        <v>1728</v>
      </c>
      <c r="Q454" s="6">
        <f>OrganizedData[[#This Row],[Total Items Ordered]]*VLOOKUP(OrganizedData[[#This Row],[Product Code]],ProductData[],3,FALSE)</f>
        <v>5857.92</v>
      </c>
      <c r="R4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5565.0239999999994</v>
      </c>
    </row>
    <row r="455" spans="1:18" x14ac:dyDescent="0.3">
      <c r="A455" s="2">
        <v>448</v>
      </c>
      <c r="B455" s="2" t="s">
        <v>188</v>
      </c>
      <c r="C455" s="2" t="s">
        <v>1730</v>
      </c>
      <c r="D455" s="2" t="s">
        <v>15</v>
      </c>
      <c r="E455" s="2" t="s">
        <v>16</v>
      </c>
      <c r="F455" s="2">
        <v>30</v>
      </c>
      <c r="G455" s="2" t="s">
        <v>1731</v>
      </c>
      <c r="H455" s="2" t="s">
        <v>1732</v>
      </c>
      <c r="I455" s="2" t="s">
        <v>1733</v>
      </c>
      <c r="J455" s="3">
        <v>44775</v>
      </c>
      <c r="K455" s="5">
        <f>YEAR(OrganizedData[[#This Row],[Order Date]])</f>
        <v>2022</v>
      </c>
      <c r="L455" s="7" t="str">
        <f>TEXT(OrganizedData[[#This Row],[Order Date]],"mmm")</f>
        <v>Aug</v>
      </c>
      <c r="M455" s="2">
        <v>4</v>
      </c>
      <c r="N455" s="2" t="s">
        <v>64</v>
      </c>
      <c r="O455" s="2" t="str">
        <f>VLOOKUP(OrganizedData[[#This Row],[Product Code]],ProductData[[Code]:[Item]],2,FALSE)</f>
        <v>Ultrathing V4</v>
      </c>
      <c r="P455" s="4">
        <f>OrganizedData[[#This Row],[Quantity]]*VLOOKUP(OrganizedData[[#This Row],[Product Code]],ProductData[],4,FALSE)</f>
        <v>96</v>
      </c>
      <c r="Q455" s="6">
        <f>OrganizedData[[#This Row],[Total Items Ordered]]*VLOOKUP(OrganizedData[[#This Row],[Product Code]],ProductData[],3,FALSE)</f>
        <v>383.04</v>
      </c>
      <c r="R4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456" spans="1:18" x14ac:dyDescent="0.3">
      <c r="A456" s="2">
        <v>449</v>
      </c>
      <c r="B456" s="2" t="s">
        <v>1734</v>
      </c>
      <c r="C456" s="2" t="s">
        <v>770</v>
      </c>
      <c r="D456" s="2" t="s">
        <v>28</v>
      </c>
      <c r="E456" s="2" t="s">
        <v>29</v>
      </c>
      <c r="F456" s="2">
        <v>30</v>
      </c>
      <c r="G456" s="2" t="s">
        <v>1735</v>
      </c>
      <c r="H456" s="2" t="s">
        <v>818</v>
      </c>
      <c r="I456" s="2" t="s">
        <v>819</v>
      </c>
      <c r="J456" s="3">
        <v>44213</v>
      </c>
      <c r="K456" s="5">
        <f>YEAR(OrganizedData[[#This Row],[Order Date]])</f>
        <v>2021</v>
      </c>
      <c r="L456" s="7" t="str">
        <f>TEXT(OrganizedData[[#This Row],[Order Date]],"mmm")</f>
        <v>Jan</v>
      </c>
      <c r="M456" s="2">
        <v>68</v>
      </c>
      <c r="N456" s="2" t="s">
        <v>80</v>
      </c>
      <c r="O456" s="2" t="str">
        <f>VLOOKUP(OrganizedData[[#This Row],[Product Code]],ProductData[[Code]:[Item]],2,FALSE)</f>
        <v>Ultrathing V2</v>
      </c>
      <c r="P456" s="4">
        <f>OrganizedData[[#This Row],[Quantity]]*VLOOKUP(OrganizedData[[#This Row],[Product Code]],ProductData[],4,FALSE)</f>
        <v>1360</v>
      </c>
      <c r="Q456" s="6">
        <f>OrganizedData[[#This Row],[Total Items Ordered]]*VLOOKUP(OrganizedData[[#This Row],[Product Code]],ProductData[],3,FALSE)</f>
        <v>4012.0000000000005</v>
      </c>
      <c r="R4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457" spans="1:18" x14ac:dyDescent="0.3">
      <c r="A457" s="2">
        <v>450</v>
      </c>
      <c r="B457" s="2" t="s">
        <v>1736</v>
      </c>
      <c r="C457" s="2" t="s">
        <v>1737</v>
      </c>
      <c r="D457" s="2" t="s">
        <v>15</v>
      </c>
      <c r="E457" s="2" t="s">
        <v>16</v>
      </c>
      <c r="F457" s="2">
        <v>30</v>
      </c>
      <c r="G457" s="2" t="s">
        <v>1738</v>
      </c>
      <c r="H457" s="2" t="s">
        <v>1739</v>
      </c>
      <c r="I457" s="2" t="s">
        <v>32</v>
      </c>
      <c r="J457" s="3">
        <v>43935</v>
      </c>
      <c r="K457" s="5">
        <f>YEAR(OrganizedData[[#This Row],[Order Date]])</f>
        <v>2020</v>
      </c>
      <c r="L457" s="7" t="str">
        <f>TEXT(OrganizedData[[#This Row],[Order Date]],"mmm")</f>
        <v>Apr</v>
      </c>
      <c r="M457" s="2">
        <v>52</v>
      </c>
      <c r="N457" s="2" t="s">
        <v>101</v>
      </c>
      <c r="O457" s="2" t="str">
        <f>VLOOKUP(OrganizedData[[#This Row],[Product Code]],ProductData[[Code]:[Item]],2,FALSE)</f>
        <v>Superwossname</v>
      </c>
      <c r="P457" s="4">
        <f>OrganizedData[[#This Row],[Quantity]]*VLOOKUP(OrganizedData[[#This Row],[Product Code]],ProductData[],4,FALSE)</f>
        <v>1040</v>
      </c>
      <c r="Q457" s="6">
        <f>OrganizedData[[#This Row],[Total Items Ordered]]*VLOOKUP(OrganizedData[[#This Row],[Product Code]],ProductData[],3,FALSE)</f>
        <v>3629.6000000000004</v>
      </c>
      <c r="R4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3448.1200000000003</v>
      </c>
    </row>
    <row r="458" spans="1:18" x14ac:dyDescent="0.3">
      <c r="A458" s="2">
        <v>451</v>
      </c>
      <c r="B458" s="2" t="s">
        <v>1740</v>
      </c>
      <c r="C458" s="2" t="s">
        <v>1741</v>
      </c>
      <c r="D458" s="2" t="s">
        <v>15</v>
      </c>
      <c r="E458" s="2" t="s">
        <v>16</v>
      </c>
      <c r="F458" s="2">
        <v>90</v>
      </c>
      <c r="G458" s="2" t="s">
        <v>1742</v>
      </c>
      <c r="H458" s="2" t="s">
        <v>1743</v>
      </c>
      <c r="I458" s="2" t="s">
        <v>1744</v>
      </c>
      <c r="J458" s="3">
        <v>44865</v>
      </c>
      <c r="K458" s="5">
        <f>YEAR(OrganizedData[[#This Row],[Order Date]])</f>
        <v>2022</v>
      </c>
      <c r="L458" s="7" t="str">
        <f>TEXT(OrganizedData[[#This Row],[Order Date]],"mmm")</f>
        <v>Oct</v>
      </c>
      <c r="M458" s="2">
        <v>64</v>
      </c>
      <c r="N458" s="2" t="s">
        <v>64</v>
      </c>
      <c r="O458" s="2" t="str">
        <f>VLOOKUP(OrganizedData[[#This Row],[Product Code]],ProductData[[Code]:[Item]],2,FALSE)</f>
        <v>Ultrathing V4</v>
      </c>
      <c r="P458" s="4">
        <f>OrganizedData[[#This Row],[Quantity]]*VLOOKUP(OrganizedData[[#This Row],[Product Code]],ProductData[],4,FALSE)</f>
        <v>1536</v>
      </c>
      <c r="Q458" s="6">
        <f>OrganizedData[[#This Row],[Total Items Ordered]]*VLOOKUP(OrganizedData[[#This Row],[Product Code]],ProductData[],3,FALSE)</f>
        <v>6128.64</v>
      </c>
      <c r="R4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5822.2079999999996</v>
      </c>
    </row>
    <row r="459" spans="1:18" x14ac:dyDescent="0.3">
      <c r="A459" s="2">
        <v>452</v>
      </c>
      <c r="B459" s="2" t="s">
        <v>1745</v>
      </c>
      <c r="C459" s="2" t="s">
        <v>1746</v>
      </c>
      <c r="D459" s="2" t="s">
        <v>15</v>
      </c>
      <c r="E459" s="2" t="s">
        <v>16</v>
      </c>
      <c r="F459" s="2">
        <v>60</v>
      </c>
      <c r="G459" s="2" t="s">
        <v>1742</v>
      </c>
      <c r="H459" s="2" t="s">
        <v>1747</v>
      </c>
      <c r="I459" s="2" t="s">
        <v>294</v>
      </c>
      <c r="J459" s="3">
        <v>44562</v>
      </c>
      <c r="K459" s="5">
        <f>YEAR(OrganizedData[[#This Row],[Order Date]])</f>
        <v>2022</v>
      </c>
      <c r="L459" s="7" t="str">
        <f>TEXT(OrganizedData[[#This Row],[Order Date]],"mmm")</f>
        <v>Jan</v>
      </c>
      <c r="M459" s="2">
        <v>5</v>
      </c>
      <c r="N459" s="2" t="s">
        <v>33</v>
      </c>
      <c r="O459" s="2" t="str">
        <f>VLOOKUP(OrganizedData[[#This Row],[Product Code]],ProductData[[Code]:[Item]],2,FALSE)</f>
        <v>Megawidget L</v>
      </c>
      <c r="P459" s="4">
        <f>OrganizedData[[#This Row],[Quantity]]*VLOOKUP(OrganizedData[[#This Row],[Product Code]],ProductData[],4,FALSE)</f>
        <v>120</v>
      </c>
      <c r="Q459" s="6">
        <f>OrganizedData[[#This Row],[Total Items Ordered]]*VLOOKUP(OrganizedData[[#This Row],[Product Code]],ProductData[],3,FALSE)</f>
        <v>214.8</v>
      </c>
      <c r="R4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214.8</v>
      </c>
    </row>
    <row r="460" spans="1:18" x14ac:dyDescent="0.3">
      <c r="A460" s="2">
        <v>453</v>
      </c>
      <c r="B460" s="2" t="s">
        <v>1748</v>
      </c>
      <c r="C460" s="2" t="s">
        <v>1749</v>
      </c>
      <c r="D460" s="2" t="s">
        <v>28</v>
      </c>
      <c r="E460" s="2" t="s">
        <v>29</v>
      </c>
      <c r="F460" s="2">
        <v>30</v>
      </c>
      <c r="G460" s="2" t="s">
        <v>1750</v>
      </c>
      <c r="H460" s="2" t="s">
        <v>1751</v>
      </c>
      <c r="I460" s="2" t="s">
        <v>32</v>
      </c>
      <c r="J460" s="3">
        <v>44701</v>
      </c>
      <c r="K460" s="5">
        <f>YEAR(OrganizedData[[#This Row],[Order Date]])</f>
        <v>2022</v>
      </c>
      <c r="L460" s="7" t="str">
        <f>TEXT(OrganizedData[[#This Row],[Order Date]],"mmm")</f>
        <v>May</v>
      </c>
      <c r="M460" s="2">
        <v>102</v>
      </c>
      <c r="N460" s="2" t="s">
        <v>80</v>
      </c>
      <c r="O460" s="2" t="str">
        <f>VLOOKUP(OrganizedData[[#This Row],[Product Code]],ProductData[[Code]:[Item]],2,FALSE)</f>
        <v>Ultrathing V2</v>
      </c>
      <c r="P460" s="4">
        <f>OrganizedData[[#This Row],[Quantity]]*VLOOKUP(OrganizedData[[#This Row],[Product Code]],ProductData[],4,FALSE)</f>
        <v>2040</v>
      </c>
      <c r="Q460" s="6">
        <f>OrganizedData[[#This Row],[Total Items Ordered]]*VLOOKUP(OrganizedData[[#This Row],[Product Code]],ProductData[],3,FALSE)</f>
        <v>6018</v>
      </c>
      <c r="R4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5596.7400000000007</v>
      </c>
    </row>
    <row r="461" spans="1:18" x14ac:dyDescent="0.3">
      <c r="A461" s="2">
        <v>454</v>
      </c>
      <c r="B461" s="2" t="s">
        <v>1752</v>
      </c>
      <c r="C461" s="2" t="s">
        <v>22</v>
      </c>
      <c r="D461" s="2" t="s">
        <v>15</v>
      </c>
      <c r="E461" s="2" t="s">
        <v>16</v>
      </c>
      <c r="F461" s="2">
        <v>90</v>
      </c>
      <c r="G461" s="2" t="s">
        <v>1753</v>
      </c>
      <c r="H461" s="2" t="s">
        <v>1754</v>
      </c>
      <c r="I461" s="2" t="s">
        <v>25</v>
      </c>
      <c r="J461" s="3">
        <v>44884</v>
      </c>
      <c r="K461" s="5">
        <f>YEAR(OrganizedData[[#This Row],[Order Date]])</f>
        <v>2022</v>
      </c>
      <c r="L461" s="7" t="str">
        <f>TEXT(OrganizedData[[#This Row],[Order Date]],"mmm")</f>
        <v>Nov</v>
      </c>
      <c r="M461" s="2">
        <v>50</v>
      </c>
      <c r="N461" s="2" t="s">
        <v>39</v>
      </c>
      <c r="O461" s="2" t="str">
        <f>VLOOKUP(OrganizedData[[#This Row],[Product Code]],ProductData[[Code]:[Item]],2,FALSE)</f>
        <v>Ultrathing V1</v>
      </c>
      <c r="P461" s="4">
        <f>OrganizedData[[#This Row],[Quantity]]*VLOOKUP(OrganizedData[[#This Row],[Product Code]],ProductData[],4,FALSE)</f>
        <v>850</v>
      </c>
      <c r="Q461" s="6">
        <f>OrganizedData[[#This Row],[Total Items Ordered]]*VLOOKUP(OrganizedData[[#This Row],[Product Code]],ProductData[],3,FALSE)</f>
        <v>1521.5</v>
      </c>
      <c r="R4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462" spans="1:18" x14ac:dyDescent="0.3">
      <c r="A462" s="2">
        <v>455</v>
      </c>
      <c r="B462" s="2" t="s">
        <v>1755</v>
      </c>
      <c r="C462" s="2" t="s">
        <v>1756</v>
      </c>
      <c r="D462" s="2" t="s">
        <v>28</v>
      </c>
      <c r="E462" s="2" t="s">
        <v>29</v>
      </c>
      <c r="F462" s="2">
        <v>30</v>
      </c>
      <c r="G462" s="2" t="s">
        <v>1753</v>
      </c>
      <c r="H462" s="2" t="s">
        <v>1757</v>
      </c>
      <c r="I462" s="2" t="s">
        <v>294</v>
      </c>
      <c r="J462" s="3">
        <v>44857</v>
      </c>
      <c r="K462" s="5">
        <f>YEAR(OrganizedData[[#This Row],[Order Date]])</f>
        <v>2022</v>
      </c>
      <c r="L462" s="7" t="str">
        <f>TEXT(OrganizedData[[#This Row],[Order Date]],"mmm")</f>
        <v>Oct</v>
      </c>
      <c r="M462" s="2">
        <v>68</v>
      </c>
      <c r="N462" s="2" t="s">
        <v>80</v>
      </c>
      <c r="O462" s="2" t="str">
        <f>VLOOKUP(OrganizedData[[#This Row],[Product Code]],ProductData[[Code]:[Item]],2,FALSE)</f>
        <v>Ultrathing V2</v>
      </c>
      <c r="P462" s="4">
        <f>OrganizedData[[#This Row],[Quantity]]*VLOOKUP(OrganizedData[[#This Row],[Product Code]],ProductData[],4,FALSE)</f>
        <v>1360</v>
      </c>
      <c r="Q462" s="6">
        <f>OrganizedData[[#This Row],[Total Items Ordered]]*VLOOKUP(OrganizedData[[#This Row],[Product Code]],ProductData[],3,FALSE)</f>
        <v>4012.0000000000005</v>
      </c>
      <c r="R4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463" spans="1:18" x14ac:dyDescent="0.3">
      <c r="A463" s="2">
        <v>456</v>
      </c>
      <c r="B463" s="2" t="s">
        <v>1758</v>
      </c>
      <c r="C463" s="2" t="s">
        <v>1759</v>
      </c>
      <c r="D463" s="2" t="s">
        <v>15</v>
      </c>
      <c r="E463" s="2" t="s">
        <v>16</v>
      </c>
      <c r="F463" s="2">
        <v>60</v>
      </c>
      <c r="G463" s="2" t="s">
        <v>1760</v>
      </c>
      <c r="H463" s="2" t="s">
        <v>1761</v>
      </c>
      <c r="I463" s="2" t="s">
        <v>38</v>
      </c>
      <c r="J463" s="3">
        <v>44165</v>
      </c>
      <c r="K463" s="5">
        <f>YEAR(OrganizedData[[#This Row],[Order Date]])</f>
        <v>2020</v>
      </c>
      <c r="L463" s="7" t="str">
        <f>TEXT(OrganizedData[[#This Row],[Order Date]],"mmm")</f>
        <v>Nov</v>
      </c>
      <c r="M463" s="2">
        <v>63</v>
      </c>
      <c r="N463" s="2" t="s">
        <v>70</v>
      </c>
      <c r="O463" s="2" t="str">
        <f>VLOOKUP(OrganizedData[[#This Row],[Product Code]],ProductData[[Code]:[Item]],2,FALSE)</f>
        <v>Megawidget M</v>
      </c>
      <c r="P463" s="4">
        <f>OrganizedData[[#This Row],[Quantity]]*VLOOKUP(OrganizedData[[#This Row],[Product Code]],ProductData[],4,FALSE)</f>
        <v>1512</v>
      </c>
      <c r="Q463" s="6">
        <f>OrganizedData[[#This Row],[Total Items Ordered]]*VLOOKUP(OrganizedData[[#This Row],[Product Code]],ProductData[],3,FALSE)</f>
        <v>1950.48</v>
      </c>
      <c r="R4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1852.9559999999999</v>
      </c>
    </row>
    <row r="464" spans="1:18" x14ac:dyDescent="0.3">
      <c r="A464" s="2">
        <v>457</v>
      </c>
      <c r="B464" s="2" t="s">
        <v>1191</v>
      </c>
      <c r="C464" s="2" t="s">
        <v>1762</v>
      </c>
      <c r="D464" s="2" t="s">
        <v>28</v>
      </c>
      <c r="E464" s="2" t="s">
        <v>29</v>
      </c>
      <c r="F464" s="2">
        <v>60</v>
      </c>
      <c r="G464" s="2" t="s">
        <v>1763</v>
      </c>
      <c r="H464" s="2" t="s">
        <v>1764</v>
      </c>
      <c r="I464" s="2" t="s">
        <v>124</v>
      </c>
      <c r="J464" s="3">
        <v>43889</v>
      </c>
      <c r="K464" s="5">
        <f>YEAR(OrganizedData[[#This Row],[Order Date]])</f>
        <v>2020</v>
      </c>
      <c r="L464" s="7" t="str">
        <f>TEXT(OrganizedData[[#This Row],[Order Date]],"mmm")</f>
        <v>Feb</v>
      </c>
      <c r="M464" s="2">
        <v>11</v>
      </c>
      <c r="N464" s="2" t="s">
        <v>159</v>
      </c>
      <c r="O464" s="2" t="str">
        <f>VLOOKUP(OrganizedData[[#This Row],[Product Code]],ProductData[[Code]:[Item]],2,FALSE)</f>
        <v>Ultrathing V3</v>
      </c>
      <c r="P464" s="4">
        <f>OrganizedData[[#This Row],[Quantity]]*VLOOKUP(OrganizedData[[#This Row],[Product Code]],ProductData[],4,FALSE)</f>
        <v>264</v>
      </c>
      <c r="Q464" s="6">
        <f>OrganizedData[[#This Row],[Total Items Ordered]]*VLOOKUP(OrganizedData[[#This Row],[Product Code]],ProductData[],3,FALSE)</f>
        <v>894.96</v>
      </c>
      <c r="R4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465" spans="1:18" x14ac:dyDescent="0.3">
      <c r="A465" s="2">
        <v>458</v>
      </c>
      <c r="B465" s="2" t="s">
        <v>1765</v>
      </c>
      <c r="C465" s="2" t="s">
        <v>1766</v>
      </c>
      <c r="D465" s="2" t="s">
        <v>28</v>
      </c>
      <c r="E465" s="2" t="s">
        <v>29</v>
      </c>
      <c r="F465" s="2">
        <v>90</v>
      </c>
      <c r="G465" s="2" t="s">
        <v>1767</v>
      </c>
      <c r="H465" s="2" t="s">
        <v>1768</v>
      </c>
      <c r="I465" s="2" t="s">
        <v>32</v>
      </c>
      <c r="J465" s="3">
        <v>44532</v>
      </c>
      <c r="K465" s="5">
        <f>YEAR(OrganizedData[[#This Row],[Order Date]])</f>
        <v>2021</v>
      </c>
      <c r="L465" s="7" t="str">
        <f>TEXT(OrganizedData[[#This Row],[Order Date]],"mmm")</f>
        <v>Dec</v>
      </c>
      <c r="M465" s="2">
        <v>11</v>
      </c>
      <c r="N465" s="2" t="s">
        <v>70</v>
      </c>
      <c r="O465" s="2" t="str">
        <f>VLOOKUP(OrganizedData[[#This Row],[Product Code]],ProductData[[Code]:[Item]],2,FALSE)</f>
        <v>Megawidget M</v>
      </c>
      <c r="P465" s="4">
        <f>OrganizedData[[#This Row],[Quantity]]*VLOOKUP(OrganizedData[[#This Row],[Product Code]],ProductData[],4,FALSE)</f>
        <v>264</v>
      </c>
      <c r="Q465" s="6">
        <f>OrganizedData[[#This Row],[Total Items Ordered]]*VLOOKUP(OrganizedData[[#This Row],[Product Code]],ProductData[],3,FALSE)</f>
        <v>340.56</v>
      </c>
      <c r="R4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340.56</v>
      </c>
    </row>
    <row r="466" spans="1:18" x14ac:dyDescent="0.3">
      <c r="A466" s="2">
        <v>459</v>
      </c>
      <c r="B466" s="2" t="s">
        <v>1769</v>
      </c>
      <c r="C466" s="2" t="s">
        <v>1770</v>
      </c>
      <c r="D466" s="2" t="s">
        <v>28</v>
      </c>
      <c r="E466" s="2" t="s">
        <v>29</v>
      </c>
      <c r="F466" s="2">
        <v>30</v>
      </c>
      <c r="G466" s="2" t="s">
        <v>1771</v>
      </c>
      <c r="H466" s="2" t="s">
        <v>1772</v>
      </c>
      <c r="I466" s="2" t="s">
        <v>178</v>
      </c>
      <c r="J466" s="3">
        <v>44055</v>
      </c>
      <c r="K466" s="5">
        <f>YEAR(OrganizedData[[#This Row],[Order Date]])</f>
        <v>2020</v>
      </c>
      <c r="L466" s="7" t="str">
        <f>TEXT(OrganizedData[[#This Row],[Order Date]],"mmm")</f>
        <v>Aug</v>
      </c>
      <c r="M466" s="2">
        <v>60</v>
      </c>
      <c r="N466" s="2" t="s">
        <v>20</v>
      </c>
      <c r="O466" s="2" t="str">
        <f>VLOOKUP(OrganizedData[[#This Row],[Product Code]],ProductData[[Code]:[Item]],2,FALSE)</f>
        <v>Hyperwotsit</v>
      </c>
      <c r="P466" s="4">
        <f>OrganizedData[[#This Row],[Quantity]]*VLOOKUP(OrganizedData[[#This Row],[Product Code]],ProductData[],4,FALSE)</f>
        <v>1200</v>
      </c>
      <c r="Q466" s="6">
        <f>OrganizedData[[#This Row],[Total Items Ordered]]*VLOOKUP(OrganizedData[[#This Row],[Product Code]],ProductData[],3,FALSE)</f>
        <v>2411.9999999999995</v>
      </c>
      <c r="R4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467" spans="1:18" x14ac:dyDescent="0.3">
      <c r="A467" s="2">
        <v>460</v>
      </c>
      <c r="B467" s="2" t="s">
        <v>1773</v>
      </c>
      <c r="C467" s="2" t="s">
        <v>1774</v>
      </c>
      <c r="D467" s="2" t="s">
        <v>15</v>
      </c>
      <c r="E467" s="2" t="s">
        <v>16</v>
      </c>
      <c r="F467" s="2">
        <v>30</v>
      </c>
      <c r="G467" s="2" t="s">
        <v>10466</v>
      </c>
      <c r="H467" s="2" t="s">
        <v>99</v>
      </c>
      <c r="I467" s="2" t="s">
        <v>100</v>
      </c>
      <c r="J467" s="3">
        <v>43969</v>
      </c>
      <c r="K467" s="5">
        <f>YEAR(OrganizedData[[#This Row],[Order Date]])</f>
        <v>2020</v>
      </c>
      <c r="L467" s="7" t="str">
        <f>TEXT(OrganizedData[[#This Row],[Order Date]],"mmm")</f>
        <v>May</v>
      </c>
      <c r="M467" s="2">
        <v>37</v>
      </c>
      <c r="N467" s="2" t="s">
        <v>101</v>
      </c>
      <c r="O467" s="2" t="str">
        <f>VLOOKUP(OrganizedData[[#This Row],[Product Code]],ProductData[[Code]:[Item]],2,FALSE)</f>
        <v>Superwossname</v>
      </c>
      <c r="P467" s="4">
        <f>OrganizedData[[#This Row],[Quantity]]*VLOOKUP(OrganizedData[[#This Row],[Product Code]],ProductData[],4,FALSE)</f>
        <v>740</v>
      </c>
      <c r="Q467" s="6">
        <f>OrganizedData[[#This Row],[Total Items Ordered]]*VLOOKUP(OrganizedData[[#This Row],[Product Code]],ProductData[],3,FALSE)</f>
        <v>2582.6000000000004</v>
      </c>
      <c r="R4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468" spans="1:18" x14ac:dyDescent="0.3">
      <c r="A468" s="2">
        <v>461</v>
      </c>
      <c r="B468" s="2" t="s">
        <v>1158</v>
      </c>
      <c r="C468" s="2" t="s">
        <v>1776</v>
      </c>
      <c r="D468" s="2" t="s">
        <v>28</v>
      </c>
      <c r="E468" s="2" t="s">
        <v>29</v>
      </c>
      <c r="F468" s="2">
        <v>90</v>
      </c>
      <c r="G468" s="2" t="s">
        <v>1777</v>
      </c>
      <c r="H468" s="2" t="s">
        <v>1453</v>
      </c>
      <c r="I468" s="2" t="s">
        <v>1454</v>
      </c>
      <c r="J468" s="3">
        <v>43907</v>
      </c>
      <c r="K468" s="5">
        <f>YEAR(OrganizedData[[#This Row],[Order Date]])</f>
        <v>2020</v>
      </c>
      <c r="L468" s="7" t="str">
        <f>TEXT(OrganizedData[[#This Row],[Order Date]],"mmm")</f>
        <v>Mar</v>
      </c>
      <c r="M468" s="2">
        <v>79</v>
      </c>
      <c r="N468" s="2" t="s">
        <v>45</v>
      </c>
      <c r="O468" s="2" t="str">
        <f>VLOOKUP(OrganizedData[[#This Row],[Product Code]],ProductData[[Code]:[Item]],2,FALSE)</f>
        <v>Gigastuff</v>
      </c>
      <c r="P468" s="4">
        <f>OrganizedData[[#This Row],[Quantity]]*VLOOKUP(OrganizedData[[#This Row],[Product Code]],ProductData[],4,FALSE)</f>
        <v>1422</v>
      </c>
      <c r="Q468" s="6">
        <f>OrganizedData[[#This Row],[Total Items Ordered]]*VLOOKUP(OrganizedData[[#This Row],[Product Code]],ProductData[],3,FALSE)</f>
        <v>2687.58</v>
      </c>
      <c r="R4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469" spans="1:18" x14ac:dyDescent="0.3">
      <c r="A469" s="2">
        <v>462</v>
      </c>
      <c r="B469" s="2" t="s">
        <v>1778</v>
      </c>
      <c r="C469" s="2" t="s">
        <v>1779</v>
      </c>
      <c r="D469" s="2" t="s">
        <v>15</v>
      </c>
      <c r="E469" s="2" t="s">
        <v>16</v>
      </c>
      <c r="F469" s="2">
        <v>60</v>
      </c>
      <c r="G469" s="2" t="s">
        <v>1780</v>
      </c>
      <c r="H469" s="2" t="s">
        <v>1781</v>
      </c>
      <c r="I469" s="2" t="s">
        <v>32</v>
      </c>
      <c r="J469" s="3">
        <v>44724</v>
      </c>
      <c r="K469" s="5">
        <f>YEAR(OrganizedData[[#This Row],[Order Date]])</f>
        <v>2022</v>
      </c>
      <c r="L469" s="7" t="str">
        <f>TEXT(OrganizedData[[#This Row],[Order Date]],"mmm")</f>
        <v>Jun</v>
      </c>
      <c r="M469" s="2">
        <v>3</v>
      </c>
      <c r="N469" s="2" t="s">
        <v>64</v>
      </c>
      <c r="O469" s="2" t="str">
        <f>VLOOKUP(OrganizedData[[#This Row],[Product Code]],ProductData[[Code]:[Item]],2,FALSE)</f>
        <v>Ultrathing V4</v>
      </c>
      <c r="P469" s="4">
        <f>OrganizedData[[#This Row],[Quantity]]*VLOOKUP(OrganizedData[[#This Row],[Product Code]],ProductData[],4,FALSE)</f>
        <v>72</v>
      </c>
      <c r="Q469" s="6">
        <f>OrganizedData[[#This Row],[Total Items Ordered]]*VLOOKUP(OrganizedData[[#This Row],[Product Code]],ProductData[],3,FALSE)</f>
        <v>287.28000000000003</v>
      </c>
      <c r="R4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287.28000000000003</v>
      </c>
    </row>
    <row r="470" spans="1:18" x14ac:dyDescent="0.3">
      <c r="A470" s="2">
        <v>463</v>
      </c>
      <c r="B470" s="2" t="s">
        <v>1782</v>
      </c>
      <c r="C470" s="2" t="s">
        <v>1783</v>
      </c>
      <c r="D470" s="2" t="s">
        <v>28</v>
      </c>
      <c r="E470" s="2" t="s">
        <v>29</v>
      </c>
      <c r="F470" s="2">
        <v>60</v>
      </c>
      <c r="G470" s="2" t="s">
        <v>1784</v>
      </c>
      <c r="H470" s="2" t="s">
        <v>1785</v>
      </c>
      <c r="I470" s="2" t="s">
        <v>32</v>
      </c>
      <c r="J470" s="3">
        <v>44817</v>
      </c>
      <c r="K470" s="5">
        <f>YEAR(OrganizedData[[#This Row],[Order Date]])</f>
        <v>2022</v>
      </c>
      <c r="L470" s="7" t="str">
        <f>TEXT(OrganizedData[[#This Row],[Order Date]],"mmm")</f>
        <v>Sep</v>
      </c>
      <c r="M470" s="2">
        <v>54</v>
      </c>
      <c r="N470" s="2" t="s">
        <v>33</v>
      </c>
      <c r="O470" s="2" t="str">
        <f>VLOOKUP(OrganizedData[[#This Row],[Product Code]],ProductData[[Code]:[Item]],2,FALSE)</f>
        <v>Megawidget L</v>
      </c>
      <c r="P470" s="4">
        <f>OrganizedData[[#This Row],[Quantity]]*VLOOKUP(OrganizedData[[#This Row],[Product Code]],ProductData[],4,FALSE)</f>
        <v>1296</v>
      </c>
      <c r="Q470" s="6">
        <f>OrganizedData[[#This Row],[Total Items Ordered]]*VLOOKUP(OrganizedData[[#This Row],[Product Code]],ProductData[],3,FALSE)</f>
        <v>2319.84</v>
      </c>
      <c r="R4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2203.848</v>
      </c>
    </row>
    <row r="471" spans="1:18" x14ac:dyDescent="0.3">
      <c r="A471" s="2">
        <v>464</v>
      </c>
      <c r="B471" s="2" t="s">
        <v>1741</v>
      </c>
      <c r="C471" s="2" t="s">
        <v>1786</v>
      </c>
      <c r="D471" s="2" t="s">
        <v>28</v>
      </c>
      <c r="E471" s="2" t="s">
        <v>29</v>
      </c>
      <c r="F471" s="2">
        <v>60</v>
      </c>
      <c r="G471" s="2" t="s">
        <v>1787</v>
      </c>
      <c r="H471" s="2" t="s">
        <v>270</v>
      </c>
      <c r="I471" s="2" t="s">
        <v>187</v>
      </c>
      <c r="J471" s="3">
        <v>44127</v>
      </c>
      <c r="K471" s="5">
        <f>YEAR(OrganizedData[[#This Row],[Order Date]])</f>
        <v>2020</v>
      </c>
      <c r="L471" s="7" t="str">
        <f>TEXT(OrganizedData[[#This Row],[Order Date]],"mmm")</f>
        <v>Oct</v>
      </c>
      <c r="M471" s="2">
        <v>83</v>
      </c>
      <c r="N471" s="2" t="s">
        <v>101</v>
      </c>
      <c r="O471" s="2" t="str">
        <f>VLOOKUP(OrganizedData[[#This Row],[Product Code]],ProductData[[Code]:[Item]],2,FALSE)</f>
        <v>Superwossname</v>
      </c>
      <c r="P471" s="4">
        <f>OrganizedData[[#This Row],[Quantity]]*VLOOKUP(OrganizedData[[#This Row],[Product Code]],ProductData[],4,FALSE)</f>
        <v>1660</v>
      </c>
      <c r="Q471" s="6">
        <f>OrganizedData[[#This Row],[Total Items Ordered]]*VLOOKUP(OrganizedData[[#This Row],[Product Code]],ProductData[],3,FALSE)</f>
        <v>5793.4000000000005</v>
      </c>
      <c r="R4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472" spans="1:18" x14ac:dyDescent="0.3">
      <c r="A472" s="2">
        <v>465</v>
      </c>
      <c r="B472" s="2" t="s">
        <v>1788</v>
      </c>
      <c r="C472" s="2" t="s">
        <v>1789</v>
      </c>
      <c r="D472" s="2" t="s">
        <v>28</v>
      </c>
      <c r="E472" s="2" t="s">
        <v>29</v>
      </c>
      <c r="F472" s="2">
        <v>30</v>
      </c>
      <c r="G472" s="2" t="s">
        <v>1790</v>
      </c>
      <c r="H472" s="2" t="s">
        <v>1791</v>
      </c>
      <c r="I472" s="2" t="s">
        <v>32</v>
      </c>
      <c r="J472" s="3">
        <v>44562</v>
      </c>
      <c r="K472" s="5">
        <f>YEAR(OrganizedData[[#This Row],[Order Date]])</f>
        <v>2022</v>
      </c>
      <c r="L472" s="7" t="str">
        <f>TEXT(OrganizedData[[#This Row],[Order Date]],"mmm")</f>
        <v>Jan</v>
      </c>
      <c r="M472" s="2">
        <v>21</v>
      </c>
      <c r="N472" s="2" t="s">
        <v>54</v>
      </c>
      <c r="O472" s="2" t="str">
        <f>VLOOKUP(OrganizedData[[#This Row],[Product Code]],ProductData[[Code]:[Item]],2,FALSE)</f>
        <v>Megawidget S</v>
      </c>
      <c r="P472" s="4">
        <f>OrganizedData[[#This Row],[Quantity]]*VLOOKUP(OrganizedData[[#This Row],[Product Code]],ProductData[],4,FALSE)</f>
        <v>504</v>
      </c>
      <c r="Q472" s="6">
        <f>OrganizedData[[#This Row],[Total Items Ordered]]*VLOOKUP(OrganizedData[[#This Row],[Product Code]],ProductData[],3,FALSE)</f>
        <v>347.76</v>
      </c>
      <c r="R4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337.3272</v>
      </c>
    </row>
    <row r="473" spans="1:18" x14ac:dyDescent="0.3">
      <c r="A473" s="2">
        <v>466</v>
      </c>
      <c r="B473" s="2" t="s">
        <v>1792</v>
      </c>
      <c r="C473" s="2" t="s">
        <v>1793</v>
      </c>
      <c r="D473" s="2" t="s">
        <v>28</v>
      </c>
      <c r="E473" s="2" t="s">
        <v>29</v>
      </c>
      <c r="F473" s="2">
        <v>90</v>
      </c>
      <c r="G473" s="2" t="s">
        <v>1795</v>
      </c>
      <c r="H473" s="2" t="s">
        <v>1796</v>
      </c>
      <c r="I473" s="2" t="s">
        <v>178</v>
      </c>
      <c r="J473" s="3">
        <v>44733</v>
      </c>
      <c r="K473" s="5">
        <f>YEAR(OrganizedData[[#This Row],[Order Date]])</f>
        <v>2022</v>
      </c>
      <c r="L473" s="7" t="str">
        <f>TEXT(OrganizedData[[#This Row],[Order Date]],"mmm")</f>
        <v>Jun</v>
      </c>
      <c r="M473" s="2">
        <v>52</v>
      </c>
      <c r="N473" s="2" t="s">
        <v>45</v>
      </c>
      <c r="O473" s="2" t="str">
        <f>VLOOKUP(OrganizedData[[#This Row],[Product Code]],ProductData[[Code]:[Item]],2,FALSE)</f>
        <v>Gigastuff</v>
      </c>
      <c r="P473" s="4">
        <f>OrganizedData[[#This Row],[Quantity]]*VLOOKUP(OrganizedData[[#This Row],[Product Code]],ProductData[],4,FALSE)</f>
        <v>936</v>
      </c>
      <c r="Q473" s="6">
        <f>OrganizedData[[#This Row],[Total Items Ordered]]*VLOOKUP(OrganizedData[[#This Row],[Product Code]],ProductData[],3,FALSE)</f>
        <v>1769.04</v>
      </c>
      <c r="R4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1680.588</v>
      </c>
    </row>
    <row r="474" spans="1:18" x14ac:dyDescent="0.3">
      <c r="A474" s="2">
        <v>467</v>
      </c>
      <c r="B474" s="2" t="s">
        <v>1797</v>
      </c>
      <c r="C474" s="2" t="s">
        <v>1798</v>
      </c>
      <c r="D474" s="2" t="s">
        <v>51</v>
      </c>
      <c r="E474" s="2" t="s">
        <v>16</v>
      </c>
      <c r="F474" s="2">
        <v>60</v>
      </c>
      <c r="G474" s="2" t="s">
        <v>1799</v>
      </c>
      <c r="H474" s="2" t="s">
        <v>1800</v>
      </c>
      <c r="I474" s="2" t="s">
        <v>32</v>
      </c>
      <c r="J474" s="3">
        <v>44477</v>
      </c>
      <c r="K474" s="5">
        <f>YEAR(OrganizedData[[#This Row],[Order Date]])</f>
        <v>2021</v>
      </c>
      <c r="L474" s="7" t="str">
        <f>TEXT(OrganizedData[[#This Row],[Order Date]],"mmm")</f>
        <v>Oct</v>
      </c>
      <c r="M474" s="2">
        <v>81</v>
      </c>
      <c r="N474" s="2" t="s">
        <v>70</v>
      </c>
      <c r="O474" s="2" t="str">
        <f>VLOOKUP(OrganizedData[[#This Row],[Product Code]],ProductData[[Code]:[Item]],2,FALSE)</f>
        <v>Megawidget M</v>
      </c>
      <c r="P474" s="4">
        <f>OrganizedData[[#This Row],[Quantity]]*VLOOKUP(OrganizedData[[#This Row],[Product Code]],ProductData[],4,FALSE)</f>
        <v>1944</v>
      </c>
      <c r="Q474" s="6">
        <f>OrganizedData[[#This Row],[Total Items Ordered]]*VLOOKUP(OrganizedData[[#This Row],[Product Code]],ProductData[],3,FALSE)</f>
        <v>2507.7600000000002</v>
      </c>
      <c r="R4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2382.3720000000003</v>
      </c>
    </row>
    <row r="475" spans="1:18" x14ac:dyDescent="0.3">
      <c r="A475" s="2">
        <v>468</v>
      </c>
      <c r="B475" s="2" t="s">
        <v>1801</v>
      </c>
      <c r="C475" s="2" t="s">
        <v>1802</v>
      </c>
      <c r="D475" s="2" t="s">
        <v>51</v>
      </c>
      <c r="E475" s="2" t="s">
        <v>16</v>
      </c>
      <c r="F475" s="2">
        <v>90</v>
      </c>
      <c r="G475" s="2" t="s">
        <v>1803</v>
      </c>
      <c r="H475" s="2" t="s">
        <v>1804</v>
      </c>
      <c r="I475" s="2" t="s">
        <v>32</v>
      </c>
      <c r="J475" s="3">
        <v>44039</v>
      </c>
      <c r="K475" s="5">
        <f>YEAR(OrganizedData[[#This Row],[Order Date]])</f>
        <v>2020</v>
      </c>
      <c r="L475" s="7" t="str">
        <f>TEXT(OrganizedData[[#This Row],[Order Date]],"mmm")</f>
        <v>Jul</v>
      </c>
      <c r="M475" s="2">
        <v>14</v>
      </c>
      <c r="N475" s="2" t="s">
        <v>101</v>
      </c>
      <c r="O475" s="2" t="str">
        <f>VLOOKUP(OrganizedData[[#This Row],[Product Code]],ProductData[[Code]:[Item]],2,FALSE)</f>
        <v>Superwossname</v>
      </c>
      <c r="P475" s="4">
        <f>OrganizedData[[#This Row],[Quantity]]*VLOOKUP(OrganizedData[[#This Row],[Product Code]],ProductData[],4,FALSE)</f>
        <v>280</v>
      </c>
      <c r="Q475" s="6">
        <f>OrganizedData[[#This Row],[Total Items Ordered]]*VLOOKUP(OrganizedData[[#This Row],[Product Code]],ProductData[],3,FALSE)</f>
        <v>977.2</v>
      </c>
      <c r="R4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977.2</v>
      </c>
    </row>
    <row r="476" spans="1:18" x14ac:dyDescent="0.3">
      <c r="A476" s="2">
        <v>469</v>
      </c>
      <c r="B476" s="2" t="s">
        <v>1805</v>
      </c>
      <c r="C476" s="2" t="s">
        <v>1806</v>
      </c>
      <c r="D476" s="2" t="s">
        <v>28</v>
      </c>
      <c r="E476" s="2" t="s">
        <v>29</v>
      </c>
      <c r="F476" s="2">
        <v>90</v>
      </c>
      <c r="G476" s="2" t="s">
        <v>1807</v>
      </c>
      <c r="H476" s="2" t="s">
        <v>1808</v>
      </c>
      <c r="I476" s="2" t="s">
        <v>124</v>
      </c>
      <c r="J476" s="3">
        <v>43875</v>
      </c>
      <c r="K476" s="5">
        <f>YEAR(OrganizedData[[#This Row],[Order Date]])</f>
        <v>2020</v>
      </c>
      <c r="L476" s="7" t="str">
        <f>TEXT(OrganizedData[[#This Row],[Order Date]],"mmm")</f>
        <v>Feb</v>
      </c>
      <c r="M476" s="2">
        <v>8</v>
      </c>
      <c r="N476" s="2" t="s">
        <v>33</v>
      </c>
      <c r="O476" s="2" t="str">
        <f>VLOOKUP(OrganizedData[[#This Row],[Product Code]],ProductData[[Code]:[Item]],2,FALSE)</f>
        <v>Megawidget L</v>
      </c>
      <c r="P476" s="4">
        <f>OrganizedData[[#This Row],[Quantity]]*VLOOKUP(OrganizedData[[#This Row],[Product Code]],ProductData[],4,FALSE)</f>
        <v>192</v>
      </c>
      <c r="Q476" s="6">
        <f>OrganizedData[[#This Row],[Total Items Ordered]]*VLOOKUP(OrganizedData[[#This Row],[Product Code]],ProductData[],3,FALSE)</f>
        <v>343.68</v>
      </c>
      <c r="R4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343.68</v>
      </c>
    </row>
    <row r="477" spans="1:18" x14ac:dyDescent="0.3">
      <c r="A477" s="2">
        <v>470</v>
      </c>
      <c r="B477" s="2" t="s">
        <v>1809</v>
      </c>
      <c r="C477" s="2" t="s">
        <v>1810</v>
      </c>
      <c r="D477" s="2" t="s">
        <v>28</v>
      </c>
      <c r="E477" s="2" t="s">
        <v>29</v>
      </c>
      <c r="F477" s="2">
        <v>30</v>
      </c>
      <c r="G477" s="2" t="s">
        <v>1811</v>
      </c>
      <c r="H477" s="2" t="s">
        <v>1785</v>
      </c>
      <c r="I477" s="2" t="s">
        <v>32</v>
      </c>
      <c r="J477" s="3">
        <v>44124</v>
      </c>
      <c r="K477" s="5">
        <f>YEAR(OrganizedData[[#This Row],[Order Date]])</f>
        <v>2020</v>
      </c>
      <c r="L477" s="7" t="str">
        <f>TEXT(OrganizedData[[#This Row],[Order Date]],"mmm")</f>
        <v>Oct</v>
      </c>
      <c r="M477" s="2">
        <v>16</v>
      </c>
      <c r="N477" s="2" t="s">
        <v>20</v>
      </c>
      <c r="O477" s="2" t="str">
        <f>VLOOKUP(OrganizedData[[#This Row],[Product Code]],ProductData[[Code]:[Item]],2,FALSE)</f>
        <v>Hyperwotsit</v>
      </c>
      <c r="P477" s="4">
        <f>OrganizedData[[#This Row],[Quantity]]*VLOOKUP(OrganizedData[[#This Row],[Product Code]],ProductData[],4,FALSE)</f>
        <v>320</v>
      </c>
      <c r="Q477" s="6">
        <f>OrganizedData[[#This Row],[Total Items Ordered]]*VLOOKUP(OrganizedData[[#This Row],[Product Code]],ProductData[],3,FALSE)</f>
        <v>643.19999999999993</v>
      </c>
      <c r="R4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643.19999999999993</v>
      </c>
    </row>
    <row r="478" spans="1:18" x14ac:dyDescent="0.3">
      <c r="A478" s="2">
        <v>471</v>
      </c>
      <c r="B478" s="2" t="s">
        <v>1812</v>
      </c>
      <c r="C478" s="2" t="s">
        <v>1813</v>
      </c>
      <c r="D478" s="2" t="s">
        <v>28</v>
      </c>
      <c r="E478" s="2" t="s">
        <v>29</v>
      </c>
      <c r="F478" s="2">
        <v>90</v>
      </c>
      <c r="G478" s="2" t="s">
        <v>1814</v>
      </c>
      <c r="H478" s="2" t="s">
        <v>1815</v>
      </c>
      <c r="I478" s="2" t="s">
        <v>32</v>
      </c>
      <c r="J478" s="3">
        <v>43955</v>
      </c>
      <c r="K478" s="5">
        <f>YEAR(OrganizedData[[#This Row],[Order Date]])</f>
        <v>2020</v>
      </c>
      <c r="L478" s="7" t="str">
        <f>TEXT(OrganizedData[[#This Row],[Order Date]],"mmm")</f>
        <v>May</v>
      </c>
      <c r="M478" s="2">
        <v>59</v>
      </c>
      <c r="N478" s="2" t="s">
        <v>54</v>
      </c>
      <c r="O478" s="2" t="str">
        <f>VLOOKUP(OrganizedData[[#This Row],[Product Code]],ProductData[[Code]:[Item]],2,FALSE)</f>
        <v>Megawidget S</v>
      </c>
      <c r="P478" s="4">
        <f>OrganizedData[[#This Row],[Quantity]]*VLOOKUP(OrganizedData[[#This Row],[Product Code]],ProductData[],4,FALSE)</f>
        <v>1416</v>
      </c>
      <c r="Q478" s="6">
        <f>OrganizedData[[#This Row],[Total Items Ordered]]*VLOOKUP(OrganizedData[[#This Row],[Product Code]],ProductData[],3,FALSE)</f>
        <v>977.04</v>
      </c>
      <c r="R4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928.18799999999987</v>
      </c>
    </row>
    <row r="479" spans="1:18" x14ac:dyDescent="0.3">
      <c r="A479" s="2">
        <v>472</v>
      </c>
      <c r="B479" s="2" t="s">
        <v>1816</v>
      </c>
      <c r="C479" s="2" t="s">
        <v>1817</v>
      </c>
      <c r="D479" s="2" t="s">
        <v>15</v>
      </c>
      <c r="E479" s="2" t="s">
        <v>16</v>
      </c>
      <c r="F479" s="2">
        <v>60</v>
      </c>
      <c r="G479" s="2" t="s">
        <v>1818</v>
      </c>
      <c r="H479" s="2" t="s">
        <v>1819</v>
      </c>
      <c r="I479" s="2" t="s">
        <v>89</v>
      </c>
      <c r="J479" s="3">
        <v>43831</v>
      </c>
      <c r="K479" s="5">
        <f>YEAR(OrganizedData[[#This Row],[Order Date]])</f>
        <v>2020</v>
      </c>
      <c r="L479" s="7" t="str">
        <f>TEXT(OrganizedData[[#This Row],[Order Date]],"mmm")</f>
        <v>Jan</v>
      </c>
      <c r="M479" s="2">
        <v>60</v>
      </c>
      <c r="N479" s="2" t="s">
        <v>101</v>
      </c>
      <c r="O479" s="2" t="str">
        <f>VLOOKUP(OrganizedData[[#This Row],[Product Code]],ProductData[[Code]:[Item]],2,FALSE)</f>
        <v>Superwossname</v>
      </c>
      <c r="P479" s="4">
        <f>OrganizedData[[#This Row],[Quantity]]*VLOOKUP(OrganizedData[[#This Row],[Product Code]],ProductData[],4,FALSE)</f>
        <v>1200</v>
      </c>
      <c r="Q479" s="6">
        <f>OrganizedData[[#This Row],[Total Items Ordered]]*VLOOKUP(OrganizedData[[#This Row],[Product Code]],ProductData[],3,FALSE)</f>
        <v>4188</v>
      </c>
      <c r="R4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3978.6</v>
      </c>
    </row>
    <row r="480" spans="1:18" x14ac:dyDescent="0.3">
      <c r="A480" s="2">
        <v>473</v>
      </c>
      <c r="B480" s="2" t="s">
        <v>1820</v>
      </c>
      <c r="C480" s="2" t="s">
        <v>1821</v>
      </c>
      <c r="D480" s="2" t="s">
        <v>28</v>
      </c>
      <c r="E480" s="2" t="s">
        <v>29</v>
      </c>
      <c r="F480" s="2">
        <v>30</v>
      </c>
      <c r="G480" s="2" t="s">
        <v>1822</v>
      </c>
      <c r="H480" s="2" t="s">
        <v>1823</v>
      </c>
      <c r="I480" s="2" t="s">
        <v>1824</v>
      </c>
      <c r="J480" s="3">
        <v>44316</v>
      </c>
      <c r="K480" s="5">
        <f>YEAR(OrganizedData[[#This Row],[Order Date]])</f>
        <v>2021</v>
      </c>
      <c r="L480" s="7" t="str">
        <f>TEXT(OrganizedData[[#This Row],[Order Date]],"mmm")</f>
        <v>Apr</v>
      </c>
      <c r="M480" s="2">
        <v>51</v>
      </c>
      <c r="N480" s="2" t="s">
        <v>39</v>
      </c>
      <c r="O480" s="2" t="str">
        <f>VLOOKUP(OrganizedData[[#This Row],[Product Code]],ProductData[[Code]:[Item]],2,FALSE)</f>
        <v>Ultrathing V1</v>
      </c>
      <c r="P480" s="4">
        <f>OrganizedData[[#This Row],[Quantity]]*VLOOKUP(OrganizedData[[#This Row],[Product Code]],ProductData[],4,FALSE)</f>
        <v>867</v>
      </c>
      <c r="Q480" s="6">
        <f>OrganizedData[[#This Row],[Total Items Ordered]]*VLOOKUP(OrganizedData[[#This Row],[Product Code]],ProductData[],3,FALSE)</f>
        <v>1551.93</v>
      </c>
      <c r="R4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1474.3335</v>
      </c>
    </row>
    <row r="481" spans="1:18" x14ac:dyDescent="0.3">
      <c r="A481" s="2">
        <v>474</v>
      </c>
      <c r="B481" s="2" t="s">
        <v>1825</v>
      </c>
      <c r="C481" s="2" t="s">
        <v>1826</v>
      </c>
      <c r="D481" s="2" t="s">
        <v>51</v>
      </c>
      <c r="E481" s="2" t="s">
        <v>16</v>
      </c>
      <c r="F481" s="2">
        <v>30</v>
      </c>
      <c r="G481" s="2" t="s">
        <v>1822</v>
      </c>
      <c r="H481" s="2" t="s">
        <v>1827</v>
      </c>
      <c r="I481" s="2" t="s">
        <v>25</v>
      </c>
      <c r="J481" s="3">
        <v>44398</v>
      </c>
      <c r="K481" s="5">
        <f>YEAR(OrganizedData[[#This Row],[Order Date]])</f>
        <v>2021</v>
      </c>
      <c r="L481" s="7" t="str">
        <f>TEXT(OrganizedData[[#This Row],[Order Date]],"mmm")</f>
        <v>Jul</v>
      </c>
      <c r="M481" s="2">
        <v>13</v>
      </c>
      <c r="N481" s="2" t="s">
        <v>33</v>
      </c>
      <c r="O481" s="2" t="str">
        <f>VLOOKUP(OrganizedData[[#This Row],[Product Code]],ProductData[[Code]:[Item]],2,FALSE)</f>
        <v>Megawidget L</v>
      </c>
      <c r="P481" s="4">
        <f>OrganizedData[[#This Row],[Quantity]]*VLOOKUP(OrganizedData[[#This Row],[Product Code]],ProductData[],4,FALSE)</f>
        <v>312</v>
      </c>
      <c r="Q481" s="6">
        <f>OrganizedData[[#This Row],[Total Items Ordered]]*VLOOKUP(OrganizedData[[#This Row],[Product Code]],ProductData[],3,FALSE)</f>
        <v>558.48</v>
      </c>
      <c r="R4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482" spans="1:18" x14ac:dyDescent="0.3">
      <c r="A482" s="2">
        <v>475</v>
      </c>
      <c r="B482" s="2" t="s">
        <v>1828</v>
      </c>
      <c r="C482" s="2" t="s">
        <v>1829</v>
      </c>
      <c r="D482" s="2" t="s">
        <v>28</v>
      </c>
      <c r="E482" s="2" t="s">
        <v>29</v>
      </c>
      <c r="F482" s="2">
        <v>90</v>
      </c>
      <c r="G482" s="2" t="s">
        <v>1822</v>
      </c>
      <c r="H482" s="2" t="s">
        <v>1830</v>
      </c>
      <c r="I482" s="2" t="s">
        <v>32</v>
      </c>
      <c r="J482" s="3">
        <v>44660</v>
      </c>
      <c r="K482" s="5">
        <f>YEAR(OrganizedData[[#This Row],[Order Date]])</f>
        <v>2022</v>
      </c>
      <c r="L482" s="7" t="str">
        <f>TEXT(OrganizedData[[#This Row],[Order Date]],"mmm")</f>
        <v>Apr</v>
      </c>
      <c r="M482" s="2">
        <v>13</v>
      </c>
      <c r="N482" s="2" t="s">
        <v>54</v>
      </c>
      <c r="O482" s="2" t="str">
        <f>VLOOKUP(OrganizedData[[#This Row],[Product Code]],ProductData[[Code]:[Item]],2,FALSE)</f>
        <v>Megawidget S</v>
      </c>
      <c r="P482" s="4">
        <f>OrganizedData[[#This Row],[Quantity]]*VLOOKUP(OrganizedData[[#This Row],[Product Code]],ProductData[],4,FALSE)</f>
        <v>312</v>
      </c>
      <c r="Q482" s="6">
        <f>OrganizedData[[#This Row],[Total Items Ordered]]*VLOOKUP(OrganizedData[[#This Row],[Product Code]],ProductData[],3,FALSE)</f>
        <v>215.27999999999997</v>
      </c>
      <c r="R4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215.27999999999997</v>
      </c>
    </row>
    <row r="483" spans="1:18" x14ac:dyDescent="0.3">
      <c r="A483" s="2">
        <v>476</v>
      </c>
      <c r="B483" s="2" t="s">
        <v>1831</v>
      </c>
      <c r="C483" s="2" t="s">
        <v>1832</v>
      </c>
      <c r="D483" s="2" t="s">
        <v>28</v>
      </c>
      <c r="E483" s="2" t="s">
        <v>29</v>
      </c>
      <c r="F483" s="2">
        <v>30</v>
      </c>
      <c r="G483" s="2" t="s">
        <v>1833</v>
      </c>
      <c r="H483" s="2" t="s">
        <v>1834</v>
      </c>
      <c r="I483" s="2" t="s">
        <v>32</v>
      </c>
      <c r="J483" s="3">
        <v>43889</v>
      </c>
      <c r="K483" s="5">
        <f>YEAR(OrganizedData[[#This Row],[Order Date]])</f>
        <v>2020</v>
      </c>
      <c r="L483" s="7" t="str">
        <f>TEXT(OrganizedData[[#This Row],[Order Date]],"mmm")</f>
        <v>Feb</v>
      </c>
      <c r="M483" s="2">
        <v>35</v>
      </c>
      <c r="N483" s="2" t="s">
        <v>39</v>
      </c>
      <c r="O483" s="2" t="str">
        <f>VLOOKUP(OrganizedData[[#This Row],[Product Code]],ProductData[[Code]:[Item]],2,FALSE)</f>
        <v>Ultrathing V1</v>
      </c>
      <c r="P483" s="4">
        <f>OrganizedData[[#This Row],[Quantity]]*VLOOKUP(OrganizedData[[#This Row],[Product Code]],ProductData[],4,FALSE)</f>
        <v>595</v>
      </c>
      <c r="Q483" s="6">
        <f>OrganizedData[[#This Row],[Total Items Ordered]]*VLOOKUP(OrganizedData[[#This Row],[Product Code]],ProductData[],3,FALSE)</f>
        <v>1065.05</v>
      </c>
      <c r="R4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1033.0984999999998</v>
      </c>
    </row>
    <row r="484" spans="1:18" x14ac:dyDescent="0.3">
      <c r="A484" s="2">
        <v>477</v>
      </c>
      <c r="B484" s="2" t="s">
        <v>1326</v>
      </c>
      <c r="C484" s="2" t="s">
        <v>1835</v>
      </c>
      <c r="D484" s="2" t="s">
        <v>28</v>
      </c>
      <c r="E484" s="2" t="s">
        <v>29</v>
      </c>
      <c r="F484" s="2">
        <v>90</v>
      </c>
      <c r="G484" s="2" t="s">
        <v>1836</v>
      </c>
      <c r="H484" s="2" t="s">
        <v>1837</v>
      </c>
      <c r="I484" s="2" t="s">
        <v>173</v>
      </c>
      <c r="J484" s="3">
        <v>44836</v>
      </c>
      <c r="K484" s="5">
        <f>YEAR(OrganizedData[[#This Row],[Order Date]])</f>
        <v>2022</v>
      </c>
      <c r="L484" s="7" t="str">
        <f>TEXT(OrganizedData[[#This Row],[Order Date]],"mmm")</f>
        <v>Oct</v>
      </c>
      <c r="M484" s="2">
        <v>89</v>
      </c>
      <c r="N484" s="2" t="s">
        <v>39</v>
      </c>
      <c r="O484" s="2" t="str">
        <f>VLOOKUP(OrganizedData[[#This Row],[Product Code]],ProductData[[Code]:[Item]],2,FALSE)</f>
        <v>Ultrathing V1</v>
      </c>
      <c r="P484" s="4">
        <f>OrganizedData[[#This Row],[Quantity]]*VLOOKUP(OrganizedData[[#This Row],[Product Code]],ProductData[],4,FALSE)</f>
        <v>1513</v>
      </c>
      <c r="Q484" s="6">
        <f>OrganizedData[[#This Row],[Total Items Ordered]]*VLOOKUP(OrganizedData[[#This Row],[Product Code]],ProductData[],3,FALSE)</f>
        <v>2708.27</v>
      </c>
      <c r="R4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2572.8564999999999</v>
      </c>
    </row>
    <row r="485" spans="1:18" x14ac:dyDescent="0.3">
      <c r="A485" s="2">
        <v>478</v>
      </c>
      <c r="B485" s="2" t="s">
        <v>1838</v>
      </c>
      <c r="C485" s="2" t="s">
        <v>1480</v>
      </c>
      <c r="D485" s="2" t="s">
        <v>28</v>
      </c>
      <c r="E485" s="2" t="s">
        <v>29</v>
      </c>
      <c r="F485" s="2">
        <v>30</v>
      </c>
      <c r="G485" s="2" t="s">
        <v>1836</v>
      </c>
      <c r="H485" s="2" t="s">
        <v>138</v>
      </c>
      <c r="I485" s="2" t="s">
        <v>294</v>
      </c>
      <c r="J485" s="3">
        <v>44214</v>
      </c>
      <c r="K485" s="5">
        <f>YEAR(OrganizedData[[#This Row],[Order Date]])</f>
        <v>2021</v>
      </c>
      <c r="L485" s="7" t="str">
        <f>TEXT(OrganizedData[[#This Row],[Order Date]],"mmm")</f>
        <v>Jan</v>
      </c>
      <c r="M485" s="2">
        <v>91</v>
      </c>
      <c r="N485" s="2" t="s">
        <v>159</v>
      </c>
      <c r="O485" s="2" t="str">
        <f>VLOOKUP(OrganizedData[[#This Row],[Product Code]],ProductData[[Code]:[Item]],2,FALSE)</f>
        <v>Ultrathing V3</v>
      </c>
      <c r="P485" s="4">
        <f>OrganizedData[[#This Row],[Quantity]]*VLOOKUP(OrganizedData[[#This Row],[Product Code]],ProductData[],4,FALSE)</f>
        <v>2184</v>
      </c>
      <c r="Q485" s="6">
        <f>OrganizedData[[#This Row],[Total Items Ordered]]*VLOOKUP(OrganizedData[[#This Row],[Product Code]],ProductData[],3,FALSE)</f>
        <v>7403.76</v>
      </c>
      <c r="R4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7033.5720000000001</v>
      </c>
    </row>
    <row r="486" spans="1:18" x14ac:dyDescent="0.3">
      <c r="A486" s="2">
        <v>479</v>
      </c>
      <c r="B486" s="2" t="s">
        <v>1839</v>
      </c>
      <c r="C486" s="2" t="s">
        <v>1840</v>
      </c>
      <c r="D486" s="2" t="s">
        <v>15</v>
      </c>
      <c r="E486" s="2" t="s">
        <v>16</v>
      </c>
      <c r="F486" s="2">
        <v>90</v>
      </c>
      <c r="G486" s="2" t="s">
        <v>1841</v>
      </c>
      <c r="H486" s="2" t="s">
        <v>1660</v>
      </c>
      <c r="I486" s="2" t="s">
        <v>32</v>
      </c>
      <c r="J486" s="3">
        <v>44799</v>
      </c>
      <c r="K486" s="5">
        <f>YEAR(OrganizedData[[#This Row],[Order Date]])</f>
        <v>2022</v>
      </c>
      <c r="L486" s="7" t="str">
        <f>TEXT(OrganizedData[[#This Row],[Order Date]],"mmm")</f>
        <v>Aug</v>
      </c>
      <c r="M486" s="2">
        <v>65</v>
      </c>
      <c r="N486" s="2" t="s">
        <v>45</v>
      </c>
      <c r="O486" s="2" t="str">
        <f>VLOOKUP(OrganizedData[[#This Row],[Product Code]],ProductData[[Code]:[Item]],2,FALSE)</f>
        <v>Gigastuff</v>
      </c>
      <c r="P486" s="4">
        <f>OrganizedData[[#This Row],[Quantity]]*VLOOKUP(OrganizedData[[#This Row],[Product Code]],ProductData[],4,FALSE)</f>
        <v>1170</v>
      </c>
      <c r="Q486" s="6">
        <f>OrganizedData[[#This Row],[Total Items Ordered]]*VLOOKUP(OrganizedData[[#This Row],[Product Code]],ProductData[],3,FALSE)</f>
        <v>2211.2999999999997</v>
      </c>
      <c r="R4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2100.7349999999997</v>
      </c>
    </row>
    <row r="487" spans="1:18" x14ac:dyDescent="0.3">
      <c r="A487" s="2">
        <v>480</v>
      </c>
      <c r="B487" s="2" t="s">
        <v>1842</v>
      </c>
      <c r="C487" s="2" t="s">
        <v>1843</v>
      </c>
      <c r="D487" s="2" t="s">
        <v>51</v>
      </c>
      <c r="E487" s="2" t="s">
        <v>16</v>
      </c>
      <c r="F487" s="2">
        <v>30</v>
      </c>
      <c r="G487" s="2" t="s">
        <v>1844</v>
      </c>
      <c r="H487" s="2" t="s">
        <v>1845</v>
      </c>
      <c r="I487" s="2" t="s">
        <v>294</v>
      </c>
      <c r="J487" s="3">
        <v>44911</v>
      </c>
      <c r="K487" s="5">
        <f>YEAR(OrganizedData[[#This Row],[Order Date]])</f>
        <v>2022</v>
      </c>
      <c r="L487" s="7" t="str">
        <f>TEXT(OrganizedData[[#This Row],[Order Date]],"mmm")</f>
        <v>Dec</v>
      </c>
      <c r="M487" s="2">
        <v>18</v>
      </c>
      <c r="N487" s="2" t="s">
        <v>159</v>
      </c>
      <c r="O487" s="2" t="str">
        <f>VLOOKUP(OrganizedData[[#This Row],[Product Code]],ProductData[[Code]:[Item]],2,FALSE)</f>
        <v>Ultrathing V3</v>
      </c>
      <c r="P487" s="4">
        <f>OrganizedData[[#This Row],[Quantity]]*VLOOKUP(OrganizedData[[#This Row],[Product Code]],ProductData[],4,FALSE)</f>
        <v>432</v>
      </c>
      <c r="Q487" s="6">
        <f>OrganizedData[[#This Row],[Total Items Ordered]]*VLOOKUP(OrganizedData[[#This Row],[Product Code]],ProductData[],3,FALSE)</f>
        <v>1464.48</v>
      </c>
      <c r="R4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488" spans="1:18" x14ac:dyDescent="0.3">
      <c r="A488" s="2">
        <v>481</v>
      </c>
      <c r="B488" s="2" t="s">
        <v>256</v>
      </c>
      <c r="C488" s="2" t="s">
        <v>1846</v>
      </c>
      <c r="D488" s="2" t="s">
        <v>28</v>
      </c>
      <c r="E488" s="2" t="s">
        <v>29</v>
      </c>
      <c r="F488" s="2">
        <v>30</v>
      </c>
      <c r="G488" s="2" t="s">
        <v>1847</v>
      </c>
      <c r="H488" s="2" t="s">
        <v>1848</v>
      </c>
      <c r="I488" s="2" t="s">
        <v>839</v>
      </c>
      <c r="J488" s="3">
        <v>44786</v>
      </c>
      <c r="K488" s="5">
        <f>YEAR(OrganizedData[[#This Row],[Order Date]])</f>
        <v>2022</v>
      </c>
      <c r="L488" s="7" t="str">
        <f>TEXT(OrganizedData[[#This Row],[Order Date]],"mmm")</f>
        <v>Aug</v>
      </c>
      <c r="M488" s="2">
        <v>19</v>
      </c>
      <c r="N488" s="2" t="s">
        <v>80</v>
      </c>
      <c r="O488" s="2" t="str">
        <f>VLOOKUP(OrganizedData[[#This Row],[Product Code]],ProductData[[Code]:[Item]],2,FALSE)</f>
        <v>Ultrathing V2</v>
      </c>
      <c r="P488" s="4">
        <f>OrganizedData[[#This Row],[Quantity]]*VLOOKUP(OrganizedData[[#This Row],[Product Code]],ProductData[],4,FALSE)</f>
        <v>380</v>
      </c>
      <c r="Q488" s="6">
        <f>OrganizedData[[#This Row],[Total Items Ordered]]*VLOOKUP(OrganizedData[[#This Row],[Product Code]],ProductData[],3,FALSE)</f>
        <v>1121</v>
      </c>
      <c r="R4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v>
      </c>
    </row>
    <row r="489" spans="1:18" x14ac:dyDescent="0.3">
      <c r="A489" s="2">
        <v>482</v>
      </c>
      <c r="B489" s="2" t="s">
        <v>1849</v>
      </c>
      <c r="C489" s="2" t="s">
        <v>1637</v>
      </c>
      <c r="D489" s="2" t="s">
        <v>28</v>
      </c>
      <c r="E489" s="2" t="s">
        <v>29</v>
      </c>
      <c r="F489" s="2">
        <v>30</v>
      </c>
      <c r="G489" s="2" t="s">
        <v>1847</v>
      </c>
      <c r="H489" s="2" t="s">
        <v>1077</v>
      </c>
      <c r="I489" s="2" t="s">
        <v>1078</v>
      </c>
      <c r="J489" s="3">
        <v>44132</v>
      </c>
      <c r="K489" s="5">
        <f>YEAR(OrganizedData[[#This Row],[Order Date]])</f>
        <v>2020</v>
      </c>
      <c r="L489" s="7" t="str">
        <f>TEXT(OrganizedData[[#This Row],[Order Date]],"mmm")</f>
        <v>Oct</v>
      </c>
      <c r="M489" s="2">
        <v>57</v>
      </c>
      <c r="N489" s="2" t="s">
        <v>20</v>
      </c>
      <c r="O489" s="2" t="str">
        <f>VLOOKUP(OrganizedData[[#This Row],[Product Code]],ProductData[[Code]:[Item]],2,FALSE)</f>
        <v>Hyperwotsit</v>
      </c>
      <c r="P489" s="4">
        <f>OrganizedData[[#This Row],[Quantity]]*VLOOKUP(OrganizedData[[#This Row],[Product Code]],ProductData[],4,FALSE)</f>
        <v>1140</v>
      </c>
      <c r="Q489" s="6">
        <f>OrganizedData[[#This Row],[Total Items Ordered]]*VLOOKUP(OrganizedData[[#This Row],[Product Code]],ProductData[],3,FALSE)</f>
        <v>2291.3999999999996</v>
      </c>
      <c r="R4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2176.8299999999995</v>
      </c>
    </row>
    <row r="490" spans="1:18" x14ac:dyDescent="0.3">
      <c r="A490" s="2">
        <v>483</v>
      </c>
      <c r="B490" s="2" t="s">
        <v>1850</v>
      </c>
      <c r="C490" s="2" t="s">
        <v>1851</v>
      </c>
      <c r="D490" s="2" t="s">
        <v>28</v>
      </c>
      <c r="E490" s="2" t="s">
        <v>29</v>
      </c>
      <c r="F490" s="2">
        <v>60</v>
      </c>
      <c r="G490" s="2" t="s">
        <v>1852</v>
      </c>
      <c r="H490" s="2" t="s">
        <v>545</v>
      </c>
      <c r="I490" s="2" t="s">
        <v>173</v>
      </c>
      <c r="J490" s="3">
        <v>44229</v>
      </c>
      <c r="K490" s="5">
        <f>YEAR(OrganizedData[[#This Row],[Order Date]])</f>
        <v>2021</v>
      </c>
      <c r="L490" s="7" t="str">
        <f>TEXT(OrganizedData[[#This Row],[Order Date]],"mmm")</f>
        <v>Feb</v>
      </c>
      <c r="M490" s="2">
        <v>62</v>
      </c>
      <c r="N490" s="2" t="s">
        <v>101</v>
      </c>
      <c r="O490" s="2" t="str">
        <f>VLOOKUP(OrganizedData[[#This Row],[Product Code]],ProductData[[Code]:[Item]],2,FALSE)</f>
        <v>Superwossname</v>
      </c>
      <c r="P490" s="4">
        <f>OrganizedData[[#This Row],[Quantity]]*VLOOKUP(OrganizedData[[#This Row],[Product Code]],ProductData[],4,FALSE)</f>
        <v>1240</v>
      </c>
      <c r="Q490" s="6">
        <f>OrganizedData[[#This Row],[Total Items Ordered]]*VLOOKUP(OrganizedData[[#This Row],[Product Code]],ProductData[],3,FALSE)</f>
        <v>4327.6000000000004</v>
      </c>
      <c r="R4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4111.22</v>
      </c>
    </row>
    <row r="491" spans="1:18" x14ac:dyDescent="0.3">
      <c r="A491" s="2">
        <v>484</v>
      </c>
      <c r="B491" s="2" t="s">
        <v>375</v>
      </c>
      <c r="C491" s="2" t="s">
        <v>1853</v>
      </c>
      <c r="D491" s="2" t="s">
        <v>28</v>
      </c>
      <c r="E491" s="2" t="s">
        <v>29</v>
      </c>
      <c r="F491" s="2">
        <v>30</v>
      </c>
      <c r="G491" s="2" t="s">
        <v>1854</v>
      </c>
      <c r="H491" s="2" t="s">
        <v>1855</v>
      </c>
      <c r="I491" s="2" t="s">
        <v>25</v>
      </c>
      <c r="J491" s="3">
        <v>44799</v>
      </c>
      <c r="K491" s="5">
        <f>YEAR(OrganizedData[[#This Row],[Order Date]])</f>
        <v>2022</v>
      </c>
      <c r="L491" s="7" t="str">
        <f>TEXT(OrganizedData[[#This Row],[Order Date]],"mmm")</f>
        <v>Aug</v>
      </c>
      <c r="M491" s="2">
        <v>59</v>
      </c>
      <c r="N491" s="2" t="s">
        <v>33</v>
      </c>
      <c r="O491" s="2" t="str">
        <f>VLOOKUP(OrganizedData[[#This Row],[Product Code]],ProductData[[Code]:[Item]],2,FALSE)</f>
        <v>Megawidget L</v>
      </c>
      <c r="P491" s="4">
        <f>OrganizedData[[#This Row],[Quantity]]*VLOOKUP(OrganizedData[[#This Row],[Product Code]],ProductData[],4,FALSE)</f>
        <v>1416</v>
      </c>
      <c r="Q491" s="6">
        <f>OrganizedData[[#This Row],[Total Items Ordered]]*VLOOKUP(OrganizedData[[#This Row],[Product Code]],ProductData[],3,FALSE)</f>
        <v>2534.64</v>
      </c>
      <c r="R4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2407.9079999999999</v>
      </c>
    </row>
    <row r="492" spans="1:18" x14ac:dyDescent="0.3">
      <c r="A492" s="2">
        <v>485</v>
      </c>
      <c r="B492" s="2" t="s">
        <v>1856</v>
      </c>
      <c r="C492" s="2" t="s">
        <v>1857</v>
      </c>
      <c r="D492" s="2" t="s">
        <v>51</v>
      </c>
      <c r="E492" s="2" t="s">
        <v>16</v>
      </c>
      <c r="F492" s="2">
        <v>90</v>
      </c>
      <c r="G492" s="2" t="s">
        <v>1858</v>
      </c>
      <c r="H492" s="2" t="s">
        <v>1859</v>
      </c>
      <c r="I492" s="2" t="s">
        <v>89</v>
      </c>
      <c r="J492" s="3">
        <v>43944</v>
      </c>
      <c r="K492" s="5">
        <f>YEAR(OrganizedData[[#This Row],[Order Date]])</f>
        <v>2020</v>
      </c>
      <c r="L492" s="7" t="str">
        <f>TEXT(OrganizedData[[#This Row],[Order Date]],"mmm")</f>
        <v>Apr</v>
      </c>
      <c r="M492" s="2">
        <v>35</v>
      </c>
      <c r="N492" s="2" t="s">
        <v>159</v>
      </c>
      <c r="O492" s="2" t="str">
        <f>VLOOKUP(OrganizedData[[#This Row],[Product Code]],ProductData[[Code]:[Item]],2,FALSE)</f>
        <v>Ultrathing V3</v>
      </c>
      <c r="P492" s="4">
        <f>OrganizedData[[#This Row],[Quantity]]*VLOOKUP(OrganizedData[[#This Row],[Product Code]],ProductData[],4,FALSE)</f>
        <v>840</v>
      </c>
      <c r="Q492" s="6">
        <f>OrganizedData[[#This Row],[Total Items Ordered]]*VLOOKUP(OrganizedData[[#This Row],[Product Code]],ProductData[],3,FALSE)</f>
        <v>2847.6</v>
      </c>
      <c r="R4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2762.172</v>
      </c>
    </row>
    <row r="493" spans="1:18" x14ac:dyDescent="0.3">
      <c r="A493" s="2">
        <v>486</v>
      </c>
      <c r="B493" s="2" t="s">
        <v>1860</v>
      </c>
      <c r="C493" s="2" t="s">
        <v>1861</v>
      </c>
      <c r="D493" s="2" t="s">
        <v>28</v>
      </c>
      <c r="E493" s="2" t="s">
        <v>29</v>
      </c>
      <c r="F493" s="2">
        <v>60</v>
      </c>
      <c r="G493" s="2" t="s">
        <v>1858</v>
      </c>
      <c r="H493" s="2" t="s">
        <v>1862</v>
      </c>
      <c r="I493" s="2" t="s">
        <v>187</v>
      </c>
      <c r="J493" s="3">
        <v>44110</v>
      </c>
      <c r="K493" s="5">
        <f>YEAR(OrganizedData[[#This Row],[Order Date]])</f>
        <v>2020</v>
      </c>
      <c r="L493" s="7" t="str">
        <f>TEXT(OrganizedData[[#This Row],[Order Date]],"mmm")</f>
        <v>Oct</v>
      </c>
      <c r="M493" s="2">
        <v>14</v>
      </c>
      <c r="N493" s="2" t="s">
        <v>45</v>
      </c>
      <c r="O493" s="2" t="str">
        <f>VLOOKUP(OrganizedData[[#This Row],[Product Code]],ProductData[[Code]:[Item]],2,FALSE)</f>
        <v>Gigastuff</v>
      </c>
      <c r="P493" s="4">
        <f>OrganizedData[[#This Row],[Quantity]]*VLOOKUP(OrganizedData[[#This Row],[Product Code]],ProductData[],4,FALSE)</f>
        <v>252</v>
      </c>
      <c r="Q493" s="6">
        <f>OrganizedData[[#This Row],[Total Items Ordered]]*VLOOKUP(OrganizedData[[#This Row],[Product Code]],ProductData[],3,FALSE)</f>
        <v>476.28</v>
      </c>
      <c r="R4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476.28</v>
      </c>
    </row>
    <row r="494" spans="1:18" x14ac:dyDescent="0.3">
      <c r="A494" s="2">
        <v>487</v>
      </c>
      <c r="B494" s="2" t="s">
        <v>357</v>
      </c>
      <c r="C494" s="2" t="s">
        <v>1863</v>
      </c>
      <c r="D494" s="2" t="s">
        <v>28</v>
      </c>
      <c r="E494" s="2" t="s">
        <v>29</v>
      </c>
      <c r="F494" s="2">
        <v>30</v>
      </c>
      <c r="G494" s="2" t="s">
        <v>1858</v>
      </c>
      <c r="H494" s="2" t="s">
        <v>1864</v>
      </c>
      <c r="I494" s="2" t="s">
        <v>294</v>
      </c>
      <c r="J494" s="3">
        <v>43987</v>
      </c>
      <c r="K494" s="5">
        <f>YEAR(OrganizedData[[#This Row],[Order Date]])</f>
        <v>2020</v>
      </c>
      <c r="L494" s="7" t="str">
        <f>TEXT(OrganizedData[[#This Row],[Order Date]],"mmm")</f>
        <v>Jun</v>
      </c>
      <c r="M494" s="2">
        <v>46</v>
      </c>
      <c r="N494" s="2" t="s">
        <v>45</v>
      </c>
      <c r="O494" s="2" t="str">
        <f>VLOOKUP(OrganizedData[[#This Row],[Product Code]],ProductData[[Code]:[Item]],2,FALSE)</f>
        <v>Gigastuff</v>
      </c>
      <c r="P494" s="4">
        <f>OrganizedData[[#This Row],[Quantity]]*VLOOKUP(OrganizedData[[#This Row],[Product Code]],ProductData[],4,FALSE)</f>
        <v>828</v>
      </c>
      <c r="Q494" s="6">
        <f>OrganizedData[[#This Row],[Total Items Ordered]]*VLOOKUP(OrganizedData[[#This Row],[Product Code]],ProductData[],3,FALSE)</f>
        <v>1564.9199999999998</v>
      </c>
      <c r="R4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1517.9723999999999</v>
      </c>
    </row>
    <row r="495" spans="1:18" x14ac:dyDescent="0.3">
      <c r="A495" s="2">
        <v>488</v>
      </c>
      <c r="B495" s="2" t="s">
        <v>1865</v>
      </c>
      <c r="C495" s="2" t="s">
        <v>1866</v>
      </c>
      <c r="D495" s="2" t="s">
        <v>51</v>
      </c>
      <c r="E495" s="2" t="s">
        <v>16</v>
      </c>
      <c r="F495" s="2">
        <v>90</v>
      </c>
      <c r="G495" s="2" t="s">
        <v>10467</v>
      </c>
      <c r="H495" s="2" t="s">
        <v>1868</v>
      </c>
      <c r="I495" s="2" t="s">
        <v>1869</v>
      </c>
      <c r="J495" s="3">
        <v>44535</v>
      </c>
      <c r="K495" s="5">
        <f>YEAR(OrganizedData[[#This Row],[Order Date]])</f>
        <v>2021</v>
      </c>
      <c r="L495" s="7" t="str">
        <f>TEXT(OrganizedData[[#This Row],[Order Date]],"mmm")</f>
        <v>Dec</v>
      </c>
      <c r="M495" s="2">
        <v>34</v>
      </c>
      <c r="N495" s="2" t="s">
        <v>20</v>
      </c>
      <c r="O495" s="2" t="str">
        <f>VLOOKUP(OrganizedData[[#This Row],[Product Code]],ProductData[[Code]:[Item]],2,FALSE)</f>
        <v>Hyperwotsit</v>
      </c>
      <c r="P495" s="4">
        <f>OrganizedData[[#This Row],[Quantity]]*VLOOKUP(OrganizedData[[#This Row],[Product Code]],ProductData[],4,FALSE)</f>
        <v>680</v>
      </c>
      <c r="Q495" s="6">
        <f>OrganizedData[[#This Row],[Total Items Ordered]]*VLOOKUP(OrganizedData[[#This Row],[Product Code]],ProductData[],3,FALSE)</f>
        <v>1366.8</v>
      </c>
      <c r="R4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1325.7959999999998</v>
      </c>
    </row>
    <row r="496" spans="1:18" x14ac:dyDescent="0.3">
      <c r="A496" s="2">
        <v>489</v>
      </c>
      <c r="B496" s="2" t="s">
        <v>1389</v>
      </c>
      <c r="C496" s="2" t="s">
        <v>1870</v>
      </c>
      <c r="D496" s="2" t="s">
        <v>51</v>
      </c>
      <c r="E496" s="2" t="s">
        <v>16</v>
      </c>
      <c r="F496" s="2">
        <v>30</v>
      </c>
      <c r="G496" s="2" t="s">
        <v>1871</v>
      </c>
      <c r="H496" s="2" t="s">
        <v>1872</v>
      </c>
      <c r="I496" s="2" t="s">
        <v>124</v>
      </c>
      <c r="J496" s="3">
        <v>44705</v>
      </c>
      <c r="K496" s="5">
        <f>YEAR(OrganizedData[[#This Row],[Order Date]])</f>
        <v>2022</v>
      </c>
      <c r="L496" s="7" t="str">
        <f>TEXT(OrganizedData[[#This Row],[Order Date]],"mmm")</f>
        <v>May</v>
      </c>
      <c r="M496" s="2">
        <v>37</v>
      </c>
      <c r="N496" s="2" t="s">
        <v>80</v>
      </c>
      <c r="O496" s="2" t="str">
        <f>VLOOKUP(OrganizedData[[#This Row],[Product Code]],ProductData[[Code]:[Item]],2,FALSE)</f>
        <v>Ultrathing V2</v>
      </c>
      <c r="P496" s="4">
        <f>OrganizedData[[#This Row],[Quantity]]*VLOOKUP(OrganizedData[[#This Row],[Product Code]],ProductData[],4,FALSE)</f>
        <v>740</v>
      </c>
      <c r="Q496" s="6">
        <f>OrganizedData[[#This Row],[Total Items Ordered]]*VLOOKUP(OrganizedData[[#This Row],[Product Code]],ProductData[],3,FALSE)</f>
        <v>2183</v>
      </c>
      <c r="R4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497" spans="1:18" x14ac:dyDescent="0.3">
      <c r="A497" s="2">
        <v>490</v>
      </c>
      <c r="B497" s="2" t="s">
        <v>1873</v>
      </c>
      <c r="C497" s="2" t="s">
        <v>1874</v>
      </c>
      <c r="D497" s="2" t="s">
        <v>51</v>
      </c>
      <c r="E497" s="2" t="s">
        <v>16</v>
      </c>
      <c r="F497" s="2">
        <v>60</v>
      </c>
      <c r="G497" s="2" t="s">
        <v>1875</v>
      </c>
      <c r="H497" s="2" t="s">
        <v>1876</v>
      </c>
      <c r="I497" s="2" t="s">
        <v>32</v>
      </c>
      <c r="J497" s="3">
        <v>44833</v>
      </c>
      <c r="K497" s="5">
        <f>YEAR(OrganizedData[[#This Row],[Order Date]])</f>
        <v>2022</v>
      </c>
      <c r="L497" s="7" t="str">
        <f>TEXT(OrganizedData[[#This Row],[Order Date]],"mmm")</f>
        <v>Sep</v>
      </c>
      <c r="M497" s="2">
        <v>54</v>
      </c>
      <c r="N497" s="2" t="s">
        <v>70</v>
      </c>
      <c r="O497" s="2" t="str">
        <f>VLOOKUP(OrganizedData[[#This Row],[Product Code]],ProductData[[Code]:[Item]],2,FALSE)</f>
        <v>Megawidget M</v>
      </c>
      <c r="P497" s="4">
        <f>OrganizedData[[#This Row],[Quantity]]*VLOOKUP(OrganizedData[[#This Row],[Product Code]],ProductData[],4,FALSE)</f>
        <v>1296</v>
      </c>
      <c r="Q497" s="6">
        <f>OrganizedData[[#This Row],[Total Items Ordered]]*VLOOKUP(OrganizedData[[#This Row],[Product Code]],ProductData[],3,FALSE)</f>
        <v>1671.8400000000001</v>
      </c>
      <c r="R4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1588.248</v>
      </c>
    </row>
    <row r="498" spans="1:18" x14ac:dyDescent="0.3">
      <c r="A498" s="2">
        <v>491</v>
      </c>
      <c r="B498" s="2" t="s">
        <v>1877</v>
      </c>
      <c r="C498" s="2" t="s">
        <v>1878</v>
      </c>
      <c r="D498" s="2" t="s">
        <v>28</v>
      </c>
      <c r="E498" s="2" t="s">
        <v>29</v>
      </c>
      <c r="F498" s="2">
        <v>30</v>
      </c>
      <c r="G498" s="2" t="s">
        <v>1879</v>
      </c>
      <c r="H498" s="2" t="s">
        <v>1880</v>
      </c>
      <c r="I498" s="2" t="s">
        <v>32</v>
      </c>
      <c r="J498" s="3">
        <v>44460</v>
      </c>
      <c r="K498" s="5">
        <f>YEAR(OrganizedData[[#This Row],[Order Date]])</f>
        <v>2021</v>
      </c>
      <c r="L498" s="7" t="str">
        <f>TEXT(OrganizedData[[#This Row],[Order Date]],"mmm")</f>
        <v>Sep</v>
      </c>
      <c r="M498" s="2">
        <v>70</v>
      </c>
      <c r="N498" s="2" t="s">
        <v>80</v>
      </c>
      <c r="O498" s="2" t="str">
        <f>VLOOKUP(OrganizedData[[#This Row],[Product Code]],ProductData[[Code]:[Item]],2,FALSE)</f>
        <v>Ultrathing V2</v>
      </c>
      <c r="P498" s="4">
        <f>OrganizedData[[#This Row],[Quantity]]*VLOOKUP(OrganizedData[[#This Row],[Product Code]],ProductData[],4,FALSE)</f>
        <v>1400</v>
      </c>
      <c r="Q498" s="6">
        <f>OrganizedData[[#This Row],[Total Items Ordered]]*VLOOKUP(OrganizedData[[#This Row],[Product Code]],ProductData[],3,FALSE)</f>
        <v>4130</v>
      </c>
      <c r="R4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499" spans="1:18" x14ac:dyDescent="0.3">
      <c r="A499" s="2">
        <v>492</v>
      </c>
      <c r="B499" s="2" t="s">
        <v>1881</v>
      </c>
      <c r="C499" s="2" t="s">
        <v>1882</v>
      </c>
      <c r="D499" s="2" t="s">
        <v>28</v>
      </c>
      <c r="E499" s="2" t="s">
        <v>29</v>
      </c>
      <c r="F499" s="2">
        <v>30</v>
      </c>
      <c r="G499" s="2" t="s">
        <v>1883</v>
      </c>
      <c r="H499" s="2" t="s">
        <v>1884</v>
      </c>
      <c r="I499" s="2" t="s">
        <v>1885</v>
      </c>
      <c r="J499" s="3">
        <v>44483</v>
      </c>
      <c r="K499" s="5">
        <f>YEAR(OrganizedData[[#This Row],[Order Date]])</f>
        <v>2021</v>
      </c>
      <c r="L499" s="7" t="str">
        <f>TEXT(OrganizedData[[#This Row],[Order Date]],"mmm")</f>
        <v>Oct</v>
      </c>
      <c r="M499" s="2">
        <v>49</v>
      </c>
      <c r="N499" s="2" t="s">
        <v>101</v>
      </c>
      <c r="O499" s="2" t="str">
        <f>VLOOKUP(OrganizedData[[#This Row],[Product Code]],ProductData[[Code]:[Item]],2,FALSE)</f>
        <v>Superwossname</v>
      </c>
      <c r="P499" s="4">
        <f>OrganizedData[[#This Row],[Quantity]]*VLOOKUP(OrganizedData[[#This Row],[Product Code]],ProductData[],4,FALSE)</f>
        <v>980</v>
      </c>
      <c r="Q499" s="6">
        <f>OrganizedData[[#This Row],[Total Items Ordered]]*VLOOKUP(OrganizedData[[#This Row],[Product Code]],ProductData[],3,FALSE)</f>
        <v>3420.2000000000003</v>
      </c>
      <c r="R4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3317.5940000000001</v>
      </c>
    </row>
    <row r="500" spans="1:18" x14ac:dyDescent="0.3">
      <c r="A500" s="2">
        <v>493</v>
      </c>
      <c r="B500" s="2" t="s">
        <v>1886</v>
      </c>
      <c r="C500" s="2" t="s">
        <v>928</v>
      </c>
      <c r="D500" s="2" t="s">
        <v>51</v>
      </c>
      <c r="E500" s="2" t="s">
        <v>16</v>
      </c>
      <c r="F500" s="2">
        <v>60</v>
      </c>
      <c r="G500" s="2" t="s">
        <v>1887</v>
      </c>
      <c r="H500" s="2" t="s">
        <v>1888</v>
      </c>
      <c r="I500" s="2" t="s">
        <v>1889</v>
      </c>
      <c r="J500" s="3">
        <v>44440</v>
      </c>
      <c r="K500" s="5">
        <f>YEAR(OrganizedData[[#This Row],[Order Date]])</f>
        <v>2021</v>
      </c>
      <c r="L500" s="7" t="str">
        <f>TEXT(OrganizedData[[#This Row],[Order Date]],"mmm")</f>
        <v>Sep</v>
      </c>
      <c r="M500" s="2">
        <v>54</v>
      </c>
      <c r="N500" s="2" t="s">
        <v>70</v>
      </c>
      <c r="O500" s="2" t="str">
        <f>VLOOKUP(OrganizedData[[#This Row],[Product Code]],ProductData[[Code]:[Item]],2,FALSE)</f>
        <v>Megawidget M</v>
      </c>
      <c r="P500" s="4">
        <f>OrganizedData[[#This Row],[Quantity]]*VLOOKUP(OrganizedData[[#This Row],[Product Code]],ProductData[],4,FALSE)</f>
        <v>1296</v>
      </c>
      <c r="Q500" s="6">
        <f>OrganizedData[[#This Row],[Total Items Ordered]]*VLOOKUP(OrganizedData[[#This Row],[Product Code]],ProductData[],3,FALSE)</f>
        <v>1671.8400000000001</v>
      </c>
      <c r="R5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1588.248</v>
      </c>
    </row>
    <row r="501" spans="1:18" x14ac:dyDescent="0.3">
      <c r="A501" s="2">
        <v>494</v>
      </c>
      <c r="B501" s="2" t="s">
        <v>1890</v>
      </c>
      <c r="C501" s="2" t="s">
        <v>1891</v>
      </c>
      <c r="D501" s="2" t="s">
        <v>51</v>
      </c>
      <c r="E501" s="2" t="s">
        <v>16</v>
      </c>
      <c r="F501" s="2">
        <v>60</v>
      </c>
      <c r="G501" s="2" t="s">
        <v>1892</v>
      </c>
      <c r="H501" s="2" t="s">
        <v>1893</v>
      </c>
      <c r="I501" s="2" t="s">
        <v>294</v>
      </c>
      <c r="J501" s="3">
        <v>44572</v>
      </c>
      <c r="K501" s="5">
        <f>YEAR(OrganizedData[[#This Row],[Order Date]])</f>
        <v>2022</v>
      </c>
      <c r="L501" s="7" t="str">
        <f>TEXT(OrganizedData[[#This Row],[Order Date]],"mmm")</f>
        <v>Jan</v>
      </c>
      <c r="M501" s="2">
        <v>81</v>
      </c>
      <c r="N501" s="2" t="s">
        <v>20</v>
      </c>
      <c r="O501" s="2" t="str">
        <f>VLOOKUP(OrganizedData[[#This Row],[Product Code]],ProductData[[Code]:[Item]],2,FALSE)</f>
        <v>Hyperwotsit</v>
      </c>
      <c r="P501" s="4">
        <f>OrganizedData[[#This Row],[Quantity]]*VLOOKUP(OrganizedData[[#This Row],[Product Code]],ProductData[],4,FALSE)</f>
        <v>1620</v>
      </c>
      <c r="Q501" s="6">
        <f>OrganizedData[[#This Row],[Total Items Ordered]]*VLOOKUP(OrganizedData[[#This Row],[Product Code]],ProductData[],3,FALSE)</f>
        <v>3256.2</v>
      </c>
      <c r="R5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502" spans="1:18" x14ac:dyDescent="0.3">
      <c r="A502" s="2">
        <v>495</v>
      </c>
      <c r="B502" s="2" t="s">
        <v>747</v>
      </c>
      <c r="C502" s="2" t="s">
        <v>1894</v>
      </c>
      <c r="D502" s="2" t="s">
        <v>28</v>
      </c>
      <c r="E502" s="2" t="s">
        <v>29</v>
      </c>
      <c r="F502" s="2">
        <v>60</v>
      </c>
      <c r="G502" s="2" t="s">
        <v>1895</v>
      </c>
      <c r="H502" s="2" t="s">
        <v>1896</v>
      </c>
      <c r="I502" s="2" t="s">
        <v>294</v>
      </c>
      <c r="J502" s="3">
        <v>44705</v>
      </c>
      <c r="K502" s="5">
        <f>YEAR(OrganizedData[[#This Row],[Order Date]])</f>
        <v>2022</v>
      </c>
      <c r="L502" s="7" t="str">
        <f>TEXT(OrganizedData[[#This Row],[Order Date]],"mmm")</f>
        <v>May</v>
      </c>
      <c r="M502" s="2">
        <v>103</v>
      </c>
      <c r="N502" s="2" t="s">
        <v>80</v>
      </c>
      <c r="O502" s="2" t="str">
        <f>VLOOKUP(OrganizedData[[#This Row],[Product Code]],ProductData[[Code]:[Item]],2,FALSE)</f>
        <v>Ultrathing V2</v>
      </c>
      <c r="P502" s="4">
        <f>OrganizedData[[#This Row],[Quantity]]*VLOOKUP(OrganizedData[[#This Row],[Product Code]],ProductData[],4,FALSE)</f>
        <v>2060</v>
      </c>
      <c r="Q502" s="6">
        <f>OrganizedData[[#This Row],[Total Items Ordered]]*VLOOKUP(OrganizedData[[#This Row],[Product Code]],ProductData[],3,FALSE)</f>
        <v>6077</v>
      </c>
      <c r="R5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5651.6100000000006</v>
      </c>
    </row>
    <row r="503" spans="1:18" x14ac:dyDescent="0.3">
      <c r="A503" s="2">
        <v>496</v>
      </c>
      <c r="B503" s="2" t="s">
        <v>1897</v>
      </c>
      <c r="C503" s="2" t="s">
        <v>1898</v>
      </c>
      <c r="D503" s="2" t="s">
        <v>51</v>
      </c>
      <c r="E503" s="2" t="s">
        <v>16</v>
      </c>
      <c r="F503" s="2">
        <v>90</v>
      </c>
      <c r="G503" s="2" t="s">
        <v>1899</v>
      </c>
      <c r="H503" s="2" t="s">
        <v>607</v>
      </c>
      <c r="I503" s="2" t="s">
        <v>32</v>
      </c>
      <c r="J503" s="3">
        <v>44344</v>
      </c>
      <c r="K503" s="5">
        <f>YEAR(OrganizedData[[#This Row],[Order Date]])</f>
        <v>2021</v>
      </c>
      <c r="L503" s="7" t="str">
        <f>TEXT(OrganizedData[[#This Row],[Order Date]],"mmm")</f>
        <v>May</v>
      </c>
      <c r="M503" s="2">
        <v>45</v>
      </c>
      <c r="N503" s="2" t="s">
        <v>80</v>
      </c>
      <c r="O503" s="2" t="str">
        <f>VLOOKUP(OrganizedData[[#This Row],[Product Code]],ProductData[[Code]:[Item]],2,FALSE)</f>
        <v>Ultrathing V2</v>
      </c>
      <c r="P503" s="4">
        <f>OrganizedData[[#This Row],[Quantity]]*VLOOKUP(OrganizedData[[#This Row],[Product Code]],ProductData[],4,FALSE)</f>
        <v>900</v>
      </c>
      <c r="Q503" s="6">
        <f>OrganizedData[[#This Row],[Total Items Ordered]]*VLOOKUP(OrganizedData[[#This Row],[Product Code]],ProductData[],3,FALSE)</f>
        <v>2655</v>
      </c>
      <c r="R5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504" spans="1:18" x14ac:dyDescent="0.3">
      <c r="A504" s="2">
        <v>497</v>
      </c>
      <c r="B504" s="2" t="s">
        <v>1900</v>
      </c>
      <c r="C504" s="2" t="s">
        <v>1901</v>
      </c>
      <c r="D504" s="2" t="s">
        <v>15</v>
      </c>
      <c r="E504" s="2" t="s">
        <v>16</v>
      </c>
      <c r="F504" s="2">
        <v>90</v>
      </c>
      <c r="G504" s="2" t="s">
        <v>1902</v>
      </c>
      <c r="H504" s="2" t="s">
        <v>1382</v>
      </c>
      <c r="I504" s="2" t="s">
        <v>32</v>
      </c>
      <c r="J504" s="3">
        <v>44223</v>
      </c>
      <c r="K504" s="5">
        <f>YEAR(OrganizedData[[#This Row],[Order Date]])</f>
        <v>2021</v>
      </c>
      <c r="L504" s="7" t="str">
        <f>TEXT(OrganizedData[[#This Row],[Order Date]],"mmm")</f>
        <v>Jan</v>
      </c>
      <c r="M504" s="2">
        <v>50</v>
      </c>
      <c r="N504" s="2" t="s">
        <v>54</v>
      </c>
      <c r="O504" s="2" t="str">
        <f>VLOOKUP(OrganizedData[[#This Row],[Product Code]],ProductData[[Code]:[Item]],2,FALSE)</f>
        <v>Megawidget S</v>
      </c>
      <c r="P504" s="4">
        <f>OrganizedData[[#This Row],[Quantity]]*VLOOKUP(OrganizedData[[#This Row],[Product Code]],ProductData[],4,FALSE)</f>
        <v>1200</v>
      </c>
      <c r="Q504" s="6">
        <f>OrganizedData[[#This Row],[Total Items Ordered]]*VLOOKUP(OrganizedData[[#This Row],[Product Code]],ProductData[],3,FALSE)</f>
        <v>827.99999999999989</v>
      </c>
      <c r="R5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505" spans="1:18" x14ac:dyDescent="0.3">
      <c r="A505" s="2">
        <v>498</v>
      </c>
      <c r="B505" s="2" t="s">
        <v>1903</v>
      </c>
      <c r="C505" s="2" t="s">
        <v>1010</v>
      </c>
      <c r="D505" s="2" t="s">
        <v>15</v>
      </c>
      <c r="E505" s="2" t="s">
        <v>16</v>
      </c>
      <c r="F505" s="2">
        <v>60</v>
      </c>
      <c r="G505" s="2" t="s">
        <v>1904</v>
      </c>
      <c r="H505" s="2" t="s">
        <v>1905</v>
      </c>
      <c r="I505" s="2" t="s">
        <v>187</v>
      </c>
      <c r="J505" s="3">
        <v>44471</v>
      </c>
      <c r="K505" s="5">
        <f>YEAR(OrganizedData[[#This Row],[Order Date]])</f>
        <v>2021</v>
      </c>
      <c r="L505" s="7" t="str">
        <f>TEXT(OrganizedData[[#This Row],[Order Date]],"mmm")</f>
        <v>Oct</v>
      </c>
      <c r="M505" s="2">
        <v>8</v>
      </c>
      <c r="N505" s="2" t="s">
        <v>159</v>
      </c>
      <c r="O505" s="2" t="str">
        <f>VLOOKUP(OrganizedData[[#This Row],[Product Code]],ProductData[[Code]:[Item]],2,FALSE)</f>
        <v>Ultrathing V3</v>
      </c>
      <c r="P505" s="4">
        <f>OrganizedData[[#This Row],[Quantity]]*VLOOKUP(OrganizedData[[#This Row],[Product Code]],ProductData[],4,FALSE)</f>
        <v>192</v>
      </c>
      <c r="Q505" s="6">
        <f>OrganizedData[[#This Row],[Total Items Ordered]]*VLOOKUP(OrganizedData[[#This Row],[Product Code]],ProductData[],3,FALSE)</f>
        <v>650.88</v>
      </c>
      <c r="R5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650.88</v>
      </c>
    </row>
    <row r="506" spans="1:18" x14ac:dyDescent="0.3">
      <c r="A506" s="2">
        <v>499</v>
      </c>
      <c r="B506" s="2" t="s">
        <v>1906</v>
      </c>
      <c r="C506" s="2" t="s">
        <v>1907</v>
      </c>
      <c r="D506" s="2" t="s">
        <v>51</v>
      </c>
      <c r="E506" s="2" t="s">
        <v>16</v>
      </c>
      <c r="F506" s="2">
        <v>30</v>
      </c>
      <c r="G506" s="2" t="s">
        <v>1908</v>
      </c>
      <c r="H506" s="2" t="s">
        <v>1052</v>
      </c>
      <c r="I506" s="2" t="s">
        <v>32</v>
      </c>
      <c r="J506" s="3">
        <v>44870</v>
      </c>
      <c r="K506" s="5">
        <f>YEAR(OrganizedData[[#This Row],[Order Date]])</f>
        <v>2022</v>
      </c>
      <c r="L506" s="7" t="str">
        <f>TEXT(OrganizedData[[#This Row],[Order Date]],"mmm")</f>
        <v>Nov</v>
      </c>
      <c r="M506" s="2">
        <v>73</v>
      </c>
      <c r="N506" s="2" t="s">
        <v>70</v>
      </c>
      <c r="O506" s="2" t="str">
        <f>VLOOKUP(OrganizedData[[#This Row],[Product Code]],ProductData[[Code]:[Item]],2,FALSE)</f>
        <v>Megawidget M</v>
      </c>
      <c r="P506" s="4">
        <f>OrganizedData[[#This Row],[Quantity]]*VLOOKUP(OrganizedData[[#This Row],[Product Code]],ProductData[],4,FALSE)</f>
        <v>1752</v>
      </c>
      <c r="Q506" s="6">
        <f>OrganizedData[[#This Row],[Total Items Ordered]]*VLOOKUP(OrganizedData[[#This Row],[Product Code]],ProductData[],3,FALSE)</f>
        <v>2260.08</v>
      </c>
      <c r="R5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507" spans="1:18" x14ac:dyDescent="0.3">
      <c r="A507" s="2">
        <v>500</v>
      </c>
      <c r="B507" s="2" t="s">
        <v>1909</v>
      </c>
      <c r="C507" s="2" t="s">
        <v>229</v>
      </c>
      <c r="D507" s="2" t="s">
        <v>28</v>
      </c>
      <c r="E507" s="2" t="s">
        <v>29</v>
      </c>
      <c r="F507" s="2">
        <v>60</v>
      </c>
      <c r="G507" s="2" t="s">
        <v>1910</v>
      </c>
      <c r="H507" s="2" t="s">
        <v>1911</v>
      </c>
      <c r="I507" s="2" t="s">
        <v>32</v>
      </c>
      <c r="J507" s="3">
        <v>44892</v>
      </c>
      <c r="K507" s="5">
        <f>YEAR(OrganizedData[[#This Row],[Order Date]])</f>
        <v>2022</v>
      </c>
      <c r="L507" s="7" t="str">
        <f>TEXT(OrganizedData[[#This Row],[Order Date]],"mmm")</f>
        <v>Nov</v>
      </c>
      <c r="M507" s="2">
        <v>96</v>
      </c>
      <c r="N507" s="2" t="s">
        <v>54</v>
      </c>
      <c r="O507" s="2" t="str">
        <f>VLOOKUP(OrganizedData[[#This Row],[Product Code]],ProductData[[Code]:[Item]],2,FALSE)</f>
        <v>Megawidget S</v>
      </c>
      <c r="P507" s="4">
        <f>OrganizedData[[#This Row],[Quantity]]*VLOOKUP(OrganizedData[[#This Row],[Product Code]],ProductData[],4,FALSE)</f>
        <v>2304</v>
      </c>
      <c r="Q507" s="6">
        <f>OrganizedData[[#This Row],[Total Items Ordered]]*VLOOKUP(OrganizedData[[#This Row],[Product Code]],ProductData[],3,FALSE)</f>
        <v>1589.7599999999998</v>
      </c>
      <c r="R5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1510.2719999999997</v>
      </c>
    </row>
    <row r="508" spans="1:18" x14ac:dyDescent="0.3">
      <c r="A508" s="2">
        <v>501</v>
      </c>
      <c r="B508" s="2" t="s">
        <v>1912</v>
      </c>
      <c r="C508" s="2" t="s">
        <v>1913</v>
      </c>
      <c r="D508" s="2" t="s">
        <v>51</v>
      </c>
      <c r="E508" s="2" t="s">
        <v>16</v>
      </c>
      <c r="F508" s="2">
        <v>30</v>
      </c>
      <c r="G508" s="2" t="s">
        <v>1914</v>
      </c>
      <c r="H508" s="2" t="s">
        <v>1915</v>
      </c>
      <c r="I508" s="2" t="s">
        <v>19</v>
      </c>
      <c r="J508" s="3">
        <v>43994</v>
      </c>
      <c r="K508" s="5">
        <f>YEAR(OrganizedData[[#This Row],[Order Date]])</f>
        <v>2020</v>
      </c>
      <c r="L508" s="7" t="str">
        <f>TEXT(OrganizedData[[#This Row],[Order Date]],"mmm")</f>
        <v>Jun</v>
      </c>
      <c r="M508" s="2">
        <v>5</v>
      </c>
      <c r="N508" s="2" t="s">
        <v>64</v>
      </c>
      <c r="O508" s="2" t="str">
        <f>VLOOKUP(OrganizedData[[#This Row],[Product Code]],ProductData[[Code]:[Item]],2,FALSE)</f>
        <v>Ultrathing V4</v>
      </c>
      <c r="P508" s="4">
        <f>OrganizedData[[#This Row],[Quantity]]*VLOOKUP(OrganizedData[[#This Row],[Product Code]],ProductData[],4,FALSE)</f>
        <v>120</v>
      </c>
      <c r="Q508" s="6">
        <f>OrganizedData[[#This Row],[Total Items Ordered]]*VLOOKUP(OrganizedData[[#This Row],[Product Code]],ProductData[],3,FALSE)</f>
        <v>478.8</v>
      </c>
      <c r="R5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509" spans="1:18" x14ac:dyDescent="0.3">
      <c r="A509" s="2">
        <v>502</v>
      </c>
      <c r="B509" s="2" t="s">
        <v>375</v>
      </c>
      <c r="C509" s="2" t="s">
        <v>844</v>
      </c>
      <c r="D509" s="2" t="s">
        <v>28</v>
      </c>
      <c r="E509" s="2" t="s">
        <v>29</v>
      </c>
      <c r="F509" s="2">
        <v>90</v>
      </c>
      <c r="G509" s="2" t="s">
        <v>1916</v>
      </c>
      <c r="H509" s="2" t="s">
        <v>487</v>
      </c>
      <c r="I509" s="2" t="s">
        <v>32</v>
      </c>
      <c r="J509" s="3">
        <v>44567</v>
      </c>
      <c r="K509" s="5">
        <f>YEAR(OrganizedData[[#This Row],[Order Date]])</f>
        <v>2022</v>
      </c>
      <c r="L509" s="7" t="str">
        <f>TEXT(OrganizedData[[#This Row],[Order Date]],"mmm")</f>
        <v>Jan</v>
      </c>
      <c r="M509" s="2">
        <v>66</v>
      </c>
      <c r="N509" s="2" t="s">
        <v>159</v>
      </c>
      <c r="O509" s="2" t="str">
        <f>VLOOKUP(OrganizedData[[#This Row],[Product Code]],ProductData[[Code]:[Item]],2,FALSE)</f>
        <v>Ultrathing V3</v>
      </c>
      <c r="P509" s="4">
        <f>OrganizedData[[#This Row],[Quantity]]*VLOOKUP(OrganizedData[[#This Row],[Product Code]],ProductData[],4,FALSE)</f>
        <v>1584</v>
      </c>
      <c r="Q509" s="6">
        <f>OrganizedData[[#This Row],[Total Items Ordered]]*VLOOKUP(OrganizedData[[#This Row],[Product Code]],ProductData[],3,FALSE)</f>
        <v>5369.76</v>
      </c>
      <c r="R5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5101.2719999999999</v>
      </c>
    </row>
    <row r="510" spans="1:18" x14ac:dyDescent="0.3">
      <c r="A510" s="2">
        <v>503</v>
      </c>
      <c r="B510" s="2" t="s">
        <v>1917</v>
      </c>
      <c r="C510" s="2" t="s">
        <v>1918</v>
      </c>
      <c r="D510" s="2" t="s">
        <v>15</v>
      </c>
      <c r="E510" s="2" t="s">
        <v>16</v>
      </c>
      <c r="F510" s="2">
        <v>60</v>
      </c>
      <c r="G510" s="2" t="s">
        <v>1919</v>
      </c>
      <c r="H510" s="2" t="s">
        <v>1920</v>
      </c>
      <c r="I510" s="2" t="s">
        <v>1921</v>
      </c>
      <c r="J510" s="3">
        <v>43974</v>
      </c>
      <c r="K510" s="5">
        <f>YEAR(OrganizedData[[#This Row],[Order Date]])</f>
        <v>2020</v>
      </c>
      <c r="L510" s="7" t="str">
        <f>TEXT(OrganizedData[[#This Row],[Order Date]],"mmm")</f>
        <v>May</v>
      </c>
      <c r="M510" s="2">
        <v>75</v>
      </c>
      <c r="N510" s="2" t="s">
        <v>20</v>
      </c>
      <c r="O510" s="2" t="str">
        <f>VLOOKUP(OrganizedData[[#This Row],[Product Code]],ProductData[[Code]:[Item]],2,FALSE)</f>
        <v>Hyperwotsit</v>
      </c>
      <c r="P510" s="4">
        <f>OrganizedData[[#This Row],[Quantity]]*VLOOKUP(OrganizedData[[#This Row],[Product Code]],ProductData[],4,FALSE)</f>
        <v>1500</v>
      </c>
      <c r="Q510" s="6">
        <f>OrganizedData[[#This Row],[Total Items Ordered]]*VLOOKUP(OrganizedData[[#This Row],[Product Code]],ProductData[],3,FALSE)</f>
        <v>3014.9999999999995</v>
      </c>
      <c r="R5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2864.2499999999995</v>
      </c>
    </row>
    <row r="511" spans="1:18" x14ac:dyDescent="0.3">
      <c r="A511" s="2">
        <v>504</v>
      </c>
      <c r="B511" s="2" t="s">
        <v>1922</v>
      </c>
      <c r="C511" s="2" t="s">
        <v>1923</v>
      </c>
      <c r="D511" s="2" t="s">
        <v>15</v>
      </c>
      <c r="E511" s="2" t="s">
        <v>16</v>
      </c>
      <c r="F511" s="2">
        <v>90</v>
      </c>
      <c r="G511" s="2" t="s">
        <v>1924</v>
      </c>
      <c r="H511" s="2" t="s">
        <v>34</v>
      </c>
      <c r="I511" s="2" t="s">
        <v>1454</v>
      </c>
      <c r="J511" s="3">
        <v>44533</v>
      </c>
      <c r="K511" s="5">
        <f>YEAR(OrganizedData[[#This Row],[Order Date]])</f>
        <v>2021</v>
      </c>
      <c r="L511" s="7" t="str">
        <f>TEXT(OrganizedData[[#This Row],[Order Date]],"mmm")</f>
        <v>Dec</v>
      </c>
      <c r="M511" s="2">
        <v>45</v>
      </c>
      <c r="N511" s="2" t="s">
        <v>80</v>
      </c>
      <c r="O511" s="2" t="str">
        <f>VLOOKUP(OrganizedData[[#This Row],[Product Code]],ProductData[[Code]:[Item]],2,FALSE)</f>
        <v>Ultrathing V2</v>
      </c>
      <c r="P511" s="4">
        <f>OrganizedData[[#This Row],[Quantity]]*VLOOKUP(OrganizedData[[#This Row],[Product Code]],ProductData[],4,FALSE)</f>
        <v>900</v>
      </c>
      <c r="Q511" s="6">
        <f>OrganizedData[[#This Row],[Total Items Ordered]]*VLOOKUP(OrganizedData[[#This Row],[Product Code]],ProductData[],3,FALSE)</f>
        <v>2655</v>
      </c>
      <c r="R5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512" spans="1:18" x14ac:dyDescent="0.3">
      <c r="A512" s="2">
        <v>505</v>
      </c>
      <c r="B512" s="2" t="s">
        <v>1925</v>
      </c>
      <c r="C512" s="2" t="s">
        <v>601</v>
      </c>
      <c r="D512" s="2" t="s">
        <v>41</v>
      </c>
      <c r="E512" s="2" t="s">
        <v>16</v>
      </c>
      <c r="F512" s="2">
        <v>60</v>
      </c>
      <c r="G512" s="2" t="s">
        <v>1926</v>
      </c>
      <c r="H512" s="2" t="s">
        <v>1927</v>
      </c>
      <c r="I512" s="2" t="s">
        <v>100</v>
      </c>
      <c r="J512" s="3">
        <v>44577</v>
      </c>
      <c r="K512" s="5">
        <f>YEAR(OrganizedData[[#This Row],[Order Date]])</f>
        <v>2022</v>
      </c>
      <c r="L512" s="7" t="str">
        <f>TEXT(OrganizedData[[#This Row],[Order Date]],"mmm")</f>
        <v>Jan</v>
      </c>
      <c r="M512" s="2">
        <v>76</v>
      </c>
      <c r="N512" s="2" t="s">
        <v>64</v>
      </c>
      <c r="O512" s="2" t="str">
        <f>VLOOKUP(OrganizedData[[#This Row],[Product Code]],ProductData[[Code]:[Item]],2,FALSE)</f>
        <v>Ultrathing V4</v>
      </c>
      <c r="P512" s="4">
        <f>OrganizedData[[#This Row],[Quantity]]*VLOOKUP(OrganizedData[[#This Row],[Product Code]],ProductData[],4,FALSE)</f>
        <v>1824</v>
      </c>
      <c r="Q512" s="6">
        <f>OrganizedData[[#This Row],[Total Items Ordered]]*VLOOKUP(OrganizedData[[#This Row],[Product Code]],ProductData[],3,FALSE)</f>
        <v>7277.76</v>
      </c>
      <c r="R5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513" spans="1:18" x14ac:dyDescent="0.3">
      <c r="A513" s="2">
        <v>506</v>
      </c>
      <c r="B513" s="2" t="s">
        <v>1928</v>
      </c>
      <c r="C513" s="2" t="s">
        <v>1929</v>
      </c>
      <c r="D513" s="2" t="s">
        <v>28</v>
      </c>
      <c r="E513" s="2" t="s">
        <v>29</v>
      </c>
      <c r="F513" s="2">
        <v>60</v>
      </c>
      <c r="G513" s="2" t="s">
        <v>1930</v>
      </c>
      <c r="H513" s="2" t="s">
        <v>1931</v>
      </c>
      <c r="I513" s="2" t="s">
        <v>32</v>
      </c>
      <c r="J513" s="3">
        <v>44866</v>
      </c>
      <c r="K513" s="5">
        <f>YEAR(OrganizedData[[#This Row],[Order Date]])</f>
        <v>2022</v>
      </c>
      <c r="L513" s="7" t="str">
        <f>TEXT(OrganizedData[[#This Row],[Order Date]],"mmm")</f>
        <v>Nov</v>
      </c>
      <c r="M513" s="2">
        <v>30</v>
      </c>
      <c r="N513" s="2" t="s">
        <v>80</v>
      </c>
      <c r="O513" s="2" t="str">
        <f>VLOOKUP(OrganizedData[[#This Row],[Product Code]],ProductData[[Code]:[Item]],2,FALSE)</f>
        <v>Ultrathing V2</v>
      </c>
      <c r="P513" s="4">
        <f>OrganizedData[[#This Row],[Quantity]]*VLOOKUP(OrganizedData[[#This Row],[Product Code]],ProductData[],4,FALSE)</f>
        <v>600</v>
      </c>
      <c r="Q513" s="6">
        <f>OrganizedData[[#This Row],[Total Items Ordered]]*VLOOKUP(OrganizedData[[#This Row],[Product Code]],ProductData[],3,FALSE)</f>
        <v>1770</v>
      </c>
      <c r="R5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1716.8999999999999</v>
      </c>
    </row>
    <row r="514" spans="1:18" x14ac:dyDescent="0.3">
      <c r="A514" s="2">
        <v>507</v>
      </c>
      <c r="B514" s="2" t="s">
        <v>531</v>
      </c>
      <c r="C514" s="2" t="s">
        <v>1932</v>
      </c>
      <c r="D514" s="2" t="s">
        <v>51</v>
      </c>
      <c r="E514" s="2" t="s">
        <v>16</v>
      </c>
      <c r="F514" s="2">
        <v>30</v>
      </c>
      <c r="G514" s="2" t="s">
        <v>1933</v>
      </c>
      <c r="H514" s="2" t="s">
        <v>416</v>
      </c>
      <c r="I514" s="2" t="s">
        <v>32</v>
      </c>
      <c r="J514" s="3">
        <v>44388</v>
      </c>
      <c r="K514" s="5">
        <f>YEAR(OrganizedData[[#This Row],[Order Date]])</f>
        <v>2021</v>
      </c>
      <c r="L514" s="7" t="str">
        <f>TEXT(OrganizedData[[#This Row],[Order Date]],"mmm")</f>
        <v>Jul</v>
      </c>
      <c r="M514" s="2">
        <v>13</v>
      </c>
      <c r="N514" s="2" t="s">
        <v>159</v>
      </c>
      <c r="O514" s="2" t="str">
        <f>VLOOKUP(OrganizedData[[#This Row],[Product Code]],ProductData[[Code]:[Item]],2,FALSE)</f>
        <v>Ultrathing V3</v>
      </c>
      <c r="P514" s="4">
        <f>OrganizedData[[#This Row],[Quantity]]*VLOOKUP(OrganizedData[[#This Row],[Product Code]],ProductData[],4,FALSE)</f>
        <v>312</v>
      </c>
      <c r="Q514" s="6">
        <f>OrganizedData[[#This Row],[Total Items Ordered]]*VLOOKUP(OrganizedData[[#This Row],[Product Code]],ProductData[],3,FALSE)</f>
        <v>1057.68</v>
      </c>
      <c r="R5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1057.68</v>
      </c>
    </row>
    <row r="515" spans="1:18" x14ac:dyDescent="0.3">
      <c r="A515" s="2">
        <v>508</v>
      </c>
      <c r="B515" s="2" t="s">
        <v>1934</v>
      </c>
      <c r="C515" s="2" t="s">
        <v>1935</v>
      </c>
      <c r="D515" s="2" t="s">
        <v>51</v>
      </c>
      <c r="E515" s="2" t="s">
        <v>16</v>
      </c>
      <c r="F515" s="2">
        <v>60</v>
      </c>
      <c r="G515" s="2" t="s">
        <v>1936</v>
      </c>
      <c r="H515" s="2" t="s">
        <v>1937</v>
      </c>
      <c r="I515" s="2" t="s">
        <v>25</v>
      </c>
      <c r="J515" s="3">
        <v>44917</v>
      </c>
      <c r="K515" s="5">
        <f>YEAR(OrganizedData[[#This Row],[Order Date]])</f>
        <v>2022</v>
      </c>
      <c r="L515" s="7" t="str">
        <f>TEXT(OrganizedData[[#This Row],[Order Date]],"mmm")</f>
        <v>Dec</v>
      </c>
      <c r="M515" s="2">
        <v>42</v>
      </c>
      <c r="N515" s="2" t="s">
        <v>45</v>
      </c>
      <c r="O515" s="2" t="str">
        <f>VLOOKUP(OrganizedData[[#This Row],[Product Code]],ProductData[[Code]:[Item]],2,FALSE)</f>
        <v>Gigastuff</v>
      </c>
      <c r="P515" s="4">
        <f>OrganizedData[[#This Row],[Quantity]]*VLOOKUP(OrganizedData[[#This Row],[Product Code]],ProductData[],4,FALSE)</f>
        <v>756</v>
      </c>
      <c r="Q515" s="6">
        <f>OrganizedData[[#This Row],[Total Items Ordered]]*VLOOKUP(OrganizedData[[#This Row],[Product Code]],ProductData[],3,FALSE)</f>
        <v>1428.84</v>
      </c>
      <c r="R5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516" spans="1:18" x14ac:dyDescent="0.3">
      <c r="A516" s="2">
        <v>509</v>
      </c>
      <c r="B516" s="2" t="s">
        <v>1938</v>
      </c>
      <c r="C516" s="2" t="s">
        <v>468</v>
      </c>
      <c r="D516" s="2" t="s">
        <v>15</v>
      </c>
      <c r="E516" s="2" t="s">
        <v>16</v>
      </c>
      <c r="F516" s="2">
        <v>90</v>
      </c>
      <c r="G516" s="2" t="s">
        <v>1939</v>
      </c>
      <c r="H516" s="2" t="s">
        <v>1940</v>
      </c>
      <c r="I516" s="2" t="s">
        <v>294</v>
      </c>
      <c r="J516" s="3">
        <v>44306</v>
      </c>
      <c r="K516" s="5">
        <f>YEAR(OrganizedData[[#This Row],[Order Date]])</f>
        <v>2021</v>
      </c>
      <c r="L516" s="7" t="str">
        <f>TEXT(OrganizedData[[#This Row],[Order Date]],"mmm")</f>
        <v>Apr</v>
      </c>
      <c r="M516" s="2">
        <v>21</v>
      </c>
      <c r="N516" s="2" t="s">
        <v>33</v>
      </c>
      <c r="O516" s="2" t="str">
        <f>VLOOKUP(OrganizedData[[#This Row],[Product Code]],ProductData[[Code]:[Item]],2,FALSE)</f>
        <v>Megawidget L</v>
      </c>
      <c r="P516" s="4">
        <f>OrganizedData[[#This Row],[Quantity]]*VLOOKUP(OrganizedData[[#This Row],[Product Code]],ProductData[],4,FALSE)</f>
        <v>504</v>
      </c>
      <c r="Q516" s="6">
        <f>OrganizedData[[#This Row],[Total Items Ordered]]*VLOOKUP(OrganizedData[[#This Row],[Product Code]],ProductData[],3,FALSE)</f>
        <v>902.16</v>
      </c>
      <c r="R5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875.09519999999998</v>
      </c>
    </row>
    <row r="517" spans="1:18" x14ac:dyDescent="0.3">
      <c r="A517" s="2">
        <v>510</v>
      </c>
      <c r="B517" s="2" t="s">
        <v>1079</v>
      </c>
      <c r="C517" s="2" t="s">
        <v>1941</v>
      </c>
      <c r="D517" s="2" t="s">
        <v>15</v>
      </c>
      <c r="E517" s="2" t="s">
        <v>16</v>
      </c>
      <c r="F517" s="2">
        <v>60</v>
      </c>
      <c r="G517" s="2" t="s">
        <v>1942</v>
      </c>
      <c r="H517" s="2" t="s">
        <v>251</v>
      </c>
      <c r="I517" s="2" t="s">
        <v>146</v>
      </c>
      <c r="J517" s="3">
        <v>44906</v>
      </c>
      <c r="K517" s="5">
        <f>YEAR(OrganizedData[[#This Row],[Order Date]])</f>
        <v>2022</v>
      </c>
      <c r="L517" s="7" t="str">
        <f>TEXT(OrganizedData[[#This Row],[Order Date]],"mmm")</f>
        <v>Dec</v>
      </c>
      <c r="M517" s="2">
        <v>66</v>
      </c>
      <c r="N517" s="2" t="s">
        <v>70</v>
      </c>
      <c r="O517" s="2" t="str">
        <f>VLOOKUP(OrganizedData[[#This Row],[Product Code]],ProductData[[Code]:[Item]],2,FALSE)</f>
        <v>Megawidget M</v>
      </c>
      <c r="P517" s="4">
        <f>OrganizedData[[#This Row],[Quantity]]*VLOOKUP(OrganizedData[[#This Row],[Product Code]],ProductData[],4,FALSE)</f>
        <v>1584</v>
      </c>
      <c r="Q517" s="6">
        <f>OrganizedData[[#This Row],[Total Items Ordered]]*VLOOKUP(OrganizedData[[#This Row],[Product Code]],ProductData[],3,FALSE)</f>
        <v>2043.3600000000001</v>
      </c>
      <c r="R5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1941.192</v>
      </c>
    </row>
    <row r="518" spans="1:18" x14ac:dyDescent="0.3">
      <c r="A518" s="2">
        <v>511</v>
      </c>
      <c r="B518" s="2" t="s">
        <v>1943</v>
      </c>
      <c r="C518" s="2" t="s">
        <v>286</v>
      </c>
      <c r="D518" s="2" t="s">
        <v>51</v>
      </c>
      <c r="E518" s="2" t="s">
        <v>16</v>
      </c>
      <c r="F518" s="2">
        <v>30</v>
      </c>
      <c r="G518" s="2" t="s">
        <v>1944</v>
      </c>
      <c r="H518" s="2" t="s">
        <v>1945</v>
      </c>
      <c r="I518" s="2" t="s">
        <v>32</v>
      </c>
      <c r="J518" s="3">
        <v>44295</v>
      </c>
      <c r="K518" s="5">
        <f>YEAR(OrganizedData[[#This Row],[Order Date]])</f>
        <v>2021</v>
      </c>
      <c r="L518" s="7" t="str">
        <f>TEXT(OrganizedData[[#This Row],[Order Date]],"mmm")</f>
        <v>Apr</v>
      </c>
      <c r="M518" s="2">
        <v>43</v>
      </c>
      <c r="N518" s="2" t="s">
        <v>80</v>
      </c>
      <c r="O518" s="2" t="str">
        <f>VLOOKUP(OrganizedData[[#This Row],[Product Code]],ProductData[[Code]:[Item]],2,FALSE)</f>
        <v>Ultrathing V2</v>
      </c>
      <c r="P518" s="4">
        <f>OrganizedData[[#This Row],[Quantity]]*VLOOKUP(OrganizedData[[#This Row],[Product Code]],ProductData[],4,FALSE)</f>
        <v>860</v>
      </c>
      <c r="Q518" s="6">
        <f>OrganizedData[[#This Row],[Total Items Ordered]]*VLOOKUP(OrganizedData[[#This Row],[Product Code]],ProductData[],3,FALSE)</f>
        <v>2537</v>
      </c>
      <c r="R5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519" spans="1:18" x14ac:dyDescent="0.3">
      <c r="A519" s="2">
        <v>512</v>
      </c>
      <c r="B519" s="2" t="s">
        <v>1946</v>
      </c>
      <c r="C519" s="2" t="s">
        <v>309</v>
      </c>
      <c r="D519" s="2" t="s">
        <v>28</v>
      </c>
      <c r="E519" s="2" t="s">
        <v>29</v>
      </c>
      <c r="F519" s="2">
        <v>60</v>
      </c>
      <c r="G519" s="2" t="s">
        <v>1947</v>
      </c>
      <c r="H519" s="2" t="s">
        <v>1948</v>
      </c>
      <c r="I519" s="2" t="s">
        <v>25</v>
      </c>
      <c r="J519" s="3">
        <v>44264</v>
      </c>
      <c r="K519" s="5">
        <f>YEAR(OrganizedData[[#This Row],[Order Date]])</f>
        <v>2021</v>
      </c>
      <c r="L519" s="7" t="str">
        <f>TEXT(OrganizedData[[#This Row],[Order Date]],"mmm")</f>
        <v>Mar</v>
      </c>
      <c r="M519" s="2">
        <v>56</v>
      </c>
      <c r="N519" s="2" t="s">
        <v>54</v>
      </c>
      <c r="O519" s="2" t="str">
        <f>VLOOKUP(OrganizedData[[#This Row],[Product Code]],ProductData[[Code]:[Item]],2,FALSE)</f>
        <v>Megawidget S</v>
      </c>
      <c r="P519" s="4">
        <f>OrganizedData[[#This Row],[Quantity]]*VLOOKUP(OrganizedData[[#This Row],[Product Code]],ProductData[],4,FALSE)</f>
        <v>1344</v>
      </c>
      <c r="Q519" s="6">
        <f>OrganizedData[[#This Row],[Total Items Ordered]]*VLOOKUP(OrganizedData[[#This Row],[Product Code]],ProductData[],3,FALSE)</f>
        <v>927.3599999999999</v>
      </c>
      <c r="R5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880.99199999999985</v>
      </c>
    </row>
    <row r="520" spans="1:18" x14ac:dyDescent="0.3">
      <c r="A520" s="2">
        <v>513</v>
      </c>
      <c r="B520" s="2" t="s">
        <v>1949</v>
      </c>
      <c r="C520" s="2" t="s">
        <v>1950</v>
      </c>
      <c r="D520" s="2" t="s">
        <v>51</v>
      </c>
      <c r="E520" s="2" t="s">
        <v>16</v>
      </c>
      <c r="F520" s="2">
        <v>30</v>
      </c>
      <c r="G520" s="2" t="s">
        <v>1951</v>
      </c>
      <c r="H520" s="2" t="s">
        <v>1952</v>
      </c>
      <c r="I520" s="2" t="s">
        <v>32</v>
      </c>
      <c r="J520" s="3">
        <v>44131</v>
      </c>
      <c r="K520" s="5">
        <f>YEAR(OrganizedData[[#This Row],[Order Date]])</f>
        <v>2020</v>
      </c>
      <c r="L520" s="7" t="str">
        <f>TEXT(OrganizedData[[#This Row],[Order Date]],"mmm")</f>
        <v>Oct</v>
      </c>
      <c r="M520" s="2">
        <v>48</v>
      </c>
      <c r="N520" s="2" t="s">
        <v>20</v>
      </c>
      <c r="O520" s="2" t="str">
        <f>VLOOKUP(OrganizedData[[#This Row],[Product Code]],ProductData[[Code]:[Item]],2,FALSE)</f>
        <v>Hyperwotsit</v>
      </c>
      <c r="P520" s="4">
        <f>OrganizedData[[#This Row],[Quantity]]*VLOOKUP(OrganizedData[[#This Row],[Product Code]],ProductData[],4,FALSE)</f>
        <v>960</v>
      </c>
      <c r="Q520" s="6">
        <f>OrganizedData[[#This Row],[Total Items Ordered]]*VLOOKUP(OrganizedData[[#This Row],[Product Code]],ProductData[],3,FALSE)</f>
        <v>1929.6</v>
      </c>
      <c r="R5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521" spans="1:18" x14ac:dyDescent="0.3">
      <c r="A521" s="2">
        <v>514</v>
      </c>
      <c r="B521" s="2" t="s">
        <v>1953</v>
      </c>
      <c r="C521" s="2" t="s">
        <v>1954</v>
      </c>
      <c r="D521" s="2" t="s">
        <v>51</v>
      </c>
      <c r="E521" s="2" t="s">
        <v>16</v>
      </c>
      <c r="F521" s="2">
        <v>90</v>
      </c>
      <c r="G521" s="2" t="s">
        <v>1955</v>
      </c>
      <c r="H521" s="2" t="s">
        <v>1956</v>
      </c>
      <c r="I521" s="2" t="s">
        <v>32</v>
      </c>
      <c r="J521" s="3">
        <v>44657</v>
      </c>
      <c r="K521" s="5">
        <f>YEAR(OrganizedData[[#This Row],[Order Date]])</f>
        <v>2022</v>
      </c>
      <c r="L521" s="7" t="str">
        <f>TEXT(OrganizedData[[#This Row],[Order Date]],"mmm")</f>
        <v>Apr</v>
      </c>
      <c r="M521" s="2">
        <v>11</v>
      </c>
      <c r="N521" s="2" t="s">
        <v>39</v>
      </c>
      <c r="O521" s="2" t="str">
        <f>VLOOKUP(OrganizedData[[#This Row],[Product Code]],ProductData[[Code]:[Item]],2,FALSE)</f>
        <v>Ultrathing V1</v>
      </c>
      <c r="P521" s="4">
        <f>OrganizedData[[#This Row],[Quantity]]*VLOOKUP(OrganizedData[[#This Row],[Product Code]],ProductData[],4,FALSE)</f>
        <v>187</v>
      </c>
      <c r="Q521" s="6">
        <f>OrganizedData[[#This Row],[Total Items Ordered]]*VLOOKUP(OrganizedData[[#This Row],[Product Code]],ProductData[],3,FALSE)</f>
        <v>334.73</v>
      </c>
      <c r="R5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334.73</v>
      </c>
    </row>
    <row r="522" spans="1:18" x14ac:dyDescent="0.3">
      <c r="A522" s="2">
        <v>515</v>
      </c>
      <c r="B522" s="2" t="s">
        <v>1678</v>
      </c>
      <c r="C522" s="2" t="s">
        <v>1957</v>
      </c>
      <c r="D522" s="2" t="s">
        <v>28</v>
      </c>
      <c r="E522" s="2" t="s">
        <v>29</v>
      </c>
      <c r="F522" s="2">
        <v>90</v>
      </c>
      <c r="G522" s="2" t="s">
        <v>1958</v>
      </c>
      <c r="H522" s="2" t="s">
        <v>1764</v>
      </c>
      <c r="I522" s="2" t="s">
        <v>124</v>
      </c>
      <c r="J522" s="3">
        <v>43930</v>
      </c>
      <c r="K522" s="5">
        <f>YEAR(OrganizedData[[#This Row],[Order Date]])</f>
        <v>2020</v>
      </c>
      <c r="L522" s="7" t="str">
        <f>TEXT(OrganizedData[[#This Row],[Order Date]],"mmm")</f>
        <v>Apr</v>
      </c>
      <c r="M522" s="2">
        <v>45</v>
      </c>
      <c r="N522" s="2" t="s">
        <v>101</v>
      </c>
      <c r="O522" s="2" t="str">
        <f>VLOOKUP(OrganizedData[[#This Row],[Product Code]],ProductData[[Code]:[Item]],2,FALSE)</f>
        <v>Superwossname</v>
      </c>
      <c r="P522" s="4">
        <f>OrganizedData[[#This Row],[Quantity]]*VLOOKUP(OrganizedData[[#This Row],[Product Code]],ProductData[],4,FALSE)</f>
        <v>900</v>
      </c>
      <c r="Q522" s="6">
        <f>OrganizedData[[#This Row],[Total Items Ordered]]*VLOOKUP(OrganizedData[[#This Row],[Product Code]],ProductData[],3,FALSE)</f>
        <v>3141</v>
      </c>
      <c r="R5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3046.77</v>
      </c>
    </row>
    <row r="523" spans="1:18" x14ac:dyDescent="0.3">
      <c r="A523" s="2">
        <v>516</v>
      </c>
      <c r="B523" s="2" t="s">
        <v>1959</v>
      </c>
      <c r="C523" s="2" t="s">
        <v>1432</v>
      </c>
      <c r="D523" s="2" t="s">
        <v>15</v>
      </c>
      <c r="E523" s="2" t="s">
        <v>16</v>
      </c>
      <c r="F523" s="2">
        <v>60</v>
      </c>
      <c r="G523" s="2" t="s">
        <v>1960</v>
      </c>
      <c r="H523" s="2" t="s">
        <v>31</v>
      </c>
      <c r="I523" s="2" t="s">
        <v>32</v>
      </c>
      <c r="J523" s="3">
        <v>43916</v>
      </c>
      <c r="K523" s="5">
        <f>YEAR(OrganizedData[[#This Row],[Order Date]])</f>
        <v>2020</v>
      </c>
      <c r="L523" s="7" t="str">
        <f>TEXT(OrganizedData[[#This Row],[Order Date]],"mmm")</f>
        <v>Mar</v>
      </c>
      <c r="M523" s="2">
        <v>45</v>
      </c>
      <c r="N523" s="2" t="s">
        <v>33</v>
      </c>
      <c r="O523" s="2" t="str">
        <f>VLOOKUP(OrganizedData[[#This Row],[Product Code]],ProductData[[Code]:[Item]],2,FALSE)</f>
        <v>Megawidget L</v>
      </c>
      <c r="P523" s="4">
        <f>OrganizedData[[#This Row],[Quantity]]*VLOOKUP(OrganizedData[[#This Row],[Product Code]],ProductData[],4,FALSE)</f>
        <v>1080</v>
      </c>
      <c r="Q523" s="6">
        <f>OrganizedData[[#This Row],[Total Items Ordered]]*VLOOKUP(OrganizedData[[#This Row],[Product Code]],ProductData[],3,FALSE)</f>
        <v>1933.2</v>
      </c>
      <c r="R5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524" spans="1:18" x14ac:dyDescent="0.3">
      <c r="A524" s="2">
        <v>517</v>
      </c>
      <c r="B524" s="2" t="s">
        <v>1961</v>
      </c>
      <c r="C524" s="2" t="s">
        <v>50</v>
      </c>
      <c r="D524" s="2" t="s">
        <v>51</v>
      </c>
      <c r="E524" s="2" t="s">
        <v>16</v>
      </c>
      <c r="F524" s="2">
        <v>30</v>
      </c>
      <c r="G524" s="2" t="s">
        <v>1960</v>
      </c>
      <c r="H524" s="2" t="s">
        <v>491</v>
      </c>
      <c r="I524" s="2" t="s">
        <v>32</v>
      </c>
      <c r="J524" s="3">
        <v>44179</v>
      </c>
      <c r="K524" s="5">
        <f>YEAR(OrganizedData[[#This Row],[Order Date]])</f>
        <v>2020</v>
      </c>
      <c r="L524" s="7" t="str">
        <f>TEXT(OrganizedData[[#This Row],[Order Date]],"mmm")</f>
        <v>Dec</v>
      </c>
      <c r="M524" s="2">
        <v>54</v>
      </c>
      <c r="N524" s="2" t="s">
        <v>54</v>
      </c>
      <c r="O524" s="2" t="str">
        <f>VLOOKUP(OrganizedData[[#This Row],[Product Code]],ProductData[[Code]:[Item]],2,FALSE)</f>
        <v>Megawidget S</v>
      </c>
      <c r="P524" s="4">
        <f>OrganizedData[[#This Row],[Quantity]]*VLOOKUP(OrganizedData[[#This Row],[Product Code]],ProductData[],4,FALSE)</f>
        <v>1296</v>
      </c>
      <c r="Q524" s="6">
        <f>OrganizedData[[#This Row],[Total Items Ordered]]*VLOOKUP(OrganizedData[[#This Row],[Product Code]],ProductData[],3,FALSE)</f>
        <v>894.2399999999999</v>
      </c>
      <c r="R5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849.52799999999991</v>
      </c>
    </row>
    <row r="525" spans="1:18" x14ac:dyDescent="0.3">
      <c r="A525" s="2">
        <v>518</v>
      </c>
      <c r="B525" s="2" t="s">
        <v>1962</v>
      </c>
      <c r="C525" s="2" t="s">
        <v>1963</v>
      </c>
      <c r="D525" s="2" t="s">
        <v>15</v>
      </c>
      <c r="E525" s="2" t="s">
        <v>16</v>
      </c>
      <c r="F525" s="2">
        <v>30</v>
      </c>
      <c r="G525" s="2" t="s">
        <v>1964</v>
      </c>
      <c r="H525" s="2" t="s">
        <v>1965</v>
      </c>
      <c r="I525" s="2" t="s">
        <v>32</v>
      </c>
      <c r="J525" s="3">
        <v>44445</v>
      </c>
      <c r="K525" s="5">
        <f>YEAR(OrganizedData[[#This Row],[Order Date]])</f>
        <v>2021</v>
      </c>
      <c r="L525" s="7" t="str">
        <f>TEXT(OrganizedData[[#This Row],[Order Date]],"mmm")</f>
        <v>Sep</v>
      </c>
      <c r="M525" s="2">
        <v>34</v>
      </c>
      <c r="N525" s="2" t="s">
        <v>101</v>
      </c>
      <c r="O525" s="2" t="str">
        <f>VLOOKUP(OrganizedData[[#This Row],[Product Code]],ProductData[[Code]:[Item]],2,FALSE)</f>
        <v>Superwossname</v>
      </c>
      <c r="P525" s="4">
        <f>OrganizedData[[#This Row],[Quantity]]*VLOOKUP(OrganizedData[[#This Row],[Product Code]],ProductData[],4,FALSE)</f>
        <v>680</v>
      </c>
      <c r="Q525" s="6">
        <f>OrganizedData[[#This Row],[Total Items Ordered]]*VLOOKUP(OrganizedData[[#This Row],[Product Code]],ProductData[],3,FALSE)</f>
        <v>2373.2000000000003</v>
      </c>
      <c r="R5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526" spans="1:18" x14ac:dyDescent="0.3">
      <c r="A526" s="2">
        <v>519</v>
      </c>
      <c r="B526" s="2" t="s">
        <v>1966</v>
      </c>
      <c r="C526" s="2" t="s">
        <v>1967</v>
      </c>
      <c r="D526" s="2" t="s">
        <v>15</v>
      </c>
      <c r="E526" s="2" t="s">
        <v>16</v>
      </c>
      <c r="F526" s="2">
        <v>90</v>
      </c>
      <c r="G526" s="2" t="s">
        <v>1968</v>
      </c>
      <c r="H526" s="2" t="s">
        <v>1969</v>
      </c>
      <c r="I526" s="2" t="s">
        <v>32</v>
      </c>
      <c r="J526" s="3">
        <v>43982</v>
      </c>
      <c r="K526" s="5">
        <f>YEAR(OrganizedData[[#This Row],[Order Date]])</f>
        <v>2020</v>
      </c>
      <c r="L526" s="7" t="str">
        <f>TEXT(OrganizedData[[#This Row],[Order Date]],"mmm")</f>
        <v>May</v>
      </c>
      <c r="M526" s="2">
        <v>81</v>
      </c>
      <c r="N526" s="2" t="s">
        <v>45</v>
      </c>
      <c r="O526" s="2" t="str">
        <f>VLOOKUP(OrganizedData[[#This Row],[Product Code]],ProductData[[Code]:[Item]],2,FALSE)</f>
        <v>Gigastuff</v>
      </c>
      <c r="P526" s="4">
        <f>OrganizedData[[#This Row],[Quantity]]*VLOOKUP(OrganizedData[[#This Row],[Product Code]],ProductData[],4,FALSE)</f>
        <v>1458</v>
      </c>
      <c r="Q526" s="6">
        <f>OrganizedData[[#This Row],[Total Items Ordered]]*VLOOKUP(OrganizedData[[#This Row],[Product Code]],ProductData[],3,FALSE)</f>
        <v>2755.62</v>
      </c>
      <c r="R5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527" spans="1:18" x14ac:dyDescent="0.3">
      <c r="A527" s="2">
        <v>520</v>
      </c>
      <c r="B527" s="2" t="s">
        <v>1970</v>
      </c>
      <c r="C527" s="2" t="s">
        <v>1971</v>
      </c>
      <c r="D527" s="2" t="s">
        <v>51</v>
      </c>
      <c r="E527" s="2" t="s">
        <v>16</v>
      </c>
      <c r="F527" s="2">
        <v>60</v>
      </c>
      <c r="G527" s="2" t="s">
        <v>1972</v>
      </c>
      <c r="H527" s="2" t="s">
        <v>1973</v>
      </c>
      <c r="I527" s="2" t="s">
        <v>110</v>
      </c>
      <c r="J527" s="3">
        <v>44556</v>
      </c>
      <c r="K527" s="5">
        <f>YEAR(OrganizedData[[#This Row],[Order Date]])</f>
        <v>2021</v>
      </c>
      <c r="L527" s="7" t="str">
        <f>TEXT(OrganizedData[[#This Row],[Order Date]],"mmm")</f>
        <v>Dec</v>
      </c>
      <c r="M527" s="2">
        <v>22</v>
      </c>
      <c r="N527" s="2" t="s">
        <v>70</v>
      </c>
      <c r="O527" s="2" t="str">
        <f>VLOOKUP(OrganizedData[[#This Row],[Product Code]],ProductData[[Code]:[Item]],2,FALSE)</f>
        <v>Megawidget M</v>
      </c>
      <c r="P527" s="4">
        <f>OrganizedData[[#This Row],[Quantity]]*VLOOKUP(OrganizedData[[#This Row],[Product Code]],ProductData[],4,FALSE)</f>
        <v>528</v>
      </c>
      <c r="Q527" s="6">
        <f>OrganizedData[[#This Row],[Total Items Ordered]]*VLOOKUP(OrganizedData[[#This Row],[Product Code]],ProductData[],3,FALSE)</f>
        <v>681.12</v>
      </c>
      <c r="R5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528" spans="1:18" x14ac:dyDescent="0.3">
      <c r="A528" s="2">
        <v>521</v>
      </c>
      <c r="B528" s="2" t="s">
        <v>1974</v>
      </c>
      <c r="C528" s="2" t="s">
        <v>368</v>
      </c>
      <c r="D528" s="2" t="s">
        <v>51</v>
      </c>
      <c r="E528" s="2" t="s">
        <v>16</v>
      </c>
      <c r="F528" s="2">
        <v>90</v>
      </c>
      <c r="G528" s="2" t="s">
        <v>10468</v>
      </c>
      <c r="H528" s="2" t="s">
        <v>1530</v>
      </c>
      <c r="I528" s="2" t="s">
        <v>32</v>
      </c>
      <c r="J528" s="3">
        <v>44860</v>
      </c>
      <c r="K528" s="5">
        <f>YEAR(OrganizedData[[#This Row],[Order Date]])</f>
        <v>2022</v>
      </c>
      <c r="L528" s="7" t="str">
        <f>TEXT(OrganizedData[[#This Row],[Order Date]],"mmm")</f>
        <v>Oct</v>
      </c>
      <c r="M528" s="2">
        <v>31</v>
      </c>
      <c r="N528" s="2" t="s">
        <v>159</v>
      </c>
      <c r="O528" s="2" t="str">
        <f>VLOOKUP(OrganizedData[[#This Row],[Product Code]],ProductData[[Code]:[Item]],2,FALSE)</f>
        <v>Ultrathing V3</v>
      </c>
      <c r="P528" s="4">
        <f>OrganizedData[[#This Row],[Quantity]]*VLOOKUP(OrganizedData[[#This Row],[Product Code]],ProductData[],4,FALSE)</f>
        <v>744</v>
      </c>
      <c r="Q528" s="6">
        <f>OrganizedData[[#This Row],[Total Items Ordered]]*VLOOKUP(OrganizedData[[#This Row],[Product Code]],ProductData[],3,FALSE)</f>
        <v>2522.1600000000003</v>
      </c>
      <c r="R5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2446.4952000000003</v>
      </c>
    </row>
    <row r="529" spans="1:18" x14ac:dyDescent="0.3">
      <c r="A529" s="2">
        <v>522</v>
      </c>
      <c r="B529" s="2" t="s">
        <v>1337</v>
      </c>
      <c r="C529" s="2" t="s">
        <v>1446</v>
      </c>
      <c r="D529" s="2" t="s">
        <v>28</v>
      </c>
      <c r="E529" s="2" t="s">
        <v>29</v>
      </c>
      <c r="F529" s="2">
        <v>90</v>
      </c>
      <c r="G529" s="2" t="s">
        <v>1976</v>
      </c>
      <c r="H529" s="2" t="s">
        <v>1977</v>
      </c>
      <c r="I529" s="2" t="s">
        <v>124</v>
      </c>
      <c r="J529" s="3">
        <v>44615</v>
      </c>
      <c r="K529" s="5">
        <f>YEAR(OrganizedData[[#This Row],[Order Date]])</f>
        <v>2022</v>
      </c>
      <c r="L529" s="7" t="str">
        <f>TEXT(OrganizedData[[#This Row],[Order Date]],"mmm")</f>
        <v>Feb</v>
      </c>
      <c r="M529" s="2">
        <v>19</v>
      </c>
      <c r="N529" s="2" t="s">
        <v>159</v>
      </c>
      <c r="O529" s="2" t="str">
        <f>VLOOKUP(OrganizedData[[#This Row],[Product Code]],ProductData[[Code]:[Item]],2,FALSE)</f>
        <v>Ultrathing V3</v>
      </c>
      <c r="P529" s="4">
        <f>OrganizedData[[#This Row],[Quantity]]*VLOOKUP(OrganizedData[[#This Row],[Product Code]],ProductData[],4,FALSE)</f>
        <v>456</v>
      </c>
      <c r="Q529" s="6">
        <f>OrganizedData[[#This Row],[Total Items Ordered]]*VLOOKUP(OrganizedData[[#This Row],[Product Code]],ProductData[],3,FALSE)</f>
        <v>1545.8400000000001</v>
      </c>
      <c r="R5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1545.8400000000001</v>
      </c>
    </row>
    <row r="530" spans="1:18" x14ac:dyDescent="0.3">
      <c r="A530" s="2">
        <v>523</v>
      </c>
      <c r="B530" s="2" t="s">
        <v>1978</v>
      </c>
      <c r="C530" s="2" t="s">
        <v>1979</v>
      </c>
      <c r="D530" s="2" t="s">
        <v>41</v>
      </c>
      <c r="E530" s="2" t="s">
        <v>16</v>
      </c>
      <c r="F530" s="2">
        <v>90</v>
      </c>
      <c r="G530" s="2" t="s">
        <v>1980</v>
      </c>
      <c r="H530" s="2" t="s">
        <v>1981</v>
      </c>
      <c r="I530" s="2" t="s">
        <v>187</v>
      </c>
      <c r="J530" s="3">
        <v>43869</v>
      </c>
      <c r="K530" s="5">
        <f>YEAR(OrganizedData[[#This Row],[Order Date]])</f>
        <v>2020</v>
      </c>
      <c r="L530" s="7" t="str">
        <f>TEXT(OrganizedData[[#This Row],[Order Date]],"mmm")</f>
        <v>Feb</v>
      </c>
      <c r="M530" s="2">
        <v>73</v>
      </c>
      <c r="N530" s="2" t="s">
        <v>20</v>
      </c>
      <c r="O530" s="2" t="str">
        <f>VLOOKUP(OrganizedData[[#This Row],[Product Code]],ProductData[[Code]:[Item]],2,FALSE)</f>
        <v>Hyperwotsit</v>
      </c>
      <c r="P530" s="4">
        <f>OrganizedData[[#This Row],[Quantity]]*VLOOKUP(OrganizedData[[#This Row],[Product Code]],ProductData[],4,FALSE)</f>
        <v>1460</v>
      </c>
      <c r="Q530" s="6">
        <f>OrganizedData[[#This Row],[Total Items Ordered]]*VLOOKUP(OrganizedData[[#This Row],[Product Code]],ProductData[],3,FALSE)</f>
        <v>2934.6</v>
      </c>
      <c r="R5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531" spans="1:18" x14ac:dyDescent="0.3">
      <c r="A531" s="2">
        <v>524</v>
      </c>
      <c r="B531" s="2" t="s">
        <v>1982</v>
      </c>
      <c r="C531" s="2" t="s">
        <v>361</v>
      </c>
      <c r="D531" s="2" t="s">
        <v>28</v>
      </c>
      <c r="E531" s="2" t="s">
        <v>29</v>
      </c>
      <c r="F531" s="2">
        <v>60</v>
      </c>
      <c r="G531" s="2" t="s">
        <v>1983</v>
      </c>
      <c r="H531" s="2" t="s">
        <v>1473</v>
      </c>
      <c r="I531" s="2" t="s">
        <v>38</v>
      </c>
      <c r="J531" s="3">
        <v>44292</v>
      </c>
      <c r="K531" s="5">
        <f>YEAR(OrganizedData[[#This Row],[Order Date]])</f>
        <v>2021</v>
      </c>
      <c r="L531" s="7" t="str">
        <f>TEXT(OrganizedData[[#This Row],[Order Date]],"mmm")</f>
        <v>Apr</v>
      </c>
      <c r="M531" s="2">
        <v>95</v>
      </c>
      <c r="N531" s="2" t="s">
        <v>20</v>
      </c>
      <c r="O531" s="2" t="str">
        <f>VLOOKUP(OrganizedData[[#This Row],[Product Code]],ProductData[[Code]:[Item]],2,FALSE)</f>
        <v>Hyperwotsit</v>
      </c>
      <c r="P531" s="4">
        <f>OrganizedData[[#This Row],[Quantity]]*VLOOKUP(OrganizedData[[#This Row],[Product Code]],ProductData[],4,FALSE)</f>
        <v>1900</v>
      </c>
      <c r="Q531" s="6">
        <f>OrganizedData[[#This Row],[Total Items Ordered]]*VLOOKUP(OrganizedData[[#This Row],[Product Code]],ProductData[],3,FALSE)</f>
        <v>3818.9999999999995</v>
      </c>
      <c r="R5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3628.0499999999993</v>
      </c>
    </row>
    <row r="532" spans="1:18" x14ac:dyDescent="0.3">
      <c r="A532" s="2">
        <v>525</v>
      </c>
      <c r="B532" s="2" t="s">
        <v>1984</v>
      </c>
      <c r="C532" s="2" t="s">
        <v>1985</v>
      </c>
      <c r="D532" s="2" t="s">
        <v>51</v>
      </c>
      <c r="E532" s="2" t="s">
        <v>16</v>
      </c>
      <c r="F532" s="2">
        <v>30</v>
      </c>
      <c r="G532" s="2" t="s">
        <v>1986</v>
      </c>
      <c r="H532" s="2" t="s">
        <v>1987</v>
      </c>
      <c r="I532" s="2" t="s">
        <v>19</v>
      </c>
      <c r="J532" s="3">
        <v>44221</v>
      </c>
      <c r="K532" s="5">
        <f>YEAR(OrganizedData[[#This Row],[Order Date]])</f>
        <v>2021</v>
      </c>
      <c r="L532" s="7" t="str">
        <f>TEXT(OrganizedData[[#This Row],[Order Date]],"mmm")</f>
        <v>Jan</v>
      </c>
      <c r="M532" s="2">
        <v>64</v>
      </c>
      <c r="N532" s="2" t="s">
        <v>70</v>
      </c>
      <c r="O532" s="2" t="str">
        <f>VLOOKUP(OrganizedData[[#This Row],[Product Code]],ProductData[[Code]:[Item]],2,FALSE)</f>
        <v>Megawidget M</v>
      </c>
      <c r="P532" s="4">
        <f>OrganizedData[[#This Row],[Quantity]]*VLOOKUP(OrganizedData[[#This Row],[Product Code]],ProductData[],4,FALSE)</f>
        <v>1536</v>
      </c>
      <c r="Q532" s="6">
        <f>OrganizedData[[#This Row],[Total Items Ordered]]*VLOOKUP(OrganizedData[[#This Row],[Product Code]],ProductData[],3,FALSE)</f>
        <v>1981.44</v>
      </c>
      <c r="R5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1882.3679999999999</v>
      </c>
    </row>
    <row r="533" spans="1:18" x14ac:dyDescent="0.3">
      <c r="A533" s="2">
        <v>526</v>
      </c>
      <c r="B533" s="2" t="s">
        <v>1988</v>
      </c>
      <c r="C533" s="2" t="s">
        <v>1989</v>
      </c>
      <c r="D533" s="2" t="s">
        <v>15</v>
      </c>
      <c r="E533" s="2" t="s">
        <v>16</v>
      </c>
      <c r="F533" s="2">
        <v>90</v>
      </c>
      <c r="G533" s="2" t="s">
        <v>1990</v>
      </c>
      <c r="H533" s="2" t="s">
        <v>1473</v>
      </c>
      <c r="I533" s="2" t="s">
        <v>38</v>
      </c>
      <c r="J533" s="3">
        <v>44839</v>
      </c>
      <c r="K533" s="5">
        <f>YEAR(OrganizedData[[#This Row],[Order Date]])</f>
        <v>2022</v>
      </c>
      <c r="L533" s="7" t="str">
        <f>TEXT(OrganizedData[[#This Row],[Order Date]],"mmm")</f>
        <v>Oct</v>
      </c>
      <c r="M533" s="2">
        <v>54</v>
      </c>
      <c r="N533" s="2" t="s">
        <v>33</v>
      </c>
      <c r="O533" s="2" t="str">
        <f>VLOOKUP(OrganizedData[[#This Row],[Product Code]],ProductData[[Code]:[Item]],2,FALSE)</f>
        <v>Megawidget L</v>
      </c>
      <c r="P533" s="4">
        <f>OrganizedData[[#This Row],[Quantity]]*VLOOKUP(OrganizedData[[#This Row],[Product Code]],ProductData[],4,FALSE)</f>
        <v>1296</v>
      </c>
      <c r="Q533" s="6">
        <f>OrganizedData[[#This Row],[Total Items Ordered]]*VLOOKUP(OrganizedData[[#This Row],[Product Code]],ProductData[],3,FALSE)</f>
        <v>2319.84</v>
      </c>
      <c r="R5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2203.848</v>
      </c>
    </row>
    <row r="534" spans="1:18" x14ac:dyDescent="0.3">
      <c r="A534" s="2">
        <v>527</v>
      </c>
      <c r="B534" s="2" t="s">
        <v>1991</v>
      </c>
      <c r="C534" s="2" t="s">
        <v>1662</v>
      </c>
      <c r="D534" s="2" t="s">
        <v>28</v>
      </c>
      <c r="E534" s="2" t="s">
        <v>29</v>
      </c>
      <c r="F534" s="2">
        <v>60</v>
      </c>
      <c r="G534" s="2" t="s">
        <v>1990</v>
      </c>
      <c r="H534" s="2" t="s">
        <v>1992</v>
      </c>
      <c r="I534" s="2" t="s">
        <v>32</v>
      </c>
      <c r="J534" s="3">
        <v>43965</v>
      </c>
      <c r="K534" s="5">
        <f>YEAR(OrganizedData[[#This Row],[Order Date]])</f>
        <v>2020</v>
      </c>
      <c r="L534" s="7" t="str">
        <f>TEXT(OrganizedData[[#This Row],[Order Date]],"mmm")</f>
        <v>May</v>
      </c>
      <c r="M534" s="2">
        <v>4</v>
      </c>
      <c r="N534" s="2" t="s">
        <v>39</v>
      </c>
      <c r="O534" s="2" t="str">
        <f>VLOOKUP(OrganizedData[[#This Row],[Product Code]],ProductData[[Code]:[Item]],2,FALSE)</f>
        <v>Ultrathing V1</v>
      </c>
      <c r="P534" s="4">
        <f>OrganizedData[[#This Row],[Quantity]]*VLOOKUP(OrganizedData[[#This Row],[Product Code]],ProductData[],4,FALSE)</f>
        <v>68</v>
      </c>
      <c r="Q534" s="6">
        <f>OrganizedData[[#This Row],[Total Items Ordered]]*VLOOKUP(OrganizedData[[#This Row],[Product Code]],ProductData[],3,FALSE)</f>
        <v>121.72</v>
      </c>
      <c r="R5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121.72</v>
      </c>
    </row>
    <row r="535" spans="1:18" x14ac:dyDescent="0.3">
      <c r="A535" s="2">
        <v>528</v>
      </c>
      <c r="B535" s="2" t="s">
        <v>1993</v>
      </c>
      <c r="C535" s="2" t="s">
        <v>1994</v>
      </c>
      <c r="D535" s="2" t="s">
        <v>41</v>
      </c>
      <c r="E535" s="2" t="s">
        <v>16</v>
      </c>
      <c r="F535" s="2">
        <v>60</v>
      </c>
      <c r="G535" s="2" t="s">
        <v>1995</v>
      </c>
      <c r="H535" s="2" t="s">
        <v>1996</v>
      </c>
      <c r="I535" s="2" t="s">
        <v>208</v>
      </c>
      <c r="J535" s="3">
        <v>44913</v>
      </c>
      <c r="K535" s="5">
        <f>YEAR(OrganizedData[[#This Row],[Order Date]])</f>
        <v>2022</v>
      </c>
      <c r="L535" s="7" t="str">
        <f>TEXT(OrganizedData[[#This Row],[Order Date]],"mmm")</f>
        <v>Dec</v>
      </c>
      <c r="M535" s="2">
        <v>29</v>
      </c>
      <c r="N535" s="2" t="s">
        <v>101</v>
      </c>
      <c r="O535" s="2" t="str">
        <f>VLOOKUP(OrganizedData[[#This Row],[Product Code]],ProductData[[Code]:[Item]],2,FALSE)</f>
        <v>Superwossname</v>
      </c>
      <c r="P535" s="4">
        <f>OrganizedData[[#This Row],[Quantity]]*VLOOKUP(OrganizedData[[#This Row],[Product Code]],ProductData[],4,FALSE)</f>
        <v>580</v>
      </c>
      <c r="Q535" s="6">
        <f>OrganizedData[[#This Row],[Total Items Ordered]]*VLOOKUP(OrganizedData[[#This Row],[Product Code]],ProductData[],3,FALSE)</f>
        <v>2024.2</v>
      </c>
      <c r="R5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536" spans="1:18" x14ac:dyDescent="0.3">
      <c r="A536" s="2">
        <v>529</v>
      </c>
      <c r="B536" s="2" t="s">
        <v>990</v>
      </c>
      <c r="C536" s="2" t="s">
        <v>1997</v>
      </c>
      <c r="D536" s="2" t="s">
        <v>28</v>
      </c>
      <c r="E536" s="2" t="s">
        <v>29</v>
      </c>
      <c r="F536" s="2">
        <v>90</v>
      </c>
      <c r="G536" s="2" t="s">
        <v>1995</v>
      </c>
      <c r="H536" s="2" t="s">
        <v>827</v>
      </c>
      <c r="I536" s="2" t="s">
        <v>124</v>
      </c>
      <c r="J536" s="3">
        <v>44732</v>
      </c>
      <c r="K536" s="5">
        <f>YEAR(OrganizedData[[#This Row],[Order Date]])</f>
        <v>2022</v>
      </c>
      <c r="L536" s="7" t="str">
        <f>TEXT(OrganizedData[[#This Row],[Order Date]],"mmm")</f>
        <v>Jun</v>
      </c>
      <c r="M536" s="2">
        <v>80</v>
      </c>
      <c r="N536" s="2" t="s">
        <v>54</v>
      </c>
      <c r="O536" s="2" t="str">
        <f>VLOOKUP(OrganizedData[[#This Row],[Product Code]],ProductData[[Code]:[Item]],2,FALSE)</f>
        <v>Megawidget S</v>
      </c>
      <c r="P536" s="4">
        <f>OrganizedData[[#This Row],[Quantity]]*VLOOKUP(OrganizedData[[#This Row],[Product Code]],ProductData[],4,FALSE)</f>
        <v>1920</v>
      </c>
      <c r="Q536" s="6">
        <f>OrganizedData[[#This Row],[Total Items Ordered]]*VLOOKUP(OrganizedData[[#This Row],[Product Code]],ProductData[],3,FALSE)</f>
        <v>1324.8</v>
      </c>
      <c r="R5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1258.56</v>
      </c>
    </row>
    <row r="537" spans="1:18" x14ac:dyDescent="0.3">
      <c r="A537" s="2">
        <v>530</v>
      </c>
      <c r="B537" s="2" t="s">
        <v>1998</v>
      </c>
      <c r="C537" s="2" t="s">
        <v>1999</v>
      </c>
      <c r="D537" s="2" t="s">
        <v>28</v>
      </c>
      <c r="E537" s="2" t="s">
        <v>29</v>
      </c>
      <c r="F537" s="2">
        <v>90</v>
      </c>
      <c r="G537" s="2" t="s">
        <v>2000</v>
      </c>
      <c r="H537" s="2" t="s">
        <v>288</v>
      </c>
      <c r="I537" s="2" t="s">
        <v>32</v>
      </c>
      <c r="J537" s="3">
        <v>44336</v>
      </c>
      <c r="K537" s="5">
        <f>YEAR(OrganizedData[[#This Row],[Order Date]])</f>
        <v>2021</v>
      </c>
      <c r="L537" s="7" t="str">
        <f>TEXT(OrganizedData[[#This Row],[Order Date]],"mmm")</f>
        <v>May</v>
      </c>
      <c r="M537" s="2">
        <v>61</v>
      </c>
      <c r="N537" s="2" t="s">
        <v>39</v>
      </c>
      <c r="O537" s="2" t="str">
        <f>VLOOKUP(OrganizedData[[#This Row],[Product Code]],ProductData[[Code]:[Item]],2,FALSE)</f>
        <v>Ultrathing V1</v>
      </c>
      <c r="P537" s="4">
        <f>OrganizedData[[#This Row],[Quantity]]*VLOOKUP(OrganizedData[[#This Row],[Product Code]],ProductData[],4,FALSE)</f>
        <v>1037</v>
      </c>
      <c r="Q537" s="6">
        <f>OrganizedData[[#This Row],[Total Items Ordered]]*VLOOKUP(OrganizedData[[#This Row],[Product Code]],ProductData[],3,FALSE)</f>
        <v>1856.23</v>
      </c>
      <c r="R5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1763.4185</v>
      </c>
    </row>
    <row r="538" spans="1:18" x14ac:dyDescent="0.3">
      <c r="A538" s="2">
        <v>531</v>
      </c>
      <c r="B538" s="2" t="s">
        <v>2001</v>
      </c>
      <c r="C538" s="2" t="s">
        <v>76</v>
      </c>
      <c r="D538" s="2" t="s">
        <v>28</v>
      </c>
      <c r="E538" s="2" t="s">
        <v>29</v>
      </c>
      <c r="F538" s="2">
        <v>90</v>
      </c>
      <c r="G538" s="2" t="s">
        <v>2002</v>
      </c>
      <c r="H538" s="2" t="s">
        <v>447</v>
      </c>
      <c r="I538" s="2" t="s">
        <v>32</v>
      </c>
      <c r="J538" s="3">
        <v>44500</v>
      </c>
      <c r="K538" s="5">
        <f>YEAR(OrganizedData[[#This Row],[Order Date]])</f>
        <v>2021</v>
      </c>
      <c r="L538" s="7" t="str">
        <f>TEXT(OrganizedData[[#This Row],[Order Date]],"mmm")</f>
        <v>Oct</v>
      </c>
      <c r="M538" s="2">
        <v>3</v>
      </c>
      <c r="N538" s="2" t="s">
        <v>159</v>
      </c>
      <c r="O538" s="2" t="str">
        <f>VLOOKUP(OrganizedData[[#This Row],[Product Code]],ProductData[[Code]:[Item]],2,FALSE)</f>
        <v>Ultrathing V3</v>
      </c>
      <c r="P538" s="4">
        <f>OrganizedData[[#This Row],[Quantity]]*VLOOKUP(OrganizedData[[#This Row],[Product Code]],ProductData[],4,FALSE)</f>
        <v>72</v>
      </c>
      <c r="Q538" s="6">
        <f>OrganizedData[[#This Row],[Total Items Ordered]]*VLOOKUP(OrganizedData[[#This Row],[Product Code]],ProductData[],3,FALSE)</f>
        <v>244.08</v>
      </c>
      <c r="R5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539" spans="1:18" x14ac:dyDescent="0.3">
      <c r="A539" s="2">
        <v>532</v>
      </c>
      <c r="B539" s="2" t="s">
        <v>2005</v>
      </c>
      <c r="C539" s="2" t="s">
        <v>2006</v>
      </c>
      <c r="D539" s="2" t="s">
        <v>15</v>
      </c>
      <c r="E539" s="2" t="s">
        <v>16</v>
      </c>
      <c r="F539" s="2">
        <v>60</v>
      </c>
      <c r="G539" s="2" t="s">
        <v>2007</v>
      </c>
      <c r="H539" s="2" t="s">
        <v>2008</v>
      </c>
      <c r="I539" s="2" t="s">
        <v>129</v>
      </c>
      <c r="J539" s="3">
        <v>44421</v>
      </c>
      <c r="K539" s="5">
        <f>YEAR(OrganizedData[[#This Row],[Order Date]])</f>
        <v>2021</v>
      </c>
      <c r="L539" s="7" t="str">
        <f>TEXT(OrganizedData[[#This Row],[Order Date]],"mmm")</f>
        <v>Aug</v>
      </c>
      <c r="M539" s="2">
        <v>47</v>
      </c>
      <c r="N539" s="2" t="s">
        <v>20</v>
      </c>
      <c r="O539" s="2" t="str">
        <f>VLOOKUP(OrganizedData[[#This Row],[Product Code]],ProductData[[Code]:[Item]],2,FALSE)</f>
        <v>Hyperwotsit</v>
      </c>
      <c r="P539" s="4">
        <f>OrganizedData[[#This Row],[Quantity]]*VLOOKUP(OrganizedData[[#This Row],[Product Code]],ProductData[],4,FALSE)</f>
        <v>940</v>
      </c>
      <c r="Q539" s="6">
        <f>OrganizedData[[#This Row],[Total Items Ordered]]*VLOOKUP(OrganizedData[[#This Row],[Product Code]],ProductData[],3,FALSE)</f>
        <v>1889.3999999999999</v>
      </c>
      <c r="R5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540" spans="1:18" x14ac:dyDescent="0.3">
      <c r="A540" s="2">
        <v>533</v>
      </c>
      <c r="B540" s="2" t="s">
        <v>2009</v>
      </c>
      <c r="C540" s="2" t="s">
        <v>2010</v>
      </c>
      <c r="D540" s="2" t="s">
        <v>28</v>
      </c>
      <c r="E540" s="2" t="s">
        <v>29</v>
      </c>
      <c r="F540" s="2">
        <v>30</v>
      </c>
      <c r="G540" s="2" t="s">
        <v>2011</v>
      </c>
      <c r="H540" s="2" t="s">
        <v>2012</v>
      </c>
      <c r="I540" s="2" t="s">
        <v>32</v>
      </c>
      <c r="J540" s="3">
        <v>44775</v>
      </c>
      <c r="K540" s="5">
        <f>YEAR(OrganizedData[[#This Row],[Order Date]])</f>
        <v>2022</v>
      </c>
      <c r="L540" s="7" t="str">
        <f>TEXT(OrganizedData[[#This Row],[Order Date]],"mmm")</f>
        <v>Aug</v>
      </c>
      <c r="M540" s="2">
        <v>44</v>
      </c>
      <c r="N540" s="2" t="s">
        <v>70</v>
      </c>
      <c r="O540" s="2" t="str">
        <f>VLOOKUP(OrganizedData[[#This Row],[Product Code]],ProductData[[Code]:[Item]],2,FALSE)</f>
        <v>Megawidget M</v>
      </c>
      <c r="P540" s="4">
        <f>OrganizedData[[#This Row],[Quantity]]*VLOOKUP(OrganizedData[[#This Row],[Product Code]],ProductData[],4,FALSE)</f>
        <v>1056</v>
      </c>
      <c r="Q540" s="6">
        <f>OrganizedData[[#This Row],[Total Items Ordered]]*VLOOKUP(OrganizedData[[#This Row],[Product Code]],ProductData[],3,FALSE)</f>
        <v>1362.24</v>
      </c>
      <c r="R5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541" spans="1:18" x14ac:dyDescent="0.3">
      <c r="A541" s="2">
        <v>534</v>
      </c>
      <c r="B541" s="2" t="s">
        <v>2013</v>
      </c>
      <c r="C541" s="2" t="s">
        <v>2014</v>
      </c>
      <c r="D541" s="2" t="s">
        <v>15</v>
      </c>
      <c r="E541" s="2" t="s">
        <v>16</v>
      </c>
      <c r="F541" s="2">
        <v>90</v>
      </c>
      <c r="G541" s="2" t="s">
        <v>2015</v>
      </c>
      <c r="H541" s="2" t="s">
        <v>881</v>
      </c>
      <c r="I541" s="2" t="s">
        <v>178</v>
      </c>
      <c r="J541" s="3">
        <v>44908</v>
      </c>
      <c r="K541" s="5">
        <f>YEAR(OrganizedData[[#This Row],[Order Date]])</f>
        <v>2022</v>
      </c>
      <c r="L541" s="7" t="str">
        <f>TEXT(OrganizedData[[#This Row],[Order Date]],"mmm")</f>
        <v>Dec</v>
      </c>
      <c r="M541" s="2">
        <v>20</v>
      </c>
      <c r="N541" s="2" t="s">
        <v>64</v>
      </c>
      <c r="O541" s="2" t="str">
        <f>VLOOKUP(OrganizedData[[#This Row],[Product Code]],ProductData[[Code]:[Item]],2,FALSE)</f>
        <v>Ultrathing V4</v>
      </c>
      <c r="P541" s="4">
        <f>OrganizedData[[#This Row],[Quantity]]*VLOOKUP(OrganizedData[[#This Row],[Product Code]],ProductData[],4,FALSE)</f>
        <v>480</v>
      </c>
      <c r="Q541" s="6">
        <f>OrganizedData[[#This Row],[Total Items Ordered]]*VLOOKUP(OrganizedData[[#This Row],[Product Code]],ProductData[],3,FALSE)</f>
        <v>1915.2</v>
      </c>
      <c r="R5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542" spans="1:18" x14ac:dyDescent="0.3">
      <c r="A542" s="2">
        <v>535</v>
      </c>
      <c r="B542" s="2" t="s">
        <v>2016</v>
      </c>
      <c r="C542" s="2" t="s">
        <v>2017</v>
      </c>
      <c r="D542" s="2" t="s">
        <v>51</v>
      </c>
      <c r="E542" s="2" t="s">
        <v>16</v>
      </c>
      <c r="F542" s="2">
        <v>60</v>
      </c>
      <c r="G542" s="2" t="s">
        <v>2015</v>
      </c>
      <c r="H542" s="2" t="s">
        <v>1052</v>
      </c>
      <c r="I542" s="2" t="s">
        <v>32</v>
      </c>
      <c r="J542" s="3">
        <v>44020</v>
      </c>
      <c r="K542" s="5">
        <f>YEAR(OrganizedData[[#This Row],[Order Date]])</f>
        <v>2020</v>
      </c>
      <c r="L542" s="7" t="str">
        <f>TEXT(OrganizedData[[#This Row],[Order Date]],"mmm")</f>
        <v>Jul</v>
      </c>
      <c r="M542" s="2">
        <v>44</v>
      </c>
      <c r="N542" s="2" t="s">
        <v>64</v>
      </c>
      <c r="O542" s="2" t="str">
        <f>VLOOKUP(OrganizedData[[#This Row],[Product Code]],ProductData[[Code]:[Item]],2,FALSE)</f>
        <v>Ultrathing V4</v>
      </c>
      <c r="P542" s="4">
        <f>OrganizedData[[#This Row],[Quantity]]*VLOOKUP(OrganizedData[[#This Row],[Product Code]],ProductData[],4,FALSE)</f>
        <v>1056</v>
      </c>
      <c r="Q542" s="6">
        <f>OrganizedData[[#This Row],[Total Items Ordered]]*VLOOKUP(OrganizedData[[#This Row],[Product Code]],ProductData[],3,FALSE)</f>
        <v>4213.4400000000005</v>
      </c>
      <c r="R5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4087.0368000000003</v>
      </c>
    </row>
    <row r="543" spans="1:18" x14ac:dyDescent="0.3">
      <c r="A543" s="2">
        <v>536</v>
      </c>
      <c r="B543" s="2" t="s">
        <v>2018</v>
      </c>
      <c r="C543" s="2" t="s">
        <v>2019</v>
      </c>
      <c r="D543" s="2" t="s">
        <v>28</v>
      </c>
      <c r="E543" s="2" t="s">
        <v>29</v>
      </c>
      <c r="F543" s="2">
        <v>30</v>
      </c>
      <c r="G543" s="2" t="s">
        <v>2020</v>
      </c>
      <c r="H543" s="2" t="s">
        <v>2021</v>
      </c>
      <c r="I543" s="2" t="s">
        <v>2022</v>
      </c>
      <c r="J543" s="3">
        <v>44611</v>
      </c>
      <c r="K543" s="5">
        <f>YEAR(OrganizedData[[#This Row],[Order Date]])</f>
        <v>2022</v>
      </c>
      <c r="L543" s="7" t="str">
        <f>TEXT(OrganizedData[[#This Row],[Order Date]],"mmm")</f>
        <v>Feb</v>
      </c>
      <c r="M543" s="2">
        <v>56</v>
      </c>
      <c r="N543" s="2" t="s">
        <v>101</v>
      </c>
      <c r="O543" s="2" t="str">
        <f>VLOOKUP(OrganizedData[[#This Row],[Product Code]],ProductData[[Code]:[Item]],2,FALSE)</f>
        <v>Superwossname</v>
      </c>
      <c r="P543" s="4">
        <f>OrganizedData[[#This Row],[Quantity]]*VLOOKUP(OrganizedData[[#This Row],[Product Code]],ProductData[],4,FALSE)</f>
        <v>1120</v>
      </c>
      <c r="Q543" s="6">
        <f>OrganizedData[[#This Row],[Total Items Ordered]]*VLOOKUP(OrganizedData[[#This Row],[Product Code]],ProductData[],3,FALSE)</f>
        <v>3908.8</v>
      </c>
      <c r="R5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3713.36</v>
      </c>
    </row>
    <row r="544" spans="1:18" x14ac:dyDescent="0.3">
      <c r="A544" s="2">
        <v>537</v>
      </c>
      <c r="B544" s="2" t="s">
        <v>2023</v>
      </c>
      <c r="C544" s="2" t="s">
        <v>2024</v>
      </c>
      <c r="D544" s="2" t="s">
        <v>15</v>
      </c>
      <c r="E544" s="2" t="s">
        <v>16</v>
      </c>
      <c r="F544" s="2">
        <v>90</v>
      </c>
      <c r="G544" s="2" t="s">
        <v>2025</v>
      </c>
      <c r="H544" s="2" t="s">
        <v>2026</v>
      </c>
      <c r="I544" s="2" t="s">
        <v>1078</v>
      </c>
      <c r="J544" s="3">
        <v>43965</v>
      </c>
      <c r="K544" s="5">
        <f>YEAR(OrganizedData[[#This Row],[Order Date]])</f>
        <v>2020</v>
      </c>
      <c r="L544" s="7" t="str">
        <f>TEXT(OrganizedData[[#This Row],[Order Date]],"mmm")</f>
        <v>May</v>
      </c>
      <c r="M544" s="2">
        <v>43</v>
      </c>
      <c r="N544" s="2" t="s">
        <v>64</v>
      </c>
      <c r="O544" s="2" t="str">
        <f>VLOOKUP(OrganizedData[[#This Row],[Product Code]],ProductData[[Code]:[Item]],2,FALSE)</f>
        <v>Ultrathing V4</v>
      </c>
      <c r="P544" s="4">
        <f>OrganizedData[[#This Row],[Quantity]]*VLOOKUP(OrganizedData[[#This Row],[Product Code]],ProductData[],4,FALSE)</f>
        <v>1032</v>
      </c>
      <c r="Q544" s="6">
        <f>OrganizedData[[#This Row],[Total Items Ordered]]*VLOOKUP(OrganizedData[[#This Row],[Product Code]],ProductData[],3,FALSE)</f>
        <v>4117.68</v>
      </c>
      <c r="R5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3994.1496000000002</v>
      </c>
    </row>
    <row r="545" spans="1:18" x14ac:dyDescent="0.3">
      <c r="A545" s="2">
        <v>538</v>
      </c>
      <c r="B545" s="2" t="s">
        <v>2027</v>
      </c>
      <c r="C545" s="2" t="s">
        <v>2028</v>
      </c>
      <c r="D545" s="2" t="s">
        <v>28</v>
      </c>
      <c r="E545" s="2" t="s">
        <v>29</v>
      </c>
      <c r="F545" s="2">
        <v>60</v>
      </c>
      <c r="G545" s="2" t="s">
        <v>2029</v>
      </c>
      <c r="H545" s="2" t="s">
        <v>530</v>
      </c>
      <c r="I545" s="2" t="s">
        <v>124</v>
      </c>
      <c r="J545" s="3">
        <v>44864</v>
      </c>
      <c r="K545" s="5">
        <f>YEAR(OrganizedData[[#This Row],[Order Date]])</f>
        <v>2022</v>
      </c>
      <c r="L545" s="7" t="str">
        <f>TEXT(OrganizedData[[#This Row],[Order Date]],"mmm")</f>
        <v>Oct</v>
      </c>
      <c r="M545" s="2">
        <v>85</v>
      </c>
      <c r="N545" s="2" t="s">
        <v>80</v>
      </c>
      <c r="O545" s="2" t="str">
        <f>VLOOKUP(OrganizedData[[#This Row],[Product Code]],ProductData[[Code]:[Item]],2,FALSE)</f>
        <v>Ultrathing V2</v>
      </c>
      <c r="P545" s="4">
        <f>OrganizedData[[#This Row],[Quantity]]*VLOOKUP(OrganizedData[[#This Row],[Product Code]],ProductData[],4,FALSE)</f>
        <v>1700</v>
      </c>
      <c r="Q545" s="6">
        <f>OrganizedData[[#This Row],[Total Items Ordered]]*VLOOKUP(OrganizedData[[#This Row],[Product Code]],ProductData[],3,FALSE)</f>
        <v>5015</v>
      </c>
      <c r="R5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4764.25</v>
      </c>
    </row>
    <row r="546" spans="1:18" x14ac:dyDescent="0.3">
      <c r="A546" s="2">
        <v>539</v>
      </c>
      <c r="B546" s="2" t="s">
        <v>555</v>
      </c>
      <c r="C546" s="2" t="s">
        <v>2030</v>
      </c>
      <c r="D546" s="2" t="s">
        <v>28</v>
      </c>
      <c r="E546" s="2" t="s">
        <v>29</v>
      </c>
      <c r="F546" s="2">
        <v>60</v>
      </c>
      <c r="G546" s="2" t="s">
        <v>2031</v>
      </c>
      <c r="H546" s="2" t="s">
        <v>2032</v>
      </c>
      <c r="I546" s="2" t="s">
        <v>173</v>
      </c>
      <c r="J546" s="3">
        <v>44775</v>
      </c>
      <c r="K546" s="5">
        <f>YEAR(OrganizedData[[#This Row],[Order Date]])</f>
        <v>2022</v>
      </c>
      <c r="L546" s="7" t="str">
        <f>TEXT(OrganizedData[[#This Row],[Order Date]],"mmm")</f>
        <v>Aug</v>
      </c>
      <c r="M546" s="2">
        <v>104</v>
      </c>
      <c r="N546" s="2" t="s">
        <v>80</v>
      </c>
      <c r="O546" s="2" t="str">
        <f>VLOOKUP(OrganizedData[[#This Row],[Product Code]],ProductData[[Code]:[Item]],2,FALSE)</f>
        <v>Ultrathing V2</v>
      </c>
      <c r="P546" s="4">
        <f>OrganizedData[[#This Row],[Quantity]]*VLOOKUP(OrganizedData[[#This Row],[Product Code]],ProductData[],4,FALSE)</f>
        <v>2080</v>
      </c>
      <c r="Q546" s="6">
        <f>OrganizedData[[#This Row],[Total Items Ordered]]*VLOOKUP(OrganizedData[[#This Row],[Product Code]],ProductData[],3,FALSE)</f>
        <v>6136</v>
      </c>
      <c r="R5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5706.4800000000005</v>
      </c>
    </row>
    <row r="547" spans="1:18" x14ac:dyDescent="0.3">
      <c r="A547" s="2">
        <v>540</v>
      </c>
      <c r="B547" s="2" t="s">
        <v>1741</v>
      </c>
      <c r="C547" s="2" t="s">
        <v>2033</v>
      </c>
      <c r="D547" s="2" t="s">
        <v>28</v>
      </c>
      <c r="E547" s="2" t="s">
        <v>29</v>
      </c>
      <c r="F547" s="2">
        <v>90</v>
      </c>
      <c r="G547" s="2" t="s">
        <v>2034</v>
      </c>
      <c r="H547" s="2" t="s">
        <v>2035</v>
      </c>
      <c r="I547" s="2" t="s">
        <v>32</v>
      </c>
      <c r="J547" s="3">
        <v>44153</v>
      </c>
      <c r="K547" s="5">
        <f>YEAR(OrganizedData[[#This Row],[Order Date]])</f>
        <v>2020</v>
      </c>
      <c r="L547" s="7" t="str">
        <f>TEXT(OrganizedData[[#This Row],[Order Date]],"mmm")</f>
        <v>Nov</v>
      </c>
      <c r="M547" s="2">
        <v>10</v>
      </c>
      <c r="N547" s="2" t="s">
        <v>45</v>
      </c>
      <c r="O547" s="2" t="str">
        <f>VLOOKUP(OrganizedData[[#This Row],[Product Code]],ProductData[[Code]:[Item]],2,FALSE)</f>
        <v>Gigastuff</v>
      </c>
      <c r="P547" s="4">
        <f>OrganizedData[[#This Row],[Quantity]]*VLOOKUP(OrganizedData[[#This Row],[Product Code]],ProductData[],4,FALSE)</f>
        <v>180</v>
      </c>
      <c r="Q547" s="6">
        <f>OrganizedData[[#This Row],[Total Items Ordered]]*VLOOKUP(OrganizedData[[#This Row],[Product Code]],ProductData[],3,FALSE)</f>
        <v>340.2</v>
      </c>
      <c r="R5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548" spans="1:18" x14ac:dyDescent="0.3">
      <c r="A548" s="2">
        <v>541</v>
      </c>
      <c r="B548" s="2" t="s">
        <v>2036</v>
      </c>
      <c r="C548" s="2" t="s">
        <v>2037</v>
      </c>
      <c r="D548" s="2" t="s">
        <v>51</v>
      </c>
      <c r="E548" s="2" t="s">
        <v>16</v>
      </c>
      <c r="F548" s="2">
        <v>90</v>
      </c>
      <c r="G548" s="2" t="s">
        <v>2038</v>
      </c>
      <c r="H548" s="2" t="s">
        <v>2039</v>
      </c>
      <c r="I548" s="2" t="s">
        <v>1199</v>
      </c>
      <c r="J548" s="3">
        <v>44765</v>
      </c>
      <c r="K548" s="5">
        <f>YEAR(OrganizedData[[#This Row],[Order Date]])</f>
        <v>2022</v>
      </c>
      <c r="L548" s="7" t="str">
        <f>TEXT(OrganizedData[[#This Row],[Order Date]],"mmm")</f>
        <v>Jul</v>
      </c>
      <c r="M548" s="2">
        <v>56</v>
      </c>
      <c r="N548" s="2" t="s">
        <v>20</v>
      </c>
      <c r="O548" s="2" t="str">
        <f>VLOOKUP(OrganizedData[[#This Row],[Product Code]],ProductData[[Code]:[Item]],2,FALSE)</f>
        <v>Hyperwotsit</v>
      </c>
      <c r="P548" s="4">
        <f>OrganizedData[[#This Row],[Quantity]]*VLOOKUP(OrganizedData[[#This Row],[Product Code]],ProductData[],4,FALSE)</f>
        <v>1120</v>
      </c>
      <c r="Q548" s="6">
        <f>OrganizedData[[#This Row],[Total Items Ordered]]*VLOOKUP(OrganizedData[[#This Row],[Product Code]],ProductData[],3,FALSE)</f>
        <v>2251.1999999999998</v>
      </c>
      <c r="R5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549" spans="1:18" x14ac:dyDescent="0.3">
      <c r="A549" s="2">
        <v>542</v>
      </c>
      <c r="B549" s="2" t="s">
        <v>2040</v>
      </c>
      <c r="C549" s="2" t="s">
        <v>2041</v>
      </c>
      <c r="D549" s="2" t="s">
        <v>41</v>
      </c>
      <c r="E549" s="2" t="s">
        <v>16</v>
      </c>
      <c r="F549" s="2">
        <v>30</v>
      </c>
      <c r="G549" s="2" t="s">
        <v>2042</v>
      </c>
      <c r="H549" s="2" t="s">
        <v>1568</v>
      </c>
      <c r="I549" s="2" t="s">
        <v>32</v>
      </c>
      <c r="J549" s="3">
        <v>44843</v>
      </c>
      <c r="K549" s="5">
        <f>YEAR(OrganizedData[[#This Row],[Order Date]])</f>
        <v>2022</v>
      </c>
      <c r="L549" s="7" t="str">
        <f>TEXT(OrganizedData[[#This Row],[Order Date]],"mmm")</f>
        <v>Oct</v>
      </c>
      <c r="M549" s="2">
        <v>76</v>
      </c>
      <c r="N549" s="2" t="s">
        <v>80</v>
      </c>
      <c r="O549" s="2" t="str">
        <f>VLOOKUP(OrganizedData[[#This Row],[Product Code]],ProductData[[Code]:[Item]],2,FALSE)</f>
        <v>Ultrathing V2</v>
      </c>
      <c r="P549" s="4">
        <f>OrganizedData[[#This Row],[Quantity]]*VLOOKUP(OrganizedData[[#This Row],[Product Code]],ProductData[],4,FALSE)</f>
        <v>1520</v>
      </c>
      <c r="Q549" s="6">
        <f>OrganizedData[[#This Row],[Total Items Ordered]]*VLOOKUP(OrganizedData[[#This Row],[Product Code]],ProductData[],3,FALSE)</f>
        <v>4484</v>
      </c>
      <c r="R5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4259.8</v>
      </c>
    </row>
    <row r="550" spans="1:18" x14ac:dyDescent="0.3">
      <c r="A550" s="2">
        <v>543</v>
      </c>
      <c r="B550" s="2" t="s">
        <v>2043</v>
      </c>
      <c r="C550" s="2" t="s">
        <v>1145</v>
      </c>
      <c r="D550" s="2" t="s">
        <v>28</v>
      </c>
      <c r="E550" s="2" t="s">
        <v>29</v>
      </c>
      <c r="F550" s="2">
        <v>60</v>
      </c>
      <c r="G550" s="2" t="s">
        <v>2044</v>
      </c>
      <c r="H550" s="2" t="s">
        <v>2045</v>
      </c>
      <c r="I550" s="2" t="s">
        <v>38</v>
      </c>
      <c r="J550" s="3">
        <v>44564</v>
      </c>
      <c r="K550" s="5">
        <f>YEAR(OrganizedData[[#This Row],[Order Date]])</f>
        <v>2022</v>
      </c>
      <c r="L550" s="7" t="str">
        <f>TEXT(OrganizedData[[#This Row],[Order Date]],"mmm")</f>
        <v>Jan</v>
      </c>
      <c r="M550" s="2">
        <v>105</v>
      </c>
      <c r="N550" s="2" t="s">
        <v>101</v>
      </c>
      <c r="O550" s="2" t="str">
        <f>VLOOKUP(OrganizedData[[#This Row],[Product Code]],ProductData[[Code]:[Item]],2,FALSE)</f>
        <v>Superwossname</v>
      </c>
      <c r="P550" s="4">
        <f>OrganizedData[[#This Row],[Quantity]]*VLOOKUP(OrganizedData[[#This Row],[Product Code]],ProductData[],4,FALSE)</f>
        <v>2100</v>
      </c>
      <c r="Q550" s="6">
        <f>OrganizedData[[#This Row],[Total Items Ordered]]*VLOOKUP(OrganizedData[[#This Row],[Product Code]],ProductData[],3,FALSE)</f>
        <v>7329</v>
      </c>
      <c r="R5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6815.97</v>
      </c>
    </row>
    <row r="551" spans="1:18" x14ac:dyDescent="0.3">
      <c r="A551" s="2">
        <v>544</v>
      </c>
      <c r="B551" s="2" t="s">
        <v>2046</v>
      </c>
      <c r="C551" s="2" t="s">
        <v>2047</v>
      </c>
      <c r="D551" s="2" t="s">
        <v>28</v>
      </c>
      <c r="E551" s="2" t="s">
        <v>29</v>
      </c>
      <c r="F551" s="2">
        <v>30</v>
      </c>
      <c r="G551" s="2" t="s">
        <v>2048</v>
      </c>
      <c r="H551" s="2" t="s">
        <v>2049</v>
      </c>
      <c r="I551" s="2" t="s">
        <v>32</v>
      </c>
      <c r="J551" s="3">
        <v>44075</v>
      </c>
      <c r="K551" s="5">
        <f>YEAR(OrganizedData[[#This Row],[Order Date]])</f>
        <v>2020</v>
      </c>
      <c r="L551" s="7" t="str">
        <f>TEXT(OrganizedData[[#This Row],[Order Date]],"mmm")</f>
        <v>Sep</v>
      </c>
      <c r="M551" s="2">
        <v>81</v>
      </c>
      <c r="N551" s="2" t="s">
        <v>20</v>
      </c>
      <c r="O551" s="2" t="str">
        <f>VLOOKUP(OrganizedData[[#This Row],[Product Code]],ProductData[[Code]:[Item]],2,FALSE)</f>
        <v>Hyperwotsit</v>
      </c>
      <c r="P551" s="4">
        <f>OrganizedData[[#This Row],[Quantity]]*VLOOKUP(OrganizedData[[#This Row],[Product Code]],ProductData[],4,FALSE)</f>
        <v>1620</v>
      </c>
      <c r="Q551" s="6">
        <f>OrganizedData[[#This Row],[Total Items Ordered]]*VLOOKUP(OrganizedData[[#This Row],[Product Code]],ProductData[],3,FALSE)</f>
        <v>3256.2</v>
      </c>
      <c r="R5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552" spans="1:18" x14ac:dyDescent="0.3">
      <c r="A552" s="2">
        <v>545</v>
      </c>
      <c r="B552" s="2" t="s">
        <v>2050</v>
      </c>
      <c r="C552" s="2" t="s">
        <v>2051</v>
      </c>
      <c r="D552" s="2" t="s">
        <v>28</v>
      </c>
      <c r="E552" s="2" t="s">
        <v>29</v>
      </c>
      <c r="F552" s="2">
        <v>90</v>
      </c>
      <c r="G552" s="2" t="s">
        <v>2052</v>
      </c>
      <c r="H552" s="2" t="s">
        <v>2053</v>
      </c>
      <c r="I552" s="2" t="s">
        <v>187</v>
      </c>
      <c r="J552" s="3">
        <v>44139</v>
      </c>
      <c r="K552" s="5">
        <f>YEAR(OrganizedData[[#This Row],[Order Date]])</f>
        <v>2020</v>
      </c>
      <c r="L552" s="7" t="str">
        <f>TEXT(OrganizedData[[#This Row],[Order Date]],"mmm")</f>
        <v>Nov</v>
      </c>
      <c r="M552" s="2">
        <v>27</v>
      </c>
      <c r="N552" s="2" t="s">
        <v>39</v>
      </c>
      <c r="O552" s="2" t="str">
        <f>VLOOKUP(OrganizedData[[#This Row],[Product Code]],ProductData[[Code]:[Item]],2,FALSE)</f>
        <v>Ultrathing V1</v>
      </c>
      <c r="P552" s="4">
        <f>OrganizedData[[#This Row],[Quantity]]*VLOOKUP(OrganizedData[[#This Row],[Product Code]],ProductData[],4,FALSE)</f>
        <v>459</v>
      </c>
      <c r="Q552" s="6">
        <f>OrganizedData[[#This Row],[Total Items Ordered]]*VLOOKUP(OrganizedData[[#This Row],[Product Code]],ProductData[],3,FALSE)</f>
        <v>821.61</v>
      </c>
      <c r="R5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796.96169999999995</v>
      </c>
    </row>
    <row r="553" spans="1:18" x14ac:dyDescent="0.3">
      <c r="A553" s="2">
        <v>546</v>
      </c>
      <c r="B553" s="2" t="s">
        <v>1383</v>
      </c>
      <c r="C553" s="2" t="s">
        <v>2054</v>
      </c>
      <c r="D553" s="2" t="s">
        <v>28</v>
      </c>
      <c r="E553" s="2" t="s">
        <v>29</v>
      </c>
      <c r="F553" s="2">
        <v>90</v>
      </c>
      <c r="G553" s="2" t="s">
        <v>2055</v>
      </c>
      <c r="H553" s="2" t="s">
        <v>2056</v>
      </c>
      <c r="I553" s="2" t="s">
        <v>32</v>
      </c>
      <c r="J553" s="3">
        <v>44104</v>
      </c>
      <c r="K553" s="5">
        <f>YEAR(OrganizedData[[#This Row],[Order Date]])</f>
        <v>2020</v>
      </c>
      <c r="L553" s="7" t="str">
        <f>TEXT(OrganizedData[[#This Row],[Order Date]],"mmm")</f>
        <v>Sep</v>
      </c>
      <c r="M553" s="2">
        <v>55</v>
      </c>
      <c r="N553" s="2" t="s">
        <v>20</v>
      </c>
      <c r="O553" s="2" t="str">
        <f>VLOOKUP(OrganizedData[[#This Row],[Product Code]],ProductData[[Code]:[Item]],2,FALSE)</f>
        <v>Hyperwotsit</v>
      </c>
      <c r="P553" s="4">
        <f>OrganizedData[[#This Row],[Quantity]]*VLOOKUP(OrganizedData[[#This Row],[Product Code]],ProductData[],4,FALSE)</f>
        <v>1100</v>
      </c>
      <c r="Q553" s="6">
        <f>OrganizedData[[#This Row],[Total Items Ordered]]*VLOOKUP(OrganizedData[[#This Row],[Product Code]],ProductData[],3,FALSE)</f>
        <v>2210.9999999999995</v>
      </c>
      <c r="R5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2100.4499999999994</v>
      </c>
    </row>
    <row r="554" spans="1:18" x14ac:dyDescent="0.3">
      <c r="A554" s="2">
        <v>547</v>
      </c>
      <c r="B554" s="2" t="s">
        <v>2057</v>
      </c>
      <c r="C554" s="2" t="s">
        <v>2043</v>
      </c>
      <c r="D554" s="2" t="s">
        <v>51</v>
      </c>
      <c r="E554" s="2" t="s">
        <v>16</v>
      </c>
      <c r="F554" s="2">
        <v>60</v>
      </c>
      <c r="G554" s="2" t="s">
        <v>2058</v>
      </c>
      <c r="H554" s="2" t="s">
        <v>2059</v>
      </c>
      <c r="I554" s="2" t="s">
        <v>146</v>
      </c>
      <c r="J554" s="3">
        <v>44429</v>
      </c>
      <c r="K554" s="5">
        <f>YEAR(OrganizedData[[#This Row],[Order Date]])</f>
        <v>2021</v>
      </c>
      <c r="L554" s="7" t="str">
        <f>TEXT(OrganizedData[[#This Row],[Order Date]],"mmm")</f>
        <v>Aug</v>
      </c>
      <c r="M554" s="2">
        <v>42</v>
      </c>
      <c r="N554" s="2" t="s">
        <v>159</v>
      </c>
      <c r="O554" s="2" t="str">
        <f>VLOOKUP(OrganizedData[[#This Row],[Product Code]],ProductData[[Code]:[Item]],2,FALSE)</f>
        <v>Ultrathing V3</v>
      </c>
      <c r="P554" s="4">
        <f>OrganizedData[[#This Row],[Quantity]]*VLOOKUP(OrganizedData[[#This Row],[Product Code]],ProductData[],4,FALSE)</f>
        <v>1008</v>
      </c>
      <c r="Q554" s="6">
        <f>OrganizedData[[#This Row],[Total Items Ordered]]*VLOOKUP(OrganizedData[[#This Row],[Product Code]],ProductData[],3,FALSE)</f>
        <v>3417.1200000000003</v>
      </c>
      <c r="R5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555" spans="1:18" x14ac:dyDescent="0.3">
      <c r="A555" s="2">
        <v>548</v>
      </c>
      <c r="B555" s="2" t="s">
        <v>2060</v>
      </c>
      <c r="C555" s="2" t="s">
        <v>161</v>
      </c>
      <c r="D555" s="2" t="s">
        <v>15</v>
      </c>
      <c r="E555" s="2" t="s">
        <v>16</v>
      </c>
      <c r="F555" s="2">
        <v>60</v>
      </c>
      <c r="G555" s="2" t="s">
        <v>2061</v>
      </c>
      <c r="H555" s="2" t="s">
        <v>2062</v>
      </c>
      <c r="I555" s="2" t="s">
        <v>187</v>
      </c>
      <c r="J555" s="3">
        <v>44319</v>
      </c>
      <c r="K555" s="5">
        <f>YEAR(OrganizedData[[#This Row],[Order Date]])</f>
        <v>2021</v>
      </c>
      <c r="L555" s="7" t="str">
        <f>TEXT(OrganizedData[[#This Row],[Order Date]],"mmm")</f>
        <v>May</v>
      </c>
      <c r="M555" s="2">
        <v>20</v>
      </c>
      <c r="N555" s="2" t="s">
        <v>20</v>
      </c>
      <c r="O555" s="2" t="str">
        <f>VLOOKUP(OrganizedData[[#This Row],[Product Code]],ProductData[[Code]:[Item]],2,FALSE)</f>
        <v>Hyperwotsit</v>
      </c>
      <c r="P555" s="4">
        <f>OrganizedData[[#This Row],[Quantity]]*VLOOKUP(OrganizedData[[#This Row],[Product Code]],ProductData[],4,FALSE)</f>
        <v>400</v>
      </c>
      <c r="Q555" s="6">
        <f>OrganizedData[[#This Row],[Total Items Ordered]]*VLOOKUP(OrganizedData[[#This Row],[Product Code]],ProductData[],3,FALSE)</f>
        <v>803.99999999999989</v>
      </c>
      <c r="R5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556" spans="1:18" x14ac:dyDescent="0.3">
      <c r="A556" s="2">
        <v>549</v>
      </c>
      <c r="B556" s="2" t="s">
        <v>2063</v>
      </c>
      <c r="C556" s="2" t="s">
        <v>2064</v>
      </c>
      <c r="D556" s="2" t="s">
        <v>28</v>
      </c>
      <c r="E556" s="2" t="s">
        <v>29</v>
      </c>
      <c r="F556" s="2">
        <v>60</v>
      </c>
      <c r="G556" s="2" t="s">
        <v>2065</v>
      </c>
      <c r="H556" s="2" t="s">
        <v>2066</v>
      </c>
      <c r="I556" s="2" t="s">
        <v>294</v>
      </c>
      <c r="J556" s="3">
        <v>44301</v>
      </c>
      <c r="K556" s="5">
        <f>YEAR(OrganizedData[[#This Row],[Order Date]])</f>
        <v>2021</v>
      </c>
      <c r="L556" s="7" t="str">
        <f>TEXT(OrganizedData[[#This Row],[Order Date]],"mmm")</f>
        <v>Apr</v>
      </c>
      <c r="M556" s="2">
        <v>86</v>
      </c>
      <c r="N556" s="2" t="s">
        <v>54</v>
      </c>
      <c r="O556" s="2" t="str">
        <f>VLOOKUP(OrganizedData[[#This Row],[Product Code]],ProductData[[Code]:[Item]],2,FALSE)</f>
        <v>Megawidget S</v>
      </c>
      <c r="P556" s="4">
        <f>OrganizedData[[#This Row],[Quantity]]*VLOOKUP(OrganizedData[[#This Row],[Product Code]],ProductData[],4,FALSE)</f>
        <v>2064</v>
      </c>
      <c r="Q556" s="6">
        <f>OrganizedData[[#This Row],[Total Items Ordered]]*VLOOKUP(OrganizedData[[#This Row],[Product Code]],ProductData[],3,FALSE)</f>
        <v>1424.1599999999999</v>
      </c>
      <c r="R5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1352.9519999999998</v>
      </c>
    </row>
    <row r="557" spans="1:18" x14ac:dyDescent="0.3">
      <c r="A557" s="2">
        <v>550</v>
      </c>
      <c r="B557" s="2" t="s">
        <v>2067</v>
      </c>
      <c r="C557" s="2" t="s">
        <v>715</v>
      </c>
      <c r="D557" s="2" t="s">
        <v>15</v>
      </c>
      <c r="E557" s="2" t="s">
        <v>16</v>
      </c>
      <c r="F557" s="2">
        <v>60</v>
      </c>
      <c r="G557" s="2" t="s">
        <v>2068</v>
      </c>
      <c r="H557" s="2" t="s">
        <v>2069</v>
      </c>
      <c r="I557" s="2" t="s">
        <v>1035</v>
      </c>
      <c r="J557" s="3">
        <v>44850</v>
      </c>
      <c r="K557" s="5">
        <f>YEAR(OrganizedData[[#This Row],[Order Date]])</f>
        <v>2022</v>
      </c>
      <c r="L557" s="7" t="str">
        <f>TEXT(OrganizedData[[#This Row],[Order Date]],"mmm")</f>
        <v>Oct</v>
      </c>
      <c r="M557" s="2">
        <v>37</v>
      </c>
      <c r="N557" s="2" t="s">
        <v>80</v>
      </c>
      <c r="O557" s="2" t="str">
        <f>VLOOKUP(OrganizedData[[#This Row],[Product Code]],ProductData[[Code]:[Item]],2,FALSE)</f>
        <v>Ultrathing V2</v>
      </c>
      <c r="P557" s="4">
        <f>OrganizedData[[#This Row],[Quantity]]*VLOOKUP(OrganizedData[[#This Row],[Product Code]],ProductData[],4,FALSE)</f>
        <v>740</v>
      </c>
      <c r="Q557" s="6">
        <f>OrganizedData[[#This Row],[Total Items Ordered]]*VLOOKUP(OrganizedData[[#This Row],[Product Code]],ProductData[],3,FALSE)</f>
        <v>2183</v>
      </c>
      <c r="R5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558" spans="1:18" x14ac:dyDescent="0.3">
      <c r="A558" s="2">
        <v>551</v>
      </c>
      <c r="B558" s="2" t="s">
        <v>2070</v>
      </c>
      <c r="C558" s="2" t="s">
        <v>2071</v>
      </c>
      <c r="D558" s="2" t="s">
        <v>51</v>
      </c>
      <c r="E558" s="2" t="s">
        <v>16</v>
      </c>
      <c r="F558" s="2">
        <v>60</v>
      </c>
      <c r="G558" s="2" t="s">
        <v>2068</v>
      </c>
      <c r="H558" s="2" t="s">
        <v>2072</v>
      </c>
      <c r="I558" s="2" t="s">
        <v>32</v>
      </c>
      <c r="J558" s="3">
        <v>44085</v>
      </c>
      <c r="K558" s="5">
        <f>YEAR(OrganizedData[[#This Row],[Order Date]])</f>
        <v>2020</v>
      </c>
      <c r="L558" s="7" t="str">
        <f>TEXT(OrganizedData[[#This Row],[Order Date]],"mmm")</f>
        <v>Sep</v>
      </c>
      <c r="M558" s="2">
        <v>63</v>
      </c>
      <c r="N558" s="2" t="s">
        <v>101</v>
      </c>
      <c r="O558" s="2" t="str">
        <f>VLOOKUP(OrganizedData[[#This Row],[Product Code]],ProductData[[Code]:[Item]],2,FALSE)</f>
        <v>Superwossname</v>
      </c>
      <c r="P558" s="4">
        <f>OrganizedData[[#This Row],[Quantity]]*VLOOKUP(OrganizedData[[#This Row],[Product Code]],ProductData[],4,FALSE)</f>
        <v>1260</v>
      </c>
      <c r="Q558" s="6">
        <f>OrganizedData[[#This Row],[Total Items Ordered]]*VLOOKUP(OrganizedData[[#This Row],[Product Code]],ProductData[],3,FALSE)</f>
        <v>4397.4000000000005</v>
      </c>
      <c r="R5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559" spans="1:18" x14ac:dyDescent="0.3">
      <c r="A559" s="2">
        <v>552</v>
      </c>
      <c r="B559" s="2" t="s">
        <v>2073</v>
      </c>
      <c r="C559" s="2" t="s">
        <v>2074</v>
      </c>
      <c r="D559" s="2" t="s">
        <v>28</v>
      </c>
      <c r="E559" s="2" t="s">
        <v>29</v>
      </c>
      <c r="F559" s="2">
        <v>30</v>
      </c>
      <c r="G559" s="2" t="s">
        <v>2075</v>
      </c>
      <c r="H559" s="2" t="s">
        <v>2076</v>
      </c>
      <c r="I559" s="2" t="s">
        <v>2077</v>
      </c>
      <c r="J559" s="3">
        <v>44521</v>
      </c>
      <c r="K559" s="5">
        <f>YEAR(OrganizedData[[#This Row],[Order Date]])</f>
        <v>2021</v>
      </c>
      <c r="L559" s="7" t="str">
        <f>TEXT(OrganizedData[[#This Row],[Order Date]],"mmm")</f>
        <v>Nov</v>
      </c>
      <c r="M559" s="2">
        <v>43</v>
      </c>
      <c r="N559" s="2" t="s">
        <v>70</v>
      </c>
      <c r="O559" s="2" t="str">
        <f>VLOOKUP(OrganizedData[[#This Row],[Product Code]],ProductData[[Code]:[Item]],2,FALSE)</f>
        <v>Megawidget M</v>
      </c>
      <c r="P559" s="4">
        <f>OrganizedData[[#This Row],[Quantity]]*VLOOKUP(OrganizedData[[#This Row],[Product Code]],ProductData[],4,FALSE)</f>
        <v>1032</v>
      </c>
      <c r="Q559" s="6">
        <f>OrganizedData[[#This Row],[Total Items Ordered]]*VLOOKUP(OrganizedData[[#This Row],[Product Code]],ProductData[],3,FALSE)</f>
        <v>1331.28</v>
      </c>
      <c r="R5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560" spans="1:18" x14ac:dyDescent="0.3">
      <c r="A560" s="2">
        <v>553</v>
      </c>
      <c r="B560" s="2" t="s">
        <v>2078</v>
      </c>
      <c r="C560" s="2" t="s">
        <v>1656</v>
      </c>
      <c r="D560" s="2" t="s">
        <v>28</v>
      </c>
      <c r="E560" s="2" t="s">
        <v>29</v>
      </c>
      <c r="F560" s="2">
        <v>60</v>
      </c>
      <c r="G560" s="2" t="s">
        <v>2079</v>
      </c>
      <c r="H560" s="2" t="s">
        <v>2080</v>
      </c>
      <c r="I560" s="2" t="s">
        <v>124</v>
      </c>
      <c r="J560" s="3">
        <v>44162</v>
      </c>
      <c r="K560" s="5">
        <f>YEAR(OrganizedData[[#This Row],[Order Date]])</f>
        <v>2020</v>
      </c>
      <c r="L560" s="7" t="str">
        <f>TEXT(OrganizedData[[#This Row],[Order Date]],"mmm")</f>
        <v>Nov</v>
      </c>
      <c r="M560" s="2">
        <v>57</v>
      </c>
      <c r="N560" s="2" t="s">
        <v>33</v>
      </c>
      <c r="O560" s="2" t="str">
        <f>VLOOKUP(OrganizedData[[#This Row],[Product Code]],ProductData[[Code]:[Item]],2,FALSE)</f>
        <v>Megawidget L</v>
      </c>
      <c r="P560" s="4">
        <f>OrganizedData[[#This Row],[Quantity]]*VLOOKUP(OrganizedData[[#This Row],[Product Code]],ProductData[],4,FALSE)</f>
        <v>1368</v>
      </c>
      <c r="Q560" s="6">
        <f>OrganizedData[[#This Row],[Total Items Ordered]]*VLOOKUP(OrganizedData[[#This Row],[Product Code]],ProductData[],3,FALSE)</f>
        <v>2448.7200000000003</v>
      </c>
      <c r="R5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2326.2840000000001</v>
      </c>
    </row>
    <row r="561" spans="1:18" x14ac:dyDescent="0.3">
      <c r="A561" s="2">
        <v>554</v>
      </c>
      <c r="B561" s="2" t="s">
        <v>2081</v>
      </c>
      <c r="C561" s="2" t="s">
        <v>2082</v>
      </c>
      <c r="D561" s="2" t="s">
        <v>15</v>
      </c>
      <c r="E561" s="2" t="s">
        <v>16</v>
      </c>
      <c r="F561" s="2">
        <v>90</v>
      </c>
      <c r="G561" s="2" t="s">
        <v>2083</v>
      </c>
      <c r="H561" s="2" t="s">
        <v>2084</v>
      </c>
      <c r="I561" s="2" t="s">
        <v>294</v>
      </c>
      <c r="J561" s="3">
        <v>44621</v>
      </c>
      <c r="K561" s="5">
        <f>YEAR(OrganizedData[[#This Row],[Order Date]])</f>
        <v>2022</v>
      </c>
      <c r="L561" s="7" t="str">
        <f>TEXT(OrganizedData[[#This Row],[Order Date]],"mmm")</f>
        <v>Mar</v>
      </c>
      <c r="M561" s="2">
        <v>25</v>
      </c>
      <c r="N561" s="2" t="s">
        <v>33</v>
      </c>
      <c r="O561" s="2" t="str">
        <f>VLOOKUP(OrganizedData[[#This Row],[Product Code]],ProductData[[Code]:[Item]],2,FALSE)</f>
        <v>Megawidget L</v>
      </c>
      <c r="P561" s="4">
        <f>OrganizedData[[#This Row],[Quantity]]*VLOOKUP(OrganizedData[[#This Row],[Product Code]],ProductData[],4,FALSE)</f>
        <v>600</v>
      </c>
      <c r="Q561" s="6">
        <f>OrganizedData[[#This Row],[Total Items Ordered]]*VLOOKUP(OrganizedData[[#This Row],[Product Code]],ProductData[],3,FALSE)</f>
        <v>1074</v>
      </c>
      <c r="R5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1041.78</v>
      </c>
    </row>
    <row r="562" spans="1:18" x14ac:dyDescent="0.3">
      <c r="A562" s="2">
        <v>555</v>
      </c>
      <c r="B562" s="2" t="s">
        <v>1147</v>
      </c>
      <c r="C562" s="2" t="s">
        <v>367</v>
      </c>
      <c r="D562" s="2" t="s">
        <v>28</v>
      </c>
      <c r="E562" s="2" t="s">
        <v>29</v>
      </c>
      <c r="F562" s="2">
        <v>90</v>
      </c>
      <c r="G562" s="2" t="s">
        <v>2085</v>
      </c>
      <c r="H562" s="2" t="s">
        <v>405</v>
      </c>
      <c r="I562" s="2" t="s">
        <v>32</v>
      </c>
      <c r="J562" s="3">
        <v>44815</v>
      </c>
      <c r="K562" s="5">
        <f>YEAR(OrganizedData[[#This Row],[Order Date]])</f>
        <v>2022</v>
      </c>
      <c r="L562" s="7" t="str">
        <f>TEXT(OrganizedData[[#This Row],[Order Date]],"mmm")</f>
        <v>Sep</v>
      </c>
      <c r="M562" s="2">
        <v>59</v>
      </c>
      <c r="N562" s="2" t="s">
        <v>39</v>
      </c>
      <c r="O562" s="2" t="str">
        <f>VLOOKUP(OrganizedData[[#This Row],[Product Code]],ProductData[[Code]:[Item]],2,FALSE)</f>
        <v>Ultrathing V1</v>
      </c>
      <c r="P562" s="4">
        <f>OrganizedData[[#This Row],[Quantity]]*VLOOKUP(OrganizedData[[#This Row],[Product Code]],ProductData[],4,FALSE)</f>
        <v>1003</v>
      </c>
      <c r="Q562" s="6">
        <f>OrganizedData[[#This Row],[Total Items Ordered]]*VLOOKUP(OrganizedData[[#This Row],[Product Code]],ProductData[],3,FALSE)</f>
        <v>1795.3700000000001</v>
      </c>
      <c r="R5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1705.6015</v>
      </c>
    </row>
    <row r="563" spans="1:18" x14ac:dyDescent="0.3">
      <c r="A563" s="2">
        <v>556</v>
      </c>
      <c r="B563" s="2" t="s">
        <v>2086</v>
      </c>
      <c r="C563" s="2" t="s">
        <v>1554</v>
      </c>
      <c r="D563" s="2" t="s">
        <v>28</v>
      </c>
      <c r="E563" s="2" t="s">
        <v>29</v>
      </c>
      <c r="F563" s="2">
        <v>90</v>
      </c>
      <c r="G563" s="2" t="s">
        <v>2087</v>
      </c>
      <c r="H563" s="2" t="s">
        <v>579</v>
      </c>
      <c r="I563" s="2" t="s">
        <v>32</v>
      </c>
      <c r="J563" s="3">
        <v>44559</v>
      </c>
      <c r="K563" s="5">
        <f>YEAR(OrganizedData[[#This Row],[Order Date]])</f>
        <v>2021</v>
      </c>
      <c r="L563" s="7" t="str">
        <f>TEXT(OrganizedData[[#This Row],[Order Date]],"mmm")</f>
        <v>Dec</v>
      </c>
      <c r="M563" s="2">
        <v>65</v>
      </c>
      <c r="N563" s="2" t="s">
        <v>159</v>
      </c>
      <c r="O563" s="2" t="str">
        <f>VLOOKUP(OrganizedData[[#This Row],[Product Code]],ProductData[[Code]:[Item]],2,FALSE)</f>
        <v>Ultrathing V3</v>
      </c>
      <c r="P563" s="4">
        <f>OrganizedData[[#This Row],[Quantity]]*VLOOKUP(OrganizedData[[#This Row],[Product Code]],ProductData[],4,FALSE)</f>
        <v>1560</v>
      </c>
      <c r="Q563" s="6">
        <f>OrganizedData[[#This Row],[Total Items Ordered]]*VLOOKUP(OrganizedData[[#This Row],[Product Code]],ProductData[],3,FALSE)</f>
        <v>5288.4000000000005</v>
      </c>
      <c r="R5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564" spans="1:18" x14ac:dyDescent="0.3">
      <c r="A564" s="2">
        <v>557</v>
      </c>
      <c r="B564" s="2" t="s">
        <v>2088</v>
      </c>
      <c r="C564" s="2" t="s">
        <v>2089</v>
      </c>
      <c r="D564" s="2" t="s">
        <v>28</v>
      </c>
      <c r="E564" s="2" t="s">
        <v>29</v>
      </c>
      <c r="F564" s="2">
        <v>60</v>
      </c>
      <c r="G564" s="2" t="s">
        <v>2090</v>
      </c>
      <c r="H564" s="2" t="s">
        <v>63</v>
      </c>
      <c r="I564" s="2" t="s">
        <v>32</v>
      </c>
      <c r="J564" s="3">
        <v>44104</v>
      </c>
      <c r="K564" s="5">
        <f>YEAR(OrganizedData[[#This Row],[Order Date]])</f>
        <v>2020</v>
      </c>
      <c r="L564" s="7" t="str">
        <f>TEXT(OrganizedData[[#This Row],[Order Date]],"mmm")</f>
        <v>Sep</v>
      </c>
      <c r="M564" s="2">
        <v>84</v>
      </c>
      <c r="N564" s="2" t="s">
        <v>159</v>
      </c>
      <c r="O564" s="2" t="str">
        <f>VLOOKUP(OrganizedData[[#This Row],[Product Code]],ProductData[[Code]:[Item]],2,FALSE)</f>
        <v>Ultrathing V3</v>
      </c>
      <c r="P564" s="4">
        <f>OrganizedData[[#This Row],[Quantity]]*VLOOKUP(OrganizedData[[#This Row],[Product Code]],ProductData[],4,FALSE)</f>
        <v>2016</v>
      </c>
      <c r="Q564" s="6">
        <f>OrganizedData[[#This Row],[Total Items Ordered]]*VLOOKUP(OrganizedData[[#This Row],[Product Code]],ProductData[],3,FALSE)</f>
        <v>6834.2400000000007</v>
      </c>
      <c r="R5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565" spans="1:18" x14ac:dyDescent="0.3">
      <c r="A565" s="2">
        <v>558</v>
      </c>
      <c r="B565" s="2" t="s">
        <v>1296</v>
      </c>
      <c r="C565" s="2" t="s">
        <v>2091</v>
      </c>
      <c r="D565" s="2" t="s">
        <v>28</v>
      </c>
      <c r="E565" s="2" t="s">
        <v>29</v>
      </c>
      <c r="F565" s="2">
        <v>90</v>
      </c>
      <c r="G565" s="2" t="s">
        <v>2092</v>
      </c>
      <c r="H565" s="2" t="s">
        <v>2093</v>
      </c>
      <c r="I565" s="2" t="s">
        <v>32</v>
      </c>
      <c r="J565" s="3">
        <v>44150</v>
      </c>
      <c r="K565" s="5">
        <f>YEAR(OrganizedData[[#This Row],[Order Date]])</f>
        <v>2020</v>
      </c>
      <c r="L565" s="7" t="str">
        <f>TEXT(OrganizedData[[#This Row],[Order Date]],"mmm")</f>
        <v>Nov</v>
      </c>
      <c r="M565" s="2">
        <v>32</v>
      </c>
      <c r="N565" s="2" t="s">
        <v>101</v>
      </c>
      <c r="O565" s="2" t="str">
        <f>VLOOKUP(OrganizedData[[#This Row],[Product Code]],ProductData[[Code]:[Item]],2,FALSE)</f>
        <v>Superwossname</v>
      </c>
      <c r="P565" s="4">
        <f>OrganizedData[[#This Row],[Quantity]]*VLOOKUP(OrganizedData[[#This Row],[Product Code]],ProductData[],4,FALSE)</f>
        <v>640</v>
      </c>
      <c r="Q565" s="6">
        <f>OrganizedData[[#This Row],[Total Items Ordered]]*VLOOKUP(OrganizedData[[#This Row],[Product Code]],ProductData[],3,FALSE)</f>
        <v>2233.6000000000004</v>
      </c>
      <c r="R5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2166.5920000000001</v>
      </c>
    </row>
    <row r="566" spans="1:18" x14ac:dyDescent="0.3">
      <c r="A566" s="2">
        <v>559</v>
      </c>
      <c r="B566" s="2" t="s">
        <v>2094</v>
      </c>
      <c r="C566" s="2" t="s">
        <v>2095</v>
      </c>
      <c r="D566" s="2" t="s">
        <v>51</v>
      </c>
      <c r="E566" s="2" t="s">
        <v>16</v>
      </c>
      <c r="F566" s="2">
        <v>30</v>
      </c>
      <c r="G566" s="2" t="s">
        <v>2096</v>
      </c>
      <c r="H566" s="2" t="s">
        <v>2097</v>
      </c>
      <c r="I566" s="2" t="s">
        <v>178</v>
      </c>
      <c r="J566" s="3">
        <v>44414</v>
      </c>
      <c r="K566" s="5">
        <f>YEAR(OrganizedData[[#This Row],[Order Date]])</f>
        <v>2021</v>
      </c>
      <c r="L566" s="7" t="str">
        <f>TEXT(OrganizedData[[#This Row],[Order Date]],"mmm")</f>
        <v>Aug</v>
      </c>
      <c r="M566" s="2">
        <v>16</v>
      </c>
      <c r="N566" s="2" t="s">
        <v>33</v>
      </c>
      <c r="O566" s="2" t="str">
        <f>VLOOKUP(OrganizedData[[#This Row],[Product Code]],ProductData[[Code]:[Item]],2,FALSE)</f>
        <v>Megawidget L</v>
      </c>
      <c r="P566" s="4">
        <f>OrganizedData[[#This Row],[Quantity]]*VLOOKUP(OrganizedData[[#This Row],[Product Code]],ProductData[],4,FALSE)</f>
        <v>384</v>
      </c>
      <c r="Q566" s="6">
        <f>OrganizedData[[#This Row],[Total Items Ordered]]*VLOOKUP(OrganizedData[[#This Row],[Product Code]],ProductData[],3,FALSE)</f>
        <v>687.36</v>
      </c>
      <c r="R5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567" spans="1:18" x14ac:dyDescent="0.3">
      <c r="A567" s="2">
        <v>560</v>
      </c>
      <c r="B567" s="2" t="s">
        <v>2098</v>
      </c>
      <c r="C567" s="2" t="s">
        <v>629</v>
      </c>
      <c r="D567" s="2" t="s">
        <v>28</v>
      </c>
      <c r="E567" s="2" t="s">
        <v>29</v>
      </c>
      <c r="F567" s="2">
        <v>90</v>
      </c>
      <c r="G567" s="2" t="s">
        <v>2099</v>
      </c>
      <c r="H567" s="2" t="s">
        <v>2100</v>
      </c>
      <c r="I567" s="2" t="s">
        <v>819</v>
      </c>
      <c r="J567" s="3">
        <v>44524</v>
      </c>
      <c r="K567" s="5">
        <f>YEAR(OrganizedData[[#This Row],[Order Date]])</f>
        <v>2021</v>
      </c>
      <c r="L567" s="7" t="str">
        <f>TEXT(OrganizedData[[#This Row],[Order Date]],"mmm")</f>
        <v>Nov</v>
      </c>
      <c r="M567" s="2">
        <v>33</v>
      </c>
      <c r="N567" s="2" t="s">
        <v>54</v>
      </c>
      <c r="O567" s="2" t="str">
        <f>VLOOKUP(OrganizedData[[#This Row],[Product Code]],ProductData[[Code]:[Item]],2,FALSE)</f>
        <v>Megawidget S</v>
      </c>
      <c r="P567" s="4">
        <f>OrganizedData[[#This Row],[Quantity]]*VLOOKUP(OrganizedData[[#This Row],[Product Code]],ProductData[],4,FALSE)</f>
        <v>792</v>
      </c>
      <c r="Q567" s="6">
        <f>OrganizedData[[#This Row],[Total Items Ordered]]*VLOOKUP(OrganizedData[[#This Row],[Product Code]],ProductData[],3,FALSE)</f>
        <v>546.4799999999999</v>
      </c>
      <c r="R5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568" spans="1:18" x14ac:dyDescent="0.3">
      <c r="A568" s="2">
        <v>561</v>
      </c>
      <c r="B568" s="2" t="s">
        <v>2101</v>
      </c>
      <c r="C568" s="2" t="s">
        <v>705</v>
      </c>
      <c r="D568" s="2" t="s">
        <v>28</v>
      </c>
      <c r="E568" s="2" t="s">
        <v>29</v>
      </c>
      <c r="F568" s="2">
        <v>90</v>
      </c>
      <c r="G568" s="2" t="s">
        <v>2102</v>
      </c>
      <c r="H568" s="2" t="s">
        <v>498</v>
      </c>
      <c r="I568" s="2" t="s">
        <v>32</v>
      </c>
      <c r="J568" s="3">
        <v>44795</v>
      </c>
      <c r="K568" s="5">
        <f>YEAR(OrganizedData[[#This Row],[Order Date]])</f>
        <v>2022</v>
      </c>
      <c r="L568" s="7" t="str">
        <f>TEXT(OrganizedData[[#This Row],[Order Date]],"mmm")</f>
        <v>Aug</v>
      </c>
      <c r="M568" s="2">
        <v>44</v>
      </c>
      <c r="N568" s="2" t="s">
        <v>101</v>
      </c>
      <c r="O568" s="2" t="str">
        <f>VLOOKUP(OrganizedData[[#This Row],[Product Code]],ProductData[[Code]:[Item]],2,FALSE)</f>
        <v>Superwossname</v>
      </c>
      <c r="P568" s="4">
        <f>OrganizedData[[#This Row],[Quantity]]*VLOOKUP(OrganizedData[[#This Row],[Product Code]],ProductData[],4,FALSE)</f>
        <v>880</v>
      </c>
      <c r="Q568" s="6">
        <f>OrganizedData[[#This Row],[Total Items Ordered]]*VLOOKUP(OrganizedData[[#This Row],[Product Code]],ProductData[],3,FALSE)</f>
        <v>3071.2000000000003</v>
      </c>
      <c r="R5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569" spans="1:18" x14ac:dyDescent="0.3">
      <c r="A569" s="2">
        <v>562</v>
      </c>
      <c r="B569" s="2" t="s">
        <v>2103</v>
      </c>
      <c r="C569" s="2" t="s">
        <v>589</v>
      </c>
      <c r="D569" s="2" t="s">
        <v>51</v>
      </c>
      <c r="E569" s="2" t="s">
        <v>16</v>
      </c>
      <c r="F569" s="2">
        <v>60</v>
      </c>
      <c r="G569" s="2" t="s">
        <v>2104</v>
      </c>
      <c r="H569" s="2" t="s">
        <v>2105</v>
      </c>
      <c r="I569" s="2" t="s">
        <v>110</v>
      </c>
      <c r="J569" s="3">
        <v>44320</v>
      </c>
      <c r="K569" s="5">
        <f>YEAR(OrganizedData[[#This Row],[Order Date]])</f>
        <v>2021</v>
      </c>
      <c r="L569" s="7" t="str">
        <f>TEXT(OrganizedData[[#This Row],[Order Date]],"mmm")</f>
        <v>May</v>
      </c>
      <c r="M569" s="2">
        <v>88</v>
      </c>
      <c r="N569" s="2" t="s">
        <v>159</v>
      </c>
      <c r="O569" s="2" t="str">
        <f>VLOOKUP(OrganizedData[[#This Row],[Product Code]],ProductData[[Code]:[Item]],2,FALSE)</f>
        <v>Ultrathing V3</v>
      </c>
      <c r="P569" s="4">
        <f>OrganizedData[[#This Row],[Quantity]]*VLOOKUP(OrganizedData[[#This Row],[Product Code]],ProductData[],4,FALSE)</f>
        <v>2112</v>
      </c>
      <c r="Q569" s="6">
        <f>OrganizedData[[#This Row],[Total Items Ordered]]*VLOOKUP(OrganizedData[[#This Row],[Product Code]],ProductData[],3,FALSE)</f>
        <v>7159.68</v>
      </c>
      <c r="R5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6801.6959999999999</v>
      </c>
    </row>
    <row r="570" spans="1:18" x14ac:dyDescent="0.3">
      <c r="A570" s="2">
        <v>563</v>
      </c>
      <c r="B570" s="2" t="s">
        <v>2106</v>
      </c>
      <c r="C570" s="2" t="s">
        <v>2107</v>
      </c>
      <c r="D570" s="2" t="s">
        <v>28</v>
      </c>
      <c r="E570" s="2" t="s">
        <v>29</v>
      </c>
      <c r="F570" s="2">
        <v>60</v>
      </c>
      <c r="G570" s="2" t="s">
        <v>2108</v>
      </c>
      <c r="H570" s="2" t="s">
        <v>2109</v>
      </c>
      <c r="I570" s="2" t="s">
        <v>32</v>
      </c>
      <c r="J570" s="3">
        <v>44674</v>
      </c>
      <c r="K570" s="5">
        <f>YEAR(OrganizedData[[#This Row],[Order Date]])</f>
        <v>2022</v>
      </c>
      <c r="L570" s="7" t="str">
        <f>TEXT(OrganizedData[[#This Row],[Order Date]],"mmm")</f>
        <v>Apr</v>
      </c>
      <c r="M570" s="2">
        <v>70</v>
      </c>
      <c r="N570" s="2" t="s">
        <v>101</v>
      </c>
      <c r="O570" s="2" t="str">
        <f>VLOOKUP(OrganizedData[[#This Row],[Product Code]],ProductData[[Code]:[Item]],2,FALSE)</f>
        <v>Superwossname</v>
      </c>
      <c r="P570" s="4">
        <f>OrganizedData[[#This Row],[Quantity]]*VLOOKUP(OrganizedData[[#This Row],[Product Code]],ProductData[],4,FALSE)</f>
        <v>1400</v>
      </c>
      <c r="Q570" s="6">
        <f>OrganizedData[[#This Row],[Total Items Ordered]]*VLOOKUP(OrganizedData[[#This Row],[Product Code]],ProductData[],3,FALSE)</f>
        <v>4886</v>
      </c>
      <c r="R5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4641.7</v>
      </c>
    </row>
    <row r="571" spans="1:18" x14ac:dyDescent="0.3">
      <c r="A571" s="2">
        <v>564</v>
      </c>
      <c r="B571" s="2" t="s">
        <v>2110</v>
      </c>
      <c r="C571" s="2" t="s">
        <v>1703</v>
      </c>
      <c r="D571" s="2" t="s">
        <v>28</v>
      </c>
      <c r="E571" s="2" t="s">
        <v>29</v>
      </c>
      <c r="F571" s="2">
        <v>60</v>
      </c>
      <c r="G571" s="2" t="s">
        <v>2111</v>
      </c>
      <c r="H571" s="2" t="s">
        <v>48</v>
      </c>
      <c r="I571" s="2" t="s">
        <v>25</v>
      </c>
      <c r="J571" s="3">
        <v>44785</v>
      </c>
      <c r="K571" s="5">
        <f>YEAR(OrganizedData[[#This Row],[Order Date]])</f>
        <v>2022</v>
      </c>
      <c r="L571" s="7" t="str">
        <f>TEXT(OrganizedData[[#This Row],[Order Date]],"mmm")</f>
        <v>Aug</v>
      </c>
      <c r="M571" s="2">
        <v>42</v>
      </c>
      <c r="N571" s="2" t="s">
        <v>33</v>
      </c>
      <c r="O571" s="2" t="str">
        <f>VLOOKUP(OrganizedData[[#This Row],[Product Code]],ProductData[[Code]:[Item]],2,FALSE)</f>
        <v>Megawidget L</v>
      </c>
      <c r="P571" s="4">
        <f>OrganizedData[[#This Row],[Quantity]]*VLOOKUP(OrganizedData[[#This Row],[Product Code]],ProductData[],4,FALSE)</f>
        <v>1008</v>
      </c>
      <c r="Q571" s="6">
        <f>OrganizedData[[#This Row],[Total Items Ordered]]*VLOOKUP(OrganizedData[[#This Row],[Product Code]],ProductData[],3,FALSE)</f>
        <v>1804.32</v>
      </c>
      <c r="R5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572" spans="1:18" x14ac:dyDescent="0.3">
      <c r="A572" s="2">
        <v>565</v>
      </c>
      <c r="B572" s="2" t="s">
        <v>2112</v>
      </c>
      <c r="C572" s="2" t="s">
        <v>2113</v>
      </c>
      <c r="D572" s="2" t="s">
        <v>51</v>
      </c>
      <c r="E572" s="2" t="s">
        <v>16</v>
      </c>
      <c r="F572" s="2">
        <v>90</v>
      </c>
      <c r="G572" s="2" t="s">
        <v>2114</v>
      </c>
      <c r="H572" s="2" t="s">
        <v>105</v>
      </c>
      <c r="I572" s="2" t="s">
        <v>32</v>
      </c>
      <c r="J572" s="3">
        <v>44894</v>
      </c>
      <c r="K572" s="5">
        <f>YEAR(OrganizedData[[#This Row],[Order Date]])</f>
        <v>2022</v>
      </c>
      <c r="L572" s="7" t="str">
        <f>TEXT(OrganizedData[[#This Row],[Order Date]],"mmm")</f>
        <v>Nov</v>
      </c>
      <c r="M572" s="2">
        <v>100</v>
      </c>
      <c r="N572" s="2" t="s">
        <v>54</v>
      </c>
      <c r="O572" s="2" t="str">
        <f>VLOOKUP(OrganizedData[[#This Row],[Product Code]],ProductData[[Code]:[Item]],2,FALSE)</f>
        <v>Megawidget S</v>
      </c>
      <c r="P572" s="4">
        <f>OrganizedData[[#This Row],[Quantity]]*VLOOKUP(OrganizedData[[#This Row],[Product Code]],ProductData[],4,FALSE)</f>
        <v>2400</v>
      </c>
      <c r="Q572" s="6">
        <f>OrganizedData[[#This Row],[Total Items Ordered]]*VLOOKUP(OrganizedData[[#This Row],[Product Code]],ProductData[],3,FALSE)</f>
        <v>1655.9999999999998</v>
      </c>
      <c r="R5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1573.1999999999998</v>
      </c>
    </row>
    <row r="573" spans="1:18" x14ac:dyDescent="0.3">
      <c r="A573" s="2">
        <v>566</v>
      </c>
      <c r="B573" s="2" t="s">
        <v>2115</v>
      </c>
      <c r="C573" s="2" t="s">
        <v>1596</v>
      </c>
      <c r="D573" s="2" t="s">
        <v>117</v>
      </c>
      <c r="E573" s="2" t="s">
        <v>29</v>
      </c>
      <c r="F573" s="2">
        <v>90</v>
      </c>
      <c r="G573" s="2" t="s">
        <v>2116</v>
      </c>
      <c r="H573" s="2" t="s">
        <v>2117</v>
      </c>
      <c r="I573" s="2" t="s">
        <v>886</v>
      </c>
      <c r="J573" s="3">
        <v>43921</v>
      </c>
      <c r="K573" s="5">
        <f>YEAR(OrganizedData[[#This Row],[Order Date]])</f>
        <v>2020</v>
      </c>
      <c r="L573" s="7" t="str">
        <f>TEXT(OrganizedData[[#This Row],[Order Date]],"mmm")</f>
        <v>Mar</v>
      </c>
      <c r="M573" s="2">
        <v>65</v>
      </c>
      <c r="N573" s="2" t="s">
        <v>80</v>
      </c>
      <c r="O573" s="2" t="str">
        <f>VLOOKUP(OrganizedData[[#This Row],[Product Code]],ProductData[[Code]:[Item]],2,FALSE)</f>
        <v>Ultrathing V2</v>
      </c>
      <c r="P573" s="4">
        <f>OrganizedData[[#This Row],[Quantity]]*VLOOKUP(OrganizedData[[#This Row],[Product Code]],ProductData[],4,FALSE)</f>
        <v>1300</v>
      </c>
      <c r="Q573" s="6">
        <f>OrganizedData[[#This Row],[Total Items Ordered]]*VLOOKUP(OrganizedData[[#This Row],[Product Code]],ProductData[],3,FALSE)</f>
        <v>3835.0000000000005</v>
      </c>
      <c r="R5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3643.2500000000005</v>
      </c>
    </row>
    <row r="574" spans="1:18" x14ac:dyDescent="0.3">
      <c r="A574" s="2">
        <v>567</v>
      </c>
      <c r="B574" s="2" t="s">
        <v>2118</v>
      </c>
      <c r="C574" s="2" t="s">
        <v>2119</v>
      </c>
      <c r="D574" s="2" t="s">
        <v>28</v>
      </c>
      <c r="E574" s="2" t="s">
        <v>29</v>
      </c>
      <c r="F574" s="2">
        <v>30</v>
      </c>
      <c r="G574" s="2" t="s">
        <v>2120</v>
      </c>
      <c r="H574" s="2" t="s">
        <v>2121</v>
      </c>
      <c r="I574" s="2" t="s">
        <v>38</v>
      </c>
      <c r="J574" s="3">
        <v>44427</v>
      </c>
      <c r="K574" s="5">
        <f>YEAR(OrganizedData[[#This Row],[Order Date]])</f>
        <v>2021</v>
      </c>
      <c r="L574" s="7" t="str">
        <f>TEXT(OrganizedData[[#This Row],[Order Date]],"mmm")</f>
        <v>Aug</v>
      </c>
      <c r="M574" s="2">
        <v>7</v>
      </c>
      <c r="N574" s="2" t="s">
        <v>45</v>
      </c>
      <c r="O574" s="2" t="str">
        <f>VLOOKUP(OrganizedData[[#This Row],[Product Code]],ProductData[[Code]:[Item]],2,FALSE)</f>
        <v>Gigastuff</v>
      </c>
      <c r="P574" s="4">
        <f>OrganizedData[[#This Row],[Quantity]]*VLOOKUP(OrganizedData[[#This Row],[Product Code]],ProductData[],4,FALSE)</f>
        <v>126</v>
      </c>
      <c r="Q574" s="6">
        <f>OrganizedData[[#This Row],[Total Items Ordered]]*VLOOKUP(OrganizedData[[#This Row],[Product Code]],ProductData[],3,FALSE)</f>
        <v>238.14</v>
      </c>
      <c r="R5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575" spans="1:18" x14ac:dyDescent="0.3">
      <c r="A575" s="2">
        <v>568</v>
      </c>
      <c r="B575" s="2" t="s">
        <v>1423</v>
      </c>
      <c r="C575" s="2" t="s">
        <v>139</v>
      </c>
      <c r="D575" s="2" t="s">
        <v>51</v>
      </c>
      <c r="E575" s="2" t="s">
        <v>16</v>
      </c>
      <c r="F575" s="2">
        <v>90</v>
      </c>
      <c r="G575" s="2" t="s">
        <v>2122</v>
      </c>
      <c r="H575" s="2" t="s">
        <v>2123</v>
      </c>
      <c r="I575" s="2" t="s">
        <v>187</v>
      </c>
      <c r="J575" s="3">
        <v>44463</v>
      </c>
      <c r="K575" s="5">
        <f>YEAR(OrganizedData[[#This Row],[Order Date]])</f>
        <v>2021</v>
      </c>
      <c r="L575" s="7" t="str">
        <f>TEXT(OrganizedData[[#This Row],[Order Date]],"mmm")</f>
        <v>Sep</v>
      </c>
      <c r="M575" s="2">
        <v>46</v>
      </c>
      <c r="N575" s="2" t="s">
        <v>101</v>
      </c>
      <c r="O575" s="2" t="str">
        <f>VLOOKUP(OrganizedData[[#This Row],[Product Code]],ProductData[[Code]:[Item]],2,FALSE)</f>
        <v>Superwossname</v>
      </c>
      <c r="P575" s="4">
        <f>OrganizedData[[#This Row],[Quantity]]*VLOOKUP(OrganizedData[[#This Row],[Product Code]],ProductData[],4,FALSE)</f>
        <v>920</v>
      </c>
      <c r="Q575" s="6">
        <f>OrganizedData[[#This Row],[Total Items Ordered]]*VLOOKUP(OrganizedData[[#This Row],[Product Code]],ProductData[],3,FALSE)</f>
        <v>3210.8</v>
      </c>
      <c r="R5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576" spans="1:18" x14ac:dyDescent="0.3">
      <c r="A576" s="2">
        <v>569</v>
      </c>
      <c r="B576" s="2" t="s">
        <v>2124</v>
      </c>
      <c r="C576" s="2" t="s">
        <v>2125</v>
      </c>
      <c r="D576" s="2" t="s">
        <v>15</v>
      </c>
      <c r="E576" s="2" t="s">
        <v>16</v>
      </c>
      <c r="F576" s="2">
        <v>30</v>
      </c>
      <c r="G576" s="2" t="s">
        <v>10420</v>
      </c>
      <c r="H576" s="2" t="s">
        <v>2127</v>
      </c>
      <c r="I576" s="2" t="s">
        <v>32</v>
      </c>
      <c r="J576" s="3">
        <v>44853</v>
      </c>
      <c r="K576" s="5">
        <f>YEAR(OrganizedData[[#This Row],[Order Date]])</f>
        <v>2022</v>
      </c>
      <c r="L576" s="7" t="str">
        <f>TEXT(OrganizedData[[#This Row],[Order Date]],"mmm")</f>
        <v>Oct</v>
      </c>
      <c r="M576" s="2">
        <v>86</v>
      </c>
      <c r="N576" s="2" t="s">
        <v>64</v>
      </c>
      <c r="O576" s="2" t="str">
        <f>VLOOKUP(OrganizedData[[#This Row],[Product Code]],ProductData[[Code]:[Item]],2,FALSE)</f>
        <v>Ultrathing V4</v>
      </c>
      <c r="P576" s="4">
        <f>OrganizedData[[#This Row],[Quantity]]*VLOOKUP(OrganizedData[[#This Row],[Product Code]],ProductData[],4,FALSE)</f>
        <v>2064</v>
      </c>
      <c r="Q576" s="6">
        <f>OrganizedData[[#This Row],[Total Items Ordered]]*VLOOKUP(OrganizedData[[#This Row],[Product Code]],ProductData[],3,FALSE)</f>
        <v>8235.36</v>
      </c>
      <c r="R5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7823.5920000000006</v>
      </c>
    </row>
    <row r="577" spans="1:18" x14ac:dyDescent="0.3">
      <c r="A577" s="2">
        <v>570</v>
      </c>
      <c r="B577" s="2" t="s">
        <v>2128</v>
      </c>
      <c r="C577" s="2" t="s">
        <v>1496</v>
      </c>
      <c r="D577" s="2" t="s">
        <v>28</v>
      </c>
      <c r="E577" s="2" t="s">
        <v>29</v>
      </c>
      <c r="F577" s="2">
        <v>90</v>
      </c>
      <c r="G577" s="2" t="s">
        <v>2129</v>
      </c>
      <c r="H577" s="2" t="s">
        <v>2130</v>
      </c>
      <c r="I577" s="2" t="s">
        <v>32</v>
      </c>
      <c r="J577" s="3">
        <v>44166</v>
      </c>
      <c r="K577" s="5">
        <f>YEAR(OrganizedData[[#This Row],[Order Date]])</f>
        <v>2020</v>
      </c>
      <c r="L577" s="7" t="str">
        <f>TEXT(OrganizedData[[#This Row],[Order Date]],"mmm")</f>
        <v>Dec</v>
      </c>
      <c r="M577" s="2">
        <v>45</v>
      </c>
      <c r="N577" s="2" t="s">
        <v>39</v>
      </c>
      <c r="O577" s="2" t="str">
        <f>VLOOKUP(OrganizedData[[#This Row],[Product Code]],ProductData[[Code]:[Item]],2,FALSE)</f>
        <v>Ultrathing V1</v>
      </c>
      <c r="P577" s="4">
        <f>OrganizedData[[#This Row],[Quantity]]*VLOOKUP(OrganizedData[[#This Row],[Product Code]],ProductData[],4,FALSE)</f>
        <v>765</v>
      </c>
      <c r="Q577" s="6">
        <f>OrganizedData[[#This Row],[Total Items Ordered]]*VLOOKUP(OrganizedData[[#This Row],[Product Code]],ProductData[],3,FALSE)</f>
        <v>1369.3500000000001</v>
      </c>
      <c r="R5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1328.2695000000001</v>
      </c>
    </row>
    <row r="578" spans="1:18" x14ac:dyDescent="0.3">
      <c r="A578" s="2">
        <v>571</v>
      </c>
      <c r="B578" s="2" t="s">
        <v>2131</v>
      </c>
      <c r="C578" s="2" t="s">
        <v>2132</v>
      </c>
      <c r="D578" s="2" t="s">
        <v>15</v>
      </c>
      <c r="E578" s="2" t="s">
        <v>16</v>
      </c>
      <c r="F578" s="2">
        <v>30</v>
      </c>
      <c r="G578" s="2" t="s">
        <v>2129</v>
      </c>
      <c r="H578" s="2" t="s">
        <v>2133</v>
      </c>
      <c r="I578" s="2" t="s">
        <v>32</v>
      </c>
      <c r="J578" s="3">
        <v>44762</v>
      </c>
      <c r="K578" s="5">
        <f>YEAR(OrganizedData[[#This Row],[Order Date]])</f>
        <v>2022</v>
      </c>
      <c r="L578" s="7" t="str">
        <f>TEXT(OrganizedData[[#This Row],[Order Date]],"mmm")</f>
        <v>Jul</v>
      </c>
      <c r="M578" s="2">
        <v>15</v>
      </c>
      <c r="N578" s="2" t="s">
        <v>64</v>
      </c>
      <c r="O578" s="2" t="str">
        <f>VLOOKUP(OrganizedData[[#This Row],[Product Code]],ProductData[[Code]:[Item]],2,FALSE)</f>
        <v>Ultrathing V4</v>
      </c>
      <c r="P578" s="4">
        <f>OrganizedData[[#This Row],[Quantity]]*VLOOKUP(OrganizedData[[#This Row],[Product Code]],ProductData[],4,FALSE)</f>
        <v>360</v>
      </c>
      <c r="Q578" s="6">
        <f>OrganizedData[[#This Row],[Total Items Ordered]]*VLOOKUP(OrganizedData[[#This Row],[Product Code]],ProductData[],3,FALSE)</f>
        <v>1436.4</v>
      </c>
      <c r="R5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1436.4</v>
      </c>
    </row>
    <row r="579" spans="1:18" x14ac:dyDescent="0.3">
      <c r="A579" s="2">
        <v>572</v>
      </c>
      <c r="B579" s="2" t="s">
        <v>2134</v>
      </c>
      <c r="C579" s="2" t="s">
        <v>2135</v>
      </c>
      <c r="D579" s="2" t="s">
        <v>15</v>
      </c>
      <c r="E579" s="2" t="s">
        <v>16</v>
      </c>
      <c r="F579" s="2">
        <v>30</v>
      </c>
      <c r="G579" s="2" t="s">
        <v>2136</v>
      </c>
      <c r="H579" s="2" t="s">
        <v>2137</v>
      </c>
      <c r="I579" s="2" t="s">
        <v>187</v>
      </c>
      <c r="J579" s="3">
        <v>44860</v>
      </c>
      <c r="K579" s="5">
        <f>YEAR(OrganizedData[[#This Row],[Order Date]])</f>
        <v>2022</v>
      </c>
      <c r="L579" s="7" t="str">
        <f>TEXT(OrganizedData[[#This Row],[Order Date]],"mmm")</f>
        <v>Oct</v>
      </c>
      <c r="M579" s="2">
        <v>103</v>
      </c>
      <c r="N579" s="2" t="s">
        <v>20</v>
      </c>
      <c r="O579" s="2" t="str">
        <f>VLOOKUP(OrganizedData[[#This Row],[Product Code]],ProductData[[Code]:[Item]],2,FALSE)</f>
        <v>Hyperwotsit</v>
      </c>
      <c r="P579" s="4">
        <f>OrganizedData[[#This Row],[Quantity]]*VLOOKUP(OrganizedData[[#This Row],[Product Code]],ProductData[],4,FALSE)</f>
        <v>2060</v>
      </c>
      <c r="Q579" s="6">
        <f>OrganizedData[[#This Row],[Total Items Ordered]]*VLOOKUP(OrganizedData[[#This Row],[Product Code]],ProductData[],3,FALSE)</f>
        <v>4140.5999999999995</v>
      </c>
      <c r="R5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3850.7579999999998</v>
      </c>
    </row>
    <row r="580" spans="1:18" x14ac:dyDescent="0.3">
      <c r="A580" s="2">
        <v>573</v>
      </c>
      <c r="B580" s="2" t="s">
        <v>2138</v>
      </c>
      <c r="C580" s="2" t="s">
        <v>2139</v>
      </c>
      <c r="D580" s="2" t="s">
        <v>28</v>
      </c>
      <c r="E580" s="2" t="s">
        <v>29</v>
      </c>
      <c r="F580" s="2">
        <v>60</v>
      </c>
      <c r="G580" s="2" t="s">
        <v>2140</v>
      </c>
      <c r="H580" s="2" t="s">
        <v>2141</v>
      </c>
      <c r="I580" s="2" t="s">
        <v>1078</v>
      </c>
      <c r="J580" s="3">
        <v>43989</v>
      </c>
      <c r="K580" s="5">
        <f>YEAR(OrganizedData[[#This Row],[Order Date]])</f>
        <v>2020</v>
      </c>
      <c r="L580" s="7" t="str">
        <f>TEXT(OrganizedData[[#This Row],[Order Date]],"mmm")</f>
        <v>Jun</v>
      </c>
      <c r="M580" s="2">
        <v>12</v>
      </c>
      <c r="N580" s="2" t="s">
        <v>80</v>
      </c>
      <c r="O580" s="2" t="str">
        <f>VLOOKUP(OrganizedData[[#This Row],[Product Code]],ProductData[[Code]:[Item]],2,FALSE)</f>
        <v>Ultrathing V2</v>
      </c>
      <c r="P580" s="4">
        <f>OrganizedData[[#This Row],[Quantity]]*VLOOKUP(OrganizedData[[#This Row],[Product Code]],ProductData[],4,FALSE)</f>
        <v>240</v>
      </c>
      <c r="Q580" s="6">
        <f>OrganizedData[[#This Row],[Total Items Ordered]]*VLOOKUP(OrganizedData[[#This Row],[Product Code]],ProductData[],3,FALSE)</f>
        <v>708</v>
      </c>
      <c r="R5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v>
      </c>
    </row>
    <row r="581" spans="1:18" x14ac:dyDescent="0.3">
      <c r="A581" s="2">
        <v>574</v>
      </c>
      <c r="B581" s="2" t="s">
        <v>2142</v>
      </c>
      <c r="C581" s="2" t="s">
        <v>2143</v>
      </c>
      <c r="D581" s="2" t="s">
        <v>28</v>
      </c>
      <c r="E581" s="2" t="s">
        <v>29</v>
      </c>
      <c r="F581" s="2">
        <v>30</v>
      </c>
      <c r="G581" s="2" t="s">
        <v>2144</v>
      </c>
      <c r="H581" s="2" t="s">
        <v>1077</v>
      </c>
      <c r="I581" s="2" t="s">
        <v>1078</v>
      </c>
      <c r="J581" s="3">
        <v>43953</v>
      </c>
      <c r="K581" s="5">
        <f>YEAR(OrganizedData[[#This Row],[Order Date]])</f>
        <v>2020</v>
      </c>
      <c r="L581" s="7" t="str">
        <f>TEXT(OrganizedData[[#This Row],[Order Date]],"mmm")</f>
        <v>May</v>
      </c>
      <c r="M581" s="2">
        <v>56</v>
      </c>
      <c r="N581" s="2" t="s">
        <v>101</v>
      </c>
      <c r="O581" s="2" t="str">
        <f>VLOOKUP(OrganizedData[[#This Row],[Product Code]],ProductData[[Code]:[Item]],2,FALSE)</f>
        <v>Superwossname</v>
      </c>
      <c r="P581" s="4">
        <f>OrganizedData[[#This Row],[Quantity]]*VLOOKUP(OrganizedData[[#This Row],[Product Code]],ProductData[],4,FALSE)</f>
        <v>1120</v>
      </c>
      <c r="Q581" s="6">
        <f>OrganizedData[[#This Row],[Total Items Ordered]]*VLOOKUP(OrganizedData[[#This Row],[Product Code]],ProductData[],3,FALSE)</f>
        <v>3908.8</v>
      </c>
      <c r="R5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3713.36</v>
      </c>
    </row>
    <row r="582" spans="1:18" x14ac:dyDescent="0.3">
      <c r="A582" s="2">
        <v>575</v>
      </c>
      <c r="B582" s="2" t="s">
        <v>755</v>
      </c>
      <c r="C582" s="2" t="s">
        <v>2145</v>
      </c>
      <c r="D582" s="2" t="s">
        <v>28</v>
      </c>
      <c r="E582" s="2" t="s">
        <v>29</v>
      </c>
      <c r="F582" s="2">
        <v>30</v>
      </c>
      <c r="G582" s="2" t="s">
        <v>2146</v>
      </c>
      <c r="H582" s="2" t="s">
        <v>1512</v>
      </c>
      <c r="I582" s="2" t="s">
        <v>25</v>
      </c>
      <c r="J582" s="3">
        <v>44726</v>
      </c>
      <c r="K582" s="5">
        <f>YEAR(OrganizedData[[#This Row],[Order Date]])</f>
        <v>2022</v>
      </c>
      <c r="L582" s="7" t="str">
        <f>TEXT(OrganizedData[[#This Row],[Order Date]],"mmm")</f>
        <v>Jun</v>
      </c>
      <c r="M582" s="2">
        <v>31</v>
      </c>
      <c r="N582" s="2" t="s">
        <v>70</v>
      </c>
      <c r="O582" s="2" t="str">
        <f>VLOOKUP(OrganizedData[[#This Row],[Product Code]],ProductData[[Code]:[Item]],2,FALSE)</f>
        <v>Megawidget M</v>
      </c>
      <c r="P582" s="4">
        <f>OrganizedData[[#This Row],[Quantity]]*VLOOKUP(OrganizedData[[#This Row],[Product Code]],ProductData[],4,FALSE)</f>
        <v>744</v>
      </c>
      <c r="Q582" s="6">
        <f>OrganizedData[[#This Row],[Total Items Ordered]]*VLOOKUP(OrganizedData[[#This Row],[Product Code]],ProductData[],3,FALSE)</f>
        <v>959.76</v>
      </c>
      <c r="R5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583" spans="1:18" x14ac:dyDescent="0.3">
      <c r="A583" s="2">
        <v>576</v>
      </c>
      <c r="B583" s="2" t="s">
        <v>2147</v>
      </c>
      <c r="C583" s="2" t="s">
        <v>2148</v>
      </c>
      <c r="D583" s="2" t="s">
        <v>28</v>
      </c>
      <c r="E583" s="2" t="s">
        <v>29</v>
      </c>
      <c r="F583" s="2">
        <v>30</v>
      </c>
      <c r="G583" s="2" t="s">
        <v>2149</v>
      </c>
      <c r="H583" s="2" t="s">
        <v>1855</v>
      </c>
      <c r="I583" s="2" t="s">
        <v>25</v>
      </c>
      <c r="J583" s="3">
        <v>44620</v>
      </c>
      <c r="K583" s="5">
        <f>YEAR(OrganizedData[[#This Row],[Order Date]])</f>
        <v>2022</v>
      </c>
      <c r="L583" s="7" t="str">
        <f>TEXT(OrganizedData[[#This Row],[Order Date]],"mmm")</f>
        <v>Feb</v>
      </c>
      <c r="M583" s="2">
        <v>58</v>
      </c>
      <c r="N583" s="2" t="s">
        <v>45</v>
      </c>
      <c r="O583" s="2" t="str">
        <f>VLOOKUP(OrganizedData[[#This Row],[Product Code]],ProductData[[Code]:[Item]],2,FALSE)</f>
        <v>Gigastuff</v>
      </c>
      <c r="P583" s="4">
        <f>OrganizedData[[#This Row],[Quantity]]*VLOOKUP(OrganizedData[[#This Row],[Product Code]],ProductData[],4,FALSE)</f>
        <v>1044</v>
      </c>
      <c r="Q583" s="6">
        <f>OrganizedData[[#This Row],[Total Items Ordered]]*VLOOKUP(OrganizedData[[#This Row],[Product Code]],ProductData[],3,FALSE)</f>
        <v>1973.1599999999999</v>
      </c>
      <c r="R5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1874.5019999999997</v>
      </c>
    </row>
    <row r="584" spans="1:18" x14ac:dyDescent="0.3">
      <c r="A584" s="2">
        <v>577</v>
      </c>
      <c r="B584" s="2" t="s">
        <v>2150</v>
      </c>
      <c r="C584" s="2" t="s">
        <v>1471</v>
      </c>
      <c r="D584" s="2" t="s">
        <v>117</v>
      </c>
      <c r="E584" s="2" t="s">
        <v>16</v>
      </c>
      <c r="F584" s="2">
        <v>30</v>
      </c>
      <c r="G584" s="2" t="s">
        <v>2151</v>
      </c>
      <c r="H584" s="2" t="s">
        <v>2152</v>
      </c>
      <c r="I584" s="2" t="s">
        <v>32</v>
      </c>
      <c r="J584" s="3">
        <v>43936</v>
      </c>
      <c r="K584" s="5">
        <f>YEAR(OrganizedData[[#This Row],[Order Date]])</f>
        <v>2020</v>
      </c>
      <c r="L584" s="7" t="str">
        <f>TEXT(OrganizedData[[#This Row],[Order Date]],"mmm")</f>
        <v>Apr</v>
      </c>
      <c r="M584" s="2">
        <v>62</v>
      </c>
      <c r="N584" s="2" t="s">
        <v>159</v>
      </c>
      <c r="O584" s="2" t="str">
        <f>VLOOKUP(OrganizedData[[#This Row],[Product Code]],ProductData[[Code]:[Item]],2,FALSE)</f>
        <v>Ultrathing V3</v>
      </c>
      <c r="P584" s="4">
        <f>OrganizedData[[#This Row],[Quantity]]*VLOOKUP(OrganizedData[[#This Row],[Product Code]],ProductData[],4,FALSE)</f>
        <v>1488</v>
      </c>
      <c r="Q584" s="6">
        <f>OrganizedData[[#This Row],[Total Items Ordered]]*VLOOKUP(OrganizedData[[#This Row],[Product Code]],ProductData[],3,FALSE)</f>
        <v>5044.3200000000006</v>
      </c>
      <c r="R5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4792.1040000000003</v>
      </c>
    </row>
    <row r="585" spans="1:18" x14ac:dyDescent="0.3">
      <c r="A585" s="2">
        <v>578</v>
      </c>
      <c r="B585" s="2" t="s">
        <v>2153</v>
      </c>
      <c r="C585" s="2" t="s">
        <v>2154</v>
      </c>
      <c r="D585" s="2" t="s">
        <v>28</v>
      </c>
      <c r="E585" s="2" t="s">
        <v>29</v>
      </c>
      <c r="F585" s="2">
        <v>60</v>
      </c>
      <c r="G585" s="2" t="s">
        <v>2155</v>
      </c>
      <c r="H585" s="2" t="s">
        <v>2156</v>
      </c>
      <c r="I585" s="2" t="s">
        <v>32</v>
      </c>
      <c r="J585" s="3">
        <v>44873</v>
      </c>
      <c r="K585" s="5">
        <f>YEAR(OrganizedData[[#This Row],[Order Date]])</f>
        <v>2022</v>
      </c>
      <c r="L585" s="7" t="str">
        <f>TEXT(OrganizedData[[#This Row],[Order Date]],"mmm")</f>
        <v>Nov</v>
      </c>
      <c r="M585" s="2">
        <v>67</v>
      </c>
      <c r="N585" s="2" t="s">
        <v>101</v>
      </c>
      <c r="O585" s="2" t="str">
        <f>VLOOKUP(OrganizedData[[#This Row],[Product Code]],ProductData[[Code]:[Item]],2,FALSE)</f>
        <v>Superwossname</v>
      </c>
      <c r="P585" s="4">
        <f>OrganizedData[[#This Row],[Quantity]]*VLOOKUP(OrganizedData[[#This Row],[Product Code]],ProductData[],4,FALSE)</f>
        <v>1340</v>
      </c>
      <c r="Q585" s="6">
        <f>OrganizedData[[#This Row],[Total Items Ordered]]*VLOOKUP(OrganizedData[[#This Row],[Product Code]],ProductData[],3,FALSE)</f>
        <v>4676.6000000000004</v>
      </c>
      <c r="R5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4442.7700000000004</v>
      </c>
    </row>
    <row r="586" spans="1:18" x14ac:dyDescent="0.3">
      <c r="A586" s="2">
        <v>579</v>
      </c>
      <c r="B586" s="2" t="s">
        <v>2157</v>
      </c>
      <c r="C586" s="2" t="s">
        <v>2158</v>
      </c>
      <c r="D586" s="2" t="s">
        <v>15</v>
      </c>
      <c r="E586" s="2" t="s">
        <v>16</v>
      </c>
      <c r="F586" s="2">
        <v>90</v>
      </c>
      <c r="G586" s="2" t="s">
        <v>2159</v>
      </c>
      <c r="H586" s="2" t="s">
        <v>912</v>
      </c>
      <c r="I586" s="2" t="s">
        <v>913</v>
      </c>
      <c r="J586" s="3">
        <v>44242</v>
      </c>
      <c r="K586" s="5">
        <f>YEAR(OrganizedData[[#This Row],[Order Date]])</f>
        <v>2021</v>
      </c>
      <c r="L586" s="7" t="str">
        <f>TEXT(OrganizedData[[#This Row],[Order Date]],"mmm")</f>
        <v>Feb</v>
      </c>
      <c r="M586" s="2">
        <v>87</v>
      </c>
      <c r="N586" s="2" t="s">
        <v>70</v>
      </c>
      <c r="O586" s="2" t="str">
        <f>VLOOKUP(OrganizedData[[#This Row],[Product Code]],ProductData[[Code]:[Item]],2,FALSE)</f>
        <v>Megawidget M</v>
      </c>
      <c r="P586" s="4">
        <f>OrganizedData[[#This Row],[Quantity]]*VLOOKUP(OrganizedData[[#This Row],[Product Code]],ProductData[],4,FALSE)</f>
        <v>2088</v>
      </c>
      <c r="Q586" s="6">
        <f>OrganizedData[[#This Row],[Total Items Ordered]]*VLOOKUP(OrganizedData[[#This Row],[Product Code]],ProductData[],3,FALSE)</f>
        <v>2693.52</v>
      </c>
      <c r="R5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2558.8440000000001</v>
      </c>
    </row>
    <row r="587" spans="1:18" x14ac:dyDescent="0.3">
      <c r="A587" s="2">
        <v>580</v>
      </c>
      <c r="B587" s="2" t="s">
        <v>2160</v>
      </c>
      <c r="C587" s="2" t="s">
        <v>2161</v>
      </c>
      <c r="D587" s="2" t="s">
        <v>51</v>
      </c>
      <c r="E587" s="2" t="s">
        <v>16</v>
      </c>
      <c r="F587" s="2">
        <v>30</v>
      </c>
      <c r="G587" s="2" t="s">
        <v>2162</v>
      </c>
      <c r="H587" s="2" t="s">
        <v>2163</v>
      </c>
      <c r="I587" s="2" t="s">
        <v>1824</v>
      </c>
      <c r="J587" s="3">
        <v>44223</v>
      </c>
      <c r="K587" s="5">
        <f>YEAR(OrganizedData[[#This Row],[Order Date]])</f>
        <v>2021</v>
      </c>
      <c r="L587" s="7" t="str">
        <f>TEXT(OrganizedData[[#This Row],[Order Date]],"mmm")</f>
        <v>Jan</v>
      </c>
      <c r="M587" s="2">
        <v>24</v>
      </c>
      <c r="N587" s="2" t="s">
        <v>64</v>
      </c>
      <c r="O587" s="2" t="str">
        <f>VLOOKUP(OrganizedData[[#This Row],[Product Code]],ProductData[[Code]:[Item]],2,FALSE)</f>
        <v>Ultrathing V4</v>
      </c>
      <c r="P587" s="4">
        <f>OrganizedData[[#This Row],[Quantity]]*VLOOKUP(OrganizedData[[#This Row],[Product Code]],ProductData[],4,FALSE)</f>
        <v>576</v>
      </c>
      <c r="Q587" s="6">
        <f>OrganizedData[[#This Row],[Total Items Ordered]]*VLOOKUP(OrganizedData[[#This Row],[Product Code]],ProductData[],3,FALSE)</f>
        <v>2298.2400000000002</v>
      </c>
      <c r="R5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2229.2928000000002</v>
      </c>
    </row>
    <row r="588" spans="1:18" x14ac:dyDescent="0.3">
      <c r="A588" s="2">
        <v>581</v>
      </c>
      <c r="B588" s="2" t="s">
        <v>2164</v>
      </c>
      <c r="C588" s="2" t="s">
        <v>1913</v>
      </c>
      <c r="D588" s="2" t="s">
        <v>92</v>
      </c>
      <c r="E588" s="2" t="s">
        <v>16</v>
      </c>
      <c r="F588" s="2">
        <v>30</v>
      </c>
      <c r="G588" s="2" t="s">
        <v>2165</v>
      </c>
      <c r="H588" s="2" t="s">
        <v>1969</v>
      </c>
      <c r="I588" s="2" t="s">
        <v>32</v>
      </c>
      <c r="J588" s="3">
        <v>44821</v>
      </c>
      <c r="K588" s="5">
        <f>YEAR(OrganizedData[[#This Row],[Order Date]])</f>
        <v>2022</v>
      </c>
      <c r="L588" s="7" t="str">
        <f>TEXT(OrganizedData[[#This Row],[Order Date]],"mmm")</f>
        <v>Sep</v>
      </c>
      <c r="M588" s="2">
        <v>77</v>
      </c>
      <c r="N588" s="2" t="s">
        <v>54</v>
      </c>
      <c r="O588" s="2" t="str">
        <f>VLOOKUP(OrganizedData[[#This Row],[Product Code]],ProductData[[Code]:[Item]],2,FALSE)</f>
        <v>Megawidget S</v>
      </c>
      <c r="P588" s="4">
        <f>OrganizedData[[#This Row],[Quantity]]*VLOOKUP(OrganizedData[[#This Row],[Product Code]],ProductData[],4,FALSE)</f>
        <v>1848</v>
      </c>
      <c r="Q588" s="6">
        <f>OrganizedData[[#This Row],[Total Items Ordered]]*VLOOKUP(OrganizedData[[#This Row],[Product Code]],ProductData[],3,FALSE)</f>
        <v>1275.1199999999999</v>
      </c>
      <c r="R5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1211.3639999999998</v>
      </c>
    </row>
    <row r="589" spans="1:18" x14ac:dyDescent="0.3">
      <c r="A589" s="2">
        <v>582</v>
      </c>
      <c r="B589" s="2" t="s">
        <v>2166</v>
      </c>
      <c r="C589" s="2" t="s">
        <v>2167</v>
      </c>
      <c r="D589" s="2" t="s">
        <v>28</v>
      </c>
      <c r="E589" s="2" t="s">
        <v>29</v>
      </c>
      <c r="F589" s="2">
        <v>60</v>
      </c>
      <c r="G589" s="2" t="s">
        <v>2168</v>
      </c>
      <c r="H589" s="2" t="s">
        <v>2169</v>
      </c>
      <c r="I589" s="2" t="s">
        <v>32</v>
      </c>
      <c r="J589" s="3">
        <v>44805</v>
      </c>
      <c r="K589" s="5">
        <f>YEAR(OrganizedData[[#This Row],[Order Date]])</f>
        <v>2022</v>
      </c>
      <c r="L589" s="7" t="str">
        <f>TEXT(OrganizedData[[#This Row],[Order Date]],"mmm")</f>
        <v>Sep</v>
      </c>
      <c r="M589" s="2">
        <v>65</v>
      </c>
      <c r="N589" s="2" t="s">
        <v>33</v>
      </c>
      <c r="O589" s="2" t="str">
        <f>VLOOKUP(OrganizedData[[#This Row],[Product Code]],ProductData[[Code]:[Item]],2,FALSE)</f>
        <v>Megawidget L</v>
      </c>
      <c r="P589" s="4">
        <f>OrganizedData[[#This Row],[Quantity]]*VLOOKUP(OrganizedData[[#This Row],[Product Code]],ProductData[],4,FALSE)</f>
        <v>1560</v>
      </c>
      <c r="Q589" s="6">
        <f>OrganizedData[[#This Row],[Total Items Ordered]]*VLOOKUP(OrganizedData[[#This Row],[Product Code]],ProductData[],3,FALSE)</f>
        <v>2792.4</v>
      </c>
      <c r="R5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2652.7799999999997</v>
      </c>
    </row>
    <row r="590" spans="1:18" x14ac:dyDescent="0.3">
      <c r="A590" s="2">
        <v>583</v>
      </c>
      <c r="B590" s="2" t="s">
        <v>2170</v>
      </c>
      <c r="C590" s="2" t="s">
        <v>653</v>
      </c>
      <c r="D590" s="2" t="s">
        <v>15</v>
      </c>
      <c r="E590" s="2" t="s">
        <v>16</v>
      </c>
      <c r="F590" s="2">
        <v>90</v>
      </c>
      <c r="G590" s="2" t="s">
        <v>2171</v>
      </c>
      <c r="H590" s="2" t="s">
        <v>2172</v>
      </c>
      <c r="I590" s="2" t="s">
        <v>32</v>
      </c>
      <c r="J590" s="3">
        <v>44304</v>
      </c>
      <c r="K590" s="5">
        <f>YEAR(OrganizedData[[#This Row],[Order Date]])</f>
        <v>2021</v>
      </c>
      <c r="L590" s="7" t="str">
        <f>TEXT(OrganizedData[[#This Row],[Order Date]],"mmm")</f>
        <v>Apr</v>
      </c>
      <c r="M590" s="2">
        <v>6</v>
      </c>
      <c r="N590" s="2" t="s">
        <v>54</v>
      </c>
      <c r="O590" s="2" t="str">
        <f>VLOOKUP(OrganizedData[[#This Row],[Product Code]],ProductData[[Code]:[Item]],2,FALSE)</f>
        <v>Megawidget S</v>
      </c>
      <c r="P590" s="4">
        <f>OrganizedData[[#This Row],[Quantity]]*VLOOKUP(OrganizedData[[#This Row],[Product Code]],ProductData[],4,FALSE)</f>
        <v>144</v>
      </c>
      <c r="Q590" s="6">
        <f>OrganizedData[[#This Row],[Total Items Ordered]]*VLOOKUP(OrganizedData[[#This Row],[Product Code]],ProductData[],3,FALSE)</f>
        <v>99.359999999999985</v>
      </c>
      <c r="R5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99.359999999999985</v>
      </c>
    </row>
    <row r="591" spans="1:18" x14ac:dyDescent="0.3">
      <c r="A591" s="2">
        <v>584</v>
      </c>
      <c r="B591" s="2" t="s">
        <v>2173</v>
      </c>
      <c r="C591" s="2" t="s">
        <v>2174</v>
      </c>
      <c r="D591" s="2" t="s">
        <v>51</v>
      </c>
      <c r="E591" s="2" t="s">
        <v>16</v>
      </c>
      <c r="F591" s="2">
        <v>90</v>
      </c>
      <c r="G591" s="2" t="s">
        <v>2175</v>
      </c>
      <c r="H591" s="2" t="s">
        <v>1768</v>
      </c>
      <c r="I591" s="2" t="s">
        <v>32</v>
      </c>
      <c r="J591" s="3">
        <v>43884</v>
      </c>
      <c r="K591" s="5">
        <f>YEAR(OrganizedData[[#This Row],[Order Date]])</f>
        <v>2020</v>
      </c>
      <c r="L591" s="7" t="str">
        <f>TEXT(OrganizedData[[#This Row],[Order Date]],"mmm")</f>
        <v>Feb</v>
      </c>
      <c r="M591" s="2">
        <v>67</v>
      </c>
      <c r="N591" s="2" t="s">
        <v>54</v>
      </c>
      <c r="O591" s="2" t="str">
        <f>VLOOKUP(OrganizedData[[#This Row],[Product Code]],ProductData[[Code]:[Item]],2,FALSE)</f>
        <v>Megawidget S</v>
      </c>
      <c r="P591" s="4">
        <f>OrganizedData[[#This Row],[Quantity]]*VLOOKUP(OrganizedData[[#This Row],[Product Code]],ProductData[],4,FALSE)</f>
        <v>1608</v>
      </c>
      <c r="Q591" s="6">
        <f>OrganizedData[[#This Row],[Total Items Ordered]]*VLOOKUP(OrganizedData[[#This Row],[Product Code]],ProductData[],3,FALSE)</f>
        <v>1109.52</v>
      </c>
      <c r="R5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592" spans="1:18" x14ac:dyDescent="0.3">
      <c r="A592" s="2">
        <v>585</v>
      </c>
      <c r="B592" s="2" t="s">
        <v>2176</v>
      </c>
      <c r="C592" s="2" t="s">
        <v>2177</v>
      </c>
      <c r="D592" s="2" t="s">
        <v>15</v>
      </c>
      <c r="E592" s="2" t="s">
        <v>16</v>
      </c>
      <c r="F592" s="2">
        <v>60</v>
      </c>
      <c r="G592" s="2" t="s">
        <v>2178</v>
      </c>
      <c r="H592" s="2" t="s">
        <v>2179</v>
      </c>
      <c r="I592" s="2" t="s">
        <v>294</v>
      </c>
      <c r="J592" s="3">
        <v>44045</v>
      </c>
      <c r="K592" s="5">
        <f>YEAR(OrganizedData[[#This Row],[Order Date]])</f>
        <v>2020</v>
      </c>
      <c r="L592" s="7" t="str">
        <f>TEXT(OrganizedData[[#This Row],[Order Date]],"mmm")</f>
        <v>Aug</v>
      </c>
      <c r="M592" s="2">
        <v>59</v>
      </c>
      <c r="N592" s="2" t="s">
        <v>33</v>
      </c>
      <c r="O592" s="2" t="str">
        <f>VLOOKUP(OrganizedData[[#This Row],[Product Code]],ProductData[[Code]:[Item]],2,FALSE)</f>
        <v>Megawidget L</v>
      </c>
      <c r="P592" s="4">
        <f>OrganizedData[[#This Row],[Quantity]]*VLOOKUP(OrganizedData[[#This Row],[Product Code]],ProductData[],4,FALSE)</f>
        <v>1416</v>
      </c>
      <c r="Q592" s="6">
        <f>OrganizedData[[#This Row],[Total Items Ordered]]*VLOOKUP(OrganizedData[[#This Row],[Product Code]],ProductData[],3,FALSE)</f>
        <v>2534.64</v>
      </c>
      <c r="R5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2407.9079999999999</v>
      </c>
    </row>
    <row r="593" spans="1:18" x14ac:dyDescent="0.3">
      <c r="A593" s="2">
        <v>586</v>
      </c>
      <c r="B593" s="2" t="s">
        <v>2180</v>
      </c>
      <c r="C593" s="2" t="s">
        <v>2181</v>
      </c>
      <c r="D593" s="2" t="s">
        <v>51</v>
      </c>
      <c r="E593" s="2" t="s">
        <v>16</v>
      </c>
      <c r="F593" s="2">
        <v>60</v>
      </c>
      <c r="G593" s="2" t="s">
        <v>2182</v>
      </c>
      <c r="H593" s="2" t="s">
        <v>2183</v>
      </c>
      <c r="I593" s="2" t="s">
        <v>124</v>
      </c>
      <c r="J593" s="3">
        <v>44234</v>
      </c>
      <c r="K593" s="5">
        <f>YEAR(OrganizedData[[#This Row],[Order Date]])</f>
        <v>2021</v>
      </c>
      <c r="L593" s="7" t="str">
        <f>TEXT(OrganizedData[[#This Row],[Order Date]],"mmm")</f>
        <v>Feb</v>
      </c>
      <c r="M593" s="2">
        <v>35</v>
      </c>
      <c r="N593" s="2" t="s">
        <v>64</v>
      </c>
      <c r="O593" s="2" t="str">
        <f>VLOOKUP(OrganizedData[[#This Row],[Product Code]],ProductData[[Code]:[Item]],2,FALSE)</f>
        <v>Ultrathing V4</v>
      </c>
      <c r="P593" s="4">
        <f>OrganizedData[[#This Row],[Quantity]]*VLOOKUP(OrganizedData[[#This Row],[Product Code]],ProductData[],4,FALSE)</f>
        <v>840</v>
      </c>
      <c r="Q593" s="6">
        <f>OrganizedData[[#This Row],[Total Items Ordered]]*VLOOKUP(OrganizedData[[#This Row],[Product Code]],ProductData[],3,FALSE)</f>
        <v>3351.6000000000004</v>
      </c>
      <c r="R5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594" spans="1:18" x14ac:dyDescent="0.3">
      <c r="A594" s="2">
        <v>587</v>
      </c>
      <c r="B594" s="2" t="s">
        <v>2184</v>
      </c>
      <c r="C594" s="2" t="s">
        <v>812</v>
      </c>
      <c r="D594" s="2" t="s">
        <v>28</v>
      </c>
      <c r="E594" s="2" t="s">
        <v>29</v>
      </c>
      <c r="F594" s="2">
        <v>90</v>
      </c>
      <c r="G594" s="2" t="s">
        <v>2185</v>
      </c>
      <c r="H594" s="2" t="s">
        <v>2186</v>
      </c>
      <c r="I594" s="2" t="s">
        <v>187</v>
      </c>
      <c r="J594" s="3">
        <v>44176</v>
      </c>
      <c r="K594" s="5">
        <f>YEAR(OrganizedData[[#This Row],[Order Date]])</f>
        <v>2020</v>
      </c>
      <c r="L594" s="7" t="str">
        <f>TEXT(OrganizedData[[#This Row],[Order Date]],"mmm")</f>
        <v>Dec</v>
      </c>
      <c r="M594" s="2">
        <v>56</v>
      </c>
      <c r="N594" s="2" t="s">
        <v>20</v>
      </c>
      <c r="O594" s="2" t="str">
        <f>VLOOKUP(OrganizedData[[#This Row],[Product Code]],ProductData[[Code]:[Item]],2,FALSE)</f>
        <v>Hyperwotsit</v>
      </c>
      <c r="P594" s="4">
        <f>OrganizedData[[#This Row],[Quantity]]*VLOOKUP(OrganizedData[[#This Row],[Product Code]],ProductData[],4,FALSE)</f>
        <v>1120</v>
      </c>
      <c r="Q594" s="6">
        <f>OrganizedData[[#This Row],[Total Items Ordered]]*VLOOKUP(OrganizedData[[#This Row],[Product Code]],ProductData[],3,FALSE)</f>
        <v>2251.1999999999998</v>
      </c>
      <c r="R5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595" spans="1:18" x14ac:dyDescent="0.3">
      <c r="A595" s="2">
        <v>588</v>
      </c>
      <c r="B595" s="2" t="s">
        <v>2187</v>
      </c>
      <c r="C595" s="2" t="s">
        <v>2089</v>
      </c>
      <c r="D595" s="2" t="s">
        <v>51</v>
      </c>
      <c r="E595" s="2" t="s">
        <v>16</v>
      </c>
      <c r="F595" s="2">
        <v>60</v>
      </c>
      <c r="G595" s="2" t="s">
        <v>2185</v>
      </c>
      <c r="H595" s="2" t="s">
        <v>690</v>
      </c>
      <c r="I595" s="2" t="s">
        <v>32</v>
      </c>
      <c r="J595" s="3">
        <v>44856</v>
      </c>
      <c r="K595" s="5">
        <f>YEAR(OrganizedData[[#This Row],[Order Date]])</f>
        <v>2022</v>
      </c>
      <c r="L595" s="7" t="str">
        <f>TEXT(OrganizedData[[#This Row],[Order Date]],"mmm")</f>
        <v>Oct</v>
      </c>
      <c r="M595" s="2">
        <v>104</v>
      </c>
      <c r="N595" s="2" t="s">
        <v>39</v>
      </c>
      <c r="O595" s="2" t="str">
        <f>VLOOKUP(OrganizedData[[#This Row],[Product Code]],ProductData[[Code]:[Item]],2,FALSE)</f>
        <v>Ultrathing V1</v>
      </c>
      <c r="P595" s="4">
        <f>OrganizedData[[#This Row],[Quantity]]*VLOOKUP(OrganizedData[[#This Row],[Product Code]],ProductData[],4,FALSE)</f>
        <v>1768</v>
      </c>
      <c r="Q595" s="6">
        <f>OrganizedData[[#This Row],[Total Items Ordered]]*VLOOKUP(OrganizedData[[#This Row],[Product Code]],ProductData[],3,FALSE)</f>
        <v>3164.7200000000003</v>
      </c>
      <c r="R5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2943.1896000000006</v>
      </c>
    </row>
    <row r="596" spans="1:18" x14ac:dyDescent="0.3">
      <c r="A596" s="2">
        <v>589</v>
      </c>
      <c r="B596" s="2" t="s">
        <v>249</v>
      </c>
      <c r="C596" s="2" t="s">
        <v>2188</v>
      </c>
      <c r="D596" s="2" t="s">
        <v>51</v>
      </c>
      <c r="E596" s="2" t="s">
        <v>16</v>
      </c>
      <c r="F596" s="2">
        <v>90</v>
      </c>
      <c r="G596" s="2" t="s">
        <v>2189</v>
      </c>
      <c r="H596" s="2" t="s">
        <v>2121</v>
      </c>
      <c r="I596" s="2" t="s">
        <v>38</v>
      </c>
      <c r="J596" s="3">
        <v>44102</v>
      </c>
      <c r="K596" s="5">
        <f>YEAR(OrganizedData[[#This Row],[Order Date]])</f>
        <v>2020</v>
      </c>
      <c r="L596" s="7" t="str">
        <f>TEXT(OrganizedData[[#This Row],[Order Date]],"mmm")</f>
        <v>Sep</v>
      </c>
      <c r="M596" s="2">
        <v>51</v>
      </c>
      <c r="N596" s="2" t="s">
        <v>54</v>
      </c>
      <c r="O596" s="2" t="str">
        <f>VLOOKUP(OrganizedData[[#This Row],[Product Code]],ProductData[[Code]:[Item]],2,FALSE)</f>
        <v>Megawidget S</v>
      </c>
      <c r="P596" s="4">
        <f>OrganizedData[[#This Row],[Quantity]]*VLOOKUP(OrganizedData[[#This Row],[Product Code]],ProductData[],4,FALSE)</f>
        <v>1224</v>
      </c>
      <c r="Q596" s="6">
        <f>OrganizedData[[#This Row],[Total Items Ordered]]*VLOOKUP(OrganizedData[[#This Row],[Product Code]],ProductData[],3,FALSE)</f>
        <v>844.56</v>
      </c>
      <c r="R5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597" spans="1:18" x14ac:dyDescent="0.3">
      <c r="A597" s="2">
        <v>590</v>
      </c>
      <c r="B597" s="2" t="s">
        <v>1991</v>
      </c>
      <c r="C597" s="2" t="s">
        <v>655</v>
      </c>
      <c r="D597" s="2" t="s">
        <v>28</v>
      </c>
      <c r="E597" s="2" t="s">
        <v>29</v>
      </c>
      <c r="F597" s="2">
        <v>60</v>
      </c>
      <c r="G597" s="2" t="s">
        <v>2189</v>
      </c>
      <c r="H597" s="2" t="s">
        <v>2190</v>
      </c>
      <c r="I597" s="2" t="s">
        <v>32</v>
      </c>
      <c r="J597" s="3">
        <v>44185</v>
      </c>
      <c r="K597" s="5">
        <f>YEAR(OrganizedData[[#This Row],[Order Date]])</f>
        <v>2020</v>
      </c>
      <c r="L597" s="7" t="str">
        <f>TEXT(OrganizedData[[#This Row],[Order Date]],"mmm")</f>
        <v>Dec</v>
      </c>
      <c r="M597" s="2">
        <v>64</v>
      </c>
      <c r="N597" s="2" t="s">
        <v>39</v>
      </c>
      <c r="O597" s="2" t="str">
        <f>VLOOKUP(OrganizedData[[#This Row],[Product Code]],ProductData[[Code]:[Item]],2,FALSE)</f>
        <v>Ultrathing V1</v>
      </c>
      <c r="P597" s="4">
        <f>OrganizedData[[#This Row],[Quantity]]*VLOOKUP(OrganizedData[[#This Row],[Product Code]],ProductData[],4,FALSE)</f>
        <v>1088</v>
      </c>
      <c r="Q597" s="6">
        <f>OrganizedData[[#This Row],[Total Items Ordered]]*VLOOKUP(OrganizedData[[#This Row],[Product Code]],ProductData[],3,FALSE)</f>
        <v>1947.52</v>
      </c>
      <c r="R5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1850.144</v>
      </c>
    </row>
    <row r="598" spans="1:18" x14ac:dyDescent="0.3">
      <c r="A598" s="2">
        <v>591</v>
      </c>
      <c r="B598" s="2" t="s">
        <v>2191</v>
      </c>
      <c r="C598" s="2" t="s">
        <v>770</v>
      </c>
      <c r="D598" s="2" t="s">
        <v>28</v>
      </c>
      <c r="E598" s="2" t="s">
        <v>29</v>
      </c>
      <c r="F598" s="2">
        <v>30</v>
      </c>
      <c r="G598" s="2" t="s">
        <v>10469</v>
      </c>
      <c r="H598" s="2" t="s">
        <v>177</v>
      </c>
      <c r="I598" s="2" t="s">
        <v>178</v>
      </c>
      <c r="J598" s="3">
        <v>44016</v>
      </c>
      <c r="K598" s="5">
        <f>YEAR(OrganizedData[[#This Row],[Order Date]])</f>
        <v>2020</v>
      </c>
      <c r="L598" s="7" t="str">
        <f>TEXT(OrganizedData[[#This Row],[Order Date]],"mmm")</f>
        <v>Jul</v>
      </c>
      <c r="M598" s="2">
        <v>49</v>
      </c>
      <c r="N598" s="2" t="s">
        <v>159</v>
      </c>
      <c r="O598" s="2" t="str">
        <f>VLOOKUP(OrganizedData[[#This Row],[Product Code]],ProductData[[Code]:[Item]],2,FALSE)</f>
        <v>Ultrathing V3</v>
      </c>
      <c r="P598" s="4">
        <f>OrganizedData[[#This Row],[Quantity]]*VLOOKUP(OrganizedData[[#This Row],[Product Code]],ProductData[],4,FALSE)</f>
        <v>1176</v>
      </c>
      <c r="Q598" s="6">
        <f>OrganizedData[[#This Row],[Total Items Ordered]]*VLOOKUP(OrganizedData[[#This Row],[Product Code]],ProductData[],3,FALSE)</f>
        <v>3986.6400000000003</v>
      </c>
      <c r="R5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3867.0408000000002</v>
      </c>
    </row>
    <row r="599" spans="1:18" x14ac:dyDescent="0.3">
      <c r="A599" s="2">
        <v>592</v>
      </c>
      <c r="B599" s="2" t="s">
        <v>650</v>
      </c>
      <c r="C599" s="2" t="s">
        <v>1773</v>
      </c>
      <c r="D599" s="2" t="s">
        <v>51</v>
      </c>
      <c r="E599" s="2" t="s">
        <v>16</v>
      </c>
      <c r="F599" s="2">
        <v>60</v>
      </c>
      <c r="G599" s="2" t="s">
        <v>2193</v>
      </c>
      <c r="H599" s="2" t="s">
        <v>2194</v>
      </c>
      <c r="I599" s="2" t="s">
        <v>32</v>
      </c>
      <c r="J599" s="3">
        <v>43881</v>
      </c>
      <c r="K599" s="5">
        <f>YEAR(OrganizedData[[#This Row],[Order Date]])</f>
        <v>2020</v>
      </c>
      <c r="L599" s="7" t="str">
        <f>TEXT(OrganizedData[[#This Row],[Order Date]],"mmm")</f>
        <v>Feb</v>
      </c>
      <c r="M599" s="2">
        <v>53</v>
      </c>
      <c r="N599" s="2" t="s">
        <v>39</v>
      </c>
      <c r="O599" s="2" t="str">
        <f>VLOOKUP(OrganizedData[[#This Row],[Product Code]],ProductData[[Code]:[Item]],2,FALSE)</f>
        <v>Ultrathing V1</v>
      </c>
      <c r="P599" s="4">
        <f>OrganizedData[[#This Row],[Quantity]]*VLOOKUP(OrganizedData[[#This Row],[Product Code]],ProductData[],4,FALSE)</f>
        <v>901</v>
      </c>
      <c r="Q599" s="6">
        <f>OrganizedData[[#This Row],[Total Items Ordered]]*VLOOKUP(OrganizedData[[#This Row],[Product Code]],ProductData[],3,FALSE)</f>
        <v>1612.79</v>
      </c>
      <c r="R5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1532.1505</v>
      </c>
    </row>
    <row r="600" spans="1:18" x14ac:dyDescent="0.3">
      <c r="A600" s="2">
        <v>593</v>
      </c>
      <c r="B600" s="2" t="s">
        <v>85</v>
      </c>
      <c r="C600" s="2" t="s">
        <v>2195</v>
      </c>
      <c r="D600" s="2" t="s">
        <v>28</v>
      </c>
      <c r="E600" s="2" t="s">
        <v>29</v>
      </c>
      <c r="F600" s="2">
        <v>90</v>
      </c>
      <c r="G600" s="2" t="s">
        <v>2196</v>
      </c>
      <c r="H600" s="2" t="s">
        <v>2021</v>
      </c>
      <c r="I600" s="2" t="s">
        <v>2022</v>
      </c>
      <c r="J600" s="3">
        <v>44761</v>
      </c>
      <c r="K600" s="5">
        <f>YEAR(OrganizedData[[#This Row],[Order Date]])</f>
        <v>2022</v>
      </c>
      <c r="L600" s="7" t="str">
        <f>TEXT(OrganizedData[[#This Row],[Order Date]],"mmm")</f>
        <v>Jul</v>
      </c>
      <c r="M600" s="2">
        <v>100</v>
      </c>
      <c r="N600" s="2" t="s">
        <v>20</v>
      </c>
      <c r="O600" s="2" t="str">
        <f>VLOOKUP(OrganizedData[[#This Row],[Product Code]],ProductData[[Code]:[Item]],2,FALSE)</f>
        <v>Hyperwotsit</v>
      </c>
      <c r="P600" s="4">
        <f>OrganizedData[[#This Row],[Quantity]]*VLOOKUP(OrganizedData[[#This Row],[Product Code]],ProductData[],4,FALSE)</f>
        <v>2000</v>
      </c>
      <c r="Q600" s="6">
        <f>OrganizedData[[#This Row],[Total Items Ordered]]*VLOOKUP(OrganizedData[[#This Row],[Product Code]],ProductData[],3,FALSE)</f>
        <v>4019.9999999999995</v>
      </c>
      <c r="R6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3818.9999999999995</v>
      </c>
    </row>
    <row r="601" spans="1:18" x14ac:dyDescent="0.3">
      <c r="A601" s="2">
        <v>594</v>
      </c>
      <c r="B601" s="2" t="s">
        <v>2197</v>
      </c>
      <c r="C601" s="2" t="s">
        <v>2198</v>
      </c>
      <c r="D601" s="2" t="s">
        <v>28</v>
      </c>
      <c r="E601" s="2" t="s">
        <v>29</v>
      </c>
      <c r="F601" s="2">
        <v>90</v>
      </c>
      <c r="G601" s="2" t="s">
        <v>2196</v>
      </c>
      <c r="H601" s="2" t="s">
        <v>2199</v>
      </c>
      <c r="I601" s="2" t="s">
        <v>32</v>
      </c>
      <c r="J601" s="3">
        <v>43901</v>
      </c>
      <c r="K601" s="5">
        <f>YEAR(OrganizedData[[#This Row],[Order Date]])</f>
        <v>2020</v>
      </c>
      <c r="L601" s="7" t="str">
        <f>TEXT(OrganizedData[[#This Row],[Order Date]],"mmm")</f>
        <v>Mar</v>
      </c>
      <c r="M601" s="2">
        <v>57</v>
      </c>
      <c r="N601" s="2" t="s">
        <v>64</v>
      </c>
      <c r="O601" s="2" t="str">
        <f>VLOOKUP(OrganizedData[[#This Row],[Product Code]],ProductData[[Code]:[Item]],2,FALSE)</f>
        <v>Ultrathing V4</v>
      </c>
      <c r="P601" s="4">
        <f>OrganizedData[[#This Row],[Quantity]]*VLOOKUP(OrganizedData[[#This Row],[Product Code]],ProductData[],4,FALSE)</f>
        <v>1368</v>
      </c>
      <c r="Q601" s="6">
        <f>OrganizedData[[#This Row],[Total Items Ordered]]*VLOOKUP(OrganizedData[[#This Row],[Product Code]],ProductData[],3,FALSE)</f>
        <v>5458.3200000000006</v>
      </c>
      <c r="R6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5185.4040000000005</v>
      </c>
    </row>
    <row r="602" spans="1:18" x14ac:dyDescent="0.3">
      <c r="A602" s="2">
        <v>595</v>
      </c>
      <c r="B602" s="2" t="s">
        <v>2200</v>
      </c>
      <c r="C602" s="2" t="s">
        <v>457</v>
      </c>
      <c r="D602" s="2" t="s">
        <v>28</v>
      </c>
      <c r="E602" s="2" t="s">
        <v>29</v>
      </c>
      <c r="F602" s="2">
        <v>60</v>
      </c>
      <c r="G602" s="2" t="s">
        <v>2201</v>
      </c>
      <c r="H602" s="2" t="s">
        <v>545</v>
      </c>
      <c r="I602" s="2" t="s">
        <v>173</v>
      </c>
      <c r="J602" s="3">
        <v>44419</v>
      </c>
      <c r="K602" s="5">
        <f>YEAR(OrganizedData[[#This Row],[Order Date]])</f>
        <v>2021</v>
      </c>
      <c r="L602" s="7" t="str">
        <f>TEXT(OrganizedData[[#This Row],[Order Date]],"mmm")</f>
        <v>Aug</v>
      </c>
      <c r="M602" s="2">
        <v>46</v>
      </c>
      <c r="N602" s="2" t="s">
        <v>64</v>
      </c>
      <c r="O602" s="2" t="str">
        <f>VLOOKUP(OrganizedData[[#This Row],[Product Code]],ProductData[[Code]:[Item]],2,FALSE)</f>
        <v>Ultrathing V4</v>
      </c>
      <c r="P602" s="4">
        <f>OrganizedData[[#This Row],[Quantity]]*VLOOKUP(OrganizedData[[#This Row],[Product Code]],ProductData[],4,FALSE)</f>
        <v>1104</v>
      </c>
      <c r="Q602" s="6">
        <f>OrganizedData[[#This Row],[Total Items Ordered]]*VLOOKUP(OrganizedData[[#This Row],[Product Code]],ProductData[],3,FALSE)</f>
        <v>4404.96</v>
      </c>
      <c r="R6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4272.8112000000001</v>
      </c>
    </row>
    <row r="603" spans="1:18" x14ac:dyDescent="0.3">
      <c r="A603" s="2">
        <v>596</v>
      </c>
      <c r="B603" s="2" t="s">
        <v>2202</v>
      </c>
      <c r="C603" s="2" t="s">
        <v>2203</v>
      </c>
      <c r="D603" s="2" t="s">
        <v>92</v>
      </c>
      <c r="E603" s="2" t="s">
        <v>16</v>
      </c>
      <c r="F603" s="2">
        <v>30</v>
      </c>
      <c r="G603" s="2" t="s">
        <v>2204</v>
      </c>
      <c r="H603" s="2" t="s">
        <v>1583</v>
      </c>
      <c r="I603" s="2" t="s">
        <v>178</v>
      </c>
      <c r="J603" s="3">
        <v>44284</v>
      </c>
      <c r="K603" s="5">
        <f>YEAR(OrganizedData[[#This Row],[Order Date]])</f>
        <v>2021</v>
      </c>
      <c r="L603" s="7" t="str">
        <f>TEXT(OrganizedData[[#This Row],[Order Date]],"mmm")</f>
        <v>Mar</v>
      </c>
      <c r="M603" s="2">
        <v>34</v>
      </c>
      <c r="N603" s="2" t="s">
        <v>54</v>
      </c>
      <c r="O603" s="2" t="str">
        <f>VLOOKUP(OrganizedData[[#This Row],[Product Code]],ProductData[[Code]:[Item]],2,FALSE)</f>
        <v>Megawidget S</v>
      </c>
      <c r="P603" s="4">
        <f>OrganizedData[[#This Row],[Quantity]]*VLOOKUP(OrganizedData[[#This Row],[Product Code]],ProductData[],4,FALSE)</f>
        <v>816</v>
      </c>
      <c r="Q603" s="6">
        <f>OrganizedData[[#This Row],[Total Items Ordered]]*VLOOKUP(OrganizedData[[#This Row],[Product Code]],ProductData[],3,FALSE)</f>
        <v>563.04</v>
      </c>
      <c r="R6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546.14879999999994</v>
      </c>
    </row>
    <row r="604" spans="1:18" x14ac:dyDescent="0.3">
      <c r="A604" s="2">
        <v>597</v>
      </c>
      <c r="B604" s="2" t="s">
        <v>2205</v>
      </c>
      <c r="C604" s="2" t="s">
        <v>2198</v>
      </c>
      <c r="D604" s="2" t="s">
        <v>51</v>
      </c>
      <c r="E604" s="2" t="s">
        <v>16</v>
      </c>
      <c r="F604" s="2">
        <v>30</v>
      </c>
      <c r="G604" s="2" t="s">
        <v>2204</v>
      </c>
      <c r="H604" s="2" t="s">
        <v>1318</v>
      </c>
      <c r="I604" s="2" t="s">
        <v>32</v>
      </c>
      <c r="J604" s="3">
        <v>43882</v>
      </c>
      <c r="K604" s="5">
        <f>YEAR(OrganizedData[[#This Row],[Order Date]])</f>
        <v>2020</v>
      </c>
      <c r="L604" s="7" t="str">
        <f>TEXT(OrganizedData[[#This Row],[Order Date]],"mmm")</f>
        <v>Feb</v>
      </c>
      <c r="M604" s="2">
        <v>75</v>
      </c>
      <c r="N604" s="2" t="s">
        <v>39</v>
      </c>
      <c r="O604" s="2" t="str">
        <f>VLOOKUP(OrganizedData[[#This Row],[Product Code]],ProductData[[Code]:[Item]],2,FALSE)</f>
        <v>Ultrathing V1</v>
      </c>
      <c r="P604" s="4">
        <f>OrganizedData[[#This Row],[Quantity]]*VLOOKUP(OrganizedData[[#This Row],[Product Code]],ProductData[],4,FALSE)</f>
        <v>1275</v>
      </c>
      <c r="Q604" s="6">
        <f>OrganizedData[[#This Row],[Total Items Ordered]]*VLOOKUP(OrganizedData[[#This Row],[Product Code]],ProductData[],3,FALSE)</f>
        <v>2282.25</v>
      </c>
      <c r="R6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2168.1374999999998</v>
      </c>
    </row>
    <row r="605" spans="1:18" x14ac:dyDescent="0.3">
      <c r="A605" s="2">
        <v>598</v>
      </c>
      <c r="B605" s="2" t="s">
        <v>2206</v>
      </c>
      <c r="C605" s="2" t="s">
        <v>2207</v>
      </c>
      <c r="D605" s="2" t="s">
        <v>28</v>
      </c>
      <c r="E605" s="2" t="s">
        <v>29</v>
      </c>
      <c r="F605" s="2">
        <v>30</v>
      </c>
      <c r="G605" s="2" t="s">
        <v>2208</v>
      </c>
      <c r="H605" s="2" t="s">
        <v>720</v>
      </c>
      <c r="I605" s="2" t="s">
        <v>686</v>
      </c>
      <c r="J605" s="3">
        <v>44774</v>
      </c>
      <c r="K605" s="5">
        <f>YEAR(OrganizedData[[#This Row],[Order Date]])</f>
        <v>2022</v>
      </c>
      <c r="L605" s="7" t="str">
        <f>TEXT(OrganizedData[[#This Row],[Order Date]],"mmm")</f>
        <v>Aug</v>
      </c>
      <c r="M605" s="2">
        <v>82</v>
      </c>
      <c r="N605" s="2" t="s">
        <v>80</v>
      </c>
      <c r="O605" s="2" t="str">
        <f>VLOOKUP(OrganizedData[[#This Row],[Product Code]],ProductData[[Code]:[Item]],2,FALSE)</f>
        <v>Ultrathing V2</v>
      </c>
      <c r="P605" s="4">
        <f>OrganizedData[[#This Row],[Quantity]]*VLOOKUP(OrganizedData[[#This Row],[Product Code]],ProductData[],4,FALSE)</f>
        <v>1640</v>
      </c>
      <c r="Q605" s="6">
        <f>OrganizedData[[#This Row],[Total Items Ordered]]*VLOOKUP(OrganizedData[[#This Row],[Product Code]],ProductData[],3,FALSE)</f>
        <v>4838</v>
      </c>
      <c r="R6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4596.0999999999995</v>
      </c>
    </row>
    <row r="606" spans="1:18" x14ac:dyDescent="0.3">
      <c r="A606" s="2">
        <v>599</v>
      </c>
      <c r="B606" s="2" t="s">
        <v>2209</v>
      </c>
      <c r="C606" s="2" t="s">
        <v>2210</v>
      </c>
      <c r="D606" s="2" t="s">
        <v>28</v>
      </c>
      <c r="E606" s="2" t="s">
        <v>29</v>
      </c>
      <c r="F606" s="2">
        <v>30</v>
      </c>
      <c r="G606" s="2" t="s">
        <v>2211</v>
      </c>
      <c r="H606" s="2" t="s">
        <v>2212</v>
      </c>
      <c r="I606" s="2" t="s">
        <v>32</v>
      </c>
      <c r="J606" s="3">
        <v>43875</v>
      </c>
      <c r="K606" s="5">
        <f>YEAR(OrganizedData[[#This Row],[Order Date]])</f>
        <v>2020</v>
      </c>
      <c r="L606" s="7" t="str">
        <f>TEXT(OrganizedData[[#This Row],[Order Date]],"mmm")</f>
        <v>Feb</v>
      </c>
      <c r="M606" s="2">
        <v>25</v>
      </c>
      <c r="N606" s="2" t="s">
        <v>33</v>
      </c>
      <c r="O606" s="2" t="str">
        <f>VLOOKUP(OrganizedData[[#This Row],[Product Code]],ProductData[[Code]:[Item]],2,FALSE)</f>
        <v>Megawidget L</v>
      </c>
      <c r="P606" s="4">
        <f>OrganizedData[[#This Row],[Quantity]]*VLOOKUP(OrganizedData[[#This Row],[Product Code]],ProductData[],4,FALSE)</f>
        <v>600</v>
      </c>
      <c r="Q606" s="6">
        <f>OrganizedData[[#This Row],[Total Items Ordered]]*VLOOKUP(OrganizedData[[#This Row],[Product Code]],ProductData[],3,FALSE)</f>
        <v>1074</v>
      </c>
      <c r="R6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1041.78</v>
      </c>
    </row>
    <row r="607" spans="1:18" x14ac:dyDescent="0.3">
      <c r="A607" s="2">
        <v>600</v>
      </c>
      <c r="B607" s="2" t="s">
        <v>2213</v>
      </c>
      <c r="C607" s="2" t="s">
        <v>1985</v>
      </c>
      <c r="D607" s="2" t="s">
        <v>28</v>
      </c>
      <c r="E607" s="2" t="s">
        <v>29</v>
      </c>
      <c r="F607" s="2">
        <v>90</v>
      </c>
      <c r="G607" s="2" t="s">
        <v>2214</v>
      </c>
      <c r="H607" s="2" t="s">
        <v>137</v>
      </c>
      <c r="I607" s="2" t="s">
        <v>32</v>
      </c>
      <c r="J607" s="3">
        <v>44724</v>
      </c>
      <c r="K607" s="5">
        <f>YEAR(OrganizedData[[#This Row],[Order Date]])</f>
        <v>2022</v>
      </c>
      <c r="L607" s="7" t="str">
        <f>TEXT(OrganizedData[[#This Row],[Order Date]],"mmm")</f>
        <v>Jun</v>
      </c>
      <c r="M607" s="2">
        <v>6</v>
      </c>
      <c r="N607" s="2" t="s">
        <v>33</v>
      </c>
      <c r="O607" s="2" t="str">
        <f>VLOOKUP(OrganizedData[[#This Row],[Product Code]],ProductData[[Code]:[Item]],2,FALSE)</f>
        <v>Megawidget L</v>
      </c>
      <c r="P607" s="4">
        <f>OrganizedData[[#This Row],[Quantity]]*VLOOKUP(OrganizedData[[#This Row],[Product Code]],ProductData[],4,FALSE)</f>
        <v>144</v>
      </c>
      <c r="Q607" s="6">
        <f>OrganizedData[[#This Row],[Total Items Ordered]]*VLOOKUP(OrganizedData[[#This Row],[Product Code]],ProductData[],3,FALSE)</f>
        <v>257.76</v>
      </c>
      <c r="R6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257.76</v>
      </c>
    </row>
    <row r="608" spans="1:18" x14ac:dyDescent="0.3">
      <c r="A608" s="2">
        <v>601</v>
      </c>
      <c r="B608" s="2" t="s">
        <v>496</v>
      </c>
      <c r="C608" s="2" t="s">
        <v>1950</v>
      </c>
      <c r="D608" s="2" t="s">
        <v>28</v>
      </c>
      <c r="E608" s="2" t="s">
        <v>29</v>
      </c>
      <c r="F608" s="2">
        <v>60</v>
      </c>
      <c r="G608" s="2" t="s">
        <v>2215</v>
      </c>
      <c r="H608" s="2" t="s">
        <v>1747</v>
      </c>
      <c r="I608" s="2" t="s">
        <v>294</v>
      </c>
      <c r="J608" s="3">
        <v>43875</v>
      </c>
      <c r="K608" s="5">
        <f>YEAR(OrganizedData[[#This Row],[Order Date]])</f>
        <v>2020</v>
      </c>
      <c r="L608" s="7" t="str">
        <f>TEXT(OrganizedData[[#This Row],[Order Date]],"mmm")</f>
        <v>Feb</v>
      </c>
      <c r="M608" s="2">
        <v>78</v>
      </c>
      <c r="N608" s="2" t="s">
        <v>33</v>
      </c>
      <c r="O608" s="2" t="str">
        <f>VLOOKUP(OrganizedData[[#This Row],[Product Code]],ProductData[[Code]:[Item]],2,FALSE)</f>
        <v>Megawidget L</v>
      </c>
      <c r="P608" s="4">
        <f>OrganizedData[[#This Row],[Quantity]]*VLOOKUP(OrganizedData[[#This Row],[Product Code]],ProductData[],4,FALSE)</f>
        <v>1872</v>
      </c>
      <c r="Q608" s="6">
        <f>OrganizedData[[#This Row],[Total Items Ordered]]*VLOOKUP(OrganizedData[[#This Row],[Product Code]],ProductData[],3,FALSE)</f>
        <v>3350.88</v>
      </c>
      <c r="R6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3183.3359999999998</v>
      </c>
    </row>
    <row r="609" spans="1:18" x14ac:dyDescent="0.3">
      <c r="A609" s="2">
        <v>602</v>
      </c>
      <c r="B609" s="2" t="s">
        <v>134</v>
      </c>
      <c r="C609" s="2" t="s">
        <v>2216</v>
      </c>
      <c r="D609" s="2" t="s">
        <v>28</v>
      </c>
      <c r="E609" s="2" t="s">
        <v>29</v>
      </c>
      <c r="F609" s="2">
        <v>60</v>
      </c>
      <c r="G609" s="2" t="s">
        <v>2217</v>
      </c>
      <c r="H609" s="2" t="s">
        <v>2218</v>
      </c>
      <c r="I609" s="2" t="s">
        <v>173</v>
      </c>
      <c r="J609" s="3">
        <v>44196</v>
      </c>
      <c r="K609" s="5">
        <f>YEAR(OrganizedData[[#This Row],[Order Date]])</f>
        <v>2020</v>
      </c>
      <c r="L609" s="7" t="str">
        <f>TEXT(OrganizedData[[#This Row],[Order Date]],"mmm")</f>
        <v>Dec</v>
      </c>
      <c r="M609" s="2">
        <v>10</v>
      </c>
      <c r="N609" s="2" t="s">
        <v>39</v>
      </c>
      <c r="O609" s="2" t="str">
        <f>VLOOKUP(OrganizedData[[#This Row],[Product Code]],ProductData[[Code]:[Item]],2,FALSE)</f>
        <v>Ultrathing V1</v>
      </c>
      <c r="P609" s="4">
        <f>OrganizedData[[#This Row],[Quantity]]*VLOOKUP(OrganizedData[[#This Row],[Product Code]],ProductData[],4,FALSE)</f>
        <v>170</v>
      </c>
      <c r="Q609" s="6">
        <f>OrganizedData[[#This Row],[Total Items Ordered]]*VLOOKUP(OrganizedData[[#This Row],[Product Code]],ProductData[],3,FALSE)</f>
        <v>304.3</v>
      </c>
      <c r="R6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610" spans="1:18" x14ac:dyDescent="0.3">
      <c r="A610" s="2">
        <v>603</v>
      </c>
      <c r="B610" s="2" t="s">
        <v>2219</v>
      </c>
      <c r="C610" s="2" t="s">
        <v>2220</v>
      </c>
      <c r="D610" s="2" t="s">
        <v>15</v>
      </c>
      <c r="E610" s="2" t="s">
        <v>16</v>
      </c>
      <c r="F610" s="2">
        <v>90</v>
      </c>
      <c r="G610" s="2" t="s">
        <v>2221</v>
      </c>
      <c r="H610" s="2" t="s">
        <v>1325</v>
      </c>
      <c r="I610" s="2" t="s">
        <v>187</v>
      </c>
      <c r="J610" s="3">
        <v>44802</v>
      </c>
      <c r="K610" s="5">
        <f>YEAR(OrganizedData[[#This Row],[Order Date]])</f>
        <v>2022</v>
      </c>
      <c r="L610" s="7" t="str">
        <f>TEXT(OrganizedData[[#This Row],[Order Date]],"mmm")</f>
        <v>Aug</v>
      </c>
      <c r="M610" s="2">
        <v>46</v>
      </c>
      <c r="N610" s="2" t="s">
        <v>101</v>
      </c>
      <c r="O610" s="2" t="str">
        <f>VLOOKUP(OrganizedData[[#This Row],[Product Code]],ProductData[[Code]:[Item]],2,FALSE)</f>
        <v>Superwossname</v>
      </c>
      <c r="P610" s="4">
        <f>OrganizedData[[#This Row],[Quantity]]*VLOOKUP(OrganizedData[[#This Row],[Product Code]],ProductData[],4,FALSE)</f>
        <v>920</v>
      </c>
      <c r="Q610" s="6">
        <f>OrganizedData[[#This Row],[Total Items Ordered]]*VLOOKUP(OrganizedData[[#This Row],[Product Code]],ProductData[],3,FALSE)</f>
        <v>3210.8</v>
      </c>
      <c r="R6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611" spans="1:18" x14ac:dyDescent="0.3">
      <c r="A611" s="2">
        <v>604</v>
      </c>
      <c r="B611" s="2" t="s">
        <v>2222</v>
      </c>
      <c r="C611" s="2" t="s">
        <v>2223</v>
      </c>
      <c r="D611" s="2" t="s">
        <v>51</v>
      </c>
      <c r="E611" s="2" t="s">
        <v>16</v>
      </c>
      <c r="F611" s="2">
        <v>90</v>
      </c>
      <c r="G611" s="2" t="s">
        <v>2224</v>
      </c>
      <c r="H611" s="2" t="s">
        <v>641</v>
      </c>
      <c r="I611" s="2" t="s">
        <v>294</v>
      </c>
      <c r="J611" s="3">
        <v>44494</v>
      </c>
      <c r="K611" s="5">
        <f>YEAR(OrganizedData[[#This Row],[Order Date]])</f>
        <v>2021</v>
      </c>
      <c r="L611" s="7" t="str">
        <f>TEXT(OrganizedData[[#This Row],[Order Date]],"mmm")</f>
        <v>Oct</v>
      </c>
      <c r="M611" s="2">
        <v>62</v>
      </c>
      <c r="N611" s="2" t="s">
        <v>33</v>
      </c>
      <c r="O611" s="2" t="str">
        <f>VLOOKUP(OrganizedData[[#This Row],[Product Code]],ProductData[[Code]:[Item]],2,FALSE)</f>
        <v>Megawidget L</v>
      </c>
      <c r="P611" s="4">
        <f>OrganizedData[[#This Row],[Quantity]]*VLOOKUP(OrganizedData[[#This Row],[Product Code]],ProductData[],4,FALSE)</f>
        <v>1488</v>
      </c>
      <c r="Q611" s="6">
        <f>OrganizedData[[#This Row],[Total Items Ordered]]*VLOOKUP(OrganizedData[[#This Row],[Product Code]],ProductData[],3,FALSE)</f>
        <v>2663.52</v>
      </c>
      <c r="R6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612" spans="1:18" x14ac:dyDescent="0.3">
      <c r="A612" s="2">
        <v>605</v>
      </c>
      <c r="B612" s="2" t="s">
        <v>2225</v>
      </c>
      <c r="C612" s="2" t="s">
        <v>944</v>
      </c>
      <c r="D612" s="2" t="s">
        <v>15</v>
      </c>
      <c r="E612" s="2" t="s">
        <v>16</v>
      </c>
      <c r="F612" s="2">
        <v>60</v>
      </c>
      <c r="G612" s="2" t="s">
        <v>2226</v>
      </c>
      <c r="H612" s="2" t="s">
        <v>2227</v>
      </c>
      <c r="I612" s="2" t="s">
        <v>38</v>
      </c>
      <c r="J612" s="3">
        <v>44739</v>
      </c>
      <c r="K612" s="5">
        <f>YEAR(OrganizedData[[#This Row],[Order Date]])</f>
        <v>2022</v>
      </c>
      <c r="L612" s="7" t="str">
        <f>TEXT(OrganizedData[[#This Row],[Order Date]],"mmm")</f>
        <v>Jun</v>
      </c>
      <c r="M612" s="2">
        <v>16</v>
      </c>
      <c r="N612" s="2" t="s">
        <v>33</v>
      </c>
      <c r="O612" s="2" t="str">
        <f>VLOOKUP(OrganizedData[[#This Row],[Product Code]],ProductData[[Code]:[Item]],2,FALSE)</f>
        <v>Megawidget L</v>
      </c>
      <c r="P612" s="4">
        <f>OrganizedData[[#This Row],[Quantity]]*VLOOKUP(OrganizedData[[#This Row],[Product Code]],ProductData[],4,FALSE)</f>
        <v>384</v>
      </c>
      <c r="Q612" s="6">
        <f>OrganizedData[[#This Row],[Total Items Ordered]]*VLOOKUP(OrganizedData[[#This Row],[Product Code]],ProductData[],3,FALSE)</f>
        <v>687.36</v>
      </c>
      <c r="R6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613" spans="1:18" x14ac:dyDescent="0.3">
      <c r="A613" s="2">
        <v>606</v>
      </c>
      <c r="B613" s="2" t="s">
        <v>1074</v>
      </c>
      <c r="C613" s="2" t="s">
        <v>2228</v>
      </c>
      <c r="D613" s="2" t="s">
        <v>15</v>
      </c>
      <c r="E613" s="2" t="s">
        <v>16</v>
      </c>
      <c r="F613" s="2">
        <v>30</v>
      </c>
      <c r="G613" s="2" t="s">
        <v>2229</v>
      </c>
      <c r="H613" s="2" t="s">
        <v>2230</v>
      </c>
      <c r="I613" s="2" t="s">
        <v>32</v>
      </c>
      <c r="J613" s="3">
        <v>44676</v>
      </c>
      <c r="K613" s="5">
        <f>YEAR(OrganizedData[[#This Row],[Order Date]])</f>
        <v>2022</v>
      </c>
      <c r="L613" s="7" t="str">
        <f>TEXT(OrganizedData[[#This Row],[Order Date]],"mmm")</f>
        <v>Apr</v>
      </c>
      <c r="M613" s="2">
        <v>89</v>
      </c>
      <c r="N613" s="2" t="s">
        <v>64</v>
      </c>
      <c r="O613" s="2" t="str">
        <f>VLOOKUP(OrganizedData[[#This Row],[Product Code]],ProductData[[Code]:[Item]],2,FALSE)</f>
        <v>Ultrathing V4</v>
      </c>
      <c r="P613" s="4">
        <f>OrganizedData[[#This Row],[Quantity]]*VLOOKUP(OrganizedData[[#This Row],[Product Code]],ProductData[],4,FALSE)</f>
        <v>2136</v>
      </c>
      <c r="Q613" s="6">
        <f>OrganizedData[[#This Row],[Total Items Ordered]]*VLOOKUP(OrganizedData[[#This Row],[Product Code]],ProductData[],3,FALSE)</f>
        <v>8522.6400000000012</v>
      </c>
      <c r="R6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8096.5080000000007</v>
      </c>
    </row>
    <row r="614" spans="1:18" x14ac:dyDescent="0.3">
      <c r="A614" s="2">
        <v>607</v>
      </c>
      <c r="B614" s="2" t="s">
        <v>2231</v>
      </c>
      <c r="C614" s="2" t="s">
        <v>804</v>
      </c>
      <c r="D614" s="2" t="s">
        <v>28</v>
      </c>
      <c r="E614" s="2" t="s">
        <v>29</v>
      </c>
      <c r="F614" s="2">
        <v>60</v>
      </c>
      <c r="G614" s="2" t="s">
        <v>2232</v>
      </c>
      <c r="H614" s="2" t="s">
        <v>2233</v>
      </c>
      <c r="I614" s="2" t="s">
        <v>187</v>
      </c>
      <c r="J614" s="3">
        <v>44746</v>
      </c>
      <c r="K614" s="5">
        <f>YEAR(OrganizedData[[#This Row],[Order Date]])</f>
        <v>2022</v>
      </c>
      <c r="L614" s="7" t="str">
        <f>TEXT(OrganizedData[[#This Row],[Order Date]],"mmm")</f>
        <v>Jul</v>
      </c>
      <c r="M614" s="2">
        <v>33</v>
      </c>
      <c r="N614" s="2" t="s">
        <v>45</v>
      </c>
      <c r="O614" s="2" t="str">
        <f>VLOOKUP(OrganizedData[[#This Row],[Product Code]],ProductData[[Code]:[Item]],2,FALSE)</f>
        <v>Gigastuff</v>
      </c>
      <c r="P614" s="4">
        <f>OrganizedData[[#This Row],[Quantity]]*VLOOKUP(OrganizedData[[#This Row],[Product Code]],ProductData[],4,FALSE)</f>
        <v>594</v>
      </c>
      <c r="Q614" s="6">
        <f>OrganizedData[[#This Row],[Total Items Ordered]]*VLOOKUP(OrganizedData[[#This Row],[Product Code]],ProductData[],3,FALSE)</f>
        <v>1122.6599999999999</v>
      </c>
      <c r="R6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615" spans="1:18" x14ac:dyDescent="0.3">
      <c r="A615" s="2">
        <v>608</v>
      </c>
      <c r="B615" s="2" t="s">
        <v>2234</v>
      </c>
      <c r="C615" s="2" t="s">
        <v>1020</v>
      </c>
      <c r="D615" s="2" t="s">
        <v>15</v>
      </c>
      <c r="E615" s="2" t="s">
        <v>16</v>
      </c>
      <c r="F615" s="2">
        <v>60</v>
      </c>
      <c r="G615" s="2" t="s">
        <v>2235</v>
      </c>
      <c r="H615" s="2" t="s">
        <v>2236</v>
      </c>
      <c r="I615" s="2" t="s">
        <v>2237</v>
      </c>
      <c r="J615" s="3">
        <v>43922</v>
      </c>
      <c r="K615" s="5">
        <f>YEAR(OrganizedData[[#This Row],[Order Date]])</f>
        <v>2020</v>
      </c>
      <c r="L615" s="7" t="str">
        <f>TEXT(OrganizedData[[#This Row],[Order Date]],"mmm")</f>
        <v>Apr</v>
      </c>
      <c r="M615" s="2">
        <v>38</v>
      </c>
      <c r="N615" s="2" t="s">
        <v>20</v>
      </c>
      <c r="O615" s="2" t="str">
        <f>VLOOKUP(OrganizedData[[#This Row],[Product Code]],ProductData[[Code]:[Item]],2,FALSE)</f>
        <v>Hyperwotsit</v>
      </c>
      <c r="P615" s="4">
        <f>OrganizedData[[#This Row],[Quantity]]*VLOOKUP(OrganizedData[[#This Row],[Product Code]],ProductData[],4,FALSE)</f>
        <v>760</v>
      </c>
      <c r="Q615" s="6">
        <f>OrganizedData[[#This Row],[Total Items Ordered]]*VLOOKUP(OrganizedData[[#This Row],[Product Code]],ProductData[],3,FALSE)</f>
        <v>1527.6</v>
      </c>
      <c r="R6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1481.7719999999999</v>
      </c>
    </row>
    <row r="616" spans="1:18" x14ac:dyDescent="0.3">
      <c r="A616" s="2">
        <v>609</v>
      </c>
      <c r="B616" s="2" t="s">
        <v>2238</v>
      </c>
      <c r="C616" s="2" t="s">
        <v>410</v>
      </c>
      <c r="D616" s="2" t="s">
        <v>51</v>
      </c>
      <c r="E616" s="2" t="s">
        <v>16</v>
      </c>
      <c r="F616" s="2">
        <v>90</v>
      </c>
      <c r="G616" s="2" t="s">
        <v>2239</v>
      </c>
      <c r="H616" s="2" t="s">
        <v>2240</v>
      </c>
      <c r="I616" s="2" t="s">
        <v>32</v>
      </c>
      <c r="J616" s="3">
        <v>44216</v>
      </c>
      <c r="K616" s="5">
        <f>YEAR(OrganizedData[[#This Row],[Order Date]])</f>
        <v>2021</v>
      </c>
      <c r="L616" s="7" t="str">
        <f>TEXT(OrganizedData[[#This Row],[Order Date]],"mmm")</f>
        <v>Jan</v>
      </c>
      <c r="M616" s="2">
        <v>59</v>
      </c>
      <c r="N616" s="2" t="s">
        <v>70</v>
      </c>
      <c r="O616" s="2" t="str">
        <f>VLOOKUP(OrganizedData[[#This Row],[Product Code]],ProductData[[Code]:[Item]],2,FALSE)</f>
        <v>Megawidget M</v>
      </c>
      <c r="P616" s="4">
        <f>OrganizedData[[#This Row],[Quantity]]*VLOOKUP(OrganizedData[[#This Row],[Product Code]],ProductData[],4,FALSE)</f>
        <v>1416</v>
      </c>
      <c r="Q616" s="6">
        <f>OrganizedData[[#This Row],[Total Items Ordered]]*VLOOKUP(OrganizedData[[#This Row],[Product Code]],ProductData[],3,FALSE)</f>
        <v>1826.64</v>
      </c>
      <c r="R6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617" spans="1:18" x14ac:dyDescent="0.3">
      <c r="A617" s="2">
        <v>610</v>
      </c>
      <c r="B617" s="2" t="s">
        <v>2241</v>
      </c>
      <c r="C617" s="2" t="s">
        <v>438</v>
      </c>
      <c r="D617" s="2" t="s">
        <v>51</v>
      </c>
      <c r="E617" s="2" t="s">
        <v>16</v>
      </c>
      <c r="F617" s="2">
        <v>30</v>
      </c>
      <c r="G617" s="2" t="s">
        <v>2242</v>
      </c>
      <c r="H617" s="2" t="s">
        <v>2243</v>
      </c>
      <c r="I617" s="2" t="s">
        <v>32</v>
      </c>
      <c r="J617" s="3">
        <v>44852</v>
      </c>
      <c r="K617" s="5">
        <f>YEAR(OrganizedData[[#This Row],[Order Date]])</f>
        <v>2022</v>
      </c>
      <c r="L617" s="7" t="str">
        <f>TEXT(OrganizedData[[#This Row],[Order Date]],"mmm")</f>
        <v>Oct</v>
      </c>
      <c r="M617" s="2">
        <v>47</v>
      </c>
      <c r="N617" s="2" t="s">
        <v>54</v>
      </c>
      <c r="O617" s="2" t="str">
        <f>VLOOKUP(OrganizedData[[#This Row],[Product Code]],ProductData[[Code]:[Item]],2,FALSE)</f>
        <v>Megawidget S</v>
      </c>
      <c r="P617" s="4">
        <f>OrganizedData[[#This Row],[Quantity]]*VLOOKUP(OrganizedData[[#This Row],[Product Code]],ProductData[],4,FALSE)</f>
        <v>1128</v>
      </c>
      <c r="Q617" s="6">
        <f>OrganizedData[[#This Row],[Total Items Ordered]]*VLOOKUP(OrganizedData[[#This Row],[Product Code]],ProductData[],3,FALSE)</f>
        <v>778.31999999999994</v>
      </c>
      <c r="R6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618" spans="1:18" x14ac:dyDescent="0.3">
      <c r="A618" s="2">
        <v>611</v>
      </c>
      <c r="B618" s="2" t="s">
        <v>2244</v>
      </c>
      <c r="C618" s="2" t="s">
        <v>1766</v>
      </c>
      <c r="D618" s="2" t="s">
        <v>28</v>
      </c>
      <c r="E618" s="2" t="s">
        <v>29</v>
      </c>
      <c r="F618" s="2">
        <v>60</v>
      </c>
      <c r="G618" s="2" t="s">
        <v>2245</v>
      </c>
      <c r="H618" s="2" t="s">
        <v>667</v>
      </c>
      <c r="I618" s="2" t="s">
        <v>25</v>
      </c>
      <c r="J618" s="3">
        <v>44339</v>
      </c>
      <c r="K618" s="5">
        <f>YEAR(OrganizedData[[#This Row],[Order Date]])</f>
        <v>2021</v>
      </c>
      <c r="L618" s="7" t="str">
        <f>TEXT(OrganizedData[[#This Row],[Order Date]],"mmm")</f>
        <v>May</v>
      </c>
      <c r="M618" s="2">
        <v>17</v>
      </c>
      <c r="N618" s="2" t="s">
        <v>159</v>
      </c>
      <c r="O618" s="2" t="str">
        <f>VLOOKUP(OrganizedData[[#This Row],[Product Code]],ProductData[[Code]:[Item]],2,FALSE)</f>
        <v>Ultrathing V3</v>
      </c>
      <c r="P618" s="4">
        <f>OrganizedData[[#This Row],[Quantity]]*VLOOKUP(OrganizedData[[#This Row],[Product Code]],ProductData[],4,FALSE)</f>
        <v>408</v>
      </c>
      <c r="Q618" s="6">
        <f>OrganizedData[[#This Row],[Total Items Ordered]]*VLOOKUP(OrganizedData[[#This Row],[Product Code]],ProductData[],3,FALSE)</f>
        <v>1383.1200000000001</v>
      </c>
      <c r="R6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1383.1200000000001</v>
      </c>
    </row>
    <row r="619" spans="1:18" x14ac:dyDescent="0.3">
      <c r="A619" s="2">
        <v>612</v>
      </c>
      <c r="B619" s="2" t="s">
        <v>2246</v>
      </c>
      <c r="C619" s="2" t="s">
        <v>2247</v>
      </c>
      <c r="D619" s="2" t="s">
        <v>92</v>
      </c>
      <c r="E619" s="2" t="s">
        <v>29</v>
      </c>
      <c r="F619" s="2">
        <v>60</v>
      </c>
      <c r="G619" s="2" t="s">
        <v>2248</v>
      </c>
      <c r="H619" s="2" t="s">
        <v>34</v>
      </c>
      <c r="I619" s="2" t="s">
        <v>1454</v>
      </c>
      <c r="J619" s="3">
        <v>44867</v>
      </c>
      <c r="K619" s="5">
        <f>YEAR(OrganizedData[[#This Row],[Order Date]])</f>
        <v>2022</v>
      </c>
      <c r="L619" s="7" t="str">
        <f>TEXT(OrganizedData[[#This Row],[Order Date]],"mmm")</f>
        <v>Nov</v>
      </c>
      <c r="M619" s="2">
        <v>15</v>
      </c>
      <c r="N619" s="2" t="s">
        <v>33</v>
      </c>
      <c r="O619" s="2" t="str">
        <f>VLOOKUP(OrganizedData[[#This Row],[Product Code]],ProductData[[Code]:[Item]],2,FALSE)</f>
        <v>Megawidget L</v>
      </c>
      <c r="P619" s="4">
        <f>OrganizedData[[#This Row],[Quantity]]*VLOOKUP(OrganizedData[[#This Row],[Product Code]],ProductData[],4,FALSE)</f>
        <v>360</v>
      </c>
      <c r="Q619" s="6">
        <f>OrganizedData[[#This Row],[Total Items Ordered]]*VLOOKUP(OrganizedData[[#This Row],[Product Code]],ProductData[],3,FALSE)</f>
        <v>644.4</v>
      </c>
      <c r="R6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644.4</v>
      </c>
    </row>
    <row r="620" spans="1:18" x14ac:dyDescent="0.3">
      <c r="A620" s="2">
        <v>613</v>
      </c>
      <c r="B620" s="2" t="s">
        <v>2249</v>
      </c>
      <c r="C620" s="2" t="s">
        <v>2188</v>
      </c>
      <c r="D620" s="2" t="s">
        <v>28</v>
      </c>
      <c r="E620" s="2" t="s">
        <v>29</v>
      </c>
      <c r="F620" s="2">
        <v>60</v>
      </c>
      <c r="G620" s="2" t="s">
        <v>2248</v>
      </c>
      <c r="H620" s="2" t="s">
        <v>2250</v>
      </c>
      <c r="I620" s="2" t="s">
        <v>187</v>
      </c>
      <c r="J620" s="3">
        <v>44408</v>
      </c>
      <c r="K620" s="5">
        <f>YEAR(OrganizedData[[#This Row],[Order Date]])</f>
        <v>2021</v>
      </c>
      <c r="L620" s="7" t="str">
        <f>TEXT(OrganizedData[[#This Row],[Order Date]],"mmm")</f>
        <v>Jul</v>
      </c>
      <c r="M620" s="2">
        <v>32</v>
      </c>
      <c r="N620" s="2" t="s">
        <v>33</v>
      </c>
      <c r="O620" s="2" t="str">
        <f>VLOOKUP(OrganizedData[[#This Row],[Product Code]],ProductData[[Code]:[Item]],2,FALSE)</f>
        <v>Megawidget L</v>
      </c>
      <c r="P620" s="4">
        <f>OrganizedData[[#This Row],[Quantity]]*VLOOKUP(OrganizedData[[#This Row],[Product Code]],ProductData[],4,FALSE)</f>
        <v>768</v>
      </c>
      <c r="Q620" s="6">
        <f>OrganizedData[[#This Row],[Total Items Ordered]]*VLOOKUP(OrganizedData[[#This Row],[Product Code]],ProductData[],3,FALSE)</f>
        <v>1374.72</v>
      </c>
      <c r="R6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1333.4784</v>
      </c>
    </row>
    <row r="621" spans="1:18" x14ac:dyDescent="0.3">
      <c r="A621" s="2">
        <v>614</v>
      </c>
      <c r="B621" s="2" t="s">
        <v>2251</v>
      </c>
      <c r="C621" s="2" t="s">
        <v>2252</v>
      </c>
      <c r="D621" s="2" t="s">
        <v>28</v>
      </c>
      <c r="E621" s="2" t="s">
        <v>29</v>
      </c>
      <c r="F621" s="2">
        <v>30</v>
      </c>
      <c r="G621" s="2" t="s">
        <v>2248</v>
      </c>
      <c r="H621" s="2" t="s">
        <v>615</v>
      </c>
      <c r="I621" s="2" t="s">
        <v>32</v>
      </c>
      <c r="J621" s="3">
        <v>43854</v>
      </c>
      <c r="K621" s="5">
        <f>YEAR(OrganizedData[[#This Row],[Order Date]])</f>
        <v>2020</v>
      </c>
      <c r="L621" s="7" t="str">
        <f>TEXT(OrganizedData[[#This Row],[Order Date]],"mmm")</f>
        <v>Jan</v>
      </c>
      <c r="M621" s="2">
        <v>25</v>
      </c>
      <c r="N621" s="2" t="s">
        <v>159</v>
      </c>
      <c r="O621" s="2" t="str">
        <f>VLOOKUP(OrganizedData[[#This Row],[Product Code]],ProductData[[Code]:[Item]],2,FALSE)</f>
        <v>Ultrathing V3</v>
      </c>
      <c r="P621" s="4">
        <f>OrganizedData[[#This Row],[Quantity]]*VLOOKUP(OrganizedData[[#This Row],[Product Code]],ProductData[],4,FALSE)</f>
        <v>600</v>
      </c>
      <c r="Q621" s="6">
        <f>OrganizedData[[#This Row],[Total Items Ordered]]*VLOOKUP(OrganizedData[[#This Row],[Product Code]],ProductData[],3,FALSE)</f>
        <v>2034</v>
      </c>
      <c r="R6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1972.98</v>
      </c>
    </row>
    <row r="622" spans="1:18" x14ac:dyDescent="0.3">
      <c r="A622" s="2">
        <v>615</v>
      </c>
      <c r="B622" s="2" t="s">
        <v>2253</v>
      </c>
      <c r="C622" s="2" t="s">
        <v>2254</v>
      </c>
      <c r="D622" s="2" t="s">
        <v>92</v>
      </c>
      <c r="E622" s="2" t="s">
        <v>29</v>
      </c>
      <c r="F622" s="2">
        <v>30</v>
      </c>
      <c r="G622" s="2" t="s">
        <v>2255</v>
      </c>
      <c r="H622" s="2" t="s">
        <v>708</v>
      </c>
      <c r="I622" s="2" t="s">
        <v>294</v>
      </c>
      <c r="J622" s="3">
        <v>44126</v>
      </c>
      <c r="K622" s="5">
        <f>YEAR(OrganizedData[[#This Row],[Order Date]])</f>
        <v>2020</v>
      </c>
      <c r="L622" s="7" t="str">
        <f>TEXT(OrganizedData[[#This Row],[Order Date]],"mmm")</f>
        <v>Oct</v>
      </c>
      <c r="M622" s="2">
        <v>37</v>
      </c>
      <c r="N622" s="2" t="s">
        <v>70</v>
      </c>
      <c r="O622" s="2" t="str">
        <f>VLOOKUP(OrganizedData[[#This Row],[Product Code]],ProductData[[Code]:[Item]],2,FALSE)</f>
        <v>Megawidget M</v>
      </c>
      <c r="P622" s="4">
        <f>OrganizedData[[#This Row],[Quantity]]*VLOOKUP(OrganizedData[[#This Row],[Product Code]],ProductData[],4,FALSE)</f>
        <v>888</v>
      </c>
      <c r="Q622" s="6">
        <f>OrganizedData[[#This Row],[Total Items Ordered]]*VLOOKUP(OrganizedData[[#This Row],[Product Code]],ProductData[],3,FALSE)</f>
        <v>1145.52</v>
      </c>
      <c r="R6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623" spans="1:18" x14ac:dyDescent="0.3">
      <c r="A623" s="2">
        <v>616</v>
      </c>
      <c r="B623" s="2" t="s">
        <v>2256</v>
      </c>
      <c r="C623" s="2" t="s">
        <v>2257</v>
      </c>
      <c r="D623" s="2" t="s">
        <v>28</v>
      </c>
      <c r="E623" s="2" t="s">
        <v>29</v>
      </c>
      <c r="F623" s="2">
        <v>60</v>
      </c>
      <c r="G623" s="2" t="s">
        <v>2258</v>
      </c>
      <c r="H623" s="2" t="s">
        <v>674</v>
      </c>
      <c r="I623" s="2" t="s">
        <v>32</v>
      </c>
      <c r="J623" s="3">
        <v>43916</v>
      </c>
      <c r="K623" s="5">
        <f>YEAR(OrganizedData[[#This Row],[Order Date]])</f>
        <v>2020</v>
      </c>
      <c r="L623" s="7" t="str">
        <f>TEXT(OrganizedData[[#This Row],[Order Date]],"mmm")</f>
        <v>Mar</v>
      </c>
      <c r="M623" s="2">
        <v>78</v>
      </c>
      <c r="N623" s="2" t="s">
        <v>159</v>
      </c>
      <c r="O623" s="2" t="str">
        <f>VLOOKUP(OrganizedData[[#This Row],[Product Code]],ProductData[[Code]:[Item]],2,FALSE)</f>
        <v>Ultrathing V3</v>
      </c>
      <c r="P623" s="4">
        <f>OrganizedData[[#This Row],[Quantity]]*VLOOKUP(OrganizedData[[#This Row],[Product Code]],ProductData[],4,FALSE)</f>
        <v>1872</v>
      </c>
      <c r="Q623" s="6">
        <f>OrganizedData[[#This Row],[Total Items Ordered]]*VLOOKUP(OrganizedData[[#This Row],[Product Code]],ProductData[],3,FALSE)</f>
        <v>6346.08</v>
      </c>
      <c r="R6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624" spans="1:18" x14ac:dyDescent="0.3">
      <c r="A624" s="2">
        <v>617</v>
      </c>
      <c r="B624" s="2" t="s">
        <v>2259</v>
      </c>
      <c r="C624" s="2" t="s">
        <v>106</v>
      </c>
      <c r="D624" s="2" t="s">
        <v>28</v>
      </c>
      <c r="E624" s="2" t="s">
        <v>29</v>
      </c>
      <c r="F624" s="2">
        <v>30</v>
      </c>
      <c r="G624" s="2" t="s">
        <v>2260</v>
      </c>
      <c r="H624" s="2" t="s">
        <v>2261</v>
      </c>
      <c r="I624" s="2" t="s">
        <v>32</v>
      </c>
      <c r="J624" s="3">
        <v>44867</v>
      </c>
      <c r="K624" s="5">
        <f>YEAR(OrganizedData[[#This Row],[Order Date]])</f>
        <v>2022</v>
      </c>
      <c r="L624" s="7" t="str">
        <f>TEXT(OrganizedData[[#This Row],[Order Date]],"mmm")</f>
        <v>Nov</v>
      </c>
      <c r="M624" s="2">
        <v>69</v>
      </c>
      <c r="N624" s="2" t="s">
        <v>70</v>
      </c>
      <c r="O624" s="2" t="str">
        <f>VLOOKUP(OrganizedData[[#This Row],[Product Code]],ProductData[[Code]:[Item]],2,FALSE)</f>
        <v>Megawidget M</v>
      </c>
      <c r="P624" s="4">
        <f>OrganizedData[[#This Row],[Quantity]]*VLOOKUP(OrganizedData[[#This Row],[Product Code]],ProductData[],4,FALSE)</f>
        <v>1656</v>
      </c>
      <c r="Q624" s="6">
        <f>OrganizedData[[#This Row],[Total Items Ordered]]*VLOOKUP(OrganizedData[[#This Row],[Product Code]],ProductData[],3,FALSE)</f>
        <v>2136.2400000000002</v>
      </c>
      <c r="R6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2029.4280000000001</v>
      </c>
    </row>
    <row r="625" spans="1:18" x14ac:dyDescent="0.3">
      <c r="A625" s="2">
        <v>618</v>
      </c>
      <c r="B625" s="2" t="s">
        <v>2262</v>
      </c>
      <c r="C625" s="2" t="s">
        <v>2263</v>
      </c>
      <c r="D625" s="2" t="s">
        <v>15</v>
      </c>
      <c r="E625" s="2" t="s">
        <v>16</v>
      </c>
      <c r="F625" s="2">
        <v>60</v>
      </c>
      <c r="G625" s="2" t="s">
        <v>2264</v>
      </c>
      <c r="H625" s="2" t="s">
        <v>2265</v>
      </c>
      <c r="I625" s="2" t="s">
        <v>1083</v>
      </c>
      <c r="J625" s="3">
        <v>44844</v>
      </c>
      <c r="K625" s="5">
        <f>YEAR(OrganizedData[[#This Row],[Order Date]])</f>
        <v>2022</v>
      </c>
      <c r="L625" s="7" t="str">
        <f>TEXT(OrganizedData[[#This Row],[Order Date]],"mmm")</f>
        <v>Oct</v>
      </c>
      <c r="M625" s="2">
        <v>65</v>
      </c>
      <c r="N625" s="2" t="s">
        <v>45</v>
      </c>
      <c r="O625" s="2" t="str">
        <f>VLOOKUP(OrganizedData[[#This Row],[Product Code]],ProductData[[Code]:[Item]],2,FALSE)</f>
        <v>Gigastuff</v>
      </c>
      <c r="P625" s="4">
        <f>OrganizedData[[#This Row],[Quantity]]*VLOOKUP(OrganizedData[[#This Row],[Product Code]],ProductData[],4,FALSE)</f>
        <v>1170</v>
      </c>
      <c r="Q625" s="6">
        <f>OrganizedData[[#This Row],[Total Items Ordered]]*VLOOKUP(OrganizedData[[#This Row],[Product Code]],ProductData[],3,FALSE)</f>
        <v>2211.2999999999997</v>
      </c>
      <c r="R6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2100.7349999999997</v>
      </c>
    </row>
    <row r="626" spans="1:18" x14ac:dyDescent="0.3">
      <c r="A626" s="2">
        <v>619</v>
      </c>
      <c r="B626" s="2" t="s">
        <v>2213</v>
      </c>
      <c r="C626" s="2" t="s">
        <v>2266</v>
      </c>
      <c r="D626" s="2" t="s">
        <v>28</v>
      </c>
      <c r="E626" s="2" t="s">
        <v>29</v>
      </c>
      <c r="F626" s="2">
        <v>60</v>
      </c>
      <c r="G626" s="2" t="s">
        <v>2264</v>
      </c>
      <c r="H626" s="2" t="s">
        <v>2267</v>
      </c>
      <c r="I626" s="2" t="s">
        <v>124</v>
      </c>
      <c r="J626" s="3">
        <v>43929</v>
      </c>
      <c r="K626" s="5">
        <f>YEAR(OrganizedData[[#This Row],[Order Date]])</f>
        <v>2020</v>
      </c>
      <c r="L626" s="7" t="str">
        <f>TEXT(OrganizedData[[#This Row],[Order Date]],"mmm")</f>
        <v>Apr</v>
      </c>
      <c r="M626" s="2">
        <v>12</v>
      </c>
      <c r="N626" s="2" t="s">
        <v>64</v>
      </c>
      <c r="O626" s="2" t="str">
        <f>VLOOKUP(OrganizedData[[#This Row],[Product Code]],ProductData[[Code]:[Item]],2,FALSE)</f>
        <v>Ultrathing V4</v>
      </c>
      <c r="P626" s="4">
        <f>OrganizedData[[#This Row],[Quantity]]*VLOOKUP(OrganizedData[[#This Row],[Product Code]],ProductData[],4,FALSE)</f>
        <v>288</v>
      </c>
      <c r="Q626" s="6">
        <f>OrganizedData[[#This Row],[Total Items Ordered]]*VLOOKUP(OrganizedData[[#This Row],[Product Code]],ProductData[],3,FALSE)</f>
        <v>1149.1200000000001</v>
      </c>
      <c r="R6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1149.1200000000001</v>
      </c>
    </row>
    <row r="627" spans="1:18" x14ac:dyDescent="0.3">
      <c r="A627" s="2">
        <v>620</v>
      </c>
      <c r="B627" s="2" t="s">
        <v>2268</v>
      </c>
      <c r="C627" s="2" t="s">
        <v>2269</v>
      </c>
      <c r="D627" s="2" t="s">
        <v>51</v>
      </c>
      <c r="E627" s="2" t="s">
        <v>16</v>
      </c>
      <c r="F627" s="2">
        <v>90</v>
      </c>
      <c r="G627" s="2" t="s">
        <v>2270</v>
      </c>
      <c r="H627" s="2" t="s">
        <v>2271</v>
      </c>
      <c r="I627" s="2" t="s">
        <v>208</v>
      </c>
      <c r="J627" s="3">
        <v>43879</v>
      </c>
      <c r="K627" s="5">
        <f>YEAR(OrganizedData[[#This Row],[Order Date]])</f>
        <v>2020</v>
      </c>
      <c r="L627" s="7" t="str">
        <f>TEXT(OrganizedData[[#This Row],[Order Date]],"mmm")</f>
        <v>Feb</v>
      </c>
      <c r="M627" s="2">
        <v>40</v>
      </c>
      <c r="N627" s="2" t="s">
        <v>101</v>
      </c>
      <c r="O627" s="2" t="str">
        <f>VLOOKUP(OrganizedData[[#This Row],[Product Code]],ProductData[[Code]:[Item]],2,FALSE)</f>
        <v>Superwossname</v>
      </c>
      <c r="P627" s="4">
        <f>OrganizedData[[#This Row],[Quantity]]*VLOOKUP(OrganizedData[[#This Row],[Product Code]],ProductData[],4,FALSE)</f>
        <v>800</v>
      </c>
      <c r="Q627" s="6">
        <f>OrganizedData[[#This Row],[Total Items Ordered]]*VLOOKUP(OrganizedData[[#This Row],[Product Code]],ProductData[],3,FALSE)</f>
        <v>2792</v>
      </c>
      <c r="R6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2708.24</v>
      </c>
    </row>
    <row r="628" spans="1:18" x14ac:dyDescent="0.3">
      <c r="A628" s="2">
        <v>621</v>
      </c>
      <c r="B628" s="2" t="s">
        <v>2272</v>
      </c>
      <c r="C628" s="2" t="s">
        <v>2273</v>
      </c>
      <c r="D628" s="2" t="s">
        <v>15</v>
      </c>
      <c r="E628" s="2" t="s">
        <v>16</v>
      </c>
      <c r="F628" s="2">
        <v>90</v>
      </c>
      <c r="G628" s="2" t="s">
        <v>2274</v>
      </c>
      <c r="H628" s="2" t="s">
        <v>1956</v>
      </c>
      <c r="I628" s="2" t="s">
        <v>32</v>
      </c>
      <c r="J628" s="3">
        <v>44847</v>
      </c>
      <c r="K628" s="5">
        <f>YEAR(OrganizedData[[#This Row],[Order Date]])</f>
        <v>2022</v>
      </c>
      <c r="L628" s="7" t="str">
        <f>TEXT(OrganizedData[[#This Row],[Order Date]],"mmm")</f>
        <v>Oct</v>
      </c>
      <c r="M628" s="2">
        <v>98</v>
      </c>
      <c r="N628" s="2" t="s">
        <v>33</v>
      </c>
      <c r="O628" s="2" t="str">
        <f>VLOOKUP(OrganizedData[[#This Row],[Product Code]],ProductData[[Code]:[Item]],2,FALSE)</f>
        <v>Megawidget L</v>
      </c>
      <c r="P628" s="4">
        <f>OrganizedData[[#This Row],[Quantity]]*VLOOKUP(OrganizedData[[#This Row],[Product Code]],ProductData[],4,FALSE)</f>
        <v>2352</v>
      </c>
      <c r="Q628" s="6">
        <f>OrganizedData[[#This Row],[Total Items Ordered]]*VLOOKUP(OrganizedData[[#This Row],[Product Code]],ProductData[],3,FALSE)</f>
        <v>4210.08</v>
      </c>
      <c r="R6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3999.5759999999996</v>
      </c>
    </row>
    <row r="629" spans="1:18" x14ac:dyDescent="0.3">
      <c r="A629" s="2">
        <v>622</v>
      </c>
      <c r="B629" s="2" t="s">
        <v>2275</v>
      </c>
      <c r="C629" s="2" t="s">
        <v>2276</v>
      </c>
      <c r="D629" s="2" t="s">
        <v>28</v>
      </c>
      <c r="E629" s="2" t="s">
        <v>29</v>
      </c>
      <c r="F629" s="2">
        <v>30</v>
      </c>
      <c r="G629" s="2" t="s">
        <v>2277</v>
      </c>
      <c r="H629" s="2" t="s">
        <v>2109</v>
      </c>
      <c r="I629" s="2" t="s">
        <v>32</v>
      </c>
      <c r="J629" s="3">
        <v>44273</v>
      </c>
      <c r="K629" s="5">
        <f>YEAR(OrganizedData[[#This Row],[Order Date]])</f>
        <v>2021</v>
      </c>
      <c r="L629" s="7" t="str">
        <f>TEXT(OrganizedData[[#This Row],[Order Date]],"mmm")</f>
        <v>Mar</v>
      </c>
      <c r="M629" s="2">
        <v>59</v>
      </c>
      <c r="N629" s="2" t="s">
        <v>33</v>
      </c>
      <c r="O629" s="2" t="str">
        <f>VLOOKUP(OrganizedData[[#This Row],[Product Code]],ProductData[[Code]:[Item]],2,FALSE)</f>
        <v>Megawidget L</v>
      </c>
      <c r="P629" s="4">
        <f>OrganizedData[[#This Row],[Quantity]]*VLOOKUP(OrganizedData[[#This Row],[Product Code]],ProductData[],4,FALSE)</f>
        <v>1416</v>
      </c>
      <c r="Q629" s="6">
        <f>OrganizedData[[#This Row],[Total Items Ordered]]*VLOOKUP(OrganizedData[[#This Row],[Product Code]],ProductData[],3,FALSE)</f>
        <v>2534.64</v>
      </c>
      <c r="R6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2407.9079999999999</v>
      </c>
    </row>
    <row r="630" spans="1:18" x14ac:dyDescent="0.3">
      <c r="A630" s="2">
        <v>623</v>
      </c>
      <c r="B630" s="2" t="s">
        <v>2278</v>
      </c>
      <c r="C630" s="2" t="s">
        <v>2279</v>
      </c>
      <c r="D630" s="2" t="s">
        <v>28</v>
      </c>
      <c r="E630" s="2" t="s">
        <v>29</v>
      </c>
      <c r="F630" s="2">
        <v>30</v>
      </c>
      <c r="G630" s="2" t="s">
        <v>2280</v>
      </c>
      <c r="H630" s="2" t="s">
        <v>1568</v>
      </c>
      <c r="I630" s="2" t="s">
        <v>32</v>
      </c>
      <c r="J630" s="3">
        <v>44665</v>
      </c>
      <c r="K630" s="5">
        <f>YEAR(OrganizedData[[#This Row],[Order Date]])</f>
        <v>2022</v>
      </c>
      <c r="L630" s="7" t="str">
        <f>TEXT(OrganizedData[[#This Row],[Order Date]],"mmm")</f>
        <v>Apr</v>
      </c>
      <c r="M630" s="2">
        <v>73</v>
      </c>
      <c r="N630" s="2" t="s">
        <v>33</v>
      </c>
      <c r="O630" s="2" t="str">
        <f>VLOOKUP(OrganizedData[[#This Row],[Product Code]],ProductData[[Code]:[Item]],2,FALSE)</f>
        <v>Megawidget L</v>
      </c>
      <c r="P630" s="4">
        <f>OrganizedData[[#This Row],[Quantity]]*VLOOKUP(OrganizedData[[#This Row],[Product Code]],ProductData[],4,FALSE)</f>
        <v>1752</v>
      </c>
      <c r="Q630" s="6">
        <f>OrganizedData[[#This Row],[Total Items Ordered]]*VLOOKUP(OrganizedData[[#This Row],[Product Code]],ProductData[],3,FALSE)</f>
        <v>3136.08</v>
      </c>
      <c r="R6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2979.2759999999998</v>
      </c>
    </row>
    <row r="631" spans="1:18" x14ac:dyDescent="0.3">
      <c r="A631" s="2">
        <v>624</v>
      </c>
      <c r="B631" s="2" t="s">
        <v>2281</v>
      </c>
      <c r="C631" s="2" t="s">
        <v>2282</v>
      </c>
      <c r="D631" s="2" t="s">
        <v>28</v>
      </c>
      <c r="E631" s="2" t="s">
        <v>29</v>
      </c>
      <c r="F631" s="2">
        <v>30</v>
      </c>
      <c r="G631" s="2" t="s">
        <v>2283</v>
      </c>
      <c r="H631" s="2" t="s">
        <v>2284</v>
      </c>
      <c r="I631" s="2" t="s">
        <v>32</v>
      </c>
      <c r="J631" s="3">
        <v>44428</v>
      </c>
      <c r="K631" s="5">
        <f>YEAR(OrganizedData[[#This Row],[Order Date]])</f>
        <v>2021</v>
      </c>
      <c r="L631" s="7" t="str">
        <f>TEXT(OrganizedData[[#This Row],[Order Date]],"mmm")</f>
        <v>Aug</v>
      </c>
      <c r="M631" s="2">
        <v>58</v>
      </c>
      <c r="N631" s="2" t="s">
        <v>45</v>
      </c>
      <c r="O631" s="2" t="str">
        <f>VLOOKUP(OrganizedData[[#This Row],[Product Code]],ProductData[[Code]:[Item]],2,FALSE)</f>
        <v>Gigastuff</v>
      </c>
      <c r="P631" s="4">
        <f>OrganizedData[[#This Row],[Quantity]]*VLOOKUP(OrganizedData[[#This Row],[Product Code]],ProductData[],4,FALSE)</f>
        <v>1044</v>
      </c>
      <c r="Q631" s="6">
        <f>OrganizedData[[#This Row],[Total Items Ordered]]*VLOOKUP(OrganizedData[[#This Row],[Product Code]],ProductData[],3,FALSE)</f>
        <v>1973.1599999999999</v>
      </c>
      <c r="R6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1874.5019999999997</v>
      </c>
    </row>
    <row r="632" spans="1:18" x14ac:dyDescent="0.3">
      <c r="A632" s="2">
        <v>625</v>
      </c>
      <c r="B632" s="2" t="s">
        <v>2285</v>
      </c>
      <c r="C632" s="2" t="s">
        <v>2286</v>
      </c>
      <c r="D632" s="2" t="s">
        <v>15</v>
      </c>
      <c r="E632" s="2" t="s">
        <v>16</v>
      </c>
      <c r="F632" s="2">
        <v>30</v>
      </c>
      <c r="G632" s="2" t="s">
        <v>2287</v>
      </c>
      <c r="H632" s="2" t="s">
        <v>2288</v>
      </c>
      <c r="I632" s="2" t="s">
        <v>32</v>
      </c>
      <c r="J632" s="3">
        <v>44159</v>
      </c>
      <c r="K632" s="5">
        <f>YEAR(OrganizedData[[#This Row],[Order Date]])</f>
        <v>2020</v>
      </c>
      <c r="L632" s="7" t="str">
        <f>TEXT(OrganizedData[[#This Row],[Order Date]],"mmm")</f>
        <v>Nov</v>
      </c>
      <c r="M632" s="2">
        <v>29</v>
      </c>
      <c r="N632" s="2" t="s">
        <v>39</v>
      </c>
      <c r="O632" s="2" t="str">
        <f>VLOOKUP(OrganizedData[[#This Row],[Product Code]],ProductData[[Code]:[Item]],2,FALSE)</f>
        <v>Ultrathing V1</v>
      </c>
      <c r="P632" s="4">
        <f>OrganizedData[[#This Row],[Quantity]]*VLOOKUP(OrganizedData[[#This Row],[Product Code]],ProductData[],4,FALSE)</f>
        <v>493</v>
      </c>
      <c r="Q632" s="6">
        <f>OrganizedData[[#This Row],[Total Items Ordered]]*VLOOKUP(OrganizedData[[#This Row],[Product Code]],ProductData[],3,FALSE)</f>
        <v>882.47</v>
      </c>
      <c r="R6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855.99590000000001</v>
      </c>
    </row>
    <row r="633" spans="1:18" x14ac:dyDescent="0.3">
      <c r="A633" s="2">
        <v>626</v>
      </c>
      <c r="B633" s="2" t="s">
        <v>2289</v>
      </c>
      <c r="C633" s="2" t="s">
        <v>1461</v>
      </c>
      <c r="D633" s="2" t="s">
        <v>28</v>
      </c>
      <c r="E633" s="2" t="s">
        <v>29</v>
      </c>
      <c r="F633" s="2">
        <v>60</v>
      </c>
      <c r="G633" s="2" t="s">
        <v>2290</v>
      </c>
      <c r="H633" s="2" t="s">
        <v>2291</v>
      </c>
      <c r="I633" s="2" t="s">
        <v>25</v>
      </c>
      <c r="J633" s="3">
        <v>44680</v>
      </c>
      <c r="K633" s="5">
        <f>YEAR(OrganizedData[[#This Row],[Order Date]])</f>
        <v>2022</v>
      </c>
      <c r="L633" s="7" t="str">
        <f>TEXT(OrganizedData[[#This Row],[Order Date]],"mmm")</f>
        <v>Apr</v>
      </c>
      <c r="M633" s="2">
        <v>61</v>
      </c>
      <c r="N633" s="2" t="s">
        <v>101</v>
      </c>
      <c r="O633" s="2" t="str">
        <f>VLOOKUP(OrganizedData[[#This Row],[Product Code]],ProductData[[Code]:[Item]],2,FALSE)</f>
        <v>Superwossname</v>
      </c>
      <c r="P633" s="4">
        <f>OrganizedData[[#This Row],[Quantity]]*VLOOKUP(OrganizedData[[#This Row],[Product Code]],ProductData[],4,FALSE)</f>
        <v>1220</v>
      </c>
      <c r="Q633" s="6">
        <f>OrganizedData[[#This Row],[Total Items Ordered]]*VLOOKUP(OrganizedData[[#This Row],[Product Code]],ProductData[],3,FALSE)</f>
        <v>4257.8</v>
      </c>
      <c r="R6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4044.91</v>
      </c>
    </row>
    <row r="634" spans="1:18" x14ac:dyDescent="0.3">
      <c r="A634" s="2">
        <v>627</v>
      </c>
      <c r="B634" s="2" t="s">
        <v>2292</v>
      </c>
      <c r="C634" s="2" t="s">
        <v>2293</v>
      </c>
      <c r="D634" s="2" t="s">
        <v>28</v>
      </c>
      <c r="E634" s="2" t="s">
        <v>29</v>
      </c>
      <c r="F634" s="2">
        <v>30</v>
      </c>
      <c r="G634" s="2" t="s">
        <v>2290</v>
      </c>
      <c r="H634" s="2" t="s">
        <v>2294</v>
      </c>
      <c r="I634" s="2" t="s">
        <v>32</v>
      </c>
      <c r="J634" s="3">
        <v>44000</v>
      </c>
      <c r="K634" s="5">
        <f>YEAR(OrganizedData[[#This Row],[Order Date]])</f>
        <v>2020</v>
      </c>
      <c r="L634" s="7" t="str">
        <f>TEXT(OrganizedData[[#This Row],[Order Date]],"mmm")</f>
        <v>Jun</v>
      </c>
      <c r="M634" s="2">
        <v>68</v>
      </c>
      <c r="N634" s="2" t="s">
        <v>33</v>
      </c>
      <c r="O634" s="2" t="str">
        <f>VLOOKUP(OrganizedData[[#This Row],[Product Code]],ProductData[[Code]:[Item]],2,FALSE)</f>
        <v>Megawidget L</v>
      </c>
      <c r="P634" s="4">
        <f>OrganizedData[[#This Row],[Quantity]]*VLOOKUP(OrganizedData[[#This Row],[Product Code]],ProductData[],4,FALSE)</f>
        <v>1632</v>
      </c>
      <c r="Q634" s="6">
        <f>OrganizedData[[#This Row],[Total Items Ordered]]*VLOOKUP(OrganizedData[[#This Row],[Product Code]],ProductData[],3,FALSE)</f>
        <v>2921.28</v>
      </c>
      <c r="R6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635" spans="1:18" x14ac:dyDescent="0.3">
      <c r="A635" s="2">
        <v>628</v>
      </c>
      <c r="B635" s="2" t="s">
        <v>2295</v>
      </c>
      <c r="C635" s="2" t="s">
        <v>2296</v>
      </c>
      <c r="D635" s="2" t="s">
        <v>15</v>
      </c>
      <c r="E635" s="2" t="s">
        <v>16</v>
      </c>
      <c r="F635" s="2">
        <v>90</v>
      </c>
      <c r="G635" s="2" t="s">
        <v>2297</v>
      </c>
      <c r="H635" s="2" t="s">
        <v>1732</v>
      </c>
      <c r="I635" s="2" t="s">
        <v>1733</v>
      </c>
      <c r="J635" s="3">
        <v>44710</v>
      </c>
      <c r="K635" s="5">
        <f>YEAR(OrganizedData[[#This Row],[Order Date]])</f>
        <v>2022</v>
      </c>
      <c r="L635" s="7" t="str">
        <f>TEXT(OrganizedData[[#This Row],[Order Date]],"mmm")</f>
        <v>May</v>
      </c>
      <c r="M635" s="2">
        <v>67</v>
      </c>
      <c r="N635" s="2" t="s">
        <v>101</v>
      </c>
      <c r="O635" s="2" t="str">
        <f>VLOOKUP(OrganizedData[[#This Row],[Product Code]],ProductData[[Code]:[Item]],2,FALSE)</f>
        <v>Superwossname</v>
      </c>
      <c r="P635" s="4">
        <f>OrganizedData[[#This Row],[Quantity]]*VLOOKUP(OrganizedData[[#This Row],[Product Code]],ProductData[],4,FALSE)</f>
        <v>1340</v>
      </c>
      <c r="Q635" s="6">
        <f>OrganizedData[[#This Row],[Total Items Ordered]]*VLOOKUP(OrganizedData[[#This Row],[Product Code]],ProductData[],3,FALSE)</f>
        <v>4676.6000000000004</v>
      </c>
      <c r="R6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4442.7700000000004</v>
      </c>
    </row>
    <row r="636" spans="1:18" x14ac:dyDescent="0.3">
      <c r="A636" s="2">
        <v>629</v>
      </c>
      <c r="B636" s="2" t="s">
        <v>2298</v>
      </c>
      <c r="C636" s="2" t="s">
        <v>1581</v>
      </c>
      <c r="D636" s="2" t="s">
        <v>28</v>
      </c>
      <c r="E636" s="2" t="s">
        <v>29</v>
      </c>
      <c r="F636" s="2">
        <v>30</v>
      </c>
      <c r="G636" s="2" t="s">
        <v>2299</v>
      </c>
      <c r="H636" s="2" t="s">
        <v>1598</v>
      </c>
      <c r="I636" s="2" t="s">
        <v>32</v>
      </c>
      <c r="J636" s="3">
        <v>44715</v>
      </c>
      <c r="K636" s="5">
        <f>YEAR(OrganizedData[[#This Row],[Order Date]])</f>
        <v>2022</v>
      </c>
      <c r="L636" s="7" t="str">
        <f>TEXT(OrganizedData[[#This Row],[Order Date]],"mmm")</f>
        <v>Jun</v>
      </c>
      <c r="M636" s="2">
        <v>98</v>
      </c>
      <c r="N636" s="2" t="s">
        <v>39</v>
      </c>
      <c r="O636" s="2" t="str">
        <f>VLOOKUP(OrganizedData[[#This Row],[Product Code]],ProductData[[Code]:[Item]],2,FALSE)</f>
        <v>Ultrathing V1</v>
      </c>
      <c r="P636" s="4">
        <f>OrganizedData[[#This Row],[Quantity]]*VLOOKUP(OrganizedData[[#This Row],[Product Code]],ProductData[],4,FALSE)</f>
        <v>1666</v>
      </c>
      <c r="Q636" s="6">
        <f>OrganizedData[[#This Row],[Total Items Ordered]]*VLOOKUP(OrganizedData[[#This Row],[Product Code]],ProductData[],3,FALSE)</f>
        <v>2982.14</v>
      </c>
      <c r="R6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2833.0329999999999</v>
      </c>
    </row>
    <row r="637" spans="1:18" x14ac:dyDescent="0.3">
      <c r="A637" s="2">
        <v>630</v>
      </c>
      <c r="B637" s="2" t="s">
        <v>2300</v>
      </c>
      <c r="C637" s="2" t="s">
        <v>2301</v>
      </c>
      <c r="D637" s="2" t="s">
        <v>15</v>
      </c>
      <c r="E637" s="2" t="s">
        <v>16</v>
      </c>
      <c r="F637" s="2">
        <v>30</v>
      </c>
      <c r="G637" s="2" t="s">
        <v>2302</v>
      </c>
      <c r="H637" s="2" t="s">
        <v>1785</v>
      </c>
      <c r="I637" s="2" t="s">
        <v>32</v>
      </c>
      <c r="J637" s="3">
        <v>44901</v>
      </c>
      <c r="K637" s="5">
        <f>YEAR(OrganizedData[[#This Row],[Order Date]])</f>
        <v>2022</v>
      </c>
      <c r="L637" s="7" t="str">
        <f>TEXT(OrganizedData[[#This Row],[Order Date]],"mmm")</f>
        <v>Dec</v>
      </c>
      <c r="M637" s="2">
        <v>97</v>
      </c>
      <c r="N637" s="2" t="s">
        <v>80</v>
      </c>
      <c r="O637" s="2" t="str">
        <f>VLOOKUP(OrganizedData[[#This Row],[Product Code]],ProductData[[Code]:[Item]],2,FALSE)</f>
        <v>Ultrathing V2</v>
      </c>
      <c r="P637" s="4">
        <f>OrganizedData[[#This Row],[Quantity]]*VLOOKUP(OrganizedData[[#This Row],[Product Code]],ProductData[],4,FALSE)</f>
        <v>1940</v>
      </c>
      <c r="Q637" s="6">
        <f>OrganizedData[[#This Row],[Total Items Ordered]]*VLOOKUP(OrganizedData[[#This Row],[Product Code]],ProductData[],3,FALSE)</f>
        <v>5723</v>
      </c>
      <c r="R6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5436.8499999999995</v>
      </c>
    </row>
    <row r="638" spans="1:18" x14ac:dyDescent="0.3">
      <c r="A638" s="2">
        <v>631</v>
      </c>
      <c r="B638" s="2" t="s">
        <v>2303</v>
      </c>
      <c r="C638" s="2" t="s">
        <v>556</v>
      </c>
      <c r="D638" s="2" t="s">
        <v>28</v>
      </c>
      <c r="E638" s="2" t="s">
        <v>29</v>
      </c>
      <c r="F638" s="2">
        <v>90</v>
      </c>
      <c r="G638" s="2" t="s">
        <v>2304</v>
      </c>
      <c r="H638" s="2" t="s">
        <v>2305</v>
      </c>
      <c r="I638" s="2" t="s">
        <v>25</v>
      </c>
      <c r="J638" s="3">
        <v>43921</v>
      </c>
      <c r="K638" s="5">
        <f>YEAR(OrganizedData[[#This Row],[Order Date]])</f>
        <v>2020</v>
      </c>
      <c r="L638" s="7" t="str">
        <f>TEXT(OrganizedData[[#This Row],[Order Date]],"mmm")</f>
        <v>Mar</v>
      </c>
      <c r="M638" s="2">
        <v>23</v>
      </c>
      <c r="N638" s="2" t="s">
        <v>101</v>
      </c>
      <c r="O638" s="2" t="str">
        <f>VLOOKUP(OrganizedData[[#This Row],[Product Code]],ProductData[[Code]:[Item]],2,FALSE)</f>
        <v>Superwossname</v>
      </c>
      <c r="P638" s="4">
        <f>OrganizedData[[#This Row],[Quantity]]*VLOOKUP(OrganizedData[[#This Row],[Product Code]],ProductData[],4,FALSE)</f>
        <v>460</v>
      </c>
      <c r="Q638" s="6">
        <f>OrganizedData[[#This Row],[Total Items Ordered]]*VLOOKUP(OrganizedData[[#This Row],[Product Code]],ProductData[],3,FALSE)</f>
        <v>1605.4</v>
      </c>
      <c r="R6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1557.2380000000001</v>
      </c>
    </row>
    <row r="639" spans="1:18" x14ac:dyDescent="0.3">
      <c r="A639" s="2">
        <v>632</v>
      </c>
      <c r="B639" s="2" t="s">
        <v>2234</v>
      </c>
      <c r="C639" s="2" t="s">
        <v>2306</v>
      </c>
      <c r="D639" s="2" t="s">
        <v>51</v>
      </c>
      <c r="E639" s="2" t="s">
        <v>16</v>
      </c>
      <c r="F639" s="2">
        <v>60</v>
      </c>
      <c r="G639" s="2" t="s">
        <v>2307</v>
      </c>
      <c r="H639" s="2" t="s">
        <v>928</v>
      </c>
      <c r="I639" s="2" t="s">
        <v>38</v>
      </c>
      <c r="J639" s="3">
        <v>44725</v>
      </c>
      <c r="K639" s="5">
        <f>YEAR(OrganizedData[[#This Row],[Order Date]])</f>
        <v>2022</v>
      </c>
      <c r="L639" s="7" t="str">
        <f>TEXT(OrganizedData[[#This Row],[Order Date]],"mmm")</f>
        <v>Jun</v>
      </c>
      <c r="M639" s="2">
        <v>101</v>
      </c>
      <c r="N639" s="2" t="s">
        <v>54</v>
      </c>
      <c r="O639" s="2" t="str">
        <f>VLOOKUP(OrganizedData[[#This Row],[Product Code]],ProductData[[Code]:[Item]],2,FALSE)</f>
        <v>Megawidget S</v>
      </c>
      <c r="P639" s="4">
        <f>OrganizedData[[#This Row],[Quantity]]*VLOOKUP(OrganizedData[[#This Row],[Product Code]],ProductData[],4,FALSE)</f>
        <v>2424</v>
      </c>
      <c r="Q639" s="6">
        <f>OrganizedData[[#This Row],[Total Items Ordered]]*VLOOKUP(OrganizedData[[#This Row],[Product Code]],ProductData[],3,FALSE)</f>
        <v>1672.56</v>
      </c>
      <c r="R6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1555.4808</v>
      </c>
    </row>
    <row r="640" spans="1:18" x14ac:dyDescent="0.3">
      <c r="A640" s="2">
        <v>633</v>
      </c>
      <c r="B640" s="2" t="s">
        <v>2308</v>
      </c>
      <c r="C640" s="2" t="s">
        <v>2309</v>
      </c>
      <c r="D640" s="2" t="s">
        <v>51</v>
      </c>
      <c r="E640" s="2" t="s">
        <v>16</v>
      </c>
      <c r="F640" s="2">
        <v>30</v>
      </c>
      <c r="G640" s="2" t="s">
        <v>2310</v>
      </c>
      <c r="H640" s="2" t="s">
        <v>2311</v>
      </c>
      <c r="I640" s="2" t="s">
        <v>32</v>
      </c>
      <c r="J640" s="3">
        <v>44608</v>
      </c>
      <c r="K640" s="5">
        <f>YEAR(OrganizedData[[#This Row],[Order Date]])</f>
        <v>2022</v>
      </c>
      <c r="L640" s="7" t="str">
        <f>TEXT(OrganizedData[[#This Row],[Order Date]],"mmm")</f>
        <v>Feb</v>
      </c>
      <c r="M640" s="2">
        <v>22</v>
      </c>
      <c r="N640" s="2" t="s">
        <v>70</v>
      </c>
      <c r="O640" s="2" t="str">
        <f>VLOOKUP(OrganizedData[[#This Row],[Product Code]],ProductData[[Code]:[Item]],2,FALSE)</f>
        <v>Megawidget M</v>
      </c>
      <c r="P640" s="4">
        <f>OrganizedData[[#This Row],[Quantity]]*VLOOKUP(OrganizedData[[#This Row],[Product Code]],ProductData[],4,FALSE)</f>
        <v>528</v>
      </c>
      <c r="Q640" s="6">
        <f>OrganizedData[[#This Row],[Total Items Ordered]]*VLOOKUP(OrganizedData[[#This Row],[Product Code]],ProductData[],3,FALSE)</f>
        <v>681.12</v>
      </c>
      <c r="R6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641" spans="1:18" x14ac:dyDescent="0.3">
      <c r="A641" s="2">
        <v>634</v>
      </c>
      <c r="B641" s="2" t="s">
        <v>2312</v>
      </c>
      <c r="C641" s="2" t="s">
        <v>1585</v>
      </c>
      <c r="D641" s="2" t="s">
        <v>28</v>
      </c>
      <c r="E641" s="2" t="s">
        <v>29</v>
      </c>
      <c r="F641" s="2">
        <v>60</v>
      </c>
      <c r="G641" s="2" t="s">
        <v>2313</v>
      </c>
      <c r="H641" s="2" t="s">
        <v>634</v>
      </c>
      <c r="I641" s="2" t="s">
        <v>32</v>
      </c>
      <c r="J641" s="3">
        <v>44772</v>
      </c>
      <c r="K641" s="5">
        <f>YEAR(OrganizedData[[#This Row],[Order Date]])</f>
        <v>2022</v>
      </c>
      <c r="L641" s="7" t="str">
        <f>TEXT(OrganizedData[[#This Row],[Order Date]],"mmm")</f>
        <v>Jul</v>
      </c>
      <c r="M641" s="2">
        <v>4</v>
      </c>
      <c r="N641" s="2" t="s">
        <v>45</v>
      </c>
      <c r="O641" s="2" t="str">
        <f>VLOOKUP(OrganizedData[[#This Row],[Product Code]],ProductData[[Code]:[Item]],2,FALSE)</f>
        <v>Gigastuff</v>
      </c>
      <c r="P641" s="4">
        <f>OrganizedData[[#This Row],[Quantity]]*VLOOKUP(OrganizedData[[#This Row],[Product Code]],ProductData[],4,FALSE)</f>
        <v>72</v>
      </c>
      <c r="Q641" s="6">
        <f>OrganizedData[[#This Row],[Total Items Ordered]]*VLOOKUP(OrganizedData[[#This Row],[Product Code]],ProductData[],3,FALSE)</f>
        <v>136.07999999999998</v>
      </c>
      <c r="R6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642" spans="1:18" x14ac:dyDescent="0.3">
      <c r="A642" s="2">
        <v>635</v>
      </c>
      <c r="B642" s="2" t="s">
        <v>2314</v>
      </c>
      <c r="C642" s="2" t="s">
        <v>940</v>
      </c>
      <c r="D642" s="2" t="s">
        <v>15</v>
      </c>
      <c r="E642" s="2" t="s">
        <v>16</v>
      </c>
      <c r="F642" s="2">
        <v>90</v>
      </c>
      <c r="G642" s="2" t="s">
        <v>10470</v>
      </c>
      <c r="H642" s="2" t="s">
        <v>702</v>
      </c>
      <c r="I642" s="2" t="s">
        <v>703</v>
      </c>
      <c r="J642" s="3">
        <v>44431</v>
      </c>
      <c r="K642" s="5">
        <f>YEAR(OrganizedData[[#This Row],[Order Date]])</f>
        <v>2021</v>
      </c>
      <c r="L642" s="7" t="str">
        <f>TEXT(OrganizedData[[#This Row],[Order Date]],"mmm")</f>
        <v>Aug</v>
      </c>
      <c r="M642" s="2">
        <v>59</v>
      </c>
      <c r="N642" s="2" t="s">
        <v>159</v>
      </c>
      <c r="O642" s="2" t="str">
        <f>VLOOKUP(OrganizedData[[#This Row],[Product Code]],ProductData[[Code]:[Item]],2,FALSE)</f>
        <v>Ultrathing V3</v>
      </c>
      <c r="P642" s="4">
        <f>OrganizedData[[#This Row],[Quantity]]*VLOOKUP(OrganizedData[[#This Row],[Product Code]],ProductData[],4,FALSE)</f>
        <v>1416</v>
      </c>
      <c r="Q642" s="6">
        <f>OrganizedData[[#This Row],[Total Items Ordered]]*VLOOKUP(OrganizedData[[#This Row],[Product Code]],ProductData[],3,FALSE)</f>
        <v>4800.24</v>
      </c>
      <c r="R6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643" spans="1:18" x14ac:dyDescent="0.3">
      <c r="A643" s="2">
        <v>636</v>
      </c>
      <c r="B643" s="2" t="s">
        <v>2316</v>
      </c>
      <c r="C643" s="2" t="s">
        <v>2317</v>
      </c>
      <c r="D643" s="2" t="s">
        <v>41</v>
      </c>
      <c r="E643" s="2" t="s">
        <v>16</v>
      </c>
      <c r="F643" s="2">
        <v>30</v>
      </c>
      <c r="G643" s="2" t="s">
        <v>2318</v>
      </c>
      <c r="H643" s="2" t="s">
        <v>1077</v>
      </c>
      <c r="I643" s="2" t="s">
        <v>1078</v>
      </c>
      <c r="J643" s="3">
        <v>44502</v>
      </c>
      <c r="K643" s="5">
        <f>YEAR(OrganizedData[[#This Row],[Order Date]])</f>
        <v>2021</v>
      </c>
      <c r="L643" s="7" t="str">
        <f>TEXT(OrganizedData[[#This Row],[Order Date]],"mmm")</f>
        <v>Nov</v>
      </c>
      <c r="M643" s="2">
        <v>74</v>
      </c>
      <c r="N643" s="2" t="s">
        <v>33</v>
      </c>
      <c r="O643" s="2" t="str">
        <f>VLOOKUP(OrganizedData[[#This Row],[Product Code]],ProductData[[Code]:[Item]],2,FALSE)</f>
        <v>Megawidget L</v>
      </c>
      <c r="P643" s="4">
        <f>OrganizedData[[#This Row],[Quantity]]*VLOOKUP(OrganizedData[[#This Row],[Product Code]],ProductData[],4,FALSE)</f>
        <v>1776</v>
      </c>
      <c r="Q643" s="6">
        <f>OrganizedData[[#This Row],[Total Items Ordered]]*VLOOKUP(OrganizedData[[#This Row],[Product Code]],ProductData[],3,FALSE)</f>
        <v>3179.04</v>
      </c>
      <c r="R6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644" spans="1:18" x14ac:dyDescent="0.3">
      <c r="A644" s="2">
        <v>637</v>
      </c>
      <c r="B644" s="2" t="s">
        <v>1470</v>
      </c>
      <c r="C644" s="2" t="s">
        <v>2319</v>
      </c>
      <c r="D644" s="2" t="s">
        <v>28</v>
      </c>
      <c r="E644" s="2" t="s">
        <v>29</v>
      </c>
      <c r="F644" s="2">
        <v>60</v>
      </c>
      <c r="G644" s="2" t="s">
        <v>2320</v>
      </c>
      <c r="H644" s="2" t="s">
        <v>2321</v>
      </c>
      <c r="I644" s="2" t="s">
        <v>129</v>
      </c>
      <c r="J644" s="3">
        <v>44667</v>
      </c>
      <c r="K644" s="5">
        <f>YEAR(OrganizedData[[#This Row],[Order Date]])</f>
        <v>2022</v>
      </c>
      <c r="L644" s="7" t="str">
        <f>TEXT(OrganizedData[[#This Row],[Order Date]],"mmm")</f>
        <v>Apr</v>
      </c>
      <c r="M644" s="2">
        <v>96</v>
      </c>
      <c r="N644" s="2" t="s">
        <v>39</v>
      </c>
      <c r="O644" s="2" t="str">
        <f>VLOOKUP(OrganizedData[[#This Row],[Product Code]],ProductData[[Code]:[Item]],2,FALSE)</f>
        <v>Ultrathing V1</v>
      </c>
      <c r="P644" s="4">
        <f>OrganizedData[[#This Row],[Quantity]]*VLOOKUP(OrganizedData[[#This Row],[Product Code]],ProductData[],4,FALSE)</f>
        <v>1632</v>
      </c>
      <c r="Q644" s="6">
        <f>OrganizedData[[#This Row],[Total Items Ordered]]*VLOOKUP(OrganizedData[[#This Row],[Product Code]],ProductData[],3,FALSE)</f>
        <v>2921.28</v>
      </c>
      <c r="R6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645" spans="1:18" x14ac:dyDescent="0.3">
      <c r="A645" s="2">
        <v>638</v>
      </c>
      <c r="B645" s="2" t="s">
        <v>2322</v>
      </c>
      <c r="C645" s="2" t="s">
        <v>2323</v>
      </c>
      <c r="D645" s="2" t="s">
        <v>15</v>
      </c>
      <c r="E645" s="2" t="s">
        <v>16</v>
      </c>
      <c r="F645" s="2">
        <v>60</v>
      </c>
      <c r="G645" s="2" t="s">
        <v>2324</v>
      </c>
      <c r="H645" s="2" t="s">
        <v>2325</v>
      </c>
      <c r="I645" s="2" t="s">
        <v>173</v>
      </c>
      <c r="J645" s="3">
        <v>43946</v>
      </c>
      <c r="K645" s="5">
        <f>YEAR(OrganizedData[[#This Row],[Order Date]])</f>
        <v>2020</v>
      </c>
      <c r="L645" s="7" t="str">
        <f>TEXT(OrganizedData[[#This Row],[Order Date]],"mmm")</f>
        <v>Apr</v>
      </c>
      <c r="M645" s="2">
        <v>48</v>
      </c>
      <c r="N645" s="2" t="s">
        <v>70</v>
      </c>
      <c r="O645" s="2" t="str">
        <f>VLOOKUP(OrganizedData[[#This Row],[Product Code]],ProductData[[Code]:[Item]],2,FALSE)</f>
        <v>Megawidget M</v>
      </c>
      <c r="P645" s="4">
        <f>OrganizedData[[#This Row],[Quantity]]*VLOOKUP(OrganizedData[[#This Row],[Product Code]],ProductData[],4,FALSE)</f>
        <v>1152</v>
      </c>
      <c r="Q645" s="6">
        <f>OrganizedData[[#This Row],[Total Items Ordered]]*VLOOKUP(OrganizedData[[#This Row],[Product Code]],ProductData[],3,FALSE)</f>
        <v>1486.08</v>
      </c>
      <c r="R6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646" spans="1:18" x14ac:dyDescent="0.3">
      <c r="A646" s="2">
        <v>639</v>
      </c>
      <c r="B646" s="2" t="s">
        <v>2326</v>
      </c>
      <c r="C646" s="2" t="s">
        <v>152</v>
      </c>
      <c r="D646" s="2" t="s">
        <v>15</v>
      </c>
      <c r="E646" s="2" t="s">
        <v>16</v>
      </c>
      <c r="F646" s="2">
        <v>60</v>
      </c>
      <c r="G646" s="2" t="s">
        <v>2324</v>
      </c>
      <c r="H646" s="2" t="s">
        <v>1292</v>
      </c>
      <c r="I646" s="2" t="s">
        <v>32</v>
      </c>
      <c r="J646" s="3">
        <v>43836</v>
      </c>
      <c r="K646" s="5">
        <f>YEAR(OrganizedData[[#This Row],[Order Date]])</f>
        <v>2020</v>
      </c>
      <c r="L646" s="7" t="str">
        <f>TEXT(OrganizedData[[#This Row],[Order Date]],"mmm")</f>
        <v>Jan</v>
      </c>
      <c r="M646" s="2">
        <v>13</v>
      </c>
      <c r="N646" s="2" t="s">
        <v>20</v>
      </c>
      <c r="O646" s="2" t="str">
        <f>VLOOKUP(OrganizedData[[#This Row],[Product Code]],ProductData[[Code]:[Item]],2,FALSE)</f>
        <v>Hyperwotsit</v>
      </c>
      <c r="P646" s="4">
        <f>OrganizedData[[#This Row],[Quantity]]*VLOOKUP(OrganizedData[[#This Row],[Product Code]],ProductData[],4,FALSE)</f>
        <v>260</v>
      </c>
      <c r="Q646" s="6">
        <f>OrganizedData[[#This Row],[Total Items Ordered]]*VLOOKUP(OrganizedData[[#This Row],[Product Code]],ProductData[],3,FALSE)</f>
        <v>522.59999999999991</v>
      </c>
      <c r="R6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647" spans="1:18" x14ac:dyDescent="0.3">
      <c r="A647" s="2">
        <v>640</v>
      </c>
      <c r="B647" s="2" t="s">
        <v>743</v>
      </c>
      <c r="C647" s="2" t="s">
        <v>2327</v>
      </c>
      <c r="D647" s="2" t="s">
        <v>28</v>
      </c>
      <c r="E647" s="2" t="s">
        <v>29</v>
      </c>
      <c r="F647" s="2">
        <v>60</v>
      </c>
      <c r="G647" s="2" t="s">
        <v>2328</v>
      </c>
      <c r="H647" s="2" t="s">
        <v>2329</v>
      </c>
      <c r="I647" s="2" t="s">
        <v>2330</v>
      </c>
      <c r="J647" s="3">
        <v>44473</v>
      </c>
      <c r="K647" s="5">
        <f>YEAR(OrganizedData[[#This Row],[Order Date]])</f>
        <v>2021</v>
      </c>
      <c r="L647" s="7" t="str">
        <f>TEXT(OrganizedData[[#This Row],[Order Date]],"mmm")</f>
        <v>Oct</v>
      </c>
      <c r="M647" s="2">
        <v>50</v>
      </c>
      <c r="N647" s="2" t="s">
        <v>64</v>
      </c>
      <c r="O647" s="2" t="str">
        <f>VLOOKUP(OrganizedData[[#This Row],[Product Code]],ProductData[[Code]:[Item]],2,FALSE)</f>
        <v>Ultrathing V4</v>
      </c>
      <c r="P647" s="4">
        <f>OrganizedData[[#This Row],[Quantity]]*VLOOKUP(OrganizedData[[#This Row],[Product Code]],ProductData[],4,FALSE)</f>
        <v>1200</v>
      </c>
      <c r="Q647" s="6">
        <f>OrganizedData[[#This Row],[Total Items Ordered]]*VLOOKUP(OrganizedData[[#This Row],[Product Code]],ProductData[],3,FALSE)</f>
        <v>4788</v>
      </c>
      <c r="R6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4644.3599999999997</v>
      </c>
    </row>
    <row r="648" spans="1:18" x14ac:dyDescent="0.3">
      <c r="A648" s="2">
        <v>641</v>
      </c>
      <c r="B648" s="2" t="s">
        <v>2331</v>
      </c>
      <c r="C648" s="2" t="s">
        <v>2332</v>
      </c>
      <c r="D648" s="2" t="s">
        <v>51</v>
      </c>
      <c r="E648" s="2" t="s">
        <v>16</v>
      </c>
      <c r="F648" s="2">
        <v>30</v>
      </c>
      <c r="G648" s="2" t="s">
        <v>2333</v>
      </c>
      <c r="H648" s="2" t="s">
        <v>2334</v>
      </c>
      <c r="I648" s="2" t="s">
        <v>32</v>
      </c>
      <c r="J648" s="3">
        <v>43969</v>
      </c>
      <c r="K648" s="5">
        <f>YEAR(OrganizedData[[#This Row],[Order Date]])</f>
        <v>2020</v>
      </c>
      <c r="L648" s="7" t="str">
        <f>TEXT(OrganizedData[[#This Row],[Order Date]],"mmm")</f>
        <v>May</v>
      </c>
      <c r="M648" s="2">
        <v>9</v>
      </c>
      <c r="N648" s="2" t="s">
        <v>80</v>
      </c>
      <c r="O648" s="2" t="str">
        <f>VLOOKUP(OrganizedData[[#This Row],[Product Code]],ProductData[[Code]:[Item]],2,FALSE)</f>
        <v>Ultrathing V2</v>
      </c>
      <c r="P648" s="4">
        <f>OrganizedData[[#This Row],[Quantity]]*VLOOKUP(OrganizedData[[#This Row],[Product Code]],ProductData[],4,FALSE)</f>
        <v>180</v>
      </c>
      <c r="Q648" s="6">
        <f>OrganizedData[[#This Row],[Total Items Ordered]]*VLOOKUP(OrganizedData[[#This Row],[Product Code]],ProductData[],3,FALSE)</f>
        <v>531</v>
      </c>
      <c r="R6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531</v>
      </c>
    </row>
    <row r="649" spans="1:18" x14ac:dyDescent="0.3">
      <c r="A649" s="2">
        <v>642</v>
      </c>
      <c r="B649" s="2" t="s">
        <v>2335</v>
      </c>
      <c r="C649" s="2" t="s">
        <v>2336</v>
      </c>
      <c r="D649" s="2" t="s">
        <v>28</v>
      </c>
      <c r="E649" s="2" t="s">
        <v>29</v>
      </c>
      <c r="F649" s="2">
        <v>90</v>
      </c>
      <c r="G649" s="2" t="s">
        <v>2337</v>
      </c>
      <c r="H649" s="2" t="s">
        <v>2338</v>
      </c>
      <c r="I649" s="2" t="s">
        <v>240</v>
      </c>
      <c r="J649" s="3">
        <v>44677</v>
      </c>
      <c r="K649" s="5">
        <f>YEAR(OrganizedData[[#This Row],[Order Date]])</f>
        <v>2022</v>
      </c>
      <c r="L649" s="7" t="str">
        <f>TEXT(OrganizedData[[#This Row],[Order Date]],"mmm")</f>
        <v>Apr</v>
      </c>
      <c r="M649" s="2">
        <v>60</v>
      </c>
      <c r="N649" s="2" t="s">
        <v>70</v>
      </c>
      <c r="O649" s="2" t="str">
        <f>VLOOKUP(OrganizedData[[#This Row],[Product Code]],ProductData[[Code]:[Item]],2,FALSE)</f>
        <v>Megawidget M</v>
      </c>
      <c r="P649" s="4">
        <f>OrganizedData[[#This Row],[Quantity]]*VLOOKUP(OrganizedData[[#This Row],[Product Code]],ProductData[],4,FALSE)</f>
        <v>1440</v>
      </c>
      <c r="Q649" s="6">
        <f>OrganizedData[[#This Row],[Total Items Ordered]]*VLOOKUP(OrganizedData[[#This Row],[Product Code]],ProductData[],3,FALSE)</f>
        <v>1857.6000000000001</v>
      </c>
      <c r="R6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1764.72</v>
      </c>
    </row>
    <row r="650" spans="1:18" x14ac:dyDescent="0.3">
      <c r="A650" s="2">
        <v>643</v>
      </c>
      <c r="B650" s="2" t="s">
        <v>642</v>
      </c>
      <c r="C650" s="2" t="s">
        <v>2339</v>
      </c>
      <c r="D650" s="2" t="s">
        <v>41</v>
      </c>
      <c r="E650" s="2" t="s">
        <v>16</v>
      </c>
      <c r="F650" s="2">
        <v>90</v>
      </c>
      <c r="G650" s="2" t="s">
        <v>2340</v>
      </c>
      <c r="H650" s="2" t="s">
        <v>2341</v>
      </c>
      <c r="I650" s="2" t="s">
        <v>2342</v>
      </c>
      <c r="J650" s="3">
        <v>44792</v>
      </c>
      <c r="K650" s="5">
        <f>YEAR(OrganizedData[[#This Row],[Order Date]])</f>
        <v>2022</v>
      </c>
      <c r="L650" s="7" t="str">
        <f>TEXT(OrganizedData[[#This Row],[Order Date]],"mmm")</f>
        <v>Aug</v>
      </c>
      <c r="M650" s="2">
        <v>57</v>
      </c>
      <c r="N650" s="2" t="s">
        <v>39</v>
      </c>
      <c r="O650" s="2" t="str">
        <f>VLOOKUP(OrganizedData[[#This Row],[Product Code]],ProductData[[Code]:[Item]],2,FALSE)</f>
        <v>Ultrathing V1</v>
      </c>
      <c r="P650" s="4">
        <f>OrganizedData[[#This Row],[Quantity]]*VLOOKUP(OrganizedData[[#This Row],[Product Code]],ProductData[],4,FALSE)</f>
        <v>969</v>
      </c>
      <c r="Q650" s="6">
        <f>OrganizedData[[#This Row],[Total Items Ordered]]*VLOOKUP(OrganizedData[[#This Row],[Product Code]],ProductData[],3,FALSE)</f>
        <v>1734.51</v>
      </c>
      <c r="R6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651" spans="1:18" x14ac:dyDescent="0.3">
      <c r="A651" s="2">
        <v>644</v>
      </c>
      <c r="B651" s="2" t="s">
        <v>2343</v>
      </c>
      <c r="C651" s="2" t="s">
        <v>2344</v>
      </c>
      <c r="D651" s="2" t="s">
        <v>15</v>
      </c>
      <c r="E651" s="2" t="s">
        <v>16</v>
      </c>
      <c r="F651" s="2">
        <v>30</v>
      </c>
      <c r="G651" s="2" t="s">
        <v>2345</v>
      </c>
      <c r="H651" s="2" t="s">
        <v>389</v>
      </c>
      <c r="I651" s="2" t="s">
        <v>32</v>
      </c>
      <c r="J651" s="3">
        <v>43974</v>
      </c>
      <c r="K651" s="5">
        <f>YEAR(OrganizedData[[#This Row],[Order Date]])</f>
        <v>2020</v>
      </c>
      <c r="L651" s="7" t="str">
        <f>TEXT(OrganizedData[[#This Row],[Order Date]],"mmm")</f>
        <v>May</v>
      </c>
      <c r="M651" s="2">
        <v>24</v>
      </c>
      <c r="N651" s="2" t="s">
        <v>54</v>
      </c>
      <c r="O651" s="2" t="str">
        <f>VLOOKUP(OrganizedData[[#This Row],[Product Code]],ProductData[[Code]:[Item]],2,FALSE)</f>
        <v>Megawidget S</v>
      </c>
      <c r="P651" s="4">
        <f>OrganizedData[[#This Row],[Quantity]]*VLOOKUP(OrganizedData[[#This Row],[Product Code]],ProductData[],4,FALSE)</f>
        <v>576</v>
      </c>
      <c r="Q651" s="6">
        <f>OrganizedData[[#This Row],[Total Items Ordered]]*VLOOKUP(OrganizedData[[#This Row],[Product Code]],ProductData[],3,FALSE)</f>
        <v>397.43999999999994</v>
      </c>
      <c r="R6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385.51679999999993</v>
      </c>
    </row>
    <row r="652" spans="1:18" x14ac:dyDescent="0.3">
      <c r="A652" s="2">
        <v>645</v>
      </c>
      <c r="B652" s="2" t="s">
        <v>2346</v>
      </c>
      <c r="C652" s="2" t="s">
        <v>1080</v>
      </c>
      <c r="D652" s="2" t="s">
        <v>28</v>
      </c>
      <c r="E652" s="2" t="s">
        <v>29</v>
      </c>
      <c r="F652" s="2">
        <v>90</v>
      </c>
      <c r="G652" s="2" t="s">
        <v>2347</v>
      </c>
      <c r="H652" s="2" t="s">
        <v>2348</v>
      </c>
      <c r="I652" s="2" t="s">
        <v>32</v>
      </c>
      <c r="J652" s="3">
        <v>44110</v>
      </c>
      <c r="K652" s="5">
        <f>YEAR(OrganizedData[[#This Row],[Order Date]])</f>
        <v>2020</v>
      </c>
      <c r="L652" s="7" t="str">
        <f>TEXT(OrganizedData[[#This Row],[Order Date]],"mmm")</f>
        <v>Oct</v>
      </c>
      <c r="M652" s="2">
        <v>61</v>
      </c>
      <c r="N652" s="2" t="s">
        <v>33</v>
      </c>
      <c r="O652" s="2" t="str">
        <f>VLOOKUP(OrganizedData[[#This Row],[Product Code]],ProductData[[Code]:[Item]],2,FALSE)</f>
        <v>Megawidget L</v>
      </c>
      <c r="P652" s="4">
        <f>OrganizedData[[#This Row],[Quantity]]*VLOOKUP(OrganizedData[[#This Row],[Product Code]],ProductData[],4,FALSE)</f>
        <v>1464</v>
      </c>
      <c r="Q652" s="6">
        <f>OrganizedData[[#This Row],[Total Items Ordered]]*VLOOKUP(OrganizedData[[#This Row],[Product Code]],ProductData[],3,FALSE)</f>
        <v>2620.56</v>
      </c>
      <c r="R6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2489.5319999999997</v>
      </c>
    </row>
    <row r="653" spans="1:18" x14ac:dyDescent="0.3">
      <c r="A653" s="2">
        <v>646</v>
      </c>
      <c r="B653" s="2" t="s">
        <v>276</v>
      </c>
      <c r="C653" s="2" t="s">
        <v>2349</v>
      </c>
      <c r="D653" s="2" t="s">
        <v>15</v>
      </c>
      <c r="E653" s="2" t="s">
        <v>16</v>
      </c>
      <c r="F653" s="2">
        <v>60</v>
      </c>
      <c r="G653" s="2" t="s">
        <v>2350</v>
      </c>
      <c r="H653" s="2" t="s">
        <v>2351</v>
      </c>
      <c r="I653" s="2" t="s">
        <v>32</v>
      </c>
      <c r="J653" s="3">
        <v>44060</v>
      </c>
      <c r="K653" s="5">
        <f>YEAR(OrganizedData[[#This Row],[Order Date]])</f>
        <v>2020</v>
      </c>
      <c r="L653" s="7" t="str">
        <f>TEXT(OrganizedData[[#This Row],[Order Date]],"mmm")</f>
        <v>Aug</v>
      </c>
      <c r="M653" s="2">
        <v>84</v>
      </c>
      <c r="N653" s="2" t="s">
        <v>45</v>
      </c>
      <c r="O653" s="2" t="str">
        <f>VLOOKUP(OrganizedData[[#This Row],[Product Code]],ProductData[[Code]:[Item]],2,FALSE)</f>
        <v>Gigastuff</v>
      </c>
      <c r="P653" s="4">
        <f>OrganizedData[[#This Row],[Quantity]]*VLOOKUP(OrganizedData[[#This Row],[Product Code]],ProductData[],4,FALSE)</f>
        <v>1512</v>
      </c>
      <c r="Q653" s="6">
        <f>OrganizedData[[#This Row],[Total Items Ordered]]*VLOOKUP(OrganizedData[[#This Row],[Product Code]],ProductData[],3,FALSE)</f>
        <v>2857.68</v>
      </c>
      <c r="R6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654" spans="1:18" x14ac:dyDescent="0.3">
      <c r="A654" s="2">
        <v>647</v>
      </c>
      <c r="B654" s="2" t="s">
        <v>2352</v>
      </c>
      <c r="C654" s="2" t="s">
        <v>1840</v>
      </c>
      <c r="D654" s="2" t="s">
        <v>15</v>
      </c>
      <c r="E654" s="2" t="s">
        <v>16</v>
      </c>
      <c r="F654" s="2">
        <v>30</v>
      </c>
      <c r="G654" s="2" t="s">
        <v>2353</v>
      </c>
      <c r="H654" s="2" t="s">
        <v>2354</v>
      </c>
      <c r="I654" s="2" t="s">
        <v>178</v>
      </c>
      <c r="J654" s="3">
        <v>44675</v>
      </c>
      <c r="K654" s="5">
        <f>YEAR(OrganizedData[[#This Row],[Order Date]])</f>
        <v>2022</v>
      </c>
      <c r="L654" s="7" t="str">
        <f>TEXT(OrganizedData[[#This Row],[Order Date]],"mmm")</f>
        <v>Apr</v>
      </c>
      <c r="M654" s="2">
        <v>17</v>
      </c>
      <c r="N654" s="2" t="s">
        <v>39</v>
      </c>
      <c r="O654" s="2" t="str">
        <f>VLOOKUP(OrganizedData[[#This Row],[Product Code]],ProductData[[Code]:[Item]],2,FALSE)</f>
        <v>Ultrathing V1</v>
      </c>
      <c r="P654" s="4">
        <f>OrganizedData[[#This Row],[Quantity]]*VLOOKUP(OrganizedData[[#This Row],[Product Code]],ProductData[],4,FALSE)</f>
        <v>289</v>
      </c>
      <c r="Q654" s="6">
        <f>OrganizedData[[#This Row],[Total Items Ordered]]*VLOOKUP(OrganizedData[[#This Row],[Product Code]],ProductData[],3,FALSE)</f>
        <v>517.31000000000006</v>
      </c>
      <c r="R6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517.31000000000006</v>
      </c>
    </row>
    <row r="655" spans="1:18" x14ac:dyDescent="0.3">
      <c r="A655" s="2">
        <v>648</v>
      </c>
      <c r="B655" s="2" t="s">
        <v>1065</v>
      </c>
      <c r="C655" s="2" t="s">
        <v>2355</v>
      </c>
      <c r="D655" s="2" t="s">
        <v>28</v>
      </c>
      <c r="E655" s="2" t="s">
        <v>29</v>
      </c>
      <c r="F655" s="2">
        <v>30</v>
      </c>
      <c r="G655" s="2" t="s">
        <v>2356</v>
      </c>
      <c r="H655" s="2" t="s">
        <v>2357</v>
      </c>
      <c r="I655" s="2" t="s">
        <v>32</v>
      </c>
      <c r="J655" s="3">
        <v>44386</v>
      </c>
      <c r="K655" s="5">
        <f>YEAR(OrganizedData[[#This Row],[Order Date]])</f>
        <v>2021</v>
      </c>
      <c r="L655" s="7" t="str">
        <f>TEXT(OrganizedData[[#This Row],[Order Date]],"mmm")</f>
        <v>Jul</v>
      </c>
      <c r="M655" s="2">
        <v>75</v>
      </c>
      <c r="N655" s="2" t="s">
        <v>33</v>
      </c>
      <c r="O655" s="2" t="str">
        <f>VLOOKUP(OrganizedData[[#This Row],[Product Code]],ProductData[[Code]:[Item]],2,FALSE)</f>
        <v>Megawidget L</v>
      </c>
      <c r="P655" s="4">
        <f>OrganizedData[[#This Row],[Quantity]]*VLOOKUP(OrganizedData[[#This Row],[Product Code]],ProductData[],4,FALSE)</f>
        <v>1800</v>
      </c>
      <c r="Q655" s="6">
        <f>OrganizedData[[#This Row],[Total Items Ordered]]*VLOOKUP(OrganizedData[[#This Row],[Product Code]],ProductData[],3,FALSE)</f>
        <v>3222</v>
      </c>
      <c r="R6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656" spans="1:18" x14ac:dyDescent="0.3">
      <c r="A656" s="2">
        <v>649</v>
      </c>
      <c r="B656" s="2" t="s">
        <v>2358</v>
      </c>
      <c r="C656" s="2" t="s">
        <v>2359</v>
      </c>
      <c r="D656" s="2" t="s">
        <v>28</v>
      </c>
      <c r="E656" s="2" t="s">
        <v>29</v>
      </c>
      <c r="F656" s="2">
        <v>30</v>
      </c>
      <c r="G656" s="2" t="s">
        <v>2360</v>
      </c>
      <c r="H656" s="2" t="s">
        <v>2361</v>
      </c>
      <c r="I656" s="2" t="s">
        <v>110</v>
      </c>
      <c r="J656" s="3">
        <v>44378</v>
      </c>
      <c r="K656" s="5">
        <f>YEAR(OrganizedData[[#This Row],[Order Date]])</f>
        <v>2021</v>
      </c>
      <c r="L656" s="7" t="str">
        <f>TEXT(OrganizedData[[#This Row],[Order Date]],"mmm")</f>
        <v>Jul</v>
      </c>
      <c r="M656" s="2">
        <v>66</v>
      </c>
      <c r="N656" s="2" t="s">
        <v>54</v>
      </c>
      <c r="O656" s="2" t="str">
        <f>VLOOKUP(OrganizedData[[#This Row],[Product Code]],ProductData[[Code]:[Item]],2,FALSE)</f>
        <v>Megawidget S</v>
      </c>
      <c r="P656" s="4">
        <f>OrganizedData[[#This Row],[Quantity]]*VLOOKUP(OrganizedData[[#This Row],[Product Code]],ProductData[],4,FALSE)</f>
        <v>1584</v>
      </c>
      <c r="Q656" s="6">
        <f>OrganizedData[[#This Row],[Total Items Ordered]]*VLOOKUP(OrganizedData[[#This Row],[Product Code]],ProductData[],3,FALSE)</f>
        <v>1092.9599999999998</v>
      </c>
      <c r="R6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657" spans="1:18" x14ac:dyDescent="0.3">
      <c r="A657" s="2">
        <v>650</v>
      </c>
      <c r="B657" s="2" t="s">
        <v>2335</v>
      </c>
      <c r="C657" s="2" t="s">
        <v>2362</v>
      </c>
      <c r="D657" s="2" t="s">
        <v>28</v>
      </c>
      <c r="E657" s="2" t="s">
        <v>29</v>
      </c>
      <c r="F657" s="2">
        <v>90</v>
      </c>
      <c r="G657" s="2" t="s">
        <v>2363</v>
      </c>
      <c r="H657" s="2" t="s">
        <v>1732</v>
      </c>
      <c r="I657" s="2" t="s">
        <v>1733</v>
      </c>
      <c r="J657" s="3">
        <v>44385</v>
      </c>
      <c r="K657" s="5">
        <f>YEAR(OrganizedData[[#This Row],[Order Date]])</f>
        <v>2021</v>
      </c>
      <c r="L657" s="7" t="str">
        <f>TEXT(OrganizedData[[#This Row],[Order Date]],"mmm")</f>
        <v>Jul</v>
      </c>
      <c r="M657" s="2">
        <v>17</v>
      </c>
      <c r="N657" s="2" t="s">
        <v>70</v>
      </c>
      <c r="O657" s="2" t="str">
        <f>VLOOKUP(OrganizedData[[#This Row],[Product Code]],ProductData[[Code]:[Item]],2,FALSE)</f>
        <v>Megawidget M</v>
      </c>
      <c r="P657" s="4">
        <f>OrganizedData[[#This Row],[Quantity]]*VLOOKUP(OrganizedData[[#This Row],[Product Code]],ProductData[],4,FALSE)</f>
        <v>408</v>
      </c>
      <c r="Q657" s="6">
        <f>OrganizedData[[#This Row],[Total Items Ordered]]*VLOOKUP(OrganizedData[[#This Row],[Product Code]],ProductData[],3,FALSE)</f>
        <v>526.32000000000005</v>
      </c>
      <c r="R6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526.32000000000005</v>
      </c>
    </row>
    <row r="658" spans="1:18" x14ac:dyDescent="0.3">
      <c r="A658" s="2">
        <v>651</v>
      </c>
      <c r="B658" s="2" t="s">
        <v>2364</v>
      </c>
      <c r="C658" s="2" t="s">
        <v>2365</v>
      </c>
      <c r="D658" s="2" t="s">
        <v>28</v>
      </c>
      <c r="E658" s="2" t="s">
        <v>29</v>
      </c>
      <c r="F658" s="2">
        <v>30</v>
      </c>
      <c r="G658" s="2" t="s">
        <v>2363</v>
      </c>
      <c r="H658" s="2" t="s">
        <v>2366</v>
      </c>
      <c r="I658" s="2" t="s">
        <v>1367</v>
      </c>
      <c r="J658" s="3">
        <v>44439</v>
      </c>
      <c r="K658" s="5">
        <f>YEAR(OrganizedData[[#This Row],[Order Date]])</f>
        <v>2021</v>
      </c>
      <c r="L658" s="7" t="str">
        <f>TEXT(OrganizedData[[#This Row],[Order Date]],"mmm")</f>
        <v>Aug</v>
      </c>
      <c r="M658" s="2">
        <v>37</v>
      </c>
      <c r="N658" s="2" t="s">
        <v>80</v>
      </c>
      <c r="O658" s="2" t="str">
        <f>VLOOKUP(OrganizedData[[#This Row],[Product Code]],ProductData[[Code]:[Item]],2,FALSE)</f>
        <v>Ultrathing V2</v>
      </c>
      <c r="P658" s="4">
        <f>OrganizedData[[#This Row],[Quantity]]*VLOOKUP(OrganizedData[[#This Row],[Product Code]],ProductData[],4,FALSE)</f>
        <v>740</v>
      </c>
      <c r="Q658" s="6">
        <f>OrganizedData[[#This Row],[Total Items Ordered]]*VLOOKUP(OrganizedData[[#This Row],[Product Code]],ProductData[],3,FALSE)</f>
        <v>2183</v>
      </c>
      <c r="R6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659" spans="1:18" x14ac:dyDescent="0.3">
      <c r="A659" s="2">
        <v>652</v>
      </c>
      <c r="B659" s="2" t="s">
        <v>2367</v>
      </c>
      <c r="C659" s="2" t="s">
        <v>2368</v>
      </c>
      <c r="D659" s="2" t="s">
        <v>28</v>
      </c>
      <c r="E659" s="2" t="s">
        <v>29</v>
      </c>
      <c r="F659" s="2">
        <v>30</v>
      </c>
      <c r="G659" s="2" t="s">
        <v>10471</v>
      </c>
      <c r="H659" s="2" t="s">
        <v>951</v>
      </c>
      <c r="I659" s="2" t="s">
        <v>95</v>
      </c>
      <c r="J659" s="3">
        <v>44014</v>
      </c>
      <c r="K659" s="5">
        <f>YEAR(OrganizedData[[#This Row],[Order Date]])</f>
        <v>2020</v>
      </c>
      <c r="L659" s="7" t="str">
        <f>TEXT(OrganizedData[[#This Row],[Order Date]],"mmm")</f>
        <v>Jul</v>
      </c>
      <c r="M659" s="2">
        <v>84</v>
      </c>
      <c r="N659" s="2" t="s">
        <v>159</v>
      </c>
      <c r="O659" s="2" t="str">
        <f>VLOOKUP(OrganizedData[[#This Row],[Product Code]],ProductData[[Code]:[Item]],2,FALSE)</f>
        <v>Ultrathing V3</v>
      </c>
      <c r="P659" s="4">
        <f>OrganizedData[[#This Row],[Quantity]]*VLOOKUP(OrganizedData[[#This Row],[Product Code]],ProductData[],4,FALSE)</f>
        <v>2016</v>
      </c>
      <c r="Q659" s="6">
        <f>OrganizedData[[#This Row],[Total Items Ordered]]*VLOOKUP(OrganizedData[[#This Row],[Product Code]],ProductData[],3,FALSE)</f>
        <v>6834.2400000000007</v>
      </c>
      <c r="R6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660" spans="1:18" x14ac:dyDescent="0.3">
      <c r="A660" s="2">
        <v>653</v>
      </c>
      <c r="B660" s="2" t="s">
        <v>2370</v>
      </c>
      <c r="C660" s="2" t="s">
        <v>2371</v>
      </c>
      <c r="D660" s="2" t="s">
        <v>51</v>
      </c>
      <c r="E660" s="2" t="s">
        <v>16</v>
      </c>
      <c r="F660" s="2">
        <v>30</v>
      </c>
      <c r="G660" s="2" t="s">
        <v>10472</v>
      </c>
      <c r="H660" s="2" t="s">
        <v>2373</v>
      </c>
      <c r="I660" s="2" t="s">
        <v>32</v>
      </c>
      <c r="J660" s="3">
        <v>44034</v>
      </c>
      <c r="K660" s="5">
        <f>YEAR(OrganizedData[[#This Row],[Order Date]])</f>
        <v>2020</v>
      </c>
      <c r="L660" s="7" t="str">
        <f>TEXT(OrganizedData[[#This Row],[Order Date]],"mmm")</f>
        <v>Jul</v>
      </c>
      <c r="M660" s="2">
        <v>9</v>
      </c>
      <c r="N660" s="2" t="s">
        <v>80</v>
      </c>
      <c r="O660" s="2" t="str">
        <f>VLOOKUP(OrganizedData[[#This Row],[Product Code]],ProductData[[Code]:[Item]],2,FALSE)</f>
        <v>Ultrathing V2</v>
      </c>
      <c r="P660" s="4">
        <f>OrganizedData[[#This Row],[Quantity]]*VLOOKUP(OrganizedData[[#This Row],[Product Code]],ProductData[],4,FALSE)</f>
        <v>180</v>
      </c>
      <c r="Q660" s="6">
        <f>OrganizedData[[#This Row],[Total Items Ordered]]*VLOOKUP(OrganizedData[[#This Row],[Product Code]],ProductData[],3,FALSE)</f>
        <v>531</v>
      </c>
      <c r="R6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531</v>
      </c>
    </row>
    <row r="661" spans="1:18" x14ac:dyDescent="0.3">
      <c r="A661" s="2">
        <v>654</v>
      </c>
      <c r="B661" s="2" t="s">
        <v>2374</v>
      </c>
      <c r="C661" s="2" t="s">
        <v>1356</v>
      </c>
      <c r="D661" s="2" t="s">
        <v>51</v>
      </c>
      <c r="E661" s="2" t="s">
        <v>16</v>
      </c>
      <c r="F661" s="2">
        <v>60</v>
      </c>
      <c r="G661" s="2" t="s">
        <v>2375</v>
      </c>
      <c r="H661" s="2" t="s">
        <v>2376</v>
      </c>
      <c r="I661" s="2" t="s">
        <v>32</v>
      </c>
      <c r="J661" s="3">
        <v>43898</v>
      </c>
      <c r="K661" s="5">
        <f>YEAR(OrganizedData[[#This Row],[Order Date]])</f>
        <v>2020</v>
      </c>
      <c r="L661" s="7" t="str">
        <f>TEXT(OrganizedData[[#This Row],[Order Date]],"mmm")</f>
        <v>Mar</v>
      </c>
      <c r="M661" s="2">
        <v>10</v>
      </c>
      <c r="N661" s="2" t="s">
        <v>159</v>
      </c>
      <c r="O661" s="2" t="str">
        <f>VLOOKUP(OrganizedData[[#This Row],[Product Code]],ProductData[[Code]:[Item]],2,FALSE)</f>
        <v>Ultrathing V3</v>
      </c>
      <c r="P661" s="4">
        <f>OrganizedData[[#This Row],[Quantity]]*VLOOKUP(OrganizedData[[#This Row],[Product Code]],ProductData[],4,FALSE)</f>
        <v>240</v>
      </c>
      <c r="Q661" s="6">
        <f>OrganizedData[[#This Row],[Total Items Ordered]]*VLOOKUP(OrganizedData[[#This Row],[Product Code]],ProductData[],3,FALSE)</f>
        <v>813.6</v>
      </c>
      <c r="R6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662" spans="1:18" x14ac:dyDescent="0.3">
      <c r="A662" s="2">
        <v>655</v>
      </c>
      <c r="B662" s="2" t="s">
        <v>2377</v>
      </c>
      <c r="C662" s="2" t="s">
        <v>2378</v>
      </c>
      <c r="D662" s="2" t="s">
        <v>41</v>
      </c>
      <c r="E662" s="2" t="s">
        <v>16</v>
      </c>
      <c r="F662" s="2">
        <v>30</v>
      </c>
      <c r="G662" s="2" t="s">
        <v>2379</v>
      </c>
      <c r="H662" s="2" t="s">
        <v>2380</v>
      </c>
      <c r="I662" s="2" t="s">
        <v>173</v>
      </c>
      <c r="J662" s="3">
        <v>44074</v>
      </c>
      <c r="K662" s="5">
        <f>YEAR(OrganizedData[[#This Row],[Order Date]])</f>
        <v>2020</v>
      </c>
      <c r="L662" s="7" t="str">
        <f>TEXT(OrganizedData[[#This Row],[Order Date]],"mmm")</f>
        <v>Aug</v>
      </c>
      <c r="M662" s="2">
        <v>76</v>
      </c>
      <c r="N662" s="2" t="s">
        <v>39</v>
      </c>
      <c r="O662" s="2" t="str">
        <f>VLOOKUP(OrganizedData[[#This Row],[Product Code]],ProductData[[Code]:[Item]],2,FALSE)</f>
        <v>Ultrathing V1</v>
      </c>
      <c r="P662" s="4">
        <f>OrganizedData[[#This Row],[Quantity]]*VLOOKUP(OrganizedData[[#This Row],[Product Code]],ProductData[],4,FALSE)</f>
        <v>1292</v>
      </c>
      <c r="Q662" s="6">
        <f>OrganizedData[[#This Row],[Total Items Ordered]]*VLOOKUP(OrganizedData[[#This Row],[Product Code]],ProductData[],3,FALSE)</f>
        <v>2312.6799999999998</v>
      </c>
      <c r="R6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663" spans="1:18" x14ac:dyDescent="0.3">
      <c r="A663" s="2">
        <v>656</v>
      </c>
      <c r="B663" s="2" t="s">
        <v>2381</v>
      </c>
      <c r="C663" s="2" t="s">
        <v>2382</v>
      </c>
      <c r="D663" s="2" t="s">
        <v>28</v>
      </c>
      <c r="E663" s="2" t="s">
        <v>29</v>
      </c>
      <c r="F663" s="2">
        <v>30</v>
      </c>
      <c r="G663" s="2" t="s">
        <v>2383</v>
      </c>
      <c r="H663" s="2" t="s">
        <v>641</v>
      </c>
      <c r="I663" s="2" t="s">
        <v>294</v>
      </c>
      <c r="J663" s="3">
        <v>44826</v>
      </c>
      <c r="K663" s="5">
        <f>YEAR(OrganizedData[[#This Row],[Order Date]])</f>
        <v>2022</v>
      </c>
      <c r="L663" s="7" t="str">
        <f>TEXT(OrganizedData[[#This Row],[Order Date]],"mmm")</f>
        <v>Sep</v>
      </c>
      <c r="M663" s="2">
        <v>7</v>
      </c>
      <c r="N663" s="2" t="s">
        <v>45</v>
      </c>
      <c r="O663" s="2" t="str">
        <f>VLOOKUP(OrganizedData[[#This Row],[Product Code]],ProductData[[Code]:[Item]],2,FALSE)</f>
        <v>Gigastuff</v>
      </c>
      <c r="P663" s="4">
        <f>OrganizedData[[#This Row],[Quantity]]*VLOOKUP(OrganizedData[[#This Row],[Product Code]],ProductData[],4,FALSE)</f>
        <v>126</v>
      </c>
      <c r="Q663" s="6">
        <f>OrganizedData[[#This Row],[Total Items Ordered]]*VLOOKUP(OrganizedData[[#This Row],[Product Code]],ProductData[],3,FALSE)</f>
        <v>238.14</v>
      </c>
      <c r="R6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664" spans="1:18" x14ac:dyDescent="0.3">
      <c r="A664" s="2">
        <v>657</v>
      </c>
      <c r="B664" s="2" t="s">
        <v>2384</v>
      </c>
      <c r="C664" s="2" t="s">
        <v>2385</v>
      </c>
      <c r="D664" s="2" t="s">
        <v>28</v>
      </c>
      <c r="E664" s="2" t="s">
        <v>29</v>
      </c>
      <c r="F664" s="2">
        <v>60</v>
      </c>
      <c r="G664" s="2" t="s">
        <v>2386</v>
      </c>
      <c r="H664" s="2" t="s">
        <v>2387</v>
      </c>
      <c r="I664" s="2" t="s">
        <v>146</v>
      </c>
      <c r="J664" s="3">
        <v>44881</v>
      </c>
      <c r="K664" s="5">
        <f>YEAR(OrganizedData[[#This Row],[Order Date]])</f>
        <v>2022</v>
      </c>
      <c r="L664" s="7" t="str">
        <f>TEXT(OrganizedData[[#This Row],[Order Date]],"mmm")</f>
        <v>Nov</v>
      </c>
      <c r="M664" s="2">
        <v>101</v>
      </c>
      <c r="N664" s="2" t="s">
        <v>159</v>
      </c>
      <c r="O664" s="2" t="str">
        <f>VLOOKUP(OrganizedData[[#This Row],[Product Code]],ProductData[[Code]:[Item]],2,FALSE)</f>
        <v>Ultrathing V3</v>
      </c>
      <c r="P664" s="4">
        <f>OrganizedData[[#This Row],[Quantity]]*VLOOKUP(OrganizedData[[#This Row],[Product Code]],ProductData[],4,FALSE)</f>
        <v>2424</v>
      </c>
      <c r="Q664" s="6">
        <f>OrganizedData[[#This Row],[Total Items Ordered]]*VLOOKUP(OrganizedData[[#This Row],[Product Code]],ProductData[],3,FALSE)</f>
        <v>8217.36</v>
      </c>
      <c r="R6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7642.1448000000009</v>
      </c>
    </row>
    <row r="665" spans="1:18" x14ac:dyDescent="0.3">
      <c r="A665" s="2">
        <v>658</v>
      </c>
      <c r="B665" s="2" t="s">
        <v>2388</v>
      </c>
      <c r="C665" s="2" t="s">
        <v>2389</v>
      </c>
      <c r="D665" s="2" t="s">
        <v>28</v>
      </c>
      <c r="E665" s="2" t="s">
        <v>29</v>
      </c>
      <c r="F665" s="2">
        <v>60</v>
      </c>
      <c r="G665" s="2" t="s">
        <v>2390</v>
      </c>
      <c r="H665" s="2" t="s">
        <v>1619</v>
      </c>
      <c r="I665" s="2" t="s">
        <v>44</v>
      </c>
      <c r="J665" s="3">
        <v>44290</v>
      </c>
      <c r="K665" s="5">
        <f>YEAR(OrganizedData[[#This Row],[Order Date]])</f>
        <v>2021</v>
      </c>
      <c r="L665" s="7" t="str">
        <f>TEXT(OrganizedData[[#This Row],[Order Date]],"mmm")</f>
        <v>Apr</v>
      </c>
      <c r="M665" s="2">
        <v>61</v>
      </c>
      <c r="N665" s="2" t="s">
        <v>101</v>
      </c>
      <c r="O665" s="2" t="str">
        <f>VLOOKUP(OrganizedData[[#This Row],[Product Code]],ProductData[[Code]:[Item]],2,FALSE)</f>
        <v>Superwossname</v>
      </c>
      <c r="P665" s="4">
        <f>OrganizedData[[#This Row],[Quantity]]*VLOOKUP(OrganizedData[[#This Row],[Product Code]],ProductData[],4,FALSE)</f>
        <v>1220</v>
      </c>
      <c r="Q665" s="6">
        <f>OrganizedData[[#This Row],[Total Items Ordered]]*VLOOKUP(OrganizedData[[#This Row],[Product Code]],ProductData[],3,FALSE)</f>
        <v>4257.8</v>
      </c>
      <c r="R6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4044.91</v>
      </c>
    </row>
    <row r="666" spans="1:18" x14ac:dyDescent="0.3">
      <c r="A666" s="2">
        <v>659</v>
      </c>
      <c r="B666" s="2" t="s">
        <v>2391</v>
      </c>
      <c r="C666" s="2" t="s">
        <v>2392</v>
      </c>
      <c r="D666" s="2" t="s">
        <v>15</v>
      </c>
      <c r="E666" s="2" t="s">
        <v>16</v>
      </c>
      <c r="F666" s="2">
        <v>30</v>
      </c>
      <c r="G666" s="2" t="s">
        <v>2390</v>
      </c>
      <c r="H666" s="2" t="s">
        <v>2393</v>
      </c>
      <c r="I666" s="2" t="s">
        <v>1449</v>
      </c>
      <c r="J666" s="3">
        <v>44457</v>
      </c>
      <c r="K666" s="5">
        <f>YEAR(OrganizedData[[#This Row],[Order Date]])</f>
        <v>2021</v>
      </c>
      <c r="L666" s="7" t="str">
        <f>TEXT(OrganizedData[[#This Row],[Order Date]],"mmm")</f>
        <v>Sep</v>
      </c>
      <c r="M666" s="2">
        <v>91</v>
      </c>
      <c r="N666" s="2" t="s">
        <v>64</v>
      </c>
      <c r="O666" s="2" t="str">
        <f>VLOOKUP(OrganizedData[[#This Row],[Product Code]],ProductData[[Code]:[Item]],2,FALSE)</f>
        <v>Ultrathing V4</v>
      </c>
      <c r="P666" s="4">
        <f>OrganizedData[[#This Row],[Quantity]]*VLOOKUP(OrganizedData[[#This Row],[Product Code]],ProductData[],4,FALSE)</f>
        <v>2184</v>
      </c>
      <c r="Q666" s="6">
        <f>OrganizedData[[#This Row],[Total Items Ordered]]*VLOOKUP(OrganizedData[[#This Row],[Product Code]],ProductData[],3,FALSE)</f>
        <v>8714.16</v>
      </c>
      <c r="R6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8278.4519999999993</v>
      </c>
    </row>
    <row r="667" spans="1:18" x14ac:dyDescent="0.3">
      <c r="A667" s="2">
        <v>660</v>
      </c>
      <c r="B667" s="2" t="s">
        <v>2394</v>
      </c>
      <c r="C667" s="2" t="s">
        <v>2395</v>
      </c>
      <c r="D667" s="2" t="s">
        <v>15</v>
      </c>
      <c r="E667" s="2" t="s">
        <v>16</v>
      </c>
      <c r="F667" s="2">
        <v>30</v>
      </c>
      <c r="G667" s="2" t="s">
        <v>2396</v>
      </c>
      <c r="H667" s="2" t="s">
        <v>2397</v>
      </c>
      <c r="I667" s="2" t="s">
        <v>187</v>
      </c>
      <c r="J667" s="3">
        <v>44721</v>
      </c>
      <c r="K667" s="5">
        <f>YEAR(OrganizedData[[#This Row],[Order Date]])</f>
        <v>2022</v>
      </c>
      <c r="L667" s="7" t="str">
        <f>TEXT(OrganizedData[[#This Row],[Order Date]],"mmm")</f>
        <v>Jun</v>
      </c>
      <c r="M667" s="2">
        <v>86</v>
      </c>
      <c r="N667" s="2" t="s">
        <v>80</v>
      </c>
      <c r="O667" s="2" t="str">
        <f>VLOOKUP(OrganizedData[[#This Row],[Product Code]],ProductData[[Code]:[Item]],2,FALSE)</f>
        <v>Ultrathing V2</v>
      </c>
      <c r="P667" s="4">
        <f>OrganizedData[[#This Row],[Quantity]]*VLOOKUP(OrganizedData[[#This Row],[Product Code]],ProductData[],4,FALSE)</f>
        <v>1720</v>
      </c>
      <c r="Q667" s="6">
        <f>OrganizedData[[#This Row],[Total Items Ordered]]*VLOOKUP(OrganizedData[[#This Row],[Product Code]],ProductData[],3,FALSE)</f>
        <v>5074</v>
      </c>
      <c r="R6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4820.3</v>
      </c>
    </row>
    <row r="668" spans="1:18" x14ac:dyDescent="0.3">
      <c r="A668" s="2">
        <v>661</v>
      </c>
      <c r="B668" s="2" t="s">
        <v>2398</v>
      </c>
      <c r="C668" s="2" t="s">
        <v>2399</v>
      </c>
      <c r="D668" s="2" t="s">
        <v>28</v>
      </c>
      <c r="E668" s="2" t="s">
        <v>29</v>
      </c>
      <c r="F668" s="2">
        <v>90</v>
      </c>
      <c r="G668" s="2" t="s">
        <v>2400</v>
      </c>
      <c r="H668" s="2" t="s">
        <v>2401</v>
      </c>
      <c r="I668" s="2" t="s">
        <v>178</v>
      </c>
      <c r="J668" s="3">
        <v>44358</v>
      </c>
      <c r="K668" s="5">
        <f>YEAR(OrganizedData[[#This Row],[Order Date]])</f>
        <v>2021</v>
      </c>
      <c r="L668" s="7" t="str">
        <f>TEXT(OrganizedData[[#This Row],[Order Date]],"mmm")</f>
        <v>Jun</v>
      </c>
      <c r="M668" s="2">
        <v>60</v>
      </c>
      <c r="N668" s="2" t="s">
        <v>54</v>
      </c>
      <c r="O668" s="2" t="str">
        <f>VLOOKUP(OrganizedData[[#This Row],[Product Code]],ProductData[[Code]:[Item]],2,FALSE)</f>
        <v>Megawidget S</v>
      </c>
      <c r="P668" s="4">
        <f>OrganizedData[[#This Row],[Quantity]]*VLOOKUP(OrganizedData[[#This Row],[Product Code]],ProductData[],4,FALSE)</f>
        <v>1440</v>
      </c>
      <c r="Q668" s="6">
        <f>OrganizedData[[#This Row],[Total Items Ordered]]*VLOOKUP(OrganizedData[[#This Row],[Product Code]],ProductData[],3,FALSE)</f>
        <v>993.59999999999991</v>
      </c>
      <c r="R6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669" spans="1:18" x14ac:dyDescent="0.3">
      <c r="A669" s="2">
        <v>662</v>
      </c>
      <c r="B669" s="2" t="s">
        <v>2402</v>
      </c>
      <c r="C669" s="2" t="s">
        <v>1863</v>
      </c>
      <c r="D669" s="2" t="s">
        <v>28</v>
      </c>
      <c r="E669" s="2" t="s">
        <v>29</v>
      </c>
      <c r="F669" s="2">
        <v>60</v>
      </c>
      <c r="G669" s="2" t="s">
        <v>2403</v>
      </c>
      <c r="H669" s="2" t="s">
        <v>2404</v>
      </c>
      <c r="I669" s="2" t="s">
        <v>886</v>
      </c>
      <c r="J669" s="3">
        <v>44337</v>
      </c>
      <c r="K669" s="5">
        <f>YEAR(OrganizedData[[#This Row],[Order Date]])</f>
        <v>2021</v>
      </c>
      <c r="L669" s="7" t="str">
        <f>TEXT(OrganizedData[[#This Row],[Order Date]],"mmm")</f>
        <v>May</v>
      </c>
      <c r="M669" s="2">
        <v>68</v>
      </c>
      <c r="N669" s="2" t="s">
        <v>159</v>
      </c>
      <c r="O669" s="2" t="str">
        <f>VLOOKUP(OrganizedData[[#This Row],[Product Code]],ProductData[[Code]:[Item]],2,FALSE)</f>
        <v>Ultrathing V3</v>
      </c>
      <c r="P669" s="4">
        <f>OrganizedData[[#This Row],[Quantity]]*VLOOKUP(OrganizedData[[#This Row],[Product Code]],ProductData[],4,FALSE)</f>
        <v>1632</v>
      </c>
      <c r="Q669" s="6">
        <f>OrganizedData[[#This Row],[Total Items Ordered]]*VLOOKUP(OrganizedData[[#This Row],[Product Code]],ProductData[],3,FALSE)</f>
        <v>5532.4800000000005</v>
      </c>
      <c r="R6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5255.8559999999998</v>
      </c>
    </row>
    <row r="670" spans="1:18" x14ac:dyDescent="0.3">
      <c r="A670" s="2">
        <v>663</v>
      </c>
      <c r="B670" s="2" t="s">
        <v>2405</v>
      </c>
      <c r="C670" s="2" t="s">
        <v>2406</v>
      </c>
      <c r="D670" s="2" t="s">
        <v>28</v>
      </c>
      <c r="E670" s="2" t="s">
        <v>29</v>
      </c>
      <c r="F670" s="2">
        <v>90</v>
      </c>
      <c r="G670" s="2" t="s">
        <v>10421</v>
      </c>
      <c r="H670" s="2" t="s">
        <v>2408</v>
      </c>
      <c r="I670" s="2" t="s">
        <v>187</v>
      </c>
      <c r="J670" s="3">
        <v>44463</v>
      </c>
      <c r="K670" s="5">
        <f>YEAR(OrganizedData[[#This Row],[Order Date]])</f>
        <v>2021</v>
      </c>
      <c r="L670" s="7" t="str">
        <f>TEXT(OrganizedData[[#This Row],[Order Date]],"mmm")</f>
        <v>Sep</v>
      </c>
      <c r="M670" s="2">
        <v>61</v>
      </c>
      <c r="N670" s="2" t="s">
        <v>33</v>
      </c>
      <c r="O670" s="2" t="str">
        <f>VLOOKUP(OrganizedData[[#This Row],[Product Code]],ProductData[[Code]:[Item]],2,FALSE)</f>
        <v>Megawidget L</v>
      </c>
      <c r="P670" s="4">
        <f>OrganizedData[[#This Row],[Quantity]]*VLOOKUP(OrganizedData[[#This Row],[Product Code]],ProductData[],4,FALSE)</f>
        <v>1464</v>
      </c>
      <c r="Q670" s="6">
        <f>OrganizedData[[#This Row],[Total Items Ordered]]*VLOOKUP(OrganizedData[[#This Row],[Product Code]],ProductData[],3,FALSE)</f>
        <v>2620.56</v>
      </c>
      <c r="R6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2489.5319999999997</v>
      </c>
    </row>
    <row r="671" spans="1:18" x14ac:dyDescent="0.3">
      <c r="A671" s="2">
        <v>664</v>
      </c>
      <c r="B671" s="2" t="s">
        <v>2409</v>
      </c>
      <c r="C671" s="2" t="s">
        <v>2410</v>
      </c>
      <c r="D671" s="2" t="s">
        <v>28</v>
      </c>
      <c r="E671" s="2" t="s">
        <v>29</v>
      </c>
      <c r="F671" s="2">
        <v>90</v>
      </c>
      <c r="G671" s="2" t="s">
        <v>10421</v>
      </c>
      <c r="H671" s="2" t="s">
        <v>2411</v>
      </c>
      <c r="I671" s="2" t="s">
        <v>25</v>
      </c>
      <c r="J671" s="3">
        <v>44535</v>
      </c>
      <c r="K671" s="5">
        <f>YEAR(OrganizedData[[#This Row],[Order Date]])</f>
        <v>2021</v>
      </c>
      <c r="L671" s="7" t="str">
        <f>TEXT(OrganizedData[[#This Row],[Order Date]],"mmm")</f>
        <v>Dec</v>
      </c>
      <c r="M671" s="2">
        <v>69</v>
      </c>
      <c r="N671" s="2" t="s">
        <v>20</v>
      </c>
      <c r="O671" s="2" t="str">
        <f>VLOOKUP(OrganizedData[[#This Row],[Product Code]],ProductData[[Code]:[Item]],2,FALSE)</f>
        <v>Hyperwotsit</v>
      </c>
      <c r="P671" s="4">
        <f>OrganizedData[[#This Row],[Quantity]]*VLOOKUP(OrganizedData[[#This Row],[Product Code]],ProductData[],4,FALSE)</f>
        <v>1380</v>
      </c>
      <c r="Q671" s="6">
        <f>OrganizedData[[#This Row],[Total Items Ordered]]*VLOOKUP(OrganizedData[[#This Row],[Product Code]],ProductData[],3,FALSE)</f>
        <v>2773.7999999999997</v>
      </c>
      <c r="R6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672" spans="1:18" x14ac:dyDescent="0.3">
      <c r="A672" s="2">
        <v>665</v>
      </c>
      <c r="B672" s="2" t="s">
        <v>2412</v>
      </c>
      <c r="C672" s="2" t="s">
        <v>2413</v>
      </c>
      <c r="D672" s="2" t="s">
        <v>28</v>
      </c>
      <c r="E672" s="2" t="s">
        <v>29</v>
      </c>
      <c r="F672" s="2">
        <v>60</v>
      </c>
      <c r="G672" s="2" t="s">
        <v>2414</v>
      </c>
      <c r="H672" s="2" t="s">
        <v>451</v>
      </c>
      <c r="I672" s="2" t="s">
        <v>294</v>
      </c>
      <c r="J672" s="3">
        <v>44292</v>
      </c>
      <c r="K672" s="5">
        <f>YEAR(OrganizedData[[#This Row],[Order Date]])</f>
        <v>2021</v>
      </c>
      <c r="L672" s="7" t="str">
        <f>TEXT(OrganizedData[[#This Row],[Order Date]],"mmm")</f>
        <v>Apr</v>
      </c>
      <c r="M672" s="2">
        <v>27</v>
      </c>
      <c r="N672" s="2" t="s">
        <v>45</v>
      </c>
      <c r="O672" s="2" t="str">
        <f>VLOOKUP(OrganizedData[[#This Row],[Product Code]],ProductData[[Code]:[Item]],2,FALSE)</f>
        <v>Gigastuff</v>
      </c>
      <c r="P672" s="4">
        <f>OrganizedData[[#This Row],[Quantity]]*VLOOKUP(OrganizedData[[#This Row],[Product Code]],ProductData[],4,FALSE)</f>
        <v>486</v>
      </c>
      <c r="Q672" s="6">
        <f>OrganizedData[[#This Row],[Total Items Ordered]]*VLOOKUP(OrganizedData[[#This Row],[Product Code]],ProductData[],3,FALSE)</f>
        <v>918.54</v>
      </c>
      <c r="R6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890.98379999999997</v>
      </c>
    </row>
    <row r="673" spans="1:18" x14ac:dyDescent="0.3">
      <c r="A673" s="2">
        <v>666</v>
      </c>
      <c r="B673" s="2" t="s">
        <v>2415</v>
      </c>
      <c r="C673" s="2" t="s">
        <v>2416</v>
      </c>
      <c r="D673" s="2" t="s">
        <v>28</v>
      </c>
      <c r="E673" s="2" t="s">
        <v>29</v>
      </c>
      <c r="F673" s="2">
        <v>30</v>
      </c>
      <c r="G673" s="2" t="s">
        <v>2417</v>
      </c>
      <c r="H673" s="2" t="s">
        <v>2418</v>
      </c>
      <c r="I673" s="2" t="s">
        <v>32</v>
      </c>
      <c r="J673" s="3">
        <v>44379</v>
      </c>
      <c r="K673" s="5">
        <f>YEAR(OrganizedData[[#This Row],[Order Date]])</f>
        <v>2021</v>
      </c>
      <c r="L673" s="7" t="str">
        <f>TEXT(OrganizedData[[#This Row],[Order Date]],"mmm")</f>
        <v>Jul</v>
      </c>
      <c r="M673" s="2">
        <v>64</v>
      </c>
      <c r="N673" s="2" t="s">
        <v>20</v>
      </c>
      <c r="O673" s="2" t="str">
        <f>VLOOKUP(OrganizedData[[#This Row],[Product Code]],ProductData[[Code]:[Item]],2,FALSE)</f>
        <v>Hyperwotsit</v>
      </c>
      <c r="P673" s="4">
        <f>OrganizedData[[#This Row],[Quantity]]*VLOOKUP(OrganizedData[[#This Row],[Product Code]],ProductData[],4,FALSE)</f>
        <v>1280</v>
      </c>
      <c r="Q673" s="6">
        <f>OrganizedData[[#This Row],[Total Items Ordered]]*VLOOKUP(OrganizedData[[#This Row],[Product Code]],ProductData[],3,FALSE)</f>
        <v>2572.7999999999997</v>
      </c>
      <c r="R6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2444.1599999999994</v>
      </c>
    </row>
    <row r="674" spans="1:18" x14ac:dyDescent="0.3">
      <c r="A674" s="2">
        <v>667</v>
      </c>
      <c r="B674" s="2" t="s">
        <v>2419</v>
      </c>
      <c r="C674" s="2" t="s">
        <v>1286</v>
      </c>
      <c r="D674" s="2" t="s">
        <v>15</v>
      </c>
      <c r="E674" s="2" t="s">
        <v>16</v>
      </c>
      <c r="F674" s="2">
        <v>90</v>
      </c>
      <c r="G674" s="2" t="s">
        <v>2420</v>
      </c>
      <c r="H674" s="2" t="s">
        <v>1977</v>
      </c>
      <c r="I674" s="2" t="s">
        <v>124</v>
      </c>
      <c r="J674" s="3">
        <v>44039</v>
      </c>
      <c r="K674" s="5">
        <f>YEAR(OrganizedData[[#This Row],[Order Date]])</f>
        <v>2020</v>
      </c>
      <c r="L674" s="7" t="str">
        <f>TEXT(OrganizedData[[#This Row],[Order Date]],"mmm")</f>
        <v>Jul</v>
      </c>
      <c r="M674" s="2">
        <v>7</v>
      </c>
      <c r="N674" s="2" t="s">
        <v>64</v>
      </c>
      <c r="O674" s="2" t="str">
        <f>VLOOKUP(OrganizedData[[#This Row],[Product Code]],ProductData[[Code]:[Item]],2,FALSE)</f>
        <v>Ultrathing V4</v>
      </c>
      <c r="P674" s="4">
        <f>OrganizedData[[#This Row],[Quantity]]*VLOOKUP(OrganizedData[[#This Row],[Product Code]],ProductData[],4,FALSE)</f>
        <v>168</v>
      </c>
      <c r="Q674" s="6">
        <f>OrganizedData[[#This Row],[Total Items Ordered]]*VLOOKUP(OrganizedData[[#This Row],[Product Code]],ProductData[],3,FALSE)</f>
        <v>670.32</v>
      </c>
      <c r="R6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670.32</v>
      </c>
    </row>
    <row r="675" spans="1:18" x14ac:dyDescent="0.3">
      <c r="A675" s="2">
        <v>668</v>
      </c>
      <c r="B675" s="2" t="s">
        <v>2421</v>
      </c>
      <c r="C675" s="2" t="s">
        <v>2422</v>
      </c>
      <c r="D675" s="2" t="s">
        <v>51</v>
      </c>
      <c r="E675" s="2" t="s">
        <v>16</v>
      </c>
      <c r="F675" s="2">
        <v>90</v>
      </c>
      <c r="G675" s="2" t="s">
        <v>2423</v>
      </c>
      <c r="H675" s="2" t="s">
        <v>491</v>
      </c>
      <c r="I675" s="2" t="s">
        <v>32</v>
      </c>
      <c r="J675" s="3">
        <v>44548</v>
      </c>
      <c r="K675" s="5">
        <f>YEAR(OrganizedData[[#This Row],[Order Date]])</f>
        <v>2021</v>
      </c>
      <c r="L675" s="7" t="str">
        <f>TEXT(OrganizedData[[#This Row],[Order Date]],"mmm")</f>
        <v>Dec</v>
      </c>
      <c r="M675" s="2">
        <v>70</v>
      </c>
      <c r="N675" s="2" t="s">
        <v>54</v>
      </c>
      <c r="O675" s="2" t="str">
        <f>VLOOKUP(OrganizedData[[#This Row],[Product Code]],ProductData[[Code]:[Item]],2,FALSE)</f>
        <v>Megawidget S</v>
      </c>
      <c r="P675" s="4">
        <f>OrganizedData[[#This Row],[Quantity]]*VLOOKUP(OrganizedData[[#This Row],[Product Code]],ProductData[],4,FALSE)</f>
        <v>1680</v>
      </c>
      <c r="Q675" s="6">
        <f>OrganizedData[[#This Row],[Total Items Ordered]]*VLOOKUP(OrganizedData[[#This Row],[Product Code]],ProductData[],3,FALSE)</f>
        <v>1159.1999999999998</v>
      </c>
      <c r="R6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1101.2399999999998</v>
      </c>
    </row>
    <row r="676" spans="1:18" x14ac:dyDescent="0.3">
      <c r="A676" s="2">
        <v>669</v>
      </c>
      <c r="B676" s="2" t="s">
        <v>2424</v>
      </c>
      <c r="C676" s="2" t="s">
        <v>1669</v>
      </c>
      <c r="D676" s="2" t="s">
        <v>28</v>
      </c>
      <c r="E676" s="2" t="s">
        <v>29</v>
      </c>
      <c r="F676" s="2">
        <v>90</v>
      </c>
      <c r="G676" s="2" t="s">
        <v>10473</v>
      </c>
      <c r="H676" s="2" t="s">
        <v>776</v>
      </c>
      <c r="I676" s="2" t="s">
        <v>777</v>
      </c>
      <c r="J676" s="3">
        <v>44064</v>
      </c>
      <c r="K676" s="5">
        <f>YEAR(OrganizedData[[#This Row],[Order Date]])</f>
        <v>2020</v>
      </c>
      <c r="L676" s="7" t="str">
        <f>TEXT(OrganizedData[[#This Row],[Order Date]],"mmm")</f>
        <v>Aug</v>
      </c>
      <c r="M676" s="2">
        <v>57</v>
      </c>
      <c r="N676" s="2" t="s">
        <v>80</v>
      </c>
      <c r="O676" s="2" t="str">
        <f>VLOOKUP(OrganizedData[[#This Row],[Product Code]],ProductData[[Code]:[Item]],2,FALSE)</f>
        <v>Ultrathing V2</v>
      </c>
      <c r="P676" s="4">
        <f>OrganizedData[[#This Row],[Quantity]]*VLOOKUP(OrganizedData[[#This Row],[Product Code]],ProductData[],4,FALSE)</f>
        <v>1140</v>
      </c>
      <c r="Q676" s="6">
        <f>OrganizedData[[#This Row],[Total Items Ordered]]*VLOOKUP(OrganizedData[[#This Row],[Product Code]],ProductData[],3,FALSE)</f>
        <v>3363</v>
      </c>
      <c r="R6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3194.85</v>
      </c>
    </row>
    <row r="677" spans="1:18" x14ac:dyDescent="0.3">
      <c r="A677" s="2">
        <v>670</v>
      </c>
      <c r="B677" s="2" t="s">
        <v>2426</v>
      </c>
      <c r="C677" s="2" t="s">
        <v>2427</v>
      </c>
      <c r="D677" s="2" t="s">
        <v>28</v>
      </c>
      <c r="E677" s="2" t="s">
        <v>29</v>
      </c>
      <c r="F677" s="2">
        <v>60</v>
      </c>
      <c r="G677" s="2" t="s">
        <v>10473</v>
      </c>
      <c r="H677" s="2" t="s">
        <v>502</v>
      </c>
      <c r="I677" s="2" t="s">
        <v>294</v>
      </c>
      <c r="J677" s="3">
        <v>44662</v>
      </c>
      <c r="K677" s="5">
        <f>YEAR(OrganizedData[[#This Row],[Order Date]])</f>
        <v>2022</v>
      </c>
      <c r="L677" s="7" t="str">
        <f>TEXT(OrganizedData[[#This Row],[Order Date]],"mmm")</f>
        <v>Apr</v>
      </c>
      <c r="M677" s="2">
        <v>42</v>
      </c>
      <c r="N677" s="2" t="s">
        <v>45</v>
      </c>
      <c r="O677" s="2" t="str">
        <f>VLOOKUP(OrganizedData[[#This Row],[Product Code]],ProductData[[Code]:[Item]],2,FALSE)</f>
        <v>Gigastuff</v>
      </c>
      <c r="P677" s="4">
        <f>OrganizedData[[#This Row],[Quantity]]*VLOOKUP(OrganizedData[[#This Row],[Product Code]],ProductData[],4,FALSE)</f>
        <v>756</v>
      </c>
      <c r="Q677" s="6">
        <f>OrganizedData[[#This Row],[Total Items Ordered]]*VLOOKUP(OrganizedData[[#This Row],[Product Code]],ProductData[],3,FALSE)</f>
        <v>1428.84</v>
      </c>
      <c r="R6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678" spans="1:18" x14ac:dyDescent="0.3">
      <c r="A678" s="2">
        <v>671</v>
      </c>
      <c r="B678" s="2" t="s">
        <v>905</v>
      </c>
      <c r="C678" s="2" t="s">
        <v>2428</v>
      </c>
      <c r="D678" s="2" t="s">
        <v>28</v>
      </c>
      <c r="E678" s="2" t="s">
        <v>29</v>
      </c>
      <c r="F678" s="2">
        <v>60</v>
      </c>
      <c r="G678" s="2" t="s">
        <v>2429</v>
      </c>
      <c r="H678" s="2" t="s">
        <v>2341</v>
      </c>
      <c r="I678" s="2" t="s">
        <v>2342</v>
      </c>
      <c r="J678" s="3">
        <v>44320</v>
      </c>
      <c r="K678" s="5">
        <f>YEAR(OrganizedData[[#This Row],[Order Date]])</f>
        <v>2021</v>
      </c>
      <c r="L678" s="7" t="str">
        <f>TEXT(OrganizedData[[#This Row],[Order Date]],"mmm")</f>
        <v>May</v>
      </c>
      <c r="M678" s="2">
        <v>24</v>
      </c>
      <c r="N678" s="2" t="s">
        <v>64</v>
      </c>
      <c r="O678" s="2" t="str">
        <f>VLOOKUP(OrganizedData[[#This Row],[Product Code]],ProductData[[Code]:[Item]],2,FALSE)</f>
        <v>Ultrathing V4</v>
      </c>
      <c r="P678" s="4">
        <f>OrganizedData[[#This Row],[Quantity]]*VLOOKUP(OrganizedData[[#This Row],[Product Code]],ProductData[],4,FALSE)</f>
        <v>576</v>
      </c>
      <c r="Q678" s="6">
        <f>OrganizedData[[#This Row],[Total Items Ordered]]*VLOOKUP(OrganizedData[[#This Row],[Product Code]],ProductData[],3,FALSE)</f>
        <v>2298.2400000000002</v>
      </c>
      <c r="R6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2229.2928000000002</v>
      </c>
    </row>
    <row r="679" spans="1:18" x14ac:dyDescent="0.3">
      <c r="A679" s="2">
        <v>672</v>
      </c>
      <c r="B679" s="2" t="s">
        <v>2430</v>
      </c>
      <c r="C679" s="2" t="s">
        <v>2431</v>
      </c>
      <c r="D679" s="2" t="s">
        <v>28</v>
      </c>
      <c r="E679" s="2" t="s">
        <v>29</v>
      </c>
      <c r="F679" s="2">
        <v>30</v>
      </c>
      <c r="G679" s="2" t="s">
        <v>2432</v>
      </c>
      <c r="H679" s="2" t="s">
        <v>18</v>
      </c>
      <c r="I679" s="2" t="s">
        <v>19</v>
      </c>
      <c r="J679" s="3">
        <v>44783</v>
      </c>
      <c r="K679" s="5">
        <f>YEAR(OrganizedData[[#This Row],[Order Date]])</f>
        <v>2022</v>
      </c>
      <c r="L679" s="7" t="str">
        <f>TEXT(OrganizedData[[#This Row],[Order Date]],"mmm")</f>
        <v>Aug</v>
      </c>
      <c r="M679" s="2">
        <v>82</v>
      </c>
      <c r="N679" s="2" t="s">
        <v>45</v>
      </c>
      <c r="O679" s="2" t="str">
        <f>VLOOKUP(OrganizedData[[#This Row],[Product Code]],ProductData[[Code]:[Item]],2,FALSE)</f>
        <v>Gigastuff</v>
      </c>
      <c r="P679" s="4">
        <f>OrganizedData[[#This Row],[Quantity]]*VLOOKUP(OrganizedData[[#This Row],[Product Code]],ProductData[],4,FALSE)</f>
        <v>1476</v>
      </c>
      <c r="Q679" s="6">
        <f>OrganizedData[[#This Row],[Total Items Ordered]]*VLOOKUP(OrganizedData[[#This Row],[Product Code]],ProductData[],3,FALSE)</f>
        <v>2789.64</v>
      </c>
      <c r="R6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680" spans="1:18" x14ac:dyDescent="0.3">
      <c r="A680" s="2">
        <v>673</v>
      </c>
      <c r="B680" s="2" t="s">
        <v>2433</v>
      </c>
      <c r="C680" s="2" t="s">
        <v>2434</v>
      </c>
      <c r="D680" s="2" t="s">
        <v>51</v>
      </c>
      <c r="E680" s="2" t="s">
        <v>16</v>
      </c>
      <c r="F680" s="2">
        <v>30</v>
      </c>
      <c r="G680" s="2" t="s">
        <v>2435</v>
      </c>
      <c r="H680" s="2" t="s">
        <v>2436</v>
      </c>
      <c r="I680" s="2" t="s">
        <v>294</v>
      </c>
      <c r="J680" s="3">
        <v>44729</v>
      </c>
      <c r="K680" s="5">
        <f>YEAR(OrganizedData[[#This Row],[Order Date]])</f>
        <v>2022</v>
      </c>
      <c r="L680" s="7" t="str">
        <f>TEXT(OrganizedData[[#This Row],[Order Date]],"mmm")</f>
        <v>Jun</v>
      </c>
      <c r="M680" s="2">
        <v>34</v>
      </c>
      <c r="N680" s="2" t="s">
        <v>39</v>
      </c>
      <c r="O680" s="2" t="str">
        <f>VLOOKUP(OrganizedData[[#This Row],[Product Code]],ProductData[[Code]:[Item]],2,FALSE)</f>
        <v>Ultrathing V1</v>
      </c>
      <c r="P680" s="4">
        <f>OrganizedData[[#This Row],[Quantity]]*VLOOKUP(OrganizedData[[#This Row],[Product Code]],ProductData[],4,FALSE)</f>
        <v>578</v>
      </c>
      <c r="Q680" s="6">
        <f>OrganizedData[[#This Row],[Total Items Ordered]]*VLOOKUP(OrganizedData[[#This Row],[Product Code]],ProductData[],3,FALSE)</f>
        <v>1034.6200000000001</v>
      </c>
      <c r="R6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1003.5814</v>
      </c>
    </row>
    <row r="681" spans="1:18" x14ac:dyDescent="0.3">
      <c r="A681" s="2">
        <v>674</v>
      </c>
      <c r="B681" s="2" t="s">
        <v>2437</v>
      </c>
      <c r="C681" s="2" t="s">
        <v>2438</v>
      </c>
      <c r="D681" s="2" t="s">
        <v>28</v>
      </c>
      <c r="E681" s="2" t="s">
        <v>29</v>
      </c>
      <c r="F681" s="2">
        <v>30</v>
      </c>
      <c r="G681" s="2" t="s">
        <v>2435</v>
      </c>
      <c r="H681" s="2" t="s">
        <v>311</v>
      </c>
      <c r="I681" s="2" t="s">
        <v>32</v>
      </c>
      <c r="J681" s="3">
        <v>44117</v>
      </c>
      <c r="K681" s="5">
        <f>YEAR(OrganizedData[[#This Row],[Order Date]])</f>
        <v>2020</v>
      </c>
      <c r="L681" s="7" t="str">
        <f>TEXT(OrganizedData[[#This Row],[Order Date]],"mmm")</f>
        <v>Oct</v>
      </c>
      <c r="M681" s="2">
        <v>34</v>
      </c>
      <c r="N681" s="2" t="s">
        <v>45</v>
      </c>
      <c r="O681" s="2" t="str">
        <f>VLOOKUP(OrganizedData[[#This Row],[Product Code]],ProductData[[Code]:[Item]],2,FALSE)</f>
        <v>Gigastuff</v>
      </c>
      <c r="P681" s="4">
        <f>OrganizedData[[#This Row],[Quantity]]*VLOOKUP(OrganizedData[[#This Row],[Product Code]],ProductData[],4,FALSE)</f>
        <v>612</v>
      </c>
      <c r="Q681" s="6">
        <f>OrganizedData[[#This Row],[Total Items Ordered]]*VLOOKUP(OrganizedData[[#This Row],[Product Code]],ProductData[],3,FALSE)</f>
        <v>1156.6799999999998</v>
      </c>
      <c r="R6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1121.9795999999999</v>
      </c>
    </row>
    <row r="682" spans="1:18" x14ac:dyDescent="0.3">
      <c r="A682" s="2">
        <v>675</v>
      </c>
      <c r="B682" s="2" t="s">
        <v>2439</v>
      </c>
      <c r="C682" s="2" t="s">
        <v>1154</v>
      </c>
      <c r="D682" s="2" t="s">
        <v>15</v>
      </c>
      <c r="E682" s="2" t="s">
        <v>16</v>
      </c>
      <c r="F682" s="2">
        <v>90</v>
      </c>
      <c r="G682" s="2" t="s">
        <v>2440</v>
      </c>
      <c r="H682" s="2" t="s">
        <v>2441</v>
      </c>
      <c r="I682" s="2" t="s">
        <v>1199</v>
      </c>
      <c r="J682" s="3">
        <v>44154</v>
      </c>
      <c r="K682" s="5">
        <f>YEAR(OrganizedData[[#This Row],[Order Date]])</f>
        <v>2020</v>
      </c>
      <c r="L682" s="7" t="str">
        <f>TEXT(OrganizedData[[#This Row],[Order Date]],"mmm")</f>
        <v>Nov</v>
      </c>
      <c r="M682" s="2">
        <v>11</v>
      </c>
      <c r="N682" s="2" t="s">
        <v>39</v>
      </c>
      <c r="O682" s="2" t="str">
        <f>VLOOKUP(OrganizedData[[#This Row],[Product Code]],ProductData[[Code]:[Item]],2,FALSE)</f>
        <v>Ultrathing V1</v>
      </c>
      <c r="P682" s="4">
        <f>OrganizedData[[#This Row],[Quantity]]*VLOOKUP(OrganizedData[[#This Row],[Product Code]],ProductData[],4,FALSE)</f>
        <v>187</v>
      </c>
      <c r="Q682" s="6">
        <f>OrganizedData[[#This Row],[Total Items Ordered]]*VLOOKUP(OrganizedData[[#This Row],[Product Code]],ProductData[],3,FALSE)</f>
        <v>334.73</v>
      </c>
      <c r="R6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334.73</v>
      </c>
    </row>
    <row r="683" spans="1:18" x14ac:dyDescent="0.3">
      <c r="A683" s="2">
        <v>676</v>
      </c>
      <c r="B683" s="2" t="s">
        <v>2442</v>
      </c>
      <c r="C683" s="2" t="s">
        <v>1935</v>
      </c>
      <c r="D683" s="2" t="s">
        <v>92</v>
      </c>
      <c r="E683" s="2" t="s">
        <v>16</v>
      </c>
      <c r="F683" s="2">
        <v>90</v>
      </c>
      <c r="G683" s="2" t="s">
        <v>2443</v>
      </c>
      <c r="H683" s="2" t="s">
        <v>2444</v>
      </c>
      <c r="I683" s="2" t="s">
        <v>32</v>
      </c>
      <c r="J683" s="3">
        <v>43909</v>
      </c>
      <c r="K683" s="5">
        <f>YEAR(OrganizedData[[#This Row],[Order Date]])</f>
        <v>2020</v>
      </c>
      <c r="L683" s="7" t="str">
        <f>TEXT(OrganizedData[[#This Row],[Order Date]],"mmm")</f>
        <v>Mar</v>
      </c>
      <c r="M683" s="2">
        <v>85</v>
      </c>
      <c r="N683" s="2" t="s">
        <v>39</v>
      </c>
      <c r="O683" s="2" t="str">
        <f>VLOOKUP(OrganizedData[[#This Row],[Product Code]],ProductData[[Code]:[Item]],2,FALSE)</f>
        <v>Ultrathing V1</v>
      </c>
      <c r="P683" s="4">
        <f>OrganizedData[[#This Row],[Quantity]]*VLOOKUP(OrganizedData[[#This Row],[Product Code]],ProductData[],4,FALSE)</f>
        <v>1445</v>
      </c>
      <c r="Q683" s="6">
        <f>OrganizedData[[#This Row],[Total Items Ordered]]*VLOOKUP(OrganizedData[[#This Row],[Product Code]],ProductData[],3,FALSE)</f>
        <v>2586.5500000000002</v>
      </c>
      <c r="R6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684" spans="1:18" x14ac:dyDescent="0.3">
      <c r="A684" s="2">
        <v>677</v>
      </c>
      <c r="B684" s="2" t="s">
        <v>2445</v>
      </c>
      <c r="C684" s="2" t="s">
        <v>1251</v>
      </c>
      <c r="D684" s="2" t="s">
        <v>28</v>
      </c>
      <c r="E684" s="2" t="s">
        <v>29</v>
      </c>
      <c r="F684" s="2">
        <v>90</v>
      </c>
      <c r="G684" s="2" t="s">
        <v>2446</v>
      </c>
      <c r="H684" s="2" t="s">
        <v>2447</v>
      </c>
      <c r="I684" s="2" t="s">
        <v>1869</v>
      </c>
      <c r="J684" s="3">
        <v>44175</v>
      </c>
      <c r="K684" s="5">
        <f>YEAR(OrganizedData[[#This Row],[Order Date]])</f>
        <v>2020</v>
      </c>
      <c r="L684" s="7" t="str">
        <f>TEXT(OrganizedData[[#This Row],[Order Date]],"mmm")</f>
        <v>Dec</v>
      </c>
      <c r="M684" s="2">
        <v>20</v>
      </c>
      <c r="N684" s="2" t="s">
        <v>20</v>
      </c>
      <c r="O684" s="2" t="str">
        <f>VLOOKUP(OrganizedData[[#This Row],[Product Code]],ProductData[[Code]:[Item]],2,FALSE)</f>
        <v>Hyperwotsit</v>
      </c>
      <c r="P684" s="4">
        <f>OrganizedData[[#This Row],[Quantity]]*VLOOKUP(OrganizedData[[#This Row],[Product Code]],ProductData[],4,FALSE)</f>
        <v>400</v>
      </c>
      <c r="Q684" s="6">
        <f>OrganizedData[[#This Row],[Total Items Ordered]]*VLOOKUP(OrganizedData[[#This Row],[Product Code]],ProductData[],3,FALSE)</f>
        <v>803.99999999999989</v>
      </c>
      <c r="R6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685" spans="1:18" x14ac:dyDescent="0.3">
      <c r="A685" s="2">
        <v>678</v>
      </c>
      <c r="B685" s="2" t="s">
        <v>2448</v>
      </c>
      <c r="C685" s="2" t="s">
        <v>2449</v>
      </c>
      <c r="D685" s="2" t="s">
        <v>28</v>
      </c>
      <c r="E685" s="2" t="s">
        <v>29</v>
      </c>
      <c r="F685" s="2">
        <v>30</v>
      </c>
      <c r="G685" s="2" t="s">
        <v>2450</v>
      </c>
      <c r="H685" s="2" t="s">
        <v>1845</v>
      </c>
      <c r="I685" s="2" t="s">
        <v>294</v>
      </c>
      <c r="J685" s="3">
        <v>44516</v>
      </c>
      <c r="K685" s="5">
        <f>YEAR(OrganizedData[[#This Row],[Order Date]])</f>
        <v>2021</v>
      </c>
      <c r="L685" s="7" t="str">
        <f>TEXT(OrganizedData[[#This Row],[Order Date]],"mmm")</f>
        <v>Nov</v>
      </c>
      <c r="M685" s="2">
        <v>31</v>
      </c>
      <c r="N685" s="2" t="s">
        <v>101</v>
      </c>
      <c r="O685" s="2" t="str">
        <f>VLOOKUP(OrganizedData[[#This Row],[Product Code]],ProductData[[Code]:[Item]],2,FALSE)</f>
        <v>Superwossname</v>
      </c>
      <c r="P685" s="4">
        <f>OrganizedData[[#This Row],[Quantity]]*VLOOKUP(OrganizedData[[#This Row],[Product Code]],ProductData[],4,FALSE)</f>
        <v>620</v>
      </c>
      <c r="Q685" s="6">
        <f>OrganizedData[[#This Row],[Total Items Ordered]]*VLOOKUP(OrganizedData[[#This Row],[Product Code]],ProductData[],3,FALSE)</f>
        <v>2163.8000000000002</v>
      </c>
      <c r="R6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2098.886</v>
      </c>
    </row>
    <row r="686" spans="1:18" x14ac:dyDescent="0.3">
      <c r="A686" s="2">
        <v>679</v>
      </c>
      <c r="B686" s="2" t="s">
        <v>2206</v>
      </c>
      <c r="C686" s="2" t="s">
        <v>2451</v>
      </c>
      <c r="D686" s="2" t="s">
        <v>28</v>
      </c>
      <c r="E686" s="2" t="s">
        <v>29</v>
      </c>
      <c r="F686" s="2">
        <v>90</v>
      </c>
      <c r="G686" s="2" t="s">
        <v>2450</v>
      </c>
      <c r="H686" s="2" t="s">
        <v>275</v>
      </c>
      <c r="I686" s="2" t="s">
        <v>32</v>
      </c>
      <c r="J686" s="3">
        <v>44322</v>
      </c>
      <c r="K686" s="5">
        <f>YEAR(OrganizedData[[#This Row],[Order Date]])</f>
        <v>2021</v>
      </c>
      <c r="L686" s="7" t="str">
        <f>TEXT(OrganizedData[[#This Row],[Order Date]],"mmm")</f>
        <v>May</v>
      </c>
      <c r="M686" s="2">
        <v>18</v>
      </c>
      <c r="N686" s="2" t="s">
        <v>33</v>
      </c>
      <c r="O686" s="2" t="str">
        <f>VLOOKUP(OrganizedData[[#This Row],[Product Code]],ProductData[[Code]:[Item]],2,FALSE)</f>
        <v>Megawidget L</v>
      </c>
      <c r="P686" s="4">
        <f>OrganizedData[[#This Row],[Quantity]]*VLOOKUP(OrganizedData[[#This Row],[Product Code]],ProductData[],4,FALSE)</f>
        <v>432</v>
      </c>
      <c r="Q686" s="6">
        <f>OrganizedData[[#This Row],[Total Items Ordered]]*VLOOKUP(OrganizedData[[#This Row],[Product Code]],ProductData[],3,FALSE)</f>
        <v>773.28</v>
      </c>
      <c r="R6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773.28</v>
      </c>
    </row>
    <row r="687" spans="1:18" x14ac:dyDescent="0.3">
      <c r="A687" s="2">
        <v>680</v>
      </c>
      <c r="B687" s="2" t="s">
        <v>2452</v>
      </c>
      <c r="C687" s="2" t="s">
        <v>2453</v>
      </c>
      <c r="D687" s="2" t="s">
        <v>15</v>
      </c>
      <c r="E687" s="2" t="s">
        <v>16</v>
      </c>
      <c r="F687" s="2">
        <v>90</v>
      </c>
      <c r="G687" s="2" t="s">
        <v>2454</v>
      </c>
      <c r="H687" s="2" t="s">
        <v>2336</v>
      </c>
      <c r="I687" s="2" t="s">
        <v>32</v>
      </c>
      <c r="J687" s="3">
        <v>44620</v>
      </c>
      <c r="K687" s="5">
        <f>YEAR(OrganizedData[[#This Row],[Order Date]])</f>
        <v>2022</v>
      </c>
      <c r="L687" s="7" t="str">
        <f>TEXT(OrganizedData[[#This Row],[Order Date]],"mmm")</f>
        <v>Feb</v>
      </c>
      <c r="M687" s="2">
        <v>10</v>
      </c>
      <c r="N687" s="2" t="s">
        <v>54</v>
      </c>
      <c r="O687" s="2" t="str">
        <f>VLOOKUP(OrganizedData[[#This Row],[Product Code]],ProductData[[Code]:[Item]],2,FALSE)</f>
        <v>Megawidget S</v>
      </c>
      <c r="P687" s="4">
        <f>OrganizedData[[#This Row],[Quantity]]*VLOOKUP(OrganizedData[[#This Row],[Product Code]],ProductData[],4,FALSE)</f>
        <v>240</v>
      </c>
      <c r="Q687" s="6">
        <f>OrganizedData[[#This Row],[Total Items Ordered]]*VLOOKUP(OrganizedData[[#This Row],[Product Code]],ProductData[],3,FALSE)</f>
        <v>165.6</v>
      </c>
      <c r="R6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165.6</v>
      </c>
    </row>
    <row r="688" spans="1:18" x14ac:dyDescent="0.3">
      <c r="A688" s="2">
        <v>681</v>
      </c>
      <c r="B688" s="2" t="s">
        <v>2455</v>
      </c>
      <c r="C688" s="2" t="s">
        <v>1710</v>
      </c>
      <c r="D688" s="2" t="s">
        <v>51</v>
      </c>
      <c r="E688" s="2" t="s">
        <v>16</v>
      </c>
      <c r="F688" s="2">
        <v>30</v>
      </c>
      <c r="G688" s="2" t="s">
        <v>2456</v>
      </c>
      <c r="H688" s="2" t="s">
        <v>641</v>
      </c>
      <c r="I688" s="2" t="s">
        <v>294</v>
      </c>
      <c r="J688" s="3">
        <v>44925</v>
      </c>
      <c r="K688" s="5">
        <f>YEAR(OrganizedData[[#This Row],[Order Date]])</f>
        <v>2022</v>
      </c>
      <c r="L688" s="7" t="str">
        <f>TEXT(OrganizedData[[#This Row],[Order Date]],"mmm")</f>
        <v>Dec</v>
      </c>
      <c r="M688" s="2">
        <v>17</v>
      </c>
      <c r="N688" s="2" t="s">
        <v>80</v>
      </c>
      <c r="O688" s="2" t="str">
        <f>VLOOKUP(OrganizedData[[#This Row],[Product Code]],ProductData[[Code]:[Item]],2,FALSE)</f>
        <v>Ultrathing V2</v>
      </c>
      <c r="P688" s="4">
        <f>OrganizedData[[#This Row],[Quantity]]*VLOOKUP(OrganizedData[[#This Row],[Product Code]],ProductData[],4,FALSE)</f>
        <v>340</v>
      </c>
      <c r="Q688" s="6">
        <f>OrganizedData[[#This Row],[Total Items Ordered]]*VLOOKUP(OrganizedData[[#This Row],[Product Code]],ProductData[],3,FALSE)</f>
        <v>1003.0000000000001</v>
      </c>
      <c r="R6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689" spans="1:18" x14ac:dyDescent="0.3">
      <c r="A689" s="2">
        <v>682</v>
      </c>
      <c r="B689" s="2" t="s">
        <v>2457</v>
      </c>
      <c r="C689" s="2" t="s">
        <v>2458</v>
      </c>
      <c r="D689" s="2" t="s">
        <v>51</v>
      </c>
      <c r="E689" s="2" t="s">
        <v>16</v>
      </c>
      <c r="F689" s="2">
        <v>30</v>
      </c>
      <c r="G689" s="2" t="s">
        <v>2459</v>
      </c>
      <c r="H689" s="2" t="s">
        <v>346</v>
      </c>
      <c r="I689" s="2" t="s">
        <v>32</v>
      </c>
      <c r="J689" s="3">
        <v>43985</v>
      </c>
      <c r="K689" s="5">
        <f>YEAR(OrganizedData[[#This Row],[Order Date]])</f>
        <v>2020</v>
      </c>
      <c r="L689" s="7" t="str">
        <f>TEXT(OrganizedData[[#This Row],[Order Date]],"mmm")</f>
        <v>Jun</v>
      </c>
      <c r="M689" s="2">
        <v>44</v>
      </c>
      <c r="N689" s="2" t="s">
        <v>70</v>
      </c>
      <c r="O689" s="2" t="str">
        <f>VLOOKUP(OrganizedData[[#This Row],[Product Code]],ProductData[[Code]:[Item]],2,FALSE)</f>
        <v>Megawidget M</v>
      </c>
      <c r="P689" s="4">
        <f>OrganizedData[[#This Row],[Quantity]]*VLOOKUP(OrganizedData[[#This Row],[Product Code]],ProductData[],4,FALSE)</f>
        <v>1056</v>
      </c>
      <c r="Q689" s="6">
        <f>OrganizedData[[#This Row],[Total Items Ordered]]*VLOOKUP(OrganizedData[[#This Row],[Product Code]],ProductData[],3,FALSE)</f>
        <v>1362.24</v>
      </c>
      <c r="R6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690" spans="1:18" x14ac:dyDescent="0.3">
      <c r="A690" s="2">
        <v>683</v>
      </c>
      <c r="B690" s="2" t="s">
        <v>2460</v>
      </c>
      <c r="C690" s="2" t="s">
        <v>2461</v>
      </c>
      <c r="D690" s="2" t="s">
        <v>51</v>
      </c>
      <c r="E690" s="2" t="s">
        <v>16</v>
      </c>
      <c r="F690" s="2">
        <v>90</v>
      </c>
      <c r="G690" s="2" t="s">
        <v>2462</v>
      </c>
      <c r="H690" s="2" t="s">
        <v>2049</v>
      </c>
      <c r="I690" s="2" t="s">
        <v>32</v>
      </c>
      <c r="J690" s="3">
        <v>44887</v>
      </c>
      <c r="K690" s="5">
        <f>YEAR(OrganizedData[[#This Row],[Order Date]])</f>
        <v>2022</v>
      </c>
      <c r="L690" s="7" t="str">
        <f>TEXT(OrganizedData[[#This Row],[Order Date]],"mmm")</f>
        <v>Nov</v>
      </c>
      <c r="M690" s="2">
        <v>53</v>
      </c>
      <c r="N690" s="2" t="s">
        <v>39</v>
      </c>
      <c r="O690" s="2" t="str">
        <f>VLOOKUP(OrganizedData[[#This Row],[Product Code]],ProductData[[Code]:[Item]],2,FALSE)</f>
        <v>Ultrathing V1</v>
      </c>
      <c r="P690" s="4">
        <f>OrganizedData[[#This Row],[Quantity]]*VLOOKUP(OrganizedData[[#This Row],[Product Code]],ProductData[],4,FALSE)</f>
        <v>901</v>
      </c>
      <c r="Q690" s="6">
        <f>OrganizedData[[#This Row],[Total Items Ordered]]*VLOOKUP(OrganizedData[[#This Row],[Product Code]],ProductData[],3,FALSE)</f>
        <v>1612.79</v>
      </c>
      <c r="R6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1532.1505</v>
      </c>
    </row>
    <row r="691" spans="1:18" x14ac:dyDescent="0.3">
      <c r="A691" s="2">
        <v>684</v>
      </c>
      <c r="B691" s="2" t="s">
        <v>2463</v>
      </c>
      <c r="C691" s="2" t="s">
        <v>1573</v>
      </c>
      <c r="D691" s="2" t="s">
        <v>15</v>
      </c>
      <c r="E691" s="2" t="s">
        <v>16</v>
      </c>
      <c r="F691" s="2">
        <v>60</v>
      </c>
      <c r="G691" s="2" t="s">
        <v>2464</v>
      </c>
      <c r="H691" s="2" t="s">
        <v>1845</v>
      </c>
      <c r="I691" s="2" t="s">
        <v>294</v>
      </c>
      <c r="J691" s="3">
        <v>44775</v>
      </c>
      <c r="K691" s="5">
        <f>YEAR(OrganizedData[[#This Row],[Order Date]])</f>
        <v>2022</v>
      </c>
      <c r="L691" s="7" t="str">
        <f>TEXT(OrganizedData[[#This Row],[Order Date]],"mmm")</f>
        <v>Aug</v>
      </c>
      <c r="M691" s="2">
        <v>17</v>
      </c>
      <c r="N691" s="2" t="s">
        <v>54</v>
      </c>
      <c r="O691" s="2" t="str">
        <f>VLOOKUP(OrganizedData[[#This Row],[Product Code]],ProductData[[Code]:[Item]],2,FALSE)</f>
        <v>Megawidget S</v>
      </c>
      <c r="P691" s="4">
        <f>OrganizedData[[#This Row],[Quantity]]*VLOOKUP(OrganizedData[[#This Row],[Product Code]],ProductData[],4,FALSE)</f>
        <v>408</v>
      </c>
      <c r="Q691" s="6">
        <f>OrganizedData[[#This Row],[Total Items Ordered]]*VLOOKUP(OrganizedData[[#This Row],[Product Code]],ProductData[],3,FALSE)</f>
        <v>281.52</v>
      </c>
      <c r="R6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692" spans="1:18" x14ac:dyDescent="0.3">
      <c r="A692" s="2">
        <v>685</v>
      </c>
      <c r="B692" s="2" t="s">
        <v>2465</v>
      </c>
      <c r="C692" s="2" t="s">
        <v>653</v>
      </c>
      <c r="D692" s="2" t="s">
        <v>51</v>
      </c>
      <c r="E692" s="2" t="s">
        <v>16</v>
      </c>
      <c r="F692" s="2">
        <v>90</v>
      </c>
      <c r="G692" s="2" t="s">
        <v>2466</v>
      </c>
      <c r="H692" s="2" t="s">
        <v>641</v>
      </c>
      <c r="I692" s="2" t="s">
        <v>294</v>
      </c>
      <c r="J692" s="3">
        <v>43882</v>
      </c>
      <c r="K692" s="5">
        <f>YEAR(OrganizedData[[#This Row],[Order Date]])</f>
        <v>2020</v>
      </c>
      <c r="L692" s="7" t="str">
        <f>TEXT(OrganizedData[[#This Row],[Order Date]],"mmm")</f>
        <v>Feb</v>
      </c>
      <c r="M692" s="2">
        <v>70</v>
      </c>
      <c r="N692" s="2" t="s">
        <v>20</v>
      </c>
      <c r="O692" s="2" t="str">
        <f>VLOOKUP(OrganizedData[[#This Row],[Product Code]],ProductData[[Code]:[Item]],2,FALSE)</f>
        <v>Hyperwotsit</v>
      </c>
      <c r="P692" s="4">
        <f>OrganizedData[[#This Row],[Quantity]]*VLOOKUP(OrganizedData[[#This Row],[Product Code]],ProductData[],4,FALSE)</f>
        <v>1400</v>
      </c>
      <c r="Q692" s="6">
        <f>OrganizedData[[#This Row],[Total Items Ordered]]*VLOOKUP(OrganizedData[[#This Row],[Product Code]],ProductData[],3,FALSE)</f>
        <v>2813.9999999999995</v>
      </c>
      <c r="R6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2673.2999999999993</v>
      </c>
    </row>
    <row r="693" spans="1:18" x14ac:dyDescent="0.3">
      <c r="A693" s="2">
        <v>686</v>
      </c>
      <c r="B693" s="2" t="s">
        <v>200</v>
      </c>
      <c r="C693" s="2" t="s">
        <v>2467</v>
      </c>
      <c r="D693" s="2" t="s">
        <v>15</v>
      </c>
      <c r="E693" s="2" t="s">
        <v>16</v>
      </c>
      <c r="F693" s="2">
        <v>30</v>
      </c>
      <c r="G693" s="2" t="s">
        <v>2468</v>
      </c>
      <c r="H693" s="2" t="s">
        <v>2469</v>
      </c>
      <c r="I693" s="2" t="s">
        <v>32</v>
      </c>
      <c r="J693" s="3">
        <v>44571</v>
      </c>
      <c r="K693" s="5">
        <f>YEAR(OrganizedData[[#This Row],[Order Date]])</f>
        <v>2022</v>
      </c>
      <c r="L693" s="7" t="str">
        <f>TEXT(OrganizedData[[#This Row],[Order Date]],"mmm")</f>
        <v>Jan</v>
      </c>
      <c r="M693" s="2">
        <v>78</v>
      </c>
      <c r="N693" s="2" t="s">
        <v>159</v>
      </c>
      <c r="O693" s="2" t="str">
        <f>VLOOKUP(OrganizedData[[#This Row],[Product Code]],ProductData[[Code]:[Item]],2,FALSE)</f>
        <v>Ultrathing V3</v>
      </c>
      <c r="P693" s="4">
        <f>OrganizedData[[#This Row],[Quantity]]*VLOOKUP(OrganizedData[[#This Row],[Product Code]],ProductData[],4,FALSE)</f>
        <v>1872</v>
      </c>
      <c r="Q693" s="6">
        <f>OrganizedData[[#This Row],[Total Items Ordered]]*VLOOKUP(OrganizedData[[#This Row],[Product Code]],ProductData[],3,FALSE)</f>
        <v>6346.08</v>
      </c>
      <c r="R6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694" spans="1:18" x14ac:dyDescent="0.3">
      <c r="A694" s="2">
        <v>687</v>
      </c>
      <c r="B694" s="2" t="s">
        <v>2470</v>
      </c>
      <c r="C694" s="2" t="s">
        <v>2471</v>
      </c>
      <c r="D694" s="2" t="s">
        <v>28</v>
      </c>
      <c r="E694" s="2" t="s">
        <v>29</v>
      </c>
      <c r="F694" s="2">
        <v>90</v>
      </c>
      <c r="G694" s="2" t="s">
        <v>2472</v>
      </c>
      <c r="H694" s="2" t="s">
        <v>123</v>
      </c>
      <c r="I694" s="2" t="s">
        <v>124</v>
      </c>
      <c r="J694" s="3">
        <v>44420</v>
      </c>
      <c r="K694" s="5">
        <f>YEAR(OrganizedData[[#This Row],[Order Date]])</f>
        <v>2021</v>
      </c>
      <c r="L694" s="7" t="str">
        <f>TEXT(OrganizedData[[#This Row],[Order Date]],"mmm")</f>
        <v>Aug</v>
      </c>
      <c r="M694" s="2">
        <v>47</v>
      </c>
      <c r="N694" s="2" t="s">
        <v>70</v>
      </c>
      <c r="O694" s="2" t="str">
        <f>VLOOKUP(OrganizedData[[#This Row],[Product Code]],ProductData[[Code]:[Item]],2,FALSE)</f>
        <v>Megawidget M</v>
      </c>
      <c r="P694" s="4">
        <f>OrganizedData[[#This Row],[Quantity]]*VLOOKUP(OrganizedData[[#This Row],[Product Code]],ProductData[],4,FALSE)</f>
        <v>1128</v>
      </c>
      <c r="Q694" s="6">
        <f>OrganizedData[[#This Row],[Total Items Ordered]]*VLOOKUP(OrganizedData[[#This Row],[Product Code]],ProductData[],3,FALSE)</f>
        <v>1455.1200000000001</v>
      </c>
      <c r="R6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695" spans="1:18" x14ac:dyDescent="0.3">
      <c r="A695" s="2">
        <v>688</v>
      </c>
      <c r="B695" s="2" t="s">
        <v>2473</v>
      </c>
      <c r="C695" s="2" t="s">
        <v>2474</v>
      </c>
      <c r="D695" s="2" t="s">
        <v>51</v>
      </c>
      <c r="E695" s="2" t="s">
        <v>16</v>
      </c>
      <c r="F695" s="2">
        <v>90</v>
      </c>
      <c r="G695" s="2" t="s">
        <v>2475</v>
      </c>
      <c r="H695" s="2" t="s">
        <v>2476</v>
      </c>
      <c r="I695" s="2" t="s">
        <v>38</v>
      </c>
      <c r="J695" s="3">
        <v>44673</v>
      </c>
      <c r="K695" s="5">
        <f>YEAR(OrganizedData[[#This Row],[Order Date]])</f>
        <v>2022</v>
      </c>
      <c r="L695" s="7" t="str">
        <f>TEXT(OrganizedData[[#This Row],[Order Date]],"mmm")</f>
        <v>Apr</v>
      </c>
      <c r="M695" s="2">
        <v>87</v>
      </c>
      <c r="N695" s="2" t="s">
        <v>20</v>
      </c>
      <c r="O695" s="2" t="str">
        <f>VLOOKUP(OrganizedData[[#This Row],[Product Code]],ProductData[[Code]:[Item]],2,FALSE)</f>
        <v>Hyperwotsit</v>
      </c>
      <c r="P695" s="4">
        <f>OrganizedData[[#This Row],[Quantity]]*VLOOKUP(OrganizedData[[#This Row],[Product Code]],ProductData[],4,FALSE)</f>
        <v>1740</v>
      </c>
      <c r="Q695" s="6">
        <f>OrganizedData[[#This Row],[Total Items Ordered]]*VLOOKUP(OrganizedData[[#This Row],[Product Code]],ProductData[],3,FALSE)</f>
        <v>3497.3999999999996</v>
      </c>
      <c r="R6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3322.5299999999993</v>
      </c>
    </row>
    <row r="696" spans="1:18" x14ac:dyDescent="0.3">
      <c r="A696" s="2">
        <v>689</v>
      </c>
      <c r="B696" s="2" t="s">
        <v>2477</v>
      </c>
      <c r="C696" s="2" t="s">
        <v>1979</v>
      </c>
      <c r="D696" s="2" t="s">
        <v>28</v>
      </c>
      <c r="E696" s="2" t="s">
        <v>29</v>
      </c>
      <c r="F696" s="2">
        <v>90</v>
      </c>
      <c r="G696" s="2" t="s">
        <v>2478</v>
      </c>
      <c r="H696" s="2" t="s">
        <v>2479</v>
      </c>
      <c r="I696" s="2" t="s">
        <v>1233</v>
      </c>
      <c r="J696" s="3">
        <v>44439</v>
      </c>
      <c r="K696" s="5">
        <f>YEAR(OrganizedData[[#This Row],[Order Date]])</f>
        <v>2021</v>
      </c>
      <c r="L696" s="7" t="str">
        <f>TEXT(OrganizedData[[#This Row],[Order Date]],"mmm")</f>
        <v>Aug</v>
      </c>
      <c r="M696" s="2">
        <v>88</v>
      </c>
      <c r="N696" s="2" t="s">
        <v>39</v>
      </c>
      <c r="O696" s="2" t="str">
        <f>VLOOKUP(OrganizedData[[#This Row],[Product Code]],ProductData[[Code]:[Item]],2,FALSE)</f>
        <v>Ultrathing V1</v>
      </c>
      <c r="P696" s="4">
        <f>OrganizedData[[#This Row],[Quantity]]*VLOOKUP(OrganizedData[[#This Row],[Product Code]],ProductData[],4,FALSE)</f>
        <v>1496</v>
      </c>
      <c r="Q696" s="6">
        <f>OrganizedData[[#This Row],[Total Items Ordered]]*VLOOKUP(OrganizedData[[#This Row],[Product Code]],ProductData[],3,FALSE)</f>
        <v>2677.84</v>
      </c>
      <c r="R6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2543.9479999999999</v>
      </c>
    </row>
    <row r="697" spans="1:18" x14ac:dyDescent="0.3">
      <c r="A697" s="2">
        <v>690</v>
      </c>
      <c r="B697" s="2" t="s">
        <v>2480</v>
      </c>
      <c r="C697" s="2" t="s">
        <v>2174</v>
      </c>
      <c r="D697" s="2" t="s">
        <v>28</v>
      </c>
      <c r="E697" s="2" t="s">
        <v>29</v>
      </c>
      <c r="F697" s="2">
        <v>90</v>
      </c>
      <c r="G697" s="2" t="s">
        <v>2478</v>
      </c>
      <c r="H697" s="2" t="s">
        <v>641</v>
      </c>
      <c r="I697" s="2" t="s">
        <v>294</v>
      </c>
      <c r="J697" s="3">
        <v>44691</v>
      </c>
      <c r="K697" s="5">
        <f>YEAR(OrganizedData[[#This Row],[Order Date]])</f>
        <v>2022</v>
      </c>
      <c r="L697" s="7" t="str">
        <f>TEXT(OrganizedData[[#This Row],[Order Date]],"mmm")</f>
        <v>May</v>
      </c>
      <c r="M697" s="2">
        <v>100</v>
      </c>
      <c r="N697" s="2" t="s">
        <v>54</v>
      </c>
      <c r="O697" s="2" t="str">
        <f>VLOOKUP(OrganizedData[[#This Row],[Product Code]],ProductData[[Code]:[Item]],2,FALSE)</f>
        <v>Megawidget S</v>
      </c>
      <c r="P697" s="4">
        <f>OrganizedData[[#This Row],[Quantity]]*VLOOKUP(OrganizedData[[#This Row],[Product Code]],ProductData[],4,FALSE)</f>
        <v>2400</v>
      </c>
      <c r="Q697" s="6">
        <f>OrganizedData[[#This Row],[Total Items Ordered]]*VLOOKUP(OrganizedData[[#This Row],[Product Code]],ProductData[],3,FALSE)</f>
        <v>1655.9999999999998</v>
      </c>
      <c r="R6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1573.1999999999998</v>
      </c>
    </row>
    <row r="698" spans="1:18" x14ac:dyDescent="0.3">
      <c r="A698" s="2">
        <v>691</v>
      </c>
      <c r="B698" s="2" t="s">
        <v>2481</v>
      </c>
      <c r="C698" s="2" t="s">
        <v>580</v>
      </c>
      <c r="D698" s="2" t="s">
        <v>51</v>
      </c>
      <c r="E698" s="2" t="s">
        <v>16</v>
      </c>
      <c r="F698" s="2">
        <v>90</v>
      </c>
      <c r="G698" s="2" t="s">
        <v>2482</v>
      </c>
      <c r="H698" s="2" t="s">
        <v>2483</v>
      </c>
      <c r="I698" s="2" t="s">
        <v>1199</v>
      </c>
      <c r="J698" s="3">
        <v>44424</v>
      </c>
      <c r="K698" s="5">
        <f>YEAR(OrganizedData[[#This Row],[Order Date]])</f>
        <v>2021</v>
      </c>
      <c r="L698" s="7" t="str">
        <f>TEXT(OrganizedData[[#This Row],[Order Date]],"mmm")</f>
        <v>Aug</v>
      </c>
      <c r="M698" s="2">
        <v>35</v>
      </c>
      <c r="N698" s="2" t="s">
        <v>70</v>
      </c>
      <c r="O698" s="2" t="str">
        <f>VLOOKUP(OrganizedData[[#This Row],[Product Code]],ProductData[[Code]:[Item]],2,FALSE)</f>
        <v>Megawidget M</v>
      </c>
      <c r="P698" s="4">
        <f>OrganizedData[[#This Row],[Quantity]]*VLOOKUP(OrganizedData[[#This Row],[Product Code]],ProductData[],4,FALSE)</f>
        <v>840</v>
      </c>
      <c r="Q698" s="6">
        <f>OrganizedData[[#This Row],[Total Items Ordered]]*VLOOKUP(OrganizedData[[#This Row],[Product Code]],ProductData[],3,FALSE)</f>
        <v>1083.6000000000001</v>
      </c>
      <c r="R6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1051.0920000000001</v>
      </c>
    </row>
    <row r="699" spans="1:18" x14ac:dyDescent="0.3">
      <c r="A699" s="2">
        <v>692</v>
      </c>
      <c r="B699" s="2" t="s">
        <v>2484</v>
      </c>
      <c r="C699" s="2" t="s">
        <v>2485</v>
      </c>
      <c r="D699" s="2" t="s">
        <v>15</v>
      </c>
      <c r="E699" s="2" t="s">
        <v>16</v>
      </c>
      <c r="F699" s="2">
        <v>30</v>
      </c>
      <c r="G699" s="2" t="s">
        <v>10474</v>
      </c>
      <c r="H699" s="2" t="s">
        <v>1712</v>
      </c>
      <c r="I699" s="2" t="s">
        <v>187</v>
      </c>
      <c r="J699" s="3">
        <v>44336</v>
      </c>
      <c r="K699" s="5">
        <f>YEAR(OrganizedData[[#This Row],[Order Date]])</f>
        <v>2021</v>
      </c>
      <c r="L699" s="7" t="str">
        <f>TEXT(OrganizedData[[#This Row],[Order Date]],"mmm")</f>
        <v>May</v>
      </c>
      <c r="M699" s="2">
        <v>45</v>
      </c>
      <c r="N699" s="2" t="s">
        <v>64</v>
      </c>
      <c r="O699" s="2" t="str">
        <f>VLOOKUP(OrganizedData[[#This Row],[Product Code]],ProductData[[Code]:[Item]],2,FALSE)</f>
        <v>Ultrathing V4</v>
      </c>
      <c r="P699" s="4">
        <f>OrganizedData[[#This Row],[Quantity]]*VLOOKUP(OrganizedData[[#This Row],[Product Code]],ProductData[],4,FALSE)</f>
        <v>1080</v>
      </c>
      <c r="Q699" s="6">
        <f>OrganizedData[[#This Row],[Total Items Ordered]]*VLOOKUP(OrganizedData[[#This Row],[Product Code]],ProductData[],3,FALSE)</f>
        <v>4309.2</v>
      </c>
      <c r="R6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4179.924</v>
      </c>
    </row>
    <row r="700" spans="1:18" x14ac:dyDescent="0.3">
      <c r="A700" s="2">
        <v>693</v>
      </c>
      <c r="B700" s="2" t="s">
        <v>2487</v>
      </c>
      <c r="C700" s="2" t="s">
        <v>2488</v>
      </c>
      <c r="D700" s="2" t="s">
        <v>41</v>
      </c>
      <c r="E700" s="2" t="s">
        <v>16</v>
      </c>
      <c r="F700" s="2">
        <v>60</v>
      </c>
      <c r="G700" s="2" t="s">
        <v>2489</v>
      </c>
      <c r="H700" s="2" t="s">
        <v>2490</v>
      </c>
      <c r="I700" s="2" t="s">
        <v>32</v>
      </c>
      <c r="J700" s="3">
        <v>44783</v>
      </c>
      <c r="K700" s="5">
        <f>YEAR(OrganizedData[[#This Row],[Order Date]])</f>
        <v>2022</v>
      </c>
      <c r="L700" s="7" t="str">
        <f>TEXT(OrganizedData[[#This Row],[Order Date]],"mmm")</f>
        <v>Aug</v>
      </c>
      <c r="M700" s="2">
        <v>68</v>
      </c>
      <c r="N700" s="2" t="s">
        <v>54</v>
      </c>
      <c r="O700" s="2" t="str">
        <f>VLOOKUP(OrganizedData[[#This Row],[Product Code]],ProductData[[Code]:[Item]],2,FALSE)</f>
        <v>Megawidget S</v>
      </c>
      <c r="P700" s="4">
        <f>OrganizedData[[#This Row],[Quantity]]*VLOOKUP(OrganizedData[[#This Row],[Product Code]],ProductData[],4,FALSE)</f>
        <v>1632</v>
      </c>
      <c r="Q700" s="6">
        <f>OrganizedData[[#This Row],[Total Items Ordered]]*VLOOKUP(OrganizedData[[#This Row],[Product Code]],ProductData[],3,FALSE)</f>
        <v>1126.08</v>
      </c>
      <c r="R7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1069.7759999999998</v>
      </c>
    </row>
    <row r="701" spans="1:18" x14ac:dyDescent="0.3">
      <c r="A701" s="2">
        <v>694</v>
      </c>
      <c r="B701" s="2" t="s">
        <v>2491</v>
      </c>
      <c r="C701" s="2" t="s">
        <v>2492</v>
      </c>
      <c r="D701" s="2" t="s">
        <v>28</v>
      </c>
      <c r="E701" s="2" t="s">
        <v>29</v>
      </c>
      <c r="F701" s="2">
        <v>60</v>
      </c>
      <c r="G701" s="2" t="s">
        <v>2493</v>
      </c>
      <c r="H701" s="2" t="s">
        <v>2494</v>
      </c>
      <c r="I701" s="2" t="s">
        <v>25</v>
      </c>
      <c r="J701" s="3">
        <v>44605</v>
      </c>
      <c r="K701" s="5">
        <f>YEAR(OrganizedData[[#This Row],[Order Date]])</f>
        <v>2022</v>
      </c>
      <c r="L701" s="7" t="str">
        <f>TEXT(OrganizedData[[#This Row],[Order Date]],"mmm")</f>
        <v>Feb</v>
      </c>
      <c r="M701" s="2">
        <v>73</v>
      </c>
      <c r="N701" s="2" t="s">
        <v>80</v>
      </c>
      <c r="O701" s="2" t="str">
        <f>VLOOKUP(OrganizedData[[#This Row],[Product Code]],ProductData[[Code]:[Item]],2,FALSE)</f>
        <v>Ultrathing V2</v>
      </c>
      <c r="P701" s="4">
        <f>OrganizedData[[#This Row],[Quantity]]*VLOOKUP(OrganizedData[[#This Row],[Product Code]],ProductData[],4,FALSE)</f>
        <v>1460</v>
      </c>
      <c r="Q701" s="6">
        <f>OrganizedData[[#This Row],[Total Items Ordered]]*VLOOKUP(OrganizedData[[#This Row],[Product Code]],ProductData[],3,FALSE)</f>
        <v>4307</v>
      </c>
      <c r="R7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702" spans="1:18" x14ac:dyDescent="0.3">
      <c r="A702" s="2">
        <v>695</v>
      </c>
      <c r="B702" s="2" t="s">
        <v>2495</v>
      </c>
      <c r="C702" s="2" t="s">
        <v>2496</v>
      </c>
      <c r="D702" s="2" t="s">
        <v>28</v>
      </c>
      <c r="E702" s="2" t="s">
        <v>29</v>
      </c>
      <c r="F702" s="2">
        <v>90</v>
      </c>
      <c r="G702" s="2" t="s">
        <v>2497</v>
      </c>
      <c r="H702" s="2" t="s">
        <v>2498</v>
      </c>
      <c r="I702" s="2" t="s">
        <v>913</v>
      </c>
      <c r="J702" s="3">
        <v>44567</v>
      </c>
      <c r="K702" s="5">
        <f>YEAR(OrganizedData[[#This Row],[Order Date]])</f>
        <v>2022</v>
      </c>
      <c r="L702" s="7" t="str">
        <f>TEXT(OrganizedData[[#This Row],[Order Date]],"mmm")</f>
        <v>Jan</v>
      </c>
      <c r="M702" s="2">
        <v>12</v>
      </c>
      <c r="N702" s="2" t="s">
        <v>101</v>
      </c>
      <c r="O702" s="2" t="str">
        <f>VLOOKUP(OrganizedData[[#This Row],[Product Code]],ProductData[[Code]:[Item]],2,FALSE)</f>
        <v>Superwossname</v>
      </c>
      <c r="P702" s="4">
        <f>OrganizedData[[#This Row],[Quantity]]*VLOOKUP(OrganizedData[[#This Row],[Product Code]],ProductData[],4,FALSE)</f>
        <v>240</v>
      </c>
      <c r="Q702" s="6">
        <f>OrganizedData[[#This Row],[Total Items Ordered]]*VLOOKUP(OrganizedData[[#This Row],[Product Code]],ProductData[],3,FALSE)</f>
        <v>837.6</v>
      </c>
      <c r="R7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703" spans="1:18" x14ac:dyDescent="0.3">
      <c r="A703" s="2">
        <v>696</v>
      </c>
      <c r="B703" s="2" t="s">
        <v>794</v>
      </c>
      <c r="C703" s="2" t="s">
        <v>2499</v>
      </c>
      <c r="D703" s="2" t="s">
        <v>15</v>
      </c>
      <c r="E703" s="2" t="s">
        <v>16</v>
      </c>
      <c r="F703" s="2">
        <v>30</v>
      </c>
      <c r="G703" s="2" t="s">
        <v>2500</v>
      </c>
      <c r="H703" s="2" t="s">
        <v>734</v>
      </c>
      <c r="I703" s="2" t="s">
        <v>32</v>
      </c>
      <c r="J703" s="3">
        <v>44914</v>
      </c>
      <c r="K703" s="5">
        <f>YEAR(OrganizedData[[#This Row],[Order Date]])</f>
        <v>2022</v>
      </c>
      <c r="L703" s="7" t="str">
        <f>TEXT(OrganizedData[[#This Row],[Order Date]],"mmm")</f>
        <v>Dec</v>
      </c>
      <c r="M703" s="2">
        <v>59</v>
      </c>
      <c r="N703" s="2" t="s">
        <v>159</v>
      </c>
      <c r="O703" s="2" t="str">
        <f>VLOOKUP(OrganizedData[[#This Row],[Product Code]],ProductData[[Code]:[Item]],2,FALSE)</f>
        <v>Ultrathing V3</v>
      </c>
      <c r="P703" s="4">
        <f>OrganizedData[[#This Row],[Quantity]]*VLOOKUP(OrganizedData[[#This Row],[Product Code]],ProductData[],4,FALSE)</f>
        <v>1416</v>
      </c>
      <c r="Q703" s="6">
        <f>OrganizedData[[#This Row],[Total Items Ordered]]*VLOOKUP(OrganizedData[[#This Row],[Product Code]],ProductData[],3,FALSE)</f>
        <v>4800.24</v>
      </c>
      <c r="R7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704" spans="1:18" x14ac:dyDescent="0.3">
      <c r="A704" s="2">
        <v>697</v>
      </c>
      <c r="B704" s="2" t="s">
        <v>2501</v>
      </c>
      <c r="C704" s="2" t="s">
        <v>2071</v>
      </c>
      <c r="D704" s="2" t="s">
        <v>28</v>
      </c>
      <c r="E704" s="2" t="s">
        <v>29</v>
      </c>
      <c r="F704" s="2">
        <v>90</v>
      </c>
      <c r="G704" s="2" t="s">
        <v>2502</v>
      </c>
      <c r="H704" s="2" t="s">
        <v>2503</v>
      </c>
      <c r="I704" s="2" t="s">
        <v>187</v>
      </c>
      <c r="J704" s="3">
        <v>44722</v>
      </c>
      <c r="K704" s="5">
        <f>YEAR(OrganizedData[[#This Row],[Order Date]])</f>
        <v>2022</v>
      </c>
      <c r="L704" s="7" t="str">
        <f>TEXT(OrganizedData[[#This Row],[Order Date]],"mmm")</f>
        <v>Jun</v>
      </c>
      <c r="M704" s="2">
        <v>10</v>
      </c>
      <c r="N704" s="2" t="s">
        <v>39</v>
      </c>
      <c r="O704" s="2" t="str">
        <f>VLOOKUP(OrganizedData[[#This Row],[Product Code]],ProductData[[Code]:[Item]],2,FALSE)</f>
        <v>Ultrathing V1</v>
      </c>
      <c r="P704" s="4">
        <f>OrganizedData[[#This Row],[Quantity]]*VLOOKUP(OrganizedData[[#This Row],[Product Code]],ProductData[],4,FALSE)</f>
        <v>170</v>
      </c>
      <c r="Q704" s="6">
        <f>OrganizedData[[#This Row],[Total Items Ordered]]*VLOOKUP(OrganizedData[[#This Row],[Product Code]],ProductData[],3,FALSE)</f>
        <v>304.3</v>
      </c>
      <c r="R7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705" spans="1:18" x14ac:dyDescent="0.3">
      <c r="A705" s="2">
        <v>698</v>
      </c>
      <c r="B705" s="2" t="s">
        <v>2504</v>
      </c>
      <c r="C705" s="2" t="s">
        <v>2505</v>
      </c>
      <c r="D705" s="2" t="s">
        <v>51</v>
      </c>
      <c r="E705" s="2" t="s">
        <v>16</v>
      </c>
      <c r="F705" s="2">
        <v>30</v>
      </c>
      <c r="G705" s="2" t="s">
        <v>2502</v>
      </c>
      <c r="H705" s="2" t="s">
        <v>2506</v>
      </c>
      <c r="I705" s="2" t="s">
        <v>32</v>
      </c>
      <c r="J705" s="3">
        <v>44860</v>
      </c>
      <c r="K705" s="5">
        <f>YEAR(OrganizedData[[#This Row],[Order Date]])</f>
        <v>2022</v>
      </c>
      <c r="L705" s="7" t="str">
        <f>TEXT(OrganizedData[[#This Row],[Order Date]],"mmm")</f>
        <v>Oct</v>
      </c>
      <c r="M705" s="2">
        <v>95</v>
      </c>
      <c r="N705" s="2" t="s">
        <v>64</v>
      </c>
      <c r="O705" s="2" t="str">
        <f>VLOOKUP(OrganizedData[[#This Row],[Product Code]],ProductData[[Code]:[Item]],2,FALSE)</f>
        <v>Ultrathing V4</v>
      </c>
      <c r="P705" s="4">
        <f>OrganizedData[[#This Row],[Quantity]]*VLOOKUP(OrganizedData[[#This Row],[Product Code]],ProductData[],4,FALSE)</f>
        <v>2280</v>
      </c>
      <c r="Q705" s="6">
        <f>OrganizedData[[#This Row],[Total Items Ordered]]*VLOOKUP(OrganizedData[[#This Row],[Product Code]],ProductData[],3,FALSE)</f>
        <v>9097.2000000000007</v>
      </c>
      <c r="R7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8642.34</v>
      </c>
    </row>
    <row r="706" spans="1:18" x14ac:dyDescent="0.3">
      <c r="A706" s="2">
        <v>699</v>
      </c>
      <c r="B706" s="2" t="s">
        <v>21</v>
      </c>
      <c r="C706" s="2" t="s">
        <v>2507</v>
      </c>
      <c r="D706" s="2" t="s">
        <v>51</v>
      </c>
      <c r="E706" s="2" t="s">
        <v>16</v>
      </c>
      <c r="F706" s="2">
        <v>90</v>
      </c>
      <c r="G706" s="2" t="s">
        <v>2508</v>
      </c>
      <c r="H706" s="2" t="s">
        <v>2509</v>
      </c>
      <c r="I706" s="2" t="s">
        <v>32</v>
      </c>
      <c r="J706" s="3">
        <v>44197</v>
      </c>
      <c r="K706" s="5">
        <f>YEAR(OrganizedData[[#This Row],[Order Date]])</f>
        <v>2021</v>
      </c>
      <c r="L706" s="7" t="str">
        <f>TEXT(OrganizedData[[#This Row],[Order Date]],"mmm")</f>
        <v>Jan</v>
      </c>
      <c r="M706" s="2">
        <v>71</v>
      </c>
      <c r="N706" s="2" t="s">
        <v>45</v>
      </c>
      <c r="O706" s="2" t="str">
        <f>VLOOKUP(OrganizedData[[#This Row],[Product Code]],ProductData[[Code]:[Item]],2,FALSE)</f>
        <v>Gigastuff</v>
      </c>
      <c r="P706" s="4">
        <f>OrganizedData[[#This Row],[Quantity]]*VLOOKUP(OrganizedData[[#This Row],[Product Code]],ProductData[],4,FALSE)</f>
        <v>1278</v>
      </c>
      <c r="Q706" s="6">
        <f>OrganizedData[[#This Row],[Total Items Ordered]]*VLOOKUP(OrganizedData[[#This Row],[Product Code]],ProductData[],3,FALSE)</f>
        <v>2415.42</v>
      </c>
      <c r="R7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707" spans="1:18" x14ac:dyDescent="0.3">
      <c r="A707" s="2">
        <v>700</v>
      </c>
      <c r="B707" s="2" t="s">
        <v>2510</v>
      </c>
      <c r="C707" s="2" t="s">
        <v>1380</v>
      </c>
      <c r="D707" s="2" t="s">
        <v>92</v>
      </c>
      <c r="E707" s="2" t="s">
        <v>29</v>
      </c>
      <c r="F707" s="2">
        <v>90</v>
      </c>
      <c r="G707" s="2" t="s">
        <v>2511</v>
      </c>
      <c r="H707" s="2" t="s">
        <v>2512</v>
      </c>
      <c r="I707" s="2" t="s">
        <v>32</v>
      </c>
      <c r="J707" s="3">
        <v>44803</v>
      </c>
      <c r="K707" s="5">
        <f>YEAR(OrganizedData[[#This Row],[Order Date]])</f>
        <v>2022</v>
      </c>
      <c r="L707" s="7" t="str">
        <f>TEXT(OrganizedData[[#This Row],[Order Date]],"mmm")</f>
        <v>Aug</v>
      </c>
      <c r="M707" s="2">
        <v>54</v>
      </c>
      <c r="N707" s="2" t="s">
        <v>64</v>
      </c>
      <c r="O707" s="2" t="str">
        <f>VLOOKUP(OrganizedData[[#This Row],[Product Code]],ProductData[[Code]:[Item]],2,FALSE)</f>
        <v>Ultrathing V4</v>
      </c>
      <c r="P707" s="4">
        <f>OrganizedData[[#This Row],[Quantity]]*VLOOKUP(OrganizedData[[#This Row],[Product Code]],ProductData[],4,FALSE)</f>
        <v>1296</v>
      </c>
      <c r="Q707" s="6">
        <f>OrganizedData[[#This Row],[Total Items Ordered]]*VLOOKUP(OrganizedData[[#This Row],[Product Code]],ProductData[],3,FALSE)</f>
        <v>5171.04</v>
      </c>
      <c r="R7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708" spans="1:18" x14ac:dyDescent="0.3">
      <c r="A708" s="2">
        <v>701</v>
      </c>
      <c r="B708" s="2" t="s">
        <v>2513</v>
      </c>
      <c r="C708" s="2" t="s">
        <v>1662</v>
      </c>
      <c r="D708" s="2" t="s">
        <v>51</v>
      </c>
      <c r="E708" s="2" t="s">
        <v>16</v>
      </c>
      <c r="F708" s="2">
        <v>30</v>
      </c>
      <c r="G708" s="2" t="s">
        <v>2514</v>
      </c>
      <c r="H708" s="2" t="s">
        <v>698</v>
      </c>
      <c r="I708" s="2" t="s">
        <v>213</v>
      </c>
      <c r="J708" s="3">
        <v>44810</v>
      </c>
      <c r="K708" s="5">
        <f>YEAR(OrganizedData[[#This Row],[Order Date]])</f>
        <v>2022</v>
      </c>
      <c r="L708" s="7" t="str">
        <f>TEXT(OrganizedData[[#This Row],[Order Date]],"mmm")</f>
        <v>Sep</v>
      </c>
      <c r="M708" s="2">
        <v>103</v>
      </c>
      <c r="N708" s="2" t="s">
        <v>45</v>
      </c>
      <c r="O708" s="2" t="str">
        <f>VLOOKUP(OrganizedData[[#This Row],[Product Code]],ProductData[[Code]:[Item]],2,FALSE)</f>
        <v>Gigastuff</v>
      </c>
      <c r="P708" s="4">
        <f>OrganizedData[[#This Row],[Quantity]]*VLOOKUP(OrganizedData[[#This Row],[Product Code]],ProductData[],4,FALSE)</f>
        <v>1854</v>
      </c>
      <c r="Q708" s="6">
        <f>OrganizedData[[#This Row],[Total Items Ordered]]*VLOOKUP(OrganizedData[[#This Row],[Product Code]],ProductData[],3,FALSE)</f>
        <v>3504.06</v>
      </c>
      <c r="R7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3258.7758000000003</v>
      </c>
    </row>
    <row r="709" spans="1:18" x14ac:dyDescent="0.3">
      <c r="A709" s="2">
        <v>702</v>
      </c>
      <c r="B709" s="2" t="s">
        <v>2364</v>
      </c>
      <c r="C709" s="2" t="s">
        <v>2515</v>
      </c>
      <c r="D709" s="2" t="s">
        <v>28</v>
      </c>
      <c r="E709" s="2" t="s">
        <v>29</v>
      </c>
      <c r="F709" s="2">
        <v>30</v>
      </c>
      <c r="G709" s="2" t="s">
        <v>2514</v>
      </c>
      <c r="H709" s="2" t="s">
        <v>2516</v>
      </c>
      <c r="I709" s="2" t="s">
        <v>32</v>
      </c>
      <c r="J709" s="3">
        <v>44476</v>
      </c>
      <c r="K709" s="5">
        <f>YEAR(OrganizedData[[#This Row],[Order Date]])</f>
        <v>2021</v>
      </c>
      <c r="L709" s="7" t="str">
        <f>TEXT(OrganizedData[[#This Row],[Order Date]],"mmm")</f>
        <v>Oct</v>
      </c>
      <c r="M709" s="2">
        <v>35</v>
      </c>
      <c r="N709" s="2" t="s">
        <v>39</v>
      </c>
      <c r="O709" s="2" t="str">
        <f>VLOOKUP(OrganizedData[[#This Row],[Product Code]],ProductData[[Code]:[Item]],2,FALSE)</f>
        <v>Ultrathing V1</v>
      </c>
      <c r="P709" s="4">
        <f>OrganizedData[[#This Row],[Quantity]]*VLOOKUP(OrganizedData[[#This Row],[Product Code]],ProductData[],4,FALSE)</f>
        <v>595</v>
      </c>
      <c r="Q709" s="6">
        <f>OrganizedData[[#This Row],[Total Items Ordered]]*VLOOKUP(OrganizedData[[#This Row],[Product Code]],ProductData[],3,FALSE)</f>
        <v>1065.05</v>
      </c>
      <c r="R7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1033.0984999999998</v>
      </c>
    </row>
    <row r="710" spans="1:18" x14ac:dyDescent="0.3">
      <c r="A710" s="2">
        <v>703</v>
      </c>
      <c r="B710" s="2" t="s">
        <v>2517</v>
      </c>
      <c r="C710" s="2" t="s">
        <v>2518</v>
      </c>
      <c r="D710" s="2" t="s">
        <v>15</v>
      </c>
      <c r="E710" s="2" t="s">
        <v>16</v>
      </c>
      <c r="F710" s="2">
        <v>30</v>
      </c>
      <c r="G710" s="2" t="s">
        <v>2519</v>
      </c>
      <c r="H710" s="2" t="s">
        <v>641</v>
      </c>
      <c r="I710" s="2" t="s">
        <v>294</v>
      </c>
      <c r="J710" s="3">
        <v>44887</v>
      </c>
      <c r="K710" s="5">
        <f>YEAR(OrganizedData[[#This Row],[Order Date]])</f>
        <v>2022</v>
      </c>
      <c r="L710" s="7" t="str">
        <f>TEXT(OrganizedData[[#This Row],[Order Date]],"mmm")</f>
        <v>Nov</v>
      </c>
      <c r="M710" s="2">
        <v>39</v>
      </c>
      <c r="N710" s="2" t="s">
        <v>159</v>
      </c>
      <c r="O710" s="2" t="str">
        <f>VLOOKUP(OrganizedData[[#This Row],[Product Code]],ProductData[[Code]:[Item]],2,FALSE)</f>
        <v>Ultrathing V3</v>
      </c>
      <c r="P710" s="4">
        <f>OrganizedData[[#This Row],[Quantity]]*VLOOKUP(OrganizedData[[#This Row],[Product Code]],ProductData[],4,FALSE)</f>
        <v>936</v>
      </c>
      <c r="Q710" s="6">
        <f>OrganizedData[[#This Row],[Total Items Ordered]]*VLOOKUP(OrganizedData[[#This Row],[Product Code]],ProductData[],3,FALSE)</f>
        <v>3173.04</v>
      </c>
      <c r="R7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3077.8487999999998</v>
      </c>
    </row>
    <row r="711" spans="1:18" x14ac:dyDescent="0.3">
      <c r="A711" s="2">
        <v>704</v>
      </c>
      <c r="B711" s="2" t="s">
        <v>2520</v>
      </c>
      <c r="C711" s="2" t="s">
        <v>2521</v>
      </c>
      <c r="D711" s="2" t="s">
        <v>28</v>
      </c>
      <c r="E711" s="2" t="s">
        <v>29</v>
      </c>
      <c r="F711" s="2">
        <v>90</v>
      </c>
      <c r="G711" s="2" t="s">
        <v>2522</v>
      </c>
      <c r="H711" s="2" t="s">
        <v>1119</v>
      </c>
      <c r="I711" s="2" t="s">
        <v>240</v>
      </c>
      <c r="J711" s="3">
        <v>44647</v>
      </c>
      <c r="K711" s="5">
        <f>YEAR(OrganizedData[[#This Row],[Order Date]])</f>
        <v>2022</v>
      </c>
      <c r="L711" s="7" t="str">
        <f>TEXT(OrganizedData[[#This Row],[Order Date]],"mmm")</f>
        <v>Mar</v>
      </c>
      <c r="M711" s="2">
        <v>83</v>
      </c>
      <c r="N711" s="2" t="s">
        <v>70</v>
      </c>
      <c r="O711" s="2" t="str">
        <f>VLOOKUP(OrganizedData[[#This Row],[Product Code]],ProductData[[Code]:[Item]],2,FALSE)</f>
        <v>Megawidget M</v>
      </c>
      <c r="P711" s="4">
        <f>OrganizedData[[#This Row],[Quantity]]*VLOOKUP(OrganizedData[[#This Row],[Product Code]],ProductData[],4,FALSE)</f>
        <v>1992</v>
      </c>
      <c r="Q711" s="6">
        <f>OrganizedData[[#This Row],[Total Items Ordered]]*VLOOKUP(OrganizedData[[#This Row],[Product Code]],ProductData[],3,FALSE)</f>
        <v>2569.6800000000003</v>
      </c>
      <c r="R7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2441.1960000000004</v>
      </c>
    </row>
    <row r="712" spans="1:18" x14ac:dyDescent="0.3">
      <c r="A712" s="2">
        <v>705</v>
      </c>
      <c r="B712" s="2" t="s">
        <v>2523</v>
      </c>
      <c r="C712" s="2" t="s">
        <v>2524</v>
      </c>
      <c r="D712" s="2" t="s">
        <v>28</v>
      </c>
      <c r="E712" s="2" t="s">
        <v>29</v>
      </c>
      <c r="F712" s="2">
        <v>60</v>
      </c>
      <c r="G712" s="2" t="s">
        <v>2525</v>
      </c>
      <c r="H712" s="2" t="s">
        <v>2526</v>
      </c>
      <c r="I712" s="2" t="s">
        <v>95</v>
      </c>
      <c r="J712" s="3">
        <v>44592</v>
      </c>
      <c r="K712" s="5">
        <f>YEAR(OrganizedData[[#This Row],[Order Date]])</f>
        <v>2022</v>
      </c>
      <c r="L712" s="7" t="str">
        <f>TEXT(OrganizedData[[#This Row],[Order Date]],"mmm")</f>
        <v>Jan</v>
      </c>
      <c r="M712" s="2">
        <v>61</v>
      </c>
      <c r="N712" s="2" t="s">
        <v>64</v>
      </c>
      <c r="O712" s="2" t="str">
        <f>VLOOKUP(OrganizedData[[#This Row],[Product Code]],ProductData[[Code]:[Item]],2,FALSE)</f>
        <v>Ultrathing V4</v>
      </c>
      <c r="P712" s="4">
        <f>OrganizedData[[#This Row],[Quantity]]*VLOOKUP(OrganizedData[[#This Row],[Product Code]],ProductData[],4,FALSE)</f>
        <v>1464</v>
      </c>
      <c r="Q712" s="6">
        <f>OrganizedData[[#This Row],[Total Items Ordered]]*VLOOKUP(OrganizedData[[#This Row],[Product Code]],ProductData[],3,FALSE)</f>
        <v>5841.3600000000006</v>
      </c>
      <c r="R7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713" spans="1:18" x14ac:dyDescent="0.3">
      <c r="A713" s="2">
        <v>706</v>
      </c>
      <c r="B713" s="2" t="s">
        <v>2527</v>
      </c>
      <c r="C713" s="2" t="s">
        <v>2528</v>
      </c>
      <c r="D713" s="2" t="s">
        <v>28</v>
      </c>
      <c r="E713" s="2" t="s">
        <v>29</v>
      </c>
      <c r="F713" s="2">
        <v>60</v>
      </c>
      <c r="G713" s="2" t="s">
        <v>2529</v>
      </c>
      <c r="H713" s="2" t="s">
        <v>2530</v>
      </c>
      <c r="I713" s="2" t="s">
        <v>32</v>
      </c>
      <c r="J713" s="3">
        <v>44308</v>
      </c>
      <c r="K713" s="5">
        <f>YEAR(OrganizedData[[#This Row],[Order Date]])</f>
        <v>2021</v>
      </c>
      <c r="L713" s="7" t="str">
        <f>TEXT(OrganizedData[[#This Row],[Order Date]],"mmm")</f>
        <v>Apr</v>
      </c>
      <c r="M713" s="2">
        <v>53</v>
      </c>
      <c r="N713" s="2" t="s">
        <v>80</v>
      </c>
      <c r="O713" s="2" t="str">
        <f>VLOOKUP(OrganizedData[[#This Row],[Product Code]],ProductData[[Code]:[Item]],2,FALSE)</f>
        <v>Ultrathing V2</v>
      </c>
      <c r="P713" s="4">
        <f>OrganizedData[[#This Row],[Quantity]]*VLOOKUP(OrganizedData[[#This Row],[Product Code]],ProductData[],4,FALSE)</f>
        <v>1060</v>
      </c>
      <c r="Q713" s="6">
        <f>OrganizedData[[#This Row],[Total Items Ordered]]*VLOOKUP(OrganizedData[[#This Row],[Product Code]],ProductData[],3,FALSE)</f>
        <v>3127</v>
      </c>
      <c r="R7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2970.6499999999996</v>
      </c>
    </row>
    <row r="714" spans="1:18" x14ac:dyDescent="0.3">
      <c r="A714" s="2">
        <v>707</v>
      </c>
      <c r="B714" s="2" t="s">
        <v>2531</v>
      </c>
      <c r="C714" s="2" t="s">
        <v>647</v>
      </c>
      <c r="D714" s="2" t="s">
        <v>41</v>
      </c>
      <c r="E714" s="2" t="s">
        <v>16</v>
      </c>
      <c r="F714" s="2">
        <v>60</v>
      </c>
      <c r="G714" s="2" t="s">
        <v>2532</v>
      </c>
      <c r="H714" s="2" t="s">
        <v>2533</v>
      </c>
      <c r="I714" s="2" t="s">
        <v>2534</v>
      </c>
      <c r="J714" s="3">
        <v>44361</v>
      </c>
      <c r="K714" s="5">
        <f>YEAR(OrganizedData[[#This Row],[Order Date]])</f>
        <v>2021</v>
      </c>
      <c r="L714" s="7" t="str">
        <f>TEXT(OrganizedData[[#This Row],[Order Date]],"mmm")</f>
        <v>Jun</v>
      </c>
      <c r="M714" s="2">
        <v>15</v>
      </c>
      <c r="N714" s="2" t="s">
        <v>101</v>
      </c>
      <c r="O714" s="2" t="str">
        <f>VLOOKUP(OrganizedData[[#This Row],[Product Code]],ProductData[[Code]:[Item]],2,FALSE)</f>
        <v>Superwossname</v>
      </c>
      <c r="P714" s="4">
        <f>OrganizedData[[#This Row],[Quantity]]*VLOOKUP(OrganizedData[[#This Row],[Product Code]],ProductData[],4,FALSE)</f>
        <v>300</v>
      </c>
      <c r="Q714" s="6">
        <f>OrganizedData[[#This Row],[Total Items Ordered]]*VLOOKUP(OrganizedData[[#This Row],[Product Code]],ProductData[],3,FALSE)</f>
        <v>1047</v>
      </c>
      <c r="R7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1047</v>
      </c>
    </row>
    <row r="715" spans="1:18" x14ac:dyDescent="0.3">
      <c r="A715" s="2">
        <v>708</v>
      </c>
      <c r="B715" s="2" t="s">
        <v>2445</v>
      </c>
      <c r="C715" s="2" t="s">
        <v>2344</v>
      </c>
      <c r="D715" s="2" t="s">
        <v>28</v>
      </c>
      <c r="E715" s="2" t="s">
        <v>29</v>
      </c>
      <c r="F715" s="2">
        <v>60</v>
      </c>
      <c r="G715" s="2" t="s">
        <v>2535</v>
      </c>
      <c r="H715" s="2" t="s">
        <v>2536</v>
      </c>
      <c r="I715" s="2" t="s">
        <v>124</v>
      </c>
      <c r="J715" s="3">
        <v>44174</v>
      </c>
      <c r="K715" s="5">
        <f>YEAR(OrganizedData[[#This Row],[Order Date]])</f>
        <v>2020</v>
      </c>
      <c r="L715" s="7" t="str">
        <f>TEXT(OrganizedData[[#This Row],[Order Date]],"mmm")</f>
        <v>Dec</v>
      </c>
      <c r="M715" s="2">
        <v>58</v>
      </c>
      <c r="N715" s="2" t="s">
        <v>45</v>
      </c>
      <c r="O715" s="2" t="str">
        <f>VLOOKUP(OrganizedData[[#This Row],[Product Code]],ProductData[[Code]:[Item]],2,FALSE)</f>
        <v>Gigastuff</v>
      </c>
      <c r="P715" s="4">
        <f>OrganizedData[[#This Row],[Quantity]]*VLOOKUP(OrganizedData[[#This Row],[Product Code]],ProductData[],4,FALSE)</f>
        <v>1044</v>
      </c>
      <c r="Q715" s="6">
        <f>OrganizedData[[#This Row],[Total Items Ordered]]*VLOOKUP(OrganizedData[[#This Row],[Product Code]],ProductData[],3,FALSE)</f>
        <v>1973.1599999999999</v>
      </c>
      <c r="R7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1874.5019999999997</v>
      </c>
    </row>
    <row r="716" spans="1:18" x14ac:dyDescent="0.3">
      <c r="A716" s="2">
        <v>709</v>
      </c>
      <c r="B716" s="2" t="s">
        <v>2537</v>
      </c>
      <c r="C716" s="2" t="s">
        <v>1148</v>
      </c>
      <c r="D716" s="2" t="s">
        <v>51</v>
      </c>
      <c r="E716" s="2" t="s">
        <v>16</v>
      </c>
      <c r="F716" s="2">
        <v>30</v>
      </c>
      <c r="G716" s="2" t="s">
        <v>2538</v>
      </c>
      <c r="H716" s="2" t="s">
        <v>2539</v>
      </c>
      <c r="I716" s="2" t="s">
        <v>178</v>
      </c>
      <c r="J716" s="3">
        <v>44702</v>
      </c>
      <c r="K716" s="5">
        <f>YEAR(OrganizedData[[#This Row],[Order Date]])</f>
        <v>2022</v>
      </c>
      <c r="L716" s="7" t="str">
        <f>TEXT(OrganizedData[[#This Row],[Order Date]],"mmm")</f>
        <v>May</v>
      </c>
      <c r="M716" s="2">
        <v>35</v>
      </c>
      <c r="N716" s="2" t="s">
        <v>101</v>
      </c>
      <c r="O716" s="2" t="str">
        <f>VLOOKUP(OrganizedData[[#This Row],[Product Code]],ProductData[[Code]:[Item]],2,FALSE)</f>
        <v>Superwossname</v>
      </c>
      <c r="P716" s="4">
        <f>OrganizedData[[#This Row],[Quantity]]*VLOOKUP(OrganizedData[[#This Row],[Product Code]],ProductData[],4,FALSE)</f>
        <v>700</v>
      </c>
      <c r="Q716" s="6">
        <f>OrganizedData[[#This Row],[Total Items Ordered]]*VLOOKUP(OrganizedData[[#This Row],[Product Code]],ProductData[],3,FALSE)</f>
        <v>2443</v>
      </c>
      <c r="R7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2369.71</v>
      </c>
    </row>
    <row r="717" spans="1:18" x14ac:dyDescent="0.3">
      <c r="A717" s="2">
        <v>710</v>
      </c>
      <c r="B717" s="2" t="s">
        <v>237</v>
      </c>
      <c r="C717" s="2" t="s">
        <v>268</v>
      </c>
      <c r="D717" s="2" t="s">
        <v>28</v>
      </c>
      <c r="E717" s="2" t="s">
        <v>29</v>
      </c>
      <c r="F717" s="2">
        <v>30</v>
      </c>
      <c r="G717" s="2" t="s">
        <v>2538</v>
      </c>
      <c r="H717" s="2" t="s">
        <v>2183</v>
      </c>
      <c r="I717" s="2" t="s">
        <v>124</v>
      </c>
      <c r="J717" s="3">
        <v>44676</v>
      </c>
      <c r="K717" s="5">
        <f>YEAR(OrganizedData[[#This Row],[Order Date]])</f>
        <v>2022</v>
      </c>
      <c r="L717" s="7" t="str">
        <f>TEXT(OrganizedData[[#This Row],[Order Date]],"mmm")</f>
        <v>Apr</v>
      </c>
      <c r="M717" s="2">
        <v>7</v>
      </c>
      <c r="N717" s="2" t="s">
        <v>80</v>
      </c>
      <c r="O717" s="2" t="str">
        <f>VLOOKUP(OrganizedData[[#This Row],[Product Code]],ProductData[[Code]:[Item]],2,FALSE)</f>
        <v>Ultrathing V2</v>
      </c>
      <c r="P717" s="4">
        <f>OrganizedData[[#This Row],[Quantity]]*VLOOKUP(OrganizedData[[#This Row],[Product Code]],ProductData[],4,FALSE)</f>
        <v>140</v>
      </c>
      <c r="Q717" s="6">
        <f>OrganizedData[[#This Row],[Total Items Ordered]]*VLOOKUP(OrganizedData[[#This Row],[Product Code]],ProductData[],3,FALSE)</f>
        <v>413</v>
      </c>
      <c r="R7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413</v>
      </c>
    </row>
    <row r="718" spans="1:18" x14ac:dyDescent="0.3">
      <c r="A718" s="2">
        <v>711</v>
      </c>
      <c r="B718" s="2" t="s">
        <v>2540</v>
      </c>
      <c r="C718" s="2" t="s">
        <v>2017</v>
      </c>
      <c r="D718" s="2" t="s">
        <v>28</v>
      </c>
      <c r="E718" s="2" t="s">
        <v>29</v>
      </c>
      <c r="F718" s="2">
        <v>60</v>
      </c>
      <c r="G718" s="2" t="s">
        <v>2541</v>
      </c>
      <c r="H718" s="2" t="s">
        <v>2542</v>
      </c>
      <c r="I718" s="2" t="s">
        <v>2543</v>
      </c>
      <c r="J718" s="3">
        <v>44601</v>
      </c>
      <c r="K718" s="5">
        <f>YEAR(OrganizedData[[#This Row],[Order Date]])</f>
        <v>2022</v>
      </c>
      <c r="L718" s="7" t="str">
        <f>TEXT(OrganizedData[[#This Row],[Order Date]],"mmm")</f>
        <v>Feb</v>
      </c>
      <c r="M718" s="2">
        <v>60</v>
      </c>
      <c r="N718" s="2" t="s">
        <v>64</v>
      </c>
      <c r="O718" s="2" t="str">
        <f>VLOOKUP(OrganizedData[[#This Row],[Product Code]],ProductData[[Code]:[Item]],2,FALSE)</f>
        <v>Ultrathing V4</v>
      </c>
      <c r="P718" s="4">
        <f>OrganizedData[[#This Row],[Quantity]]*VLOOKUP(OrganizedData[[#This Row],[Product Code]],ProductData[],4,FALSE)</f>
        <v>1440</v>
      </c>
      <c r="Q718" s="6">
        <f>OrganizedData[[#This Row],[Total Items Ordered]]*VLOOKUP(OrganizedData[[#This Row],[Product Code]],ProductData[],3,FALSE)</f>
        <v>5745.6</v>
      </c>
      <c r="R7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5458.32</v>
      </c>
    </row>
    <row r="719" spans="1:18" x14ac:dyDescent="0.3">
      <c r="A719" s="2">
        <v>712</v>
      </c>
      <c r="B719" s="2" t="s">
        <v>2544</v>
      </c>
      <c r="C719" s="2" t="s">
        <v>2515</v>
      </c>
      <c r="D719" s="2" t="s">
        <v>51</v>
      </c>
      <c r="E719" s="2" t="s">
        <v>16</v>
      </c>
      <c r="F719" s="2">
        <v>90</v>
      </c>
      <c r="G719" s="2" t="s">
        <v>2545</v>
      </c>
      <c r="H719" s="2" t="s">
        <v>1837</v>
      </c>
      <c r="I719" s="2" t="s">
        <v>173</v>
      </c>
      <c r="J719" s="3">
        <v>44228</v>
      </c>
      <c r="K719" s="5">
        <f>YEAR(OrganizedData[[#This Row],[Order Date]])</f>
        <v>2021</v>
      </c>
      <c r="L719" s="7" t="str">
        <f>TEXT(OrganizedData[[#This Row],[Order Date]],"mmm")</f>
        <v>Feb</v>
      </c>
      <c r="M719" s="2">
        <v>52</v>
      </c>
      <c r="N719" s="2" t="s">
        <v>70</v>
      </c>
      <c r="O719" s="2" t="str">
        <f>VLOOKUP(OrganizedData[[#This Row],[Product Code]],ProductData[[Code]:[Item]],2,FALSE)</f>
        <v>Megawidget M</v>
      </c>
      <c r="P719" s="4">
        <f>OrganizedData[[#This Row],[Quantity]]*VLOOKUP(OrganizedData[[#This Row],[Product Code]],ProductData[],4,FALSE)</f>
        <v>1248</v>
      </c>
      <c r="Q719" s="6">
        <f>OrganizedData[[#This Row],[Total Items Ordered]]*VLOOKUP(OrganizedData[[#This Row],[Product Code]],ProductData[],3,FALSE)</f>
        <v>1609.92</v>
      </c>
      <c r="R7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1529.424</v>
      </c>
    </row>
    <row r="720" spans="1:18" x14ac:dyDescent="0.3">
      <c r="A720" s="2">
        <v>713</v>
      </c>
      <c r="B720" s="2" t="s">
        <v>2546</v>
      </c>
      <c r="C720" s="2" t="s">
        <v>2547</v>
      </c>
      <c r="D720" s="2" t="s">
        <v>15</v>
      </c>
      <c r="E720" s="2" t="s">
        <v>16</v>
      </c>
      <c r="F720" s="2">
        <v>60</v>
      </c>
      <c r="G720" s="2" t="s">
        <v>2548</v>
      </c>
      <c r="H720" s="2" t="s">
        <v>1768</v>
      </c>
      <c r="I720" s="2" t="s">
        <v>32</v>
      </c>
      <c r="J720" s="3">
        <v>44031</v>
      </c>
      <c r="K720" s="5">
        <f>YEAR(OrganizedData[[#This Row],[Order Date]])</f>
        <v>2020</v>
      </c>
      <c r="L720" s="7" t="str">
        <f>TEXT(OrganizedData[[#This Row],[Order Date]],"mmm")</f>
        <v>Jul</v>
      </c>
      <c r="M720" s="2">
        <v>73</v>
      </c>
      <c r="N720" s="2" t="s">
        <v>45</v>
      </c>
      <c r="O720" s="2" t="str">
        <f>VLOOKUP(OrganizedData[[#This Row],[Product Code]],ProductData[[Code]:[Item]],2,FALSE)</f>
        <v>Gigastuff</v>
      </c>
      <c r="P720" s="4">
        <f>OrganizedData[[#This Row],[Quantity]]*VLOOKUP(OrganizedData[[#This Row],[Product Code]],ProductData[],4,FALSE)</f>
        <v>1314</v>
      </c>
      <c r="Q720" s="6">
        <f>OrganizedData[[#This Row],[Total Items Ordered]]*VLOOKUP(OrganizedData[[#This Row],[Product Code]],ProductData[],3,FALSE)</f>
        <v>2483.46</v>
      </c>
      <c r="R7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2359.2869999999998</v>
      </c>
    </row>
    <row r="721" spans="1:18" x14ac:dyDescent="0.3">
      <c r="A721" s="2">
        <v>714</v>
      </c>
      <c r="B721" s="2" t="s">
        <v>2549</v>
      </c>
      <c r="C721" s="2" t="s">
        <v>2550</v>
      </c>
      <c r="D721" s="2" t="s">
        <v>15</v>
      </c>
      <c r="E721" s="2" t="s">
        <v>16</v>
      </c>
      <c r="F721" s="2">
        <v>60</v>
      </c>
      <c r="G721" s="2" t="s">
        <v>2551</v>
      </c>
      <c r="H721" s="2" t="s">
        <v>2552</v>
      </c>
      <c r="I721" s="2" t="s">
        <v>32</v>
      </c>
      <c r="J721" s="3">
        <v>44842</v>
      </c>
      <c r="K721" s="5">
        <f>YEAR(OrganizedData[[#This Row],[Order Date]])</f>
        <v>2022</v>
      </c>
      <c r="L721" s="7" t="str">
        <f>TEXT(OrganizedData[[#This Row],[Order Date]],"mmm")</f>
        <v>Oct</v>
      </c>
      <c r="M721" s="2">
        <v>17</v>
      </c>
      <c r="N721" s="2" t="s">
        <v>54</v>
      </c>
      <c r="O721" s="2" t="str">
        <f>VLOOKUP(OrganizedData[[#This Row],[Product Code]],ProductData[[Code]:[Item]],2,FALSE)</f>
        <v>Megawidget S</v>
      </c>
      <c r="P721" s="4">
        <f>OrganizedData[[#This Row],[Quantity]]*VLOOKUP(OrganizedData[[#This Row],[Product Code]],ProductData[],4,FALSE)</f>
        <v>408</v>
      </c>
      <c r="Q721" s="6">
        <f>OrganizedData[[#This Row],[Total Items Ordered]]*VLOOKUP(OrganizedData[[#This Row],[Product Code]],ProductData[],3,FALSE)</f>
        <v>281.52</v>
      </c>
      <c r="R7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722" spans="1:18" x14ac:dyDescent="0.3">
      <c r="A722" s="2">
        <v>715</v>
      </c>
      <c r="B722" s="2" t="s">
        <v>683</v>
      </c>
      <c r="C722" s="2" t="s">
        <v>2553</v>
      </c>
      <c r="D722" s="2" t="s">
        <v>28</v>
      </c>
      <c r="E722" s="2" t="s">
        <v>29</v>
      </c>
      <c r="F722" s="2">
        <v>30</v>
      </c>
      <c r="G722" s="2" t="s">
        <v>2554</v>
      </c>
      <c r="H722" s="2" t="s">
        <v>2555</v>
      </c>
      <c r="I722" s="2" t="s">
        <v>32</v>
      </c>
      <c r="J722" s="3">
        <v>44681</v>
      </c>
      <c r="K722" s="5">
        <f>YEAR(OrganizedData[[#This Row],[Order Date]])</f>
        <v>2022</v>
      </c>
      <c r="L722" s="7" t="str">
        <f>TEXT(OrganizedData[[#This Row],[Order Date]],"mmm")</f>
        <v>Apr</v>
      </c>
      <c r="M722" s="2">
        <v>87</v>
      </c>
      <c r="N722" s="2" t="s">
        <v>20</v>
      </c>
      <c r="O722" s="2" t="str">
        <f>VLOOKUP(OrganizedData[[#This Row],[Product Code]],ProductData[[Code]:[Item]],2,FALSE)</f>
        <v>Hyperwotsit</v>
      </c>
      <c r="P722" s="4">
        <f>OrganizedData[[#This Row],[Quantity]]*VLOOKUP(OrganizedData[[#This Row],[Product Code]],ProductData[],4,FALSE)</f>
        <v>1740</v>
      </c>
      <c r="Q722" s="6">
        <f>OrganizedData[[#This Row],[Total Items Ordered]]*VLOOKUP(OrganizedData[[#This Row],[Product Code]],ProductData[],3,FALSE)</f>
        <v>3497.3999999999996</v>
      </c>
      <c r="R7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3322.5299999999993</v>
      </c>
    </row>
    <row r="723" spans="1:18" x14ac:dyDescent="0.3">
      <c r="A723" s="2">
        <v>716</v>
      </c>
      <c r="B723" s="2" t="s">
        <v>2556</v>
      </c>
      <c r="C723" s="2" t="s">
        <v>2557</v>
      </c>
      <c r="D723" s="2" t="s">
        <v>28</v>
      </c>
      <c r="E723" s="2" t="s">
        <v>29</v>
      </c>
      <c r="F723" s="2">
        <v>60</v>
      </c>
      <c r="G723" s="2" t="s">
        <v>2558</v>
      </c>
      <c r="H723" s="2" t="s">
        <v>2559</v>
      </c>
      <c r="I723" s="2" t="s">
        <v>124</v>
      </c>
      <c r="J723" s="3">
        <v>44073</v>
      </c>
      <c r="K723" s="5">
        <f>YEAR(OrganizedData[[#This Row],[Order Date]])</f>
        <v>2020</v>
      </c>
      <c r="L723" s="7" t="str">
        <f>TEXT(OrganizedData[[#This Row],[Order Date]],"mmm")</f>
        <v>Aug</v>
      </c>
      <c r="M723" s="2">
        <v>60</v>
      </c>
      <c r="N723" s="2" t="s">
        <v>39</v>
      </c>
      <c r="O723" s="2" t="str">
        <f>VLOOKUP(OrganizedData[[#This Row],[Product Code]],ProductData[[Code]:[Item]],2,FALSE)</f>
        <v>Ultrathing V1</v>
      </c>
      <c r="P723" s="4">
        <f>OrganizedData[[#This Row],[Quantity]]*VLOOKUP(OrganizedData[[#This Row],[Product Code]],ProductData[],4,FALSE)</f>
        <v>1020</v>
      </c>
      <c r="Q723" s="6">
        <f>OrganizedData[[#This Row],[Total Items Ordered]]*VLOOKUP(OrganizedData[[#This Row],[Product Code]],ProductData[],3,FALSE)</f>
        <v>1825.8</v>
      </c>
      <c r="R7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1734.5099999999998</v>
      </c>
    </row>
    <row r="724" spans="1:18" x14ac:dyDescent="0.3">
      <c r="A724" s="2">
        <v>717</v>
      </c>
      <c r="B724" s="2" t="s">
        <v>2560</v>
      </c>
      <c r="C724" s="2" t="s">
        <v>2561</v>
      </c>
      <c r="D724" s="2" t="s">
        <v>15</v>
      </c>
      <c r="E724" s="2" t="s">
        <v>16</v>
      </c>
      <c r="F724" s="2">
        <v>60</v>
      </c>
      <c r="G724" s="2" t="s">
        <v>2558</v>
      </c>
      <c r="H724" s="2" t="s">
        <v>1519</v>
      </c>
      <c r="I724" s="2" t="s">
        <v>32</v>
      </c>
      <c r="J724" s="3">
        <v>43920</v>
      </c>
      <c r="K724" s="5">
        <f>YEAR(OrganizedData[[#This Row],[Order Date]])</f>
        <v>2020</v>
      </c>
      <c r="L724" s="7" t="str">
        <f>TEXT(OrganizedData[[#This Row],[Order Date]],"mmm")</f>
        <v>Mar</v>
      </c>
      <c r="M724" s="2">
        <v>50</v>
      </c>
      <c r="N724" s="2" t="s">
        <v>45</v>
      </c>
      <c r="O724" s="2" t="str">
        <f>VLOOKUP(OrganizedData[[#This Row],[Product Code]],ProductData[[Code]:[Item]],2,FALSE)</f>
        <v>Gigastuff</v>
      </c>
      <c r="P724" s="4">
        <f>OrganizedData[[#This Row],[Quantity]]*VLOOKUP(OrganizedData[[#This Row],[Product Code]],ProductData[],4,FALSE)</f>
        <v>900</v>
      </c>
      <c r="Q724" s="6">
        <f>OrganizedData[[#This Row],[Total Items Ordered]]*VLOOKUP(OrganizedData[[#This Row],[Product Code]],ProductData[],3,FALSE)</f>
        <v>1701</v>
      </c>
      <c r="R7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1649.97</v>
      </c>
    </row>
    <row r="725" spans="1:18" x14ac:dyDescent="0.3">
      <c r="A725" s="2">
        <v>718</v>
      </c>
      <c r="B725" s="2" t="s">
        <v>2562</v>
      </c>
      <c r="C725" s="2" t="s">
        <v>2563</v>
      </c>
      <c r="D725" s="2" t="s">
        <v>28</v>
      </c>
      <c r="E725" s="2" t="s">
        <v>29</v>
      </c>
      <c r="F725" s="2">
        <v>90</v>
      </c>
      <c r="G725" s="2" t="s">
        <v>2564</v>
      </c>
      <c r="H725" s="2" t="s">
        <v>781</v>
      </c>
      <c r="I725" s="2" t="s">
        <v>294</v>
      </c>
      <c r="J725" s="3">
        <v>44139</v>
      </c>
      <c r="K725" s="5">
        <f>YEAR(OrganizedData[[#This Row],[Order Date]])</f>
        <v>2020</v>
      </c>
      <c r="L725" s="7" t="str">
        <f>TEXT(OrganizedData[[#This Row],[Order Date]],"mmm")</f>
        <v>Nov</v>
      </c>
      <c r="M725" s="2">
        <v>32</v>
      </c>
      <c r="N725" s="2" t="s">
        <v>101</v>
      </c>
      <c r="O725" s="2" t="str">
        <f>VLOOKUP(OrganizedData[[#This Row],[Product Code]],ProductData[[Code]:[Item]],2,FALSE)</f>
        <v>Superwossname</v>
      </c>
      <c r="P725" s="4">
        <f>OrganizedData[[#This Row],[Quantity]]*VLOOKUP(OrganizedData[[#This Row],[Product Code]],ProductData[],4,FALSE)</f>
        <v>640</v>
      </c>
      <c r="Q725" s="6">
        <f>OrganizedData[[#This Row],[Total Items Ordered]]*VLOOKUP(OrganizedData[[#This Row],[Product Code]],ProductData[],3,FALSE)</f>
        <v>2233.6000000000004</v>
      </c>
      <c r="R7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2166.5920000000001</v>
      </c>
    </row>
    <row r="726" spans="1:18" x14ac:dyDescent="0.3">
      <c r="A726" s="2">
        <v>719</v>
      </c>
      <c r="B726" s="2" t="s">
        <v>2565</v>
      </c>
      <c r="C726" s="2" t="s">
        <v>2566</v>
      </c>
      <c r="D726" s="2" t="s">
        <v>28</v>
      </c>
      <c r="E726" s="2" t="s">
        <v>29</v>
      </c>
      <c r="F726" s="2">
        <v>30</v>
      </c>
      <c r="G726" s="2" t="s">
        <v>2567</v>
      </c>
      <c r="H726" s="2" t="s">
        <v>781</v>
      </c>
      <c r="I726" s="2" t="s">
        <v>294</v>
      </c>
      <c r="J726" s="3">
        <v>43998</v>
      </c>
      <c r="K726" s="5">
        <f>YEAR(OrganizedData[[#This Row],[Order Date]])</f>
        <v>2020</v>
      </c>
      <c r="L726" s="7" t="str">
        <f>TEXT(OrganizedData[[#This Row],[Order Date]],"mmm")</f>
        <v>Jun</v>
      </c>
      <c r="M726" s="2">
        <v>44</v>
      </c>
      <c r="N726" s="2" t="s">
        <v>70</v>
      </c>
      <c r="O726" s="2" t="str">
        <f>VLOOKUP(OrganizedData[[#This Row],[Product Code]],ProductData[[Code]:[Item]],2,FALSE)</f>
        <v>Megawidget M</v>
      </c>
      <c r="P726" s="4">
        <f>OrganizedData[[#This Row],[Quantity]]*VLOOKUP(OrganizedData[[#This Row],[Product Code]],ProductData[],4,FALSE)</f>
        <v>1056</v>
      </c>
      <c r="Q726" s="6">
        <f>OrganizedData[[#This Row],[Total Items Ordered]]*VLOOKUP(OrganizedData[[#This Row],[Product Code]],ProductData[],3,FALSE)</f>
        <v>1362.24</v>
      </c>
      <c r="R7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727" spans="1:18" x14ac:dyDescent="0.3">
      <c r="A727" s="2">
        <v>720</v>
      </c>
      <c r="B727" s="2" t="s">
        <v>2568</v>
      </c>
      <c r="C727" s="2" t="s">
        <v>394</v>
      </c>
      <c r="D727" s="2" t="s">
        <v>15</v>
      </c>
      <c r="E727" s="2" t="s">
        <v>16</v>
      </c>
      <c r="F727" s="2">
        <v>30</v>
      </c>
      <c r="G727" s="2" t="s">
        <v>2569</v>
      </c>
      <c r="H727" s="2" t="s">
        <v>2570</v>
      </c>
      <c r="I727" s="2" t="s">
        <v>32</v>
      </c>
      <c r="J727" s="3">
        <v>44190</v>
      </c>
      <c r="K727" s="5">
        <f>YEAR(OrganizedData[[#This Row],[Order Date]])</f>
        <v>2020</v>
      </c>
      <c r="L727" s="7" t="str">
        <f>TEXT(OrganizedData[[#This Row],[Order Date]],"mmm")</f>
        <v>Dec</v>
      </c>
      <c r="M727" s="2">
        <v>62</v>
      </c>
      <c r="N727" s="2" t="s">
        <v>33</v>
      </c>
      <c r="O727" s="2" t="str">
        <f>VLOOKUP(OrganizedData[[#This Row],[Product Code]],ProductData[[Code]:[Item]],2,FALSE)</f>
        <v>Megawidget L</v>
      </c>
      <c r="P727" s="4">
        <f>OrganizedData[[#This Row],[Quantity]]*VLOOKUP(OrganizedData[[#This Row],[Product Code]],ProductData[],4,FALSE)</f>
        <v>1488</v>
      </c>
      <c r="Q727" s="6">
        <f>OrganizedData[[#This Row],[Total Items Ordered]]*VLOOKUP(OrganizedData[[#This Row],[Product Code]],ProductData[],3,FALSE)</f>
        <v>2663.52</v>
      </c>
      <c r="R7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728" spans="1:18" x14ac:dyDescent="0.3">
      <c r="A728" s="2">
        <v>721</v>
      </c>
      <c r="B728" s="2" t="s">
        <v>2571</v>
      </c>
      <c r="C728" s="2" t="s">
        <v>2572</v>
      </c>
      <c r="D728" s="2" t="s">
        <v>15</v>
      </c>
      <c r="E728" s="2" t="s">
        <v>16</v>
      </c>
      <c r="F728" s="2">
        <v>30</v>
      </c>
      <c r="G728" s="2" t="s">
        <v>2573</v>
      </c>
      <c r="H728" s="2" t="s">
        <v>2137</v>
      </c>
      <c r="I728" s="2" t="s">
        <v>187</v>
      </c>
      <c r="J728" s="3">
        <v>44136</v>
      </c>
      <c r="K728" s="5">
        <f>YEAR(OrganizedData[[#This Row],[Order Date]])</f>
        <v>2020</v>
      </c>
      <c r="L728" s="7" t="str">
        <f>TEXT(OrganizedData[[#This Row],[Order Date]],"mmm")</f>
        <v>Nov</v>
      </c>
      <c r="M728" s="2">
        <v>7</v>
      </c>
      <c r="N728" s="2" t="s">
        <v>20</v>
      </c>
      <c r="O728" s="2" t="str">
        <f>VLOOKUP(OrganizedData[[#This Row],[Product Code]],ProductData[[Code]:[Item]],2,FALSE)</f>
        <v>Hyperwotsit</v>
      </c>
      <c r="P728" s="4">
        <f>OrganizedData[[#This Row],[Quantity]]*VLOOKUP(OrganizedData[[#This Row],[Product Code]],ProductData[],4,FALSE)</f>
        <v>140</v>
      </c>
      <c r="Q728" s="6">
        <f>OrganizedData[[#This Row],[Total Items Ordered]]*VLOOKUP(OrganizedData[[#This Row],[Product Code]],ProductData[],3,FALSE)</f>
        <v>281.39999999999998</v>
      </c>
      <c r="R7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729" spans="1:18" x14ac:dyDescent="0.3">
      <c r="A729" s="2">
        <v>722</v>
      </c>
      <c r="B729" s="2" t="s">
        <v>2574</v>
      </c>
      <c r="C729" s="2" t="s">
        <v>2575</v>
      </c>
      <c r="D729" s="2" t="s">
        <v>28</v>
      </c>
      <c r="E729" s="2" t="s">
        <v>29</v>
      </c>
      <c r="F729" s="2">
        <v>30</v>
      </c>
      <c r="G729" s="2" t="s">
        <v>2576</v>
      </c>
      <c r="H729" s="2" t="s">
        <v>2577</v>
      </c>
      <c r="I729" s="2" t="s">
        <v>645</v>
      </c>
      <c r="J729" s="3">
        <v>44612</v>
      </c>
      <c r="K729" s="5">
        <f>YEAR(OrganizedData[[#This Row],[Order Date]])</f>
        <v>2022</v>
      </c>
      <c r="L729" s="7" t="str">
        <f>TEXT(OrganizedData[[#This Row],[Order Date]],"mmm")</f>
        <v>Feb</v>
      </c>
      <c r="M729" s="2">
        <v>33</v>
      </c>
      <c r="N729" s="2" t="s">
        <v>64</v>
      </c>
      <c r="O729" s="2" t="str">
        <f>VLOOKUP(OrganizedData[[#This Row],[Product Code]],ProductData[[Code]:[Item]],2,FALSE)</f>
        <v>Ultrathing V4</v>
      </c>
      <c r="P729" s="4">
        <f>OrganizedData[[#This Row],[Quantity]]*VLOOKUP(OrganizedData[[#This Row],[Product Code]],ProductData[],4,FALSE)</f>
        <v>792</v>
      </c>
      <c r="Q729" s="6">
        <f>OrganizedData[[#This Row],[Total Items Ordered]]*VLOOKUP(OrganizedData[[#This Row],[Product Code]],ProductData[],3,FALSE)</f>
        <v>3160.0800000000004</v>
      </c>
      <c r="R7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3065.2776000000003</v>
      </c>
    </row>
    <row r="730" spans="1:18" x14ac:dyDescent="0.3">
      <c r="A730" s="2">
        <v>723</v>
      </c>
      <c r="B730" s="2" t="s">
        <v>2520</v>
      </c>
      <c r="C730" s="2" t="s">
        <v>107</v>
      </c>
      <c r="D730" s="2" t="s">
        <v>28</v>
      </c>
      <c r="E730" s="2" t="s">
        <v>29</v>
      </c>
      <c r="F730" s="2">
        <v>60</v>
      </c>
      <c r="G730" s="2" t="s">
        <v>2578</v>
      </c>
      <c r="H730" s="2" t="s">
        <v>2579</v>
      </c>
      <c r="I730" s="2" t="s">
        <v>425</v>
      </c>
      <c r="J730" s="3">
        <v>44603</v>
      </c>
      <c r="K730" s="5">
        <f>YEAR(OrganizedData[[#This Row],[Order Date]])</f>
        <v>2022</v>
      </c>
      <c r="L730" s="7" t="str">
        <f>TEXT(OrganizedData[[#This Row],[Order Date]],"mmm")</f>
        <v>Feb</v>
      </c>
      <c r="M730" s="2">
        <v>70</v>
      </c>
      <c r="N730" s="2" t="s">
        <v>54</v>
      </c>
      <c r="O730" s="2" t="str">
        <f>VLOOKUP(OrganizedData[[#This Row],[Product Code]],ProductData[[Code]:[Item]],2,FALSE)</f>
        <v>Megawidget S</v>
      </c>
      <c r="P730" s="4">
        <f>OrganizedData[[#This Row],[Quantity]]*VLOOKUP(OrganizedData[[#This Row],[Product Code]],ProductData[],4,FALSE)</f>
        <v>1680</v>
      </c>
      <c r="Q730" s="6">
        <f>OrganizedData[[#This Row],[Total Items Ordered]]*VLOOKUP(OrganizedData[[#This Row],[Product Code]],ProductData[],3,FALSE)</f>
        <v>1159.1999999999998</v>
      </c>
      <c r="R7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1101.2399999999998</v>
      </c>
    </row>
    <row r="731" spans="1:18" x14ac:dyDescent="0.3">
      <c r="A731" s="2">
        <v>724</v>
      </c>
      <c r="B731" s="2" t="s">
        <v>2580</v>
      </c>
      <c r="C731" s="2" t="s">
        <v>2581</v>
      </c>
      <c r="D731" s="2" t="s">
        <v>51</v>
      </c>
      <c r="E731" s="2" t="s">
        <v>16</v>
      </c>
      <c r="F731" s="2">
        <v>60</v>
      </c>
      <c r="G731" s="2" t="s">
        <v>2582</v>
      </c>
      <c r="H731" s="2" t="s">
        <v>2583</v>
      </c>
      <c r="I731" s="2" t="s">
        <v>32</v>
      </c>
      <c r="J731" s="3">
        <v>44496</v>
      </c>
      <c r="K731" s="5">
        <f>YEAR(OrganizedData[[#This Row],[Order Date]])</f>
        <v>2021</v>
      </c>
      <c r="L731" s="7" t="str">
        <f>TEXT(OrganizedData[[#This Row],[Order Date]],"mmm")</f>
        <v>Oct</v>
      </c>
      <c r="M731" s="2">
        <v>58</v>
      </c>
      <c r="N731" s="2" t="s">
        <v>33</v>
      </c>
      <c r="O731" s="2" t="str">
        <f>VLOOKUP(OrganizedData[[#This Row],[Product Code]],ProductData[[Code]:[Item]],2,FALSE)</f>
        <v>Megawidget L</v>
      </c>
      <c r="P731" s="4">
        <f>OrganizedData[[#This Row],[Quantity]]*VLOOKUP(OrganizedData[[#This Row],[Product Code]],ProductData[],4,FALSE)</f>
        <v>1392</v>
      </c>
      <c r="Q731" s="6">
        <f>OrganizedData[[#This Row],[Total Items Ordered]]*VLOOKUP(OrganizedData[[#This Row],[Product Code]],ProductData[],3,FALSE)</f>
        <v>2491.6799999999998</v>
      </c>
      <c r="R7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732" spans="1:18" x14ac:dyDescent="0.3">
      <c r="A732" s="2">
        <v>725</v>
      </c>
      <c r="B732" s="2" t="s">
        <v>2584</v>
      </c>
      <c r="C732" s="2" t="s">
        <v>2585</v>
      </c>
      <c r="D732" s="2" t="s">
        <v>28</v>
      </c>
      <c r="E732" s="2" t="s">
        <v>29</v>
      </c>
      <c r="F732" s="2">
        <v>60</v>
      </c>
      <c r="G732" s="2" t="s">
        <v>2586</v>
      </c>
      <c r="H732" s="2" t="s">
        <v>2587</v>
      </c>
      <c r="I732" s="2" t="s">
        <v>124</v>
      </c>
      <c r="J732" s="3">
        <v>44747</v>
      </c>
      <c r="K732" s="5">
        <f>YEAR(OrganizedData[[#This Row],[Order Date]])</f>
        <v>2022</v>
      </c>
      <c r="L732" s="7" t="str">
        <f>TEXT(OrganizedData[[#This Row],[Order Date]],"mmm")</f>
        <v>Jul</v>
      </c>
      <c r="M732" s="2">
        <v>81</v>
      </c>
      <c r="N732" s="2" t="s">
        <v>45</v>
      </c>
      <c r="O732" s="2" t="str">
        <f>VLOOKUP(OrganizedData[[#This Row],[Product Code]],ProductData[[Code]:[Item]],2,FALSE)</f>
        <v>Gigastuff</v>
      </c>
      <c r="P732" s="4">
        <f>OrganizedData[[#This Row],[Quantity]]*VLOOKUP(OrganizedData[[#This Row],[Product Code]],ProductData[],4,FALSE)</f>
        <v>1458</v>
      </c>
      <c r="Q732" s="6">
        <f>OrganizedData[[#This Row],[Total Items Ordered]]*VLOOKUP(OrganizedData[[#This Row],[Product Code]],ProductData[],3,FALSE)</f>
        <v>2755.62</v>
      </c>
      <c r="R7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733" spans="1:18" x14ac:dyDescent="0.3">
      <c r="A733" s="2">
        <v>726</v>
      </c>
      <c r="B733" s="2" t="s">
        <v>2588</v>
      </c>
      <c r="C733" s="2" t="s">
        <v>2589</v>
      </c>
      <c r="D733" s="2" t="s">
        <v>15</v>
      </c>
      <c r="E733" s="2" t="s">
        <v>16</v>
      </c>
      <c r="F733" s="2">
        <v>90</v>
      </c>
      <c r="G733" s="2" t="s">
        <v>2590</v>
      </c>
      <c r="H733" s="2" t="s">
        <v>2591</v>
      </c>
      <c r="I733" s="2" t="s">
        <v>38</v>
      </c>
      <c r="J733" s="3">
        <v>44219</v>
      </c>
      <c r="K733" s="5">
        <f>YEAR(OrganizedData[[#This Row],[Order Date]])</f>
        <v>2021</v>
      </c>
      <c r="L733" s="7" t="str">
        <f>TEXT(OrganizedData[[#This Row],[Order Date]],"mmm")</f>
        <v>Jan</v>
      </c>
      <c r="M733" s="2">
        <v>72</v>
      </c>
      <c r="N733" s="2" t="s">
        <v>159</v>
      </c>
      <c r="O733" s="2" t="str">
        <f>VLOOKUP(OrganizedData[[#This Row],[Product Code]],ProductData[[Code]:[Item]],2,FALSE)</f>
        <v>Ultrathing V3</v>
      </c>
      <c r="P733" s="4">
        <f>OrganizedData[[#This Row],[Quantity]]*VLOOKUP(OrganizedData[[#This Row],[Product Code]],ProductData[],4,FALSE)</f>
        <v>1728</v>
      </c>
      <c r="Q733" s="6">
        <f>OrganizedData[[#This Row],[Total Items Ordered]]*VLOOKUP(OrganizedData[[#This Row],[Product Code]],ProductData[],3,FALSE)</f>
        <v>5857.92</v>
      </c>
      <c r="R7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5565.0239999999994</v>
      </c>
    </row>
    <row r="734" spans="1:18" x14ac:dyDescent="0.3">
      <c r="A734" s="2">
        <v>727</v>
      </c>
      <c r="B734" s="2" t="s">
        <v>308</v>
      </c>
      <c r="C734" s="2" t="s">
        <v>2553</v>
      </c>
      <c r="D734" s="2" t="s">
        <v>15</v>
      </c>
      <c r="E734" s="2" t="s">
        <v>16</v>
      </c>
      <c r="F734" s="2">
        <v>60</v>
      </c>
      <c r="G734" s="2" t="s">
        <v>2592</v>
      </c>
      <c r="H734" s="2" t="s">
        <v>139</v>
      </c>
      <c r="I734" s="2" t="s">
        <v>2593</v>
      </c>
      <c r="J734" s="3">
        <v>44248</v>
      </c>
      <c r="K734" s="5">
        <f>YEAR(OrganizedData[[#This Row],[Order Date]])</f>
        <v>2021</v>
      </c>
      <c r="L734" s="7" t="str">
        <f>TEXT(OrganizedData[[#This Row],[Order Date]],"mmm")</f>
        <v>Feb</v>
      </c>
      <c r="M734" s="2">
        <v>26</v>
      </c>
      <c r="N734" s="2" t="s">
        <v>54</v>
      </c>
      <c r="O734" s="2" t="str">
        <f>VLOOKUP(OrganizedData[[#This Row],[Product Code]],ProductData[[Code]:[Item]],2,FALSE)</f>
        <v>Megawidget S</v>
      </c>
      <c r="P734" s="4">
        <f>OrganizedData[[#This Row],[Quantity]]*VLOOKUP(OrganizedData[[#This Row],[Product Code]],ProductData[],4,FALSE)</f>
        <v>624</v>
      </c>
      <c r="Q734" s="6">
        <f>OrganizedData[[#This Row],[Total Items Ordered]]*VLOOKUP(OrganizedData[[#This Row],[Product Code]],ProductData[],3,FALSE)</f>
        <v>430.55999999999995</v>
      </c>
      <c r="R7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417.64319999999992</v>
      </c>
    </row>
    <row r="735" spans="1:18" x14ac:dyDescent="0.3">
      <c r="A735" s="2">
        <v>728</v>
      </c>
      <c r="B735" s="2" t="s">
        <v>249</v>
      </c>
      <c r="C735" s="2" t="s">
        <v>2594</v>
      </c>
      <c r="D735" s="2" t="s">
        <v>28</v>
      </c>
      <c r="E735" s="2" t="s">
        <v>29</v>
      </c>
      <c r="F735" s="2">
        <v>60</v>
      </c>
      <c r="G735" s="2" t="s">
        <v>2595</v>
      </c>
      <c r="H735" s="2" t="s">
        <v>904</v>
      </c>
      <c r="I735" s="2" t="s">
        <v>32</v>
      </c>
      <c r="J735" s="3">
        <v>44502</v>
      </c>
      <c r="K735" s="5">
        <f>YEAR(OrganizedData[[#This Row],[Order Date]])</f>
        <v>2021</v>
      </c>
      <c r="L735" s="7" t="str">
        <f>TEXT(OrganizedData[[#This Row],[Order Date]],"mmm")</f>
        <v>Nov</v>
      </c>
      <c r="M735" s="2">
        <v>11</v>
      </c>
      <c r="N735" s="2" t="s">
        <v>70</v>
      </c>
      <c r="O735" s="2" t="str">
        <f>VLOOKUP(OrganizedData[[#This Row],[Product Code]],ProductData[[Code]:[Item]],2,FALSE)</f>
        <v>Megawidget M</v>
      </c>
      <c r="P735" s="4">
        <f>OrganizedData[[#This Row],[Quantity]]*VLOOKUP(OrganizedData[[#This Row],[Product Code]],ProductData[],4,FALSE)</f>
        <v>264</v>
      </c>
      <c r="Q735" s="6">
        <f>OrganizedData[[#This Row],[Total Items Ordered]]*VLOOKUP(OrganizedData[[#This Row],[Product Code]],ProductData[],3,FALSE)</f>
        <v>340.56</v>
      </c>
      <c r="R7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340.56</v>
      </c>
    </row>
    <row r="736" spans="1:18" x14ac:dyDescent="0.3">
      <c r="A736" s="2">
        <v>729</v>
      </c>
      <c r="B736" s="2" t="s">
        <v>2596</v>
      </c>
      <c r="C736" s="2" t="s">
        <v>2597</v>
      </c>
      <c r="D736" s="2" t="s">
        <v>51</v>
      </c>
      <c r="E736" s="2" t="s">
        <v>16</v>
      </c>
      <c r="F736" s="2">
        <v>90</v>
      </c>
      <c r="G736" s="2" t="s">
        <v>2598</v>
      </c>
      <c r="H736" s="2" t="s">
        <v>2599</v>
      </c>
      <c r="I736" s="2" t="s">
        <v>25</v>
      </c>
      <c r="J736" s="3">
        <v>44861</v>
      </c>
      <c r="K736" s="5">
        <f>YEAR(OrganizedData[[#This Row],[Order Date]])</f>
        <v>2022</v>
      </c>
      <c r="L736" s="7" t="str">
        <f>TEXT(OrganizedData[[#This Row],[Order Date]],"mmm")</f>
        <v>Oct</v>
      </c>
      <c r="M736" s="2">
        <v>9</v>
      </c>
      <c r="N736" s="2" t="s">
        <v>80</v>
      </c>
      <c r="O736" s="2" t="str">
        <f>VLOOKUP(OrganizedData[[#This Row],[Product Code]],ProductData[[Code]:[Item]],2,FALSE)</f>
        <v>Ultrathing V2</v>
      </c>
      <c r="P736" s="4">
        <f>OrganizedData[[#This Row],[Quantity]]*VLOOKUP(OrganizedData[[#This Row],[Product Code]],ProductData[],4,FALSE)</f>
        <v>180</v>
      </c>
      <c r="Q736" s="6">
        <f>OrganizedData[[#This Row],[Total Items Ordered]]*VLOOKUP(OrganizedData[[#This Row],[Product Code]],ProductData[],3,FALSE)</f>
        <v>531</v>
      </c>
      <c r="R7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531</v>
      </c>
    </row>
    <row r="737" spans="1:18" x14ac:dyDescent="0.3">
      <c r="A737" s="2">
        <v>730</v>
      </c>
      <c r="B737" s="2" t="s">
        <v>2600</v>
      </c>
      <c r="C737" s="2" t="s">
        <v>2601</v>
      </c>
      <c r="D737" s="2" t="s">
        <v>51</v>
      </c>
      <c r="E737" s="2" t="s">
        <v>16</v>
      </c>
      <c r="F737" s="2">
        <v>30</v>
      </c>
      <c r="G737" s="2" t="s">
        <v>2602</v>
      </c>
      <c r="H737" s="2" t="s">
        <v>2603</v>
      </c>
      <c r="I737" s="2" t="s">
        <v>2604</v>
      </c>
      <c r="J737" s="3">
        <v>44169</v>
      </c>
      <c r="K737" s="5">
        <f>YEAR(OrganizedData[[#This Row],[Order Date]])</f>
        <v>2020</v>
      </c>
      <c r="L737" s="7" t="str">
        <f>TEXT(OrganizedData[[#This Row],[Order Date]],"mmm")</f>
        <v>Dec</v>
      </c>
      <c r="M737" s="2">
        <v>74</v>
      </c>
      <c r="N737" s="2" t="s">
        <v>159</v>
      </c>
      <c r="O737" s="2" t="str">
        <f>VLOOKUP(OrganizedData[[#This Row],[Product Code]],ProductData[[Code]:[Item]],2,FALSE)</f>
        <v>Ultrathing V3</v>
      </c>
      <c r="P737" s="4">
        <f>OrganizedData[[#This Row],[Quantity]]*VLOOKUP(OrganizedData[[#This Row],[Product Code]],ProductData[],4,FALSE)</f>
        <v>1776</v>
      </c>
      <c r="Q737" s="6">
        <f>OrganizedData[[#This Row],[Total Items Ordered]]*VLOOKUP(OrganizedData[[#This Row],[Product Code]],ProductData[],3,FALSE)</f>
        <v>6020.64</v>
      </c>
      <c r="R7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738" spans="1:18" x14ac:dyDescent="0.3">
      <c r="A738" s="2">
        <v>731</v>
      </c>
      <c r="B738" s="2" t="s">
        <v>2605</v>
      </c>
      <c r="C738" s="2" t="s">
        <v>2606</v>
      </c>
      <c r="D738" s="2" t="s">
        <v>28</v>
      </c>
      <c r="E738" s="2" t="s">
        <v>29</v>
      </c>
      <c r="F738" s="2">
        <v>90</v>
      </c>
      <c r="G738" s="2" t="s">
        <v>2607</v>
      </c>
      <c r="H738" s="2" t="s">
        <v>2608</v>
      </c>
      <c r="I738" s="2" t="s">
        <v>38</v>
      </c>
      <c r="J738" s="3">
        <v>44812</v>
      </c>
      <c r="K738" s="5">
        <f>YEAR(OrganizedData[[#This Row],[Order Date]])</f>
        <v>2022</v>
      </c>
      <c r="L738" s="7" t="str">
        <f>TEXT(OrganizedData[[#This Row],[Order Date]],"mmm")</f>
        <v>Sep</v>
      </c>
      <c r="M738" s="2">
        <v>102</v>
      </c>
      <c r="N738" s="2" t="s">
        <v>70</v>
      </c>
      <c r="O738" s="2" t="str">
        <f>VLOOKUP(OrganizedData[[#This Row],[Product Code]],ProductData[[Code]:[Item]],2,FALSE)</f>
        <v>Megawidget M</v>
      </c>
      <c r="P738" s="4">
        <f>OrganizedData[[#This Row],[Quantity]]*VLOOKUP(OrganizedData[[#This Row],[Product Code]],ProductData[],4,FALSE)</f>
        <v>2448</v>
      </c>
      <c r="Q738" s="6">
        <f>OrganizedData[[#This Row],[Total Items Ordered]]*VLOOKUP(OrganizedData[[#This Row],[Product Code]],ProductData[],3,FALSE)</f>
        <v>3157.92</v>
      </c>
      <c r="R7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2936.8656000000001</v>
      </c>
    </row>
    <row r="739" spans="1:18" x14ac:dyDescent="0.3">
      <c r="A739" s="2">
        <v>732</v>
      </c>
      <c r="B739" s="2" t="s">
        <v>1262</v>
      </c>
      <c r="C739" s="2" t="s">
        <v>1154</v>
      </c>
      <c r="D739" s="2" t="s">
        <v>28</v>
      </c>
      <c r="E739" s="2" t="s">
        <v>29</v>
      </c>
      <c r="F739" s="2">
        <v>90</v>
      </c>
      <c r="G739" s="2" t="s">
        <v>2609</v>
      </c>
      <c r="H739" s="2" t="s">
        <v>235</v>
      </c>
      <c r="I739" s="2" t="s">
        <v>146</v>
      </c>
      <c r="J739" s="3">
        <v>44626</v>
      </c>
      <c r="K739" s="5">
        <f>YEAR(OrganizedData[[#This Row],[Order Date]])</f>
        <v>2022</v>
      </c>
      <c r="L739" s="7" t="str">
        <f>TEXT(OrganizedData[[#This Row],[Order Date]],"mmm")</f>
        <v>Mar</v>
      </c>
      <c r="M739" s="2">
        <v>91</v>
      </c>
      <c r="N739" s="2" t="s">
        <v>70</v>
      </c>
      <c r="O739" s="2" t="str">
        <f>VLOOKUP(OrganizedData[[#This Row],[Product Code]],ProductData[[Code]:[Item]],2,FALSE)</f>
        <v>Megawidget M</v>
      </c>
      <c r="P739" s="4">
        <f>OrganizedData[[#This Row],[Quantity]]*VLOOKUP(OrganizedData[[#This Row],[Product Code]],ProductData[],4,FALSE)</f>
        <v>2184</v>
      </c>
      <c r="Q739" s="6">
        <f>OrganizedData[[#This Row],[Total Items Ordered]]*VLOOKUP(OrganizedData[[#This Row],[Product Code]],ProductData[],3,FALSE)</f>
        <v>2817.36</v>
      </c>
      <c r="R7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2676.4920000000002</v>
      </c>
    </row>
    <row r="740" spans="1:18" x14ac:dyDescent="0.3">
      <c r="A740" s="2">
        <v>733</v>
      </c>
      <c r="B740" s="2" t="s">
        <v>2200</v>
      </c>
      <c r="C740" s="2" t="s">
        <v>76</v>
      </c>
      <c r="D740" s="2" t="s">
        <v>28</v>
      </c>
      <c r="E740" s="2" t="s">
        <v>29</v>
      </c>
      <c r="F740" s="2">
        <v>30</v>
      </c>
      <c r="G740" s="2" t="s">
        <v>2610</v>
      </c>
      <c r="H740" s="2" t="s">
        <v>530</v>
      </c>
      <c r="I740" s="2" t="s">
        <v>124</v>
      </c>
      <c r="J740" s="3">
        <v>44577</v>
      </c>
      <c r="K740" s="5">
        <f>YEAR(OrganizedData[[#This Row],[Order Date]])</f>
        <v>2022</v>
      </c>
      <c r="L740" s="7" t="str">
        <f>TEXT(OrganizedData[[#This Row],[Order Date]],"mmm")</f>
        <v>Jan</v>
      </c>
      <c r="M740" s="2">
        <v>105</v>
      </c>
      <c r="N740" s="2" t="s">
        <v>45</v>
      </c>
      <c r="O740" s="2" t="str">
        <f>VLOOKUP(OrganizedData[[#This Row],[Product Code]],ProductData[[Code]:[Item]],2,FALSE)</f>
        <v>Gigastuff</v>
      </c>
      <c r="P740" s="4">
        <f>OrganizedData[[#This Row],[Quantity]]*VLOOKUP(OrganizedData[[#This Row],[Product Code]],ProductData[],4,FALSE)</f>
        <v>1890</v>
      </c>
      <c r="Q740" s="6">
        <f>OrganizedData[[#This Row],[Total Items Ordered]]*VLOOKUP(OrganizedData[[#This Row],[Product Code]],ProductData[],3,FALSE)</f>
        <v>3572.1</v>
      </c>
      <c r="R7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3322.0529999999999</v>
      </c>
    </row>
    <row r="741" spans="1:18" x14ac:dyDescent="0.3">
      <c r="A741" s="2">
        <v>734</v>
      </c>
      <c r="B741" s="2" t="s">
        <v>948</v>
      </c>
      <c r="C741" s="2" t="s">
        <v>2611</v>
      </c>
      <c r="D741" s="2" t="s">
        <v>28</v>
      </c>
      <c r="E741" s="2" t="s">
        <v>29</v>
      </c>
      <c r="F741" s="2">
        <v>30</v>
      </c>
      <c r="G741" s="2" t="s">
        <v>2612</v>
      </c>
      <c r="H741" s="2" t="s">
        <v>2613</v>
      </c>
      <c r="I741" s="2" t="s">
        <v>32</v>
      </c>
      <c r="J741" s="3">
        <v>44540</v>
      </c>
      <c r="K741" s="5">
        <f>YEAR(OrganizedData[[#This Row],[Order Date]])</f>
        <v>2021</v>
      </c>
      <c r="L741" s="7" t="str">
        <f>TEXT(OrganizedData[[#This Row],[Order Date]],"mmm")</f>
        <v>Dec</v>
      </c>
      <c r="M741" s="2">
        <v>92</v>
      </c>
      <c r="N741" s="2" t="s">
        <v>159</v>
      </c>
      <c r="O741" s="2" t="str">
        <f>VLOOKUP(OrganizedData[[#This Row],[Product Code]],ProductData[[Code]:[Item]],2,FALSE)</f>
        <v>Ultrathing V3</v>
      </c>
      <c r="P741" s="4">
        <f>OrganizedData[[#This Row],[Quantity]]*VLOOKUP(OrganizedData[[#This Row],[Product Code]],ProductData[],4,FALSE)</f>
        <v>2208</v>
      </c>
      <c r="Q741" s="6">
        <f>OrganizedData[[#This Row],[Total Items Ordered]]*VLOOKUP(OrganizedData[[#This Row],[Product Code]],ProductData[],3,FALSE)</f>
        <v>7485.12</v>
      </c>
      <c r="R7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7110.8639999999996</v>
      </c>
    </row>
    <row r="742" spans="1:18" x14ac:dyDescent="0.3">
      <c r="A742" s="2">
        <v>735</v>
      </c>
      <c r="B742" s="2" t="s">
        <v>2614</v>
      </c>
      <c r="C742" s="2" t="s">
        <v>1861</v>
      </c>
      <c r="D742" s="2" t="s">
        <v>51</v>
      </c>
      <c r="E742" s="2" t="s">
        <v>16</v>
      </c>
      <c r="F742" s="2">
        <v>30</v>
      </c>
      <c r="G742" s="2" t="s">
        <v>2615</v>
      </c>
      <c r="H742" s="2" t="s">
        <v>2616</v>
      </c>
      <c r="I742" s="2" t="s">
        <v>886</v>
      </c>
      <c r="J742" s="3">
        <v>44923</v>
      </c>
      <c r="K742" s="5">
        <f>YEAR(OrganizedData[[#This Row],[Order Date]])</f>
        <v>2022</v>
      </c>
      <c r="L742" s="7" t="str">
        <f>TEXT(OrganizedData[[#This Row],[Order Date]],"mmm")</f>
        <v>Dec</v>
      </c>
      <c r="M742" s="2">
        <v>88</v>
      </c>
      <c r="N742" s="2" t="s">
        <v>39</v>
      </c>
      <c r="O742" s="2" t="str">
        <f>VLOOKUP(OrganizedData[[#This Row],[Product Code]],ProductData[[Code]:[Item]],2,FALSE)</f>
        <v>Ultrathing V1</v>
      </c>
      <c r="P742" s="4">
        <f>OrganizedData[[#This Row],[Quantity]]*VLOOKUP(OrganizedData[[#This Row],[Product Code]],ProductData[],4,FALSE)</f>
        <v>1496</v>
      </c>
      <c r="Q742" s="6">
        <f>OrganizedData[[#This Row],[Total Items Ordered]]*VLOOKUP(OrganizedData[[#This Row],[Product Code]],ProductData[],3,FALSE)</f>
        <v>2677.84</v>
      </c>
      <c r="R7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2543.9479999999999</v>
      </c>
    </row>
    <row r="743" spans="1:18" x14ac:dyDescent="0.3">
      <c r="A743" s="2">
        <v>736</v>
      </c>
      <c r="B743" s="2" t="s">
        <v>2617</v>
      </c>
      <c r="C743" s="2" t="s">
        <v>2618</v>
      </c>
      <c r="D743" s="2" t="s">
        <v>28</v>
      </c>
      <c r="E743" s="2" t="s">
        <v>29</v>
      </c>
      <c r="F743" s="2">
        <v>90</v>
      </c>
      <c r="G743" s="2" t="s">
        <v>2619</v>
      </c>
      <c r="H743" s="2" t="s">
        <v>823</v>
      </c>
      <c r="I743" s="2" t="s">
        <v>187</v>
      </c>
      <c r="J743" s="3">
        <v>44238</v>
      </c>
      <c r="K743" s="5">
        <f>YEAR(OrganizedData[[#This Row],[Order Date]])</f>
        <v>2021</v>
      </c>
      <c r="L743" s="7" t="str">
        <f>TEXT(OrganizedData[[#This Row],[Order Date]],"mmm")</f>
        <v>Feb</v>
      </c>
      <c r="M743" s="2">
        <v>39</v>
      </c>
      <c r="N743" s="2" t="s">
        <v>70</v>
      </c>
      <c r="O743" s="2" t="str">
        <f>VLOOKUP(OrganizedData[[#This Row],[Product Code]],ProductData[[Code]:[Item]],2,FALSE)</f>
        <v>Megawidget M</v>
      </c>
      <c r="P743" s="4">
        <f>OrganizedData[[#This Row],[Quantity]]*VLOOKUP(OrganizedData[[#This Row],[Product Code]],ProductData[],4,FALSE)</f>
        <v>936</v>
      </c>
      <c r="Q743" s="6">
        <f>OrganizedData[[#This Row],[Total Items Ordered]]*VLOOKUP(OrganizedData[[#This Row],[Product Code]],ProductData[],3,FALSE)</f>
        <v>1207.44</v>
      </c>
      <c r="R7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744" spans="1:18" x14ac:dyDescent="0.3">
      <c r="A744" s="2">
        <v>737</v>
      </c>
      <c r="B744" s="2" t="s">
        <v>1144</v>
      </c>
      <c r="C744" s="2" t="s">
        <v>61</v>
      </c>
      <c r="D744" s="2" t="s">
        <v>51</v>
      </c>
      <c r="E744" s="2" t="s">
        <v>16</v>
      </c>
      <c r="F744" s="2">
        <v>60</v>
      </c>
      <c r="G744" s="2" t="s">
        <v>2620</v>
      </c>
      <c r="H744" s="2" t="s">
        <v>942</v>
      </c>
      <c r="I744" s="2" t="s">
        <v>32</v>
      </c>
      <c r="J744" s="3">
        <v>44764</v>
      </c>
      <c r="K744" s="5">
        <f>YEAR(OrganizedData[[#This Row],[Order Date]])</f>
        <v>2022</v>
      </c>
      <c r="L744" s="7" t="str">
        <f>TEXT(OrganizedData[[#This Row],[Order Date]],"mmm")</f>
        <v>Jul</v>
      </c>
      <c r="M744" s="2">
        <v>47</v>
      </c>
      <c r="N744" s="2" t="s">
        <v>33</v>
      </c>
      <c r="O744" s="2" t="str">
        <f>VLOOKUP(OrganizedData[[#This Row],[Product Code]],ProductData[[Code]:[Item]],2,FALSE)</f>
        <v>Megawidget L</v>
      </c>
      <c r="P744" s="4">
        <f>OrganizedData[[#This Row],[Quantity]]*VLOOKUP(OrganizedData[[#This Row],[Product Code]],ProductData[],4,FALSE)</f>
        <v>1128</v>
      </c>
      <c r="Q744" s="6">
        <f>OrganizedData[[#This Row],[Total Items Ordered]]*VLOOKUP(OrganizedData[[#This Row],[Product Code]],ProductData[],3,FALSE)</f>
        <v>2019.1200000000001</v>
      </c>
      <c r="R7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745" spans="1:18" x14ac:dyDescent="0.3">
      <c r="A745" s="2">
        <v>738</v>
      </c>
      <c r="B745" s="2" t="s">
        <v>1376</v>
      </c>
      <c r="C745" s="2" t="s">
        <v>1010</v>
      </c>
      <c r="D745" s="2" t="s">
        <v>28</v>
      </c>
      <c r="E745" s="2" t="s">
        <v>29</v>
      </c>
      <c r="F745" s="2">
        <v>30</v>
      </c>
      <c r="G745" s="2" t="s">
        <v>2621</v>
      </c>
      <c r="H745" s="2" t="s">
        <v>2622</v>
      </c>
      <c r="I745" s="2" t="s">
        <v>294</v>
      </c>
      <c r="J745" s="3">
        <v>44116</v>
      </c>
      <c r="K745" s="5">
        <f>YEAR(OrganizedData[[#This Row],[Order Date]])</f>
        <v>2020</v>
      </c>
      <c r="L745" s="7" t="str">
        <f>TEXT(OrganizedData[[#This Row],[Order Date]],"mmm")</f>
        <v>Oct</v>
      </c>
      <c r="M745" s="2">
        <v>16</v>
      </c>
      <c r="N745" s="2" t="s">
        <v>54</v>
      </c>
      <c r="O745" s="2" t="str">
        <f>VLOOKUP(OrganizedData[[#This Row],[Product Code]],ProductData[[Code]:[Item]],2,FALSE)</f>
        <v>Megawidget S</v>
      </c>
      <c r="P745" s="4">
        <f>OrganizedData[[#This Row],[Quantity]]*VLOOKUP(OrganizedData[[#This Row],[Product Code]],ProductData[],4,FALSE)</f>
        <v>384</v>
      </c>
      <c r="Q745" s="6">
        <f>OrganizedData[[#This Row],[Total Items Ordered]]*VLOOKUP(OrganizedData[[#This Row],[Product Code]],ProductData[],3,FALSE)</f>
        <v>264.95999999999998</v>
      </c>
      <c r="R7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746" spans="1:18" x14ac:dyDescent="0.3">
      <c r="A746" s="2">
        <v>739</v>
      </c>
      <c r="B746" s="2" t="s">
        <v>2623</v>
      </c>
      <c r="C746" s="2" t="s">
        <v>2210</v>
      </c>
      <c r="D746" s="2" t="s">
        <v>51</v>
      </c>
      <c r="E746" s="2" t="s">
        <v>16</v>
      </c>
      <c r="F746" s="2">
        <v>60</v>
      </c>
      <c r="G746" s="2" t="s">
        <v>2621</v>
      </c>
      <c r="H746" s="2" t="s">
        <v>2624</v>
      </c>
      <c r="I746" s="2" t="s">
        <v>32</v>
      </c>
      <c r="J746" s="3">
        <v>44129</v>
      </c>
      <c r="K746" s="5">
        <f>YEAR(OrganizedData[[#This Row],[Order Date]])</f>
        <v>2020</v>
      </c>
      <c r="L746" s="7" t="str">
        <f>TEXT(OrganizedData[[#This Row],[Order Date]],"mmm")</f>
        <v>Oct</v>
      </c>
      <c r="M746" s="2">
        <v>32</v>
      </c>
      <c r="N746" s="2" t="s">
        <v>20</v>
      </c>
      <c r="O746" s="2" t="str">
        <f>VLOOKUP(OrganizedData[[#This Row],[Product Code]],ProductData[[Code]:[Item]],2,FALSE)</f>
        <v>Hyperwotsit</v>
      </c>
      <c r="P746" s="4">
        <f>OrganizedData[[#This Row],[Quantity]]*VLOOKUP(OrganizedData[[#This Row],[Product Code]],ProductData[],4,FALSE)</f>
        <v>640</v>
      </c>
      <c r="Q746" s="6">
        <f>OrganizedData[[#This Row],[Total Items Ordered]]*VLOOKUP(OrganizedData[[#This Row],[Product Code]],ProductData[],3,FALSE)</f>
        <v>1286.3999999999999</v>
      </c>
      <c r="R7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747" spans="1:18" x14ac:dyDescent="0.3">
      <c r="A747" s="2">
        <v>740</v>
      </c>
      <c r="B747" s="2" t="s">
        <v>2625</v>
      </c>
      <c r="C747" s="2" t="s">
        <v>593</v>
      </c>
      <c r="D747" s="2" t="s">
        <v>51</v>
      </c>
      <c r="E747" s="2" t="s">
        <v>16</v>
      </c>
      <c r="F747" s="2">
        <v>60</v>
      </c>
      <c r="G747" s="2" t="s">
        <v>2626</v>
      </c>
      <c r="H747" s="2" t="s">
        <v>738</v>
      </c>
      <c r="I747" s="2" t="s">
        <v>38</v>
      </c>
      <c r="J747" s="3">
        <v>44098</v>
      </c>
      <c r="K747" s="5">
        <f>YEAR(OrganizedData[[#This Row],[Order Date]])</f>
        <v>2020</v>
      </c>
      <c r="L747" s="7" t="str">
        <f>TEXT(OrganizedData[[#This Row],[Order Date]],"mmm")</f>
        <v>Sep</v>
      </c>
      <c r="M747" s="2">
        <v>59</v>
      </c>
      <c r="N747" s="2" t="s">
        <v>33</v>
      </c>
      <c r="O747" s="2" t="str">
        <f>VLOOKUP(OrganizedData[[#This Row],[Product Code]],ProductData[[Code]:[Item]],2,FALSE)</f>
        <v>Megawidget L</v>
      </c>
      <c r="P747" s="4">
        <f>OrganizedData[[#This Row],[Quantity]]*VLOOKUP(OrganizedData[[#This Row],[Product Code]],ProductData[],4,FALSE)</f>
        <v>1416</v>
      </c>
      <c r="Q747" s="6">
        <f>OrganizedData[[#This Row],[Total Items Ordered]]*VLOOKUP(OrganizedData[[#This Row],[Product Code]],ProductData[],3,FALSE)</f>
        <v>2534.64</v>
      </c>
      <c r="R7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2407.9079999999999</v>
      </c>
    </row>
    <row r="748" spans="1:18" x14ac:dyDescent="0.3">
      <c r="A748" s="2">
        <v>741</v>
      </c>
      <c r="B748" s="2" t="s">
        <v>2627</v>
      </c>
      <c r="C748" s="2" t="s">
        <v>1211</v>
      </c>
      <c r="D748" s="2" t="s">
        <v>15</v>
      </c>
      <c r="E748" s="2" t="s">
        <v>16</v>
      </c>
      <c r="F748" s="2">
        <v>30</v>
      </c>
      <c r="G748" s="2" t="s">
        <v>2628</v>
      </c>
      <c r="H748" s="2" t="s">
        <v>2629</v>
      </c>
      <c r="I748" s="2" t="s">
        <v>95</v>
      </c>
      <c r="J748" s="3">
        <v>43966</v>
      </c>
      <c r="K748" s="5">
        <f>YEAR(OrganizedData[[#This Row],[Order Date]])</f>
        <v>2020</v>
      </c>
      <c r="L748" s="7" t="str">
        <f>TEXT(OrganizedData[[#This Row],[Order Date]],"mmm")</f>
        <v>May</v>
      </c>
      <c r="M748" s="2">
        <v>20</v>
      </c>
      <c r="N748" s="2" t="s">
        <v>70</v>
      </c>
      <c r="O748" s="2" t="str">
        <f>VLOOKUP(OrganizedData[[#This Row],[Product Code]],ProductData[[Code]:[Item]],2,FALSE)</f>
        <v>Megawidget M</v>
      </c>
      <c r="P748" s="4">
        <f>OrganizedData[[#This Row],[Quantity]]*VLOOKUP(OrganizedData[[#This Row],[Product Code]],ProductData[],4,FALSE)</f>
        <v>480</v>
      </c>
      <c r="Q748" s="6">
        <f>OrganizedData[[#This Row],[Total Items Ordered]]*VLOOKUP(OrganizedData[[#This Row],[Product Code]],ProductData[],3,FALSE)</f>
        <v>619.20000000000005</v>
      </c>
      <c r="R7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619.20000000000005</v>
      </c>
    </row>
    <row r="749" spans="1:18" x14ac:dyDescent="0.3">
      <c r="A749" s="2">
        <v>742</v>
      </c>
      <c r="B749" s="2" t="s">
        <v>2630</v>
      </c>
      <c r="C749" s="2" t="s">
        <v>2631</v>
      </c>
      <c r="D749" s="2" t="s">
        <v>51</v>
      </c>
      <c r="E749" s="2" t="s">
        <v>16</v>
      </c>
      <c r="F749" s="2">
        <v>90</v>
      </c>
      <c r="G749" s="2" t="s">
        <v>2632</v>
      </c>
      <c r="H749" s="2" t="s">
        <v>2633</v>
      </c>
      <c r="I749" s="2" t="s">
        <v>32</v>
      </c>
      <c r="J749" s="3">
        <v>44631</v>
      </c>
      <c r="K749" s="5">
        <f>YEAR(OrganizedData[[#This Row],[Order Date]])</f>
        <v>2022</v>
      </c>
      <c r="L749" s="7" t="str">
        <f>TEXT(OrganizedData[[#This Row],[Order Date]],"mmm")</f>
        <v>Mar</v>
      </c>
      <c r="M749" s="2">
        <v>105</v>
      </c>
      <c r="N749" s="2" t="s">
        <v>54</v>
      </c>
      <c r="O749" s="2" t="str">
        <f>VLOOKUP(OrganizedData[[#This Row],[Product Code]],ProductData[[Code]:[Item]],2,FALSE)</f>
        <v>Megawidget S</v>
      </c>
      <c r="P749" s="4">
        <f>OrganizedData[[#This Row],[Quantity]]*VLOOKUP(OrganizedData[[#This Row],[Product Code]],ProductData[],4,FALSE)</f>
        <v>2520</v>
      </c>
      <c r="Q749" s="6">
        <f>OrganizedData[[#This Row],[Total Items Ordered]]*VLOOKUP(OrganizedData[[#This Row],[Product Code]],ProductData[],3,FALSE)</f>
        <v>1738.8</v>
      </c>
      <c r="R7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1617.0840000000001</v>
      </c>
    </row>
    <row r="750" spans="1:18" x14ac:dyDescent="0.3">
      <c r="A750" s="2">
        <v>743</v>
      </c>
      <c r="B750" s="2" t="s">
        <v>2634</v>
      </c>
      <c r="C750" s="2" t="s">
        <v>2635</v>
      </c>
      <c r="D750" s="2" t="s">
        <v>15</v>
      </c>
      <c r="E750" s="2" t="s">
        <v>16</v>
      </c>
      <c r="F750" s="2">
        <v>90</v>
      </c>
      <c r="G750" s="2" t="s">
        <v>2636</v>
      </c>
      <c r="H750" s="2" t="s">
        <v>2156</v>
      </c>
      <c r="I750" s="2" t="s">
        <v>32</v>
      </c>
      <c r="J750" s="3">
        <v>44775</v>
      </c>
      <c r="K750" s="5">
        <f>YEAR(OrganizedData[[#This Row],[Order Date]])</f>
        <v>2022</v>
      </c>
      <c r="L750" s="7" t="str">
        <f>TEXT(OrganizedData[[#This Row],[Order Date]],"mmm")</f>
        <v>Aug</v>
      </c>
      <c r="M750" s="2">
        <v>44</v>
      </c>
      <c r="N750" s="2" t="s">
        <v>20</v>
      </c>
      <c r="O750" s="2" t="str">
        <f>VLOOKUP(OrganizedData[[#This Row],[Product Code]],ProductData[[Code]:[Item]],2,FALSE)</f>
        <v>Hyperwotsit</v>
      </c>
      <c r="P750" s="4">
        <f>OrganizedData[[#This Row],[Quantity]]*VLOOKUP(OrganizedData[[#This Row],[Product Code]],ProductData[],4,FALSE)</f>
        <v>880</v>
      </c>
      <c r="Q750" s="6">
        <f>OrganizedData[[#This Row],[Total Items Ordered]]*VLOOKUP(OrganizedData[[#This Row],[Product Code]],ProductData[],3,FALSE)</f>
        <v>1768.7999999999997</v>
      </c>
      <c r="R7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1715.7359999999996</v>
      </c>
    </row>
    <row r="751" spans="1:18" x14ac:dyDescent="0.3">
      <c r="A751" s="2">
        <v>744</v>
      </c>
      <c r="B751" s="2" t="s">
        <v>2605</v>
      </c>
      <c r="C751" s="2" t="s">
        <v>2637</v>
      </c>
      <c r="D751" s="2" t="s">
        <v>28</v>
      </c>
      <c r="E751" s="2" t="s">
        <v>29</v>
      </c>
      <c r="F751" s="2">
        <v>90</v>
      </c>
      <c r="G751" s="2" t="s">
        <v>2638</v>
      </c>
      <c r="H751" s="2" t="s">
        <v>2062</v>
      </c>
      <c r="I751" s="2" t="s">
        <v>187</v>
      </c>
      <c r="J751" s="3">
        <v>44030</v>
      </c>
      <c r="K751" s="5">
        <f>YEAR(OrganizedData[[#This Row],[Order Date]])</f>
        <v>2020</v>
      </c>
      <c r="L751" s="7" t="str">
        <f>TEXT(OrganizedData[[#This Row],[Order Date]],"mmm")</f>
        <v>Jul</v>
      </c>
      <c r="M751" s="2">
        <v>36</v>
      </c>
      <c r="N751" s="2" t="s">
        <v>80</v>
      </c>
      <c r="O751" s="2" t="str">
        <f>VLOOKUP(OrganizedData[[#This Row],[Product Code]],ProductData[[Code]:[Item]],2,FALSE)</f>
        <v>Ultrathing V2</v>
      </c>
      <c r="P751" s="4">
        <f>OrganizedData[[#This Row],[Quantity]]*VLOOKUP(OrganizedData[[#This Row],[Product Code]],ProductData[],4,FALSE)</f>
        <v>720</v>
      </c>
      <c r="Q751" s="6">
        <f>OrganizedData[[#This Row],[Total Items Ordered]]*VLOOKUP(OrganizedData[[#This Row],[Product Code]],ProductData[],3,FALSE)</f>
        <v>2124</v>
      </c>
      <c r="R7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752" spans="1:18" x14ac:dyDescent="0.3">
      <c r="A752" s="2">
        <v>745</v>
      </c>
      <c r="B752" s="2" t="s">
        <v>2639</v>
      </c>
      <c r="C752" s="2" t="s">
        <v>2640</v>
      </c>
      <c r="D752" s="2" t="s">
        <v>28</v>
      </c>
      <c r="E752" s="2" t="s">
        <v>29</v>
      </c>
      <c r="F752" s="2">
        <v>90</v>
      </c>
      <c r="G752" s="2" t="s">
        <v>2641</v>
      </c>
      <c r="H752" s="2" t="s">
        <v>1605</v>
      </c>
      <c r="I752" s="2" t="s">
        <v>32</v>
      </c>
      <c r="J752" s="3">
        <v>44732</v>
      </c>
      <c r="K752" s="5">
        <f>YEAR(OrganizedData[[#This Row],[Order Date]])</f>
        <v>2022</v>
      </c>
      <c r="L752" s="7" t="str">
        <f>TEXT(OrganizedData[[#This Row],[Order Date]],"mmm")</f>
        <v>Jun</v>
      </c>
      <c r="M752" s="2">
        <v>18</v>
      </c>
      <c r="N752" s="2" t="s">
        <v>70</v>
      </c>
      <c r="O752" s="2" t="str">
        <f>VLOOKUP(OrganizedData[[#This Row],[Product Code]],ProductData[[Code]:[Item]],2,FALSE)</f>
        <v>Megawidget M</v>
      </c>
      <c r="P752" s="4">
        <f>OrganizedData[[#This Row],[Quantity]]*VLOOKUP(OrganizedData[[#This Row],[Product Code]],ProductData[],4,FALSE)</f>
        <v>432</v>
      </c>
      <c r="Q752" s="6">
        <f>OrganizedData[[#This Row],[Total Items Ordered]]*VLOOKUP(OrganizedData[[#This Row],[Product Code]],ProductData[],3,FALSE)</f>
        <v>557.28</v>
      </c>
      <c r="R7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753" spans="1:18" x14ac:dyDescent="0.3">
      <c r="A753" s="2">
        <v>746</v>
      </c>
      <c r="B753" s="2" t="s">
        <v>2642</v>
      </c>
      <c r="C753" s="2" t="s">
        <v>2643</v>
      </c>
      <c r="D753" s="2" t="s">
        <v>15</v>
      </c>
      <c r="E753" s="2" t="s">
        <v>16</v>
      </c>
      <c r="F753" s="2">
        <v>30</v>
      </c>
      <c r="G753" s="2" t="s">
        <v>2644</v>
      </c>
      <c r="H753" s="2" t="s">
        <v>2645</v>
      </c>
      <c r="I753" s="2" t="s">
        <v>32</v>
      </c>
      <c r="J753" s="3">
        <v>44410</v>
      </c>
      <c r="K753" s="5">
        <f>YEAR(OrganizedData[[#This Row],[Order Date]])</f>
        <v>2021</v>
      </c>
      <c r="L753" s="7" t="str">
        <f>TEXT(OrganizedData[[#This Row],[Order Date]],"mmm")</f>
        <v>Aug</v>
      </c>
      <c r="M753" s="2">
        <v>71</v>
      </c>
      <c r="N753" s="2" t="s">
        <v>64</v>
      </c>
      <c r="O753" s="2" t="str">
        <f>VLOOKUP(OrganizedData[[#This Row],[Product Code]],ProductData[[Code]:[Item]],2,FALSE)</f>
        <v>Ultrathing V4</v>
      </c>
      <c r="P753" s="4">
        <f>OrganizedData[[#This Row],[Quantity]]*VLOOKUP(OrganizedData[[#This Row],[Product Code]],ProductData[],4,FALSE)</f>
        <v>1704</v>
      </c>
      <c r="Q753" s="6">
        <f>OrganizedData[[#This Row],[Total Items Ordered]]*VLOOKUP(OrganizedData[[#This Row],[Product Code]],ProductData[],3,FALSE)</f>
        <v>6798.96</v>
      </c>
      <c r="R7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754" spans="1:18" x14ac:dyDescent="0.3">
      <c r="A754" s="2">
        <v>747</v>
      </c>
      <c r="B754" s="2" t="s">
        <v>2646</v>
      </c>
      <c r="C754" s="2" t="s">
        <v>2647</v>
      </c>
      <c r="D754" s="2" t="s">
        <v>51</v>
      </c>
      <c r="E754" s="2" t="s">
        <v>16</v>
      </c>
      <c r="F754" s="2">
        <v>60</v>
      </c>
      <c r="G754" s="2" t="s">
        <v>2648</v>
      </c>
      <c r="H754" s="2" t="s">
        <v>2649</v>
      </c>
      <c r="I754" s="2" t="s">
        <v>32</v>
      </c>
      <c r="J754" s="3">
        <v>44591</v>
      </c>
      <c r="K754" s="5">
        <f>YEAR(OrganizedData[[#This Row],[Order Date]])</f>
        <v>2022</v>
      </c>
      <c r="L754" s="7" t="str">
        <f>TEXT(OrganizedData[[#This Row],[Order Date]],"mmm")</f>
        <v>Jan</v>
      </c>
      <c r="M754" s="2">
        <v>85</v>
      </c>
      <c r="N754" s="2" t="s">
        <v>33</v>
      </c>
      <c r="O754" s="2" t="str">
        <f>VLOOKUP(OrganizedData[[#This Row],[Product Code]],ProductData[[Code]:[Item]],2,FALSE)</f>
        <v>Megawidget L</v>
      </c>
      <c r="P754" s="4">
        <f>OrganizedData[[#This Row],[Quantity]]*VLOOKUP(OrganizedData[[#This Row],[Product Code]],ProductData[],4,FALSE)</f>
        <v>2040</v>
      </c>
      <c r="Q754" s="6">
        <f>OrganizedData[[#This Row],[Total Items Ordered]]*VLOOKUP(OrganizedData[[#This Row],[Product Code]],ProductData[],3,FALSE)</f>
        <v>3651.6</v>
      </c>
      <c r="R7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3469.0199999999995</v>
      </c>
    </row>
    <row r="755" spans="1:18" x14ac:dyDescent="0.3">
      <c r="A755" s="2">
        <v>748</v>
      </c>
      <c r="B755" s="2" t="s">
        <v>2326</v>
      </c>
      <c r="C755" s="2" t="s">
        <v>2650</v>
      </c>
      <c r="D755" s="2" t="s">
        <v>92</v>
      </c>
      <c r="E755" s="2" t="s">
        <v>16</v>
      </c>
      <c r="F755" s="2">
        <v>90</v>
      </c>
      <c r="G755" s="2" t="s">
        <v>2651</v>
      </c>
      <c r="H755" s="2" t="s">
        <v>275</v>
      </c>
      <c r="I755" s="2" t="s">
        <v>32</v>
      </c>
      <c r="J755" s="3">
        <v>44696</v>
      </c>
      <c r="K755" s="5">
        <f>YEAR(OrganizedData[[#This Row],[Order Date]])</f>
        <v>2022</v>
      </c>
      <c r="L755" s="7" t="str">
        <f>TEXT(OrganizedData[[#This Row],[Order Date]],"mmm")</f>
        <v>May</v>
      </c>
      <c r="M755" s="2">
        <v>66</v>
      </c>
      <c r="N755" s="2" t="s">
        <v>101</v>
      </c>
      <c r="O755" s="2" t="str">
        <f>VLOOKUP(OrganizedData[[#This Row],[Product Code]],ProductData[[Code]:[Item]],2,FALSE)</f>
        <v>Superwossname</v>
      </c>
      <c r="P755" s="4">
        <f>OrganizedData[[#This Row],[Quantity]]*VLOOKUP(OrganizedData[[#This Row],[Product Code]],ProductData[],4,FALSE)</f>
        <v>1320</v>
      </c>
      <c r="Q755" s="6">
        <f>OrganizedData[[#This Row],[Total Items Ordered]]*VLOOKUP(OrganizedData[[#This Row],[Product Code]],ProductData[],3,FALSE)</f>
        <v>4606.8</v>
      </c>
      <c r="R7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756" spans="1:18" x14ac:dyDescent="0.3">
      <c r="A756" s="2">
        <v>749</v>
      </c>
      <c r="B756" s="2" t="s">
        <v>2652</v>
      </c>
      <c r="C756" s="2" t="s">
        <v>2653</v>
      </c>
      <c r="D756" s="2" t="s">
        <v>28</v>
      </c>
      <c r="E756" s="2" t="s">
        <v>29</v>
      </c>
      <c r="F756" s="2">
        <v>60</v>
      </c>
      <c r="G756" s="2" t="s">
        <v>2654</v>
      </c>
      <c r="H756" s="2" t="s">
        <v>2655</v>
      </c>
      <c r="I756" s="2" t="s">
        <v>1083</v>
      </c>
      <c r="J756" s="3">
        <v>43940</v>
      </c>
      <c r="K756" s="5">
        <f>YEAR(OrganizedData[[#This Row],[Order Date]])</f>
        <v>2020</v>
      </c>
      <c r="L756" s="7" t="str">
        <f>TEXT(OrganizedData[[#This Row],[Order Date]],"mmm")</f>
        <v>Apr</v>
      </c>
      <c r="M756" s="2">
        <v>15</v>
      </c>
      <c r="N756" s="2" t="s">
        <v>54</v>
      </c>
      <c r="O756" s="2" t="str">
        <f>VLOOKUP(OrganizedData[[#This Row],[Product Code]],ProductData[[Code]:[Item]],2,FALSE)</f>
        <v>Megawidget S</v>
      </c>
      <c r="P756" s="4">
        <f>OrganizedData[[#This Row],[Quantity]]*VLOOKUP(OrganizedData[[#This Row],[Product Code]],ProductData[],4,FALSE)</f>
        <v>360</v>
      </c>
      <c r="Q756" s="6">
        <f>OrganizedData[[#This Row],[Total Items Ordered]]*VLOOKUP(OrganizedData[[#This Row],[Product Code]],ProductData[],3,FALSE)</f>
        <v>248.39999999999998</v>
      </c>
      <c r="R7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757" spans="1:18" x14ac:dyDescent="0.3">
      <c r="A757" s="2">
        <v>750</v>
      </c>
      <c r="B757" s="2" t="s">
        <v>2656</v>
      </c>
      <c r="C757" s="2" t="s">
        <v>2207</v>
      </c>
      <c r="D757" s="2" t="s">
        <v>15</v>
      </c>
      <c r="E757" s="2" t="s">
        <v>16</v>
      </c>
      <c r="F757" s="2">
        <v>90</v>
      </c>
      <c r="G757" s="2" t="s">
        <v>2657</v>
      </c>
      <c r="H757" s="2" t="s">
        <v>2658</v>
      </c>
      <c r="I757" s="2" t="s">
        <v>173</v>
      </c>
      <c r="J757" s="3">
        <v>44839</v>
      </c>
      <c r="K757" s="5">
        <f>YEAR(OrganizedData[[#This Row],[Order Date]])</f>
        <v>2022</v>
      </c>
      <c r="L757" s="7" t="str">
        <f>TEXT(OrganizedData[[#This Row],[Order Date]],"mmm")</f>
        <v>Oct</v>
      </c>
      <c r="M757" s="2">
        <v>57</v>
      </c>
      <c r="N757" s="2" t="s">
        <v>20</v>
      </c>
      <c r="O757" s="2" t="str">
        <f>VLOOKUP(OrganizedData[[#This Row],[Product Code]],ProductData[[Code]:[Item]],2,FALSE)</f>
        <v>Hyperwotsit</v>
      </c>
      <c r="P757" s="4">
        <f>OrganizedData[[#This Row],[Quantity]]*VLOOKUP(OrganizedData[[#This Row],[Product Code]],ProductData[],4,FALSE)</f>
        <v>1140</v>
      </c>
      <c r="Q757" s="6">
        <f>OrganizedData[[#This Row],[Total Items Ordered]]*VLOOKUP(OrganizedData[[#This Row],[Product Code]],ProductData[],3,FALSE)</f>
        <v>2291.3999999999996</v>
      </c>
      <c r="R7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2176.8299999999995</v>
      </c>
    </row>
    <row r="758" spans="1:18" x14ac:dyDescent="0.3">
      <c r="A758" s="2">
        <v>751</v>
      </c>
      <c r="B758" s="2" t="s">
        <v>2659</v>
      </c>
      <c r="C758" s="2" t="s">
        <v>2269</v>
      </c>
      <c r="D758" s="2" t="s">
        <v>51</v>
      </c>
      <c r="E758" s="2" t="s">
        <v>16</v>
      </c>
      <c r="F758" s="2">
        <v>30</v>
      </c>
      <c r="G758" s="2" t="s">
        <v>2660</v>
      </c>
      <c r="H758" s="2" t="s">
        <v>2661</v>
      </c>
      <c r="I758" s="2" t="s">
        <v>187</v>
      </c>
      <c r="J758" s="3">
        <v>44064</v>
      </c>
      <c r="K758" s="5">
        <f>YEAR(OrganizedData[[#This Row],[Order Date]])</f>
        <v>2020</v>
      </c>
      <c r="L758" s="7" t="str">
        <f>TEXT(OrganizedData[[#This Row],[Order Date]],"mmm")</f>
        <v>Aug</v>
      </c>
      <c r="M758" s="2">
        <v>46</v>
      </c>
      <c r="N758" s="2" t="s">
        <v>54</v>
      </c>
      <c r="O758" s="2" t="str">
        <f>VLOOKUP(OrganizedData[[#This Row],[Product Code]],ProductData[[Code]:[Item]],2,FALSE)</f>
        <v>Megawidget S</v>
      </c>
      <c r="P758" s="4">
        <f>OrganizedData[[#This Row],[Quantity]]*VLOOKUP(OrganizedData[[#This Row],[Product Code]],ProductData[],4,FALSE)</f>
        <v>1104</v>
      </c>
      <c r="Q758" s="6">
        <f>OrganizedData[[#This Row],[Total Items Ordered]]*VLOOKUP(OrganizedData[[#This Row],[Product Code]],ProductData[],3,FALSE)</f>
        <v>761.76</v>
      </c>
      <c r="R7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759" spans="1:18" x14ac:dyDescent="0.3">
      <c r="A759" s="2">
        <v>752</v>
      </c>
      <c r="B759" s="2" t="s">
        <v>624</v>
      </c>
      <c r="C759" s="2" t="s">
        <v>593</v>
      </c>
      <c r="D759" s="2" t="s">
        <v>28</v>
      </c>
      <c r="E759" s="2" t="s">
        <v>29</v>
      </c>
      <c r="F759" s="2">
        <v>30</v>
      </c>
      <c r="G759" s="2" t="s">
        <v>2662</v>
      </c>
      <c r="H759" s="2" t="s">
        <v>534</v>
      </c>
      <c r="I759" s="2" t="s">
        <v>32</v>
      </c>
      <c r="J759" s="3">
        <v>44075</v>
      </c>
      <c r="K759" s="5">
        <f>YEAR(OrganizedData[[#This Row],[Order Date]])</f>
        <v>2020</v>
      </c>
      <c r="L759" s="7" t="str">
        <f>TEXT(OrganizedData[[#This Row],[Order Date]],"mmm")</f>
        <v>Sep</v>
      </c>
      <c r="M759" s="2">
        <v>22</v>
      </c>
      <c r="N759" s="2" t="s">
        <v>33</v>
      </c>
      <c r="O759" s="2" t="str">
        <f>VLOOKUP(OrganizedData[[#This Row],[Product Code]],ProductData[[Code]:[Item]],2,FALSE)</f>
        <v>Megawidget L</v>
      </c>
      <c r="P759" s="4">
        <f>OrganizedData[[#This Row],[Quantity]]*VLOOKUP(OrganizedData[[#This Row],[Product Code]],ProductData[],4,FALSE)</f>
        <v>528</v>
      </c>
      <c r="Q759" s="6">
        <f>OrganizedData[[#This Row],[Total Items Ordered]]*VLOOKUP(OrganizedData[[#This Row],[Product Code]],ProductData[],3,FALSE)</f>
        <v>945.12</v>
      </c>
      <c r="R7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760" spans="1:18" x14ac:dyDescent="0.3">
      <c r="A760" s="2">
        <v>753</v>
      </c>
      <c r="B760" s="2" t="s">
        <v>2491</v>
      </c>
      <c r="C760" s="2" t="s">
        <v>2663</v>
      </c>
      <c r="D760" s="2" t="s">
        <v>28</v>
      </c>
      <c r="E760" s="2" t="s">
        <v>29</v>
      </c>
      <c r="F760" s="2">
        <v>90</v>
      </c>
      <c r="G760" s="2" t="s">
        <v>2662</v>
      </c>
      <c r="H760" s="2" t="s">
        <v>2664</v>
      </c>
      <c r="I760" s="2" t="s">
        <v>32</v>
      </c>
      <c r="J760" s="3">
        <v>44643</v>
      </c>
      <c r="K760" s="5">
        <f>YEAR(OrganizedData[[#This Row],[Order Date]])</f>
        <v>2022</v>
      </c>
      <c r="L760" s="7" t="str">
        <f>TEXT(OrganizedData[[#This Row],[Order Date]],"mmm")</f>
        <v>Mar</v>
      </c>
      <c r="M760" s="2">
        <v>50</v>
      </c>
      <c r="N760" s="2" t="s">
        <v>54</v>
      </c>
      <c r="O760" s="2" t="str">
        <f>VLOOKUP(OrganizedData[[#This Row],[Product Code]],ProductData[[Code]:[Item]],2,FALSE)</f>
        <v>Megawidget S</v>
      </c>
      <c r="P760" s="4">
        <f>OrganizedData[[#This Row],[Quantity]]*VLOOKUP(OrganizedData[[#This Row],[Product Code]],ProductData[],4,FALSE)</f>
        <v>1200</v>
      </c>
      <c r="Q760" s="6">
        <f>OrganizedData[[#This Row],[Total Items Ordered]]*VLOOKUP(OrganizedData[[#This Row],[Product Code]],ProductData[],3,FALSE)</f>
        <v>827.99999999999989</v>
      </c>
      <c r="R7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761" spans="1:18" x14ac:dyDescent="0.3">
      <c r="A761" s="2">
        <v>754</v>
      </c>
      <c r="B761" s="2" t="s">
        <v>2665</v>
      </c>
      <c r="C761" s="2" t="s">
        <v>2246</v>
      </c>
      <c r="D761" s="2" t="s">
        <v>28</v>
      </c>
      <c r="E761" s="2" t="s">
        <v>29</v>
      </c>
      <c r="F761" s="2">
        <v>90</v>
      </c>
      <c r="G761" s="2" t="s">
        <v>2666</v>
      </c>
      <c r="H761" s="2" t="s">
        <v>2667</v>
      </c>
      <c r="I761" s="2" t="s">
        <v>187</v>
      </c>
      <c r="J761" s="3">
        <v>44107</v>
      </c>
      <c r="K761" s="5">
        <f>YEAR(OrganizedData[[#This Row],[Order Date]])</f>
        <v>2020</v>
      </c>
      <c r="L761" s="7" t="str">
        <f>TEXT(OrganizedData[[#This Row],[Order Date]],"mmm")</f>
        <v>Oct</v>
      </c>
      <c r="M761" s="2">
        <v>53</v>
      </c>
      <c r="N761" s="2" t="s">
        <v>64</v>
      </c>
      <c r="O761" s="2" t="str">
        <f>VLOOKUP(OrganizedData[[#This Row],[Product Code]],ProductData[[Code]:[Item]],2,FALSE)</f>
        <v>Ultrathing V4</v>
      </c>
      <c r="P761" s="4">
        <f>OrganizedData[[#This Row],[Quantity]]*VLOOKUP(OrganizedData[[#This Row],[Product Code]],ProductData[],4,FALSE)</f>
        <v>1272</v>
      </c>
      <c r="Q761" s="6">
        <f>OrganizedData[[#This Row],[Total Items Ordered]]*VLOOKUP(OrganizedData[[#This Row],[Product Code]],ProductData[],3,FALSE)</f>
        <v>5075.2800000000007</v>
      </c>
      <c r="R7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4821.5160000000005</v>
      </c>
    </row>
    <row r="762" spans="1:18" x14ac:dyDescent="0.3">
      <c r="A762" s="2">
        <v>755</v>
      </c>
      <c r="B762" s="2" t="s">
        <v>2668</v>
      </c>
      <c r="C762" s="2" t="s">
        <v>2669</v>
      </c>
      <c r="D762" s="2" t="s">
        <v>15</v>
      </c>
      <c r="E762" s="2" t="s">
        <v>16</v>
      </c>
      <c r="F762" s="2">
        <v>90</v>
      </c>
      <c r="G762" s="2" t="s">
        <v>2670</v>
      </c>
      <c r="H762" s="2" t="s">
        <v>2671</v>
      </c>
      <c r="I762" s="2" t="s">
        <v>1157</v>
      </c>
      <c r="J762" s="3">
        <v>44396</v>
      </c>
      <c r="K762" s="5">
        <f>YEAR(OrganizedData[[#This Row],[Order Date]])</f>
        <v>2021</v>
      </c>
      <c r="L762" s="7" t="str">
        <f>TEXT(OrganizedData[[#This Row],[Order Date]],"mmm")</f>
        <v>Jul</v>
      </c>
      <c r="M762" s="2">
        <v>61</v>
      </c>
      <c r="N762" s="2" t="s">
        <v>45</v>
      </c>
      <c r="O762" s="2" t="str">
        <f>VLOOKUP(OrganizedData[[#This Row],[Product Code]],ProductData[[Code]:[Item]],2,FALSE)</f>
        <v>Gigastuff</v>
      </c>
      <c r="P762" s="4">
        <f>OrganizedData[[#This Row],[Quantity]]*VLOOKUP(OrganizedData[[#This Row],[Product Code]],ProductData[],4,FALSE)</f>
        <v>1098</v>
      </c>
      <c r="Q762" s="6">
        <f>OrganizedData[[#This Row],[Total Items Ordered]]*VLOOKUP(OrganizedData[[#This Row],[Product Code]],ProductData[],3,FALSE)</f>
        <v>2075.2199999999998</v>
      </c>
      <c r="R7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1971.4589999999996</v>
      </c>
    </row>
    <row r="763" spans="1:18" x14ac:dyDescent="0.3">
      <c r="A763" s="2">
        <v>756</v>
      </c>
      <c r="B763" s="2" t="s">
        <v>511</v>
      </c>
      <c r="C763" s="2" t="s">
        <v>2223</v>
      </c>
      <c r="D763" s="2" t="s">
        <v>51</v>
      </c>
      <c r="E763" s="2" t="s">
        <v>16</v>
      </c>
      <c r="F763" s="2">
        <v>90</v>
      </c>
      <c r="G763" s="2" t="s">
        <v>10475</v>
      </c>
      <c r="H763" s="2" t="s">
        <v>2673</v>
      </c>
      <c r="I763" s="2" t="s">
        <v>19</v>
      </c>
      <c r="J763" s="3">
        <v>44778</v>
      </c>
      <c r="K763" s="5">
        <f>YEAR(OrganizedData[[#This Row],[Order Date]])</f>
        <v>2022</v>
      </c>
      <c r="L763" s="7" t="str">
        <f>TEXT(OrganizedData[[#This Row],[Order Date]],"mmm")</f>
        <v>Aug</v>
      </c>
      <c r="M763" s="2">
        <v>54</v>
      </c>
      <c r="N763" s="2" t="s">
        <v>159</v>
      </c>
      <c r="O763" s="2" t="str">
        <f>VLOOKUP(OrganizedData[[#This Row],[Product Code]],ProductData[[Code]:[Item]],2,FALSE)</f>
        <v>Ultrathing V3</v>
      </c>
      <c r="P763" s="4">
        <f>OrganizedData[[#This Row],[Quantity]]*VLOOKUP(OrganizedData[[#This Row],[Product Code]],ProductData[],4,FALSE)</f>
        <v>1296</v>
      </c>
      <c r="Q763" s="6">
        <f>OrganizedData[[#This Row],[Total Items Ordered]]*VLOOKUP(OrganizedData[[#This Row],[Product Code]],ProductData[],3,FALSE)</f>
        <v>4393.4400000000005</v>
      </c>
      <c r="R7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4173.768</v>
      </c>
    </row>
    <row r="764" spans="1:18" x14ac:dyDescent="0.3">
      <c r="A764" s="2">
        <v>757</v>
      </c>
      <c r="B764" s="2" t="s">
        <v>2674</v>
      </c>
      <c r="C764" s="2" t="s">
        <v>995</v>
      </c>
      <c r="D764" s="2" t="s">
        <v>15</v>
      </c>
      <c r="E764" s="2" t="s">
        <v>16</v>
      </c>
      <c r="F764" s="2">
        <v>60</v>
      </c>
      <c r="G764" s="2" t="s">
        <v>2675</v>
      </c>
      <c r="H764" s="2" t="s">
        <v>2676</v>
      </c>
      <c r="I764" s="2" t="s">
        <v>32</v>
      </c>
      <c r="J764" s="3">
        <v>44458</v>
      </c>
      <c r="K764" s="5">
        <f>YEAR(OrganizedData[[#This Row],[Order Date]])</f>
        <v>2021</v>
      </c>
      <c r="L764" s="7" t="str">
        <f>TEXT(OrganizedData[[#This Row],[Order Date]],"mmm")</f>
        <v>Sep</v>
      </c>
      <c r="M764" s="2">
        <v>3</v>
      </c>
      <c r="N764" s="2" t="s">
        <v>45</v>
      </c>
      <c r="O764" s="2" t="str">
        <f>VLOOKUP(OrganizedData[[#This Row],[Product Code]],ProductData[[Code]:[Item]],2,FALSE)</f>
        <v>Gigastuff</v>
      </c>
      <c r="P764" s="4">
        <f>OrganizedData[[#This Row],[Quantity]]*VLOOKUP(OrganizedData[[#This Row],[Product Code]],ProductData[],4,FALSE)</f>
        <v>54</v>
      </c>
      <c r="Q764" s="6">
        <f>OrganizedData[[#This Row],[Total Items Ordered]]*VLOOKUP(OrganizedData[[#This Row],[Product Code]],ProductData[],3,FALSE)</f>
        <v>102.05999999999999</v>
      </c>
      <c r="R7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765" spans="1:18" x14ac:dyDescent="0.3">
      <c r="A765" s="2">
        <v>758</v>
      </c>
      <c r="B765" s="2" t="s">
        <v>1239</v>
      </c>
      <c r="C765" s="2" t="s">
        <v>2677</v>
      </c>
      <c r="D765" s="2" t="s">
        <v>28</v>
      </c>
      <c r="E765" s="2" t="s">
        <v>29</v>
      </c>
      <c r="F765" s="2">
        <v>90</v>
      </c>
      <c r="G765" s="2" t="s">
        <v>2675</v>
      </c>
      <c r="H765" s="2" t="s">
        <v>2678</v>
      </c>
      <c r="I765" s="2" t="s">
        <v>32</v>
      </c>
      <c r="J765" s="3">
        <v>44014</v>
      </c>
      <c r="K765" s="5">
        <f>YEAR(OrganizedData[[#This Row],[Order Date]])</f>
        <v>2020</v>
      </c>
      <c r="L765" s="7" t="str">
        <f>TEXT(OrganizedData[[#This Row],[Order Date]],"mmm")</f>
        <v>Jul</v>
      </c>
      <c r="M765" s="2">
        <v>35</v>
      </c>
      <c r="N765" s="2" t="s">
        <v>54</v>
      </c>
      <c r="O765" s="2" t="str">
        <f>VLOOKUP(OrganizedData[[#This Row],[Product Code]],ProductData[[Code]:[Item]],2,FALSE)</f>
        <v>Megawidget S</v>
      </c>
      <c r="P765" s="4">
        <f>OrganizedData[[#This Row],[Quantity]]*VLOOKUP(OrganizedData[[#This Row],[Product Code]],ProductData[],4,FALSE)</f>
        <v>840</v>
      </c>
      <c r="Q765" s="6">
        <f>OrganizedData[[#This Row],[Total Items Ordered]]*VLOOKUP(OrganizedData[[#This Row],[Product Code]],ProductData[],3,FALSE)</f>
        <v>579.59999999999991</v>
      </c>
      <c r="R7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766" spans="1:18" x14ac:dyDescent="0.3">
      <c r="A766" s="2">
        <v>759</v>
      </c>
      <c r="B766" s="2" t="s">
        <v>2679</v>
      </c>
      <c r="C766" s="2" t="s">
        <v>464</v>
      </c>
      <c r="D766" s="2" t="s">
        <v>28</v>
      </c>
      <c r="E766" s="2" t="s">
        <v>29</v>
      </c>
      <c r="F766" s="2">
        <v>90</v>
      </c>
      <c r="G766" s="2" t="s">
        <v>2680</v>
      </c>
      <c r="H766" s="2" t="s">
        <v>2681</v>
      </c>
      <c r="I766" s="2" t="s">
        <v>686</v>
      </c>
      <c r="J766" s="3">
        <v>44607</v>
      </c>
      <c r="K766" s="5">
        <f>YEAR(OrganizedData[[#This Row],[Order Date]])</f>
        <v>2022</v>
      </c>
      <c r="L766" s="7" t="str">
        <f>TEXT(OrganizedData[[#This Row],[Order Date]],"mmm")</f>
        <v>Feb</v>
      </c>
      <c r="M766" s="2">
        <v>11</v>
      </c>
      <c r="N766" s="2" t="s">
        <v>64</v>
      </c>
      <c r="O766" s="2" t="str">
        <f>VLOOKUP(OrganizedData[[#This Row],[Product Code]],ProductData[[Code]:[Item]],2,FALSE)</f>
        <v>Ultrathing V4</v>
      </c>
      <c r="P766" s="4">
        <f>OrganizedData[[#This Row],[Quantity]]*VLOOKUP(OrganizedData[[#This Row],[Product Code]],ProductData[],4,FALSE)</f>
        <v>264</v>
      </c>
      <c r="Q766" s="6">
        <f>OrganizedData[[#This Row],[Total Items Ordered]]*VLOOKUP(OrganizedData[[#This Row],[Product Code]],ProductData[],3,FALSE)</f>
        <v>1053.3600000000001</v>
      </c>
      <c r="R7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1053.3600000000001</v>
      </c>
    </row>
    <row r="767" spans="1:18" x14ac:dyDescent="0.3">
      <c r="A767" s="2">
        <v>760</v>
      </c>
      <c r="B767" s="2" t="s">
        <v>2682</v>
      </c>
      <c r="C767" s="2" t="s">
        <v>2683</v>
      </c>
      <c r="D767" s="2" t="s">
        <v>28</v>
      </c>
      <c r="E767" s="2" t="s">
        <v>29</v>
      </c>
      <c r="F767" s="2">
        <v>30</v>
      </c>
      <c r="G767" s="2" t="s">
        <v>2684</v>
      </c>
      <c r="H767" s="2" t="s">
        <v>2685</v>
      </c>
      <c r="I767" s="2" t="s">
        <v>32</v>
      </c>
      <c r="J767" s="3">
        <v>44826</v>
      </c>
      <c r="K767" s="5">
        <f>YEAR(OrganizedData[[#This Row],[Order Date]])</f>
        <v>2022</v>
      </c>
      <c r="L767" s="7" t="str">
        <f>TEXT(OrganizedData[[#This Row],[Order Date]],"mmm")</f>
        <v>Sep</v>
      </c>
      <c r="M767" s="2">
        <v>93</v>
      </c>
      <c r="N767" s="2" t="s">
        <v>45</v>
      </c>
      <c r="O767" s="2" t="str">
        <f>VLOOKUP(OrganizedData[[#This Row],[Product Code]],ProductData[[Code]:[Item]],2,FALSE)</f>
        <v>Gigastuff</v>
      </c>
      <c r="P767" s="4">
        <f>OrganizedData[[#This Row],[Quantity]]*VLOOKUP(OrganizedData[[#This Row],[Product Code]],ProductData[],4,FALSE)</f>
        <v>1674</v>
      </c>
      <c r="Q767" s="6">
        <f>OrganizedData[[#This Row],[Total Items Ordered]]*VLOOKUP(OrganizedData[[#This Row],[Product Code]],ProductData[],3,FALSE)</f>
        <v>3163.8599999999997</v>
      </c>
      <c r="R7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3005.6669999999995</v>
      </c>
    </row>
    <row r="768" spans="1:18" x14ac:dyDescent="0.3">
      <c r="A768" s="2">
        <v>761</v>
      </c>
      <c r="B768" s="2" t="s">
        <v>891</v>
      </c>
      <c r="C768" s="2" t="s">
        <v>2686</v>
      </c>
      <c r="D768" s="2" t="s">
        <v>28</v>
      </c>
      <c r="E768" s="2" t="s">
        <v>29</v>
      </c>
      <c r="F768" s="2">
        <v>90</v>
      </c>
      <c r="G768" s="2" t="s">
        <v>2687</v>
      </c>
      <c r="H768" s="2" t="s">
        <v>2688</v>
      </c>
      <c r="I768" s="2" t="s">
        <v>1199</v>
      </c>
      <c r="J768" s="3">
        <v>43934</v>
      </c>
      <c r="K768" s="5">
        <f>YEAR(OrganizedData[[#This Row],[Order Date]])</f>
        <v>2020</v>
      </c>
      <c r="L768" s="7" t="str">
        <f>TEXT(OrganizedData[[#This Row],[Order Date]],"mmm")</f>
        <v>Apr</v>
      </c>
      <c r="M768" s="2">
        <v>16</v>
      </c>
      <c r="N768" s="2" t="s">
        <v>70</v>
      </c>
      <c r="O768" s="2" t="str">
        <f>VLOOKUP(OrganizedData[[#This Row],[Product Code]],ProductData[[Code]:[Item]],2,FALSE)</f>
        <v>Megawidget M</v>
      </c>
      <c r="P768" s="4">
        <f>OrganizedData[[#This Row],[Quantity]]*VLOOKUP(OrganizedData[[#This Row],[Product Code]],ProductData[],4,FALSE)</f>
        <v>384</v>
      </c>
      <c r="Q768" s="6">
        <f>OrganizedData[[#This Row],[Total Items Ordered]]*VLOOKUP(OrganizedData[[#This Row],[Product Code]],ProductData[],3,FALSE)</f>
        <v>495.36</v>
      </c>
      <c r="R7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495.36</v>
      </c>
    </row>
    <row r="769" spans="1:18" x14ac:dyDescent="0.3">
      <c r="A769" s="2">
        <v>762</v>
      </c>
      <c r="B769" s="2" t="s">
        <v>2689</v>
      </c>
      <c r="C769" s="2" t="s">
        <v>2690</v>
      </c>
      <c r="D769" s="2" t="s">
        <v>51</v>
      </c>
      <c r="E769" s="2" t="s">
        <v>16</v>
      </c>
      <c r="F769" s="2">
        <v>60</v>
      </c>
      <c r="G769" s="2" t="s">
        <v>2691</v>
      </c>
      <c r="H769" s="2" t="s">
        <v>1347</v>
      </c>
      <c r="I769" s="2" t="s">
        <v>32</v>
      </c>
      <c r="J769" s="3">
        <v>43940</v>
      </c>
      <c r="K769" s="5">
        <f>YEAR(OrganizedData[[#This Row],[Order Date]])</f>
        <v>2020</v>
      </c>
      <c r="L769" s="7" t="str">
        <f>TEXT(OrganizedData[[#This Row],[Order Date]],"mmm")</f>
        <v>Apr</v>
      </c>
      <c r="M769" s="2">
        <v>8</v>
      </c>
      <c r="N769" s="2" t="s">
        <v>64</v>
      </c>
      <c r="O769" s="2" t="str">
        <f>VLOOKUP(OrganizedData[[#This Row],[Product Code]],ProductData[[Code]:[Item]],2,FALSE)</f>
        <v>Ultrathing V4</v>
      </c>
      <c r="P769" s="4">
        <f>OrganizedData[[#This Row],[Quantity]]*VLOOKUP(OrganizedData[[#This Row],[Product Code]],ProductData[],4,FALSE)</f>
        <v>192</v>
      </c>
      <c r="Q769" s="6">
        <f>OrganizedData[[#This Row],[Total Items Ordered]]*VLOOKUP(OrganizedData[[#This Row],[Product Code]],ProductData[],3,FALSE)</f>
        <v>766.08</v>
      </c>
      <c r="R7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770" spans="1:18" x14ac:dyDescent="0.3">
      <c r="A770" s="2">
        <v>763</v>
      </c>
      <c r="B770" s="2" t="s">
        <v>600</v>
      </c>
      <c r="C770" s="2" t="s">
        <v>2692</v>
      </c>
      <c r="D770" s="2" t="s">
        <v>15</v>
      </c>
      <c r="E770" s="2" t="s">
        <v>16</v>
      </c>
      <c r="F770" s="2">
        <v>30</v>
      </c>
      <c r="G770" s="2" t="s">
        <v>2693</v>
      </c>
      <c r="H770" s="2" t="s">
        <v>1819</v>
      </c>
      <c r="I770" s="2" t="s">
        <v>89</v>
      </c>
      <c r="J770" s="3">
        <v>44175</v>
      </c>
      <c r="K770" s="5">
        <f>YEAR(OrganizedData[[#This Row],[Order Date]])</f>
        <v>2020</v>
      </c>
      <c r="L770" s="7" t="str">
        <f>TEXT(OrganizedData[[#This Row],[Order Date]],"mmm")</f>
        <v>Dec</v>
      </c>
      <c r="M770" s="2">
        <v>17</v>
      </c>
      <c r="N770" s="2" t="s">
        <v>70</v>
      </c>
      <c r="O770" s="2" t="str">
        <f>VLOOKUP(OrganizedData[[#This Row],[Product Code]],ProductData[[Code]:[Item]],2,FALSE)</f>
        <v>Megawidget M</v>
      </c>
      <c r="P770" s="4">
        <f>OrganizedData[[#This Row],[Quantity]]*VLOOKUP(OrganizedData[[#This Row],[Product Code]],ProductData[],4,FALSE)</f>
        <v>408</v>
      </c>
      <c r="Q770" s="6">
        <f>OrganizedData[[#This Row],[Total Items Ordered]]*VLOOKUP(OrganizedData[[#This Row],[Product Code]],ProductData[],3,FALSE)</f>
        <v>526.32000000000005</v>
      </c>
      <c r="R7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526.32000000000005</v>
      </c>
    </row>
    <row r="771" spans="1:18" x14ac:dyDescent="0.3">
      <c r="A771" s="2">
        <v>764</v>
      </c>
      <c r="B771" s="2" t="s">
        <v>2694</v>
      </c>
      <c r="C771" s="2" t="s">
        <v>2695</v>
      </c>
      <c r="D771" s="2" t="s">
        <v>15</v>
      </c>
      <c r="E771" s="2" t="s">
        <v>16</v>
      </c>
      <c r="F771" s="2">
        <v>30</v>
      </c>
      <c r="G771" s="2" t="s">
        <v>2693</v>
      </c>
      <c r="H771" s="2" t="s">
        <v>2696</v>
      </c>
      <c r="I771" s="2" t="s">
        <v>95</v>
      </c>
      <c r="J771" s="3">
        <v>44841</v>
      </c>
      <c r="K771" s="5">
        <f>YEAR(OrganizedData[[#This Row],[Order Date]])</f>
        <v>2022</v>
      </c>
      <c r="L771" s="7" t="str">
        <f>TEXT(OrganizedData[[#This Row],[Order Date]],"mmm")</f>
        <v>Oct</v>
      </c>
      <c r="M771" s="2">
        <v>81</v>
      </c>
      <c r="N771" s="2" t="s">
        <v>80</v>
      </c>
      <c r="O771" s="2" t="str">
        <f>VLOOKUP(OrganizedData[[#This Row],[Product Code]],ProductData[[Code]:[Item]],2,FALSE)</f>
        <v>Ultrathing V2</v>
      </c>
      <c r="P771" s="4">
        <f>OrganizedData[[#This Row],[Quantity]]*VLOOKUP(OrganizedData[[#This Row],[Product Code]],ProductData[],4,FALSE)</f>
        <v>1620</v>
      </c>
      <c r="Q771" s="6">
        <f>OrganizedData[[#This Row],[Total Items Ordered]]*VLOOKUP(OrganizedData[[#This Row],[Product Code]],ProductData[],3,FALSE)</f>
        <v>4779</v>
      </c>
      <c r="R7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4540.05</v>
      </c>
    </row>
    <row r="772" spans="1:18" x14ac:dyDescent="0.3">
      <c r="A772" s="2">
        <v>765</v>
      </c>
      <c r="B772" s="2" t="s">
        <v>914</v>
      </c>
      <c r="C772" s="2" t="s">
        <v>2697</v>
      </c>
      <c r="D772" s="2" t="s">
        <v>28</v>
      </c>
      <c r="E772" s="2" t="s">
        <v>29</v>
      </c>
      <c r="F772" s="2">
        <v>90</v>
      </c>
      <c r="G772" s="2" t="s">
        <v>2698</v>
      </c>
      <c r="H772" s="2" t="s">
        <v>1391</v>
      </c>
      <c r="I772" s="2" t="s">
        <v>32</v>
      </c>
      <c r="J772" s="3">
        <v>44343</v>
      </c>
      <c r="K772" s="5">
        <f>YEAR(OrganizedData[[#This Row],[Order Date]])</f>
        <v>2021</v>
      </c>
      <c r="L772" s="7" t="str">
        <f>TEXT(OrganizedData[[#This Row],[Order Date]],"mmm")</f>
        <v>May</v>
      </c>
      <c r="M772" s="2">
        <v>2</v>
      </c>
      <c r="N772" s="2" t="s">
        <v>45</v>
      </c>
      <c r="O772" s="2" t="str">
        <f>VLOOKUP(OrganizedData[[#This Row],[Product Code]],ProductData[[Code]:[Item]],2,FALSE)</f>
        <v>Gigastuff</v>
      </c>
      <c r="P772" s="4">
        <f>OrganizedData[[#This Row],[Quantity]]*VLOOKUP(OrganizedData[[#This Row],[Product Code]],ProductData[],4,FALSE)</f>
        <v>36</v>
      </c>
      <c r="Q772" s="6">
        <f>OrganizedData[[#This Row],[Total Items Ordered]]*VLOOKUP(OrganizedData[[#This Row],[Product Code]],ProductData[],3,FALSE)</f>
        <v>68.039999999999992</v>
      </c>
      <c r="R7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68.039999999999992</v>
      </c>
    </row>
    <row r="773" spans="1:18" x14ac:dyDescent="0.3">
      <c r="A773" s="2">
        <v>766</v>
      </c>
      <c r="B773" s="2" t="s">
        <v>2699</v>
      </c>
      <c r="C773" s="2" t="s">
        <v>795</v>
      </c>
      <c r="D773" s="2" t="s">
        <v>28</v>
      </c>
      <c r="E773" s="2" t="s">
        <v>29</v>
      </c>
      <c r="F773" s="2">
        <v>60</v>
      </c>
      <c r="G773" s="2" t="s">
        <v>2700</v>
      </c>
      <c r="H773" s="2" t="s">
        <v>1629</v>
      </c>
      <c r="I773" s="2" t="s">
        <v>32</v>
      </c>
      <c r="J773" s="3">
        <v>44571</v>
      </c>
      <c r="K773" s="5">
        <f>YEAR(OrganizedData[[#This Row],[Order Date]])</f>
        <v>2022</v>
      </c>
      <c r="L773" s="7" t="str">
        <f>TEXT(OrganizedData[[#This Row],[Order Date]],"mmm")</f>
        <v>Jan</v>
      </c>
      <c r="M773" s="2">
        <v>47</v>
      </c>
      <c r="N773" s="2" t="s">
        <v>80</v>
      </c>
      <c r="O773" s="2" t="str">
        <f>VLOOKUP(OrganizedData[[#This Row],[Product Code]],ProductData[[Code]:[Item]],2,FALSE)</f>
        <v>Ultrathing V2</v>
      </c>
      <c r="P773" s="4">
        <f>OrganizedData[[#This Row],[Quantity]]*VLOOKUP(OrganizedData[[#This Row],[Product Code]],ProductData[],4,FALSE)</f>
        <v>940</v>
      </c>
      <c r="Q773" s="6">
        <f>OrganizedData[[#This Row],[Total Items Ordered]]*VLOOKUP(OrganizedData[[#This Row],[Product Code]],ProductData[],3,FALSE)</f>
        <v>2773</v>
      </c>
      <c r="R7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2689.81</v>
      </c>
    </row>
    <row r="774" spans="1:18" x14ac:dyDescent="0.3">
      <c r="A774" s="2">
        <v>767</v>
      </c>
      <c r="B774" s="2" t="s">
        <v>2701</v>
      </c>
      <c r="C774" s="2" t="s">
        <v>1093</v>
      </c>
      <c r="D774" s="2" t="s">
        <v>28</v>
      </c>
      <c r="E774" s="2" t="s">
        <v>29</v>
      </c>
      <c r="F774" s="2">
        <v>90</v>
      </c>
      <c r="G774" s="2" t="s">
        <v>2702</v>
      </c>
      <c r="H774" s="2" t="s">
        <v>2703</v>
      </c>
      <c r="I774" s="2" t="s">
        <v>32</v>
      </c>
      <c r="J774" s="3">
        <v>43991</v>
      </c>
      <c r="K774" s="5">
        <f>YEAR(OrganizedData[[#This Row],[Order Date]])</f>
        <v>2020</v>
      </c>
      <c r="L774" s="7" t="str">
        <f>TEXT(OrganizedData[[#This Row],[Order Date]],"mmm")</f>
        <v>Jun</v>
      </c>
      <c r="M774" s="2">
        <v>13</v>
      </c>
      <c r="N774" s="2" t="s">
        <v>80</v>
      </c>
      <c r="O774" s="2" t="str">
        <f>VLOOKUP(OrganizedData[[#This Row],[Product Code]],ProductData[[Code]:[Item]],2,FALSE)</f>
        <v>Ultrathing V2</v>
      </c>
      <c r="P774" s="4">
        <f>OrganizedData[[#This Row],[Quantity]]*VLOOKUP(OrganizedData[[#This Row],[Product Code]],ProductData[],4,FALSE)</f>
        <v>260</v>
      </c>
      <c r="Q774" s="6">
        <f>OrganizedData[[#This Row],[Total Items Ordered]]*VLOOKUP(OrganizedData[[#This Row],[Product Code]],ProductData[],3,FALSE)</f>
        <v>767</v>
      </c>
      <c r="R7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v>
      </c>
    </row>
    <row r="775" spans="1:18" x14ac:dyDescent="0.3">
      <c r="A775" s="2">
        <v>768</v>
      </c>
      <c r="B775" s="2" t="s">
        <v>2704</v>
      </c>
      <c r="C775" s="2" t="s">
        <v>1410</v>
      </c>
      <c r="D775" s="2" t="s">
        <v>15</v>
      </c>
      <c r="E775" s="2" t="s">
        <v>16</v>
      </c>
      <c r="F775" s="2">
        <v>30</v>
      </c>
      <c r="G775" s="2" t="s">
        <v>2705</v>
      </c>
      <c r="H775" s="2" t="s">
        <v>2706</v>
      </c>
      <c r="I775" s="2" t="s">
        <v>294</v>
      </c>
      <c r="J775" s="3">
        <v>44558</v>
      </c>
      <c r="K775" s="5">
        <f>YEAR(OrganizedData[[#This Row],[Order Date]])</f>
        <v>2021</v>
      </c>
      <c r="L775" s="7" t="str">
        <f>TEXT(OrganizedData[[#This Row],[Order Date]],"mmm")</f>
        <v>Dec</v>
      </c>
      <c r="M775" s="2">
        <v>54</v>
      </c>
      <c r="N775" s="2" t="s">
        <v>45</v>
      </c>
      <c r="O775" s="2" t="str">
        <f>VLOOKUP(OrganizedData[[#This Row],[Product Code]],ProductData[[Code]:[Item]],2,FALSE)</f>
        <v>Gigastuff</v>
      </c>
      <c r="P775" s="4">
        <f>OrganizedData[[#This Row],[Quantity]]*VLOOKUP(OrganizedData[[#This Row],[Product Code]],ProductData[],4,FALSE)</f>
        <v>972</v>
      </c>
      <c r="Q775" s="6">
        <f>OrganizedData[[#This Row],[Total Items Ordered]]*VLOOKUP(OrganizedData[[#This Row],[Product Code]],ProductData[],3,FALSE)</f>
        <v>1837.08</v>
      </c>
      <c r="R7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1745.2259999999999</v>
      </c>
    </row>
    <row r="776" spans="1:18" x14ac:dyDescent="0.3">
      <c r="A776" s="2">
        <v>769</v>
      </c>
      <c r="B776" s="2" t="s">
        <v>2707</v>
      </c>
      <c r="C776" s="2" t="s">
        <v>2708</v>
      </c>
      <c r="D776" s="2" t="s">
        <v>15</v>
      </c>
      <c r="E776" s="2" t="s">
        <v>16</v>
      </c>
      <c r="F776" s="2">
        <v>90</v>
      </c>
      <c r="G776" s="2" t="s">
        <v>2709</v>
      </c>
      <c r="H776" s="2" t="s">
        <v>2710</v>
      </c>
      <c r="I776" s="2" t="s">
        <v>294</v>
      </c>
      <c r="J776" s="3">
        <v>44426</v>
      </c>
      <c r="K776" s="5">
        <f>YEAR(OrganizedData[[#This Row],[Order Date]])</f>
        <v>2021</v>
      </c>
      <c r="L776" s="7" t="str">
        <f>TEXT(OrganizedData[[#This Row],[Order Date]],"mmm")</f>
        <v>Aug</v>
      </c>
      <c r="M776" s="2">
        <v>11</v>
      </c>
      <c r="N776" s="2" t="s">
        <v>64</v>
      </c>
      <c r="O776" s="2" t="str">
        <f>VLOOKUP(OrganizedData[[#This Row],[Product Code]],ProductData[[Code]:[Item]],2,FALSE)</f>
        <v>Ultrathing V4</v>
      </c>
      <c r="P776" s="4">
        <f>OrganizedData[[#This Row],[Quantity]]*VLOOKUP(OrganizedData[[#This Row],[Product Code]],ProductData[],4,FALSE)</f>
        <v>264</v>
      </c>
      <c r="Q776" s="6">
        <f>OrganizedData[[#This Row],[Total Items Ordered]]*VLOOKUP(OrganizedData[[#This Row],[Product Code]],ProductData[],3,FALSE)</f>
        <v>1053.3600000000001</v>
      </c>
      <c r="R7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1053.3600000000001</v>
      </c>
    </row>
    <row r="777" spans="1:18" x14ac:dyDescent="0.3">
      <c r="A777" s="2">
        <v>770</v>
      </c>
      <c r="B777" s="2" t="s">
        <v>2711</v>
      </c>
      <c r="C777" s="2" t="s">
        <v>653</v>
      </c>
      <c r="D777" s="2" t="s">
        <v>51</v>
      </c>
      <c r="E777" s="2" t="s">
        <v>16</v>
      </c>
      <c r="F777" s="2">
        <v>60</v>
      </c>
      <c r="G777" s="2" t="s">
        <v>2712</v>
      </c>
      <c r="H777" s="2" t="s">
        <v>2713</v>
      </c>
      <c r="I777" s="2" t="s">
        <v>38</v>
      </c>
      <c r="J777" s="3">
        <v>44595</v>
      </c>
      <c r="K777" s="5">
        <f>YEAR(OrganizedData[[#This Row],[Order Date]])</f>
        <v>2022</v>
      </c>
      <c r="L777" s="7" t="str">
        <f>TEXT(OrganizedData[[#This Row],[Order Date]],"mmm")</f>
        <v>Feb</v>
      </c>
      <c r="M777" s="2">
        <v>77</v>
      </c>
      <c r="N777" s="2" t="s">
        <v>101</v>
      </c>
      <c r="O777" s="2" t="str">
        <f>VLOOKUP(OrganizedData[[#This Row],[Product Code]],ProductData[[Code]:[Item]],2,FALSE)</f>
        <v>Superwossname</v>
      </c>
      <c r="P777" s="4">
        <f>OrganizedData[[#This Row],[Quantity]]*VLOOKUP(OrganizedData[[#This Row],[Product Code]],ProductData[],4,FALSE)</f>
        <v>1540</v>
      </c>
      <c r="Q777" s="6">
        <f>OrganizedData[[#This Row],[Total Items Ordered]]*VLOOKUP(OrganizedData[[#This Row],[Product Code]],ProductData[],3,FALSE)</f>
        <v>5374.6</v>
      </c>
      <c r="R7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5105.87</v>
      </c>
    </row>
    <row r="778" spans="1:18" x14ac:dyDescent="0.3">
      <c r="A778" s="2">
        <v>771</v>
      </c>
      <c r="B778" s="2" t="s">
        <v>2714</v>
      </c>
      <c r="C778" s="2" t="s">
        <v>2715</v>
      </c>
      <c r="D778" s="2" t="s">
        <v>51</v>
      </c>
      <c r="E778" s="2" t="s">
        <v>16</v>
      </c>
      <c r="F778" s="2">
        <v>90</v>
      </c>
      <c r="G778" s="2" t="s">
        <v>2716</v>
      </c>
      <c r="H778" s="2" t="s">
        <v>2717</v>
      </c>
      <c r="I778" s="2" t="s">
        <v>1889</v>
      </c>
      <c r="J778" s="3">
        <v>44655</v>
      </c>
      <c r="K778" s="5">
        <f>YEAR(OrganizedData[[#This Row],[Order Date]])</f>
        <v>2022</v>
      </c>
      <c r="L778" s="7" t="str">
        <f>TEXT(OrganizedData[[#This Row],[Order Date]],"mmm")</f>
        <v>Apr</v>
      </c>
      <c r="M778" s="2">
        <v>32</v>
      </c>
      <c r="N778" s="2" t="s">
        <v>39</v>
      </c>
      <c r="O778" s="2" t="str">
        <f>VLOOKUP(OrganizedData[[#This Row],[Product Code]],ProductData[[Code]:[Item]],2,FALSE)</f>
        <v>Ultrathing V1</v>
      </c>
      <c r="P778" s="4">
        <f>OrganizedData[[#This Row],[Quantity]]*VLOOKUP(OrganizedData[[#This Row],[Product Code]],ProductData[],4,FALSE)</f>
        <v>544</v>
      </c>
      <c r="Q778" s="6">
        <f>OrganizedData[[#This Row],[Total Items Ordered]]*VLOOKUP(OrganizedData[[#This Row],[Product Code]],ProductData[],3,FALSE)</f>
        <v>973.76</v>
      </c>
      <c r="R7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944.54719999999998</v>
      </c>
    </row>
    <row r="779" spans="1:18" x14ac:dyDescent="0.3">
      <c r="A779" s="2">
        <v>772</v>
      </c>
      <c r="B779" s="2" t="s">
        <v>2718</v>
      </c>
      <c r="C779" s="2" t="s">
        <v>2719</v>
      </c>
      <c r="D779" s="2" t="s">
        <v>15</v>
      </c>
      <c r="E779" s="2" t="s">
        <v>16</v>
      </c>
      <c r="F779" s="2">
        <v>90</v>
      </c>
      <c r="G779" s="2" t="s">
        <v>2716</v>
      </c>
      <c r="H779" s="2" t="s">
        <v>2720</v>
      </c>
      <c r="I779" s="2" t="s">
        <v>32</v>
      </c>
      <c r="J779" s="3">
        <v>44490</v>
      </c>
      <c r="K779" s="5">
        <f>YEAR(OrganizedData[[#This Row],[Order Date]])</f>
        <v>2021</v>
      </c>
      <c r="L779" s="7" t="str">
        <f>TEXT(OrganizedData[[#This Row],[Order Date]],"mmm")</f>
        <v>Oct</v>
      </c>
      <c r="M779" s="2">
        <v>10</v>
      </c>
      <c r="N779" s="2" t="s">
        <v>64</v>
      </c>
      <c r="O779" s="2" t="str">
        <f>VLOOKUP(OrganizedData[[#This Row],[Product Code]],ProductData[[Code]:[Item]],2,FALSE)</f>
        <v>Ultrathing V4</v>
      </c>
      <c r="P779" s="4">
        <f>OrganizedData[[#This Row],[Quantity]]*VLOOKUP(OrganizedData[[#This Row],[Product Code]],ProductData[],4,FALSE)</f>
        <v>240</v>
      </c>
      <c r="Q779" s="6">
        <f>OrganizedData[[#This Row],[Total Items Ordered]]*VLOOKUP(OrganizedData[[#This Row],[Product Code]],ProductData[],3,FALSE)</f>
        <v>957.6</v>
      </c>
      <c r="R7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957.6</v>
      </c>
    </row>
    <row r="780" spans="1:18" x14ac:dyDescent="0.3">
      <c r="A780" s="2">
        <v>773</v>
      </c>
      <c r="B780" s="2" t="s">
        <v>2721</v>
      </c>
      <c r="C780" s="2" t="s">
        <v>2722</v>
      </c>
      <c r="D780" s="2" t="s">
        <v>28</v>
      </c>
      <c r="E780" s="2" t="s">
        <v>29</v>
      </c>
      <c r="F780" s="2">
        <v>30</v>
      </c>
      <c r="G780" s="2" t="s">
        <v>2723</v>
      </c>
      <c r="H780" s="2" t="s">
        <v>2724</v>
      </c>
      <c r="I780" s="2" t="s">
        <v>32</v>
      </c>
      <c r="J780" s="3">
        <v>44080</v>
      </c>
      <c r="K780" s="5">
        <f>YEAR(OrganizedData[[#This Row],[Order Date]])</f>
        <v>2020</v>
      </c>
      <c r="L780" s="7" t="str">
        <f>TEXT(OrganizedData[[#This Row],[Order Date]],"mmm")</f>
        <v>Sep</v>
      </c>
      <c r="M780" s="2">
        <v>30</v>
      </c>
      <c r="N780" s="2" t="s">
        <v>39</v>
      </c>
      <c r="O780" s="2" t="str">
        <f>VLOOKUP(OrganizedData[[#This Row],[Product Code]],ProductData[[Code]:[Item]],2,FALSE)</f>
        <v>Ultrathing V1</v>
      </c>
      <c r="P780" s="4">
        <f>OrganizedData[[#This Row],[Quantity]]*VLOOKUP(OrganizedData[[#This Row],[Product Code]],ProductData[],4,FALSE)</f>
        <v>510</v>
      </c>
      <c r="Q780" s="6">
        <f>OrganizedData[[#This Row],[Total Items Ordered]]*VLOOKUP(OrganizedData[[#This Row],[Product Code]],ProductData[],3,FALSE)</f>
        <v>912.9</v>
      </c>
      <c r="R7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781" spans="1:18" x14ac:dyDescent="0.3">
      <c r="A781" s="2">
        <v>774</v>
      </c>
      <c r="B781" s="2" t="s">
        <v>1531</v>
      </c>
      <c r="C781" s="2" t="s">
        <v>581</v>
      </c>
      <c r="D781" s="2" t="s">
        <v>51</v>
      </c>
      <c r="E781" s="2" t="s">
        <v>16</v>
      </c>
      <c r="F781" s="2">
        <v>60</v>
      </c>
      <c r="G781" s="2" t="s">
        <v>2725</v>
      </c>
      <c r="H781" s="2" t="s">
        <v>2494</v>
      </c>
      <c r="I781" s="2" t="s">
        <v>25</v>
      </c>
      <c r="J781" s="3">
        <v>44833</v>
      </c>
      <c r="K781" s="5">
        <f>YEAR(OrganizedData[[#This Row],[Order Date]])</f>
        <v>2022</v>
      </c>
      <c r="L781" s="7" t="str">
        <f>TEXT(OrganizedData[[#This Row],[Order Date]],"mmm")</f>
        <v>Sep</v>
      </c>
      <c r="M781" s="2">
        <v>34</v>
      </c>
      <c r="N781" s="2" t="s">
        <v>20</v>
      </c>
      <c r="O781" s="2" t="str">
        <f>VLOOKUP(OrganizedData[[#This Row],[Product Code]],ProductData[[Code]:[Item]],2,FALSE)</f>
        <v>Hyperwotsit</v>
      </c>
      <c r="P781" s="4">
        <f>OrganizedData[[#This Row],[Quantity]]*VLOOKUP(OrganizedData[[#This Row],[Product Code]],ProductData[],4,FALSE)</f>
        <v>680</v>
      </c>
      <c r="Q781" s="6">
        <f>OrganizedData[[#This Row],[Total Items Ordered]]*VLOOKUP(OrganizedData[[#This Row],[Product Code]],ProductData[],3,FALSE)</f>
        <v>1366.8</v>
      </c>
      <c r="R7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1325.7959999999998</v>
      </c>
    </row>
    <row r="782" spans="1:18" x14ac:dyDescent="0.3">
      <c r="A782" s="2">
        <v>775</v>
      </c>
      <c r="B782" s="2" t="s">
        <v>1467</v>
      </c>
      <c r="C782" s="2" t="s">
        <v>1356</v>
      </c>
      <c r="D782" s="2" t="s">
        <v>28</v>
      </c>
      <c r="E782" s="2" t="s">
        <v>29</v>
      </c>
      <c r="F782" s="2">
        <v>60</v>
      </c>
      <c r="G782" s="2" t="s">
        <v>2726</v>
      </c>
      <c r="H782" s="2" t="s">
        <v>2727</v>
      </c>
      <c r="I782" s="2" t="s">
        <v>2330</v>
      </c>
      <c r="J782" s="3">
        <v>44604</v>
      </c>
      <c r="K782" s="5">
        <f>YEAR(OrganizedData[[#This Row],[Order Date]])</f>
        <v>2022</v>
      </c>
      <c r="L782" s="7" t="str">
        <f>TEXT(OrganizedData[[#This Row],[Order Date]],"mmm")</f>
        <v>Feb</v>
      </c>
      <c r="M782" s="2">
        <v>28</v>
      </c>
      <c r="N782" s="2" t="s">
        <v>80</v>
      </c>
      <c r="O782" s="2" t="str">
        <f>VLOOKUP(OrganizedData[[#This Row],[Product Code]],ProductData[[Code]:[Item]],2,FALSE)</f>
        <v>Ultrathing V2</v>
      </c>
      <c r="P782" s="4">
        <f>OrganizedData[[#This Row],[Quantity]]*VLOOKUP(OrganizedData[[#This Row],[Product Code]],ProductData[],4,FALSE)</f>
        <v>560</v>
      </c>
      <c r="Q782" s="6">
        <f>OrganizedData[[#This Row],[Total Items Ordered]]*VLOOKUP(OrganizedData[[#This Row],[Product Code]],ProductData[],3,FALSE)</f>
        <v>1652</v>
      </c>
      <c r="R7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1602.44</v>
      </c>
    </row>
    <row r="783" spans="1:18" x14ac:dyDescent="0.3">
      <c r="A783" s="2">
        <v>776</v>
      </c>
      <c r="B783" s="2" t="s">
        <v>2728</v>
      </c>
      <c r="C783" s="2" t="s">
        <v>106</v>
      </c>
      <c r="D783" s="2" t="s">
        <v>28</v>
      </c>
      <c r="E783" s="2" t="s">
        <v>29</v>
      </c>
      <c r="F783" s="2">
        <v>90</v>
      </c>
      <c r="G783" s="2" t="s">
        <v>2729</v>
      </c>
      <c r="H783" s="2" t="s">
        <v>1194</v>
      </c>
      <c r="I783" s="2" t="s">
        <v>38</v>
      </c>
      <c r="J783" s="3">
        <v>44793</v>
      </c>
      <c r="K783" s="5">
        <f>YEAR(OrganizedData[[#This Row],[Order Date]])</f>
        <v>2022</v>
      </c>
      <c r="L783" s="7" t="str">
        <f>TEXT(OrganizedData[[#This Row],[Order Date]],"mmm")</f>
        <v>Aug</v>
      </c>
      <c r="M783" s="2">
        <v>58</v>
      </c>
      <c r="N783" s="2" t="s">
        <v>70</v>
      </c>
      <c r="O783" s="2" t="str">
        <f>VLOOKUP(OrganizedData[[#This Row],[Product Code]],ProductData[[Code]:[Item]],2,FALSE)</f>
        <v>Megawidget M</v>
      </c>
      <c r="P783" s="4">
        <f>OrganizedData[[#This Row],[Quantity]]*VLOOKUP(OrganizedData[[#This Row],[Product Code]],ProductData[],4,FALSE)</f>
        <v>1392</v>
      </c>
      <c r="Q783" s="6">
        <f>OrganizedData[[#This Row],[Total Items Ordered]]*VLOOKUP(OrganizedData[[#This Row],[Product Code]],ProductData[],3,FALSE)</f>
        <v>1795.68</v>
      </c>
      <c r="R7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1705.896</v>
      </c>
    </row>
    <row r="784" spans="1:18" x14ac:dyDescent="0.3">
      <c r="A784" s="2">
        <v>777</v>
      </c>
      <c r="B784" s="2" t="s">
        <v>2730</v>
      </c>
      <c r="C784" s="2" t="s">
        <v>2731</v>
      </c>
      <c r="D784" s="2" t="s">
        <v>15</v>
      </c>
      <c r="E784" s="2" t="s">
        <v>16</v>
      </c>
      <c r="F784" s="2">
        <v>30</v>
      </c>
      <c r="G784" s="2" t="s">
        <v>2732</v>
      </c>
      <c r="H784" s="2" t="s">
        <v>2733</v>
      </c>
      <c r="I784" s="2" t="s">
        <v>25</v>
      </c>
      <c r="J784" s="3">
        <v>43855</v>
      </c>
      <c r="K784" s="5">
        <f>YEAR(OrganizedData[[#This Row],[Order Date]])</f>
        <v>2020</v>
      </c>
      <c r="L784" s="7" t="str">
        <f>TEXT(OrganizedData[[#This Row],[Order Date]],"mmm")</f>
        <v>Jan</v>
      </c>
      <c r="M784" s="2">
        <v>40</v>
      </c>
      <c r="N784" s="2" t="s">
        <v>33</v>
      </c>
      <c r="O784" s="2" t="str">
        <f>VLOOKUP(OrganizedData[[#This Row],[Product Code]],ProductData[[Code]:[Item]],2,FALSE)</f>
        <v>Megawidget L</v>
      </c>
      <c r="P784" s="4">
        <f>OrganizedData[[#This Row],[Quantity]]*VLOOKUP(OrganizedData[[#This Row],[Product Code]],ProductData[],4,FALSE)</f>
        <v>960</v>
      </c>
      <c r="Q784" s="6">
        <f>OrganizedData[[#This Row],[Total Items Ordered]]*VLOOKUP(OrganizedData[[#This Row],[Product Code]],ProductData[],3,FALSE)</f>
        <v>1718.4</v>
      </c>
      <c r="R7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1666.848</v>
      </c>
    </row>
    <row r="785" spans="1:18" x14ac:dyDescent="0.3">
      <c r="A785" s="2">
        <v>778</v>
      </c>
      <c r="B785" s="2" t="s">
        <v>2734</v>
      </c>
      <c r="C785" s="2" t="s">
        <v>2735</v>
      </c>
      <c r="D785" s="2" t="s">
        <v>15</v>
      </c>
      <c r="E785" s="2" t="s">
        <v>16</v>
      </c>
      <c r="F785" s="2">
        <v>90</v>
      </c>
      <c r="G785" s="2" t="s">
        <v>2736</v>
      </c>
      <c r="H785" s="2" t="s">
        <v>2737</v>
      </c>
      <c r="I785" s="2" t="s">
        <v>32</v>
      </c>
      <c r="J785" s="3">
        <v>44235</v>
      </c>
      <c r="K785" s="5">
        <f>YEAR(OrganizedData[[#This Row],[Order Date]])</f>
        <v>2021</v>
      </c>
      <c r="L785" s="7" t="str">
        <f>TEXT(OrganizedData[[#This Row],[Order Date]],"mmm")</f>
        <v>Feb</v>
      </c>
      <c r="M785" s="2">
        <v>21</v>
      </c>
      <c r="N785" s="2" t="s">
        <v>101</v>
      </c>
      <c r="O785" s="2" t="str">
        <f>VLOOKUP(OrganizedData[[#This Row],[Product Code]],ProductData[[Code]:[Item]],2,FALSE)</f>
        <v>Superwossname</v>
      </c>
      <c r="P785" s="4">
        <f>OrganizedData[[#This Row],[Quantity]]*VLOOKUP(OrganizedData[[#This Row],[Product Code]],ProductData[],4,FALSE)</f>
        <v>420</v>
      </c>
      <c r="Q785" s="6">
        <f>OrganizedData[[#This Row],[Total Items Ordered]]*VLOOKUP(OrganizedData[[#This Row],[Product Code]],ProductData[],3,FALSE)</f>
        <v>1465.8000000000002</v>
      </c>
      <c r="R7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1421.8260000000002</v>
      </c>
    </row>
    <row r="786" spans="1:18" x14ac:dyDescent="0.3">
      <c r="A786" s="2">
        <v>779</v>
      </c>
      <c r="B786" s="2" t="s">
        <v>563</v>
      </c>
      <c r="C786" s="2" t="s">
        <v>2738</v>
      </c>
      <c r="D786" s="2" t="s">
        <v>28</v>
      </c>
      <c r="E786" s="2" t="s">
        <v>29</v>
      </c>
      <c r="F786" s="2">
        <v>90</v>
      </c>
      <c r="G786" s="2" t="s">
        <v>2739</v>
      </c>
      <c r="H786" s="2" t="s">
        <v>2329</v>
      </c>
      <c r="I786" s="2" t="s">
        <v>2330</v>
      </c>
      <c r="J786" s="3">
        <v>44182</v>
      </c>
      <c r="K786" s="5">
        <f>YEAR(OrganizedData[[#This Row],[Order Date]])</f>
        <v>2020</v>
      </c>
      <c r="L786" s="7" t="str">
        <f>TEXT(OrganizedData[[#This Row],[Order Date]],"mmm")</f>
        <v>Dec</v>
      </c>
      <c r="M786" s="2">
        <v>11</v>
      </c>
      <c r="N786" s="2" t="s">
        <v>159</v>
      </c>
      <c r="O786" s="2" t="str">
        <f>VLOOKUP(OrganizedData[[#This Row],[Product Code]],ProductData[[Code]:[Item]],2,FALSE)</f>
        <v>Ultrathing V3</v>
      </c>
      <c r="P786" s="4">
        <f>OrganizedData[[#This Row],[Quantity]]*VLOOKUP(OrganizedData[[#This Row],[Product Code]],ProductData[],4,FALSE)</f>
        <v>264</v>
      </c>
      <c r="Q786" s="6">
        <f>OrganizedData[[#This Row],[Total Items Ordered]]*VLOOKUP(OrganizedData[[#This Row],[Product Code]],ProductData[],3,FALSE)</f>
        <v>894.96</v>
      </c>
      <c r="R7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787" spans="1:18" x14ac:dyDescent="0.3">
      <c r="A787" s="2">
        <v>780</v>
      </c>
      <c r="B787" s="2" t="s">
        <v>2740</v>
      </c>
      <c r="C787" s="2" t="s">
        <v>175</v>
      </c>
      <c r="D787" s="2" t="s">
        <v>28</v>
      </c>
      <c r="E787" s="2" t="s">
        <v>29</v>
      </c>
      <c r="F787" s="2">
        <v>60</v>
      </c>
      <c r="G787" s="2" t="s">
        <v>2741</v>
      </c>
      <c r="H787" s="2" t="s">
        <v>2742</v>
      </c>
      <c r="I787" s="2" t="s">
        <v>124</v>
      </c>
      <c r="J787" s="3">
        <v>44478</v>
      </c>
      <c r="K787" s="5">
        <f>YEAR(OrganizedData[[#This Row],[Order Date]])</f>
        <v>2021</v>
      </c>
      <c r="L787" s="7" t="str">
        <f>TEXT(OrganizedData[[#This Row],[Order Date]],"mmm")</f>
        <v>Oct</v>
      </c>
      <c r="M787" s="2">
        <v>39</v>
      </c>
      <c r="N787" s="2" t="s">
        <v>39</v>
      </c>
      <c r="O787" s="2" t="str">
        <f>VLOOKUP(OrganizedData[[#This Row],[Product Code]],ProductData[[Code]:[Item]],2,FALSE)</f>
        <v>Ultrathing V1</v>
      </c>
      <c r="P787" s="4">
        <f>OrganizedData[[#This Row],[Quantity]]*VLOOKUP(OrganizedData[[#This Row],[Product Code]],ProductData[],4,FALSE)</f>
        <v>663</v>
      </c>
      <c r="Q787" s="6">
        <f>OrganizedData[[#This Row],[Total Items Ordered]]*VLOOKUP(OrganizedData[[#This Row],[Product Code]],ProductData[],3,FALSE)</f>
        <v>1186.77</v>
      </c>
      <c r="R7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1151.1668999999999</v>
      </c>
    </row>
    <row r="788" spans="1:18" x14ac:dyDescent="0.3">
      <c r="A788" s="2">
        <v>781</v>
      </c>
      <c r="B788" s="2" t="s">
        <v>2743</v>
      </c>
      <c r="C788" s="2" t="s">
        <v>2041</v>
      </c>
      <c r="D788" s="2" t="s">
        <v>28</v>
      </c>
      <c r="E788" s="2" t="s">
        <v>29</v>
      </c>
      <c r="F788" s="2">
        <v>30</v>
      </c>
      <c r="G788" s="2" t="s">
        <v>2744</v>
      </c>
      <c r="H788" s="2" t="s">
        <v>2745</v>
      </c>
      <c r="I788" s="2" t="s">
        <v>32</v>
      </c>
      <c r="J788" s="3">
        <v>44443</v>
      </c>
      <c r="K788" s="5">
        <f>YEAR(OrganizedData[[#This Row],[Order Date]])</f>
        <v>2021</v>
      </c>
      <c r="L788" s="7" t="str">
        <f>TEXT(OrganizedData[[#This Row],[Order Date]],"mmm")</f>
        <v>Sep</v>
      </c>
      <c r="M788" s="2">
        <v>71</v>
      </c>
      <c r="N788" s="2" t="s">
        <v>20</v>
      </c>
      <c r="O788" s="2" t="str">
        <f>VLOOKUP(OrganizedData[[#This Row],[Product Code]],ProductData[[Code]:[Item]],2,FALSE)</f>
        <v>Hyperwotsit</v>
      </c>
      <c r="P788" s="4">
        <f>OrganizedData[[#This Row],[Quantity]]*VLOOKUP(OrganizedData[[#This Row],[Product Code]],ProductData[],4,FALSE)</f>
        <v>1420</v>
      </c>
      <c r="Q788" s="6">
        <f>OrganizedData[[#This Row],[Total Items Ordered]]*VLOOKUP(OrganizedData[[#This Row],[Product Code]],ProductData[],3,FALSE)</f>
        <v>2854.2</v>
      </c>
      <c r="R7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789" spans="1:18" x14ac:dyDescent="0.3">
      <c r="A789" s="2">
        <v>782</v>
      </c>
      <c r="B789" s="2" t="s">
        <v>2746</v>
      </c>
      <c r="C789" s="2" t="s">
        <v>2747</v>
      </c>
      <c r="D789" s="2" t="s">
        <v>51</v>
      </c>
      <c r="E789" s="2" t="s">
        <v>16</v>
      </c>
      <c r="F789" s="2">
        <v>30</v>
      </c>
      <c r="G789" s="2" t="s">
        <v>2748</v>
      </c>
      <c r="H789" s="2" t="s">
        <v>2749</v>
      </c>
      <c r="I789" s="2" t="s">
        <v>187</v>
      </c>
      <c r="J789" s="3">
        <v>44381</v>
      </c>
      <c r="K789" s="5">
        <f>YEAR(OrganizedData[[#This Row],[Order Date]])</f>
        <v>2021</v>
      </c>
      <c r="L789" s="7" t="str">
        <f>TEXT(OrganizedData[[#This Row],[Order Date]],"mmm")</f>
        <v>Jul</v>
      </c>
      <c r="M789" s="2">
        <v>71</v>
      </c>
      <c r="N789" s="2" t="s">
        <v>20</v>
      </c>
      <c r="O789" s="2" t="str">
        <f>VLOOKUP(OrganizedData[[#This Row],[Product Code]],ProductData[[Code]:[Item]],2,FALSE)</f>
        <v>Hyperwotsit</v>
      </c>
      <c r="P789" s="4">
        <f>OrganizedData[[#This Row],[Quantity]]*VLOOKUP(OrganizedData[[#This Row],[Product Code]],ProductData[],4,FALSE)</f>
        <v>1420</v>
      </c>
      <c r="Q789" s="6">
        <f>OrganizedData[[#This Row],[Total Items Ordered]]*VLOOKUP(OrganizedData[[#This Row],[Product Code]],ProductData[],3,FALSE)</f>
        <v>2854.2</v>
      </c>
      <c r="R7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790" spans="1:18" x14ac:dyDescent="0.3">
      <c r="A790" s="2">
        <v>783</v>
      </c>
      <c r="B790" s="2" t="s">
        <v>2750</v>
      </c>
      <c r="C790" s="2" t="s">
        <v>2751</v>
      </c>
      <c r="D790" s="2" t="s">
        <v>28</v>
      </c>
      <c r="E790" s="2" t="s">
        <v>29</v>
      </c>
      <c r="F790" s="2">
        <v>90</v>
      </c>
      <c r="G790" s="2" t="s">
        <v>2752</v>
      </c>
      <c r="H790" s="2" t="s">
        <v>2753</v>
      </c>
      <c r="I790" s="2" t="s">
        <v>124</v>
      </c>
      <c r="J790" s="3">
        <v>43876</v>
      </c>
      <c r="K790" s="5">
        <f>YEAR(OrganizedData[[#This Row],[Order Date]])</f>
        <v>2020</v>
      </c>
      <c r="L790" s="7" t="str">
        <f>TEXT(OrganizedData[[#This Row],[Order Date]],"mmm")</f>
        <v>Feb</v>
      </c>
      <c r="M790" s="2">
        <v>81</v>
      </c>
      <c r="N790" s="2" t="s">
        <v>54</v>
      </c>
      <c r="O790" s="2" t="str">
        <f>VLOOKUP(OrganizedData[[#This Row],[Product Code]],ProductData[[Code]:[Item]],2,FALSE)</f>
        <v>Megawidget S</v>
      </c>
      <c r="P790" s="4">
        <f>OrganizedData[[#This Row],[Quantity]]*VLOOKUP(OrganizedData[[#This Row],[Product Code]],ProductData[],4,FALSE)</f>
        <v>1944</v>
      </c>
      <c r="Q790" s="6">
        <f>OrganizedData[[#This Row],[Total Items Ordered]]*VLOOKUP(OrganizedData[[#This Row],[Product Code]],ProductData[],3,FALSE)</f>
        <v>1341.36</v>
      </c>
      <c r="R7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791" spans="1:18" x14ac:dyDescent="0.3">
      <c r="A791" s="2">
        <v>784</v>
      </c>
      <c r="B791" s="2" t="s">
        <v>2754</v>
      </c>
      <c r="C791" s="2" t="s">
        <v>1641</v>
      </c>
      <c r="D791" s="2" t="s">
        <v>15</v>
      </c>
      <c r="E791" s="2" t="s">
        <v>16</v>
      </c>
      <c r="F791" s="2">
        <v>30</v>
      </c>
      <c r="G791" s="2" t="s">
        <v>2755</v>
      </c>
      <c r="H791" s="2" t="s">
        <v>1621</v>
      </c>
      <c r="I791" s="2" t="s">
        <v>146</v>
      </c>
      <c r="J791" s="3">
        <v>44617</v>
      </c>
      <c r="K791" s="5">
        <f>YEAR(OrganizedData[[#This Row],[Order Date]])</f>
        <v>2022</v>
      </c>
      <c r="L791" s="7" t="str">
        <f>TEXT(OrganizedData[[#This Row],[Order Date]],"mmm")</f>
        <v>Feb</v>
      </c>
      <c r="M791" s="2">
        <v>18</v>
      </c>
      <c r="N791" s="2" t="s">
        <v>70</v>
      </c>
      <c r="O791" s="2" t="str">
        <f>VLOOKUP(OrganizedData[[#This Row],[Product Code]],ProductData[[Code]:[Item]],2,FALSE)</f>
        <v>Megawidget M</v>
      </c>
      <c r="P791" s="4">
        <f>OrganizedData[[#This Row],[Quantity]]*VLOOKUP(OrganizedData[[#This Row],[Product Code]],ProductData[],4,FALSE)</f>
        <v>432</v>
      </c>
      <c r="Q791" s="6">
        <f>OrganizedData[[#This Row],[Total Items Ordered]]*VLOOKUP(OrganizedData[[#This Row],[Product Code]],ProductData[],3,FALSE)</f>
        <v>557.28</v>
      </c>
      <c r="R7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792" spans="1:18" x14ac:dyDescent="0.3">
      <c r="A792" s="2">
        <v>785</v>
      </c>
      <c r="B792" s="2" t="s">
        <v>2756</v>
      </c>
      <c r="C792" s="2" t="s">
        <v>2757</v>
      </c>
      <c r="D792" s="2" t="s">
        <v>51</v>
      </c>
      <c r="E792" s="2" t="s">
        <v>16</v>
      </c>
      <c r="F792" s="2">
        <v>30</v>
      </c>
      <c r="G792" s="2" t="s">
        <v>2758</v>
      </c>
      <c r="H792" s="2" t="s">
        <v>2759</v>
      </c>
      <c r="I792" s="2" t="s">
        <v>32</v>
      </c>
      <c r="J792" s="3">
        <v>44227</v>
      </c>
      <c r="K792" s="5">
        <f>YEAR(OrganizedData[[#This Row],[Order Date]])</f>
        <v>2021</v>
      </c>
      <c r="L792" s="7" t="str">
        <f>TEXT(OrganizedData[[#This Row],[Order Date]],"mmm")</f>
        <v>Jan</v>
      </c>
      <c r="M792" s="2">
        <v>90</v>
      </c>
      <c r="N792" s="2" t="s">
        <v>33</v>
      </c>
      <c r="O792" s="2" t="str">
        <f>VLOOKUP(OrganizedData[[#This Row],[Product Code]],ProductData[[Code]:[Item]],2,FALSE)</f>
        <v>Megawidget L</v>
      </c>
      <c r="P792" s="4">
        <f>OrganizedData[[#This Row],[Quantity]]*VLOOKUP(OrganizedData[[#This Row],[Product Code]],ProductData[],4,FALSE)</f>
        <v>2160</v>
      </c>
      <c r="Q792" s="6">
        <f>OrganizedData[[#This Row],[Total Items Ordered]]*VLOOKUP(OrganizedData[[#This Row],[Product Code]],ProductData[],3,FALSE)</f>
        <v>3866.4</v>
      </c>
      <c r="R7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3673.08</v>
      </c>
    </row>
    <row r="793" spans="1:18" x14ac:dyDescent="0.3">
      <c r="A793" s="2">
        <v>786</v>
      </c>
      <c r="B793" s="2" t="s">
        <v>2760</v>
      </c>
      <c r="C793" s="2" t="s">
        <v>2761</v>
      </c>
      <c r="D793" s="2" t="s">
        <v>51</v>
      </c>
      <c r="E793" s="2" t="s">
        <v>16</v>
      </c>
      <c r="F793" s="2">
        <v>30</v>
      </c>
      <c r="G793" s="2" t="s">
        <v>2762</v>
      </c>
      <c r="H793" s="2" t="s">
        <v>2763</v>
      </c>
      <c r="I793" s="2" t="s">
        <v>294</v>
      </c>
      <c r="J793" s="3">
        <v>44409</v>
      </c>
      <c r="K793" s="5">
        <f>YEAR(OrganizedData[[#This Row],[Order Date]])</f>
        <v>2021</v>
      </c>
      <c r="L793" s="7" t="str">
        <f>TEXT(OrganizedData[[#This Row],[Order Date]],"mmm")</f>
        <v>Aug</v>
      </c>
      <c r="M793" s="2">
        <v>68</v>
      </c>
      <c r="N793" s="2" t="s">
        <v>33</v>
      </c>
      <c r="O793" s="2" t="str">
        <f>VLOOKUP(OrganizedData[[#This Row],[Product Code]],ProductData[[Code]:[Item]],2,FALSE)</f>
        <v>Megawidget L</v>
      </c>
      <c r="P793" s="4">
        <f>OrganizedData[[#This Row],[Quantity]]*VLOOKUP(OrganizedData[[#This Row],[Product Code]],ProductData[],4,FALSE)</f>
        <v>1632</v>
      </c>
      <c r="Q793" s="6">
        <f>OrganizedData[[#This Row],[Total Items Ordered]]*VLOOKUP(OrganizedData[[#This Row],[Product Code]],ProductData[],3,FALSE)</f>
        <v>2921.28</v>
      </c>
      <c r="R7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794" spans="1:18" x14ac:dyDescent="0.3">
      <c r="A794" s="2">
        <v>787</v>
      </c>
      <c r="B794" s="2" t="s">
        <v>2764</v>
      </c>
      <c r="C794" s="2" t="s">
        <v>783</v>
      </c>
      <c r="D794" s="2" t="s">
        <v>41</v>
      </c>
      <c r="E794" s="2" t="s">
        <v>16</v>
      </c>
      <c r="F794" s="2">
        <v>30</v>
      </c>
      <c r="G794" s="2" t="s">
        <v>2765</v>
      </c>
      <c r="H794" s="2" t="s">
        <v>2766</v>
      </c>
      <c r="I794" s="2" t="s">
        <v>294</v>
      </c>
      <c r="J794" s="3">
        <v>44252</v>
      </c>
      <c r="K794" s="5">
        <f>YEAR(OrganizedData[[#This Row],[Order Date]])</f>
        <v>2021</v>
      </c>
      <c r="L794" s="7" t="str">
        <f>TEXT(OrganizedData[[#This Row],[Order Date]],"mmm")</f>
        <v>Feb</v>
      </c>
      <c r="M794" s="2">
        <v>52</v>
      </c>
      <c r="N794" s="2" t="s">
        <v>70</v>
      </c>
      <c r="O794" s="2" t="str">
        <f>VLOOKUP(OrganizedData[[#This Row],[Product Code]],ProductData[[Code]:[Item]],2,FALSE)</f>
        <v>Megawidget M</v>
      </c>
      <c r="P794" s="4">
        <f>OrganizedData[[#This Row],[Quantity]]*VLOOKUP(OrganizedData[[#This Row],[Product Code]],ProductData[],4,FALSE)</f>
        <v>1248</v>
      </c>
      <c r="Q794" s="6">
        <f>OrganizedData[[#This Row],[Total Items Ordered]]*VLOOKUP(OrganizedData[[#This Row],[Product Code]],ProductData[],3,FALSE)</f>
        <v>1609.92</v>
      </c>
      <c r="R7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1529.424</v>
      </c>
    </row>
    <row r="795" spans="1:18" x14ac:dyDescent="0.3">
      <c r="A795" s="2">
        <v>788</v>
      </c>
      <c r="B795" s="2" t="s">
        <v>990</v>
      </c>
      <c r="C795" s="2" t="s">
        <v>1658</v>
      </c>
      <c r="D795" s="2" t="s">
        <v>28</v>
      </c>
      <c r="E795" s="2" t="s">
        <v>29</v>
      </c>
      <c r="F795" s="2">
        <v>90</v>
      </c>
      <c r="G795" s="2" t="s">
        <v>2767</v>
      </c>
      <c r="H795" s="2" t="s">
        <v>2768</v>
      </c>
      <c r="I795" s="2" t="s">
        <v>554</v>
      </c>
      <c r="J795" s="3">
        <v>44361</v>
      </c>
      <c r="K795" s="5">
        <f>YEAR(OrganizedData[[#This Row],[Order Date]])</f>
        <v>2021</v>
      </c>
      <c r="L795" s="7" t="str">
        <f>TEXT(OrganizedData[[#This Row],[Order Date]],"mmm")</f>
        <v>Jun</v>
      </c>
      <c r="M795" s="2">
        <v>16</v>
      </c>
      <c r="N795" s="2" t="s">
        <v>39</v>
      </c>
      <c r="O795" s="2" t="str">
        <f>VLOOKUP(OrganizedData[[#This Row],[Product Code]],ProductData[[Code]:[Item]],2,FALSE)</f>
        <v>Ultrathing V1</v>
      </c>
      <c r="P795" s="4">
        <f>OrganizedData[[#This Row],[Quantity]]*VLOOKUP(OrganizedData[[#This Row],[Product Code]],ProductData[],4,FALSE)</f>
        <v>272</v>
      </c>
      <c r="Q795" s="6">
        <f>OrganizedData[[#This Row],[Total Items Ordered]]*VLOOKUP(OrganizedData[[#This Row],[Product Code]],ProductData[],3,FALSE)</f>
        <v>486.88</v>
      </c>
      <c r="R7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486.88</v>
      </c>
    </row>
    <row r="796" spans="1:18" x14ac:dyDescent="0.3">
      <c r="A796" s="2">
        <v>789</v>
      </c>
      <c r="B796" s="2" t="s">
        <v>2769</v>
      </c>
      <c r="C796" s="2" t="s">
        <v>2770</v>
      </c>
      <c r="D796" s="2" t="s">
        <v>15</v>
      </c>
      <c r="E796" s="2" t="s">
        <v>16</v>
      </c>
      <c r="F796" s="2">
        <v>90</v>
      </c>
      <c r="G796" s="2" t="s">
        <v>2771</v>
      </c>
      <c r="H796" s="2" t="s">
        <v>2772</v>
      </c>
      <c r="I796" s="2" t="s">
        <v>32</v>
      </c>
      <c r="J796" s="3">
        <v>44648</v>
      </c>
      <c r="K796" s="5">
        <f>YEAR(OrganizedData[[#This Row],[Order Date]])</f>
        <v>2022</v>
      </c>
      <c r="L796" s="7" t="str">
        <f>TEXT(OrganizedData[[#This Row],[Order Date]],"mmm")</f>
        <v>Mar</v>
      </c>
      <c r="M796" s="2">
        <v>6</v>
      </c>
      <c r="N796" s="2" t="s">
        <v>159</v>
      </c>
      <c r="O796" s="2" t="str">
        <f>VLOOKUP(OrganizedData[[#This Row],[Product Code]],ProductData[[Code]:[Item]],2,FALSE)</f>
        <v>Ultrathing V3</v>
      </c>
      <c r="P796" s="4">
        <f>OrganizedData[[#This Row],[Quantity]]*VLOOKUP(OrganizedData[[#This Row],[Product Code]],ProductData[],4,FALSE)</f>
        <v>144</v>
      </c>
      <c r="Q796" s="6">
        <f>OrganizedData[[#This Row],[Total Items Ordered]]*VLOOKUP(OrganizedData[[#This Row],[Product Code]],ProductData[],3,FALSE)</f>
        <v>488.16</v>
      </c>
      <c r="R7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488.16</v>
      </c>
    </row>
    <row r="797" spans="1:18" x14ac:dyDescent="0.3">
      <c r="A797" s="2">
        <v>790</v>
      </c>
      <c r="B797" s="2" t="s">
        <v>1978</v>
      </c>
      <c r="C797" s="2" t="s">
        <v>2773</v>
      </c>
      <c r="D797" s="2" t="s">
        <v>15</v>
      </c>
      <c r="E797" s="2" t="s">
        <v>16</v>
      </c>
      <c r="F797" s="2">
        <v>60</v>
      </c>
      <c r="G797" s="2" t="s">
        <v>2774</v>
      </c>
      <c r="H797" s="2" t="s">
        <v>667</v>
      </c>
      <c r="I797" s="2" t="s">
        <v>25</v>
      </c>
      <c r="J797" s="3">
        <v>44232</v>
      </c>
      <c r="K797" s="5">
        <f>YEAR(OrganizedData[[#This Row],[Order Date]])</f>
        <v>2021</v>
      </c>
      <c r="L797" s="7" t="str">
        <f>TEXT(OrganizedData[[#This Row],[Order Date]],"mmm")</f>
        <v>Feb</v>
      </c>
      <c r="M797" s="2">
        <v>2</v>
      </c>
      <c r="N797" s="2" t="s">
        <v>64</v>
      </c>
      <c r="O797" s="2" t="str">
        <f>VLOOKUP(OrganizedData[[#This Row],[Product Code]],ProductData[[Code]:[Item]],2,FALSE)</f>
        <v>Ultrathing V4</v>
      </c>
      <c r="P797" s="4">
        <f>OrganizedData[[#This Row],[Quantity]]*VLOOKUP(OrganizedData[[#This Row],[Product Code]],ProductData[],4,FALSE)</f>
        <v>48</v>
      </c>
      <c r="Q797" s="6">
        <f>OrganizedData[[#This Row],[Total Items Ordered]]*VLOOKUP(OrganizedData[[#This Row],[Product Code]],ProductData[],3,FALSE)</f>
        <v>191.52</v>
      </c>
      <c r="R7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798" spans="1:18" x14ac:dyDescent="0.3">
      <c r="A798" s="2">
        <v>791</v>
      </c>
      <c r="B798" s="2" t="s">
        <v>2775</v>
      </c>
      <c r="C798" s="2" t="s">
        <v>2776</v>
      </c>
      <c r="D798" s="2" t="s">
        <v>51</v>
      </c>
      <c r="E798" s="2" t="s">
        <v>16</v>
      </c>
      <c r="F798" s="2">
        <v>30</v>
      </c>
      <c r="G798" s="2" t="s">
        <v>10422</v>
      </c>
      <c r="H798" s="2" t="s">
        <v>1430</v>
      </c>
      <c r="I798" s="2" t="s">
        <v>32</v>
      </c>
      <c r="J798" s="3">
        <v>44882</v>
      </c>
      <c r="K798" s="5">
        <f>YEAR(OrganizedData[[#This Row],[Order Date]])</f>
        <v>2022</v>
      </c>
      <c r="L798" s="7" t="str">
        <f>TEXT(OrganizedData[[#This Row],[Order Date]],"mmm")</f>
        <v>Nov</v>
      </c>
      <c r="M798" s="2">
        <v>24</v>
      </c>
      <c r="N798" s="2" t="s">
        <v>20</v>
      </c>
      <c r="O798" s="2" t="str">
        <f>VLOOKUP(OrganizedData[[#This Row],[Product Code]],ProductData[[Code]:[Item]],2,FALSE)</f>
        <v>Hyperwotsit</v>
      </c>
      <c r="P798" s="4">
        <f>OrganizedData[[#This Row],[Quantity]]*VLOOKUP(OrganizedData[[#This Row],[Product Code]],ProductData[],4,FALSE)</f>
        <v>480</v>
      </c>
      <c r="Q798" s="6">
        <f>OrganizedData[[#This Row],[Total Items Ordered]]*VLOOKUP(OrganizedData[[#This Row],[Product Code]],ProductData[],3,FALSE)</f>
        <v>964.8</v>
      </c>
      <c r="R7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935.85599999999988</v>
      </c>
    </row>
    <row r="799" spans="1:18" x14ac:dyDescent="0.3">
      <c r="A799" s="2">
        <v>792</v>
      </c>
      <c r="B799" s="2" t="s">
        <v>824</v>
      </c>
      <c r="C799" s="2" t="s">
        <v>143</v>
      </c>
      <c r="D799" s="2" t="s">
        <v>28</v>
      </c>
      <c r="E799" s="2" t="s">
        <v>29</v>
      </c>
      <c r="F799" s="2">
        <v>30</v>
      </c>
      <c r="G799" s="2" t="s">
        <v>2778</v>
      </c>
      <c r="H799" s="2" t="s">
        <v>652</v>
      </c>
      <c r="I799" s="2" t="s">
        <v>32</v>
      </c>
      <c r="J799" s="3">
        <v>44480</v>
      </c>
      <c r="K799" s="5">
        <f>YEAR(OrganizedData[[#This Row],[Order Date]])</f>
        <v>2021</v>
      </c>
      <c r="L799" s="7" t="str">
        <f>TEXT(OrganizedData[[#This Row],[Order Date]],"mmm")</f>
        <v>Oct</v>
      </c>
      <c r="M799" s="2">
        <v>72</v>
      </c>
      <c r="N799" s="2" t="s">
        <v>64</v>
      </c>
      <c r="O799" s="2" t="str">
        <f>VLOOKUP(OrganizedData[[#This Row],[Product Code]],ProductData[[Code]:[Item]],2,FALSE)</f>
        <v>Ultrathing V4</v>
      </c>
      <c r="P799" s="4">
        <f>OrganizedData[[#This Row],[Quantity]]*VLOOKUP(OrganizedData[[#This Row],[Product Code]],ProductData[],4,FALSE)</f>
        <v>1728</v>
      </c>
      <c r="Q799" s="6">
        <f>OrganizedData[[#This Row],[Total Items Ordered]]*VLOOKUP(OrganizedData[[#This Row],[Product Code]],ProductData[],3,FALSE)</f>
        <v>6894.72</v>
      </c>
      <c r="R7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6549.9840000000004</v>
      </c>
    </row>
    <row r="800" spans="1:18" x14ac:dyDescent="0.3">
      <c r="A800" s="2">
        <v>793</v>
      </c>
      <c r="B800" s="2" t="s">
        <v>2779</v>
      </c>
      <c r="C800" s="2" t="s">
        <v>481</v>
      </c>
      <c r="D800" s="2" t="s">
        <v>28</v>
      </c>
      <c r="E800" s="2" t="s">
        <v>29</v>
      </c>
      <c r="F800" s="2">
        <v>60</v>
      </c>
      <c r="G800" s="2" t="s">
        <v>2780</v>
      </c>
      <c r="H800" s="2" t="s">
        <v>2781</v>
      </c>
      <c r="I800" s="2" t="s">
        <v>129</v>
      </c>
      <c r="J800" s="3">
        <v>44061</v>
      </c>
      <c r="K800" s="5">
        <f>YEAR(OrganizedData[[#This Row],[Order Date]])</f>
        <v>2020</v>
      </c>
      <c r="L800" s="7" t="str">
        <f>TEXT(OrganizedData[[#This Row],[Order Date]],"mmm")</f>
        <v>Aug</v>
      </c>
      <c r="M800" s="2">
        <v>51</v>
      </c>
      <c r="N800" s="2" t="s">
        <v>45</v>
      </c>
      <c r="O800" s="2" t="str">
        <f>VLOOKUP(OrganizedData[[#This Row],[Product Code]],ProductData[[Code]:[Item]],2,FALSE)</f>
        <v>Gigastuff</v>
      </c>
      <c r="P800" s="4">
        <f>OrganizedData[[#This Row],[Quantity]]*VLOOKUP(OrganizedData[[#This Row],[Product Code]],ProductData[],4,FALSE)</f>
        <v>918</v>
      </c>
      <c r="Q800" s="6">
        <f>OrganizedData[[#This Row],[Total Items Ordered]]*VLOOKUP(OrganizedData[[#This Row],[Product Code]],ProductData[],3,FALSE)</f>
        <v>1735.02</v>
      </c>
      <c r="R8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1648.269</v>
      </c>
    </row>
    <row r="801" spans="1:18" x14ac:dyDescent="0.3">
      <c r="A801" s="2">
        <v>794</v>
      </c>
      <c r="B801" s="2" t="s">
        <v>2782</v>
      </c>
      <c r="C801" s="2" t="s">
        <v>520</v>
      </c>
      <c r="D801" s="2" t="s">
        <v>28</v>
      </c>
      <c r="E801" s="2" t="s">
        <v>29</v>
      </c>
      <c r="F801" s="2">
        <v>30</v>
      </c>
      <c r="G801" s="2" t="s">
        <v>2783</v>
      </c>
      <c r="H801" s="2" t="s">
        <v>48</v>
      </c>
      <c r="I801" s="2" t="s">
        <v>25</v>
      </c>
      <c r="J801" s="3">
        <v>44715</v>
      </c>
      <c r="K801" s="5">
        <f>YEAR(OrganizedData[[#This Row],[Order Date]])</f>
        <v>2022</v>
      </c>
      <c r="L801" s="7" t="str">
        <f>TEXT(OrganizedData[[#This Row],[Order Date]],"mmm")</f>
        <v>Jun</v>
      </c>
      <c r="M801" s="2">
        <v>70</v>
      </c>
      <c r="N801" s="2" t="s">
        <v>159</v>
      </c>
      <c r="O801" s="2" t="str">
        <f>VLOOKUP(OrganizedData[[#This Row],[Product Code]],ProductData[[Code]:[Item]],2,FALSE)</f>
        <v>Ultrathing V3</v>
      </c>
      <c r="P801" s="4">
        <f>OrganizedData[[#This Row],[Quantity]]*VLOOKUP(OrganizedData[[#This Row],[Product Code]],ProductData[],4,FALSE)</f>
        <v>1680</v>
      </c>
      <c r="Q801" s="6">
        <f>OrganizedData[[#This Row],[Total Items Ordered]]*VLOOKUP(OrganizedData[[#This Row],[Product Code]],ProductData[],3,FALSE)</f>
        <v>5695.2</v>
      </c>
      <c r="R8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802" spans="1:18" x14ac:dyDescent="0.3">
      <c r="A802" s="2">
        <v>795</v>
      </c>
      <c r="B802" s="2" t="s">
        <v>2784</v>
      </c>
      <c r="C802" s="2" t="s">
        <v>2785</v>
      </c>
      <c r="D802" s="2" t="s">
        <v>28</v>
      </c>
      <c r="E802" s="2" t="s">
        <v>29</v>
      </c>
      <c r="F802" s="2">
        <v>30</v>
      </c>
      <c r="G802" s="2" t="s">
        <v>10476</v>
      </c>
      <c r="H802" s="2" t="s">
        <v>2787</v>
      </c>
      <c r="I802" s="2" t="s">
        <v>32</v>
      </c>
      <c r="J802" s="3">
        <v>44679</v>
      </c>
      <c r="K802" s="5">
        <f>YEAR(OrganizedData[[#This Row],[Order Date]])</f>
        <v>2022</v>
      </c>
      <c r="L802" s="7" t="str">
        <f>TEXT(OrganizedData[[#This Row],[Order Date]],"mmm")</f>
        <v>Apr</v>
      </c>
      <c r="M802" s="2">
        <v>46</v>
      </c>
      <c r="N802" s="2" t="s">
        <v>54</v>
      </c>
      <c r="O802" s="2" t="str">
        <f>VLOOKUP(OrganizedData[[#This Row],[Product Code]],ProductData[[Code]:[Item]],2,FALSE)</f>
        <v>Megawidget S</v>
      </c>
      <c r="P802" s="4">
        <f>OrganizedData[[#This Row],[Quantity]]*VLOOKUP(OrganizedData[[#This Row],[Product Code]],ProductData[],4,FALSE)</f>
        <v>1104</v>
      </c>
      <c r="Q802" s="6">
        <f>OrganizedData[[#This Row],[Total Items Ordered]]*VLOOKUP(OrganizedData[[#This Row],[Product Code]],ProductData[],3,FALSE)</f>
        <v>761.76</v>
      </c>
      <c r="R8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803" spans="1:18" x14ac:dyDescent="0.3">
      <c r="A803" s="2">
        <v>796</v>
      </c>
      <c r="B803" s="2" t="s">
        <v>2788</v>
      </c>
      <c r="C803" s="2" t="s">
        <v>2789</v>
      </c>
      <c r="D803" s="2" t="s">
        <v>28</v>
      </c>
      <c r="E803" s="2" t="s">
        <v>29</v>
      </c>
      <c r="F803" s="2">
        <v>60</v>
      </c>
      <c r="G803" s="2" t="s">
        <v>2790</v>
      </c>
      <c r="H803" s="2" t="s">
        <v>2791</v>
      </c>
      <c r="I803" s="2" t="s">
        <v>178</v>
      </c>
      <c r="J803" s="3">
        <v>44312</v>
      </c>
      <c r="K803" s="5">
        <f>YEAR(OrganizedData[[#This Row],[Order Date]])</f>
        <v>2021</v>
      </c>
      <c r="L803" s="7" t="str">
        <f>TEXT(OrganizedData[[#This Row],[Order Date]],"mmm")</f>
        <v>Apr</v>
      </c>
      <c r="M803" s="2">
        <v>73</v>
      </c>
      <c r="N803" s="2" t="s">
        <v>39</v>
      </c>
      <c r="O803" s="2" t="str">
        <f>VLOOKUP(OrganizedData[[#This Row],[Product Code]],ProductData[[Code]:[Item]],2,FALSE)</f>
        <v>Ultrathing V1</v>
      </c>
      <c r="P803" s="4">
        <f>OrganizedData[[#This Row],[Quantity]]*VLOOKUP(OrganizedData[[#This Row],[Product Code]],ProductData[],4,FALSE)</f>
        <v>1241</v>
      </c>
      <c r="Q803" s="6">
        <f>OrganizedData[[#This Row],[Total Items Ordered]]*VLOOKUP(OrganizedData[[#This Row],[Product Code]],ProductData[],3,FALSE)</f>
        <v>2221.39</v>
      </c>
      <c r="R8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804" spans="1:18" x14ac:dyDescent="0.3">
      <c r="A804" s="2">
        <v>797</v>
      </c>
      <c r="B804" s="2" t="s">
        <v>2792</v>
      </c>
      <c r="C804" s="2" t="s">
        <v>2793</v>
      </c>
      <c r="D804" s="2" t="s">
        <v>15</v>
      </c>
      <c r="E804" s="2" t="s">
        <v>16</v>
      </c>
      <c r="F804" s="2">
        <v>60</v>
      </c>
      <c r="G804" s="2" t="s">
        <v>2794</v>
      </c>
      <c r="H804" s="2" t="s">
        <v>2795</v>
      </c>
      <c r="I804" s="2" t="s">
        <v>38</v>
      </c>
      <c r="J804" s="3">
        <v>44056</v>
      </c>
      <c r="K804" s="5">
        <f>YEAR(OrganizedData[[#This Row],[Order Date]])</f>
        <v>2020</v>
      </c>
      <c r="L804" s="7" t="str">
        <f>TEXT(OrganizedData[[#This Row],[Order Date]],"mmm")</f>
        <v>Aug</v>
      </c>
      <c r="M804" s="2">
        <v>49</v>
      </c>
      <c r="N804" s="2" t="s">
        <v>33</v>
      </c>
      <c r="O804" s="2" t="str">
        <f>VLOOKUP(OrganizedData[[#This Row],[Product Code]],ProductData[[Code]:[Item]],2,FALSE)</f>
        <v>Megawidget L</v>
      </c>
      <c r="P804" s="4">
        <f>OrganizedData[[#This Row],[Quantity]]*VLOOKUP(OrganizedData[[#This Row],[Product Code]],ProductData[],4,FALSE)</f>
        <v>1176</v>
      </c>
      <c r="Q804" s="6">
        <f>OrganizedData[[#This Row],[Total Items Ordered]]*VLOOKUP(OrganizedData[[#This Row],[Product Code]],ProductData[],3,FALSE)</f>
        <v>2105.04</v>
      </c>
      <c r="R8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2041.8887999999999</v>
      </c>
    </row>
    <row r="805" spans="1:18" x14ac:dyDescent="0.3">
      <c r="A805" s="2">
        <v>798</v>
      </c>
      <c r="B805" s="2" t="s">
        <v>2796</v>
      </c>
      <c r="C805" s="2" t="s">
        <v>2797</v>
      </c>
      <c r="D805" s="2" t="s">
        <v>28</v>
      </c>
      <c r="E805" s="2" t="s">
        <v>29</v>
      </c>
      <c r="F805" s="2">
        <v>30</v>
      </c>
      <c r="G805" s="2" t="s">
        <v>2798</v>
      </c>
      <c r="H805" s="2" t="s">
        <v>2799</v>
      </c>
      <c r="I805" s="2" t="s">
        <v>32</v>
      </c>
      <c r="J805" s="3">
        <v>44030</v>
      </c>
      <c r="K805" s="5">
        <f>YEAR(OrganizedData[[#This Row],[Order Date]])</f>
        <v>2020</v>
      </c>
      <c r="L805" s="7" t="str">
        <f>TEXT(OrganizedData[[#This Row],[Order Date]],"mmm")</f>
        <v>Jul</v>
      </c>
      <c r="M805" s="2">
        <v>26</v>
      </c>
      <c r="N805" s="2" t="s">
        <v>64</v>
      </c>
      <c r="O805" s="2" t="str">
        <f>VLOOKUP(OrganizedData[[#This Row],[Product Code]],ProductData[[Code]:[Item]],2,FALSE)</f>
        <v>Ultrathing V4</v>
      </c>
      <c r="P805" s="4">
        <f>OrganizedData[[#This Row],[Quantity]]*VLOOKUP(OrganizedData[[#This Row],[Product Code]],ProductData[],4,FALSE)</f>
        <v>624</v>
      </c>
      <c r="Q805" s="6">
        <f>OrganizedData[[#This Row],[Total Items Ordered]]*VLOOKUP(OrganizedData[[#This Row],[Product Code]],ProductData[],3,FALSE)</f>
        <v>2489.7600000000002</v>
      </c>
      <c r="R8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806" spans="1:18" x14ac:dyDescent="0.3">
      <c r="A806" s="2">
        <v>799</v>
      </c>
      <c r="B806" s="2" t="s">
        <v>2800</v>
      </c>
      <c r="C806" s="2" t="s">
        <v>2203</v>
      </c>
      <c r="D806" s="2" t="s">
        <v>92</v>
      </c>
      <c r="E806" s="2" t="s">
        <v>16</v>
      </c>
      <c r="F806" s="2">
        <v>30</v>
      </c>
      <c r="G806" s="2" t="s">
        <v>2801</v>
      </c>
      <c r="H806" s="2" t="s">
        <v>1615</v>
      </c>
      <c r="I806" s="2" t="s">
        <v>32</v>
      </c>
      <c r="J806" s="3">
        <v>44736</v>
      </c>
      <c r="K806" s="5">
        <f>YEAR(OrganizedData[[#This Row],[Order Date]])</f>
        <v>2022</v>
      </c>
      <c r="L806" s="7" t="str">
        <f>TEXT(OrganizedData[[#This Row],[Order Date]],"mmm")</f>
        <v>Jun</v>
      </c>
      <c r="M806" s="2">
        <v>11</v>
      </c>
      <c r="N806" s="2" t="s">
        <v>45</v>
      </c>
      <c r="O806" s="2" t="str">
        <f>VLOOKUP(OrganizedData[[#This Row],[Product Code]],ProductData[[Code]:[Item]],2,FALSE)</f>
        <v>Gigastuff</v>
      </c>
      <c r="P806" s="4">
        <f>OrganizedData[[#This Row],[Quantity]]*VLOOKUP(OrganizedData[[#This Row],[Product Code]],ProductData[],4,FALSE)</f>
        <v>198</v>
      </c>
      <c r="Q806" s="6">
        <f>OrganizedData[[#This Row],[Total Items Ordered]]*VLOOKUP(OrganizedData[[#This Row],[Product Code]],ProductData[],3,FALSE)</f>
        <v>374.21999999999997</v>
      </c>
      <c r="R8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374.21999999999997</v>
      </c>
    </row>
    <row r="807" spans="1:18" x14ac:dyDescent="0.3">
      <c r="A807" s="2">
        <v>800</v>
      </c>
      <c r="B807" s="2" t="s">
        <v>2802</v>
      </c>
      <c r="C807" s="2" t="s">
        <v>983</v>
      </c>
      <c r="D807" s="2" t="s">
        <v>51</v>
      </c>
      <c r="E807" s="2" t="s">
        <v>16</v>
      </c>
      <c r="F807" s="2">
        <v>60</v>
      </c>
      <c r="G807" s="2" t="s">
        <v>2803</v>
      </c>
      <c r="H807" s="2" t="s">
        <v>2804</v>
      </c>
      <c r="I807" s="2" t="s">
        <v>124</v>
      </c>
      <c r="J807" s="3">
        <v>44891</v>
      </c>
      <c r="K807" s="5">
        <f>YEAR(OrganizedData[[#This Row],[Order Date]])</f>
        <v>2022</v>
      </c>
      <c r="L807" s="7" t="str">
        <f>TEXT(OrganizedData[[#This Row],[Order Date]],"mmm")</f>
        <v>Nov</v>
      </c>
      <c r="M807" s="2">
        <v>36</v>
      </c>
      <c r="N807" s="2" t="s">
        <v>20</v>
      </c>
      <c r="O807" s="2" t="str">
        <f>VLOOKUP(OrganizedData[[#This Row],[Product Code]],ProductData[[Code]:[Item]],2,FALSE)</f>
        <v>Hyperwotsit</v>
      </c>
      <c r="P807" s="4">
        <f>OrganizedData[[#This Row],[Quantity]]*VLOOKUP(OrganizedData[[#This Row],[Product Code]],ProductData[],4,FALSE)</f>
        <v>720</v>
      </c>
      <c r="Q807" s="6">
        <f>OrganizedData[[#This Row],[Total Items Ordered]]*VLOOKUP(OrganizedData[[#This Row],[Product Code]],ProductData[],3,FALSE)</f>
        <v>1447.1999999999998</v>
      </c>
      <c r="R8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1403.7839999999999</v>
      </c>
    </row>
    <row r="808" spans="1:18" x14ac:dyDescent="0.3">
      <c r="A808" s="2">
        <v>801</v>
      </c>
      <c r="B808" s="2" t="s">
        <v>2805</v>
      </c>
      <c r="C808" s="2" t="s">
        <v>2806</v>
      </c>
      <c r="D808" s="2" t="s">
        <v>28</v>
      </c>
      <c r="E808" s="2" t="s">
        <v>29</v>
      </c>
      <c r="F808" s="2">
        <v>90</v>
      </c>
      <c r="G808" s="2" t="s">
        <v>2807</v>
      </c>
      <c r="H808" s="2" t="s">
        <v>1568</v>
      </c>
      <c r="I808" s="2" t="s">
        <v>32</v>
      </c>
      <c r="J808" s="3">
        <v>44157</v>
      </c>
      <c r="K808" s="5">
        <f>YEAR(OrganizedData[[#This Row],[Order Date]])</f>
        <v>2020</v>
      </c>
      <c r="L808" s="7" t="str">
        <f>TEXT(OrganizedData[[#This Row],[Order Date]],"mmm")</f>
        <v>Nov</v>
      </c>
      <c r="M808" s="2">
        <v>72</v>
      </c>
      <c r="N808" s="2" t="s">
        <v>20</v>
      </c>
      <c r="O808" s="2" t="str">
        <f>VLOOKUP(OrganizedData[[#This Row],[Product Code]],ProductData[[Code]:[Item]],2,FALSE)</f>
        <v>Hyperwotsit</v>
      </c>
      <c r="P808" s="4">
        <f>OrganizedData[[#This Row],[Quantity]]*VLOOKUP(OrganizedData[[#This Row],[Product Code]],ProductData[],4,FALSE)</f>
        <v>1440</v>
      </c>
      <c r="Q808" s="6">
        <f>OrganizedData[[#This Row],[Total Items Ordered]]*VLOOKUP(OrganizedData[[#This Row],[Product Code]],ProductData[],3,FALSE)</f>
        <v>2894.3999999999996</v>
      </c>
      <c r="R8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809" spans="1:18" x14ac:dyDescent="0.3">
      <c r="A809" s="2">
        <v>802</v>
      </c>
      <c r="B809" s="2" t="s">
        <v>2808</v>
      </c>
      <c r="C809" s="2" t="s">
        <v>2809</v>
      </c>
      <c r="D809" s="2" t="s">
        <v>15</v>
      </c>
      <c r="E809" s="2" t="s">
        <v>16</v>
      </c>
      <c r="F809" s="2">
        <v>60</v>
      </c>
      <c r="G809" s="2" t="s">
        <v>2810</v>
      </c>
      <c r="H809" s="2" t="s">
        <v>2811</v>
      </c>
      <c r="I809" s="2" t="s">
        <v>32</v>
      </c>
      <c r="J809" s="3">
        <v>44734</v>
      </c>
      <c r="K809" s="5">
        <f>YEAR(OrganizedData[[#This Row],[Order Date]])</f>
        <v>2022</v>
      </c>
      <c r="L809" s="7" t="str">
        <f>TEXT(OrganizedData[[#This Row],[Order Date]],"mmm")</f>
        <v>Jun</v>
      </c>
      <c r="M809" s="2">
        <v>70</v>
      </c>
      <c r="N809" s="2" t="s">
        <v>33</v>
      </c>
      <c r="O809" s="2" t="str">
        <f>VLOOKUP(OrganizedData[[#This Row],[Product Code]],ProductData[[Code]:[Item]],2,FALSE)</f>
        <v>Megawidget L</v>
      </c>
      <c r="P809" s="4">
        <f>OrganizedData[[#This Row],[Quantity]]*VLOOKUP(OrganizedData[[#This Row],[Product Code]],ProductData[],4,FALSE)</f>
        <v>1680</v>
      </c>
      <c r="Q809" s="6">
        <f>OrganizedData[[#This Row],[Total Items Ordered]]*VLOOKUP(OrganizedData[[#This Row],[Product Code]],ProductData[],3,FALSE)</f>
        <v>3007.2000000000003</v>
      </c>
      <c r="R8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810" spans="1:18" x14ac:dyDescent="0.3">
      <c r="A810" s="2">
        <v>803</v>
      </c>
      <c r="B810" s="2" t="s">
        <v>2812</v>
      </c>
      <c r="C810" s="2" t="s">
        <v>2813</v>
      </c>
      <c r="D810" s="2" t="s">
        <v>51</v>
      </c>
      <c r="E810" s="2" t="s">
        <v>16</v>
      </c>
      <c r="F810" s="2">
        <v>60</v>
      </c>
      <c r="G810" s="2" t="s">
        <v>2814</v>
      </c>
      <c r="H810" s="2" t="s">
        <v>2667</v>
      </c>
      <c r="I810" s="2" t="s">
        <v>187</v>
      </c>
      <c r="J810" s="3">
        <v>44837</v>
      </c>
      <c r="K810" s="5">
        <f>YEAR(OrganizedData[[#This Row],[Order Date]])</f>
        <v>2022</v>
      </c>
      <c r="L810" s="7" t="str">
        <f>TEXT(OrganizedData[[#This Row],[Order Date]],"mmm")</f>
        <v>Oct</v>
      </c>
      <c r="M810" s="2">
        <v>40</v>
      </c>
      <c r="N810" s="2" t="s">
        <v>101</v>
      </c>
      <c r="O810" s="2" t="str">
        <f>VLOOKUP(OrganizedData[[#This Row],[Product Code]],ProductData[[Code]:[Item]],2,FALSE)</f>
        <v>Superwossname</v>
      </c>
      <c r="P810" s="4">
        <f>OrganizedData[[#This Row],[Quantity]]*VLOOKUP(OrganizedData[[#This Row],[Product Code]],ProductData[],4,FALSE)</f>
        <v>800</v>
      </c>
      <c r="Q810" s="6">
        <f>OrganizedData[[#This Row],[Total Items Ordered]]*VLOOKUP(OrganizedData[[#This Row],[Product Code]],ProductData[],3,FALSE)</f>
        <v>2792</v>
      </c>
      <c r="R8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2708.24</v>
      </c>
    </row>
    <row r="811" spans="1:18" x14ac:dyDescent="0.3">
      <c r="A811" s="2">
        <v>804</v>
      </c>
      <c r="B811" s="2" t="s">
        <v>2815</v>
      </c>
      <c r="C811" s="2" t="s">
        <v>2816</v>
      </c>
      <c r="D811" s="2" t="s">
        <v>28</v>
      </c>
      <c r="E811" s="2" t="s">
        <v>29</v>
      </c>
      <c r="F811" s="2">
        <v>90</v>
      </c>
      <c r="G811" s="2" t="s">
        <v>2817</v>
      </c>
      <c r="H811" s="2" t="s">
        <v>2818</v>
      </c>
      <c r="I811" s="2" t="s">
        <v>32</v>
      </c>
      <c r="J811" s="3">
        <v>44904</v>
      </c>
      <c r="K811" s="5">
        <f>YEAR(OrganizedData[[#This Row],[Order Date]])</f>
        <v>2022</v>
      </c>
      <c r="L811" s="7" t="str">
        <f>TEXT(OrganizedData[[#This Row],[Order Date]],"mmm")</f>
        <v>Dec</v>
      </c>
      <c r="M811" s="2">
        <v>37</v>
      </c>
      <c r="N811" s="2" t="s">
        <v>54</v>
      </c>
      <c r="O811" s="2" t="str">
        <f>VLOOKUP(OrganizedData[[#This Row],[Product Code]],ProductData[[Code]:[Item]],2,FALSE)</f>
        <v>Megawidget S</v>
      </c>
      <c r="P811" s="4">
        <f>OrganizedData[[#This Row],[Quantity]]*VLOOKUP(OrganizedData[[#This Row],[Product Code]],ProductData[],4,FALSE)</f>
        <v>888</v>
      </c>
      <c r="Q811" s="6">
        <f>OrganizedData[[#This Row],[Total Items Ordered]]*VLOOKUP(OrganizedData[[#This Row],[Product Code]],ProductData[],3,FALSE)</f>
        <v>612.71999999999991</v>
      </c>
      <c r="R8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812" spans="1:18" x14ac:dyDescent="0.3">
      <c r="A812" s="2">
        <v>805</v>
      </c>
      <c r="B812" s="2" t="s">
        <v>2819</v>
      </c>
      <c r="C812" s="2" t="s">
        <v>2820</v>
      </c>
      <c r="D812" s="2" t="s">
        <v>28</v>
      </c>
      <c r="E812" s="2" t="s">
        <v>29</v>
      </c>
      <c r="F812" s="2">
        <v>60</v>
      </c>
      <c r="G812" s="2" t="s">
        <v>2821</v>
      </c>
      <c r="H812" s="2" t="s">
        <v>2822</v>
      </c>
      <c r="I812" s="2" t="s">
        <v>32</v>
      </c>
      <c r="J812" s="3">
        <v>44815</v>
      </c>
      <c r="K812" s="5">
        <f>YEAR(OrganizedData[[#This Row],[Order Date]])</f>
        <v>2022</v>
      </c>
      <c r="L812" s="7" t="str">
        <f>TEXT(OrganizedData[[#This Row],[Order Date]],"mmm")</f>
        <v>Sep</v>
      </c>
      <c r="M812" s="2">
        <v>96</v>
      </c>
      <c r="N812" s="2" t="s">
        <v>54</v>
      </c>
      <c r="O812" s="2" t="str">
        <f>VLOOKUP(OrganizedData[[#This Row],[Product Code]],ProductData[[Code]:[Item]],2,FALSE)</f>
        <v>Megawidget S</v>
      </c>
      <c r="P812" s="4">
        <f>OrganizedData[[#This Row],[Quantity]]*VLOOKUP(OrganizedData[[#This Row],[Product Code]],ProductData[],4,FALSE)</f>
        <v>2304</v>
      </c>
      <c r="Q812" s="6">
        <f>OrganizedData[[#This Row],[Total Items Ordered]]*VLOOKUP(OrganizedData[[#This Row],[Product Code]],ProductData[],3,FALSE)</f>
        <v>1589.7599999999998</v>
      </c>
      <c r="R8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1510.2719999999997</v>
      </c>
    </row>
    <row r="813" spans="1:18" x14ac:dyDescent="0.3">
      <c r="A813" s="2">
        <v>806</v>
      </c>
      <c r="B813" s="2" t="s">
        <v>2823</v>
      </c>
      <c r="C813" s="2" t="s">
        <v>2824</v>
      </c>
      <c r="D813" s="2" t="s">
        <v>15</v>
      </c>
      <c r="E813" s="2" t="s">
        <v>16</v>
      </c>
      <c r="F813" s="2">
        <v>30</v>
      </c>
      <c r="G813" s="2" t="s">
        <v>2825</v>
      </c>
      <c r="H813" s="2" t="s">
        <v>1206</v>
      </c>
      <c r="I813" s="2" t="s">
        <v>294</v>
      </c>
      <c r="J813" s="3">
        <v>44300</v>
      </c>
      <c r="K813" s="5">
        <f>YEAR(OrganizedData[[#This Row],[Order Date]])</f>
        <v>2021</v>
      </c>
      <c r="L813" s="7" t="str">
        <f>TEXT(OrganizedData[[#This Row],[Order Date]],"mmm")</f>
        <v>Apr</v>
      </c>
      <c r="M813" s="2">
        <v>51</v>
      </c>
      <c r="N813" s="2" t="s">
        <v>80</v>
      </c>
      <c r="O813" s="2" t="str">
        <f>VLOOKUP(OrganizedData[[#This Row],[Product Code]],ProductData[[Code]:[Item]],2,FALSE)</f>
        <v>Ultrathing V2</v>
      </c>
      <c r="P813" s="4">
        <f>OrganizedData[[#This Row],[Quantity]]*VLOOKUP(OrganizedData[[#This Row],[Product Code]],ProductData[],4,FALSE)</f>
        <v>1020</v>
      </c>
      <c r="Q813" s="6">
        <f>OrganizedData[[#This Row],[Total Items Ordered]]*VLOOKUP(OrganizedData[[#This Row],[Product Code]],ProductData[],3,FALSE)</f>
        <v>3009</v>
      </c>
      <c r="R8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814" spans="1:18" x14ac:dyDescent="0.3">
      <c r="A814" s="2">
        <v>807</v>
      </c>
      <c r="B814" s="2" t="s">
        <v>2308</v>
      </c>
      <c r="C814" s="2" t="s">
        <v>2826</v>
      </c>
      <c r="D814" s="2" t="s">
        <v>51</v>
      </c>
      <c r="E814" s="2" t="s">
        <v>16</v>
      </c>
      <c r="F814" s="2">
        <v>30</v>
      </c>
      <c r="G814" s="2" t="s">
        <v>2827</v>
      </c>
      <c r="H814" s="2" t="s">
        <v>702</v>
      </c>
      <c r="I814" s="2" t="s">
        <v>703</v>
      </c>
      <c r="J814" s="3">
        <v>43928</v>
      </c>
      <c r="K814" s="5">
        <f>YEAR(OrganizedData[[#This Row],[Order Date]])</f>
        <v>2020</v>
      </c>
      <c r="L814" s="7" t="str">
        <f>TEXT(OrganizedData[[#This Row],[Order Date]],"mmm")</f>
        <v>Apr</v>
      </c>
      <c r="M814" s="2">
        <v>64</v>
      </c>
      <c r="N814" s="2" t="s">
        <v>101</v>
      </c>
      <c r="O814" s="2" t="str">
        <f>VLOOKUP(OrganizedData[[#This Row],[Product Code]],ProductData[[Code]:[Item]],2,FALSE)</f>
        <v>Superwossname</v>
      </c>
      <c r="P814" s="4">
        <f>OrganizedData[[#This Row],[Quantity]]*VLOOKUP(OrganizedData[[#This Row],[Product Code]],ProductData[],4,FALSE)</f>
        <v>1280</v>
      </c>
      <c r="Q814" s="6">
        <f>OrganizedData[[#This Row],[Total Items Ordered]]*VLOOKUP(OrganizedData[[#This Row],[Product Code]],ProductData[],3,FALSE)</f>
        <v>4467.2000000000007</v>
      </c>
      <c r="R8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815" spans="1:18" x14ac:dyDescent="0.3">
      <c r="A815" s="2">
        <v>808</v>
      </c>
      <c r="B815" s="2" t="s">
        <v>2828</v>
      </c>
      <c r="C815" s="2" t="s">
        <v>2829</v>
      </c>
      <c r="D815" s="2" t="s">
        <v>28</v>
      </c>
      <c r="E815" s="2" t="s">
        <v>29</v>
      </c>
      <c r="F815" s="2">
        <v>90</v>
      </c>
      <c r="G815" s="2" t="s">
        <v>10477</v>
      </c>
      <c r="H815" s="2" t="s">
        <v>2831</v>
      </c>
      <c r="I815" s="2" t="s">
        <v>32</v>
      </c>
      <c r="J815" s="3">
        <v>44080</v>
      </c>
      <c r="K815" s="5">
        <f>YEAR(OrganizedData[[#This Row],[Order Date]])</f>
        <v>2020</v>
      </c>
      <c r="L815" s="7" t="str">
        <f>TEXT(OrganizedData[[#This Row],[Order Date]],"mmm")</f>
        <v>Sep</v>
      </c>
      <c r="M815" s="2">
        <v>6</v>
      </c>
      <c r="N815" s="2" t="s">
        <v>101</v>
      </c>
      <c r="O815" s="2" t="str">
        <f>VLOOKUP(OrganizedData[[#This Row],[Product Code]],ProductData[[Code]:[Item]],2,FALSE)</f>
        <v>Superwossname</v>
      </c>
      <c r="P815" s="4">
        <f>OrganizedData[[#This Row],[Quantity]]*VLOOKUP(OrganizedData[[#This Row],[Product Code]],ProductData[],4,FALSE)</f>
        <v>120</v>
      </c>
      <c r="Q815" s="6">
        <f>OrganizedData[[#This Row],[Total Items Ordered]]*VLOOKUP(OrganizedData[[#This Row],[Product Code]],ProductData[],3,FALSE)</f>
        <v>418.8</v>
      </c>
      <c r="R8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418.8</v>
      </c>
    </row>
    <row r="816" spans="1:18" x14ac:dyDescent="0.3">
      <c r="A816" s="2">
        <v>809</v>
      </c>
      <c r="B816" s="2" t="s">
        <v>2682</v>
      </c>
      <c r="C816" s="2" t="s">
        <v>2832</v>
      </c>
      <c r="D816" s="2" t="s">
        <v>28</v>
      </c>
      <c r="E816" s="2" t="s">
        <v>29</v>
      </c>
      <c r="F816" s="2">
        <v>60</v>
      </c>
      <c r="G816" s="2" t="s">
        <v>2833</v>
      </c>
      <c r="H816" s="2" t="s">
        <v>2834</v>
      </c>
      <c r="I816" s="2" t="s">
        <v>19</v>
      </c>
      <c r="J816" s="3">
        <v>44577</v>
      </c>
      <c r="K816" s="5">
        <f>YEAR(OrganizedData[[#This Row],[Order Date]])</f>
        <v>2022</v>
      </c>
      <c r="L816" s="7" t="str">
        <f>TEXT(OrganizedData[[#This Row],[Order Date]],"mmm")</f>
        <v>Jan</v>
      </c>
      <c r="M816" s="2">
        <v>101</v>
      </c>
      <c r="N816" s="2" t="s">
        <v>80</v>
      </c>
      <c r="O816" s="2" t="str">
        <f>VLOOKUP(OrganizedData[[#This Row],[Product Code]],ProductData[[Code]:[Item]],2,FALSE)</f>
        <v>Ultrathing V2</v>
      </c>
      <c r="P816" s="4">
        <f>OrganizedData[[#This Row],[Quantity]]*VLOOKUP(OrganizedData[[#This Row],[Product Code]],ProductData[],4,FALSE)</f>
        <v>2020</v>
      </c>
      <c r="Q816" s="6">
        <f>OrganizedData[[#This Row],[Total Items Ordered]]*VLOOKUP(OrganizedData[[#This Row],[Product Code]],ProductData[],3,FALSE)</f>
        <v>5959</v>
      </c>
      <c r="R8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5541.87</v>
      </c>
    </row>
    <row r="817" spans="1:18" x14ac:dyDescent="0.3">
      <c r="A817" s="2">
        <v>810</v>
      </c>
      <c r="B817" s="2" t="s">
        <v>2835</v>
      </c>
      <c r="C817" s="2" t="s">
        <v>1737</v>
      </c>
      <c r="D817" s="2" t="s">
        <v>28</v>
      </c>
      <c r="E817" s="2" t="s">
        <v>29</v>
      </c>
      <c r="F817" s="2">
        <v>90</v>
      </c>
      <c r="G817" s="2" t="s">
        <v>2836</v>
      </c>
      <c r="H817" s="2" t="s">
        <v>2250</v>
      </c>
      <c r="I817" s="2" t="s">
        <v>187</v>
      </c>
      <c r="J817" s="3">
        <v>44669</v>
      </c>
      <c r="K817" s="5">
        <f>YEAR(OrganizedData[[#This Row],[Order Date]])</f>
        <v>2022</v>
      </c>
      <c r="L817" s="7" t="str">
        <f>TEXT(OrganizedData[[#This Row],[Order Date]],"mmm")</f>
        <v>Apr</v>
      </c>
      <c r="M817" s="2">
        <v>4</v>
      </c>
      <c r="N817" s="2" t="s">
        <v>80</v>
      </c>
      <c r="O817" s="2" t="str">
        <f>VLOOKUP(OrganizedData[[#This Row],[Product Code]],ProductData[[Code]:[Item]],2,FALSE)</f>
        <v>Ultrathing V2</v>
      </c>
      <c r="P817" s="4">
        <f>OrganizedData[[#This Row],[Quantity]]*VLOOKUP(OrganizedData[[#This Row],[Product Code]],ProductData[],4,FALSE)</f>
        <v>80</v>
      </c>
      <c r="Q817" s="6">
        <f>OrganizedData[[#This Row],[Total Items Ordered]]*VLOOKUP(OrganizedData[[#This Row],[Product Code]],ProductData[],3,FALSE)</f>
        <v>236</v>
      </c>
      <c r="R8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818" spans="1:18" x14ac:dyDescent="0.3">
      <c r="A818" s="2">
        <v>811</v>
      </c>
      <c r="B818" s="2" t="s">
        <v>2837</v>
      </c>
      <c r="C818" s="2" t="s">
        <v>2838</v>
      </c>
      <c r="D818" s="2" t="s">
        <v>28</v>
      </c>
      <c r="E818" s="2" t="s">
        <v>29</v>
      </c>
      <c r="F818" s="2">
        <v>90</v>
      </c>
      <c r="G818" s="2" t="s">
        <v>2839</v>
      </c>
      <c r="H818" s="2" t="s">
        <v>266</v>
      </c>
      <c r="I818" s="2" t="s">
        <v>32</v>
      </c>
      <c r="J818" s="3">
        <v>44924</v>
      </c>
      <c r="K818" s="5">
        <f>YEAR(OrganizedData[[#This Row],[Order Date]])</f>
        <v>2022</v>
      </c>
      <c r="L818" s="7" t="str">
        <f>TEXT(OrganizedData[[#This Row],[Order Date]],"mmm")</f>
        <v>Dec</v>
      </c>
      <c r="M818" s="2">
        <v>6</v>
      </c>
      <c r="N818" s="2" t="s">
        <v>33</v>
      </c>
      <c r="O818" s="2" t="str">
        <f>VLOOKUP(OrganizedData[[#This Row],[Product Code]],ProductData[[Code]:[Item]],2,FALSE)</f>
        <v>Megawidget L</v>
      </c>
      <c r="P818" s="4">
        <f>OrganizedData[[#This Row],[Quantity]]*VLOOKUP(OrganizedData[[#This Row],[Product Code]],ProductData[],4,FALSE)</f>
        <v>144</v>
      </c>
      <c r="Q818" s="6">
        <f>OrganizedData[[#This Row],[Total Items Ordered]]*VLOOKUP(OrganizedData[[#This Row],[Product Code]],ProductData[],3,FALSE)</f>
        <v>257.76</v>
      </c>
      <c r="R8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257.76</v>
      </c>
    </row>
    <row r="819" spans="1:18" x14ac:dyDescent="0.3">
      <c r="A819" s="2">
        <v>812</v>
      </c>
      <c r="B819" s="2" t="s">
        <v>2840</v>
      </c>
      <c r="C819" s="2" t="s">
        <v>2841</v>
      </c>
      <c r="D819" s="2" t="s">
        <v>28</v>
      </c>
      <c r="E819" s="2" t="s">
        <v>29</v>
      </c>
      <c r="F819" s="2">
        <v>30</v>
      </c>
      <c r="G819" s="2" t="s">
        <v>2842</v>
      </c>
      <c r="H819" s="2" t="s">
        <v>1142</v>
      </c>
      <c r="I819" s="2" t="s">
        <v>38</v>
      </c>
      <c r="J819" s="3">
        <v>44444</v>
      </c>
      <c r="K819" s="5">
        <f>YEAR(OrganizedData[[#This Row],[Order Date]])</f>
        <v>2021</v>
      </c>
      <c r="L819" s="7" t="str">
        <f>TEXT(OrganizedData[[#This Row],[Order Date]],"mmm")</f>
        <v>Sep</v>
      </c>
      <c r="M819" s="2">
        <v>73</v>
      </c>
      <c r="N819" s="2" t="s">
        <v>20</v>
      </c>
      <c r="O819" s="2" t="str">
        <f>VLOOKUP(OrganizedData[[#This Row],[Product Code]],ProductData[[Code]:[Item]],2,FALSE)</f>
        <v>Hyperwotsit</v>
      </c>
      <c r="P819" s="4">
        <f>OrganizedData[[#This Row],[Quantity]]*VLOOKUP(OrganizedData[[#This Row],[Product Code]],ProductData[],4,FALSE)</f>
        <v>1460</v>
      </c>
      <c r="Q819" s="6">
        <f>OrganizedData[[#This Row],[Total Items Ordered]]*VLOOKUP(OrganizedData[[#This Row],[Product Code]],ProductData[],3,FALSE)</f>
        <v>2934.6</v>
      </c>
      <c r="R8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820" spans="1:18" x14ac:dyDescent="0.3">
      <c r="A820" s="2">
        <v>813</v>
      </c>
      <c r="B820" s="2" t="s">
        <v>2843</v>
      </c>
      <c r="C820" s="2" t="s">
        <v>2844</v>
      </c>
      <c r="D820" s="2" t="s">
        <v>92</v>
      </c>
      <c r="E820" s="2" t="s">
        <v>16</v>
      </c>
      <c r="F820" s="2">
        <v>90</v>
      </c>
      <c r="G820" s="2" t="s">
        <v>2845</v>
      </c>
      <c r="H820" s="2" t="s">
        <v>2846</v>
      </c>
      <c r="I820" s="2" t="s">
        <v>32</v>
      </c>
      <c r="J820" s="3">
        <v>44410</v>
      </c>
      <c r="K820" s="5">
        <f>YEAR(OrganizedData[[#This Row],[Order Date]])</f>
        <v>2021</v>
      </c>
      <c r="L820" s="7" t="str">
        <f>TEXT(OrganizedData[[#This Row],[Order Date]],"mmm")</f>
        <v>Aug</v>
      </c>
      <c r="M820" s="2">
        <v>63</v>
      </c>
      <c r="N820" s="2" t="s">
        <v>64</v>
      </c>
      <c r="O820" s="2" t="str">
        <f>VLOOKUP(OrganizedData[[#This Row],[Product Code]],ProductData[[Code]:[Item]],2,FALSE)</f>
        <v>Ultrathing V4</v>
      </c>
      <c r="P820" s="4">
        <f>OrganizedData[[#This Row],[Quantity]]*VLOOKUP(OrganizedData[[#This Row],[Product Code]],ProductData[],4,FALSE)</f>
        <v>1512</v>
      </c>
      <c r="Q820" s="6">
        <f>OrganizedData[[#This Row],[Total Items Ordered]]*VLOOKUP(OrganizedData[[#This Row],[Product Code]],ProductData[],3,FALSE)</f>
        <v>6032.88</v>
      </c>
      <c r="R8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5731.2359999999999</v>
      </c>
    </row>
    <row r="821" spans="1:18" x14ac:dyDescent="0.3">
      <c r="A821" s="2">
        <v>814</v>
      </c>
      <c r="B821" s="2" t="s">
        <v>2665</v>
      </c>
      <c r="C821" s="2" t="s">
        <v>143</v>
      </c>
      <c r="D821" s="2" t="s">
        <v>28</v>
      </c>
      <c r="E821" s="2" t="s">
        <v>29</v>
      </c>
      <c r="F821" s="2">
        <v>30</v>
      </c>
      <c r="G821" s="2" t="s">
        <v>2847</v>
      </c>
      <c r="H821" s="2" t="s">
        <v>2848</v>
      </c>
      <c r="I821" s="2" t="s">
        <v>129</v>
      </c>
      <c r="J821" s="3">
        <v>43901</v>
      </c>
      <c r="K821" s="5">
        <f>YEAR(OrganizedData[[#This Row],[Order Date]])</f>
        <v>2020</v>
      </c>
      <c r="L821" s="7" t="str">
        <f>TEXT(OrganizedData[[#This Row],[Order Date]],"mmm")</f>
        <v>Mar</v>
      </c>
      <c r="M821" s="2">
        <v>17</v>
      </c>
      <c r="N821" s="2" t="s">
        <v>45</v>
      </c>
      <c r="O821" s="2" t="str">
        <f>VLOOKUP(OrganizedData[[#This Row],[Product Code]],ProductData[[Code]:[Item]],2,FALSE)</f>
        <v>Gigastuff</v>
      </c>
      <c r="P821" s="4">
        <f>OrganizedData[[#This Row],[Quantity]]*VLOOKUP(OrganizedData[[#This Row],[Product Code]],ProductData[],4,FALSE)</f>
        <v>306</v>
      </c>
      <c r="Q821" s="6">
        <f>OrganizedData[[#This Row],[Total Items Ordered]]*VLOOKUP(OrganizedData[[#This Row],[Product Code]],ProductData[],3,FALSE)</f>
        <v>578.33999999999992</v>
      </c>
      <c r="R8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822" spans="1:18" x14ac:dyDescent="0.3">
      <c r="A822" s="2">
        <v>815</v>
      </c>
      <c r="B822" s="2" t="s">
        <v>2849</v>
      </c>
      <c r="C822" s="2" t="s">
        <v>193</v>
      </c>
      <c r="D822" s="2" t="s">
        <v>28</v>
      </c>
      <c r="E822" s="2" t="s">
        <v>29</v>
      </c>
      <c r="F822" s="2">
        <v>60</v>
      </c>
      <c r="G822" s="2" t="s">
        <v>2850</v>
      </c>
      <c r="H822" s="2" t="s">
        <v>2851</v>
      </c>
      <c r="I822" s="2" t="s">
        <v>32</v>
      </c>
      <c r="J822" s="3">
        <v>44322</v>
      </c>
      <c r="K822" s="5">
        <f>YEAR(OrganizedData[[#This Row],[Order Date]])</f>
        <v>2021</v>
      </c>
      <c r="L822" s="7" t="str">
        <f>TEXT(OrganizedData[[#This Row],[Order Date]],"mmm")</f>
        <v>May</v>
      </c>
      <c r="M822" s="2">
        <v>21</v>
      </c>
      <c r="N822" s="2" t="s">
        <v>64</v>
      </c>
      <c r="O822" s="2" t="str">
        <f>VLOOKUP(OrganizedData[[#This Row],[Product Code]],ProductData[[Code]:[Item]],2,FALSE)</f>
        <v>Ultrathing V4</v>
      </c>
      <c r="P822" s="4">
        <f>OrganizedData[[#This Row],[Quantity]]*VLOOKUP(OrganizedData[[#This Row],[Product Code]],ProductData[],4,FALSE)</f>
        <v>504</v>
      </c>
      <c r="Q822" s="6">
        <f>OrganizedData[[#This Row],[Total Items Ordered]]*VLOOKUP(OrganizedData[[#This Row],[Product Code]],ProductData[],3,FALSE)</f>
        <v>2010.96</v>
      </c>
      <c r="R8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823" spans="1:18" x14ac:dyDescent="0.3">
      <c r="A823" s="2">
        <v>816</v>
      </c>
      <c r="B823" s="2" t="s">
        <v>2852</v>
      </c>
      <c r="C823" s="2" t="s">
        <v>2853</v>
      </c>
      <c r="D823" s="2" t="s">
        <v>15</v>
      </c>
      <c r="E823" s="2" t="s">
        <v>16</v>
      </c>
      <c r="F823" s="2">
        <v>90</v>
      </c>
      <c r="G823" s="2" t="s">
        <v>2854</v>
      </c>
      <c r="H823" s="2" t="s">
        <v>2855</v>
      </c>
      <c r="I823" s="2" t="s">
        <v>110</v>
      </c>
      <c r="J823" s="3">
        <v>44701</v>
      </c>
      <c r="K823" s="5">
        <f>YEAR(OrganizedData[[#This Row],[Order Date]])</f>
        <v>2022</v>
      </c>
      <c r="L823" s="7" t="str">
        <f>TEXT(OrganizedData[[#This Row],[Order Date]],"mmm")</f>
        <v>May</v>
      </c>
      <c r="M823" s="2">
        <v>5</v>
      </c>
      <c r="N823" s="2" t="s">
        <v>101</v>
      </c>
      <c r="O823" s="2" t="str">
        <f>VLOOKUP(OrganizedData[[#This Row],[Product Code]],ProductData[[Code]:[Item]],2,FALSE)</f>
        <v>Superwossname</v>
      </c>
      <c r="P823" s="4">
        <f>OrganizedData[[#This Row],[Quantity]]*VLOOKUP(OrganizedData[[#This Row],[Product Code]],ProductData[],4,FALSE)</f>
        <v>100</v>
      </c>
      <c r="Q823" s="6">
        <f>OrganizedData[[#This Row],[Total Items Ordered]]*VLOOKUP(OrganizedData[[#This Row],[Product Code]],ProductData[],3,FALSE)</f>
        <v>349</v>
      </c>
      <c r="R8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824" spans="1:18" x14ac:dyDescent="0.3">
      <c r="A824" s="2">
        <v>817</v>
      </c>
      <c r="B824" s="2" t="s">
        <v>1985</v>
      </c>
      <c r="C824" s="2" t="s">
        <v>2856</v>
      </c>
      <c r="D824" s="2" t="s">
        <v>28</v>
      </c>
      <c r="E824" s="2" t="s">
        <v>29</v>
      </c>
      <c r="F824" s="2">
        <v>30</v>
      </c>
      <c r="G824" s="2" t="s">
        <v>2857</v>
      </c>
      <c r="H824" s="2" t="s">
        <v>248</v>
      </c>
      <c r="I824" s="2" t="s">
        <v>178</v>
      </c>
      <c r="J824" s="3">
        <v>44002</v>
      </c>
      <c r="K824" s="5">
        <f>YEAR(OrganizedData[[#This Row],[Order Date]])</f>
        <v>2020</v>
      </c>
      <c r="L824" s="7" t="str">
        <f>TEXT(OrganizedData[[#This Row],[Order Date]],"mmm")</f>
        <v>Jun</v>
      </c>
      <c r="M824" s="2">
        <v>77</v>
      </c>
      <c r="N824" s="2" t="s">
        <v>39</v>
      </c>
      <c r="O824" s="2" t="str">
        <f>VLOOKUP(OrganizedData[[#This Row],[Product Code]],ProductData[[Code]:[Item]],2,FALSE)</f>
        <v>Ultrathing V1</v>
      </c>
      <c r="P824" s="4">
        <f>OrganizedData[[#This Row],[Quantity]]*VLOOKUP(OrganizedData[[#This Row],[Product Code]],ProductData[],4,FALSE)</f>
        <v>1309</v>
      </c>
      <c r="Q824" s="6">
        <f>OrganizedData[[#This Row],[Total Items Ordered]]*VLOOKUP(OrganizedData[[#This Row],[Product Code]],ProductData[],3,FALSE)</f>
        <v>2343.11</v>
      </c>
      <c r="R8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825" spans="1:18" x14ac:dyDescent="0.3">
      <c r="A825" s="2">
        <v>818</v>
      </c>
      <c r="B825" s="2" t="s">
        <v>990</v>
      </c>
      <c r="C825" s="2" t="s">
        <v>2858</v>
      </c>
      <c r="D825" s="2" t="s">
        <v>28</v>
      </c>
      <c r="E825" s="2" t="s">
        <v>29</v>
      </c>
      <c r="F825" s="2">
        <v>60</v>
      </c>
      <c r="G825" s="2" t="s">
        <v>2859</v>
      </c>
      <c r="H825" s="2" t="s">
        <v>2860</v>
      </c>
      <c r="I825" s="2" t="s">
        <v>32</v>
      </c>
      <c r="J825" s="3">
        <v>44355</v>
      </c>
      <c r="K825" s="5">
        <f>YEAR(OrganizedData[[#This Row],[Order Date]])</f>
        <v>2021</v>
      </c>
      <c r="L825" s="7" t="str">
        <f>TEXT(OrganizedData[[#This Row],[Order Date]],"mmm")</f>
        <v>Jun</v>
      </c>
      <c r="M825" s="2">
        <v>9</v>
      </c>
      <c r="N825" s="2" t="s">
        <v>33</v>
      </c>
      <c r="O825" s="2" t="str">
        <f>VLOOKUP(OrganizedData[[#This Row],[Product Code]],ProductData[[Code]:[Item]],2,FALSE)</f>
        <v>Megawidget L</v>
      </c>
      <c r="P825" s="4">
        <f>OrganizedData[[#This Row],[Quantity]]*VLOOKUP(OrganizedData[[#This Row],[Product Code]],ProductData[],4,FALSE)</f>
        <v>216</v>
      </c>
      <c r="Q825" s="6">
        <f>OrganizedData[[#This Row],[Total Items Ordered]]*VLOOKUP(OrganizedData[[#This Row],[Product Code]],ProductData[],3,FALSE)</f>
        <v>386.64</v>
      </c>
      <c r="R8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386.64</v>
      </c>
    </row>
    <row r="826" spans="1:18" x14ac:dyDescent="0.3">
      <c r="A826" s="2">
        <v>819</v>
      </c>
      <c r="B826" s="2" t="s">
        <v>2861</v>
      </c>
      <c r="C826" s="2" t="s">
        <v>2862</v>
      </c>
      <c r="D826" s="2" t="s">
        <v>51</v>
      </c>
      <c r="E826" s="2" t="s">
        <v>16</v>
      </c>
      <c r="F826" s="2">
        <v>90</v>
      </c>
      <c r="G826" s="2" t="s">
        <v>2863</v>
      </c>
      <c r="H826" s="2" t="s">
        <v>2864</v>
      </c>
      <c r="I826" s="2" t="s">
        <v>187</v>
      </c>
      <c r="J826" s="3">
        <v>44113</v>
      </c>
      <c r="K826" s="5">
        <f>YEAR(OrganizedData[[#This Row],[Order Date]])</f>
        <v>2020</v>
      </c>
      <c r="L826" s="7" t="str">
        <f>TEXT(OrganizedData[[#This Row],[Order Date]],"mmm")</f>
        <v>Oct</v>
      </c>
      <c r="M826" s="2">
        <v>18</v>
      </c>
      <c r="N826" s="2" t="s">
        <v>20</v>
      </c>
      <c r="O826" s="2" t="str">
        <f>VLOOKUP(OrganizedData[[#This Row],[Product Code]],ProductData[[Code]:[Item]],2,FALSE)</f>
        <v>Hyperwotsit</v>
      </c>
      <c r="P826" s="4">
        <f>OrganizedData[[#This Row],[Quantity]]*VLOOKUP(OrganizedData[[#This Row],[Product Code]],ProductData[],4,FALSE)</f>
        <v>360</v>
      </c>
      <c r="Q826" s="6">
        <f>OrganizedData[[#This Row],[Total Items Ordered]]*VLOOKUP(OrganizedData[[#This Row],[Product Code]],ProductData[],3,FALSE)</f>
        <v>723.59999999999991</v>
      </c>
      <c r="R8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827" spans="1:18" x14ac:dyDescent="0.3">
      <c r="A827" s="2">
        <v>820</v>
      </c>
      <c r="B827" s="2" t="s">
        <v>2865</v>
      </c>
      <c r="C827" s="2" t="s">
        <v>2866</v>
      </c>
      <c r="D827" s="2" t="s">
        <v>51</v>
      </c>
      <c r="E827" s="2" t="s">
        <v>16</v>
      </c>
      <c r="F827" s="2">
        <v>90</v>
      </c>
      <c r="G827" s="2" t="s">
        <v>2867</v>
      </c>
      <c r="H827" s="2" t="s">
        <v>1022</v>
      </c>
      <c r="I827" s="2" t="s">
        <v>164</v>
      </c>
      <c r="J827" s="3">
        <v>44108</v>
      </c>
      <c r="K827" s="5">
        <f>YEAR(OrganizedData[[#This Row],[Order Date]])</f>
        <v>2020</v>
      </c>
      <c r="L827" s="7" t="str">
        <f>TEXT(OrganizedData[[#This Row],[Order Date]],"mmm")</f>
        <v>Oct</v>
      </c>
      <c r="M827" s="2">
        <v>4</v>
      </c>
      <c r="N827" s="2" t="s">
        <v>64</v>
      </c>
      <c r="O827" s="2" t="str">
        <f>VLOOKUP(OrganizedData[[#This Row],[Product Code]],ProductData[[Code]:[Item]],2,FALSE)</f>
        <v>Ultrathing V4</v>
      </c>
      <c r="P827" s="4">
        <f>OrganizedData[[#This Row],[Quantity]]*VLOOKUP(OrganizedData[[#This Row],[Product Code]],ProductData[],4,FALSE)</f>
        <v>96</v>
      </c>
      <c r="Q827" s="6">
        <f>OrganizedData[[#This Row],[Total Items Ordered]]*VLOOKUP(OrganizedData[[#This Row],[Product Code]],ProductData[],3,FALSE)</f>
        <v>383.04</v>
      </c>
      <c r="R8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828" spans="1:18" x14ac:dyDescent="0.3">
      <c r="A828" s="2">
        <v>821</v>
      </c>
      <c r="B828" s="2" t="s">
        <v>2868</v>
      </c>
      <c r="C828" s="2" t="s">
        <v>2161</v>
      </c>
      <c r="D828" s="2" t="s">
        <v>51</v>
      </c>
      <c r="E828" s="2" t="s">
        <v>16</v>
      </c>
      <c r="F828" s="2">
        <v>30</v>
      </c>
      <c r="G828" s="2" t="s">
        <v>2869</v>
      </c>
      <c r="H828" s="2" t="s">
        <v>730</v>
      </c>
      <c r="I828" s="2" t="s">
        <v>187</v>
      </c>
      <c r="J828" s="3">
        <v>43923</v>
      </c>
      <c r="K828" s="5">
        <f>YEAR(OrganizedData[[#This Row],[Order Date]])</f>
        <v>2020</v>
      </c>
      <c r="L828" s="7" t="str">
        <f>TEXT(OrganizedData[[#This Row],[Order Date]],"mmm")</f>
        <v>Apr</v>
      </c>
      <c r="M828" s="2">
        <v>84</v>
      </c>
      <c r="N828" s="2" t="s">
        <v>70</v>
      </c>
      <c r="O828" s="2" t="str">
        <f>VLOOKUP(OrganizedData[[#This Row],[Product Code]],ProductData[[Code]:[Item]],2,FALSE)</f>
        <v>Megawidget M</v>
      </c>
      <c r="P828" s="4">
        <f>OrganizedData[[#This Row],[Quantity]]*VLOOKUP(OrganizedData[[#This Row],[Product Code]],ProductData[],4,FALSE)</f>
        <v>2016</v>
      </c>
      <c r="Q828" s="6">
        <f>OrganizedData[[#This Row],[Total Items Ordered]]*VLOOKUP(OrganizedData[[#This Row],[Product Code]],ProductData[],3,FALSE)</f>
        <v>2600.64</v>
      </c>
      <c r="R8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2470.6079999999997</v>
      </c>
    </row>
    <row r="829" spans="1:18" x14ac:dyDescent="0.3">
      <c r="A829" s="2">
        <v>822</v>
      </c>
      <c r="B829" s="2" t="s">
        <v>2870</v>
      </c>
      <c r="C829" s="2" t="s">
        <v>2518</v>
      </c>
      <c r="D829" s="2" t="s">
        <v>51</v>
      </c>
      <c r="E829" s="2" t="s">
        <v>16</v>
      </c>
      <c r="F829" s="2">
        <v>90</v>
      </c>
      <c r="G829" s="2" t="s">
        <v>2871</v>
      </c>
      <c r="H829" s="2" t="s">
        <v>2872</v>
      </c>
      <c r="I829" s="2" t="s">
        <v>294</v>
      </c>
      <c r="J829" s="3">
        <v>44215</v>
      </c>
      <c r="K829" s="5">
        <f>YEAR(OrganizedData[[#This Row],[Order Date]])</f>
        <v>2021</v>
      </c>
      <c r="L829" s="7" t="str">
        <f>TEXT(OrganizedData[[#This Row],[Order Date]],"mmm")</f>
        <v>Jan</v>
      </c>
      <c r="M829" s="2">
        <v>23</v>
      </c>
      <c r="N829" s="2" t="s">
        <v>39</v>
      </c>
      <c r="O829" s="2" t="str">
        <f>VLOOKUP(OrganizedData[[#This Row],[Product Code]],ProductData[[Code]:[Item]],2,FALSE)</f>
        <v>Ultrathing V1</v>
      </c>
      <c r="P829" s="4">
        <f>OrganizedData[[#This Row],[Quantity]]*VLOOKUP(OrganizedData[[#This Row],[Product Code]],ProductData[],4,FALSE)</f>
        <v>391</v>
      </c>
      <c r="Q829" s="6">
        <f>OrganizedData[[#This Row],[Total Items Ordered]]*VLOOKUP(OrganizedData[[#This Row],[Product Code]],ProductData[],3,FALSE)</f>
        <v>699.89</v>
      </c>
      <c r="R8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830" spans="1:18" x14ac:dyDescent="0.3">
      <c r="A830" s="2">
        <v>823</v>
      </c>
      <c r="B830" s="2" t="s">
        <v>2873</v>
      </c>
      <c r="C830" s="2" t="s">
        <v>2874</v>
      </c>
      <c r="D830" s="2" t="s">
        <v>51</v>
      </c>
      <c r="E830" s="2" t="s">
        <v>16</v>
      </c>
      <c r="F830" s="2">
        <v>90</v>
      </c>
      <c r="G830" s="2" t="s">
        <v>2871</v>
      </c>
      <c r="H830" s="2" t="s">
        <v>2875</v>
      </c>
      <c r="I830" s="2" t="s">
        <v>32</v>
      </c>
      <c r="J830" s="3">
        <v>44507</v>
      </c>
      <c r="K830" s="5">
        <f>YEAR(OrganizedData[[#This Row],[Order Date]])</f>
        <v>2021</v>
      </c>
      <c r="L830" s="7" t="str">
        <f>TEXT(OrganizedData[[#This Row],[Order Date]],"mmm")</f>
        <v>Nov</v>
      </c>
      <c r="M830" s="2">
        <v>27</v>
      </c>
      <c r="N830" s="2" t="s">
        <v>33</v>
      </c>
      <c r="O830" s="2" t="str">
        <f>VLOOKUP(OrganizedData[[#This Row],[Product Code]],ProductData[[Code]:[Item]],2,FALSE)</f>
        <v>Megawidget L</v>
      </c>
      <c r="P830" s="4">
        <f>OrganizedData[[#This Row],[Quantity]]*VLOOKUP(OrganizedData[[#This Row],[Product Code]],ProductData[],4,FALSE)</f>
        <v>648</v>
      </c>
      <c r="Q830" s="6">
        <f>OrganizedData[[#This Row],[Total Items Ordered]]*VLOOKUP(OrganizedData[[#This Row],[Product Code]],ProductData[],3,FALSE)</f>
        <v>1159.92</v>
      </c>
      <c r="R8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1125.1224</v>
      </c>
    </row>
    <row r="831" spans="1:18" x14ac:dyDescent="0.3">
      <c r="A831" s="2">
        <v>824</v>
      </c>
      <c r="B831" s="2" t="s">
        <v>1019</v>
      </c>
      <c r="C831" s="2" t="s">
        <v>86</v>
      </c>
      <c r="D831" s="2" t="s">
        <v>28</v>
      </c>
      <c r="E831" s="2" t="s">
        <v>29</v>
      </c>
      <c r="F831" s="2">
        <v>90</v>
      </c>
      <c r="G831" s="2" t="s">
        <v>2876</v>
      </c>
      <c r="H831" s="2" t="s">
        <v>2877</v>
      </c>
      <c r="I831" s="2" t="s">
        <v>2878</v>
      </c>
      <c r="J831" s="3">
        <v>44259</v>
      </c>
      <c r="K831" s="5">
        <f>YEAR(OrganizedData[[#This Row],[Order Date]])</f>
        <v>2021</v>
      </c>
      <c r="L831" s="7" t="str">
        <f>TEXT(OrganizedData[[#This Row],[Order Date]],"mmm")</f>
        <v>Mar</v>
      </c>
      <c r="M831" s="2">
        <v>59</v>
      </c>
      <c r="N831" s="2" t="s">
        <v>159</v>
      </c>
      <c r="O831" s="2" t="str">
        <f>VLOOKUP(OrganizedData[[#This Row],[Product Code]],ProductData[[Code]:[Item]],2,FALSE)</f>
        <v>Ultrathing V3</v>
      </c>
      <c r="P831" s="4">
        <f>OrganizedData[[#This Row],[Quantity]]*VLOOKUP(OrganizedData[[#This Row],[Product Code]],ProductData[],4,FALSE)</f>
        <v>1416</v>
      </c>
      <c r="Q831" s="6">
        <f>OrganizedData[[#This Row],[Total Items Ordered]]*VLOOKUP(OrganizedData[[#This Row],[Product Code]],ProductData[],3,FALSE)</f>
        <v>4800.24</v>
      </c>
      <c r="R8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832" spans="1:18" x14ac:dyDescent="0.3">
      <c r="A832" s="2">
        <v>825</v>
      </c>
      <c r="B832" s="2" t="s">
        <v>2879</v>
      </c>
      <c r="C832" s="2" t="s">
        <v>2880</v>
      </c>
      <c r="D832" s="2" t="s">
        <v>15</v>
      </c>
      <c r="E832" s="2" t="s">
        <v>16</v>
      </c>
      <c r="F832" s="2">
        <v>30</v>
      </c>
      <c r="G832" s="2" t="s">
        <v>2881</v>
      </c>
      <c r="H832" s="2" t="s">
        <v>978</v>
      </c>
      <c r="I832" s="2" t="s">
        <v>294</v>
      </c>
      <c r="J832" s="3">
        <v>44608</v>
      </c>
      <c r="K832" s="5">
        <f>YEAR(OrganizedData[[#This Row],[Order Date]])</f>
        <v>2022</v>
      </c>
      <c r="L832" s="7" t="str">
        <f>TEXT(OrganizedData[[#This Row],[Order Date]],"mmm")</f>
        <v>Feb</v>
      </c>
      <c r="M832" s="2">
        <v>99</v>
      </c>
      <c r="N832" s="2" t="s">
        <v>20</v>
      </c>
      <c r="O832" s="2" t="str">
        <f>VLOOKUP(OrganizedData[[#This Row],[Product Code]],ProductData[[Code]:[Item]],2,FALSE)</f>
        <v>Hyperwotsit</v>
      </c>
      <c r="P832" s="4">
        <f>OrganizedData[[#This Row],[Quantity]]*VLOOKUP(OrganizedData[[#This Row],[Product Code]],ProductData[],4,FALSE)</f>
        <v>1980</v>
      </c>
      <c r="Q832" s="6">
        <f>OrganizedData[[#This Row],[Total Items Ordered]]*VLOOKUP(OrganizedData[[#This Row],[Product Code]],ProductData[],3,FALSE)</f>
        <v>3979.7999999999997</v>
      </c>
      <c r="R8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3780.8099999999995</v>
      </c>
    </row>
    <row r="833" spans="1:18" x14ac:dyDescent="0.3">
      <c r="A833" s="2">
        <v>826</v>
      </c>
      <c r="B833" s="2" t="s">
        <v>2882</v>
      </c>
      <c r="C833" s="2" t="s">
        <v>2883</v>
      </c>
      <c r="D833" s="2" t="s">
        <v>51</v>
      </c>
      <c r="E833" s="2" t="s">
        <v>16</v>
      </c>
      <c r="F833" s="2">
        <v>60</v>
      </c>
      <c r="G833" s="2" t="s">
        <v>2884</v>
      </c>
      <c r="H833" s="2" t="s">
        <v>405</v>
      </c>
      <c r="I833" s="2" t="s">
        <v>32</v>
      </c>
      <c r="J833" s="3">
        <v>44789</v>
      </c>
      <c r="K833" s="5">
        <f>YEAR(OrganizedData[[#This Row],[Order Date]])</f>
        <v>2022</v>
      </c>
      <c r="L833" s="7" t="str">
        <f>TEXT(OrganizedData[[#This Row],[Order Date]],"mmm")</f>
        <v>Aug</v>
      </c>
      <c r="M833" s="2">
        <v>22</v>
      </c>
      <c r="N833" s="2" t="s">
        <v>33</v>
      </c>
      <c r="O833" s="2" t="str">
        <f>VLOOKUP(OrganizedData[[#This Row],[Product Code]],ProductData[[Code]:[Item]],2,FALSE)</f>
        <v>Megawidget L</v>
      </c>
      <c r="P833" s="4">
        <f>OrganizedData[[#This Row],[Quantity]]*VLOOKUP(OrganizedData[[#This Row],[Product Code]],ProductData[],4,FALSE)</f>
        <v>528</v>
      </c>
      <c r="Q833" s="6">
        <f>OrganizedData[[#This Row],[Total Items Ordered]]*VLOOKUP(OrganizedData[[#This Row],[Product Code]],ProductData[],3,FALSE)</f>
        <v>945.12</v>
      </c>
      <c r="R8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834" spans="1:18" x14ac:dyDescent="0.3">
      <c r="A834" s="2">
        <v>827</v>
      </c>
      <c r="B834" s="2" t="s">
        <v>2086</v>
      </c>
      <c r="C834" s="2" t="s">
        <v>2885</v>
      </c>
      <c r="D834" s="2" t="s">
        <v>28</v>
      </c>
      <c r="E834" s="2" t="s">
        <v>29</v>
      </c>
      <c r="F834" s="2">
        <v>90</v>
      </c>
      <c r="G834" s="2" t="s">
        <v>2886</v>
      </c>
      <c r="H834" s="2" t="s">
        <v>2012</v>
      </c>
      <c r="I834" s="2" t="s">
        <v>32</v>
      </c>
      <c r="J834" s="3">
        <v>44568</v>
      </c>
      <c r="K834" s="5">
        <f>YEAR(OrganizedData[[#This Row],[Order Date]])</f>
        <v>2022</v>
      </c>
      <c r="L834" s="7" t="str">
        <f>TEXT(OrganizedData[[#This Row],[Order Date]],"mmm")</f>
        <v>Jan</v>
      </c>
      <c r="M834" s="2">
        <v>45</v>
      </c>
      <c r="N834" s="2" t="s">
        <v>70</v>
      </c>
      <c r="O834" s="2" t="str">
        <f>VLOOKUP(OrganizedData[[#This Row],[Product Code]],ProductData[[Code]:[Item]],2,FALSE)</f>
        <v>Megawidget M</v>
      </c>
      <c r="P834" s="4">
        <f>OrganizedData[[#This Row],[Quantity]]*VLOOKUP(OrganizedData[[#This Row],[Product Code]],ProductData[],4,FALSE)</f>
        <v>1080</v>
      </c>
      <c r="Q834" s="6">
        <f>OrganizedData[[#This Row],[Total Items Ordered]]*VLOOKUP(OrganizedData[[#This Row],[Product Code]],ProductData[],3,FALSE)</f>
        <v>1393.2</v>
      </c>
      <c r="R8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835" spans="1:18" x14ac:dyDescent="0.3">
      <c r="A835" s="2">
        <v>828</v>
      </c>
      <c r="B835" s="2" t="s">
        <v>2887</v>
      </c>
      <c r="C835" s="2" t="s">
        <v>2888</v>
      </c>
      <c r="D835" s="2" t="s">
        <v>28</v>
      </c>
      <c r="E835" s="2" t="s">
        <v>29</v>
      </c>
      <c r="F835" s="2">
        <v>90</v>
      </c>
      <c r="G835" s="2" t="s">
        <v>2889</v>
      </c>
      <c r="H835" s="2" t="s">
        <v>2890</v>
      </c>
      <c r="I835" s="2" t="s">
        <v>32</v>
      </c>
      <c r="J835" s="3">
        <v>44905</v>
      </c>
      <c r="K835" s="5">
        <f>YEAR(OrganizedData[[#This Row],[Order Date]])</f>
        <v>2022</v>
      </c>
      <c r="L835" s="7" t="str">
        <f>TEXT(OrganizedData[[#This Row],[Order Date]],"mmm")</f>
        <v>Dec</v>
      </c>
      <c r="M835" s="2">
        <v>25</v>
      </c>
      <c r="N835" s="2" t="s">
        <v>70</v>
      </c>
      <c r="O835" s="2" t="str">
        <f>VLOOKUP(OrganizedData[[#This Row],[Product Code]],ProductData[[Code]:[Item]],2,FALSE)</f>
        <v>Megawidget M</v>
      </c>
      <c r="P835" s="4">
        <f>OrganizedData[[#This Row],[Quantity]]*VLOOKUP(OrganizedData[[#This Row],[Product Code]],ProductData[],4,FALSE)</f>
        <v>600</v>
      </c>
      <c r="Q835" s="6">
        <f>OrganizedData[[#This Row],[Total Items Ordered]]*VLOOKUP(OrganizedData[[#This Row],[Product Code]],ProductData[],3,FALSE)</f>
        <v>774</v>
      </c>
      <c r="R8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836" spans="1:18" x14ac:dyDescent="0.3">
      <c r="A836" s="2">
        <v>829</v>
      </c>
      <c r="B836" s="2" t="s">
        <v>2891</v>
      </c>
      <c r="C836" s="2" t="s">
        <v>1304</v>
      </c>
      <c r="D836" s="2" t="s">
        <v>28</v>
      </c>
      <c r="E836" s="2" t="s">
        <v>29</v>
      </c>
      <c r="F836" s="2">
        <v>60</v>
      </c>
      <c r="G836" s="2" t="s">
        <v>2892</v>
      </c>
      <c r="H836" s="2" t="s">
        <v>2893</v>
      </c>
      <c r="I836" s="2" t="s">
        <v>32</v>
      </c>
      <c r="J836" s="3">
        <v>44343</v>
      </c>
      <c r="K836" s="5">
        <f>YEAR(OrganizedData[[#This Row],[Order Date]])</f>
        <v>2021</v>
      </c>
      <c r="L836" s="7" t="str">
        <f>TEXT(OrganizedData[[#This Row],[Order Date]],"mmm")</f>
        <v>May</v>
      </c>
      <c r="M836" s="2">
        <v>11</v>
      </c>
      <c r="N836" s="2" t="s">
        <v>39</v>
      </c>
      <c r="O836" s="2" t="str">
        <f>VLOOKUP(OrganizedData[[#This Row],[Product Code]],ProductData[[Code]:[Item]],2,FALSE)</f>
        <v>Ultrathing V1</v>
      </c>
      <c r="P836" s="4">
        <f>OrganizedData[[#This Row],[Quantity]]*VLOOKUP(OrganizedData[[#This Row],[Product Code]],ProductData[],4,FALSE)</f>
        <v>187</v>
      </c>
      <c r="Q836" s="6">
        <f>OrganizedData[[#This Row],[Total Items Ordered]]*VLOOKUP(OrganizedData[[#This Row],[Product Code]],ProductData[],3,FALSE)</f>
        <v>334.73</v>
      </c>
      <c r="R8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334.73</v>
      </c>
    </row>
    <row r="837" spans="1:18" x14ac:dyDescent="0.3">
      <c r="A837" s="2">
        <v>830</v>
      </c>
      <c r="B837" s="2" t="s">
        <v>2894</v>
      </c>
      <c r="C837" s="2" t="s">
        <v>728</v>
      </c>
      <c r="D837" s="2" t="s">
        <v>15</v>
      </c>
      <c r="E837" s="2" t="s">
        <v>16</v>
      </c>
      <c r="F837" s="2">
        <v>60</v>
      </c>
      <c r="G837" s="2" t="s">
        <v>2895</v>
      </c>
      <c r="H837" s="2" t="s">
        <v>2896</v>
      </c>
      <c r="I837" s="2" t="s">
        <v>110</v>
      </c>
      <c r="J837" s="3">
        <v>44855</v>
      </c>
      <c r="K837" s="5">
        <f>YEAR(OrganizedData[[#This Row],[Order Date]])</f>
        <v>2022</v>
      </c>
      <c r="L837" s="7" t="str">
        <f>TEXT(OrganizedData[[#This Row],[Order Date]],"mmm")</f>
        <v>Oct</v>
      </c>
      <c r="M837" s="2">
        <v>53</v>
      </c>
      <c r="N837" s="2" t="s">
        <v>64</v>
      </c>
      <c r="O837" s="2" t="str">
        <f>VLOOKUP(OrganizedData[[#This Row],[Product Code]],ProductData[[Code]:[Item]],2,FALSE)</f>
        <v>Ultrathing V4</v>
      </c>
      <c r="P837" s="4">
        <f>OrganizedData[[#This Row],[Quantity]]*VLOOKUP(OrganizedData[[#This Row],[Product Code]],ProductData[],4,FALSE)</f>
        <v>1272</v>
      </c>
      <c r="Q837" s="6">
        <f>OrganizedData[[#This Row],[Total Items Ordered]]*VLOOKUP(OrganizedData[[#This Row],[Product Code]],ProductData[],3,FALSE)</f>
        <v>5075.2800000000007</v>
      </c>
      <c r="R8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4821.5160000000005</v>
      </c>
    </row>
    <row r="838" spans="1:18" x14ac:dyDescent="0.3">
      <c r="A838" s="2">
        <v>831</v>
      </c>
      <c r="B838" s="2" t="s">
        <v>2897</v>
      </c>
      <c r="C838" s="2" t="s">
        <v>2898</v>
      </c>
      <c r="D838" s="2" t="s">
        <v>51</v>
      </c>
      <c r="E838" s="2" t="s">
        <v>16</v>
      </c>
      <c r="F838" s="2">
        <v>60</v>
      </c>
      <c r="G838" s="2" t="s">
        <v>2899</v>
      </c>
      <c r="H838" s="2" t="s">
        <v>963</v>
      </c>
      <c r="I838" s="2" t="s">
        <v>25</v>
      </c>
      <c r="J838" s="3">
        <v>44511</v>
      </c>
      <c r="K838" s="5">
        <f>YEAR(OrganizedData[[#This Row],[Order Date]])</f>
        <v>2021</v>
      </c>
      <c r="L838" s="7" t="str">
        <f>TEXT(OrganizedData[[#This Row],[Order Date]],"mmm")</f>
        <v>Nov</v>
      </c>
      <c r="M838" s="2">
        <v>64</v>
      </c>
      <c r="N838" s="2" t="s">
        <v>70</v>
      </c>
      <c r="O838" s="2" t="str">
        <f>VLOOKUP(OrganizedData[[#This Row],[Product Code]],ProductData[[Code]:[Item]],2,FALSE)</f>
        <v>Megawidget M</v>
      </c>
      <c r="P838" s="4">
        <f>OrganizedData[[#This Row],[Quantity]]*VLOOKUP(OrganizedData[[#This Row],[Product Code]],ProductData[],4,FALSE)</f>
        <v>1536</v>
      </c>
      <c r="Q838" s="6">
        <f>OrganizedData[[#This Row],[Total Items Ordered]]*VLOOKUP(OrganizedData[[#This Row],[Product Code]],ProductData[],3,FALSE)</f>
        <v>1981.44</v>
      </c>
      <c r="R8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1882.3679999999999</v>
      </c>
    </row>
    <row r="839" spans="1:18" x14ac:dyDescent="0.3">
      <c r="A839" s="2">
        <v>832</v>
      </c>
      <c r="B839" s="2" t="s">
        <v>2900</v>
      </c>
      <c r="C839" s="2" t="s">
        <v>620</v>
      </c>
      <c r="D839" s="2" t="s">
        <v>51</v>
      </c>
      <c r="E839" s="2" t="s">
        <v>16</v>
      </c>
      <c r="F839" s="2">
        <v>30</v>
      </c>
      <c r="G839" s="2" t="s">
        <v>2901</v>
      </c>
      <c r="H839" s="2" t="s">
        <v>2902</v>
      </c>
      <c r="I839" s="2" t="s">
        <v>32</v>
      </c>
      <c r="J839" s="3">
        <v>44710</v>
      </c>
      <c r="K839" s="5">
        <f>YEAR(OrganizedData[[#This Row],[Order Date]])</f>
        <v>2022</v>
      </c>
      <c r="L839" s="7" t="str">
        <f>TEXT(OrganizedData[[#This Row],[Order Date]],"mmm")</f>
        <v>May</v>
      </c>
      <c r="M839" s="2">
        <v>64</v>
      </c>
      <c r="N839" s="2" t="s">
        <v>20</v>
      </c>
      <c r="O839" s="2" t="str">
        <f>VLOOKUP(OrganizedData[[#This Row],[Product Code]],ProductData[[Code]:[Item]],2,FALSE)</f>
        <v>Hyperwotsit</v>
      </c>
      <c r="P839" s="4">
        <f>OrganizedData[[#This Row],[Quantity]]*VLOOKUP(OrganizedData[[#This Row],[Product Code]],ProductData[],4,FALSE)</f>
        <v>1280</v>
      </c>
      <c r="Q839" s="6">
        <f>OrganizedData[[#This Row],[Total Items Ordered]]*VLOOKUP(OrganizedData[[#This Row],[Product Code]],ProductData[],3,FALSE)</f>
        <v>2572.7999999999997</v>
      </c>
      <c r="R8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2444.1599999999994</v>
      </c>
    </row>
    <row r="840" spans="1:18" x14ac:dyDescent="0.3">
      <c r="A840" s="2">
        <v>833</v>
      </c>
      <c r="B840" s="2" t="s">
        <v>922</v>
      </c>
      <c r="C840" s="2" t="s">
        <v>2903</v>
      </c>
      <c r="D840" s="2" t="s">
        <v>28</v>
      </c>
      <c r="E840" s="2" t="s">
        <v>29</v>
      </c>
      <c r="F840" s="2">
        <v>90</v>
      </c>
      <c r="G840" s="2" t="s">
        <v>2904</v>
      </c>
      <c r="H840" s="2" t="s">
        <v>43</v>
      </c>
      <c r="I840" s="2" t="s">
        <v>44</v>
      </c>
      <c r="J840" s="3">
        <v>44693</v>
      </c>
      <c r="K840" s="5">
        <f>YEAR(OrganizedData[[#This Row],[Order Date]])</f>
        <v>2022</v>
      </c>
      <c r="L840" s="7" t="str">
        <f>TEXT(OrganizedData[[#This Row],[Order Date]],"mmm")</f>
        <v>May</v>
      </c>
      <c r="M840" s="2">
        <v>97</v>
      </c>
      <c r="N840" s="2" t="s">
        <v>54</v>
      </c>
      <c r="O840" s="2" t="str">
        <f>VLOOKUP(OrganizedData[[#This Row],[Product Code]],ProductData[[Code]:[Item]],2,FALSE)</f>
        <v>Megawidget S</v>
      </c>
      <c r="P840" s="4">
        <f>OrganizedData[[#This Row],[Quantity]]*VLOOKUP(OrganizedData[[#This Row],[Product Code]],ProductData[],4,FALSE)</f>
        <v>2328</v>
      </c>
      <c r="Q840" s="6">
        <f>OrganizedData[[#This Row],[Total Items Ordered]]*VLOOKUP(OrganizedData[[#This Row],[Product Code]],ProductData[],3,FALSE)</f>
        <v>1606.32</v>
      </c>
      <c r="R8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1526.0039999999999</v>
      </c>
    </row>
    <row r="841" spans="1:18" x14ac:dyDescent="0.3">
      <c r="A841" s="2">
        <v>834</v>
      </c>
      <c r="B841" s="2" t="s">
        <v>1262</v>
      </c>
      <c r="C841" s="2" t="s">
        <v>2905</v>
      </c>
      <c r="D841" s="2" t="s">
        <v>28</v>
      </c>
      <c r="E841" s="2" t="s">
        <v>29</v>
      </c>
      <c r="F841" s="2">
        <v>60</v>
      </c>
      <c r="G841" s="2" t="s">
        <v>2904</v>
      </c>
      <c r="H841" s="2" t="s">
        <v>1001</v>
      </c>
      <c r="I841" s="2" t="s">
        <v>32</v>
      </c>
      <c r="J841" s="3">
        <v>44180</v>
      </c>
      <c r="K841" s="5">
        <f>YEAR(OrganizedData[[#This Row],[Order Date]])</f>
        <v>2020</v>
      </c>
      <c r="L841" s="7" t="str">
        <f>TEXT(OrganizedData[[#This Row],[Order Date]],"mmm")</f>
        <v>Dec</v>
      </c>
      <c r="M841" s="2">
        <v>77</v>
      </c>
      <c r="N841" s="2" t="s">
        <v>159</v>
      </c>
      <c r="O841" s="2" t="str">
        <f>VLOOKUP(OrganizedData[[#This Row],[Product Code]],ProductData[[Code]:[Item]],2,FALSE)</f>
        <v>Ultrathing V3</v>
      </c>
      <c r="P841" s="4">
        <f>OrganizedData[[#This Row],[Quantity]]*VLOOKUP(OrganizedData[[#This Row],[Product Code]],ProductData[],4,FALSE)</f>
        <v>1848</v>
      </c>
      <c r="Q841" s="6">
        <f>OrganizedData[[#This Row],[Total Items Ordered]]*VLOOKUP(OrganizedData[[#This Row],[Product Code]],ProductData[],3,FALSE)</f>
        <v>6264.72</v>
      </c>
      <c r="R8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5951.4840000000004</v>
      </c>
    </row>
    <row r="842" spans="1:18" x14ac:dyDescent="0.3">
      <c r="A842" s="2">
        <v>835</v>
      </c>
      <c r="B842" s="2" t="s">
        <v>2906</v>
      </c>
      <c r="C842" s="2" t="s">
        <v>1044</v>
      </c>
      <c r="D842" s="2" t="s">
        <v>28</v>
      </c>
      <c r="E842" s="2" t="s">
        <v>29</v>
      </c>
      <c r="F842" s="2">
        <v>60</v>
      </c>
      <c r="G842" s="2" t="s">
        <v>2907</v>
      </c>
      <c r="H842" s="2" t="s">
        <v>2908</v>
      </c>
      <c r="I842" s="2" t="s">
        <v>25</v>
      </c>
      <c r="J842" s="3">
        <v>44502</v>
      </c>
      <c r="K842" s="5">
        <f>YEAR(OrganizedData[[#This Row],[Order Date]])</f>
        <v>2021</v>
      </c>
      <c r="L842" s="7" t="str">
        <f>TEXT(OrganizedData[[#This Row],[Order Date]],"mmm")</f>
        <v>Nov</v>
      </c>
      <c r="M842" s="2">
        <v>44</v>
      </c>
      <c r="N842" s="2" t="s">
        <v>101</v>
      </c>
      <c r="O842" s="2" t="str">
        <f>VLOOKUP(OrganizedData[[#This Row],[Product Code]],ProductData[[Code]:[Item]],2,FALSE)</f>
        <v>Superwossname</v>
      </c>
      <c r="P842" s="4">
        <f>OrganizedData[[#This Row],[Quantity]]*VLOOKUP(OrganizedData[[#This Row],[Product Code]],ProductData[],4,FALSE)</f>
        <v>880</v>
      </c>
      <c r="Q842" s="6">
        <f>OrganizedData[[#This Row],[Total Items Ordered]]*VLOOKUP(OrganizedData[[#This Row],[Product Code]],ProductData[],3,FALSE)</f>
        <v>3071.2000000000003</v>
      </c>
      <c r="R8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843" spans="1:18" x14ac:dyDescent="0.3">
      <c r="A843" s="2">
        <v>836</v>
      </c>
      <c r="B843" s="2" t="s">
        <v>1140</v>
      </c>
      <c r="C843" s="2" t="s">
        <v>2909</v>
      </c>
      <c r="D843" s="2" t="s">
        <v>28</v>
      </c>
      <c r="E843" s="2" t="s">
        <v>29</v>
      </c>
      <c r="F843" s="2">
        <v>30</v>
      </c>
      <c r="G843" s="2" t="s">
        <v>2910</v>
      </c>
      <c r="H843" s="2" t="s">
        <v>2447</v>
      </c>
      <c r="I843" s="2" t="s">
        <v>1869</v>
      </c>
      <c r="J843" s="3">
        <v>44254</v>
      </c>
      <c r="K843" s="5">
        <f>YEAR(OrganizedData[[#This Row],[Order Date]])</f>
        <v>2021</v>
      </c>
      <c r="L843" s="7" t="str">
        <f>TEXT(OrganizedData[[#This Row],[Order Date]],"mmm")</f>
        <v>Feb</v>
      </c>
      <c r="M843" s="2">
        <v>64</v>
      </c>
      <c r="N843" s="2" t="s">
        <v>20</v>
      </c>
      <c r="O843" s="2" t="str">
        <f>VLOOKUP(OrganizedData[[#This Row],[Product Code]],ProductData[[Code]:[Item]],2,FALSE)</f>
        <v>Hyperwotsit</v>
      </c>
      <c r="P843" s="4">
        <f>OrganizedData[[#This Row],[Quantity]]*VLOOKUP(OrganizedData[[#This Row],[Product Code]],ProductData[],4,FALSE)</f>
        <v>1280</v>
      </c>
      <c r="Q843" s="6">
        <f>OrganizedData[[#This Row],[Total Items Ordered]]*VLOOKUP(OrganizedData[[#This Row],[Product Code]],ProductData[],3,FALSE)</f>
        <v>2572.7999999999997</v>
      </c>
      <c r="R8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2444.1599999999994</v>
      </c>
    </row>
    <row r="844" spans="1:18" x14ac:dyDescent="0.3">
      <c r="A844" s="2">
        <v>837</v>
      </c>
      <c r="B844" s="2" t="s">
        <v>2911</v>
      </c>
      <c r="C844" s="2" t="s">
        <v>2912</v>
      </c>
      <c r="D844" s="2" t="s">
        <v>51</v>
      </c>
      <c r="E844" s="2" t="s">
        <v>16</v>
      </c>
      <c r="F844" s="2">
        <v>90</v>
      </c>
      <c r="G844" s="2" t="s">
        <v>2910</v>
      </c>
      <c r="H844" s="2" t="s">
        <v>2913</v>
      </c>
      <c r="I844" s="2" t="s">
        <v>1035</v>
      </c>
      <c r="J844" s="3">
        <v>43989</v>
      </c>
      <c r="K844" s="5">
        <f>YEAR(OrganizedData[[#This Row],[Order Date]])</f>
        <v>2020</v>
      </c>
      <c r="L844" s="7" t="str">
        <f>TEXT(OrganizedData[[#This Row],[Order Date]],"mmm")</f>
        <v>Jun</v>
      </c>
      <c r="M844" s="2">
        <v>85</v>
      </c>
      <c r="N844" s="2" t="s">
        <v>54</v>
      </c>
      <c r="O844" s="2" t="str">
        <f>VLOOKUP(OrganizedData[[#This Row],[Product Code]],ProductData[[Code]:[Item]],2,FALSE)</f>
        <v>Megawidget S</v>
      </c>
      <c r="P844" s="4">
        <f>OrganizedData[[#This Row],[Quantity]]*VLOOKUP(OrganizedData[[#This Row],[Product Code]],ProductData[],4,FALSE)</f>
        <v>2040</v>
      </c>
      <c r="Q844" s="6">
        <f>OrganizedData[[#This Row],[Total Items Ordered]]*VLOOKUP(OrganizedData[[#This Row],[Product Code]],ProductData[],3,FALSE)</f>
        <v>1407.6</v>
      </c>
      <c r="R8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845" spans="1:18" x14ac:dyDescent="0.3">
      <c r="A845" s="2">
        <v>838</v>
      </c>
      <c r="B845" s="2" t="s">
        <v>2914</v>
      </c>
      <c r="C845" s="2" t="s">
        <v>2915</v>
      </c>
      <c r="D845" s="2" t="s">
        <v>28</v>
      </c>
      <c r="E845" s="2" t="s">
        <v>29</v>
      </c>
      <c r="F845" s="2">
        <v>60</v>
      </c>
      <c r="G845" s="2" t="s">
        <v>2916</v>
      </c>
      <c r="H845" s="2" t="s">
        <v>2917</v>
      </c>
      <c r="I845" s="2" t="s">
        <v>95</v>
      </c>
      <c r="J845" s="3">
        <v>43884</v>
      </c>
      <c r="K845" s="5">
        <f>YEAR(OrganizedData[[#This Row],[Order Date]])</f>
        <v>2020</v>
      </c>
      <c r="L845" s="7" t="str">
        <f>TEXT(OrganizedData[[#This Row],[Order Date]],"mmm")</f>
        <v>Feb</v>
      </c>
      <c r="M845" s="2">
        <v>39</v>
      </c>
      <c r="N845" s="2" t="s">
        <v>33</v>
      </c>
      <c r="O845" s="2" t="str">
        <f>VLOOKUP(OrganizedData[[#This Row],[Product Code]],ProductData[[Code]:[Item]],2,FALSE)</f>
        <v>Megawidget L</v>
      </c>
      <c r="P845" s="4">
        <f>OrganizedData[[#This Row],[Quantity]]*VLOOKUP(OrganizedData[[#This Row],[Product Code]],ProductData[],4,FALSE)</f>
        <v>936</v>
      </c>
      <c r="Q845" s="6">
        <f>OrganizedData[[#This Row],[Total Items Ordered]]*VLOOKUP(OrganizedData[[#This Row],[Product Code]],ProductData[],3,FALSE)</f>
        <v>1675.44</v>
      </c>
      <c r="R8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1625.1768</v>
      </c>
    </row>
    <row r="846" spans="1:18" x14ac:dyDescent="0.3">
      <c r="A846" s="2">
        <v>839</v>
      </c>
      <c r="B846" s="2" t="s">
        <v>1140</v>
      </c>
      <c r="C846" s="2" t="s">
        <v>139</v>
      </c>
      <c r="D846" s="2" t="s">
        <v>51</v>
      </c>
      <c r="E846" s="2" t="s">
        <v>16</v>
      </c>
      <c r="F846" s="2">
        <v>60</v>
      </c>
      <c r="G846" s="2" t="s">
        <v>2918</v>
      </c>
      <c r="H846" s="2" t="s">
        <v>1077</v>
      </c>
      <c r="I846" s="2" t="s">
        <v>1078</v>
      </c>
      <c r="J846" s="3">
        <v>44220</v>
      </c>
      <c r="K846" s="5">
        <f>YEAR(OrganizedData[[#This Row],[Order Date]])</f>
        <v>2021</v>
      </c>
      <c r="L846" s="7" t="str">
        <f>TEXT(OrganizedData[[#This Row],[Order Date]],"mmm")</f>
        <v>Jan</v>
      </c>
      <c r="M846" s="2">
        <v>90</v>
      </c>
      <c r="N846" s="2" t="s">
        <v>64</v>
      </c>
      <c r="O846" s="2" t="str">
        <f>VLOOKUP(OrganizedData[[#This Row],[Product Code]],ProductData[[Code]:[Item]],2,FALSE)</f>
        <v>Ultrathing V4</v>
      </c>
      <c r="P846" s="4">
        <f>OrganizedData[[#This Row],[Quantity]]*VLOOKUP(OrganizedData[[#This Row],[Product Code]],ProductData[],4,FALSE)</f>
        <v>2160</v>
      </c>
      <c r="Q846" s="6">
        <f>OrganizedData[[#This Row],[Total Items Ordered]]*VLOOKUP(OrganizedData[[#This Row],[Product Code]],ProductData[],3,FALSE)</f>
        <v>8618.4</v>
      </c>
      <c r="R8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8187.48</v>
      </c>
    </row>
    <row r="847" spans="1:18" x14ac:dyDescent="0.3">
      <c r="A847" s="2">
        <v>840</v>
      </c>
      <c r="B847" s="2" t="s">
        <v>2919</v>
      </c>
      <c r="C847" s="2" t="s">
        <v>2920</v>
      </c>
      <c r="D847" s="2" t="s">
        <v>28</v>
      </c>
      <c r="E847" s="2" t="s">
        <v>29</v>
      </c>
      <c r="F847" s="2">
        <v>60</v>
      </c>
      <c r="G847" s="2" t="s">
        <v>2921</v>
      </c>
      <c r="H847" s="2" t="s">
        <v>698</v>
      </c>
      <c r="I847" s="2" t="s">
        <v>213</v>
      </c>
      <c r="J847" s="3">
        <v>44781</v>
      </c>
      <c r="K847" s="5">
        <f>YEAR(OrganizedData[[#This Row],[Order Date]])</f>
        <v>2022</v>
      </c>
      <c r="L847" s="7" t="str">
        <f>TEXT(OrganizedData[[#This Row],[Order Date]],"mmm")</f>
        <v>Aug</v>
      </c>
      <c r="M847" s="2">
        <v>42</v>
      </c>
      <c r="N847" s="2" t="s">
        <v>101</v>
      </c>
      <c r="O847" s="2" t="str">
        <f>VLOOKUP(OrganizedData[[#This Row],[Product Code]],ProductData[[Code]:[Item]],2,FALSE)</f>
        <v>Superwossname</v>
      </c>
      <c r="P847" s="4">
        <f>OrganizedData[[#This Row],[Quantity]]*VLOOKUP(OrganizedData[[#This Row],[Product Code]],ProductData[],4,FALSE)</f>
        <v>840</v>
      </c>
      <c r="Q847" s="6">
        <f>OrganizedData[[#This Row],[Total Items Ordered]]*VLOOKUP(OrganizedData[[#This Row],[Product Code]],ProductData[],3,FALSE)</f>
        <v>2931.6000000000004</v>
      </c>
      <c r="R8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848" spans="1:18" x14ac:dyDescent="0.3">
      <c r="A848" s="2">
        <v>841</v>
      </c>
      <c r="B848" s="2" t="s">
        <v>2922</v>
      </c>
      <c r="C848" s="2" t="s">
        <v>2923</v>
      </c>
      <c r="D848" s="2" t="s">
        <v>15</v>
      </c>
      <c r="E848" s="2" t="s">
        <v>16</v>
      </c>
      <c r="F848" s="2">
        <v>60</v>
      </c>
      <c r="G848" s="2" t="s">
        <v>2924</v>
      </c>
      <c r="H848" s="2" t="s">
        <v>2925</v>
      </c>
      <c r="I848" s="2" t="s">
        <v>32</v>
      </c>
      <c r="J848" s="3">
        <v>44434</v>
      </c>
      <c r="K848" s="5">
        <f>YEAR(OrganizedData[[#This Row],[Order Date]])</f>
        <v>2021</v>
      </c>
      <c r="L848" s="7" t="str">
        <f>TEXT(OrganizedData[[#This Row],[Order Date]],"mmm")</f>
        <v>Aug</v>
      </c>
      <c r="M848" s="2">
        <v>84</v>
      </c>
      <c r="N848" s="2" t="s">
        <v>64</v>
      </c>
      <c r="O848" s="2" t="str">
        <f>VLOOKUP(OrganizedData[[#This Row],[Product Code]],ProductData[[Code]:[Item]],2,FALSE)</f>
        <v>Ultrathing V4</v>
      </c>
      <c r="P848" s="4">
        <f>OrganizedData[[#This Row],[Quantity]]*VLOOKUP(OrganizedData[[#This Row],[Product Code]],ProductData[],4,FALSE)</f>
        <v>2016</v>
      </c>
      <c r="Q848" s="6">
        <f>OrganizedData[[#This Row],[Total Items Ordered]]*VLOOKUP(OrganizedData[[#This Row],[Product Code]],ProductData[],3,FALSE)</f>
        <v>8043.84</v>
      </c>
      <c r="R8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7641.6480000000001</v>
      </c>
    </row>
    <row r="849" spans="1:18" x14ac:dyDescent="0.3">
      <c r="A849" s="2">
        <v>842</v>
      </c>
      <c r="B849" s="2" t="s">
        <v>2926</v>
      </c>
      <c r="C849" s="2" t="s">
        <v>1301</v>
      </c>
      <c r="D849" s="2" t="s">
        <v>15</v>
      </c>
      <c r="E849" s="2" t="s">
        <v>16</v>
      </c>
      <c r="F849" s="2">
        <v>60</v>
      </c>
      <c r="G849" s="2" t="s">
        <v>2927</v>
      </c>
      <c r="H849" s="2" t="s">
        <v>802</v>
      </c>
      <c r="I849" s="2" t="s">
        <v>294</v>
      </c>
      <c r="J849" s="3">
        <v>44345</v>
      </c>
      <c r="K849" s="5">
        <f>YEAR(OrganizedData[[#This Row],[Order Date]])</f>
        <v>2021</v>
      </c>
      <c r="L849" s="7" t="str">
        <f>TEXT(OrganizedData[[#This Row],[Order Date]],"mmm")</f>
        <v>May</v>
      </c>
      <c r="M849" s="2">
        <v>54</v>
      </c>
      <c r="N849" s="2" t="s">
        <v>64</v>
      </c>
      <c r="O849" s="2" t="str">
        <f>VLOOKUP(OrganizedData[[#This Row],[Product Code]],ProductData[[Code]:[Item]],2,FALSE)</f>
        <v>Ultrathing V4</v>
      </c>
      <c r="P849" s="4">
        <f>OrganizedData[[#This Row],[Quantity]]*VLOOKUP(OrganizedData[[#This Row],[Product Code]],ProductData[],4,FALSE)</f>
        <v>1296</v>
      </c>
      <c r="Q849" s="6">
        <f>OrganizedData[[#This Row],[Total Items Ordered]]*VLOOKUP(OrganizedData[[#This Row],[Product Code]],ProductData[],3,FALSE)</f>
        <v>5171.04</v>
      </c>
      <c r="R8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850" spans="1:18" x14ac:dyDescent="0.3">
      <c r="A850" s="2">
        <v>843</v>
      </c>
      <c r="B850" s="2" t="s">
        <v>725</v>
      </c>
      <c r="C850" s="2" t="s">
        <v>2928</v>
      </c>
      <c r="D850" s="2" t="s">
        <v>28</v>
      </c>
      <c r="E850" s="2" t="s">
        <v>29</v>
      </c>
      <c r="F850" s="2">
        <v>30</v>
      </c>
      <c r="G850" s="2" t="s">
        <v>2929</v>
      </c>
      <c r="H850" s="2" t="s">
        <v>1537</v>
      </c>
      <c r="I850" s="2" t="s">
        <v>294</v>
      </c>
      <c r="J850" s="3">
        <v>44694</v>
      </c>
      <c r="K850" s="5">
        <f>YEAR(OrganizedData[[#This Row],[Order Date]])</f>
        <v>2022</v>
      </c>
      <c r="L850" s="7" t="str">
        <f>TEXT(OrganizedData[[#This Row],[Order Date]],"mmm")</f>
        <v>May</v>
      </c>
      <c r="M850" s="2">
        <v>87</v>
      </c>
      <c r="N850" s="2" t="s">
        <v>101</v>
      </c>
      <c r="O850" s="2" t="str">
        <f>VLOOKUP(OrganizedData[[#This Row],[Product Code]],ProductData[[Code]:[Item]],2,FALSE)</f>
        <v>Superwossname</v>
      </c>
      <c r="P850" s="4">
        <f>OrganizedData[[#This Row],[Quantity]]*VLOOKUP(OrganizedData[[#This Row],[Product Code]],ProductData[],4,FALSE)</f>
        <v>1740</v>
      </c>
      <c r="Q850" s="6">
        <f>OrganizedData[[#This Row],[Total Items Ordered]]*VLOOKUP(OrganizedData[[#This Row],[Product Code]],ProductData[],3,FALSE)</f>
        <v>6072.6</v>
      </c>
      <c r="R8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5768.97</v>
      </c>
    </row>
    <row r="851" spans="1:18" x14ac:dyDescent="0.3">
      <c r="A851" s="2">
        <v>844</v>
      </c>
      <c r="B851" s="2" t="s">
        <v>441</v>
      </c>
      <c r="C851" s="2" t="s">
        <v>2467</v>
      </c>
      <c r="D851" s="2" t="s">
        <v>28</v>
      </c>
      <c r="E851" s="2" t="s">
        <v>29</v>
      </c>
      <c r="F851" s="2">
        <v>30</v>
      </c>
      <c r="G851" s="2" t="s">
        <v>2930</v>
      </c>
      <c r="H851" s="2" t="s">
        <v>2931</v>
      </c>
      <c r="I851" s="2" t="s">
        <v>32</v>
      </c>
      <c r="J851" s="3">
        <v>44267</v>
      </c>
      <c r="K851" s="5">
        <f>YEAR(OrganizedData[[#This Row],[Order Date]])</f>
        <v>2021</v>
      </c>
      <c r="L851" s="7" t="str">
        <f>TEXT(OrganizedData[[#This Row],[Order Date]],"mmm")</f>
        <v>Mar</v>
      </c>
      <c r="M851" s="2">
        <v>20</v>
      </c>
      <c r="N851" s="2" t="s">
        <v>101</v>
      </c>
      <c r="O851" s="2" t="str">
        <f>VLOOKUP(OrganizedData[[#This Row],[Product Code]],ProductData[[Code]:[Item]],2,FALSE)</f>
        <v>Superwossname</v>
      </c>
      <c r="P851" s="4">
        <f>OrganizedData[[#This Row],[Quantity]]*VLOOKUP(OrganizedData[[#This Row],[Product Code]],ProductData[],4,FALSE)</f>
        <v>400</v>
      </c>
      <c r="Q851" s="6">
        <f>OrganizedData[[#This Row],[Total Items Ordered]]*VLOOKUP(OrganizedData[[#This Row],[Product Code]],ProductData[],3,FALSE)</f>
        <v>1396</v>
      </c>
      <c r="R8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v>
      </c>
    </row>
    <row r="852" spans="1:18" x14ac:dyDescent="0.3">
      <c r="A852" s="2">
        <v>845</v>
      </c>
      <c r="B852" s="2" t="s">
        <v>2932</v>
      </c>
      <c r="C852" s="2" t="s">
        <v>2431</v>
      </c>
      <c r="D852" s="2" t="s">
        <v>28</v>
      </c>
      <c r="E852" s="2" t="s">
        <v>29</v>
      </c>
      <c r="F852" s="2">
        <v>90</v>
      </c>
      <c r="G852" s="2" t="s">
        <v>2933</v>
      </c>
      <c r="H852" s="2" t="s">
        <v>2934</v>
      </c>
      <c r="I852" s="2" t="s">
        <v>32</v>
      </c>
      <c r="J852" s="3">
        <v>44149</v>
      </c>
      <c r="K852" s="5">
        <f>YEAR(OrganizedData[[#This Row],[Order Date]])</f>
        <v>2020</v>
      </c>
      <c r="L852" s="7" t="str">
        <f>TEXT(OrganizedData[[#This Row],[Order Date]],"mmm")</f>
        <v>Nov</v>
      </c>
      <c r="M852" s="2">
        <v>12</v>
      </c>
      <c r="N852" s="2" t="s">
        <v>39</v>
      </c>
      <c r="O852" s="2" t="str">
        <f>VLOOKUP(OrganizedData[[#This Row],[Product Code]],ProductData[[Code]:[Item]],2,FALSE)</f>
        <v>Ultrathing V1</v>
      </c>
      <c r="P852" s="4">
        <f>OrganizedData[[#This Row],[Quantity]]*VLOOKUP(OrganizedData[[#This Row],[Product Code]],ProductData[],4,FALSE)</f>
        <v>204</v>
      </c>
      <c r="Q852" s="6">
        <f>OrganizedData[[#This Row],[Total Items Ordered]]*VLOOKUP(OrganizedData[[#This Row],[Product Code]],ProductData[],3,FALSE)</f>
        <v>365.16</v>
      </c>
      <c r="R8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853" spans="1:18" x14ac:dyDescent="0.3">
      <c r="A853" s="2">
        <v>846</v>
      </c>
      <c r="B853" s="2" t="s">
        <v>2935</v>
      </c>
      <c r="C853" s="2" t="s">
        <v>2936</v>
      </c>
      <c r="D853" s="2" t="s">
        <v>51</v>
      </c>
      <c r="E853" s="2" t="s">
        <v>16</v>
      </c>
      <c r="F853" s="2">
        <v>60</v>
      </c>
      <c r="G853" s="2" t="s">
        <v>2937</v>
      </c>
      <c r="H853" s="2" t="s">
        <v>1859</v>
      </c>
      <c r="I853" s="2" t="s">
        <v>89</v>
      </c>
      <c r="J853" s="3">
        <v>43889</v>
      </c>
      <c r="K853" s="5">
        <f>YEAR(OrganizedData[[#This Row],[Order Date]])</f>
        <v>2020</v>
      </c>
      <c r="L853" s="7" t="str">
        <f>TEXT(OrganizedData[[#This Row],[Order Date]],"mmm")</f>
        <v>Feb</v>
      </c>
      <c r="M853" s="2">
        <v>70</v>
      </c>
      <c r="N853" s="2" t="s">
        <v>33</v>
      </c>
      <c r="O853" s="2" t="str">
        <f>VLOOKUP(OrganizedData[[#This Row],[Product Code]],ProductData[[Code]:[Item]],2,FALSE)</f>
        <v>Megawidget L</v>
      </c>
      <c r="P853" s="4">
        <f>OrganizedData[[#This Row],[Quantity]]*VLOOKUP(OrganizedData[[#This Row],[Product Code]],ProductData[],4,FALSE)</f>
        <v>1680</v>
      </c>
      <c r="Q853" s="6">
        <f>OrganizedData[[#This Row],[Total Items Ordered]]*VLOOKUP(OrganizedData[[#This Row],[Product Code]],ProductData[],3,FALSE)</f>
        <v>3007.2000000000003</v>
      </c>
      <c r="R8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854" spans="1:18" x14ac:dyDescent="0.3">
      <c r="A854" s="2">
        <v>847</v>
      </c>
      <c r="B854" s="2" t="s">
        <v>2938</v>
      </c>
      <c r="C854" s="2" t="s">
        <v>2939</v>
      </c>
      <c r="D854" s="2" t="s">
        <v>51</v>
      </c>
      <c r="E854" s="2" t="s">
        <v>16</v>
      </c>
      <c r="F854" s="2">
        <v>90</v>
      </c>
      <c r="G854" s="2" t="s">
        <v>2940</v>
      </c>
      <c r="H854" s="2" t="s">
        <v>1827</v>
      </c>
      <c r="I854" s="2" t="s">
        <v>25</v>
      </c>
      <c r="J854" s="3">
        <v>44047</v>
      </c>
      <c r="K854" s="5">
        <f>YEAR(OrganizedData[[#This Row],[Order Date]])</f>
        <v>2020</v>
      </c>
      <c r="L854" s="7" t="str">
        <f>TEXT(OrganizedData[[#This Row],[Order Date]],"mmm")</f>
        <v>Aug</v>
      </c>
      <c r="M854" s="2">
        <v>79</v>
      </c>
      <c r="N854" s="2" t="s">
        <v>64</v>
      </c>
      <c r="O854" s="2" t="str">
        <f>VLOOKUP(OrganizedData[[#This Row],[Product Code]],ProductData[[Code]:[Item]],2,FALSE)</f>
        <v>Ultrathing V4</v>
      </c>
      <c r="P854" s="4">
        <f>OrganizedData[[#This Row],[Quantity]]*VLOOKUP(OrganizedData[[#This Row],[Product Code]],ProductData[],4,FALSE)</f>
        <v>1896</v>
      </c>
      <c r="Q854" s="6">
        <f>OrganizedData[[#This Row],[Total Items Ordered]]*VLOOKUP(OrganizedData[[#This Row],[Product Code]],ProductData[],3,FALSE)</f>
        <v>7565.04</v>
      </c>
      <c r="R8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855" spans="1:18" x14ac:dyDescent="0.3">
      <c r="A855" s="2">
        <v>848</v>
      </c>
      <c r="B855" s="2" t="s">
        <v>2941</v>
      </c>
      <c r="C855" s="2" t="s">
        <v>2942</v>
      </c>
      <c r="D855" s="2" t="s">
        <v>28</v>
      </c>
      <c r="E855" s="2" t="s">
        <v>29</v>
      </c>
      <c r="F855" s="2">
        <v>60</v>
      </c>
      <c r="G855" s="2" t="s">
        <v>2943</v>
      </c>
      <c r="H855" s="2" t="s">
        <v>912</v>
      </c>
      <c r="I855" s="2" t="s">
        <v>913</v>
      </c>
      <c r="J855" s="3">
        <v>44910</v>
      </c>
      <c r="K855" s="5">
        <f>YEAR(OrganizedData[[#This Row],[Order Date]])</f>
        <v>2022</v>
      </c>
      <c r="L855" s="7" t="str">
        <f>TEXT(OrganizedData[[#This Row],[Order Date]],"mmm")</f>
        <v>Dec</v>
      </c>
      <c r="M855" s="2">
        <v>93</v>
      </c>
      <c r="N855" s="2" t="s">
        <v>101</v>
      </c>
      <c r="O855" s="2" t="str">
        <f>VLOOKUP(OrganizedData[[#This Row],[Product Code]],ProductData[[Code]:[Item]],2,FALSE)</f>
        <v>Superwossname</v>
      </c>
      <c r="P855" s="4">
        <f>OrganizedData[[#This Row],[Quantity]]*VLOOKUP(OrganizedData[[#This Row],[Product Code]],ProductData[],4,FALSE)</f>
        <v>1860</v>
      </c>
      <c r="Q855" s="6">
        <f>OrganizedData[[#This Row],[Total Items Ordered]]*VLOOKUP(OrganizedData[[#This Row],[Product Code]],ProductData[],3,FALSE)</f>
        <v>6491.4000000000005</v>
      </c>
      <c r="R8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6166.83</v>
      </c>
    </row>
    <row r="856" spans="1:18" x14ac:dyDescent="0.3">
      <c r="A856" s="2">
        <v>849</v>
      </c>
      <c r="B856" s="2" t="s">
        <v>2944</v>
      </c>
      <c r="C856" s="2" t="s">
        <v>2945</v>
      </c>
      <c r="D856" s="2" t="s">
        <v>15</v>
      </c>
      <c r="E856" s="2" t="s">
        <v>16</v>
      </c>
      <c r="F856" s="2">
        <v>90</v>
      </c>
      <c r="G856" s="2" t="s">
        <v>2946</v>
      </c>
      <c r="H856" s="2" t="s">
        <v>641</v>
      </c>
      <c r="I856" s="2" t="s">
        <v>294</v>
      </c>
      <c r="J856" s="3">
        <v>44908</v>
      </c>
      <c r="K856" s="5">
        <f>YEAR(OrganizedData[[#This Row],[Order Date]])</f>
        <v>2022</v>
      </c>
      <c r="L856" s="7" t="str">
        <f>TEXT(OrganizedData[[#This Row],[Order Date]],"mmm")</f>
        <v>Dec</v>
      </c>
      <c r="M856" s="2">
        <v>48</v>
      </c>
      <c r="N856" s="2" t="s">
        <v>20</v>
      </c>
      <c r="O856" s="2" t="str">
        <f>VLOOKUP(OrganizedData[[#This Row],[Product Code]],ProductData[[Code]:[Item]],2,FALSE)</f>
        <v>Hyperwotsit</v>
      </c>
      <c r="P856" s="4">
        <f>OrganizedData[[#This Row],[Quantity]]*VLOOKUP(OrganizedData[[#This Row],[Product Code]],ProductData[],4,FALSE)</f>
        <v>960</v>
      </c>
      <c r="Q856" s="6">
        <f>OrganizedData[[#This Row],[Total Items Ordered]]*VLOOKUP(OrganizedData[[#This Row],[Product Code]],ProductData[],3,FALSE)</f>
        <v>1929.6</v>
      </c>
      <c r="R8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857" spans="1:18" x14ac:dyDescent="0.3">
      <c r="A857" s="2">
        <v>850</v>
      </c>
      <c r="B857" s="2" t="s">
        <v>2947</v>
      </c>
      <c r="C857" s="2" t="s">
        <v>2948</v>
      </c>
      <c r="D857" s="2" t="s">
        <v>28</v>
      </c>
      <c r="E857" s="2" t="s">
        <v>29</v>
      </c>
      <c r="F857" s="2">
        <v>90</v>
      </c>
      <c r="G857" s="2" t="s">
        <v>2949</v>
      </c>
      <c r="H857" s="2" t="s">
        <v>2950</v>
      </c>
      <c r="I857" s="2" t="s">
        <v>38</v>
      </c>
      <c r="J857" s="3">
        <v>44777</v>
      </c>
      <c r="K857" s="5">
        <f>YEAR(OrganizedData[[#This Row],[Order Date]])</f>
        <v>2022</v>
      </c>
      <c r="L857" s="7" t="str">
        <f>TEXT(OrganizedData[[#This Row],[Order Date]],"mmm")</f>
        <v>Aug</v>
      </c>
      <c r="M857" s="2">
        <v>47</v>
      </c>
      <c r="N857" s="2" t="s">
        <v>159</v>
      </c>
      <c r="O857" s="2" t="str">
        <f>VLOOKUP(OrganizedData[[#This Row],[Product Code]],ProductData[[Code]:[Item]],2,FALSE)</f>
        <v>Ultrathing V3</v>
      </c>
      <c r="P857" s="4">
        <f>OrganizedData[[#This Row],[Quantity]]*VLOOKUP(OrganizedData[[#This Row],[Product Code]],ProductData[],4,FALSE)</f>
        <v>1128</v>
      </c>
      <c r="Q857" s="6">
        <f>OrganizedData[[#This Row],[Total Items Ordered]]*VLOOKUP(OrganizedData[[#This Row],[Product Code]],ProductData[],3,FALSE)</f>
        <v>3823.92</v>
      </c>
      <c r="R8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3709.2024000000001</v>
      </c>
    </row>
    <row r="858" spans="1:18" x14ac:dyDescent="0.3">
      <c r="A858" s="2">
        <v>851</v>
      </c>
      <c r="B858" s="2" t="s">
        <v>2951</v>
      </c>
      <c r="C858" s="2" t="s">
        <v>1334</v>
      </c>
      <c r="D858" s="2" t="s">
        <v>28</v>
      </c>
      <c r="E858" s="2" t="s">
        <v>29</v>
      </c>
      <c r="F858" s="2">
        <v>30</v>
      </c>
      <c r="G858" s="2" t="s">
        <v>2952</v>
      </c>
      <c r="H858" s="2" t="s">
        <v>2953</v>
      </c>
      <c r="I858" s="2" t="s">
        <v>124</v>
      </c>
      <c r="J858" s="3">
        <v>44466</v>
      </c>
      <c r="K858" s="5">
        <f>YEAR(OrganizedData[[#This Row],[Order Date]])</f>
        <v>2021</v>
      </c>
      <c r="L858" s="7" t="str">
        <f>TEXT(OrganizedData[[#This Row],[Order Date]],"mmm")</f>
        <v>Sep</v>
      </c>
      <c r="M858" s="2">
        <v>52</v>
      </c>
      <c r="N858" s="2" t="s">
        <v>54</v>
      </c>
      <c r="O858" s="2" t="str">
        <f>VLOOKUP(OrganizedData[[#This Row],[Product Code]],ProductData[[Code]:[Item]],2,FALSE)</f>
        <v>Megawidget S</v>
      </c>
      <c r="P858" s="4">
        <f>OrganizedData[[#This Row],[Quantity]]*VLOOKUP(OrganizedData[[#This Row],[Product Code]],ProductData[],4,FALSE)</f>
        <v>1248</v>
      </c>
      <c r="Q858" s="6">
        <f>OrganizedData[[#This Row],[Total Items Ordered]]*VLOOKUP(OrganizedData[[#This Row],[Product Code]],ProductData[],3,FALSE)</f>
        <v>861.11999999999989</v>
      </c>
      <c r="R8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818.06399999999985</v>
      </c>
    </row>
    <row r="859" spans="1:18" x14ac:dyDescent="0.3">
      <c r="A859" s="2">
        <v>852</v>
      </c>
      <c r="B859" s="2" t="s">
        <v>2954</v>
      </c>
      <c r="C859" s="2" t="s">
        <v>2955</v>
      </c>
      <c r="D859" s="2" t="s">
        <v>51</v>
      </c>
      <c r="E859" s="2" t="s">
        <v>16</v>
      </c>
      <c r="F859" s="2">
        <v>60</v>
      </c>
      <c r="G859" s="2" t="s">
        <v>2956</v>
      </c>
      <c r="H859" s="2" t="s">
        <v>1667</v>
      </c>
      <c r="I859" s="2" t="s">
        <v>32</v>
      </c>
      <c r="J859" s="3">
        <v>43976</v>
      </c>
      <c r="K859" s="5">
        <f>YEAR(OrganizedData[[#This Row],[Order Date]])</f>
        <v>2020</v>
      </c>
      <c r="L859" s="7" t="str">
        <f>TEXT(OrganizedData[[#This Row],[Order Date]],"mmm")</f>
        <v>May</v>
      </c>
      <c r="M859" s="2">
        <v>73</v>
      </c>
      <c r="N859" s="2" t="s">
        <v>39</v>
      </c>
      <c r="O859" s="2" t="str">
        <f>VLOOKUP(OrganizedData[[#This Row],[Product Code]],ProductData[[Code]:[Item]],2,FALSE)</f>
        <v>Ultrathing V1</v>
      </c>
      <c r="P859" s="4">
        <f>OrganizedData[[#This Row],[Quantity]]*VLOOKUP(OrganizedData[[#This Row],[Product Code]],ProductData[],4,FALSE)</f>
        <v>1241</v>
      </c>
      <c r="Q859" s="6">
        <f>OrganizedData[[#This Row],[Total Items Ordered]]*VLOOKUP(OrganizedData[[#This Row],[Product Code]],ProductData[],3,FALSE)</f>
        <v>2221.39</v>
      </c>
      <c r="R8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860" spans="1:18" x14ac:dyDescent="0.3">
      <c r="A860" s="2">
        <v>853</v>
      </c>
      <c r="B860" s="2" t="s">
        <v>2406</v>
      </c>
      <c r="C860" s="2" t="s">
        <v>816</v>
      </c>
      <c r="D860" s="2" t="s">
        <v>28</v>
      </c>
      <c r="E860" s="2" t="s">
        <v>29</v>
      </c>
      <c r="F860" s="2">
        <v>90</v>
      </c>
      <c r="G860" s="2" t="s">
        <v>2957</v>
      </c>
      <c r="H860" s="2" t="s">
        <v>1168</v>
      </c>
      <c r="I860" s="2" t="s">
        <v>32</v>
      </c>
      <c r="J860" s="3">
        <v>44117</v>
      </c>
      <c r="K860" s="5">
        <f>YEAR(OrganizedData[[#This Row],[Order Date]])</f>
        <v>2020</v>
      </c>
      <c r="L860" s="7" t="str">
        <f>TEXT(OrganizedData[[#This Row],[Order Date]],"mmm")</f>
        <v>Oct</v>
      </c>
      <c r="M860" s="2">
        <v>9</v>
      </c>
      <c r="N860" s="2" t="s">
        <v>33</v>
      </c>
      <c r="O860" s="2" t="str">
        <f>VLOOKUP(OrganizedData[[#This Row],[Product Code]],ProductData[[Code]:[Item]],2,FALSE)</f>
        <v>Megawidget L</v>
      </c>
      <c r="P860" s="4">
        <f>OrganizedData[[#This Row],[Quantity]]*VLOOKUP(OrganizedData[[#This Row],[Product Code]],ProductData[],4,FALSE)</f>
        <v>216</v>
      </c>
      <c r="Q860" s="6">
        <f>OrganizedData[[#This Row],[Total Items Ordered]]*VLOOKUP(OrganizedData[[#This Row],[Product Code]],ProductData[],3,FALSE)</f>
        <v>386.64</v>
      </c>
      <c r="R8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386.64</v>
      </c>
    </row>
    <row r="861" spans="1:18" x14ac:dyDescent="0.3">
      <c r="A861" s="2">
        <v>854</v>
      </c>
      <c r="B861" s="2" t="s">
        <v>2958</v>
      </c>
      <c r="C861" s="2" t="s">
        <v>394</v>
      </c>
      <c r="D861" s="2" t="s">
        <v>15</v>
      </c>
      <c r="E861" s="2" t="s">
        <v>16</v>
      </c>
      <c r="F861" s="2">
        <v>30</v>
      </c>
      <c r="G861" s="2" t="s">
        <v>2959</v>
      </c>
      <c r="H861" s="2" t="s">
        <v>1625</v>
      </c>
      <c r="I861" s="2" t="s">
        <v>32</v>
      </c>
      <c r="J861" s="3">
        <v>44419</v>
      </c>
      <c r="K861" s="5">
        <f>YEAR(OrganizedData[[#This Row],[Order Date]])</f>
        <v>2021</v>
      </c>
      <c r="L861" s="7" t="str">
        <f>TEXT(OrganizedData[[#This Row],[Order Date]],"mmm")</f>
        <v>Aug</v>
      </c>
      <c r="M861" s="2">
        <v>41</v>
      </c>
      <c r="N861" s="2" t="s">
        <v>159</v>
      </c>
      <c r="O861" s="2" t="str">
        <f>VLOOKUP(OrganizedData[[#This Row],[Product Code]],ProductData[[Code]:[Item]],2,FALSE)</f>
        <v>Ultrathing V3</v>
      </c>
      <c r="P861" s="4">
        <f>OrganizedData[[#This Row],[Quantity]]*VLOOKUP(OrganizedData[[#This Row],[Product Code]],ProductData[],4,FALSE)</f>
        <v>984</v>
      </c>
      <c r="Q861" s="6">
        <f>OrganizedData[[#This Row],[Total Items Ordered]]*VLOOKUP(OrganizedData[[#This Row],[Product Code]],ProductData[],3,FALSE)</f>
        <v>3335.76</v>
      </c>
      <c r="R8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3235.6872000000003</v>
      </c>
    </row>
    <row r="862" spans="1:18" x14ac:dyDescent="0.3">
      <c r="A862" s="2">
        <v>855</v>
      </c>
      <c r="B862" s="2" t="s">
        <v>2960</v>
      </c>
      <c r="C862" s="2" t="s">
        <v>2385</v>
      </c>
      <c r="D862" s="2" t="s">
        <v>28</v>
      </c>
      <c r="E862" s="2" t="s">
        <v>29</v>
      </c>
      <c r="F862" s="2">
        <v>60</v>
      </c>
      <c r="G862" s="2" t="s">
        <v>2961</v>
      </c>
      <c r="H862" s="2" t="s">
        <v>2294</v>
      </c>
      <c r="I862" s="2" t="s">
        <v>32</v>
      </c>
      <c r="J862" s="3">
        <v>44887</v>
      </c>
      <c r="K862" s="5">
        <f>YEAR(OrganizedData[[#This Row],[Order Date]])</f>
        <v>2022</v>
      </c>
      <c r="L862" s="7" t="str">
        <f>TEXT(OrganizedData[[#This Row],[Order Date]],"mmm")</f>
        <v>Nov</v>
      </c>
      <c r="M862" s="2">
        <v>21</v>
      </c>
      <c r="N862" s="2" t="s">
        <v>45</v>
      </c>
      <c r="O862" s="2" t="str">
        <f>VLOOKUP(OrganizedData[[#This Row],[Product Code]],ProductData[[Code]:[Item]],2,FALSE)</f>
        <v>Gigastuff</v>
      </c>
      <c r="P862" s="4">
        <f>OrganizedData[[#This Row],[Quantity]]*VLOOKUP(OrganizedData[[#This Row],[Product Code]],ProductData[],4,FALSE)</f>
        <v>378</v>
      </c>
      <c r="Q862" s="6">
        <f>OrganizedData[[#This Row],[Total Items Ordered]]*VLOOKUP(OrganizedData[[#This Row],[Product Code]],ProductData[],3,FALSE)</f>
        <v>714.42</v>
      </c>
      <c r="R8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692.98739999999998</v>
      </c>
    </row>
    <row r="863" spans="1:18" x14ac:dyDescent="0.3">
      <c r="A863" s="2">
        <v>856</v>
      </c>
      <c r="B863" s="2" t="s">
        <v>2962</v>
      </c>
      <c r="C863" s="2" t="s">
        <v>2963</v>
      </c>
      <c r="D863" s="2" t="s">
        <v>28</v>
      </c>
      <c r="E863" s="2" t="s">
        <v>29</v>
      </c>
      <c r="F863" s="2">
        <v>90</v>
      </c>
      <c r="G863" s="2" t="s">
        <v>2964</v>
      </c>
      <c r="H863" s="2" t="s">
        <v>2965</v>
      </c>
      <c r="I863" s="2" t="s">
        <v>25</v>
      </c>
      <c r="J863" s="3">
        <v>44334</v>
      </c>
      <c r="K863" s="5">
        <f>YEAR(OrganizedData[[#This Row],[Order Date]])</f>
        <v>2021</v>
      </c>
      <c r="L863" s="7" t="str">
        <f>TEXT(OrganizedData[[#This Row],[Order Date]],"mmm")</f>
        <v>May</v>
      </c>
      <c r="M863" s="2">
        <v>86</v>
      </c>
      <c r="N863" s="2" t="s">
        <v>33</v>
      </c>
      <c r="O863" s="2" t="str">
        <f>VLOOKUP(OrganizedData[[#This Row],[Product Code]],ProductData[[Code]:[Item]],2,FALSE)</f>
        <v>Megawidget L</v>
      </c>
      <c r="P863" s="4">
        <f>OrganizedData[[#This Row],[Quantity]]*VLOOKUP(OrganizedData[[#This Row],[Product Code]],ProductData[],4,FALSE)</f>
        <v>2064</v>
      </c>
      <c r="Q863" s="6">
        <f>OrganizedData[[#This Row],[Total Items Ordered]]*VLOOKUP(OrganizedData[[#This Row],[Product Code]],ProductData[],3,FALSE)</f>
        <v>3694.56</v>
      </c>
      <c r="R8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3509.8319999999999</v>
      </c>
    </row>
    <row r="864" spans="1:18" x14ac:dyDescent="0.3">
      <c r="A864" s="2">
        <v>857</v>
      </c>
      <c r="B864" s="2" t="s">
        <v>2966</v>
      </c>
      <c r="C864" s="2" t="s">
        <v>1546</v>
      </c>
      <c r="D864" s="2" t="s">
        <v>51</v>
      </c>
      <c r="E864" s="2" t="s">
        <v>16</v>
      </c>
      <c r="F864" s="2">
        <v>30</v>
      </c>
      <c r="G864" s="2" t="s">
        <v>2967</v>
      </c>
      <c r="H864" s="2" t="s">
        <v>2076</v>
      </c>
      <c r="I864" s="2" t="s">
        <v>2077</v>
      </c>
      <c r="J864" s="3">
        <v>44019</v>
      </c>
      <c r="K864" s="5">
        <f>YEAR(OrganizedData[[#This Row],[Order Date]])</f>
        <v>2020</v>
      </c>
      <c r="L864" s="7" t="str">
        <f>TEXT(OrganizedData[[#This Row],[Order Date]],"mmm")</f>
        <v>Jul</v>
      </c>
      <c r="M864" s="2">
        <v>70</v>
      </c>
      <c r="N864" s="2" t="s">
        <v>70</v>
      </c>
      <c r="O864" s="2" t="str">
        <f>VLOOKUP(OrganizedData[[#This Row],[Product Code]],ProductData[[Code]:[Item]],2,FALSE)</f>
        <v>Megawidget M</v>
      </c>
      <c r="P864" s="4">
        <f>OrganizedData[[#This Row],[Quantity]]*VLOOKUP(OrganizedData[[#This Row],[Product Code]],ProductData[],4,FALSE)</f>
        <v>1680</v>
      </c>
      <c r="Q864" s="6">
        <f>OrganizedData[[#This Row],[Total Items Ordered]]*VLOOKUP(OrganizedData[[#This Row],[Product Code]],ProductData[],3,FALSE)</f>
        <v>2167.2000000000003</v>
      </c>
      <c r="R8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2058.84</v>
      </c>
    </row>
    <row r="865" spans="1:18" x14ac:dyDescent="0.3">
      <c r="A865" s="2">
        <v>858</v>
      </c>
      <c r="B865" s="2" t="s">
        <v>106</v>
      </c>
      <c r="C865" s="2" t="s">
        <v>1656</v>
      </c>
      <c r="D865" s="2" t="s">
        <v>621</v>
      </c>
      <c r="E865" s="2" t="s">
        <v>29</v>
      </c>
      <c r="F865" s="2">
        <v>60</v>
      </c>
      <c r="G865" s="2" t="s">
        <v>2968</v>
      </c>
      <c r="H865" s="2" t="s">
        <v>2759</v>
      </c>
      <c r="I865" s="2" t="s">
        <v>32</v>
      </c>
      <c r="J865" s="3">
        <v>44486</v>
      </c>
      <c r="K865" s="5">
        <f>YEAR(OrganizedData[[#This Row],[Order Date]])</f>
        <v>2021</v>
      </c>
      <c r="L865" s="7" t="str">
        <f>TEXT(OrganizedData[[#This Row],[Order Date]],"mmm")</f>
        <v>Oct</v>
      </c>
      <c r="M865" s="2">
        <v>40</v>
      </c>
      <c r="N865" s="2" t="s">
        <v>64</v>
      </c>
      <c r="O865" s="2" t="str">
        <f>VLOOKUP(OrganizedData[[#This Row],[Product Code]],ProductData[[Code]:[Item]],2,FALSE)</f>
        <v>Ultrathing V4</v>
      </c>
      <c r="P865" s="4">
        <f>OrganizedData[[#This Row],[Quantity]]*VLOOKUP(OrganizedData[[#This Row],[Product Code]],ProductData[],4,FALSE)</f>
        <v>960</v>
      </c>
      <c r="Q865" s="6">
        <f>OrganizedData[[#This Row],[Total Items Ordered]]*VLOOKUP(OrganizedData[[#This Row],[Product Code]],ProductData[],3,FALSE)</f>
        <v>3830.4</v>
      </c>
      <c r="R8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3715.4879999999998</v>
      </c>
    </row>
    <row r="866" spans="1:18" x14ac:dyDescent="0.3">
      <c r="A866" s="2">
        <v>859</v>
      </c>
      <c r="B866" s="2" t="s">
        <v>2969</v>
      </c>
      <c r="C866" s="2" t="s">
        <v>2970</v>
      </c>
      <c r="D866" s="2" t="s">
        <v>51</v>
      </c>
      <c r="E866" s="2" t="s">
        <v>16</v>
      </c>
      <c r="F866" s="2">
        <v>90</v>
      </c>
      <c r="G866" s="2" t="s">
        <v>2971</v>
      </c>
      <c r="H866" s="2" t="s">
        <v>2972</v>
      </c>
      <c r="I866" s="2" t="s">
        <v>32</v>
      </c>
      <c r="J866" s="3">
        <v>44381</v>
      </c>
      <c r="K866" s="5">
        <f>YEAR(OrganizedData[[#This Row],[Order Date]])</f>
        <v>2021</v>
      </c>
      <c r="L866" s="7" t="str">
        <f>TEXT(OrganizedData[[#This Row],[Order Date]],"mmm")</f>
        <v>Jul</v>
      </c>
      <c r="M866" s="2">
        <v>74</v>
      </c>
      <c r="N866" s="2" t="s">
        <v>80</v>
      </c>
      <c r="O866" s="2" t="str">
        <f>VLOOKUP(OrganizedData[[#This Row],[Product Code]],ProductData[[Code]:[Item]],2,FALSE)</f>
        <v>Ultrathing V2</v>
      </c>
      <c r="P866" s="4">
        <f>OrganizedData[[#This Row],[Quantity]]*VLOOKUP(OrganizedData[[#This Row],[Product Code]],ProductData[],4,FALSE)</f>
        <v>1480</v>
      </c>
      <c r="Q866" s="6">
        <f>OrganizedData[[#This Row],[Total Items Ordered]]*VLOOKUP(OrganizedData[[#This Row],[Product Code]],ProductData[],3,FALSE)</f>
        <v>4366</v>
      </c>
      <c r="R8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4147.7</v>
      </c>
    </row>
    <row r="867" spans="1:18" x14ac:dyDescent="0.3">
      <c r="A867" s="2">
        <v>860</v>
      </c>
      <c r="B867" s="2" t="s">
        <v>2973</v>
      </c>
      <c r="C867" s="2" t="s">
        <v>1392</v>
      </c>
      <c r="D867" s="2" t="s">
        <v>15</v>
      </c>
      <c r="E867" s="2" t="s">
        <v>16</v>
      </c>
      <c r="F867" s="2">
        <v>60</v>
      </c>
      <c r="G867" s="2" t="s">
        <v>2974</v>
      </c>
      <c r="H867" s="2" t="s">
        <v>2975</v>
      </c>
      <c r="I867" s="2" t="s">
        <v>146</v>
      </c>
      <c r="J867" s="3">
        <v>44538</v>
      </c>
      <c r="K867" s="5">
        <f>YEAR(OrganizedData[[#This Row],[Order Date]])</f>
        <v>2021</v>
      </c>
      <c r="L867" s="7" t="str">
        <f>TEXT(OrganizedData[[#This Row],[Order Date]],"mmm")</f>
        <v>Dec</v>
      </c>
      <c r="M867" s="2">
        <v>66</v>
      </c>
      <c r="N867" s="2" t="s">
        <v>159</v>
      </c>
      <c r="O867" s="2" t="str">
        <f>VLOOKUP(OrganizedData[[#This Row],[Product Code]],ProductData[[Code]:[Item]],2,FALSE)</f>
        <v>Ultrathing V3</v>
      </c>
      <c r="P867" s="4">
        <f>OrganizedData[[#This Row],[Quantity]]*VLOOKUP(OrganizedData[[#This Row],[Product Code]],ProductData[],4,FALSE)</f>
        <v>1584</v>
      </c>
      <c r="Q867" s="6">
        <f>OrganizedData[[#This Row],[Total Items Ordered]]*VLOOKUP(OrganizedData[[#This Row],[Product Code]],ProductData[],3,FALSE)</f>
        <v>5369.76</v>
      </c>
      <c r="R8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5101.2719999999999</v>
      </c>
    </row>
    <row r="868" spans="1:18" x14ac:dyDescent="0.3">
      <c r="A868" s="2">
        <v>861</v>
      </c>
      <c r="B868" s="2" t="s">
        <v>2976</v>
      </c>
      <c r="C868" s="2" t="s">
        <v>2977</v>
      </c>
      <c r="D868" s="2" t="s">
        <v>28</v>
      </c>
      <c r="E868" s="2" t="s">
        <v>29</v>
      </c>
      <c r="F868" s="2">
        <v>60</v>
      </c>
      <c r="G868" s="2" t="s">
        <v>2981</v>
      </c>
      <c r="H868" s="2" t="s">
        <v>2341</v>
      </c>
      <c r="I868" s="2" t="s">
        <v>2342</v>
      </c>
      <c r="J868" s="3">
        <v>43925</v>
      </c>
      <c r="K868" s="5">
        <f>YEAR(OrganizedData[[#This Row],[Order Date]])</f>
        <v>2020</v>
      </c>
      <c r="L868" s="7" t="str">
        <f>TEXT(OrganizedData[[#This Row],[Order Date]],"mmm")</f>
        <v>Apr</v>
      </c>
      <c r="M868" s="2">
        <v>35</v>
      </c>
      <c r="N868" s="2" t="s">
        <v>54</v>
      </c>
      <c r="O868" s="2" t="str">
        <f>VLOOKUP(OrganizedData[[#This Row],[Product Code]],ProductData[[Code]:[Item]],2,FALSE)</f>
        <v>Megawidget S</v>
      </c>
      <c r="P868" s="4">
        <f>OrganizedData[[#This Row],[Quantity]]*VLOOKUP(OrganizedData[[#This Row],[Product Code]],ProductData[],4,FALSE)</f>
        <v>840</v>
      </c>
      <c r="Q868" s="6">
        <f>OrganizedData[[#This Row],[Total Items Ordered]]*VLOOKUP(OrganizedData[[#This Row],[Product Code]],ProductData[],3,FALSE)</f>
        <v>579.59999999999991</v>
      </c>
      <c r="R8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869" spans="1:18" x14ac:dyDescent="0.3">
      <c r="A869" s="2">
        <v>862</v>
      </c>
      <c r="B869" s="2" t="s">
        <v>2979</v>
      </c>
      <c r="C869" s="2" t="s">
        <v>2980</v>
      </c>
      <c r="D869" s="2" t="s">
        <v>51</v>
      </c>
      <c r="E869" s="2" t="s">
        <v>16</v>
      </c>
      <c r="F869" s="2">
        <v>30</v>
      </c>
      <c r="G869" s="2" t="s">
        <v>2981</v>
      </c>
      <c r="H869" s="2" t="s">
        <v>2982</v>
      </c>
      <c r="I869" s="2" t="s">
        <v>2983</v>
      </c>
      <c r="J869" s="3">
        <v>44633</v>
      </c>
      <c r="K869" s="5">
        <f>YEAR(OrganizedData[[#This Row],[Order Date]])</f>
        <v>2022</v>
      </c>
      <c r="L869" s="7" t="str">
        <f>TEXT(OrganizedData[[#This Row],[Order Date]],"mmm")</f>
        <v>Mar</v>
      </c>
      <c r="M869" s="2">
        <v>59</v>
      </c>
      <c r="N869" s="2" t="s">
        <v>70</v>
      </c>
      <c r="O869" s="2" t="str">
        <f>VLOOKUP(OrganizedData[[#This Row],[Product Code]],ProductData[[Code]:[Item]],2,FALSE)</f>
        <v>Megawidget M</v>
      </c>
      <c r="P869" s="4">
        <f>OrganizedData[[#This Row],[Quantity]]*VLOOKUP(OrganizedData[[#This Row],[Product Code]],ProductData[],4,FALSE)</f>
        <v>1416</v>
      </c>
      <c r="Q869" s="6">
        <f>OrganizedData[[#This Row],[Total Items Ordered]]*VLOOKUP(OrganizedData[[#This Row],[Product Code]],ProductData[],3,FALSE)</f>
        <v>1826.64</v>
      </c>
      <c r="R8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870" spans="1:18" x14ac:dyDescent="0.3">
      <c r="A870" s="2">
        <v>863</v>
      </c>
      <c r="B870" s="2" t="s">
        <v>2984</v>
      </c>
      <c r="C870" s="2" t="s">
        <v>2985</v>
      </c>
      <c r="D870" s="2" t="s">
        <v>28</v>
      </c>
      <c r="E870" s="2" t="s">
        <v>29</v>
      </c>
      <c r="F870" s="2">
        <v>30</v>
      </c>
      <c r="G870" s="2" t="s">
        <v>2986</v>
      </c>
      <c r="H870" s="2" t="s">
        <v>2987</v>
      </c>
      <c r="I870" s="2" t="s">
        <v>32</v>
      </c>
      <c r="J870" s="3">
        <v>44650</v>
      </c>
      <c r="K870" s="5">
        <f>YEAR(OrganizedData[[#This Row],[Order Date]])</f>
        <v>2022</v>
      </c>
      <c r="L870" s="7" t="str">
        <f>TEXT(OrganizedData[[#This Row],[Order Date]],"mmm")</f>
        <v>Mar</v>
      </c>
      <c r="M870" s="2">
        <v>20</v>
      </c>
      <c r="N870" s="2" t="s">
        <v>101</v>
      </c>
      <c r="O870" s="2" t="str">
        <f>VLOOKUP(OrganizedData[[#This Row],[Product Code]],ProductData[[Code]:[Item]],2,FALSE)</f>
        <v>Superwossname</v>
      </c>
      <c r="P870" s="4">
        <f>OrganizedData[[#This Row],[Quantity]]*VLOOKUP(OrganizedData[[#This Row],[Product Code]],ProductData[],4,FALSE)</f>
        <v>400</v>
      </c>
      <c r="Q870" s="6">
        <f>OrganizedData[[#This Row],[Total Items Ordered]]*VLOOKUP(OrganizedData[[#This Row],[Product Code]],ProductData[],3,FALSE)</f>
        <v>1396</v>
      </c>
      <c r="R8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v>
      </c>
    </row>
    <row r="871" spans="1:18" x14ac:dyDescent="0.3">
      <c r="A871" s="2">
        <v>864</v>
      </c>
      <c r="B871" s="2" t="s">
        <v>2988</v>
      </c>
      <c r="C871" s="2" t="s">
        <v>305</v>
      </c>
      <c r="D871" s="2" t="s">
        <v>51</v>
      </c>
      <c r="E871" s="2" t="s">
        <v>16</v>
      </c>
      <c r="F871" s="2">
        <v>30</v>
      </c>
      <c r="G871" s="2" t="s">
        <v>2989</v>
      </c>
      <c r="H871" s="2" t="s">
        <v>2990</v>
      </c>
      <c r="I871" s="2" t="s">
        <v>38</v>
      </c>
      <c r="J871" s="3">
        <v>44359</v>
      </c>
      <c r="K871" s="5">
        <f>YEAR(OrganizedData[[#This Row],[Order Date]])</f>
        <v>2021</v>
      </c>
      <c r="L871" s="7" t="str">
        <f>TEXT(OrganizedData[[#This Row],[Order Date]],"mmm")</f>
        <v>Jun</v>
      </c>
      <c r="M871" s="2">
        <v>42</v>
      </c>
      <c r="N871" s="2" t="s">
        <v>159</v>
      </c>
      <c r="O871" s="2" t="str">
        <f>VLOOKUP(OrganizedData[[#This Row],[Product Code]],ProductData[[Code]:[Item]],2,FALSE)</f>
        <v>Ultrathing V3</v>
      </c>
      <c r="P871" s="4">
        <f>OrganizedData[[#This Row],[Quantity]]*VLOOKUP(OrganizedData[[#This Row],[Product Code]],ProductData[],4,FALSE)</f>
        <v>1008</v>
      </c>
      <c r="Q871" s="6">
        <f>OrganizedData[[#This Row],[Total Items Ordered]]*VLOOKUP(OrganizedData[[#This Row],[Product Code]],ProductData[],3,FALSE)</f>
        <v>3417.1200000000003</v>
      </c>
      <c r="R8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872" spans="1:18" x14ac:dyDescent="0.3">
      <c r="A872" s="2">
        <v>865</v>
      </c>
      <c r="B872" s="2" t="s">
        <v>82</v>
      </c>
      <c r="C872" s="2" t="s">
        <v>2991</v>
      </c>
      <c r="D872" s="2" t="s">
        <v>28</v>
      </c>
      <c r="E872" s="2" t="s">
        <v>29</v>
      </c>
      <c r="F872" s="2">
        <v>30</v>
      </c>
      <c r="G872" s="2" t="s">
        <v>2992</v>
      </c>
      <c r="H872" s="2" t="s">
        <v>2993</v>
      </c>
      <c r="I872" s="2" t="s">
        <v>32</v>
      </c>
      <c r="J872" s="3">
        <v>44769</v>
      </c>
      <c r="K872" s="5">
        <f>YEAR(OrganizedData[[#This Row],[Order Date]])</f>
        <v>2022</v>
      </c>
      <c r="L872" s="7" t="str">
        <f>TEXT(OrganizedData[[#This Row],[Order Date]],"mmm")</f>
        <v>Jul</v>
      </c>
      <c r="M872" s="2">
        <v>99</v>
      </c>
      <c r="N872" s="2" t="s">
        <v>45</v>
      </c>
      <c r="O872" s="2" t="str">
        <f>VLOOKUP(OrganizedData[[#This Row],[Product Code]],ProductData[[Code]:[Item]],2,FALSE)</f>
        <v>Gigastuff</v>
      </c>
      <c r="P872" s="4">
        <f>OrganizedData[[#This Row],[Quantity]]*VLOOKUP(OrganizedData[[#This Row],[Product Code]],ProductData[],4,FALSE)</f>
        <v>1782</v>
      </c>
      <c r="Q872" s="6">
        <f>OrganizedData[[#This Row],[Total Items Ordered]]*VLOOKUP(OrganizedData[[#This Row],[Product Code]],ProductData[],3,FALSE)</f>
        <v>3367.98</v>
      </c>
      <c r="R8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3199.5809999999997</v>
      </c>
    </row>
    <row r="873" spans="1:18" x14ac:dyDescent="0.3">
      <c r="A873" s="2">
        <v>866</v>
      </c>
      <c r="B873" s="2" t="s">
        <v>2994</v>
      </c>
      <c r="C873" s="2" t="s">
        <v>2995</v>
      </c>
      <c r="D873" s="2" t="s">
        <v>28</v>
      </c>
      <c r="E873" s="2" t="s">
        <v>29</v>
      </c>
      <c r="F873" s="2">
        <v>60</v>
      </c>
      <c r="G873" s="2" t="s">
        <v>2996</v>
      </c>
      <c r="H873" s="2" t="s">
        <v>2997</v>
      </c>
      <c r="I873" s="2" t="s">
        <v>32</v>
      </c>
      <c r="J873" s="3">
        <v>44222</v>
      </c>
      <c r="K873" s="5">
        <f>YEAR(OrganizedData[[#This Row],[Order Date]])</f>
        <v>2021</v>
      </c>
      <c r="L873" s="7" t="str">
        <f>TEXT(OrganizedData[[#This Row],[Order Date]],"mmm")</f>
        <v>Jan</v>
      </c>
      <c r="M873" s="2">
        <v>13</v>
      </c>
      <c r="N873" s="2" t="s">
        <v>20</v>
      </c>
      <c r="O873" s="2" t="str">
        <f>VLOOKUP(OrganizedData[[#This Row],[Product Code]],ProductData[[Code]:[Item]],2,FALSE)</f>
        <v>Hyperwotsit</v>
      </c>
      <c r="P873" s="4">
        <f>OrganizedData[[#This Row],[Quantity]]*VLOOKUP(OrganizedData[[#This Row],[Product Code]],ProductData[],4,FALSE)</f>
        <v>260</v>
      </c>
      <c r="Q873" s="6">
        <f>OrganizedData[[#This Row],[Total Items Ordered]]*VLOOKUP(OrganizedData[[#This Row],[Product Code]],ProductData[],3,FALSE)</f>
        <v>522.59999999999991</v>
      </c>
      <c r="R8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874" spans="1:18" x14ac:dyDescent="0.3">
      <c r="A874" s="2">
        <v>867</v>
      </c>
      <c r="B874" s="2" t="s">
        <v>2013</v>
      </c>
      <c r="C874" s="2" t="s">
        <v>2998</v>
      </c>
      <c r="D874" s="2" t="s">
        <v>51</v>
      </c>
      <c r="E874" s="2" t="s">
        <v>16</v>
      </c>
      <c r="F874" s="2">
        <v>90</v>
      </c>
      <c r="G874" s="2" t="s">
        <v>2999</v>
      </c>
      <c r="H874" s="2" t="s">
        <v>1221</v>
      </c>
      <c r="I874" s="2" t="s">
        <v>124</v>
      </c>
      <c r="J874" s="3">
        <v>44597</v>
      </c>
      <c r="K874" s="5">
        <f>YEAR(OrganizedData[[#This Row],[Order Date]])</f>
        <v>2022</v>
      </c>
      <c r="L874" s="7" t="str">
        <f>TEXT(OrganizedData[[#This Row],[Order Date]],"mmm")</f>
        <v>Feb</v>
      </c>
      <c r="M874" s="2">
        <v>76</v>
      </c>
      <c r="N874" s="2" t="s">
        <v>39</v>
      </c>
      <c r="O874" s="2" t="str">
        <f>VLOOKUP(OrganizedData[[#This Row],[Product Code]],ProductData[[Code]:[Item]],2,FALSE)</f>
        <v>Ultrathing V1</v>
      </c>
      <c r="P874" s="4">
        <f>OrganizedData[[#This Row],[Quantity]]*VLOOKUP(OrganizedData[[#This Row],[Product Code]],ProductData[],4,FALSE)</f>
        <v>1292</v>
      </c>
      <c r="Q874" s="6">
        <f>OrganizedData[[#This Row],[Total Items Ordered]]*VLOOKUP(OrganizedData[[#This Row],[Product Code]],ProductData[],3,FALSE)</f>
        <v>2312.6799999999998</v>
      </c>
      <c r="R8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875" spans="1:18" x14ac:dyDescent="0.3">
      <c r="A875" s="2">
        <v>868</v>
      </c>
      <c r="B875" s="2" t="s">
        <v>3000</v>
      </c>
      <c r="C875" s="2" t="s">
        <v>644</v>
      </c>
      <c r="D875" s="2" t="s">
        <v>15</v>
      </c>
      <c r="E875" s="2" t="s">
        <v>16</v>
      </c>
      <c r="F875" s="2">
        <v>30</v>
      </c>
      <c r="G875" s="2" t="s">
        <v>3001</v>
      </c>
      <c r="H875" s="2" t="s">
        <v>3002</v>
      </c>
      <c r="I875" s="2" t="s">
        <v>32</v>
      </c>
      <c r="J875" s="3">
        <v>44890</v>
      </c>
      <c r="K875" s="5">
        <f>YEAR(OrganizedData[[#This Row],[Order Date]])</f>
        <v>2022</v>
      </c>
      <c r="L875" s="7" t="str">
        <f>TEXT(OrganizedData[[#This Row],[Order Date]],"mmm")</f>
        <v>Nov</v>
      </c>
      <c r="M875" s="2">
        <v>9</v>
      </c>
      <c r="N875" s="2" t="s">
        <v>64</v>
      </c>
      <c r="O875" s="2" t="str">
        <f>VLOOKUP(OrganizedData[[#This Row],[Product Code]],ProductData[[Code]:[Item]],2,FALSE)</f>
        <v>Ultrathing V4</v>
      </c>
      <c r="P875" s="4">
        <f>OrganizedData[[#This Row],[Quantity]]*VLOOKUP(OrganizedData[[#This Row],[Product Code]],ProductData[],4,FALSE)</f>
        <v>216</v>
      </c>
      <c r="Q875" s="6">
        <f>OrganizedData[[#This Row],[Total Items Ordered]]*VLOOKUP(OrganizedData[[#This Row],[Product Code]],ProductData[],3,FALSE)</f>
        <v>861.84</v>
      </c>
      <c r="R8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861.84</v>
      </c>
    </row>
    <row r="876" spans="1:18" x14ac:dyDescent="0.3">
      <c r="A876" s="2">
        <v>869</v>
      </c>
      <c r="B876" s="2" t="s">
        <v>3003</v>
      </c>
      <c r="C876" s="2" t="s">
        <v>2813</v>
      </c>
      <c r="D876" s="2" t="s">
        <v>51</v>
      </c>
      <c r="E876" s="2" t="s">
        <v>16</v>
      </c>
      <c r="F876" s="2">
        <v>30</v>
      </c>
      <c r="G876" s="2" t="s">
        <v>3004</v>
      </c>
      <c r="H876" s="2" t="s">
        <v>2199</v>
      </c>
      <c r="I876" s="2" t="s">
        <v>32</v>
      </c>
      <c r="J876" s="3">
        <v>43873</v>
      </c>
      <c r="K876" s="5">
        <f>YEAR(OrganizedData[[#This Row],[Order Date]])</f>
        <v>2020</v>
      </c>
      <c r="L876" s="7" t="str">
        <f>TEXT(OrganizedData[[#This Row],[Order Date]],"mmm")</f>
        <v>Feb</v>
      </c>
      <c r="M876" s="2">
        <v>28</v>
      </c>
      <c r="N876" s="2" t="s">
        <v>80</v>
      </c>
      <c r="O876" s="2" t="str">
        <f>VLOOKUP(OrganizedData[[#This Row],[Product Code]],ProductData[[Code]:[Item]],2,FALSE)</f>
        <v>Ultrathing V2</v>
      </c>
      <c r="P876" s="4">
        <f>OrganizedData[[#This Row],[Quantity]]*VLOOKUP(OrganizedData[[#This Row],[Product Code]],ProductData[],4,FALSE)</f>
        <v>560</v>
      </c>
      <c r="Q876" s="6">
        <f>OrganizedData[[#This Row],[Total Items Ordered]]*VLOOKUP(OrganizedData[[#This Row],[Product Code]],ProductData[],3,FALSE)</f>
        <v>1652</v>
      </c>
      <c r="R8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1602.44</v>
      </c>
    </row>
    <row r="877" spans="1:18" x14ac:dyDescent="0.3">
      <c r="A877" s="2">
        <v>870</v>
      </c>
      <c r="B877" s="2" t="s">
        <v>3005</v>
      </c>
      <c r="C877" s="2" t="s">
        <v>1627</v>
      </c>
      <c r="D877" s="2" t="s">
        <v>28</v>
      </c>
      <c r="E877" s="2" t="s">
        <v>29</v>
      </c>
      <c r="F877" s="2">
        <v>30</v>
      </c>
      <c r="G877" s="2" t="s">
        <v>3006</v>
      </c>
      <c r="H877" s="2" t="s">
        <v>3007</v>
      </c>
      <c r="I877" s="2" t="s">
        <v>554</v>
      </c>
      <c r="J877" s="3">
        <v>44422</v>
      </c>
      <c r="K877" s="5">
        <f>YEAR(OrganizedData[[#This Row],[Order Date]])</f>
        <v>2021</v>
      </c>
      <c r="L877" s="7" t="str">
        <f>TEXT(OrganizedData[[#This Row],[Order Date]],"mmm")</f>
        <v>Aug</v>
      </c>
      <c r="M877" s="2">
        <v>72</v>
      </c>
      <c r="N877" s="2" t="s">
        <v>54</v>
      </c>
      <c r="O877" s="2" t="str">
        <f>VLOOKUP(OrganizedData[[#This Row],[Product Code]],ProductData[[Code]:[Item]],2,FALSE)</f>
        <v>Megawidget S</v>
      </c>
      <c r="P877" s="4">
        <f>OrganizedData[[#This Row],[Quantity]]*VLOOKUP(OrganizedData[[#This Row],[Product Code]],ProductData[],4,FALSE)</f>
        <v>1728</v>
      </c>
      <c r="Q877" s="6">
        <f>OrganizedData[[#This Row],[Total Items Ordered]]*VLOOKUP(OrganizedData[[#This Row],[Product Code]],ProductData[],3,FALSE)</f>
        <v>1192.32</v>
      </c>
      <c r="R8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878" spans="1:18" x14ac:dyDescent="0.3">
      <c r="A878" s="2">
        <v>871</v>
      </c>
      <c r="B878" s="2" t="s">
        <v>3008</v>
      </c>
      <c r="C878" s="2" t="s">
        <v>3009</v>
      </c>
      <c r="D878" s="2" t="s">
        <v>28</v>
      </c>
      <c r="E878" s="2" t="s">
        <v>29</v>
      </c>
      <c r="F878" s="2">
        <v>90</v>
      </c>
      <c r="G878" s="2" t="s">
        <v>3006</v>
      </c>
      <c r="H878" s="2" t="s">
        <v>3010</v>
      </c>
      <c r="I878" s="2" t="s">
        <v>187</v>
      </c>
      <c r="J878" s="3">
        <v>44603</v>
      </c>
      <c r="K878" s="5">
        <f>YEAR(OrganizedData[[#This Row],[Order Date]])</f>
        <v>2022</v>
      </c>
      <c r="L878" s="7" t="str">
        <f>TEXT(OrganizedData[[#This Row],[Order Date]],"mmm")</f>
        <v>Feb</v>
      </c>
      <c r="M878" s="2">
        <v>29</v>
      </c>
      <c r="N878" s="2" t="s">
        <v>54</v>
      </c>
      <c r="O878" s="2" t="str">
        <f>VLOOKUP(OrganizedData[[#This Row],[Product Code]],ProductData[[Code]:[Item]],2,FALSE)</f>
        <v>Megawidget S</v>
      </c>
      <c r="P878" s="4">
        <f>OrganizedData[[#This Row],[Quantity]]*VLOOKUP(OrganizedData[[#This Row],[Product Code]],ProductData[],4,FALSE)</f>
        <v>696</v>
      </c>
      <c r="Q878" s="6">
        <f>OrganizedData[[#This Row],[Total Items Ordered]]*VLOOKUP(OrganizedData[[#This Row],[Product Code]],ProductData[],3,FALSE)</f>
        <v>480.23999999999995</v>
      </c>
      <c r="R8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879" spans="1:18" x14ac:dyDescent="0.3">
      <c r="A879" s="2">
        <v>872</v>
      </c>
      <c r="B879" s="2" t="s">
        <v>2721</v>
      </c>
      <c r="C879" s="2" t="s">
        <v>3011</v>
      </c>
      <c r="D879" s="2" t="s">
        <v>28</v>
      </c>
      <c r="E879" s="2" t="s">
        <v>29</v>
      </c>
      <c r="F879" s="2">
        <v>90</v>
      </c>
      <c r="G879" s="2" t="s">
        <v>3012</v>
      </c>
      <c r="H879" s="2" t="s">
        <v>2512</v>
      </c>
      <c r="I879" s="2" t="s">
        <v>32</v>
      </c>
      <c r="J879" s="3">
        <v>44300</v>
      </c>
      <c r="K879" s="5">
        <f>YEAR(OrganizedData[[#This Row],[Order Date]])</f>
        <v>2021</v>
      </c>
      <c r="L879" s="7" t="str">
        <f>TEXT(OrganizedData[[#This Row],[Order Date]],"mmm")</f>
        <v>Apr</v>
      </c>
      <c r="M879" s="2">
        <v>61</v>
      </c>
      <c r="N879" s="2" t="s">
        <v>54</v>
      </c>
      <c r="O879" s="2" t="str">
        <f>VLOOKUP(OrganizedData[[#This Row],[Product Code]],ProductData[[Code]:[Item]],2,FALSE)</f>
        <v>Megawidget S</v>
      </c>
      <c r="P879" s="4">
        <f>OrganizedData[[#This Row],[Quantity]]*VLOOKUP(OrganizedData[[#This Row],[Product Code]],ProductData[],4,FALSE)</f>
        <v>1464</v>
      </c>
      <c r="Q879" s="6">
        <f>OrganizedData[[#This Row],[Total Items Ordered]]*VLOOKUP(OrganizedData[[#This Row],[Product Code]],ProductData[],3,FALSE)</f>
        <v>1010.16</v>
      </c>
      <c r="R8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959.65199999999993</v>
      </c>
    </row>
    <row r="880" spans="1:18" x14ac:dyDescent="0.3">
      <c r="A880" s="2">
        <v>873</v>
      </c>
      <c r="B880" s="2" t="s">
        <v>3013</v>
      </c>
      <c r="C880" s="2" t="s">
        <v>3014</v>
      </c>
      <c r="D880" s="2" t="s">
        <v>51</v>
      </c>
      <c r="E880" s="2" t="s">
        <v>16</v>
      </c>
      <c r="F880" s="2">
        <v>90</v>
      </c>
      <c r="G880" s="2" t="s">
        <v>3015</v>
      </c>
      <c r="H880" s="2" t="s">
        <v>275</v>
      </c>
      <c r="I880" s="2" t="s">
        <v>32</v>
      </c>
      <c r="J880" s="3">
        <v>44186</v>
      </c>
      <c r="K880" s="5">
        <f>YEAR(OrganizedData[[#This Row],[Order Date]])</f>
        <v>2020</v>
      </c>
      <c r="L880" s="7" t="str">
        <f>TEXT(OrganizedData[[#This Row],[Order Date]],"mmm")</f>
        <v>Dec</v>
      </c>
      <c r="M880" s="2">
        <v>16</v>
      </c>
      <c r="N880" s="2" t="s">
        <v>159</v>
      </c>
      <c r="O880" s="2" t="str">
        <f>VLOOKUP(OrganizedData[[#This Row],[Product Code]],ProductData[[Code]:[Item]],2,FALSE)</f>
        <v>Ultrathing V3</v>
      </c>
      <c r="P880" s="4">
        <f>OrganizedData[[#This Row],[Quantity]]*VLOOKUP(OrganizedData[[#This Row],[Product Code]],ProductData[],4,FALSE)</f>
        <v>384</v>
      </c>
      <c r="Q880" s="6">
        <f>OrganizedData[[#This Row],[Total Items Ordered]]*VLOOKUP(OrganizedData[[#This Row],[Product Code]],ProductData[],3,FALSE)</f>
        <v>1301.76</v>
      </c>
      <c r="R8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1301.76</v>
      </c>
    </row>
    <row r="881" spans="1:18" x14ac:dyDescent="0.3">
      <c r="A881" s="2">
        <v>874</v>
      </c>
      <c r="B881" s="2" t="s">
        <v>2426</v>
      </c>
      <c r="C881" s="2" t="s">
        <v>3016</v>
      </c>
      <c r="D881" s="2" t="s">
        <v>28</v>
      </c>
      <c r="E881" s="2" t="s">
        <v>29</v>
      </c>
      <c r="F881" s="2">
        <v>30</v>
      </c>
      <c r="G881" s="2" t="s">
        <v>3018</v>
      </c>
      <c r="H881" s="2" t="s">
        <v>1837</v>
      </c>
      <c r="I881" s="2" t="s">
        <v>173</v>
      </c>
      <c r="J881" s="3">
        <v>44852</v>
      </c>
      <c r="K881" s="5">
        <f>YEAR(OrganizedData[[#This Row],[Order Date]])</f>
        <v>2022</v>
      </c>
      <c r="L881" s="7" t="str">
        <f>TEXT(OrganizedData[[#This Row],[Order Date]],"mmm")</f>
        <v>Oct</v>
      </c>
      <c r="M881" s="2">
        <v>53</v>
      </c>
      <c r="N881" s="2" t="s">
        <v>54</v>
      </c>
      <c r="O881" s="2" t="str">
        <f>VLOOKUP(OrganizedData[[#This Row],[Product Code]],ProductData[[Code]:[Item]],2,FALSE)</f>
        <v>Megawidget S</v>
      </c>
      <c r="P881" s="4">
        <f>OrganizedData[[#This Row],[Quantity]]*VLOOKUP(OrganizedData[[#This Row],[Product Code]],ProductData[],4,FALSE)</f>
        <v>1272</v>
      </c>
      <c r="Q881" s="6">
        <f>OrganizedData[[#This Row],[Total Items Ordered]]*VLOOKUP(OrganizedData[[#This Row],[Product Code]],ProductData[],3,FALSE)</f>
        <v>877.68</v>
      </c>
      <c r="R8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833.79599999999994</v>
      </c>
    </row>
    <row r="882" spans="1:18" x14ac:dyDescent="0.3">
      <c r="A882" s="2">
        <v>875</v>
      </c>
      <c r="B882" s="2" t="s">
        <v>1745</v>
      </c>
      <c r="C882" s="2" t="s">
        <v>3019</v>
      </c>
      <c r="D882" s="2" t="s">
        <v>15</v>
      </c>
      <c r="E882" s="2" t="s">
        <v>16</v>
      </c>
      <c r="F882" s="2">
        <v>60</v>
      </c>
      <c r="G882" s="2" t="s">
        <v>3020</v>
      </c>
      <c r="H882" s="2" t="s">
        <v>1168</v>
      </c>
      <c r="I882" s="2" t="s">
        <v>32</v>
      </c>
      <c r="J882" s="3">
        <v>43940</v>
      </c>
      <c r="K882" s="5">
        <f>YEAR(OrganizedData[[#This Row],[Order Date]])</f>
        <v>2020</v>
      </c>
      <c r="L882" s="7" t="str">
        <f>TEXT(OrganizedData[[#This Row],[Order Date]],"mmm")</f>
        <v>Apr</v>
      </c>
      <c r="M882" s="2">
        <v>38</v>
      </c>
      <c r="N882" s="2" t="s">
        <v>80</v>
      </c>
      <c r="O882" s="2" t="str">
        <f>VLOOKUP(OrganizedData[[#This Row],[Product Code]],ProductData[[Code]:[Item]],2,FALSE)</f>
        <v>Ultrathing V2</v>
      </c>
      <c r="P882" s="4">
        <f>OrganizedData[[#This Row],[Quantity]]*VLOOKUP(OrganizedData[[#This Row],[Product Code]],ProductData[],4,FALSE)</f>
        <v>760</v>
      </c>
      <c r="Q882" s="6">
        <f>OrganizedData[[#This Row],[Total Items Ordered]]*VLOOKUP(OrganizedData[[#This Row],[Product Code]],ProductData[],3,FALSE)</f>
        <v>2242</v>
      </c>
      <c r="R8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883" spans="1:18" x14ac:dyDescent="0.3">
      <c r="A883" s="2">
        <v>876</v>
      </c>
      <c r="B883" s="2" t="s">
        <v>3021</v>
      </c>
      <c r="C883" s="2" t="s">
        <v>3022</v>
      </c>
      <c r="D883" s="2" t="s">
        <v>28</v>
      </c>
      <c r="E883" s="2" t="s">
        <v>29</v>
      </c>
      <c r="F883" s="2">
        <v>90</v>
      </c>
      <c r="G883" s="2" t="s">
        <v>3023</v>
      </c>
      <c r="H883" s="2" t="s">
        <v>3024</v>
      </c>
      <c r="I883" s="2" t="s">
        <v>32</v>
      </c>
      <c r="J883" s="3">
        <v>44408</v>
      </c>
      <c r="K883" s="5">
        <f>YEAR(OrganizedData[[#This Row],[Order Date]])</f>
        <v>2021</v>
      </c>
      <c r="L883" s="7" t="str">
        <f>TEXT(OrganizedData[[#This Row],[Order Date]],"mmm")</f>
        <v>Jul</v>
      </c>
      <c r="M883" s="2">
        <v>38</v>
      </c>
      <c r="N883" s="2" t="s">
        <v>33</v>
      </c>
      <c r="O883" s="2" t="str">
        <f>VLOOKUP(OrganizedData[[#This Row],[Product Code]],ProductData[[Code]:[Item]],2,FALSE)</f>
        <v>Megawidget L</v>
      </c>
      <c r="P883" s="4">
        <f>OrganizedData[[#This Row],[Quantity]]*VLOOKUP(OrganizedData[[#This Row],[Product Code]],ProductData[],4,FALSE)</f>
        <v>912</v>
      </c>
      <c r="Q883" s="6">
        <f>OrganizedData[[#This Row],[Total Items Ordered]]*VLOOKUP(OrganizedData[[#This Row],[Product Code]],ProductData[],3,FALSE)</f>
        <v>1632.48</v>
      </c>
      <c r="R8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884" spans="1:18" x14ac:dyDescent="0.3">
      <c r="A884" s="2">
        <v>877</v>
      </c>
      <c r="B884" s="2" t="s">
        <v>3025</v>
      </c>
      <c r="C884" s="2" t="s">
        <v>3026</v>
      </c>
      <c r="D884" s="2" t="s">
        <v>51</v>
      </c>
      <c r="E884" s="2" t="s">
        <v>16</v>
      </c>
      <c r="F884" s="2">
        <v>60</v>
      </c>
      <c r="G884" s="2" t="s">
        <v>3027</v>
      </c>
      <c r="H884" s="2" t="s">
        <v>2447</v>
      </c>
      <c r="I884" s="2" t="s">
        <v>1869</v>
      </c>
      <c r="J884" s="3">
        <v>44034</v>
      </c>
      <c r="K884" s="5">
        <f>YEAR(OrganizedData[[#This Row],[Order Date]])</f>
        <v>2020</v>
      </c>
      <c r="L884" s="7" t="str">
        <f>TEXT(OrganizedData[[#This Row],[Order Date]],"mmm")</f>
        <v>Jul</v>
      </c>
      <c r="M884" s="2">
        <v>22</v>
      </c>
      <c r="N884" s="2" t="s">
        <v>80</v>
      </c>
      <c r="O884" s="2" t="str">
        <f>VLOOKUP(OrganizedData[[#This Row],[Product Code]],ProductData[[Code]:[Item]],2,FALSE)</f>
        <v>Ultrathing V2</v>
      </c>
      <c r="P884" s="4">
        <f>OrganizedData[[#This Row],[Quantity]]*VLOOKUP(OrganizedData[[#This Row],[Product Code]],ProductData[],4,FALSE)</f>
        <v>440</v>
      </c>
      <c r="Q884" s="6">
        <f>OrganizedData[[#This Row],[Total Items Ordered]]*VLOOKUP(OrganizedData[[#This Row],[Product Code]],ProductData[],3,FALSE)</f>
        <v>1298</v>
      </c>
      <c r="R8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885" spans="1:18" x14ac:dyDescent="0.3">
      <c r="A885" s="2">
        <v>878</v>
      </c>
      <c r="B885" s="2" t="s">
        <v>3028</v>
      </c>
      <c r="C885" s="2" t="s">
        <v>3029</v>
      </c>
      <c r="D885" s="2" t="s">
        <v>15</v>
      </c>
      <c r="E885" s="2" t="s">
        <v>16</v>
      </c>
      <c r="F885" s="2">
        <v>30</v>
      </c>
      <c r="G885" s="2" t="s">
        <v>3030</v>
      </c>
      <c r="H885" s="2" t="s">
        <v>1103</v>
      </c>
      <c r="I885" s="2" t="s">
        <v>25</v>
      </c>
      <c r="J885" s="3">
        <v>44000</v>
      </c>
      <c r="K885" s="5">
        <f>YEAR(OrganizedData[[#This Row],[Order Date]])</f>
        <v>2020</v>
      </c>
      <c r="L885" s="7" t="str">
        <f>TEXT(OrganizedData[[#This Row],[Order Date]],"mmm")</f>
        <v>Jun</v>
      </c>
      <c r="M885" s="2">
        <v>55</v>
      </c>
      <c r="N885" s="2" t="s">
        <v>54</v>
      </c>
      <c r="O885" s="2" t="str">
        <f>VLOOKUP(OrganizedData[[#This Row],[Product Code]],ProductData[[Code]:[Item]],2,FALSE)</f>
        <v>Megawidget S</v>
      </c>
      <c r="P885" s="4">
        <f>OrganizedData[[#This Row],[Quantity]]*VLOOKUP(OrganizedData[[#This Row],[Product Code]],ProductData[],4,FALSE)</f>
        <v>1320</v>
      </c>
      <c r="Q885" s="6">
        <f>OrganizedData[[#This Row],[Total Items Ordered]]*VLOOKUP(OrganizedData[[#This Row],[Product Code]],ProductData[],3,FALSE)</f>
        <v>910.8</v>
      </c>
      <c r="R8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865.25999999999988</v>
      </c>
    </row>
    <row r="886" spans="1:18" x14ac:dyDescent="0.3">
      <c r="A886" s="2">
        <v>879</v>
      </c>
      <c r="B886" s="2" t="s">
        <v>3031</v>
      </c>
      <c r="C886" s="2" t="s">
        <v>1439</v>
      </c>
      <c r="D886" s="2" t="s">
        <v>51</v>
      </c>
      <c r="E886" s="2" t="s">
        <v>16</v>
      </c>
      <c r="F886" s="2">
        <v>30</v>
      </c>
      <c r="G886" s="2" t="s">
        <v>3032</v>
      </c>
      <c r="H886" s="2" t="s">
        <v>3033</v>
      </c>
      <c r="I886" s="2" t="s">
        <v>32</v>
      </c>
      <c r="J886" s="3">
        <v>44651</v>
      </c>
      <c r="K886" s="5">
        <f>YEAR(OrganizedData[[#This Row],[Order Date]])</f>
        <v>2022</v>
      </c>
      <c r="L886" s="7" t="str">
        <f>TEXT(OrganizedData[[#This Row],[Order Date]],"mmm")</f>
        <v>Mar</v>
      </c>
      <c r="M886" s="2">
        <v>63</v>
      </c>
      <c r="N886" s="2" t="s">
        <v>159</v>
      </c>
      <c r="O886" s="2" t="str">
        <f>VLOOKUP(OrganizedData[[#This Row],[Product Code]],ProductData[[Code]:[Item]],2,FALSE)</f>
        <v>Ultrathing V3</v>
      </c>
      <c r="P886" s="4">
        <f>OrganizedData[[#This Row],[Quantity]]*VLOOKUP(OrganizedData[[#This Row],[Product Code]],ProductData[],4,FALSE)</f>
        <v>1512</v>
      </c>
      <c r="Q886" s="6">
        <f>OrganizedData[[#This Row],[Total Items Ordered]]*VLOOKUP(OrganizedData[[#This Row],[Product Code]],ProductData[],3,FALSE)</f>
        <v>5125.68</v>
      </c>
      <c r="R8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4869.3959999999997</v>
      </c>
    </row>
    <row r="887" spans="1:18" x14ac:dyDescent="0.3">
      <c r="A887" s="2">
        <v>880</v>
      </c>
      <c r="B887" s="2" t="s">
        <v>3034</v>
      </c>
      <c r="C887" s="2" t="s">
        <v>1748</v>
      </c>
      <c r="D887" s="2" t="s">
        <v>51</v>
      </c>
      <c r="E887" s="2" t="s">
        <v>16</v>
      </c>
      <c r="F887" s="2">
        <v>30</v>
      </c>
      <c r="G887" s="2" t="s">
        <v>3035</v>
      </c>
      <c r="H887" s="2" t="s">
        <v>3036</v>
      </c>
      <c r="I887" s="2" t="s">
        <v>32</v>
      </c>
      <c r="J887" s="3">
        <v>44499</v>
      </c>
      <c r="K887" s="5">
        <f>YEAR(OrganizedData[[#This Row],[Order Date]])</f>
        <v>2021</v>
      </c>
      <c r="L887" s="7" t="str">
        <f>TEXT(OrganizedData[[#This Row],[Order Date]],"mmm")</f>
        <v>Oct</v>
      </c>
      <c r="M887" s="2">
        <v>57</v>
      </c>
      <c r="N887" s="2" t="s">
        <v>70</v>
      </c>
      <c r="O887" s="2" t="str">
        <f>VLOOKUP(OrganizedData[[#This Row],[Product Code]],ProductData[[Code]:[Item]],2,FALSE)</f>
        <v>Megawidget M</v>
      </c>
      <c r="P887" s="4">
        <f>OrganizedData[[#This Row],[Quantity]]*VLOOKUP(OrganizedData[[#This Row],[Product Code]],ProductData[],4,FALSE)</f>
        <v>1368</v>
      </c>
      <c r="Q887" s="6">
        <f>OrganizedData[[#This Row],[Total Items Ordered]]*VLOOKUP(OrganizedData[[#This Row],[Product Code]],ProductData[],3,FALSE)</f>
        <v>1764.72</v>
      </c>
      <c r="R8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1676.4839999999999</v>
      </c>
    </row>
    <row r="888" spans="1:18" x14ac:dyDescent="0.3">
      <c r="A888" s="2">
        <v>881</v>
      </c>
      <c r="B888" s="2" t="s">
        <v>1312</v>
      </c>
      <c r="C888" s="2" t="s">
        <v>3037</v>
      </c>
      <c r="D888" s="2" t="s">
        <v>28</v>
      </c>
      <c r="E888" s="2" t="s">
        <v>29</v>
      </c>
      <c r="F888" s="2">
        <v>90</v>
      </c>
      <c r="G888" s="2" t="s">
        <v>3038</v>
      </c>
      <c r="H888" s="2" t="s">
        <v>2163</v>
      </c>
      <c r="I888" s="2" t="s">
        <v>1824</v>
      </c>
      <c r="J888" s="3">
        <v>44558</v>
      </c>
      <c r="K888" s="5">
        <f>YEAR(OrganizedData[[#This Row],[Order Date]])</f>
        <v>2021</v>
      </c>
      <c r="L888" s="7" t="str">
        <f>TEXT(OrganizedData[[#This Row],[Order Date]],"mmm")</f>
        <v>Dec</v>
      </c>
      <c r="M888" s="2">
        <v>76</v>
      </c>
      <c r="N888" s="2" t="s">
        <v>159</v>
      </c>
      <c r="O888" s="2" t="str">
        <f>VLOOKUP(OrganizedData[[#This Row],[Product Code]],ProductData[[Code]:[Item]],2,FALSE)</f>
        <v>Ultrathing V3</v>
      </c>
      <c r="P888" s="4">
        <f>OrganizedData[[#This Row],[Quantity]]*VLOOKUP(OrganizedData[[#This Row],[Product Code]],ProductData[],4,FALSE)</f>
        <v>1824</v>
      </c>
      <c r="Q888" s="6">
        <f>OrganizedData[[#This Row],[Total Items Ordered]]*VLOOKUP(OrganizedData[[#This Row],[Product Code]],ProductData[],3,FALSE)</f>
        <v>6183.3600000000006</v>
      </c>
      <c r="R8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5874.192</v>
      </c>
    </row>
    <row r="889" spans="1:18" x14ac:dyDescent="0.3">
      <c r="A889" s="2">
        <v>882</v>
      </c>
      <c r="B889" s="2" t="s">
        <v>3039</v>
      </c>
      <c r="C889" s="2" t="s">
        <v>700</v>
      </c>
      <c r="D889" s="2" t="s">
        <v>15</v>
      </c>
      <c r="E889" s="2" t="s">
        <v>16</v>
      </c>
      <c r="F889" s="2">
        <v>90</v>
      </c>
      <c r="G889" s="2" t="s">
        <v>3040</v>
      </c>
      <c r="H889" s="2" t="s">
        <v>3041</v>
      </c>
      <c r="I889" s="2" t="s">
        <v>124</v>
      </c>
      <c r="J889" s="3">
        <v>44215</v>
      </c>
      <c r="K889" s="5">
        <f>YEAR(OrganizedData[[#This Row],[Order Date]])</f>
        <v>2021</v>
      </c>
      <c r="L889" s="7" t="str">
        <f>TEXT(OrganizedData[[#This Row],[Order Date]],"mmm")</f>
        <v>Jan</v>
      </c>
      <c r="M889" s="2">
        <v>32</v>
      </c>
      <c r="N889" s="2" t="s">
        <v>101</v>
      </c>
      <c r="O889" s="2" t="str">
        <f>VLOOKUP(OrganizedData[[#This Row],[Product Code]],ProductData[[Code]:[Item]],2,FALSE)</f>
        <v>Superwossname</v>
      </c>
      <c r="P889" s="4">
        <f>OrganizedData[[#This Row],[Quantity]]*VLOOKUP(OrganizedData[[#This Row],[Product Code]],ProductData[],4,FALSE)</f>
        <v>640</v>
      </c>
      <c r="Q889" s="6">
        <f>OrganizedData[[#This Row],[Total Items Ordered]]*VLOOKUP(OrganizedData[[#This Row],[Product Code]],ProductData[],3,FALSE)</f>
        <v>2233.6000000000004</v>
      </c>
      <c r="R8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2166.5920000000001</v>
      </c>
    </row>
    <row r="890" spans="1:18" x14ac:dyDescent="0.3">
      <c r="A890" s="2">
        <v>883</v>
      </c>
      <c r="B890" s="2" t="s">
        <v>3042</v>
      </c>
      <c r="C890" s="2" t="s">
        <v>2349</v>
      </c>
      <c r="D890" s="2" t="s">
        <v>15</v>
      </c>
      <c r="E890" s="2" t="s">
        <v>16</v>
      </c>
      <c r="F890" s="2">
        <v>30</v>
      </c>
      <c r="G890" s="2" t="s">
        <v>3043</v>
      </c>
      <c r="H890" s="2" t="s">
        <v>3044</v>
      </c>
      <c r="I890" s="2" t="s">
        <v>1413</v>
      </c>
      <c r="J890" s="3">
        <v>44370</v>
      </c>
      <c r="K890" s="5">
        <f>YEAR(OrganizedData[[#This Row],[Order Date]])</f>
        <v>2021</v>
      </c>
      <c r="L890" s="7" t="str">
        <f>TEXT(OrganizedData[[#This Row],[Order Date]],"mmm")</f>
        <v>Jun</v>
      </c>
      <c r="M890" s="2">
        <v>54</v>
      </c>
      <c r="N890" s="2" t="s">
        <v>80</v>
      </c>
      <c r="O890" s="2" t="str">
        <f>VLOOKUP(OrganizedData[[#This Row],[Product Code]],ProductData[[Code]:[Item]],2,FALSE)</f>
        <v>Ultrathing V2</v>
      </c>
      <c r="P890" s="4">
        <f>OrganizedData[[#This Row],[Quantity]]*VLOOKUP(OrganizedData[[#This Row],[Product Code]],ProductData[],4,FALSE)</f>
        <v>1080</v>
      </c>
      <c r="Q890" s="6">
        <f>OrganizedData[[#This Row],[Total Items Ordered]]*VLOOKUP(OrganizedData[[#This Row],[Product Code]],ProductData[],3,FALSE)</f>
        <v>3186</v>
      </c>
      <c r="R8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3026.7</v>
      </c>
    </row>
    <row r="891" spans="1:18" x14ac:dyDescent="0.3">
      <c r="A891" s="2">
        <v>884</v>
      </c>
      <c r="B891" s="2" t="s">
        <v>3045</v>
      </c>
      <c r="C891" s="2" t="s">
        <v>3046</v>
      </c>
      <c r="D891" s="2" t="s">
        <v>51</v>
      </c>
      <c r="E891" s="2" t="s">
        <v>16</v>
      </c>
      <c r="F891" s="2">
        <v>90</v>
      </c>
      <c r="G891" s="2" t="s">
        <v>3047</v>
      </c>
      <c r="H891" s="2" t="s">
        <v>248</v>
      </c>
      <c r="I891" s="2" t="s">
        <v>178</v>
      </c>
      <c r="J891" s="3">
        <v>44697</v>
      </c>
      <c r="K891" s="5">
        <f>YEAR(OrganizedData[[#This Row],[Order Date]])</f>
        <v>2022</v>
      </c>
      <c r="L891" s="7" t="str">
        <f>TEXT(OrganizedData[[#This Row],[Order Date]],"mmm")</f>
        <v>May</v>
      </c>
      <c r="M891" s="2">
        <v>90</v>
      </c>
      <c r="N891" s="2" t="s">
        <v>45</v>
      </c>
      <c r="O891" s="2" t="str">
        <f>VLOOKUP(OrganizedData[[#This Row],[Product Code]],ProductData[[Code]:[Item]],2,FALSE)</f>
        <v>Gigastuff</v>
      </c>
      <c r="P891" s="4">
        <f>OrganizedData[[#This Row],[Quantity]]*VLOOKUP(OrganizedData[[#This Row],[Product Code]],ProductData[],4,FALSE)</f>
        <v>1620</v>
      </c>
      <c r="Q891" s="6">
        <f>OrganizedData[[#This Row],[Total Items Ordered]]*VLOOKUP(OrganizedData[[#This Row],[Product Code]],ProductData[],3,FALSE)</f>
        <v>3061.7999999999997</v>
      </c>
      <c r="R8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2908.7099999999996</v>
      </c>
    </row>
    <row r="892" spans="1:18" x14ac:dyDescent="0.3">
      <c r="A892" s="2">
        <v>885</v>
      </c>
      <c r="B892" s="2" t="s">
        <v>3048</v>
      </c>
      <c r="C892" s="2" t="s">
        <v>2635</v>
      </c>
      <c r="D892" s="2" t="s">
        <v>51</v>
      </c>
      <c r="E892" s="2" t="s">
        <v>16</v>
      </c>
      <c r="F892" s="2">
        <v>60</v>
      </c>
      <c r="G892" s="2" t="s">
        <v>3049</v>
      </c>
      <c r="H892" s="2" t="s">
        <v>720</v>
      </c>
      <c r="I892" s="2" t="s">
        <v>686</v>
      </c>
      <c r="J892" s="3">
        <v>44857</v>
      </c>
      <c r="K892" s="5">
        <f>YEAR(OrganizedData[[#This Row],[Order Date]])</f>
        <v>2022</v>
      </c>
      <c r="L892" s="7" t="str">
        <f>TEXT(OrganizedData[[#This Row],[Order Date]],"mmm")</f>
        <v>Oct</v>
      </c>
      <c r="M892" s="2">
        <v>48</v>
      </c>
      <c r="N892" s="2" t="s">
        <v>39</v>
      </c>
      <c r="O892" s="2" t="str">
        <f>VLOOKUP(OrganizedData[[#This Row],[Product Code]],ProductData[[Code]:[Item]],2,FALSE)</f>
        <v>Ultrathing V1</v>
      </c>
      <c r="P892" s="4">
        <f>OrganizedData[[#This Row],[Quantity]]*VLOOKUP(OrganizedData[[#This Row],[Product Code]],ProductData[],4,FALSE)</f>
        <v>816</v>
      </c>
      <c r="Q892" s="6">
        <f>OrganizedData[[#This Row],[Total Items Ordered]]*VLOOKUP(OrganizedData[[#This Row],[Product Code]],ProductData[],3,FALSE)</f>
        <v>1460.64</v>
      </c>
      <c r="R8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1416.8208</v>
      </c>
    </row>
    <row r="893" spans="1:18" x14ac:dyDescent="0.3">
      <c r="A893" s="2">
        <v>886</v>
      </c>
      <c r="B893" s="2" t="s">
        <v>3050</v>
      </c>
      <c r="C893" s="2" t="s">
        <v>3051</v>
      </c>
      <c r="D893" s="2" t="s">
        <v>28</v>
      </c>
      <c r="E893" s="2" t="s">
        <v>29</v>
      </c>
      <c r="F893" s="2">
        <v>60</v>
      </c>
      <c r="G893" s="2" t="s">
        <v>3052</v>
      </c>
      <c r="H893" s="2" t="s">
        <v>3053</v>
      </c>
      <c r="I893" s="2" t="s">
        <v>32</v>
      </c>
      <c r="J893" s="3">
        <v>44344</v>
      </c>
      <c r="K893" s="5">
        <f>YEAR(OrganizedData[[#This Row],[Order Date]])</f>
        <v>2021</v>
      </c>
      <c r="L893" s="7" t="str">
        <f>TEXT(OrganizedData[[#This Row],[Order Date]],"mmm")</f>
        <v>May</v>
      </c>
      <c r="M893" s="2">
        <v>18</v>
      </c>
      <c r="N893" s="2" t="s">
        <v>54</v>
      </c>
      <c r="O893" s="2" t="str">
        <f>VLOOKUP(OrganizedData[[#This Row],[Product Code]],ProductData[[Code]:[Item]],2,FALSE)</f>
        <v>Megawidget S</v>
      </c>
      <c r="P893" s="4">
        <f>OrganizedData[[#This Row],[Quantity]]*VLOOKUP(OrganizedData[[#This Row],[Product Code]],ProductData[],4,FALSE)</f>
        <v>432</v>
      </c>
      <c r="Q893" s="6">
        <f>OrganizedData[[#This Row],[Total Items Ordered]]*VLOOKUP(OrganizedData[[#This Row],[Product Code]],ProductData[],3,FALSE)</f>
        <v>298.08</v>
      </c>
      <c r="R8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298.08</v>
      </c>
    </row>
    <row r="894" spans="1:18" x14ac:dyDescent="0.3">
      <c r="A894" s="2">
        <v>887</v>
      </c>
      <c r="B894" s="2" t="s">
        <v>3054</v>
      </c>
      <c r="C894" s="2" t="s">
        <v>2434</v>
      </c>
      <c r="D894" s="2" t="s">
        <v>51</v>
      </c>
      <c r="E894" s="2" t="s">
        <v>16</v>
      </c>
      <c r="F894" s="2">
        <v>30</v>
      </c>
      <c r="G894" s="2" t="s">
        <v>3055</v>
      </c>
      <c r="H894" s="2" t="s">
        <v>3056</v>
      </c>
      <c r="I894" s="2" t="s">
        <v>187</v>
      </c>
      <c r="J894" s="3">
        <v>44146</v>
      </c>
      <c r="K894" s="5">
        <f>YEAR(OrganizedData[[#This Row],[Order Date]])</f>
        <v>2020</v>
      </c>
      <c r="L894" s="7" t="str">
        <f>TEXT(OrganizedData[[#This Row],[Order Date]],"mmm")</f>
        <v>Nov</v>
      </c>
      <c r="M894" s="2">
        <v>17</v>
      </c>
      <c r="N894" s="2" t="s">
        <v>33</v>
      </c>
      <c r="O894" s="2" t="str">
        <f>VLOOKUP(OrganizedData[[#This Row],[Product Code]],ProductData[[Code]:[Item]],2,FALSE)</f>
        <v>Megawidget L</v>
      </c>
      <c r="P894" s="4">
        <f>OrganizedData[[#This Row],[Quantity]]*VLOOKUP(OrganizedData[[#This Row],[Product Code]],ProductData[],4,FALSE)</f>
        <v>408</v>
      </c>
      <c r="Q894" s="6">
        <f>OrganizedData[[#This Row],[Total Items Ordered]]*VLOOKUP(OrganizedData[[#This Row],[Product Code]],ProductData[],3,FALSE)</f>
        <v>730.32</v>
      </c>
      <c r="R8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895" spans="1:18" x14ac:dyDescent="0.3">
      <c r="A895" s="2">
        <v>888</v>
      </c>
      <c r="B895" s="2" t="s">
        <v>862</v>
      </c>
      <c r="C895" s="2" t="s">
        <v>3057</v>
      </c>
      <c r="D895" s="2" t="s">
        <v>51</v>
      </c>
      <c r="E895" s="2" t="s">
        <v>16</v>
      </c>
      <c r="F895" s="2">
        <v>30</v>
      </c>
      <c r="G895" s="2" t="s">
        <v>3058</v>
      </c>
      <c r="H895" s="2" t="s">
        <v>3059</v>
      </c>
      <c r="I895" s="2" t="s">
        <v>187</v>
      </c>
      <c r="J895" s="3">
        <v>44753</v>
      </c>
      <c r="K895" s="5">
        <f>YEAR(OrganizedData[[#This Row],[Order Date]])</f>
        <v>2022</v>
      </c>
      <c r="L895" s="7" t="str">
        <f>TEXT(OrganizedData[[#This Row],[Order Date]],"mmm")</f>
        <v>Jul</v>
      </c>
      <c r="M895" s="2">
        <v>80</v>
      </c>
      <c r="N895" s="2" t="s">
        <v>64</v>
      </c>
      <c r="O895" s="2" t="str">
        <f>VLOOKUP(OrganizedData[[#This Row],[Product Code]],ProductData[[Code]:[Item]],2,FALSE)</f>
        <v>Ultrathing V4</v>
      </c>
      <c r="P895" s="4">
        <f>OrganizedData[[#This Row],[Quantity]]*VLOOKUP(OrganizedData[[#This Row],[Product Code]],ProductData[],4,FALSE)</f>
        <v>1920</v>
      </c>
      <c r="Q895" s="6">
        <f>OrganizedData[[#This Row],[Total Items Ordered]]*VLOOKUP(OrganizedData[[#This Row],[Product Code]],ProductData[],3,FALSE)</f>
        <v>7660.8</v>
      </c>
      <c r="R8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896" spans="1:18" x14ac:dyDescent="0.3">
      <c r="A896" s="2">
        <v>889</v>
      </c>
      <c r="B896" s="2" t="s">
        <v>1856</v>
      </c>
      <c r="C896" s="2" t="s">
        <v>3060</v>
      </c>
      <c r="D896" s="2" t="s">
        <v>51</v>
      </c>
      <c r="E896" s="2" t="s">
        <v>16</v>
      </c>
      <c r="F896" s="2">
        <v>30</v>
      </c>
      <c r="G896" s="2" t="s">
        <v>3061</v>
      </c>
      <c r="H896" s="2" t="s">
        <v>6</v>
      </c>
      <c r="I896" s="2" t="s">
        <v>32</v>
      </c>
      <c r="J896" s="3">
        <v>44442</v>
      </c>
      <c r="K896" s="5">
        <f>YEAR(OrganizedData[[#This Row],[Order Date]])</f>
        <v>2021</v>
      </c>
      <c r="L896" s="7" t="str">
        <f>TEXT(OrganizedData[[#This Row],[Order Date]],"mmm")</f>
        <v>Sep</v>
      </c>
      <c r="M896" s="2">
        <v>87</v>
      </c>
      <c r="N896" s="2" t="s">
        <v>80</v>
      </c>
      <c r="O896" s="2" t="str">
        <f>VLOOKUP(OrganizedData[[#This Row],[Product Code]],ProductData[[Code]:[Item]],2,FALSE)</f>
        <v>Ultrathing V2</v>
      </c>
      <c r="P896" s="4">
        <f>OrganizedData[[#This Row],[Quantity]]*VLOOKUP(OrganizedData[[#This Row],[Product Code]],ProductData[],4,FALSE)</f>
        <v>1740</v>
      </c>
      <c r="Q896" s="6">
        <f>OrganizedData[[#This Row],[Total Items Ordered]]*VLOOKUP(OrganizedData[[#This Row],[Product Code]],ProductData[],3,FALSE)</f>
        <v>5133</v>
      </c>
      <c r="R8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897" spans="1:18" x14ac:dyDescent="0.3">
      <c r="A897" s="2">
        <v>890</v>
      </c>
      <c r="B897" s="2" t="s">
        <v>3062</v>
      </c>
      <c r="C897" s="2" t="s">
        <v>1414</v>
      </c>
      <c r="D897" s="2" t="s">
        <v>28</v>
      </c>
      <c r="E897" s="2" t="s">
        <v>29</v>
      </c>
      <c r="F897" s="2">
        <v>30</v>
      </c>
      <c r="G897" s="2" t="s">
        <v>3063</v>
      </c>
      <c r="H897" s="2" t="s">
        <v>3064</v>
      </c>
      <c r="I897" s="2" t="s">
        <v>32</v>
      </c>
      <c r="J897" s="3">
        <v>44122</v>
      </c>
      <c r="K897" s="5">
        <f>YEAR(OrganizedData[[#This Row],[Order Date]])</f>
        <v>2020</v>
      </c>
      <c r="L897" s="7" t="str">
        <f>TEXT(OrganizedData[[#This Row],[Order Date]],"mmm")</f>
        <v>Oct</v>
      </c>
      <c r="M897" s="2">
        <v>20</v>
      </c>
      <c r="N897" s="2" t="s">
        <v>20</v>
      </c>
      <c r="O897" s="2" t="str">
        <f>VLOOKUP(OrganizedData[[#This Row],[Product Code]],ProductData[[Code]:[Item]],2,FALSE)</f>
        <v>Hyperwotsit</v>
      </c>
      <c r="P897" s="4">
        <f>OrganizedData[[#This Row],[Quantity]]*VLOOKUP(OrganizedData[[#This Row],[Product Code]],ProductData[],4,FALSE)</f>
        <v>400</v>
      </c>
      <c r="Q897" s="6">
        <f>OrganizedData[[#This Row],[Total Items Ordered]]*VLOOKUP(OrganizedData[[#This Row],[Product Code]],ProductData[],3,FALSE)</f>
        <v>803.99999999999989</v>
      </c>
      <c r="R8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898" spans="1:18" x14ac:dyDescent="0.3">
      <c r="A898" s="2">
        <v>891</v>
      </c>
      <c r="B898" s="2" t="s">
        <v>3065</v>
      </c>
      <c r="C898" s="2" t="s">
        <v>3066</v>
      </c>
      <c r="D898" s="2" t="s">
        <v>28</v>
      </c>
      <c r="E898" s="2" t="s">
        <v>29</v>
      </c>
      <c r="F898" s="2">
        <v>30</v>
      </c>
      <c r="G898" s="2" t="s">
        <v>3067</v>
      </c>
      <c r="H898" s="2" t="s">
        <v>1221</v>
      </c>
      <c r="I898" s="2" t="s">
        <v>124</v>
      </c>
      <c r="J898" s="3">
        <v>44672</v>
      </c>
      <c r="K898" s="5">
        <f>YEAR(OrganizedData[[#This Row],[Order Date]])</f>
        <v>2022</v>
      </c>
      <c r="L898" s="7" t="str">
        <f>TEXT(OrganizedData[[#This Row],[Order Date]],"mmm")</f>
        <v>Apr</v>
      </c>
      <c r="M898" s="2">
        <v>98</v>
      </c>
      <c r="N898" s="2" t="s">
        <v>64</v>
      </c>
      <c r="O898" s="2" t="str">
        <f>VLOOKUP(OrganizedData[[#This Row],[Product Code]],ProductData[[Code]:[Item]],2,FALSE)</f>
        <v>Ultrathing V4</v>
      </c>
      <c r="P898" s="4">
        <f>OrganizedData[[#This Row],[Quantity]]*VLOOKUP(OrganizedData[[#This Row],[Product Code]],ProductData[],4,FALSE)</f>
        <v>2352</v>
      </c>
      <c r="Q898" s="6">
        <f>OrganizedData[[#This Row],[Total Items Ordered]]*VLOOKUP(OrganizedData[[#This Row],[Product Code]],ProductData[],3,FALSE)</f>
        <v>9384.4800000000014</v>
      </c>
      <c r="R8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8915.2560000000012</v>
      </c>
    </row>
    <row r="899" spans="1:18" x14ac:dyDescent="0.3">
      <c r="A899" s="2">
        <v>892</v>
      </c>
      <c r="B899" s="2" t="s">
        <v>3068</v>
      </c>
      <c r="C899" s="2" t="s">
        <v>3019</v>
      </c>
      <c r="D899" s="2" t="s">
        <v>41</v>
      </c>
      <c r="E899" s="2" t="s">
        <v>16</v>
      </c>
      <c r="F899" s="2">
        <v>60</v>
      </c>
      <c r="G899" s="2" t="s">
        <v>3069</v>
      </c>
      <c r="H899" s="2" t="s">
        <v>3070</v>
      </c>
      <c r="I899" s="2" t="s">
        <v>575</v>
      </c>
      <c r="J899" s="3">
        <v>43966</v>
      </c>
      <c r="K899" s="5">
        <f>YEAR(OrganizedData[[#This Row],[Order Date]])</f>
        <v>2020</v>
      </c>
      <c r="L899" s="7" t="str">
        <f>TEXT(OrganizedData[[#This Row],[Order Date]],"mmm")</f>
        <v>May</v>
      </c>
      <c r="M899" s="2">
        <v>82</v>
      </c>
      <c r="N899" s="2" t="s">
        <v>54</v>
      </c>
      <c r="O899" s="2" t="str">
        <f>VLOOKUP(OrganizedData[[#This Row],[Product Code]],ProductData[[Code]:[Item]],2,FALSE)</f>
        <v>Megawidget S</v>
      </c>
      <c r="P899" s="4">
        <f>OrganizedData[[#This Row],[Quantity]]*VLOOKUP(OrganizedData[[#This Row],[Product Code]],ProductData[],4,FALSE)</f>
        <v>1968</v>
      </c>
      <c r="Q899" s="6">
        <f>OrganizedData[[#This Row],[Total Items Ordered]]*VLOOKUP(OrganizedData[[#This Row],[Product Code]],ProductData[],3,FALSE)</f>
        <v>1357.9199999999998</v>
      </c>
      <c r="R8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900" spans="1:18" x14ac:dyDescent="0.3">
      <c r="A900" s="2">
        <v>893</v>
      </c>
      <c r="B900" s="2" t="s">
        <v>1169</v>
      </c>
      <c r="C900" s="2" t="s">
        <v>3071</v>
      </c>
      <c r="D900" s="2" t="s">
        <v>28</v>
      </c>
      <c r="E900" s="2" t="s">
        <v>29</v>
      </c>
      <c r="F900" s="2">
        <v>60</v>
      </c>
      <c r="G900" s="2" t="s">
        <v>3072</v>
      </c>
      <c r="H900" s="2" t="s">
        <v>1011</v>
      </c>
      <c r="I900" s="2" t="s">
        <v>32</v>
      </c>
      <c r="J900" s="3">
        <v>43897</v>
      </c>
      <c r="K900" s="5">
        <f>YEAR(OrganizedData[[#This Row],[Order Date]])</f>
        <v>2020</v>
      </c>
      <c r="L900" s="7" t="str">
        <f>TEXT(OrganizedData[[#This Row],[Order Date]],"mmm")</f>
        <v>Mar</v>
      </c>
      <c r="M900" s="2">
        <v>64</v>
      </c>
      <c r="N900" s="2" t="s">
        <v>101</v>
      </c>
      <c r="O900" s="2" t="str">
        <f>VLOOKUP(OrganizedData[[#This Row],[Product Code]],ProductData[[Code]:[Item]],2,FALSE)</f>
        <v>Superwossname</v>
      </c>
      <c r="P900" s="4">
        <f>OrganizedData[[#This Row],[Quantity]]*VLOOKUP(OrganizedData[[#This Row],[Product Code]],ProductData[],4,FALSE)</f>
        <v>1280</v>
      </c>
      <c r="Q900" s="6">
        <f>OrganizedData[[#This Row],[Total Items Ordered]]*VLOOKUP(OrganizedData[[#This Row],[Product Code]],ProductData[],3,FALSE)</f>
        <v>4467.2000000000007</v>
      </c>
      <c r="R9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901" spans="1:18" x14ac:dyDescent="0.3">
      <c r="A901" s="2">
        <v>894</v>
      </c>
      <c r="B901" s="2" t="s">
        <v>3073</v>
      </c>
      <c r="C901" s="2" t="s">
        <v>3074</v>
      </c>
      <c r="D901" s="2" t="s">
        <v>28</v>
      </c>
      <c r="E901" s="2" t="s">
        <v>29</v>
      </c>
      <c r="F901" s="2">
        <v>90</v>
      </c>
      <c r="G901" s="2" t="s">
        <v>3075</v>
      </c>
      <c r="H901" s="2" t="s">
        <v>109</v>
      </c>
      <c r="I901" s="2" t="s">
        <v>110</v>
      </c>
      <c r="J901" s="3">
        <v>44063</v>
      </c>
      <c r="K901" s="5">
        <f>YEAR(OrganizedData[[#This Row],[Order Date]])</f>
        <v>2020</v>
      </c>
      <c r="L901" s="7" t="str">
        <f>TEXT(OrganizedData[[#This Row],[Order Date]],"mmm")</f>
        <v>Aug</v>
      </c>
      <c r="M901" s="2">
        <v>23</v>
      </c>
      <c r="N901" s="2" t="s">
        <v>70</v>
      </c>
      <c r="O901" s="2" t="str">
        <f>VLOOKUP(OrganizedData[[#This Row],[Product Code]],ProductData[[Code]:[Item]],2,FALSE)</f>
        <v>Megawidget M</v>
      </c>
      <c r="P901" s="4">
        <f>OrganizedData[[#This Row],[Quantity]]*VLOOKUP(OrganizedData[[#This Row],[Product Code]],ProductData[],4,FALSE)</f>
        <v>552</v>
      </c>
      <c r="Q901" s="6">
        <f>OrganizedData[[#This Row],[Total Items Ordered]]*VLOOKUP(OrganizedData[[#This Row],[Product Code]],ProductData[],3,FALSE)</f>
        <v>712.08</v>
      </c>
      <c r="R9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902" spans="1:18" x14ac:dyDescent="0.3">
      <c r="A902" s="2">
        <v>895</v>
      </c>
      <c r="B902" s="2" t="s">
        <v>3076</v>
      </c>
      <c r="C902" s="2" t="s">
        <v>3077</v>
      </c>
      <c r="D902" s="2" t="s">
        <v>51</v>
      </c>
      <c r="E902" s="2" t="s">
        <v>16</v>
      </c>
      <c r="F902" s="2">
        <v>90</v>
      </c>
      <c r="G902" s="2" t="s">
        <v>3078</v>
      </c>
      <c r="H902" s="2" t="s">
        <v>518</v>
      </c>
      <c r="I902" s="2" t="s">
        <v>32</v>
      </c>
      <c r="J902" s="3">
        <v>44113</v>
      </c>
      <c r="K902" s="5">
        <f>YEAR(OrganizedData[[#This Row],[Order Date]])</f>
        <v>2020</v>
      </c>
      <c r="L902" s="7" t="str">
        <f>TEXT(OrganizedData[[#This Row],[Order Date]],"mmm")</f>
        <v>Oct</v>
      </c>
      <c r="M902" s="2">
        <v>69</v>
      </c>
      <c r="N902" s="2" t="s">
        <v>101</v>
      </c>
      <c r="O902" s="2" t="str">
        <f>VLOOKUP(OrganizedData[[#This Row],[Product Code]],ProductData[[Code]:[Item]],2,FALSE)</f>
        <v>Superwossname</v>
      </c>
      <c r="P902" s="4">
        <f>OrganizedData[[#This Row],[Quantity]]*VLOOKUP(OrganizedData[[#This Row],[Product Code]],ProductData[],4,FALSE)</f>
        <v>1380</v>
      </c>
      <c r="Q902" s="6">
        <f>OrganizedData[[#This Row],[Total Items Ordered]]*VLOOKUP(OrganizedData[[#This Row],[Product Code]],ProductData[],3,FALSE)</f>
        <v>4816.2000000000007</v>
      </c>
      <c r="R9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4575.3900000000003</v>
      </c>
    </row>
    <row r="903" spans="1:18" x14ac:dyDescent="0.3">
      <c r="A903" s="2">
        <v>896</v>
      </c>
      <c r="B903" s="2" t="s">
        <v>3079</v>
      </c>
      <c r="C903" s="2" t="s">
        <v>783</v>
      </c>
      <c r="D903" s="2" t="s">
        <v>15</v>
      </c>
      <c r="E903" s="2" t="s">
        <v>16</v>
      </c>
      <c r="F903" s="2">
        <v>60</v>
      </c>
      <c r="G903" s="2" t="s">
        <v>3080</v>
      </c>
      <c r="H903" s="2" t="s">
        <v>350</v>
      </c>
      <c r="I903" s="2" t="s">
        <v>25</v>
      </c>
      <c r="J903" s="3">
        <v>44751</v>
      </c>
      <c r="K903" s="5">
        <f>YEAR(OrganizedData[[#This Row],[Order Date]])</f>
        <v>2022</v>
      </c>
      <c r="L903" s="7" t="str">
        <f>TEXT(OrganizedData[[#This Row],[Order Date]],"mmm")</f>
        <v>Jul</v>
      </c>
      <c r="M903" s="2">
        <v>79</v>
      </c>
      <c r="N903" s="2" t="s">
        <v>45</v>
      </c>
      <c r="O903" s="2" t="str">
        <f>VLOOKUP(OrganizedData[[#This Row],[Product Code]],ProductData[[Code]:[Item]],2,FALSE)</f>
        <v>Gigastuff</v>
      </c>
      <c r="P903" s="4">
        <f>OrganizedData[[#This Row],[Quantity]]*VLOOKUP(OrganizedData[[#This Row],[Product Code]],ProductData[],4,FALSE)</f>
        <v>1422</v>
      </c>
      <c r="Q903" s="6">
        <f>OrganizedData[[#This Row],[Total Items Ordered]]*VLOOKUP(OrganizedData[[#This Row],[Product Code]],ProductData[],3,FALSE)</f>
        <v>2687.58</v>
      </c>
      <c r="R9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904" spans="1:18" x14ac:dyDescent="0.3">
      <c r="A904" s="2">
        <v>897</v>
      </c>
      <c r="B904" s="2" t="s">
        <v>3081</v>
      </c>
      <c r="C904" s="2" t="s">
        <v>300</v>
      </c>
      <c r="D904" s="2" t="s">
        <v>15</v>
      </c>
      <c r="E904" s="2" t="s">
        <v>16</v>
      </c>
      <c r="F904" s="2">
        <v>30</v>
      </c>
      <c r="G904" s="2" t="s">
        <v>3082</v>
      </c>
      <c r="H904" s="2" t="s">
        <v>652</v>
      </c>
      <c r="I904" s="2" t="s">
        <v>32</v>
      </c>
      <c r="J904" s="3">
        <v>44807</v>
      </c>
      <c r="K904" s="5">
        <f>YEAR(OrganizedData[[#This Row],[Order Date]])</f>
        <v>2022</v>
      </c>
      <c r="L904" s="7" t="str">
        <f>TEXT(OrganizedData[[#This Row],[Order Date]],"mmm")</f>
        <v>Sep</v>
      </c>
      <c r="M904" s="2">
        <v>49</v>
      </c>
      <c r="N904" s="2" t="s">
        <v>33</v>
      </c>
      <c r="O904" s="2" t="str">
        <f>VLOOKUP(OrganizedData[[#This Row],[Product Code]],ProductData[[Code]:[Item]],2,FALSE)</f>
        <v>Megawidget L</v>
      </c>
      <c r="P904" s="4">
        <f>OrganizedData[[#This Row],[Quantity]]*VLOOKUP(OrganizedData[[#This Row],[Product Code]],ProductData[],4,FALSE)</f>
        <v>1176</v>
      </c>
      <c r="Q904" s="6">
        <f>OrganizedData[[#This Row],[Total Items Ordered]]*VLOOKUP(OrganizedData[[#This Row],[Product Code]],ProductData[],3,FALSE)</f>
        <v>2105.04</v>
      </c>
      <c r="R9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2041.8887999999999</v>
      </c>
    </row>
    <row r="905" spans="1:18" x14ac:dyDescent="0.3">
      <c r="A905" s="2">
        <v>898</v>
      </c>
      <c r="B905" s="2" t="s">
        <v>3083</v>
      </c>
      <c r="C905" s="2" t="s">
        <v>3084</v>
      </c>
      <c r="D905" s="2" t="s">
        <v>28</v>
      </c>
      <c r="E905" s="2" t="s">
        <v>29</v>
      </c>
      <c r="F905" s="2">
        <v>60</v>
      </c>
      <c r="G905" s="2" t="s">
        <v>3086</v>
      </c>
      <c r="H905" s="2" t="s">
        <v>1206</v>
      </c>
      <c r="I905" s="2" t="s">
        <v>294</v>
      </c>
      <c r="J905" s="3">
        <v>44519</v>
      </c>
      <c r="K905" s="5">
        <f>YEAR(OrganizedData[[#This Row],[Order Date]])</f>
        <v>2021</v>
      </c>
      <c r="L905" s="7" t="str">
        <f>TEXT(OrganizedData[[#This Row],[Order Date]],"mmm")</f>
        <v>Nov</v>
      </c>
      <c r="M905" s="2">
        <v>21</v>
      </c>
      <c r="N905" s="2" t="s">
        <v>54</v>
      </c>
      <c r="O905" s="2" t="str">
        <f>VLOOKUP(OrganizedData[[#This Row],[Product Code]],ProductData[[Code]:[Item]],2,FALSE)</f>
        <v>Megawidget S</v>
      </c>
      <c r="P905" s="4">
        <f>OrganizedData[[#This Row],[Quantity]]*VLOOKUP(OrganizedData[[#This Row],[Product Code]],ProductData[],4,FALSE)</f>
        <v>504</v>
      </c>
      <c r="Q905" s="6">
        <f>OrganizedData[[#This Row],[Total Items Ordered]]*VLOOKUP(OrganizedData[[#This Row],[Product Code]],ProductData[],3,FALSE)</f>
        <v>347.76</v>
      </c>
      <c r="R9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337.3272</v>
      </c>
    </row>
    <row r="906" spans="1:18" x14ac:dyDescent="0.3">
      <c r="A906" s="2">
        <v>899</v>
      </c>
      <c r="B906" s="2" t="s">
        <v>1678</v>
      </c>
      <c r="C906" s="2" t="s">
        <v>3087</v>
      </c>
      <c r="D906" s="2" t="s">
        <v>28</v>
      </c>
      <c r="E906" s="2" t="s">
        <v>29</v>
      </c>
      <c r="F906" s="2">
        <v>30</v>
      </c>
      <c r="G906" s="2" t="s">
        <v>3088</v>
      </c>
      <c r="H906" s="2" t="s">
        <v>154</v>
      </c>
      <c r="I906" s="2" t="s">
        <v>25</v>
      </c>
      <c r="J906" s="3">
        <v>44543</v>
      </c>
      <c r="K906" s="5">
        <f>YEAR(OrganizedData[[#This Row],[Order Date]])</f>
        <v>2021</v>
      </c>
      <c r="L906" s="7" t="str">
        <f>TEXT(OrganizedData[[#This Row],[Order Date]],"mmm")</f>
        <v>Dec</v>
      </c>
      <c r="M906" s="2">
        <v>53</v>
      </c>
      <c r="N906" s="2" t="s">
        <v>101</v>
      </c>
      <c r="O906" s="2" t="str">
        <f>VLOOKUP(OrganizedData[[#This Row],[Product Code]],ProductData[[Code]:[Item]],2,FALSE)</f>
        <v>Superwossname</v>
      </c>
      <c r="P906" s="4">
        <f>OrganizedData[[#This Row],[Quantity]]*VLOOKUP(OrganizedData[[#This Row],[Product Code]],ProductData[],4,FALSE)</f>
        <v>1060</v>
      </c>
      <c r="Q906" s="6">
        <f>OrganizedData[[#This Row],[Total Items Ordered]]*VLOOKUP(OrganizedData[[#This Row],[Product Code]],ProductData[],3,FALSE)</f>
        <v>3699.4</v>
      </c>
      <c r="R9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907" spans="1:18" x14ac:dyDescent="0.3">
      <c r="A907" s="2">
        <v>900</v>
      </c>
      <c r="B907" s="2" t="s">
        <v>3089</v>
      </c>
      <c r="C907" s="2" t="s">
        <v>3090</v>
      </c>
      <c r="D907" s="2" t="s">
        <v>28</v>
      </c>
      <c r="E907" s="2" t="s">
        <v>29</v>
      </c>
      <c r="F907" s="2">
        <v>30</v>
      </c>
      <c r="G907" s="2" t="s">
        <v>3091</v>
      </c>
      <c r="H907" s="2" t="s">
        <v>3092</v>
      </c>
      <c r="I907" s="2" t="s">
        <v>886</v>
      </c>
      <c r="J907" s="3">
        <v>44921</v>
      </c>
      <c r="K907" s="5">
        <f>YEAR(OrganizedData[[#This Row],[Order Date]])</f>
        <v>2022</v>
      </c>
      <c r="L907" s="7" t="str">
        <f>TEXT(OrganizedData[[#This Row],[Order Date]],"mmm")</f>
        <v>Dec</v>
      </c>
      <c r="M907" s="2">
        <v>40</v>
      </c>
      <c r="N907" s="2" t="s">
        <v>70</v>
      </c>
      <c r="O907" s="2" t="str">
        <f>VLOOKUP(OrganizedData[[#This Row],[Product Code]],ProductData[[Code]:[Item]],2,FALSE)</f>
        <v>Megawidget M</v>
      </c>
      <c r="P907" s="4">
        <f>OrganizedData[[#This Row],[Quantity]]*VLOOKUP(OrganizedData[[#This Row],[Product Code]],ProductData[],4,FALSE)</f>
        <v>960</v>
      </c>
      <c r="Q907" s="6">
        <f>OrganizedData[[#This Row],[Total Items Ordered]]*VLOOKUP(OrganizedData[[#This Row],[Product Code]],ProductData[],3,FALSE)</f>
        <v>1238.4000000000001</v>
      </c>
      <c r="R9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1201.248</v>
      </c>
    </row>
    <row r="908" spans="1:18" x14ac:dyDescent="0.3">
      <c r="A908" s="2">
        <v>901</v>
      </c>
      <c r="B908" s="2" t="s">
        <v>542</v>
      </c>
      <c r="C908" s="2" t="s">
        <v>2431</v>
      </c>
      <c r="D908" s="2" t="s">
        <v>15</v>
      </c>
      <c r="E908" s="2" t="s">
        <v>16</v>
      </c>
      <c r="F908" s="2">
        <v>90</v>
      </c>
      <c r="G908" s="2" t="s">
        <v>3093</v>
      </c>
      <c r="H908" s="2" t="s">
        <v>818</v>
      </c>
      <c r="I908" s="2" t="s">
        <v>819</v>
      </c>
      <c r="J908" s="3">
        <v>44118</v>
      </c>
      <c r="K908" s="5">
        <f>YEAR(OrganizedData[[#This Row],[Order Date]])</f>
        <v>2020</v>
      </c>
      <c r="L908" s="7" t="str">
        <f>TEXT(OrganizedData[[#This Row],[Order Date]],"mmm")</f>
        <v>Oct</v>
      </c>
      <c r="M908" s="2">
        <v>84</v>
      </c>
      <c r="N908" s="2" t="s">
        <v>39</v>
      </c>
      <c r="O908" s="2" t="str">
        <f>VLOOKUP(OrganizedData[[#This Row],[Product Code]],ProductData[[Code]:[Item]],2,FALSE)</f>
        <v>Ultrathing V1</v>
      </c>
      <c r="P908" s="4">
        <f>OrganizedData[[#This Row],[Quantity]]*VLOOKUP(OrganizedData[[#This Row],[Product Code]],ProductData[],4,FALSE)</f>
        <v>1428</v>
      </c>
      <c r="Q908" s="6">
        <f>OrganizedData[[#This Row],[Total Items Ordered]]*VLOOKUP(OrganizedData[[#This Row],[Product Code]],ProductData[],3,FALSE)</f>
        <v>2556.12</v>
      </c>
      <c r="R9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909" spans="1:18" x14ac:dyDescent="0.3">
      <c r="A909" s="2">
        <v>902</v>
      </c>
      <c r="B909" s="2" t="s">
        <v>3094</v>
      </c>
      <c r="C909" s="2" t="s">
        <v>3095</v>
      </c>
      <c r="D909" s="2" t="s">
        <v>51</v>
      </c>
      <c r="E909" s="2" t="s">
        <v>16</v>
      </c>
      <c r="F909" s="2">
        <v>30</v>
      </c>
      <c r="G909" s="2" t="s">
        <v>3096</v>
      </c>
      <c r="H909" s="2" t="s">
        <v>579</v>
      </c>
      <c r="I909" s="2" t="s">
        <v>32</v>
      </c>
      <c r="J909" s="3">
        <v>44646</v>
      </c>
      <c r="K909" s="5">
        <f>YEAR(OrganizedData[[#This Row],[Order Date]])</f>
        <v>2022</v>
      </c>
      <c r="L909" s="7" t="str">
        <f>TEXT(OrganizedData[[#This Row],[Order Date]],"mmm")</f>
        <v>Mar</v>
      </c>
      <c r="M909" s="2">
        <v>100</v>
      </c>
      <c r="N909" s="2" t="s">
        <v>54</v>
      </c>
      <c r="O909" s="2" t="str">
        <f>VLOOKUP(OrganizedData[[#This Row],[Product Code]],ProductData[[Code]:[Item]],2,FALSE)</f>
        <v>Megawidget S</v>
      </c>
      <c r="P909" s="4">
        <f>OrganizedData[[#This Row],[Quantity]]*VLOOKUP(OrganizedData[[#This Row],[Product Code]],ProductData[],4,FALSE)</f>
        <v>2400</v>
      </c>
      <c r="Q909" s="6">
        <f>OrganizedData[[#This Row],[Total Items Ordered]]*VLOOKUP(OrganizedData[[#This Row],[Product Code]],ProductData[],3,FALSE)</f>
        <v>1655.9999999999998</v>
      </c>
      <c r="R9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1573.1999999999998</v>
      </c>
    </row>
    <row r="910" spans="1:18" x14ac:dyDescent="0.3">
      <c r="A910" s="2">
        <v>903</v>
      </c>
      <c r="B910" s="2" t="s">
        <v>3097</v>
      </c>
      <c r="C910" s="2" t="s">
        <v>3098</v>
      </c>
      <c r="D910" s="2" t="s">
        <v>28</v>
      </c>
      <c r="E910" s="2" t="s">
        <v>29</v>
      </c>
      <c r="F910" s="2">
        <v>60</v>
      </c>
      <c r="G910" s="2" t="s">
        <v>3099</v>
      </c>
      <c r="H910" s="2" t="s">
        <v>3100</v>
      </c>
      <c r="I910" s="2" t="s">
        <v>32</v>
      </c>
      <c r="J910" s="3">
        <v>44047</v>
      </c>
      <c r="K910" s="5">
        <f>YEAR(OrganizedData[[#This Row],[Order Date]])</f>
        <v>2020</v>
      </c>
      <c r="L910" s="7" t="str">
        <f>TEXT(OrganizedData[[#This Row],[Order Date]],"mmm")</f>
        <v>Aug</v>
      </c>
      <c r="M910" s="2">
        <v>72</v>
      </c>
      <c r="N910" s="2" t="s">
        <v>64</v>
      </c>
      <c r="O910" s="2" t="str">
        <f>VLOOKUP(OrganizedData[[#This Row],[Product Code]],ProductData[[Code]:[Item]],2,FALSE)</f>
        <v>Ultrathing V4</v>
      </c>
      <c r="P910" s="4">
        <f>OrganizedData[[#This Row],[Quantity]]*VLOOKUP(OrganizedData[[#This Row],[Product Code]],ProductData[],4,FALSE)</f>
        <v>1728</v>
      </c>
      <c r="Q910" s="6">
        <f>OrganizedData[[#This Row],[Total Items Ordered]]*VLOOKUP(OrganizedData[[#This Row],[Product Code]],ProductData[],3,FALSE)</f>
        <v>6894.72</v>
      </c>
      <c r="R9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6549.9840000000004</v>
      </c>
    </row>
    <row r="911" spans="1:18" x14ac:dyDescent="0.3">
      <c r="A911" s="2">
        <v>904</v>
      </c>
      <c r="B911" s="2" t="s">
        <v>3101</v>
      </c>
      <c r="C911" s="2" t="s">
        <v>3102</v>
      </c>
      <c r="D911" s="2" t="s">
        <v>28</v>
      </c>
      <c r="E911" s="2" t="s">
        <v>29</v>
      </c>
      <c r="F911" s="2">
        <v>90</v>
      </c>
      <c r="G911" s="2" t="s">
        <v>3099</v>
      </c>
      <c r="H911" s="2" t="s">
        <v>1150</v>
      </c>
      <c r="I911" s="2" t="s">
        <v>32</v>
      </c>
      <c r="J911" s="3">
        <v>44521</v>
      </c>
      <c r="K911" s="5">
        <f>YEAR(OrganizedData[[#This Row],[Order Date]])</f>
        <v>2021</v>
      </c>
      <c r="L911" s="7" t="str">
        <f>TEXT(OrganizedData[[#This Row],[Order Date]],"mmm")</f>
        <v>Nov</v>
      </c>
      <c r="M911" s="2">
        <v>92</v>
      </c>
      <c r="N911" s="2" t="s">
        <v>54</v>
      </c>
      <c r="O911" s="2" t="str">
        <f>VLOOKUP(OrganizedData[[#This Row],[Product Code]],ProductData[[Code]:[Item]],2,FALSE)</f>
        <v>Megawidget S</v>
      </c>
      <c r="P911" s="4">
        <f>OrganizedData[[#This Row],[Quantity]]*VLOOKUP(OrganizedData[[#This Row],[Product Code]],ProductData[],4,FALSE)</f>
        <v>2208</v>
      </c>
      <c r="Q911" s="6">
        <f>OrganizedData[[#This Row],[Total Items Ordered]]*VLOOKUP(OrganizedData[[#This Row],[Product Code]],ProductData[],3,FALSE)</f>
        <v>1523.52</v>
      </c>
      <c r="R9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1447.3439999999998</v>
      </c>
    </row>
    <row r="912" spans="1:18" x14ac:dyDescent="0.3">
      <c r="A912" s="2">
        <v>905</v>
      </c>
      <c r="B912" s="2" t="s">
        <v>3103</v>
      </c>
      <c r="C912" s="2" t="s">
        <v>878</v>
      </c>
      <c r="D912" s="2" t="s">
        <v>15</v>
      </c>
      <c r="E912" s="2" t="s">
        <v>16</v>
      </c>
      <c r="F912" s="2">
        <v>30</v>
      </c>
      <c r="G912" s="2" t="s">
        <v>3104</v>
      </c>
      <c r="H912" s="2" t="s">
        <v>191</v>
      </c>
      <c r="I912" s="2" t="s">
        <v>89</v>
      </c>
      <c r="J912" s="3">
        <v>44087</v>
      </c>
      <c r="K912" s="5">
        <f>YEAR(OrganizedData[[#This Row],[Order Date]])</f>
        <v>2020</v>
      </c>
      <c r="L912" s="7" t="str">
        <f>TEXT(OrganizedData[[#This Row],[Order Date]],"mmm")</f>
        <v>Sep</v>
      </c>
      <c r="M912" s="2">
        <v>22</v>
      </c>
      <c r="N912" s="2" t="s">
        <v>45</v>
      </c>
      <c r="O912" s="2" t="str">
        <f>VLOOKUP(OrganizedData[[#This Row],[Product Code]],ProductData[[Code]:[Item]],2,FALSE)</f>
        <v>Gigastuff</v>
      </c>
      <c r="P912" s="4">
        <f>OrganizedData[[#This Row],[Quantity]]*VLOOKUP(OrganizedData[[#This Row],[Product Code]],ProductData[],4,FALSE)</f>
        <v>396</v>
      </c>
      <c r="Q912" s="6">
        <f>OrganizedData[[#This Row],[Total Items Ordered]]*VLOOKUP(OrganizedData[[#This Row],[Product Code]],ProductData[],3,FALSE)</f>
        <v>748.43999999999994</v>
      </c>
      <c r="R9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725.9867999999999</v>
      </c>
    </row>
    <row r="913" spans="1:18" x14ac:dyDescent="0.3">
      <c r="A913" s="2">
        <v>906</v>
      </c>
      <c r="B913" s="2" t="s">
        <v>3105</v>
      </c>
      <c r="C913" s="2" t="s">
        <v>3106</v>
      </c>
      <c r="D913" s="2" t="s">
        <v>15</v>
      </c>
      <c r="E913" s="2" t="s">
        <v>16</v>
      </c>
      <c r="F913" s="2">
        <v>30</v>
      </c>
      <c r="G913" s="2" t="s">
        <v>3107</v>
      </c>
      <c r="H913" s="2" t="s">
        <v>1864</v>
      </c>
      <c r="I913" s="2" t="s">
        <v>294</v>
      </c>
      <c r="J913" s="3">
        <v>44078</v>
      </c>
      <c r="K913" s="5">
        <f>YEAR(OrganizedData[[#This Row],[Order Date]])</f>
        <v>2020</v>
      </c>
      <c r="L913" s="7" t="str">
        <f>TEXT(OrganizedData[[#This Row],[Order Date]],"mmm")</f>
        <v>Sep</v>
      </c>
      <c r="M913" s="2">
        <v>35</v>
      </c>
      <c r="N913" s="2" t="s">
        <v>64</v>
      </c>
      <c r="O913" s="2" t="str">
        <f>VLOOKUP(OrganizedData[[#This Row],[Product Code]],ProductData[[Code]:[Item]],2,FALSE)</f>
        <v>Ultrathing V4</v>
      </c>
      <c r="P913" s="4">
        <f>OrganizedData[[#This Row],[Quantity]]*VLOOKUP(OrganizedData[[#This Row],[Product Code]],ProductData[],4,FALSE)</f>
        <v>840</v>
      </c>
      <c r="Q913" s="6">
        <f>OrganizedData[[#This Row],[Total Items Ordered]]*VLOOKUP(OrganizedData[[#This Row],[Product Code]],ProductData[],3,FALSE)</f>
        <v>3351.6000000000004</v>
      </c>
      <c r="R9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914" spans="1:18" x14ac:dyDescent="0.3">
      <c r="A914" s="2">
        <v>907</v>
      </c>
      <c r="B914" s="2" t="s">
        <v>3108</v>
      </c>
      <c r="C914" s="2" t="s">
        <v>3109</v>
      </c>
      <c r="D914" s="2" t="s">
        <v>15</v>
      </c>
      <c r="E914" s="2" t="s">
        <v>16</v>
      </c>
      <c r="F914" s="2">
        <v>90</v>
      </c>
      <c r="G914" s="2" t="s">
        <v>3110</v>
      </c>
      <c r="H914" s="2" t="s">
        <v>2676</v>
      </c>
      <c r="I914" s="2" t="s">
        <v>32</v>
      </c>
      <c r="J914" s="3">
        <v>44170</v>
      </c>
      <c r="K914" s="5">
        <f>YEAR(OrganizedData[[#This Row],[Order Date]])</f>
        <v>2020</v>
      </c>
      <c r="L914" s="7" t="str">
        <f>TEXT(OrganizedData[[#This Row],[Order Date]],"mmm")</f>
        <v>Dec</v>
      </c>
      <c r="M914" s="2">
        <v>51</v>
      </c>
      <c r="N914" s="2" t="s">
        <v>64</v>
      </c>
      <c r="O914" s="2" t="str">
        <f>VLOOKUP(OrganizedData[[#This Row],[Product Code]],ProductData[[Code]:[Item]],2,FALSE)</f>
        <v>Ultrathing V4</v>
      </c>
      <c r="P914" s="4">
        <f>OrganizedData[[#This Row],[Quantity]]*VLOOKUP(OrganizedData[[#This Row],[Product Code]],ProductData[],4,FALSE)</f>
        <v>1224</v>
      </c>
      <c r="Q914" s="6">
        <f>OrganizedData[[#This Row],[Total Items Ordered]]*VLOOKUP(OrganizedData[[#This Row],[Product Code]],ProductData[],3,FALSE)</f>
        <v>4883.76</v>
      </c>
      <c r="R9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4639.5720000000001</v>
      </c>
    </row>
    <row r="915" spans="1:18" x14ac:dyDescent="0.3">
      <c r="A915" s="2">
        <v>908</v>
      </c>
      <c r="B915" s="2" t="s">
        <v>3111</v>
      </c>
      <c r="C915" s="2" t="s">
        <v>508</v>
      </c>
      <c r="D915" s="2" t="s">
        <v>28</v>
      </c>
      <c r="E915" s="2" t="s">
        <v>29</v>
      </c>
      <c r="F915" s="2">
        <v>60</v>
      </c>
      <c r="G915" s="2" t="s">
        <v>3112</v>
      </c>
      <c r="H915" s="2" t="s">
        <v>1519</v>
      </c>
      <c r="I915" s="2" t="s">
        <v>32</v>
      </c>
      <c r="J915" s="3">
        <v>43931</v>
      </c>
      <c r="K915" s="5">
        <f>YEAR(OrganizedData[[#This Row],[Order Date]])</f>
        <v>2020</v>
      </c>
      <c r="L915" s="7" t="str">
        <f>TEXT(OrganizedData[[#This Row],[Order Date]],"mmm")</f>
        <v>Apr</v>
      </c>
      <c r="M915" s="2">
        <v>34</v>
      </c>
      <c r="N915" s="2" t="s">
        <v>33</v>
      </c>
      <c r="O915" s="2" t="str">
        <f>VLOOKUP(OrganizedData[[#This Row],[Product Code]],ProductData[[Code]:[Item]],2,FALSE)</f>
        <v>Megawidget L</v>
      </c>
      <c r="P915" s="4">
        <f>OrganizedData[[#This Row],[Quantity]]*VLOOKUP(OrganizedData[[#This Row],[Product Code]],ProductData[],4,FALSE)</f>
        <v>816</v>
      </c>
      <c r="Q915" s="6">
        <f>OrganizedData[[#This Row],[Total Items Ordered]]*VLOOKUP(OrganizedData[[#This Row],[Product Code]],ProductData[],3,FALSE)</f>
        <v>1460.64</v>
      </c>
      <c r="R9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1416.8208</v>
      </c>
    </row>
    <row r="916" spans="1:18" x14ac:dyDescent="0.3">
      <c r="A916" s="2">
        <v>909</v>
      </c>
      <c r="B916" s="2" t="s">
        <v>3113</v>
      </c>
      <c r="C916" s="2" t="s">
        <v>3114</v>
      </c>
      <c r="D916" s="2" t="s">
        <v>28</v>
      </c>
      <c r="E916" s="2" t="s">
        <v>29</v>
      </c>
      <c r="F916" s="2">
        <v>90</v>
      </c>
      <c r="G916" s="2" t="s">
        <v>3115</v>
      </c>
      <c r="H916" s="2" t="s">
        <v>3116</v>
      </c>
      <c r="I916" s="2" t="s">
        <v>32</v>
      </c>
      <c r="J916" s="3">
        <v>43983</v>
      </c>
      <c r="K916" s="5">
        <f>YEAR(OrganizedData[[#This Row],[Order Date]])</f>
        <v>2020</v>
      </c>
      <c r="L916" s="7" t="str">
        <f>TEXT(OrganizedData[[#This Row],[Order Date]],"mmm")</f>
        <v>Jun</v>
      </c>
      <c r="M916" s="2">
        <v>11</v>
      </c>
      <c r="N916" s="2" t="s">
        <v>159</v>
      </c>
      <c r="O916" s="2" t="str">
        <f>VLOOKUP(OrganizedData[[#This Row],[Product Code]],ProductData[[Code]:[Item]],2,FALSE)</f>
        <v>Ultrathing V3</v>
      </c>
      <c r="P916" s="4">
        <f>OrganizedData[[#This Row],[Quantity]]*VLOOKUP(OrganizedData[[#This Row],[Product Code]],ProductData[],4,FALSE)</f>
        <v>264</v>
      </c>
      <c r="Q916" s="6">
        <f>OrganizedData[[#This Row],[Total Items Ordered]]*VLOOKUP(OrganizedData[[#This Row],[Product Code]],ProductData[],3,FALSE)</f>
        <v>894.96</v>
      </c>
      <c r="R9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917" spans="1:18" x14ac:dyDescent="0.3">
      <c r="A917" s="2">
        <v>910</v>
      </c>
      <c r="B917" s="2" t="s">
        <v>3117</v>
      </c>
      <c r="C917" s="2" t="s">
        <v>3118</v>
      </c>
      <c r="D917" s="2" t="s">
        <v>28</v>
      </c>
      <c r="E917" s="2" t="s">
        <v>29</v>
      </c>
      <c r="F917" s="2">
        <v>30</v>
      </c>
      <c r="G917" s="2" t="s">
        <v>3119</v>
      </c>
      <c r="H917" s="2" t="s">
        <v>279</v>
      </c>
      <c r="I917" s="2" t="s">
        <v>213</v>
      </c>
      <c r="J917" s="3">
        <v>44751</v>
      </c>
      <c r="K917" s="5">
        <f>YEAR(OrganizedData[[#This Row],[Order Date]])</f>
        <v>2022</v>
      </c>
      <c r="L917" s="7" t="str">
        <f>TEXT(OrganizedData[[#This Row],[Order Date]],"mmm")</f>
        <v>Jul</v>
      </c>
      <c r="M917" s="2">
        <v>31</v>
      </c>
      <c r="N917" s="2" t="s">
        <v>159</v>
      </c>
      <c r="O917" s="2" t="str">
        <f>VLOOKUP(OrganizedData[[#This Row],[Product Code]],ProductData[[Code]:[Item]],2,FALSE)</f>
        <v>Ultrathing V3</v>
      </c>
      <c r="P917" s="4">
        <f>OrganizedData[[#This Row],[Quantity]]*VLOOKUP(OrganizedData[[#This Row],[Product Code]],ProductData[],4,FALSE)</f>
        <v>744</v>
      </c>
      <c r="Q917" s="6">
        <f>OrganizedData[[#This Row],[Total Items Ordered]]*VLOOKUP(OrganizedData[[#This Row],[Product Code]],ProductData[],3,FALSE)</f>
        <v>2522.1600000000003</v>
      </c>
      <c r="R9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2446.4952000000003</v>
      </c>
    </row>
    <row r="918" spans="1:18" x14ac:dyDescent="0.3">
      <c r="A918" s="2">
        <v>911</v>
      </c>
      <c r="B918" s="2" t="s">
        <v>596</v>
      </c>
      <c r="C918" s="2" t="s">
        <v>3120</v>
      </c>
      <c r="D918" s="2" t="s">
        <v>28</v>
      </c>
      <c r="E918" s="2" t="s">
        <v>29</v>
      </c>
      <c r="F918" s="2">
        <v>60</v>
      </c>
      <c r="G918" s="2" t="s">
        <v>3121</v>
      </c>
      <c r="H918" s="2" t="s">
        <v>3122</v>
      </c>
      <c r="I918" s="2" t="s">
        <v>1035</v>
      </c>
      <c r="J918" s="3">
        <v>44498</v>
      </c>
      <c r="K918" s="5">
        <f>YEAR(OrganizedData[[#This Row],[Order Date]])</f>
        <v>2021</v>
      </c>
      <c r="L918" s="7" t="str">
        <f>TEXT(OrganizedData[[#This Row],[Order Date]],"mmm")</f>
        <v>Oct</v>
      </c>
      <c r="M918" s="2">
        <v>85</v>
      </c>
      <c r="N918" s="2" t="s">
        <v>54</v>
      </c>
      <c r="O918" s="2" t="str">
        <f>VLOOKUP(OrganizedData[[#This Row],[Product Code]],ProductData[[Code]:[Item]],2,FALSE)</f>
        <v>Megawidget S</v>
      </c>
      <c r="P918" s="4">
        <f>OrganizedData[[#This Row],[Quantity]]*VLOOKUP(OrganizedData[[#This Row],[Product Code]],ProductData[],4,FALSE)</f>
        <v>2040</v>
      </c>
      <c r="Q918" s="6">
        <f>OrganizedData[[#This Row],[Total Items Ordered]]*VLOOKUP(OrganizedData[[#This Row],[Product Code]],ProductData[],3,FALSE)</f>
        <v>1407.6</v>
      </c>
      <c r="R9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919" spans="1:18" x14ac:dyDescent="0.3">
      <c r="A919" s="2">
        <v>912</v>
      </c>
      <c r="B919" s="2" t="s">
        <v>2399</v>
      </c>
      <c r="C919" s="2" t="s">
        <v>253</v>
      </c>
      <c r="D919" s="2" t="s">
        <v>28</v>
      </c>
      <c r="E919" s="2" t="s">
        <v>29</v>
      </c>
      <c r="F919" s="2">
        <v>30</v>
      </c>
      <c r="G919" s="2" t="s">
        <v>3123</v>
      </c>
      <c r="H919" s="2" t="s">
        <v>2393</v>
      </c>
      <c r="I919" s="2" t="s">
        <v>1449</v>
      </c>
      <c r="J919" s="3">
        <v>44614</v>
      </c>
      <c r="K919" s="5">
        <f>YEAR(OrganizedData[[#This Row],[Order Date]])</f>
        <v>2022</v>
      </c>
      <c r="L919" s="7" t="str">
        <f>TEXT(OrganizedData[[#This Row],[Order Date]],"mmm")</f>
        <v>Feb</v>
      </c>
      <c r="M919" s="2">
        <v>25</v>
      </c>
      <c r="N919" s="2" t="s">
        <v>39</v>
      </c>
      <c r="O919" s="2" t="str">
        <f>VLOOKUP(OrganizedData[[#This Row],[Product Code]],ProductData[[Code]:[Item]],2,FALSE)</f>
        <v>Ultrathing V1</v>
      </c>
      <c r="P919" s="4">
        <f>OrganizedData[[#This Row],[Quantity]]*VLOOKUP(OrganizedData[[#This Row],[Product Code]],ProductData[],4,FALSE)</f>
        <v>425</v>
      </c>
      <c r="Q919" s="6">
        <f>OrganizedData[[#This Row],[Total Items Ordered]]*VLOOKUP(OrganizedData[[#This Row],[Product Code]],ProductData[],3,FALSE)</f>
        <v>760.75</v>
      </c>
      <c r="R9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737.92750000000001</v>
      </c>
    </row>
    <row r="920" spans="1:18" x14ac:dyDescent="0.3">
      <c r="A920" s="2">
        <v>913</v>
      </c>
      <c r="B920" s="2" t="s">
        <v>3124</v>
      </c>
      <c r="C920" s="2" t="s">
        <v>3014</v>
      </c>
      <c r="D920" s="2" t="s">
        <v>28</v>
      </c>
      <c r="E920" s="2" t="s">
        <v>29</v>
      </c>
      <c r="F920" s="2">
        <v>30</v>
      </c>
      <c r="G920" s="2" t="s">
        <v>3125</v>
      </c>
      <c r="H920" s="2" t="s">
        <v>3126</v>
      </c>
      <c r="I920" s="2" t="s">
        <v>32</v>
      </c>
      <c r="J920" s="3">
        <v>44188</v>
      </c>
      <c r="K920" s="5">
        <f>YEAR(OrganizedData[[#This Row],[Order Date]])</f>
        <v>2020</v>
      </c>
      <c r="L920" s="7" t="str">
        <f>TEXT(OrganizedData[[#This Row],[Order Date]],"mmm")</f>
        <v>Dec</v>
      </c>
      <c r="M920" s="2">
        <v>10</v>
      </c>
      <c r="N920" s="2" t="s">
        <v>39</v>
      </c>
      <c r="O920" s="2" t="str">
        <f>VLOOKUP(OrganizedData[[#This Row],[Product Code]],ProductData[[Code]:[Item]],2,FALSE)</f>
        <v>Ultrathing V1</v>
      </c>
      <c r="P920" s="4">
        <f>OrganizedData[[#This Row],[Quantity]]*VLOOKUP(OrganizedData[[#This Row],[Product Code]],ProductData[],4,FALSE)</f>
        <v>170</v>
      </c>
      <c r="Q920" s="6">
        <f>OrganizedData[[#This Row],[Total Items Ordered]]*VLOOKUP(OrganizedData[[#This Row],[Product Code]],ProductData[],3,FALSE)</f>
        <v>304.3</v>
      </c>
      <c r="R9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921" spans="1:18" x14ac:dyDescent="0.3">
      <c r="A921" s="2">
        <v>914</v>
      </c>
      <c r="B921" s="2" t="s">
        <v>2142</v>
      </c>
      <c r="C921" s="2" t="s">
        <v>3127</v>
      </c>
      <c r="D921" s="2" t="s">
        <v>28</v>
      </c>
      <c r="E921" s="2" t="s">
        <v>29</v>
      </c>
      <c r="F921" s="2">
        <v>30</v>
      </c>
      <c r="G921" s="2" t="s">
        <v>3128</v>
      </c>
      <c r="H921" s="2" t="s">
        <v>1426</v>
      </c>
      <c r="I921" s="2" t="s">
        <v>32</v>
      </c>
      <c r="J921" s="3">
        <v>44356</v>
      </c>
      <c r="K921" s="5">
        <f>YEAR(OrganizedData[[#This Row],[Order Date]])</f>
        <v>2021</v>
      </c>
      <c r="L921" s="7" t="str">
        <f>TEXT(OrganizedData[[#This Row],[Order Date]],"mmm")</f>
        <v>Jun</v>
      </c>
      <c r="M921" s="2">
        <v>17</v>
      </c>
      <c r="N921" s="2" t="s">
        <v>70</v>
      </c>
      <c r="O921" s="2" t="str">
        <f>VLOOKUP(OrganizedData[[#This Row],[Product Code]],ProductData[[Code]:[Item]],2,FALSE)</f>
        <v>Megawidget M</v>
      </c>
      <c r="P921" s="4">
        <f>OrganizedData[[#This Row],[Quantity]]*VLOOKUP(OrganizedData[[#This Row],[Product Code]],ProductData[],4,FALSE)</f>
        <v>408</v>
      </c>
      <c r="Q921" s="6">
        <f>OrganizedData[[#This Row],[Total Items Ordered]]*VLOOKUP(OrganizedData[[#This Row],[Product Code]],ProductData[],3,FALSE)</f>
        <v>526.32000000000005</v>
      </c>
      <c r="R9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526.32000000000005</v>
      </c>
    </row>
    <row r="922" spans="1:18" x14ac:dyDescent="0.3">
      <c r="A922" s="2">
        <v>915</v>
      </c>
      <c r="B922" s="2" t="s">
        <v>3129</v>
      </c>
      <c r="C922" s="2" t="s">
        <v>3130</v>
      </c>
      <c r="D922" s="2" t="s">
        <v>51</v>
      </c>
      <c r="E922" s="2" t="s">
        <v>16</v>
      </c>
      <c r="F922" s="2">
        <v>30</v>
      </c>
      <c r="G922" s="2" t="s">
        <v>3131</v>
      </c>
      <c r="H922" s="2" t="s">
        <v>2348</v>
      </c>
      <c r="I922" s="2" t="s">
        <v>32</v>
      </c>
      <c r="J922" s="3">
        <v>44775</v>
      </c>
      <c r="K922" s="5">
        <f>YEAR(OrganizedData[[#This Row],[Order Date]])</f>
        <v>2022</v>
      </c>
      <c r="L922" s="7" t="str">
        <f>TEXT(OrganizedData[[#This Row],[Order Date]],"mmm")</f>
        <v>Aug</v>
      </c>
      <c r="M922" s="2">
        <v>74</v>
      </c>
      <c r="N922" s="2" t="s">
        <v>101</v>
      </c>
      <c r="O922" s="2" t="str">
        <f>VLOOKUP(OrganizedData[[#This Row],[Product Code]],ProductData[[Code]:[Item]],2,FALSE)</f>
        <v>Superwossname</v>
      </c>
      <c r="P922" s="4">
        <f>OrganizedData[[#This Row],[Quantity]]*VLOOKUP(OrganizedData[[#This Row],[Product Code]],ProductData[],4,FALSE)</f>
        <v>1480</v>
      </c>
      <c r="Q922" s="6">
        <f>OrganizedData[[#This Row],[Total Items Ordered]]*VLOOKUP(OrganizedData[[#This Row],[Product Code]],ProductData[],3,FALSE)</f>
        <v>5165.2000000000007</v>
      </c>
      <c r="R9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4906.9400000000005</v>
      </c>
    </row>
    <row r="923" spans="1:18" x14ac:dyDescent="0.3">
      <c r="A923" s="2">
        <v>916</v>
      </c>
      <c r="B923" s="2" t="s">
        <v>3132</v>
      </c>
      <c r="C923" s="2" t="s">
        <v>1817</v>
      </c>
      <c r="D923" s="2" t="s">
        <v>51</v>
      </c>
      <c r="E923" s="2" t="s">
        <v>16</v>
      </c>
      <c r="F923" s="2">
        <v>90</v>
      </c>
      <c r="G923" s="2" t="s">
        <v>10423</v>
      </c>
      <c r="H923" s="2" t="s">
        <v>3134</v>
      </c>
      <c r="I923" s="2" t="s">
        <v>294</v>
      </c>
      <c r="J923" s="3">
        <v>44199</v>
      </c>
      <c r="K923" s="5">
        <f>YEAR(OrganizedData[[#This Row],[Order Date]])</f>
        <v>2021</v>
      </c>
      <c r="L923" s="7" t="str">
        <f>TEXT(OrganizedData[[#This Row],[Order Date]],"mmm")</f>
        <v>Jan</v>
      </c>
      <c r="M923" s="2">
        <v>37</v>
      </c>
      <c r="N923" s="2" t="s">
        <v>54</v>
      </c>
      <c r="O923" s="2" t="str">
        <f>VLOOKUP(OrganizedData[[#This Row],[Product Code]],ProductData[[Code]:[Item]],2,FALSE)</f>
        <v>Megawidget S</v>
      </c>
      <c r="P923" s="4">
        <f>OrganizedData[[#This Row],[Quantity]]*VLOOKUP(OrganizedData[[#This Row],[Product Code]],ProductData[],4,FALSE)</f>
        <v>888</v>
      </c>
      <c r="Q923" s="6">
        <f>OrganizedData[[#This Row],[Total Items Ordered]]*VLOOKUP(OrganizedData[[#This Row],[Product Code]],ProductData[],3,FALSE)</f>
        <v>612.71999999999991</v>
      </c>
      <c r="R9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924" spans="1:18" x14ac:dyDescent="0.3">
      <c r="A924" s="2">
        <v>917</v>
      </c>
      <c r="B924" s="2" t="s">
        <v>1748</v>
      </c>
      <c r="C924" s="2" t="s">
        <v>1696</v>
      </c>
      <c r="D924" s="2" t="s">
        <v>28</v>
      </c>
      <c r="E924" s="2" t="s">
        <v>29</v>
      </c>
      <c r="F924" s="2">
        <v>90</v>
      </c>
      <c r="G924" s="2" t="s">
        <v>3135</v>
      </c>
      <c r="H924" s="2" t="s">
        <v>2655</v>
      </c>
      <c r="I924" s="2" t="s">
        <v>1083</v>
      </c>
      <c r="J924" s="3">
        <v>43873</v>
      </c>
      <c r="K924" s="5">
        <f>YEAR(OrganizedData[[#This Row],[Order Date]])</f>
        <v>2020</v>
      </c>
      <c r="L924" s="7" t="str">
        <f>TEXT(OrganizedData[[#This Row],[Order Date]],"mmm")</f>
        <v>Feb</v>
      </c>
      <c r="M924" s="2">
        <v>67</v>
      </c>
      <c r="N924" s="2" t="s">
        <v>70</v>
      </c>
      <c r="O924" s="2" t="str">
        <f>VLOOKUP(OrganizedData[[#This Row],[Product Code]],ProductData[[Code]:[Item]],2,FALSE)</f>
        <v>Megawidget M</v>
      </c>
      <c r="P924" s="4">
        <f>OrganizedData[[#This Row],[Quantity]]*VLOOKUP(OrganizedData[[#This Row],[Product Code]],ProductData[],4,FALSE)</f>
        <v>1608</v>
      </c>
      <c r="Q924" s="6">
        <f>OrganizedData[[#This Row],[Total Items Ordered]]*VLOOKUP(OrganizedData[[#This Row],[Product Code]],ProductData[],3,FALSE)</f>
        <v>2074.3200000000002</v>
      </c>
      <c r="R9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925" spans="1:18" x14ac:dyDescent="0.3">
      <c r="A925" s="2">
        <v>918</v>
      </c>
      <c r="B925" s="2" t="s">
        <v>3136</v>
      </c>
      <c r="C925" s="2" t="s">
        <v>3137</v>
      </c>
      <c r="D925" s="2" t="s">
        <v>15</v>
      </c>
      <c r="E925" s="2" t="s">
        <v>16</v>
      </c>
      <c r="F925" s="2">
        <v>60</v>
      </c>
      <c r="G925" s="2" t="s">
        <v>3138</v>
      </c>
      <c r="H925" s="2" t="s">
        <v>139</v>
      </c>
      <c r="I925" s="2" t="s">
        <v>2593</v>
      </c>
      <c r="J925" s="3">
        <v>44259</v>
      </c>
      <c r="K925" s="5">
        <f>YEAR(OrganizedData[[#This Row],[Order Date]])</f>
        <v>2021</v>
      </c>
      <c r="L925" s="7" t="str">
        <f>TEXT(OrganizedData[[#This Row],[Order Date]],"mmm")</f>
        <v>Mar</v>
      </c>
      <c r="M925" s="2">
        <v>9</v>
      </c>
      <c r="N925" s="2" t="s">
        <v>39</v>
      </c>
      <c r="O925" s="2" t="str">
        <f>VLOOKUP(OrganizedData[[#This Row],[Product Code]],ProductData[[Code]:[Item]],2,FALSE)</f>
        <v>Ultrathing V1</v>
      </c>
      <c r="P925" s="4">
        <f>OrganizedData[[#This Row],[Quantity]]*VLOOKUP(OrganizedData[[#This Row],[Product Code]],ProductData[],4,FALSE)</f>
        <v>153</v>
      </c>
      <c r="Q925" s="6">
        <f>OrganizedData[[#This Row],[Total Items Ordered]]*VLOOKUP(OrganizedData[[#This Row],[Product Code]],ProductData[],3,FALSE)</f>
        <v>273.87</v>
      </c>
      <c r="R9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926" spans="1:18" x14ac:dyDescent="0.3">
      <c r="A926" s="2">
        <v>919</v>
      </c>
      <c r="B926" s="2" t="s">
        <v>1312</v>
      </c>
      <c r="C926" s="2" t="s">
        <v>1989</v>
      </c>
      <c r="D926" s="2" t="s">
        <v>28</v>
      </c>
      <c r="E926" s="2" t="s">
        <v>29</v>
      </c>
      <c r="F926" s="2">
        <v>30</v>
      </c>
      <c r="G926" s="2" t="s">
        <v>3139</v>
      </c>
      <c r="H926" s="2" t="s">
        <v>2418</v>
      </c>
      <c r="I926" s="2" t="s">
        <v>32</v>
      </c>
      <c r="J926" s="3">
        <v>43984</v>
      </c>
      <c r="K926" s="5">
        <f>YEAR(OrganizedData[[#This Row],[Order Date]])</f>
        <v>2020</v>
      </c>
      <c r="L926" s="7" t="str">
        <f>TEXT(OrganizedData[[#This Row],[Order Date]],"mmm")</f>
        <v>Jun</v>
      </c>
      <c r="M926" s="2">
        <v>40</v>
      </c>
      <c r="N926" s="2" t="s">
        <v>101</v>
      </c>
      <c r="O926" s="2" t="str">
        <f>VLOOKUP(OrganizedData[[#This Row],[Product Code]],ProductData[[Code]:[Item]],2,FALSE)</f>
        <v>Superwossname</v>
      </c>
      <c r="P926" s="4">
        <f>OrganizedData[[#This Row],[Quantity]]*VLOOKUP(OrganizedData[[#This Row],[Product Code]],ProductData[],4,FALSE)</f>
        <v>800</v>
      </c>
      <c r="Q926" s="6">
        <f>OrganizedData[[#This Row],[Total Items Ordered]]*VLOOKUP(OrganizedData[[#This Row],[Product Code]],ProductData[],3,FALSE)</f>
        <v>2792</v>
      </c>
      <c r="R9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2708.24</v>
      </c>
    </row>
    <row r="927" spans="1:18" x14ac:dyDescent="0.3">
      <c r="A927" s="2">
        <v>920</v>
      </c>
      <c r="B927" s="2" t="s">
        <v>3140</v>
      </c>
      <c r="C927" s="2" t="s">
        <v>3141</v>
      </c>
      <c r="D927" s="2" t="s">
        <v>28</v>
      </c>
      <c r="E927" s="2" t="s">
        <v>29</v>
      </c>
      <c r="F927" s="2">
        <v>30</v>
      </c>
      <c r="G927" s="2" t="s">
        <v>3142</v>
      </c>
      <c r="H927" s="2" t="s">
        <v>1848</v>
      </c>
      <c r="I927" s="2" t="s">
        <v>839</v>
      </c>
      <c r="J927" s="3">
        <v>44696</v>
      </c>
      <c r="K927" s="5">
        <f>YEAR(OrganizedData[[#This Row],[Order Date]])</f>
        <v>2022</v>
      </c>
      <c r="L927" s="7" t="str">
        <f>TEXT(OrganizedData[[#This Row],[Order Date]],"mmm")</f>
        <v>May</v>
      </c>
      <c r="M927" s="2">
        <v>44</v>
      </c>
      <c r="N927" s="2" t="s">
        <v>159</v>
      </c>
      <c r="O927" s="2" t="str">
        <f>VLOOKUP(OrganizedData[[#This Row],[Product Code]],ProductData[[Code]:[Item]],2,FALSE)</f>
        <v>Ultrathing V3</v>
      </c>
      <c r="P927" s="4">
        <f>OrganizedData[[#This Row],[Quantity]]*VLOOKUP(OrganizedData[[#This Row],[Product Code]],ProductData[],4,FALSE)</f>
        <v>1056</v>
      </c>
      <c r="Q927" s="6">
        <f>OrganizedData[[#This Row],[Total Items Ordered]]*VLOOKUP(OrganizedData[[#This Row],[Product Code]],ProductData[],3,FALSE)</f>
        <v>3579.84</v>
      </c>
      <c r="R9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928" spans="1:18" x14ac:dyDescent="0.3">
      <c r="A928" s="2">
        <v>921</v>
      </c>
      <c r="B928" s="2" t="s">
        <v>2153</v>
      </c>
      <c r="C928" s="2" t="s">
        <v>3143</v>
      </c>
      <c r="D928" s="2" t="s">
        <v>28</v>
      </c>
      <c r="E928" s="2" t="s">
        <v>29</v>
      </c>
      <c r="F928" s="2">
        <v>30</v>
      </c>
      <c r="G928" s="2" t="s">
        <v>3144</v>
      </c>
      <c r="H928" s="2" t="s">
        <v>2720</v>
      </c>
      <c r="I928" s="2" t="s">
        <v>32</v>
      </c>
      <c r="J928" s="3">
        <v>44458</v>
      </c>
      <c r="K928" s="5">
        <f>YEAR(OrganizedData[[#This Row],[Order Date]])</f>
        <v>2021</v>
      </c>
      <c r="L928" s="7" t="str">
        <f>TEXT(OrganizedData[[#This Row],[Order Date]],"mmm")</f>
        <v>Sep</v>
      </c>
      <c r="M928" s="2">
        <v>50</v>
      </c>
      <c r="N928" s="2" t="s">
        <v>159</v>
      </c>
      <c r="O928" s="2" t="str">
        <f>VLOOKUP(OrganizedData[[#This Row],[Product Code]],ProductData[[Code]:[Item]],2,FALSE)</f>
        <v>Ultrathing V3</v>
      </c>
      <c r="P928" s="4">
        <f>OrganizedData[[#This Row],[Quantity]]*VLOOKUP(OrganizedData[[#This Row],[Product Code]],ProductData[],4,FALSE)</f>
        <v>1200</v>
      </c>
      <c r="Q928" s="6">
        <f>OrganizedData[[#This Row],[Total Items Ordered]]*VLOOKUP(OrganizedData[[#This Row],[Product Code]],ProductData[],3,FALSE)</f>
        <v>4068</v>
      </c>
      <c r="R9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929" spans="1:18" x14ac:dyDescent="0.3">
      <c r="A929" s="2">
        <v>922</v>
      </c>
      <c r="B929" s="2" t="s">
        <v>3145</v>
      </c>
      <c r="C929" s="2" t="s">
        <v>3146</v>
      </c>
      <c r="D929" s="2" t="s">
        <v>15</v>
      </c>
      <c r="E929" s="2" t="s">
        <v>16</v>
      </c>
      <c r="F929" s="2">
        <v>90</v>
      </c>
      <c r="G929" s="2" t="s">
        <v>3147</v>
      </c>
      <c r="H929" s="2" t="s">
        <v>3148</v>
      </c>
      <c r="I929" s="2" t="s">
        <v>146</v>
      </c>
      <c r="J929" s="3">
        <v>43986</v>
      </c>
      <c r="K929" s="5">
        <f>YEAR(OrganizedData[[#This Row],[Order Date]])</f>
        <v>2020</v>
      </c>
      <c r="L929" s="7" t="str">
        <f>TEXT(OrganizedData[[#This Row],[Order Date]],"mmm")</f>
        <v>Jun</v>
      </c>
      <c r="M929" s="2">
        <v>19</v>
      </c>
      <c r="N929" s="2" t="s">
        <v>101</v>
      </c>
      <c r="O929" s="2" t="str">
        <f>VLOOKUP(OrganizedData[[#This Row],[Product Code]],ProductData[[Code]:[Item]],2,FALSE)</f>
        <v>Superwossname</v>
      </c>
      <c r="P929" s="4">
        <f>OrganizedData[[#This Row],[Quantity]]*VLOOKUP(OrganizedData[[#This Row],[Product Code]],ProductData[],4,FALSE)</f>
        <v>380</v>
      </c>
      <c r="Q929" s="6">
        <f>OrganizedData[[#This Row],[Total Items Ordered]]*VLOOKUP(OrganizedData[[#This Row],[Product Code]],ProductData[],3,FALSE)</f>
        <v>1326.2</v>
      </c>
      <c r="R9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1326.2</v>
      </c>
    </row>
    <row r="930" spans="1:18" x14ac:dyDescent="0.3">
      <c r="A930" s="2">
        <v>923</v>
      </c>
      <c r="B930" s="2" t="s">
        <v>3149</v>
      </c>
      <c r="C930" s="2" t="s">
        <v>688</v>
      </c>
      <c r="D930" s="2" t="s">
        <v>28</v>
      </c>
      <c r="E930" s="2" t="s">
        <v>29</v>
      </c>
      <c r="F930" s="2">
        <v>90</v>
      </c>
      <c r="G930" s="2" t="s">
        <v>3150</v>
      </c>
      <c r="H930" s="2" t="s">
        <v>3151</v>
      </c>
      <c r="I930" s="2" t="s">
        <v>32</v>
      </c>
      <c r="J930" s="3">
        <v>44194</v>
      </c>
      <c r="K930" s="5">
        <f>YEAR(OrganizedData[[#This Row],[Order Date]])</f>
        <v>2020</v>
      </c>
      <c r="L930" s="7" t="str">
        <f>TEXT(OrganizedData[[#This Row],[Order Date]],"mmm")</f>
        <v>Dec</v>
      </c>
      <c r="M930" s="2">
        <v>26</v>
      </c>
      <c r="N930" s="2" t="s">
        <v>45</v>
      </c>
      <c r="O930" s="2" t="str">
        <f>VLOOKUP(OrganizedData[[#This Row],[Product Code]],ProductData[[Code]:[Item]],2,FALSE)</f>
        <v>Gigastuff</v>
      </c>
      <c r="P930" s="4">
        <f>OrganizedData[[#This Row],[Quantity]]*VLOOKUP(OrganizedData[[#This Row],[Product Code]],ProductData[],4,FALSE)</f>
        <v>468</v>
      </c>
      <c r="Q930" s="6">
        <f>OrganizedData[[#This Row],[Total Items Ordered]]*VLOOKUP(OrganizedData[[#This Row],[Product Code]],ProductData[],3,FALSE)</f>
        <v>884.52</v>
      </c>
      <c r="R9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931" spans="1:18" x14ac:dyDescent="0.3">
      <c r="A931" s="2">
        <v>924</v>
      </c>
      <c r="B931" s="2" t="s">
        <v>3152</v>
      </c>
      <c r="C931" s="2" t="s">
        <v>210</v>
      </c>
      <c r="D931" s="2" t="s">
        <v>51</v>
      </c>
      <c r="E931" s="2" t="s">
        <v>16</v>
      </c>
      <c r="F931" s="2">
        <v>60</v>
      </c>
      <c r="G931" s="2" t="s">
        <v>3153</v>
      </c>
      <c r="H931" s="2" t="s">
        <v>1391</v>
      </c>
      <c r="I931" s="2" t="s">
        <v>32</v>
      </c>
      <c r="J931" s="3">
        <v>44712</v>
      </c>
      <c r="K931" s="5">
        <f>YEAR(OrganizedData[[#This Row],[Order Date]])</f>
        <v>2022</v>
      </c>
      <c r="L931" s="7" t="str">
        <f>TEXT(OrganizedData[[#This Row],[Order Date]],"mmm")</f>
        <v>May</v>
      </c>
      <c r="M931" s="2">
        <v>13</v>
      </c>
      <c r="N931" s="2" t="s">
        <v>45</v>
      </c>
      <c r="O931" s="2" t="str">
        <f>VLOOKUP(OrganizedData[[#This Row],[Product Code]],ProductData[[Code]:[Item]],2,FALSE)</f>
        <v>Gigastuff</v>
      </c>
      <c r="P931" s="4">
        <f>OrganizedData[[#This Row],[Quantity]]*VLOOKUP(OrganizedData[[#This Row],[Product Code]],ProductData[],4,FALSE)</f>
        <v>234</v>
      </c>
      <c r="Q931" s="6">
        <f>OrganizedData[[#This Row],[Total Items Ordered]]*VLOOKUP(OrganizedData[[#This Row],[Product Code]],ProductData[],3,FALSE)</f>
        <v>442.26</v>
      </c>
      <c r="R9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932" spans="1:18" x14ac:dyDescent="0.3">
      <c r="A932" s="2">
        <v>925</v>
      </c>
      <c r="B932" s="2" t="s">
        <v>3154</v>
      </c>
      <c r="C932" s="2" t="s">
        <v>3155</v>
      </c>
      <c r="D932" s="2" t="s">
        <v>15</v>
      </c>
      <c r="E932" s="2" t="s">
        <v>16</v>
      </c>
      <c r="F932" s="2">
        <v>90</v>
      </c>
      <c r="G932" s="2" t="s">
        <v>3156</v>
      </c>
      <c r="H932" s="2" t="s">
        <v>3157</v>
      </c>
      <c r="I932" s="2" t="s">
        <v>32</v>
      </c>
      <c r="J932" s="3">
        <v>44174</v>
      </c>
      <c r="K932" s="5">
        <f>YEAR(OrganizedData[[#This Row],[Order Date]])</f>
        <v>2020</v>
      </c>
      <c r="L932" s="7" t="str">
        <f>TEXT(OrganizedData[[#This Row],[Order Date]],"mmm")</f>
        <v>Dec</v>
      </c>
      <c r="M932" s="2">
        <v>33</v>
      </c>
      <c r="N932" s="2" t="s">
        <v>39</v>
      </c>
      <c r="O932" s="2" t="str">
        <f>VLOOKUP(OrganizedData[[#This Row],[Product Code]],ProductData[[Code]:[Item]],2,FALSE)</f>
        <v>Ultrathing V1</v>
      </c>
      <c r="P932" s="4">
        <f>OrganizedData[[#This Row],[Quantity]]*VLOOKUP(OrganizedData[[#This Row],[Product Code]],ProductData[],4,FALSE)</f>
        <v>561</v>
      </c>
      <c r="Q932" s="6">
        <f>OrganizedData[[#This Row],[Total Items Ordered]]*VLOOKUP(OrganizedData[[#This Row],[Product Code]],ProductData[],3,FALSE)</f>
        <v>1004.19</v>
      </c>
      <c r="R9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933" spans="1:18" x14ac:dyDescent="0.3">
      <c r="A933" s="2">
        <v>926</v>
      </c>
      <c r="B933" s="2" t="s">
        <v>3158</v>
      </c>
      <c r="C933" s="2" t="s">
        <v>3159</v>
      </c>
      <c r="D933" s="2" t="s">
        <v>28</v>
      </c>
      <c r="E933" s="2" t="s">
        <v>29</v>
      </c>
      <c r="F933" s="2">
        <v>90</v>
      </c>
      <c r="G933" s="2" t="s">
        <v>3160</v>
      </c>
      <c r="H933" s="2" t="s">
        <v>3161</v>
      </c>
      <c r="I933" s="2" t="s">
        <v>32</v>
      </c>
      <c r="J933" s="3">
        <v>44412</v>
      </c>
      <c r="K933" s="5">
        <f>YEAR(OrganizedData[[#This Row],[Order Date]])</f>
        <v>2021</v>
      </c>
      <c r="L933" s="7" t="str">
        <f>TEXT(OrganizedData[[#This Row],[Order Date]],"mmm")</f>
        <v>Aug</v>
      </c>
      <c r="M933" s="2">
        <v>92</v>
      </c>
      <c r="N933" s="2" t="s">
        <v>45</v>
      </c>
      <c r="O933" s="2" t="str">
        <f>VLOOKUP(OrganizedData[[#This Row],[Product Code]],ProductData[[Code]:[Item]],2,FALSE)</f>
        <v>Gigastuff</v>
      </c>
      <c r="P933" s="4">
        <f>OrganizedData[[#This Row],[Quantity]]*VLOOKUP(OrganizedData[[#This Row],[Product Code]],ProductData[],4,FALSE)</f>
        <v>1656</v>
      </c>
      <c r="Q933" s="6">
        <f>OrganizedData[[#This Row],[Total Items Ordered]]*VLOOKUP(OrganizedData[[#This Row],[Product Code]],ProductData[],3,FALSE)</f>
        <v>3129.8399999999997</v>
      </c>
      <c r="R9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2973.3479999999995</v>
      </c>
    </row>
    <row r="934" spans="1:18" x14ac:dyDescent="0.3">
      <c r="A934" s="2">
        <v>927</v>
      </c>
      <c r="B934" s="2" t="s">
        <v>1897</v>
      </c>
      <c r="C934" s="2" t="s">
        <v>3162</v>
      </c>
      <c r="D934" s="2" t="s">
        <v>15</v>
      </c>
      <c r="E934" s="2" t="s">
        <v>16</v>
      </c>
      <c r="F934" s="2">
        <v>90</v>
      </c>
      <c r="G934" s="2" t="s">
        <v>3163</v>
      </c>
      <c r="H934" s="2" t="s">
        <v>1001</v>
      </c>
      <c r="I934" s="2" t="s">
        <v>32</v>
      </c>
      <c r="J934" s="3">
        <v>44115</v>
      </c>
      <c r="K934" s="5">
        <f>YEAR(OrganizedData[[#This Row],[Order Date]])</f>
        <v>2020</v>
      </c>
      <c r="L934" s="7" t="str">
        <f>TEXT(OrganizedData[[#This Row],[Order Date]],"mmm")</f>
        <v>Oct</v>
      </c>
      <c r="M934" s="2">
        <v>75</v>
      </c>
      <c r="N934" s="2" t="s">
        <v>39</v>
      </c>
      <c r="O934" s="2" t="str">
        <f>VLOOKUP(OrganizedData[[#This Row],[Product Code]],ProductData[[Code]:[Item]],2,FALSE)</f>
        <v>Ultrathing V1</v>
      </c>
      <c r="P934" s="4">
        <f>OrganizedData[[#This Row],[Quantity]]*VLOOKUP(OrganizedData[[#This Row],[Product Code]],ProductData[],4,FALSE)</f>
        <v>1275</v>
      </c>
      <c r="Q934" s="6">
        <f>OrganizedData[[#This Row],[Total Items Ordered]]*VLOOKUP(OrganizedData[[#This Row],[Product Code]],ProductData[],3,FALSE)</f>
        <v>2282.25</v>
      </c>
      <c r="R9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2168.1374999999998</v>
      </c>
    </row>
    <row r="935" spans="1:18" x14ac:dyDescent="0.3">
      <c r="A935" s="2">
        <v>928</v>
      </c>
      <c r="B935" s="2" t="s">
        <v>1296</v>
      </c>
      <c r="C935" s="2" t="s">
        <v>3164</v>
      </c>
      <c r="D935" s="2" t="s">
        <v>15</v>
      </c>
      <c r="E935" s="2" t="s">
        <v>16</v>
      </c>
      <c r="F935" s="2">
        <v>60</v>
      </c>
      <c r="G935" s="2" t="s">
        <v>3163</v>
      </c>
      <c r="H935" s="2" t="s">
        <v>3165</v>
      </c>
      <c r="I935" s="2" t="s">
        <v>32</v>
      </c>
      <c r="J935" s="3">
        <v>44214</v>
      </c>
      <c r="K935" s="5">
        <f>YEAR(OrganizedData[[#This Row],[Order Date]])</f>
        <v>2021</v>
      </c>
      <c r="L935" s="7" t="str">
        <f>TEXT(OrganizedData[[#This Row],[Order Date]],"mmm")</f>
        <v>Jan</v>
      </c>
      <c r="M935" s="2">
        <v>75</v>
      </c>
      <c r="N935" s="2" t="s">
        <v>159</v>
      </c>
      <c r="O935" s="2" t="str">
        <f>VLOOKUP(OrganizedData[[#This Row],[Product Code]],ProductData[[Code]:[Item]],2,FALSE)</f>
        <v>Ultrathing V3</v>
      </c>
      <c r="P935" s="4">
        <f>OrganizedData[[#This Row],[Quantity]]*VLOOKUP(OrganizedData[[#This Row],[Product Code]],ProductData[],4,FALSE)</f>
        <v>1800</v>
      </c>
      <c r="Q935" s="6">
        <f>OrganizedData[[#This Row],[Total Items Ordered]]*VLOOKUP(OrganizedData[[#This Row],[Product Code]],ProductData[],3,FALSE)</f>
        <v>6102</v>
      </c>
      <c r="R9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936" spans="1:18" x14ac:dyDescent="0.3">
      <c r="A936" s="2">
        <v>929</v>
      </c>
      <c r="B936" s="2" t="s">
        <v>3166</v>
      </c>
      <c r="C936" s="2" t="s">
        <v>3167</v>
      </c>
      <c r="D936" s="2" t="s">
        <v>28</v>
      </c>
      <c r="E936" s="2" t="s">
        <v>29</v>
      </c>
      <c r="F936" s="2">
        <v>90</v>
      </c>
      <c r="G936" s="2" t="s">
        <v>3168</v>
      </c>
      <c r="H936" s="2" t="s">
        <v>3169</v>
      </c>
      <c r="I936" s="2" t="s">
        <v>110</v>
      </c>
      <c r="J936" s="3">
        <v>44708</v>
      </c>
      <c r="K936" s="5">
        <f>YEAR(OrganizedData[[#This Row],[Order Date]])</f>
        <v>2022</v>
      </c>
      <c r="L936" s="7" t="str">
        <f>TEXT(OrganizedData[[#This Row],[Order Date]],"mmm")</f>
        <v>May</v>
      </c>
      <c r="M936" s="2">
        <v>2</v>
      </c>
      <c r="N936" s="2" t="s">
        <v>64</v>
      </c>
      <c r="O936" s="2" t="str">
        <f>VLOOKUP(OrganizedData[[#This Row],[Product Code]],ProductData[[Code]:[Item]],2,FALSE)</f>
        <v>Ultrathing V4</v>
      </c>
      <c r="P936" s="4">
        <f>OrganizedData[[#This Row],[Quantity]]*VLOOKUP(OrganizedData[[#This Row],[Product Code]],ProductData[],4,FALSE)</f>
        <v>48</v>
      </c>
      <c r="Q936" s="6">
        <f>OrganizedData[[#This Row],[Total Items Ordered]]*VLOOKUP(OrganizedData[[#This Row],[Product Code]],ProductData[],3,FALSE)</f>
        <v>191.52</v>
      </c>
      <c r="R9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937" spans="1:18" x14ac:dyDescent="0.3">
      <c r="A937" s="2">
        <v>930</v>
      </c>
      <c r="B937" s="2" t="s">
        <v>3170</v>
      </c>
      <c r="C937" s="2" t="s">
        <v>3171</v>
      </c>
      <c r="D937" s="2" t="s">
        <v>28</v>
      </c>
      <c r="E937" s="2" t="s">
        <v>29</v>
      </c>
      <c r="F937" s="2">
        <v>60</v>
      </c>
      <c r="G937" s="2" t="s">
        <v>3172</v>
      </c>
      <c r="H937" s="2" t="s">
        <v>860</v>
      </c>
      <c r="I937" s="2" t="s">
        <v>861</v>
      </c>
      <c r="J937" s="3">
        <v>44499</v>
      </c>
      <c r="K937" s="5">
        <f>YEAR(OrganizedData[[#This Row],[Order Date]])</f>
        <v>2021</v>
      </c>
      <c r="L937" s="7" t="str">
        <f>TEXT(OrganizedData[[#This Row],[Order Date]],"mmm")</f>
        <v>Oct</v>
      </c>
      <c r="M937" s="2">
        <v>30</v>
      </c>
      <c r="N937" s="2" t="s">
        <v>64</v>
      </c>
      <c r="O937" s="2" t="str">
        <f>VLOOKUP(OrganizedData[[#This Row],[Product Code]],ProductData[[Code]:[Item]],2,FALSE)</f>
        <v>Ultrathing V4</v>
      </c>
      <c r="P937" s="4">
        <f>OrganizedData[[#This Row],[Quantity]]*VLOOKUP(OrganizedData[[#This Row],[Product Code]],ProductData[],4,FALSE)</f>
        <v>720</v>
      </c>
      <c r="Q937" s="6">
        <f>OrganizedData[[#This Row],[Total Items Ordered]]*VLOOKUP(OrganizedData[[#This Row],[Product Code]],ProductData[],3,FALSE)</f>
        <v>2872.8</v>
      </c>
      <c r="R9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2786.616</v>
      </c>
    </row>
    <row r="938" spans="1:18" x14ac:dyDescent="0.3">
      <c r="A938" s="2">
        <v>931</v>
      </c>
      <c r="B938" s="2" t="s">
        <v>1671</v>
      </c>
      <c r="C938" s="2" t="s">
        <v>3173</v>
      </c>
      <c r="D938" s="2" t="s">
        <v>28</v>
      </c>
      <c r="E938" s="2" t="s">
        <v>29</v>
      </c>
      <c r="F938" s="2">
        <v>90</v>
      </c>
      <c r="G938" s="2" t="s">
        <v>3172</v>
      </c>
      <c r="H938" s="2" t="s">
        <v>1632</v>
      </c>
      <c r="I938" s="2" t="s">
        <v>32</v>
      </c>
      <c r="J938" s="3">
        <v>44346</v>
      </c>
      <c r="K938" s="5">
        <f>YEAR(OrganizedData[[#This Row],[Order Date]])</f>
        <v>2021</v>
      </c>
      <c r="L938" s="7" t="str">
        <f>TEXT(OrganizedData[[#This Row],[Order Date]],"mmm")</f>
        <v>May</v>
      </c>
      <c r="M938" s="2">
        <v>71</v>
      </c>
      <c r="N938" s="2" t="s">
        <v>64</v>
      </c>
      <c r="O938" s="2" t="str">
        <f>VLOOKUP(OrganizedData[[#This Row],[Product Code]],ProductData[[Code]:[Item]],2,FALSE)</f>
        <v>Ultrathing V4</v>
      </c>
      <c r="P938" s="4">
        <f>OrganizedData[[#This Row],[Quantity]]*VLOOKUP(OrganizedData[[#This Row],[Product Code]],ProductData[],4,FALSE)</f>
        <v>1704</v>
      </c>
      <c r="Q938" s="6">
        <f>OrganizedData[[#This Row],[Total Items Ordered]]*VLOOKUP(OrganizedData[[#This Row],[Product Code]],ProductData[],3,FALSE)</f>
        <v>6798.96</v>
      </c>
      <c r="R9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939" spans="1:18" x14ac:dyDescent="0.3">
      <c r="A939" s="2">
        <v>932</v>
      </c>
      <c r="B939" s="2" t="s">
        <v>857</v>
      </c>
      <c r="C939" s="2" t="s">
        <v>86</v>
      </c>
      <c r="D939" s="2" t="s">
        <v>15</v>
      </c>
      <c r="E939" s="2" t="s">
        <v>16</v>
      </c>
      <c r="F939" s="2">
        <v>60</v>
      </c>
      <c r="G939" s="2" t="s">
        <v>3174</v>
      </c>
      <c r="H939" s="2" t="s">
        <v>3175</v>
      </c>
      <c r="I939" s="2" t="s">
        <v>1233</v>
      </c>
      <c r="J939" s="3">
        <v>44737</v>
      </c>
      <c r="K939" s="5">
        <f>YEAR(OrganizedData[[#This Row],[Order Date]])</f>
        <v>2022</v>
      </c>
      <c r="L939" s="7" t="str">
        <f>TEXT(OrganizedData[[#This Row],[Order Date]],"mmm")</f>
        <v>Jun</v>
      </c>
      <c r="M939" s="2">
        <v>94</v>
      </c>
      <c r="N939" s="2" t="s">
        <v>70</v>
      </c>
      <c r="O939" s="2" t="str">
        <f>VLOOKUP(OrganizedData[[#This Row],[Product Code]],ProductData[[Code]:[Item]],2,FALSE)</f>
        <v>Megawidget M</v>
      </c>
      <c r="P939" s="4">
        <f>OrganizedData[[#This Row],[Quantity]]*VLOOKUP(OrganizedData[[#This Row],[Product Code]],ProductData[],4,FALSE)</f>
        <v>2256</v>
      </c>
      <c r="Q939" s="6">
        <f>OrganizedData[[#This Row],[Total Items Ordered]]*VLOOKUP(OrganizedData[[#This Row],[Product Code]],ProductData[],3,FALSE)</f>
        <v>2910.2400000000002</v>
      </c>
      <c r="R9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2764.7280000000001</v>
      </c>
    </row>
    <row r="940" spans="1:18" x14ac:dyDescent="0.3">
      <c r="A940" s="2">
        <v>933</v>
      </c>
      <c r="B940" s="2" t="s">
        <v>3176</v>
      </c>
      <c r="C940" s="2" t="s">
        <v>3177</v>
      </c>
      <c r="D940" s="2" t="s">
        <v>28</v>
      </c>
      <c r="E940" s="2" t="s">
        <v>29</v>
      </c>
      <c r="F940" s="2">
        <v>60</v>
      </c>
      <c r="G940" s="2" t="s">
        <v>3178</v>
      </c>
      <c r="H940" s="2" t="s">
        <v>3179</v>
      </c>
      <c r="I940" s="2" t="s">
        <v>187</v>
      </c>
      <c r="J940" s="3">
        <v>43876</v>
      </c>
      <c r="K940" s="5">
        <f>YEAR(OrganizedData[[#This Row],[Order Date]])</f>
        <v>2020</v>
      </c>
      <c r="L940" s="7" t="str">
        <f>TEXT(OrganizedData[[#This Row],[Order Date]],"mmm")</f>
        <v>Feb</v>
      </c>
      <c r="M940" s="2">
        <v>69</v>
      </c>
      <c r="N940" s="2" t="s">
        <v>54</v>
      </c>
      <c r="O940" s="2" t="str">
        <f>VLOOKUP(OrganizedData[[#This Row],[Product Code]],ProductData[[Code]:[Item]],2,FALSE)</f>
        <v>Megawidget S</v>
      </c>
      <c r="P940" s="4">
        <f>OrganizedData[[#This Row],[Quantity]]*VLOOKUP(OrganizedData[[#This Row],[Product Code]],ProductData[],4,FALSE)</f>
        <v>1656</v>
      </c>
      <c r="Q940" s="6">
        <f>OrganizedData[[#This Row],[Total Items Ordered]]*VLOOKUP(OrganizedData[[#This Row],[Product Code]],ProductData[],3,FALSE)</f>
        <v>1142.6399999999999</v>
      </c>
      <c r="R9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941" spans="1:18" x14ac:dyDescent="0.3">
      <c r="A941" s="2">
        <v>934</v>
      </c>
      <c r="B941" s="2" t="s">
        <v>3180</v>
      </c>
      <c r="C941" s="2" t="s">
        <v>3181</v>
      </c>
      <c r="D941" s="2" t="s">
        <v>28</v>
      </c>
      <c r="E941" s="2" t="s">
        <v>29</v>
      </c>
      <c r="F941" s="2">
        <v>90</v>
      </c>
      <c r="G941" s="2" t="s">
        <v>3182</v>
      </c>
      <c r="H941" s="2" t="s">
        <v>3183</v>
      </c>
      <c r="I941" s="2" t="s">
        <v>32</v>
      </c>
      <c r="J941" s="3">
        <v>43932</v>
      </c>
      <c r="K941" s="5">
        <f>YEAR(OrganizedData[[#This Row],[Order Date]])</f>
        <v>2020</v>
      </c>
      <c r="L941" s="7" t="str">
        <f>TEXT(OrganizedData[[#This Row],[Order Date]],"mmm")</f>
        <v>Apr</v>
      </c>
      <c r="M941" s="2">
        <v>8</v>
      </c>
      <c r="N941" s="2" t="s">
        <v>101</v>
      </c>
      <c r="O941" s="2" t="str">
        <f>VLOOKUP(OrganizedData[[#This Row],[Product Code]],ProductData[[Code]:[Item]],2,FALSE)</f>
        <v>Superwossname</v>
      </c>
      <c r="P941" s="4">
        <f>OrganizedData[[#This Row],[Quantity]]*VLOOKUP(OrganizedData[[#This Row],[Product Code]],ProductData[],4,FALSE)</f>
        <v>160</v>
      </c>
      <c r="Q941" s="6">
        <f>OrganizedData[[#This Row],[Total Items Ordered]]*VLOOKUP(OrganizedData[[#This Row],[Product Code]],ProductData[],3,FALSE)</f>
        <v>558.40000000000009</v>
      </c>
      <c r="R9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558.40000000000009</v>
      </c>
    </row>
    <row r="942" spans="1:18" x14ac:dyDescent="0.3">
      <c r="A942" s="2">
        <v>935</v>
      </c>
      <c r="B942" s="2" t="s">
        <v>165</v>
      </c>
      <c r="C942" s="2" t="s">
        <v>1338</v>
      </c>
      <c r="D942" s="2" t="s">
        <v>51</v>
      </c>
      <c r="E942" s="2" t="s">
        <v>16</v>
      </c>
      <c r="F942" s="2">
        <v>90</v>
      </c>
      <c r="G942" s="2" t="s">
        <v>3184</v>
      </c>
      <c r="H942" s="2" t="s">
        <v>412</v>
      </c>
      <c r="I942" s="2" t="s">
        <v>187</v>
      </c>
      <c r="J942" s="3">
        <v>44357</v>
      </c>
      <c r="K942" s="5">
        <f>YEAR(OrganizedData[[#This Row],[Order Date]])</f>
        <v>2021</v>
      </c>
      <c r="L942" s="7" t="str">
        <f>TEXT(OrganizedData[[#This Row],[Order Date]],"mmm")</f>
        <v>Jun</v>
      </c>
      <c r="M942" s="2">
        <v>33</v>
      </c>
      <c r="N942" s="2" t="s">
        <v>45</v>
      </c>
      <c r="O942" s="2" t="str">
        <f>VLOOKUP(OrganizedData[[#This Row],[Product Code]],ProductData[[Code]:[Item]],2,FALSE)</f>
        <v>Gigastuff</v>
      </c>
      <c r="P942" s="4">
        <f>OrganizedData[[#This Row],[Quantity]]*VLOOKUP(OrganizedData[[#This Row],[Product Code]],ProductData[],4,FALSE)</f>
        <v>594</v>
      </c>
      <c r="Q942" s="6">
        <f>OrganizedData[[#This Row],[Total Items Ordered]]*VLOOKUP(OrganizedData[[#This Row],[Product Code]],ProductData[],3,FALSE)</f>
        <v>1122.6599999999999</v>
      </c>
      <c r="R9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943" spans="1:18" x14ac:dyDescent="0.3">
      <c r="A943" s="2">
        <v>936</v>
      </c>
      <c r="B943" s="2" t="s">
        <v>3185</v>
      </c>
      <c r="C943" s="2" t="s">
        <v>3186</v>
      </c>
      <c r="D943" s="2" t="s">
        <v>51</v>
      </c>
      <c r="E943" s="2" t="s">
        <v>16</v>
      </c>
      <c r="F943" s="2">
        <v>90</v>
      </c>
      <c r="G943" s="2" t="s">
        <v>3187</v>
      </c>
      <c r="H943" s="2" t="s">
        <v>1632</v>
      </c>
      <c r="I943" s="2" t="s">
        <v>32</v>
      </c>
      <c r="J943" s="3">
        <v>44749</v>
      </c>
      <c r="K943" s="5">
        <f>YEAR(OrganizedData[[#This Row],[Order Date]])</f>
        <v>2022</v>
      </c>
      <c r="L943" s="7" t="str">
        <f>TEXT(OrganizedData[[#This Row],[Order Date]],"mmm")</f>
        <v>Jul</v>
      </c>
      <c r="M943" s="2">
        <v>44</v>
      </c>
      <c r="N943" s="2" t="s">
        <v>45</v>
      </c>
      <c r="O943" s="2" t="str">
        <f>VLOOKUP(OrganizedData[[#This Row],[Product Code]],ProductData[[Code]:[Item]],2,FALSE)</f>
        <v>Gigastuff</v>
      </c>
      <c r="P943" s="4">
        <f>OrganizedData[[#This Row],[Quantity]]*VLOOKUP(OrganizedData[[#This Row],[Product Code]],ProductData[],4,FALSE)</f>
        <v>792</v>
      </c>
      <c r="Q943" s="6">
        <f>OrganizedData[[#This Row],[Total Items Ordered]]*VLOOKUP(OrganizedData[[#This Row],[Product Code]],ProductData[],3,FALSE)</f>
        <v>1496.8799999999999</v>
      </c>
      <c r="R9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1451.9735999999998</v>
      </c>
    </row>
    <row r="944" spans="1:18" x14ac:dyDescent="0.3">
      <c r="A944" s="2">
        <v>937</v>
      </c>
      <c r="B944" s="2" t="s">
        <v>3188</v>
      </c>
      <c r="C944" s="2" t="s">
        <v>3189</v>
      </c>
      <c r="D944" s="2" t="s">
        <v>15</v>
      </c>
      <c r="E944" s="2" t="s">
        <v>16</v>
      </c>
      <c r="F944" s="2">
        <v>30</v>
      </c>
      <c r="G944" s="2" t="s">
        <v>10478</v>
      </c>
      <c r="H944" s="2" t="s">
        <v>1741</v>
      </c>
      <c r="I944" s="2" t="s">
        <v>173</v>
      </c>
      <c r="J944" s="3">
        <v>44910</v>
      </c>
      <c r="K944" s="5">
        <f>YEAR(OrganizedData[[#This Row],[Order Date]])</f>
        <v>2022</v>
      </c>
      <c r="L944" s="7" t="str">
        <f>TEXT(OrganizedData[[#This Row],[Order Date]],"mmm")</f>
        <v>Dec</v>
      </c>
      <c r="M944" s="2">
        <v>2</v>
      </c>
      <c r="N944" s="2" t="s">
        <v>39</v>
      </c>
      <c r="O944" s="2" t="str">
        <f>VLOOKUP(OrganizedData[[#This Row],[Product Code]],ProductData[[Code]:[Item]],2,FALSE)</f>
        <v>Ultrathing V1</v>
      </c>
      <c r="P944" s="4">
        <f>OrganizedData[[#This Row],[Quantity]]*VLOOKUP(OrganizedData[[#This Row],[Product Code]],ProductData[],4,FALSE)</f>
        <v>34</v>
      </c>
      <c r="Q944" s="6">
        <f>OrganizedData[[#This Row],[Total Items Ordered]]*VLOOKUP(OrganizedData[[#This Row],[Product Code]],ProductData[],3,FALSE)</f>
        <v>60.86</v>
      </c>
      <c r="R9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945" spans="1:18" x14ac:dyDescent="0.3">
      <c r="A945" s="2">
        <v>938</v>
      </c>
      <c r="B945" s="2" t="s">
        <v>3191</v>
      </c>
      <c r="C945" s="2" t="s">
        <v>3192</v>
      </c>
      <c r="D945" s="2" t="s">
        <v>41</v>
      </c>
      <c r="E945" s="2" t="s">
        <v>16</v>
      </c>
      <c r="F945" s="2">
        <v>30</v>
      </c>
      <c r="G945" s="2" t="s">
        <v>3193</v>
      </c>
      <c r="H945" s="2" t="s">
        <v>3194</v>
      </c>
      <c r="I945" s="2" t="s">
        <v>819</v>
      </c>
      <c r="J945" s="3">
        <v>44417</v>
      </c>
      <c r="K945" s="5">
        <f>YEAR(OrganizedData[[#This Row],[Order Date]])</f>
        <v>2021</v>
      </c>
      <c r="L945" s="7" t="str">
        <f>TEXT(OrganizedData[[#This Row],[Order Date]],"mmm")</f>
        <v>Aug</v>
      </c>
      <c r="M945" s="2">
        <v>10</v>
      </c>
      <c r="N945" s="2" t="s">
        <v>45</v>
      </c>
      <c r="O945" s="2" t="str">
        <f>VLOOKUP(OrganizedData[[#This Row],[Product Code]],ProductData[[Code]:[Item]],2,FALSE)</f>
        <v>Gigastuff</v>
      </c>
      <c r="P945" s="4">
        <f>OrganizedData[[#This Row],[Quantity]]*VLOOKUP(OrganizedData[[#This Row],[Product Code]],ProductData[],4,FALSE)</f>
        <v>180</v>
      </c>
      <c r="Q945" s="6">
        <f>OrganizedData[[#This Row],[Total Items Ordered]]*VLOOKUP(OrganizedData[[#This Row],[Product Code]],ProductData[],3,FALSE)</f>
        <v>340.2</v>
      </c>
      <c r="R9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946" spans="1:18" x14ac:dyDescent="0.3">
      <c r="A946" s="2">
        <v>939</v>
      </c>
      <c r="B946" s="2" t="s">
        <v>3195</v>
      </c>
      <c r="C946" s="2" t="s">
        <v>1461</v>
      </c>
      <c r="D946" s="2" t="s">
        <v>15</v>
      </c>
      <c r="E946" s="2" t="s">
        <v>16</v>
      </c>
      <c r="F946" s="2">
        <v>30</v>
      </c>
      <c r="G946" s="2" t="s">
        <v>3196</v>
      </c>
      <c r="H946" s="2" t="s">
        <v>3197</v>
      </c>
      <c r="I946" s="2" t="s">
        <v>32</v>
      </c>
      <c r="J946" s="3">
        <v>43950</v>
      </c>
      <c r="K946" s="5">
        <f>YEAR(OrganizedData[[#This Row],[Order Date]])</f>
        <v>2020</v>
      </c>
      <c r="L946" s="7" t="str">
        <f>TEXT(OrganizedData[[#This Row],[Order Date]],"mmm")</f>
        <v>Apr</v>
      </c>
      <c r="M946" s="2">
        <v>34</v>
      </c>
      <c r="N946" s="2" t="s">
        <v>70</v>
      </c>
      <c r="O946" s="2" t="str">
        <f>VLOOKUP(OrganizedData[[#This Row],[Product Code]],ProductData[[Code]:[Item]],2,FALSE)</f>
        <v>Megawidget M</v>
      </c>
      <c r="P946" s="4">
        <f>OrganizedData[[#This Row],[Quantity]]*VLOOKUP(OrganizedData[[#This Row],[Product Code]],ProductData[],4,FALSE)</f>
        <v>816</v>
      </c>
      <c r="Q946" s="6">
        <f>OrganizedData[[#This Row],[Total Items Ordered]]*VLOOKUP(OrganizedData[[#This Row],[Product Code]],ProductData[],3,FALSE)</f>
        <v>1052.6400000000001</v>
      </c>
      <c r="R9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1021.0608000000001</v>
      </c>
    </row>
    <row r="947" spans="1:18" x14ac:dyDescent="0.3">
      <c r="A947" s="2">
        <v>940</v>
      </c>
      <c r="B947" s="2" t="s">
        <v>3198</v>
      </c>
      <c r="C947" s="2" t="s">
        <v>1923</v>
      </c>
      <c r="D947" s="2" t="s">
        <v>15</v>
      </c>
      <c r="E947" s="2" t="s">
        <v>16</v>
      </c>
      <c r="F947" s="2">
        <v>60</v>
      </c>
      <c r="G947" s="2" t="s">
        <v>3199</v>
      </c>
      <c r="H947" s="2" t="s">
        <v>3200</v>
      </c>
      <c r="I947" s="2" t="s">
        <v>32</v>
      </c>
      <c r="J947" s="3">
        <v>44385</v>
      </c>
      <c r="K947" s="5">
        <f>YEAR(OrganizedData[[#This Row],[Order Date]])</f>
        <v>2021</v>
      </c>
      <c r="L947" s="7" t="str">
        <f>TEXT(OrganizedData[[#This Row],[Order Date]],"mmm")</f>
        <v>Jul</v>
      </c>
      <c r="M947" s="2">
        <v>34</v>
      </c>
      <c r="N947" s="2" t="s">
        <v>33</v>
      </c>
      <c r="O947" s="2" t="str">
        <f>VLOOKUP(OrganizedData[[#This Row],[Product Code]],ProductData[[Code]:[Item]],2,FALSE)</f>
        <v>Megawidget L</v>
      </c>
      <c r="P947" s="4">
        <f>OrganizedData[[#This Row],[Quantity]]*VLOOKUP(OrganizedData[[#This Row],[Product Code]],ProductData[],4,FALSE)</f>
        <v>816</v>
      </c>
      <c r="Q947" s="6">
        <f>OrganizedData[[#This Row],[Total Items Ordered]]*VLOOKUP(OrganizedData[[#This Row],[Product Code]],ProductData[],3,FALSE)</f>
        <v>1460.64</v>
      </c>
      <c r="R9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1416.8208</v>
      </c>
    </row>
    <row r="948" spans="1:18" x14ac:dyDescent="0.3">
      <c r="A948" s="2">
        <v>941</v>
      </c>
      <c r="B948" s="2" t="s">
        <v>1058</v>
      </c>
      <c r="C948" s="2" t="s">
        <v>3201</v>
      </c>
      <c r="D948" s="2" t="s">
        <v>28</v>
      </c>
      <c r="E948" s="2" t="s">
        <v>29</v>
      </c>
      <c r="F948" s="2">
        <v>90</v>
      </c>
      <c r="G948" s="2" t="s">
        <v>3202</v>
      </c>
      <c r="H948" s="2" t="s">
        <v>3203</v>
      </c>
      <c r="I948" s="2" t="s">
        <v>32</v>
      </c>
      <c r="J948" s="3">
        <v>44620</v>
      </c>
      <c r="K948" s="5">
        <f>YEAR(OrganizedData[[#This Row],[Order Date]])</f>
        <v>2022</v>
      </c>
      <c r="L948" s="7" t="str">
        <f>TEXT(OrganizedData[[#This Row],[Order Date]],"mmm")</f>
        <v>Feb</v>
      </c>
      <c r="M948" s="2">
        <v>75</v>
      </c>
      <c r="N948" s="2" t="s">
        <v>159</v>
      </c>
      <c r="O948" s="2" t="str">
        <f>VLOOKUP(OrganizedData[[#This Row],[Product Code]],ProductData[[Code]:[Item]],2,FALSE)</f>
        <v>Ultrathing V3</v>
      </c>
      <c r="P948" s="4">
        <f>OrganizedData[[#This Row],[Quantity]]*VLOOKUP(OrganizedData[[#This Row],[Product Code]],ProductData[],4,FALSE)</f>
        <v>1800</v>
      </c>
      <c r="Q948" s="6">
        <f>OrganizedData[[#This Row],[Total Items Ordered]]*VLOOKUP(OrganizedData[[#This Row],[Product Code]],ProductData[],3,FALSE)</f>
        <v>6102</v>
      </c>
      <c r="R9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949" spans="1:18" x14ac:dyDescent="0.3">
      <c r="A949" s="2">
        <v>942</v>
      </c>
      <c r="B949" s="2" t="s">
        <v>3204</v>
      </c>
      <c r="C949" s="2" t="s">
        <v>2064</v>
      </c>
      <c r="D949" s="2" t="s">
        <v>28</v>
      </c>
      <c r="E949" s="2" t="s">
        <v>29</v>
      </c>
      <c r="F949" s="2">
        <v>90</v>
      </c>
      <c r="G949" s="2" t="s">
        <v>3205</v>
      </c>
      <c r="H949" s="2" t="s">
        <v>3206</v>
      </c>
      <c r="I949" s="2" t="s">
        <v>1199</v>
      </c>
      <c r="J949" s="3">
        <v>44775</v>
      </c>
      <c r="K949" s="5">
        <f>YEAR(OrganizedData[[#This Row],[Order Date]])</f>
        <v>2022</v>
      </c>
      <c r="L949" s="7" t="str">
        <f>TEXT(OrganizedData[[#This Row],[Order Date]],"mmm")</f>
        <v>Aug</v>
      </c>
      <c r="M949" s="2">
        <v>73</v>
      </c>
      <c r="N949" s="2" t="s">
        <v>70</v>
      </c>
      <c r="O949" s="2" t="str">
        <f>VLOOKUP(OrganizedData[[#This Row],[Product Code]],ProductData[[Code]:[Item]],2,FALSE)</f>
        <v>Megawidget M</v>
      </c>
      <c r="P949" s="4">
        <f>OrganizedData[[#This Row],[Quantity]]*VLOOKUP(OrganizedData[[#This Row],[Product Code]],ProductData[],4,FALSE)</f>
        <v>1752</v>
      </c>
      <c r="Q949" s="6">
        <f>OrganizedData[[#This Row],[Total Items Ordered]]*VLOOKUP(OrganizedData[[#This Row],[Product Code]],ProductData[],3,FALSE)</f>
        <v>2260.08</v>
      </c>
      <c r="R9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950" spans="1:18" x14ac:dyDescent="0.3">
      <c r="A950" s="2">
        <v>943</v>
      </c>
      <c r="B950" s="2" t="s">
        <v>1909</v>
      </c>
      <c r="C950" s="2" t="s">
        <v>2866</v>
      </c>
      <c r="D950" s="2" t="s">
        <v>28</v>
      </c>
      <c r="E950" s="2" t="s">
        <v>29</v>
      </c>
      <c r="F950" s="2">
        <v>90</v>
      </c>
      <c r="G950" s="2" t="s">
        <v>3207</v>
      </c>
      <c r="H950" s="2" t="s">
        <v>3208</v>
      </c>
      <c r="I950" s="2" t="s">
        <v>32</v>
      </c>
      <c r="J950" s="3">
        <v>44907</v>
      </c>
      <c r="K950" s="5">
        <f>YEAR(OrganizedData[[#This Row],[Order Date]])</f>
        <v>2022</v>
      </c>
      <c r="L950" s="7" t="str">
        <f>TEXT(OrganizedData[[#This Row],[Order Date]],"mmm")</f>
        <v>Dec</v>
      </c>
      <c r="M950" s="2">
        <v>95</v>
      </c>
      <c r="N950" s="2" t="s">
        <v>20</v>
      </c>
      <c r="O950" s="2" t="str">
        <f>VLOOKUP(OrganizedData[[#This Row],[Product Code]],ProductData[[Code]:[Item]],2,FALSE)</f>
        <v>Hyperwotsit</v>
      </c>
      <c r="P950" s="4">
        <f>OrganizedData[[#This Row],[Quantity]]*VLOOKUP(OrganizedData[[#This Row],[Product Code]],ProductData[],4,FALSE)</f>
        <v>1900</v>
      </c>
      <c r="Q950" s="6">
        <f>OrganizedData[[#This Row],[Total Items Ordered]]*VLOOKUP(OrganizedData[[#This Row],[Product Code]],ProductData[],3,FALSE)</f>
        <v>3818.9999999999995</v>
      </c>
      <c r="R9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3628.0499999999993</v>
      </c>
    </row>
    <row r="951" spans="1:18" x14ac:dyDescent="0.3">
      <c r="A951" s="2">
        <v>944</v>
      </c>
      <c r="B951" s="2" t="s">
        <v>3209</v>
      </c>
      <c r="C951" s="2" t="s">
        <v>3210</v>
      </c>
      <c r="D951" s="2" t="s">
        <v>15</v>
      </c>
      <c r="E951" s="2" t="s">
        <v>16</v>
      </c>
      <c r="F951" s="2">
        <v>60</v>
      </c>
      <c r="G951" s="2" t="s">
        <v>3211</v>
      </c>
      <c r="H951" s="2" t="s">
        <v>3212</v>
      </c>
      <c r="I951" s="2" t="s">
        <v>25</v>
      </c>
      <c r="J951" s="3">
        <v>44071</v>
      </c>
      <c r="K951" s="5">
        <f>YEAR(OrganizedData[[#This Row],[Order Date]])</f>
        <v>2020</v>
      </c>
      <c r="L951" s="7" t="str">
        <f>TEXT(OrganizedData[[#This Row],[Order Date]],"mmm")</f>
        <v>Aug</v>
      </c>
      <c r="M951" s="2">
        <v>82</v>
      </c>
      <c r="N951" s="2" t="s">
        <v>80</v>
      </c>
      <c r="O951" s="2" t="str">
        <f>VLOOKUP(OrganizedData[[#This Row],[Product Code]],ProductData[[Code]:[Item]],2,FALSE)</f>
        <v>Ultrathing V2</v>
      </c>
      <c r="P951" s="4">
        <f>OrganizedData[[#This Row],[Quantity]]*VLOOKUP(OrganizedData[[#This Row],[Product Code]],ProductData[],4,FALSE)</f>
        <v>1640</v>
      </c>
      <c r="Q951" s="6">
        <f>OrganizedData[[#This Row],[Total Items Ordered]]*VLOOKUP(OrganizedData[[#This Row],[Product Code]],ProductData[],3,FALSE)</f>
        <v>4838</v>
      </c>
      <c r="R9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4596.0999999999995</v>
      </c>
    </row>
    <row r="952" spans="1:18" x14ac:dyDescent="0.3">
      <c r="A952" s="2">
        <v>945</v>
      </c>
      <c r="B952" s="2" t="s">
        <v>3213</v>
      </c>
      <c r="C952" s="2" t="s">
        <v>2496</v>
      </c>
      <c r="D952" s="2" t="s">
        <v>15</v>
      </c>
      <c r="E952" s="2" t="s">
        <v>16</v>
      </c>
      <c r="F952" s="2">
        <v>60</v>
      </c>
      <c r="G952" s="2" t="s">
        <v>3214</v>
      </c>
      <c r="H952" s="2" t="s">
        <v>3215</v>
      </c>
      <c r="I952" s="2" t="s">
        <v>32</v>
      </c>
      <c r="J952" s="3">
        <v>44580</v>
      </c>
      <c r="K952" s="5">
        <f>YEAR(OrganizedData[[#This Row],[Order Date]])</f>
        <v>2022</v>
      </c>
      <c r="L952" s="7" t="str">
        <f>TEXT(OrganizedData[[#This Row],[Order Date]],"mmm")</f>
        <v>Jan</v>
      </c>
      <c r="M952" s="2">
        <v>73</v>
      </c>
      <c r="N952" s="2" t="s">
        <v>39</v>
      </c>
      <c r="O952" s="2" t="str">
        <f>VLOOKUP(OrganizedData[[#This Row],[Product Code]],ProductData[[Code]:[Item]],2,FALSE)</f>
        <v>Ultrathing V1</v>
      </c>
      <c r="P952" s="4">
        <f>OrganizedData[[#This Row],[Quantity]]*VLOOKUP(OrganizedData[[#This Row],[Product Code]],ProductData[],4,FALSE)</f>
        <v>1241</v>
      </c>
      <c r="Q952" s="6">
        <f>OrganizedData[[#This Row],[Total Items Ordered]]*VLOOKUP(OrganizedData[[#This Row],[Product Code]],ProductData[],3,FALSE)</f>
        <v>2221.39</v>
      </c>
      <c r="R9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953" spans="1:18" x14ac:dyDescent="0.3">
      <c r="A953" s="2">
        <v>946</v>
      </c>
      <c r="B953" s="2" t="s">
        <v>3216</v>
      </c>
      <c r="C953" s="2" t="s">
        <v>3217</v>
      </c>
      <c r="D953" s="2" t="s">
        <v>28</v>
      </c>
      <c r="E953" s="2" t="s">
        <v>29</v>
      </c>
      <c r="F953" s="2">
        <v>90</v>
      </c>
      <c r="G953" s="2" t="s">
        <v>3218</v>
      </c>
      <c r="H953" s="2" t="s">
        <v>3219</v>
      </c>
      <c r="I953" s="2" t="s">
        <v>3220</v>
      </c>
      <c r="J953" s="3">
        <v>44000</v>
      </c>
      <c r="K953" s="5">
        <f>YEAR(OrganizedData[[#This Row],[Order Date]])</f>
        <v>2020</v>
      </c>
      <c r="L953" s="7" t="str">
        <f>TEXT(OrganizedData[[#This Row],[Order Date]],"mmm")</f>
        <v>Jun</v>
      </c>
      <c r="M953" s="2">
        <v>33</v>
      </c>
      <c r="N953" s="2" t="s">
        <v>39</v>
      </c>
      <c r="O953" s="2" t="str">
        <f>VLOOKUP(OrganizedData[[#This Row],[Product Code]],ProductData[[Code]:[Item]],2,FALSE)</f>
        <v>Ultrathing V1</v>
      </c>
      <c r="P953" s="4">
        <f>OrganizedData[[#This Row],[Quantity]]*VLOOKUP(OrganizedData[[#This Row],[Product Code]],ProductData[],4,FALSE)</f>
        <v>561</v>
      </c>
      <c r="Q953" s="6">
        <f>OrganizedData[[#This Row],[Total Items Ordered]]*VLOOKUP(OrganizedData[[#This Row],[Product Code]],ProductData[],3,FALSE)</f>
        <v>1004.19</v>
      </c>
      <c r="R9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954" spans="1:18" x14ac:dyDescent="0.3">
      <c r="A954" s="2">
        <v>947</v>
      </c>
      <c r="B954" s="2" t="s">
        <v>3221</v>
      </c>
      <c r="C954" s="2" t="s">
        <v>3222</v>
      </c>
      <c r="D954" s="2" t="s">
        <v>15</v>
      </c>
      <c r="E954" s="2" t="s">
        <v>16</v>
      </c>
      <c r="F954" s="2">
        <v>90</v>
      </c>
      <c r="G954" s="2" t="s">
        <v>3223</v>
      </c>
      <c r="H954" s="2" t="s">
        <v>3224</v>
      </c>
      <c r="I954" s="2" t="s">
        <v>2022</v>
      </c>
      <c r="J954" s="3">
        <v>44825</v>
      </c>
      <c r="K954" s="5">
        <f>YEAR(OrganizedData[[#This Row],[Order Date]])</f>
        <v>2022</v>
      </c>
      <c r="L954" s="7" t="str">
        <f>TEXT(OrganizedData[[#This Row],[Order Date]],"mmm")</f>
        <v>Sep</v>
      </c>
      <c r="M954" s="2">
        <v>99</v>
      </c>
      <c r="N954" s="2" t="s">
        <v>39</v>
      </c>
      <c r="O954" s="2" t="str">
        <f>VLOOKUP(OrganizedData[[#This Row],[Product Code]],ProductData[[Code]:[Item]],2,FALSE)</f>
        <v>Ultrathing V1</v>
      </c>
      <c r="P954" s="4">
        <f>OrganizedData[[#This Row],[Quantity]]*VLOOKUP(OrganizedData[[#This Row],[Product Code]],ProductData[],4,FALSE)</f>
        <v>1683</v>
      </c>
      <c r="Q954" s="6">
        <f>OrganizedData[[#This Row],[Total Items Ordered]]*VLOOKUP(OrganizedData[[#This Row],[Product Code]],ProductData[],3,FALSE)</f>
        <v>3012.57</v>
      </c>
      <c r="R9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2861.9414999999999</v>
      </c>
    </row>
    <row r="955" spans="1:18" x14ac:dyDescent="0.3">
      <c r="A955" s="2">
        <v>948</v>
      </c>
      <c r="B955" s="2" t="s">
        <v>3225</v>
      </c>
      <c r="C955" s="2" t="s">
        <v>3226</v>
      </c>
      <c r="D955" s="2" t="s">
        <v>15</v>
      </c>
      <c r="E955" s="2" t="s">
        <v>16</v>
      </c>
      <c r="F955" s="2">
        <v>90</v>
      </c>
      <c r="G955" s="2" t="s">
        <v>3227</v>
      </c>
      <c r="H955" s="2" t="s">
        <v>3228</v>
      </c>
      <c r="I955" s="2" t="s">
        <v>294</v>
      </c>
      <c r="J955" s="3">
        <v>44821</v>
      </c>
      <c r="K955" s="5">
        <f>YEAR(OrganizedData[[#This Row],[Order Date]])</f>
        <v>2022</v>
      </c>
      <c r="L955" s="7" t="str">
        <f>TEXT(OrganizedData[[#This Row],[Order Date]],"mmm")</f>
        <v>Sep</v>
      </c>
      <c r="M955" s="2">
        <v>94</v>
      </c>
      <c r="N955" s="2" t="s">
        <v>45</v>
      </c>
      <c r="O955" s="2" t="str">
        <f>VLOOKUP(OrganizedData[[#This Row],[Product Code]],ProductData[[Code]:[Item]],2,FALSE)</f>
        <v>Gigastuff</v>
      </c>
      <c r="P955" s="4">
        <f>OrganizedData[[#This Row],[Quantity]]*VLOOKUP(OrganizedData[[#This Row],[Product Code]],ProductData[],4,FALSE)</f>
        <v>1692</v>
      </c>
      <c r="Q955" s="6">
        <f>OrganizedData[[#This Row],[Total Items Ordered]]*VLOOKUP(OrganizedData[[#This Row],[Product Code]],ProductData[],3,FALSE)</f>
        <v>3197.8799999999997</v>
      </c>
      <c r="R9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3037.9859999999994</v>
      </c>
    </row>
    <row r="956" spans="1:18" x14ac:dyDescent="0.3">
      <c r="A956" s="2">
        <v>949</v>
      </c>
      <c r="B956" s="2" t="s">
        <v>1140</v>
      </c>
      <c r="C956" s="2" t="s">
        <v>1219</v>
      </c>
      <c r="D956" s="2" t="s">
        <v>28</v>
      </c>
      <c r="E956" s="2" t="s">
        <v>29</v>
      </c>
      <c r="F956" s="2">
        <v>90</v>
      </c>
      <c r="G956" s="2" t="s">
        <v>3229</v>
      </c>
      <c r="H956" s="2" t="s">
        <v>510</v>
      </c>
      <c r="I956" s="2" t="s">
        <v>32</v>
      </c>
      <c r="J956" s="3">
        <v>43904</v>
      </c>
      <c r="K956" s="5">
        <f>YEAR(OrganizedData[[#This Row],[Order Date]])</f>
        <v>2020</v>
      </c>
      <c r="L956" s="7" t="str">
        <f>TEXT(OrganizedData[[#This Row],[Order Date]],"mmm")</f>
        <v>Mar</v>
      </c>
      <c r="M956" s="2">
        <v>4</v>
      </c>
      <c r="N956" s="2" t="s">
        <v>64</v>
      </c>
      <c r="O956" s="2" t="str">
        <f>VLOOKUP(OrganizedData[[#This Row],[Product Code]],ProductData[[Code]:[Item]],2,FALSE)</f>
        <v>Ultrathing V4</v>
      </c>
      <c r="P956" s="4">
        <f>OrganizedData[[#This Row],[Quantity]]*VLOOKUP(OrganizedData[[#This Row],[Product Code]],ProductData[],4,FALSE)</f>
        <v>96</v>
      </c>
      <c r="Q956" s="6">
        <f>OrganizedData[[#This Row],[Total Items Ordered]]*VLOOKUP(OrganizedData[[#This Row],[Product Code]],ProductData[],3,FALSE)</f>
        <v>383.04</v>
      </c>
      <c r="R9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957" spans="1:18" x14ac:dyDescent="0.3">
      <c r="A957" s="2">
        <v>950</v>
      </c>
      <c r="B957" s="2" t="s">
        <v>3230</v>
      </c>
      <c r="C957" s="2" t="s">
        <v>2355</v>
      </c>
      <c r="D957" s="2" t="s">
        <v>41</v>
      </c>
      <c r="E957" s="2" t="s">
        <v>16</v>
      </c>
      <c r="F957" s="2">
        <v>90</v>
      </c>
      <c r="G957" s="2" t="s">
        <v>3231</v>
      </c>
      <c r="H957" s="2" t="s">
        <v>1430</v>
      </c>
      <c r="I957" s="2" t="s">
        <v>32</v>
      </c>
      <c r="J957" s="3">
        <v>44706</v>
      </c>
      <c r="K957" s="5">
        <f>YEAR(OrganizedData[[#This Row],[Order Date]])</f>
        <v>2022</v>
      </c>
      <c r="L957" s="7" t="str">
        <f>TEXT(OrganizedData[[#This Row],[Order Date]],"mmm")</f>
        <v>May</v>
      </c>
      <c r="M957" s="2">
        <v>85</v>
      </c>
      <c r="N957" s="2" t="s">
        <v>39</v>
      </c>
      <c r="O957" s="2" t="str">
        <f>VLOOKUP(OrganizedData[[#This Row],[Product Code]],ProductData[[Code]:[Item]],2,FALSE)</f>
        <v>Ultrathing V1</v>
      </c>
      <c r="P957" s="4">
        <f>OrganizedData[[#This Row],[Quantity]]*VLOOKUP(OrganizedData[[#This Row],[Product Code]],ProductData[],4,FALSE)</f>
        <v>1445</v>
      </c>
      <c r="Q957" s="6">
        <f>OrganizedData[[#This Row],[Total Items Ordered]]*VLOOKUP(OrganizedData[[#This Row],[Product Code]],ProductData[],3,FALSE)</f>
        <v>2586.5500000000002</v>
      </c>
      <c r="R9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958" spans="1:18" x14ac:dyDescent="0.3">
      <c r="A958" s="2">
        <v>951</v>
      </c>
      <c r="B958" s="2" t="s">
        <v>3232</v>
      </c>
      <c r="C958" s="2" t="s">
        <v>1013</v>
      </c>
      <c r="D958" s="2" t="s">
        <v>28</v>
      </c>
      <c r="E958" s="2" t="s">
        <v>29</v>
      </c>
      <c r="F958" s="2">
        <v>60</v>
      </c>
      <c r="G958" s="2" t="s">
        <v>3233</v>
      </c>
      <c r="H958" s="2" t="s">
        <v>3234</v>
      </c>
      <c r="I958" s="2" t="s">
        <v>25</v>
      </c>
      <c r="J958" s="3">
        <v>44724</v>
      </c>
      <c r="K958" s="5">
        <f>YEAR(OrganizedData[[#This Row],[Order Date]])</f>
        <v>2022</v>
      </c>
      <c r="L958" s="7" t="str">
        <f>TEXT(OrganizedData[[#This Row],[Order Date]],"mmm")</f>
        <v>Jun</v>
      </c>
      <c r="M958" s="2">
        <v>26</v>
      </c>
      <c r="N958" s="2" t="s">
        <v>64</v>
      </c>
      <c r="O958" s="2" t="str">
        <f>VLOOKUP(OrganizedData[[#This Row],[Product Code]],ProductData[[Code]:[Item]],2,FALSE)</f>
        <v>Ultrathing V4</v>
      </c>
      <c r="P958" s="4">
        <f>OrganizedData[[#This Row],[Quantity]]*VLOOKUP(OrganizedData[[#This Row],[Product Code]],ProductData[],4,FALSE)</f>
        <v>624</v>
      </c>
      <c r="Q958" s="6">
        <f>OrganizedData[[#This Row],[Total Items Ordered]]*VLOOKUP(OrganizedData[[#This Row],[Product Code]],ProductData[],3,FALSE)</f>
        <v>2489.7600000000002</v>
      </c>
      <c r="R9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959" spans="1:18" x14ac:dyDescent="0.3">
      <c r="A959" s="2">
        <v>952</v>
      </c>
      <c r="B959" s="2" t="s">
        <v>3235</v>
      </c>
      <c r="C959" s="2" t="s">
        <v>2815</v>
      </c>
      <c r="D959" s="2" t="s">
        <v>15</v>
      </c>
      <c r="E959" s="2" t="s">
        <v>16</v>
      </c>
      <c r="F959" s="2">
        <v>60</v>
      </c>
      <c r="G959" s="2" t="s">
        <v>3233</v>
      </c>
      <c r="H959" s="2" t="s">
        <v>3236</v>
      </c>
      <c r="I959" s="2" t="s">
        <v>32</v>
      </c>
      <c r="J959" s="3">
        <v>44074</v>
      </c>
      <c r="K959" s="5">
        <f>YEAR(OrganizedData[[#This Row],[Order Date]])</f>
        <v>2020</v>
      </c>
      <c r="L959" s="7" t="str">
        <f>TEXT(OrganizedData[[#This Row],[Order Date]],"mmm")</f>
        <v>Aug</v>
      </c>
      <c r="M959" s="2">
        <v>82</v>
      </c>
      <c r="N959" s="2" t="s">
        <v>80</v>
      </c>
      <c r="O959" s="2" t="str">
        <f>VLOOKUP(OrganizedData[[#This Row],[Product Code]],ProductData[[Code]:[Item]],2,FALSE)</f>
        <v>Ultrathing V2</v>
      </c>
      <c r="P959" s="4">
        <f>OrganizedData[[#This Row],[Quantity]]*VLOOKUP(OrganizedData[[#This Row],[Product Code]],ProductData[],4,FALSE)</f>
        <v>1640</v>
      </c>
      <c r="Q959" s="6">
        <f>OrganizedData[[#This Row],[Total Items Ordered]]*VLOOKUP(OrganizedData[[#This Row],[Product Code]],ProductData[],3,FALSE)</f>
        <v>4838</v>
      </c>
      <c r="R9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4596.0999999999995</v>
      </c>
    </row>
    <row r="960" spans="1:18" x14ac:dyDescent="0.3">
      <c r="A960" s="2">
        <v>953</v>
      </c>
      <c r="B960" s="2" t="s">
        <v>1445</v>
      </c>
      <c r="C960" s="2" t="s">
        <v>2575</v>
      </c>
      <c r="D960" s="2" t="s">
        <v>28</v>
      </c>
      <c r="E960" s="2" t="s">
        <v>29</v>
      </c>
      <c r="F960" s="2">
        <v>90</v>
      </c>
      <c r="G960" s="2" t="s">
        <v>3237</v>
      </c>
      <c r="H960" s="2" t="s">
        <v>3238</v>
      </c>
      <c r="I960" s="2" t="s">
        <v>173</v>
      </c>
      <c r="J960" s="3">
        <v>44826</v>
      </c>
      <c r="K960" s="5">
        <f>YEAR(OrganizedData[[#This Row],[Order Date]])</f>
        <v>2022</v>
      </c>
      <c r="L960" s="7" t="str">
        <f>TEXT(OrganizedData[[#This Row],[Order Date]],"mmm")</f>
        <v>Sep</v>
      </c>
      <c r="M960" s="2">
        <v>95</v>
      </c>
      <c r="N960" s="2" t="s">
        <v>64</v>
      </c>
      <c r="O960" s="2" t="str">
        <f>VLOOKUP(OrganizedData[[#This Row],[Product Code]],ProductData[[Code]:[Item]],2,FALSE)</f>
        <v>Ultrathing V4</v>
      </c>
      <c r="P960" s="4">
        <f>OrganizedData[[#This Row],[Quantity]]*VLOOKUP(OrganizedData[[#This Row],[Product Code]],ProductData[],4,FALSE)</f>
        <v>2280</v>
      </c>
      <c r="Q960" s="6">
        <f>OrganizedData[[#This Row],[Total Items Ordered]]*VLOOKUP(OrganizedData[[#This Row],[Product Code]],ProductData[],3,FALSE)</f>
        <v>9097.2000000000007</v>
      </c>
      <c r="R9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8642.34</v>
      </c>
    </row>
    <row r="961" spans="1:18" x14ac:dyDescent="0.3">
      <c r="A961" s="2">
        <v>954</v>
      </c>
      <c r="B961" s="2" t="s">
        <v>964</v>
      </c>
      <c r="C961" s="2" t="s">
        <v>438</v>
      </c>
      <c r="D961" s="2" t="s">
        <v>28</v>
      </c>
      <c r="E961" s="2" t="s">
        <v>29</v>
      </c>
      <c r="F961" s="2">
        <v>30</v>
      </c>
      <c r="G961" s="2" t="s">
        <v>3239</v>
      </c>
      <c r="H961" s="2" t="s">
        <v>3240</v>
      </c>
      <c r="I961" s="2" t="s">
        <v>187</v>
      </c>
      <c r="J961" s="3">
        <v>44210</v>
      </c>
      <c r="K961" s="5">
        <f>YEAR(OrganizedData[[#This Row],[Order Date]])</f>
        <v>2021</v>
      </c>
      <c r="L961" s="7" t="str">
        <f>TEXT(OrganizedData[[#This Row],[Order Date]],"mmm")</f>
        <v>Jan</v>
      </c>
      <c r="M961" s="2">
        <v>23</v>
      </c>
      <c r="N961" s="2" t="s">
        <v>70</v>
      </c>
      <c r="O961" s="2" t="str">
        <f>VLOOKUP(OrganizedData[[#This Row],[Product Code]],ProductData[[Code]:[Item]],2,FALSE)</f>
        <v>Megawidget M</v>
      </c>
      <c r="P961" s="4">
        <f>OrganizedData[[#This Row],[Quantity]]*VLOOKUP(OrganizedData[[#This Row],[Product Code]],ProductData[],4,FALSE)</f>
        <v>552</v>
      </c>
      <c r="Q961" s="6">
        <f>OrganizedData[[#This Row],[Total Items Ordered]]*VLOOKUP(OrganizedData[[#This Row],[Product Code]],ProductData[],3,FALSE)</f>
        <v>712.08</v>
      </c>
      <c r="R9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962" spans="1:18" x14ac:dyDescent="0.3">
      <c r="A962" s="2">
        <v>955</v>
      </c>
      <c r="B962" s="2" t="s">
        <v>209</v>
      </c>
      <c r="C962" s="2" t="s">
        <v>605</v>
      </c>
      <c r="D962" s="2" t="s">
        <v>28</v>
      </c>
      <c r="E962" s="2" t="s">
        <v>29</v>
      </c>
      <c r="F962" s="2">
        <v>60</v>
      </c>
      <c r="G962" s="2" t="s">
        <v>3241</v>
      </c>
      <c r="H962" s="2" t="s">
        <v>3242</v>
      </c>
      <c r="I962" s="2" t="s">
        <v>32</v>
      </c>
      <c r="J962" s="3">
        <v>44371</v>
      </c>
      <c r="K962" s="5">
        <f>YEAR(OrganizedData[[#This Row],[Order Date]])</f>
        <v>2021</v>
      </c>
      <c r="L962" s="7" t="str">
        <f>TEXT(OrganizedData[[#This Row],[Order Date]],"mmm")</f>
        <v>Jun</v>
      </c>
      <c r="M962" s="2">
        <v>32</v>
      </c>
      <c r="N962" s="2" t="s">
        <v>45</v>
      </c>
      <c r="O962" s="2" t="str">
        <f>VLOOKUP(OrganizedData[[#This Row],[Product Code]],ProductData[[Code]:[Item]],2,FALSE)</f>
        <v>Gigastuff</v>
      </c>
      <c r="P962" s="4">
        <f>OrganizedData[[#This Row],[Quantity]]*VLOOKUP(OrganizedData[[#This Row],[Product Code]],ProductData[],4,FALSE)</f>
        <v>576</v>
      </c>
      <c r="Q962" s="6">
        <f>OrganizedData[[#This Row],[Total Items Ordered]]*VLOOKUP(OrganizedData[[#This Row],[Product Code]],ProductData[],3,FALSE)</f>
        <v>1088.6399999999999</v>
      </c>
      <c r="R9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963" spans="1:18" x14ac:dyDescent="0.3">
      <c r="A963" s="2">
        <v>956</v>
      </c>
      <c r="B963" s="2" t="s">
        <v>3243</v>
      </c>
      <c r="C963" s="2" t="s">
        <v>1685</v>
      </c>
      <c r="D963" s="2" t="s">
        <v>28</v>
      </c>
      <c r="E963" s="2" t="s">
        <v>29</v>
      </c>
      <c r="F963" s="2">
        <v>60</v>
      </c>
      <c r="G963" s="2" t="s">
        <v>3244</v>
      </c>
      <c r="H963" s="2" t="s">
        <v>3245</v>
      </c>
      <c r="I963" s="2" t="s">
        <v>32</v>
      </c>
      <c r="J963" s="3">
        <v>44501</v>
      </c>
      <c r="K963" s="5">
        <f>YEAR(OrganizedData[[#This Row],[Order Date]])</f>
        <v>2021</v>
      </c>
      <c r="L963" s="7" t="str">
        <f>TEXT(OrganizedData[[#This Row],[Order Date]],"mmm")</f>
        <v>Nov</v>
      </c>
      <c r="M963" s="2">
        <v>82</v>
      </c>
      <c r="N963" s="2" t="s">
        <v>39</v>
      </c>
      <c r="O963" s="2" t="str">
        <f>VLOOKUP(OrganizedData[[#This Row],[Product Code]],ProductData[[Code]:[Item]],2,FALSE)</f>
        <v>Ultrathing V1</v>
      </c>
      <c r="P963" s="4">
        <f>OrganizedData[[#This Row],[Quantity]]*VLOOKUP(OrganizedData[[#This Row],[Product Code]],ProductData[],4,FALSE)</f>
        <v>1394</v>
      </c>
      <c r="Q963" s="6">
        <f>OrganizedData[[#This Row],[Total Items Ordered]]*VLOOKUP(OrganizedData[[#This Row],[Product Code]],ProductData[],3,FALSE)</f>
        <v>2495.2600000000002</v>
      </c>
      <c r="R9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2370.4970000000003</v>
      </c>
    </row>
    <row r="964" spans="1:18" x14ac:dyDescent="0.3">
      <c r="A964" s="2">
        <v>957</v>
      </c>
      <c r="B964" s="2" t="s">
        <v>3246</v>
      </c>
      <c r="C964" s="2" t="s">
        <v>1994</v>
      </c>
      <c r="D964" s="2" t="s">
        <v>28</v>
      </c>
      <c r="E964" s="2" t="s">
        <v>29</v>
      </c>
      <c r="F964" s="2">
        <v>30</v>
      </c>
      <c r="G964" s="2" t="s">
        <v>3247</v>
      </c>
      <c r="H964" s="2" t="s">
        <v>3248</v>
      </c>
      <c r="I964" s="2" t="s">
        <v>38</v>
      </c>
      <c r="J964" s="3">
        <v>44556</v>
      </c>
      <c r="K964" s="5">
        <f>YEAR(OrganizedData[[#This Row],[Order Date]])</f>
        <v>2021</v>
      </c>
      <c r="L964" s="7" t="str">
        <f>TEXT(OrganizedData[[#This Row],[Order Date]],"mmm")</f>
        <v>Dec</v>
      </c>
      <c r="M964" s="2">
        <v>67</v>
      </c>
      <c r="N964" s="2" t="s">
        <v>64</v>
      </c>
      <c r="O964" s="2" t="str">
        <f>VLOOKUP(OrganizedData[[#This Row],[Product Code]],ProductData[[Code]:[Item]],2,FALSE)</f>
        <v>Ultrathing V4</v>
      </c>
      <c r="P964" s="4">
        <f>OrganizedData[[#This Row],[Quantity]]*VLOOKUP(OrganizedData[[#This Row],[Product Code]],ProductData[],4,FALSE)</f>
        <v>1608</v>
      </c>
      <c r="Q964" s="6">
        <f>OrganizedData[[#This Row],[Total Items Ordered]]*VLOOKUP(OrganizedData[[#This Row],[Product Code]],ProductData[],3,FALSE)</f>
        <v>6415.92</v>
      </c>
      <c r="R9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6095.1239999999998</v>
      </c>
    </row>
    <row r="965" spans="1:18" x14ac:dyDescent="0.3">
      <c r="A965" s="2">
        <v>958</v>
      </c>
      <c r="B965" s="2" t="s">
        <v>267</v>
      </c>
      <c r="C965" s="2" t="s">
        <v>1721</v>
      </c>
      <c r="D965" s="2" t="s">
        <v>28</v>
      </c>
      <c r="E965" s="2" t="s">
        <v>29</v>
      </c>
      <c r="F965" s="2">
        <v>90</v>
      </c>
      <c r="G965" s="2" t="s">
        <v>3249</v>
      </c>
      <c r="H965" s="2" t="s">
        <v>3250</v>
      </c>
      <c r="I965" s="2" t="s">
        <v>32</v>
      </c>
      <c r="J965" s="3">
        <v>44057</v>
      </c>
      <c r="K965" s="5">
        <f>YEAR(OrganizedData[[#This Row],[Order Date]])</f>
        <v>2020</v>
      </c>
      <c r="L965" s="7" t="str">
        <f>TEXT(OrganizedData[[#This Row],[Order Date]],"mmm")</f>
        <v>Aug</v>
      </c>
      <c r="M965" s="2">
        <v>38</v>
      </c>
      <c r="N965" s="2" t="s">
        <v>54</v>
      </c>
      <c r="O965" s="2" t="str">
        <f>VLOOKUP(OrganizedData[[#This Row],[Product Code]],ProductData[[Code]:[Item]],2,FALSE)</f>
        <v>Megawidget S</v>
      </c>
      <c r="P965" s="4">
        <f>OrganizedData[[#This Row],[Quantity]]*VLOOKUP(OrganizedData[[#This Row],[Product Code]],ProductData[],4,FALSE)</f>
        <v>912</v>
      </c>
      <c r="Q965" s="6">
        <f>OrganizedData[[#This Row],[Total Items Ordered]]*VLOOKUP(OrganizedData[[#This Row],[Product Code]],ProductData[],3,FALSE)</f>
        <v>629.28</v>
      </c>
      <c r="R9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610.40159999999992</v>
      </c>
    </row>
    <row r="966" spans="1:18" x14ac:dyDescent="0.3">
      <c r="A966" s="2">
        <v>959</v>
      </c>
      <c r="B966" s="2" t="s">
        <v>375</v>
      </c>
      <c r="C966" s="2" t="s">
        <v>3251</v>
      </c>
      <c r="D966" s="2" t="s">
        <v>28</v>
      </c>
      <c r="E966" s="2" t="s">
        <v>29</v>
      </c>
      <c r="F966" s="2">
        <v>90</v>
      </c>
      <c r="G966" s="2" t="s">
        <v>3252</v>
      </c>
      <c r="H966" s="2" t="s">
        <v>1751</v>
      </c>
      <c r="I966" s="2" t="s">
        <v>32</v>
      </c>
      <c r="J966" s="3">
        <v>44502</v>
      </c>
      <c r="K966" s="5">
        <f>YEAR(OrganizedData[[#This Row],[Order Date]])</f>
        <v>2021</v>
      </c>
      <c r="L966" s="7" t="str">
        <f>TEXT(OrganizedData[[#This Row],[Order Date]],"mmm")</f>
        <v>Nov</v>
      </c>
      <c r="M966" s="2">
        <v>77</v>
      </c>
      <c r="N966" s="2" t="s">
        <v>45</v>
      </c>
      <c r="O966" s="2" t="str">
        <f>VLOOKUP(OrganizedData[[#This Row],[Product Code]],ProductData[[Code]:[Item]],2,FALSE)</f>
        <v>Gigastuff</v>
      </c>
      <c r="P966" s="4">
        <f>OrganizedData[[#This Row],[Quantity]]*VLOOKUP(OrganizedData[[#This Row],[Product Code]],ProductData[],4,FALSE)</f>
        <v>1386</v>
      </c>
      <c r="Q966" s="6">
        <f>OrganizedData[[#This Row],[Total Items Ordered]]*VLOOKUP(OrganizedData[[#This Row],[Product Code]],ProductData[],3,FALSE)</f>
        <v>2619.54</v>
      </c>
      <c r="R9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2488.5629999999996</v>
      </c>
    </row>
    <row r="967" spans="1:18" x14ac:dyDescent="0.3">
      <c r="A967" s="2">
        <v>960</v>
      </c>
      <c r="B967" s="2" t="s">
        <v>2984</v>
      </c>
      <c r="C967" s="2" t="s">
        <v>3253</v>
      </c>
      <c r="D967" s="2" t="s">
        <v>28</v>
      </c>
      <c r="E967" s="2" t="s">
        <v>29</v>
      </c>
      <c r="F967" s="2">
        <v>60</v>
      </c>
      <c r="G967" s="2" t="s">
        <v>3254</v>
      </c>
      <c r="H967" s="2" t="s">
        <v>2230</v>
      </c>
      <c r="I967" s="2" t="s">
        <v>32</v>
      </c>
      <c r="J967" s="3">
        <v>44765</v>
      </c>
      <c r="K967" s="5">
        <f>YEAR(OrganizedData[[#This Row],[Order Date]])</f>
        <v>2022</v>
      </c>
      <c r="L967" s="7" t="str">
        <f>TEXT(OrganizedData[[#This Row],[Order Date]],"mmm")</f>
        <v>Jul</v>
      </c>
      <c r="M967" s="2">
        <v>11</v>
      </c>
      <c r="N967" s="2" t="s">
        <v>70</v>
      </c>
      <c r="O967" s="2" t="str">
        <f>VLOOKUP(OrganizedData[[#This Row],[Product Code]],ProductData[[Code]:[Item]],2,FALSE)</f>
        <v>Megawidget M</v>
      </c>
      <c r="P967" s="4">
        <f>OrganizedData[[#This Row],[Quantity]]*VLOOKUP(OrganizedData[[#This Row],[Product Code]],ProductData[],4,FALSE)</f>
        <v>264</v>
      </c>
      <c r="Q967" s="6">
        <f>OrganizedData[[#This Row],[Total Items Ordered]]*VLOOKUP(OrganizedData[[#This Row],[Product Code]],ProductData[],3,FALSE)</f>
        <v>340.56</v>
      </c>
      <c r="R9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340.56</v>
      </c>
    </row>
    <row r="968" spans="1:18" x14ac:dyDescent="0.3">
      <c r="A968" s="2">
        <v>961</v>
      </c>
      <c r="B968" s="2" t="s">
        <v>507</v>
      </c>
      <c r="C968" s="2" t="s">
        <v>229</v>
      </c>
      <c r="D968" s="2" t="s">
        <v>28</v>
      </c>
      <c r="E968" s="2" t="s">
        <v>29</v>
      </c>
      <c r="F968" s="2">
        <v>60</v>
      </c>
      <c r="G968" s="2" t="s">
        <v>3255</v>
      </c>
      <c r="H968" s="2" t="s">
        <v>2804</v>
      </c>
      <c r="I968" s="2" t="s">
        <v>124</v>
      </c>
      <c r="J968" s="3">
        <v>44708</v>
      </c>
      <c r="K968" s="5">
        <f>YEAR(OrganizedData[[#This Row],[Order Date]])</f>
        <v>2022</v>
      </c>
      <c r="L968" s="7" t="str">
        <f>TEXT(OrganizedData[[#This Row],[Order Date]],"mmm")</f>
        <v>May</v>
      </c>
      <c r="M968" s="2">
        <v>101</v>
      </c>
      <c r="N968" s="2" t="s">
        <v>33</v>
      </c>
      <c r="O968" s="2" t="str">
        <f>VLOOKUP(OrganizedData[[#This Row],[Product Code]],ProductData[[Code]:[Item]],2,FALSE)</f>
        <v>Megawidget L</v>
      </c>
      <c r="P968" s="4">
        <f>OrganizedData[[#This Row],[Quantity]]*VLOOKUP(OrganizedData[[#This Row],[Product Code]],ProductData[],4,FALSE)</f>
        <v>2424</v>
      </c>
      <c r="Q968" s="6">
        <f>OrganizedData[[#This Row],[Total Items Ordered]]*VLOOKUP(OrganizedData[[#This Row],[Product Code]],ProductData[],3,FALSE)</f>
        <v>4338.96</v>
      </c>
      <c r="R9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4035.2328000000002</v>
      </c>
    </row>
    <row r="969" spans="1:18" x14ac:dyDescent="0.3">
      <c r="A969" s="2">
        <v>962</v>
      </c>
      <c r="B969" s="2" t="s">
        <v>3256</v>
      </c>
      <c r="C969" s="2" t="s">
        <v>138</v>
      </c>
      <c r="D969" s="2" t="s">
        <v>28</v>
      </c>
      <c r="E969" s="2" t="s">
        <v>29</v>
      </c>
      <c r="F969" s="2">
        <v>30</v>
      </c>
      <c r="G969" s="2" t="s">
        <v>3257</v>
      </c>
      <c r="H969" s="2" t="s">
        <v>3197</v>
      </c>
      <c r="I969" s="2" t="s">
        <v>32</v>
      </c>
      <c r="J969" s="3">
        <v>44315</v>
      </c>
      <c r="K969" s="5">
        <f>YEAR(OrganizedData[[#This Row],[Order Date]])</f>
        <v>2021</v>
      </c>
      <c r="L969" s="7" t="str">
        <f>TEXT(OrganizedData[[#This Row],[Order Date]],"mmm")</f>
        <v>Apr</v>
      </c>
      <c r="M969" s="2">
        <v>26</v>
      </c>
      <c r="N969" s="2" t="s">
        <v>33</v>
      </c>
      <c r="O969" s="2" t="str">
        <f>VLOOKUP(OrganizedData[[#This Row],[Product Code]],ProductData[[Code]:[Item]],2,FALSE)</f>
        <v>Megawidget L</v>
      </c>
      <c r="P969" s="4">
        <f>OrganizedData[[#This Row],[Quantity]]*VLOOKUP(OrganizedData[[#This Row],[Product Code]],ProductData[],4,FALSE)</f>
        <v>624</v>
      </c>
      <c r="Q969" s="6">
        <f>OrganizedData[[#This Row],[Total Items Ordered]]*VLOOKUP(OrganizedData[[#This Row],[Product Code]],ProductData[],3,FALSE)</f>
        <v>1116.96</v>
      </c>
      <c r="R9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1083.4512</v>
      </c>
    </row>
    <row r="970" spans="1:18" x14ac:dyDescent="0.3">
      <c r="A970" s="2">
        <v>963</v>
      </c>
      <c r="B970" s="2" t="s">
        <v>1200</v>
      </c>
      <c r="C970" s="2" t="s">
        <v>3258</v>
      </c>
      <c r="D970" s="2" t="s">
        <v>92</v>
      </c>
      <c r="E970" s="2" t="s">
        <v>29</v>
      </c>
      <c r="F970" s="2">
        <v>90</v>
      </c>
      <c r="G970" s="2" t="s">
        <v>3259</v>
      </c>
      <c r="H970" s="2" t="s">
        <v>137</v>
      </c>
      <c r="I970" s="2" t="s">
        <v>32</v>
      </c>
      <c r="J970" s="3">
        <v>44827</v>
      </c>
      <c r="K970" s="5">
        <f>YEAR(OrganizedData[[#This Row],[Order Date]])</f>
        <v>2022</v>
      </c>
      <c r="L970" s="7" t="str">
        <f>TEXT(OrganizedData[[#This Row],[Order Date]],"mmm")</f>
        <v>Sep</v>
      </c>
      <c r="M970" s="2">
        <v>70</v>
      </c>
      <c r="N970" s="2" t="s">
        <v>159</v>
      </c>
      <c r="O970" s="2" t="str">
        <f>VLOOKUP(OrganizedData[[#This Row],[Product Code]],ProductData[[Code]:[Item]],2,FALSE)</f>
        <v>Ultrathing V3</v>
      </c>
      <c r="P970" s="4">
        <f>OrganizedData[[#This Row],[Quantity]]*VLOOKUP(OrganizedData[[#This Row],[Product Code]],ProductData[],4,FALSE)</f>
        <v>1680</v>
      </c>
      <c r="Q970" s="6">
        <f>OrganizedData[[#This Row],[Total Items Ordered]]*VLOOKUP(OrganizedData[[#This Row],[Product Code]],ProductData[],3,FALSE)</f>
        <v>5695.2</v>
      </c>
      <c r="R9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971" spans="1:18" x14ac:dyDescent="0.3">
      <c r="A971" s="2">
        <v>964</v>
      </c>
      <c r="B971" s="2" t="s">
        <v>1776</v>
      </c>
      <c r="C971" s="2" t="s">
        <v>2091</v>
      </c>
      <c r="D971" s="2" t="s">
        <v>28</v>
      </c>
      <c r="E971" s="2" t="s">
        <v>29</v>
      </c>
      <c r="F971" s="2">
        <v>90</v>
      </c>
      <c r="G971" s="2" t="s">
        <v>3260</v>
      </c>
      <c r="H971" s="2" t="s">
        <v>3261</v>
      </c>
      <c r="I971" s="2" t="s">
        <v>124</v>
      </c>
      <c r="J971" s="3">
        <v>44796</v>
      </c>
      <c r="K971" s="5">
        <f>YEAR(OrganizedData[[#This Row],[Order Date]])</f>
        <v>2022</v>
      </c>
      <c r="L971" s="7" t="str">
        <f>TEXT(OrganizedData[[#This Row],[Order Date]],"mmm")</f>
        <v>Aug</v>
      </c>
      <c r="M971" s="2">
        <v>72</v>
      </c>
      <c r="N971" s="2" t="s">
        <v>54</v>
      </c>
      <c r="O971" s="2" t="str">
        <f>VLOOKUP(OrganizedData[[#This Row],[Product Code]],ProductData[[Code]:[Item]],2,FALSE)</f>
        <v>Megawidget S</v>
      </c>
      <c r="P971" s="4">
        <f>OrganizedData[[#This Row],[Quantity]]*VLOOKUP(OrganizedData[[#This Row],[Product Code]],ProductData[],4,FALSE)</f>
        <v>1728</v>
      </c>
      <c r="Q971" s="6">
        <f>OrganizedData[[#This Row],[Total Items Ordered]]*VLOOKUP(OrganizedData[[#This Row],[Product Code]],ProductData[],3,FALSE)</f>
        <v>1192.32</v>
      </c>
      <c r="R9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972" spans="1:18" x14ac:dyDescent="0.3">
      <c r="A972" s="2">
        <v>965</v>
      </c>
      <c r="B972" s="2" t="s">
        <v>3262</v>
      </c>
      <c r="C972" s="2" t="s">
        <v>858</v>
      </c>
      <c r="D972" s="2" t="s">
        <v>28</v>
      </c>
      <c r="E972" s="2" t="s">
        <v>29</v>
      </c>
      <c r="F972" s="2">
        <v>90</v>
      </c>
      <c r="G972" s="2" t="s">
        <v>3260</v>
      </c>
      <c r="H972" s="2" t="s">
        <v>3263</v>
      </c>
      <c r="I972" s="2" t="s">
        <v>32</v>
      </c>
      <c r="J972" s="3">
        <v>44613</v>
      </c>
      <c r="K972" s="5">
        <f>YEAR(OrganizedData[[#This Row],[Order Date]])</f>
        <v>2022</v>
      </c>
      <c r="L972" s="7" t="str">
        <f>TEXT(OrganizedData[[#This Row],[Order Date]],"mmm")</f>
        <v>Feb</v>
      </c>
      <c r="M972" s="2">
        <v>7</v>
      </c>
      <c r="N972" s="2" t="s">
        <v>54</v>
      </c>
      <c r="O972" s="2" t="str">
        <f>VLOOKUP(OrganizedData[[#This Row],[Product Code]],ProductData[[Code]:[Item]],2,FALSE)</f>
        <v>Megawidget S</v>
      </c>
      <c r="P972" s="4">
        <f>OrganizedData[[#This Row],[Quantity]]*VLOOKUP(OrganizedData[[#This Row],[Product Code]],ProductData[],4,FALSE)</f>
        <v>168</v>
      </c>
      <c r="Q972" s="6">
        <f>OrganizedData[[#This Row],[Total Items Ordered]]*VLOOKUP(OrganizedData[[#This Row],[Product Code]],ProductData[],3,FALSE)</f>
        <v>115.91999999999999</v>
      </c>
      <c r="R9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973" spans="1:18" x14ac:dyDescent="0.3">
      <c r="A973" s="2">
        <v>966</v>
      </c>
      <c r="B973" s="2" t="s">
        <v>3264</v>
      </c>
      <c r="C973" s="2" t="s">
        <v>3265</v>
      </c>
      <c r="D973" s="2" t="s">
        <v>15</v>
      </c>
      <c r="E973" s="2" t="s">
        <v>16</v>
      </c>
      <c r="F973" s="2">
        <v>90</v>
      </c>
      <c r="G973" s="2" t="s">
        <v>3266</v>
      </c>
      <c r="H973" s="2" t="s">
        <v>3267</v>
      </c>
      <c r="I973" s="2" t="s">
        <v>124</v>
      </c>
      <c r="J973" s="3">
        <v>44027</v>
      </c>
      <c r="K973" s="5">
        <f>YEAR(OrganizedData[[#This Row],[Order Date]])</f>
        <v>2020</v>
      </c>
      <c r="L973" s="7" t="str">
        <f>TEXT(OrganizedData[[#This Row],[Order Date]],"mmm")</f>
        <v>Jul</v>
      </c>
      <c r="M973" s="2">
        <v>50</v>
      </c>
      <c r="N973" s="2" t="s">
        <v>39</v>
      </c>
      <c r="O973" s="2" t="str">
        <f>VLOOKUP(OrganizedData[[#This Row],[Product Code]],ProductData[[Code]:[Item]],2,FALSE)</f>
        <v>Ultrathing V1</v>
      </c>
      <c r="P973" s="4">
        <f>OrganizedData[[#This Row],[Quantity]]*VLOOKUP(OrganizedData[[#This Row],[Product Code]],ProductData[],4,FALSE)</f>
        <v>850</v>
      </c>
      <c r="Q973" s="6">
        <f>OrganizedData[[#This Row],[Total Items Ordered]]*VLOOKUP(OrganizedData[[#This Row],[Product Code]],ProductData[],3,FALSE)</f>
        <v>1521.5</v>
      </c>
      <c r="R9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974" spans="1:18" x14ac:dyDescent="0.3">
      <c r="A974" s="2">
        <v>967</v>
      </c>
      <c r="B974" s="2" t="s">
        <v>3268</v>
      </c>
      <c r="C974" s="2" t="s">
        <v>3269</v>
      </c>
      <c r="D974" s="2" t="s">
        <v>51</v>
      </c>
      <c r="E974" s="2" t="s">
        <v>16</v>
      </c>
      <c r="F974" s="2">
        <v>90</v>
      </c>
      <c r="G974" s="2" t="s">
        <v>3270</v>
      </c>
      <c r="H974" s="2" t="s">
        <v>3271</v>
      </c>
      <c r="I974" s="2" t="s">
        <v>173</v>
      </c>
      <c r="J974" s="3">
        <v>44000</v>
      </c>
      <c r="K974" s="5">
        <f>YEAR(OrganizedData[[#This Row],[Order Date]])</f>
        <v>2020</v>
      </c>
      <c r="L974" s="7" t="str">
        <f>TEXT(OrganizedData[[#This Row],[Order Date]],"mmm")</f>
        <v>Jun</v>
      </c>
      <c r="M974" s="2">
        <v>65</v>
      </c>
      <c r="N974" s="2" t="s">
        <v>80</v>
      </c>
      <c r="O974" s="2" t="str">
        <f>VLOOKUP(OrganizedData[[#This Row],[Product Code]],ProductData[[Code]:[Item]],2,FALSE)</f>
        <v>Ultrathing V2</v>
      </c>
      <c r="P974" s="4">
        <f>OrganizedData[[#This Row],[Quantity]]*VLOOKUP(OrganizedData[[#This Row],[Product Code]],ProductData[],4,FALSE)</f>
        <v>1300</v>
      </c>
      <c r="Q974" s="6">
        <f>OrganizedData[[#This Row],[Total Items Ordered]]*VLOOKUP(OrganizedData[[#This Row],[Product Code]],ProductData[],3,FALSE)</f>
        <v>3835.0000000000005</v>
      </c>
      <c r="R9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3643.2500000000005</v>
      </c>
    </row>
    <row r="975" spans="1:18" x14ac:dyDescent="0.3">
      <c r="A975" s="2">
        <v>968</v>
      </c>
      <c r="B975" s="2" t="s">
        <v>3272</v>
      </c>
      <c r="C975" s="2" t="s">
        <v>3273</v>
      </c>
      <c r="D975" s="2" t="s">
        <v>51</v>
      </c>
      <c r="E975" s="2" t="s">
        <v>16</v>
      </c>
      <c r="F975" s="2">
        <v>90</v>
      </c>
      <c r="G975" s="2" t="s">
        <v>3270</v>
      </c>
      <c r="H975" s="2" t="s">
        <v>3274</v>
      </c>
      <c r="I975" s="2" t="s">
        <v>32</v>
      </c>
      <c r="J975" s="3">
        <v>44098</v>
      </c>
      <c r="K975" s="5">
        <f>YEAR(OrganizedData[[#This Row],[Order Date]])</f>
        <v>2020</v>
      </c>
      <c r="L975" s="7" t="str">
        <f>TEXT(OrganizedData[[#This Row],[Order Date]],"mmm")</f>
        <v>Sep</v>
      </c>
      <c r="M975" s="2">
        <v>10</v>
      </c>
      <c r="N975" s="2" t="s">
        <v>70</v>
      </c>
      <c r="O975" s="2" t="str">
        <f>VLOOKUP(OrganizedData[[#This Row],[Product Code]],ProductData[[Code]:[Item]],2,FALSE)</f>
        <v>Megawidget M</v>
      </c>
      <c r="P975" s="4">
        <f>OrganizedData[[#This Row],[Quantity]]*VLOOKUP(OrganizedData[[#This Row],[Product Code]],ProductData[],4,FALSE)</f>
        <v>240</v>
      </c>
      <c r="Q975" s="6">
        <f>OrganizedData[[#This Row],[Total Items Ordered]]*VLOOKUP(OrganizedData[[#This Row],[Product Code]],ProductData[],3,FALSE)</f>
        <v>309.60000000000002</v>
      </c>
      <c r="R9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309.60000000000002</v>
      </c>
    </row>
    <row r="976" spans="1:18" x14ac:dyDescent="0.3">
      <c r="A976" s="2">
        <v>969</v>
      </c>
      <c r="B976" s="2" t="s">
        <v>375</v>
      </c>
      <c r="C976" s="2" t="s">
        <v>3275</v>
      </c>
      <c r="D976" s="2" t="s">
        <v>28</v>
      </c>
      <c r="E976" s="2" t="s">
        <v>29</v>
      </c>
      <c r="F976" s="2">
        <v>90</v>
      </c>
      <c r="G976" s="2" t="s">
        <v>3277</v>
      </c>
      <c r="H976" s="2" t="s">
        <v>2267</v>
      </c>
      <c r="I976" s="2" t="s">
        <v>124</v>
      </c>
      <c r="J976" s="3">
        <v>44712</v>
      </c>
      <c r="K976" s="5">
        <f>YEAR(OrganizedData[[#This Row],[Order Date]])</f>
        <v>2022</v>
      </c>
      <c r="L976" s="7" t="str">
        <f>TEXT(OrganizedData[[#This Row],[Order Date]],"mmm")</f>
        <v>May</v>
      </c>
      <c r="M976" s="2">
        <v>75</v>
      </c>
      <c r="N976" s="2" t="s">
        <v>70</v>
      </c>
      <c r="O976" s="2" t="str">
        <f>VLOOKUP(OrganizedData[[#This Row],[Product Code]],ProductData[[Code]:[Item]],2,FALSE)</f>
        <v>Megawidget M</v>
      </c>
      <c r="P976" s="4">
        <f>OrganizedData[[#This Row],[Quantity]]*VLOOKUP(OrganizedData[[#This Row],[Product Code]],ProductData[],4,FALSE)</f>
        <v>1800</v>
      </c>
      <c r="Q976" s="6">
        <f>OrganizedData[[#This Row],[Total Items Ordered]]*VLOOKUP(OrganizedData[[#This Row],[Product Code]],ProductData[],3,FALSE)</f>
        <v>2322</v>
      </c>
      <c r="R9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2205.9</v>
      </c>
    </row>
    <row r="977" spans="1:18" x14ac:dyDescent="0.3">
      <c r="A977" s="2">
        <v>970</v>
      </c>
      <c r="B977" s="2" t="s">
        <v>3278</v>
      </c>
      <c r="C977" s="2" t="s">
        <v>3279</v>
      </c>
      <c r="D977" s="2" t="s">
        <v>15</v>
      </c>
      <c r="E977" s="2" t="s">
        <v>16</v>
      </c>
      <c r="F977" s="2">
        <v>60</v>
      </c>
      <c r="G977" s="2" t="s">
        <v>3280</v>
      </c>
      <c r="H977" s="2" t="s">
        <v>3197</v>
      </c>
      <c r="I977" s="2" t="s">
        <v>32</v>
      </c>
      <c r="J977" s="3">
        <v>44716</v>
      </c>
      <c r="K977" s="5">
        <f>YEAR(OrganizedData[[#This Row],[Order Date]])</f>
        <v>2022</v>
      </c>
      <c r="L977" s="7" t="str">
        <f>TEXT(OrganizedData[[#This Row],[Order Date]],"mmm")</f>
        <v>Jun</v>
      </c>
      <c r="M977" s="2">
        <v>100</v>
      </c>
      <c r="N977" s="2" t="s">
        <v>33</v>
      </c>
      <c r="O977" s="2" t="str">
        <f>VLOOKUP(OrganizedData[[#This Row],[Product Code]],ProductData[[Code]:[Item]],2,FALSE)</f>
        <v>Megawidget L</v>
      </c>
      <c r="P977" s="4">
        <f>OrganizedData[[#This Row],[Quantity]]*VLOOKUP(OrganizedData[[#This Row],[Product Code]],ProductData[],4,FALSE)</f>
        <v>2400</v>
      </c>
      <c r="Q977" s="6">
        <f>OrganizedData[[#This Row],[Total Items Ordered]]*VLOOKUP(OrganizedData[[#This Row],[Product Code]],ProductData[],3,FALSE)</f>
        <v>4296</v>
      </c>
      <c r="R9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4081.2</v>
      </c>
    </row>
    <row r="978" spans="1:18" x14ac:dyDescent="0.3">
      <c r="A978" s="2">
        <v>971</v>
      </c>
      <c r="B978" s="2" t="s">
        <v>3281</v>
      </c>
      <c r="C978" s="2" t="s">
        <v>3282</v>
      </c>
      <c r="D978" s="2" t="s">
        <v>41</v>
      </c>
      <c r="E978" s="2" t="s">
        <v>16</v>
      </c>
      <c r="F978" s="2">
        <v>90</v>
      </c>
      <c r="G978" s="2" t="s">
        <v>3287</v>
      </c>
      <c r="H978" s="2" t="s">
        <v>3284</v>
      </c>
      <c r="I978" s="2" t="s">
        <v>32</v>
      </c>
      <c r="J978" s="3">
        <v>44460</v>
      </c>
      <c r="K978" s="5">
        <f>YEAR(OrganizedData[[#This Row],[Order Date]])</f>
        <v>2021</v>
      </c>
      <c r="L978" s="7" t="str">
        <f>TEXT(OrganizedData[[#This Row],[Order Date]],"mmm")</f>
        <v>Sep</v>
      </c>
      <c r="M978" s="2">
        <v>83</v>
      </c>
      <c r="N978" s="2" t="s">
        <v>54</v>
      </c>
      <c r="O978" s="2" t="str">
        <f>VLOOKUP(OrganizedData[[#This Row],[Product Code]],ProductData[[Code]:[Item]],2,FALSE)</f>
        <v>Megawidget S</v>
      </c>
      <c r="P978" s="4">
        <f>OrganizedData[[#This Row],[Quantity]]*VLOOKUP(OrganizedData[[#This Row],[Product Code]],ProductData[],4,FALSE)</f>
        <v>1992</v>
      </c>
      <c r="Q978" s="6">
        <f>OrganizedData[[#This Row],[Total Items Ordered]]*VLOOKUP(OrganizedData[[#This Row],[Product Code]],ProductData[],3,FALSE)</f>
        <v>1374.4799999999998</v>
      </c>
      <c r="R9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1305.7559999999996</v>
      </c>
    </row>
    <row r="979" spans="1:18" x14ac:dyDescent="0.3">
      <c r="A979" s="2">
        <v>972</v>
      </c>
      <c r="B979" s="2" t="s">
        <v>3285</v>
      </c>
      <c r="C979" s="2" t="s">
        <v>3286</v>
      </c>
      <c r="D979" s="2" t="s">
        <v>51</v>
      </c>
      <c r="E979" s="2" t="s">
        <v>16</v>
      </c>
      <c r="F979" s="2">
        <v>90</v>
      </c>
      <c r="G979" s="2" t="s">
        <v>3287</v>
      </c>
      <c r="H979" s="2" t="s">
        <v>3288</v>
      </c>
      <c r="I979" s="2" t="s">
        <v>32</v>
      </c>
      <c r="J979" s="3">
        <v>44558</v>
      </c>
      <c r="K979" s="5">
        <f>YEAR(OrganizedData[[#This Row],[Order Date]])</f>
        <v>2021</v>
      </c>
      <c r="L979" s="7" t="str">
        <f>TEXT(OrganizedData[[#This Row],[Order Date]],"mmm")</f>
        <v>Dec</v>
      </c>
      <c r="M979" s="2">
        <v>22</v>
      </c>
      <c r="N979" s="2" t="s">
        <v>159</v>
      </c>
      <c r="O979" s="2" t="str">
        <f>VLOOKUP(OrganizedData[[#This Row],[Product Code]],ProductData[[Code]:[Item]],2,FALSE)</f>
        <v>Ultrathing V3</v>
      </c>
      <c r="P979" s="4">
        <f>OrganizedData[[#This Row],[Quantity]]*VLOOKUP(OrganizedData[[#This Row],[Product Code]],ProductData[],4,FALSE)</f>
        <v>528</v>
      </c>
      <c r="Q979" s="6">
        <f>OrganizedData[[#This Row],[Total Items Ordered]]*VLOOKUP(OrganizedData[[#This Row],[Product Code]],ProductData[],3,FALSE)</f>
        <v>1789.92</v>
      </c>
      <c r="R9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1736.2224000000001</v>
      </c>
    </row>
    <row r="980" spans="1:18" x14ac:dyDescent="0.3">
      <c r="A980" s="2">
        <v>973</v>
      </c>
      <c r="B980" s="2" t="s">
        <v>3289</v>
      </c>
      <c r="C980" s="2" t="s">
        <v>2795</v>
      </c>
      <c r="D980" s="2" t="s">
        <v>28</v>
      </c>
      <c r="E980" s="2" t="s">
        <v>29</v>
      </c>
      <c r="F980" s="2">
        <v>90</v>
      </c>
      <c r="G980" s="2" t="s">
        <v>3290</v>
      </c>
      <c r="H980" s="2" t="s">
        <v>3291</v>
      </c>
      <c r="I980" s="2" t="s">
        <v>124</v>
      </c>
      <c r="J980" s="3">
        <v>44119</v>
      </c>
      <c r="K980" s="5">
        <f>YEAR(OrganizedData[[#This Row],[Order Date]])</f>
        <v>2020</v>
      </c>
      <c r="L980" s="7" t="str">
        <f>TEXT(OrganizedData[[#This Row],[Order Date]],"mmm")</f>
        <v>Oct</v>
      </c>
      <c r="M980" s="2">
        <v>35</v>
      </c>
      <c r="N980" s="2" t="s">
        <v>20</v>
      </c>
      <c r="O980" s="2" t="str">
        <f>VLOOKUP(OrganizedData[[#This Row],[Product Code]],ProductData[[Code]:[Item]],2,FALSE)</f>
        <v>Hyperwotsit</v>
      </c>
      <c r="P980" s="4">
        <f>OrganizedData[[#This Row],[Quantity]]*VLOOKUP(OrganizedData[[#This Row],[Product Code]],ProductData[],4,FALSE)</f>
        <v>700</v>
      </c>
      <c r="Q980" s="6">
        <f>OrganizedData[[#This Row],[Total Items Ordered]]*VLOOKUP(OrganizedData[[#This Row],[Product Code]],ProductData[],3,FALSE)</f>
        <v>1406.9999999999998</v>
      </c>
      <c r="R9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1364.7899999999997</v>
      </c>
    </row>
    <row r="981" spans="1:18" x14ac:dyDescent="0.3">
      <c r="A981" s="2">
        <v>974</v>
      </c>
      <c r="B981" s="2" t="s">
        <v>3292</v>
      </c>
      <c r="C981" s="2" t="s">
        <v>2941</v>
      </c>
      <c r="D981" s="2" t="s">
        <v>28</v>
      </c>
      <c r="E981" s="2" t="s">
        <v>29</v>
      </c>
      <c r="F981" s="2">
        <v>30</v>
      </c>
      <c r="G981" s="2" t="s">
        <v>3293</v>
      </c>
      <c r="H981" s="2" t="s">
        <v>2401</v>
      </c>
      <c r="I981" s="2" t="s">
        <v>178</v>
      </c>
      <c r="J981" s="3">
        <v>44405</v>
      </c>
      <c r="K981" s="5">
        <f>YEAR(OrganizedData[[#This Row],[Order Date]])</f>
        <v>2021</v>
      </c>
      <c r="L981" s="7" t="str">
        <f>TEXT(OrganizedData[[#This Row],[Order Date]],"mmm")</f>
        <v>Jul</v>
      </c>
      <c r="M981" s="2">
        <v>47</v>
      </c>
      <c r="N981" s="2" t="s">
        <v>54</v>
      </c>
      <c r="O981" s="2" t="str">
        <f>VLOOKUP(OrganizedData[[#This Row],[Product Code]],ProductData[[Code]:[Item]],2,FALSE)</f>
        <v>Megawidget S</v>
      </c>
      <c r="P981" s="4">
        <f>OrganizedData[[#This Row],[Quantity]]*VLOOKUP(OrganizedData[[#This Row],[Product Code]],ProductData[],4,FALSE)</f>
        <v>1128</v>
      </c>
      <c r="Q981" s="6">
        <f>OrganizedData[[#This Row],[Total Items Ordered]]*VLOOKUP(OrganizedData[[#This Row],[Product Code]],ProductData[],3,FALSE)</f>
        <v>778.31999999999994</v>
      </c>
      <c r="R9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982" spans="1:18" x14ac:dyDescent="0.3">
      <c r="A982" s="2">
        <v>975</v>
      </c>
      <c r="B982" s="2" t="s">
        <v>125</v>
      </c>
      <c r="C982" s="2" t="s">
        <v>3294</v>
      </c>
      <c r="D982" s="2" t="s">
        <v>28</v>
      </c>
      <c r="E982" s="2" t="s">
        <v>29</v>
      </c>
      <c r="F982" s="2">
        <v>60</v>
      </c>
      <c r="G982" s="2" t="s">
        <v>3295</v>
      </c>
      <c r="H982" s="2" t="s">
        <v>3296</v>
      </c>
      <c r="I982" s="2" t="s">
        <v>32</v>
      </c>
      <c r="J982" s="3">
        <v>44171</v>
      </c>
      <c r="K982" s="5">
        <f>YEAR(OrganizedData[[#This Row],[Order Date]])</f>
        <v>2020</v>
      </c>
      <c r="L982" s="7" t="str">
        <f>TEXT(OrganizedData[[#This Row],[Order Date]],"mmm")</f>
        <v>Dec</v>
      </c>
      <c r="M982" s="2">
        <v>76</v>
      </c>
      <c r="N982" s="2" t="s">
        <v>64</v>
      </c>
      <c r="O982" s="2" t="str">
        <f>VLOOKUP(OrganizedData[[#This Row],[Product Code]],ProductData[[Code]:[Item]],2,FALSE)</f>
        <v>Ultrathing V4</v>
      </c>
      <c r="P982" s="4">
        <f>OrganizedData[[#This Row],[Quantity]]*VLOOKUP(OrganizedData[[#This Row],[Product Code]],ProductData[],4,FALSE)</f>
        <v>1824</v>
      </c>
      <c r="Q982" s="6">
        <f>OrganizedData[[#This Row],[Total Items Ordered]]*VLOOKUP(OrganizedData[[#This Row],[Product Code]],ProductData[],3,FALSE)</f>
        <v>7277.76</v>
      </c>
      <c r="R9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983" spans="1:18" x14ac:dyDescent="0.3">
      <c r="A983" s="2">
        <v>976</v>
      </c>
      <c r="B983" s="2" t="s">
        <v>1027</v>
      </c>
      <c r="C983" s="2" t="s">
        <v>3297</v>
      </c>
      <c r="D983" s="2" t="s">
        <v>28</v>
      </c>
      <c r="E983" s="2" t="s">
        <v>29</v>
      </c>
      <c r="F983" s="2">
        <v>90</v>
      </c>
      <c r="G983" s="2" t="s">
        <v>3298</v>
      </c>
      <c r="H983" s="2" t="s">
        <v>3299</v>
      </c>
      <c r="I983" s="2" t="s">
        <v>32</v>
      </c>
      <c r="J983" s="3">
        <v>44783</v>
      </c>
      <c r="K983" s="5">
        <f>YEAR(OrganizedData[[#This Row],[Order Date]])</f>
        <v>2022</v>
      </c>
      <c r="L983" s="7" t="str">
        <f>TEXT(OrganizedData[[#This Row],[Order Date]],"mmm")</f>
        <v>Aug</v>
      </c>
      <c r="M983" s="2">
        <v>79</v>
      </c>
      <c r="N983" s="2" t="s">
        <v>64</v>
      </c>
      <c r="O983" s="2" t="str">
        <f>VLOOKUP(OrganizedData[[#This Row],[Product Code]],ProductData[[Code]:[Item]],2,FALSE)</f>
        <v>Ultrathing V4</v>
      </c>
      <c r="P983" s="4">
        <f>OrganizedData[[#This Row],[Quantity]]*VLOOKUP(OrganizedData[[#This Row],[Product Code]],ProductData[],4,FALSE)</f>
        <v>1896</v>
      </c>
      <c r="Q983" s="6">
        <f>OrganizedData[[#This Row],[Total Items Ordered]]*VLOOKUP(OrganizedData[[#This Row],[Product Code]],ProductData[],3,FALSE)</f>
        <v>7565.04</v>
      </c>
      <c r="R9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984" spans="1:18" x14ac:dyDescent="0.3">
      <c r="A984" s="2">
        <v>977</v>
      </c>
      <c r="B984" s="2" t="s">
        <v>3300</v>
      </c>
      <c r="C984" s="2" t="s">
        <v>3301</v>
      </c>
      <c r="D984" s="2" t="s">
        <v>28</v>
      </c>
      <c r="E984" s="2" t="s">
        <v>29</v>
      </c>
      <c r="F984" s="2">
        <v>30</v>
      </c>
      <c r="G984" s="2" t="s">
        <v>3302</v>
      </c>
      <c r="H984" s="2" t="s">
        <v>3303</v>
      </c>
      <c r="I984" s="2" t="s">
        <v>294</v>
      </c>
      <c r="J984" s="3">
        <v>44289</v>
      </c>
      <c r="K984" s="5">
        <f>YEAR(OrganizedData[[#This Row],[Order Date]])</f>
        <v>2021</v>
      </c>
      <c r="L984" s="7" t="str">
        <f>TEXT(OrganizedData[[#This Row],[Order Date]],"mmm")</f>
        <v>Apr</v>
      </c>
      <c r="M984" s="2">
        <v>4</v>
      </c>
      <c r="N984" s="2" t="s">
        <v>159</v>
      </c>
      <c r="O984" s="2" t="str">
        <f>VLOOKUP(OrganizedData[[#This Row],[Product Code]],ProductData[[Code]:[Item]],2,FALSE)</f>
        <v>Ultrathing V3</v>
      </c>
      <c r="P984" s="4">
        <f>OrganizedData[[#This Row],[Quantity]]*VLOOKUP(OrganizedData[[#This Row],[Product Code]],ProductData[],4,FALSE)</f>
        <v>96</v>
      </c>
      <c r="Q984" s="6">
        <f>OrganizedData[[#This Row],[Total Items Ordered]]*VLOOKUP(OrganizedData[[#This Row],[Product Code]],ProductData[],3,FALSE)</f>
        <v>325.44</v>
      </c>
      <c r="R9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325.44</v>
      </c>
    </row>
    <row r="985" spans="1:18" x14ac:dyDescent="0.3">
      <c r="A985" s="2">
        <v>978</v>
      </c>
      <c r="B985" s="2" t="s">
        <v>3304</v>
      </c>
      <c r="C985" s="2" t="s">
        <v>86</v>
      </c>
      <c r="D985" s="2" t="s">
        <v>15</v>
      </c>
      <c r="E985" s="2" t="s">
        <v>16</v>
      </c>
      <c r="F985" s="2">
        <v>60</v>
      </c>
      <c r="G985" s="2" t="s">
        <v>3305</v>
      </c>
      <c r="H985" s="2" t="s">
        <v>3122</v>
      </c>
      <c r="I985" s="2" t="s">
        <v>1035</v>
      </c>
      <c r="J985" s="3">
        <v>44101</v>
      </c>
      <c r="K985" s="5">
        <f>YEAR(OrganizedData[[#This Row],[Order Date]])</f>
        <v>2020</v>
      </c>
      <c r="L985" s="7" t="str">
        <f>TEXT(OrganizedData[[#This Row],[Order Date]],"mmm")</f>
        <v>Sep</v>
      </c>
      <c r="M985" s="2">
        <v>69</v>
      </c>
      <c r="N985" s="2" t="s">
        <v>80</v>
      </c>
      <c r="O985" s="2" t="str">
        <f>VLOOKUP(OrganizedData[[#This Row],[Product Code]],ProductData[[Code]:[Item]],2,FALSE)</f>
        <v>Ultrathing V2</v>
      </c>
      <c r="P985" s="4">
        <f>OrganizedData[[#This Row],[Quantity]]*VLOOKUP(OrganizedData[[#This Row],[Product Code]],ProductData[],4,FALSE)</f>
        <v>1380</v>
      </c>
      <c r="Q985" s="6">
        <f>OrganizedData[[#This Row],[Total Items Ordered]]*VLOOKUP(OrganizedData[[#This Row],[Product Code]],ProductData[],3,FALSE)</f>
        <v>4071.0000000000005</v>
      </c>
      <c r="R9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3867.4500000000003</v>
      </c>
    </row>
    <row r="986" spans="1:18" x14ac:dyDescent="0.3">
      <c r="A986" s="2">
        <v>979</v>
      </c>
      <c r="B986" s="2" t="s">
        <v>357</v>
      </c>
      <c r="C986" s="2" t="s">
        <v>156</v>
      </c>
      <c r="D986" s="2" t="s">
        <v>41</v>
      </c>
      <c r="E986" s="2" t="s">
        <v>16</v>
      </c>
      <c r="F986" s="2">
        <v>90</v>
      </c>
      <c r="G986" s="2" t="s">
        <v>3306</v>
      </c>
      <c r="H986" s="2" t="s">
        <v>3307</v>
      </c>
      <c r="I986" s="2" t="s">
        <v>32</v>
      </c>
      <c r="J986" s="3">
        <v>44551</v>
      </c>
      <c r="K986" s="5">
        <f>YEAR(OrganizedData[[#This Row],[Order Date]])</f>
        <v>2021</v>
      </c>
      <c r="L986" s="7" t="str">
        <f>TEXT(OrganizedData[[#This Row],[Order Date]],"mmm")</f>
        <v>Dec</v>
      </c>
      <c r="M986" s="2">
        <v>92</v>
      </c>
      <c r="N986" s="2" t="s">
        <v>101</v>
      </c>
      <c r="O986" s="2" t="str">
        <f>VLOOKUP(OrganizedData[[#This Row],[Product Code]],ProductData[[Code]:[Item]],2,FALSE)</f>
        <v>Superwossname</v>
      </c>
      <c r="P986" s="4">
        <f>OrganizedData[[#This Row],[Quantity]]*VLOOKUP(OrganizedData[[#This Row],[Product Code]],ProductData[],4,FALSE)</f>
        <v>1840</v>
      </c>
      <c r="Q986" s="6">
        <f>OrganizedData[[#This Row],[Total Items Ordered]]*VLOOKUP(OrganizedData[[#This Row],[Product Code]],ProductData[],3,FALSE)</f>
        <v>6421.6</v>
      </c>
      <c r="R9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6100.52</v>
      </c>
    </row>
    <row r="987" spans="1:18" x14ac:dyDescent="0.3">
      <c r="A987" s="2">
        <v>980</v>
      </c>
      <c r="B987" s="2" t="s">
        <v>3308</v>
      </c>
      <c r="C987" s="2" t="s">
        <v>728</v>
      </c>
      <c r="D987" s="2" t="s">
        <v>15</v>
      </c>
      <c r="E987" s="2" t="s">
        <v>16</v>
      </c>
      <c r="F987" s="2">
        <v>60</v>
      </c>
      <c r="G987" s="2" t="s">
        <v>3309</v>
      </c>
      <c r="H987" s="2" t="s">
        <v>440</v>
      </c>
      <c r="I987" s="2" t="s">
        <v>25</v>
      </c>
      <c r="J987" s="3">
        <v>44137</v>
      </c>
      <c r="K987" s="5">
        <f>YEAR(OrganizedData[[#This Row],[Order Date]])</f>
        <v>2020</v>
      </c>
      <c r="L987" s="7" t="str">
        <f>TEXT(OrganizedData[[#This Row],[Order Date]],"mmm")</f>
        <v>Nov</v>
      </c>
      <c r="M987" s="2">
        <v>31</v>
      </c>
      <c r="N987" s="2" t="s">
        <v>80</v>
      </c>
      <c r="O987" s="2" t="str">
        <f>VLOOKUP(OrganizedData[[#This Row],[Product Code]],ProductData[[Code]:[Item]],2,FALSE)</f>
        <v>Ultrathing V2</v>
      </c>
      <c r="P987" s="4">
        <f>OrganizedData[[#This Row],[Quantity]]*VLOOKUP(OrganizedData[[#This Row],[Product Code]],ProductData[],4,FALSE)</f>
        <v>620</v>
      </c>
      <c r="Q987" s="6">
        <f>OrganizedData[[#This Row],[Total Items Ordered]]*VLOOKUP(OrganizedData[[#This Row],[Product Code]],ProductData[],3,FALSE)</f>
        <v>1829</v>
      </c>
      <c r="R9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1774.1299999999999</v>
      </c>
    </row>
    <row r="988" spans="1:18" x14ac:dyDescent="0.3">
      <c r="A988" s="2">
        <v>981</v>
      </c>
      <c r="B988" s="2" t="s">
        <v>3310</v>
      </c>
      <c r="C988" s="2" t="s">
        <v>3311</v>
      </c>
      <c r="D988" s="2" t="s">
        <v>28</v>
      </c>
      <c r="E988" s="2" t="s">
        <v>29</v>
      </c>
      <c r="F988" s="2">
        <v>30</v>
      </c>
      <c r="G988" s="2" t="s">
        <v>3312</v>
      </c>
      <c r="H988" s="2" t="s">
        <v>255</v>
      </c>
      <c r="I988" s="2" t="s">
        <v>32</v>
      </c>
      <c r="J988" s="3">
        <v>44299</v>
      </c>
      <c r="K988" s="5">
        <f>YEAR(OrganizedData[[#This Row],[Order Date]])</f>
        <v>2021</v>
      </c>
      <c r="L988" s="7" t="str">
        <f>TEXT(OrganizedData[[#This Row],[Order Date]],"mmm")</f>
        <v>Apr</v>
      </c>
      <c r="M988" s="2">
        <v>7</v>
      </c>
      <c r="N988" s="2" t="s">
        <v>33</v>
      </c>
      <c r="O988" s="2" t="str">
        <f>VLOOKUP(OrganizedData[[#This Row],[Product Code]],ProductData[[Code]:[Item]],2,FALSE)</f>
        <v>Megawidget L</v>
      </c>
      <c r="P988" s="4">
        <f>OrganizedData[[#This Row],[Quantity]]*VLOOKUP(OrganizedData[[#This Row],[Product Code]],ProductData[],4,FALSE)</f>
        <v>168</v>
      </c>
      <c r="Q988" s="6">
        <f>OrganizedData[[#This Row],[Total Items Ordered]]*VLOOKUP(OrganizedData[[#This Row],[Product Code]],ProductData[],3,FALSE)</f>
        <v>300.72000000000003</v>
      </c>
      <c r="R9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989" spans="1:18" x14ac:dyDescent="0.3">
      <c r="A989" s="2">
        <v>982</v>
      </c>
      <c r="B989" s="2" t="s">
        <v>3313</v>
      </c>
      <c r="C989" s="2" t="s">
        <v>3314</v>
      </c>
      <c r="D989" s="2" t="s">
        <v>28</v>
      </c>
      <c r="E989" s="2" t="s">
        <v>29</v>
      </c>
      <c r="F989" s="2">
        <v>90</v>
      </c>
      <c r="G989" s="2" t="s">
        <v>3315</v>
      </c>
      <c r="H989" s="2" t="s">
        <v>3316</v>
      </c>
      <c r="I989" s="2" t="s">
        <v>32</v>
      </c>
      <c r="J989" s="3">
        <v>44863</v>
      </c>
      <c r="K989" s="5">
        <f>YEAR(OrganizedData[[#This Row],[Order Date]])</f>
        <v>2022</v>
      </c>
      <c r="L989" s="7" t="str">
        <f>TEXT(OrganizedData[[#This Row],[Order Date]],"mmm")</f>
        <v>Oct</v>
      </c>
      <c r="M989" s="2">
        <v>67</v>
      </c>
      <c r="N989" s="2" t="s">
        <v>39</v>
      </c>
      <c r="O989" s="2" t="str">
        <f>VLOOKUP(OrganizedData[[#This Row],[Product Code]],ProductData[[Code]:[Item]],2,FALSE)</f>
        <v>Ultrathing V1</v>
      </c>
      <c r="P989" s="4">
        <f>OrganizedData[[#This Row],[Quantity]]*VLOOKUP(OrganizedData[[#This Row],[Product Code]],ProductData[],4,FALSE)</f>
        <v>1139</v>
      </c>
      <c r="Q989" s="6">
        <f>OrganizedData[[#This Row],[Total Items Ordered]]*VLOOKUP(OrganizedData[[#This Row],[Product Code]],ProductData[],3,FALSE)</f>
        <v>2038.81</v>
      </c>
      <c r="R9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1936.8694999999998</v>
      </c>
    </row>
    <row r="990" spans="1:18" x14ac:dyDescent="0.3">
      <c r="A990" s="2">
        <v>983</v>
      </c>
      <c r="B990" s="2" t="s">
        <v>668</v>
      </c>
      <c r="C990" s="2" t="s">
        <v>641</v>
      </c>
      <c r="D990" s="2" t="s">
        <v>28</v>
      </c>
      <c r="E990" s="2" t="s">
        <v>29</v>
      </c>
      <c r="F990" s="2">
        <v>30</v>
      </c>
      <c r="G990" s="2" t="s">
        <v>3317</v>
      </c>
      <c r="H990" s="2" t="s">
        <v>405</v>
      </c>
      <c r="I990" s="2" t="s">
        <v>32</v>
      </c>
      <c r="J990" s="3">
        <v>44470</v>
      </c>
      <c r="K990" s="5">
        <f>YEAR(OrganizedData[[#This Row],[Order Date]])</f>
        <v>2021</v>
      </c>
      <c r="L990" s="7" t="str">
        <f>TEXT(OrganizedData[[#This Row],[Order Date]],"mmm")</f>
        <v>Oct</v>
      </c>
      <c r="M990" s="2">
        <v>90</v>
      </c>
      <c r="N990" s="2" t="s">
        <v>39</v>
      </c>
      <c r="O990" s="2" t="str">
        <f>VLOOKUP(OrganizedData[[#This Row],[Product Code]],ProductData[[Code]:[Item]],2,FALSE)</f>
        <v>Ultrathing V1</v>
      </c>
      <c r="P990" s="4">
        <f>OrganizedData[[#This Row],[Quantity]]*VLOOKUP(OrganizedData[[#This Row],[Product Code]],ProductData[],4,FALSE)</f>
        <v>1530</v>
      </c>
      <c r="Q990" s="6">
        <f>OrganizedData[[#This Row],[Total Items Ordered]]*VLOOKUP(OrganizedData[[#This Row],[Product Code]],ProductData[],3,FALSE)</f>
        <v>2738.7000000000003</v>
      </c>
      <c r="R9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2601.7650000000003</v>
      </c>
    </row>
    <row r="991" spans="1:18" x14ac:dyDescent="0.3">
      <c r="A991" s="2">
        <v>984</v>
      </c>
      <c r="B991" s="2" t="s">
        <v>3318</v>
      </c>
      <c r="C991" s="2" t="s">
        <v>870</v>
      </c>
      <c r="D991" s="2" t="s">
        <v>51</v>
      </c>
      <c r="E991" s="2" t="s">
        <v>16</v>
      </c>
      <c r="F991" s="2">
        <v>60</v>
      </c>
      <c r="G991" s="2" t="s">
        <v>3319</v>
      </c>
      <c r="H991" s="2" t="s">
        <v>3320</v>
      </c>
      <c r="I991" s="2" t="s">
        <v>32</v>
      </c>
      <c r="J991" s="3">
        <v>44206</v>
      </c>
      <c r="K991" s="5">
        <f>YEAR(OrganizedData[[#This Row],[Order Date]])</f>
        <v>2021</v>
      </c>
      <c r="L991" s="7" t="str">
        <f>TEXT(OrganizedData[[#This Row],[Order Date]],"mmm")</f>
        <v>Jan</v>
      </c>
      <c r="M991" s="2">
        <v>4</v>
      </c>
      <c r="N991" s="2" t="s">
        <v>54</v>
      </c>
      <c r="O991" s="2" t="str">
        <f>VLOOKUP(OrganizedData[[#This Row],[Product Code]],ProductData[[Code]:[Item]],2,FALSE)</f>
        <v>Megawidget S</v>
      </c>
      <c r="P991" s="4">
        <f>OrganizedData[[#This Row],[Quantity]]*VLOOKUP(OrganizedData[[#This Row],[Product Code]],ProductData[],4,FALSE)</f>
        <v>96</v>
      </c>
      <c r="Q991" s="6">
        <f>OrganizedData[[#This Row],[Total Items Ordered]]*VLOOKUP(OrganizedData[[#This Row],[Product Code]],ProductData[],3,FALSE)</f>
        <v>66.239999999999995</v>
      </c>
      <c r="R9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992" spans="1:18" x14ac:dyDescent="0.3">
      <c r="A992" s="2">
        <v>985</v>
      </c>
      <c r="B992" s="2" t="s">
        <v>3321</v>
      </c>
      <c r="C992" s="2" t="s">
        <v>3322</v>
      </c>
      <c r="D992" s="2" t="s">
        <v>15</v>
      </c>
      <c r="E992" s="2" t="s">
        <v>16</v>
      </c>
      <c r="F992" s="2">
        <v>30</v>
      </c>
      <c r="G992" s="2" t="s">
        <v>10424</v>
      </c>
      <c r="H992" s="2" t="s">
        <v>3324</v>
      </c>
      <c r="I992" s="2" t="s">
        <v>32</v>
      </c>
      <c r="J992" s="3">
        <v>44773</v>
      </c>
      <c r="K992" s="5">
        <f>YEAR(OrganizedData[[#This Row],[Order Date]])</f>
        <v>2022</v>
      </c>
      <c r="L992" s="7" t="str">
        <f>TEXT(OrganizedData[[#This Row],[Order Date]],"mmm")</f>
        <v>Jul</v>
      </c>
      <c r="M992" s="2">
        <v>62</v>
      </c>
      <c r="N992" s="2" t="s">
        <v>20</v>
      </c>
      <c r="O992" s="2" t="str">
        <f>VLOOKUP(OrganizedData[[#This Row],[Product Code]],ProductData[[Code]:[Item]],2,FALSE)</f>
        <v>Hyperwotsit</v>
      </c>
      <c r="P992" s="4">
        <f>OrganizedData[[#This Row],[Quantity]]*VLOOKUP(OrganizedData[[#This Row],[Product Code]],ProductData[],4,FALSE)</f>
        <v>1240</v>
      </c>
      <c r="Q992" s="6">
        <f>OrganizedData[[#This Row],[Total Items Ordered]]*VLOOKUP(OrganizedData[[#This Row],[Product Code]],ProductData[],3,FALSE)</f>
        <v>2492.3999999999996</v>
      </c>
      <c r="R9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2367.7799999999997</v>
      </c>
    </row>
    <row r="993" spans="1:18" x14ac:dyDescent="0.3">
      <c r="A993" s="2">
        <v>986</v>
      </c>
      <c r="B993" s="2" t="s">
        <v>1569</v>
      </c>
      <c r="C993" s="2" t="s">
        <v>3325</v>
      </c>
      <c r="D993" s="2" t="s">
        <v>15</v>
      </c>
      <c r="E993" s="2" t="s">
        <v>16</v>
      </c>
      <c r="F993" s="2">
        <v>60</v>
      </c>
      <c r="G993" s="2" t="s">
        <v>3326</v>
      </c>
      <c r="H993" s="2" t="s">
        <v>3274</v>
      </c>
      <c r="I993" s="2" t="s">
        <v>32</v>
      </c>
      <c r="J993" s="3">
        <v>44058</v>
      </c>
      <c r="K993" s="5">
        <f>YEAR(OrganizedData[[#This Row],[Order Date]])</f>
        <v>2020</v>
      </c>
      <c r="L993" s="7" t="str">
        <f>TEXT(OrganizedData[[#This Row],[Order Date]],"mmm")</f>
        <v>Aug</v>
      </c>
      <c r="M993" s="2">
        <v>29</v>
      </c>
      <c r="N993" s="2" t="s">
        <v>54</v>
      </c>
      <c r="O993" s="2" t="str">
        <f>VLOOKUP(OrganizedData[[#This Row],[Product Code]],ProductData[[Code]:[Item]],2,FALSE)</f>
        <v>Megawidget S</v>
      </c>
      <c r="P993" s="4">
        <f>OrganizedData[[#This Row],[Quantity]]*VLOOKUP(OrganizedData[[#This Row],[Product Code]],ProductData[],4,FALSE)</f>
        <v>696</v>
      </c>
      <c r="Q993" s="6">
        <f>OrganizedData[[#This Row],[Total Items Ordered]]*VLOOKUP(OrganizedData[[#This Row],[Product Code]],ProductData[],3,FALSE)</f>
        <v>480.23999999999995</v>
      </c>
      <c r="R9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994" spans="1:18" x14ac:dyDescent="0.3">
      <c r="A994" s="2">
        <v>987</v>
      </c>
      <c r="B994" s="2" t="s">
        <v>3327</v>
      </c>
      <c r="C994" s="2" t="s">
        <v>1243</v>
      </c>
      <c r="D994" s="2" t="s">
        <v>51</v>
      </c>
      <c r="E994" s="2" t="s">
        <v>16</v>
      </c>
      <c r="F994" s="2">
        <v>90</v>
      </c>
      <c r="G994" s="2" t="s">
        <v>3328</v>
      </c>
      <c r="H994" s="2" t="s">
        <v>123</v>
      </c>
      <c r="I994" s="2" t="s">
        <v>124</v>
      </c>
      <c r="J994" s="3">
        <v>44067</v>
      </c>
      <c r="K994" s="5">
        <f>YEAR(OrganizedData[[#This Row],[Order Date]])</f>
        <v>2020</v>
      </c>
      <c r="L994" s="7" t="str">
        <f>TEXT(OrganizedData[[#This Row],[Order Date]],"mmm")</f>
        <v>Aug</v>
      </c>
      <c r="M994" s="2">
        <v>58</v>
      </c>
      <c r="N994" s="2" t="s">
        <v>33</v>
      </c>
      <c r="O994" s="2" t="str">
        <f>VLOOKUP(OrganizedData[[#This Row],[Product Code]],ProductData[[Code]:[Item]],2,FALSE)</f>
        <v>Megawidget L</v>
      </c>
      <c r="P994" s="4">
        <f>OrganizedData[[#This Row],[Quantity]]*VLOOKUP(OrganizedData[[#This Row],[Product Code]],ProductData[],4,FALSE)</f>
        <v>1392</v>
      </c>
      <c r="Q994" s="6">
        <f>OrganizedData[[#This Row],[Total Items Ordered]]*VLOOKUP(OrganizedData[[#This Row],[Product Code]],ProductData[],3,FALSE)</f>
        <v>2491.6799999999998</v>
      </c>
      <c r="R9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995" spans="1:18" x14ac:dyDescent="0.3">
      <c r="A995" s="2">
        <v>988</v>
      </c>
      <c r="B995" s="2" t="s">
        <v>3329</v>
      </c>
      <c r="C995" s="2" t="s">
        <v>3330</v>
      </c>
      <c r="D995" s="2" t="s">
        <v>28</v>
      </c>
      <c r="E995" s="2" t="s">
        <v>29</v>
      </c>
      <c r="F995" s="2">
        <v>30</v>
      </c>
      <c r="G995" s="2" t="s">
        <v>3331</v>
      </c>
      <c r="H995" s="2" t="s">
        <v>1768</v>
      </c>
      <c r="I995" s="2" t="s">
        <v>32</v>
      </c>
      <c r="J995" s="3">
        <v>44006</v>
      </c>
      <c r="K995" s="5">
        <f>YEAR(OrganizedData[[#This Row],[Order Date]])</f>
        <v>2020</v>
      </c>
      <c r="L995" s="7" t="str">
        <f>TEXT(OrganizedData[[#This Row],[Order Date]],"mmm")</f>
        <v>Jun</v>
      </c>
      <c r="M995" s="2">
        <v>42</v>
      </c>
      <c r="N995" s="2" t="s">
        <v>64</v>
      </c>
      <c r="O995" s="2" t="str">
        <f>VLOOKUP(OrganizedData[[#This Row],[Product Code]],ProductData[[Code]:[Item]],2,FALSE)</f>
        <v>Ultrathing V4</v>
      </c>
      <c r="P995" s="4">
        <f>OrganizedData[[#This Row],[Quantity]]*VLOOKUP(OrganizedData[[#This Row],[Product Code]],ProductData[],4,FALSE)</f>
        <v>1008</v>
      </c>
      <c r="Q995" s="6">
        <f>OrganizedData[[#This Row],[Total Items Ordered]]*VLOOKUP(OrganizedData[[#This Row],[Product Code]],ProductData[],3,FALSE)</f>
        <v>4021.92</v>
      </c>
      <c r="R9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996" spans="1:18" x14ac:dyDescent="0.3">
      <c r="A996" s="2">
        <v>989</v>
      </c>
      <c r="B996" s="2" t="s">
        <v>3332</v>
      </c>
      <c r="C996" s="2" t="s">
        <v>2888</v>
      </c>
      <c r="D996" s="2" t="s">
        <v>15</v>
      </c>
      <c r="E996" s="2" t="s">
        <v>16</v>
      </c>
      <c r="F996" s="2">
        <v>60</v>
      </c>
      <c r="G996" s="2" t="s">
        <v>3333</v>
      </c>
      <c r="H996" s="2" t="s">
        <v>3334</v>
      </c>
      <c r="I996" s="2" t="s">
        <v>32</v>
      </c>
      <c r="J996" s="3">
        <v>44718</v>
      </c>
      <c r="K996" s="5">
        <f>YEAR(OrganizedData[[#This Row],[Order Date]])</f>
        <v>2022</v>
      </c>
      <c r="L996" s="7" t="str">
        <f>TEXT(OrganizedData[[#This Row],[Order Date]],"mmm")</f>
        <v>Jun</v>
      </c>
      <c r="M996" s="2">
        <v>21</v>
      </c>
      <c r="N996" s="2" t="s">
        <v>20</v>
      </c>
      <c r="O996" s="2" t="str">
        <f>VLOOKUP(OrganizedData[[#This Row],[Product Code]],ProductData[[Code]:[Item]],2,FALSE)</f>
        <v>Hyperwotsit</v>
      </c>
      <c r="P996" s="4">
        <f>OrganizedData[[#This Row],[Quantity]]*VLOOKUP(OrganizedData[[#This Row],[Product Code]],ProductData[],4,FALSE)</f>
        <v>420</v>
      </c>
      <c r="Q996" s="6">
        <f>OrganizedData[[#This Row],[Total Items Ordered]]*VLOOKUP(OrganizedData[[#This Row],[Product Code]],ProductData[],3,FALSE)</f>
        <v>844.19999999999993</v>
      </c>
      <c r="R9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818.87399999999991</v>
      </c>
    </row>
    <row r="997" spans="1:18" x14ac:dyDescent="0.3">
      <c r="A997" s="2">
        <v>990</v>
      </c>
      <c r="B997" s="2" t="s">
        <v>3335</v>
      </c>
      <c r="C997" s="2" t="s">
        <v>3336</v>
      </c>
      <c r="D997" s="2" t="s">
        <v>28</v>
      </c>
      <c r="E997" s="2" t="s">
        <v>29</v>
      </c>
      <c r="F997" s="2">
        <v>60</v>
      </c>
      <c r="G997" s="2" t="s">
        <v>10479</v>
      </c>
      <c r="H997" s="2" t="s">
        <v>2325</v>
      </c>
      <c r="I997" s="2" t="s">
        <v>173</v>
      </c>
      <c r="J997" s="3">
        <v>44584</v>
      </c>
      <c r="K997" s="5">
        <f>YEAR(OrganizedData[[#This Row],[Order Date]])</f>
        <v>2022</v>
      </c>
      <c r="L997" s="7" t="str">
        <f>TEXT(OrganizedData[[#This Row],[Order Date]],"mmm")</f>
        <v>Jan</v>
      </c>
      <c r="M997" s="2">
        <v>33</v>
      </c>
      <c r="N997" s="2" t="s">
        <v>159</v>
      </c>
      <c r="O997" s="2" t="str">
        <f>VLOOKUP(OrganizedData[[#This Row],[Product Code]],ProductData[[Code]:[Item]],2,FALSE)</f>
        <v>Ultrathing V3</v>
      </c>
      <c r="P997" s="4">
        <f>OrganizedData[[#This Row],[Quantity]]*VLOOKUP(OrganizedData[[#This Row],[Product Code]],ProductData[],4,FALSE)</f>
        <v>792</v>
      </c>
      <c r="Q997" s="6">
        <f>OrganizedData[[#This Row],[Total Items Ordered]]*VLOOKUP(OrganizedData[[#This Row],[Product Code]],ProductData[],3,FALSE)</f>
        <v>2684.88</v>
      </c>
      <c r="R9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2604.3335999999999</v>
      </c>
    </row>
    <row r="998" spans="1:18" x14ac:dyDescent="0.3">
      <c r="A998" s="2">
        <v>991</v>
      </c>
      <c r="B998" s="2" t="s">
        <v>1027</v>
      </c>
      <c r="C998" s="2" t="s">
        <v>3338</v>
      </c>
      <c r="D998" s="2" t="s">
        <v>28</v>
      </c>
      <c r="E998" s="2" t="s">
        <v>29</v>
      </c>
      <c r="F998" s="2">
        <v>60</v>
      </c>
      <c r="G998" s="2" t="s">
        <v>3339</v>
      </c>
      <c r="H998" s="2" t="s">
        <v>78</v>
      </c>
      <c r="I998" s="2" t="s">
        <v>79</v>
      </c>
      <c r="J998" s="3">
        <v>44059</v>
      </c>
      <c r="K998" s="5">
        <f>YEAR(OrganizedData[[#This Row],[Order Date]])</f>
        <v>2020</v>
      </c>
      <c r="L998" s="7" t="str">
        <f>TEXT(OrganizedData[[#This Row],[Order Date]],"mmm")</f>
        <v>Aug</v>
      </c>
      <c r="M998" s="2">
        <v>15</v>
      </c>
      <c r="N998" s="2" t="s">
        <v>80</v>
      </c>
      <c r="O998" s="2" t="str">
        <f>VLOOKUP(OrganizedData[[#This Row],[Product Code]],ProductData[[Code]:[Item]],2,FALSE)</f>
        <v>Ultrathing V2</v>
      </c>
      <c r="P998" s="4">
        <f>OrganizedData[[#This Row],[Quantity]]*VLOOKUP(OrganizedData[[#This Row],[Product Code]],ProductData[],4,FALSE)</f>
        <v>300</v>
      </c>
      <c r="Q998" s="6">
        <f>OrganizedData[[#This Row],[Total Items Ordered]]*VLOOKUP(OrganizedData[[#This Row],[Product Code]],ProductData[],3,FALSE)</f>
        <v>885</v>
      </c>
      <c r="R9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999" spans="1:18" x14ac:dyDescent="0.3">
      <c r="A999" s="2">
        <v>992</v>
      </c>
      <c r="B999" s="2" t="s">
        <v>3340</v>
      </c>
      <c r="C999" s="2" t="s">
        <v>3341</v>
      </c>
      <c r="D999" s="2" t="s">
        <v>15</v>
      </c>
      <c r="E999" s="2" t="s">
        <v>16</v>
      </c>
      <c r="F999" s="2">
        <v>60</v>
      </c>
      <c r="G999" s="2" t="s">
        <v>3342</v>
      </c>
      <c r="H999" s="2" t="s">
        <v>3343</v>
      </c>
      <c r="I999" s="2" t="s">
        <v>1199</v>
      </c>
      <c r="J999" s="3">
        <v>44060</v>
      </c>
      <c r="K999" s="5">
        <f>YEAR(OrganizedData[[#This Row],[Order Date]])</f>
        <v>2020</v>
      </c>
      <c r="L999" s="7" t="str">
        <f>TEXT(OrganizedData[[#This Row],[Order Date]],"mmm")</f>
        <v>Aug</v>
      </c>
      <c r="M999" s="2">
        <v>57</v>
      </c>
      <c r="N999" s="2" t="s">
        <v>39</v>
      </c>
      <c r="O999" s="2" t="str">
        <f>VLOOKUP(OrganizedData[[#This Row],[Product Code]],ProductData[[Code]:[Item]],2,FALSE)</f>
        <v>Ultrathing V1</v>
      </c>
      <c r="P999" s="4">
        <f>OrganizedData[[#This Row],[Quantity]]*VLOOKUP(OrganizedData[[#This Row],[Product Code]],ProductData[],4,FALSE)</f>
        <v>969</v>
      </c>
      <c r="Q999" s="6">
        <f>OrganizedData[[#This Row],[Total Items Ordered]]*VLOOKUP(OrganizedData[[#This Row],[Product Code]],ProductData[],3,FALSE)</f>
        <v>1734.51</v>
      </c>
      <c r="R9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1000" spans="1:18" x14ac:dyDescent="0.3">
      <c r="A1000" s="2">
        <v>993</v>
      </c>
      <c r="B1000" s="2" t="s">
        <v>2919</v>
      </c>
      <c r="C1000" s="2" t="s">
        <v>2428</v>
      </c>
      <c r="D1000" s="2" t="s">
        <v>28</v>
      </c>
      <c r="E1000" s="2" t="s">
        <v>29</v>
      </c>
      <c r="F1000" s="2">
        <v>60</v>
      </c>
      <c r="G1000" s="2" t="s">
        <v>3342</v>
      </c>
      <c r="H1000" s="2" t="s">
        <v>966</v>
      </c>
      <c r="I1000" s="2" t="s">
        <v>187</v>
      </c>
      <c r="J1000" s="3">
        <v>44048</v>
      </c>
      <c r="K1000" s="5">
        <f>YEAR(OrganizedData[[#This Row],[Order Date]])</f>
        <v>2020</v>
      </c>
      <c r="L1000" s="7" t="str">
        <f>TEXT(OrganizedData[[#This Row],[Order Date]],"mmm")</f>
        <v>Aug</v>
      </c>
      <c r="M1000" s="2">
        <v>50</v>
      </c>
      <c r="N1000" s="2" t="s">
        <v>33</v>
      </c>
      <c r="O1000" s="2" t="str">
        <f>VLOOKUP(OrganizedData[[#This Row],[Product Code]],ProductData[[Code]:[Item]],2,FALSE)</f>
        <v>Megawidget L</v>
      </c>
      <c r="P1000" s="4">
        <f>OrganizedData[[#This Row],[Quantity]]*VLOOKUP(OrganizedData[[#This Row],[Product Code]],ProductData[],4,FALSE)</f>
        <v>1200</v>
      </c>
      <c r="Q1000" s="6">
        <f>OrganizedData[[#This Row],[Total Items Ordered]]*VLOOKUP(OrganizedData[[#This Row],[Product Code]],ProductData[],3,FALSE)</f>
        <v>2148</v>
      </c>
      <c r="R10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1001" spans="1:18" x14ac:dyDescent="0.3">
      <c r="A1001" s="2">
        <v>994</v>
      </c>
      <c r="B1001" s="2" t="s">
        <v>65</v>
      </c>
      <c r="C1001" s="2" t="s">
        <v>1756</v>
      </c>
      <c r="D1001" s="2" t="s">
        <v>51</v>
      </c>
      <c r="E1001" s="2" t="s">
        <v>16</v>
      </c>
      <c r="F1001" s="2">
        <v>90</v>
      </c>
      <c r="G1001" s="2" t="s">
        <v>3344</v>
      </c>
      <c r="H1001" s="2" t="s">
        <v>2012</v>
      </c>
      <c r="I1001" s="2" t="s">
        <v>32</v>
      </c>
      <c r="J1001" s="3">
        <v>43952</v>
      </c>
      <c r="K1001" s="5">
        <f>YEAR(OrganizedData[[#This Row],[Order Date]])</f>
        <v>2020</v>
      </c>
      <c r="L1001" s="7" t="str">
        <f>TEXT(OrganizedData[[#This Row],[Order Date]],"mmm")</f>
        <v>May</v>
      </c>
      <c r="M1001" s="2">
        <v>47</v>
      </c>
      <c r="N1001" s="2" t="s">
        <v>70</v>
      </c>
      <c r="O1001" s="2" t="str">
        <f>VLOOKUP(OrganizedData[[#This Row],[Product Code]],ProductData[[Code]:[Item]],2,FALSE)</f>
        <v>Megawidget M</v>
      </c>
      <c r="P1001" s="4">
        <f>OrganizedData[[#This Row],[Quantity]]*VLOOKUP(OrganizedData[[#This Row],[Product Code]],ProductData[],4,FALSE)</f>
        <v>1128</v>
      </c>
      <c r="Q1001" s="6">
        <f>OrganizedData[[#This Row],[Total Items Ordered]]*VLOOKUP(OrganizedData[[#This Row],[Product Code]],ProductData[],3,FALSE)</f>
        <v>1455.1200000000001</v>
      </c>
      <c r="R10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1002" spans="1:18" x14ac:dyDescent="0.3">
      <c r="A1002" s="2">
        <v>995</v>
      </c>
      <c r="B1002" s="2" t="s">
        <v>3345</v>
      </c>
      <c r="C1002" s="2" t="s">
        <v>3346</v>
      </c>
      <c r="D1002" s="2" t="s">
        <v>28</v>
      </c>
      <c r="E1002" s="2" t="s">
        <v>29</v>
      </c>
      <c r="F1002" s="2">
        <v>30</v>
      </c>
      <c r="G1002" s="2" t="s">
        <v>3347</v>
      </c>
      <c r="H1002" s="2" t="s">
        <v>1011</v>
      </c>
      <c r="I1002" s="2" t="s">
        <v>32</v>
      </c>
      <c r="J1002" s="3">
        <v>43972</v>
      </c>
      <c r="K1002" s="5">
        <f>YEAR(OrganizedData[[#This Row],[Order Date]])</f>
        <v>2020</v>
      </c>
      <c r="L1002" s="7" t="str">
        <f>TEXT(OrganizedData[[#This Row],[Order Date]],"mmm")</f>
        <v>May</v>
      </c>
      <c r="M1002" s="2">
        <v>51</v>
      </c>
      <c r="N1002" s="2" t="s">
        <v>80</v>
      </c>
      <c r="O1002" s="2" t="str">
        <f>VLOOKUP(OrganizedData[[#This Row],[Product Code]],ProductData[[Code]:[Item]],2,FALSE)</f>
        <v>Ultrathing V2</v>
      </c>
      <c r="P1002" s="4">
        <f>OrganizedData[[#This Row],[Quantity]]*VLOOKUP(OrganizedData[[#This Row],[Product Code]],ProductData[],4,FALSE)</f>
        <v>1020</v>
      </c>
      <c r="Q1002" s="6">
        <f>OrganizedData[[#This Row],[Total Items Ordered]]*VLOOKUP(OrganizedData[[#This Row],[Product Code]],ProductData[],3,FALSE)</f>
        <v>3009</v>
      </c>
      <c r="R10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1003" spans="1:18" x14ac:dyDescent="0.3">
      <c r="A1003" s="2">
        <v>996</v>
      </c>
      <c r="B1003" s="2" t="s">
        <v>2398</v>
      </c>
      <c r="C1003" s="2" t="s">
        <v>3348</v>
      </c>
      <c r="D1003" s="2" t="s">
        <v>28</v>
      </c>
      <c r="E1003" s="2" t="s">
        <v>29</v>
      </c>
      <c r="F1003" s="2">
        <v>30</v>
      </c>
      <c r="G1003" s="2" t="s">
        <v>3349</v>
      </c>
      <c r="H1003" s="2" t="s">
        <v>1512</v>
      </c>
      <c r="I1003" s="2" t="s">
        <v>25</v>
      </c>
      <c r="J1003" s="3">
        <v>44120</v>
      </c>
      <c r="K1003" s="5">
        <f>YEAR(OrganizedData[[#This Row],[Order Date]])</f>
        <v>2020</v>
      </c>
      <c r="L1003" s="7" t="str">
        <f>TEXT(OrganizedData[[#This Row],[Order Date]],"mmm")</f>
        <v>Oct</v>
      </c>
      <c r="M1003" s="2">
        <v>74</v>
      </c>
      <c r="N1003" s="2" t="s">
        <v>101</v>
      </c>
      <c r="O1003" s="2" t="str">
        <f>VLOOKUP(OrganizedData[[#This Row],[Product Code]],ProductData[[Code]:[Item]],2,FALSE)</f>
        <v>Superwossname</v>
      </c>
      <c r="P1003" s="4">
        <f>OrganizedData[[#This Row],[Quantity]]*VLOOKUP(OrganizedData[[#This Row],[Product Code]],ProductData[],4,FALSE)</f>
        <v>1480</v>
      </c>
      <c r="Q1003" s="6">
        <f>OrganizedData[[#This Row],[Total Items Ordered]]*VLOOKUP(OrganizedData[[#This Row],[Product Code]],ProductData[],3,FALSE)</f>
        <v>5165.2000000000007</v>
      </c>
      <c r="R10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4906.9400000000005</v>
      </c>
    </row>
    <row r="1004" spans="1:18" x14ac:dyDescent="0.3">
      <c r="A1004" s="2">
        <v>997</v>
      </c>
      <c r="B1004" s="2" t="s">
        <v>2840</v>
      </c>
      <c r="C1004" s="2" t="s">
        <v>3350</v>
      </c>
      <c r="D1004" s="2" t="s">
        <v>28</v>
      </c>
      <c r="E1004" s="2" t="s">
        <v>29</v>
      </c>
      <c r="F1004" s="2">
        <v>90</v>
      </c>
      <c r="G1004" s="2" t="s">
        <v>3349</v>
      </c>
      <c r="H1004" s="2" t="s">
        <v>3351</v>
      </c>
      <c r="I1004" s="2" t="s">
        <v>32</v>
      </c>
      <c r="J1004" s="3">
        <v>44174</v>
      </c>
      <c r="K1004" s="5">
        <f>YEAR(OrganizedData[[#This Row],[Order Date]])</f>
        <v>2020</v>
      </c>
      <c r="L1004" s="7" t="str">
        <f>TEXT(OrganizedData[[#This Row],[Order Date]],"mmm")</f>
        <v>Dec</v>
      </c>
      <c r="M1004" s="2">
        <v>44</v>
      </c>
      <c r="N1004" s="2" t="s">
        <v>45</v>
      </c>
      <c r="O1004" s="2" t="str">
        <f>VLOOKUP(OrganizedData[[#This Row],[Product Code]],ProductData[[Code]:[Item]],2,FALSE)</f>
        <v>Gigastuff</v>
      </c>
      <c r="P1004" s="4">
        <f>OrganizedData[[#This Row],[Quantity]]*VLOOKUP(OrganizedData[[#This Row],[Product Code]],ProductData[],4,FALSE)</f>
        <v>792</v>
      </c>
      <c r="Q1004" s="6">
        <f>OrganizedData[[#This Row],[Total Items Ordered]]*VLOOKUP(OrganizedData[[#This Row],[Product Code]],ProductData[],3,FALSE)</f>
        <v>1496.8799999999999</v>
      </c>
      <c r="R10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1451.9735999999998</v>
      </c>
    </row>
    <row r="1005" spans="1:18" x14ac:dyDescent="0.3">
      <c r="A1005" s="2">
        <v>998</v>
      </c>
      <c r="B1005" s="2" t="s">
        <v>1225</v>
      </c>
      <c r="C1005" s="2" t="s">
        <v>3352</v>
      </c>
      <c r="D1005" s="2" t="s">
        <v>28</v>
      </c>
      <c r="E1005" s="2" t="s">
        <v>29</v>
      </c>
      <c r="F1005" s="2">
        <v>30</v>
      </c>
      <c r="G1005" s="2" t="s">
        <v>3353</v>
      </c>
      <c r="H1005" s="2" t="s">
        <v>3161</v>
      </c>
      <c r="I1005" s="2" t="s">
        <v>32</v>
      </c>
      <c r="J1005" s="3">
        <v>44817</v>
      </c>
      <c r="K1005" s="5">
        <f>YEAR(OrganizedData[[#This Row],[Order Date]])</f>
        <v>2022</v>
      </c>
      <c r="L1005" s="7" t="str">
        <f>TEXT(OrganizedData[[#This Row],[Order Date]],"mmm")</f>
        <v>Sep</v>
      </c>
      <c r="M1005" s="2">
        <v>28</v>
      </c>
      <c r="N1005" s="2" t="s">
        <v>20</v>
      </c>
      <c r="O1005" s="2" t="str">
        <f>VLOOKUP(OrganizedData[[#This Row],[Product Code]],ProductData[[Code]:[Item]],2,FALSE)</f>
        <v>Hyperwotsit</v>
      </c>
      <c r="P1005" s="4">
        <f>OrganizedData[[#This Row],[Quantity]]*VLOOKUP(OrganizedData[[#This Row],[Product Code]],ProductData[],4,FALSE)</f>
        <v>560</v>
      </c>
      <c r="Q1005" s="6">
        <f>OrganizedData[[#This Row],[Total Items Ordered]]*VLOOKUP(OrganizedData[[#This Row],[Product Code]],ProductData[],3,FALSE)</f>
        <v>1125.5999999999999</v>
      </c>
      <c r="R10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1091.8319999999999</v>
      </c>
    </row>
    <row r="1006" spans="1:18" x14ac:dyDescent="0.3">
      <c r="A1006" s="2">
        <v>999</v>
      </c>
      <c r="B1006" s="2" t="s">
        <v>3117</v>
      </c>
      <c r="C1006" s="2" t="s">
        <v>3354</v>
      </c>
      <c r="D1006" s="2" t="s">
        <v>28</v>
      </c>
      <c r="E1006" s="2" t="s">
        <v>29</v>
      </c>
      <c r="F1006" s="2">
        <v>90</v>
      </c>
      <c r="G1006" s="2" t="s">
        <v>3355</v>
      </c>
      <c r="H1006" s="2" t="s">
        <v>3356</v>
      </c>
      <c r="I1006" s="2" t="s">
        <v>32</v>
      </c>
      <c r="J1006" s="3">
        <v>44063</v>
      </c>
      <c r="K1006" s="5">
        <f>YEAR(OrganizedData[[#This Row],[Order Date]])</f>
        <v>2020</v>
      </c>
      <c r="L1006" s="7" t="str">
        <f>TEXT(OrganizedData[[#This Row],[Order Date]],"mmm")</f>
        <v>Aug</v>
      </c>
      <c r="M1006" s="2">
        <v>78</v>
      </c>
      <c r="N1006" s="2" t="s">
        <v>39</v>
      </c>
      <c r="O1006" s="2" t="str">
        <f>VLOOKUP(OrganizedData[[#This Row],[Product Code]],ProductData[[Code]:[Item]],2,FALSE)</f>
        <v>Ultrathing V1</v>
      </c>
      <c r="P1006" s="4">
        <f>OrganizedData[[#This Row],[Quantity]]*VLOOKUP(OrganizedData[[#This Row],[Product Code]],ProductData[],4,FALSE)</f>
        <v>1326</v>
      </c>
      <c r="Q1006" s="6">
        <f>OrganizedData[[#This Row],[Total Items Ordered]]*VLOOKUP(OrganizedData[[#This Row],[Product Code]],ProductData[],3,FALSE)</f>
        <v>2373.54</v>
      </c>
      <c r="R10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2254.8629999999998</v>
      </c>
    </row>
    <row r="1007" spans="1:18" x14ac:dyDescent="0.3">
      <c r="A1007" s="2">
        <v>1000</v>
      </c>
      <c r="B1007" s="2" t="s">
        <v>2556</v>
      </c>
      <c r="C1007" s="2" t="s">
        <v>3357</v>
      </c>
      <c r="D1007" s="2" t="s">
        <v>28</v>
      </c>
      <c r="E1007" s="2" t="s">
        <v>29</v>
      </c>
      <c r="F1007" s="2">
        <v>30</v>
      </c>
      <c r="G1007" s="2" t="s">
        <v>3358</v>
      </c>
      <c r="H1007" s="2" t="s">
        <v>3024</v>
      </c>
      <c r="I1007" s="2" t="s">
        <v>32</v>
      </c>
      <c r="J1007" s="3">
        <v>44012</v>
      </c>
      <c r="K1007" s="5">
        <f>YEAR(OrganizedData[[#This Row],[Order Date]])</f>
        <v>2020</v>
      </c>
      <c r="L1007" s="7" t="str">
        <f>TEXT(OrganizedData[[#This Row],[Order Date]],"mmm")</f>
        <v>Jun</v>
      </c>
      <c r="M1007" s="2">
        <v>80</v>
      </c>
      <c r="N1007" s="2" t="s">
        <v>70</v>
      </c>
      <c r="O1007" s="2" t="str">
        <f>VLOOKUP(OrganizedData[[#This Row],[Product Code]],ProductData[[Code]:[Item]],2,FALSE)</f>
        <v>Megawidget M</v>
      </c>
      <c r="P1007" s="4">
        <f>OrganizedData[[#This Row],[Quantity]]*VLOOKUP(OrganizedData[[#This Row],[Product Code]],ProductData[],4,FALSE)</f>
        <v>1920</v>
      </c>
      <c r="Q1007" s="6">
        <f>OrganizedData[[#This Row],[Total Items Ordered]]*VLOOKUP(OrganizedData[[#This Row],[Product Code]],ProductData[],3,FALSE)</f>
        <v>2476.8000000000002</v>
      </c>
      <c r="R10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2352.96</v>
      </c>
    </row>
    <row r="1008" spans="1:18" x14ac:dyDescent="0.3">
      <c r="A1008" s="2">
        <v>1001</v>
      </c>
      <c r="B1008" s="2" t="s">
        <v>2540</v>
      </c>
      <c r="C1008" s="2" t="s">
        <v>3359</v>
      </c>
      <c r="D1008" s="2" t="s">
        <v>28</v>
      </c>
      <c r="E1008" s="2" t="s">
        <v>29</v>
      </c>
      <c r="F1008" s="2">
        <v>90</v>
      </c>
      <c r="G1008" s="2" t="s">
        <v>3360</v>
      </c>
      <c r="H1008" s="2" t="s">
        <v>3361</v>
      </c>
      <c r="I1008" s="2" t="s">
        <v>95</v>
      </c>
      <c r="J1008" s="3">
        <v>44769</v>
      </c>
      <c r="K1008" s="5">
        <f>YEAR(OrganizedData[[#This Row],[Order Date]])</f>
        <v>2022</v>
      </c>
      <c r="L1008" s="7" t="str">
        <f>TEXT(OrganizedData[[#This Row],[Order Date]],"mmm")</f>
        <v>Jul</v>
      </c>
      <c r="M1008" s="2">
        <v>74</v>
      </c>
      <c r="N1008" s="2" t="s">
        <v>80</v>
      </c>
      <c r="O1008" s="2" t="str">
        <f>VLOOKUP(OrganizedData[[#This Row],[Product Code]],ProductData[[Code]:[Item]],2,FALSE)</f>
        <v>Ultrathing V2</v>
      </c>
      <c r="P1008" s="4">
        <f>OrganizedData[[#This Row],[Quantity]]*VLOOKUP(OrganizedData[[#This Row],[Product Code]],ProductData[],4,FALSE)</f>
        <v>1480</v>
      </c>
      <c r="Q1008" s="6">
        <f>OrganizedData[[#This Row],[Total Items Ordered]]*VLOOKUP(OrganizedData[[#This Row],[Product Code]],ProductData[],3,FALSE)</f>
        <v>4366</v>
      </c>
      <c r="R10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4147.7</v>
      </c>
    </row>
    <row r="1009" spans="1:18" x14ac:dyDescent="0.3">
      <c r="A1009" s="2">
        <v>1002</v>
      </c>
      <c r="B1009" s="2" t="s">
        <v>3362</v>
      </c>
      <c r="C1009" s="2" t="s">
        <v>3363</v>
      </c>
      <c r="D1009" s="2" t="s">
        <v>28</v>
      </c>
      <c r="E1009" s="2" t="s">
        <v>29</v>
      </c>
      <c r="F1009" s="2">
        <v>60</v>
      </c>
      <c r="G1009" s="2" t="s">
        <v>3364</v>
      </c>
      <c r="H1009" s="2" t="s">
        <v>3365</v>
      </c>
      <c r="I1009" s="2" t="s">
        <v>146</v>
      </c>
      <c r="J1009" s="3">
        <v>44738</v>
      </c>
      <c r="K1009" s="5">
        <f>YEAR(OrganizedData[[#This Row],[Order Date]])</f>
        <v>2022</v>
      </c>
      <c r="L1009" s="7" t="str">
        <f>TEXT(OrganizedData[[#This Row],[Order Date]],"mmm")</f>
        <v>Jun</v>
      </c>
      <c r="M1009" s="2">
        <v>62</v>
      </c>
      <c r="N1009" s="2" t="s">
        <v>54</v>
      </c>
      <c r="O1009" s="2" t="str">
        <f>VLOOKUP(OrganizedData[[#This Row],[Product Code]],ProductData[[Code]:[Item]],2,FALSE)</f>
        <v>Megawidget S</v>
      </c>
      <c r="P1009" s="4">
        <f>OrganizedData[[#This Row],[Quantity]]*VLOOKUP(OrganizedData[[#This Row],[Product Code]],ProductData[],4,FALSE)</f>
        <v>1488</v>
      </c>
      <c r="Q1009" s="6">
        <f>OrganizedData[[#This Row],[Total Items Ordered]]*VLOOKUP(OrganizedData[[#This Row],[Product Code]],ProductData[],3,FALSE)</f>
        <v>1026.72</v>
      </c>
      <c r="R10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975.38400000000001</v>
      </c>
    </row>
    <row r="1010" spans="1:18" x14ac:dyDescent="0.3">
      <c r="A1010" s="2">
        <v>1003</v>
      </c>
      <c r="B1010" s="2" t="s">
        <v>3366</v>
      </c>
      <c r="C1010" s="2" t="s">
        <v>783</v>
      </c>
      <c r="D1010" s="2" t="s">
        <v>621</v>
      </c>
      <c r="E1010" s="2" t="s">
        <v>29</v>
      </c>
      <c r="F1010" s="2">
        <v>30</v>
      </c>
      <c r="G1010" s="2" t="s">
        <v>3367</v>
      </c>
      <c r="H1010" s="2" t="s">
        <v>139</v>
      </c>
      <c r="I1010" s="2" t="s">
        <v>2593</v>
      </c>
      <c r="J1010" s="3">
        <v>44513</v>
      </c>
      <c r="K1010" s="5">
        <f>YEAR(OrganizedData[[#This Row],[Order Date]])</f>
        <v>2021</v>
      </c>
      <c r="L1010" s="7" t="str">
        <f>TEXT(OrganizedData[[#This Row],[Order Date]],"mmm")</f>
        <v>Nov</v>
      </c>
      <c r="M1010" s="2">
        <v>55</v>
      </c>
      <c r="N1010" s="2" t="s">
        <v>45</v>
      </c>
      <c r="O1010" s="2" t="str">
        <f>VLOOKUP(OrganizedData[[#This Row],[Product Code]],ProductData[[Code]:[Item]],2,FALSE)</f>
        <v>Gigastuff</v>
      </c>
      <c r="P1010" s="4">
        <f>OrganizedData[[#This Row],[Quantity]]*VLOOKUP(OrganizedData[[#This Row],[Product Code]],ProductData[],4,FALSE)</f>
        <v>990</v>
      </c>
      <c r="Q1010" s="6">
        <f>OrganizedData[[#This Row],[Total Items Ordered]]*VLOOKUP(OrganizedData[[#This Row],[Product Code]],ProductData[],3,FALSE)</f>
        <v>1871.1</v>
      </c>
      <c r="R10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1011" spans="1:18" x14ac:dyDescent="0.3">
      <c r="A1011" s="2">
        <v>1004</v>
      </c>
      <c r="B1011" s="2" t="s">
        <v>3368</v>
      </c>
      <c r="C1011" s="2" t="s">
        <v>3369</v>
      </c>
      <c r="D1011" s="2" t="s">
        <v>51</v>
      </c>
      <c r="E1011" s="2" t="s">
        <v>16</v>
      </c>
      <c r="F1011" s="2">
        <v>90</v>
      </c>
      <c r="G1011" s="2" t="s">
        <v>3367</v>
      </c>
      <c r="H1011" s="2" t="s">
        <v>2516</v>
      </c>
      <c r="I1011" s="2" t="s">
        <v>32</v>
      </c>
      <c r="J1011" s="3">
        <v>44526</v>
      </c>
      <c r="K1011" s="5">
        <f>YEAR(OrganizedData[[#This Row],[Order Date]])</f>
        <v>2021</v>
      </c>
      <c r="L1011" s="7" t="str">
        <f>TEXT(OrganizedData[[#This Row],[Order Date]],"mmm")</f>
        <v>Nov</v>
      </c>
      <c r="M1011" s="2">
        <v>20</v>
      </c>
      <c r="N1011" s="2" t="s">
        <v>80</v>
      </c>
      <c r="O1011" s="2" t="str">
        <f>VLOOKUP(OrganizedData[[#This Row],[Product Code]],ProductData[[Code]:[Item]],2,FALSE)</f>
        <v>Ultrathing V2</v>
      </c>
      <c r="P1011" s="4">
        <f>OrganizedData[[#This Row],[Quantity]]*VLOOKUP(OrganizedData[[#This Row],[Product Code]],ProductData[],4,FALSE)</f>
        <v>400</v>
      </c>
      <c r="Q1011" s="6">
        <f>OrganizedData[[#This Row],[Total Items Ordered]]*VLOOKUP(OrganizedData[[#This Row],[Product Code]],ProductData[],3,FALSE)</f>
        <v>1180</v>
      </c>
      <c r="R10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v>
      </c>
    </row>
    <row r="1012" spans="1:18" x14ac:dyDescent="0.3">
      <c r="A1012" s="2">
        <v>1005</v>
      </c>
      <c r="B1012" s="2" t="s">
        <v>3370</v>
      </c>
      <c r="C1012" s="2" t="s">
        <v>3371</v>
      </c>
      <c r="D1012" s="2" t="s">
        <v>28</v>
      </c>
      <c r="E1012" s="2" t="s">
        <v>29</v>
      </c>
      <c r="F1012" s="2">
        <v>60</v>
      </c>
      <c r="G1012" s="2" t="s">
        <v>3372</v>
      </c>
      <c r="H1012" s="2" t="s">
        <v>3373</v>
      </c>
      <c r="I1012" s="2" t="s">
        <v>32</v>
      </c>
      <c r="J1012" s="3">
        <v>44221</v>
      </c>
      <c r="K1012" s="5">
        <f>YEAR(OrganizedData[[#This Row],[Order Date]])</f>
        <v>2021</v>
      </c>
      <c r="L1012" s="7" t="str">
        <f>TEXT(OrganizedData[[#This Row],[Order Date]],"mmm")</f>
        <v>Jan</v>
      </c>
      <c r="M1012" s="2">
        <v>92</v>
      </c>
      <c r="N1012" s="2" t="s">
        <v>39</v>
      </c>
      <c r="O1012" s="2" t="str">
        <f>VLOOKUP(OrganizedData[[#This Row],[Product Code]],ProductData[[Code]:[Item]],2,FALSE)</f>
        <v>Ultrathing V1</v>
      </c>
      <c r="P1012" s="4">
        <f>OrganizedData[[#This Row],[Quantity]]*VLOOKUP(OrganizedData[[#This Row],[Product Code]],ProductData[],4,FALSE)</f>
        <v>1564</v>
      </c>
      <c r="Q1012" s="6">
        <f>OrganizedData[[#This Row],[Total Items Ordered]]*VLOOKUP(OrganizedData[[#This Row],[Product Code]],ProductData[],3,FALSE)</f>
        <v>2799.56</v>
      </c>
      <c r="R10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2659.5819999999999</v>
      </c>
    </row>
    <row r="1013" spans="1:18" x14ac:dyDescent="0.3">
      <c r="A1013" s="2">
        <v>1006</v>
      </c>
      <c r="B1013" s="2" t="s">
        <v>3374</v>
      </c>
      <c r="C1013" s="2" t="s">
        <v>3375</v>
      </c>
      <c r="D1013" s="2" t="s">
        <v>15</v>
      </c>
      <c r="E1013" s="2" t="s">
        <v>16</v>
      </c>
      <c r="F1013" s="2">
        <v>60</v>
      </c>
      <c r="G1013" s="2" t="s">
        <v>3376</v>
      </c>
      <c r="H1013" s="2" t="s">
        <v>3377</v>
      </c>
      <c r="I1013" s="2" t="s">
        <v>32</v>
      </c>
      <c r="J1013" s="3">
        <v>44703</v>
      </c>
      <c r="K1013" s="5">
        <f>YEAR(OrganizedData[[#This Row],[Order Date]])</f>
        <v>2022</v>
      </c>
      <c r="L1013" s="7" t="str">
        <f>TEXT(OrganizedData[[#This Row],[Order Date]],"mmm")</f>
        <v>May</v>
      </c>
      <c r="M1013" s="2">
        <v>58</v>
      </c>
      <c r="N1013" s="2" t="s">
        <v>45</v>
      </c>
      <c r="O1013" s="2" t="str">
        <f>VLOOKUP(OrganizedData[[#This Row],[Product Code]],ProductData[[Code]:[Item]],2,FALSE)</f>
        <v>Gigastuff</v>
      </c>
      <c r="P1013" s="4">
        <f>OrganizedData[[#This Row],[Quantity]]*VLOOKUP(OrganizedData[[#This Row],[Product Code]],ProductData[],4,FALSE)</f>
        <v>1044</v>
      </c>
      <c r="Q1013" s="6">
        <f>OrganizedData[[#This Row],[Total Items Ordered]]*VLOOKUP(OrganizedData[[#This Row],[Product Code]],ProductData[],3,FALSE)</f>
        <v>1973.1599999999999</v>
      </c>
      <c r="R10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1874.5019999999997</v>
      </c>
    </row>
    <row r="1014" spans="1:18" x14ac:dyDescent="0.3">
      <c r="A1014" s="2">
        <v>1007</v>
      </c>
      <c r="B1014" s="2" t="s">
        <v>3378</v>
      </c>
      <c r="C1014" s="2" t="s">
        <v>3379</v>
      </c>
      <c r="D1014" s="2" t="s">
        <v>51</v>
      </c>
      <c r="E1014" s="2" t="s">
        <v>16</v>
      </c>
      <c r="F1014" s="2">
        <v>90</v>
      </c>
      <c r="G1014" s="2" t="s">
        <v>3380</v>
      </c>
      <c r="H1014" s="2" t="s">
        <v>1347</v>
      </c>
      <c r="I1014" s="2" t="s">
        <v>32</v>
      </c>
      <c r="J1014" s="3">
        <v>44827</v>
      </c>
      <c r="K1014" s="5">
        <f>YEAR(OrganizedData[[#This Row],[Order Date]])</f>
        <v>2022</v>
      </c>
      <c r="L1014" s="7" t="str">
        <f>TEXT(OrganizedData[[#This Row],[Order Date]],"mmm")</f>
        <v>Sep</v>
      </c>
      <c r="M1014" s="2">
        <v>51</v>
      </c>
      <c r="N1014" s="2" t="s">
        <v>39</v>
      </c>
      <c r="O1014" s="2" t="str">
        <f>VLOOKUP(OrganizedData[[#This Row],[Product Code]],ProductData[[Code]:[Item]],2,FALSE)</f>
        <v>Ultrathing V1</v>
      </c>
      <c r="P1014" s="4">
        <f>OrganizedData[[#This Row],[Quantity]]*VLOOKUP(OrganizedData[[#This Row],[Product Code]],ProductData[],4,FALSE)</f>
        <v>867</v>
      </c>
      <c r="Q1014" s="6">
        <f>OrganizedData[[#This Row],[Total Items Ordered]]*VLOOKUP(OrganizedData[[#This Row],[Product Code]],ProductData[],3,FALSE)</f>
        <v>1551.93</v>
      </c>
      <c r="R10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1474.3335</v>
      </c>
    </row>
    <row r="1015" spans="1:18" x14ac:dyDescent="0.3">
      <c r="A1015" s="2">
        <v>1008</v>
      </c>
      <c r="B1015" s="2" t="s">
        <v>3381</v>
      </c>
      <c r="C1015" s="2" t="s">
        <v>3382</v>
      </c>
      <c r="D1015" s="2" t="s">
        <v>51</v>
      </c>
      <c r="E1015" s="2" t="s">
        <v>16</v>
      </c>
      <c r="F1015" s="2">
        <v>90</v>
      </c>
      <c r="G1015" s="2" t="s">
        <v>3383</v>
      </c>
      <c r="H1015" s="2" t="s">
        <v>3384</v>
      </c>
      <c r="I1015" s="2" t="s">
        <v>32</v>
      </c>
      <c r="J1015" s="3">
        <v>44549</v>
      </c>
      <c r="K1015" s="5">
        <f>YEAR(OrganizedData[[#This Row],[Order Date]])</f>
        <v>2021</v>
      </c>
      <c r="L1015" s="7" t="str">
        <f>TEXT(OrganizedData[[#This Row],[Order Date]],"mmm")</f>
        <v>Dec</v>
      </c>
      <c r="M1015" s="2">
        <v>31</v>
      </c>
      <c r="N1015" s="2" t="s">
        <v>20</v>
      </c>
      <c r="O1015" s="2" t="str">
        <f>VLOOKUP(OrganizedData[[#This Row],[Product Code]],ProductData[[Code]:[Item]],2,FALSE)</f>
        <v>Hyperwotsit</v>
      </c>
      <c r="P1015" s="4">
        <f>OrganizedData[[#This Row],[Quantity]]*VLOOKUP(OrganizedData[[#This Row],[Product Code]],ProductData[],4,FALSE)</f>
        <v>620</v>
      </c>
      <c r="Q1015" s="6">
        <f>OrganizedData[[#This Row],[Total Items Ordered]]*VLOOKUP(OrganizedData[[#This Row],[Product Code]],ProductData[],3,FALSE)</f>
        <v>1246.1999999999998</v>
      </c>
      <c r="R10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1208.8139999999999</v>
      </c>
    </row>
    <row r="1016" spans="1:18" x14ac:dyDescent="0.3">
      <c r="A1016" s="2">
        <v>1009</v>
      </c>
      <c r="B1016" s="2" t="s">
        <v>460</v>
      </c>
      <c r="C1016" s="2" t="s">
        <v>3385</v>
      </c>
      <c r="D1016" s="2" t="s">
        <v>28</v>
      </c>
      <c r="E1016" s="2" t="s">
        <v>29</v>
      </c>
      <c r="F1016" s="2">
        <v>60</v>
      </c>
      <c r="G1016" s="2" t="s">
        <v>3386</v>
      </c>
      <c r="H1016" s="2" t="s">
        <v>3387</v>
      </c>
      <c r="I1016" s="2" t="s">
        <v>2878</v>
      </c>
      <c r="J1016" s="3">
        <v>44783</v>
      </c>
      <c r="K1016" s="5">
        <f>YEAR(OrganizedData[[#This Row],[Order Date]])</f>
        <v>2022</v>
      </c>
      <c r="L1016" s="7" t="str">
        <f>TEXT(OrganizedData[[#This Row],[Order Date]],"mmm")</f>
        <v>Aug</v>
      </c>
      <c r="M1016" s="2">
        <v>12</v>
      </c>
      <c r="N1016" s="2" t="s">
        <v>70</v>
      </c>
      <c r="O1016" s="2" t="str">
        <f>VLOOKUP(OrganizedData[[#This Row],[Product Code]],ProductData[[Code]:[Item]],2,FALSE)</f>
        <v>Megawidget M</v>
      </c>
      <c r="P1016" s="4">
        <f>OrganizedData[[#This Row],[Quantity]]*VLOOKUP(OrganizedData[[#This Row],[Product Code]],ProductData[],4,FALSE)</f>
        <v>288</v>
      </c>
      <c r="Q1016" s="6">
        <f>OrganizedData[[#This Row],[Total Items Ordered]]*VLOOKUP(OrganizedData[[#This Row],[Product Code]],ProductData[],3,FALSE)</f>
        <v>371.52</v>
      </c>
      <c r="R10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371.52</v>
      </c>
    </row>
    <row r="1017" spans="1:18" x14ac:dyDescent="0.3">
      <c r="A1017" s="2">
        <v>1010</v>
      </c>
      <c r="B1017" s="2" t="s">
        <v>3388</v>
      </c>
      <c r="C1017" s="2" t="s">
        <v>3389</v>
      </c>
      <c r="D1017" s="2" t="s">
        <v>51</v>
      </c>
      <c r="E1017" s="2" t="s">
        <v>16</v>
      </c>
      <c r="F1017" s="2">
        <v>60</v>
      </c>
      <c r="G1017" s="2" t="s">
        <v>3390</v>
      </c>
      <c r="H1017" s="2" t="s">
        <v>3391</v>
      </c>
      <c r="I1017" s="2" t="s">
        <v>3392</v>
      </c>
      <c r="J1017" s="3">
        <v>44720</v>
      </c>
      <c r="K1017" s="5">
        <f>YEAR(OrganizedData[[#This Row],[Order Date]])</f>
        <v>2022</v>
      </c>
      <c r="L1017" s="7" t="str">
        <f>TEXT(OrganizedData[[#This Row],[Order Date]],"mmm")</f>
        <v>Jun</v>
      </c>
      <c r="M1017" s="2">
        <v>65</v>
      </c>
      <c r="N1017" s="2" t="s">
        <v>54</v>
      </c>
      <c r="O1017" s="2" t="str">
        <f>VLOOKUP(OrganizedData[[#This Row],[Product Code]],ProductData[[Code]:[Item]],2,FALSE)</f>
        <v>Megawidget S</v>
      </c>
      <c r="P1017" s="4">
        <f>OrganizedData[[#This Row],[Quantity]]*VLOOKUP(OrganizedData[[#This Row],[Product Code]],ProductData[],4,FALSE)</f>
        <v>1560</v>
      </c>
      <c r="Q1017" s="6">
        <f>OrganizedData[[#This Row],[Total Items Ordered]]*VLOOKUP(OrganizedData[[#This Row],[Product Code]],ProductData[],3,FALSE)</f>
        <v>1076.3999999999999</v>
      </c>
      <c r="R10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1018" spans="1:18" x14ac:dyDescent="0.3">
      <c r="A1018" s="2">
        <v>1011</v>
      </c>
      <c r="B1018" s="2" t="s">
        <v>3393</v>
      </c>
      <c r="C1018" s="2" t="s">
        <v>3394</v>
      </c>
      <c r="D1018" s="2" t="s">
        <v>51</v>
      </c>
      <c r="E1018" s="2" t="s">
        <v>16</v>
      </c>
      <c r="F1018" s="2">
        <v>30</v>
      </c>
      <c r="G1018" s="2" t="s">
        <v>3395</v>
      </c>
      <c r="H1018" s="2" t="s">
        <v>3396</v>
      </c>
      <c r="I1018" s="2" t="s">
        <v>32</v>
      </c>
      <c r="J1018" s="3">
        <v>44740</v>
      </c>
      <c r="K1018" s="5">
        <f>YEAR(OrganizedData[[#This Row],[Order Date]])</f>
        <v>2022</v>
      </c>
      <c r="L1018" s="7" t="str">
        <f>TEXT(OrganizedData[[#This Row],[Order Date]],"mmm")</f>
        <v>Jun</v>
      </c>
      <c r="M1018" s="2">
        <v>96</v>
      </c>
      <c r="N1018" s="2" t="s">
        <v>39</v>
      </c>
      <c r="O1018" s="2" t="str">
        <f>VLOOKUP(OrganizedData[[#This Row],[Product Code]],ProductData[[Code]:[Item]],2,FALSE)</f>
        <v>Ultrathing V1</v>
      </c>
      <c r="P1018" s="4">
        <f>OrganizedData[[#This Row],[Quantity]]*VLOOKUP(OrganizedData[[#This Row],[Product Code]],ProductData[],4,FALSE)</f>
        <v>1632</v>
      </c>
      <c r="Q1018" s="6">
        <f>OrganizedData[[#This Row],[Total Items Ordered]]*VLOOKUP(OrganizedData[[#This Row],[Product Code]],ProductData[],3,FALSE)</f>
        <v>2921.28</v>
      </c>
      <c r="R10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1019" spans="1:18" x14ac:dyDescent="0.3">
      <c r="A1019" s="2">
        <v>1012</v>
      </c>
      <c r="B1019" s="2" t="s">
        <v>3397</v>
      </c>
      <c r="C1019" s="2" t="s">
        <v>406</v>
      </c>
      <c r="D1019" s="2" t="s">
        <v>28</v>
      </c>
      <c r="E1019" s="2" t="s">
        <v>29</v>
      </c>
      <c r="F1019" s="2">
        <v>90</v>
      </c>
      <c r="G1019" s="2" t="s">
        <v>3398</v>
      </c>
      <c r="H1019" s="2" t="s">
        <v>3399</v>
      </c>
      <c r="I1019" s="2" t="s">
        <v>124</v>
      </c>
      <c r="J1019" s="3">
        <v>44304</v>
      </c>
      <c r="K1019" s="5">
        <f>YEAR(OrganizedData[[#This Row],[Order Date]])</f>
        <v>2021</v>
      </c>
      <c r="L1019" s="7" t="str">
        <f>TEXT(OrganizedData[[#This Row],[Order Date]],"mmm")</f>
        <v>Apr</v>
      </c>
      <c r="M1019" s="2">
        <v>32</v>
      </c>
      <c r="N1019" s="2" t="s">
        <v>33</v>
      </c>
      <c r="O1019" s="2" t="str">
        <f>VLOOKUP(OrganizedData[[#This Row],[Product Code]],ProductData[[Code]:[Item]],2,FALSE)</f>
        <v>Megawidget L</v>
      </c>
      <c r="P1019" s="4">
        <f>OrganizedData[[#This Row],[Quantity]]*VLOOKUP(OrganizedData[[#This Row],[Product Code]],ProductData[],4,FALSE)</f>
        <v>768</v>
      </c>
      <c r="Q1019" s="6">
        <f>OrganizedData[[#This Row],[Total Items Ordered]]*VLOOKUP(OrganizedData[[#This Row],[Product Code]],ProductData[],3,FALSE)</f>
        <v>1374.72</v>
      </c>
      <c r="R10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1333.4784</v>
      </c>
    </row>
    <row r="1020" spans="1:18" x14ac:dyDescent="0.3">
      <c r="A1020" s="2">
        <v>1013</v>
      </c>
      <c r="B1020" s="2" t="s">
        <v>3400</v>
      </c>
      <c r="C1020" s="2" t="s">
        <v>1226</v>
      </c>
      <c r="D1020" s="2" t="s">
        <v>51</v>
      </c>
      <c r="E1020" s="2" t="s">
        <v>16</v>
      </c>
      <c r="F1020" s="2">
        <v>90</v>
      </c>
      <c r="G1020" s="2" t="s">
        <v>3401</v>
      </c>
      <c r="H1020" s="2" t="s">
        <v>3402</v>
      </c>
      <c r="I1020" s="2" t="s">
        <v>32</v>
      </c>
      <c r="J1020" s="3">
        <v>43902</v>
      </c>
      <c r="K1020" s="5">
        <f>YEAR(OrganizedData[[#This Row],[Order Date]])</f>
        <v>2020</v>
      </c>
      <c r="L1020" s="7" t="str">
        <f>TEXT(OrganizedData[[#This Row],[Order Date]],"mmm")</f>
        <v>Mar</v>
      </c>
      <c r="M1020" s="2">
        <v>47</v>
      </c>
      <c r="N1020" s="2" t="s">
        <v>54</v>
      </c>
      <c r="O1020" s="2" t="str">
        <f>VLOOKUP(OrganizedData[[#This Row],[Product Code]],ProductData[[Code]:[Item]],2,FALSE)</f>
        <v>Megawidget S</v>
      </c>
      <c r="P1020" s="4">
        <f>OrganizedData[[#This Row],[Quantity]]*VLOOKUP(OrganizedData[[#This Row],[Product Code]],ProductData[],4,FALSE)</f>
        <v>1128</v>
      </c>
      <c r="Q1020" s="6">
        <f>OrganizedData[[#This Row],[Total Items Ordered]]*VLOOKUP(OrganizedData[[#This Row],[Product Code]],ProductData[],3,FALSE)</f>
        <v>778.31999999999994</v>
      </c>
      <c r="R10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1021" spans="1:18" x14ac:dyDescent="0.3">
      <c r="A1021" s="2">
        <v>1014</v>
      </c>
      <c r="B1021" s="2" t="s">
        <v>3403</v>
      </c>
      <c r="C1021" s="2" t="s">
        <v>3014</v>
      </c>
      <c r="D1021" s="2" t="s">
        <v>51</v>
      </c>
      <c r="E1021" s="2" t="s">
        <v>16</v>
      </c>
      <c r="F1021" s="2">
        <v>60</v>
      </c>
      <c r="G1021" s="2" t="s">
        <v>3404</v>
      </c>
      <c r="H1021" s="2" t="s">
        <v>3405</v>
      </c>
      <c r="I1021" s="2" t="s">
        <v>32</v>
      </c>
      <c r="J1021" s="3">
        <v>44221</v>
      </c>
      <c r="K1021" s="5">
        <f>YEAR(OrganizedData[[#This Row],[Order Date]])</f>
        <v>2021</v>
      </c>
      <c r="L1021" s="7" t="str">
        <f>TEXT(OrganizedData[[#This Row],[Order Date]],"mmm")</f>
        <v>Jan</v>
      </c>
      <c r="M1021" s="2">
        <v>59</v>
      </c>
      <c r="N1021" s="2" t="s">
        <v>20</v>
      </c>
      <c r="O1021" s="2" t="str">
        <f>VLOOKUP(OrganizedData[[#This Row],[Product Code]],ProductData[[Code]:[Item]],2,FALSE)</f>
        <v>Hyperwotsit</v>
      </c>
      <c r="P1021" s="4">
        <f>OrganizedData[[#This Row],[Quantity]]*VLOOKUP(OrganizedData[[#This Row],[Product Code]],ProductData[],4,FALSE)</f>
        <v>1180</v>
      </c>
      <c r="Q1021" s="6">
        <f>OrganizedData[[#This Row],[Total Items Ordered]]*VLOOKUP(OrganizedData[[#This Row],[Product Code]],ProductData[],3,FALSE)</f>
        <v>2371.7999999999997</v>
      </c>
      <c r="R10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2253.2099999999996</v>
      </c>
    </row>
    <row r="1022" spans="1:18" x14ac:dyDescent="0.3">
      <c r="A1022" s="2">
        <v>1015</v>
      </c>
      <c r="B1022" s="2" t="s">
        <v>3406</v>
      </c>
      <c r="C1022" s="2" t="s">
        <v>3407</v>
      </c>
      <c r="D1022" s="2" t="s">
        <v>51</v>
      </c>
      <c r="E1022" s="2" t="s">
        <v>16</v>
      </c>
      <c r="F1022" s="2">
        <v>60</v>
      </c>
      <c r="G1022" s="2" t="s">
        <v>3408</v>
      </c>
      <c r="H1022" s="2" t="s">
        <v>3409</v>
      </c>
      <c r="I1022" s="2" t="s">
        <v>95</v>
      </c>
      <c r="J1022" s="3">
        <v>44581</v>
      </c>
      <c r="K1022" s="5">
        <f>YEAR(OrganizedData[[#This Row],[Order Date]])</f>
        <v>2022</v>
      </c>
      <c r="L1022" s="7" t="str">
        <f>TEXT(OrganizedData[[#This Row],[Order Date]],"mmm")</f>
        <v>Jan</v>
      </c>
      <c r="M1022" s="2">
        <v>74</v>
      </c>
      <c r="N1022" s="2" t="s">
        <v>64</v>
      </c>
      <c r="O1022" s="2" t="str">
        <f>VLOOKUP(OrganizedData[[#This Row],[Product Code]],ProductData[[Code]:[Item]],2,FALSE)</f>
        <v>Ultrathing V4</v>
      </c>
      <c r="P1022" s="4">
        <f>OrganizedData[[#This Row],[Quantity]]*VLOOKUP(OrganizedData[[#This Row],[Product Code]],ProductData[],4,FALSE)</f>
        <v>1776</v>
      </c>
      <c r="Q1022" s="6">
        <f>OrganizedData[[#This Row],[Total Items Ordered]]*VLOOKUP(OrganizedData[[#This Row],[Product Code]],ProductData[],3,FALSE)</f>
        <v>7086.2400000000007</v>
      </c>
      <c r="R10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6731.9280000000008</v>
      </c>
    </row>
    <row r="1023" spans="1:18" x14ac:dyDescent="0.3">
      <c r="A1023" s="2">
        <v>1016</v>
      </c>
      <c r="B1023" s="2" t="s">
        <v>3410</v>
      </c>
      <c r="C1023" s="2" t="s">
        <v>2751</v>
      </c>
      <c r="D1023" s="2" t="s">
        <v>28</v>
      </c>
      <c r="E1023" s="2" t="s">
        <v>29</v>
      </c>
      <c r="F1023" s="2">
        <v>30</v>
      </c>
      <c r="G1023" s="2" t="s">
        <v>3408</v>
      </c>
      <c r="H1023" s="2" t="s">
        <v>412</v>
      </c>
      <c r="I1023" s="2" t="s">
        <v>187</v>
      </c>
      <c r="J1023" s="3">
        <v>44498</v>
      </c>
      <c r="K1023" s="5">
        <f>YEAR(OrganizedData[[#This Row],[Order Date]])</f>
        <v>2021</v>
      </c>
      <c r="L1023" s="7" t="str">
        <f>TEXT(OrganizedData[[#This Row],[Order Date]],"mmm")</f>
        <v>Oct</v>
      </c>
      <c r="M1023" s="2">
        <v>11</v>
      </c>
      <c r="N1023" s="2" t="s">
        <v>45</v>
      </c>
      <c r="O1023" s="2" t="str">
        <f>VLOOKUP(OrganizedData[[#This Row],[Product Code]],ProductData[[Code]:[Item]],2,FALSE)</f>
        <v>Gigastuff</v>
      </c>
      <c r="P1023" s="4">
        <f>OrganizedData[[#This Row],[Quantity]]*VLOOKUP(OrganizedData[[#This Row],[Product Code]],ProductData[],4,FALSE)</f>
        <v>198</v>
      </c>
      <c r="Q1023" s="6">
        <f>OrganizedData[[#This Row],[Total Items Ordered]]*VLOOKUP(OrganizedData[[#This Row],[Product Code]],ProductData[],3,FALSE)</f>
        <v>374.21999999999997</v>
      </c>
      <c r="R10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374.21999999999997</v>
      </c>
    </row>
    <row r="1024" spans="1:18" x14ac:dyDescent="0.3">
      <c r="A1024" s="2">
        <v>1017</v>
      </c>
      <c r="B1024" s="2" t="s">
        <v>2234</v>
      </c>
      <c r="C1024" s="2" t="s">
        <v>3120</v>
      </c>
      <c r="D1024" s="2" t="s">
        <v>15</v>
      </c>
      <c r="E1024" s="2" t="s">
        <v>16</v>
      </c>
      <c r="F1024" s="2">
        <v>30</v>
      </c>
      <c r="G1024" s="2" t="s">
        <v>3411</v>
      </c>
      <c r="H1024" s="2" t="s">
        <v>522</v>
      </c>
      <c r="I1024" s="2" t="s">
        <v>32</v>
      </c>
      <c r="J1024" s="3">
        <v>43996</v>
      </c>
      <c r="K1024" s="5">
        <f>YEAR(OrganizedData[[#This Row],[Order Date]])</f>
        <v>2020</v>
      </c>
      <c r="L1024" s="7" t="str">
        <f>TEXT(OrganizedData[[#This Row],[Order Date]],"mmm")</f>
        <v>Jun</v>
      </c>
      <c r="M1024" s="2">
        <v>26</v>
      </c>
      <c r="N1024" s="2" t="s">
        <v>80</v>
      </c>
      <c r="O1024" s="2" t="str">
        <f>VLOOKUP(OrganizedData[[#This Row],[Product Code]],ProductData[[Code]:[Item]],2,FALSE)</f>
        <v>Ultrathing V2</v>
      </c>
      <c r="P1024" s="4">
        <f>OrganizedData[[#This Row],[Quantity]]*VLOOKUP(OrganizedData[[#This Row],[Product Code]],ProductData[],4,FALSE)</f>
        <v>520</v>
      </c>
      <c r="Q1024" s="6">
        <f>OrganizedData[[#This Row],[Total Items Ordered]]*VLOOKUP(OrganizedData[[#This Row],[Product Code]],ProductData[],3,FALSE)</f>
        <v>1534</v>
      </c>
      <c r="R10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1025" spans="1:18" x14ac:dyDescent="0.3">
      <c r="A1025" s="2">
        <v>1018</v>
      </c>
      <c r="B1025" s="2" t="s">
        <v>3415</v>
      </c>
      <c r="C1025" s="2" t="s">
        <v>3416</v>
      </c>
      <c r="D1025" s="2" t="s">
        <v>15</v>
      </c>
      <c r="E1025" s="2" t="s">
        <v>16</v>
      </c>
      <c r="F1025" s="2">
        <v>60</v>
      </c>
      <c r="G1025" s="2" t="s">
        <v>3417</v>
      </c>
      <c r="H1025" s="2" t="s">
        <v>3418</v>
      </c>
      <c r="I1025" s="2" t="s">
        <v>32</v>
      </c>
      <c r="J1025" s="3">
        <v>44789</v>
      </c>
      <c r="K1025" s="5">
        <f>YEAR(OrganizedData[[#This Row],[Order Date]])</f>
        <v>2022</v>
      </c>
      <c r="L1025" s="7" t="str">
        <f>TEXT(OrganizedData[[#This Row],[Order Date]],"mmm")</f>
        <v>Aug</v>
      </c>
      <c r="M1025" s="2">
        <v>65</v>
      </c>
      <c r="N1025" s="2" t="s">
        <v>54</v>
      </c>
      <c r="O1025" s="2" t="str">
        <f>VLOOKUP(OrganizedData[[#This Row],[Product Code]],ProductData[[Code]:[Item]],2,FALSE)</f>
        <v>Megawidget S</v>
      </c>
      <c r="P1025" s="4">
        <f>OrganizedData[[#This Row],[Quantity]]*VLOOKUP(OrganizedData[[#This Row],[Product Code]],ProductData[],4,FALSE)</f>
        <v>1560</v>
      </c>
      <c r="Q1025" s="6">
        <f>OrganizedData[[#This Row],[Total Items Ordered]]*VLOOKUP(OrganizedData[[#This Row],[Product Code]],ProductData[],3,FALSE)</f>
        <v>1076.3999999999999</v>
      </c>
      <c r="R10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1026" spans="1:18" x14ac:dyDescent="0.3">
      <c r="A1026" s="2">
        <v>1019</v>
      </c>
      <c r="B1026" s="2" t="s">
        <v>2424</v>
      </c>
      <c r="C1026" s="2" t="s">
        <v>3419</v>
      </c>
      <c r="D1026" s="2" t="s">
        <v>28</v>
      </c>
      <c r="E1026" s="2" t="s">
        <v>29</v>
      </c>
      <c r="F1026" s="2">
        <v>30</v>
      </c>
      <c r="G1026" s="2" t="s">
        <v>3420</v>
      </c>
      <c r="H1026" s="2" t="s">
        <v>3421</v>
      </c>
      <c r="I1026" s="2" t="s">
        <v>25</v>
      </c>
      <c r="J1026" s="3">
        <v>44835</v>
      </c>
      <c r="K1026" s="5">
        <f>YEAR(OrganizedData[[#This Row],[Order Date]])</f>
        <v>2022</v>
      </c>
      <c r="L1026" s="7" t="str">
        <f>TEXT(OrganizedData[[#This Row],[Order Date]],"mmm")</f>
        <v>Oct</v>
      </c>
      <c r="M1026" s="2">
        <v>78</v>
      </c>
      <c r="N1026" s="2" t="s">
        <v>20</v>
      </c>
      <c r="O1026" s="2" t="str">
        <f>VLOOKUP(OrganizedData[[#This Row],[Product Code]],ProductData[[Code]:[Item]],2,FALSE)</f>
        <v>Hyperwotsit</v>
      </c>
      <c r="P1026" s="4">
        <f>OrganizedData[[#This Row],[Quantity]]*VLOOKUP(OrganizedData[[#This Row],[Product Code]],ProductData[],4,FALSE)</f>
        <v>1560</v>
      </c>
      <c r="Q1026" s="6">
        <f>OrganizedData[[#This Row],[Total Items Ordered]]*VLOOKUP(OrganizedData[[#This Row],[Product Code]],ProductData[],3,FALSE)</f>
        <v>3135.5999999999995</v>
      </c>
      <c r="R10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2978.8199999999993</v>
      </c>
    </row>
    <row r="1027" spans="1:18" x14ac:dyDescent="0.3">
      <c r="A1027" s="2">
        <v>1020</v>
      </c>
      <c r="B1027" s="2" t="s">
        <v>2941</v>
      </c>
      <c r="C1027" s="2" t="s">
        <v>3422</v>
      </c>
      <c r="D1027" s="2" t="s">
        <v>28</v>
      </c>
      <c r="E1027" s="2" t="s">
        <v>29</v>
      </c>
      <c r="F1027" s="2">
        <v>30</v>
      </c>
      <c r="G1027" s="2" t="s">
        <v>3423</v>
      </c>
      <c r="H1027" s="2" t="s">
        <v>3424</v>
      </c>
      <c r="I1027" s="2" t="s">
        <v>32</v>
      </c>
      <c r="J1027" s="3">
        <v>44120</v>
      </c>
      <c r="K1027" s="5">
        <f>YEAR(OrganizedData[[#This Row],[Order Date]])</f>
        <v>2020</v>
      </c>
      <c r="L1027" s="7" t="str">
        <f>TEXT(OrganizedData[[#This Row],[Order Date]],"mmm")</f>
        <v>Oct</v>
      </c>
      <c r="M1027" s="2">
        <v>63</v>
      </c>
      <c r="N1027" s="2" t="s">
        <v>54</v>
      </c>
      <c r="O1027" s="2" t="str">
        <f>VLOOKUP(OrganizedData[[#This Row],[Product Code]],ProductData[[Code]:[Item]],2,FALSE)</f>
        <v>Megawidget S</v>
      </c>
      <c r="P1027" s="4">
        <f>OrganizedData[[#This Row],[Quantity]]*VLOOKUP(OrganizedData[[#This Row],[Product Code]],ProductData[],4,FALSE)</f>
        <v>1512</v>
      </c>
      <c r="Q1027" s="6">
        <f>OrganizedData[[#This Row],[Total Items Ordered]]*VLOOKUP(OrganizedData[[#This Row],[Product Code]],ProductData[],3,FALSE)</f>
        <v>1043.28</v>
      </c>
      <c r="R10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991.11599999999987</v>
      </c>
    </row>
    <row r="1028" spans="1:18" x14ac:dyDescent="0.3">
      <c r="A1028" s="2">
        <v>1021</v>
      </c>
      <c r="B1028" s="2" t="s">
        <v>3425</v>
      </c>
      <c r="C1028" s="2" t="s">
        <v>3426</v>
      </c>
      <c r="D1028" s="2" t="s">
        <v>15</v>
      </c>
      <c r="E1028" s="2" t="s">
        <v>16</v>
      </c>
      <c r="F1028" s="2">
        <v>30</v>
      </c>
      <c r="G1028" s="2" t="s">
        <v>3427</v>
      </c>
      <c r="H1028" s="2" t="s">
        <v>3428</v>
      </c>
      <c r="I1028" s="2" t="s">
        <v>38</v>
      </c>
      <c r="J1028" s="3">
        <v>44784</v>
      </c>
      <c r="K1028" s="5">
        <f>YEAR(OrganizedData[[#This Row],[Order Date]])</f>
        <v>2022</v>
      </c>
      <c r="L1028" s="7" t="str">
        <f>TEXT(OrganizedData[[#This Row],[Order Date]],"mmm")</f>
        <v>Aug</v>
      </c>
      <c r="M1028" s="2">
        <v>100</v>
      </c>
      <c r="N1028" s="2" t="s">
        <v>39</v>
      </c>
      <c r="O1028" s="2" t="str">
        <f>VLOOKUP(OrganizedData[[#This Row],[Product Code]],ProductData[[Code]:[Item]],2,FALSE)</f>
        <v>Ultrathing V1</v>
      </c>
      <c r="P1028" s="4">
        <f>OrganizedData[[#This Row],[Quantity]]*VLOOKUP(OrganizedData[[#This Row],[Product Code]],ProductData[],4,FALSE)</f>
        <v>1700</v>
      </c>
      <c r="Q1028" s="6">
        <f>OrganizedData[[#This Row],[Total Items Ordered]]*VLOOKUP(OrganizedData[[#This Row],[Product Code]],ProductData[],3,FALSE)</f>
        <v>3043</v>
      </c>
      <c r="R10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2890.85</v>
      </c>
    </row>
    <row r="1029" spans="1:18" x14ac:dyDescent="0.3">
      <c r="A1029" s="2">
        <v>1022</v>
      </c>
      <c r="B1029" s="2" t="s">
        <v>3429</v>
      </c>
      <c r="C1029" s="2" t="s">
        <v>3430</v>
      </c>
      <c r="D1029" s="2" t="s">
        <v>28</v>
      </c>
      <c r="E1029" s="2" t="s">
        <v>29</v>
      </c>
      <c r="F1029" s="2">
        <v>30</v>
      </c>
      <c r="G1029" s="2" t="s">
        <v>3431</v>
      </c>
      <c r="H1029" s="2" t="s">
        <v>2681</v>
      </c>
      <c r="I1029" s="2" t="s">
        <v>686</v>
      </c>
      <c r="J1029" s="3">
        <v>43955</v>
      </c>
      <c r="K1029" s="5">
        <f>YEAR(OrganizedData[[#This Row],[Order Date]])</f>
        <v>2020</v>
      </c>
      <c r="L1029" s="7" t="str">
        <f>TEXT(OrganizedData[[#This Row],[Order Date]],"mmm")</f>
        <v>May</v>
      </c>
      <c r="M1029" s="2">
        <v>5</v>
      </c>
      <c r="N1029" s="2" t="s">
        <v>20</v>
      </c>
      <c r="O1029" s="2" t="str">
        <f>VLOOKUP(OrganizedData[[#This Row],[Product Code]],ProductData[[Code]:[Item]],2,FALSE)</f>
        <v>Hyperwotsit</v>
      </c>
      <c r="P1029" s="4">
        <f>OrganizedData[[#This Row],[Quantity]]*VLOOKUP(OrganizedData[[#This Row],[Product Code]],ProductData[],4,FALSE)</f>
        <v>100</v>
      </c>
      <c r="Q1029" s="6">
        <f>OrganizedData[[#This Row],[Total Items Ordered]]*VLOOKUP(OrganizedData[[#This Row],[Product Code]],ProductData[],3,FALSE)</f>
        <v>200.99999999999997</v>
      </c>
      <c r="R10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1030" spans="1:18" x14ac:dyDescent="0.3">
      <c r="A1030" s="2">
        <v>1023</v>
      </c>
      <c r="B1030" s="2" t="s">
        <v>1677</v>
      </c>
      <c r="C1030" s="2" t="s">
        <v>1222</v>
      </c>
      <c r="D1030" s="2" t="s">
        <v>28</v>
      </c>
      <c r="E1030" s="2" t="s">
        <v>29</v>
      </c>
      <c r="F1030" s="2">
        <v>90</v>
      </c>
      <c r="G1030" s="2" t="s">
        <v>3432</v>
      </c>
      <c r="H1030" s="2" t="s">
        <v>3433</v>
      </c>
      <c r="I1030" s="2" t="s">
        <v>1199</v>
      </c>
      <c r="J1030" s="3">
        <v>44098</v>
      </c>
      <c r="K1030" s="5">
        <f>YEAR(OrganizedData[[#This Row],[Order Date]])</f>
        <v>2020</v>
      </c>
      <c r="L1030" s="7" t="str">
        <f>TEXT(OrganizedData[[#This Row],[Order Date]],"mmm")</f>
        <v>Sep</v>
      </c>
      <c r="M1030" s="2">
        <v>18</v>
      </c>
      <c r="N1030" s="2" t="s">
        <v>159</v>
      </c>
      <c r="O1030" s="2" t="str">
        <f>VLOOKUP(OrganizedData[[#This Row],[Product Code]],ProductData[[Code]:[Item]],2,FALSE)</f>
        <v>Ultrathing V3</v>
      </c>
      <c r="P1030" s="4">
        <f>OrganizedData[[#This Row],[Quantity]]*VLOOKUP(OrganizedData[[#This Row],[Product Code]],ProductData[],4,FALSE)</f>
        <v>432</v>
      </c>
      <c r="Q1030" s="6">
        <f>OrganizedData[[#This Row],[Total Items Ordered]]*VLOOKUP(OrganizedData[[#This Row],[Product Code]],ProductData[],3,FALSE)</f>
        <v>1464.48</v>
      </c>
      <c r="R10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1031" spans="1:18" x14ac:dyDescent="0.3">
      <c r="A1031" s="2">
        <v>1024</v>
      </c>
      <c r="B1031" s="2" t="s">
        <v>3434</v>
      </c>
      <c r="C1031" s="2" t="s">
        <v>3435</v>
      </c>
      <c r="D1031" s="2" t="s">
        <v>51</v>
      </c>
      <c r="E1031" s="2" t="s">
        <v>16</v>
      </c>
      <c r="F1031" s="2">
        <v>60</v>
      </c>
      <c r="G1031" s="2" t="s">
        <v>3436</v>
      </c>
      <c r="H1031" s="2" t="s">
        <v>3437</v>
      </c>
      <c r="I1031" s="2" t="s">
        <v>100</v>
      </c>
      <c r="J1031" s="3">
        <v>44397</v>
      </c>
      <c r="K1031" s="5">
        <f>YEAR(OrganizedData[[#This Row],[Order Date]])</f>
        <v>2021</v>
      </c>
      <c r="L1031" s="7" t="str">
        <f>TEXT(OrganizedData[[#This Row],[Order Date]],"mmm")</f>
        <v>Jul</v>
      </c>
      <c r="M1031" s="2">
        <v>17</v>
      </c>
      <c r="N1031" s="2" t="s">
        <v>54</v>
      </c>
      <c r="O1031" s="2" t="str">
        <f>VLOOKUP(OrganizedData[[#This Row],[Product Code]],ProductData[[Code]:[Item]],2,FALSE)</f>
        <v>Megawidget S</v>
      </c>
      <c r="P1031" s="4">
        <f>OrganizedData[[#This Row],[Quantity]]*VLOOKUP(OrganizedData[[#This Row],[Product Code]],ProductData[],4,FALSE)</f>
        <v>408</v>
      </c>
      <c r="Q1031" s="6">
        <f>OrganizedData[[#This Row],[Total Items Ordered]]*VLOOKUP(OrganizedData[[#This Row],[Product Code]],ProductData[],3,FALSE)</f>
        <v>281.52</v>
      </c>
      <c r="R10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1032" spans="1:18" x14ac:dyDescent="0.3">
      <c r="A1032" s="2">
        <v>1025</v>
      </c>
      <c r="B1032" s="2" t="s">
        <v>3438</v>
      </c>
      <c r="C1032" s="2" t="s">
        <v>3439</v>
      </c>
      <c r="D1032" s="2" t="s">
        <v>28</v>
      </c>
      <c r="E1032" s="2" t="s">
        <v>29</v>
      </c>
      <c r="F1032" s="2">
        <v>30</v>
      </c>
      <c r="G1032" s="2" t="s">
        <v>3440</v>
      </c>
      <c r="H1032" s="2" t="s">
        <v>2629</v>
      </c>
      <c r="I1032" s="2" t="s">
        <v>95</v>
      </c>
      <c r="J1032" s="3">
        <v>44775</v>
      </c>
      <c r="K1032" s="5">
        <f>YEAR(OrganizedData[[#This Row],[Order Date]])</f>
        <v>2022</v>
      </c>
      <c r="L1032" s="7" t="str">
        <f>TEXT(OrganizedData[[#This Row],[Order Date]],"mmm")</f>
        <v>Aug</v>
      </c>
      <c r="M1032" s="2">
        <v>7</v>
      </c>
      <c r="N1032" s="2" t="s">
        <v>64</v>
      </c>
      <c r="O1032" s="2" t="str">
        <f>VLOOKUP(OrganizedData[[#This Row],[Product Code]],ProductData[[Code]:[Item]],2,FALSE)</f>
        <v>Ultrathing V4</v>
      </c>
      <c r="P1032" s="4">
        <f>OrganizedData[[#This Row],[Quantity]]*VLOOKUP(OrganizedData[[#This Row],[Product Code]],ProductData[],4,FALSE)</f>
        <v>168</v>
      </c>
      <c r="Q1032" s="6">
        <f>OrganizedData[[#This Row],[Total Items Ordered]]*VLOOKUP(OrganizedData[[#This Row],[Product Code]],ProductData[],3,FALSE)</f>
        <v>670.32</v>
      </c>
      <c r="R10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670.32</v>
      </c>
    </row>
    <row r="1033" spans="1:18" x14ac:dyDescent="0.3">
      <c r="A1033" s="2">
        <v>1026</v>
      </c>
      <c r="B1033" s="2" t="s">
        <v>3441</v>
      </c>
      <c r="C1033" s="2" t="s">
        <v>2174</v>
      </c>
      <c r="D1033" s="2" t="s">
        <v>28</v>
      </c>
      <c r="E1033" s="2" t="s">
        <v>29</v>
      </c>
      <c r="F1033" s="2">
        <v>30</v>
      </c>
      <c r="G1033" s="2" t="s">
        <v>3442</v>
      </c>
      <c r="H1033" s="2" t="s">
        <v>2218</v>
      </c>
      <c r="I1033" s="2" t="s">
        <v>173</v>
      </c>
      <c r="J1033" s="3">
        <v>44139</v>
      </c>
      <c r="K1033" s="5">
        <f>YEAR(OrganizedData[[#This Row],[Order Date]])</f>
        <v>2020</v>
      </c>
      <c r="L1033" s="7" t="str">
        <f>TEXT(OrganizedData[[#This Row],[Order Date]],"mmm")</f>
        <v>Nov</v>
      </c>
      <c r="M1033" s="2">
        <v>15</v>
      </c>
      <c r="N1033" s="2" t="s">
        <v>20</v>
      </c>
      <c r="O1033" s="2" t="str">
        <f>VLOOKUP(OrganizedData[[#This Row],[Product Code]],ProductData[[Code]:[Item]],2,FALSE)</f>
        <v>Hyperwotsit</v>
      </c>
      <c r="P1033" s="4">
        <f>OrganizedData[[#This Row],[Quantity]]*VLOOKUP(OrganizedData[[#This Row],[Product Code]],ProductData[],4,FALSE)</f>
        <v>300</v>
      </c>
      <c r="Q1033" s="6">
        <f>OrganizedData[[#This Row],[Total Items Ordered]]*VLOOKUP(OrganizedData[[#This Row],[Product Code]],ProductData[],3,FALSE)</f>
        <v>602.99999999999989</v>
      </c>
      <c r="R10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602.99999999999989</v>
      </c>
    </row>
    <row r="1034" spans="1:18" x14ac:dyDescent="0.3">
      <c r="A1034" s="2">
        <v>1027</v>
      </c>
      <c r="B1034" s="2" t="s">
        <v>3443</v>
      </c>
      <c r="C1034" s="2" t="s">
        <v>3444</v>
      </c>
      <c r="D1034" s="2" t="s">
        <v>28</v>
      </c>
      <c r="E1034" s="2" t="s">
        <v>29</v>
      </c>
      <c r="F1034" s="2">
        <v>30</v>
      </c>
      <c r="G1034" s="2" t="s">
        <v>3445</v>
      </c>
      <c r="H1034" s="2" t="s">
        <v>3446</v>
      </c>
      <c r="I1034" s="2" t="s">
        <v>32</v>
      </c>
      <c r="J1034" s="3">
        <v>44378</v>
      </c>
      <c r="K1034" s="5">
        <f>YEAR(OrganizedData[[#This Row],[Order Date]])</f>
        <v>2021</v>
      </c>
      <c r="L1034" s="7" t="str">
        <f>TEXT(OrganizedData[[#This Row],[Order Date]],"mmm")</f>
        <v>Jul</v>
      </c>
      <c r="M1034" s="2">
        <v>13</v>
      </c>
      <c r="N1034" s="2" t="s">
        <v>64</v>
      </c>
      <c r="O1034" s="2" t="str">
        <f>VLOOKUP(OrganizedData[[#This Row],[Product Code]],ProductData[[Code]:[Item]],2,FALSE)</f>
        <v>Ultrathing V4</v>
      </c>
      <c r="P1034" s="4">
        <f>OrganizedData[[#This Row],[Quantity]]*VLOOKUP(OrganizedData[[#This Row],[Product Code]],ProductData[],4,FALSE)</f>
        <v>312</v>
      </c>
      <c r="Q1034" s="6">
        <f>OrganizedData[[#This Row],[Total Items Ordered]]*VLOOKUP(OrganizedData[[#This Row],[Product Code]],ProductData[],3,FALSE)</f>
        <v>1244.8800000000001</v>
      </c>
      <c r="R10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1244.8800000000001</v>
      </c>
    </row>
    <row r="1035" spans="1:18" x14ac:dyDescent="0.3">
      <c r="A1035" s="2">
        <v>1028</v>
      </c>
      <c r="B1035" s="2" t="s">
        <v>1657</v>
      </c>
      <c r="C1035" s="2" t="s">
        <v>3447</v>
      </c>
      <c r="D1035" s="2" t="s">
        <v>28</v>
      </c>
      <c r="E1035" s="2" t="s">
        <v>29</v>
      </c>
      <c r="F1035" s="2">
        <v>90</v>
      </c>
      <c r="G1035" s="2" t="s">
        <v>3448</v>
      </c>
      <c r="H1035" s="2" t="s">
        <v>3449</v>
      </c>
      <c r="I1035" s="2" t="s">
        <v>187</v>
      </c>
      <c r="J1035" s="3">
        <v>44287</v>
      </c>
      <c r="K1035" s="5">
        <f>YEAR(OrganizedData[[#This Row],[Order Date]])</f>
        <v>2021</v>
      </c>
      <c r="L1035" s="7" t="str">
        <f>TEXT(OrganizedData[[#This Row],[Order Date]],"mmm")</f>
        <v>Apr</v>
      </c>
      <c r="M1035" s="2">
        <v>66</v>
      </c>
      <c r="N1035" s="2" t="s">
        <v>64</v>
      </c>
      <c r="O1035" s="2" t="str">
        <f>VLOOKUP(OrganizedData[[#This Row],[Product Code]],ProductData[[Code]:[Item]],2,FALSE)</f>
        <v>Ultrathing V4</v>
      </c>
      <c r="P1035" s="4">
        <f>OrganizedData[[#This Row],[Quantity]]*VLOOKUP(OrganizedData[[#This Row],[Product Code]],ProductData[],4,FALSE)</f>
        <v>1584</v>
      </c>
      <c r="Q1035" s="6">
        <f>OrganizedData[[#This Row],[Total Items Ordered]]*VLOOKUP(OrganizedData[[#This Row],[Product Code]],ProductData[],3,FALSE)</f>
        <v>6320.1600000000008</v>
      </c>
      <c r="R10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6004.152</v>
      </c>
    </row>
    <row r="1036" spans="1:18" x14ac:dyDescent="0.3">
      <c r="A1036" s="2">
        <v>1029</v>
      </c>
      <c r="B1036" s="2" t="s">
        <v>3450</v>
      </c>
      <c r="C1036" s="2" t="s">
        <v>2254</v>
      </c>
      <c r="D1036" s="2" t="s">
        <v>51</v>
      </c>
      <c r="E1036" s="2" t="s">
        <v>16</v>
      </c>
      <c r="F1036" s="2">
        <v>60</v>
      </c>
      <c r="G1036" s="2" t="s">
        <v>3448</v>
      </c>
      <c r="H1036" s="2" t="s">
        <v>3134</v>
      </c>
      <c r="I1036" s="2" t="s">
        <v>294</v>
      </c>
      <c r="J1036" s="3">
        <v>44536</v>
      </c>
      <c r="K1036" s="5">
        <f>YEAR(OrganizedData[[#This Row],[Order Date]])</f>
        <v>2021</v>
      </c>
      <c r="L1036" s="7" t="str">
        <f>TEXT(OrganizedData[[#This Row],[Order Date]],"mmm")</f>
        <v>Dec</v>
      </c>
      <c r="M1036" s="2">
        <v>5</v>
      </c>
      <c r="N1036" s="2" t="s">
        <v>45</v>
      </c>
      <c r="O1036" s="2" t="str">
        <f>VLOOKUP(OrganizedData[[#This Row],[Product Code]],ProductData[[Code]:[Item]],2,FALSE)</f>
        <v>Gigastuff</v>
      </c>
      <c r="P1036" s="4">
        <f>OrganizedData[[#This Row],[Quantity]]*VLOOKUP(OrganizedData[[#This Row],[Product Code]],ProductData[],4,FALSE)</f>
        <v>90</v>
      </c>
      <c r="Q1036" s="6">
        <f>OrganizedData[[#This Row],[Total Items Ordered]]*VLOOKUP(OrganizedData[[#This Row],[Product Code]],ProductData[],3,FALSE)</f>
        <v>170.1</v>
      </c>
      <c r="R10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1037" spans="1:18" x14ac:dyDescent="0.3">
      <c r="A1037" s="2">
        <v>1030</v>
      </c>
      <c r="B1037" s="2" t="s">
        <v>3451</v>
      </c>
      <c r="C1037" s="2" t="s">
        <v>492</v>
      </c>
      <c r="D1037" s="2" t="s">
        <v>51</v>
      </c>
      <c r="E1037" s="2" t="s">
        <v>16</v>
      </c>
      <c r="F1037" s="2">
        <v>60</v>
      </c>
      <c r="G1037" s="2" t="s">
        <v>3452</v>
      </c>
      <c r="H1037" s="2" t="s">
        <v>579</v>
      </c>
      <c r="I1037" s="2" t="s">
        <v>32</v>
      </c>
      <c r="J1037" s="3">
        <v>44683</v>
      </c>
      <c r="K1037" s="5">
        <f>YEAR(OrganizedData[[#This Row],[Order Date]])</f>
        <v>2022</v>
      </c>
      <c r="L1037" s="7" t="str">
        <f>TEXT(OrganizedData[[#This Row],[Order Date]],"mmm")</f>
        <v>May</v>
      </c>
      <c r="M1037" s="2">
        <v>105</v>
      </c>
      <c r="N1037" s="2" t="s">
        <v>64</v>
      </c>
      <c r="O1037" s="2" t="str">
        <f>VLOOKUP(OrganizedData[[#This Row],[Product Code]],ProductData[[Code]:[Item]],2,FALSE)</f>
        <v>Ultrathing V4</v>
      </c>
      <c r="P1037" s="4">
        <f>OrganizedData[[#This Row],[Quantity]]*VLOOKUP(OrganizedData[[#This Row],[Product Code]],ProductData[],4,FALSE)</f>
        <v>2520</v>
      </c>
      <c r="Q1037" s="6">
        <f>OrganizedData[[#This Row],[Total Items Ordered]]*VLOOKUP(OrganizedData[[#This Row],[Product Code]],ProductData[],3,FALSE)</f>
        <v>10054.800000000001</v>
      </c>
      <c r="R10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9350.9640000000018</v>
      </c>
    </row>
    <row r="1038" spans="1:18" x14ac:dyDescent="0.3">
      <c r="A1038" s="2">
        <v>1031</v>
      </c>
      <c r="B1038" s="2" t="s">
        <v>3453</v>
      </c>
      <c r="C1038" s="2" t="s">
        <v>3454</v>
      </c>
      <c r="D1038" s="2" t="s">
        <v>15</v>
      </c>
      <c r="E1038" s="2" t="s">
        <v>16</v>
      </c>
      <c r="F1038" s="2">
        <v>90</v>
      </c>
      <c r="G1038" s="2" t="s">
        <v>3455</v>
      </c>
      <c r="H1038" s="2" t="s">
        <v>1660</v>
      </c>
      <c r="I1038" s="2" t="s">
        <v>32</v>
      </c>
      <c r="J1038" s="3">
        <v>44233</v>
      </c>
      <c r="K1038" s="5">
        <f>YEAR(OrganizedData[[#This Row],[Order Date]])</f>
        <v>2021</v>
      </c>
      <c r="L1038" s="7" t="str">
        <f>TEXT(OrganizedData[[#This Row],[Order Date]],"mmm")</f>
        <v>Feb</v>
      </c>
      <c r="M1038" s="2">
        <v>22</v>
      </c>
      <c r="N1038" s="2" t="s">
        <v>20</v>
      </c>
      <c r="O1038" s="2" t="str">
        <f>VLOOKUP(OrganizedData[[#This Row],[Product Code]],ProductData[[Code]:[Item]],2,FALSE)</f>
        <v>Hyperwotsit</v>
      </c>
      <c r="P1038" s="4">
        <f>OrganizedData[[#This Row],[Quantity]]*VLOOKUP(OrganizedData[[#This Row],[Product Code]],ProductData[],4,FALSE)</f>
        <v>440</v>
      </c>
      <c r="Q1038" s="6">
        <f>OrganizedData[[#This Row],[Total Items Ordered]]*VLOOKUP(OrganizedData[[#This Row],[Product Code]],ProductData[],3,FALSE)</f>
        <v>884.39999999999986</v>
      </c>
      <c r="R10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857.86799999999982</v>
      </c>
    </row>
    <row r="1039" spans="1:18" x14ac:dyDescent="0.3">
      <c r="A1039" s="2">
        <v>1032</v>
      </c>
      <c r="B1039" s="2" t="s">
        <v>3456</v>
      </c>
      <c r="C1039" s="2" t="s">
        <v>3457</v>
      </c>
      <c r="D1039" s="2" t="s">
        <v>51</v>
      </c>
      <c r="E1039" s="2" t="s">
        <v>16</v>
      </c>
      <c r="F1039" s="2">
        <v>90</v>
      </c>
      <c r="G1039" s="2" t="s">
        <v>10480</v>
      </c>
      <c r="H1039" s="2" t="s">
        <v>3459</v>
      </c>
      <c r="I1039" s="2" t="s">
        <v>178</v>
      </c>
      <c r="J1039" s="3">
        <v>43989</v>
      </c>
      <c r="K1039" s="5">
        <f>YEAR(OrganizedData[[#This Row],[Order Date]])</f>
        <v>2020</v>
      </c>
      <c r="L1039" s="7" t="str">
        <f>TEXT(OrganizedData[[#This Row],[Order Date]],"mmm")</f>
        <v>Jun</v>
      </c>
      <c r="M1039" s="2">
        <v>78</v>
      </c>
      <c r="N1039" s="2" t="s">
        <v>64</v>
      </c>
      <c r="O1039" s="2" t="str">
        <f>VLOOKUP(OrganizedData[[#This Row],[Product Code]],ProductData[[Code]:[Item]],2,FALSE)</f>
        <v>Ultrathing V4</v>
      </c>
      <c r="P1039" s="4">
        <f>OrganizedData[[#This Row],[Quantity]]*VLOOKUP(OrganizedData[[#This Row],[Product Code]],ProductData[],4,FALSE)</f>
        <v>1872</v>
      </c>
      <c r="Q1039" s="6">
        <f>OrganizedData[[#This Row],[Total Items Ordered]]*VLOOKUP(OrganizedData[[#This Row],[Product Code]],ProductData[],3,FALSE)</f>
        <v>7469.2800000000007</v>
      </c>
      <c r="R10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1040" spans="1:18" x14ac:dyDescent="0.3">
      <c r="A1040" s="2">
        <v>1033</v>
      </c>
      <c r="B1040" s="2" t="s">
        <v>3460</v>
      </c>
      <c r="C1040" s="2" t="s">
        <v>1685</v>
      </c>
      <c r="D1040" s="2" t="s">
        <v>28</v>
      </c>
      <c r="E1040" s="2" t="s">
        <v>29</v>
      </c>
      <c r="F1040" s="2">
        <v>30</v>
      </c>
      <c r="G1040" s="2" t="s">
        <v>3461</v>
      </c>
      <c r="H1040" s="2" t="s">
        <v>3462</v>
      </c>
      <c r="I1040" s="2" t="s">
        <v>32</v>
      </c>
      <c r="J1040" s="3">
        <v>44782</v>
      </c>
      <c r="K1040" s="5">
        <f>YEAR(OrganizedData[[#This Row],[Order Date]])</f>
        <v>2022</v>
      </c>
      <c r="L1040" s="7" t="str">
        <f>TEXT(OrganizedData[[#This Row],[Order Date]],"mmm")</f>
        <v>Aug</v>
      </c>
      <c r="M1040" s="2">
        <v>63</v>
      </c>
      <c r="N1040" s="2" t="s">
        <v>20</v>
      </c>
      <c r="O1040" s="2" t="str">
        <f>VLOOKUP(OrganizedData[[#This Row],[Product Code]],ProductData[[Code]:[Item]],2,FALSE)</f>
        <v>Hyperwotsit</v>
      </c>
      <c r="P1040" s="4">
        <f>OrganizedData[[#This Row],[Quantity]]*VLOOKUP(OrganizedData[[#This Row],[Product Code]],ProductData[],4,FALSE)</f>
        <v>1260</v>
      </c>
      <c r="Q1040" s="6">
        <f>OrganizedData[[#This Row],[Total Items Ordered]]*VLOOKUP(OrganizedData[[#This Row],[Product Code]],ProductData[],3,FALSE)</f>
        <v>2532.6</v>
      </c>
      <c r="R10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2405.9699999999998</v>
      </c>
    </row>
    <row r="1041" spans="1:18" x14ac:dyDescent="0.3">
      <c r="A1041" s="2">
        <v>1034</v>
      </c>
      <c r="B1041" s="2" t="s">
        <v>3463</v>
      </c>
      <c r="C1041" s="2" t="s">
        <v>3464</v>
      </c>
      <c r="D1041" s="2" t="s">
        <v>28</v>
      </c>
      <c r="E1041" s="2" t="s">
        <v>29</v>
      </c>
      <c r="F1041" s="2">
        <v>30</v>
      </c>
      <c r="G1041" s="2" t="s">
        <v>3465</v>
      </c>
      <c r="H1041" s="2" t="s">
        <v>3466</v>
      </c>
      <c r="I1041" s="2" t="s">
        <v>32</v>
      </c>
      <c r="J1041" s="3">
        <v>44550</v>
      </c>
      <c r="K1041" s="5">
        <f>YEAR(OrganizedData[[#This Row],[Order Date]])</f>
        <v>2021</v>
      </c>
      <c r="L1041" s="7" t="str">
        <f>TEXT(OrganizedData[[#This Row],[Order Date]],"mmm")</f>
        <v>Dec</v>
      </c>
      <c r="M1041" s="2">
        <v>83</v>
      </c>
      <c r="N1041" s="2" t="s">
        <v>101</v>
      </c>
      <c r="O1041" s="2" t="str">
        <f>VLOOKUP(OrganizedData[[#This Row],[Product Code]],ProductData[[Code]:[Item]],2,FALSE)</f>
        <v>Superwossname</v>
      </c>
      <c r="P1041" s="4">
        <f>OrganizedData[[#This Row],[Quantity]]*VLOOKUP(OrganizedData[[#This Row],[Product Code]],ProductData[],4,FALSE)</f>
        <v>1660</v>
      </c>
      <c r="Q1041" s="6">
        <f>OrganizedData[[#This Row],[Total Items Ordered]]*VLOOKUP(OrganizedData[[#This Row],[Product Code]],ProductData[],3,FALSE)</f>
        <v>5793.4000000000005</v>
      </c>
      <c r="R10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1042" spans="1:18" x14ac:dyDescent="0.3">
      <c r="A1042" s="2">
        <v>1035</v>
      </c>
      <c r="B1042" s="2" t="s">
        <v>909</v>
      </c>
      <c r="C1042" s="2" t="s">
        <v>3467</v>
      </c>
      <c r="D1042" s="2" t="s">
        <v>15</v>
      </c>
      <c r="E1042" s="2" t="s">
        <v>16</v>
      </c>
      <c r="F1042" s="2">
        <v>30</v>
      </c>
      <c r="G1042" s="2" t="s">
        <v>3468</v>
      </c>
      <c r="H1042" s="2" t="s">
        <v>2117</v>
      </c>
      <c r="I1042" s="2" t="s">
        <v>886</v>
      </c>
      <c r="J1042" s="3">
        <v>44743</v>
      </c>
      <c r="K1042" s="5">
        <f>YEAR(OrganizedData[[#This Row],[Order Date]])</f>
        <v>2022</v>
      </c>
      <c r="L1042" s="7" t="str">
        <f>TEXT(OrganizedData[[#This Row],[Order Date]],"mmm")</f>
        <v>Jul</v>
      </c>
      <c r="M1042" s="2">
        <v>42</v>
      </c>
      <c r="N1042" s="2" t="s">
        <v>159</v>
      </c>
      <c r="O1042" s="2" t="str">
        <f>VLOOKUP(OrganizedData[[#This Row],[Product Code]],ProductData[[Code]:[Item]],2,FALSE)</f>
        <v>Ultrathing V3</v>
      </c>
      <c r="P1042" s="4">
        <f>OrganizedData[[#This Row],[Quantity]]*VLOOKUP(OrganizedData[[#This Row],[Product Code]],ProductData[],4,FALSE)</f>
        <v>1008</v>
      </c>
      <c r="Q1042" s="6">
        <f>OrganizedData[[#This Row],[Total Items Ordered]]*VLOOKUP(OrganizedData[[#This Row],[Product Code]],ProductData[],3,FALSE)</f>
        <v>3417.1200000000003</v>
      </c>
      <c r="R10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1043" spans="1:18" x14ac:dyDescent="0.3">
      <c r="A1043" s="2">
        <v>1036</v>
      </c>
      <c r="B1043" s="2" t="s">
        <v>3469</v>
      </c>
      <c r="C1043" s="2" t="s">
        <v>1132</v>
      </c>
      <c r="D1043" s="2" t="s">
        <v>28</v>
      </c>
      <c r="E1043" s="2" t="s">
        <v>29</v>
      </c>
      <c r="F1043" s="2">
        <v>60</v>
      </c>
      <c r="G1043" s="2" t="s">
        <v>3470</v>
      </c>
      <c r="H1043" s="2" t="s">
        <v>3437</v>
      </c>
      <c r="I1043" s="2" t="s">
        <v>100</v>
      </c>
      <c r="J1043" s="3">
        <v>44248</v>
      </c>
      <c r="K1043" s="5">
        <f>YEAR(OrganizedData[[#This Row],[Order Date]])</f>
        <v>2021</v>
      </c>
      <c r="L1043" s="7" t="str">
        <f>TEXT(OrganizedData[[#This Row],[Order Date]],"mmm")</f>
        <v>Feb</v>
      </c>
      <c r="M1043" s="2">
        <v>35</v>
      </c>
      <c r="N1043" s="2" t="s">
        <v>54</v>
      </c>
      <c r="O1043" s="2" t="str">
        <f>VLOOKUP(OrganizedData[[#This Row],[Product Code]],ProductData[[Code]:[Item]],2,FALSE)</f>
        <v>Megawidget S</v>
      </c>
      <c r="P1043" s="4">
        <f>OrganizedData[[#This Row],[Quantity]]*VLOOKUP(OrganizedData[[#This Row],[Product Code]],ProductData[],4,FALSE)</f>
        <v>840</v>
      </c>
      <c r="Q1043" s="6">
        <f>OrganizedData[[#This Row],[Total Items Ordered]]*VLOOKUP(OrganizedData[[#This Row],[Product Code]],ProductData[],3,FALSE)</f>
        <v>579.59999999999991</v>
      </c>
      <c r="R10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1044" spans="1:18" x14ac:dyDescent="0.3">
      <c r="A1044" s="2">
        <v>1037</v>
      </c>
      <c r="B1044" s="2" t="s">
        <v>3471</v>
      </c>
      <c r="C1044" s="2" t="s">
        <v>2858</v>
      </c>
      <c r="D1044" s="2" t="s">
        <v>15</v>
      </c>
      <c r="E1044" s="2" t="s">
        <v>16</v>
      </c>
      <c r="F1044" s="2">
        <v>90</v>
      </c>
      <c r="G1044" s="2" t="s">
        <v>3472</v>
      </c>
      <c r="H1044" s="2" t="s">
        <v>3473</v>
      </c>
      <c r="I1044" s="2" t="s">
        <v>1199</v>
      </c>
      <c r="J1044" s="3">
        <v>44016</v>
      </c>
      <c r="K1044" s="5">
        <f>YEAR(OrganizedData[[#This Row],[Order Date]])</f>
        <v>2020</v>
      </c>
      <c r="L1044" s="7" t="str">
        <f>TEXT(OrganizedData[[#This Row],[Order Date]],"mmm")</f>
        <v>Jul</v>
      </c>
      <c r="M1044" s="2">
        <v>75</v>
      </c>
      <c r="N1044" s="2" t="s">
        <v>159</v>
      </c>
      <c r="O1044" s="2" t="str">
        <f>VLOOKUP(OrganizedData[[#This Row],[Product Code]],ProductData[[Code]:[Item]],2,FALSE)</f>
        <v>Ultrathing V3</v>
      </c>
      <c r="P1044" s="4">
        <f>OrganizedData[[#This Row],[Quantity]]*VLOOKUP(OrganizedData[[#This Row],[Product Code]],ProductData[],4,FALSE)</f>
        <v>1800</v>
      </c>
      <c r="Q1044" s="6">
        <f>OrganizedData[[#This Row],[Total Items Ordered]]*VLOOKUP(OrganizedData[[#This Row],[Product Code]],ProductData[],3,FALSE)</f>
        <v>6102</v>
      </c>
      <c r="R10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1045" spans="1:18" x14ac:dyDescent="0.3">
      <c r="A1045" s="2">
        <v>1038</v>
      </c>
      <c r="B1045" s="2" t="s">
        <v>1828</v>
      </c>
      <c r="C1045" s="2" t="s">
        <v>3474</v>
      </c>
      <c r="D1045" s="2" t="s">
        <v>28</v>
      </c>
      <c r="E1045" s="2" t="s">
        <v>29</v>
      </c>
      <c r="F1045" s="2">
        <v>30</v>
      </c>
      <c r="G1045" s="2" t="s">
        <v>3475</v>
      </c>
      <c r="H1045" s="2" t="s">
        <v>966</v>
      </c>
      <c r="I1045" s="2" t="s">
        <v>187</v>
      </c>
      <c r="J1045" s="3">
        <v>43977</v>
      </c>
      <c r="K1045" s="5">
        <f>YEAR(OrganizedData[[#This Row],[Order Date]])</f>
        <v>2020</v>
      </c>
      <c r="L1045" s="7" t="str">
        <f>TEXT(OrganizedData[[#This Row],[Order Date]],"mmm")</f>
        <v>May</v>
      </c>
      <c r="M1045" s="2">
        <v>83</v>
      </c>
      <c r="N1045" s="2" t="s">
        <v>80</v>
      </c>
      <c r="O1045" s="2" t="str">
        <f>VLOOKUP(OrganizedData[[#This Row],[Product Code]],ProductData[[Code]:[Item]],2,FALSE)</f>
        <v>Ultrathing V2</v>
      </c>
      <c r="P1045" s="4">
        <f>OrganizedData[[#This Row],[Quantity]]*VLOOKUP(OrganizedData[[#This Row],[Product Code]],ProductData[],4,FALSE)</f>
        <v>1660</v>
      </c>
      <c r="Q1045" s="6">
        <f>OrganizedData[[#This Row],[Total Items Ordered]]*VLOOKUP(OrganizedData[[#This Row],[Product Code]],ProductData[],3,FALSE)</f>
        <v>4897</v>
      </c>
      <c r="R10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4652.1499999999996</v>
      </c>
    </row>
    <row r="1046" spans="1:18" x14ac:dyDescent="0.3">
      <c r="A1046" s="2">
        <v>1039</v>
      </c>
      <c r="B1046" s="2" t="s">
        <v>3476</v>
      </c>
      <c r="C1046" s="2" t="s">
        <v>1714</v>
      </c>
      <c r="D1046" s="2" t="s">
        <v>51</v>
      </c>
      <c r="E1046" s="2" t="s">
        <v>16</v>
      </c>
      <c r="F1046" s="2">
        <v>90</v>
      </c>
      <c r="G1046" s="2" t="s">
        <v>3477</v>
      </c>
      <c r="H1046" s="2" t="s">
        <v>455</v>
      </c>
      <c r="I1046" s="2" t="s">
        <v>187</v>
      </c>
      <c r="J1046" s="3">
        <v>44645</v>
      </c>
      <c r="K1046" s="5">
        <f>YEAR(OrganizedData[[#This Row],[Order Date]])</f>
        <v>2022</v>
      </c>
      <c r="L1046" s="7" t="str">
        <f>TEXT(OrganizedData[[#This Row],[Order Date]],"mmm")</f>
        <v>Mar</v>
      </c>
      <c r="M1046" s="2">
        <v>25</v>
      </c>
      <c r="N1046" s="2" t="s">
        <v>80</v>
      </c>
      <c r="O1046" s="2" t="str">
        <f>VLOOKUP(OrganizedData[[#This Row],[Product Code]],ProductData[[Code]:[Item]],2,FALSE)</f>
        <v>Ultrathing V2</v>
      </c>
      <c r="P1046" s="4">
        <f>OrganizedData[[#This Row],[Quantity]]*VLOOKUP(OrganizedData[[#This Row],[Product Code]],ProductData[],4,FALSE)</f>
        <v>500</v>
      </c>
      <c r="Q1046" s="6">
        <f>OrganizedData[[#This Row],[Total Items Ordered]]*VLOOKUP(OrganizedData[[#This Row],[Product Code]],ProductData[],3,FALSE)</f>
        <v>1475</v>
      </c>
      <c r="R10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1430.75</v>
      </c>
    </row>
    <row r="1047" spans="1:18" x14ac:dyDescent="0.3">
      <c r="A1047" s="2">
        <v>1040</v>
      </c>
      <c r="B1047" s="2" t="s">
        <v>3478</v>
      </c>
      <c r="C1047" s="2" t="s">
        <v>3350</v>
      </c>
      <c r="D1047" s="2" t="s">
        <v>28</v>
      </c>
      <c r="E1047" s="2" t="s">
        <v>29</v>
      </c>
      <c r="F1047" s="2">
        <v>90</v>
      </c>
      <c r="G1047" s="2" t="s">
        <v>3479</v>
      </c>
      <c r="H1047" s="2" t="s">
        <v>3480</v>
      </c>
      <c r="I1047" s="2" t="s">
        <v>187</v>
      </c>
      <c r="J1047" s="3">
        <v>44159</v>
      </c>
      <c r="K1047" s="5">
        <f>YEAR(OrganizedData[[#This Row],[Order Date]])</f>
        <v>2020</v>
      </c>
      <c r="L1047" s="7" t="str">
        <f>TEXT(OrganizedData[[#This Row],[Order Date]],"mmm")</f>
        <v>Nov</v>
      </c>
      <c r="M1047" s="2">
        <v>68</v>
      </c>
      <c r="N1047" s="2" t="s">
        <v>54</v>
      </c>
      <c r="O1047" s="2" t="str">
        <f>VLOOKUP(OrganizedData[[#This Row],[Product Code]],ProductData[[Code]:[Item]],2,FALSE)</f>
        <v>Megawidget S</v>
      </c>
      <c r="P1047" s="4">
        <f>OrganizedData[[#This Row],[Quantity]]*VLOOKUP(OrganizedData[[#This Row],[Product Code]],ProductData[],4,FALSE)</f>
        <v>1632</v>
      </c>
      <c r="Q1047" s="6">
        <f>OrganizedData[[#This Row],[Total Items Ordered]]*VLOOKUP(OrganizedData[[#This Row],[Product Code]],ProductData[],3,FALSE)</f>
        <v>1126.08</v>
      </c>
      <c r="R10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1069.7759999999998</v>
      </c>
    </row>
    <row r="1048" spans="1:18" x14ac:dyDescent="0.3">
      <c r="A1048" s="2">
        <v>1041</v>
      </c>
      <c r="B1048" s="2" t="s">
        <v>390</v>
      </c>
      <c r="C1048" s="2" t="s">
        <v>2181</v>
      </c>
      <c r="D1048" s="2" t="s">
        <v>28</v>
      </c>
      <c r="E1048" s="2" t="s">
        <v>29</v>
      </c>
      <c r="F1048" s="2">
        <v>60</v>
      </c>
      <c r="G1048" s="2" t="s">
        <v>3481</v>
      </c>
      <c r="H1048" s="2" t="s">
        <v>3482</v>
      </c>
      <c r="I1048" s="2" t="s">
        <v>25</v>
      </c>
      <c r="J1048" s="3">
        <v>44012</v>
      </c>
      <c r="K1048" s="5">
        <f>YEAR(OrganizedData[[#This Row],[Order Date]])</f>
        <v>2020</v>
      </c>
      <c r="L1048" s="7" t="str">
        <f>TEXT(OrganizedData[[#This Row],[Order Date]],"mmm")</f>
        <v>Jun</v>
      </c>
      <c r="M1048" s="2">
        <v>50</v>
      </c>
      <c r="N1048" s="2" t="s">
        <v>70</v>
      </c>
      <c r="O1048" s="2" t="str">
        <f>VLOOKUP(OrganizedData[[#This Row],[Product Code]],ProductData[[Code]:[Item]],2,FALSE)</f>
        <v>Megawidget M</v>
      </c>
      <c r="P1048" s="4">
        <f>OrganizedData[[#This Row],[Quantity]]*VLOOKUP(OrganizedData[[#This Row],[Product Code]],ProductData[],4,FALSE)</f>
        <v>1200</v>
      </c>
      <c r="Q1048" s="6">
        <f>OrganizedData[[#This Row],[Total Items Ordered]]*VLOOKUP(OrganizedData[[#This Row],[Product Code]],ProductData[],3,FALSE)</f>
        <v>1548</v>
      </c>
      <c r="R10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1501.56</v>
      </c>
    </row>
    <row r="1049" spans="1:18" x14ac:dyDescent="0.3">
      <c r="A1049" s="2">
        <v>1042</v>
      </c>
      <c r="B1049" s="2" t="s">
        <v>3483</v>
      </c>
      <c r="C1049" s="2" t="s">
        <v>844</v>
      </c>
      <c r="D1049" s="2" t="s">
        <v>28</v>
      </c>
      <c r="E1049" s="2" t="s">
        <v>29</v>
      </c>
      <c r="F1049" s="2">
        <v>30</v>
      </c>
      <c r="G1049" s="2" t="s">
        <v>3484</v>
      </c>
      <c r="H1049" s="2" t="s">
        <v>2393</v>
      </c>
      <c r="I1049" s="2" t="s">
        <v>1449</v>
      </c>
      <c r="J1049" s="3">
        <v>44104</v>
      </c>
      <c r="K1049" s="5">
        <f>YEAR(OrganizedData[[#This Row],[Order Date]])</f>
        <v>2020</v>
      </c>
      <c r="L1049" s="7" t="str">
        <f>TEXT(OrganizedData[[#This Row],[Order Date]],"mmm")</f>
        <v>Sep</v>
      </c>
      <c r="M1049" s="2">
        <v>66</v>
      </c>
      <c r="N1049" s="2" t="s">
        <v>70</v>
      </c>
      <c r="O1049" s="2" t="str">
        <f>VLOOKUP(OrganizedData[[#This Row],[Product Code]],ProductData[[Code]:[Item]],2,FALSE)</f>
        <v>Megawidget M</v>
      </c>
      <c r="P1049" s="4">
        <f>OrganizedData[[#This Row],[Quantity]]*VLOOKUP(OrganizedData[[#This Row],[Product Code]],ProductData[],4,FALSE)</f>
        <v>1584</v>
      </c>
      <c r="Q1049" s="6">
        <f>OrganizedData[[#This Row],[Total Items Ordered]]*VLOOKUP(OrganizedData[[#This Row],[Product Code]],ProductData[],3,FALSE)</f>
        <v>2043.3600000000001</v>
      </c>
      <c r="R10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1941.192</v>
      </c>
    </row>
    <row r="1050" spans="1:18" x14ac:dyDescent="0.3">
      <c r="A1050" s="2">
        <v>1043</v>
      </c>
      <c r="B1050" s="2" t="s">
        <v>3453</v>
      </c>
      <c r="C1050" s="2" t="s">
        <v>3485</v>
      </c>
      <c r="D1050" s="2" t="s">
        <v>15</v>
      </c>
      <c r="E1050" s="2" t="s">
        <v>16</v>
      </c>
      <c r="F1050" s="2">
        <v>60</v>
      </c>
      <c r="G1050" s="2" t="s">
        <v>3486</v>
      </c>
      <c r="H1050" s="2" t="s">
        <v>3487</v>
      </c>
      <c r="I1050" s="2" t="s">
        <v>294</v>
      </c>
      <c r="J1050" s="3">
        <v>44797</v>
      </c>
      <c r="K1050" s="5">
        <f>YEAR(OrganizedData[[#This Row],[Order Date]])</f>
        <v>2022</v>
      </c>
      <c r="L1050" s="7" t="str">
        <f>TEXT(OrganizedData[[#This Row],[Order Date]],"mmm")</f>
        <v>Aug</v>
      </c>
      <c r="M1050" s="2">
        <v>97</v>
      </c>
      <c r="N1050" s="2" t="s">
        <v>39</v>
      </c>
      <c r="O1050" s="2" t="str">
        <f>VLOOKUP(OrganizedData[[#This Row],[Product Code]],ProductData[[Code]:[Item]],2,FALSE)</f>
        <v>Ultrathing V1</v>
      </c>
      <c r="P1050" s="4">
        <f>OrganizedData[[#This Row],[Quantity]]*VLOOKUP(OrganizedData[[#This Row],[Product Code]],ProductData[],4,FALSE)</f>
        <v>1649</v>
      </c>
      <c r="Q1050" s="6">
        <f>OrganizedData[[#This Row],[Total Items Ordered]]*VLOOKUP(OrganizedData[[#This Row],[Product Code]],ProductData[],3,FALSE)</f>
        <v>2951.71</v>
      </c>
      <c r="R10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2804.1244999999999</v>
      </c>
    </row>
    <row r="1051" spans="1:18" x14ac:dyDescent="0.3">
      <c r="A1051" s="2">
        <v>1044</v>
      </c>
      <c r="B1051" s="2" t="s">
        <v>1677</v>
      </c>
      <c r="C1051" s="2" t="s">
        <v>3488</v>
      </c>
      <c r="D1051" s="2" t="s">
        <v>28</v>
      </c>
      <c r="E1051" s="2" t="s">
        <v>29</v>
      </c>
      <c r="F1051" s="2">
        <v>60</v>
      </c>
      <c r="G1051" s="2" t="s">
        <v>3489</v>
      </c>
      <c r="H1051" s="2" t="s">
        <v>2579</v>
      </c>
      <c r="I1051" s="2" t="s">
        <v>425</v>
      </c>
      <c r="J1051" s="3">
        <v>44101</v>
      </c>
      <c r="K1051" s="5">
        <f>YEAR(OrganizedData[[#This Row],[Order Date]])</f>
        <v>2020</v>
      </c>
      <c r="L1051" s="7" t="str">
        <f>TEXT(OrganizedData[[#This Row],[Order Date]],"mmm")</f>
        <v>Sep</v>
      </c>
      <c r="M1051" s="2">
        <v>4</v>
      </c>
      <c r="N1051" s="2" t="s">
        <v>54</v>
      </c>
      <c r="O1051" s="2" t="str">
        <f>VLOOKUP(OrganizedData[[#This Row],[Product Code]],ProductData[[Code]:[Item]],2,FALSE)</f>
        <v>Megawidget S</v>
      </c>
      <c r="P1051" s="4">
        <f>OrganizedData[[#This Row],[Quantity]]*VLOOKUP(OrganizedData[[#This Row],[Product Code]],ProductData[],4,FALSE)</f>
        <v>96</v>
      </c>
      <c r="Q1051" s="6">
        <f>OrganizedData[[#This Row],[Total Items Ordered]]*VLOOKUP(OrganizedData[[#This Row],[Product Code]],ProductData[],3,FALSE)</f>
        <v>66.239999999999995</v>
      </c>
      <c r="R10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1052" spans="1:18" x14ac:dyDescent="0.3">
      <c r="A1052" s="2">
        <v>1045</v>
      </c>
      <c r="B1052" s="2" t="s">
        <v>3490</v>
      </c>
      <c r="C1052" s="2" t="s">
        <v>82</v>
      </c>
      <c r="D1052" s="2" t="s">
        <v>15</v>
      </c>
      <c r="E1052" s="2" t="s">
        <v>16</v>
      </c>
      <c r="F1052" s="2">
        <v>30</v>
      </c>
      <c r="G1052" s="2" t="s">
        <v>3491</v>
      </c>
      <c r="H1052" s="2" t="s">
        <v>3267</v>
      </c>
      <c r="I1052" s="2" t="s">
        <v>124</v>
      </c>
      <c r="J1052" s="3">
        <v>44435</v>
      </c>
      <c r="K1052" s="5">
        <f>YEAR(OrganizedData[[#This Row],[Order Date]])</f>
        <v>2021</v>
      </c>
      <c r="L1052" s="7" t="str">
        <f>TEXT(OrganizedData[[#This Row],[Order Date]],"mmm")</f>
        <v>Aug</v>
      </c>
      <c r="M1052" s="2">
        <v>81</v>
      </c>
      <c r="N1052" s="2" t="s">
        <v>54</v>
      </c>
      <c r="O1052" s="2" t="str">
        <f>VLOOKUP(OrganizedData[[#This Row],[Product Code]],ProductData[[Code]:[Item]],2,FALSE)</f>
        <v>Megawidget S</v>
      </c>
      <c r="P1052" s="4">
        <f>OrganizedData[[#This Row],[Quantity]]*VLOOKUP(OrganizedData[[#This Row],[Product Code]],ProductData[],4,FALSE)</f>
        <v>1944</v>
      </c>
      <c r="Q1052" s="6">
        <f>OrganizedData[[#This Row],[Total Items Ordered]]*VLOOKUP(OrganizedData[[#This Row],[Product Code]],ProductData[],3,FALSE)</f>
        <v>1341.36</v>
      </c>
      <c r="R10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1053" spans="1:18" x14ac:dyDescent="0.3">
      <c r="A1053" s="2">
        <v>1046</v>
      </c>
      <c r="B1053" s="2" t="s">
        <v>3492</v>
      </c>
      <c r="C1053" s="2" t="s">
        <v>3493</v>
      </c>
      <c r="D1053" s="2" t="s">
        <v>41</v>
      </c>
      <c r="E1053" s="2" t="s">
        <v>16</v>
      </c>
      <c r="F1053" s="2">
        <v>60</v>
      </c>
      <c r="G1053" s="2" t="s">
        <v>3494</v>
      </c>
      <c r="H1053" s="2" t="s">
        <v>3495</v>
      </c>
      <c r="I1053" s="2" t="s">
        <v>1083</v>
      </c>
      <c r="J1053" s="3">
        <v>44325</v>
      </c>
      <c r="K1053" s="5">
        <f>YEAR(OrganizedData[[#This Row],[Order Date]])</f>
        <v>2021</v>
      </c>
      <c r="L1053" s="7" t="str">
        <f>TEXT(OrganizedData[[#This Row],[Order Date]],"mmm")</f>
        <v>May</v>
      </c>
      <c r="M1053" s="2">
        <v>7</v>
      </c>
      <c r="N1053" s="2" t="s">
        <v>70</v>
      </c>
      <c r="O1053" s="2" t="str">
        <f>VLOOKUP(OrganizedData[[#This Row],[Product Code]],ProductData[[Code]:[Item]],2,FALSE)</f>
        <v>Megawidget M</v>
      </c>
      <c r="P1053" s="4">
        <f>OrganizedData[[#This Row],[Quantity]]*VLOOKUP(OrganizedData[[#This Row],[Product Code]],ProductData[],4,FALSE)</f>
        <v>168</v>
      </c>
      <c r="Q1053" s="6">
        <f>OrganizedData[[#This Row],[Total Items Ordered]]*VLOOKUP(OrganizedData[[#This Row],[Product Code]],ProductData[],3,FALSE)</f>
        <v>216.72</v>
      </c>
      <c r="R10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216.72</v>
      </c>
    </row>
    <row r="1054" spans="1:18" x14ac:dyDescent="0.3">
      <c r="A1054" s="2">
        <v>1047</v>
      </c>
      <c r="B1054" s="2" t="s">
        <v>2520</v>
      </c>
      <c r="C1054" s="2" t="s">
        <v>3496</v>
      </c>
      <c r="D1054" s="2" t="s">
        <v>28</v>
      </c>
      <c r="E1054" s="2" t="s">
        <v>29</v>
      </c>
      <c r="F1054" s="2">
        <v>30</v>
      </c>
      <c r="G1054" s="2" t="s">
        <v>3497</v>
      </c>
      <c r="H1054" s="2" t="s">
        <v>3498</v>
      </c>
      <c r="I1054" s="2" t="s">
        <v>32</v>
      </c>
      <c r="J1054" s="3">
        <v>44054</v>
      </c>
      <c r="K1054" s="5">
        <f>YEAR(OrganizedData[[#This Row],[Order Date]])</f>
        <v>2020</v>
      </c>
      <c r="L1054" s="7" t="str">
        <f>TEXT(OrganizedData[[#This Row],[Order Date]],"mmm")</f>
        <v>Aug</v>
      </c>
      <c r="M1054" s="2">
        <v>58</v>
      </c>
      <c r="N1054" s="2" t="s">
        <v>159</v>
      </c>
      <c r="O1054" s="2" t="str">
        <f>VLOOKUP(OrganizedData[[#This Row],[Product Code]],ProductData[[Code]:[Item]],2,FALSE)</f>
        <v>Ultrathing V3</v>
      </c>
      <c r="P1054" s="4">
        <f>OrganizedData[[#This Row],[Quantity]]*VLOOKUP(OrganizedData[[#This Row],[Product Code]],ProductData[],4,FALSE)</f>
        <v>1392</v>
      </c>
      <c r="Q1054" s="6">
        <f>OrganizedData[[#This Row],[Total Items Ordered]]*VLOOKUP(OrganizedData[[#This Row],[Product Code]],ProductData[],3,FALSE)</f>
        <v>4718.88</v>
      </c>
      <c r="R10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1055" spans="1:18" x14ac:dyDescent="0.3">
      <c r="A1055" s="2">
        <v>1048</v>
      </c>
      <c r="B1055" s="2" t="s">
        <v>3444</v>
      </c>
      <c r="C1055" s="2" t="s">
        <v>332</v>
      </c>
      <c r="D1055" s="2" t="s">
        <v>28</v>
      </c>
      <c r="E1055" s="2" t="s">
        <v>29</v>
      </c>
      <c r="F1055" s="2">
        <v>90</v>
      </c>
      <c r="G1055" s="2" t="s">
        <v>10425</v>
      </c>
      <c r="H1055" s="2" t="s">
        <v>3500</v>
      </c>
      <c r="I1055" s="2" t="s">
        <v>25</v>
      </c>
      <c r="J1055" s="3">
        <v>44725</v>
      </c>
      <c r="K1055" s="5">
        <f>YEAR(OrganizedData[[#This Row],[Order Date]])</f>
        <v>2022</v>
      </c>
      <c r="L1055" s="7" t="str">
        <f>TEXT(OrganizedData[[#This Row],[Order Date]],"mmm")</f>
        <v>Jun</v>
      </c>
      <c r="M1055" s="2">
        <v>65</v>
      </c>
      <c r="N1055" s="2" t="s">
        <v>33</v>
      </c>
      <c r="O1055" s="2" t="str">
        <f>VLOOKUP(OrganizedData[[#This Row],[Product Code]],ProductData[[Code]:[Item]],2,FALSE)</f>
        <v>Megawidget L</v>
      </c>
      <c r="P1055" s="4">
        <f>OrganizedData[[#This Row],[Quantity]]*VLOOKUP(OrganizedData[[#This Row],[Product Code]],ProductData[],4,FALSE)</f>
        <v>1560</v>
      </c>
      <c r="Q1055" s="6">
        <f>OrganizedData[[#This Row],[Total Items Ordered]]*VLOOKUP(OrganizedData[[#This Row],[Product Code]],ProductData[],3,FALSE)</f>
        <v>2792.4</v>
      </c>
      <c r="R10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2652.7799999999997</v>
      </c>
    </row>
    <row r="1056" spans="1:18" x14ac:dyDescent="0.3">
      <c r="A1056" s="2">
        <v>1049</v>
      </c>
      <c r="B1056" s="2" t="s">
        <v>3501</v>
      </c>
      <c r="C1056" s="2" t="s">
        <v>3447</v>
      </c>
      <c r="D1056" s="2" t="s">
        <v>28</v>
      </c>
      <c r="E1056" s="2" t="s">
        <v>29</v>
      </c>
      <c r="F1056" s="2">
        <v>30</v>
      </c>
      <c r="G1056" s="2" t="s">
        <v>3502</v>
      </c>
      <c r="H1056" s="2" t="s">
        <v>1601</v>
      </c>
      <c r="I1056" s="2" t="s">
        <v>32</v>
      </c>
      <c r="J1056" s="3">
        <v>43906</v>
      </c>
      <c r="K1056" s="5">
        <f>YEAR(OrganizedData[[#This Row],[Order Date]])</f>
        <v>2020</v>
      </c>
      <c r="L1056" s="7" t="str">
        <f>TEXT(OrganizedData[[#This Row],[Order Date]],"mmm")</f>
        <v>Mar</v>
      </c>
      <c r="M1056" s="2">
        <v>73</v>
      </c>
      <c r="N1056" s="2" t="s">
        <v>64</v>
      </c>
      <c r="O1056" s="2" t="str">
        <f>VLOOKUP(OrganizedData[[#This Row],[Product Code]],ProductData[[Code]:[Item]],2,FALSE)</f>
        <v>Ultrathing V4</v>
      </c>
      <c r="P1056" s="4">
        <f>OrganizedData[[#This Row],[Quantity]]*VLOOKUP(OrganizedData[[#This Row],[Product Code]],ProductData[],4,FALSE)</f>
        <v>1752</v>
      </c>
      <c r="Q1056" s="6">
        <f>OrganizedData[[#This Row],[Total Items Ordered]]*VLOOKUP(OrganizedData[[#This Row],[Product Code]],ProductData[],3,FALSE)</f>
        <v>6990.4800000000005</v>
      </c>
      <c r="R10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6640.9560000000001</v>
      </c>
    </row>
    <row r="1057" spans="1:18" x14ac:dyDescent="0.3">
      <c r="A1057" s="2">
        <v>1050</v>
      </c>
      <c r="B1057" s="2" t="s">
        <v>3503</v>
      </c>
      <c r="C1057" s="2" t="s">
        <v>3504</v>
      </c>
      <c r="D1057" s="2" t="s">
        <v>15</v>
      </c>
      <c r="E1057" s="2" t="s">
        <v>16</v>
      </c>
      <c r="F1057" s="2">
        <v>90</v>
      </c>
      <c r="G1057" s="2" t="s">
        <v>3505</v>
      </c>
      <c r="H1057" s="2" t="s">
        <v>3506</v>
      </c>
      <c r="I1057" s="2" t="s">
        <v>124</v>
      </c>
      <c r="J1057" s="3">
        <v>44677</v>
      </c>
      <c r="K1057" s="5">
        <f>YEAR(OrganizedData[[#This Row],[Order Date]])</f>
        <v>2022</v>
      </c>
      <c r="L1057" s="7" t="str">
        <f>TEXT(OrganizedData[[#This Row],[Order Date]],"mmm")</f>
        <v>Apr</v>
      </c>
      <c r="M1057" s="2">
        <v>105</v>
      </c>
      <c r="N1057" s="2" t="s">
        <v>45</v>
      </c>
      <c r="O1057" s="2" t="str">
        <f>VLOOKUP(OrganizedData[[#This Row],[Product Code]],ProductData[[Code]:[Item]],2,FALSE)</f>
        <v>Gigastuff</v>
      </c>
      <c r="P1057" s="4">
        <f>OrganizedData[[#This Row],[Quantity]]*VLOOKUP(OrganizedData[[#This Row],[Product Code]],ProductData[],4,FALSE)</f>
        <v>1890</v>
      </c>
      <c r="Q1057" s="6">
        <f>OrganizedData[[#This Row],[Total Items Ordered]]*VLOOKUP(OrganizedData[[#This Row],[Product Code]],ProductData[],3,FALSE)</f>
        <v>3572.1</v>
      </c>
      <c r="R10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3322.0529999999999</v>
      </c>
    </row>
    <row r="1058" spans="1:18" x14ac:dyDescent="0.3">
      <c r="A1058" s="2">
        <v>1051</v>
      </c>
      <c r="B1058" s="2" t="s">
        <v>3507</v>
      </c>
      <c r="C1058" s="2" t="s">
        <v>281</v>
      </c>
      <c r="D1058" s="2" t="s">
        <v>15</v>
      </c>
      <c r="E1058" s="2" t="s">
        <v>16</v>
      </c>
      <c r="F1058" s="2">
        <v>90</v>
      </c>
      <c r="G1058" s="2" t="s">
        <v>3508</v>
      </c>
      <c r="H1058" s="2" t="s">
        <v>1269</v>
      </c>
      <c r="I1058" s="2" t="s">
        <v>187</v>
      </c>
      <c r="J1058" s="3">
        <v>43958</v>
      </c>
      <c r="K1058" s="5">
        <f>YEAR(OrganizedData[[#This Row],[Order Date]])</f>
        <v>2020</v>
      </c>
      <c r="L1058" s="7" t="str">
        <f>TEXT(OrganizedData[[#This Row],[Order Date]],"mmm")</f>
        <v>May</v>
      </c>
      <c r="M1058" s="2">
        <v>45</v>
      </c>
      <c r="N1058" s="2" t="s">
        <v>80</v>
      </c>
      <c r="O1058" s="2" t="str">
        <f>VLOOKUP(OrganizedData[[#This Row],[Product Code]],ProductData[[Code]:[Item]],2,FALSE)</f>
        <v>Ultrathing V2</v>
      </c>
      <c r="P1058" s="4">
        <f>OrganizedData[[#This Row],[Quantity]]*VLOOKUP(OrganizedData[[#This Row],[Product Code]],ProductData[],4,FALSE)</f>
        <v>900</v>
      </c>
      <c r="Q1058" s="6">
        <f>OrganizedData[[#This Row],[Total Items Ordered]]*VLOOKUP(OrganizedData[[#This Row],[Product Code]],ProductData[],3,FALSE)</f>
        <v>2655</v>
      </c>
      <c r="R10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1059" spans="1:18" x14ac:dyDescent="0.3">
      <c r="A1059" s="2">
        <v>1052</v>
      </c>
      <c r="B1059" s="2" t="s">
        <v>1356</v>
      </c>
      <c r="C1059" s="2" t="s">
        <v>3509</v>
      </c>
      <c r="D1059" s="2" t="s">
        <v>28</v>
      </c>
      <c r="E1059" s="2" t="s">
        <v>29</v>
      </c>
      <c r="F1059" s="2">
        <v>60</v>
      </c>
      <c r="G1059" s="2" t="s">
        <v>3510</v>
      </c>
      <c r="H1059" s="2" t="s">
        <v>3511</v>
      </c>
      <c r="I1059" s="2" t="s">
        <v>32</v>
      </c>
      <c r="J1059" s="3">
        <v>44758</v>
      </c>
      <c r="K1059" s="5">
        <f>YEAR(OrganizedData[[#This Row],[Order Date]])</f>
        <v>2022</v>
      </c>
      <c r="L1059" s="7" t="str">
        <f>TEXT(OrganizedData[[#This Row],[Order Date]],"mmm")</f>
        <v>Jul</v>
      </c>
      <c r="M1059" s="2">
        <v>103</v>
      </c>
      <c r="N1059" s="2" t="s">
        <v>159</v>
      </c>
      <c r="O1059" s="2" t="str">
        <f>VLOOKUP(OrganizedData[[#This Row],[Product Code]],ProductData[[Code]:[Item]],2,FALSE)</f>
        <v>Ultrathing V3</v>
      </c>
      <c r="P1059" s="4">
        <f>OrganizedData[[#This Row],[Quantity]]*VLOOKUP(OrganizedData[[#This Row],[Product Code]],ProductData[],4,FALSE)</f>
        <v>2472</v>
      </c>
      <c r="Q1059" s="6">
        <f>OrganizedData[[#This Row],[Total Items Ordered]]*VLOOKUP(OrganizedData[[#This Row],[Product Code]],ProductData[],3,FALSE)</f>
        <v>8380.08</v>
      </c>
      <c r="R10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7793.4744000000001</v>
      </c>
    </row>
    <row r="1060" spans="1:18" x14ac:dyDescent="0.3">
      <c r="A1060" s="2">
        <v>1053</v>
      </c>
      <c r="B1060" s="2" t="s">
        <v>3512</v>
      </c>
      <c r="C1060" s="2" t="s">
        <v>3513</v>
      </c>
      <c r="D1060" s="2" t="s">
        <v>51</v>
      </c>
      <c r="E1060" s="2" t="s">
        <v>16</v>
      </c>
      <c r="F1060" s="2">
        <v>90</v>
      </c>
      <c r="G1060" s="2" t="s">
        <v>3514</v>
      </c>
      <c r="H1060" s="2" t="s">
        <v>3161</v>
      </c>
      <c r="I1060" s="2" t="s">
        <v>32</v>
      </c>
      <c r="J1060" s="3">
        <v>44453</v>
      </c>
      <c r="K1060" s="5">
        <f>YEAR(OrganizedData[[#This Row],[Order Date]])</f>
        <v>2021</v>
      </c>
      <c r="L1060" s="7" t="str">
        <f>TEXT(OrganizedData[[#This Row],[Order Date]],"mmm")</f>
        <v>Sep</v>
      </c>
      <c r="M1060" s="2">
        <v>94</v>
      </c>
      <c r="N1060" s="2" t="s">
        <v>159</v>
      </c>
      <c r="O1060" s="2" t="str">
        <f>VLOOKUP(OrganizedData[[#This Row],[Product Code]],ProductData[[Code]:[Item]],2,FALSE)</f>
        <v>Ultrathing V3</v>
      </c>
      <c r="P1060" s="4">
        <f>OrganizedData[[#This Row],[Quantity]]*VLOOKUP(OrganizedData[[#This Row],[Product Code]],ProductData[],4,FALSE)</f>
        <v>2256</v>
      </c>
      <c r="Q1060" s="6">
        <f>OrganizedData[[#This Row],[Total Items Ordered]]*VLOOKUP(OrganizedData[[#This Row],[Product Code]],ProductData[],3,FALSE)</f>
        <v>7647.84</v>
      </c>
      <c r="R10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7265.4479999999994</v>
      </c>
    </row>
    <row r="1061" spans="1:18" x14ac:dyDescent="0.3">
      <c r="A1061" s="2">
        <v>1054</v>
      </c>
      <c r="B1061" s="2" t="s">
        <v>3515</v>
      </c>
      <c r="C1061" s="2" t="s">
        <v>1384</v>
      </c>
      <c r="D1061" s="2" t="s">
        <v>28</v>
      </c>
      <c r="E1061" s="2" t="s">
        <v>29</v>
      </c>
      <c r="F1061" s="2">
        <v>60</v>
      </c>
      <c r="G1061" s="2" t="s">
        <v>3516</v>
      </c>
      <c r="H1061" s="2" t="s">
        <v>3517</v>
      </c>
      <c r="I1061" s="2" t="s">
        <v>2543</v>
      </c>
      <c r="J1061" s="3">
        <v>44864</v>
      </c>
      <c r="K1061" s="5">
        <f>YEAR(OrganizedData[[#This Row],[Order Date]])</f>
        <v>2022</v>
      </c>
      <c r="L1061" s="7" t="str">
        <f>TEXT(OrganizedData[[#This Row],[Order Date]],"mmm")</f>
        <v>Oct</v>
      </c>
      <c r="M1061" s="2">
        <v>7</v>
      </c>
      <c r="N1061" s="2" t="s">
        <v>20</v>
      </c>
      <c r="O1061" s="2" t="str">
        <f>VLOOKUP(OrganizedData[[#This Row],[Product Code]],ProductData[[Code]:[Item]],2,FALSE)</f>
        <v>Hyperwotsit</v>
      </c>
      <c r="P1061" s="4">
        <f>OrganizedData[[#This Row],[Quantity]]*VLOOKUP(OrganizedData[[#This Row],[Product Code]],ProductData[],4,FALSE)</f>
        <v>140</v>
      </c>
      <c r="Q1061" s="6">
        <f>OrganizedData[[#This Row],[Total Items Ordered]]*VLOOKUP(OrganizedData[[#This Row],[Product Code]],ProductData[],3,FALSE)</f>
        <v>281.39999999999998</v>
      </c>
      <c r="R10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1062" spans="1:18" x14ac:dyDescent="0.3">
      <c r="A1062" s="2">
        <v>1055</v>
      </c>
      <c r="B1062" s="2" t="s">
        <v>3518</v>
      </c>
      <c r="C1062" s="2" t="s">
        <v>3519</v>
      </c>
      <c r="D1062" s="2" t="s">
        <v>41</v>
      </c>
      <c r="E1062" s="2" t="s">
        <v>16</v>
      </c>
      <c r="F1062" s="2">
        <v>60</v>
      </c>
      <c r="G1062" s="2" t="s">
        <v>3520</v>
      </c>
      <c r="H1062" s="2" t="s">
        <v>933</v>
      </c>
      <c r="I1062" s="2" t="s">
        <v>934</v>
      </c>
      <c r="J1062" s="3">
        <v>44133</v>
      </c>
      <c r="K1062" s="5">
        <f>YEAR(OrganizedData[[#This Row],[Order Date]])</f>
        <v>2020</v>
      </c>
      <c r="L1062" s="7" t="str">
        <f>TEXT(OrganizedData[[#This Row],[Order Date]],"mmm")</f>
        <v>Oct</v>
      </c>
      <c r="M1062" s="2">
        <v>43</v>
      </c>
      <c r="N1062" s="2" t="s">
        <v>45</v>
      </c>
      <c r="O1062" s="2" t="str">
        <f>VLOOKUP(OrganizedData[[#This Row],[Product Code]],ProductData[[Code]:[Item]],2,FALSE)</f>
        <v>Gigastuff</v>
      </c>
      <c r="P1062" s="4">
        <f>OrganizedData[[#This Row],[Quantity]]*VLOOKUP(OrganizedData[[#This Row],[Product Code]],ProductData[],4,FALSE)</f>
        <v>774</v>
      </c>
      <c r="Q1062" s="6">
        <f>OrganizedData[[#This Row],[Total Items Ordered]]*VLOOKUP(OrganizedData[[#This Row],[Product Code]],ProductData[],3,FALSE)</f>
        <v>1462.86</v>
      </c>
      <c r="R10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1063" spans="1:18" x14ac:dyDescent="0.3">
      <c r="A1063" s="2">
        <v>1056</v>
      </c>
      <c r="B1063" s="2" t="s">
        <v>3521</v>
      </c>
      <c r="C1063" s="2" t="s">
        <v>3522</v>
      </c>
      <c r="D1063" s="2" t="s">
        <v>15</v>
      </c>
      <c r="E1063" s="2" t="s">
        <v>16</v>
      </c>
      <c r="F1063" s="2">
        <v>90</v>
      </c>
      <c r="G1063" s="2" t="s">
        <v>3523</v>
      </c>
      <c r="H1063" s="2" t="s">
        <v>1969</v>
      </c>
      <c r="I1063" s="2" t="s">
        <v>32</v>
      </c>
      <c r="J1063" s="3">
        <v>44403</v>
      </c>
      <c r="K1063" s="5">
        <f>YEAR(OrganizedData[[#This Row],[Order Date]])</f>
        <v>2021</v>
      </c>
      <c r="L1063" s="7" t="str">
        <f>TEXT(OrganizedData[[#This Row],[Order Date]],"mmm")</f>
        <v>Jul</v>
      </c>
      <c r="M1063" s="2">
        <v>50</v>
      </c>
      <c r="N1063" s="2" t="s">
        <v>33</v>
      </c>
      <c r="O1063" s="2" t="str">
        <f>VLOOKUP(OrganizedData[[#This Row],[Product Code]],ProductData[[Code]:[Item]],2,FALSE)</f>
        <v>Megawidget L</v>
      </c>
      <c r="P1063" s="4">
        <f>OrganizedData[[#This Row],[Quantity]]*VLOOKUP(OrganizedData[[#This Row],[Product Code]],ProductData[],4,FALSE)</f>
        <v>1200</v>
      </c>
      <c r="Q1063" s="6">
        <f>OrganizedData[[#This Row],[Total Items Ordered]]*VLOOKUP(OrganizedData[[#This Row],[Product Code]],ProductData[],3,FALSE)</f>
        <v>2148</v>
      </c>
      <c r="R10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1064" spans="1:18" x14ac:dyDescent="0.3">
      <c r="A1064" s="2">
        <v>1057</v>
      </c>
      <c r="B1064" s="2" t="s">
        <v>1748</v>
      </c>
      <c r="C1064" s="2" t="s">
        <v>2770</v>
      </c>
      <c r="D1064" s="2" t="s">
        <v>28</v>
      </c>
      <c r="E1064" s="2" t="s">
        <v>29</v>
      </c>
      <c r="F1064" s="2">
        <v>60</v>
      </c>
      <c r="G1064" s="2" t="s">
        <v>3524</v>
      </c>
      <c r="H1064" s="2" t="s">
        <v>2555</v>
      </c>
      <c r="I1064" s="2" t="s">
        <v>32</v>
      </c>
      <c r="J1064" s="3">
        <v>44549</v>
      </c>
      <c r="K1064" s="5">
        <f>YEAR(OrganizedData[[#This Row],[Order Date]])</f>
        <v>2021</v>
      </c>
      <c r="L1064" s="7" t="str">
        <f>TEXT(OrganizedData[[#This Row],[Order Date]],"mmm")</f>
        <v>Dec</v>
      </c>
      <c r="M1064" s="2">
        <v>6</v>
      </c>
      <c r="N1064" s="2" t="s">
        <v>159</v>
      </c>
      <c r="O1064" s="2" t="str">
        <f>VLOOKUP(OrganizedData[[#This Row],[Product Code]],ProductData[[Code]:[Item]],2,FALSE)</f>
        <v>Ultrathing V3</v>
      </c>
      <c r="P1064" s="4">
        <f>OrganizedData[[#This Row],[Quantity]]*VLOOKUP(OrganizedData[[#This Row],[Product Code]],ProductData[],4,FALSE)</f>
        <v>144</v>
      </c>
      <c r="Q1064" s="6">
        <f>OrganizedData[[#This Row],[Total Items Ordered]]*VLOOKUP(OrganizedData[[#This Row],[Product Code]],ProductData[],3,FALSE)</f>
        <v>488.16</v>
      </c>
      <c r="R10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488.16</v>
      </c>
    </row>
    <row r="1065" spans="1:18" x14ac:dyDescent="0.3">
      <c r="A1065" s="2">
        <v>1058</v>
      </c>
      <c r="B1065" s="2" t="s">
        <v>3525</v>
      </c>
      <c r="C1065" s="2" t="s">
        <v>1131</v>
      </c>
      <c r="D1065" s="2" t="s">
        <v>51</v>
      </c>
      <c r="E1065" s="2" t="s">
        <v>16</v>
      </c>
      <c r="F1065" s="2">
        <v>30</v>
      </c>
      <c r="G1065" s="2" t="s">
        <v>3528</v>
      </c>
      <c r="H1065" s="2" t="s">
        <v>2848</v>
      </c>
      <c r="I1065" s="2" t="s">
        <v>129</v>
      </c>
      <c r="J1065" s="3">
        <v>43834</v>
      </c>
      <c r="K1065" s="5">
        <f>YEAR(OrganizedData[[#This Row],[Order Date]])</f>
        <v>2020</v>
      </c>
      <c r="L1065" s="7" t="str">
        <f>TEXT(OrganizedData[[#This Row],[Order Date]],"mmm")</f>
        <v>Jan</v>
      </c>
      <c r="M1065" s="2">
        <v>38</v>
      </c>
      <c r="N1065" s="2" t="s">
        <v>20</v>
      </c>
      <c r="O1065" s="2" t="str">
        <f>VLOOKUP(OrganizedData[[#This Row],[Product Code]],ProductData[[Code]:[Item]],2,FALSE)</f>
        <v>Hyperwotsit</v>
      </c>
      <c r="P1065" s="4">
        <f>OrganizedData[[#This Row],[Quantity]]*VLOOKUP(OrganizedData[[#This Row],[Product Code]],ProductData[],4,FALSE)</f>
        <v>760</v>
      </c>
      <c r="Q1065" s="6">
        <f>OrganizedData[[#This Row],[Total Items Ordered]]*VLOOKUP(OrganizedData[[#This Row],[Product Code]],ProductData[],3,FALSE)</f>
        <v>1527.6</v>
      </c>
      <c r="R10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1481.7719999999999</v>
      </c>
    </row>
    <row r="1066" spans="1:18" x14ac:dyDescent="0.3">
      <c r="A1066" s="2">
        <v>1059</v>
      </c>
      <c r="B1066" s="2" t="s">
        <v>2837</v>
      </c>
      <c r="C1066" s="2" t="s">
        <v>3527</v>
      </c>
      <c r="D1066" s="2" t="s">
        <v>28</v>
      </c>
      <c r="E1066" s="2" t="s">
        <v>29</v>
      </c>
      <c r="F1066" s="2">
        <v>60</v>
      </c>
      <c r="G1066" s="2" t="s">
        <v>3528</v>
      </c>
      <c r="H1066" s="2" t="s">
        <v>3506</v>
      </c>
      <c r="I1066" s="2" t="s">
        <v>124</v>
      </c>
      <c r="J1066" s="3">
        <v>43833</v>
      </c>
      <c r="K1066" s="5">
        <f>YEAR(OrganizedData[[#This Row],[Order Date]])</f>
        <v>2020</v>
      </c>
      <c r="L1066" s="7" t="str">
        <f>TEXT(OrganizedData[[#This Row],[Order Date]],"mmm")</f>
        <v>Jan</v>
      </c>
      <c r="M1066" s="2">
        <v>75</v>
      </c>
      <c r="N1066" s="2" t="s">
        <v>45</v>
      </c>
      <c r="O1066" s="2" t="str">
        <f>VLOOKUP(OrganizedData[[#This Row],[Product Code]],ProductData[[Code]:[Item]],2,FALSE)</f>
        <v>Gigastuff</v>
      </c>
      <c r="P1066" s="4">
        <f>OrganizedData[[#This Row],[Quantity]]*VLOOKUP(OrganizedData[[#This Row],[Product Code]],ProductData[],4,FALSE)</f>
        <v>1350</v>
      </c>
      <c r="Q1066" s="6">
        <f>OrganizedData[[#This Row],[Total Items Ordered]]*VLOOKUP(OrganizedData[[#This Row],[Product Code]],ProductData[],3,FALSE)</f>
        <v>2551.5</v>
      </c>
      <c r="R10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2423.9249999999997</v>
      </c>
    </row>
    <row r="1067" spans="1:18" x14ac:dyDescent="0.3">
      <c r="A1067" s="2">
        <v>1060</v>
      </c>
      <c r="B1067" s="2" t="s">
        <v>237</v>
      </c>
      <c r="C1067" s="2" t="s">
        <v>3529</v>
      </c>
      <c r="D1067" s="2" t="s">
        <v>28</v>
      </c>
      <c r="E1067" s="2" t="s">
        <v>29</v>
      </c>
      <c r="F1067" s="2">
        <v>90</v>
      </c>
      <c r="G1067" s="2" t="s">
        <v>3530</v>
      </c>
      <c r="H1067" s="2" t="s">
        <v>3531</v>
      </c>
      <c r="I1067" s="2" t="s">
        <v>32</v>
      </c>
      <c r="J1067" s="3">
        <v>44848</v>
      </c>
      <c r="K1067" s="5">
        <f>YEAR(OrganizedData[[#This Row],[Order Date]])</f>
        <v>2022</v>
      </c>
      <c r="L1067" s="7" t="str">
        <f>TEXT(OrganizedData[[#This Row],[Order Date]],"mmm")</f>
        <v>Oct</v>
      </c>
      <c r="M1067" s="2">
        <v>42</v>
      </c>
      <c r="N1067" s="2" t="s">
        <v>101</v>
      </c>
      <c r="O1067" s="2" t="str">
        <f>VLOOKUP(OrganizedData[[#This Row],[Product Code]],ProductData[[Code]:[Item]],2,FALSE)</f>
        <v>Superwossname</v>
      </c>
      <c r="P1067" s="4">
        <f>OrganizedData[[#This Row],[Quantity]]*VLOOKUP(OrganizedData[[#This Row],[Product Code]],ProductData[],4,FALSE)</f>
        <v>840</v>
      </c>
      <c r="Q1067" s="6">
        <f>OrganizedData[[#This Row],[Total Items Ordered]]*VLOOKUP(OrganizedData[[#This Row],[Product Code]],ProductData[],3,FALSE)</f>
        <v>2931.6000000000004</v>
      </c>
      <c r="R10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1068" spans="1:18" x14ac:dyDescent="0.3">
      <c r="A1068" s="2">
        <v>1061</v>
      </c>
      <c r="B1068" s="2" t="s">
        <v>3532</v>
      </c>
      <c r="C1068" s="2" t="s">
        <v>2309</v>
      </c>
      <c r="D1068" s="2" t="s">
        <v>28</v>
      </c>
      <c r="E1068" s="2" t="s">
        <v>29</v>
      </c>
      <c r="F1068" s="2">
        <v>60</v>
      </c>
      <c r="G1068" s="2" t="s">
        <v>3533</v>
      </c>
      <c r="H1068" s="2" t="s">
        <v>3534</v>
      </c>
      <c r="I1068" s="2" t="s">
        <v>19</v>
      </c>
      <c r="J1068" s="3">
        <v>44275</v>
      </c>
      <c r="K1068" s="5">
        <f>YEAR(OrganizedData[[#This Row],[Order Date]])</f>
        <v>2021</v>
      </c>
      <c r="L1068" s="7" t="str">
        <f>TEXT(OrganizedData[[#This Row],[Order Date]],"mmm")</f>
        <v>Mar</v>
      </c>
      <c r="M1068" s="2">
        <v>54</v>
      </c>
      <c r="N1068" s="2" t="s">
        <v>54</v>
      </c>
      <c r="O1068" s="2" t="str">
        <f>VLOOKUP(OrganizedData[[#This Row],[Product Code]],ProductData[[Code]:[Item]],2,FALSE)</f>
        <v>Megawidget S</v>
      </c>
      <c r="P1068" s="4">
        <f>OrganizedData[[#This Row],[Quantity]]*VLOOKUP(OrganizedData[[#This Row],[Product Code]],ProductData[],4,FALSE)</f>
        <v>1296</v>
      </c>
      <c r="Q1068" s="6">
        <f>OrganizedData[[#This Row],[Total Items Ordered]]*VLOOKUP(OrganizedData[[#This Row],[Product Code]],ProductData[],3,FALSE)</f>
        <v>894.2399999999999</v>
      </c>
      <c r="R10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849.52799999999991</v>
      </c>
    </row>
    <row r="1069" spans="1:18" x14ac:dyDescent="0.3">
      <c r="A1069" s="2">
        <v>1062</v>
      </c>
      <c r="B1069" s="2" t="s">
        <v>2106</v>
      </c>
      <c r="C1069" s="2" t="s">
        <v>3535</v>
      </c>
      <c r="D1069" s="2" t="s">
        <v>28</v>
      </c>
      <c r="E1069" s="2" t="s">
        <v>29</v>
      </c>
      <c r="F1069" s="2">
        <v>60</v>
      </c>
      <c r="G1069" s="2" t="s">
        <v>3536</v>
      </c>
      <c r="H1069" s="2" t="s">
        <v>2925</v>
      </c>
      <c r="I1069" s="2" t="s">
        <v>32</v>
      </c>
      <c r="J1069" s="3">
        <v>44002</v>
      </c>
      <c r="K1069" s="5">
        <f>YEAR(OrganizedData[[#This Row],[Order Date]])</f>
        <v>2020</v>
      </c>
      <c r="L1069" s="7" t="str">
        <f>TEXT(OrganizedData[[#This Row],[Order Date]],"mmm")</f>
        <v>Jun</v>
      </c>
      <c r="M1069" s="2">
        <v>22</v>
      </c>
      <c r="N1069" s="2" t="s">
        <v>54</v>
      </c>
      <c r="O1069" s="2" t="str">
        <f>VLOOKUP(OrganizedData[[#This Row],[Product Code]],ProductData[[Code]:[Item]],2,FALSE)</f>
        <v>Megawidget S</v>
      </c>
      <c r="P1069" s="4">
        <f>OrganizedData[[#This Row],[Quantity]]*VLOOKUP(OrganizedData[[#This Row],[Product Code]],ProductData[],4,FALSE)</f>
        <v>528</v>
      </c>
      <c r="Q1069" s="6">
        <f>OrganizedData[[#This Row],[Total Items Ordered]]*VLOOKUP(OrganizedData[[#This Row],[Product Code]],ProductData[],3,FALSE)</f>
        <v>364.32</v>
      </c>
      <c r="R10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353.3904</v>
      </c>
    </row>
    <row r="1070" spans="1:18" x14ac:dyDescent="0.3">
      <c r="A1070" s="2">
        <v>1063</v>
      </c>
      <c r="B1070" s="2" t="s">
        <v>3537</v>
      </c>
      <c r="C1070" s="2" t="s">
        <v>3538</v>
      </c>
      <c r="D1070" s="2" t="s">
        <v>28</v>
      </c>
      <c r="E1070" s="2" t="s">
        <v>29</v>
      </c>
      <c r="F1070" s="2">
        <v>60</v>
      </c>
      <c r="G1070" s="2" t="s">
        <v>3539</v>
      </c>
      <c r="H1070" s="2" t="s">
        <v>1674</v>
      </c>
      <c r="I1070" s="2" t="s">
        <v>25</v>
      </c>
      <c r="J1070" s="3">
        <v>44684</v>
      </c>
      <c r="K1070" s="5">
        <f>YEAR(OrganizedData[[#This Row],[Order Date]])</f>
        <v>2022</v>
      </c>
      <c r="L1070" s="7" t="str">
        <f>TEXT(OrganizedData[[#This Row],[Order Date]],"mmm")</f>
        <v>May</v>
      </c>
      <c r="M1070" s="2">
        <v>74</v>
      </c>
      <c r="N1070" s="2" t="s">
        <v>33</v>
      </c>
      <c r="O1070" s="2" t="str">
        <f>VLOOKUP(OrganizedData[[#This Row],[Product Code]],ProductData[[Code]:[Item]],2,FALSE)</f>
        <v>Megawidget L</v>
      </c>
      <c r="P1070" s="4">
        <f>OrganizedData[[#This Row],[Quantity]]*VLOOKUP(OrganizedData[[#This Row],[Product Code]],ProductData[],4,FALSE)</f>
        <v>1776</v>
      </c>
      <c r="Q1070" s="6">
        <f>OrganizedData[[#This Row],[Total Items Ordered]]*VLOOKUP(OrganizedData[[#This Row],[Product Code]],ProductData[],3,FALSE)</f>
        <v>3179.04</v>
      </c>
      <c r="R10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1071" spans="1:18" x14ac:dyDescent="0.3">
      <c r="A1071" s="2">
        <v>1064</v>
      </c>
      <c r="B1071" s="2" t="s">
        <v>3540</v>
      </c>
      <c r="C1071" s="2" t="s">
        <v>1578</v>
      </c>
      <c r="D1071" s="2" t="s">
        <v>28</v>
      </c>
      <c r="E1071" s="2" t="s">
        <v>29</v>
      </c>
      <c r="F1071" s="2">
        <v>30</v>
      </c>
      <c r="G1071" s="2" t="s">
        <v>3539</v>
      </c>
      <c r="H1071" s="2" t="s">
        <v>3541</v>
      </c>
      <c r="I1071" s="2" t="s">
        <v>32</v>
      </c>
      <c r="J1071" s="3">
        <v>44738</v>
      </c>
      <c r="K1071" s="5">
        <f>YEAR(OrganizedData[[#This Row],[Order Date]])</f>
        <v>2022</v>
      </c>
      <c r="L1071" s="7" t="str">
        <f>TEXT(OrganizedData[[#This Row],[Order Date]],"mmm")</f>
        <v>Jun</v>
      </c>
      <c r="M1071" s="2">
        <v>96</v>
      </c>
      <c r="N1071" s="2" t="s">
        <v>159</v>
      </c>
      <c r="O1071" s="2" t="str">
        <f>VLOOKUP(OrganizedData[[#This Row],[Product Code]],ProductData[[Code]:[Item]],2,FALSE)</f>
        <v>Ultrathing V3</v>
      </c>
      <c r="P1071" s="4">
        <f>OrganizedData[[#This Row],[Quantity]]*VLOOKUP(OrganizedData[[#This Row],[Product Code]],ProductData[],4,FALSE)</f>
        <v>2304</v>
      </c>
      <c r="Q1071" s="6">
        <f>OrganizedData[[#This Row],[Total Items Ordered]]*VLOOKUP(OrganizedData[[#This Row],[Product Code]],ProductData[],3,FALSE)</f>
        <v>7810.56</v>
      </c>
      <c r="R10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7420.0320000000002</v>
      </c>
    </row>
    <row r="1072" spans="1:18" x14ac:dyDescent="0.3">
      <c r="A1072" s="2">
        <v>1065</v>
      </c>
      <c r="B1072" s="2" t="s">
        <v>1383</v>
      </c>
      <c r="C1072" s="2" t="s">
        <v>3542</v>
      </c>
      <c r="D1072" s="2" t="s">
        <v>28</v>
      </c>
      <c r="E1072" s="2" t="s">
        <v>29</v>
      </c>
      <c r="F1072" s="2">
        <v>30</v>
      </c>
      <c r="G1072" s="2" t="s">
        <v>3543</v>
      </c>
      <c r="H1072" s="2" t="s">
        <v>412</v>
      </c>
      <c r="I1072" s="2" t="s">
        <v>187</v>
      </c>
      <c r="J1072" s="3">
        <v>44415</v>
      </c>
      <c r="K1072" s="5">
        <f>YEAR(OrganizedData[[#This Row],[Order Date]])</f>
        <v>2021</v>
      </c>
      <c r="L1072" s="7" t="str">
        <f>TEXT(OrganizedData[[#This Row],[Order Date]],"mmm")</f>
        <v>Aug</v>
      </c>
      <c r="M1072" s="2">
        <v>94</v>
      </c>
      <c r="N1072" s="2" t="s">
        <v>20</v>
      </c>
      <c r="O1072" s="2" t="str">
        <f>VLOOKUP(OrganizedData[[#This Row],[Product Code]],ProductData[[Code]:[Item]],2,FALSE)</f>
        <v>Hyperwotsit</v>
      </c>
      <c r="P1072" s="4">
        <f>OrganizedData[[#This Row],[Quantity]]*VLOOKUP(OrganizedData[[#This Row],[Product Code]],ProductData[],4,FALSE)</f>
        <v>1880</v>
      </c>
      <c r="Q1072" s="6">
        <f>OrganizedData[[#This Row],[Total Items Ordered]]*VLOOKUP(OrganizedData[[#This Row],[Product Code]],ProductData[],3,FALSE)</f>
        <v>3778.7999999999997</v>
      </c>
      <c r="R10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3589.8599999999997</v>
      </c>
    </row>
    <row r="1073" spans="1:18" x14ac:dyDescent="0.3">
      <c r="A1073" s="2">
        <v>1066</v>
      </c>
      <c r="B1073" s="2" t="s">
        <v>3544</v>
      </c>
      <c r="C1073" s="2" t="s">
        <v>2951</v>
      </c>
      <c r="D1073" s="2" t="s">
        <v>28</v>
      </c>
      <c r="E1073" s="2" t="s">
        <v>29</v>
      </c>
      <c r="F1073" s="2">
        <v>90</v>
      </c>
      <c r="G1073" s="2" t="s">
        <v>3543</v>
      </c>
      <c r="H1073" s="2" t="s">
        <v>3545</v>
      </c>
      <c r="I1073" s="2" t="s">
        <v>32</v>
      </c>
      <c r="J1073" s="3">
        <v>44011</v>
      </c>
      <c r="K1073" s="5">
        <f>YEAR(OrganizedData[[#This Row],[Order Date]])</f>
        <v>2020</v>
      </c>
      <c r="L1073" s="7" t="str">
        <f>TEXT(OrganizedData[[#This Row],[Order Date]],"mmm")</f>
        <v>Jun</v>
      </c>
      <c r="M1073" s="2">
        <v>35</v>
      </c>
      <c r="N1073" s="2" t="s">
        <v>64</v>
      </c>
      <c r="O1073" s="2" t="str">
        <f>VLOOKUP(OrganizedData[[#This Row],[Product Code]],ProductData[[Code]:[Item]],2,FALSE)</f>
        <v>Ultrathing V4</v>
      </c>
      <c r="P1073" s="4">
        <f>OrganizedData[[#This Row],[Quantity]]*VLOOKUP(OrganizedData[[#This Row],[Product Code]],ProductData[],4,FALSE)</f>
        <v>840</v>
      </c>
      <c r="Q1073" s="6">
        <f>OrganizedData[[#This Row],[Total Items Ordered]]*VLOOKUP(OrganizedData[[#This Row],[Product Code]],ProductData[],3,FALSE)</f>
        <v>3351.6000000000004</v>
      </c>
      <c r="R10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1074" spans="1:18" x14ac:dyDescent="0.3">
      <c r="A1074" s="2">
        <v>1067</v>
      </c>
      <c r="B1074" s="2" t="s">
        <v>2922</v>
      </c>
      <c r="C1074" s="2" t="s">
        <v>3546</v>
      </c>
      <c r="D1074" s="2" t="s">
        <v>51</v>
      </c>
      <c r="E1074" s="2" t="s">
        <v>16</v>
      </c>
      <c r="F1074" s="2">
        <v>90</v>
      </c>
      <c r="G1074" s="2" t="s">
        <v>3547</v>
      </c>
      <c r="H1074" s="2" t="s">
        <v>68</v>
      </c>
      <c r="I1074" s="2" t="s">
        <v>69</v>
      </c>
      <c r="J1074" s="3">
        <v>44436</v>
      </c>
      <c r="K1074" s="5">
        <f>YEAR(OrganizedData[[#This Row],[Order Date]])</f>
        <v>2021</v>
      </c>
      <c r="L1074" s="7" t="str">
        <f>TEXT(OrganizedData[[#This Row],[Order Date]],"mmm")</f>
        <v>Aug</v>
      </c>
      <c r="M1074" s="2">
        <v>81</v>
      </c>
      <c r="N1074" s="2" t="s">
        <v>70</v>
      </c>
      <c r="O1074" s="2" t="str">
        <f>VLOOKUP(OrganizedData[[#This Row],[Product Code]],ProductData[[Code]:[Item]],2,FALSE)</f>
        <v>Megawidget M</v>
      </c>
      <c r="P1074" s="4">
        <f>OrganizedData[[#This Row],[Quantity]]*VLOOKUP(OrganizedData[[#This Row],[Product Code]],ProductData[],4,FALSE)</f>
        <v>1944</v>
      </c>
      <c r="Q1074" s="6">
        <f>OrganizedData[[#This Row],[Total Items Ordered]]*VLOOKUP(OrganizedData[[#This Row],[Product Code]],ProductData[],3,FALSE)</f>
        <v>2507.7600000000002</v>
      </c>
      <c r="R10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2382.3720000000003</v>
      </c>
    </row>
    <row r="1075" spans="1:18" x14ac:dyDescent="0.3">
      <c r="A1075" s="2">
        <v>1068</v>
      </c>
      <c r="B1075" s="2" t="s">
        <v>3548</v>
      </c>
      <c r="C1075" s="2" t="s">
        <v>3549</v>
      </c>
      <c r="D1075" s="2" t="s">
        <v>28</v>
      </c>
      <c r="E1075" s="2" t="s">
        <v>29</v>
      </c>
      <c r="F1075" s="2">
        <v>60</v>
      </c>
      <c r="G1075" s="2" t="s">
        <v>3550</v>
      </c>
      <c r="H1075" s="2" t="s">
        <v>3551</v>
      </c>
      <c r="I1075" s="2" t="s">
        <v>32</v>
      </c>
      <c r="J1075" s="3">
        <v>44917</v>
      </c>
      <c r="K1075" s="5">
        <f>YEAR(OrganizedData[[#This Row],[Order Date]])</f>
        <v>2022</v>
      </c>
      <c r="L1075" s="7" t="str">
        <f>TEXT(OrganizedData[[#This Row],[Order Date]],"mmm")</f>
        <v>Dec</v>
      </c>
      <c r="M1075" s="2">
        <v>66</v>
      </c>
      <c r="N1075" s="2" t="s">
        <v>54</v>
      </c>
      <c r="O1075" s="2" t="str">
        <f>VLOOKUP(OrganizedData[[#This Row],[Product Code]],ProductData[[Code]:[Item]],2,FALSE)</f>
        <v>Megawidget S</v>
      </c>
      <c r="P1075" s="4">
        <f>OrganizedData[[#This Row],[Quantity]]*VLOOKUP(OrganizedData[[#This Row],[Product Code]],ProductData[],4,FALSE)</f>
        <v>1584</v>
      </c>
      <c r="Q1075" s="6">
        <f>OrganizedData[[#This Row],[Total Items Ordered]]*VLOOKUP(OrganizedData[[#This Row],[Product Code]],ProductData[],3,FALSE)</f>
        <v>1092.9599999999998</v>
      </c>
      <c r="R10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076" spans="1:18" x14ac:dyDescent="0.3">
      <c r="A1076" s="2">
        <v>1069</v>
      </c>
      <c r="B1076" s="2" t="s">
        <v>249</v>
      </c>
      <c r="C1076" s="2" t="s">
        <v>3552</v>
      </c>
      <c r="D1076" s="2" t="s">
        <v>28</v>
      </c>
      <c r="E1076" s="2" t="s">
        <v>29</v>
      </c>
      <c r="F1076" s="2">
        <v>60</v>
      </c>
      <c r="G1076" s="2" t="s">
        <v>3553</v>
      </c>
      <c r="H1076" s="2" t="s">
        <v>3554</v>
      </c>
      <c r="I1076" s="2" t="s">
        <v>32</v>
      </c>
      <c r="J1076" s="3">
        <v>44704</v>
      </c>
      <c r="K1076" s="5">
        <f>YEAR(OrganizedData[[#This Row],[Order Date]])</f>
        <v>2022</v>
      </c>
      <c r="L1076" s="7" t="str">
        <f>TEXT(OrganizedData[[#This Row],[Order Date]],"mmm")</f>
        <v>May</v>
      </c>
      <c r="M1076" s="2">
        <v>67</v>
      </c>
      <c r="N1076" s="2" t="s">
        <v>80</v>
      </c>
      <c r="O1076" s="2" t="str">
        <f>VLOOKUP(OrganizedData[[#This Row],[Product Code]],ProductData[[Code]:[Item]],2,FALSE)</f>
        <v>Ultrathing V2</v>
      </c>
      <c r="P1076" s="4">
        <f>OrganizedData[[#This Row],[Quantity]]*VLOOKUP(OrganizedData[[#This Row],[Product Code]],ProductData[],4,FALSE)</f>
        <v>1340</v>
      </c>
      <c r="Q1076" s="6">
        <f>OrganizedData[[#This Row],[Total Items Ordered]]*VLOOKUP(OrganizedData[[#This Row],[Product Code]],ProductData[],3,FALSE)</f>
        <v>3953.0000000000005</v>
      </c>
      <c r="R10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3755.3500000000004</v>
      </c>
    </row>
    <row r="1077" spans="1:18" x14ac:dyDescent="0.3">
      <c r="A1077" s="2">
        <v>1070</v>
      </c>
      <c r="B1077" s="2" t="s">
        <v>3555</v>
      </c>
      <c r="C1077" s="2" t="s">
        <v>3556</v>
      </c>
      <c r="D1077" s="2" t="s">
        <v>51</v>
      </c>
      <c r="E1077" s="2" t="s">
        <v>16</v>
      </c>
      <c r="F1077" s="2">
        <v>30</v>
      </c>
      <c r="G1077" s="2" t="s">
        <v>3557</v>
      </c>
      <c r="H1077" s="2" t="s">
        <v>3558</v>
      </c>
      <c r="I1077" s="2" t="s">
        <v>32</v>
      </c>
      <c r="J1077" s="3">
        <v>44140</v>
      </c>
      <c r="K1077" s="5">
        <f>YEAR(OrganizedData[[#This Row],[Order Date]])</f>
        <v>2020</v>
      </c>
      <c r="L1077" s="7" t="str">
        <f>TEXT(OrganizedData[[#This Row],[Order Date]],"mmm")</f>
        <v>Nov</v>
      </c>
      <c r="M1077" s="2">
        <v>18</v>
      </c>
      <c r="N1077" s="2" t="s">
        <v>33</v>
      </c>
      <c r="O1077" s="2" t="str">
        <f>VLOOKUP(OrganizedData[[#This Row],[Product Code]],ProductData[[Code]:[Item]],2,FALSE)</f>
        <v>Megawidget L</v>
      </c>
      <c r="P1077" s="4">
        <f>OrganizedData[[#This Row],[Quantity]]*VLOOKUP(OrganizedData[[#This Row],[Product Code]],ProductData[],4,FALSE)</f>
        <v>432</v>
      </c>
      <c r="Q1077" s="6">
        <f>OrganizedData[[#This Row],[Total Items Ordered]]*VLOOKUP(OrganizedData[[#This Row],[Product Code]],ProductData[],3,FALSE)</f>
        <v>773.28</v>
      </c>
      <c r="R10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773.28</v>
      </c>
    </row>
    <row r="1078" spans="1:18" x14ac:dyDescent="0.3">
      <c r="A1078" s="2">
        <v>1071</v>
      </c>
      <c r="B1078" s="2" t="s">
        <v>3559</v>
      </c>
      <c r="C1078" s="2" t="s">
        <v>3560</v>
      </c>
      <c r="D1078" s="2" t="s">
        <v>15</v>
      </c>
      <c r="E1078" s="2" t="s">
        <v>16</v>
      </c>
      <c r="F1078" s="2">
        <v>60</v>
      </c>
      <c r="G1078" s="2" t="s">
        <v>3561</v>
      </c>
      <c r="H1078" s="2" t="s">
        <v>698</v>
      </c>
      <c r="I1078" s="2" t="s">
        <v>213</v>
      </c>
      <c r="J1078" s="3">
        <v>44607</v>
      </c>
      <c r="K1078" s="5">
        <f>YEAR(OrganizedData[[#This Row],[Order Date]])</f>
        <v>2022</v>
      </c>
      <c r="L1078" s="7" t="str">
        <f>TEXT(OrganizedData[[#This Row],[Order Date]],"mmm")</f>
        <v>Feb</v>
      </c>
      <c r="M1078" s="2">
        <v>63</v>
      </c>
      <c r="N1078" s="2" t="s">
        <v>39</v>
      </c>
      <c r="O1078" s="2" t="str">
        <f>VLOOKUP(OrganizedData[[#This Row],[Product Code]],ProductData[[Code]:[Item]],2,FALSE)</f>
        <v>Ultrathing V1</v>
      </c>
      <c r="P1078" s="4">
        <f>OrganizedData[[#This Row],[Quantity]]*VLOOKUP(OrganizedData[[#This Row],[Product Code]],ProductData[],4,FALSE)</f>
        <v>1071</v>
      </c>
      <c r="Q1078" s="6">
        <f>OrganizedData[[#This Row],[Total Items Ordered]]*VLOOKUP(OrganizedData[[#This Row],[Product Code]],ProductData[],3,FALSE)</f>
        <v>1917.0900000000001</v>
      </c>
      <c r="R10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1079" spans="1:18" x14ac:dyDescent="0.3">
      <c r="A1079" s="2">
        <v>1072</v>
      </c>
      <c r="B1079" s="2" t="s">
        <v>3073</v>
      </c>
      <c r="C1079" s="2" t="s">
        <v>3560</v>
      </c>
      <c r="D1079" s="2" t="s">
        <v>28</v>
      </c>
      <c r="E1079" s="2" t="s">
        <v>29</v>
      </c>
      <c r="F1079" s="2">
        <v>30</v>
      </c>
      <c r="G1079" s="2" t="s">
        <v>3562</v>
      </c>
      <c r="H1079" s="2" t="s">
        <v>2993</v>
      </c>
      <c r="I1079" s="2" t="s">
        <v>32</v>
      </c>
      <c r="J1079" s="3">
        <v>44918</v>
      </c>
      <c r="K1079" s="5">
        <f>YEAR(OrganizedData[[#This Row],[Order Date]])</f>
        <v>2022</v>
      </c>
      <c r="L1079" s="7" t="str">
        <f>TEXT(OrganizedData[[#This Row],[Order Date]],"mmm")</f>
        <v>Dec</v>
      </c>
      <c r="M1079" s="2">
        <v>66</v>
      </c>
      <c r="N1079" s="2" t="s">
        <v>54</v>
      </c>
      <c r="O1079" s="2" t="str">
        <f>VLOOKUP(OrganizedData[[#This Row],[Product Code]],ProductData[[Code]:[Item]],2,FALSE)</f>
        <v>Megawidget S</v>
      </c>
      <c r="P1079" s="4">
        <f>OrganizedData[[#This Row],[Quantity]]*VLOOKUP(OrganizedData[[#This Row],[Product Code]],ProductData[],4,FALSE)</f>
        <v>1584</v>
      </c>
      <c r="Q1079" s="6">
        <f>OrganizedData[[#This Row],[Total Items Ordered]]*VLOOKUP(OrganizedData[[#This Row],[Product Code]],ProductData[],3,FALSE)</f>
        <v>1092.9599999999998</v>
      </c>
      <c r="R10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080" spans="1:18" x14ac:dyDescent="0.3">
      <c r="A1080" s="2">
        <v>1073</v>
      </c>
      <c r="B1080" s="2" t="s">
        <v>3563</v>
      </c>
      <c r="C1080" s="2" t="s">
        <v>3564</v>
      </c>
      <c r="D1080" s="2" t="s">
        <v>28</v>
      </c>
      <c r="E1080" s="2" t="s">
        <v>29</v>
      </c>
      <c r="F1080" s="2">
        <v>90</v>
      </c>
      <c r="G1080" s="2" t="s">
        <v>3566</v>
      </c>
      <c r="H1080" s="2" t="s">
        <v>1605</v>
      </c>
      <c r="I1080" s="2" t="s">
        <v>32</v>
      </c>
      <c r="J1080" s="3">
        <v>44379</v>
      </c>
      <c r="K1080" s="5">
        <f>YEAR(OrganizedData[[#This Row],[Order Date]])</f>
        <v>2021</v>
      </c>
      <c r="L1080" s="7" t="str">
        <f>TEXT(OrganizedData[[#This Row],[Order Date]],"mmm")</f>
        <v>Jul</v>
      </c>
      <c r="M1080" s="2">
        <v>33</v>
      </c>
      <c r="N1080" s="2" t="s">
        <v>70</v>
      </c>
      <c r="O1080" s="2" t="str">
        <f>VLOOKUP(OrganizedData[[#This Row],[Product Code]],ProductData[[Code]:[Item]],2,FALSE)</f>
        <v>Megawidget M</v>
      </c>
      <c r="P1080" s="4">
        <f>OrganizedData[[#This Row],[Quantity]]*VLOOKUP(OrganizedData[[#This Row],[Product Code]],ProductData[],4,FALSE)</f>
        <v>792</v>
      </c>
      <c r="Q1080" s="6">
        <f>OrganizedData[[#This Row],[Total Items Ordered]]*VLOOKUP(OrganizedData[[#This Row],[Product Code]],ProductData[],3,FALSE)</f>
        <v>1021.6800000000001</v>
      </c>
      <c r="R10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991.02960000000007</v>
      </c>
    </row>
    <row r="1081" spans="1:18" x14ac:dyDescent="0.3">
      <c r="A1081" s="2">
        <v>1074</v>
      </c>
      <c r="B1081" s="2" t="s">
        <v>3567</v>
      </c>
      <c r="C1081" s="2" t="s">
        <v>1113</v>
      </c>
      <c r="D1081" s="2" t="s">
        <v>92</v>
      </c>
      <c r="E1081" s="2" t="s">
        <v>29</v>
      </c>
      <c r="F1081" s="2">
        <v>30</v>
      </c>
      <c r="G1081" s="2" t="s">
        <v>3568</v>
      </c>
      <c r="H1081" s="2" t="s">
        <v>3203</v>
      </c>
      <c r="I1081" s="2" t="s">
        <v>32</v>
      </c>
      <c r="J1081" s="3">
        <v>44369</v>
      </c>
      <c r="K1081" s="5">
        <f>YEAR(OrganizedData[[#This Row],[Order Date]])</f>
        <v>2021</v>
      </c>
      <c r="L1081" s="7" t="str">
        <f>TEXT(OrganizedData[[#This Row],[Order Date]],"mmm")</f>
        <v>Jun</v>
      </c>
      <c r="M1081" s="2">
        <v>8</v>
      </c>
      <c r="N1081" s="2" t="s">
        <v>39</v>
      </c>
      <c r="O1081" s="2" t="str">
        <f>VLOOKUP(OrganizedData[[#This Row],[Product Code]],ProductData[[Code]:[Item]],2,FALSE)</f>
        <v>Ultrathing V1</v>
      </c>
      <c r="P1081" s="4">
        <f>OrganizedData[[#This Row],[Quantity]]*VLOOKUP(OrganizedData[[#This Row],[Product Code]],ProductData[],4,FALSE)</f>
        <v>136</v>
      </c>
      <c r="Q1081" s="6">
        <f>OrganizedData[[#This Row],[Total Items Ordered]]*VLOOKUP(OrganizedData[[#This Row],[Product Code]],ProductData[],3,FALSE)</f>
        <v>243.44</v>
      </c>
      <c r="R10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243.44</v>
      </c>
    </row>
    <row r="1082" spans="1:18" x14ac:dyDescent="0.3">
      <c r="A1082" s="2">
        <v>1075</v>
      </c>
      <c r="B1082" s="2" t="s">
        <v>2078</v>
      </c>
      <c r="C1082" s="2" t="s">
        <v>3569</v>
      </c>
      <c r="D1082" s="2" t="s">
        <v>28</v>
      </c>
      <c r="E1082" s="2" t="s">
        <v>29</v>
      </c>
      <c r="F1082" s="2">
        <v>60</v>
      </c>
      <c r="G1082" s="2" t="s">
        <v>3570</v>
      </c>
      <c r="H1082" s="2" t="s">
        <v>3571</v>
      </c>
      <c r="I1082" s="2" t="s">
        <v>32</v>
      </c>
      <c r="J1082" s="3">
        <v>44729</v>
      </c>
      <c r="K1082" s="5">
        <f>YEAR(OrganizedData[[#This Row],[Order Date]])</f>
        <v>2022</v>
      </c>
      <c r="L1082" s="7" t="str">
        <f>TEXT(OrganizedData[[#This Row],[Order Date]],"mmm")</f>
        <v>Jun</v>
      </c>
      <c r="M1082" s="2">
        <v>76</v>
      </c>
      <c r="N1082" s="2" t="s">
        <v>20</v>
      </c>
      <c r="O1082" s="2" t="str">
        <f>VLOOKUP(OrganizedData[[#This Row],[Product Code]],ProductData[[Code]:[Item]],2,FALSE)</f>
        <v>Hyperwotsit</v>
      </c>
      <c r="P1082" s="4">
        <f>OrganizedData[[#This Row],[Quantity]]*VLOOKUP(OrganizedData[[#This Row],[Product Code]],ProductData[],4,FALSE)</f>
        <v>1520</v>
      </c>
      <c r="Q1082" s="6">
        <f>OrganizedData[[#This Row],[Total Items Ordered]]*VLOOKUP(OrganizedData[[#This Row],[Product Code]],ProductData[],3,FALSE)</f>
        <v>3055.2</v>
      </c>
      <c r="R10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2902.4399999999996</v>
      </c>
    </row>
    <row r="1083" spans="1:18" x14ac:dyDescent="0.3">
      <c r="A1083" s="2">
        <v>1076</v>
      </c>
      <c r="B1083" s="2" t="s">
        <v>3572</v>
      </c>
      <c r="C1083" s="2" t="s">
        <v>272</v>
      </c>
      <c r="D1083" s="2" t="s">
        <v>28</v>
      </c>
      <c r="E1083" s="2" t="s">
        <v>29</v>
      </c>
      <c r="F1083" s="2">
        <v>60</v>
      </c>
      <c r="G1083" s="2" t="s">
        <v>3573</v>
      </c>
      <c r="H1083" s="2" t="s">
        <v>3551</v>
      </c>
      <c r="I1083" s="2" t="s">
        <v>32</v>
      </c>
      <c r="J1083" s="3">
        <v>44080</v>
      </c>
      <c r="K1083" s="5">
        <f>YEAR(OrganizedData[[#This Row],[Order Date]])</f>
        <v>2020</v>
      </c>
      <c r="L1083" s="7" t="str">
        <f>TEXT(OrganizedData[[#This Row],[Order Date]],"mmm")</f>
        <v>Sep</v>
      </c>
      <c r="M1083" s="2">
        <v>39</v>
      </c>
      <c r="N1083" s="2" t="s">
        <v>70</v>
      </c>
      <c r="O1083" s="2" t="str">
        <f>VLOOKUP(OrganizedData[[#This Row],[Product Code]],ProductData[[Code]:[Item]],2,FALSE)</f>
        <v>Megawidget M</v>
      </c>
      <c r="P1083" s="4">
        <f>OrganizedData[[#This Row],[Quantity]]*VLOOKUP(OrganizedData[[#This Row],[Product Code]],ProductData[],4,FALSE)</f>
        <v>936</v>
      </c>
      <c r="Q1083" s="6">
        <f>OrganizedData[[#This Row],[Total Items Ordered]]*VLOOKUP(OrganizedData[[#This Row],[Product Code]],ProductData[],3,FALSE)</f>
        <v>1207.44</v>
      </c>
      <c r="R10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1084" spans="1:18" x14ac:dyDescent="0.3">
      <c r="A1084" s="2">
        <v>1077</v>
      </c>
      <c r="B1084" s="2" t="s">
        <v>3574</v>
      </c>
      <c r="C1084" s="2" t="s">
        <v>3575</v>
      </c>
      <c r="D1084" s="2" t="s">
        <v>15</v>
      </c>
      <c r="E1084" s="2" t="s">
        <v>16</v>
      </c>
      <c r="F1084" s="2">
        <v>90</v>
      </c>
      <c r="G1084" s="2" t="s">
        <v>3576</v>
      </c>
      <c r="H1084" s="2" t="s">
        <v>3577</v>
      </c>
      <c r="I1084" s="2" t="s">
        <v>32</v>
      </c>
      <c r="J1084" s="3">
        <v>44589</v>
      </c>
      <c r="K1084" s="5">
        <f>YEAR(OrganizedData[[#This Row],[Order Date]])</f>
        <v>2022</v>
      </c>
      <c r="L1084" s="7" t="str">
        <f>TEXT(OrganizedData[[#This Row],[Order Date]],"mmm")</f>
        <v>Jan</v>
      </c>
      <c r="M1084" s="2">
        <v>46</v>
      </c>
      <c r="N1084" s="2" t="s">
        <v>54</v>
      </c>
      <c r="O1084" s="2" t="str">
        <f>VLOOKUP(OrganizedData[[#This Row],[Product Code]],ProductData[[Code]:[Item]],2,FALSE)</f>
        <v>Megawidget S</v>
      </c>
      <c r="P1084" s="4">
        <f>OrganizedData[[#This Row],[Quantity]]*VLOOKUP(OrganizedData[[#This Row],[Product Code]],ProductData[],4,FALSE)</f>
        <v>1104</v>
      </c>
      <c r="Q1084" s="6">
        <f>OrganizedData[[#This Row],[Total Items Ordered]]*VLOOKUP(OrganizedData[[#This Row],[Product Code]],ProductData[],3,FALSE)</f>
        <v>761.76</v>
      </c>
      <c r="R10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1085" spans="1:18" x14ac:dyDescent="0.3">
      <c r="A1085" s="2">
        <v>1078</v>
      </c>
      <c r="B1085" s="2" t="s">
        <v>948</v>
      </c>
      <c r="C1085" s="2" t="s">
        <v>683</v>
      </c>
      <c r="D1085" s="2" t="s">
        <v>28</v>
      </c>
      <c r="E1085" s="2" t="s">
        <v>29</v>
      </c>
      <c r="F1085" s="2">
        <v>60</v>
      </c>
      <c r="G1085" s="2" t="s">
        <v>3578</v>
      </c>
      <c r="H1085" s="2" t="s">
        <v>3579</v>
      </c>
      <c r="I1085" s="2" t="s">
        <v>1576</v>
      </c>
      <c r="J1085" s="3">
        <v>44203</v>
      </c>
      <c r="K1085" s="5">
        <f>YEAR(OrganizedData[[#This Row],[Order Date]])</f>
        <v>2021</v>
      </c>
      <c r="L1085" s="7" t="str">
        <f>TEXT(OrganizedData[[#This Row],[Order Date]],"mmm")</f>
        <v>Jan</v>
      </c>
      <c r="M1085" s="2">
        <v>26</v>
      </c>
      <c r="N1085" s="2" t="s">
        <v>159</v>
      </c>
      <c r="O1085" s="2" t="str">
        <f>VLOOKUP(OrganizedData[[#This Row],[Product Code]],ProductData[[Code]:[Item]],2,FALSE)</f>
        <v>Ultrathing V3</v>
      </c>
      <c r="P1085" s="4">
        <f>OrganizedData[[#This Row],[Quantity]]*VLOOKUP(OrganizedData[[#This Row],[Product Code]],ProductData[],4,FALSE)</f>
        <v>624</v>
      </c>
      <c r="Q1085" s="6">
        <f>OrganizedData[[#This Row],[Total Items Ordered]]*VLOOKUP(OrganizedData[[#This Row],[Product Code]],ProductData[],3,FALSE)</f>
        <v>2115.36</v>
      </c>
      <c r="R10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2051.8992000000003</v>
      </c>
    </row>
    <row r="1086" spans="1:18" x14ac:dyDescent="0.3">
      <c r="A1086" s="2">
        <v>1079</v>
      </c>
      <c r="B1086" s="2" t="s">
        <v>3580</v>
      </c>
      <c r="C1086" s="2" t="s">
        <v>3581</v>
      </c>
      <c r="D1086" s="2" t="s">
        <v>51</v>
      </c>
      <c r="E1086" s="2" t="s">
        <v>16</v>
      </c>
      <c r="F1086" s="2">
        <v>60</v>
      </c>
      <c r="G1086" s="2" t="s">
        <v>3582</v>
      </c>
      <c r="H1086" s="2" t="s">
        <v>2512</v>
      </c>
      <c r="I1086" s="2" t="s">
        <v>32</v>
      </c>
      <c r="J1086" s="3">
        <v>44454</v>
      </c>
      <c r="K1086" s="5">
        <f>YEAR(OrganizedData[[#This Row],[Order Date]])</f>
        <v>2021</v>
      </c>
      <c r="L1086" s="7" t="str">
        <f>TEXT(OrganizedData[[#This Row],[Order Date]],"mmm")</f>
        <v>Sep</v>
      </c>
      <c r="M1086" s="2">
        <v>29</v>
      </c>
      <c r="N1086" s="2" t="s">
        <v>20</v>
      </c>
      <c r="O1086" s="2" t="str">
        <f>VLOOKUP(OrganizedData[[#This Row],[Product Code]],ProductData[[Code]:[Item]],2,FALSE)</f>
        <v>Hyperwotsit</v>
      </c>
      <c r="P1086" s="4">
        <f>OrganizedData[[#This Row],[Quantity]]*VLOOKUP(OrganizedData[[#This Row],[Product Code]],ProductData[],4,FALSE)</f>
        <v>580</v>
      </c>
      <c r="Q1086" s="6">
        <f>OrganizedData[[#This Row],[Total Items Ordered]]*VLOOKUP(OrganizedData[[#This Row],[Product Code]],ProductData[],3,FALSE)</f>
        <v>1165.8</v>
      </c>
      <c r="R10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1087" spans="1:18" x14ac:dyDescent="0.3">
      <c r="A1087" s="2">
        <v>1080</v>
      </c>
      <c r="B1087" s="2" t="s">
        <v>3583</v>
      </c>
      <c r="C1087" s="2" t="s">
        <v>3584</v>
      </c>
      <c r="D1087" s="2" t="s">
        <v>28</v>
      </c>
      <c r="E1087" s="2" t="s">
        <v>29</v>
      </c>
      <c r="F1087" s="2">
        <v>60</v>
      </c>
      <c r="G1087" s="2" t="s">
        <v>3585</v>
      </c>
      <c r="H1087" s="2" t="s">
        <v>2329</v>
      </c>
      <c r="I1087" s="2" t="s">
        <v>2330</v>
      </c>
      <c r="J1087" s="3">
        <v>44013</v>
      </c>
      <c r="K1087" s="5">
        <f>YEAR(OrganizedData[[#This Row],[Order Date]])</f>
        <v>2020</v>
      </c>
      <c r="L1087" s="7" t="str">
        <f>TEXT(OrganizedData[[#This Row],[Order Date]],"mmm")</f>
        <v>Jul</v>
      </c>
      <c r="M1087" s="2">
        <v>78</v>
      </c>
      <c r="N1087" s="2" t="s">
        <v>80</v>
      </c>
      <c r="O1087" s="2" t="str">
        <f>VLOOKUP(OrganizedData[[#This Row],[Product Code]],ProductData[[Code]:[Item]],2,FALSE)</f>
        <v>Ultrathing V2</v>
      </c>
      <c r="P1087" s="4">
        <f>OrganizedData[[#This Row],[Quantity]]*VLOOKUP(OrganizedData[[#This Row],[Product Code]],ProductData[],4,FALSE)</f>
        <v>1560</v>
      </c>
      <c r="Q1087" s="6">
        <f>OrganizedData[[#This Row],[Total Items Ordered]]*VLOOKUP(OrganizedData[[#This Row],[Product Code]],ProductData[],3,FALSE)</f>
        <v>4602</v>
      </c>
      <c r="R10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1088" spans="1:18" x14ac:dyDescent="0.3">
      <c r="A1088" s="2">
        <v>1081</v>
      </c>
      <c r="B1088" s="2" t="s">
        <v>3586</v>
      </c>
      <c r="C1088" s="2" t="s">
        <v>1313</v>
      </c>
      <c r="D1088" s="2" t="s">
        <v>51</v>
      </c>
      <c r="E1088" s="2" t="s">
        <v>16</v>
      </c>
      <c r="F1088" s="2">
        <v>30</v>
      </c>
      <c r="G1088" s="2" t="s">
        <v>3587</v>
      </c>
      <c r="H1088" s="2" t="s">
        <v>2397</v>
      </c>
      <c r="I1088" s="2" t="s">
        <v>187</v>
      </c>
      <c r="J1088" s="3">
        <v>44299</v>
      </c>
      <c r="K1088" s="5">
        <f>YEAR(OrganizedData[[#This Row],[Order Date]])</f>
        <v>2021</v>
      </c>
      <c r="L1088" s="7" t="str">
        <f>TEXT(OrganizedData[[#This Row],[Order Date]],"mmm")</f>
        <v>Apr</v>
      </c>
      <c r="M1088" s="2">
        <v>95</v>
      </c>
      <c r="N1088" s="2" t="s">
        <v>33</v>
      </c>
      <c r="O1088" s="2" t="str">
        <f>VLOOKUP(OrganizedData[[#This Row],[Product Code]],ProductData[[Code]:[Item]],2,FALSE)</f>
        <v>Megawidget L</v>
      </c>
      <c r="P1088" s="4">
        <f>OrganizedData[[#This Row],[Quantity]]*VLOOKUP(OrganizedData[[#This Row],[Product Code]],ProductData[],4,FALSE)</f>
        <v>2280</v>
      </c>
      <c r="Q1088" s="6">
        <f>OrganizedData[[#This Row],[Total Items Ordered]]*VLOOKUP(OrganizedData[[#This Row],[Product Code]],ProductData[],3,FALSE)</f>
        <v>4081.2000000000003</v>
      </c>
      <c r="R10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3877.14</v>
      </c>
    </row>
    <row r="1089" spans="1:18" x14ac:dyDescent="0.3">
      <c r="A1089" s="2">
        <v>1082</v>
      </c>
      <c r="B1089" s="2" t="s">
        <v>3588</v>
      </c>
      <c r="C1089" s="2" t="s">
        <v>3589</v>
      </c>
      <c r="D1089" s="2" t="s">
        <v>28</v>
      </c>
      <c r="E1089" s="2" t="s">
        <v>29</v>
      </c>
      <c r="F1089" s="2">
        <v>60</v>
      </c>
      <c r="G1089" s="2" t="s">
        <v>3590</v>
      </c>
      <c r="H1089" s="2" t="s">
        <v>1210</v>
      </c>
      <c r="I1089" s="2" t="s">
        <v>294</v>
      </c>
      <c r="J1089" s="3">
        <v>43892</v>
      </c>
      <c r="K1089" s="5">
        <f>YEAR(OrganizedData[[#This Row],[Order Date]])</f>
        <v>2020</v>
      </c>
      <c r="L1089" s="7" t="str">
        <f>TEXT(OrganizedData[[#This Row],[Order Date]],"mmm")</f>
        <v>Mar</v>
      </c>
      <c r="M1089" s="2">
        <v>10</v>
      </c>
      <c r="N1089" s="2" t="s">
        <v>54</v>
      </c>
      <c r="O1089" s="2" t="str">
        <f>VLOOKUP(OrganizedData[[#This Row],[Product Code]],ProductData[[Code]:[Item]],2,FALSE)</f>
        <v>Megawidget S</v>
      </c>
      <c r="P1089" s="4">
        <f>OrganizedData[[#This Row],[Quantity]]*VLOOKUP(OrganizedData[[#This Row],[Product Code]],ProductData[],4,FALSE)</f>
        <v>240</v>
      </c>
      <c r="Q1089" s="6">
        <f>OrganizedData[[#This Row],[Total Items Ordered]]*VLOOKUP(OrganizedData[[#This Row],[Product Code]],ProductData[],3,FALSE)</f>
        <v>165.6</v>
      </c>
      <c r="R10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165.6</v>
      </c>
    </row>
    <row r="1090" spans="1:18" x14ac:dyDescent="0.3">
      <c r="A1090" s="2">
        <v>1083</v>
      </c>
      <c r="B1090" s="2" t="s">
        <v>2837</v>
      </c>
      <c r="C1090" s="2" t="s">
        <v>3591</v>
      </c>
      <c r="D1090" s="2" t="s">
        <v>28</v>
      </c>
      <c r="E1090" s="2" t="s">
        <v>29</v>
      </c>
      <c r="F1090" s="2">
        <v>30</v>
      </c>
      <c r="G1090" s="2" t="s">
        <v>3592</v>
      </c>
      <c r="H1090" s="2" t="s">
        <v>3593</v>
      </c>
      <c r="I1090" s="2" t="s">
        <v>124</v>
      </c>
      <c r="J1090" s="3">
        <v>44004</v>
      </c>
      <c r="K1090" s="5">
        <f>YEAR(OrganizedData[[#This Row],[Order Date]])</f>
        <v>2020</v>
      </c>
      <c r="L1090" s="7" t="str">
        <f>TEXT(OrganizedData[[#This Row],[Order Date]],"mmm")</f>
        <v>Jun</v>
      </c>
      <c r="M1090" s="2">
        <v>35</v>
      </c>
      <c r="N1090" s="2" t="s">
        <v>45</v>
      </c>
      <c r="O1090" s="2" t="str">
        <f>VLOOKUP(OrganizedData[[#This Row],[Product Code]],ProductData[[Code]:[Item]],2,FALSE)</f>
        <v>Gigastuff</v>
      </c>
      <c r="P1090" s="4">
        <f>OrganizedData[[#This Row],[Quantity]]*VLOOKUP(OrganizedData[[#This Row],[Product Code]],ProductData[],4,FALSE)</f>
        <v>630</v>
      </c>
      <c r="Q1090" s="6">
        <f>OrganizedData[[#This Row],[Total Items Ordered]]*VLOOKUP(OrganizedData[[#This Row],[Product Code]],ProductData[],3,FALSE)</f>
        <v>1190.7</v>
      </c>
      <c r="R10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1154.979</v>
      </c>
    </row>
    <row r="1091" spans="1:18" x14ac:dyDescent="0.3">
      <c r="A1091" s="2">
        <v>1084</v>
      </c>
      <c r="B1091" s="2" t="s">
        <v>2381</v>
      </c>
      <c r="C1091" s="2" t="s">
        <v>3594</v>
      </c>
      <c r="D1091" s="2" t="s">
        <v>28</v>
      </c>
      <c r="E1091" s="2" t="s">
        <v>29</v>
      </c>
      <c r="F1091" s="2">
        <v>60</v>
      </c>
      <c r="G1091" s="2" t="s">
        <v>3595</v>
      </c>
      <c r="H1091" s="2" t="s">
        <v>3596</v>
      </c>
      <c r="I1091" s="2" t="s">
        <v>32</v>
      </c>
      <c r="J1091" s="3">
        <v>44233</v>
      </c>
      <c r="K1091" s="5">
        <f>YEAR(OrganizedData[[#This Row],[Order Date]])</f>
        <v>2021</v>
      </c>
      <c r="L1091" s="7" t="str">
        <f>TEXT(OrganizedData[[#This Row],[Order Date]],"mmm")</f>
        <v>Feb</v>
      </c>
      <c r="M1091" s="2">
        <v>86</v>
      </c>
      <c r="N1091" s="2" t="s">
        <v>70</v>
      </c>
      <c r="O1091" s="2" t="str">
        <f>VLOOKUP(OrganizedData[[#This Row],[Product Code]],ProductData[[Code]:[Item]],2,FALSE)</f>
        <v>Megawidget M</v>
      </c>
      <c r="P1091" s="4">
        <f>OrganizedData[[#This Row],[Quantity]]*VLOOKUP(OrganizedData[[#This Row],[Product Code]],ProductData[],4,FALSE)</f>
        <v>2064</v>
      </c>
      <c r="Q1091" s="6">
        <f>OrganizedData[[#This Row],[Total Items Ordered]]*VLOOKUP(OrganizedData[[#This Row],[Product Code]],ProductData[],3,FALSE)</f>
        <v>2662.56</v>
      </c>
      <c r="R10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2529.4319999999998</v>
      </c>
    </row>
    <row r="1092" spans="1:18" x14ac:dyDescent="0.3">
      <c r="A1092" s="2">
        <v>1085</v>
      </c>
      <c r="B1092" s="2" t="s">
        <v>3597</v>
      </c>
      <c r="C1092" s="2" t="s">
        <v>1192</v>
      </c>
      <c r="D1092" s="2" t="s">
        <v>51</v>
      </c>
      <c r="E1092" s="2" t="s">
        <v>16</v>
      </c>
      <c r="F1092" s="2">
        <v>90</v>
      </c>
      <c r="G1092" s="2" t="s">
        <v>3598</v>
      </c>
      <c r="H1092" s="2" t="s">
        <v>641</v>
      </c>
      <c r="I1092" s="2" t="s">
        <v>294</v>
      </c>
      <c r="J1092" s="3">
        <v>44502</v>
      </c>
      <c r="K1092" s="5">
        <f>YEAR(OrganizedData[[#This Row],[Order Date]])</f>
        <v>2021</v>
      </c>
      <c r="L1092" s="7" t="str">
        <f>TEXT(OrganizedData[[#This Row],[Order Date]],"mmm")</f>
        <v>Nov</v>
      </c>
      <c r="M1092" s="2">
        <v>30</v>
      </c>
      <c r="N1092" s="2" t="s">
        <v>80</v>
      </c>
      <c r="O1092" s="2" t="str">
        <f>VLOOKUP(OrganizedData[[#This Row],[Product Code]],ProductData[[Code]:[Item]],2,FALSE)</f>
        <v>Ultrathing V2</v>
      </c>
      <c r="P1092" s="4">
        <f>OrganizedData[[#This Row],[Quantity]]*VLOOKUP(OrganizedData[[#This Row],[Product Code]],ProductData[],4,FALSE)</f>
        <v>600</v>
      </c>
      <c r="Q1092" s="6">
        <f>OrganizedData[[#This Row],[Total Items Ordered]]*VLOOKUP(OrganizedData[[#This Row],[Product Code]],ProductData[],3,FALSE)</f>
        <v>1770</v>
      </c>
      <c r="R10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1716.8999999999999</v>
      </c>
    </row>
    <row r="1093" spans="1:18" x14ac:dyDescent="0.3">
      <c r="A1093" s="2">
        <v>1086</v>
      </c>
      <c r="B1093" s="2" t="s">
        <v>3599</v>
      </c>
      <c r="C1093" s="2" t="s">
        <v>3600</v>
      </c>
      <c r="D1093" s="2" t="s">
        <v>28</v>
      </c>
      <c r="E1093" s="2" t="s">
        <v>29</v>
      </c>
      <c r="F1093" s="2">
        <v>30</v>
      </c>
      <c r="G1093" s="2" t="s">
        <v>3601</v>
      </c>
      <c r="H1093" s="2" t="s">
        <v>1905</v>
      </c>
      <c r="I1093" s="2" t="s">
        <v>187</v>
      </c>
      <c r="J1093" s="3">
        <v>43838</v>
      </c>
      <c r="K1093" s="5">
        <f>YEAR(OrganizedData[[#This Row],[Order Date]])</f>
        <v>2020</v>
      </c>
      <c r="L1093" s="7" t="str">
        <f>TEXT(OrganizedData[[#This Row],[Order Date]],"mmm")</f>
        <v>Jan</v>
      </c>
      <c r="M1093" s="2">
        <v>4</v>
      </c>
      <c r="N1093" s="2" t="s">
        <v>80</v>
      </c>
      <c r="O1093" s="2" t="str">
        <f>VLOOKUP(OrganizedData[[#This Row],[Product Code]],ProductData[[Code]:[Item]],2,FALSE)</f>
        <v>Ultrathing V2</v>
      </c>
      <c r="P1093" s="4">
        <f>OrganizedData[[#This Row],[Quantity]]*VLOOKUP(OrganizedData[[#This Row],[Product Code]],ProductData[],4,FALSE)</f>
        <v>80</v>
      </c>
      <c r="Q1093" s="6">
        <f>OrganizedData[[#This Row],[Total Items Ordered]]*VLOOKUP(OrganizedData[[#This Row],[Product Code]],ProductData[],3,FALSE)</f>
        <v>236</v>
      </c>
      <c r="R10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1094" spans="1:18" x14ac:dyDescent="0.3">
      <c r="A1094" s="2">
        <v>1087</v>
      </c>
      <c r="B1094" s="2" t="s">
        <v>2642</v>
      </c>
      <c r="C1094" s="2" t="s">
        <v>3602</v>
      </c>
      <c r="D1094" s="2" t="s">
        <v>28</v>
      </c>
      <c r="E1094" s="2" t="s">
        <v>29</v>
      </c>
      <c r="F1094" s="2">
        <v>30</v>
      </c>
      <c r="G1094" s="2" t="s">
        <v>3603</v>
      </c>
      <c r="H1094" s="2" t="s">
        <v>2291</v>
      </c>
      <c r="I1094" s="2" t="s">
        <v>25</v>
      </c>
      <c r="J1094" s="3">
        <v>43897</v>
      </c>
      <c r="K1094" s="5">
        <f>YEAR(OrganizedData[[#This Row],[Order Date]])</f>
        <v>2020</v>
      </c>
      <c r="L1094" s="7" t="str">
        <f>TEXT(OrganizedData[[#This Row],[Order Date]],"mmm")</f>
        <v>Mar</v>
      </c>
      <c r="M1094" s="2">
        <v>42</v>
      </c>
      <c r="N1094" s="2" t="s">
        <v>54</v>
      </c>
      <c r="O1094" s="2" t="str">
        <f>VLOOKUP(OrganizedData[[#This Row],[Product Code]],ProductData[[Code]:[Item]],2,FALSE)</f>
        <v>Megawidget S</v>
      </c>
      <c r="P1094" s="4">
        <f>OrganizedData[[#This Row],[Quantity]]*VLOOKUP(OrganizedData[[#This Row],[Product Code]],ProductData[],4,FALSE)</f>
        <v>1008</v>
      </c>
      <c r="Q1094" s="6">
        <f>OrganizedData[[#This Row],[Total Items Ordered]]*VLOOKUP(OrganizedData[[#This Row],[Product Code]],ProductData[],3,FALSE)</f>
        <v>695.52</v>
      </c>
      <c r="R10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674.65440000000001</v>
      </c>
    </row>
    <row r="1095" spans="1:18" x14ac:dyDescent="0.3">
      <c r="A1095" s="2">
        <v>1088</v>
      </c>
      <c r="B1095" s="2" t="s">
        <v>3604</v>
      </c>
      <c r="C1095" s="2" t="s">
        <v>3605</v>
      </c>
      <c r="D1095" s="2" t="s">
        <v>28</v>
      </c>
      <c r="E1095" s="2" t="s">
        <v>29</v>
      </c>
      <c r="F1095" s="2">
        <v>90</v>
      </c>
      <c r="G1095" s="2" t="s">
        <v>3606</v>
      </c>
      <c r="H1095" s="2" t="s">
        <v>1940</v>
      </c>
      <c r="I1095" s="2" t="s">
        <v>294</v>
      </c>
      <c r="J1095" s="3">
        <v>44514</v>
      </c>
      <c r="K1095" s="5">
        <f>YEAR(OrganizedData[[#This Row],[Order Date]])</f>
        <v>2021</v>
      </c>
      <c r="L1095" s="7" t="str">
        <f>TEXT(OrganizedData[[#This Row],[Order Date]],"mmm")</f>
        <v>Nov</v>
      </c>
      <c r="M1095" s="2">
        <v>31</v>
      </c>
      <c r="N1095" s="2" t="s">
        <v>70</v>
      </c>
      <c r="O1095" s="2" t="str">
        <f>VLOOKUP(OrganizedData[[#This Row],[Product Code]],ProductData[[Code]:[Item]],2,FALSE)</f>
        <v>Megawidget M</v>
      </c>
      <c r="P1095" s="4">
        <f>OrganizedData[[#This Row],[Quantity]]*VLOOKUP(OrganizedData[[#This Row],[Product Code]],ProductData[],4,FALSE)</f>
        <v>744</v>
      </c>
      <c r="Q1095" s="6">
        <f>OrganizedData[[#This Row],[Total Items Ordered]]*VLOOKUP(OrganizedData[[#This Row],[Product Code]],ProductData[],3,FALSE)</f>
        <v>959.76</v>
      </c>
      <c r="R10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1096" spans="1:18" x14ac:dyDescent="0.3">
      <c r="A1096" s="2">
        <v>1089</v>
      </c>
      <c r="B1096" s="2" t="s">
        <v>3607</v>
      </c>
      <c r="C1096" s="2" t="s">
        <v>3608</v>
      </c>
      <c r="D1096" s="2" t="s">
        <v>28</v>
      </c>
      <c r="E1096" s="2" t="s">
        <v>29</v>
      </c>
      <c r="F1096" s="2">
        <v>90</v>
      </c>
      <c r="G1096" s="2" t="s">
        <v>3609</v>
      </c>
      <c r="H1096" s="2" t="s">
        <v>3610</v>
      </c>
      <c r="I1096" s="2" t="s">
        <v>32</v>
      </c>
      <c r="J1096" s="3">
        <v>44849</v>
      </c>
      <c r="K1096" s="5">
        <f>YEAR(OrganizedData[[#This Row],[Order Date]])</f>
        <v>2022</v>
      </c>
      <c r="L1096" s="7" t="str">
        <f>TEXT(OrganizedData[[#This Row],[Order Date]],"mmm")</f>
        <v>Oct</v>
      </c>
      <c r="M1096" s="2">
        <v>48</v>
      </c>
      <c r="N1096" s="2" t="s">
        <v>159</v>
      </c>
      <c r="O1096" s="2" t="str">
        <f>VLOOKUP(OrganizedData[[#This Row],[Product Code]],ProductData[[Code]:[Item]],2,FALSE)</f>
        <v>Ultrathing V3</v>
      </c>
      <c r="P1096" s="4">
        <f>OrganizedData[[#This Row],[Quantity]]*VLOOKUP(OrganizedData[[#This Row],[Product Code]],ProductData[],4,FALSE)</f>
        <v>1152</v>
      </c>
      <c r="Q1096" s="6">
        <f>OrganizedData[[#This Row],[Total Items Ordered]]*VLOOKUP(OrganizedData[[#This Row],[Product Code]],ProductData[],3,FALSE)</f>
        <v>3905.28</v>
      </c>
      <c r="R10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1097" spans="1:18" x14ac:dyDescent="0.3">
      <c r="A1097" s="2">
        <v>1090</v>
      </c>
      <c r="B1097" s="2" t="s">
        <v>3611</v>
      </c>
      <c r="C1097" s="2" t="s">
        <v>3612</v>
      </c>
      <c r="D1097" s="2" t="s">
        <v>28</v>
      </c>
      <c r="E1097" s="2" t="s">
        <v>29</v>
      </c>
      <c r="F1097" s="2">
        <v>90</v>
      </c>
      <c r="G1097" s="2" t="s">
        <v>3613</v>
      </c>
      <c r="H1097" s="2" t="s">
        <v>526</v>
      </c>
      <c r="I1097" s="2" t="s">
        <v>32</v>
      </c>
      <c r="J1097" s="3">
        <v>44877</v>
      </c>
      <c r="K1097" s="5">
        <f>YEAR(OrganizedData[[#This Row],[Order Date]])</f>
        <v>2022</v>
      </c>
      <c r="L1097" s="7" t="str">
        <f>TEXT(OrganizedData[[#This Row],[Order Date]],"mmm")</f>
        <v>Nov</v>
      </c>
      <c r="M1097" s="2">
        <v>62</v>
      </c>
      <c r="N1097" s="2" t="s">
        <v>70</v>
      </c>
      <c r="O1097" s="2" t="str">
        <f>VLOOKUP(OrganizedData[[#This Row],[Product Code]],ProductData[[Code]:[Item]],2,FALSE)</f>
        <v>Megawidget M</v>
      </c>
      <c r="P1097" s="4">
        <f>OrganizedData[[#This Row],[Quantity]]*VLOOKUP(OrganizedData[[#This Row],[Product Code]],ProductData[],4,FALSE)</f>
        <v>1488</v>
      </c>
      <c r="Q1097" s="6">
        <f>OrganizedData[[#This Row],[Total Items Ordered]]*VLOOKUP(OrganizedData[[#This Row],[Product Code]],ProductData[],3,FALSE)</f>
        <v>1919.52</v>
      </c>
      <c r="R10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1098" spans="1:18" x14ac:dyDescent="0.3">
      <c r="A1098" s="2">
        <v>1091</v>
      </c>
      <c r="B1098" s="2" t="s">
        <v>714</v>
      </c>
      <c r="C1098" s="2" t="s">
        <v>3614</v>
      </c>
      <c r="D1098" s="2" t="s">
        <v>28</v>
      </c>
      <c r="E1098" s="2" t="s">
        <v>29</v>
      </c>
      <c r="F1098" s="2">
        <v>90</v>
      </c>
      <c r="G1098" s="2" t="s">
        <v>3615</v>
      </c>
      <c r="H1098" s="2" t="s">
        <v>396</v>
      </c>
      <c r="I1098" s="2" t="s">
        <v>32</v>
      </c>
      <c r="J1098" s="3">
        <v>43925</v>
      </c>
      <c r="K1098" s="5">
        <f>YEAR(OrganizedData[[#This Row],[Order Date]])</f>
        <v>2020</v>
      </c>
      <c r="L1098" s="7" t="str">
        <f>TEXT(OrganizedData[[#This Row],[Order Date]],"mmm")</f>
        <v>Apr</v>
      </c>
      <c r="M1098" s="2">
        <v>17</v>
      </c>
      <c r="N1098" s="2" t="s">
        <v>101</v>
      </c>
      <c r="O1098" s="2" t="str">
        <f>VLOOKUP(OrganizedData[[#This Row],[Product Code]],ProductData[[Code]:[Item]],2,FALSE)</f>
        <v>Superwossname</v>
      </c>
      <c r="P1098" s="4">
        <f>OrganizedData[[#This Row],[Quantity]]*VLOOKUP(OrganizedData[[#This Row],[Product Code]],ProductData[],4,FALSE)</f>
        <v>340</v>
      </c>
      <c r="Q1098" s="6">
        <f>OrganizedData[[#This Row],[Total Items Ordered]]*VLOOKUP(OrganizedData[[#This Row],[Product Code]],ProductData[],3,FALSE)</f>
        <v>1186.6000000000001</v>
      </c>
      <c r="R10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1186.6000000000001</v>
      </c>
    </row>
    <row r="1099" spans="1:18" x14ac:dyDescent="0.3">
      <c r="A1099" s="2">
        <v>1092</v>
      </c>
      <c r="B1099" s="2" t="s">
        <v>3616</v>
      </c>
      <c r="C1099" s="2" t="s">
        <v>3617</v>
      </c>
      <c r="D1099" s="2" t="s">
        <v>28</v>
      </c>
      <c r="E1099" s="2" t="s">
        <v>29</v>
      </c>
      <c r="F1099" s="2">
        <v>90</v>
      </c>
      <c r="G1099" s="2" t="s">
        <v>3618</v>
      </c>
      <c r="H1099" s="2" t="s">
        <v>3619</v>
      </c>
      <c r="I1099" s="2" t="s">
        <v>575</v>
      </c>
      <c r="J1099" s="3">
        <v>43961</v>
      </c>
      <c r="K1099" s="5">
        <f>YEAR(OrganizedData[[#This Row],[Order Date]])</f>
        <v>2020</v>
      </c>
      <c r="L1099" s="7" t="str">
        <f>TEXT(OrganizedData[[#This Row],[Order Date]],"mmm")</f>
        <v>May</v>
      </c>
      <c r="M1099" s="2">
        <v>47</v>
      </c>
      <c r="N1099" s="2" t="s">
        <v>39</v>
      </c>
      <c r="O1099" s="2" t="str">
        <f>VLOOKUP(OrganizedData[[#This Row],[Product Code]],ProductData[[Code]:[Item]],2,FALSE)</f>
        <v>Ultrathing V1</v>
      </c>
      <c r="P1099" s="4">
        <f>OrganizedData[[#This Row],[Quantity]]*VLOOKUP(OrganizedData[[#This Row],[Product Code]],ProductData[],4,FALSE)</f>
        <v>799</v>
      </c>
      <c r="Q1099" s="6">
        <f>OrganizedData[[#This Row],[Total Items Ordered]]*VLOOKUP(OrganizedData[[#This Row],[Product Code]],ProductData[],3,FALSE)</f>
        <v>1430.21</v>
      </c>
      <c r="R10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1387.3036999999999</v>
      </c>
    </row>
    <row r="1100" spans="1:18" x14ac:dyDescent="0.3">
      <c r="A1100" s="2">
        <v>1093</v>
      </c>
      <c r="B1100" s="2" t="s">
        <v>3620</v>
      </c>
      <c r="C1100" s="2" t="s">
        <v>3621</v>
      </c>
      <c r="D1100" s="2" t="s">
        <v>15</v>
      </c>
      <c r="E1100" s="2" t="s">
        <v>16</v>
      </c>
      <c r="F1100" s="2">
        <v>60</v>
      </c>
      <c r="G1100" s="2" t="s">
        <v>3622</v>
      </c>
      <c r="H1100" s="2" t="s">
        <v>772</v>
      </c>
      <c r="I1100" s="2" t="s">
        <v>32</v>
      </c>
      <c r="J1100" s="3">
        <v>43834</v>
      </c>
      <c r="K1100" s="5">
        <f>YEAR(OrganizedData[[#This Row],[Order Date]])</f>
        <v>2020</v>
      </c>
      <c r="L1100" s="7" t="str">
        <f>TEXT(OrganizedData[[#This Row],[Order Date]],"mmm")</f>
        <v>Jan</v>
      </c>
      <c r="M1100" s="2">
        <v>50</v>
      </c>
      <c r="N1100" s="2" t="s">
        <v>20</v>
      </c>
      <c r="O1100" s="2" t="str">
        <f>VLOOKUP(OrganizedData[[#This Row],[Product Code]],ProductData[[Code]:[Item]],2,FALSE)</f>
        <v>Hyperwotsit</v>
      </c>
      <c r="P1100" s="4">
        <f>OrganizedData[[#This Row],[Quantity]]*VLOOKUP(OrganizedData[[#This Row],[Product Code]],ProductData[],4,FALSE)</f>
        <v>1000</v>
      </c>
      <c r="Q1100" s="6">
        <f>OrganizedData[[#This Row],[Total Items Ordered]]*VLOOKUP(OrganizedData[[#This Row],[Product Code]],ProductData[],3,FALSE)</f>
        <v>2009.9999999999998</v>
      </c>
      <c r="R11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1101" spans="1:18" x14ac:dyDescent="0.3">
      <c r="A1101" s="2">
        <v>1094</v>
      </c>
      <c r="B1101" s="2" t="s">
        <v>3623</v>
      </c>
      <c r="C1101" s="2" t="s">
        <v>3624</v>
      </c>
      <c r="D1101" s="2" t="s">
        <v>28</v>
      </c>
      <c r="E1101" s="2" t="s">
        <v>29</v>
      </c>
      <c r="F1101" s="2">
        <v>90</v>
      </c>
      <c r="G1101" s="2" t="s">
        <v>3625</v>
      </c>
      <c r="H1101" s="2" t="s">
        <v>901</v>
      </c>
      <c r="I1101" s="2" t="s">
        <v>146</v>
      </c>
      <c r="J1101" s="3">
        <v>43850</v>
      </c>
      <c r="K1101" s="5">
        <f>YEAR(OrganizedData[[#This Row],[Order Date]])</f>
        <v>2020</v>
      </c>
      <c r="L1101" s="7" t="str">
        <f>TEXT(OrganizedData[[#This Row],[Order Date]],"mmm")</f>
        <v>Jan</v>
      </c>
      <c r="M1101" s="2">
        <v>34</v>
      </c>
      <c r="N1101" s="2" t="s">
        <v>80</v>
      </c>
      <c r="O1101" s="2" t="str">
        <f>VLOOKUP(OrganizedData[[#This Row],[Product Code]],ProductData[[Code]:[Item]],2,FALSE)</f>
        <v>Ultrathing V2</v>
      </c>
      <c r="P1101" s="4">
        <f>OrganizedData[[#This Row],[Quantity]]*VLOOKUP(OrganizedData[[#This Row],[Product Code]],ProductData[],4,FALSE)</f>
        <v>680</v>
      </c>
      <c r="Q1101" s="6">
        <f>OrganizedData[[#This Row],[Total Items Ordered]]*VLOOKUP(OrganizedData[[#This Row],[Product Code]],ProductData[],3,FALSE)</f>
        <v>2006.0000000000002</v>
      </c>
      <c r="R11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1945.8200000000002</v>
      </c>
    </row>
    <row r="1102" spans="1:18" x14ac:dyDescent="0.3">
      <c r="A1102" s="2">
        <v>1095</v>
      </c>
      <c r="B1102" s="2" t="s">
        <v>3626</v>
      </c>
      <c r="C1102" s="2" t="s">
        <v>2939</v>
      </c>
      <c r="D1102" s="2" t="s">
        <v>51</v>
      </c>
      <c r="E1102" s="2" t="s">
        <v>16</v>
      </c>
      <c r="F1102" s="2">
        <v>30</v>
      </c>
      <c r="G1102" s="2" t="s">
        <v>3627</v>
      </c>
      <c r="H1102" s="2" t="s">
        <v>3628</v>
      </c>
      <c r="I1102" s="2" t="s">
        <v>32</v>
      </c>
      <c r="J1102" s="3">
        <v>44548</v>
      </c>
      <c r="K1102" s="5">
        <f>YEAR(OrganizedData[[#This Row],[Order Date]])</f>
        <v>2021</v>
      </c>
      <c r="L1102" s="7" t="str">
        <f>TEXT(OrganizedData[[#This Row],[Order Date]],"mmm")</f>
        <v>Dec</v>
      </c>
      <c r="M1102" s="2">
        <v>86</v>
      </c>
      <c r="N1102" s="2" t="s">
        <v>54</v>
      </c>
      <c r="O1102" s="2" t="str">
        <f>VLOOKUP(OrganizedData[[#This Row],[Product Code]],ProductData[[Code]:[Item]],2,FALSE)</f>
        <v>Megawidget S</v>
      </c>
      <c r="P1102" s="4">
        <f>OrganizedData[[#This Row],[Quantity]]*VLOOKUP(OrganizedData[[#This Row],[Product Code]],ProductData[],4,FALSE)</f>
        <v>2064</v>
      </c>
      <c r="Q1102" s="6">
        <f>OrganizedData[[#This Row],[Total Items Ordered]]*VLOOKUP(OrganizedData[[#This Row],[Product Code]],ProductData[],3,FALSE)</f>
        <v>1424.1599999999999</v>
      </c>
      <c r="R11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1352.9519999999998</v>
      </c>
    </row>
    <row r="1103" spans="1:18" x14ac:dyDescent="0.3">
      <c r="A1103" s="2">
        <v>1096</v>
      </c>
      <c r="B1103" s="2" t="s">
        <v>3629</v>
      </c>
      <c r="C1103" s="2" t="s">
        <v>3630</v>
      </c>
      <c r="D1103" s="2" t="s">
        <v>51</v>
      </c>
      <c r="E1103" s="2" t="s">
        <v>16</v>
      </c>
      <c r="F1103" s="2">
        <v>60</v>
      </c>
      <c r="G1103" s="2" t="s">
        <v>3631</v>
      </c>
      <c r="H1103" s="2" t="s">
        <v>3632</v>
      </c>
      <c r="I1103" s="2" t="s">
        <v>32</v>
      </c>
      <c r="J1103" s="3">
        <v>44814</v>
      </c>
      <c r="K1103" s="5">
        <f>YEAR(OrganizedData[[#This Row],[Order Date]])</f>
        <v>2022</v>
      </c>
      <c r="L1103" s="7" t="str">
        <f>TEXT(OrganizedData[[#This Row],[Order Date]],"mmm")</f>
        <v>Sep</v>
      </c>
      <c r="M1103" s="2">
        <v>60</v>
      </c>
      <c r="N1103" s="2" t="s">
        <v>20</v>
      </c>
      <c r="O1103" s="2" t="str">
        <f>VLOOKUP(OrganizedData[[#This Row],[Product Code]],ProductData[[Code]:[Item]],2,FALSE)</f>
        <v>Hyperwotsit</v>
      </c>
      <c r="P1103" s="4">
        <f>OrganizedData[[#This Row],[Quantity]]*VLOOKUP(OrganizedData[[#This Row],[Product Code]],ProductData[],4,FALSE)</f>
        <v>1200</v>
      </c>
      <c r="Q1103" s="6">
        <f>OrganizedData[[#This Row],[Total Items Ordered]]*VLOOKUP(OrganizedData[[#This Row],[Product Code]],ProductData[],3,FALSE)</f>
        <v>2411.9999999999995</v>
      </c>
      <c r="R11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1104" spans="1:18" x14ac:dyDescent="0.3">
      <c r="A1104" s="2">
        <v>1097</v>
      </c>
      <c r="B1104" s="2" t="s">
        <v>3633</v>
      </c>
      <c r="C1104" s="2" t="s">
        <v>836</v>
      </c>
      <c r="D1104" s="2" t="s">
        <v>117</v>
      </c>
      <c r="E1104" s="2" t="s">
        <v>16</v>
      </c>
      <c r="F1104" s="2">
        <v>90</v>
      </c>
      <c r="G1104" s="2" t="s">
        <v>3634</v>
      </c>
      <c r="H1104" s="2" t="s">
        <v>3635</v>
      </c>
      <c r="I1104" s="2" t="s">
        <v>1157</v>
      </c>
      <c r="J1104" s="3">
        <v>44205</v>
      </c>
      <c r="K1104" s="5">
        <f>YEAR(OrganizedData[[#This Row],[Order Date]])</f>
        <v>2021</v>
      </c>
      <c r="L1104" s="7" t="str">
        <f>TEXT(OrganizedData[[#This Row],[Order Date]],"mmm")</f>
        <v>Jan</v>
      </c>
      <c r="M1104" s="2">
        <v>26</v>
      </c>
      <c r="N1104" s="2" t="s">
        <v>45</v>
      </c>
      <c r="O1104" s="2" t="str">
        <f>VLOOKUP(OrganizedData[[#This Row],[Product Code]],ProductData[[Code]:[Item]],2,FALSE)</f>
        <v>Gigastuff</v>
      </c>
      <c r="P1104" s="4">
        <f>OrganizedData[[#This Row],[Quantity]]*VLOOKUP(OrganizedData[[#This Row],[Product Code]],ProductData[],4,FALSE)</f>
        <v>468</v>
      </c>
      <c r="Q1104" s="6">
        <f>OrganizedData[[#This Row],[Total Items Ordered]]*VLOOKUP(OrganizedData[[#This Row],[Product Code]],ProductData[],3,FALSE)</f>
        <v>884.52</v>
      </c>
      <c r="R11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1105" spans="1:18" x14ac:dyDescent="0.3">
      <c r="A1105" s="2">
        <v>1098</v>
      </c>
      <c r="B1105" s="2" t="s">
        <v>1427</v>
      </c>
      <c r="C1105" s="2" t="s">
        <v>2826</v>
      </c>
      <c r="D1105" s="2" t="s">
        <v>28</v>
      </c>
      <c r="E1105" s="2" t="s">
        <v>29</v>
      </c>
      <c r="F1105" s="2">
        <v>90</v>
      </c>
      <c r="G1105" s="2" t="s">
        <v>3636</v>
      </c>
      <c r="H1105" s="2" t="s">
        <v>3637</v>
      </c>
      <c r="I1105" s="2" t="s">
        <v>38</v>
      </c>
      <c r="J1105" s="3">
        <v>43934</v>
      </c>
      <c r="K1105" s="5">
        <f>YEAR(OrganizedData[[#This Row],[Order Date]])</f>
        <v>2020</v>
      </c>
      <c r="L1105" s="7" t="str">
        <f>TEXT(OrganizedData[[#This Row],[Order Date]],"mmm")</f>
        <v>Apr</v>
      </c>
      <c r="M1105" s="2">
        <v>70</v>
      </c>
      <c r="N1105" s="2" t="s">
        <v>45</v>
      </c>
      <c r="O1105" s="2" t="str">
        <f>VLOOKUP(OrganizedData[[#This Row],[Product Code]],ProductData[[Code]:[Item]],2,FALSE)</f>
        <v>Gigastuff</v>
      </c>
      <c r="P1105" s="4">
        <f>OrganizedData[[#This Row],[Quantity]]*VLOOKUP(OrganizedData[[#This Row],[Product Code]],ProductData[],4,FALSE)</f>
        <v>1260</v>
      </c>
      <c r="Q1105" s="6">
        <f>OrganizedData[[#This Row],[Total Items Ordered]]*VLOOKUP(OrganizedData[[#This Row],[Product Code]],ProductData[],3,FALSE)</f>
        <v>2381.4</v>
      </c>
      <c r="R11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2262.33</v>
      </c>
    </row>
    <row r="1106" spans="1:18" x14ac:dyDescent="0.3">
      <c r="A1106" s="2">
        <v>1099</v>
      </c>
      <c r="B1106" s="2" t="s">
        <v>3638</v>
      </c>
      <c r="C1106" s="2" t="s">
        <v>639</v>
      </c>
      <c r="D1106" s="2" t="s">
        <v>51</v>
      </c>
      <c r="E1106" s="2" t="s">
        <v>16</v>
      </c>
      <c r="F1106" s="2">
        <v>30</v>
      </c>
      <c r="G1106" s="2" t="s">
        <v>3639</v>
      </c>
      <c r="H1106" s="2" t="s">
        <v>3640</v>
      </c>
      <c r="I1106" s="2" t="s">
        <v>187</v>
      </c>
      <c r="J1106" s="3">
        <v>44892</v>
      </c>
      <c r="K1106" s="5">
        <f>YEAR(OrganizedData[[#This Row],[Order Date]])</f>
        <v>2022</v>
      </c>
      <c r="L1106" s="7" t="str">
        <f>TEXT(OrganizedData[[#This Row],[Order Date]],"mmm")</f>
        <v>Nov</v>
      </c>
      <c r="M1106" s="2">
        <v>41</v>
      </c>
      <c r="N1106" s="2" t="s">
        <v>80</v>
      </c>
      <c r="O1106" s="2" t="str">
        <f>VLOOKUP(OrganizedData[[#This Row],[Product Code]],ProductData[[Code]:[Item]],2,FALSE)</f>
        <v>Ultrathing V2</v>
      </c>
      <c r="P1106" s="4">
        <f>OrganizedData[[#This Row],[Quantity]]*VLOOKUP(OrganizedData[[#This Row],[Product Code]],ProductData[],4,FALSE)</f>
        <v>820</v>
      </c>
      <c r="Q1106" s="6">
        <f>OrganizedData[[#This Row],[Total Items Ordered]]*VLOOKUP(OrganizedData[[#This Row],[Product Code]],ProductData[],3,FALSE)</f>
        <v>2419</v>
      </c>
      <c r="R11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2346.4299999999998</v>
      </c>
    </row>
    <row r="1107" spans="1:18" x14ac:dyDescent="0.3">
      <c r="A1107" s="2">
        <v>1100</v>
      </c>
      <c r="B1107" s="2" t="s">
        <v>3641</v>
      </c>
      <c r="C1107" s="2" t="s">
        <v>1471</v>
      </c>
      <c r="D1107" s="2" t="s">
        <v>15</v>
      </c>
      <c r="E1107" s="2" t="s">
        <v>16</v>
      </c>
      <c r="F1107" s="2">
        <v>90</v>
      </c>
      <c r="G1107" s="2" t="s">
        <v>3642</v>
      </c>
      <c r="H1107" s="2" t="s">
        <v>458</v>
      </c>
      <c r="I1107" s="2" t="s">
        <v>294</v>
      </c>
      <c r="J1107" s="3">
        <v>44209</v>
      </c>
      <c r="K1107" s="5">
        <f>YEAR(OrganizedData[[#This Row],[Order Date]])</f>
        <v>2021</v>
      </c>
      <c r="L1107" s="7" t="str">
        <f>TEXT(OrganizedData[[#This Row],[Order Date]],"mmm")</f>
        <v>Jan</v>
      </c>
      <c r="M1107" s="2">
        <v>13</v>
      </c>
      <c r="N1107" s="2" t="s">
        <v>45</v>
      </c>
      <c r="O1107" s="2" t="str">
        <f>VLOOKUP(OrganizedData[[#This Row],[Product Code]],ProductData[[Code]:[Item]],2,FALSE)</f>
        <v>Gigastuff</v>
      </c>
      <c r="P1107" s="4">
        <f>OrganizedData[[#This Row],[Quantity]]*VLOOKUP(OrganizedData[[#This Row],[Product Code]],ProductData[],4,FALSE)</f>
        <v>234</v>
      </c>
      <c r="Q1107" s="6">
        <f>OrganizedData[[#This Row],[Total Items Ordered]]*VLOOKUP(OrganizedData[[#This Row],[Product Code]],ProductData[],3,FALSE)</f>
        <v>442.26</v>
      </c>
      <c r="R11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1108" spans="1:18" x14ac:dyDescent="0.3">
      <c r="A1108" s="2">
        <v>1101</v>
      </c>
      <c r="B1108" s="2" t="s">
        <v>1010</v>
      </c>
      <c r="C1108" s="2" t="s">
        <v>821</v>
      </c>
      <c r="D1108" s="2" t="s">
        <v>28</v>
      </c>
      <c r="E1108" s="2" t="s">
        <v>29</v>
      </c>
      <c r="F1108" s="2">
        <v>60</v>
      </c>
      <c r="G1108" s="2" t="s">
        <v>3643</v>
      </c>
      <c r="H1108" s="2" t="s">
        <v>806</v>
      </c>
      <c r="I1108" s="2" t="s">
        <v>178</v>
      </c>
      <c r="J1108" s="3">
        <v>44424</v>
      </c>
      <c r="K1108" s="5">
        <f>YEAR(OrganizedData[[#This Row],[Order Date]])</f>
        <v>2021</v>
      </c>
      <c r="L1108" s="7" t="str">
        <f>TEXT(OrganizedData[[#This Row],[Order Date]],"mmm")</f>
        <v>Aug</v>
      </c>
      <c r="M1108" s="2">
        <v>13</v>
      </c>
      <c r="N1108" s="2" t="s">
        <v>20</v>
      </c>
      <c r="O1108" s="2" t="str">
        <f>VLOOKUP(OrganizedData[[#This Row],[Product Code]],ProductData[[Code]:[Item]],2,FALSE)</f>
        <v>Hyperwotsit</v>
      </c>
      <c r="P1108" s="4">
        <f>OrganizedData[[#This Row],[Quantity]]*VLOOKUP(OrganizedData[[#This Row],[Product Code]],ProductData[],4,FALSE)</f>
        <v>260</v>
      </c>
      <c r="Q1108" s="6">
        <f>OrganizedData[[#This Row],[Total Items Ordered]]*VLOOKUP(OrganizedData[[#This Row],[Product Code]],ProductData[],3,FALSE)</f>
        <v>522.59999999999991</v>
      </c>
      <c r="R11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1109" spans="1:18" x14ac:dyDescent="0.3">
      <c r="A1109" s="2">
        <v>1102</v>
      </c>
      <c r="B1109" s="2" t="s">
        <v>3644</v>
      </c>
      <c r="C1109" s="2" t="s">
        <v>2643</v>
      </c>
      <c r="D1109" s="2" t="s">
        <v>28</v>
      </c>
      <c r="E1109" s="2" t="s">
        <v>29</v>
      </c>
      <c r="F1109" s="2">
        <v>60</v>
      </c>
      <c r="G1109" s="2" t="s">
        <v>3645</v>
      </c>
      <c r="H1109" s="2" t="s">
        <v>3646</v>
      </c>
      <c r="I1109" s="2" t="s">
        <v>32</v>
      </c>
      <c r="J1109" s="3">
        <v>44444</v>
      </c>
      <c r="K1109" s="5">
        <f>YEAR(OrganizedData[[#This Row],[Order Date]])</f>
        <v>2021</v>
      </c>
      <c r="L1109" s="7" t="str">
        <f>TEXT(OrganizedData[[#This Row],[Order Date]],"mmm")</f>
        <v>Sep</v>
      </c>
      <c r="M1109" s="2">
        <v>23</v>
      </c>
      <c r="N1109" s="2" t="s">
        <v>70</v>
      </c>
      <c r="O1109" s="2" t="str">
        <f>VLOOKUP(OrganizedData[[#This Row],[Product Code]],ProductData[[Code]:[Item]],2,FALSE)</f>
        <v>Megawidget M</v>
      </c>
      <c r="P1109" s="4">
        <f>OrganizedData[[#This Row],[Quantity]]*VLOOKUP(OrganizedData[[#This Row],[Product Code]],ProductData[],4,FALSE)</f>
        <v>552</v>
      </c>
      <c r="Q1109" s="6">
        <f>OrganizedData[[#This Row],[Total Items Ordered]]*VLOOKUP(OrganizedData[[#This Row],[Product Code]],ProductData[],3,FALSE)</f>
        <v>712.08</v>
      </c>
      <c r="R11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1110" spans="1:18" x14ac:dyDescent="0.3">
      <c r="A1110" s="2">
        <v>1103</v>
      </c>
      <c r="B1110" s="2" t="s">
        <v>1637</v>
      </c>
      <c r="C1110" s="2" t="s">
        <v>3647</v>
      </c>
      <c r="D1110" s="2" t="s">
        <v>28</v>
      </c>
      <c r="E1110" s="2" t="s">
        <v>29</v>
      </c>
      <c r="F1110" s="2">
        <v>90</v>
      </c>
      <c r="G1110" s="2" t="s">
        <v>3648</v>
      </c>
      <c r="H1110" s="2" t="s">
        <v>416</v>
      </c>
      <c r="I1110" s="2" t="s">
        <v>32</v>
      </c>
      <c r="J1110" s="3">
        <v>43863</v>
      </c>
      <c r="K1110" s="5">
        <f>YEAR(OrganizedData[[#This Row],[Order Date]])</f>
        <v>2020</v>
      </c>
      <c r="L1110" s="7" t="str">
        <f>TEXT(OrganizedData[[#This Row],[Order Date]],"mmm")</f>
        <v>Feb</v>
      </c>
      <c r="M1110" s="2">
        <v>11</v>
      </c>
      <c r="N1110" s="2" t="s">
        <v>159</v>
      </c>
      <c r="O1110" s="2" t="str">
        <f>VLOOKUP(OrganizedData[[#This Row],[Product Code]],ProductData[[Code]:[Item]],2,FALSE)</f>
        <v>Ultrathing V3</v>
      </c>
      <c r="P1110" s="4">
        <f>OrganizedData[[#This Row],[Quantity]]*VLOOKUP(OrganizedData[[#This Row],[Product Code]],ProductData[],4,FALSE)</f>
        <v>264</v>
      </c>
      <c r="Q1110" s="6">
        <f>OrganizedData[[#This Row],[Total Items Ordered]]*VLOOKUP(OrganizedData[[#This Row],[Product Code]],ProductData[],3,FALSE)</f>
        <v>894.96</v>
      </c>
      <c r="R11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1111" spans="1:18" x14ac:dyDescent="0.3">
      <c r="A1111" s="2">
        <v>1104</v>
      </c>
      <c r="B1111" s="2" t="s">
        <v>3649</v>
      </c>
      <c r="C1111" s="2" t="s">
        <v>1278</v>
      </c>
      <c r="D1111" s="2" t="s">
        <v>15</v>
      </c>
      <c r="E1111" s="2" t="s">
        <v>16</v>
      </c>
      <c r="F1111" s="2">
        <v>30</v>
      </c>
      <c r="G1111" s="2" t="s">
        <v>3650</v>
      </c>
      <c r="H1111" s="2" t="s">
        <v>3651</v>
      </c>
      <c r="I1111" s="2" t="s">
        <v>294</v>
      </c>
      <c r="J1111" s="3">
        <v>43991</v>
      </c>
      <c r="K1111" s="5">
        <f>YEAR(OrganizedData[[#This Row],[Order Date]])</f>
        <v>2020</v>
      </c>
      <c r="L1111" s="7" t="str">
        <f>TEXT(OrganizedData[[#This Row],[Order Date]],"mmm")</f>
        <v>Jun</v>
      </c>
      <c r="M1111" s="2">
        <v>31</v>
      </c>
      <c r="N1111" s="2" t="s">
        <v>159</v>
      </c>
      <c r="O1111" s="2" t="str">
        <f>VLOOKUP(OrganizedData[[#This Row],[Product Code]],ProductData[[Code]:[Item]],2,FALSE)</f>
        <v>Ultrathing V3</v>
      </c>
      <c r="P1111" s="4">
        <f>OrganizedData[[#This Row],[Quantity]]*VLOOKUP(OrganizedData[[#This Row],[Product Code]],ProductData[],4,FALSE)</f>
        <v>744</v>
      </c>
      <c r="Q1111" s="6">
        <f>OrganizedData[[#This Row],[Total Items Ordered]]*VLOOKUP(OrganizedData[[#This Row],[Product Code]],ProductData[],3,FALSE)</f>
        <v>2522.1600000000003</v>
      </c>
      <c r="R11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2446.4952000000003</v>
      </c>
    </row>
    <row r="1112" spans="1:18" x14ac:dyDescent="0.3">
      <c r="A1112" s="2">
        <v>1105</v>
      </c>
      <c r="B1112" s="2" t="s">
        <v>831</v>
      </c>
      <c r="C1112" s="2" t="s">
        <v>3652</v>
      </c>
      <c r="D1112" s="2" t="s">
        <v>28</v>
      </c>
      <c r="E1112" s="2" t="s">
        <v>29</v>
      </c>
      <c r="F1112" s="2">
        <v>90</v>
      </c>
      <c r="G1112" s="2" t="s">
        <v>3653</v>
      </c>
      <c r="H1112" s="2" t="s">
        <v>1115</v>
      </c>
      <c r="I1112" s="2" t="s">
        <v>32</v>
      </c>
      <c r="J1112" s="3">
        <v>44389</v>
      </c>
      <c r="K1112" s="5">
        <f>YEAR(OrganizedData[[#This Row],[Order Date]])</f>
        <v>2021</v>
      </c>
      <c r="L1112" s="7" t="str">
        <f>TEXT(OrganizedData[[#This Row],[Order Date]],"mmm")</f>
        <v>Jul</v>
      </c>
      <c r="M1112" s="2">
        <v>70</v>
      </c>
      <c r="N1112" s="2" t="s">
        <v>70</v>
      </c>
      <c r="O1112" s="2" t="str">
        <f>VLOOKUP(OrganizedData[[#This Row],[Product Code]],ProductData[[Code]:[Item]],2,FALSE)</f>
        <v>Megawidget M</v>
      </c>
      <c r="P1112" s="4">
        <f>OrganizedData[[#This Row],[Quantity]]*VLOOKUP(OrganizedData[[#This Row],[Product Code]],ProductData[],4,FALSE)</f>
        <v>1680</v>
      </c>
      <c r="Q1112" s="6">
        <f>OrganizedData[[#This Row],[Total Items Ordered]]*VLOOKUP(OrganizedData[[#This Row],[Product Code]],ProductData[],3,FALSE)</f>
        <v>2167.2000000000003</v>
      </c>
      <c r="R11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2058.84</v>
      </c>
    </row>
    <row r="1113" spans="1:18" x14ac:dyDescent="0.3">
      <c r="A1113" s="2">
        <v>1106</v>
      </c>
      <c r="B1113" s="2" t="s">
        <v>1812</v>
      </c>
      <c r="C1113" s="2" t="s">
        <v>3243</v>
      </c>
      <c r="D1113" s="2" t="s">
        <v>28</v>
      </c>
      <c r="E1113" s="2" t="s">
        <v>29</v>
      </c>
      <c r="F1113" s="2">
        <v>90</v>
      </c>
      <c r="G1113" s="2" t="s">
        <v>3654</v>
      </c>
      <c r="H1113" s="2" t="s">
        <v>3373</v>
      </c>
      <c r="I1113" s="2" t="s">
        <v>32</v>
      </c>
      <c r="J1113" s="3">
        <v>44848</v>
      </c>
      <c r="K1113" s="5">
        <f>YEAR(OrganizedData[[#This Row],[Order Date]])</f>
        <v>2022</v>
      </c>
      <c r="L1113" s="7" t="str">
        <f>TEXT(OrganizedData[[#This Row],[Order Date]],"mmm")</f>
        <v>Oct</v>
      </c>
      <c r="M1113" s="2">
        <v>31</v>
      </c>
      <c r="N1113" s="2" t="s">
        <v>70</v>
      </c>
      <c r="O1113" s="2" t="str">
        <f>VLOOKUP(OrganizedData[[#This Row],[Product Code]],ProductData[[Code]:[Item]],2,FALSE)</f>
        <v>Megawidget M</v>
      </c>
      <c r="P1113" s="4">
        <f>OrganizedData[[#This Row],[Quantity]]*VLOOKUP(OrganizedData[[#This Row],[Product Code]],ProductData[],4,FALSE)</f>
        <v>744</v>
      </c>
      <c r="Q1113" s="6">
        <f>OrganizedData[[#This Row],[Total Items Ordered]]*VLOOKUP(OrganizedData[[#This Row],[Product Code]],ProductData[],3,FALSE)</f>
        <v>959.76</v>
      </c>
      <c r="R11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1114" spans="1:18" x14ac:dyDescent="0.3">
      <c r="A1114" s="2">
        <v>1107</v>
      </c>
      <c r="B1114" s="2" t="s">
        <v>3655</v>
      </c>
      <c r="C1114" s="2" t="s">
        <v>1737</v>
      </c>
      <c r="D1114" s="2" t="s">
        <v>28</v>
      </c>
      <c r="E1114" s="2" t="s">
        <v>29</v>
      </c>
      <c r="F1114" s="2">
        <v>30</v>
      </c>
      <c r="G1114" s="2" t="s">
        <v>3656</v>
      </c>
      <c r="H1114" s="2" t="s">
        <v>3657</v>
      </c>
      <c r="I1114" s="2" t="s">
        <v>294</v>
      </c>
      <c r="J1114" s="3">
        <v>44047</v>
      </c>
      <c r="K1114" s="5">
        <f>YEAR(OrganizedData[[#This Row],[Order Date]])</f>
        <v>2020</v>
      </c>
      <c r="L1114" s="7" t="str">
        <f>TEXT(OrganizedData[[#This Row],[Order Date]],"mmm")</f>
        <v>Aug</v>
      </c>
      <c r="M1114" s="2">
        <v>2</v>
      </c>
      <c r="N1114" s="2" t="s">
        <v>80</v>
      </c>
      <c r="O1114" s="2" t="str">
        <f>VLOOKUP(OrganizedData[[#This Row],[Product Code]],ProductData[[Code]:[Item]],2,FALSE)</f>
        <v>Ultrathing V2</v>
      </c>
      <c r="P1114" s="4">
        <f>OrganizedData[[#This Row],[Quantity]]*VLOOKUP(OrganizedData[[#This Row],[Product Code]],ProductData[],4,FALSE)</f>
        <v>40</v>
      </c>
      <c r="Q1114" s="6">
        <f>OrganizedData[[#This Row],[Total Items Ordered]]*VLOOKUP(OrganizedData[[#This Row],[Product Code]],ProductData[],3,FALSE)</f>
        <v>118</v>
      </c>
      <c r="R11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1115" spans="1:18" x14ac:dyDescent="0.3">
      <c r="A1115" s="2">
        <v>1108</v>
      </c>
      <c r="B1115" s="2" t="s">
        <v>3441</v>
      </c>
      <c r="C1115" s="2" t="s">
        <v>1345</v>
      </c>
      <c r="D1115" s="2" t="s">
        <v>28</v>
      </c>
      <c r="E1115" s="2" t="s">
        <v>29</v>
      </c>
      <c r="F1115" s="2">
        <v>60</v>
      </c>
      <c r="G1115" s="2" t="s">
        <v>3658</v>
      </c>
      <c r="H1115" s="2" t="s">
        <v>3659</v>
      </c>
      <c r="I1115" s="2" t="s">
        <v>3660</v>
      </c>
      <c r="J1115" s="3">
        <v>44494</v>
      </c>
      <c r="K1115" s="5">
        <f>YEAR(OrganizedData[[#This Row],[Order Date]])</f>
        <v>2021</v>
      </c>
      <c r="L1115" s="7" t="str">
        <f>TEXT(OrganizedData[[#This Row],[Order Date]],"mmm")</f>
        <v>Oct</v>
      </c>
      <c r="M1115" s="2">
        <v>29</v>
      </c>
      <c r="N1115" s="2" t="s">
        <v>45</v>
      </c>
      <c r="O1115" s="2" t="str">
        <f>VLOOKUP(OrganizedData[[#This Row],[Product Code]],ProductData[[Code]:[Item]],2,FALSE)</f>
        <v>Gigastuff</v>
      </c>
      <c r="P1115" s="4">
        <f>OrganizedData[[#This Row],[Quantity]]*VLOOKUP(OrganizedData[[#This Row],[Product Code]],ProductData[],4,FALSE)</f>
        <v>522</v>
      </c>
      <c r="Q1115" s="6">
        <f>OrganizedData[[#This Row],[Total Items Ordered]]*VLOOKUP(OrganizedData[[#This Row],[Product Code]],ProductData[],3,FALSE)</f>
        <v>986.57999999999993</v>
      </c>
      <c r="R11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956.98259999999993</v>
      </c>
    </row>
    <row r="1116" spans="1:18" x14ac:dyDescent="0.3">
      <c r="A1116" s="2">
        <v>1109</v>
      </c>
      <c r="B1116" s="2" t="s">
        <v>2110</v>
      </c>
      <c r="C1116" s="2" t="s">
        <v>3159</v>
      </c>
      <c r="D1116" s="2" t="s">
        <v>28</v>
      </c>
      <c r="E1116" s="2" t="s">
        <v>29</v>
      </c>
      <c r="F1116" s="2">
        <v>90</v>
      </c>
      <c r="G1116" s="2" t="s">
        <v>3661</v>
      </c>
      <c r="H1116" s="2" t="s">
        <v>163</v>
      </c>
      <c r="I1116" s="2" t="s">
        <v>164</v>
      </c>
      <c r="J1116" s="3">
        <v>44774</v>
      </c>
      <c r="K1116" s="5">
        <f>YEAR(OrganizedData[[#This Row],[Order Date]])</f>
        <v>2022</v>
      </c>
      <c r="L1116" s="7" t="str">
        <f>TEXT(OrganizedData[[#This Row],[Order Date]],"mmm")</f>
        <v>Aug</v>
      </c>
      <c r="M1116" s="2">
        <v>30</v>
      </c>
      <c r="N1116" s="2" t="s">
        <v>39</v>
      </c>
      <c r="O1116" s="2" t="str">
        <f>VLOOKUP(OrganizedData[[#This Row],[Product Code]],ProductData[[Code]:[Item]],2,FALSE)</f>
        <v>Ultrathing V1</v>
      </c>
      <c r="P1116" s="4">
        <f>OrganizedData[[#This Row],[Quantity]]*VLOOKUP(OrganizedData[[#This Row],[Product Code]],ProductData[],4,FALSE)</f>
        <v>510</v>
      </c>
      <c r="Q1116" s="6">
        <f>OrganizedData[[#This Row],[Total Items Ordered]]*VLOOKUP(OrganizedData[[#This Row],[Product Code]],ProductData[],3,FALSE)</f>
        <v>912.9</v>
      </c>
      <c r="R11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1117" spans="1:18" x14ac:dyDescent="0.3">
      <c r="A1117" s="2">
        <v>1110</v>
      </c>
      <c r="B1117" s="2" t="s">
        <v>1569</v>
      </c>
      <c r="C1117" s="2" t="s">
        <v>3662</v>
      </c>
      <c r="D1117" s="2" t="s">
        <v>51</v>
      </c>
      <c r="E1117" s="2" t="s">
        <v>16</v>
      </c>
      <c r="F1117" s="2">
        <v>60</v>
      </c>
      <c r="G1117" s="2" t="s">
        <v>3663</v>
      </c>
      <c r="H1117" s="2" t="s">
        <v>2218</v>
      </c>
      <c r="I1117" s="2" t="s">
        <v>173</v>
      </c>
      <c r="J1117" s="3">
        <v>44801</v>
      </c>
      <c r="K1117" s="5">
        <f>YEAR(OrganizedData[[#This Row],[Order Date]])</f>
        <v>2022</v>
      </c>
      <c r="L1117" s="7" t="str">
        <f>TEXT(OrganizedData[[#This Row],[Order Date]],"mmm")</f>
        <v>Aug</v>
      </c>
      <c r="M1117" s="2">
        <v>32</v>
      </c>
      <c r="N1117" s="2" t="s">
        <v>45</v>
      </c>
      <c r="O1117" s="2" t="str">
        <f>VLOOKUP(OrganizedData[[#This Row],[Product Code]],ProductData[[Code]:[Item]],2,FALSE)</f>
        <v>Gigastuff</v>
      </c>
      <c r="P1117" s="4">
        <f>OrganizedData[[#This Row],[Quantity]]*VLOOKUP(OrganizedData[[#This Row],[Product Code]],ProductData[],4,FALSE)</f>
        <v>576</v>
      </c>
      <c r="Q1117" s="6">
        <f>OrganizedData[[#This Row],[Total Items Ordered]]*VLOOKUP(OrganizedData[[#This Row],[Product Code]],ProductData[],3,FALSE)</f>
        <v>1088.6399999999999</v>
      </c>
      <c r="R11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1118" spans="1:18" x14ac:dyDescent="0.3">
      <c r="A1118" s="2">
        <v>1111</v>
      </c>
      <c r="B1118" s="2" t="s">
        <v>2209</v>
      </c>
      <c r="C1118" s="2" t="s">
        <v>3664</v>
      </c>
      <c r="D1118" s="2" t="s">
        <v>28</v>
      </c>
      <c r="E1118" s="2" t="s">
        <v>29</v>
      </c>
      <c r="F1118" s="2">
        <v>60</v>
      </c>
      <c r="G1118" s="2" t="s">
        <v>3665</v>
      </c>
      <c r="H1118" s="2" t="s">
        <v>3666</v>
      </c>
      <c r="I1118" s="2" t="s">
        <v>1483</v>
      </c>
      <c r="J1118" s="3">
        <v>44120</v>
      </c>
      <c r="K1118" s="5">
        <f>YEAR(OrganizedData[[#This Row],[Order Date]])</f>
        <v>2020</v>
      </c>
      <c r="L1118" s="7" t="str">
        <f>TEXT(OrganizedData[[#This Row],[Order Date]],"mmm")</f>
        <v>Oct</v>
      </c>
      <c r="M1118" s="2">
        <v>14</v>
      </c>
      <c r="N1118" s="2" t="s">
        <v>70</v>
      </c>
      <c r="O1118" s="2" t="str">
        <f>VLOOKUP(OrganizedData[[#This Row],[Product Code]],ProductData[[Code]:[Item]],2,FALSE)</f>
        <v>Megawidget M</v>
      </c>
      <c r="P1118" s="4">
        <f>OrganizedData[[#This Row],[Quantity]]*VLOOKUP(OrganizedData[[#This Row],[Product Code]],ProductData[],4,FALSE)</f>
        <v>336</v>
      </c>
      <c r="Q1118" s="6">
        <f>OrganizedData[[#This Row],[Total Items Ordered]]*VLOOKUP(OrganizedData[[#This Row],[Product Code]],ProductData[],3,FALSE)</f>
        <v>433.44</v>
      </c>
      <c r="R11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1119" spans="1:18" x14ac:dyDescent="0.3">
      <c r="A1119" s="2">
        <v>1112</v>
      </c>
      <c r="B1119" s="2" t="s">
        <v>3667</v>
      </c>
      <c r="C1119" s="2" t="s">
        <v>3668</v>
      </c>
      <c r="D1119" s="2" t="s">
        <v>28</v>
      </c>
      <c r="E1119" s="2" t="s">
        <v>29</v>
      </c>
      <c r="F1119" s="2">
        <v>90</v>
      </c>
      <c r="G1119" s="2" t="s">
        <v>3669</v>
      </c>
      <c r="H1119" s="2" t="s">
        <v>3670</v>
      </c>
      <c r="I1119" s="2" t="s">
        <v>3671</v>
      </c>
      <c r="J1119" s="3">
        <v>44017</v>
      </c>
      <c r="K1119" s="5">
        <f>YEAR(OrganizedData[[#This Row],[Order Date]])</f>
        <v>2020</v>
      </c>
      <c r="L1119" s="7" t="str">
        <f>TEXT(OrganizedData[[#This Row],[Order Date]],"mmm")</f>
        <v>Jul</v>
      </c>
      <c r="M1119" s="2">
        <v>34</v>
      </c>
      <c r="N1119" s="2" t="s">
        <v>101</v>
      </c>
      <c r="O1119" s="2" t="str">
        <f>VLOOKUP(OrganizedData[[#This Row],[Product Code]],ProductData[[Code]:[Item]],2,FALSE)</f>
        <v>Superwossname</v>
      </c>
      <c r="P1119" s="4">
        <f>OrganizedData[[#This Row],[Quantity]]*VLOOKUP(OrganizedData[[#This Row],[Product Code]],ProductData[],4,FALSE)</f>
        <v>680</v>
      </c>
      <c r="Q1119" s="6">
        <f>OrganizedData[[#This Row],[Total Items Ordered]]*VLOOKUP(OrganizedData[[#This Row],[Product Code]],ProductData[],3,FALSE)</f>
        <v>2373.2000000000003</v>
      </c>
      <c r="R11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1120" spans="1:18" x14ac:dyDescent="0.3">
      <c r="A1120" s="2">
        <v>1113</v>
      </c>
      <c r="B1120" s="2" t="s">
        <v>3672</v>
      </c>
      <c r="C1120" s="2" t="s">
        <v>2635</v>
      </c>
      <c r="D1120" s="2" t="s">
        <v>28</v>
      </c>
      <c r="E1120" s="2" t="s">
        <v>29</v>
      </c>
      <c r="F1120" s="2">
        <v>60</v>
      </c>
      <c r="G1120" s="2" t="s">
        <v>3669</v>
      </c>
      <c r="H1120" s="2" t="s">
        <v>3673</v>
      </c>
      <c r="I1120" s="2" t="s">
        <v>777</v>
      </c>
      <c r="J1120" s="3">
        <v>44461</v>
      </c>
      <c r="K1120" s="5">
        <f>YEAR(OrganizedData[[#This Row],[Order Date]])</f>
        <v>2021</v>
      </c>
      <c r="L1120" s="7" t="str">
        <f>TEXT(OrganizedData[[#This Row],[Order Date]],"mmm")</f>
        <v>Sep</v>
      </c>
      <c r="M1120" s="2">
        <v>43</v>
      </c>
      <c r="N1120" s="2" t="s">
        <v>33</v>
      </c>
      <c r="O1120" s="2" t="str">
        <f>VLOOKUP(OrganizedData[[#This Row],[Product Code]],ProductData[[Code]:[Item]],2,FALSE)</f>
        <v>Megawidget L</v>
      </c>
      <c r="P1120" s="4">
        <f>OrganizedData[[#This Row],[Quantity]]*VLOOKUP(OrganizedData[[#This Row],[Product Code]],ProductData[],4,FALSE)</f>
        <v>1032</v>
      </c>
      <c r="Q1120" s="6">
        <f>OrganizedData[[#This Row],[Total Items Ordered]]*VLOOKUP(OrganizedData[[#This Row],[Product Code]],ProductData[],3,FALSE)</f>
        <v>1847.28</v>
      </c>
      <c r="R11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1121" spans="1:18" x14ac:dyDescent="0.3">
      <c r="A1121" s="2">
        <v>1114</v>
      </c>
      <c r="B1121" s="2" t="s">
        <v>3674</v>
      </c>
      <c r="C1121" s="2" t="s">
        <v>3621</v>
      </c>
      <c r="D1121" s="2" t="s">
        <v>15</v>
      </c>
      <c r="E1121" s="2" t="s">
        <v>16</v>
      </c>
      <c r="F1121" s="2">
        <v>60</v>
      </c>
      <c r="G1121" s="2" t="s">
        <v>3675</v>
      </c>
      <c r="H1121" s="2" t="s">
        <v>2321</v>
      </c>
      <c r="I1121" s="2" t="s">
        <v>129</v>
      </c>
      <c r="J1121" s="3">
        <v>43846</v>
      </c>
      <c r="K1121" s="5">
        <f>YEAR(OrganizedData[[#This Row],[Order Date]])</f>
        <v>2020</v>
      </c>
      <c r="L1121" s="7" t="str">
        <f>TEXT(OrganizedData[[#This Row],[Order Date]],"mmm")</f>
        <v>Jan</v>
      </c>
      <c r="M1121" s="2">
        <v>4</v>
      </c>
      <c r="N1121" s="2" t="s">
        <v>159</v>
      </c>
      <c r="O1121" s="2" t="str">
        <f>VLOOKUP(OrganizedData[[#This Row],[Product Code]],ProductData[[Code]:[Item]],2,FALSE)</f>
        <v>Ultrathing V3</v>
      </c>
      <c r="P1121" s="4">
        <f>OrganizedData[[#This Row],[Quantity]]*VLOOKUP(OrganizedData[[#This Row],[Product Code]],ProductData[],4,FALSE)</f>
        <v>96</v>
      </c>
      <c r="Q1121" s="6">
        <f>OrganizedData[[#This Row],[Total Items Ordered]]*VLOOKUP(OrganizedData[[#This Row],[Product Code]],ProductData[],3,FALSE)</f>
        <v>325.44</v>
      </c>
      <c r="R11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325.44</v>
      </c>
    </row>
    <row r="1122" spans="1:18" x14ac:dyDescent="0.3">
      <c r="A1122" s="2">
        <v>1115</v>
      </c>
      <c r="B1122" s="2" t="s">
        <v>3518</v>
      </c>
      <c r="C1122" s="2" t="s">
        <v>3676</v>
      </c>
      <c r="D1122" s="2" t="s">
        <v>15</v>
      </c>
      <c r="E1122" s="2" t="s">
        <v>16</v>
      </c>
      <c r="F1122" s="2">
        <v>90</v>
      </c>
      <c r="G1122" s="2" t="s">
        <v>3677</v>
      </c>
      <c r="H1122" s="2" t="s">
        <v>3678</v>
      </c>
      <c r="I1122" s="2" t="s">
        <v>32</v>
      </c>
      <c r="J1122" s="3">
        <v>44514</v>
      </c>
      <c r="K1122" s="5">
        <f>YEAR(OrganizedData[[#This Row],[Order Date]])</f>
        <v>2021</v>
      </c>
      <c r="L1122" s="7" t="str">
        <f>TEXT(OrganizedData[[#This Row],[Order Date]],"mmm")</f>
        <v>Nov</v>
      </c>
      <c r="M1122" s="2">
        <v>5</v>
      </c>
      <c r="N1122" s="2" t="s">
        <v>159</v>
      </c>
      <c r="O1122" s="2" t="str">
        <f>VLOOKUP(OrganizedData[[#This Row],[Product Code]],ProductData[[Code]:[Item]],2,FALSE)</f>
        <v>Ultrathing V3</v>
      </c>
      <c r="P1122" s="4">
        <f>OrganizedData[[#This Row],[Quantity]]*VLOOKUP(OrganizedData[[#This Row],[Product Code]],ProductData[],4,FALSE)</f>
        <v>120</v>
      </c>
      <c r="Q1122" s="6">
        <f>OrganizedData[[#This Row],[Total Items Ordered]]*VLOOKUP(OrganizedData[[#This Row],[Product Code]],ProductData[],3,FALSE)</f>
        <v>406.8</v>
      </c>
      <c r="R11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406.8</v>
      </c>
    </row>
    <row r="1123" spans="1:18" x14ac:dyDescent="0.3">
      <c r="A1123" s="2">
        <v>1116</v>
      </c>
      <c r="B1123" s="2" t="s">
        <v>3679</v>
      </c>
      <c r="C1123" s="2" t="s">
        <v>3680</v>
      </c>
      <c r="D1123" s="2" t="s">
        <v>51</v>
      </c>
      <c r="E1123" s="2" t="s">
        <v>16</v>
      </c>
      <c r="F1123" s="2">
        <v>60</v>
      </c>
      <c r="G1123" s="2" t="s">
        <v>3681</v>
      </c>
      <c r="H1123" s="2" t="s">
        <v>3682</v>
      </c>
      <c r="I1123" s="2" t="s">
        <v>178</v>
      </c>
      <c r="J1123" s="3">
        <v>44547</v>
      </c>
      <c r="K1123" s="5">
        <f>YEAR(OrganizedData[[#This Row],[Order Date]])</f>
        <v>2021</v>
      </c>
      <c r="L1123" s="7" t="str">
        <f>TEXT(OrganizedData[[#This Row],[Order Date]],"mmm")</f>
        <v>Dec</v>
      </c>
      <c r="M1123" s="2">
        <v>22</v>
      </c>
      <c r="N1123" s="2" t="s">
        <v>159</v>
      </c>
      <c r="O1123" s="2" t="str">
        <f>VLOOKUP(OrganizedData[[#This Row],[Product Code]],ProductData[[Code]:[Item]],2,FALSE)</f>
        <v>Ultrathing V3</v>
      </c>
      <c r="P1123" s="4">
        <f>OrganizedData[[#This Row],[Quantity]]*VLOOKUP(OrganizedData[[#This Row],[Product Code]],ProductData[],4,FALSE)</f>
        <v>528</v>
      </c>
      <c r="Q1123" s="6">
        <f>OrganizedData[[#This Row],[Total Items Ordered]]*VLOOKUP(OrganizedData[[#This Row],[Product Code]],ProductData[],3,FALSE)</f>
        <v>1789.92</v>
      </c>
      <c r="R11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1736.2224000000001</v>
      </c>
    </row>
    <row r="1124" spans="1:18" x14ac:dyDescent="0.3">
      <c r="A1124" s="2">
        <v>1117</v>
      </c>
      <c r="B1124" s="2" t="s">
        <v>2223</v>
      </c>
      <c r="C1124" s="2" t="s">
        <v>2382</v>
      </c>
      <c r="D1124" s="2" t="s">
        <v>28</v>
      </c>
      <c r="E1124" s="2" t="s">
        <v>29</v>
      </c>
      <c r="F1124" s="2">
        <v>30</v>
      </c>
      <c r="G1124" s="2" t="s">
        <v>3683</v>
      </c>
      <c r="H1124" s="2" t="s">
        <v>1333</v>
      </c>
      <c r="I1124" s="2" t="s">
        <v>294</v>
      </c>
      <c r="J1124" s="3">
        <v>43887</v>
      </c>
      <c r="K1124" s="5">
        <f>YEAR(OrganizedData[[#This Row],[Order Date]])</f>
        <v>2020</v>
      </c>
      <c r="L1124" s="7" t="str">
        <f>TEXT(OrganizedData[[#This Row],[Order Date]],"mmm")</f>
        <v>Feb</v>
      </c>
      <c r="M1124" s="2">
        <v>80</v>
      </c>
      <c r="N1124" s="2" t="s">
        <v>64</v>
      </c>
      <c r="O1124" s="2" t="str">
        <f>VLOOKUP(OrganizedData[[#This Row],[Product Code]],ProductData[[Code]:[Item]],2,FALSE)</f>
        <v>Ultrathing V4</v>
      </c>
      <c r="P1124" s="4">
        <f>OrganizedData[[#This Row],[Quantity]]*VLOOKUP(OrganizedData[[#This Row],[Product Code]],ProductData[],4,FALSE)</f>
        <v>1920</v>
      </c>
      <c r="Q1124" s="6">
        <f>OrganizedData[[#This Row],[Total Items Ordered]]*VLOOKUP(OrganizedData[[#This Row],[Product Code]],ProductData[],3,FALSE)</f>
        <v>7660.8</v>
      </c>
      <c r="R11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1125" spans="1:18" x14ac:dyDescent="0.3">
      <c r="A1125" s="2">
        <v>1118</v>
      </c>
      <c r="B1125" s="2" t="s">
        <v>3684</v>
      </c>
      <c r="C1125" s="2" t="s">
        <v>655</v>
      </c>
      <c r="D1125" s="2" t="s">
        <v>51</v>
      </c>
      <c r="E1125" s="2" t="s">
        <v>16</v>
      </c>
      <c r="F1125" s="2">
        <v>30</v>
      </c>
      <c r="G1125" s="2" t="s">
        <v>3685</v>
      </c>
      <c r="H1125" s="2" t="s">
        <v>1741</v>
      </c>
      <c r="I1125" s="2" t="s">
        <v>173</v>
      </c>
      <c r="J1125" s="3">
        <v>44147</v>
      </c>
      <c r="K1125" s="5">
        <f>YEAR(OrganizedData[[#This Row],[Order Date]])</f>
        <v>2020</v>
      </c>
      <c r="L1125" s="7" t="str">
        <f>TEXT(OrganizedData[[#This Row],[Order Date]],"mmm")</f>
        <v>Nov</v>
      </c>
      <c r="M1125" s="2">
        <v>27</v>
      </c>
      <c r="N1125" s="2" t="s">
        <v>80</v>
      </c>
      <c r="O1125" s="2" t="str">
        <f>VLOOKUP(OrganizedData[[#This Row],[Product Code]],ProductData[[Code]:[Item]],2,FALSE)</f>
        <v>Ultrathing V2</v>
      </c>
      <c r="P1125" s="4">
        <f>OrganizedData[[#This Row],[Quantity]]*VLOOKUP(OrganizedData[[#This Row],[Product Code]],ProductData[],4,FALSE)</f>
        <v>540</v>
      </c>
      <c r="Q1125" s="6">
        <f>OrganizedData[[#This Row],[Total Items Ordered]]*VLOOKUP(OrganizedData[[#This Row],[Product Code]],ProductData[],3,FALSE)</f>
        <v>1593</v>
      </c>
      <c r="R11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1545.21</v>
      </c>
    </row>
    <row r="1126" spans="1:18" x14ac:dyDescent="0.3">
      <c r="A1126" s="2">
        <v>1119</v>
      </c>
      <c r="B1126" s="2" t="s">
        <v>3580</v>
      </c>
      <c r="C1126" s="2" t="s">
        <v>3686</v>
      </c>
      <c r="D1126" s="2" t="s">
        <v>51</v>
      </c>
      <c r="E1126" s="2" t="s">
        <v>16</v>
      </c>
      <c r="F1126" s="2">
        <v>90</v>
      </c>
      <c r="G1126" s="2" t="s">
        <v>3687</v>
      </c>
      <c r="H1126" s="2" t="s">
        <v>1103</v>
      </c>
      <c r="I1126" s="2" t="s">
        <v>25</v>
      </c>
      <c r="J1126" s="3">
        <v>44485</v>
      </c>
      <c r="K1126" s="5">
        <f>YEAR(OrganizedData[[#This Row],[Order Date]])</f>
        <v>2021</v>
      </c>
      <c r="L1126" s="7" t="str">
        <f>TEXT(OrganizedData[[#This Row],[Order Date]],"mmm")</f>
        <v>Oct</v>
      </c>
      <c r="M1126" s="2">
        <v>35</v>
      </c>
      <c r="N1126" s="2" t="s">
        <v>80</v>
      </c>
      <c r="O1126" s="2" t="str">
        <f>VLOOKUP(OrganizedData[[#This Row],[Product Code]],ProductData[[Code]:[Item]],2,FALSE)</f>
        <v>Ultrathing V2</v>
      </c>
      <c r="P1126" s="4">
        <f>OrganizedData[[#This Row],[Quantity]]*VLOOKUP(OrganizedData[[#This Row],[Product Code]],ProductData[],4,FALSE)</f>
        <v>700</v>
      </c>
      <c r="Q1126" s="6">
        <f>OrganizedData[[#This Row],[Total Items Ordered]]*VLOOKUP(OrganizedData[[#This Row],[Product Code]],ProductData[],3,FALSE)</f>
        <v>2065</v>
      </c>
      <c r="R11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2003.05</v>
      </c>
    </row>
    <row r="1127" spans="1:18" x14ac:dyDescent="0.3">
      <c r="A1127" s="2">
        <v>1120</v>
      </c>
      <c r="B1127" s="2" t="s">
        <v>3688</v>
      </c>
      <c r="C1127" s="2" t="s">
        <v>3689</v>
      </c>
      <c r="D1127" s="2" t="s">
        <v>28</v>
      </c>
      <c r="E1127" s="2" t="s">
        <v>29</v>
      </c>
      <c r="F1127" s="2">
        <v>30</v>
      </c>
      <c r="G1127" s="2" t="s">
        <v>3687</v>
      </c>
      <c r="H1127" s="2" t="s">
        <v>641</v>
      </c>
      <c r="I1127" s="2" t="s">
        <v>294</v>
      </c>
      <c r="J1127" s="3">
        <v>44374</v>
      </c>
      <c r="K1127" s="5">
        <f>YEAR(OrganizedData[[#This Row],[Order Date]])</f>
        <v>2021</v>
      </c>
      <c r="L1127" s="7" t="str">
        <f>TEXT(OrganizedData[[#This Row],[Order Date]],"mmm")</f>
        <v>Jun</v>
      </c>
      <c r="M1127" s="2">
        <v>37</v>
      </c>
      <c r="N1127" s="2" t="s">
        <v>33</v>
      </c>
      <c r="O1127" s="2" t="str">
        <f>VLOOKUP(OrganizedData[[#This Row],[Product Code]],ProductData[[Code]:[Item]],2,FALSE)</f>
        <v>Megawidget L</v>
      </c>
      <c r="P1127" s="4">
        <f>OrganizedData[[#This Row],[Quantity]]*VLOOKUP(OrganizedData[[#This Row],[Product Code]],ProductData[],4,FALSE)</f>
        <v>888</v>
      </c>
      <c r="Q1127" s="6">
        <f>OrganizedData[[#This Row],[Total Items Ordered]]*VLOOKUP(OrganizedData[[#This Row],[Product Code]],ProductData[],3,FALSE)</f>
        <v>1589.52</v>
      </c>
      <c r="R11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1541.8344</v>
      </c>
    </row>
    <row r="1128" spans="1:18" x14ac:dyDescent="0.3">
      <c r="A1128" s="2">
        <v>1121</v>
      </c>
      <c r="B1128" s="2" t="s">
        <v>3690</v>
      </c>
      <c r="C1128" s="2" t="s">
        <v>1658</v>
      </c>
      <c r="D1128" s="2" t="s">
        <v>15</v>
      </c>
      <c r="E1128" s="2" t="s">
        <v>16</v>
      </c>
      <c r="F1128" s="2">
        <v>60</v>
      </c>
      <c r="G1128" s="2" t="s">
        <v>3691</v>
      </c>
      <c r="H1128" s="2" t="s">
        <v>708</v>
      </c>
      <c r="I1128" s="2" t="s">
        <v>294</v>
      </c>
      <c r="J1128" s="3">
        <v>44469</v>
      </c>
      <c r="K1128" s="5">
        <f>YEAR(OrganizedData[[#This Row],[Order Date]])</f>
        <v>2021</v>
      </c>
      <c r="L1128" s="7" t="str">
        <f>TEXT(OrganizedData[[#This Row],[Order Date]],"mmm")</f>
        <v>Sep</v>
      </c>
      <c r="M1128" s="2">
        <v>76</v>
      </c>
      <c r="N1128" s="2" t="s">
        <v>33</v>
      </c>
      <c r="O1128" s="2" t="str">
        <f>VLOOKUP(OrganizedData[[#This Row],[Product Code]],ProductData[[Code]:[Item]],2,FALSE)</f>
        <v>Megawidget L</v>
      </c>
      <c r="P1128" s="4">
        <f>OrganizedData[[#This Row],[Quantity]]*VLOOKUP(OrganizedData[[#This Row],[Product Code]],ProductData[],4,FALSE)</f>
        <v>1824</v>
      </c>
      <c r="Q1128" s="6">
        <f>OrganizedData[[#This Row],[Total Items Ordered]]*VLOOKUP(OrganizedData[[#This Row],[Product Code]],ProductData[],3,FALSE)</f>
        <v>3264.96</v>
      </c>
      <c r="R11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1129" spans="1:18" x14ac:dyDescent="0.3">
      <c r="A1129" s="2">
        <v>1122</v>
      </c>
      <c r="B1129" s="2" t="s">
        <v>3692</v>
      </c>
      <c r="C1129" s="2" t="s">
        <v>2939</v>
      </c>
      <c r="D1129" s="2" t="s">
        <v>41</v>
      </c>
      <c r="E1129" s="2" t="s">
        <v>16</v>
      </c>
      <c r="F1129" s="2">
        <v>90</v>
      </c>
      <c r="G1129" s="2" t="s">
        <v>3693</v>
      </c>
      <c r="H1129" s="2" t="s">
        <v>2925</v>
      </c>
      <c r="I1129" s="2" t="s">
        <v>32</v>
      </c>
      <c r="J1129" s="3">
        <v>44701</v>
      </c>
      <c r="K1129" s="5">
        <f>YEAR(OrganizedData[[#This Row],[Order Date]])</f>
        <v>2022</v>
      </c>
      <c r="L1129" s="7" t="str">
        <f>TEXT(OrganizedData[[#This Row],[Order Date]],"mmm")</f>
        <v>May</v>
      </c>
      <c r="M1129" s="2">
        <v>19</v>
      </c>
      <c r="N1129" s="2" t="s">
        <v>80</v>
      </c>
      <c r="O1129" s="2" t="str">
        <f>VLOOKUP(OrganizedData[[#This Row],[Product Code]],ProductData[[Code]:[Item]],2,FALSE)</f>
        <v>Ultrathing V2</v>
      </c>
      <c r="P1129" s="4">
        <f>OrganizedData[[#This Row],[Quantity]]*VLOOKUP(OrganizedData[[#This Row],[Product Code]],ProductData[],4,FALSE)</f>
        <v>380</v>
      </c>
      <c r="Q1129" s="6">
        <f>OrganizedData[[#This Row],[Total Items Ordered]]*VLOOKUP(OrganizedData[[#This Row],[Product Code]],ProductData[],3,FALSE)</f>
        <v>1121</v>
      </c>
      <c r="R11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v>
      </c>
    </row>
    <row r="1130" spans="1:18" x14ac:dyDescent="0.3">
      <c r="A1130" s="2">
        <v>1123</v>
      </c>
      <c r="B1130" s="2" t="s">
        <v>1159</v>
      </c>
      <c r="C1130" s="2" t="s">
        <v>2518</v>
      </c>
      <c r="D1130" s="2" t="s">
        <v>92</v>
      </c>
      <c r="E1130" s="2" t="s">
        <v>29</v>
      </c>
      <c r="F1130" s="2">
        <v>90</v>
      </c>
      <c r="G1130" s="2" t="s">
        <v>3694</v>
      </c>
      <c r="H1130" s="2" t="s">
        <v>3695</v>
      </c>
      <c r="I1130" s="2" t="s">
        <v>173</v>
      </c>
      <c r="J1130" s="3">
        <v>44038</v>
      </c>
      <c r="K1130" s="5">
        <f>YEAR(OrganizedData[[#This Row],[Order Date]])</f>
        <v>2020</v>
      </c>
      <c r="L1130" s="7" t="str">
        <f>TEXT(OrganizedData[[#This Row],[Order Date]],"mmm")</f>
        <v>Jul</v>
      </c>
      <c r="M1130" s="2">
        <v>39</v>
      </c>
      <c r="N1130" s="2" t="s">
        <v>70</v>
      </c>
      <c r="O1130" s="2" t="str">
        <f>VLOOKUP(OrganizedData[[#This Row],[Product Code]],ProductData[[Code]:[Item]],2,FALSE)</f>
        <v>Megawidget M</v>
      </c>
      <c r="P1130" s="4">
        <f>OrganizedData[[#This Row],[Quantity]]*VLOOKUP(OrganizedData[[#This Row],[Product Code]],ProductData[],4,FALSE)</f>
        <v>936</v>
      </c>
      <c r="Q1130" s="6">
        <f>OrganizedData[[#This Row],[Total Items Ordered]]*VLOOKUP(OrganizedData[[#This Row],[Product Code]],ProductData[],3,FALSE)</f>
        <v>1207.44</v>
      </c>
      <c r="R11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1131" spans="1:18" x14ac:dyDescent="0.3">
      <c r="A1131" s="2">
        <v>1124</v>
      </c>
      <c r="B1131" s="2" t="s">
        <v>3696</v>
      </c>
      <c r="C1131" s="2" t="s">
        <v>1424</v>
      </c>
      <c r="D1131" s="2" t="s">
        <v>15</v>
      </c>
      <c r="E1131" s="2" t="s">
        <v>16</v>
      </c>
      <c r="F1131" s="2">
        <v>90</v>
      </c>
      <c r="G1131" s="2" t="s">
        <v>3697</v>
      </c>
      <c r="H1131" s="2" t="s">
        <v>3698</v>
      </c>
      <c r="I1131" s="2" t="s">
        <v>294</v>
      </c>
      <c r="J1131" s="3">
        <v>44037</v>
      </c>
      <c r="K1131" s="5">
        <f>YEAR(OrganizedData[[#This Row],[Order Date]])</f>
        <v>2020</v>
      </c>
      <c r="L1131" s="7" t="str">
        <f>TEXT(OrganizedData[[#This Row],[Order Date]],"mmm")</f>
        <v>Jul</v>
      </c>
      <c r="M1131" s="2">
        <v>9</v>
      </c>
      <c r="N1131" s="2" t="s">
        <v>70</v>
      </c>
      <c r="O1131" s="2" t="str">
        <f>VLOOKUP(OrganizedData[[#This Row],[Product Code]],ProductData[[Code]:[Item]],2,FALSE)</f>
        <v>Megawidget M</v>
      </c>
      <c r="P1131" s="4">
        <f>OrganizedData[[#This Row],[Quantity]]*VLOOKUP(OrganizedData[[#This Row],[Product Code]],ProductData[],4,FALSE)</f>
        <v>216</v>
      </c>
      <c r="Q1131" s="6">
        <f>OrganizedData[[#This Row],[Total Items Ordered]]*VLOOKUP(OrganizedData[[#This Row],[Product Code]],ProductData[],3,FALSE)</f>
        <v>278.64</v>
      </c>
      <c r="R11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278.64</v>
      </c>
    </row>
    <row r="1132" spans="1:18" x14ac:dyDescent="0.3">
      <c r="A1132" s="2">
        <v>1125</v>
      </c>
      <c r="B1132" s="2" t="s">
        <v>3699</v>
      </c>
      <c r="C1132" s="2" t="s">
        <v>3700</v>
      </c>
      <c r="D1132" s="2" t="s">
        <v>15</v>
      </c>
      <c r="E1132" s="2" t="s">
        <v>16</v>
      </c>
      <c r="F1132" s="2">
        <v>60</v>
      </c>
      <c r="G1132" s="2" t="s">
        <v>3701</v>
      </c>
      <c r="H1132" s="2" t="s">
        <v>3702</v>
      </c>
      <c r="I1132" s="2" t="s">
        <v>25</v>
      </c>
      <c r="J1132" s="3">
        <v>44101</v>
      </c>
      <c r="K1132" s="5">
        <f>YEAR(OrganizedData[[#This Row],[Order Date]])</f>
        <v>2020</v>
      </c>
      <c r="L1132" s="7" t="str">
        <f>TEXT(OrganizedData[[#This Row],[Order Date]],"mmm")</f>
        <v>Sep</v>
      </c>
      <c r="M1132" s="2">
        <v>55</v>
      </c>
      <c r="N1132" s="2" t="s">
        <v>159</v>
      </c>
      <c r="O1132" s="2" t="str">
        <f>VLOOKUP(OrganizedData[[#This Row],[Product Code]],ProductData[[Code]:[Item]],2,FALSE)</f>
        <v>Ultrathing V3</v>
      </c>
      <c r="P1132" s="4">
        <f>OrganizedData[[#This Row],[Quantity]]*VLOOKUP(OrganizedData[[#This Row],[Product Code]],ProductData[],4,FALSE)</f>
        <v>1320</v>
      </c>
      <c r="Q1132" s="6">
        <f>OrganizedData[[#This Row],[Total Items Ordered]]*VLOOKUP(OrganizedData[[#This Row],[Product Code]],ProductData[],3,FALSE)</f>
        <v>4474.8</v>
      </c>
      <c r="R11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4251.0600000000004</v>
      </c>
    </row>
    <row r="1133" spans="1:18" x14ac:dyDescent="0.3">
      <c r="A1133" s="2">
        <v>1126</v>
      </c>
      <c r="B1133" s="2" t="s">
        <v>3626</v>
      </c>
      <c r="C1133" s="2" t="s">
        <v>3029</v>
      </c>
      <c r="D1133" s="2" t="s">
        <v>51</v>
      </c>
      <c r="E1133" s="2" t="s">
        <v>16</v>
      </c>
      <c r="F1133" s="2">
        <v>90</v>
      </c>
      <c r="G1133" s="2" t="s">
        <v>3703</v>
      </c>
      <c r="H1133" s="2" t="s">
        <v>3506</v>
      </c>
      <c r="I1133" s="2" t="s">
        <v>124</v>
      </c>
      <c r="J1133" s="3">
        <v>44386</v>
      </c>
      <c r="K1133" s="5">
        <f>YEAR(OrganizedData[[#This Row],[Order Date]])</f>
        <v>2021</v>
      </c>
      <c r="L1133" s="7" t="str">
        <f>TEXT(OrganizedData[[#This Row],[Order Date]],"mmm")</f>
        <v>Jul</v>
      </c>
      <c r="M1133" s="2">
        <v>92</v>
      </c>
      <c r="N1133" s="2" t="s">
        <v>20</v>
      </c>
      <c r="O1133" s="2" t="str">
        <f>VLOOKUP(OrganizedData[[#This Row],[Product Code]],ProductData[[Code]:[Item]],2,FALSE)</f>
        <v>Hyperwotsit</v>
      </c>
      <c r="P1133" s="4">
        <f>OrganizedData[[#This Row],[Quantity]]*VLOOKUP(OrganizedData[[#This Row],[Product Code]],ProductData[],4,FALSE)</f>
        <v>1840</v>
      </c>
      <c r="Q1133" s="6">
        <f>OrganizedData[[#This Row],[Total Items Ordered]]*VLOOKUP(OrganizedData[[#This Row],[Product Code]],ProductData[],3,FALSE)</f>
        <v>3698.3999999999996</v>
      </c>
      <c r="R11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3513.4799999999996</v>
      </c>
    </row>
    <row r="1134" spans="1:18" x14ac:dyDescent="0.3">
      <c r="A1134" s="2">
        <v>1127</v>
      </c>
      <c r="B1134" s="2" t="s">
        <v>3704</v>
      </c>
      <c r="C1134" s="2" t="s">
        <v>35</v>
      </c>
      <c r="D1134" s="2" t="s">
        <v>51</v>
      </c>
      <c r="E1134" s="2" t="s">
        <v>16</v>
      </c>
      <c r="F1134" s="2">
        <v>30</v>
      </c>
      <c r="G1134" s="2" t="s">
        <v>3705</v>
      </c>
      <c r="H1134" s="2" t="s">
        <v>3635</v>
      </c>
      <c r="I1134" s="2" t="s">
        <v>1157</v>
      </c>
      <c r="J1134" s="3">
        <v>44281</v>
      </c>
      <c r="K1134" s="5">
        <f>YEAR(OrganizedData[[#This Row],[Order Date]])</f>
        <v>2021</v>
      </c>
      <c r="L1134" s="7" t="str">
        <f>TEXT(OrganizedData[[#This Row],[Order Date]],"mmm")</f>
        <v>Mar</v>
      </c>
      <c r="M1134" s="2">
        <v>45</v>
      </c>
      <c r="N1134" s="2" t="s">
        <v>54</v>
      </c>
      <c r="O1134" s="2" t="str">
        <f>VLOOKUP(OrganizedData[[#This Row],[Product Code]],ProductData[[Code]:[Item]],2,FALSE)</f>
        <v>Megawidget S</v>
      </c>
      <c r="P1134" s="4">
        <f>OrganizedData[[#This Row],[Quantity]]*VLOOKUP(OrganizedData[[#This Row],[Product Code]],ProductData[],4,FALSE)</f>
        <v>1080</v>
      </c>
      <c r="Q1134" s="6">
        <f>OrganizedData[[#This Row],[Total Items Ordered]]*VLOOKUP(OrganizedData[[#This Row],[Product Code]],ProductData[],3,FALSE)</f>
        <v>745.19999999999993</v>
      </c>
      <c r="R11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722.84399999999994</v>
      </c>
    </row>
    <row r="1135" spans="1:18" x14ac:dyDescent="0.3">
      <c r="A1135" s="2">
        <v>1128</v>
      </c>
      <c r="B1135" s="2" t="s">
        <v>3706</v>
      </c>
      <c r="C1135" s="2" t="s">
        <v>3707</v>
      </c>
      <c r="D1135" s="2" t="s">
        <v>28</v>
      </c>
      <c r="E1135" s="2" t="s">
        <v>29</v>
      </c>
      <c r="F1135" s="2">
        <v>60</v>
      </c>
      <c r="G1135" s="2" t="s">
        <v>3708</v>
      </c>
      <c r="H1135" s="2" t="s">
        <v>3291</v>
      </c>
      <c r="I1135" s="2" t="s">
        <v>124</v>
      </c>
      <c r="J1135" s="3">
        <v>44637</v>
      </c>
      <c r="K1135" s="5">
        <f>YEAR(OrganizedData[[#This Row],[Order Date]])</f>
        <v>2022</v>
      </c>
      <c r="L1135" s="7" t="str">
        <f>TEXT(OrganizedData[[#This Row],[Order Date]],"mmm")</f>
        <v>Mar</v>
      </c>
      <c r="M1135" s="2">
        <v>35</v>
      </c>
      <c r="N1135" s="2" t="s">
        <v>39</v>
      </c>
      <c r="O1135" s="2" t="str">
        <f>VLOOKUP(OrganizedData[[#This Row],[Product Code]],ProductData[[Code]:[Item]],2,FALSE)</f>
        <v>Ultrathing V1</v>
      </c>
      <c r="P1135" s="4">
        <f>OrganizedData[[#This Row],[Quantity]]*VLOOKUP(OrganizedData[[#This Row],[Product Code]],ProductData[],4,FALSE)</f>
        <v>595</v>
      </c>
      <c r="Q1135" s="6">
        <f>OrganizedData[[#This Row],[Total Items Ordered]]*VLOOKUP(OrganizedData[[#This Row],[Product Code]],ProductData[],3,FALSE)</f>
        <v>1065.05</v>
      </c>
      <c r="R11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1033.0984999999998</v>
      </c>
    </row>
    <row r="1136" spans="1:18" x14ac:dyDescent="0.3">
      <c r="A1136" s="2">
        <v>1129</v>
      </c>
      <c r="B1136" s="2" t="s">
        <v>3709</v>
      </c>
      <c r="C1136" s="2" t="s">
        <v>1877</v>
      </c>
      <c r="D1136" s="2" t="s">
        <v>51</v>
      </c>
      <c r="E1136" s="2" t="s">
        <v>16</v>
      </c>
      <c r="F1136" s="2">
        <v>60</v>
      </c>
      <c r="G1136" s="2" t="s">
        <v>3710</v>
      </c>
      <c r="H1136" s="2" t="s">
        <v>370</v>
      </c>
      <c r="I1136" s="2" t="s">
        <v>32</v>
      </c>
      <c r="J1136" s="3">
        <v>44792</v>
      </c>
      <c r="K1136" s="5">
        <f>YEAR(OrganizedData[[#This Row],[Order Date]])</f>
        <v>2022</v>
      </c>
      <c r="L1136" s="7" t="str">
        <f>TEXT(OrganizedData[[#This Row],[Order Date]],"mmm")</f>
        <v>Aug</v>
      </c>
      <c r="M1136" s="2">
        <v>34</v>
      </c>
      <c r="N1136" s="2" t="s">
        <v>101</v>
      </c>
      <c r="O1136" s="2" t="str">
        <f>VLOOKUP(OrganizedData[[#This Row],[Product Code]],ProductData[[Code]:[Item]],2,FALSE)</f>
        <v>Superwossname</v>
      </c>
      <c r="P1136" s="4">
        <f>OrganizedData[[#This Row],[Quantity]]*VLOOKUP(OrganizedData[[#This Row],[Product Code]],ProductData[],4,FALSE)</f>
        <v>680</v>
      </c>
      <c r="Q1136" s="6">
        <f>OrganizedData[[#This Row],[Total Items Ordered]]*VLOOKUP(OrganizedData[[#This Row],[Product Code]],ProductData[],3,FALSE)</f>
        <v>2373.2000000000003</v>
      </c>
      <c r="R11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1137" spans="1:18" x14ac:dyDescent="0.3">
      <c r="A1137" s="2">
        <v>1130</v>
      </c>
      <c r="B1137" s="2" t="s">
        <v>3711</v>
      </c>
      <c r="C1137" s="2" t="s">
        <v>3712</v>
      </c>
      <c r="D1137" s="2" t="s">
        <v>28</v>
      </c>
      <c r="E1137" s="2" t="s">
        <v>29</v>
      </c>
      <c r="F1137" s="2">
        <v>30</v>
      </c>
      <c r="G1137" s="2" t="s">
        <v>3710</v>
      </c>
      <c r="H1137" s="2" t="s">
        <v>3713</v>
      </c>
      <c r="I1137" s="2" t="s">
        <v>32</v>
      </c>
      <c r="J1137" s="3">
        <v>44238</v>
      </c>
      <c r="K1137" s="5">
        <f>YEAR(OrganizedData[[#This Row],[Order Date]])</f>
        <v>2021</v>
      </c>
      <c r="L1137" s="7" t="str">
        <f>TEXT(OrganizedData[[#This Row],[Order Date]],"mmm")</f>
        <v>Feb</v>
      </c>
      <c r="M1137" s="2">
        <v>27</v>
      </c>
      <c r="N1137" s="2" t="s">
        <v>20</v>
      </c>
      <c r="O1137" s="2" t="str">
        <f>VLOOKUP(OrganizedData[[#This Row],[Product Code]],ProductData[[Code]:[Item]],2,FALSE)</f>
        <v>Hyperwotsit</v>
      </c>
      <c r="P1137" s="4">
        <f>OrganizedData[[#This Row],[Quantity]]*VLOOKUP(OrganizedData[[#This Row],[Product Code]],ProductData[],4,FALSE)</f>
        <v>540</v>
      </c>
      <c r="Q1137" s="6">
        <f>OrganizedData[[#This Row],[Total Items Ordered]]*VLOOKUP(OrganizedData[[#This Row],[Product Code]],ProductData[],3,FALSE)</f>
        <v>1085.3999999999999</v>
      </c>
      <c r="R11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1052.8379999999997</v>
      </c>
    </row>
    <row r="1138" spans="1:18" x14ac:dyDescent="0.3">
      <c r="A1138" s="2">
        <v>1131</v>
      </c>
      <c r="B1138" s="2" t="s">
        <v>3714</v>
      </c>
      <c r="C1138" s="2" t="s">
        <v>2844</v>
      </c>
      <c r="D1138" s="2" t="s">
        <v>28</v>
      </c>
      <c r="E1138" s="2" t="s">
        <v>29</v>
      </c>
      <c r="F1138" s="2">
        <v>90</v>
      </c>
      <c r="G1138" s="2" t="s">
        <v>3715</v>
      </c>
      <c r="H1138" s="2" t="s">
        <v>330</v>
      </c>
      <c r="I1138" s="2" t="s">
        <v>32</v>
      </c>
      <c r="J1138" s="3">
        <v>44213</v>
      </c>
      <c r="K1138" s="5">
        <f>YEAR(OrganizedData[[#This Row],[Order Date]])</f>
        <v>2021</v>
      </c>
      <c r="L1138" s="7" t="str">
        <f>TEXT(OrganizedData[[#This Row],[Order Date]],"mmm")</f>
        <v>Jan</v>
      </c>
      <c r="M1138" s="2">
        <v>49</v>
      </c>
      <c r="N1138" s="2" t="s">
        <v>45</v>
      </c>
      <c r="O1138" s="2" t="str">
        <f>VLOOKUP(OrganizedData[[#This Row],[Product Code]],ProductData[[Code]:[Item]],2,FALSE)</f>
        <v>Gigastuff</v>
      </c>
      <c r="P1138" s="4">
        <f>OrganizedData[[#This Row],[Quantity]]*VLOOKUP(OrganizedData[[#This Row],[Product Code]],ProductData[],4,FALSE)</f>
        <v>882</v>
      </c>
      <c r="Q1138" s="6">
        <f>OrganizedData[[#This Row],[Total Items Ordered]]*VLOOKUP(OrganizedData[[#This Row],[Product Code]],ProductData[],3,FALSE)</f>
        <v>1666.98</v>
      </c>
      <c r="R11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1616.9705999999999</v>
      </c>
    </row>
    <row r="1139" spans="1:18" x14ac:dyDescent="0.3">
      <c r="A1139" s="2">
        <v>1132</v>
      </c>
      <c r="B1139" s="2" t="s">
        <v>3716</v>
      </c>
      <c r="C1139" s="2" t="s">
        <v>3717</v>
      </c>
      <c r="D1139" s="2" t="s">
        <v>51</v>
      </c>
      <c r="E1139" s="2" t="s">
        <v>16</v>
      </c>
      <c r="F1139" s="2">
        <v>30</v>
      </c>
      <c r="G1139" s="2" t="s">
        <v>3718</v>
      </c>
      <c r="H1139" s="2" t="s">
        <v>2629</v>
      </c>
      <c r="I1139" s="2" t="s">
        <v>95</v>
      </c>
      <c r="J1139" s="3">
        <v>44162</v>
      </c>
      <c r="K1139" s="5">
        <f>YEAR(OrganizedData[[#This Row],[Order Date]])</f>
        <v>2020</v>
      </c>
      <c r="L1139" s="7" t="str">
        <f>TEXT(OrganizedData[[#This Row],[Order Date]],"mmm")</f>
        <v>Nov</v>
      </c>
      <c r="M1139" s="2">
        <v>46</v>
      </c>
      <c r="N1139" s="2" t="s">
        <v>80</v>
      </c>
      <c r="O1139" s="2" t="str">
        <f>VLOOKUP(OrganizedData[[#This Row],[Product Code]],ProductData[[Code]:[Item]],2,FALSE)</f>
        <v>Ultrathing V2</v>
      </c>
      <c r="P1139" s="4">
        <f>OrganizedData[[#This Row],[Quantity]]*VLOOKUP(OrganizedData[[#This Row],[Product Code]],ProductData[],4,FALSE)</f>
        <v>920</v>
      </c>
      <c r="Q1139" s="6">
        <f>OrganizedData[[#This Row],[Total Items Ordered]]*VLOOKUP(OrganizedData[[#This Row],[Product Code]],ProductData[],3,FALSE)</f>
        <v>2714</v>
      </c>
      <c r="R11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1140" spans="1:18" x14ac:dyDescent="0.3">
      <c r="A1140" s="2">
        <v>1133</v>
      </c>
      <c r="B1140" s="2" t="s">
        <v>1881</v>
      </c>
      <c r="C1140" s="2" t="s">
        <v>3719</v>
      </c>
      <c r="D1140" s="2" t="s">
        <v>28</v>
      </c>
      <c r="E1140" s="2" t="s">
        <v>29</v>
      </c>
      <c r="F1140" s="2">
        <v>30</v>
      </c>
      <c r="G1140" s="2" t="s">
        <v>3720</v>
      </c>
      <c r="H1140" s="2" t="s">
        <v>2212</v>
      </c>
      <c r="I1140" s="2" t="s">
        <v>32</v>
      </c>
      <c r="J1140" s="3">
        <v>44296</v>
      </c>
      <c r="K1140" s="5">
        <f>YEAR(OrganizedData[[#This Row],[Order Date]])</f>
        <v>2021</v>
      </c>
      <c r="L1140" s="7" t="str">
        <f>TEXT(OrganizedData[[#This Row],[Order Date]],"mmm")</f>
        <v>Apr</v>
      </c>
      <c r="M1140" s="2">
        <v>82</v>
      </c>
      <c r="N1140" s="2" t="s">
        <v>64</v>
      </c>
      <c r="O1140" s="2" t="str">
        <f>VLOOKUP(OrganizedData[[#This Row],[Product Code]],ProductData[[Code]:[Item]],2,FALSE)</f>
        <v>Ultrathing V4</v>
      </c>
      <c r="P1140" s="4">
        <f>OrganizedData[[#This Row],[Quantity]]*VLOOKUP(OrganizedData[[#This Row],[Product Code]],ProductData[],4,FALSE)</f>
        <v>1968</v>
      </c>
      <c r="Q1140" s="6">
        <f>OrganizedData[[#This Row],[Total Items Ordered]]*VLOOKUP(OrganizedData[[#This Row],[Product Code]],ProductData[],3,FALSE)</f>
        <v>7852.3200000000006</v>
      </c>
      <c r="R11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7459.7040000000006</v>
      </c>
    </row>
    <row r="1141" spans="1:18" x14ac:dyDescent="0.3">
      <c r="A1141" s="2">
        <v>1134</v>
      </c>
      <c r="B1141" s="2" t="s">
        <v>3721</v>
      </c>
      <c r="C1141" s="2" t="s">
        <v>3722</v>
      </c>
      <c r="D1141" s="2" t="s">
        <v>51</v>
      </c>
      <c r="E1141" s="2" t="s">
        <v>16</v>
      </c>
      <c r="F1141" s="2">
        <v>60</v>
      </c>
      <c r="G1141" s="2" t="s">
        <v>3723</v>
      </c>
      <c r="H1141" s="2" t="s">
        <v>3724</v>
      </c>
      <c r="I1141" s="2" t="s">
        <v>1078</v>
      </c>
      <c r="J1141" s="3">
        <v>44823</v>
      </c>
      <c r="K1141" s="5">
        <f>YEAR(OrganizedData[[#This Row],[Order Date]])</f>
        <v>2022</v>
      </c>
      <c r="L1141" s="7" t="str">
        <f>TEXT(OrganizedData[[#This Row],[Order Date]],"mmm")</f>
        <v>Sep</v>
      </c>
      <c r="M1141" s="2">
        <v>86</v>
      </c>
      <c r="N1141" s="2" t="s">
        <v>39</v>
      </c>
      <c r="O1141" s="2" t="str">
        <f>VLOOKUP(OrganizedData[[#This Row],[Product Code]],ProductData[[Code]:[Item]],2,FALSE)</f>
        <v>Ultrathing V1</v>
      </c>
      <c r="P1141" s="4">
        <f>OrganizedData[[#This Row],[Quantity]]*VLOOKUP(OrganizedData[[#This Row],[Product Code]],ProductData[],4,FALSE)</f>
        <v>1462</v>
      </c>
      <c r="Q1141" s="6">
        <f>OrganizedData[[#This Row],[Total Items Ordered]]*VLOOKUP(OrganizedData[[#This Row],[Product Code]],ProductData[],3,FALSE)</f>
        <v>2616.98</v>
      </c>
      <c r="R11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2486.1309999999999</v>
      </c>
    </row>
    <row r="1142" spans="1:18" x14ac:dyDescent="0.3">
      <c r="A1142" s="2">
        <v>1135</v>
      </c>
      <c r="B1142" s="2" t="s">
        <v>503</v>
      </c>
      <c r="C1142" s="2" t="s">
        <v>791</v>
      </c>
      <c r="D1142" s="2" t="s">
        <v>51</v>
      </c>
      <c r="E1142" s="2" t="s">
        <v>16</v>
      </c>
      <c r="F1142" s="2">
        <v>30</v>
      </c>
      <c r="G1142" s="2" t="s">
        <v>3725</v>
      </c>
      <c r="H1142" s="2" t="s">
        <v>2265</v>
      </c>
      <c r="I1142" s="2" t="s">
        <v>1083</v>
      </c>
      <c r="J1142" s="3">
        <v>44756</v>
      </c>
      <c r="K1142" s="5">
        <f>YEAR(OrganizedData[[#This Row],[Order Date]])</f>
        <v>2022</v>
      </c>
      <c r="L1142" s="7" t="str">
        <f>TEXT(OrganizedData[[#This Row],[Order Date]],"mmm")</f>
        <v>Jul</v>
      </c>
      <c r="M1142" s="2">
        <v>50</v>
      </c>
      <c r="N1142" s="2" t="s">
        <v>33</v>
      </c>
      <c r="O1142" s="2" t="str">
        <f>VLOOKUP(OrganizedData[[#This Row],[Product Code]],ProductData[[Code]:[Item]],2,FALSE)</f>
        <v>Megawidget L</v>
      </c>
      <c r="P1142" s="4">
        <f>OrganizedData[[#This Row],[Quantity]]*VLOOKUP(OrganizedData[[#This Row],[Product Code]],ProductData[],4,FALSE)</f>
        <v>1200</v>
      </c>
      <c r="Q1142" s="6">
        <f>OrganizedData[[#This Row],[Total Items Ordered]]*VLOOKUP(OrganizedData[[#This Row],[Product Code]],ProductData[],3,FALSE)</f>
        <v>2148</v>
      </c>
      <c r="R11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1143" spans="1:18" x14ac:dyDescent="0.3">
      <c r="A1143" s="2">
        <v>1136</v>
      </c>
      <c r="B1143" s="2" t="s">
        <v>3726</v>
      </c>
      <c r="C1143" s="2" t="s">
        <v>3727</v>
      </c>
      <c r="D1143" s="2" t="s">
        <v>15</v>
      </c>
      <c r="E1143" s="2" t="s">
        <v>16</v>
      </c>
      <c r="F1143" s="2">
        <v>90</v>
      </c>
      <c r="G1143" s="2" t="s">
        <v>3728</v>
      </c>
      <c r="H1143" s="2" t="s">
        <v>746</v>
      </c>
      <c r="I1143" s="2" t="s">
        <v>32</v>
      </c>
      <c r="J1143" s="3">
        <v>44609</v>
      </c>
      <c r="K1143" s="5">
        <f>YEAR(OrganizedData[[#This Row],[Order Date]])</f>
        <v>2022</v>
      </c>
      <c r="L1143" s="7" t="str">
        <f>TEXT(OrganizedData[[#This Row],[Order Date]],"mmm")</f>
        <v>Feb</v>
      </c>
      <c r="M1143" s="2">
        <v>29</v>
      </c>
      <c r="N1143" s="2" t="s">
        <v>20</v>
      </c>
      <c r="O1143" s="2" t="str">
        <f>VLOOKUP(OrganizedData[[#This Row],[Product Code]],ProductData[[Code]:[Item]],2,FALSE)</f>
        <v>Hyperwotsit</v>
      </c>
      <c r="P1143" s="4">
        <f>OrganizedData[[#This Row],[Quantity]]*VLOOKUP(OrganizedData[[#This Row],[Product Code]],ProductData[],4,FALSE)</f>
        <v>580</v>
      </c>
      <c r="Q1143" s="6">
        <f>OrganizedData[[#This Row],[Total Items Ordered]]*VLOOKUP(OrganizedData[[#This Row],[Product Code]],ProductData[],3,FALSE)</f>
        <v>1165.8</v>
      </c>
      <c r="R11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1144" spans="1:18" x14ac:dyDescent="0.3">
      <c r="A1144" s="2">
        <v>1137</v>
      </c>
      <c r="B1144" s="2" t="s">
        <v>504</v>
      </c>
      <c r="C1144" s="2" t="s">
        <v>1415</v>
      </c>
      <c r="D1144" s="2" t="s">
        <v>28</v>
      </c>
      <c r="E1144" s="2" t="s">
        <v>29</v>
      </c>
      <c r="F1144" s="2">
        <v>60</v>
      </c>
      <c r="G1144" s="2" t="s">
        <v>3729</v>
      </c>
      <c r="H1144" s="2" t="s">
        <v>3730</v>
      </c>
      <c r="I1144" s="2" t="s">
        <v>32</v>
      </c>
      <c r="J1144" s="3">
        <v>44432</v>
      </c>
      <c r="K1144" s="5">
        <f>YEAR(OrganizedData[[#This Row],[Order Date]])</f>
        <v>2021</v>
      </c>
      <c r="L1144" s="7" t="str">
        <f>TEXT(OrganizedData[[#This Row],[Order Date]],"mmm")</f>
        <v>Aug</v>
      </c>
      <c r="M1144" s="2">
        <v>18</v>
      </c>
      <c r="N1144" s="2" t="s">
        <v>101</v>
      </c>
      <c r="O1144" s="2" t="str">
        <f>VLOOKUP(OrganizedData[[#This Row],[Product Code]],ProductData[[Code]:[Item]],2,FALSE)</f>
        <v>Superwossname</v>
      </c>
      <c r="P1144" s="4">
        <f>OrganizedData[[#This Row],[Quantity]]*VLOOKUP(OrganizedData[[#This Row],[Product Code]],ProductData[],4,FALSE)</f>
        <v>360</v>
      </c>
      <c r="Q1144" s="6">
        <f>OrganizedData[[#This Row],[Total Items Ordered]]*VLOOKUP(OrganizedData[[#This Row],[Product Code]],ProductData[],3,FALSE)</f>
        <v>1256.4000000000001</v>
      </c>
      <c r="R11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1145" spans="1:18" x14ac:dyDescent="0.3">
      <c r="A1145" s="2">
        <v>1138</v>
      </c>
      <c r="B1145" s="2" t="s">
        <v>3731</v>
      </c>
      <c r="C1145" s="2" t="s">
        <v>3732</v>
      </c>
      <c r="D1145" s="2" t="s">
        <v>28</v>
      </c>
      <c r="E1145" s="2" t="s">
        <v>29</v>
      </c>
      <c r="F1145" s="2">
        <v>60</v>
      </c>
      <c r="G1145" s="2" t="s">
        <v>10426</v>
      </c>
      <c r="H1145" s="2" t="s">
        <v>2934</v>
      </c>
      <c r="I1145" s="2" t="s">
        <v>32</v>
      </c>
      <c r="J1145" s="3">
        <v>44265</v>
      </c>
      <c r="K1145" s="5">
        <f>YEAR(OrganizedData[[#This Row],[Order Date]])</f>
        <v>2021</v>
      </c>
      <c r="L1145" s="7" t="str">
        <f>TEXT(OrganizedData[[#This Row],[Order Date]],"mmm")</f>
        <v>Mar</v>
      </c>
      <c r="M1145" s="2">
        <v>59</v>
      </c>
      <c r="N1145" s="2" t="s">
        <v>70</v>
      </c>
      <c r="O1145" s="2" t="str">
        <f>VLOOKUP(OrganizedData[[#This Row],[Product Code]],ProductData[[Code]:[Item]],2,FALSE)</f>
        <v>Megawidget M</v>
      </c>
      <c r="P1145" s="4">
        <f>OrganizedData[[#This Row],[Quantity]]*VLOOKUP(OrganizedData[[#This Row],[Product Code]],ProductData[],4,FALSE)</f>
        <v>1416</v>
      </c>
      <c r="Q1145" s="6">
        <f>OrganizedData[[#This Row],[Total Items Ordered]]*VLOOKUP(OrganizedData[[#This Row],[Product Code]],ProductData[],3,FALSE)</f>
        <v>1826.64</v>
      </c>
      <c r="R11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1146" spans="1:18" x14ac:dyDescent="0.3">
      <c r="A1146" s="2">
        <v>1139</v>
      </c>
      <c r="B1146" s="2" t="s">
        <v>994</v>
      </c>
      <c r="C1146" s="2" t="s">
        <v>2269</v>
      </c>
      <c r="D1146" s="2" t="s">
        <v>28</v>
      </c>
      <c r="E1146" s="2" t="s">
        <v>29</v>
      </c>
      <c r="F1146" s="2">
        <v>60</v>
      </c>
      <c r="G1146" s="2" t="s">
        <v>3734</v>
      </c>
      <c r="H1146" s="2" t="s">
        <v>1156</v>
      </c>
      <c r="I1146" s="2" t="s">
        <v>1157</v>
      </c>
      <c r="J1146" s="3">
        <v>44094</v>
      </c>
      <c r="K1146" s="5">
        <f>YEAR(OrganizedData[[#This Row],[Order Date]])</f>
        <v>2020</v>
      </c>
      <c r="L1146" s="7" t="str">
        <f>TEXT(OrganizedData[[#This Row],[Order Date]],"mmm")</f>
        <v>Sep</v>
      </c>
      <c r="M1146" s="2">
        <v>23</v>
      </c>
      <c r="N1146" s="2" t="s">
        <v>45</v>
      </c>
      <c r="O1146" s="2" t="str">
        <f>VLOOKUP(OrganizedData[[#This Row],[Product Code]],ProductData[[Code]:[Item]],2,FALSE)</f>
        <v>Gigastuff</v>
      </c>
      <c r="P1146" s="4">
        <f>OrganizedData[[#This Row],[Quantity]]*VLOOKUP(OrganizedData[[#This Row],[Product Code]],ProductData[],4,FALSE)</f>
        <v>414</v>
      </c>
      <c r="Q1146" s="6">
        <f>OrganizedData[[#This Row],[Total Items Ordered]]*VLOOKUP(OrganizedData[[#This Row],[Product Code]],ProductData[],3,FALSE)</f>
        <v>782.45999999999992</v>
      </c>
      <c r="R11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758.98619999999994</v>
      </c>
    </row>
    <row r="1147" spans="1:18" x14ac:dyDescent="0.3">
      <c r="A1147" s="2">
        <v>1140</v>
      </c>
      <c r="B1147" s="2" t="s">
        <v>1970</v>
      </c>
      <c r="C1147" s="2" t="s">
        <v>3735</v>
      </c>
      <c r="D1147" s="2" t="s">
        <v>51</v>
      </c>
      <c r="E1147" s="2" t="s">
        <v>16</v>
      </c>
      <c r="F1147" s="2">
        <v>30</v>
      </c>
      <c r="G1147" s="2" t="s">
        <v>3736</v>
      </c>
      <c r="H1147" s="2" t="s">
        <v>2678</v>
      </c>
      <c r="I1147" s="2" t="s">
        <v>32</v>
      </c>
      <c r="J1147" s="3">
        <v>44792</v>
      </c>
      <c r="K1147" s="5">
        <f>YEAR(OrganizedData[[#This Row],[Order Date]])</f>
        <v>2022</v>
      </c>
      <c r="L1147" s="7" t="str">
        <f>TEXT(OrganizedData[[#This Row],[Order Date]],"mmm")</f>
        <v>Aug</v>
      </c>
      <c r="M1147" s="2">
        <v>3</v>
      </c>
      <c r="N1147" s="2" t="s">
        <v>20</v>
      </c>
      <c r="O1147" s="2" t="str">
        <f>VLOOKUP(OrganizedData[[#This Row],[Product Code]],ProductData[[Code]:[Item]],2,FALSE)</f>
        <v>Hyperwotsit</v>
      </c>
      <c r="P1147" s="4">
        <f>OrganizedData[[#This Row],[Quantity]]*VLOOKUP(OrganizedData[[#This Row],[Product Code]],ProductData[],4,FALSE)</f>
        <v>60</v>
      </c>
      <c r="Q1147" s="6">
        <f>OrganizedData[[#This Row],[Total Items Ordered]]*VLOOKUP(OrganizedData[[#This Row],[Product Code]],ProductData[],3,FALSE)</f>
        <v>120.6</v>
      </c>
      <c r="R11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120.6</v>
      </c>
    </row>
    <row r="1148" spans="1:18" x14ac:dyDescent="0.3">
      <c r="A1148" s="2">
        <v>1141</v>
      </c>
      <c r="B1148" s="2" t="s">
        <v>3737</v>
      </c>
      <c r="C1148" s="2" t="s">
        <v>3738</v>
      </c>
      <c r="D1148" s="2" t="s">
        <v>15</v>
      </c>
      <c r="E1148" s="2" t="s">
        <v>16</v>
      </c>
      <c r="F1148" s="2">
        <v>30</v>
      </c>
      <c r="G1148" s="2" t="s">
        <v>3739</v>
      </c>
      <c r="H1148" s="2" t="s">
        <v>1590</v>
      </c>
      <c r="I1148" s="2" t="s">
        <v>32</v>
      </c>
      <c r="J1148" s="3">
        <v>44141</v>
      </c>
      <c r="K1148" s="5">
        <f>YEAR(OrganizedData[[#This Row],[Order Date]])</f>
        <v>2020</v>
      </c>
      <c r="L1148" s="7" t="str">
        <f>TEXT(OrganizedData[[#This Row],[Order Date]],"mmm")</f>
        <v>Nov</v>
      </c>
      <c r="M1148" s="2">
        <v>34</v>
      </c>
      <c r="N1148" s="2" t="s">
        <v>70</v>
      </c>
      <c r="O1148" s="2" t="str">
        <f>VLOOKUP(OrganizedData[[#This Row],[Product Code]],ProductData[[Code]:[Item]],2,FALSE)</f>
        <v>Megawidget M</v>
      </c>
      <c r="P1148" s="4">
        <f>OrganizedData[[#This Row],[Quantity]]*VLOOKUP(OrganizedData[[#This Row],[Product Code]],ProductData[],4,FALSE)</f>
        <v>816</v>
      </c>
      <c r="Q1148" s="6">
        <f>OrganizedData[[#This Row],[Total Items Ordered]]*VLOOKUP(OrganizedData[[#This Row],[Product Code]],ProductData[],3,FALSE)</f>
        <v>1052.6400000000001</v>
      </c>
      <c r="R11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1021.0608000000001</v>
      </c>
    </row>
    <row r="1149" spans="1:18" x14ac:dyDescent="0.3">
      <c r="A1149" s="2">
        <v>1142</v>
      </c>
      <c r="B1149" s="2" t="s">
        <v>3740</v>
      </c>
      <c r="C1149" s="2" t="s">
        <v>2028</v>
      </c>
      <c r="D1149" s="2" t="s">
        <v>15</v>
      </c>
      <c r="E1149" s="2" t="s">
        <v>16</v>
      </c>
      <c r="F1149" s="2">
        <v>60</v>
      </c>
      <c r="G1149" s="2" t="s">
        <v>3741</v>
      </c>
      <c r="H1149" s="2" t="s">
        <v>1056</v>
      </c>
      <c r="I1149" s="2" t="s">
        <v>129</v>
      </c>
      <c r="J1149" s="3">
        <v>44632</v>
      </c>
      <c r="K1149" s="5">
        <f>YEAR(OrganizedData[[#This Row],[Order Date]])</f>
        <v>2022</v>
      </c>
      <c r="L1149" s="7" t="str">
        <f>TEXT(OrganizedData[[#This Row],[Order Date]],"mmm")</f>
        <v>Mar</v>
      </c>
      <c r="M1149" s="2">
        <v>98</v>
      </c>
      <c r="N1149" s="2" t="s">
        <v>159</v>
      </c>
      <c r="O1149" s="2" t="str">
        <f>VLOOKUP(OrganizedData[[#This Row],[Product Code]],ProductData[[Code]:[Item]],2,FALSE)</f>
        <v>Ultrathing V3</v>
      </c>
      <c r="P1149" s="4">
        <f>OrganizedData[[#This Row],[Quantity]]*VLOOKUP(OrganizedData[[#This Row],[Product Code]],ProductData[],4,FALSE)</f>
        <v>2352</v>
      </c>
      <c r="Q1149" s="6">
        <f>OrganizedData[[#This Row],[Total Items Ordered]]*VLOOKUP(OrganizedData[[#This Row],[Product Code]],ProductData[],3,FALSE)</f>
        <v>7973.2800000000007</v>
      </c>
      <c r="R11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7574.616</v>
      </c>
    </row>
    <row r="1150" spans="1:18" x14ac:dyDescent="0.3">
      <c r="A1150" s="2">
        <v>1143</v>
      </c>
      <c r="B1150" s="2" t="s">
        <v>3742</v>
      </c>
      <c r="C1150" s="2" t="s">
        <v>1204</v>
      </c>
      <c r="D1150" s="2" t="s">
        <v>28</v>
      </c>
      <c r="E1150" s="2" t="s">
        <v>29</v>
      </c>
      <c r="F1150" s="2">
        <v>30</v>
      </c>
      <c r="G1150" s="2" t="s">
        <v>3743</v>
      </c>
      <c r="H1150" s="2" t="s">
        <v>2199</v>
      </c>
      <c r="I1150" s="2" t="s">
        <v>32</v>
      </c>
      <c r="J1150" s="3">
        <v>44030</v>
      </c>
      <c r="K1150" s="5">
        <f>YEAR(OrganizedData[[#This Row],[Order Date]])</f>
        <v>2020</v>
      </c>
      <c r="L1150" s="7" t="str">
        <f>TEXT(OrganizedData[[#This Row],[Order Date]],"mmm")</f>
        <v>Jul</v>
      </c>
      <c r="M1150" s="2">
        <v>51</v>
      </c>
      <c r="N1150" s="2" t="s">
        <v>33</v>
      </c>
      <c r="O1150" s="2" t="str">
        <f>VLOOKUP(OrganizedData[[#This Row],[Product Code]],ProductData[[Code]:[Item]],2,FALSE)</f>
        <v>Megawidget L</v>
      </c>
      <c r="P1150" s="4">
        <f>OrganizedData[[#This Row],[Quantity]]*VLOOKUP(OrganizedData[[#This Row],[Product Code]],ProductData[],4,FALSE)</f>
        <v>1224</v>
      </c>
      <c r="Q1150" s="6">
        <f>OrganizedData[[#This Row],[Total Items Ordered]]*VLOOKUP(OrganizedData[[#This Row],[Product Code]],ProductData[],3,FALSE)</f>
        <v>2190.96</v>
      </c>
      <c r="R11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1151" spans="1:18" x14ac:dyDescent="0.3">
      <c r="A1151" s="2">
        <v>1144</v>
      </c>
      <c r="B1151" s="2" t="s">
        <v>1058</v>
      </c>
      <c r="C1151" s="2" t="s">
        <v>3744</v>
      </c>
      <c r="D1151" s="2" t="s">
        <v>28</v>
      </c>
      <c r="E1151" s="2" t="s">
        <v>29</v>
      </c>
      <c r="F1151" s="2">
        <v>60</v>
      </c>
      <c r="G1151" s="2" t="s">
        <v>3745</v>
      </c>
      <c r="H1151" s="2" t="s">
        <v>3746</v>
      </c>
      <c r="I1151" s="2" t="s">
        <v>32</v>
      </c>
      <c r="J1151" s="3">
        <v>44575</v>
      </c>
      <c r="K1151" s="5">
        <f>YEAR(OrganizedData[[#This Row],[Order Date]])</f>
        <v>2022</v>
      </c>
      <c r="L1151" s="7" t="str">
        <f>TEXT(OrganizedData[[#This Row],[Order Date]],"mmm")</f>
        <v>Jan</v>
      </c>
      <c r="M1151" s="2">
        <v>83</v>
      </c>
      <c r="N1151" s="2" t="s">
        <v>64</v>
      </c>
      <c r="O1151" s="2" t="str">
        <f>VLOOKUP(OrganizedData[[#This Row],[Product Code]],ProductData[[Code]:[Item]],2,FALSE)</f>
        <v>Ultrathing V4</v>
      </c>
      <c r="P1151" s="4">
        <f>OrganizedData[[#This Row],[Quantity]]*VLOOKUP(OrganizedData[[#This Row],[Product Code]],ProductData[],4,FALSE)</f>
        <v>1992</v>
      </c>
      <c r="Q1151" s="6">
        <f>OrganizedData[[#This Row],[Total Items Ordered]]*VLOOKUP(OrganizedData[[#This Row],[Product Code]],ProductData[],3,FALSE)</f>
        <v>7948.0800000000008</v>
      </c>
      <c r="R11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1152" spans="1:18" x14ac:dyDescent="0.3">
      <c r="A1152" s="2">
        <v>1145</v>
      </c>
      <c r="B1152" s="2" t="s">
        <v>3747</v>
      </c>
      <c r="C1152" s="2" t="s">
        <v>3748</v>
      </c>
      <c r="D1152" s="2" t="s">
        <v>15</v>
      </c>
      <c r="E1152" s="2" t="s">
        <v>16</v>
      </c>
      <c r="F1152" s="2">
        <v>30</v>
      </c>
      <c r="G1152" s="2" t="s">
        <v>3745</v>
      </c>
      <c r="H1152" s="2" t="s">
        <v>868</v>
      </c>
      <c r="I1152" s="2" t="s">
        <v>32</v>
      </c>
      <c r="J1152" s="3">
        <v>44573</v>
      </c>
      <c r="K1152" s="5">
        <f>YEAR(OrganizedData[[#This Row],[Order Date]])</f>
        <v>2022</v>
      </c>
      <c r="L1152" s="7" t="str">
        <f>TEXT(OrganizedData[[#This Row],[Order Date]],"mmm")</f>
        <v>Jan</v>
      </c>
      <c r="M1152" s="2">
        <v>71</v>
      </c>
      <c r="N1152" s="2" t="s">
        <v>64</v>
      </c>
      <c r="O1152" s="2" t="str">
        <f>VLOOKUP(OrganizedData[[#This Row],[Product Code]],ProductData[[Code]:[Item]],2,FALSE)</f>
        <v>Ultrathing V4</v>
      </c>
      <c r="P1152" s="4">
        <f>OrganizedData[[#This Row],[Quantity]]*VLOOKUP(OrganizedData[[#This Row],[Product Code]],ProductData[],4,FALSE)</f>
        <v>1704</v>
      </c>
      <c r="Q1152" s="6">
        <f>OrganizedData[[#This Row],[Total Items Ordered]]*VLOOKUP(OrganizedData[[#This Row],[Product Code]],ProductData[],3,FALSE)</f>
        <v>6798.96</v>
      </c>
      <c r="R11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1153" spans="1:18" x14ac:dyDescent="0.3">
      <c r="A1153" s="2">
        <v>1146</v>
      </c>
      <c r="B1153" s="2" t="s">
        <v>3749</v>
      </c>
      <c r="C1153" s="2" t="s">
        <v>3750</v>
      </c>
      <c r="D1153" s="2" t="s">
        <v>15</v>
      </c>
      <c r="E1153" s="2" t="s">
        <v>16</v>
      </c>
      <c r="F1153" s="2">
        <v>90</v>
      </c>
      <c r="G1153" s="2" t="s">
        <v>3751</v>
      </c>
      <c r="H1153" s="2" t="s">
        <v>1804</v>
      </c>
      <c r="I1153" s="2" t="s">
        <v>32</v>
      </c>
      <c r="J1153" s="3">
        <v>44612</v>
      </c>
      <c r="K1153" s="5">
        <f>YEAR(OrganizedData[[#This Row],[Order Date]])</f>
        <v>2022</v>
      </c>
      <c r="L1153" s="7" t="str">
        <f>TEXT(OrganizedData[[#This Row],[Order Date]],"mmm")</f>
        <v>Feb</v>
      </c>
      <c r="M1153" s="2">
        <v>81</v>
      </c>
      <c r="N1153" s="2" t="s">
        <v>20</v>
      </c>
      <c r="O1153" s="2" t="str">
        <f>VLOOKUP(OrganizedData[[#This Row],[Product Code]],ProductData[[Code]:[Item]],2,FALSE)</f>
        <v>Hyperwotsit</v>
      </c>
      <c r="P1153" s="4">
        <f>OrganizedData[[#This Row],[Quantity]]*VLOOKUP(OrganizedData[[#This Row],[Product Code]],ProductData[],4,FALSE)</f>
        <v>1620</v>
      </c>
      <c r="Q1153" s="6">
        <f>OrganizedData[[#This Row],[Total Items Ordered]]*VLOOKUP(OrganizedData[[#This Row],[Product Code]],ProductData[],3,FALSE)</f>
        <v>3256.2</v>
      </c>
      <c r="R11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1154" spans="1:18" x14ac:dyDescent="0.3">
      <c r="A1154" s="2">
        <v>1147</v>
      </c>
      <c r="B1154" s="2" t="s">
        <v>922</v>
      </c>
      <c r="C1154" s="2" t="s">
        <v>2941</v>
      </c>
      <c r="D1154" s="2" t="s">
        <v>28</v>
      </c>
      <c r="E1154" s="2" t="s">
        <v>29</v>
      </c>
      <c r="F1154" s="2">
        <v>30</v>
      </c>
      <c r="G1154" s="2" t="s">
        <v>3752</v>
      </c>
      <c r="H1154" s="2" t="s">
        <v>2311</v>
      </c>
      <c r="I1154" s="2" t="s">
        <v>32</v>
      </c>
      <c r="J1154" s="3">
        <v>43860</v>
      </c>
      <c r="K1154" s="5">
        <f>YEAR(OrganizedData[[#This Row],[Order Date]])</f>
        <v>2020</v>
      </c>
      <c r="L1154" s="7" t="str">
        <f>TEXT(OrganizedData[[#This Row],[Order Date]],"mmm")</f>
        <v>Jan</v>
      </c>
      <c r="M1154" s="2">
        <v>47</v>
      </c>
      <c r="N1154" s="2" t="s">
        <v>39</v>
      </c>
      <c r="O1154" s="2" t="str">
        <f>VLOOKUP(OrganizedData[[#This Row],[Product Code]],ProductData[[Code]:[Item]],2,FALSE)</f>
        <v>Ultrathing V1</v>
      </c>
      <c r="P1154" s="4">
        <f>OrganizedData[[#This Row],[Quantity]]*VLOOKUP(OrganizedData[[#This Row],[Product Code]],ProductData[],4,FALSE)</f>
        <v>799</v>
      </c>
      <c r="Q1154" s="6">
        <f>OrganizedData[[#This Row],[Total Items Ordered]]*VLOOKUP(OrganizedData[[#This Row],[Product Code]],ProductData[],3,FALSE)</f>
        <v>1430.21</v>
      </c>
      <c r="R11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1387.3036999999999</v>
      </c>
    </row>
    <row r="1155" spans="1:18" x14ac:dyDescent="0.3">
      <c r="A1155" s="2">
        <v>1148</v>
      </c>
      <c r="B1155" s="2" t="s">
        <v>1065</v>
      </c>
      <c r="C1155" s="2" t="s">
        <v>2203</v>
      </c>
      <c r="D1155" s="2" t="s">
        <v>28</v>
      </c>
      <c r="E1155" s="2" t="s">
        <v>29</v>
      </c>
      <c r="F1155" s="2">
        <v>60</v>
      </c>
      <c r="G1155" s="2" t="s">
        <v>3753</v>
      </c>
      <c r="H1155" s="2" t="s">
        <v>3754</v>
      </c>
      <c r="I1155" s="2" t="s">
        <v>124</v>
      </c>
      <c r="J1155" s="3">
        <v>43866</v>
      </c>
      <c r="K1155" s="5">
        <f>YEAR(OrganizedData[[#This Row],[Order Date]])</f>
        <v>2020</v>
      </c>
      <c r="L1155" s="7" t="str">
        <f>TEXT(OrganizedData[[#This Row],[Order Date]],"mmm")</f>
        <v>Feb</v>
      </c>
      <c r="M1155" s="2">
        <v>14</v>
      </c>
      <c r="N1155" s="2" t="s">
        <v>80</v>
      </c>
      <c r="O1155" s="2" t="str">
        <f>VLOOKUP(OrganizedData[[#This Row],[Product Code]],ProductData[[Code]:[Item]],2,FALSE)</f>
        <v>Ultrathing V2</v>
      </c>
      <c r="P1155" s="4">
        <f>OrganizedData[[#This Row],[Quantity]]*VLOOKUP(OrganizedData[[#This Row],[Product Code]],ProductData[],4,FALSE)</f>
        <v>280</v>
      </c>
      <c r="Q1155" s="6">
        <f>OrganizedData[[#This Row],[Total Items Ordered]]*VLOOKUP(OrganizedData[[#This Row],[Product Code]],ProductData[],3,FALSE)</f>
        <v>826</v>
      </c>
      <c r="R11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v>
      </c>
    </row>
    <row r="1156" spans="1:18" x14ac:dyDescent="0.3">
      <c r="A1156" s="2">
        <v>1149</v>
      </c>
      <c r="B1156" s="2" t="s">
        <v>1030</v>
      </c>
      <c r="C1156" s="2" t="s">
        <v>2683</v>
      </c>
      <c r="D1156" s="2" t="s">
        <v>28</v>
      </c>
      <c r="E1156" s="2" t="s">
        <v>29</v>
      </c>
      <c r="F1156" s="2">
        <v>90</v>
      </c>
      <c r="G1156" s="2" t="s">
        <v>3755</v>
      </c>
      <c r="H1156" s="2" t="s">
        <v>3756</v>
      </c>
      <c r="I1156" s="2" t="s">
        <v>178</v>
      </c>
      <c r="J1156" s="3">
        <v>44003</v>
      </c>
      <c r="K1156" s="5">
        <f>YEAR(OrganizedData[[#This Row],[Order Date]])</f>
        <v>2020</v>
      </c>
      <c r="L1156" s="7" t="str">
        <f>TEXT(OrganizedData[[#This Row],[Order Date]],"mmm")</f>
        <v>Jun</v>
      </c>
      <c r="M1156" s="2">
        <v>14</v>
      </c>
      <c r="N1156" s="2" t="s">
        <v>33</v>
      </c>
      <c r="O1156" s="2" t="str">
        <f>VLOOKUP(OrganizedData[[#This Row],[Product Code]],ProductData[[Code]:[Item]],2,FALSE)</f>
        <v>Megawidget L</v>
      </c>
      <c r="P1156" s="4">
        <f>OrganizedData[[#This Row],[Quantity]]*VLOOKUP(OrganizedData[[#This Row],[Product Code]],ProductData[],4,FALSE)</f>
        <v>336</v>
      </c>
      <c r="Q1156" s="6">
        <f>OrganizedData[[#This Row],[Total Items Ordered]]*VLOOKUP(OrganizedData[[#This Row],[Product Code]],ProductData[],3,FALSE)</f>
        <v>601.44000000000005</v>
      </c>
      <c r="R11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601.44000000000005</v>
      </c>
    </row>
    <row r="1157" spans="1:18" x14ac:dyDescent="0.3">
      <c r="A1157" s="2">
        <v>1150</v>
      </c>
      <c r="B1157" s="2" t="s">
        <v>3757</v>
      </c>
      <c r="C1157" s="2" t="s">
        <v>1116</v>
      </c>
      <c r="D1157" s="2" t="s">
        <v>15</v>
      </c>
      <c r="E1157" s="2" t="s">
        <v>16</v>
      </c>
      <c r="F1157" s="2">
        <v>90</v>
      </c>
      <c r="G1157" s="2" t="s">
        <v>3758</v>
      </c>
      <c r="H1157" s="2" t="s">
        <v>3759</v>
      </c>
      <c r="I1157" s="2" t="s">
        <v>3760</v>
      </c>
      <c r="J1157" s="3">
        <v>44839</v>
      </c>
      <c r="K1157" s="5">
        <f>YEAR(OrganizedData[[#This Row],[Order Date]])</f>
        <v>2022</v>
      </c>
      <c r="L1157" s="7" t="str">
        <f>TEXT(OrganizedData[[#This Row],[Order Date]],"mmm")</f>
        <v>Oct</v>
      </c>
      <c r="M1157" s="2">
        <v>30</v>
      </c>
      <c r="N1157" s="2" t="s">
        <v>39</v>
      </c>
      <c r="O1157" s="2" t="str">
        <f>VLOOKUP(OrganizedData[[#This Row],[Product Code]],ProductData[[Code]:[Item]],2,FALSE)</f>
        <v>Ultrathing V1</v>
      </c>
      <c r="P1157" s="4">
        <f>OrganizedData[[#This Row],[Quantity]]*VLOOKUP(OrganizedData[[#This Row],[Product Code]],ProductData[],4,FALSE)</f>
        <v>510</v>
      </c>
      <c r="Q1157" s="6">
        <f>OrganizedData[[#This Row],[Total Items Ordered]]*VLOOKUP(OrganizedData[[#This Row],[Product Code]],ProductData[],3,FALSE)</f>
        <v>912.9</v>
      </c>
      <c r="R11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1158" spans="1:18" x14ac:dyDescent="0.3">
      <c r="A1158" s="2">
        <v>1151</v>
      </c>
      <c r="B1158" s="2" t="s">
        <v>3761</v>
      </c>
      <c r="C1158" s="2" t="s">
        <v>3314</v>
      </c>
      <c r="D1158" s="2" t="s">
        <v>15</v>
      </c>
      <c r="E1158" s="2" t="s">
        <v>16</v>
      </c>
      <c r="F1158" s="2">
        <v>90</v>
      </c>
      <c r="G1158" s="2" t="s">
        <v>3762</v>
      </c>
      <c r="H1158" s="2" t="s">
        <v>985</v>
      </c>
      <c r="I1158" s="2" t="s">
        <v>38</v>
      </c>
      <c r="J1158" s="3">
        <v>44709</v>
      </c>
      <c r="K1158" s="5">
        <f>YEAR(OrganizedData[[#This Row],[Order Date]])</f>
        <v>2022</v>
      </c>
      <c r="L1158" s="7" t="str">
        <f>TEXT(OrganizedData[[#This Row],[Order Date]],"mmm")</f>
        <v>May</v>
      </c>
      <c r="M1158" s="2">
        <v>99</v>
      </c>
      <c r="N1158" s="2" t="s">
        <v>20</v>
      </c>
      <c r="O1158" s="2" t="str">
        <f>VLOOKUP(OrganizedData[[#This Row],[Product Code]],ProductData[[Code]:[Item]],2,FALSE)</f>
        <v>Hyperwotsit</v>
      </c>
      <c r="P1158" s="4">
        <f>OrganizedData[[#This Row],[Quantity]]*VLOOKUP(OrganizedData[[#This Row],[Product Code]],ProductData[],4,FALSE)</f>
        <v>1980</v>
      </c>
      <c r="Q1158" s="6">
        <f>OrganizedData[[#This Row],[Total Items Ordered]]*VLOOKUP(OrganizedData[[#This Row],[Product Code]],ProductData[],3,FALSE)</f>
        <v>3979.7999999999997</v>
      </c>
      <c r="R11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3780.8099999999995</v>
      </c>
    </row>
    <row r="1159" spans="1:18" x14ac:dyDescent="0.3">
      <c r="A1159" s="2">
        <v>1152</v>
      </c>
      <c r="B1159" s="2" t="s">
        <v>592</v>
      </c>
      <c r="C1159" s="2" t="s">
        <v>3763</v>
      </c>
      <c r="D1159" s="2" t="s">
        <v>28</v>
      </c>
      <c r="E1159" s="2" t="s">
        <v>29</v>
      </c>
      <c r="F1159" s="2">
        <v>60</v>
      </c>
      <c r="G1159" s="2" t="s">
        <v>3762</v>
      </c>
      <c r="H1159" s="2" t="s">
        <v>3764</v>
      </c>
      <c r="I1159" s="2" t="s">
        <v>32</v>
      </c>
      <c r="J1159" s="3">
        <v>44222</v>
      </c>
      <c r="K1159" s="5">
        <f>YEAR(OrganizedData[[#This Row],[Order Date]])</f>
        <v>2021</v>
      </c>
      <c r="L1159" s="7" t="str">
        <f>TEXT(OrganizedData[[#This Row],[Order Date]],"mmm")</f>
        <v>Jan</v>
      </c>
      <c r="M1159" s="2">
        <v>19</v>
      </c>
      <c r="N1159" s="2" t="s">
        <v>20</v>
      </c>
      <c r="O1159" s="2" t="str">
        <f>VLOOKUP(OrganizedData[[#This Row],[Product Code]],ProductData[[Code]:[Item]],2,FALSE)</f>
        <v>Hyperwotsit</v>
      </c>
      <c r="P1159" s="4">
        <f>OrganizedData[[#This Row],[Quantity]]*VLOOKUP(OrganizedData[[#This Row],[Product Code]],ProductData[],4,FALSE)</f>
        <v>380</v>
      </c>
      <c r="Q1159" s="6">
        <f>OrganizedData[[#This Row],[Total Items Ordered]]*VLOOKUP(OrganizedData[[#This Row],[Product Code]],ProductData[],3,FALSE)</f>
        <v>763.8</v>
      </c>
      <c r="R11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1160" spans="1:18" x14ac:dyDescent="0.3">
      <c r="A1160" s="2">
        <v>1153</v>
      </c>
      <c r="B1160" s="2" t="s">
        <v>3765</v>
      </c>
      <c r="C1160" s="2" t="s">
        <v>3354</v>
      </c>
      <c r="D1160" s="2" t="s">
        <v>51</v>
      </c>
      <c r="E1160" s="2" t="s">
        <v>16</v>
      </c>
      <c r="F1160" s="2">
        <v>30</v>
      </c>
      <c r="G1160" s="2" t="s">
        <v>3766</v>
      </c>
      <c r="H1160" s="2" t="s">
        <v>938</v>
      </c>
      <c r="I1160" s="2" t="s">
        <v>25</v>
      </c>
      <c r="J1160" s="3">
        <v>44106</v>
      </c>
      <c r="K1160" s="5">
        <f>YEAR(OrganizedData[[#This Row],[Order Date]])</f>
        <v>2020</v>
      </c>
      <c r="L1160" s="7" t="str">
        <f>TEXT(OrganizedData[[#This Row],[Order Date]],"mmm")</f>
        <v>Oct</v>
      </c>
      <c r="M1160" s="2">
        <v>68</v>
      </c>
      <c r="N1160" s="2" t="s">
        <v>39</v>
      </c>
      <c r="O1160" s="2" t="str">
        <f>VLOOKUP(OrganizedData[[#This Row],[Product Code]],ProductData[[Code]:[Item]],2,FALSE)</f>
        <v>Ultrathing V1</v>
      </c>
      <c r="P1160" s="4">
        <f>OrganizedData[[#This Row],[Quantity]]*VLOOKUP(OrganizedData[[#This Row],[Product Code]],ProductData[],4,FALSE)</f>
        <v>1156</v>
      </c>
      <c r="Q1160" s="6">
        <f>OrganizedData[[#This Row],[Total Items Ordered]]*VLOOKUP(OrganizedData[[#This Row],[Product Code]],ProductData[],3,FALSE)</f>
        <v>2069.2400000000002</v>
      </c>
      <c r="R11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1161" spans="1:18" x14ac:dyDescent="0.3">
      <c r="A1161" s="2">
        <v>1154</v>
      </c>
      <c r="B1161" s="2" t="s">
        <v>1403</v>
      </c>
      <c r="C1161" s="2" t="s">
        <v>3767</v>
      </c>
      <c r="D1161" s="2" t="s">
        <v>621</v>
      </c>
      <c r="E1161" s="2" t="s">
        <v>29</v>
      </c>
      <c r="F1161" s="2">
        <v>90</v>
      </c>
      <c r="G1161" s="2" t="s">
        <v>3768</v>
      </c>
      <c r="H1161" s="2" t="s">
        <v>1206</v>
      </c>
      <c r="I1161" s="2" t="s">
        <v>294</v>
      </c>
      <c r="J1161" s="3">
        <v>44459</v>
      </c>
      <c r="K1161" s="5">
        <f>YEAR(OrganizedData[[#This Row],[Order Date]])</f>
        <v>2021</v>
      </c>
      <c r="L1161" s="7" t="str">
        <f>TEXT(OrganizedData[[#This Row],[Order Date]],"mmm")</f>
        <v>Sep</v>
      </c>
      <c r="M1161" s="2">
        <v>40</v>
      </c>
      <c r="N1161" s="2" t="s">
        <v>64</v>
      </c>
      <c r="O1161" s="2" t="str">
        <f>VLOOKUP(OrganizedData[[#This Row],[Product Code]],ProductData[[Code]:[Item]],2,FALSE)</f>
        <v>Ultrathing V4</v>
      </c>
      <c r="P1161" s="4">
        <f>OrganizedData[[#This Row],[Quantity]]*VLOOKUP(OrganizedData[[#This Row],[Product Code]],ProductData[],4,FALSE)</f>
        <v>960</v>
      </c>
      <c r="Q1161" s="6">
        <f>OrganizedData[[#This Row],[Total Items Ordered]]*VLOOKUP(OrganizedData[[#This Row],[Product Code]],ProductData[],3,FALSE)</f>
        <v>3830.4</v>
      </c>
      <c r="R11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3715.4879999999998</v>
      </c>
    </row>
    <row r="1162" spans="1:18" x14ac:dyDescent="0.3">
      <c r="A1162" s="2">
        <v>1155</v>
      </c>
      <c r="B1162" s="2" t="s">
        <v>1985</v>
      </c>
      <c r="C1162" s="2" t="s">
        <v>3447</v>
      </c>
      <c r="D1162" s="2" t="s">
        <v>28</v>
      </c>
      <c r="E1162" s="2" t="s">
        <v>29</v>
      </c>
      <c r="F1162" s="2">
        <v>30</v>
      </c>
      <c r="G1162" s="2" t="s">
        <v>3769</v>
      </c>
      <c r="H1162" s="2" t="s">
        <v>3770</v>
      </c>
      <c r="I1162" s="2" t="s">
        <v>32</v>
      </c>
      <c r="J1162" s="3">
        <v>43839</v>
      </c>
      <c r="K1162" s="5">
        <f>YEAR(OrganizedData[[#This Row],[Order Date]])</f>
        <v>2020</v>
      </c>
      <c r="L1162" s="7" t="str">
        <f>TEXT(OrganizedData[[#This Row],[Order Date]],"mmm")</f>
        <v>Jan</v>
      </c>
      <c r="M1162" s="2">
        <v>18</v>
      </c>
      <c r="N1162" s="2" t="s">
        <v>80</v>
      </c>
      <c r="O1162" s="2" t="str">
        <f>VLOOKUP(OrganizedData[[#This Row],[Product Code]],ProductData[[Code]:[Item]],2,FALSE)</f>
        <v>Ultrathing V2</v>
      </c>
      <c r="P1162" s="4">
        <f>OrganizedData[[#This Row],[Quantity]]*VLOOKUP(OrganizedData[[#This Row],[Product Code]],ProductData[],4,FALSE)</f>
        <v>360</v>
      </c>
      <c r="Q1162" s="6">
        <f>OrganizedData[[#This Row],[Total Items Ordered]]*VLOOKUP(OrganizedData[[#This Row],[Product Code]],ProductData[],3,FALSE)</f>
        <v>1062</v>
      </c>
      <c r="R11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v>
      </c>
    </row>
    <row r="1163" spans="1:18" x14ac:dyDescent="0.3">
      <c r="A1163" s="2">
        <v>1156</v>
      </c>
      <c r="B1163" s="2" t="s">
        <v>3772</v>
      </c>
      <c r="C1163" s="2" t="s">
        <v>1806</v>
      </c>
      <c r="D1163" s="2" t="s">
        <v>15</v>
      </c>
      <c r="E1163" s="2" t="s">
        <v>16</v>
      </c>
      <c r="F1163" s="2">
        <v>90</v>
      </c>
      <c r="G1163" s="2" t="s">
        <v>3773</v>
      </c>
      <c r="H1163" s="2" t="s">
        <v>3774</v>
      </c>
      <c r="I1163" s="2" t="s">
        <v>187</v>
      </c>
      <c r="J1163" s="3">
        <v>44247</v>
      </c>
      <c r="K1163" s="5">
        <f>YEAR(OrganizedData[[#This Row],[Order Date]])</f>
        <v>2021</v>
      </c>
      <c r="L1163" s="7" t="str">
        <f>TEXT(OrganizedData[[#This Row],[Order Date]],"mmm")</f>
        <v>Feb</v>
      </c>
      <c r="M1163" s="2">
        <v>75</v>
      </c>
      <c r="N1163" s="2" t="s">
        <v>33</v>
      </c>
      <c r="O1163" s="2" t="str">
        <f>VLOOKUP(OrganizedData[[#This Row],[Product Code]],ProductData[[Code]:[Item]],2,FALSE)</f>
        <v>Megawidget L</v>
      </c>
      <c r="P1163" s="4">
        <f>OrganizedData[[#This Row],[Quantity]]*VLOOKUP(OrganizedData[[#This Row],[Product Code]],ProductData[],4,FALSE)</f>
        <v>1800</v>
      </c>
      <c r="Q1163" s="6">
        <f>OrganizedData[[#This Row],[Total Items Ordered]]*VLOOKUP(OrganizedData[[#This Row],[Product Code]],ProductData[],3,FALSE)</f>
        <v>3222</v>
      </c>
      <c r="R11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1164" spans="1:18" x14ac:dyDescent="0.3">
      <c r="A1164" s="2">
        <v>1157</v>
      </c>
      <c r="B1164" s="2" t="s">
        <v>3775</v>
      </c>
      <c r="C1164" s="2" t="s">
        <v>3776</v>
      </c>
      <c r="D1164" s="2" t="s">
        <v>15</v>
      </c>
      <c r="E1164" s="2" t="s">
        <v>16</v>
      </c>
      <c r="F1164" s="2">
        <v>90</v>
      </c>
      <c r="G1164" s="2" t="s">
        <v>3777</v>
      </c>
      <c r="H1164" s="2" t="s">
        <v>1228</v>
      </c>
      <c r="I1164" s="2" t="s">
        <v>25</v>
      </c>
      <c r="J1164" s="3">
        <v>44569</v>
      </c>
      <c r="K1164" s="5">
        <f>YEAR(OrganizedData[[#This Row],[Order Date]])</f>
        <v>2022</v>
      </c>
      <c r="L1164" s="7" t="str">
        <f>TEXT(OrganizedData[[#This Row],[Order Date]],"mmm")</f>
        <v>Jan</v>
      </c>
      <c r="M1164" s="2">
        <v>36</v>
      </c>
      <c r="N1164" s="2" t="s">
        <v>80</v>
      </c>
      <c r="O1164" s="2" t="str">
        <f>VLOOKUP(OrganizedData[[#This Row],[Product Code]],ProductData[[Code]:[Item]],2,FALSE)</f>
        <v>Ultrathing V2</v>
      </c>
      <c r="P1164" s="4">
        <f>OrganizedData[[#This Row],[Quantity]]*VLOOKUP(OrganizedData[[#This Row],[Product Code]],ProductData[],4,FALSE)</f>
        <v>720</v>
      </c>
      <c r="Q1164" s="6">
        <f>OrganizedData[[#This Row],[Total Items Ordered]]*VLOOKUP(OrganizedData[[#This Row],[Product Code]],ProductData[],3,FALSE)</f>
        <v>2124</v>
      </c>
      <c r="R11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1165" spans="1:18" x14ac:dyDescent="0.3">
      <c r="A1165" s="2">
        <v>1158</v>
      </c>
      <c r="B1165" s="2" t="s">
        <v>3778</v>
      </c>
      <c r="C1165" s="2" t="s">
        <v>3779</v>
      </c>
      <c r="D1165" s="2" t="s">
        <v>15</v>
      </c>
      <c r="E1165" s="2" t="s">
        <v>16</v>
      </c>
      <c r="F1165" s="2">
        <v>60</v>
      </c>
      <c r="G1165" s="2" t="s">
        <v>3780</v>
      </c>
      <c r="H1165" s="2" t="s">
        <v>1508</v>
      </c>
      <c r="I1165" s="2" t="s">
        <v>32</v>
      </c>
      <c r="J1165" s="3">
        <v>44377</v>
      </c>
      <c r="K1165" s="5">
        <f>YEAR(OrganizedData[[#This Row],[Order Date]])</f>
        <v>2021</v>
      </c>
      <c r="L1165" s="7" t="str">
        <f>TEXT(OrganizedData[[#This Row],[Order Date]],"mmm")</f>
        <v>Jun</v>
      </c>
      <c r="M1165" s="2">
        <v>2</v>
      </c>
      <c r="N1165" s="2" t="s">
        <v>20</v>
      </c>
      <c r="O1165" s="2" t="str">
        <f>VLOOKUP(OrganizedData[[#This Row],[Product Code]],ProductData[[Code]:[Item]],2,FALSE)</f>
        <v>Hyperwotsit</v>
      </c>
      <c r="P1165" s="4">
        <f>OrganizedData[[#This Row],[Quantity]]*VLOOKUP(OrganizedData[[#This Row],[Product Code]],ProductData[],4,FALSE)</f>
        <v>40</v>
      </c>
      <c r="Q1165" s="6">
        <f>OrganizedData[[#This Row],[Total Items Ordered]]*VLOOKUP(OrganizedData[[#This Row],[Product Code]],ProductData[],3,FALSE)</f>
        <v>80.399999999999991</v>
      </c>
      <c r="R11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1166" spans="1:18" x14ac:dyDescent="0.3">
      <c r="A1166" s="2">
        <v>1159</v>
      </c>
      <c r="B1166" s="2" t="s">
        <v>3781</v>
      </c>
      <c r="C1166" s="2" t="s">
        <v>2643</v>
      </c>
      <c r="D1166" s="2" t="s">
        <v>41</v>
      </c>
      <c r="E1166" s="2" t="s">
        <v>16</v>
      </c>
      <c r="F1166" s="2">
        <v>60</v>
      </c>
      <c r="G1166" s="2" t="s">
        <v>3782</v>
      </c>
      <c r="H1166" s="2" t="s">
        <v>3783</v>
      </c>
      <c r="I1166" s="2" t="s">
        <v>124</v>
      </c>
      <c r="J1166" s="3">
        <v>44813</v>
      </c>
      <c r="K1166" s="5">
        <f>YEAR(OrganizedData[[#This Row],[Order Date]])</f>
        <v>2022</v>
      </c>
      <c r="L1166" s="7" t="str">
        <f>TEXT(OrganizedData[[#This Row],[Order Date]],"mmm")</f>
        <v>Sep</v>
      </c>
      <c r="M1166" s="2">
        <v>4</v>
      </c>
      <c r="N1166" s="2" t="s">
        <v>101</v>
      </c>
      <c r="O1166" s="2" t="str">
        <f>VLOOKUP(OrganizedData[[#This Row],[Product Code]],ProductData[[Code]:[Item]],2,FALSE)</f>
        <v>Superwossname</v>
      </c>
      <c r="P1166" s="4">
        <f>OrganizedData[[#This Row],[Quantity]]*VLOOKUP(OrganizedData[[#This Row],[Product Code]],ProductData[],4,FALSE)</f>
        <v>80</v>
      </c>
      <c r="Q1166" s="6">
        <f>OrganizedData[[#This Row],[Total Items Ordered]]*VLOOKUP(OrganizedData[[#This Row],[Product Code]],ProductData[],3,FALSE)</f>
        <v>279.20000000000005</v>
      </c>
      <c r="R11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279.20000000000005</v>
      </c>
    </row>
    <row r="1167" spans="1:18" x14ac:dyDescent="0.3">
      <c r="A1167" s="2">
        <v>1160</v>
      </c>
      <c r="B1167" s="2" t="s">
        <v>3784</v>
      </c>
      <c r="C1167" s="2" t="s">
        <v>3785</v>
      </c>
      <c r="D1167" s="2" t="s">
        <v>51</v>
      </c>
      <c r="E1167" s="2" t="s">
        <v>16</v>
      </c>
      <c r="F1167" s="2">
        <v>60</v>
      </c>
      <c r="G1167" s="2" t="s">
        <v>3786</v>
      </c>
      <c r="H1167" s="2" t="s">
        <v>2447</v>
      </c>
      <c r="I1167" s="2" t="s">
        <v>1869</v>
      </c>
      <c r="J1167" s="3">
        <v>44594</v>
      </c>
      <c r="K1167" s="5">
        <f>YEAR(OrganizedData[[#This Row],[Order Date]])</f>
        <v>2022</v>
      </c>
      <c r="L1167" s="7" t="str">
        <f>TEXT(OrganizedData[[#This Row],[Order Date]],"mmm")</f>
        <v>Feb</v>
      </c>
      <c r="M1167" s="2">
        <v>20</v>
      </c>
      <c r="N1167" s="2" t="s">
        <v>20</v>
      </c>
      <c r="O1167" s="2" t="str">
        <f>VLOOKUP(OrganizedData[[#This Row],[Product Code]],ProductData[[Code]:[Item]],2,FALSE)</f>
        <v>Hyperwotsit</v>
      </c>
      <c r="P1167" s="4">
        <f>OrganizedData[[#This Row],[Quantity]]*VLOOKUP(OrganizedData[[#This Row],[Product Code]],ProductData[],4,FALSE)</f>
        <v>400</v>
      </c>
      <c r="Q1167" s="6">
        <f>OrganizedData[[#This Row],[Total Items Ordered]]*VLOOKUP(OrganizedData[[#This Row],[Product Code]],ProductData[],3,FALSE)</f>
        <v>803.99999999999989</v>
      </c>
      <c r="R11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1168" spans="1:18" x14ac:dyDescent="0.3">
      <c r="A1168" s="2">
        <v>1161</v>
      </c>
      <c r="B1168" s="2" t="s">
        <v>3787</v>
      </c>
      <c r="C1168" s="2" t="s">
        <v>256</v>
      </c>
      <c r="D1168" s="2" t="s">
        <v>28</v>
      </c>
      <c r="E1168" s="2" t="s">
        <v>29</v>
      </c>
      <c r="F1168" s="2">
        <v>30</v>
      </c>
      <c r="G1168" s="2" t="s">
        <v>3788</v>
      </c>
      <c r="H1168" s="2" t="s">
        <v>2917</v>
      </c>
      <c r="I1168" s="2" t="s">
        <v>95</v>
      </c>
      <c r="J1168" s="3">
        <v>44916</v>
      </c>
      <c r="K1168" s="5">
        <f>YEAR(OrganizedData[[#This Row],[Order Date]])</f>
        <v>2022</v>
      </c>
      <c r="L1168" s="7" t="str">
        <f>TEXT(OrganizedData[[#This Row],[Order Date]],"mmm")</f>
        <v>Dec</v>
      </c>
      <c r="M1168" s="2">
        <v>31</v>
      </c>
      <c r="N1168" s="2" t="s">
        <v>70</v>
      </c>
      <c r="O1168" s="2" t="str">
        <f>VLOOKUP(OrganizedData[[#This Row],[Product Code]],ProductData[[Code]:[Item]],2,FALSE)</f>
        <v>Megawidget M</v>
      </c>
      <c r="P1168" s="4">
        <f>OrganizedData[[#This Row],[Quantity]]*VLOOKUP(OrganizedData[[#This Row],[Product Code]],ProductData[],4,FALSE)</f>
        <v>744</v>
      </c>
      <c r="Q1168" s="6">
        <f>OrganizedData[[#This Row],[Total Items Ordered]]*VLOOKUP(OrganizedData[[#This Row],[Product Code]],ProductData[],3,FALSE)</f>
        <v>959.76</v>
      </c>
      <c r="R11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1169" spans="1:18" x14ac:dyDescent="0.3">
      <c r="A1169" s="2">
        <v>1162</v>
      </c>
      <c r="B1169" s="2" t="s">
        <v>2721</v>
      </c>
      <c r="C1169" s="2" t="s">
        <v>1607</v>
      </c>
      <c r="D1169" s="2" t="s">
        <v>621</v>
      </c>
      <c r="E1169" s="2" t="s">
        <v>29</v>
      </c>
      <c r="F1169" s="2">
        <v>60</v>
      </c>
      <c r="G1169" s="2" t="s">
        <v>3789</v>
      </c>
      <c r="H1169" s="2" t="s">
        <v>3790</v>
      </c>
      <c r="I1169" s="2" t="s">
        <v>32</v>
      </c>
      <c r="J1169" s="3">
        <v>43922</v>
      </c>
      <c r="K1169" s="5">
        <f>YEAR(OrganizedData[[#This Row],[Order Date]])</f>
        <v>2020</v>
      </c>
      <c r="L1169" s="7" t="str">
        <f>TEXT(OrganizedData[[#This Row],[Order Date]],"mmm")</f>
        <v>Apr</v>
      </c>
      <c r="M1169" s="2">
        <v>38</v>
      </c>
      <c r="N1169" s="2" t="s">
        <v>20</v>
      </c>
      <c r="O1169" s="2" t="str">
        <f>VLOOKUP(OrganizedData[[#This Row],[Product Code]],ProductData[[Code]:[Item]],2,FALSE)</f>
        <v>Hyperwotsit</v>
      </c>
      <c r="P1169" s="4">
        <f>OrganizedData[[#This Row],[Quantity]]*VLOOKUP(OrganizedData[[#This Row],[Product Code]],ProductData[],4,FALSE)</f>
        <v>760</v>
      </c>
      <c r="Q1169" s="6">
        <f>OrganizedData[[#This Row],[Total Items Ordered]]*VLOOKUP(OrganizedData[[#This Row],[Product Code]],ProductData[],3,FALSE)</f>
        <v>1527.6</v>
      </c>
      <c r="R11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1481.7719999999999</v>
      </c>
    </row>
    <row r="1170" spans="1:18" x14ac:dyDescent="0.3">
      <c r="A1170" s="2">
        <v>1163</v>
      </c>
      <c r="B1170" s="2" t="s">
        <v>3791</v>
      </c>
      <c r="C1170" s="2" t="s">
        <v>727</v>
      </c>
      <c r="D1170" s="2" t="s">
        <v>28</v>
      </c>
      <c r="E1170" s="2" t="s">
        <v>29</v>
      </c>
      <c r="F1170" s="2">
        <v>90</v>
      </c>
      <c r="G1170" s="2" t="s">
        <v>3792</v>
      </c>
      <c r="H1170" s="2" t="s">
        <v>3793</v>
      </c>
      <c r="I1170" s="2" t="s">
        <v>173</v>
      </c>
      <c r="J1170" s="3">
        <v>44901</v>
      </c>
      <c r="K1170" s="5">
        <f>YEAR(OrganizedData[[#This Row],[Order Date]])</f>
        <v>2022</v>
      </c>
      <c r="L1170" s="7" t="str">
        <f>TEXT(OrganizedData[[#This Row],[Order Date]],"mmm")</f>
        <v>Dec</v>
      </c>
      <c r="M1170" s="2">
        <v>97</v>
      </c>
      <c r="N1170" s="2" t="s">
        <v>20</v>
      </c>
      <c r="O1170" s="2" t="str">
        <f>VLOOKUP(OrganizedData[[#This Row],[Product Code]],ProductData[[Code]:[Item]],2,FALSE)</f>
        <v>Hyperwotsit</v>
      </c>
      <c r="P1170" s="4">
        <f>OrganizedData[[#This Row],[Quantity]]*VLOOKUP(OrganizedData[[#This Row],[Product Code]],ProductData[],4,FALSE)</f>
        <v>1940</v>
      </c>
      <c r="Q1170" s="6">
        <f>OrganizedData[[#This Row],[Total Items Ordered]]*VLOOKUP(OrganizedData[[#This Row],[Product Code]],ProductData[],3,FALSE)</f>
        <v>3899.3999999999996</v>
      </c>
      <c r="R11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3704.4299999999994</v>
      </c>
    </row>
    <row r="1171" spans="1:18" x14ac:dyDescent="0.3">
      <c r="A1171" s="2">
        <v>1164</v>
      </c>
      <c r="B1171" s="2" t="s">
        <v>3794</v>
      </c>
      <c r="C1171" s="2" t="s">
        <v>1692</v>
      </c>
      <c r="D1171" s="2" t="s">
        <v>28</v>
      </c>
      <c r="E1171" s="2" t="s">
        <v>29</v>
      </c>
      <c r="F1171" s="2">
        <v>30</v>
      </c>
      <c r="G1171" s="2" t="s">
        <v>3795</v>
      </c>
      <c r="H1171" s="2" t="s">
        <v>3396</v>
      </c>
      <c r="I1171" s="2" t="s">
        <v>32</v>
      </c>
      <c r="J1171" s="3">
        <v>44890</v>
      </c>
      <c r="K1171" s="5">
        <f>YEAR(OrganizedData[[#This Row],[Order Date]])</f>
        <v>2022</v>
      </c>
      <c r="L1171" s="7" t="str">
        <f>TEXT(OrganizedData[[#This Row],[Order Date]],"mmm")</f>
        <v>Nov</v>
      </c>
      <c r="M1171" s="2">
        <v>102</v>
      </c>
      <c r="N1171" s="2" t="s">
        <v>33</v>
      </c>
      <c r="O1171" s="2" t="str">
        <f>VLOOKUP(OrganizedData[[#This Row],[Product Code]],ProductData[[Code]:[Item]],2,FALSE)</f>
        <v>Megawidget L</v>
      </c>
      <c r="P1171" s="4">
        <f>OrganizedData[[#This Row],[Quantity]]*VLOOKUP(OrganizedData[[#This Row],[Product Code]],ProductData[],4,FALSE)</f>
        <v>2448</v>
      </c>
      <c r="Q1171" s="6">
        <f>OrganizedData[[#This Row],[Total Items Ordered]]*VLOOKUP(OrganizedData[[#This Row],[Product Code]],ProductData[],3,FALSE)</f>
        <v>4381.92</v>
      </c>
      <c r="R11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4075.1856000000002</v>
      </c>
    </row>
    <row r="1172" spans="1:18" x14ac:dyDescent="0.3">
      <c r="A1172" s="2">
        <v>1165</v>
      </c>
      <c r="B1172" s="2" t="s">
        <v>3796</v>
      </c>
      <c r="C1172" s="2" t="s">
        <v>3797</v>
      </c>
      <c r="D1172" s="2" t="s">
        <v>51</v>
      </c>
      <c r="E1172" s="2" t="s">
        <v>16</v>
      </c>
      <c r="F1172" s="2">
        <v>90</v>
      </c>
      <c r="G1172" s="2" t="s">
        <v>3798</v>
      </c>
      <c r="H1172" s="2" t="s">
        <v>3799</v>
      </c>
      <c r="I1172" s="2" t="s">
        <v>32</v>
      </c>
      <c r="J1172" s="3">
        <v>44152</v>
      </c>
      <c r="K1172" s="5">
        <f>YEAR(OrganizedData[[#This Row],[Order Date]])</f>
        <v>2020</v>
      </c>
      <c r="L1172" s="7" t="str">
        <f>TEXT(OrganizedData[[#This Row],[Order Date]],"mmm")</f>
        <v>Nov</v>
      </c>
      <c r="M1172" s="2">
        <v>80</v>
      </c>
      <c r="N1172" s="2" t="s">
        <v>80</v>
      </c>
      <c r="O1172" s="2" t="str">
        <f>VLOOKUP(OrganizedData[[#This Row],[Product Code]],ProductData[[Code]:[Item]],2,FALSE)</f>
        <v>Ultrathing V2</v>
      </c>
      <c r="P1172" s="4">
        <f>OrganizedData[[#This Row],[Quantity]]*VLOOKUP(OrganizedData[[#This Row],[Product Code]],ProductData[],4,FALSE)</f>
        <v>1600</v>
      </c>
      <c r="Q1172" s="6">
        <f>OrganizedData[[#This Row],[Total Items Ordered]]*VLOOKUP(OrganizedData[[#This Row],[Product Code]],ProductData[],3,FALSE)</f>
        <v>4720</v>
      </c>
      <c r="R11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4484</v>
      </c>
    </row>
    <row r="1173" spans="1:18" x14ac:dyDescent="0.3">
      <c r="A1173" s="2">
        <v>1166</v>
      </c>
      <c r="B1173" s="2" t="s">
        <v>3800</v>
      </c>
      <c r="C1173" s="2" t="s">
        <v>309</v>
      </c>
      <c r="D1173" s="2" t="s">
        <v>15</v>
      </c>
      <c r="E1173" s="2" t="s">
        <v>16</v>
      </c>
      <c r="F1173" s="2">
        <v>60</v>
      </c>
      <c r="G1173" s="2" t="s">
        <v>3801</v>
      </c>
      <c r="H1173" s="2" t="s">
        <v>615</v>
      </c>
      <c r="I1173" s="2" t="s">
        <v>32</v>
      </c>
      <c r="J1173" s="3">
        <v>44131</v>
      </c>
      <c r="K1173" s="5">
        <f>YEAR(OrganizedData[[#This Row],[Order Date]])</f>
        <v>2020</v>
      </c>
      <c r="L1173" s="7" t="str">
        <f>TEXT(OrganizedData[[#This Row],[Order Date]],"mmm")</f>
        <v>Oct</v>
      </c>
      <c r="M1173" s="2">
        <v>3</v>
      </c>
      <c r="N1173" s="2" t="s">
        <v>33</v>
      </c>
      <c r="O1173" s="2" t="str">
        <f>VLOOKUP(OrganizedData[[#This Row],[Product Code]],ProductData[[Code]:[Item]],2,FALSE)</f>
        <v>Megawidget L</v>
      </c>
      <c r="P1173" s="4">
        <f>OrganizedData[[#This Row],[Quantity]]*VLOOKUP(OrganizedData[[#This Row],[Product Code]],ProductData[],4,FALSE)</f>
        <v>72</v>
      </c>
      <c r="Q1173" s="6">
        <f>OrganizedData[[#This Row],[Total Items Ordered]]*VLOOKUP(OrganizedData[[#This Row],[Product Code]],ProductData[],3,FALSE)</f>
        <v>128.88</v>
      </c>
      <c r="R11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128.88</v>
      </c>
    </row>
    <row r="1174" spans="1:18" x14ac:dyDescent="0.3">
      <c r="A1174" s="2">
        <v>1167</v>
      </c>
      <c r="B1174" s="2" t="s">
        <v>3802</v>
      </c>
      <c r="C1174" s="2" t="s">
        <v>3803</v>
      </c>
      <c r="D1174" s="2" t="s">
        <v>51</v>
      </c>
      <c r="E1174" s="2" t="s">
        <v>16</v>
      </c>
      <c r="F1174" s="2">
        <v>60</v>
      </c>
      <c r="G1174" s="2" t="s">
        <v>3804</v>
      </c>
      <c r="H1174" s="2" t="s">
        <v>298</v>
      </c>
      <c r="I1174" s="2" t="s">
        <v>25</v>
      </c>
      <c r="J1174" s="3">
        <v>44394</v>
      </c>
      <c r="K1174" s="5">
        <f>YEAR(OrganizedData[[#This Row],[Order Date]])</f>
        <v>2021</v>
      </c>
      <c r="L1174" s="7" t="str">
        <f>TEXT(OrganizedData[[#This Row],[Order Date]],"mmm")</f>
        <v>Jul</v>
      </c>
      <c r="M1174" s="2">
        <v>73</v>
      </c>
      <c r="N1174" s="2" t="s">
        <v>54</v>
      </c>
      <c r="O1174" s="2" t="str">
        <f>VLOOKUP(OrganizedData[[#This Row],[Product Code]],ProductData[[Code]:[Item]],2,FALSE)</f>
        <v>Megawidget S</v>
      </c>
      <c r="P1174" s="4">
        <f>OrganizedData[[#This Row],[Quantity]]*VLOOKUP(OrganizedData[[#This Row],[Product Code]],ProductData[],4,FALSE)</f>
        <v>1752</v>
      </c>
      <c r="Q1174" s="6">
        <f>OrganizedData[[#This Row],[Total Items Ordered]]*VLOOKUP(OrganizedData[[#This Row],[Product Code]],ProductData[],3,FALSE)</f>
        <v>1208.8799999999999</v>
      </c>
      <c r="R11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1148.4359999999999</v>
      </c>
    </row>
    <row r="1175" spans="1:18" x14ac:dyDescent="0.3">
      <c r="A1175" s="2">
        <v>1168</v>
      </c>
      <c r="B1175" s="2" t="s">
        <v>3805</v>
      </c>
      <c r="C1175" s="2" t="s">
        <v>3806</v>
      </c>
      <c r="D1175" s="2" t="s">
        <v>28</v>
      </c>
      <c r="E1175" s="2" t="s">
        <v>29</v>
      </c>
      <c r="F1175" s="2">
        <v>60</v>
      </c>
      <c r="G1175" s="2" t="s">
        <v>3807</v>
      </c>
      <c r="H1175" s="2" t="s">
        <v>3206</v>
      </c>
      <c r="I1175" s="2" t="s">
        <v>1199</v>
      </c>
      <c r="J1175" s="3">
        <v>44187</v>
      </c>
      <c r="K1175" s="5">
        <f>YEAR(OrganizedData[[#This Row],[Order Date]])</f>
        <v>2020</v>
      </c>
      <c r="L1175" s="7" t="str">
        <f>TEXT(OrganizedData[[#This Row],[Order Date]],"mmm")</f>
        <v>Dec</v>
      </c>
      <c r="M1175" s="2">
        <v>84</v>
      </c>
      <c r="N1175" s="2" t="s">
        <v>159</v>
      </c>
      <c r="O1175" s="2" t="str">
        <f>VLOOKUP(OrganizedData[[#This Row],[Product Code]],ProductData[[Code]:[Item]],2,FALSE)</f>
        <v>Ultrathing V3</v>
      </c>
      <c r="P1175" s="4">
        <f>OrganizedData[[#This Row],[Quantity]]*VLOOKUP(OrganizedData[[#This Row],[Product Code]],ProductData[],4,FALSE)</f>
        <v>2016</v>
      </c>
      <c r="Q1175" s="6">
        <f>OrganizedData[[#This Row],[Total Items Ordered]]*VLOOKUP(OrganizedData[[#This Row],[Product Code]],ProductData[],3,FALSE)</f>
        <v>6834.2400000000007</v>
      </c>
      <c r="R11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1176" spans="1:18" x14ac:dyDescent="0.3">
      <c r="A1176" s="2">
        <v>1169</v>
      </c>
      <c r="B1176" s="2" t="s">
        <v>2184</v>
      </c>
      <c r="C1176" s="2" t="s">
        <v>3808</v>
      </c>
      <c r="D1176" s="2" t="s">
        <v>28</v>
      </c>
      <c r="E1176" s="2" t="s">
        <v>29</v>
      </c>
      <c r="F1176" s="2">
        <v>30</v>
      </c>
      <c r="G1176" s="2" t="s">
        <v>3809</v>
      </c>
      <c r="H1176" s="2" t="s">
        <v>3810</v>
      </c>
      <c r="I1176" s="2" t="s">
        <v>32</v>
      </c>
      <c r="J1176" s="3">
        <v>44594</v>
      </c>
      <c r="K1176" s="5">
        <f>YEAR(OrganizedData[[#This Row],[Order Date]])</f>
        <v>2022</v>
      </c>
      <c r="L1176" s="7" t="str">
        <f>TEXT(OrganizedData[[#This Row],[Order Date]],"mmm")</f>
        <v>Feb</v>
      </c>
      <c r="M1176" s="2">
        <v>60</v>
      </c>
      <c r="N1176" s="2" t="s">
        <v>20</v>
      </c>
      <c r="O1176" s="2" t="str">
        <f>VLOOKUP(OrganizedData[[#This Row],[Product Code]],ProductData[[Code]:[Item]],2,FALSE)</f>
        <v>Hyperwotsit</v>
      </c>
      <c r="P1176" s="4">
        <f>OrganizedData[[#This Row],[Quantity]]*VLOOKUP(OrganizedData[[#This Row],[Product Code]],ProductData[],4,FALSE)</f>
        <v>1200</v>
      </c>
      <c r="Q1176" s="6">
        <f>OrganizedData[[#This Row],[Total Items Ordered]]*VLOOKUP(OrganizedData[[#This Row],[Product Code]],ProductData[],3,FALSE)</f>
        <v>2411.9999999999995</v>
      </c>
      <c r="R11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1177" spans="1:18" x14ac:dyDescent="0.3">
      <c r="A1177" s="2">
        <v>1170</v>
      </c>
      <c r="B1177" s="2" t="s">
        <v>3811</v>
      </c>
      <c r="C1177" s="2" t="s">
        <v>3812</v>
      </c>
      <c r="D1177" s="2" t="s">
        <v>28</v>
      </c>
      <c r="E1177" s="2" t="s">
        <v>29</v>
      </c>
      <c r="F1177" s="2">
        <v>90</v>
      </c>
      <c r="G1177" s="2" t="s">
        <v>3813</v>
      </c>
      <c r="H1177" s="2" t="s">
        <v>3814</v>
      </c>
      <c r="I1177" s="2" t="s">
        <v>32</v>
      </c>
      <c r="J1177" s="3">
        <v>44425</v>
      </c>
      <c r="K1177" s="5">
        <f>YEAR(OrganizedData[[#This Row],[Order Date]])</f>
        <v>2021</v>
      </c>
      <c r="L1177" s="7" t="str">
        <f>TEXT(OrganizedData[[#This Row],[Order Date]],"mmm")</f>
        <v>Aug</v>
      </c>
      <c r="M1177" s="2">
        <v>20</v>
      </c>
      <c r="N1177" s="2" t="s">
        <v>101</v>
      </c>
      <c r="O1177" s="2" t="str">
        <f>VLOOKUP(OrganizedData[[#This Row],[Product Code]],ProductData[[Code]:[Item]],2,FALSE)</f>
        <v>Superwossname</v>
      </c>
      <c r="P1177" s="4">
        <f>OrganizedData[[#This Row],[Quantity]]*VLOOKUP(OrganizedData[[#This Row],[Product Code]],ProductData[],4,FALSE)</f>
        <v>400</v>
      </c>
      <c r="Q1177" s="6">
        <f>OrganizedData[[#This Row],[Total Items Ordered]]*VLOOKUP(OrganizedData[[#This Row],[Product Code]],ProductData[],3,FALSE)</f>
        <v>1396</v>
      </c>
      <c r="R11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v>
      </c>
    </row>
    <row r="1178" spans="1:18" x14ac:dyDescent="0.3">
      <c r="A1178" s="2">
        <v>1171</v>
      </c>
      <c r="B1178" s="2" t="s">
        <v>3815</v>
      </c>
      <c r="C1178" s="2" t="s">
        <v>2037</v>
      </c>
      <c r="D1178" s="2" t="s">
        <v>15</v>
      </c>
      <c r="E1178" s="2" t="s">
        <v>16</v>
      </c>
      <c r="F1178" s="2">
        <v>60</v>
      </c>
      <c r="G1178" s="2" t="s">
        <v>3816</v>
      </c>
      <c r="H1178" s="2" t="s">
        <v>3817</v>
      </c>
      <c r="I1178" s="2" t="s">
        <v>32</v>
      </c>
      <c r="J1178" s="3">
        <v>44811</v>
      </c>
      <c r="K1178" s="5">
        <f>YEAR(OrganizedData[[#This Row],[Order Date]])</f>
        <v>2022</v>
      </c>
      <c r="L1178" s="7" t="str">
        <f>TEXT(OrganizedData[[#This Row],[Order Date]],"mmm")</f>
        <v>Sep</v>
      </c>
      <c r="M1178" s="2">
        <v>34</v>
      </c>
      <c r="N1178" s="2" t="s">
        <v>64</v>
      </c>
      <c r="O1178" s="2" t="str">
        <f>VLOOKUP(OrganizedData[[#This Row],[Product Code]],ProductData[[Code]:[Item]],2,FALSE)</f>
        <v>Ultrathing V4</v>
      </c>
      <c r="P1178" s="4">
        <f>OrganizedData[[#This Row],[Quantity]]*VLOOKUP(OrganizedData[[#This Row],[Product Code]],ProductData[],4,FALSE)</f>
        <v>816</v>
      </c>
      <c r="Q1178" s="6">
        <f>OrganizedData[[#This Row],[Total Items Ordered]]*VLOOKUP(OrganizedData[[#This Row],[Product Code]],ProductData[],3,FALSE)</f>
        <v>3255.84</v>
      </c>
      <c r="R11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1179" spans="1:18" x14ac:dyDescent="0.3">
      <c r="A1179" s="2">
        <v>1172</v>
      </c>
      <c r="B1179" s="2" t="s">
        <v>3818</v>
      </c>
      <c r="C1179" s="2" t="s">
        <v>1585</v>
      </c>
      <c r="D1179" s="2" t="s">
        <v>51</v>
      </c>
      <c r="E1179" s="2" t="s">
        <v>16</v>
      </c>
      <c r="F1179" s="2">
        <v>30</v>
      </c>
      <c r="G1179" s="2" t="s">
        <v>3819</v>
      </c>
      <c r="H1179" s="2" t="s">
        <v>1284</v>
      </c>
      <c r="I1179" s="2" t="s">
        <v>32</v>
      </c>
      <c r="J1179" s="3">
        <v>44607</v>
      </c>
      <c r="K1179" s="5">
        <f>YEAR(OrganizedData[[#This Row],[Order Date]])</f>
        <v>2022</v>
      </c>
      <c r="L1179" s="7" t="str">
        <f>TEXT(OrganizedData[[#This Row],[Order Date]],"mmm")</f>
        <v>Feb</v>
      </c>
      <c r="M1179" s="2">
        <v>95</v>
      </c>
      <c r="N1179" s="2" t="s">
        <v>39</v>
      </c>
      <c r="O1179" s="2" t="str">
        <f>VLOOKUP(OrganizedData[[#This Row],[Product Code]],ProductData[[Code]:[Item]],2,FALSE)</f>
        <v>Ultrathing V1</v>
      </c>
      <c r="P1179" s="4">
        <f>OrganizedData[[#This Row],[Quantity]]*VLOOKUP(OrganizedData[[#This Row],[Product Code]],ProductData[],4,FALSE)</f>
        <v>1615</v>
      </c>
      <c r="Q1179" s="6">
        <f>OrganizedData[[#This Row],[Total Items Ordered]]*VLOOKUP(OrganizedData[[#This Row],[Product Code]],ProductData[],3,FALSE)</f>
        <v>2890.85</v>
      </c>
      <c r="R11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2746.3074999999999</v>
      </c>
    </row>
    <row r="1180" spans="1:18" x14ac:dyDescent="0.3">
      <c r="A1180" s="2">
        <v>1173</v>
      </c>
      <c r="B1180" s="2" t="s">
        <v>3820</v>
      </c>
      <c r="C1180" s="2" t="s">
        <v>161</v>
      </c>
      <c r="D1180" s="2" t="s">
        <v>15</v>
      </c>
      <c r="E1180" s="2" t="s">
        <v>16</v>
      </c>
      <c r="F1180" s="2">
        <v>60</v>
      </c>
      <c r="G1180" s="2" t="s">
        <v>3821</v>
      </c>
      <c r="H1180" s="2" t="s">
        <v>3822</v>
      </c>
      <c r="I1180" s="2" t="s">
        <v>1454</v>
      </c>
      <c r="J1180" s="3">
        <v>44841</v>
      </c>
      <c r="K1180" s="5">
        <f>YEAR(OrganizedData[[#This Row],[Order Date]])</f>
        <v>2022</v>
      </c>
      <c r="L1180" s="7" t="str">
        <f>TEXT(OrganizedData[[#This Row],[Order Date]],"mmm")</f>
        <v>Oct</v>
      </c>
      <c r="M1180" s="2">
        <v>48</v>
      </c>
      <c r="N1180" s="2" t="s">
        <v>33</v>
      </c>
      <c r="O1180" s="2" t="str">
        <f>VLOOKUP(OrganizedData[[#This Row],[Product Code]],ProductData[[Code]:[Item]],2,FALSE)</f>
        <v>Megawidget L</v>
      </c>
      <c r="P1180" s="4">
        <f>OrganizedData[[#This Row],[Quantity]]*VLOOKUP(OrganizedData[[#This Row],[Product Code]],ProductData[],4,FALSE)</f>
        <v>1152</v>
      </c>
      <c r="Q1180" s="6">
        <f>OrganizedData[[#This Row],[Total Items Ordered]]*VLOOKUP(OrganizedData[[#This Row],[Product Code]],ProductData[],3,FALSE)</f>
        <v>2062.08</v>
      </c>
      <c r="R11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2000.2175999999999</v>
      </c>
    </row>
    <row r="1181" spans="1:18" x14ac:dyDescent="0.3">
      <c r="A1181" s="2">
        <v>1174</v>
      </c>
      <c r="B1181" s="2" t="s">
        <v>3823</v>
      </c>
      <c r="C1181" s="2" t="s">
        <v>3824</v>
      </c>
      <c r="D1181" s="2" t="s">
        <v>51</v>
      </c>
      <c r="E1181" s="2" t="s">
        <v>16</v>
      </c>
      <c r="F1181" s="2">
        <v>60</v>
      </c>
      <c r="G1181" s="2" t="s">
        <v>10481</v>
      </c>
      <c r="H1181" s="2" t="s">
        <v>3826</v>
      </c>
      <c r="I1181" s="2" t="s">
        <v>20</v>
      </c>
      <c r="J1181" s="3">
        <v>43966</v>
      </c>
      <c r="K1181" s="5">
        <f>YEAR(OrganizedData[[#This Row],[Order Date]])</f>
        <v>2020</v>
      </c>
      <c r="L1181" s="7" t="str">
        <f>TEXT(OrganizedData[[#This Row],[Order Date]],"mmm")</f>
        <v>May</v>
      </c>
      <c r="M1181" s="2">
        <v>78</v>
      </c>
      <c r="N1181" s="2" t="s">
        <v>45</v>
      </c>
      <c r="O1181" s="2" t="str">
        <f>VLOOKUP(OrganizedData[[#This Row],[Product Code]],ProductData[[Code]:[Item]],2,FALSE)</f>
        <v>Gigastuff</v>
      </c>
      <c r="P1181" s="4">
        <f>OrganizedData[[#This Row],[Quantity]]*VLOOKUP(OrganizedData[[#This Row],[Product Code]],ProductData[],4,FALSE)</f>
        <v>1404</v>
      </c>
      <c r="Q1181" s="6">
        <f>OrganizedData[[#This Row],[Total Items Ordered]]*VLOOKUP(OrganizedData[[#This Row],[Product Code]],ProductData[],3,FALSE)</f>
        <v>2653.56</v>
      </c>
      <c r="R11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1182" spans="1:18" x14ac:dyDescent="0.3">
      <c r="A1182" s="2">
        <v>1175</v>
      </c>
      <c r="B1182" s="2" t="s">
        <v>3827</v>
      </c>
      <c r="C1182" s="2" t="s">
        <v>669</v>
      </c>
      <c r="D1182" s="2" t="s">
        <v>51</v>
      </c>
      <c r="E1182" s="2" t="s">
        <v>16</v>
      </c>
      <c r="F1182" s="2">
        <v>30</v>
      </c>
      <c r="G1182" s="2" t="s">
        <v>3828</v>
      </c>
      <c r="H1182" s="2" t="s">
        <v>2380</v>
      </c>
      <c r="I1182" s="2" t="s">
        <v>173</v>
      </c>
      <c r="J1182" s="3">
        <v>44422</v>
      </c>
      <c r="K1182" s="5">
        <f>YEAR(OrganizedData[[#This Row],[Order Date]])</f>
        <v>2021</v>
      </c>
      <c r="L1182" s="7" t="str">
        <f>TEXT(OrganizedData[[#This Row],[Order Date]],"mmm")</f>
        <v>Aug</v>
      </c>
      <c r="M1182" s="2">
        <v>23</v>
      </c>
      <c r="N1182" s="2" t="s">
        <v>45</v>
      </c>
      <c r="O1182" s="2" t="str">
        <f>VLOOKUP(OrganizedData[[#This Row],[Product Code]],ProductData[[Code]:[Item]],2,FALSE)</f>
        <v>Gigastuff</v>
      </c>
      <c r="P1182" s="4">
        <f>OrganizedData[[#This Row],[Quantity]]*VLOOKUP(OrganizedData[[#This Row],[Product Code]],ProductData[],4,FALSE)</f>
        <v>414</v>
      </c>
      <c r="Q1182" s="6">
        <f>OrganizedData[[#This Row],[Total Items Ordered]]*VLOOKUP(OrganizedData[[#This Row],[Product Code]],ProductData[],3,FALSE)</f>
        <v>782.45999999999992</v>
      </c>
      <c r="R11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758.98619999999994</v>
      </c>
    </row>
    <row r="1183" spans="1:18" x14ac:dyDescent="0.3">
      <c r="A1183" s="2">
        <v>1176</v>
      </c>
      <c r="B1183" s="2" t="s">
        <v>3496</v>
      </c>
      <c r="C1183" s="2" t="s">
        <v>3829</v>
      </c>
      <c r="D1183" s="2" t="s">
        <v>28</v>
      </c>
      <c r="E1183" s="2" t="s">
        <v>29</v>
      </c>
      <c r="F1183" s="2">
        <v>30</v>
      </c>
      <c r="G1183" s="2" t="s">
        <v>3830</v>
      </c>
      <c r="H1183" s="2" t="s">
        <v>1362</v>
      </c>
      <c r="I1183" s="2" t="s">
        <v>178</v>
      </c>
      <c r="J1183" s="3">
        <v>44536</v>
      </c>
      <c r="K1183" s="5">
        <f>YEAR(OrganizedData[[#This Row],[Order Date]])</f>
        <v>2021</v>
      </c>
      <c r="L1183" s="7" t="str">
        <f>TEXT(OrganizedData[[#This Row],[Order Date]],"mmm")</f>
        <v>Dec</v>
      </c>
      <c r="M1183" s="2">
        <v>21</v>
      </c>
      <c r="N1183" s="2" t="s">
        <v>70</v>
      </c>
      <c r="O1183" s="2" t="str">
        <f>VLOOKUP(OrganizedData[[#This Row],[Product Code]],ProductData[[Code]:[Item]],2,FALSE)</f>
        <v>Megawidget M</v>
      </c>
      <c r="P1183" s="4">
        <f>OrganizedData[[#This Row],[Quantity]]*VLOOKUP(OrganizedData[[#This Row],[Product Code]],ProductData[],4,FALSE)</f>
        <v>504</v>
      </c>
      <c r="Q1183" s="6">
        <f>OrganizedData[[#This Row],[Total Items Ordered]]*VLOOKUP(OrganizedData[[#This Row],[Product Code]],ProductData[],3,FALSE)</f>
        <v>650.16</v>
      </c>
      <c r="R11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630.65519999999992</v>
      </c>
    </row>
    <row r="1184" spans="1:18" x14ac:dyDescent="0.3">
      <c r="A1184" s="2">
        <v>1177</v>
      </c>
      <c r="B1184" s="2" t="s">
        <v>1503</v>
      </c>
      <c r="C1184" s="2" t="s">
        <v>3831</v>
      </c>
      <c r="D1184" s="2" t="s">
        <v>28</v>
      </c>
      <c r="E1184" s="2" t="s">
        <v>29</v>
      </c>
      <c r="F1184" s="2">
        <v>90</v>
      </c>
      <c r="G1184" s="2" t="s">
        <v>3830</v>
      </c>
      <c r="H1184" s="2" t="s">
        <v>3059</v>
      </c>
      <c r="I1184" s="2" t="s">
        <v>187</v>
      </c>
      <c r="J1184" s="3">
        <v>44620</v>
      </c>
      <c r="K1184" s="5">
        <f>YEAR(OrganizedData[[#This Row],[Order Date]])</f>
        <v>2022</v>
      </c>
      <c r="L1184" s="7" t="str">
        <f>TEXT(OrganizedData[[#This Row],[Order Date]],"mmm")</f>
        <v>Feb</v>
      </c>
      <c r="M1184" s="2">
        <v>39</v>
      </c>
      <c r="N1184" s="2" t="s">
        <v>80</v>
      </c>
      <c r="O1184" s="2" t="str">
        <f>VLOOKUP(OrganizedData[[#This Row],[Product Code]],ProductData[[Code]:[Item]],2,FALSE)</f>
        <v>Ultrathing V2</v>
      </c>
      <c r="P1184" s="4">
        <f>OrganizedData[[#This Row],[Quantity]]*VLOOKUP(OrganizedData[[#This Row],[Product Code]],ProductData[],4,FALSE)</f>
        <v>780</v>
      </c>
      <c r="Q1184" s="6">
        <f>OrganizedData[[#This Row],[Total Items Ordered]]*VLOOKUP(OrganizedData[[#This Row],[Product Code]],ProductData[],3,FALSE)</f>
        <v>2301</v>
      </c>
      <c r="R11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1185" spans="1:18" x14ac:dyDescent="0.3">
      <c r="A1185" s="2">
        <v>1178</v>
      </c>
      <c r="B1185" s="2" t="s">
        <v>3832</v>
      </c>
      <c r="C1185" s="2" t="s">
        <v>1688</v>
      </c>
      <c r="D1185" s="2" t="s">
        <v>51</v>
      </c>
      <c r="E1185" s="2" t="s">
        <v>16</v>
      </c>
      <c r="F1185" s="2">
        <v>30</v>
      </c>
      <c r="G1185" s="2" t="s">
        <v>3833</v>
      </c>
      <c r="H1185" s="2" t="s">
        <v>3834</v>
      </c>
      <c r="I1185" s="2" t="s">
        <v>32</v>
      </c>
      <c r="J1185" s="3">
        <v>44062</v>
      </c>
      <c r="K1185" s="5">
        <f>YEAR(OrganizedData[[#This Row],[Order Date]])</f>
        <v>2020</v>
      </c>
      <c r="L1185" s="7" t="str">
        <f>TEXT(OrganizedData[[#This Row],[Order Date]],"mmm")</f>
        <v>Aug</v>
      </c>
      <c r="M1185" s="2">
        <v>72</v>
      </c>
      <c r="N1185" s="2" t="s">
        <v>45</v>
      </c>
      <c r="O1185" s="2" t="str">
        <f>VLOOKUP(OrganizedData[[#This Row],[Product Code]],ProductData[[Code]:[Item]],2,FALSE)</f>
        <v>Gigastuff</v>
      </c>
      <c r="P1185" s="4">
        <f>OrganizedData[[#This Row],[Quantity]]*VLOOKUP(OrganizedData[[#This Row],[Product Code]],ProductData[],4,FALSE)</f>
        <v>1296</v>
      </c>
      <c r="Q1185" s="6">
        <f>OrganizedData[[#This Row],[Total Items Ordered]]*VLOOKUP(OrganizedData[[#This Row],[Product Code]],ProductData[],3,FALSE)</f>
        <v>2449.44</v>
      </c>
      <c r="R11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2326.9679999999998</v>
      </c>
    </row>
    <row r="1186" spans="1:18" x14ac:dyDescent="0.3">
      <c r="A1186" s="2">
        <v>1179</v>
      </c>
      <c r="B1186" s="2" t="s">
        <v>3835</v>
      </c>
      <c r="C1186" s="2" t="s">
        <v>3836</v>
      </c>
      <c r="D1186" s="2" t="s">
        <v>28</v>
      </c>
      <c r="E1186" s="2" t="s">
        <v>29</v>
      </c>
      <c r="F1186" s="2">
        <v>60</v>
      </c>
      <c r="G1186" s="2" t="s">
        <v>3837</v>
      </c>
      <c r="H1186" s="2" t="s">
        <v>2577</v>
      </c>
      <c r="I1186" s="2" t="s">
        <v>645</v>
      </c>
      <c r="J1186" s="3">
        <v>44267</v>
      </c>
      <c r="K1186" s="5">
        <f>YEAR(OrganizedData[[#This Row],[Order Date]])</f>
        <v>2021</v>
      </c>
      <c r="L1186" s="7" t="str">
        <f>TEXT(OrganizedData[[#This Row],[Order Date]],"mmm")</f>
        <v>Mar</v>
      </c>
      <c r="M1186" s="2">
        <v>66</v>
      </c>
      <c r="N1186" s="2" t="s">
        <v>64</v>
      </c>
      <c r="O1186" s="2" t="str">
        <f>VLOOKUP(OrganizedData[[#This Row],[Product Code]],ProductData[[Code]:[Item]],2,FALSE)</f>
        <v>Ultrathing V4</v>
      </c>
      <c r="P1186" s="4">
        <f>OrganizedData[[#This Row],[Quantity]]*VLOOKUP(OrganizedData[[#This Row],[Product Code]],ProductData[],4,FALSE)</f>
        <v>1584</v>
      </c>
      <c r="Q1186" s="6">
        <f>OrganizedData[[#This Row],[Total Items Ordered]]*VLOOKUP(OrganizedData[[#This Row],[Product Code]],ProductData[],3,FALSE)</f>
        <v>6320.1600000000008</v>
      </c>
      <c r="R11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6004.152</v>
      </c>
    </row>
    <row r="1187" spans="1:18" x14ac:dyDescent="0.3">
      <c r="A1187" s="2">
        <v>1180</v>
      </c>
      <c r="B1187" s="2" t="s">
        <v>3838</v>
      </c>
      <c r="C1187" s="2" t="s">
        <v>3839</v>
      </c>
      <c r="D1187" s="2" t="s">
        <v>51</v>
      </c>
      <c r="E1187" s="2" t="s">
        <v>16</v>
      </c>
      <c r="F1187" s="2">
        <v>90</v>
      </c>
      <c r="G1187" s="2" t="s">
        <v>3840</v>
      </c>
      <c r="H1187" s="2" t="s">
        <v>2056</v>
      </c>
      <c r="I1187" s="2" t="s">
        <v>32</v>
      </c>
      <c r="J1187" s="3">
        <v>44899</v>
      </c>
      <c r="K1187" s="5">
        <f>YEAR(OrganizedData[[#This Row],[Order Date]])</f>
        <v>2022</v>
      </c>
      <c r="L1187" s="7" t="str">
        <f>TEXT(OrganizedData[[#This Row],[Order Date]],"mmm")</f>
        <v>Dec</v>
      </c>
      <c r="M1187" s="2">
        <v>70</v>
      </c>
      <c r="N1187" s="2" t="s">
        <v>80</v>
      </c>
      <c r="O1187" s="2" t="str">
        <f>VLOOKUP(OrganizedData[[#This Row],[Product Code]],ProductData[[Code]:[Item]],2,FALSE)</f>
        <v>Ultrathing V2</v>
      </c>
      <c r="P1187" s="4">
        <f>OrganizedData[[#This Row],[Quantity]]*VLOOKUP(OrganizedData[[#This Row],[Product Code]],ProductData[],4,FALSE)</f>
        <v>1400</v>
      </c>
      <c r="Q1187" s="6">
        <f>OrganizedData[[#This Row],[Total Items Ordered]]*VLOOKUP(OrganizedData[[#This Row],[Product Code]],ProductData[],3,FALSE)</f>
        <v>4130</v>
      </c>
      <c r="R11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1188" spans="1:18" x14ac:dyDescent="0.3">
      <c r="A1188" s="2">
        <v>1181</v>
      </c>
      <c r="B1188" s="2" t="s">
        <v>3841</v>
      </c>
      <c r="C1188" s="2" t="s">
        <v>50</v>
      </c>
      <c r="D1188" s="2" t="s">
        <v>41</v>
      </c>
      <c r="E1188" s="2" t="s">
        <v>16</v>
      </c>
      <c r="F1188" s="2">
        <v>30</v>
      </c>
      <c r="G1188" s="2" t="s">
        <v>3842</v>
      </c>
      <c r="H1188" s="2" t="s">
        <v>1190</v>
      </c>
      <c r="I1188" s="2" t="s">
        <v>173</v>
      </c>
      <c r="J1188" s="3">
        <v>44280</v>
      </c>
      <c r="K1188" s="5">
        <f>YEAR(OrganizedData[[#This Row],[Order Date]])</f>
        <v>2021</v>
      </c>
      <c r="L1188" s="7" t="str">
        <f>TEXT(OrganizedData[[#This Row],[Order Date]],"mmm")</f>
        <v>Mar</v>
      </c>
      <c r="M1188" s="2">
        <v>44</v>
      </c>
      <c r="N1188" s="2" t="s">
        <v>39</v>
      </c>
      <c r="O1188" s="2" t="str">
        <f>VLOOKUP(OrganizedData[[#This Row],[Product Code]],ProductData[[Code]:[Item]],2,FALSE)</f>
        <v>Ultrathing V1</v>
      </c>
      <c r="P1188" s="4">
        <f>OrganizedData[[#This Row],[Quantity]]*VLOOKUP(OrganizedData[[#This Row],[Product Code]],ProductData[],4,FALSE)</f>
        <v>748</v>
      </c>
      <c r="Q1188" s="6">
        <f>OrganizedData[[#This Row],[Total Items Ordered]]*VLOOKUP(OrganizedData[[#This Row],[Product Code]],ProductData[],3,FALSE)</f>
        <v>1338.92</v>
      </c>
      <c r="R11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1189" spans="1:18" x14ac:dyDescent="0.3">
      <c r="A1189" s="2">
        <v>1182</v>
      </c>
      <c r="B1189" s="2" t="s">
        <v>130</v>
      </c>
      <c r="C1189" s="2" t="s">
        <v>3843</v>
      </c>
      <c r="D1189" s="2" t="s">
        <v>28</v>
      </c>
      <c r="E1189" s="2" t="s">
        <v>29</v>
      </c>
      <c r="F1189" s="2">
        <v>60</v>
      </c>
      <c r="G1189" s="2" t="s">
        <v>3842</v>
      </c>
      <c r="H1189" s="2" t="s">
        <v>2733</v>
      </c>
      <c r="I1189" s="2" t="s">
        <v>25</v>
      </c>
      <c r="J1189" s="3">
        <v>43906</v>
      </c>
      <c r="K1189" s="5">
        <f>YEAR(OrganizedData[[#This Row],[Order Date]])</f>
        <v>2020</v>
      </c>
      <c r="L1189" s="7" t="str">
        <f>TEXT(OrganizedData[[#This Row],[Order Date]],"mmm")</f>
        <v>Mar</v>
      </c>
      <c r="M1189" s="2">
        <v>79</v>
      </c>
      <c r="N1189" s="2" t="s">
        <v>64</v>
      </c>
      <c r="O1189" s="2" t="str">
        <f>VLOOKUP(OrganizedData[[#This Row],[Product Code]],ProductData[[Code]:[Item]],2,FALSE)</f>
        <v>Ultrathing V4</v>
      </c>
      <c r="P1189" s="4">
        <f>OrganizedData[[#This Row],[Quantity]]*VLOOKUP(OrganizedData[[#This Row],[Product Code]],ProductData[],4,FALSE)</f>
        <v>1896</v>
      </c>
      <c r="Q1189" s="6">
        <f>OrganizedData[[#This Row],[Total Items Ordered]]*VLOOKUP(OrganizedData[[#This Row],[Product Code]],ProductData[],3,FALSE)</f>
        <v>7565.04</v>
      </c>
      <c r="R11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1190" spans="1:18" x14ac:dyDescent="0.3">
      <c r="A1190" s="2">
        <v>1183</v>
      </c>
      <c r="B1190" s="2" t="s">
        <v>3844</v>
      </c>
      <c r="C1190" s="2" t="s">
        <v>3845</v>
      </c>
      <c r="D1190" s="2" t="s">
        <v>15</v>
      </c>
      <c r="E1190" s="2" t="s">
        <v>16</v>
      </c>
      <c r="F1190" s="2">
        <v>90</v>
      </c>
      <c r="G1190" s="2" t="s">
        <v>3846</v>
      </c>
      <c r="H1190" s="2" t="s">
        <v>1712</v>
      </c>
      <c r="I1190" s="2" t="s">
        <v>187</v>
      </c>
      <c r="J1190" s="3">
        <v>44321</v>
      </c>
      <c r="K1190" s="5">
        <f>YEAR(OrganizedData[[#This Row],[Order Date]])</f>
        <v>2021</v>
      </c>
      <c r="L1190" s="7" t="str">
        <f>TEXT(OrganizedData[[#This Row],[Order Date]],"mmm")</f>
        <v>May</v>
      </c>
      <c r="M1190" s="2">
        <v>88</v>
      </c>
      <c r="N1190" s="2" t="s">
        <v>54</v>
      </c>
      <c r="O1190" s="2" t="str">
        <f>VLOOKUP(OrganizedData[[#This Row],[Product Code]],ProductData[[Code]:[Item]],2,FALSE)</f>
        <v>Megawidget S</v>
      </c>
      <c r="P1190" s="4">
        <f>OrganizedData[[#This Row],[Quantity]]*VLOOKUP(OrganizedData[[#This Row],[Product Code]],ProductData[],4,FALSE)</f>
        <v>2112</v>
      </c>
      <c r="Q1190" s="6">
        <f>OrganizedData[[#This Row],[Total Items Ordered]]*VLOOKUP(OrganizedData[[#This Row],[Product Code]],ProductData[],3,FALSE)</f>
        <v>1457.28</v>
      </c>
      <c r="R11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1384.4159999999999</v>
      </c>
    </row>
    <row r="1191" spans="1:18" x14ac:dyDescent="0.3">
      <c r="A1191" s="2">
        <v>1184</v>
      </c>
      <c r="B1191" s="2" t="s">
        <v>3847</v>
      </c>
      <c r="C1191" s="2" t="s">
        <v>3848</v>
      </c>
      <c r="D1191" s="2" t="s">
        <v>15</v>
      </c>
      <c r="E1191" s="2" t="s">
        <v>16</v>
      </c>
      <c r="F1191" s="2">
        <v>60</v>
      </c>
      <c r="G1191" s="2" t="s">
        <v>3849</v>
      </c>
      <c r="H1191" s="2" t="s">
        <v>1772</v>
      </c>
      <c r="I1191" s="2" t="s">
        <v>178</v>
      </c>
      <c r="J1191" s="3">
        <v>43866</v>
      </c>
      <c r="K1191" s="5">
        <f>YEAR(OrganizedData[[#This Row],[Order Date]])</f>
        <v>2020</v>
      </c>
      <c r="L1191" s="7" t="str">
        <f>TEXT(OrganizedData[[#This Row],[Order Date]],"mmm")</f>
        <v>Feb</v>
      </c>
      <c r="M1191" s="2">
        <v>31</v>
      </c>
      <c r="N1191" s="2" t="s">
        <v>54</v>
      </c>
      <c r="O1191" s="2" t="str">
        <f>VLOOKUP(OrganizedData[[#This Row],[Product Code]],ProductData[[Code]:[Item]],2,FALSE)</f>
        <v>Megawidget S</v>
      </c>
      <c r="P1191" s="4">
        <f>OrganizedData[[#This Row],[Quantity]]*VLOOKUP(OrganizedData[[#This Row],[Product Code]],ProductData[],4,FALSE)</f>
        <v>744</v>
      </c>
      <c r="Q1191" s="6">
        <f>OrganizedData[[#This Row],[Total Items Ordered]]*VLOOKUP(OrganizedData[[#This Row],[Product Code]],ProductData[],3,FALSE)</f>
        <v>513.36</v>
      </c>
      <c r="R11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497.95920000000001</v>
      </c>
    </row>
    <row r="1192" spans="1:18" x14ac:dyDescent="0.3">
      <c r="A1192" s="2">
        <v>1185</v>
      </c>
      <c r="B1192" s="2" t="s">
        <v>1337</v>
      </c>
      <c r="C1192" s="2" t="s">
        <v>3474</v>
      </c>
      <c r="D1192" s="2" t="s">
        <v>28</v>
      </c>
      <c r="E1192" s="2" t="s">
        <v>29</v>
      </c>
      <c r="F1192" s="2">
        <v>90</v>
      </c>
      <c r="G1192" s="2" t="s">
        <v>3850</v>
      </c>
      <c r="H1192" s="2" t="s">
        <v>3851</v>
      </c>
      <c r="I1192" s="2" t="s">
        <v>32</v>
      </c>
      <c r="J1192" s="3">
        <v>44582</v>
      </c>
      <c r="K1192" s="5">
        <f>YEAR(OrganizedData[[#This Row],[Order Date]])</f>
        <v>2022</v>
      </c>
      <c r="L1192" s="7" t="str">
        <f>TEXT(OrganizedData[[#This Row],[Order Date]],"mmm")</f>
        <v>Jan</v>
      </c>
      <c r="M1192" s="2">
        <v>31</v>
      </c>
      <c r="N1192" s="2" t="s">
        <v>45</v>
      </c>
      <c r="O1192" s="2" t="str">
        <f>VLOOKUP(OrganizedData[[#This Row],[Product Code]],ProductData[[Code]:[Item]],2,FALSE)</f>
        <v>Gigastuff</v>
      </c>
      <c r="P1192" s="4">
        <f>OrganizedData[[#This Row],[Quantity]]*VLOOKUP(OrganizedData[[#This Row],[Product Code]],ProductData[],4,FALSE)</f>
        <v>558</v>
      </c>
      <c r="Q1192" s="6">
        <f>OrganizedData[[#This Row],[Total Items Ordered]]*VLOOKUP(OrganizedData[[#This Row],[Product Code]],ProductData[],3,FALSE)</f>
        <v>1054.6199999999999</v>
      </c>
      <c r="R11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1022.9813999999999</v>
      </c>
    </row>
    <row r="1193" spans="1:18" x14ac:dyDescent="0.3">
      <c r="A1193" s="2">
        <v>1186</v>
      </c>
      <c r="B1193" s="2" t="s">
        <v>3852</v>
      </c>
      <c r="C1193" s="2" t="s">
        <v>2995</v>
      </c>
      <c r="D1193" s="2" t="s">
        <v>15</v>
      </c>
      <c r="E1193" s="2" t="s">
        <v>16</v>
      </c>
      <c r="F1193" s="2">
        <v>30</v>
      </c>
      <c r="G1193" s="2" t="s">
        <v>3853</v>
      </c>
      <c r="H1193" s="2" t="s">
        <v>3854</v>
      </c>
      <c r="I1193" s="2" t="s">
        <v>38</v>
      </c>
      <c r="J1193" s="3">
        <v>44025</v>
      </c>
      <c r="K1193" s="5">
        <f>YEAR(OrganizedData[[#This Row],[Order Date]])</f>
        <v>2020</v>
      </c>
      <c r="L1193" s="7" t="str">
        <f>TEXT(OrganizedData[[#This Row],[Order Date]],"mmm")</f>
        <v>Jul</v>
      </c>
      <c r="M1193" s="2">
        <v>66</v>
      </c>
      <c r="N1193" s="2" t="s">
        <v>70</v>
      </c>
      <c r="O1193" s="2" t="str">
        <f>VLOOKUP(OrganizedData[[#This Row],[Product Code]],ProductData[[Code]:[Item]],2,FALSE)</f>
        <v>Megawidget M</v>
      </c>
      <c r="P1193" s="4">
        <f>OrganizedData[[#This Row],[Quantity]]*VLOOKUP(OrganizedData[[#This Row],[Product Code]],ProductData[],4,FALSE)</f>
        <v>1584</v>
      </c>
      <c r="Q1193" s="6">
        <f>OrganizedData[[#This Row],[Total Items Ordered]]*VLOOKUP(OrganizedData[[#This Row],[Product Code]],ProductData[],3,FALSE)</f>
        <v>2043.3600000000001</v>
      </c>
      <c r="R11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1941.192</v>
      </c>
    </row>
    <row r="1194" spans="1:18" x14ac:dyDescent="0.3">
      <c r="A1194" s="2">
        <v>1187</v>
      </c>
      <c r="B1194" s="2" t="s">
        <v>3855</v>
      </c>
      <c r="C1194" s="2" t="s">
        <v>2923</v>
      </c>
      <c r="D1194" s="2" t="s">
        <v>28</v>
      </c>
      <c r="E1194" s="2" t="s">
        <v>29</v>
      </c>
      <c r="F1194" s="2">
        <v>30</v>
      </c>
      <c r="G1194" s="2" t="s">
        <v>3856</v>
      </c>
      <c r="H1194" s="2" t="s">
        <v>2645</v>
      </c>
      <c r="I1194" s="2" t="s">
        <v>32</v>
      </c>
      <c r="J1194" s="3">
        <v>43844</v>
      </c>
      <c r="K1194" s="5">
        <f>YEAR(OrganizedData[[#This Row],[Order Date]])</f>
        <v>2020</v>
      </c>
      <c r="L1194" s="7" t="str">
        <f>TEXT(OrganizedData[[#This Row],[Order Date]],"mmm")</f>
        <v>Jan</v>
      </c>
      <c r="M1194" s="2">
        <v>8</v>
      </c>
      <c r="N1194" s="2" t="s">
        <v>80</v>
      </c>
      <c r="O1194" s="2" t="str">
        <f>VLOOKUP(OrganizedData[[#This Row],[Product Code]],ProductData[[Code]:[Item]],2,FALSE)</f>
        <v>Ultrathing V2</v>
      </c>
      <c r="P1194" s="4">
        <f>OrganizedData[[#This Row],[Quantity]]*VLOOKUP(OrganizedData[[#This Row],[Product Code]],ProductData[],4,FALSE)</f>
        <v>160</v>
      </c>
      <c r="Q1194" s="6">
        <f>OrganizedData[[#This Row],[Total Items Ordered]]*VLOOKUP(OrganizedData[[#This Row],[Product Code]],ProductData[],3,FALSE)</f>
        <v>472</v>
      </c>
      <c r="R11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v>
      </c>
    </row>
    <row r="1195" spans="1:18" x14ac:dyDescent="0.3">
      <c r="A1195" s="2">
        <v>1188</v>
      </c>
      <c r="B1195" s="2" t="s">
        <v>3857</v>
      </c>
      <c r="C1195" s="2" t="s">
        <v>2427</v>
      </c>
      <c r="D1195" s="2" t="s">
        <v>51</v>
      </c>
      <c r="E1195" s="2" t="s">
        <v>16</v>
      </c>
      <c r="F1195" s="2">
        <v>30</v>
      </c>
      <c r="G1195" s="2" t="s">
        <v>3858</v>
      </c>
      <c r="H1195" s="2" t="s">
        <v>3859</v>
      </c>
      <c r="I1195" s="2" t="s">
        <v>124</v>
      </c>
      <c r="J1195" s="3">
        <v>44095</v>
      </c>
      <c r="K1195" s="5">
        <f>YEAR(OrganizedData[[#This Row],[Order Date]])</f>
        <v>2020</v>
      </c>
      <c r="L1195" s="7" t="str">
        <f>TEXT(OrganizedData[[#This Row],[Order Date]],"mmm")</f>
        <v>Sep</v>
      </c>
      <c r="M1195" s="2">
        <v>11</v>
      </c>
      <c r="N1195" s="2" t="s">
        <v>33</v>
      </c>
      <c r="O1195" s="2" t="str">
        <f>VLOOKUP(OrganizedData[[#This Row],[Product Code]],ProductData[[Code]:[Item]],2,FALSE)</f>
        <v>Megawidget L</v>
      </c>
      <c r="P1195" s="4">
        <f>OrganizedData[[#This Row],[Quantity]]*VLOOKUP(OrganizedData[[#This Row],[Product Code]],ProductData[],4,FALSE)</f>
        <v>264</v>
      </c>
      <c r="Q1195" s="6">
        <f>OrganizedData[[#This Row],[Total Items Ordered]]*VLOOKUP(OrganizedData[[#This Row],[Product Code]],ProductData[],3,FALSE)</f>
        <v>472.56</v>
      </c>
      <c r="R11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472.56</v>
      </c>
    </row>
    <row r="1196" spans="1:18" x14ac:dyDescent="0.3">
      <c r="A1196" s="2">
        <v>1189</v>
      </c>
      <c r="B1196" s="2" t="s">
        <v>3860</v>
      </c>
      <c r="C1196" s="2" t="s">
        <v>1999</v>
      </c>
      <c r="D1196" s="2" t="s">
        <v>15</v>
      </c>
      <c r="E1196" s="2" t="s">
        <v>16</v>
      </c>
      <c r="F1196" s="2">
        <v>30</v>
      </c>
      <c r="G1196" s="2" t="s">
        <v>3861</v>
      </c>
      <c r="H1196" s="2" t="s">
        <v>3862</v>
      </c>
      <c r="I1196" s="2" t="s">
        <v>2543</v>
      </c>
      <c r="J1196" s="3">
        <v>44301</v>
      </c>
      <c r="K1196" s="5">
        <f>YEAR(OrganizedData[[#This Row],[Order Date]])</f>
        <v>2021</v>
      </c>
      <c r="L1196" s="7" t="str">
        <f>TEXT(OrganizedData[[#This Row],[Order Date]],"mmm")</f>
        <v>Apr</v>
      </c>
      <c r="M1196" s="2">
        <v>50</v>
      </c>
      <c r="N1196" s="2" t="s">
        <v>80</v>
      </c>
      <c r="O1196" s="2" t="str">
        <f>VLOOKUP(OrganizedData[[#This Row],[Product Code]],ProductData[[Code]:[Item]],2,FALSE)</f>
        <v>Ultrathing V2</v>
      </c>
      <c r="P1196" s="4">
        <f>OrganizedData[[#This Row],[Quantity]]*VLOOKUP(OrganizedData[[#This Row],[Product Code]],ProductData[],4,FALSE)</f>
        <v>1000</v>
      </c>
      <c r="Q1196" s="6">
        <f>OrganizedData[[#This Row],[Total Items Ordered]]*VLOOKUP(OrganizedData[[#This Row],[Product Code]],ProductData[],3,FALSE)</f>
        <v>2950</v>
      </c>
      <c r="R11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2861.5</v>
      </c>
    </row>
    <row r="1197" spans="1:18" x14ac:dyDescent="0.3">
      <c r="A1197" s="2">
        <v>1190</v>
      </c>
      <c r="B1197" s="2" t="s">
        <v>3863</v>
      </c>
      <c r="C1197" s="2" t="s">
        <v>3864</v>
      </c>
      <c r="D1197" s="2" t="s">
        <v>92</v>
      </c>
      <c r="E1197" s="2" t="s">
        <v>16</v>
      </c>
      <c r="F1197" s="2">
        <v>30</v>
      </c>
      <c r="G1197" s="2" t="s">
        <v>3865</v>
      </c>
      <c r="H1197" s="2" t="s">
        <v>3866</v>
      </c>
      <c r="I1197" s="2" t="s">
        <v>32</v>
      </c>
      <c r="J1197" s="3">
        <v>44048</v>
      </c>
      <c r="K1197" s="5">
        <f>YEAR(OrganizedData[[#This Row],[Order Date]])</f>
        <v>2020</v>
      </c>
      <c r="L1197" s="7" t="str">
        <f>TEXT(OrganizedData[[#This Row],[Order Date]],"mmm")</f>
        <v>Aug</v>
      </c>
      <c r="M1197" s="2">
        <v>75</v>
      </c>
      <c r="N1197" s="2" t="s">
        <v>101</v>
      </c>
      <c r="O1197" s="2" t="str">
        <f>VLOOKUP(OrganizedData[[#This Row],[Product Code]],ProductData[[Code]:[Item]],2,FALSE)</f>
        <v>Superwossname</v>
      </c>
      <c r="P1197" s="4">
        <f>OrganizedData[[#This Row],[Quantity]]*VLOOKUP(OrganizedData[[#This Row],[Product Code]],ProductData[],4,FALSE)</f>
        <v>1500</v>
      </c>
      <c r="Q1197" s="6">
        <f>OrganizedData[[#This Row],[Total Items Ordered]]*VLOOKUP(OrganizedData[[#This Row],[Product Code]],ProductData[],3,FALSE)</f>
        <v>5235</v>
      </c>
      <c r="R11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1198" spans="1:18" x14ac:dyDescent="0.3">
      <c r="A1198" s="2">
        <v>1191</v>
      </c>
      <c r="B1198" s="2" t="s">
        <v>3867</v>
      </c>
      <c r="C1198" s="2" t="s">
        <v>3222</v>
      </c>
      <c r="D1198" s="2" t="s">
        <v>28</v>
      </c>
      <c r="E1198" s="2" t="s">
        <v>29</v>
      </c>
      <c r="F1198" s="2">
        <v>60</v>
      </c>
      <c r="G1198" s="2" t="s">
        <v>3868</v>
      </c>
      <c r="H1198" s="2" t="s">
        <v>424</v>
      </c>
      <c r="I1198" s="2" t="s">
        <v>425</v>
      </c>
      <c r="J1198" s="3">
        <v>44713</v>
      </c>
      <c r="K1198" s="5">
        <f>YEAR(OrganizedData[[#This Row],[Order Date]])</f>
        <v>2022</v>
      </c>
      <c r="L1198" s="7" t="str">
        <f>TEXT(OrganizedData[[#This Row],[Order Date]],"mmm")</f>
        <v>Jun</v>
      </c>
      <c r="M1198" s="2">
        <v>68</v>
      </c>
      <c r="N1198" s="2" t="s">
        <v>45</v>
      </c>
      <c r="O1198" s="2" t="str">
        <f>VLOOKUP(OrganizedData[[#This Row],[Product Code]],ProductData[[Code]:[Item]],2,FALSE)</f>
        <v>Gigastuff</v>
      </c>
      <c r="P1198" s="4">
        <f>OrganizedData[[#This Row],[Quantity]]*VLOOKUP(OrganizedData[[#This Row],[Product Code]],ProductData[],4,FALSE)</f>
        <v>1224</v>
      </c>
      <c r="Q1198" s="6">
        <f>OrganizedData[[#This Row],[Total Items Ordered]]*VLOOKUP(OrganizedData[[#This Row],[Product Code]],ProductData[],3,FALSE)</f>
        <v>2313.3599999999997</v>
      </c>
      <c r="R11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2197.6919999999996</v>
      </c>
    </row>
    <row r="1199" spans="1:18" x14ac:dyDescent="0.3">
      <c r="A1199" s="2">
        <v>1192</v>
      </c>
      <c r="B1199" s="2" t="s">
        <v>711</v>
      </c>
      <c r="C1199" s="2" t="s">
        <v>180</v>
      </c>
      <c r="D1199" s="2" t="s">
        <v>28</v>
      </c>
      <c r="E1199" s="2" t="s">
        <v>29</v>
      </c>
      <c r="F1199" s="2">
        <v>90</v>
      </c>
      <c r="G1199" s="2" t="s">
        <v>10482</v>
      </c>
      <c r="H1199" s="2" t="s">
        <v>3870</v>
      </c>
      <c r="I1199" s="2" t="s">
        <v>124</v>
      </c>
      <c r="J1199" s="3">
        <v>44251</v>
      </c>
      <c r="K1199" s="5">
        <f>YEAR(OrganizedData[[#This Row],[Order Date]])</f>
        <v>2021</v>
      </c>
      <c r="L1199" s="7" t="str">
        <f>TEXT(OrganizedData[[#This Row],[Order Date]],"mmm")</f>
        <v>Feb</v>
      </c>
      <c r="M1199" s="2">
        <v>76</v>
      </c>
      <c r="N1199" s="2" t="s">
        <v>33</v>
      </c>
      <c r="O1199" s="2" t="str">
        <f>VLOOKUP(OrganizedData[[#This Row],[Product Code]],ProductData[[Code]:[Item]],2,FALSE)</f>
        <v>Megawidget L</v>
      </c>
      <c r="P1199" s="4">
        <f>OrganizedData[[#This Row],[Quantity]]*VLOOKUP(OrganizedData[[#This Row],[Product Code]],ProductData[],4,FALSE)</f>
        <v>1824</v>
      </c>
      <c r="Q1199" s="6">
        <f>OrganizedData[[#This Row],[Total Items Ordered]]*VLOOKUP(OrganizedData[[#This Row],[Product Code]],ProductData[],3,FALSE)</f>
        <v>3264.96</v>
      </c>
      <c r="R11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1200" spans="1:18" x14ac:dyDescent="0.3">
      <c r="A1200" s="2">
        <v>1193</v>
      </c>
      <c r="B1200" s="2" t="s">
        <v>3871</v>
      </c>
      <c r="C1200" s="2" t="s">
        <v>3872</v>
      </c>
      <c r="D1200" s="2" t="s">
        <v>28</v>
      </c>
      <c r="E1200" s="2" t="s">
        <v>29</v>
      </c>
      <c r="F1200" s="2">
        <v>90</v>
      </c>
      <c r="G1200" s="2" t="s">
        <v>3873</v>
      </c>
      <c r="H1200" s="2" t="s">
        <v>1764</v>
      </c>
      <c r="I1200" s="2" t="s">
        <v>124</v>
      </c>
      <c r="J1200" s="3">
        <v>44503</v>
      </c>
      <c r="K1200" s="5">
        <f>YEAR(OrganizedData[[#This Row],[Order Date]])</f>
        <v>2021</v>
      </c>
      <c r="L1200" s="7" t="str">
        <f>TEXT(OrganizedData[[#This Row],[Order Date]],"mmm")</f>
        <v>Nov</v>
      </c>
      <c r="M1200" s="2">
        <v>14</v>
      </c>
      <c r="N1200" s="2" t="s">
        <v>20</v>
      </c>
      <c r="O1200" s="2" t="str">
        <f>VLOOKUP(OrganizedData[[#This Row],[Product Code]],ProductData[[Code]:[Item]],2,FALSE)</f>
        <v>Hyperwotsit</v>
      </c>
      <c r="P1200" s="4">
        <f>OrganizedData[[#This Row],[Quantity]]*VLOOKUP(OrganizedData[[#This Row],[Product Code]],ProductData[],4,FALSE)</f>
        <v>280</v>
      </c>
      <c r="Q1200" s="6">
        <f>OrganizedData[[#This Row],[Total Items Ordered]]*VLOOKUP(OrganizedData[[#This Row],[Product Code]],ProductData[],3,FALSE)</f>
        <v>562.79999999999995</v>
      </c>
      <c r="R12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1201" spans="1:18" x14ac:dyDescent="0.3">
      <c r="A1201" s="2">
        <v>1194</v>
      </c>
      <c r="B1201" s="2" t="s">
        <v>3874</v>
      </c>
      <c r="C1201" s="2" t="s">
        <v>1599</v>
      </c>
      <c r="D1201" s="2" t="s">
        <v>15</v>
      </c>
      <c r="E1201" s="2" t="s">
        <v>16</v>
      </c>
      <c r="F1201" s="2">
        <v>90</v>
      </c>
      <c r="G1201" s="2" t="s">
        <v>3875</v>
      </c>
      <c r="H1201" s="2" t="s">
        <v>3876</v>
      </c>
      <c r="I1201" s="2" t="s">
        <v>32</v>
      </c>
      <c r="J1201" s="3">
        <v>43870</v>
      </c>
      <c r="K1201" s="5">
        <f>YEAR(OrganizedData[[#This Row],[Order Date]])</f>
        <v>2020</v>
      </c>
      <c r="L1201" s="7" t="str">
        <f>TEXT(OrganizedData[[#This Row],[Order Date]],"mmm")</f>
        <v>Feb</v>
      </c>
      <c r="M1201" s="2">
        <v>79</v>
      </c>
      <c r="N1201" s="2" t="s">
        <v>39</v>
      </c>
      <c r="O1201" s="2" t="str">
        <f>VLOOKUP(OrganizedData[[#This Row],[Product Code]],ProductData[[Code]:[Item]],2,FALSE)</f>
        <v>Ultrathing V1</v>
      </c>
      <c r="P1201" s="4">
        <f>OrganizedData[[#This Row],[Quantity]]*VLOOKUP(OrganizedData[[#This Row],[Product Code]],ProductData[],4,FALSE)</f>
        <v>1343</v>
      </c>
      <c r="Q1201" s="6">
        <f>OrganizedData[[#This Row],[Total Items Ordered]]*VLOOKUP(OrganizedData[[#This Row],[Product Code]],ProductData[],3,FALSE)</f>
        <v>2403.9700000000003</v>
      </c>
      <c r="R12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2283.7715000000003</v>
      </c>
    </row>
    <row r="1202" spans="1:18" x14ac:dyDescent="0.3">
      <c r="A1202" s="2">
        <v>1195</v>
      </c>
      <c r="B1202" s="2" t="s">
        <v>3877</v>
      </c>
      <c r="C1202" s="2" t="s">
        <v>1058</v>
      </c>
      <c r="D1202" s="2" t="s">
        <v>15</v>
      </c>
      <c r="E1202" s="2" t="s">
        <v>16</v>
      </c>
      <c r="F1202" s="2">
        <v>30</v>
      </c>
      <c r="G1202" s="2" t="s">
        <v>3878</v>
      </c>
      <c r="H1202" s="2" t="s">
        <v>1945</v>
      </c>
      <c r="I1202" s="2" t="s">
        <v>32</v>
      </c>
      <c r="J1202" s="3">
        <v>44029</v>
      </c>
      <c r="K1202" s="5">
        <f>YEAR(OrganizedData[[#This Row],[Order Date]])</f>
        <v>2020</v>
      </c>
      <c r="L1202" s="7" t="str">
        <f>TEXT(OrganizedData[[#This Row],[Order Date]],"mmm")</f>
        <v>Jul</v>
      </c>
      <c r="M1202" s="2">
        <v>77</v>
      </c>
      <c r="N1202" s="2" t="s">
        <v>54</v>
      </c>
      <c r="O1202" s="2" t="str">
        <f>VLOOKUP(OrganizedData[[#This Row],[Product Code]],ProductData[[Code]:[Item]],2,FALSE)</f>
        <v>Megawidget S</v>
      </c>
      <c r="P1202" s="4">
        <f>OrganizedData[[#This Row],[Quantity]]*VLOOKUP(OrganizedData[[#This Row],[Product Code]],ProductData[],4,FALSE)</f>
        <v>1848</v>
      </c>
      <c r="Q1202" s="6">
        <f>OrganizedData[[#This Row],[Total Items Ordered]]*VLOOKUP(OrganizedData[[#This Row],[Product Code]],ProductData[],3,FALSE)</f>
        <v>1275.1199999999999</v>
      </c>
      <c r="R12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1211.3639999999998</v>
      </c>
    </row>
    <row r="1203" spans="1:18" x14ac:dyDescent="0.3">
      <c r="A1203" s="2">
        <v>1196</v>
      </c>
      <c r="B1203" s="2" t="s">
        <v>309</v>
      </c>
      <c r="C1203" s="2" t="s">
        <v>3460</v>
      </c>
      <c r="D1203" s="2" t="s">
        <v>28</v>
      </c>
      <c r="E1203" s="2" t="s">
        <v>29</v>
      </c>
      <c r="F1203" s="2">
        <v>90</v>
      </c>
      <c r="G1203" s="2" t="s">
        <v>3879</v>
      </c>
      <c r="H1203" s="2" t="s">
        <v>2965</v>
      </c>
      <c r="I1203" s="2" t="s">
        <v>25</v>
      </c>
      <c r="J1203" s="3">
        <v>44240</v>
      </c>
      <c r="K1203" s="5">
        <f>YEAR(OrganizedData[[#This Row],[Order Date]])</f>
        <v>2021</v>
      </c>
      <c r="L1203" s="7" t="str">
        <f>TEXT(OrganizedData[[#This Row],[Order Date]],"mmm")</f>
        <v>Feb</v>
      </c>
      <c r="M1203" s="2">
        <v>87</v>
      </c>
      <c r="N1203" s="2" t="s">
        <v>39</v>
      </c>
      <c r="O1203" s="2" t="str">
        <f>VLOOKUP(OrganizedData[[#This Row],[Product Code]],ProductData[[Code]:[Item]],2,FALSE)</f>
        <v>Ultrathing V1</v>
      </c>
      <c r="P1203" s="4">
        <f>OrganizedData[[#This Row],[Quantity]]*VLOOKUP(OrganizedData[[#This Row],[Product Code]],ProductData[],4,FALSE)</f>
        <v>1479</v>
      </c>
      <c r="Q1203" s="6">
        <f>OrganizedData[[#This Row],[Total Items Ordered]]*VLOOKUP(OrganizedData[[#This Row],[Product Code]],ProductData[],3,FALSE)</f>
        <v>2647.41</v>
      </c>
      <c r="R12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2515.0394999999999</v>
      </c>
    </row>
    <row r="1204" spans="1:18" x14ac:dyDescent="0.3">
      <c r="A1204" s="2">
        <v>1197</v>
      </c>
      <c r="B1204" s="2" t="s">
        <v>3880</v>
      </c>
      <c r="C1204" s="2" t="s">
        <v>788</v>
      </c>
      <c r="D1204" s="2" t="s">
        <v>28</v>
      </c>
      <c r="E1204" s="2" t="s">
        <v>29</v>
      </c>
      <c r="F1204" s="2">
        <v>60</v>
      </c>
      <c r="G1204" s="2" t="s">
        <v>3881</v>
      </c>
      <c r="H1204" s="2" t="s">
        <v>3882</v>
      </c>
      <c r="I1204" s="2" t="s">
        <v>38</v>
      </c>
      <c r="J1204" s="3">
        <v>44434</v>
      </c>
      <c r="K1204" s="5">
        <f>YEAR(OrganizedData[[#This Row],[Order Date]])</f>
        <v>2021</v>
      </c>
      <c r="L1204" s="7" t="str">
        <f>TEXT(OrganizedData[[#This Row],[Order Date]],"mmm")</f>
        <v>Aug</v>
      </c>
      <c r="M1204" s="2">
        <v>95</v>
      </c>
      <c r="N1204" s="2" t="s">
        <v>159</v>
      </c>
      <c r="O1204" s="2" t="str">
        <f>VLOOKUP(OrganizedData[[#This Row],[Product Code]],ProductData[[Code]:[Item]],2,FALSE)</f>
        <v>Ultrathing V3</v>
      </c>
      <c r="P1204" s="4">
        <f>OrganizedData[[#This Row],[Quantity]]*VLOOKUP(OrganizedData[[#This Row],[Product Code]],ProductData[],4,FALSE)</f>
        <v>2280</v>
      </c>
      <c r="Q1204" s="6">
        <f>OrganizedData[[#This Row],[Total Items Ordered]]*VLOOKUP(OrganizedData[[#This Row],[Product Code]],ProductData[],3,FALSE)</f>
        <v>7729.2000000000007</v>
      </c>
      <c r="R12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7342.7400000000007</v>
      </c>
    </row>
    <row r="1205" spans="1:18" x14ac:dyDescent="0.3">
      <c r="A1205" s="2">
        <v>1198</v>
      </c>
      <c r="B1205" s="2" t="s">
        <v>3883</v>
      </c>
      <c r="C1205" s="2" t="s">
        <v>3884</v>
      </c>
      <c r="D1205" s="2" t="s">
        <v>51</v>
      </c>
      <c r="E1205" s="2" t="s">
        <v>16</v>
      </c>
      <c r="F1205" s="2">
        <v>60</v>
      </c>
      <c r="G1205" s="2" t="s">
        <v>3885</v>
      </c>
      <c r="H1205" s="2" t="s">
        <v>279</v>
      </c>
      <c r="I1205" s="2" t="s">
        <v>213</v>
      </c>
      <c r="J1205" s="3">
        <v>44072</v>
      </c>
      <c r="K1205" s="5">
        <f>YEAR(OrganizedData[[#This Row],[Order Date]])</f>
        <v>2020</v>
      </c>
      <c r="L1205" s="7" t="str">
        <f>TEXT(OrganizedData[[#This Row],[Order Date]],"mmm")</f>
        <v>Aug</v>
      </c>
      <c r="M1205" s="2">
        <v>32</v>
      </c>
      <c r="N1205" s="2" t="s">
        <v>159</v>
      </c>
      <c r="O1205" s="2" t="str">
        <f>VLOOKUP(OrganizedData[[#This Row],[Product Code]],ProductData[[Code]:[Item]],2,FALSE)</f>
        <v>Ultrathing V3</v>
      </c>
      <c r="P1205" s="4">
        <f>OrganizedData[[#This Row],[Quantity]]*VLOOKUP(OrganizedData[[#This Row],[Product Code]],ProductData[],4,FALSE)</f>
        <v>768</v>
      </c>
      <c r="Q1205" s="6">
        <f>OrganizedData[[#This Row],[Total Items Ordered]]*VLOOKUP(OrganizedData[[#This Row],[Product Code]],ProductData[],3,FALSE)</f>
        <v>2603.52</v>
      </c>
      <c r="R12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2525.4144000000001</v>
      </c>
    </row>
    <row r="1206" spans="1:18" x14ac:dyDescent="0.3">
      <c r="A1206" s="2">
        <v>1199</v>
      </c>
      <c r="B1206" s="2" t="s">
        <v>3886</v>
      </c>
      <c r="C1206" s="2" t="s">
        <v>3887</v>
      </c>
      <c r="D1206" s="2" t="s">
        <v>51</v>
      </c>
      <c r="E1206" s="2" t="s">
        <v>16</v>
      </c>
      <c r="F1206" s="2">
        <v>90</v>
      </c>
      <c r="G1206" s="2" t="s">
        <v>3888</v>
      </c>
      <c r="H1206" s="2" t="s">
        <v>400</v>
      </c>
      <c r="I1206" s="2" t="s">
        <v>401</v>
      </c>
      <c r="J1206" s="3">
        <v>44563</v>
      </c>
      <c r="K1206" s="5">
        <f>YEAR(OrganizedData[[#This Row],[Order Date]])</f>
        <v>2022</v>
      </c>
      <c r="L1206" s="7" t="str">
        <f>TEXT(OrganizedData[[#This Row],[Order Date]],"mmm")</f>
        <v>Jan</v>
      </c>
      <c r="M1206" s="2">
        <v>46</v>
      </c>
      <c r="N1206" s="2" t="s">
        <v>70</v>
      </c>
      <c r="O1206" s="2" t="str">
        <f>VLOOKUP(OrganizedData[[#This Row],[Product Code]],ProductData[[Code]:[Item]],2,FALSE)</f>
        <v>Megawidget M</v>
      </c>
      <c r="P1206" s="4">
        <f>OrganizedData[[#This Row],[Quantity]]*VLOOKUP(OrganizedData[[#This Row],[Product Code]],ProductData[],4,FALSE)</f>
        <v>1104</v>
      </c>
      <c r="Q1206" s="6">
        <f>OrganizedData[[#This Row],[Total Items Ordered]]*VLOOKUP(OrganizedData[[#This Row],[Product Code]],ProductData[],3,FALSE)</f>
        <v>1424.16</v>
      </c>
      <c r="R12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1207" spans="1:18" x14ac:dyDescent="0.3">
      <c r="A1207" s="2">
        <v>1200</v>
      </c>
      <c r="B1207" s="2" t="s">
        <v>3889</v>
      </c>
      <c r="C1207" s="2" t="s">
        <v>3588</v>
      </c>
      <c r="D1207" s="2" t="s">
        <v>51</v>
      </c>
      <c r="E1207" s="2" t="s">
        <v>16</v>
      </c>
      <c r="F1207" s="2">
        <v>60</v>
      </c>
      <c r="G1207" s="2" t="s">
        <v>3890</v>
      </c>
      <c r="H1207" s="2" t="s">
        <v>3891</v>
      </c>
      <c r="I1207" s="2" t="s">
        <v>124</v>
      </c>
      <c r="J1207" s="3">
        <v>44004</v>
      </c>
      <c r="K1207" s="5">
        <f>YEAR(OrganizedData[[#This Row],[Order Date]])</f>
        <v>2020</v>
      </c>
      <c r="L1207" s="7" t="str">
        <f>TEXT(OrganizedData[[#This Row],[Order Date]],"mmm")</f>
        <v>Jun</v>
      </c>
      <c r="M1207" s="2">
        <v>30</v>
      </c>
      <c r="N1207" s="2" t="s">
        <v>101</v>
      </c>
      <c r="O1207" s="2" t="str">
        <f>VLOOKUP(OrganizedData[[#This Row],[Product Code]],ProductData[[Code]:[Item]],2,FALSE)</f>
        <v>Superwossname</v>
      </c>
      <c r="P1207" s="4">
        <f>OrganizedData[[#This Row],[Quantity]]*VLOOKUP(OrganizedData[[#This Row],[Product Code]],ProductData[],4,FALSE)</f>
        <v>600</v>
      </c>
      <c r="Q1207" s="6">
        <f>OrganizedData[[#This Row],[Total Items Ordered]]*VLOOKUP(OrganizedData[[#This Row],[Product Code]],ProductData[],3,FALSE)</f>
        <v>2094</v>
      </c>
      <c r="R12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2031.1799999999998</v>
      </c>
    </row>
    <row r="1208" spans="1:18" x14ac:dyDescent="0.3">
      <c r="A1208" s="2">
        <v>1201</v>
      </c>
      <c r="B1208" s="2" t="s">
        <v>3140</v>
      </c>
      <c r="C1208" s="2" t="s">
        <v>3892</v>
      </c>
      <c r="D1208" s="2" t="s">
        <v>28</v>
      </c>
      <c r="E1208" s="2" t="s">
        <v>29</v>
      </c>
      <c r="F1208" s="2">
        <v>90</v>
      </c>
      <c r="G1208" s="2" t="s">
        <v>3893</v>
      </c>
      <c r="H1208" s="2" t="s">
        <v>3894</v>
      </c>
      <c r="I1208" s="2" t="s">
        <v>110</v>
      </c>
      <c r="J1208" s="3">
        <v>44575</v>
      </c>
      <c r="K1208" s="5">
        <f>YEAR(OrganizedData[[#This Row],[Order Date]])</f>
        <v>2022</v>
      </c>
      <c r="L1208" s="7" t="str">
        <f>TEXT(OrganizedData[[#This Row],[Order Date]],"mmm")</f>
        <v>Jan</v>
      </c>
      <c r="M1208" s="2">
        <v>105</v>
      </c>
      <c r="N1208" s="2" t="s">
        <v>20</v>
      </c>
      <c r="O1208" s="2" t="str">
        <f>VLOOKUP(OrganizedData[[#This Row],[Product Code]],ProductData[[Code]:[Item]],2,FALSE)</f>
        <v>Hyperwotsit</v>
      </c>
      <c r="P1208" s="4">
        <f>OrganizedData[[#This Row],[Quantity]]*VLOOKUP(OrganizedData[[#This Row],[Product Code]],ProductData[],4,FALSE)</f>
        <v>2100</v>
      </c>
      <c r="Q1208" s="6">
        <f>OrganizedData[[#This Row],[Total Items Ordered]]*VLOOKUP(OrganizedData[[#This Row],[Product Code]],ProductData[],3,FALSE)</f>
        <v>4221</v>
      </c>
      <c r="R12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3925.53</v>
      </c>
    </row>
    <row r="1209" spans="1:18" x14ac:dyDescent="0.3">
      <c r="A1209" s="2">
        <v>1202</v>
      </c>
      <c r="B1209" s="2" t="s">
        <v>3895</v>
      </c>
      <c r="C1209" s="2" t="s">
        <v>1588</v>
      </c>
      <c r="D1209" s="2" t="s">
        <v>15</v>
      </c>
      <c r="E1209" s="2" t="s">
        <v>16</v>
      </c>
      <c r="F1209" s="2">
        <v>90</v>
      </c>
      <c r="G1209" s="2" t="s">
        <v>3896</v>
      </c>
      <c r="H1209" s="2" t="s">
        <v>3897</v>
      </c>
      <c r="I1209" s="2" t="s">
        <v>3898</v>
      </c>
      <c r="J1209" s="3">
        <v>44391</v>
      </c>
      <c r="K1209" s="5">
        <f>YEAR(OrganizedData[[#This Row],[Order Date]])</f>
        <v>2021</v>
      </c>
      <c r="L1209" s="7" t="str">
        <f>TEXT(OrganizedData[[#This Row],[Order Date]],"mmm")</f>
        <v>Jul</v>
      </c>
      <c r="M1209" s="2">
        <v>2</v>
      </c>
      <c r="N1209" s="2" t="s">
        <v>33</v>
      </c>
      <c r="O1209" s="2" t="str">
        <f>VLOOKUP(OrganizedData[[#This Row],[Product Code]],ProductData[[Code]:[Item]],2,FALSE)</f>
        <v>Megawidget L</v>
      </c>
      <c r="P1209" s="4">
        <f>OrganizedData[[#This Row],[Quantity]]*VLOOKUP(OrganizedData[[#This Row],[Product Code]],ProductData[],4,FALSE)</f>
        <v>48</v>
      </c>
      <c r="Q1209" s="6">
        <f>OrganizedData[[#This Row],[Total Items Ordered]]*VLOOKUP(OrganizedData[[#This Row],[Product Code]],ProductData[],3,FALSE)</f>
        <v>85.92</v>
      </c>
      <c r="R12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1210" spans="1:18" x14ac:dyDescent="0.3">
      <c r="A1210" s="2">
        <v>1203</v>
      </c>
      <c r="B1210" s="2" t="s">
        <v>3899</v>
      </c>
      <c r="C1210" s="2" t="s">
        <v>3900</v>
      </c>
      <c r="D1210" s="2" t="s">
        <v>15</v>
      </c>
      <c r="E1210" s="2" t="s">
        <v>16</v>
      </c>
      <c r="F1210" s="2">
        <v>30</v>
      </c>
      <c r="G1210" s="2" t="s">
        <v>10483</v>
      </c>
      <c r="H1210" s="2" t="s">
        <v>123</v>
      </c>
      <c r="I1210" s="2" t="s">
        <v>124</v>
      </c>
      <c r="J1210" s="3">
        <v>44219</v>
      </c>
      <c r="K1210" s="5">
        <f>YEAR(OrganizedData[[#This Row],[Order Date]])</f>
        <v>2021</v>
      </c>
      <c r="L1210" s="7" t="str">
        <f>TEXT(OrganizedData[[#This Row],[Order Date]],"mmm")</f>
        <v>Jan</v>
      </c>
      <c r="M1210" s="2">
        <v>33</v>
      </c>
      <c r="N1210" s="2" t="s">
        <v>39</v>
      </c>
      <c r="O1210" s="2" t="str">
        <f>VLOOKUP(OrganizedData[[#This Row],[Product Code]],ProductData[[Code]:[Item]],2,FALSE)</f>
        <v>Ultrathing V1</v>
      </c>
      <c r="P1210" s="4">
        <f>OrganizedData[[#This Row],[Quantity]]*VLOOKUP(OrganizedData[[#This Row],[Product Code]],ProductData[],4,FALSE)</f>
        <v>561</v>
      </c>
      <c r="Q1210" s="6">
        <f>OrganizedData[[#This Row],[Total Items Ordered]]*VLOOKUP(OrganizedData[[#This Row],[Product Code]],ProductData[],3,FALSE)</f>
        <v>1004.19</v>
      </c>
      <c r="R12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1211" spans="1:18" x14ac:dyDescent="0.3">
      <c r="A1211" s="2">
        <v>1204</v>
      </c>
      <c r="B1211" s="2" t="s">
        <v>3902</v>
      </c>
      <c r="C1211" s="2" t="s">
        <v>976</v>
      </c>
      <c r="D1211" s="2" t="s">
        <v>28</v>
      </c>
      <c r="E1211" s="2" t="s">
        <v>29</v>
      </c>
      <c r="F1211" s="2">
        <v>90</v>
      </c>
      <c r="G1211" s="2" t="s">
        <v>3903</v>
      </c>
      <c r="H1211" s="2" t="s">
        <v>3041</v>
      </c>
      <c r="I1211" s="2" t="s">
        <v>124</v>
      </c>
      <c r="J1211" s="3">
        <v>44555</v>
      </c>
      <c r="K1211" s="5">
        <f>YEAR(OrganizedData[[#This Row],[Order Date]])</f>
        <v>2021</v>
      </c>
      <c r="L1211" s="7" t="str">
        <f>TEXT(OrganizedData[[#This Row],[Order Date]],"mmm")</f>
        <v>Dec</v>
      </c>
      <c r="M1211" s="2">
        <v>80</v>
      </c>
      <c r="N1211" s="2" t="s">
        <v>101</v>
      </c>
      <c r="O1211" s="2" t="str">
        <f>VLOOKUP(OrganizedData[[#This Row],[Product Code]],ProductData[[Code]:[Item]],2,FALSE)</f>
        <v>Superwossname</v>
      </c>
      <c r="P1211" s="4">
        <f>OrganizedData[[#This Row],[Quantity]]*VLOOKUP(OrganizedData[[#This Row],[Product Code]],ProductData[],4,FALSE)</f>
        <v>1600</v>
      </c>
      <c r="Q1211" s="6">
        <f>OrganizedData[[#This Row],[Total Items Ordered]]*VLOOKUP(OrganizedData[[#This Row],[Product Code]],ProductData[],3,FALSE)</f>
        <v>5584</v>
      </c>
      <c r="R12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5304.8</v>
      </c>
    </row>
    <row r="1212" spans="1:18" x14ac:dyDescent="0.3">
      <c r="A1212" s="2">
        <v>1205</v>
      </c>
      <c r="B1212" s="2" t="s">
        <v>3904</v>
      </c>
      <c r="C1212" s="2" t="s">
        <v>3905</v>
      </c>
      <c r="D1212" s="2" t="s">
        <v>92</v>
      </c>
      <c r="E1212" s="2" t="s">
        <v>16</v>
      </c>
      <c r="F1212" s="2">
        <v>30</v>
      </c>
      <c r="G1212" s="2" t="s">
        <v>3906</v>
      </c>
      <c r="H1212" s="2" t="s">
        <v>2172</v>
      </c>
      <c r="I1212" s="2" t="s">
        <v>32</v>
      </c>
      <c r="J1212" s="3">
        <v>43888</v>
      </c>
      <c r="K1212" s="5">
        <f>YEAR(OrganizedData[[#This Row],[Order Date]])</f>
        <v>2020</v>
      </c>
      <c r="L1212" s="7" t="str">
        <f>TEXT(OrganizedData[[#This Row],[Order Date]],"mmm")</f>
        <v>Feb</v>
      </c>
      <c r="M1212" s="2">
        <v>8</v>
      </c>
      <c r="N1212" s="2" t="s">
        <v>101</v>
      </c>
      <c r="O1212" s="2" t="str">
        <f>VLOOKUP(OrganizedData[[#This Row],[Product Code]],ProductData[[Code]:[Item]],2,FALSE)</f>
        <v>Superwossname</v>
      </c>
      <c r="P1212" s="4">
        <f>OrganizedData[[#This Row],[Quantity]]*VLOOKUP(OrganizedData[[#This Row],[Product Code]],ProductData[],4,FALSE)</f>
        <v>160</v>
      </c>
      <c r="Q1212" s="6">
        <f>OrganizedData[[#This Row],[Total Items Ordered]]*VLOOKUP(OrganizedData[[#This Row],[Product Code]],ProductData[],3,FALSE)</f>
        <v>558.40000000000009</v>
      </c>
      <c r="R12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558.40000000000009</v>
      </c>
    </row>
    <row r="1213" spans="1:18" x14ac:dyDescent="0.3">
      <c r="A1213" s="2">
        <v>1206</v>
      </c>
      <c r="B1213" s="2" t="s">
        <v>3124</v>
      </c>
      <c r="C1213" s="2" t="s">
        <v>3907</v>
      </c>
      <c r="D1213" s="2" t="s">
        <v>28</v>
      </c>
      <c r="E1213" s="2" t="s">
        <v>29</v>
      </c>
      <c r="F1213" s="2">
        <v>90</v>
      </c>
      <c r="G1213" s="2" t="s">
        <v>3908</v>
      </c>
      <c r="H1213" s="2" t="s">
        <v>1505</v>
      </c>
      <c r="I1213" s="2" t="s">
        <v>32</v>
      </c>
      <c r="J1213" s="3">
        <v>44177</v>
      </c>
      <c r="K1213" s="5">
        <f>YEAR(OrganizedData[[#This Row],[Order Date]])</f>
        <v>2020</v>
      </c>
      <c r="L1213" s="7" t="str">
        <f>TEXT(OrganizedData[[#This Row],[Order Date]],"mmm")</f>
        <v>Dec</v>
      </c>
      <c r="M1213" s="2">
        <v>72</v>
      </c>
      <c r="N1213" s="2" t="s">
        <v>33</v>
      </c>
      <c r="O1213" s="2" t="str">
        <f>VLOOKUP(OrganizedData[[#This Row],[Product Code]],ProductData[[Code]:[Item]],2,FALSE)</f>
        <v>Megawidget L</v>
      </c>
      <c r="P1213" s="4">
        <f>OrganizedData[[#This Row],[Quantity]]*VLOOKUP(OrganizedData[[#This Row],[Product Code]],ProductData[],4,FALSE)</f>
        <v>1728</v>
      </c>
      <c r="Q1213" s="6">
        <f>OrganizedData[[#This Row],[Total Items Ordered]]*VLOOKUP(OrganizedData[[#This Row],[Product Code]],ProductData[],3,FALSE)</f>
        <v>3093.12</v>
      </c>
      <c r="R12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2938.4639999999999</v>
      </c>
    </row>
    <row r="1214" spans="1:18" x14ac:dyDescent="0.3">
      <c r="A1214" s="2">
        <v>1207</v>
      </c>
      <c r="B1214" s="2" t="s">
        <v>994</v>
      </c>
      <c r="C1214" s="2" t="s">
        <v>2485</v>
      </c>
      <c r="D1214" s="2" t="s">
        <v>28</v>
      </c>
      <c r="E1214" s="2" t="s">
        <v>29</v>
      </c>
      <c r="F1214" s="2">
        <v>60</v>
      </c>
      <c r="G1214" s="2" t="s">
        <v>3908</v>
      </c>
      <c r="H1214" s="2" t="s">
        <v>3909</v>
      </c>
      <c r="I1214" s="2" t="s">
        <v>32</v>
      </c>
      <c r="J1214" s="3">
        <v>44899</v>
      </c>
      <c r="K1214" s="5">
        <f>YEAR(OrganizedData[[#This Row],[Order Date]])</f>
        <v>2022</v>
      </c>
      <c r="L1214" s="7" t="str">
        <f>TEXT(OrganizedData[[#This Row],[Order Date]],"mmm")</f>
        <v>Dec</v>
      </c>
      <c r="M1214" s="2">
        <v>79</v>
      </c>
      <c r="N1214" s="2" t="s">
        <v>54</v>
      </c>
      <c r="O1214" s="2" t="str">
        <f>VLOOKUP(OrganizedData[[#This Row],[Product Code]],ProductData[[Code]:[Item]],2,FALSE)</f>
        <v>Megawidget S</v>
      </c>
      <c r="P1214" s="4">
        <f>OrganizedData[[#This Row],[Quantity]]*VLOOKUP(OrganizedData[[#This Row],[Product Code]],ProductData[],4,FALSE)</f>
        <v>1896</v>
      </c>
      <c r="Q1214" s="6">
        <f>OrganizedData[[#This Row],[Total Items Ordered]]*VLOOKUP(OrganizedData[[#This Row],[Product Code]],ProductData[],3,FALSE)</f>
        <v>1308.24</v>
      </c>
      <c r="R12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1242.828</v>
      </c>
    </row>
    <row r="1215" spans="1:18" x14ac:dyDescent="0.3">
      <c r="A1215" s="2">
        <v>1208</v>
      </c>
      <c r="B1215" s="2" t="s">
        <v>3910</v>
      </c>
      <c r="C1215" s="2" t="s">
        <v>3911</v>
      </c>
      <c r="D1215" s="2" t="s">
        <v>28</v>
      </c>
      <c r="E1215" s="2" t="s">
        <v>29</v>
      </c>
      <c r="F1215" s="2">
        <v>90</v>
      </c>
      <c r="G1215" s="2" t="s">
        <v>3912</v>
      </c>
      <c r="H1215" s="2" t="s">
        <v>2498</v>
      </c>
      <c r="I1215" s="2" t="s">
        <v>913</v>
      </c>
      <c r="J1215" s="3">
        <v>44512</v>
      </c>
      <c r="K1215" s="5">
        <f>YEAR(OrganizedData[[#This Row],[Order Date]])</f>
        <v>2021</v>
      </c>
      <c r="L1215" s="7" t="str">
        <f>TEXT(OrganizedData[[#This Row],[Order Date]],"mmm")</f>
        <v>Nov</v>
      </c>
      <c r="M1215" s="2">
        <v>74</v>
      </c>
      <c r="N1215" s="2" t="s">
        <v>33</v>
      </c>
      <c r="O1215" s="2" t="str">
        <f>VLOOKUP(OrganizedData[[#This Row],[Product Code]],ProductData[[Code]:[Item]],2,FALSE)</f>
        <v>Megawidget L</v>
      </c>
      <c r="P1215" s="4">
        <f>OrganizedData[[#This Row],[Quantity]]*VLOOKUP(OrganizedData[[#This Row],[Product Code]],ProductData[],4,FALSE)</f>
        <v>1776</v>
      </c>
      <c r="Q1215" s="6">
        <f>OrganizedData[[#This Row],[Total Items Ordered]]*VLOOKUP(OrganizedData[[#This Row],[Product Code]],ProductData[],3,FALSE)</f>
        <v>3179.04</v>
      </c>
      <c r="R12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1216" spans="1:18" x14ac:dyDescent="0.3">
      <c r="A1216" s="2">
        <v>1209</v>
      </c>
      <c r="B1216" s="2" t="s">
        <v>2605</v>
      </c>
      <c r="C1216" s="2" t="s">
        <v>3913</v>
      </c>
      <c r="D1216" s="2" t="s">
        <v>15</v>
      </c>
      <c r="E1216" s="2" t="s">
        <v>16</v>
      </c>
      <c r="F1216" s="2">
        <v>90</v>
      </c>
      <c r="G1216" s="2" t="s">
        <v>3914</v>
      </c>
      <c r="H1216" s="2" t="s">
        <v>3915</v>
      </c>
      <c r="I1216" s="2" t="s">
        <v>173</v>
      </c>
      <c r="J1216" s="3">
        <v>44480</v>
      </c>
      <c r="K1216" s="5">
        <f>YEAR(OrganizedData[[#This Row],[Order Date]])</f>
        <v>2021</v>
      </c>
      <c r="L1216" s="7" t="str">
        <f>TEXT(OrganizedData[[#This Row],[Order Date]],"mmm")</f>
        <v>Oct</v>
      </c>
      <c r="M1216" s="2">
        <v>28</v>
      </c>
      <c r="N1216" s="2" t="s">
        <v>159</v>
      </c>
      <c r="O1216" s="2" t="str">
        <f>VLOOKUP(OrganizedData[[#This Row],[Product Code]],ProductData[[Code]:[Item]],2,FALSE)</f>
        <v>Ultrathing V3</v>
      </c>
      <c r="P1216" s="4">
        <f>OrganizedData[[#This Row],[Quantity]]*VLOOKUP(OrganizedData[[#This Row],[Product Code]],ProductData[],4,FALSE)</f>
        <v>672</v>
      </c>
      <c r="Q1216" s="6">
        <f>OrganizedData[[#This Row],[Total Items Ordered]]*VLOOKUP(OrganizedData[[#This Row],[Product Code]],ProductData[],3,FALSE)</f>
        <v>2278.08</v>
      </c>
      <c r="R12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2209.7375999999999</v>
      </c>
    </row>
    <row r="1217" spans="1:18" x14ac:dyDescent="0.3">
      <c r="A1217" s="2">
        <v>1210</v>
      </c>
      <c r="B1217" s="2" t="s">
        <v>3916</v>
      </c>
      <c r="C1217" s="2" t="s">
        <v>3917</v>
      </c>
      <c r="D1217" s="2" t="s">
        <v>15</v>
      </c>
      <c r="E1217" s="2" t="s">
        <v>16</v>
      </c>
      <c r="F1217" s="2">
        <v>90</v>
      </c>
      <c r="G1217" s="2" t="s">
        <v>3918</v>
      </c>
      <c r="H1217" s="2" t="s">
        <v>302</v>
      </c>
      <c r="I1217" s="2" t="s">
        <v>303</v>
      </c>
      <c r="J1217" s="3">
        <v>44876</v>
      </c>
      <c r="K1217" s="5">
        <f>YEAR(OrganizedData[[#This Row],[Order Date]])</f>
        <v>2022</v>
      </c>
      <c r="L1217" s="7" t="str">
        <f>TEXT(OrganizedData[[#This Row],[Order Date]],"mmm")</f>
        <v>Nov</v>
      </c>
      <c r="M1217" s="2">
        <v>38</v>
      </c>
      <c r="N1217" s="2" t="s">
        <v>159</v>
      </c>
      <c r="O1217" s="2" t="str">
        <f>VLOOKUP(OrganizedData[[#This Row],[Product Code]],ProductData[[Code]:[Item]],2,FALSE)</f>
        <v>Ultrathing V3</v>
      </c>
      <c r="P1217" s="4">
        <f>OrganizedData[[#This Row],[Quantity]]*VLOOKUP(OrganizedData[[#This Row],[Product Code]],ProductData[],4,FALSE)</f>
        <v>912</v>
      </c>
      <c r="Q1217" s="6">
        <f>OrganizedData[[#This Row],[Total Items Ordered]]*VLOOKUP(OrganizedData[[#This Row],[Product Code]],ProductData[],3,FALSE)</f>
        <v>3091.6800000000003</v>
      </c>
      <c r="R12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2998.9296000000004</v>
      </c>
    </row>
    <row r="1218" spans="1:18" x14ac:dyDescent="0.3">
      <c r="A1218" s="2">
        <v>1211</v>
      </c>
      <c r="B1218" s="2" t="s">
        <v>3919</v>
      </c>
      <c r="C1218" s="2" t="s">
        <v>3920</v>
      </c>
      <c r="D1218" s="2" t="s">
        <v>51</v>
      </c>
      <c r="E1218" s="2" t="s">
        <v>16</v>
      </c>
      <c r="F1218" s="2">
        <v>30</v>
      </c>
      <c r="G1218" s="2" t="s">
        <v>3921</v>
      </c>
      <c r="H1218" s="2" t="s">
        <v>2284</v>
      </c>
      <c r="I1218" s="2" t="s">
        <v>32</v>
      </c>
      <c r="J1218" s="3">
        <v>44083</v>
      </c>
      <c r="K1218" s="5">
        <f>YEAR(OrganizedData[[#This Row],[Order Date]])</f>
        <v>2020</v>
      </c>
      <c r="L1218" s="7" t="str">
        <f>TEXT(OrganizedData[[#This Row],[Order Date]],"mmm")</f>
        <v>Sep</v>
      </c>
      <c r="M1218" s="2">
        <v>22</v>
      </c>
      <c r="N1218" s="2" t="s">
        <v>80</v>
      </c>
      <c r="O1218" s="2" t="str">
        <f>VLOOKUP(OrganizedData[[#This Row],[Product Code]],ProductData[[Code]:[Item]],2,FALSE)</f>
        <v>Ultrathing V2</v>
      </c>
      <c r="P1218" s="4">
        <f>OrganizedData[[#This Row],[Quantity]]*VLOOKUP(OrganizedData[[#This Row],[Product Code]],ProductData[],4,FALSE)</f>
        <v>440</v>
      </c>
      <c r="Q1218" s="6">
        <f>OrganizedData[[#This Row],[Total Items Ordered]]*VLOOKUP(OrganizedData[[#This Row],[Product Code]],ProductData[],3,FALSE)</f>
        <v>1298</v>
      </c>
      <c r="R12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1219" spans="1:18" x14ac:dyDescent="0.3">
      <c r="A1219" s="2">
        <v>1212</v>
      </c>
      <c r="B1219" s="2" t="s">
        <v>1236</v>
      </c>
      <c r="C1219" s="2" t="s">
        <v>3922</v>
      </c>
      <c r="D1219" s="2" t="s">
        <v>15</v>
      </c>
      <c r="E1219" s="2" t="s">
        <v>16</v>
      </c>
      <c r="F1219" s="2">
        <v>90</v>
      </c>
      <c r="G1219" s="2" t="s">
        <v>3923</v>
      </c>
      <c r="H1219" s="2" t="s">
        <v>1716</v>
      </c>
      <c r="I1219" s="2" t="s">
        <v>425</v>
      </c>
      <c r="J1219" s="3">
        <v>43831</v>
      </c>
      <c r="K1219" s="5">
        <f>YEAR(OrganizedData[[#This Row],[Order Date]])</f>
        <v>2020</v>
      </c>
      <c r="L1219" s="7" t="str">
        <f>TEXT(OrganizedData[[#This Row],[Order Date]],"mmm")</f>
        <v>Jan</v>
      </c>
      <c r="M1219" s="2">
        <v>14</v>
      </c>
      <c r="N1219" s="2" t="s">
        <v>39</v>
      </c>
      <c r="O1219" s="2" t="str">
        <f>VLOOKUP(OrganizedData[[#This Row],[Product Code]],ProductData[[Code]:[Item]],2,FALSE)</f>
        <v>Ultrathing V1</v>
      </c>
      <c r="P1219" s="4">
        <f>OrganizedData[[#This Row],[Quantity]]*VLOOKUP(OrganizedData[[#This Row],[Product Code]],ProductData[],4,FALSE)</f>
        <v>238</v>
      </c>
      <c r="Q1219" s="6">
        <f>OrganizedData[[#This Row],[Total Items Ordered]]*VLOOKUP(OrganizedData[[#This Row],[Product Code]],ProductData[],3,FALSE)</f>
        <v>426.02</v>
      </c>
      <c r="R12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1220" spans="1:18" x14ac:dyDescent="0.3">
      <c r="A1220" s="2">
        <v>1213</v>
      </c>
      <c r="B1220" s="2" t="s">
        <v>3924</v>
      </c>
      <c r="C1220" s="2" t="s">
        <v>2928</v>
      </c>
      <c r="D1220" s="2" t="s">
        <v>15</v>
      </c>
      <c r="E1220" s="2" t="s">
        <v>16</v>
      </c>
      <c r="F1220" s="2">
        <v>90</v>
      </c>
      <c r="G1220" s="2" t="s">
        <v>3925</v>
      </c>
      <c r="H1220" s="2" t="s">
        <v>726</v>
      </c>
      <c r="I1220" s="2" t="s">
        <v>32</v>
      </c>
      <c r="J1220" s="3">
        <v>44001</v>
      </c>
      <c r="K1220" s="5">
        <f>YEAR(OrganizedData[[#This Row],[Order Date]])</f>
        <v>2020</v>
      </c>
      <c r="L1220" s="7" t="str">
        <f>TEXT(OrganizedData[[#This Row],[Order Date]],"mmm")</f>
        <v>Jun</v>
      </c>
      <c r="M1220" s="2">
        <v>29</v>
      </c>
      <c r="N1220" s="2" t="s">
        <v>70</v>
      </c>
      <c r="O1220" s="2" t="str">
        <f>VLOOKUP(OrganizedData[[#This Row],[Product Code]],ProductData[[Code]:[Item]],2,FALSE)</f>
        <v>Megawidget M</v>
      </c>
      <c r="P1220" s="4">
        <f>OrganizedData[[#This Row],[Quantity]]*VLOOKUP(OrganizedData[[#This Row],[Product Code]],ProductData[],4,FALSE)</f>
        <v>696</v>
      </c>
      <c r="Q1220" s="6">
        <f>OrganizedData[[#This Row],[Total Items Ordered]]*VLOOKUP(OrganizedData[[#This Row],[Product Code]],ProductData[],3,FALSE)</f>
        <v>897.84</v>
      </c>
      <c r="R12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870.90480000000002</v>
      </c>
    </row>
    <row r="1221" spans="1:18" x14ac:dyDescent="0.3">
      <c r="A1221" s="2">
        <v>1214</v>
      </c>
      <c r="B1221" s="2" t="s">
        <v>1327</v>
      </c>
      <c r="C1221" s="2" t="s">
        <v>3357</v>
      </c>
      <c r="D1221" s="2" t="s">
        <v>28</v>
      </c>
      <c r="E1221" s="2" t="s">
        <v>29</v>
      </c>
      <c r="F1221" s="2">
        <v>60</v>
      </c>
      <c r="G1221" s="2" t="s">
        <v>3926</v>
      </c>
      <c r="H1221" s="2" t="s">
        <v>3224</v>
      </c>
      <c r="I1221" s="2" t="s">
        <v>2022</v>
      </c>
      <c r="J1221" s="3">
        <v>44583</v>
      </c>
      <c r="K1221" s="5">
        <f>YEAR(OrganizedData[[#This Row],[Order Date]])</f>
        <v>2022</v>
      </c>
      <c r="L1221" s="7" t="str">
        <f>TEXT(OrganizedData[[#This Row],[Order Date]],"mmm")</f>
        <v>Jan</v>
      </c>
      <c r="M1221" s="2">
        <v>54</v>
      </c>
      <c r="N1221" s="2" t="s">
        <v>33</v>
      </c>
      <c r="O1221" s="2" t="str">
        <f>VLOOKUP(OrganizedData[[#This Row],[Product Code]],ProductData[[Code]:[Item]],2,FALSE)</f>
        <v>Megawidget L</v>
      </c>
      <c r="P1221" s="4">
        <f>OrganizedData[[#This Row],[Quantity]]*VLOOKUP(OrganizedData[[#This Row],[Product Code]],ProductData[],4,FALSE)</f>
        <v>1296</v>
      </c>
      <c r="Q1221" s="6">
        <f>OrganizedData[[#This Row],[Total Items Ordered]]*VLOOKUP(OrganizedData[[#This Row],[Product Code]],ProductData[],3,FALSE)</f>
        <v>2319.84</v>
      </c>
      <c r="R12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2203.848</v>
      </c>
    </row>
    <row r="1222" spans="1:18" x14ac:dyDescent="0.3">
      <c r="A1222" s="2">
        <v>1215</v>
      </c>
      <c r="B1222" s="2" t="s">
        <v>3927</v>
      </c>
      <c r="C1222" s="2" t="s">
        <v>3928</v>
      </c>
      <c r="D1222" s="2" t="s">
        <v>117</v>
      </c>
      <c r="E1222" s="2" t="s">
        <v>29</v>
      </c>
      <c r="F1222" s="2">
        <v>90</v>
      </c>
      <c r="G1222" s="2" t="s">
        <v>3929</v>
      </c>
      <c r="H1222" s="2" t="s">
        <v>890</v>
      </c>
      <c r="I1222" s="2" t="s">
        <v>178</v>
      </c>
      <c r="J1222" s="3">
        <v>44911</v>
      </c>
      <c r="K1222" s="5">
        <f>YEAR(OrganizedData[[#This Row],[Order Date]])</f>
        <v>2022</v>
      </c>
      <c r="L1222" s="7" t="str">
        <f>TEXT(OrganizedData[[#This Row],[Order Date]],"mmm")</f>
        <v>Dec</v>
      </c>
      <c r="M1222" s="2">
        <v>19</v>
      </c>
      <c r="N1222" s="2" t="s">
        <v>80</v>
      </c>
      <c r="O1222" s="2" t="str">
        <f>VLOOKUP(OrganizedData[[#This Row],[Product Code]],ProductData[[Code]:[Item]],2,FALSE)</f>
        <v>Ultrathing V2</v>
      </c>
      <c r="P1222" s="4">
        <f>OrganizedData[[#This Row],[Quantity]]*VLOOKUP(OrganizedData[[#This Row],[Product Code]],ProductData[],4,FALSE)</f>
        <v>380</v>
      </c>
      <c r="Q1222" s="6">
        <f>OrganizedData[[#This Row],[Total Items Ordered]]*VLOOKUP(OrganizedData[[#This Row],[Product Code]],ProductData[],3,FALSE)</f>
        <v>1121</v>
      </c>
      <c r="R12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v>
      </c>
    </row>
    <row r="1223" spans="1:18" x14ac:dyDescent="0.3">
      <c r="A1223" s="2">
        <v>1216</v>
      </c>
      <c r="B1223" s="2" t="s">
        <v>774</v>
      </c>
      <c r="C1223" s="2" t="s">
        <v>3930</v>
      </c>
      <c r="D1223" s="2" t="s">
        <v>28</v>
      </c>
      <c r="E1223" s="2" t="s">
        <v>29</v>
      </c>
      <c r="F1223" s="2">
        <v>30</v>
      </c>
      <c r="G1223" s="2" t="s">
        <v>3931</v>
      </c>
      <c r="H1223" s="2" t="s">
        <v>3932</v>
      </c>
      <c r="I1223" s="2" t="s">
        <v>32</v>
      </c>
      <c r="J1223" s="3">
        <v>44308</v>
      </c>
      <c r="K1223" s="5">
        <f>YEAR(OrganizedData[[#This Row],[Order Date]])</f>
        <v>2021</v>
      </c>
      <c r="L1223" s="7" t="str">
        <f>TEXT(OrganizedData[[#This Row],[Order Date]],"mmm")</f>
        <v>Apr</v>
      </c>
      <c r="M1223" s="2">
        <v>56</v>
      </c>
      <c r="N1223" s="2" t="s">
        <v>70</v>
      </c>
      <c r="O1223" s="2" t="str">
        <f>VLOOKUP(OrganizedData[[#This Row],[Product Code]],ProductData[[Code]:[Item]],2,FALSE)</f>
        <v>Megawidget M</v>
      </c>
      <c r="P1223" s="4">
        <f>OrganizedData[[#This Row],[Quantity]]*VLOOKUP(OrganizedData[[#This Row],[Product Code]],ProductData[],4,FALSE)</f>
        <v>1344</v>
      </c>
      <c r="Q1223" s="6">
        <f>OrganizedData[[#This Row],[Total Items Ordered]]*VLOOKUP(OrganizedData[[#This Row],[Product Code]],ProductData[],3,FALSE)</f>
        <v>1733.76</v>
      </c>
      <c r="R12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1647.0719999999999</v>
      </c>
    </row>
    <row r="1224" spans="1:18" x14ac:dyDescent="0.3">
      <c r="A1224" s="2">
        <v>1217</v>
      </c>
      <c r="B1224" s="2" t="s">
        <v>2086</v>
      </c>
      <c r="C1224" s="2" t="s">
        <v>3933</v>
      </c>
      <c r="D1224" s="2" t="s">
        <v>28</v>
      </c>
      <c r="E1224" s="2" t="s">
        <v>29</v>
      </c>
      <c r="F1224" s="2">
        <v>90</v>
      </c>
      <c r="G1224" s="2" t="s">
        <v>3934</v>
      </c>
      <c r="H1224" s="2" t="s">
        <v>776</v>
      </c>
      <c r="I1224" s="2" t="s">
        <v>777</v>
      </c>
      <c r="J1224" s="3">
        <v>44890</v>
      </c>
      <c r="K1224" s="5">
        <f>YEAR(OrganizedData[[#This Row],[Order Date]])</f>
        <v>2022</v>
      </c>
      <c r="L1224" s="7" t="str">
        <f>TEXT(OrganizedData[[#This Row],[Order Date]],"mmm")</f>
        <v>Nov</v>
      </c>
      <c r="M1224" s="2">
        <v>93</v>
      </c>
      <c r="N1224" s="2" t="s">
        <v>70</v>
      </c>
      <c r="O1224" s="2" t="str">
        <f>VLOOKUP(OrganizedData[[#This Row],[Product Code]],ProductData[[Code]:[Item]],2,FALSE)</f>
        <v>Megawidget M</v>
      </c>
      <c r="P1224" s="4">
        <f>OrganizedData[[#This Row],[Quantity]]*VLOOKUP(OrganizedData[[#This Row],[Product Code]],ProductData[],4,FALSE)</f>
        <v>2232</v>
      </c>
      <c r="Q1224" s="6">
        <f>OrganizedData[[#This Row],[Total Items Ordered]]*VLOOKUP(OrganizedData[[#This Row],[Product Code]],ProductData[],3,FALSE)</f>
        <v>2879.28</v>
      </c>
      <c r="R12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2735.3160000000003</v>
      </c>
    </row>
    <row r="1225" spans="1:18" x14ac:dyDescent="0.3">
      <c r="A1225" s="2">
        <v>1218</v>
      </c>
      <c r="B1225" s="2" t="s">
        <v>2412</v>
      </c>
      <c r="C1225" s="2" t="s">
        <v>3935</v>
      </c>
      <c r="D1225" s="2" t="s">
        <v>28</v>
      </c>
      <c r="E1225" s="2" t="s">
        <v>29</v>
      </c>
      <c r="F1225" s="2">
        <v>30</v>
      </c>
      <c r="G1225" s="2" t="s">
        <v>3936</v>
      </c>
      <c r="H1225" s="2" t="s">
        <v>1940</v>
      </c>
      <c r="I1225" s="2" t="s">
        <v>294</v>
      </c>
      <c r="J1225" s="3">
        <v>44115</v>
      </c>
      <c r="K1225" s="5">
        <f>YEAR(OrganizedData[[#This Row],[Order Date]])</f>
        <v>2020</v>
      </c>
      <c r="L1225" s="7" t="str">
        <f>TEXT(OrganizedData[[#This Row],[Order Date]],"mmm")</f>
        <v>Oct</v>
      </c>
      <c r="M1225" s="2">
        <v>75</v>
      </c>
      <c r="N1225" s="2" t="s">
        <v>101</v>
      </c>
      <c r="O1225" s="2" t="str">
        <f>VLOOKUP(OrganizedData[[#This Row],[Product Code]],ProductData[[Code]:[Item]],2,FALSE)</f>
        <v>Superwossname</v>
      </c>
      <c r="P1225" s="4">
        <f>OrganizedData[[#This Row],[Quantity]]*VLOOKUP(OrganizedData[[#This Row],[Product Code]],ProductData[],4,FALSE)</f>
        <v>1500</v>
      </c>
      <c r="Q1225" s="6">
        <f>OrganizedData[[#This Row],[Total Items Ordered]]*VLOOKUP(OrganizedData[[#This Row],[Product Code]],ProductData[],3,FALSE)</f>
        <v>5235</v>
      </c>
      <c r="R12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1226" spans="1:18" x14ac:dyDescent="0.3">
      <c r="A1226" s="2">
        <v>1219</v>
      </c>
      <c r="B1226" s="2" t="s">
        <v>3937</v>
      </c>
      <c r="C1226" s="2" t="s">
        <v>3938</v>
      </c>
      <c r="D1226" s="2" t="s">
        <v>51</v>
      </c>
      <c r="E1226" s="2" t="s">
        <v>16</v>
      </c>
      <c r="F1226" s="2">
        <v>90</v>
      </c>
      <c r="G1226" s="2" t="s">
        <v>3939</v>
      </c>
      <c r="H1226" s="2" t="s">
        <v>24</v>
      </c>
      <c r="I1226" s="2" t="s">
        <v>25</v>
      </c>
      <c r="J1226" s="3">
        <v>43853</v>
      </c>
      <c r="K1226" s="5">
        <f>YEAR(OrganizedData[[#This Row],[Order Date]])</f>
        <v>2020</v>
      </c>
      <c r="L1226" s="7" t="str">
        <f>TEXT(OrganizedData[[#This Row],[Order Date]],"mmm")</f>
        <v>Jan</v>
      </c>
      <c r="M1226" s="2">
        <v>76</v>
      </c>
      <c r="N1226" s="2" t="s">
        <v>70</v>
      </c>
      <c r="O1226" s="2" t="str">
        <f>VLOOKUP(OrganizedData[[#This Row],[Product Code]],ProductData[[Code]:[Item]],2,FALSE)</f>
        <v>Megawidget M</v>
      </c>
      <c r="P1226" s="4">
        <f>OrganizedData[[#This Row],[Quantity]]*VLOOKUP(OrganizedData[[#This Row],[Product Code]],ProductData[],4,FALSE)</f>
        <v>1824</v>
      </c>
      <c r="Q1226" s="6">
        <f>OrganizedData[[#This Row],[Total Items Ordered]]*VLOOKUP(OrganizedData[[#This Row],[Product Code]],ProductData[],3,FALSE)</f>
        <v>2352.96</v>
      </c>
      <c r="R12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1227" spans="1:18" x14ac:dyDescent="0.3">
      <c r="A1227" s="2">
        <v>1220</v>
      </c>
      <c r="B1227" s="2" t="s">
        <v>3940</v>
      </c>
      <c r="C1227" s="2" t="s">
        <v>3941</v>
      </c>
      <c r="D1227" s="2" t="s">
        <v>28</v>
      </c>
      <c r="E1227" s="2" t="s">
        <v>29</v>
      </c>
      <c r="F1227" s="2">
        <v>30</v>
      </c>
      <c r="G1227" s="2" t="s">
        <v>3939</v>
      </c>
      <c r="H1227" s="2" t="s">
        <v>3942</v>
      </c>
      <c r="I1227" s="2" t="s">
        <v>294</v>
      </c>
      <c r="J1227" s="3">
        <v>44367</v>
      </c>
      <c r="K1227" s="5">
        <f>YEAR(OrganizedData[[#This Row],[Order Date]])</f>
        <v>2021</v>
      </c>
      <c r="L1227" s="7" t="str">
        <f>TEXT(OrganizedData[[#This Row],[Order Date]],"mmm")</f>
        <v>Jun</v>
      </c>
      <c r="M1227" s="2">
        <v>87</v>
      </c>
      <c r="N1227" s="2" t="s">
        <v>80</v>
      </c>
      <c r="O1227" s="2" t="str">
        <f>VLOOKUP(OrganizedData[[#This Row],[Product Code]],ProductData[[Code]:[Item]],2,FALSE)</f>
        <v>Ultrathing V2</v>
      </c>
      <c r="P1227" s="4">
        <f>OrganizedData[[#This Row],[Quantity]]*VLOOKUP(OrganizedData[[#This Row],[Product Code]],ProductData[],4,FALSE)</f>
        <v>1740</v>
      </c>
      <c r="Q1227" s="6">
        <f>OrganizedData[[#This Row],[Total Items Ordered]]*VLOOKUP(OrganizedData[[#This Row],[Product Code]],ProductData[],3,FALSE)</f>
        <v>5133</v>
      </c>
      <c r="R12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1228" spans="1:18" x14ac:dyDescent="0.3">
      <c r="A1228" s="2">
        <v>1221</v>
      </c>
      <c r="B1228" s="2" t="s">
        <v>3943</v>
      </c>
      <c r="C1228" s="2" t="s">
        <v>3944</v>
      </c>
      <c r="D1228" s="2" t="s">
        <v>28</v>
      </c>
      <c r="E1228" s="2" t="s">
        <v>29</v>
      </c>
      <c r="F1228" s="2">
        <v>90</v>
      </c>
      <c r="G1228" s="2" t="s">
        <v>3945</v>
      </c>
      <c r="H1228" s="2" t="s">
        <v>3044</v>
      </c>
      <c r="I1228" s="2" t="s">
        <v>1413</v>
      </c>
      <c r="J1228" s="3">
        <v>44675</v>
      </c>
      <c r="K1228" s="5">
        <f>YEAR(OrganizedData[[#This Row],[Order Date]])</f>
        <v>2022</v>
      </c>
      <c r="L1228" s="7" t="str">
        <f>TEXT(OrganizedData[[#This Row],[Order Date]],"mmm")</f>
        <v>Apr</v>
      </c>
      <c r="M1228" s="2">
        <v>29</v>
      </c>
      <c r="N1228" s="2" t="s">
        <v>159</v>
      </c>
      <c r="O1228" s="2" t="str">
        <f>VLOOKUP(OrganizedData[[#This Row],[Product Code]],ProductData[[Code]:[Item]],2,FALSE)</f>
        <v>Ultrathing V3</v>
      </c>
      <c r="P1228" s="4">
        <f>OrganizedData[[#This Row],[Quantity]]*VLOOKUP(OrganizedData[[#This Row],[Product Code]],ProductData[],4,FALSE)</f>
        <v>696</v>
      </c>
      <c r="Q1228" s="6">
        <f>OrganizedData[[#This Row],[Total Items Ordered]]*VLOOKUP(OrganizedData[[#This Row],[Product Code]],ProductData[],3,FALSE)</f>
        <v>2359.44</v>
      </c>
      <c r="R12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2288.6568000000002</v>
      </c>
    </row>
    <row r="1229" spans="1:18" x14ac:dyDescent="0.3">
      <c r="A1229" s="2">
        <v>1222</v>
      </c>
      <c r="B1229" s="2" t="s">
        <v>3946</v>
      </c>
      <c r="C1229" s="2" t="s">
        <v>3947</v>
      </c>
      <c r="D1229" s="2" t="s">
        <v>28</v>
      </c>
      <c r="E1229" s="2" t="s">
        <v>29</v>
      </c>
      <c r="F1229" s="2">
        <v>60</v>
      </c>
      <c r="G1229" s="2" t="s">
        <v>3948</v>
      </c>
      <c r="H1229" s="2" t="s">
        <v>1956</v>
      </c>
      <c r="I1229" s="2" t="s">
        <v>32</v>
      </c>
      <c r="J1229" s="3">
        <v>44610</v>
      </c>
      <c r="K1229" s="5">
        <f>YEAR(OrganizedData[[#This Row],[Order Date]])</f>
        <v>2022</v>
      </c>
      <c r="L1229" s="7" t="str">
        <f>TEXT(OrganizedData[[#This Row],[Order Date]],"mmm")</f>
        <v>Feb</v>
      </c>
      <c r="M1229" s="2">
        <v>64</v>
      </c>
      <c r="N1229" s="2" t="s">
        <v>54</v>
      </c>
      <c r="O1229" s="2" t="str">
        <f>VLOOKUP(OrganizedData[[#This Row],[Product Code]],ProductData[[Code]:[Item]],2,FALSE)</f>
        <v>Megawidget S</v>
      </c>
      <c r="P1229" s="4">
        <f>OrganizedData[[#This Row],[Quantity]]*VLOOKUP(OrganizedData[[#This Row],[Product Code]],ProductData[],4,FALSE)</f>
        <v>1536</v>
      </c>
      <c r="Q1229" s="6">
        <f>OrganizedData[[#This Row],[Total Items Ordered]]*VLOOKUP(OrganizedData[[#This Row],[Product Code]],ProductData[],3,FALSE)</f>
        <v>1059.8399999999999</v>
      </c>
      <c r="R12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1006.8479999999998</v>
      </c>
    </row>
    <row r="1230" spans="1:18" x14ac:dyDescent="0.3">
      <c r="A1230" s="2">
        <v>1223</v>
      </c>
      <c r="B1230" s="2" t="s">
        <v>3949</v>
      </c>
      <c r="C1230" s="2" t="s">
        <v>3744</v>
      </c>
      <c r="D1230" s="2" t="s">
        <v>15</v>
      </c>
      <c r="E1230" s="2" t="s">
        <v>16</v>
      </c>
      <c r="F1230" s="2">
        <v>60</v>
      </c>
      <c r="G1230" s="2" t="s">
        <v>3950</v>
      </c>
      <c r="H1230" s="2" t="s">
        <v>3951</v>
      </c>
      <c r="I1230" s="2" t="s">
        <v>1576</v>
      </c>
      <c r="J1230" s="3">
        <v>44580</v>
      </c>
      <c r="K1230" s="5">
        <f>YEAR(OrganizedData[[#This Row],[Order Date]])</f>
        <v>2022</v>
      </c>
      <c r="L1230" s="7" t="str">
        <f>TEXT(OrganizedData[[#This Row],[Order Date]],"mmm")</f>
        <v>Jan</v>
      </c>
      <c r="M1230" s="2">
        <v>31</v>
      </c>
      <c r="N1230" s="2" t="s">
        <v>54</v>
      </c>
      <c r="O1230" s="2" t="str">
        <f>VLOOKUP(OrganizedData[[#This Row],[Product Code]],ProductData[[Code]:[Item]],2,FALSE)</f>
        <v>Megawidget S</v>
      </c>
      <c r="P1230" s="4">
        <f>OrganizedData[[#This Row],[Quantity]]*VLOOKUP(OrganizedData[[#This Row],[Product Code]],ProductData[],4,FALSE)</f>
        <v>744</v>
      </c>
      <c r="Q1230" s="6">
        <f>OrganizedData[[#This Row],[Total Items Ordered]]*VLOOKUP(OrganizedData[[#This Row],[Product Code]],ProductData[],3,FALSE)</f>
        <v>513.36</v>
      </c>
      <c r="R12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497.95920000000001</v>
      </c>
    </row>
    <row r="1231" spans="1:18" x14ac:dyDescent="0.3">
      <c r="A1231" s="2">
        <v>1224</v>
      </c>
      <c r="B1231" s="2" t="s">
        <v>3952</v>
      </c>
      <c r="C1231" s="2" t="s">
        <v>3953</v>
      </c>
      <c r="D1231" s="2" t="s">
        <v>28</v>
      </c>
      <c r="E1231" s="2" t="s">
        <v>29</v>
      </c>
      <c r="F1231" s="2">
        <v>30</v>
      </c>
      <c r="G1231" s="2" t="s">
        <v>3954</v>
      </c>
      <c r="H1231" s="2" t="s">
        <v>1457</v>
      </c>
      <c r="I1231" s="2" t="s">
        <v>187</v>
      </c>
      <c r="J1231" s="3">
        <v>44405</v>
      </c>
      <c r="K1231" s="5">
        <f>YEAR(OrganizedData[[#This Row],[Order Date]])</f>
        <v>2021</v>
      </c>
      <c r="L1231" s="7" t="str">
        <f>TEXT(OrganizedData[[#This Row],[Order Date]],"mmm")</f>
        <v>Jul</v>
      </c>
      <c r="M1231" s="2">
        <v>85</v>
      </c>
      <c r="N1231" s="2" t="s">
        <v>70</v>
      </c>
      <c r="O1231" s="2" t="str">
        <f>VLOOKUP(OrganizedData[[#This Row],[Product Code]],ProductData[[Code]:[Item]],2,FALSE)</f>
        <v>Megawidget M</v>
      </c>
      <c r="P1231" s="4">
        <f>OrganizedData[[#This Row],[Quantity]]*VLOOKUP(OrganizedData[[#This Row],[Product Code]],ProductData[],4,FALSE)</f>
        <v>2040</v>
      </c>
      <c r="Q1231" s="6">
        <f>OrganizedData[[#This Row],[Total Items Ordered]]*VLOOKUP(OrganizedData[[#This Row],[Product Code]],ProductData[],3,FALSE)</f>
        <v>2631.6</v>
      </c>
      <c r="R12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2500.02</v>
      </c>
    </row>
    <row r="1232" spans="1:18" x14ac:dyDescent="0.3">
      <c r="A1232" s="2">
        <v>1225</v>
      </c>
      <c r="B1232" s="2" t="s">
        <v>3955</v>
      </c>
      <c r="C1232" s="2" t="s">
        <v>3956</v>
      </c>
      <c r="D1232" s="2" t="s">
        <v>41</v>
      </c>
      <c r="E1232" s="2" t="s">
        <v>16</v>
      </c>
      <c r="F1232" s="2">
        <v>90</v>
      </c>
      <c r="G1232" s="2" t="s">
        <v>3957</v>
      </c>
      <c r="H1232" s="2" t="s">
        <v>3958</v>
      </c>
      <c r="I1232" s="2" t="s">
        <v>32</v>
      </c>
      <c r="J1232" s="3">
        <v>44694</v>
      </c>
      <c r="K1232" s="5">
        <f>YEAR(OrganizedData[[#This Row],[Order Date]])</f>
        <v>2022</v>
      </c>
      <c r="L1232" s="7" t="str">
        <f>TEXT(OrganizedData[[#This Row],[Order Date]],"mmm")</f>
        <v>May</v>
      </c>
      <c r="M1232" s="2">
        <v>36</v>
      </c>
      <c r="N1232" s="2" t="s">
        <v>45</v>
      </c>
      <c r="O1232" s="2" t="str">
        <f>VLOOKUP(OrganizedData[[#This Row],[Product Code]],ProductData[[Code]:[Item]],2,FALSE)</f>
        <v>Gigastuff</v>
      </c>
      <c r="P1232" s="4">
        <f>OrganizedData[[#This Row],[Quantity]]*VLOOKUP(OrganizedData[[#This Row],[Product Code]],ProductData[],4,FALSE)</f>
        <v>648</v>
      </c>
      <c r="Q1232" s="6">
        <f>OrganizedData[[#This Row],[Total Items Ordered]]*VLOOKUP(OrganizedData[[#This Row],[Product Code]],ProductData[],3,FALSE)</f>
        <v>1224.72</v>
      </c>
      <c r="R12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1187.9784</v>
      </c>
    </row>
    <row r="1233" spans="1:18" x14ac:dyDescent="0.3">
      <c r="A1233" s="2">
        <v>1226</v>
      </c>
      <c r="B1233" s="2" t="s">
        <v>3959</v>
      </c>
      <c r="C1233" s="2" t="s">
        <v>422</v>
      </c>
      <c r="D1233" s="2" t="s">
        <v>28</v>
      </c>
      <c r="E1233" s="2" t="s">
        <v>29</v>
      </c>
      <c r="F1233" s="2">
        <v>90</v>
      </c>
      <c r="G1233" s="2" t="s">
        <v>3960</v>
      </c>
      <c r="H1233" s="2" t="s">
        <v>2893</v>
      </c>
      <c r="I1233" s="2" t="s">
        <v>32</v>
      </c>
      <c r="J1233" s="3">
        <v>44395</v>
      </c>
      <c r="K1233" s="5">
        <f>YEAR(OrganizedData[[#This Row],[Order Date]])</f>
        <v>2021</v>
      </c>
      <c r="L1233" s="7" t="str">
        <f>TEXT(OrganizedData[[#This Row],[Order Date]],"mmm")</f>
        <v>Jul</v>
      </c>
      <c r="M1233" s="2">
        <v>54</v>
      </c>
      <c r="N1233" s="2" t="s">
        <v>101</v>
      </c>
      <c r="O1233" s="2" t="str">
        <f>VLOOKUP(OrganizedData[[#This Row],[Product Code]],ProductData[[Code]:[Item]],2,FALSE)</f>
        <v>Superwossname</v>
      </c>
      <c r="P1233" s="4">
        <f>OrganizedData[[#This Row],[Quantity]]*VLOOKUP(OrganizedData[[#This Row],[Product Code]],ProductData[],4,FALSE)</f>
        <v>1080</v>
      </c>
      <c r="Q1233" s="6">
        <f>OrganizedData[[#This Row],[Total Items Ordered]]*VLOOKUP(OrganizedData[[#This Row],[Product Code]],ProductData[],3,FALSE)</f>
        <v>3769.2000000000003</v>
      </c>
      <c r="R12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1234" spans="1:18" x14ac:dyDescent="0.3">
      <c r="A1234" s="2">
        <v>1227</v>
      </c>
      <c r="B1234" s="2" t="s">
        <v>179</v>
      </c>
      <c r="C1234" s="2" t="s">
        <v>1179</v>
      </c>
      <c r="D1234" s="2" t="s">
        <v>28</v>
      </c>
      <c r="E1234" s="2" t="s">
        <v>29</v>
      </c>
      <c r="F1234" s="2">
        <v>30</v>
      </c>
      <c r="G1234" s="2" t="s">
        <v>3961</v>
      </c>
      <c r="H1234" s="2" t="s">
        <v>1374</v>
      </c>
      <c r="I1234" s="2" t="s">
        <v>294</v>
      </c>
      <c r="J1234" s="3">
        <v>43910</v>
      </c>
      <c r="K1234" s="5">
        <f>YEAR(OrganizedData[[#This Row],[Order Date]])</f>
        <v>2020</v>
      </c>
      <c r="L1234" s="7" t="str">
        <f>TEXT(OrganizedData[[#This Row],[Order Date]],"mmm")</f>
        <v>Mar</v>
      </c>
      <c r="M1234" s="2">
        <v>38</v>
      </c>
      <c r="N1234" s="2" t="s">
        <v>101</v>
      </c>
      <c r="O1234" s="2" t="str">
        <f>VLOOKUP(OrganizedData[[#This Row],[Product Code]],ProductData[[Code]:[Item]],2,FALSE)</f>
        <v>Superwossname</v>
      </c>
      <c r="P1234" s="4">
        <f>OrganizedData[[#This Row],[Quantity]]*VLOOKUP(OrganizedData[[#This Row],[Product Code]],ProductData[],4,FALSE)</f>
        <v>760</v>
      </c>
      <c r="Q1234" s="6">
        <f>OrganizedData[[#This Row],[Total Items Ordered]]*VLOOKUP(OrganizedData[[#This Row],[Product Code]],ProductData[],3,FALSE)</f>
        <v>2652.4</v>
      </c>
      <c r="R12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2572.828</v>
      </c>
    </row>
    <row r="1235" spans="1:18" x14ac:dyDescent="0.3">
      <c r="A1235" s="2">
        <v>1228</v>
      </c>
      <c r="B1235" s="2" t="s">
        <v>3962</v>
      </c>
      <c r="C1235" s="2" t="s">
        <v>281</v>
      </c>
      <c r="D1235" s="2" t="s">
        <v>28</v>
      </c>
      <c r="E1235" s="2" t="s">
        <v>29</v>
      </c>
      <c r="F1235" s="2">
        <v>30</v>
      </c>
      <c r="G1235" s="2" t="s">
        <v>3961</v>
      </c>
      <c r="H1235" s="2" t="s">
        <v>2633</v>
      </c>
      <c r="I1235" s="2" t="s">
        <v>32</v>
      </c>
      <c r="J1235" s="3">
        <v>44522</v>
      </c>
      <c r="K1235" s="5">
        <f>YEAR(OrganizedData[[#This Row],[Order Date]])</f>
        <v>2021</v>
      </c>
      <c r="L1235" s="7" t="str">
        <f>TEXT(OrganizedData[[#This Row],[Order Date]],"mmm")</f>
        <v>Nov</v>
      </c>
      <c r="M1235" s="2">
        <v>35</v>
      </c>
      <c r="N1235" s="2" t="s">
        <v>39</v>
      </c>
      <c r="O1235" s="2" t="str">
        <f>VLOOKUP(OrganizedData[[#This Row],[Product Code]],ProductData[[Code]:[Item]],2,FALSE)</f>
        <v>Ultrathing V1</v>
      </c>
      <c r="P1235" s="4">
        <f>OrganizedData[[#This Row],[Quantity]]*VLOOKUP(OrganizedData[[#This Row],[Product Code]],ProductData[],4,FALSE)</f>
        <v>595</v>
      </c>
      <c r="Q1235" s="6">
        <f>OrganizedData[[#This Row],[Total Items Ordered]]*VLOOKUP(OrganizedData[[#This Row],[Product Code]],ProductData[],3,FALSE)</f>
        <v>1065.05</v>
      </c>
      <c r="R12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1033.0984999999998</v>
      </c>
    </row>
    <row r="1236" spans="1:18" x14ac:dyDescent="0.3">
      <c r="A1236" s="2">
        <v>1229</v>
      </c>
      <c r="B1236" s="2" t="s">
        <v>3963</v>
      </c>
      <c r="C1236" s="2" t="s">
        <v>1010</v>
      </c>
      <c r="D1236" s="2" t="s">
        <v>51</v>
      </c>
      <c r="E1236" s="2" t="s">
        <v>16</v>
      </c>
      <c r="F1236" s="2">
        <v>90</v>
      </c>
      <c r="G1236" s="2" t="s">
        <v>3964</v>
      </c>
      <c r="H1236" s="2" t="s">
        <v>849</v>
      </c>
      <c r="I1236" s="2" t="s">
        <v>124</v>
      </c>
      <c r="J1236" s="3">
        <v>44469</v>
      </c>
      <c r="K1236" s="5">
        <f>YEAR(OrganizedData[[#This Row],[Order Date]])</f>
        <v>2021</v>
      </c>
      <c r="L1236" s="7" t="str">
        <f>TEXT(OrganizedData[[#This Row],[Order Date]],"mmm")</f>
        <v>Sep</v>
      </c>
      <c r="M1236" s="2">
        <v>26</v>
      </c>
      <c r="N1236" s="2" t="s">
        <v>70</v>
      </c>
      <c r="O1236" s="2" t="str">
        <f>VLOOKUP(OrganizedData[[#This Row],[Product Code]],ProductData[[Code]:[Item]],2,FALSE)</f>
        <v>Megawidget M</v>
      </c>
      <c r="P1236" s="4">
        <f>OrganizedData[[#This Row],[Quantity]]*VLOOKUP(OrganizedData[[#This Row],[Product Code]],ProductData[],4,FALSE)</f>
        <v>624</v>
      </c>
      <c r="Q1236" s="6">
        <f>OrganizedData[[#This Row],[Total Items Ordered]]*VLOOKUP(OrganizedData[[#This Row],[Product Code]],ProductData[],3,FALSE)</f>
        <v>804.96</v>
      </c>
      <c r="R12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780.81119999999999</v>
      </c>
    </row>
    <row r="1237" spans="1:18" x14ac:dyDescent="0.3">
      <c r="A1237" s="2">
        <v>1230</v>
      </c>
      <c r="B1237" s="2" t="s">
        <v>3740</v>
      </c>
      <c r="C1237" s="2" t="s">
        <v>3965</v>
      </c>
      <c r="D1237" s="2" t="s">
        <v>15</v>
      </c>
      <c r="E1237" s="2" t="s">
        <v>16</v>
      </c>
      <c r="F1237" s="2">
        <v>60</v>
      </c>
      <c r="G1237" s="2" t="s">
        <v>3966</v>
      </c>
      <c r="H1237" s="2" t="s">
        <v>363</v>
      </c>
      <c r="I1237" s="2" t="s">
        <v>110</v>
      </c>
      <c r="J1237" s="3">
        <v>43977</v>
      </c>
      <c r="K1237" s="5">
        <f>YEAR(OrganizedData[[#This Row],[Order Date]])</f>
        <v>2020</v>
      </c>
      <c r="L1237" s="7" t="str">
        <f>TEXT(OrganizedData[[#This Row],[Order Date]],"mmm")</f>
        <v>May</v>
      </c>
      <c r="M1237" s="2">
        <v>78</v>
      </c>
      <c r="N1237" s="2" t="s">
        <v>54</v>
      </c>
      <c r="O1237" s="2" t="str">
        <f>VLOOKUP(OrganizedData[[#This Row],[Product Code]],ProductData[[Code]:[Item]],2,FALSE)</f>
        <v>Megawidget S</v>
      </c>
      <c r="P1237" s="4">
        <f>OrganizedData[[#This Row],[Quantity]]*VLOOKUP(OrganizedData[[#This Row],[Product Code]],ProductData[],4,FALSE)</f>
        <v>1872</v>
      </c>
      <c r="Q1237" s="6">
        <f>OrganizedData[[#This Row],[Total Items Ordered]]*VLOOKUP(OrganizedData[[#This Row],[Product Code]],ProductData[],3,FALSE)</f>
        <v>1291.6799999999998</v>
      </c>
      <c r="R12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1238" spans="1:18" x14ac:dyDescent="0.3">
      <c r="A1238" s="2">
        <v>1231</v>
      </c>
      <c r="B1238" s="2" t="s">
        <v>3967</v>
      </c>
      <c r="C1238" s="2" t="s">
        <v>3968</v>
      </c>
      <c r="D1238" s="2" t="s">
        <v>28</v>
      </c>
      <c r="E1238" s="2" t="s">
        <v>29</v>
      </c>
      <c r="F1238" s="2">
        <v>90</v>
      </c>
      <c r="G1238" s="2" t="s">
        <v>3969</v>
      </c>
      <c r="H1238" s="2" t="s">
        <v>84</v>
      </c>
      <c r="I1238" s="2" t="s">
        <v>32</v>
      </c>
      <c r="J1238" s="3">
        <v>44858</v>
      </c>
      <c r="K1238" s="5">
        <f>YEAR(OrganizedData[[#This Row],[Order Date]])</f>
        <v>2022</v>
      </c>
      <c r="L1238" s="7" t="str">
        <f>TEXT(OrganizedData[[#This Row],[Order Date]],"mmm")</f>
        <v>Oct</v>
      </c>
      <c r="M1238" s="2">
        <v>90</v>
      </c>
      <c r="N1238" s="2" t="s">
        <v>54</v>
      </c>
      <c r="O1238" s="2" t="str">
        <f>VLOOKUP(OrganizedData[[#This Row],[Product Code]],ProductData[[Code]:[Item]],2,FALSE)</f>
        <v>Megawidget S</v>
      </c>
      <c r="P1238" s="4">
        <f>OrganizedData[[#This Row],[Quantity]]*VLOOKUP(OrganizedData[[#This Row],[Product Code]],ProductData[],4,FALSE)</f>
        <v>2160</v>
      </c>
      <c r="Q1238" s="6">
        <f>OrganizedData[[#This Row],[Total Items Ordered]]*VLOOKUP(OrganizedData[[#This Row],[Product Code]],ProductData[],3,FALSE)</f>
        <v>1490.3999999999999</v>
      </c>
      <c r="R12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1415.8799999999999</v>
      </c>
    </row>
    <row r="1239" spans="1:18" x14ac:dyDescent="0.3">
      <c r="A1239" s="2">
        <v>1232</v>
      </c>
      <c r="B1239" s="2" t="s">
        <v>3970</v>
      </c>
      <c r="C1239" s="2" t="s">
        <v>3971</v>
      </c>
      <c r="D1239" s="2" t="s">
        <v>15</v>
      </c>
      <c r="E1239" s="2" t="s">
        <v>16</v>
      </c>
      <c r="F1239" s="2">
        <v>60</v>
      </c>
      <c r="G1239" s="2" t="s">
        <v>3972</v>
      </c>
      <c r="H1239" s="2" t="s">
        <v>1034</v>
      </c>
      <c r="I1239" s="2" t="s">
        <v>1035</v>
      </c>
      <c r="J1239" s="3">
        <v>44093</v>
      </c>
      <c r="K1239" s="5">
        <f>YEAR(OrganizedData[[#This Row],[Order Date]])</f>
        <v>2020</v>
      </c>
      <c r="L1239" s="7" t="str">
        <f>TEXT(OrganizedData[[#This Row],[Order Date]],"mmm")</f>
        <v>Sep</v>
      </c>
      <c r="M1239" s="2">
        <v>85</v>
      </c>
      <c r="N1239" s="2" t="s">
        <v>39</v>
      </c>
      <c r="O1239" s="2" t="str">
        <f>VLOOKUP(OrganizedData[[#This Row],[Product Code]],ProductData[[Code]:[Item]],2,FALSE)</f>
        <v>Ultrathing V1</v>
      </c>
      <c r="P1239" s="4">
        <f>OrganizedData[[#This Row],[Quantity]]*VLOOKUP(OrganizedData[[#This Row],[Product Code]],ProductData[],4,FALSE)</f>
        <v>1445</v>
      </c>
      <c r="Q1239" s="6">
        <f>OrganizedData[[#This Row],[Total Items Ordered]]*VLOOKUP(OrganizedData[[#This Row],[Product Code]],ProductData[],3,FALSE)</f>
        <v>2586.5500000000002</v>
      </c>
      <c r="R12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1240" spans="1:18" x14ac:dyDescent="0.3">
      <c r="A1240" s="2">
        <v>1233</v>
      </c>
      <c r="B1240" s="2" t="s">
        <v>3973</v>
      </c>
      <c r="C1240" s="2" t="s">
        <v>3009</v>
      </c>
      <c r="D1240" s="2" t="s">
        <v>28</v>
      </c>
      <c r="E1240" s="2" t="s">
        <v>29</v>
      </c>
      <c r="F1240" s="2">
        <v>90</v>
      </c>
      <c r="G1240" s="2" t="s">
        <v>3974</v>
      </c>
      <c r="H1240" s="2" t="s">
        <v>1218</v>
      </c>
      <c r="I1240" s="2" t="s">
        <v>294</v>
      </c>
      <c r="J1240" s="3">
        <v>44676</v>
      </c>
      <c r="K1240" s="5">
        <f>YEAR(OrganizedData[[#This Row],[Order Date]])</f>
        <v>2022</v>
      </c>
      <c r="L1240" s="7" t="str">
        <f>TEXT(OrganizedData[[#This Row],[Order Date]],"mmm")</f>
        <v>Apr</v>
      </c>
      <c r="M1240" s="2">
        <v>77</v>
      </c>
      <c r="N1240" s="2" t="s">
        <v>101</v>
      </c>
      <c r="O1240" s="2" t="str">
        <f>VLOOKUP(OrganizedData[[#This Row],[Product Code]],ProductData[[Code]:[Item]],2,FALSE)</f>
        <v>Superwossname</v>
      </c>
      <c r="P1240" s="4">
        <f>OrganizedData[[#This Row],[Quantity]]*VLOOKUP(OrganizedData[[#This Row],[Product Code]],ProductData[],4,FALSE)</f>
        <v>1540</v>
      </c>
      <c r="Q1240" s="6">
        <f>OrganizedData[[#This Row],[Total Items Ordered]]*VLOOKUP(OrganizedData[[#This Row],[Product Code]],ProductData[],3,FALSE)</f>
        <v>5374.6</v>
      </c>
      <c r="R12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5105.87</v>
      </c>
    </row>
    <row r="1241" spans="1:18" x14ac:dyDescent="0.3">
      <c r="A1241" s="2">
        <v>1234</v>
      </c>
      <c r="B1241" s="2" t="s">
        <v>1458</v>
      </c>
      <c r="C1241" s="2" t="s">
        <v>3581</v>
      </c>
      <c r="D1241" s="2" t="s">
        <v>28</v>
      </c>
      <c r="E1241" s="2" t="s">
        <v>29</v>
      </c>
      <c r="F1241" s="2">
        <v>30</v>
      </c>
      <c r="G1241" s="2" t="s">
        <v>3975</v>
      </c>
      <c r="H1241" s="2" t="s">
        <v>3976</v>
      </c>
      <c r="I1241" s="2" t="s">
        <v>173</v>
      </c>
      <c r="J1241" s="3">
        <v>44712</v>
      </c>
      <c r="K1241" s="5">
        <f>YEAR(OrganizedData[[#This Row],[Order Date]])</f>
        <v>2022</v>
      </c>
      <c r="L1241" s="7" t="str">
        <f>TEXT(OrganizedData[[#This Row],[Order Date]],"mmm")</f>
        <v>May</v>
      </c>
      <c r="M1241" s="2">
        <v>37</v>
      </c>
      <c r="N1241" s="2" t="s">
        <v>80</v>
      </c>
      <c r="O1241" s="2" t="str">
        <f>VLOOKUP(OrganizedData[[#This Row],[Product Code]],ProductData[[Code]:[Item]],2,FALSE)</f>
        <v>Ultrathing V2</v>
      </c>
      <c r="P1241" s="4">
        <f>OrganizedData[[#This Row],[Quantity]]*VLOOKUP(OrganizedData[[#This Row],[Product Code]],ProductData[],4,FALSE)</f>
        <v>740</v>
      </c>
      <c r="Q1241" s="6">
        <f>OrganizedData[[#This Row],[Total Items Ordered]]*VLOOKUP(OrganizedData[[#This Row],[Product Code]],ProductData[],3,FALSE)</f>
        <v>2183</v>
      </c>
      <c r="R12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1242" spans="1:18" x14ac:dyDescent="0.3">
      <c r="A1242" s="2">
        <v>1235</v>
      </c>
      <c r="B1242" s="2" t="s">
        <v>3977</v>
      </c>
      <c r="C1242" s="2" t="s">
        <v>2635</v>
      </c>
      <c r="D1242" s="2" t="s">
        <v>15</v>
      </c>
      <c r="E1242" s="2" t="s">
        <v>16</v>
      </c>
      <c r="F1242" s="2">
        <v>30</v>
      </c>
      <c r="G1242" s="2" t="s">
        <v>3978</v>
      </c>
      <c r="H1242" s="2" t="s">
        <v>2121</v>
      </c>
      <c r="I1242" s="2" t="s">
        <v>38</v>
      </c>
      <c r="J1242" s="3">
        <v>44051</v>
      </c>
      <c r="K1242" s="5">
        <f>YEAR(OrganizedData[[#This Row],[Order Date]])</f>
        <v>2020</v>
      </c>
      <c r="L1242" s="7" t="str">
        <f>TEXT(OrganizedData[[#This Row],[Order Date]],"mmm")</f>
        <v>Aug</v>
      </c>
      <c r="M1242" s="2">
        <v>43</v>
      </c>
      <c r="N1242" s="2" t="s">
        <v>70</v>
      </c>
      <c r="O1242" s="2" t="str">
        <f>VLOOKUP(OrganizedData[[#This Row],[Product Code]],ProductData[[Code]:[Item]],2,FALSE)</f>
        <v>Megawidget M</v>
      </c>
      <c r="P1242" s="4">
        <f>OrganizedData[[#This Row],[Quantity]]*VLOOKUP(OrganizedData[[#This Row],[Product Code]],ProductData[],4,FALSE)</f>
        <v>1032</v>
      </c>
      <c r="Q1242" s="6">
        <f>OrganizedData[[#This Row],[Total Items Ordered]]*VLOOKUP(OrganizedData[[#This Row],[Product Code]],ProductData[],3,FALSE)</f>
        <v>1331.28</v>
      </c>
      <c r="R12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1243" spans="1:18" x14ac:dyDescent="0.3">
      <c r="A1243" s="2">
        <v>1236</v>
      </c>
      <c r="B1243" s="2" t="s">
        <v>3979</v>
      </c>
      <c r="C1243" s="2" t="s">
        <v>3201</v>
      </c>
      <c r="D1243" s="2" t="s">
        <v>15</v>
      </c>
      <c r="E1243" s="2" t="s">
        <v>16</v>
      </c>
      <c r="F1243" s="2">
        <v>30</v>
      </c>
      <c r="G1243" s="2" t="s">
        <v>3980</v>
      </c>
      <c r="H1243" s="2" t="s">
        <v>2633</v>
      </c>
      <c r="I1243" s="2" t="s">
        <v>32</v>
      </c>
      <c r="J1243" s="3">
        <v>44781</v>
      </c>
      <c r="K1243" s="5">
        <f>YEAR(OrganizedData[[#This Row],[Order Date]])</f>
        <v>2022</v>
      </c>
      <c r="L1243" s="7" t="str">
        <f>TEXT(OrganizedData[[#This Row],[Order Date]],"mmm")</f>
        <v>Aug</v>
      </c>
      <c r="M1243" s="2">
        <v>21</v>
      </c>
      <c r="N1243" s="2" t="s">
        <v>159</v>
      </c>
      <c r="O1243" s="2" t="str">
        <f>VLOOKUP(OrganizedData[[#This Row],[Product Code]],ProductData[[Code]:[Item]],2,FALSE)</f>
        <v>Ultrathing V3</v>
      </c>
      <c r="P1243" s="4">
        <f>OrganizedData[[#This Row],[Quantity]]*VLOOKUP(OrganizedData[[#This Row],[Product Code]],ProductData[],4,FALSE)</f>
        <v>504</v>
      </c>
      <c r="Q1243" s="6">
        <f>OrganizedData[[#This Row],[Total Items Ordered]]*VLOOKUP(OrganizedData[[#This Row],[Product Code]],ProductData[],3,FALSE)</f>
        <v>1708.5600000000002</v>
      </c>
      <c r="R12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1657.3032000000001</v>
      </c>
    </row>
    <row r="1244" spans="1:18" x14ac:dyDescent="0.3">
      <c r="A1244" s="2">
        <v>1237</v>
      </c>
      <c r="B1244" s="2" t="s">
        <v>3981</v>
      </c>
      <c r="C1244" s="2" t="s">
        <v>3111</v>
      </c>
      <c r="D1244" s="2" t="s">
        <v>51</v>
      </c>
      <c r="E1244" s="2" t="s">
        <v>16</v>
      </c>
      <c r="F1244" s="2">
        <v>30</v>
      </c>
      <c r="G1244" s="2" t="s">
        <v>3982</v>
      </c>
      <c r="H1244" s="2" t="s">
        <v>288</v>
      </c>
      <c r="I1244" s="2" t="s">
        <v>32</v>
      </c>
      <c r="J1244" s="3">
        <v>44550</v>
      </c>
      <c r="K1244" s="5">
        <f>YEAR(OrganizedData[[#This Row],[Order Date]])</f>
        <v>2021</v>
      </c>
      <c r="L1244" s="7" t="str">
        <f>TEXT(OrganizedData[[#This Row],[Order Date]],"mmm")</f>
        <v>Dec</v>
      </c>
      <c r="M1244" s="2">
        <v>91</v>
      </c>
      <c r="N1244" s="2" t="s">
        <v>20</v>
      </c>
      <c r="O1244" s="2" t="str">
        <f>VLOOKUP(OrganizedData[[#This Row],[Product Code]],ProductData[[Code]:[Item]],2,FALSE)</f>
        <v>Hyperwotsit</v>
      </c>
      <c r="P1244" s="4">
        <f>OrganizedData[[#This Row],[Quantity]]*VLOOKUP(OrganizedData[[#This Row],[Product Code]],ProductData[],4,FALSE)</f>
        <v>1820</v>
      </c>
      <c r="Q1244" s="6">
        <f>OrganizedData[[#This Row],[Total Items Ordered]]*VLOOKUP(OrganizedData[[#This Row],[Product Code]],ProductData[],3,FALSE)</f>
        <v>3658.2</v>
      </c>
      <c r="R12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3475.2899999999995</v>
      </c>
    </row>
    <row r="1245" spans="1:18" x14ac:dyDescent="0.3">
      <c r="A1245" s="2">
        <v>1238</v>
      </c>
      <c r="B1245" s="2" t="s">
        <v>2103</v>
      </c>
      <c r="C1245" s="2" t="s">
        <v>1066</v>
      </c>
      <c r="D1245" s="2" t="s">
        <v>92</v>
      </c>
      <c r="E1245" s="2" t="s">
        <v>16</v>
      </c>
      <c r="F1245" s="2">
        <v>30</v>
      </c>
      <c r="G1245" s="2" t="s">
        <v>3983</v>
      </c>
      <c r="H1245" s="2" t="s">
        <v>3984</v>
      </c>
      <c r="I1245" s="2" t="s">
        <v>32</v>
      </c>
      <c r="J1245" s="3">
        <v>44144</v>
      </c>
      <c r="K1245" s="5">
        <f>YEAR(OrganizedData[[#This Row],[Order Date]])</f>
        <v>2020</v>
      </c>
      <c r="L1245" s="7" t="str">
        <f>TEXT(OrganizedData[[#This Row],[Order Date]],"mmm")</f>
        <v>Nov</v>
      </c>
      <c r="M1245" s="2">
        <v>38</v>
      </c>
      <c r="N1245" s="2" t="s">
        <v>70</v>
      </c>
      <c r="O1245" s="2" t="str">
        <f>VLOOKUP(OrganizedData[[#This Row],[Product Code]],ProductData[[Code]:[Item]],2,FALSE)</f>
        <v>Megawidget M</v>
      </c>
      <c r="P1245" s="4">
        <f>OrganizedData[[#This Row],[Quantity]]*VLOOKUP(OrganizedData[[#This Row],[Product Code]],ProductData[],4,FALSE)</f>
        <v>912</v>
      </c>
      <c r="Q1245" s="6">
        <f>OrganizedData[[#This Row],[Total Items Ordered]]*VLOOKUP(OrganizedData[[#This Row],[Product Code]],ProductData[],3,FALSE)</f>
        <v>1176.48</v>
      </c>
      <c r="R12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1141.1856</v>
      </c>
    </row>
    <row r="1246" spans="1:18" x14ac:dyDescent="0.3">
      <c r="A1246" s="2">
        <v>1239</v>
      </c>
      <c r="B1246" s="2" t="s">
        <v>3985</v>
      </c>
      <c r="C1246" s="2" t="s">
        <v>2091</v>
      </c>
      <c r="D1246" s="2" t="s">
        <v>15</v>
      </c>
      <c r="E1246" s="2" t="s">
        <v>16</v>
      </c>
      <c r="F1246" s="2">
        <v>30</v>
      </c>
      <c r="G1246" s="2" t="s">
        <v>3986</v>
      </c>
      <c r="H1246" s="2" t="s">
        <v>3987</v>
      </c>
      <c r="I1246" s="2" t="s">
        <v>554</v>
      </c>
      <c r="J1246" s="3">
        <v>44087</v>
      </c>
      <c r="K1246" s="5">
        <f>YEAR(OrganizedData[[#This Row],[Order Date]])</f>
        <v>2020</v>
      </c>
      <c r="L1246" s="7" t="str">
        <f>TEXT(OrganizedData[[#This Row],[Order Date]],"mmm")</f>
        <v>Sep</v>
      </c>
      <c r="M1246" s="2">
        <v>26</v>
      </c>
      <c r="N1246" s="2" t="s">
        <v>70</v>
      </c>
      <c r="O1246" s="2" t="str">
        <f>VLOOKUP(OrganizedData[[#This Row],[Product Code]],ProductData[[Code]:[Item]],2,FALSE)</f>
        <v>Megawidget M</v>
      </c>
      <c r="P1246" s="4">
        <f>OrganizedData[[#This Row],[Quantity]]*VLOOKUP(OrganizedData[[#This Row],[Product Code]],ProductData[],4,FALSE)</f>
        <v>624</v>
      </c>
      <c r="Q1246" s="6">
        <f>OrganizedData[[#This Row],[Total Items Ordered]]*VLOOKUP(OrganizedData[[#This Row],[Product Code]],ProductData[],3,FALSE)</f>
        <v>804.96</v>
      </c>
      <c r="R12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780.81119999999999</v>
      </c>
    </row>
    <row r="1247" spans="1:18" x14ac:dyDescent="0.3">
      <c r="A1247" s="2">
        <v>1240</v>
      </c>
      <c r="B1247" s="2" t="s">
        <v>3988</v>
      </c>
      <c r="C1247" s="2" t="s">
        <v>3989</v>
      </c>
      <c r="D1247" s="2" t="s">
        <v>51</v>
      </c>
      <c r="E1247" s="2" t="s">
        <v>16</v>
      </c>
      <c r="F1247" s="2">
        <v>90</v>
      </c>
      <c r="G1247" s="2" t="s">
        <v>3990</v>
      </c>
      <c r="H1247" s="2" t="s">
        <v>3991</v>
      </c>
      <c r="I1247" s="2" t="s">
        <v>32</v>
      </c>
      <c r="J1247" s="3">
        <v>44033</v>
      </c>
      <c r="K1247" s="5">
        <f>YEAR(OrganizedData[[#This Row],[Order Date]])</f>
        <v>2020</v>
      </c>
      <c r="L1247" s="7" t="str">
        <f>TEXT(OrganizedData[[#This Row],[Order Date]],"mmm")</f>
        <v>Jul</v>
      </c>
      <c r="M1247" s="2">
        <v>50</v>
      </c>
      <c r="N1247" s="2" t="s">
        <v>64</v>
      </c>
      <c r="O1247" s="2" t="str">
        <f>VLOOKUP(OrganizedData[[#This Row],[Product Code]],ProductData[[Code]:[Item]],2,FALSE)</f>
        <v>Ultrathing V4</v>
      </c>
      <c r="P1247" s="4">
        <f>OrganizedData[[#This Row],[Quantity]]*VLOOKUP(OrganizedData[[#This Row],[Product Code]],ProductData[],4,FALSE)</f>
        <v>1200</v>
      </c>
      <c r="Q1247" s="6">
        <f>OrganizedData[[#This Row],[Total Items Ordered]]*VLOOKUP(OrganizedData[[#This Row],[Product Code]],ProductData[],3,FALSE)</f>
        <v>4788</v>
      </c>
      <c r="R12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4644.3599999999997</v>
      </c>
    </row>
    <row r="1248" spans="1:18" x14ac:dyDescent="0.3">
      <c r="A1248" s="2">
        <v>1241</v>
      </c>
      <c r="B1248" s="2" t="s">
        <v>3992</v>
      </c>
      <c r="C1248" s="2" t="s">
        <v>313</v>
      </c>
      <c r="D1248" s="2" t="s">
        <v>28</v>
      </c>
      <c r="E1248" s="2" t="s">
        <v>29</v>
      </c>
      <c r="F1248" s="2">
        <v>30</v>
      </c>
      <c r="G1248" s="2" t="s">
        <v>3993</v>
      </c>
      <c r="H1248" s="2" t="s">
        <v>2603</v>
      </c>
      <c r="I1248" s="2" t="s">
        <v>2604</v>
      </c>
      <c r="J1248" s="3">
        <v>44408</v>
      </c>
      <c r="K1248" s="5">
        <f>YEAR(OrganizedData[[#This Row],[Order Date]])</f>
        <v>2021</v>
      </c>
      <c r="L1248" s="7" t="str">
        <f>TEXT(OrganizedData[[#This Row],[Order Date]],"mmm")</f>
        <v>Jul</v>
      </c>
      <c r="M1248" s="2">
        <v>18</v>
      </c>
      <c r="N1248" s="2" t="s">
        <v>101</v>
      </c>
      <c r="O1248" s="2" t="str">
        <f>VLOOKUP(OrganizedData[[#This Row],[Product Code]],ProductData[[Code]:[Item]],2,FALSE)</f>
        <v>Superwossname</v>
      </c>
      <c r="P1248" s="4">
        <f>OrganizedData[[#This Row],[Quantity]]*VLOOKUP(OrganizedData[[#This Row],[Product Code]],ProductData[],4,FALSE)</f>
        <v>360</v>
      </c>
      <c r="Q1248" s="6">
        <f>OrganizedData[[#This Row],[Total Items Ordered]]*VLOOKUP(OrganizedData[[#This Row],[Product Code]],ProductData[],3,FALSE)</f>
        <v>1256.4000000000001</v>
      </c>
      <c r="R12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1249" spans="1:18" x14ac:dyDescent="0.3">
      <c r="A1249" s="2">
        <v>1242</v>
      </c>
      <c r="B1249" s="2" t="s">
        <v>3994</v>
      </c>
      <c r="C1249" s="2" t="s">
        <v>3843</v>
      </c>
      <c r="D1249" s="2" t="s">
        <v>15</v>
      </c>
      <c r="E1249" s="2" t="s">
        <v>16</v>
      </c>
      <c r="F1249" s="2">
        <v>30</v>
      </c>
      <c r="G1249" s="2" t="s">
        <v>3995</v>
      </c>
      <c r="H1249" s="2" t="s">
        <v>3996</v>
      </c>
      <c r="I1249" s="2" t="s">
        <v>294</v>
      </c>
      <c r="J1249" s="3">
        <v>44242</v>
      </c>
      <c r="K1249" s="5">
        <f>YEAR(OrganizedData[[#This Row],[Order Date]])</f>
        <v>2021</v>
      </c>
      <c r="L1249" s="7" t="str">
        <f>TEXT(OrganizedData[[#This Row],[Order Date]],"mmm")</f>
        <v>Feb</v>
      </c>
      <c r="M1249" s="2">
        <v>59</v>
      </c>
      <c r="N1249" s="2" t="s">
        <v>70</v>
      </c>
      <c r="O1249" s="2" t="str">
        <f>VLOOKUP(OrganizedData[[#This Row],[Product Code]],ProductData[[Code]:[Item]],2,FALSE)</f>
        <v>Megawidget M</v>
      </c>
      <c r="P1249" s="4">
        <f>OrganizedData[[#This Row],[Quantity]]*VLOOKUP(OrganizedData[[#This Row],[Product Code]],ProductData[],4,FALSE)</f>
        <v>1416</v>
      </c>
      <c r="Q1249" s="6">
        <f>OrganizedData[[#This Row],[Total Items Ordered]]*VLOOKUP(OrganizedData[[#This Row],[Product Code]],ProductData[],3,FALSE)</f>
        <v>1826.64</v>
      </c>
      <c r="R12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1250" spans="1:18" x14ac:dyDescent="0.3">
      <c r="A1250" s="2">
        <v>1243</v>
      </c>
      <c r="B1250" s="2" t="s">
        <v>2251</v>
      </c>
      <c r="C1250" s="2" t="s">
        <v>3997</v>
      </c>
      <c r="D1250" s="2" t="s">
        <v>28</v>
      </c>
      <c r="E1250" s="2" t="s">
        <v>29</v>
      </c>
      <c r="F1250" s="2">
        <v>30</v>
      </c>
      <c r="G1250" s="2" t="s">
        <v>10484</v>
      </c>
      <c r="H1250" s="2" t="s">
        <v>641</v>
      </c>
      <c r="I1250" s="2" t="s">
        <v>294</v>
      </c>
      <c r="J1250" s="3">
        <v>44325</v>
      </c>
      <c r="K1250" s="5">
        <f>YEAR(OrganizedData[[#This Row],[Order Date]])</f>
        <v>2021</v>
      </c>
      <c r="L1250" s="7" t="str">
        <f>TEXT(OrganizedData[[#This Row],[Order Date]],"mmm")</f>
        <v>May</v>
      </c>
      <c r="M1250" s="2">
        <v>86</v>
      </c>
      <c r="N1250" s="2" t="s">
        <v>39</v>
      </c>
      <c r="O1250" s="2" t="str">
        <f>VLOOKUP(OrganizedData[[#This Row],[Product Code]],ProductData[[Code]:[Item]],2,FALSE)</f>
        <v>Ultrathing V1</v>
      </c>
      <c r="P1250" s="4">
        <f>OrganizedData[[#This Row],[Quantity]]*VLOOKUP(OrganizedData[[#This Row],[Product Code]],ProductData[],4,FALSE)</f>
        <v>1462</v>
      </c>
      <c r="Q1250" s="6">
        <f>OrganizedData[[#This Row],[Total Items Ordered]]*VLOOKUP(OrganizedData[[#This Row],[Product Code]],ProductData[],3,FALSE)</f>
        <v>2616.98</v>
      </c>
      <c r="R12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2486.1309999999999</v>
      </c>
    </row>
    <row r="1251" spans="1:18" x14ac:dyDescent="0.3">
      <c r="A1251" s="2">
        <v>1244</v>
      </c>
      <c r="B1251" s="2" t="s">
        <v>3999</v>
      </c>
      <c r="C1251" s="2" t="s">
        <v>4000</v>
      </c>
      <c r="D1251" s="2" t="s">
        <v>28</v>
      </c>
      <c r="E1251" s="2" t="s">
        <v>29</v>
      </c>
      <c r="F1251" s="2">
        <v>30</v>
      </c>
      <c r="G1251" s="2" t="s">
        <v>4001</v>
      </c>
      <c r="H1251" s="2" t="s">
        <v>1434</v>
      </c>
      <c r="I1251" s="2" t="s">
        <v>1435</v>
      </c>
      <c r="J1251" s="3">
        <v>44876</v>
      </c>
      <c r="K1251" s="5">
        <f>YEAR(OrganizedData[[#This Row],[Order Date]])</f>
        <v>2022</v>
      </c>
      <c r="L1251" s="7" t="str">
        <f>TEXT(OrganizedData[[#This Row],[Order Date]],"mmm")</f>
        <v>Nov</v>
      </c>
      <c r="M1251" s="2">
        <v>2</v>
      </c>
      <c r="N1251" s="2" t="s">
        <v>80</v>
      </c>
      <c r="O1251" s="2" t="str">
        <f>VLOOKUP(OrganizedData[[#This Row],[Product Code]],ProductData[[Code]:[Item]],2,FALSE)</f>
        <v>Ultrathing V2</v>
      </c>
      <c r="P1251" s="4">
        <f>OrganizedData[[#This Row],[Quantity]]*VLOOKUP(OrganizedData[[#This Row],[Product Code]],ProductData[],4,FALSE)</f>
        <v>40</v>
      </c>
      <c r="Q1251" s="6">
        <f>OrganizedData[[#This Row],[Total Items Ordered]]*VLOOKUP(OrganizedData[[#This Row],[Product Code]],ProductData[],3,FALSE)</f>
        <v>118</v>
      </c>
      <c r="R12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1252" spans="1:18" x14ac:dyDescent="0.3">
      <c r="A1252" s="2">
        <v>1245</v>
      </c>
      <c r="B1252" s="2" t="s">
        <v>4002</v>
      </c>
      <c r="C1252" s="2" t="s">
        <v>1097</v>
      </c>
      <c r="D1252" s="2" t="s">
        <v>51</v>
      </c>
      <c r="E1252" s="2" t="s">
        <v>16</v>
      </c>
      <c r="F1252" s="2">
        <v>90</v>
      </c>
      <c r="G1252" s="2" t="s">
        <v>4003</v>
      </c>
      <c r="H1252" s="2" t="s">
        <v>2026</v>
      </c>
      <c r="I1252" s="2" t="s">
        <v>1078</v>
      </c>
      <c r="J1252" s="3">
        <v>44868</v>
      </c>
      <c r="K1252" s="5">
        <f>YEAR(OrganizedData[[#This Row],[Order Date]])</f>
        <v>2022</v>
      </c>
      <c r="L1252" s="7" t="str">
        <f>TEXT(OrganizedData[[#This Row],[Order Date]],"mmm")</f>
        <v>Nov</v>
      </c>
      <c r="M1252" s="2">
        <v>19</v>
      </c>
      <c r="N1252" s="2" t="s">
        <v>39</v>
      </c>
      <c r="O1252" s="2" t="str">
        <f>VLOOKUP(OrganizedData[[#This Row],[Product Code]],ProductData[[Code]:[Item]],2,FALSE)</f>
        <v>Ultrathing V1</v>
      </c>
      <c r="P1252" s="4">
        <f>OrganizedData[[#This Row],[Quantity]]*VLOOKUP(OrganizedData[[#This Row],[Product Code]],ProductData[],4,FALSE)</f>
        <v>323</v>
      </c>
      <c r="Q1252" s="6">
        <f>OrganizedData[[#This Row],[Total Items Ordered]]*VLOOKUP(OrganizedData[[#This Row],[Product Code]],ProductData[],3,FALSE)</f>
        <v>578.16999999999996</v>
      </c>
      <c r="R12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578.16999999999996</v>
      </c>
    </row>
    <row r="1253" spans="1:18" x14ac:dyDescent="0.3">
      <c r="A1253" s="2">
        <v>1246</v>
      </c>
      <c r="B1253" s="2" t="s">
        <v>4004</v>
      </c>
      <c r="C1253" s="2" t="s">
        <v>4005</v>
      </c>
      <c r="D1253" s="2" t="s">
        <v>28</v>
      </c>
      <c r="E1253" s="2" t="s">
        <v>29</v>
      </c>
      <c r="F1253" s="2">
        <v>30</v>
      </c>
      <c r="G1253" s="2" t="s">
        <v>4006</v>
      </c>
      <c r="H1253" s="2" t="s">
        <v>4007</v>
      </c>
      <c r="I1253" s="2" t="s">
        <v>294</v>
      </c>
      <c r="J1253" s="3">
        <v>44387</v>
      </c>
      <c r="K1253" s="5">
        <f>YEAR(OrganizedData[[#This Row],[Order Date]])</f>
        <v>2021</v>
      </c>
      <c r="L1253" s="7" t="str">
        <f>TEXT(OrganizedData[[#This Row],[Order Date]],"mmm")</f>
        <v>Jul</v>
      </c>
      <c r="M1253" s="2">
        <v>22</v>
      </c>
      <c r="N1253" s="2" t="s">
        <v>101</v>
      </c>
      <c r="O1253" s="2" t="str">
        <f>VLOOKUP(OrganizedData[[#This Row],[Product Code]],ProductData[[Code]:[Item]],2,FALSE)</f>
        <v>Superwossname</v>
      </c>
      <c r="P1253" s="4">
        <f>OrganizedData[[#This Row],[Quantity]]*VLOOKUP(OrganizedData[[#This Row],[Product Code]],ProductData[],4,FALSE)</f>
        <v>440</v>
      </c>
      <c r="Q1253" s="6">
        <f>OrganizedData[[#This Row],[Total Items Ordered]]*VLOOKUP(OrganizedData[[#This Row],[Product Code]],ProductData[],3,FALSE)</f>
        <v>1535.6000000000001</v>
      </c>
      <c r="R12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1254" spans="1:18" x14ac:dyDescent="0.3">
      <c r="A1254" s="2">
        <v>1247</v>
      </c>
      <c r="B1254" s="2" t="s">
        <v>4008</v>
      </c>
      <c r="C1254" s="2" t="s">
        <v>4009</v>
      </c>
      <c r="D1254" s="2" t="s">
        <v>28</v>
      </c>
      <c r="E1254" s="2" t="s">
        <v>29</v>
      </c>
      <c r="F1254" s="2">
        <v>30</v>
      </c>
      <c r="G1254" s="2" t="s">
        <v>4010</v>
      </c>
      <c r="H1254" s="2" t="s">
        <v>4011</v>
      </c>
      <c r="I1254" s="2" t="s">
        <v>32</v>
      </c>
      <c r="J1254" s="3">
        <v>43925</v>
      </c>
      <c r="K1254" s="5">
        <f>YEAR(OrganizedData[[#This Row],[Order Date]])</f>
        <v>2020</v>
      </c>
      <c r="L1254" s="7" t="str">
        <f>TEXT(OrganizedData[[#This Row],[Order Date]],"mmm")</f>
        <v>Apr</v>
      </c>
      <c r="M1254" s="2">
        <v>79</v>
      </c>
      <c r="N1254" s="2" t="s">
        <v>45</v>
      </c>
      <c r="O1254" s="2" t="str">
        <f>VLOOKUP(OrganizedData[[#This Row],[Product Code]],ProductData[[Code]:[Item]],2,FALSE)</f>
        <v>Gigastuff</v>
      </c>
      <c r="P1254" s="4">
        <f>OrganizedData[[#This Row],[Quantity]]*VLOOKUP(OrganizedData[[#This Row],[Product Code]],ProductData[],4,FALSE)</f>
        <v>1422</v>
      </c>
      <c r="Q1254" s="6">
        <f>OrganizedData[[#This Row],[Total Items Ordered]]*VLOOKUP(OrganizedData[[#This Row],[Product Code]],ProductData[],3,FALSE)</f>
        <v>2687.58</v>
      </c>
      <c r="R12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1255" spans="1:18" x14ac:dyDescent="0.3">
      <c r="A1255" s="2">
        <v>1248</v>
      </c>
      <c r="B1255" s="2" t="s">
        <v>222</v>
      </c>
      <c r="C1255" s="2" t="s">
        <v>3447</v>
      </c>
      <c r="D1255" s="2" t="s">
        <v>28</v>
      </c>
      <c r="E1255" s="2" t="s">
        <v>29</v>
      </c>
      <c r="F1255" s="2">
        <v>90</v>
      </c>
      <c r="G1255" s="2" t="s">
        <v>4012</v>
      </c>
      <c r="H1255" s="2" t="s">
        <v>4007</v>
      </c>
      <c r="I1255" s="2" t="s">
        <v>294</v>
      </c>
      <c r="J1255" s="3">
        <v>44790</v>
      </c>
      <c r="K1255" s="5">
        <f>YEAR(OrganizedData[[#This Row],[Order Date]])</f>
        <v>2022</v>
      </c>
      <c r="L1255" s="7" t="str">
        <f>TEXT(OrganizedData[[#This Row],[Order Date]],"mmm")</f>
        <v>Aug</v>
      </c>
      <c r="M1255" s="2">
        <v>93</v>
      </c>
      <c r="N1255" s="2" t="s">
        <v>54</v>
      </c>
      <c r="O1255" s="2" t="str">
        <f>VLOOKUP(OrganizedData[[#This Row],[Product Code]],ProductData[[Code]:[Item]],2,FALSE)</f>
        <v>Megawidget S</v>
      </c>
      <c r="P1255" s="4">
        <f>OrganizedData[[#This Row],[Quantity]]*VLOOKUP(OrganizedData[[#This Row],[Product Code]],ProductData[],4,FALSE)</f>
        <v>2232</v>
      </c>
      <c r="Q1255" s="6">
        <f>OrganizedData[[#This Row],[Total Items Ordered]]*VLOOKUP(OrganizedData[[#This Row],[Product Code]],ProductData[],3,FALSE)</f>
        <v>1540.08</v>
      </c>
      <c r="R12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1463.0759999999998</v>
      </c>
    </row>
    <row r="1256" spans="1:18" x14ac:dyDescent="0.3">
      <c r="A1256" s="2">
        <v>1249</v>
      </c>
      <c r="B1256" s="2" t="s">
        <v>4013</v>
      </c>
      <c r="C1256" s="2" t="s">
        <v>4014</v>
      </c>
      <c r="D1256" s="2" t="s">
        <v>15</v>
      </c>
      <c r="E1256" s="2" t="s">
        <v>16</v>
      </c>
      <c r="F1256" s="2">
        <v>30</v>
      </c>
      <c r="G1256" s="2" t="s">
        <v>4015</v>
      </c>
      <c r="H1256" s="2" t="s">
        <v>3002</v>
      </c>
      <c r="I1256" s="2" t="s">
        <v>32</v>
      </c>
      <c r="J1256" s="3">
        <v>44829</v>
      </c>
      <c r="K1256" s="5">
        <f>YEAR(OrganizedData[[#This Row],[Order Date]])</f>
        <v>2022</v>
      </c>
      <c r="L1256" s="7" t="str">
        <f>TEXT(OrganizedData[[#This Row],[Order Date]],"mmm")</f>
        <v>Sep</v>
      </c>
      <c r="M1256" s="2">
        <v>57</v>
      </c>
      <c r="N1256" s="2" t="s">
        <v>70</v>
      </c>
      <c r="O1256" s="2" t="str">
        <f>VLOOKUP(OrganizedData[[#This Row],[Product Code]],ProductData[[Code]:[Item]],2,FALSE)</f>
        <v>Megawidget M</v>
      </c>
      <c r="P1256" s="4">
        <f>OrganizedData[[#This Row],[Quantity]]*VLOOKUP(OrganizedData[[#This Row],[Product Code]],ProductData[],4,FALSE)</f>
        <v>1368</v>
      </c>
      <c r="Q1256" s="6">
        <f>OrganizedData[[#This Row],[Total Items Ordered]]*VLOOKUP(OrganizedData[[#This Row],[Product Code]],ProductData[],3,FALSE)</f>
        <v>1764.72</v>
      </c>
      <c r="R12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1676.4839999999999</v>
      </c>
    </row>
    <row r="1257" spans="1:18" x14ac:dyDescent="0.3">
      <c r="A1257" s="2">
        <v>1250</v>
      </c>
      <c r="B1257" s="2" t="s">
        <v>4016</v>
      </c>
      <c r="C1257" s="2" t="s">
        <v>1826</v>
      </c>
      <c r="D1257" s="2" t="s">
        <v>28</v>
      </c>
      <c r="E1257" s="2" t="s">
        <v>29</v>
      </c>
      <c r="F1257" s="2">
        <v>60</v>
      </c>
      <c r="G1257" s="2" t="s">
        <v>4017</v>
      </c>
      <c r="H1257" s="2" t="s">
        <v>3384</v>
      </c>
      <c r="I1257" s="2" t="s">
        <v>32</v>
      </c>
      <c r="J1257" s="3">
        <v>44086</v>
      </c>
      <c r="K1257" s="5">
        <f>YEAR(OrganizedData[[#This Row],[Order Date]])</f>
        <v>2020</v>
      </c>
      <c r="L1257" s="7" t="str">
        <f>TEXT(OrganizedData[[#This Row],[Order Date]],"mmm")</f>
        <v>Sep</v>
      </c>
      <c r="M1257" s="2">
        <v>72</v>
      </c>
      <c r="N1257" s="2" t="s">
        <v>101</v>
      </c>
      <c r="O1257" s="2" t="str">
        <f>VLOOKUP(OrganizedData[[#This Row],[Product Code]],ProductData[[Code]:[Item]],2,FALSE)</f>
        <v>Superwossname</v>
      </c>
      <c r="P1257" s="4">
        <f>OrganizedData[[#This Row],[Quantity]]*VLOOKUP(OrganizedData[[#This Row],[Product Code]],ProductData[],4,FALSE)</f>
        <v>1440</v>
      </c>
      <c r="Q1257" s="6">
        <f>OrganizedData[[#This Row],[Total Items Ordered]]*VLOOKUP(OrganizedData[[#This Row],[Product Code]],ProductData[],3,FALSE)</f>
        <v>5025.6000000000004</v>
      </c>
      <c r="R12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1258" spans="1:18" x14ac:dyDescent="0.3">
      <c r="A1258" s="2">
        <v>1251</v>
      </c>
      <c r="B1258" s="2" t="s">
        <v>4018</v>
      </c>
      <c r="C1258" s="2" t="s">
        <v>2980</v>
      </c>
      <c r="D1258" s="2" t="s">
        <v>28</v>
      </c>
      <c r="E1258" s="2" t="s">
        <v>29</v>
      </c>
      <c r="F1258" s="2">
        <v>60</v>
      </c>
      <c r="G1258" s="2" t="s">
        <v>4019</v>
      </c>
      <c r="H1258" s="2" t="s">
        <v>4020</v>
      </c>
      <c r="I1258" s="2" t="s">
        <v>173</v>
      </c>
      <c r="J1258" s="3">
        <v>44354</v>
      </c>
      <c r="K1258" s="5">
        <f>YEAR(OrganizedData[[#This Row],[Order Date]])</f>
        <v>2021</v>
      </c>
      <c r="L1258" s="7" t="str">
        <f>TEXT(OrganizedData[[#This Row],[Order Date]],"mmm")</f>
        <v>Jun</v>
      </c>
      <c r="M1258" s="2">
        <v>71</v>
      </c>
      <c r="N1258" s="2" t="s">
        <v>20</v>
      </c>
      <c r="O1258" s="2" t="str">
        <f>VLOOKUP(OrganizedData[[#This Row],[Product Code]],ProductData[[Code]:[Item]],2,FALSE)</f>
        <v>Hyperwotsit</v>
      </c>
      <c r="P1258" s="4">
        <f>OrganizedData[[#This Row],[Quantity]]*VLOOKUP(OrganizedData[[#This Row],[Product Code]],ProductData[],4,FALSE)</f>
        <v>1420</v>
      </c>
      <c r="Q1258" s="6">
        <f>OrganizedData[[#This Row],[Total Items Ordered]]*VLOOKUP(OrganizedData[[#This Row],[Product Code]],ProductData[],3,FALSE)</f>
        <v>2854.2</v>
      </c>
      <c r="R12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1259" spans="1:18" x14ac:dyDescent="0.3">
      <c r="A1259" s="2">
        <v>1252</v>
      </c>
      <c r="B1259" s="2" t="s">
        <v>4021</v>
      </c>
      <c r="C1259" s="2" t="s">
        <v>1263</v>
      </c>
      <c r="D1259" s="2" t="s">
        <v>15</v>
      </c>
      <c r="E1259" s="2" t="s">
        <v>16</v>
      </c>
      <c r="F1259" s="2">
        <v>30</v>
      </c>
      <c r="G1259" s="2" t="s">
        <v>10427</v>
      </c>
      <c r="H1259" s="2" t="s">
        <v>3480</v>
      </c>
      <c r="I1259" s="2" t="s">
        <v>187</v>
      </c>
      <c r="J1259" s="3">
        <v>44283</v>
      </c>
      <c r="K1259" s="5">
        <f>YEAR(OrganizedData[[#This Row],[Order Date]])</f>
        <v>2021</v>
      </c>
      <c r="L1259" s="7" t="str">
        <f>TEXT(OrganizedData[[#This Row],[Order Date]],"mmm")</f>
        <v>Mar</v>
      </c>
      <c r="M1259" s="2">
        <v>58</v>
      </c>
      <c r="N1259" s="2" t="s">
        <v>159</v>
      </c>
      <c r="O1259" s="2" t="str">
        <f>VLOOKUP(OrganizedData[[#This Row],[Product Code]],ProductData[[Code]:[Item]],2,FALSE)</f>
        <v>Ultrathing V3</v>
      </c>
      <c r="P1259" s="4">
        <f>OrganizedData[[#This Row],[Quantity]]*VLOOKUP(OrganizedData[[#This Row],[Product Code]],ProductData[],4,FALSE)</f>
        <v>1392</v>
      </c>
      <c r="Q1259" s="6">
        <f>OrganizedData[[#This Row],[Total Items Ordered]]*VLOOKUP(OrganizedData[[#This Row],[Product Code]],ProductData[],3,FALSE)</f>
        <v>4718.88</v>
      </c>
      <c r="R12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1260" spans="1:18" x14ac:dyDescent="0.3">
      <c r="A1260" s="2">
        <v>1253</v>
      </c>
      <c r="B1260" s="2" t="s">
        <v>4023</v>
      </c>
      <c r="C1260" s="2" t="s">
        <v>3201</v>
      </c>
      <c r="D1260" s="2" t="s">
        <v>28</v>
      </c>
      <c r="E1260" s="2" t="s">
        <v>29</v>
      </c>
      <c r="F1260" s="2">
        <v>90</v>
      </c>
      <c r="G1260" s="2" t="s">
        <v>4024</v>
      </c>
      <c r="H1260" s="2" t="s">
        <v>1901</v>
      </c>
      <c r="I1260" s="2" t="s">
        <v>178</v>
      </c>
      <c r="J1260" s="3">
        <v>43837</v>
      </c>
      <c r="K1260" s="5">
        <f>YEAR(OrganizedData[[#This Row],[Order Date]])</f>
        <v>2020</v>
      </c>
      <c r="L1260" s="7" t="str">
        <f>TEXT(OrganizedData[[#This Row],[Order Date]],"mmm")</f>
        <v>Jan</v>
      </c>
      <c r="M1260" s="2">
        <v>54</v>
      </c>
      <c r="N1260" s="2" t="s">
        <v>64</v>
      </c>
      <c r="O1260" s="2" t="str">
        <f>VLOOKUP(OrganizedData[[#This Row],[Product Code]],ProductData[[Code]:[Item]],2,FALSE)</f>
        <v>Ultrathing V4</v>
      </c>
      <c r="P1260" s="4">
        <f>OrganizedData[[#This Row],[Quantity]]*VLOOKUP(OrganizedData[[#This Row],[Product Code]],ProductData[],4,FALSE)</f>
        <v>1296</v>
      </c>
      <c r="Q1260" s="6">
        <f>OrganizedData[[#This Row],[Total Items Ordered]]*VLOOKUP(OrganizedData[[#This Row],[Product Code]],ProductData[],3,FALSE)</f>
        <v>5171.04</v>
      </c>
      <c r="R12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1261" spans="1:18" x14ac:dyDescent="0.3">
      <c r="A1261" s="2">
        <v>1254</v>
      </c>
      <c r="B1261" s="2" t="s">
        <v>4025</v>
      </c>
      <c r="C1261" s="2" t="s">
        <v>4026</v>
      </c>
      <c r="D1261" s="2" t="s">
        <v>51</v>
      </c>
      <c r="E1261" s="2" t="s">
        <v>16</v>
      </c>
      <c r="F1261" s="2">
        <v>30</v>
      </c>
      <c r="G1261" s="2" t="s">
        <v>4027</v>
      </c>
      <c r="H1261" s="2" t="s">
        <v>4028</v>
      </c>
      <c r="I1261" s="2" t="s">
        <v>32</v>
      </c>
      <c r="J1261" s="3">
        <v>44700</v>
      </c>
      <c r="K1261" s="5">
        <f>YEAR(OrganizedData[[#This Row],[Order Date]])</f>
        <v>2022</v>
      </c>
      <c r="L1261" s="7" t="str">
        <f>TEXT(OrganizedData[[#This Row],[Order Date]],"mmm")</f>
        <v>May</v>
      </c>
      <c r="M1261" s="2">
        <v>36</v>
      </c>
      <c r="N1261" s="2" t="s">
        <v>101</v>
      </c>
      <c r="O1261" s="2" t="str">
        <f>VLOOKUP(OrganizedData[[#This Row],[Product Code]],ProductData[[Code]:[Item]],2,FALSE)</f>
        <v>Superwossname</v>
      </c>
      <c r="P1261" s="4">
        <f>OrganizedData[[#This Row],[Quantity]]*VLOOKUP(OrganizedData[[#This Row],[Product Code]],ProductData[],4,FALSE)</f>
        <v>720</v>
      </c>
      <c r="Q1261" s="6">
        <f>OrganizedData[[#This Row],[Total Items Ordered]]*VLOOKUP(OrganizedData[[#This Row],[Product Code]],ProductData[],3,FALSE)</f>
        <v>2512.8000000000002</v>
      </c>
      <c r="R12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2437.4160000000002</v>
      </c>
    </row>
    <row r="1262" spans="1:18" x14ac:dyDescent="0.3">
      <c r="A1262" s="2">
        <v>1255</v>
      </c>
      <c r="B1262" s="2" t="s">
        <v>1200</v>
      </c>
      <c r="C1262" s="2" t="s">
        <v>4029</v>
      </c>
      <c r="D1262" s="2" t="s">
        <v>28</v>
      </c>
      <c r="E1262" s="2" t="s">
        <v>29</v>
      </c>
      <c r="F1262" s="2">
        <v>60</v>
      </c>
      <c r="G1262" s="2" t="s">
        <v>4027</v>
      </c>
      <c r="H1262" s="2" t="s">
        <v>4030</v>
      </c>
      <c r="I1262" s="2" t="s">
        <v>32</v>
      </c>
      <c r="J1262" s="3">
        <v>44740</v>
      </c>
      <c r="K1262" s="5">
        <f>YEAR(OrganizedData[[#This Row],[Order Date]])</f>
        <v>2022</v>
      </c>
      <c r="L1262" s="7" t="str">
        <f>TEXT(OrganizedData[[#This Row],[Order Date]],"mmm")</f>
        <v>Jun</v>
      </c>
      <c r="M1262" s="2">
        <v>84</v>
      </c>
      <c r="N1262" s="2" t="s">
        <v>80</v>
      </c>
      <c r="O1262" s="2" t="str">
        <f>VLOOKUP(OrganizedData[[#This Row],[Product Code]],ProductData[[Code]:[Item]],2,FALSE)</f>
        <v>Ultrathing V2</v>
      </c>
      <c r="P1262" s="4">
        <f>OrganizedData[[#This Row],[Quantity]]*VLOOKUP(OrganizedData[[#This Row],[Product Code]],ProductData[],4,FALSE)</f>
        <v>1680</v>
      </c>
      <c r="Q1262" s="6">
        <f>OrganizedData[[#This Row],[Total Items Ordered]]*VLOOKUP(OrganizedData[[#This Row],[Product Code]],ProductData[],3,FALSE)</f>
        <v>4956</v>
      </c>
      <c r="R12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1263" spans="1:18" x14ac:dyDescent="0.3">
      <c r="A1263" s="2">
        <v>1256</v>
      </c>
      <c r="B1263" s="2" t="s">
        <v>4031</v>
      </c>
      <c r="C1263" s="2" t="s">
        <v>4032</v>
      </c>
      <c r="D1263" s="2" t="s">
        <v>28</v>
      </c>
      <c r="E1263" s="2" t="s">
        <v>29</v>
      </c>
      <c r="F1263" s="2">
        <v>90</v>
      </c>
      <c r="G1263" s="2" t="s">
        <v>4033</v>
      </c>
      <c r="H1263" s="2" t="s">
        <v>4034</v>
      </c>
      <c r="I1263" s="2" t="s">
        <v>178</v>
      </c>
      <c r="J1263" s="3">
        <v>44507</v>
      </c>
      <c r="K1263" s="5">
        <f>YEAR(OrganizedData[[#This Row],[Order Date]])</f>
        <v>2021</v>
      </c>
      <c r="L1263" s="7" t="str">
        <f>TEXT(OrganizedData[[#This Row],[Order Date]],"mmm")</f>
        <v>Nov</v>
      </c>
      <c r="M1263" s="2">
        <v>48</v>
      </c>
      <c r="N1263" s="2" t="s">
        <v>64</v>
      </c>
      <c r="O1263" s="2" t="str">
        <f>VLOOKUP(OrganizedData[[#This Row],[Product Code]],ProductData[[Code]:[Item]],2,FALSE)</f>
        <v>Ultrathing V4</v>
      </c>
      <c r="P1263" s="4">
        <f>OrganizedData[[#This Row],[Quantity]]*VLOOKUP(OrganizedData[[#This Row],[Product Code]],ProductData[],4,FALSE)</f>
        <v>1152</v>
      </c>
      <c r="Q1263" s="6">
        <f>OrganizedData[[#This Row],[Total Items Ordered]]*VLOOKUP(OrganizedData[[#This Row],[Product Code]],ProductData[],3,FALSE)</f>
        <v>4596.4800000000005</v>
      </c>
      <c r="R12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4458.5856000000003</v>
      </c>
    </row>
    <row r="1264" spans="1:18" x14ac:dyDescent="0.3">
      <c r="A1264" s="2">
        <v>1257</v>
      </c>
      <c r="B1264" s="2" t="s">
        <v>1886</v>
      </c>
      <c r="C1264" s="2" t="s">
        <v>4035</v>
      </c>
      <c r="D1264" s="2" t="s">
        <v>15</v>
      </c>
      <c r="E1264" s="2" t="s">
        <v>16</v>
      </c>
      <c r="F1264" s="2">
        <v>30</v>
      </c>
      <c r="G1264" s="2" t="s">
        <v>4036</v>
      </c>
      <c r="H1264" s="2" t="s">
        <v>221</v>
      </c>
      <c r="I1264" s="2" t="s">
        <v>32</v>
      </c>
      <c r="J1264" s="3">
        <v>44609</v>
      </c>
      <c r="K1264" s="5">
        <f>YEAR(OrganizedData[[#This Row],[Order Date]])</f>
        <v>2022</v>
      </c>
      <c r="L1264" s="7" t="str">
        <f>TEXT(OrganizedData[[#This Row],[Order Date]],"mmm")</f>
        <v>Feb</v>
      </c>
      <c r="M1264" s="2">
        <v>68</v>
      </c>
      <c r="N1264" s="2" t="s">
        <v>101</v>
      </c>
      <c r="O1264" s="2" t="str">
        <f>VLOOKUP(OrganizedData[[#This Row],[Product Code]],ProductData[[Code]:[Item]],2,FALSE)</f>
        <v>Superwossname</v>
      </c>
      <c r="P1264" s="4">
        <f>OrganizedData[[#This Row],[Quantity]]*VLOOKUP(OrganizedData[[#This Row],[Product Code]],ProductData[],4,FALSE)</f>
        <v>1360</v>
      </c>
      <c r="Q1264" s="6">
        <f>OrganizedData[[#This Row],[Total Items Ordered]]*VLOOKUP(OrganizedData[[#This Row],[Product Code]],ProductData[],3,FALSE)</f>
        <v>4746.4000000000005</v>
      </c>
      <c r="R12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4509.08</v>
      </c>
    </row>
    <row r="1265" spans="1:18" x14ac:dyDescent="0.3">
      <c r="A1265" s="2">
        <v>1258</v>
      </c>
      <c r="B1265" s="2" t="s">
        <v>2823</v>
      </c>
      <c r="C1265" s="2" t="s">
        <v>4037</v>
      </c>
      <c r="D1265" s="2" t="s">
        <v>15</v>
      </c>
      <c r="E1265" s="2" t="s">
        <v>16</v>
      </c>
      <c r="F1265" s="2">
        <v>30</v>
      </c>
      <c r="G1265" s="2" t="s">
        <v>4038</v>
      </c>
      <c r="H1265" s="2" t="s">
        <v>4039</v>
      </c>
      <c r="I1265" s="2" t="s">
        <v>32</v>
      </c>
      <c r="J1265" s="3">
        <v>44166</v>
      </c>
      <c r="K1265" s="5">
        <f>YEAR(OrganizedData[[#This Row],[Order Date]])</f>
        <v>2020</v>
      </c>
      <c r="L1265" s="7" t="str">
        <f>TEXT(OrganizedData[[#This Row],[Order Date]],"mmm")</f>
        <v>Dec</v>
      </c>
      <c r="M1265" s="2">
        <v>25</v>
      </c>
      <c r="N1265" s="2" t="s">
        <v>70</v>
      </c>
      <c r="O1265" s="2" t="str">
        <f>VLOOKUP(OrganizedData[[#This Row],[Product Code]],ProductData[[Code]:[Item]],2,FALSE)</f>
        <v>Megawidget M</v>
      </c>
      <c r="P1265" s="4">
        <f>OrganizedData[[#This Row],[Quantity]]*VLOOKUP(OrganizedData[[#This Row],[Product Code]],ProductData[],4,FALSE)</f>
        <v>600</v>
      </c>
      <c r="Q1265" s="6">
        <f>OrganizedData[[#This Row],[Total Items Ordered]]*VLOOKUP(OrganizedData[[#This Row],[Product Code]],ProductData[],3,FALSE)</f>
        <v>774</v>
      </c>
      <c r="R12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1266" spans="1:18" x14ac:dyDescent="0.3">
      <c r="A1266" s="2">
        <v>1259</v>
      </c>
      <c r="B1266" s="2" t="s">
        <v>2951</v>
      </c>
      <c r="C1266" s="2" t="s">
        <v>489</v>
      </c>
      <c r="D1266" s="2" t="s">
        <v>28</v>
      </c>
      <c r="E1266" s="2" t="s">
        <v>29</v>
      </c>
      <c r="F1266" s="2">
        <v>60</v>
      </c>
      <c r="G1266" s="2" t="s">
        <v>4040</v>
      </c>
      <c r="H1266" s="2" t="s">
        <v>1115</v>
      </c>
      <c r="I1266" s="2" t="s">
        <v>32</v>
      </c>
      <c r="J1266" s="3">
        <v>43959</v>
      </c>
      <c r="K1266" s="5">
        <f>YEAR(OrganizedData[[#This Row],[Order Date]])</f>
        <v>2020</v>
      </c>
      <c r="L1266" s="7" t="str">
        <f>TEXT(OrganizedData[[#This Row],[Order Date]],"mmm")</f>
        <v>May</v>
      </c>
      <c r="M1266" s="2">
        <v>39</v>
      </c>
      <c r="N1266" s="2" t="s">
        <v>70</v>
      </c>
      <c r="O1266" s="2" t="str">
        <f>VLOOKUP(OrganizedData[[#This Row],[Product Code]],ProductData[[Code]:[Item]],2,FALSE)</f>
        <v>Megawidget M</v>
      </c>
      <c r="P1266" s="4">
        <f>OrganizedData[[#This Row],[Quantity]]*VLOOKUP(OrganizedData[[#This Row],[Product Code]],ProductData[],4,FALSE)</f>
        <v>936</v>
      </c>
      <c r="Q1266" s="6">
        <f>OrganizedData[[#This Row],[Total Items Ordered]]*VLOOKUP(OrganizedData[[#This Row],[Product Code]],ProductData[],3,FALSE)</f>
        <v>1207.44</v>
      </c>
      <c r="R12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1267" spans="1:18" x14ac:dyDescent="0.3">
      <c r="A1267" s="2">
        <v>1260</v>
      </c>
      <c r="B1267" s="2" t="s">
        <v>4041</v>
      </c>
      <c r="C1267" s="2" t="s">
        <v>4042</v>
      </c>
      <c r="D1267" s="2" t="s">
        <v>15</v>
      </c>
      <c r="E1267" s="2" t="s">
        <v>16</v>
      </c>
      <c r="F1267" s="2">
        <v>60</v>
      </c>
      <c r="G1267" s="2" t="s">
        <v>4043</v>
      </c>
      <c r="H1267" s="2" t="s">
        <v>3361</v>
      </c>
      <c r="I1267" s="2" t="s">
        <v>95</v>
      </c>
      <c r="J1267" s="3">
        <v>43864</v>
      </c>
      <c r="K1267" s="5">
        <f>YEAR(OrganizedData[[#This Row],[Order Date]])</f>
        <v>2020</v>
      </c>
      <c r="L1267" s="7" t="str">
        <f>TEXT(OrganizedData[[#This Row],[Order Date]],"mmm")</f>
        <v>Feb</v>
      </c>
      <c r="M1267" s="2">
        <v>67</v>
      </c>
      <c r="N1267" s="2" t="s">
        <v>70</v>
      </c>
      <c r="O1267" s="2" t="str">
        <f>VLOOKUP(OrganizedData[[#This Row],[Product Code]],ProductData[[Code]:[Item]],2,FALSE)</f>
        <v>Megawidget M</v>
      </c>
      <c r="P1267" s="4">
        <f>OrganizedData[[#This Row],[Quantity]]*VLOOKUP(OrganizedData[[#This Row],[Product Code]],ProductData[],4,FALSE)</f>
        <v>1608</v>
      </c>
      <c r="Q1267" s="6">
        <f>OrganizedData[[#This Row],[Total Items Ordered]]*VLOOKUP(OrganizedData[[#This Row],[Product Code]],ProductData[],3,FALSE)</f>
        <v>2074.3200000000002</v>
      </c>
      <c r="R12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1268" spans="1:18" x14ac:dyDescent="0.3">
      <c r="A1268" s="2">
        <v>1261</v>
      </c>
      <c r="B1268" s="2" t="s">
        <v>4044</v>
      </c>
      <c r="C1268" s="2" t="s">
        <v>4045</v>
      </c>
      <c r="D1268" s="2" t="s">
        <v>51</v>
      </c>
      <c r="E1268" s="2" t="s">
        <v>16</v>
      </c>
      <c r="F1268" s="2">
        <v>30</v>
      </c>
      <c r="G1268" s="2" t="s">
        <v>4043</v>
      </c>
      <c r="H1268" s="2" t="s">
        <v>4046</v>
      </c>
      <c r="I1268" s="2" t="s">
        <v>173</v>
      </c>
      <c r="J1268" s="3">
        <v>43949</v>
      </c>
      <c r="K1268" s="5">
        <f>YEAR(OrganizedData[[#This Row],[Order Date]])</f>
        <v>2020</v>
      </c>
      <c r="L1268" s="7" t="str">
        <f>TEXT(OrganizedData[[#This Row],[Order Date]],"mmm")</f>
        <v>Apr</v>
      </c>
      <c r="M1268" s="2">
        <v>43</v>
      </c>
      <c r="N1268" s="2" t="s">
        <v>54</v>
      </c>
      <c r="O1268" s="2" t="str">
        <f>VLOOKUP(OrganizedData[[#This Row],[Product Code]],ProductData[[Code]:[Item]],2,FALSE)</f>
        <v>Megawidget S</v>
      </c>
      <c r="P1268" s="4">
        <f>OrganizedData[[#This Row],[Quantity]]*VLOOKUP(OrganizedData[[#This Row],[Product Code]],ProductData[],4,FALSE)</f>
        <v>1032</v>
      </c>
      <c r="Q1268" s="6">
        <f>OrganizedData[[#This Row],[Total Items Ordered]]*VLOOKUP(OrganizedData[[#This Row],[Product Code]],ProductData[],3,FALSE)</f>
        <v>712.07999999999993</v>
      </c>
      <c r="R12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690.71759999999995</v>
      </c>
    </row>
    <row r="1269" spans="1:18" x14ac:dyDescent="0.3">
      <c r="A1269" s="2">
        <v>1262</v>
      </c>
      <c r="B1269" s="2" t="s">
        <v>3952</v>
      </c>
      <c r="C1269" s="2" t="s">
        <v>4047</v>
      </c>
      <c r="D1269" s="2" t="s">
        <v>28</v>
      </c>
      <c r="E1269" s="2" t="s">
        <v>29</v>
      </c>
      <c r="F1269" s="2">
        <v>90</v>
      </c>
      <c r="G1269" s="2" t="s">
        <v>4048</v>
      </c>
      <c r="H1269" s="2" t="s">
        <v>4049</v>
      </c>
      <c r="I1269" s="2" t="s">
        <v>32</v>
      </c>
      <c r="J1269" s="3">
        <v>43892</v>
      </c>
      <c r="K1269" s="5">
        <f>YEAR(OrganizedData[[#This Row],[Order Date]])</f>
        <v>2020</v>
      </c>
      <c r="L1269" s="7" t="str">
        <f>TEXT(OrganizedData[[#This Row],[Order Date]],"mmm")</f>
        <v>Mar</v>
      </c>
      <c r="M1269" s="2">
        <v>31</v>
      </c>
      <c r="N1269" s="2" t="s">
        <v>54</v>
      </c>
      <c r="O1269" s="2" t="str">
        <f>VLOOKUP(OrganizedData[[#This Row],[Product Code]],ProductData[[Code]:[Item]],2,FALSE)</f>
        <v>Megawidget S</v>
      </c>
      <c r="P1269" s="4">
        <f>OrganizedData[[#This Row],[Quantity]]*VLOOKUP(OrganizedData[[#This Row],[Product Code]],ProductData[],4,FALSE)</f>
        <v>744</v>
      </c>
      <c r="Q1269" s="6">
        <f>OrganizedData[[#This Row],[Total Items Ordered]]*VLOOKUP(OrganizedData[[#This Row],[Product Code]],ProductData[],3,FALSE)</f>
        <v>513.36</v>
      </c>
      <c r="R12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497.95920000000001</v>
      </c>
    </row>
    <row r="1270" spans="1:18" x14ac:dyDescent="0.3">
      <c r="A1270" s="2">
        <v>1263</v>
      </c>
      <c r="B1270" s="2" t="s">
        <v>218</v>
      </c>
      <c r="C1270" s="2" t="s">
        <v>4050</v>
      </c>
      <c r="D1270" s="2" t="s">
        <v>28</v>
      </c>
      <c r="E1270" s="2" t="s">
        <v>29</v>
      </c>
      <c r="F1270" s="2">
        <v>90</v>
      </c>
      <c r="G1270" s="2" t="s">
        <v>4051</v>
      </c>
      <c r="H1270" s="2" t="s">
        <v>2530</v>
      </c>
      <c r="I1270" s="2" t="s">
        <v>32</v>
      </c>
      <c r="J1270" s="3">
        <v>44288</v>
      </c>
      <c r="K1270" s="5">
        <f>YEAR(OrganizedData[[#This Row],[Order Date]])</f>
        <v>2021</v>
      </c>
      <c r="L1270" s="7" t="str">
        <f>TEXT(OrganizedData[[#This Row],[Order Date]],"mmm")</f>
        <v>Apr</v>
      </c>
      <c r="M1270" s="2">
        <v>64</v>
      </c>
      <c r="N1270" s="2" t="s">
        <v>54</v>
      </c>
      <c r="O1270" s="2" t="str">
        <f>VLOOKUP(OrganizedData[[#This Row],[Product Code]],ProductData[[Code]:[Item]],2,FALSE)</f>
        <v>Megawidget S</v>
      </c>
      <c r="P1270" s="4">
        <f>OrganizedData[[#This Row],[Quantity]]*VLOOKUP(OrganizedData[[#This Row],[Product Code]],ProductData[],4,FALSE)</f>
        <v>1536</v>
      </c>
      <c r="Q1270" s="6">
        <f>OrganizedData[[#This Row],[Total Items Ordered]]*VLOOKUP(OrganizedData[[#This Row],[Product Code]],ProductData[],3,FALSE)</f>
        <v>1059.8399999999999</v>
      </c>
      <c r="R12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1006.8479999999998</v>
      </c>
    </row>
    <row r="1271" spans="1:18" x14ac:dyDescent="0.3">
      <c r="A1271" s="2">
        <v>1264</v>
      </c>
      <c r="B1271" s="2" t="s">
        <v>4052</v>
      </c>
      <c r="C1271" s="2" t="s">
        <v>2154</v>
      </c>
      <c r="D1271" s="2" t="s">
        <v>28</v>
      </c>
      <c r="E1271" s="2" t="s">
        <v>29</v>
      </c>
      <c r="F1271" s="2">
        <v>90</v>
      </c>
      <c r="G1271" s="2" t="s">
        <v>4053</v>
      </c>
      <c r="H1271" s="2" t="s">
        <v>491</v>
      </c>
      <c r="I1271" s="2" t="s">
        <v>32</v>
      </c>
      <c r="J1271" s="3">
        <v>43915</v>
      </c>
      <c r="K1271" s="5">
        <f>YEAR(OrganizedData[[#This Row],[Order Date]])</f>
        <v>2020</v>
      </c>
      <c r="L1271" s="7" t="str">
        <f>TEXT(OrganizedData[[#This Row],[Order Date]],"mmm")</f>
        <v>Mar</v>
      </c>
      <c r="M1271" s="2">
        <v>60</v>
      </c>
      <c r="N1271" s="2" t="s">
        <v>101</v>
      </c>
      <c r="O1271" s="2" t="str">
        <f>VLOOKUP(OrganizedData[[#This Row],[Product Code]],ProductData[[Code]:[Item]],2,FALSE)</f>
        <v>Superwossname</v>
      </c>
      <c r="P1271" s="4">
        <f>OrganizedData[[#This Row],[Quantity]]*VLOOKUP(OrganizedData[[#This Row],[Product Code]],ProductData[],4,FALSE)</f>
        <v>1200</v>
      </c>
      <c r="Q1271" s="6">
        <f>OrganizedData[[#This Row],[Total Items Ordered]]*VLOOKUP(OrganizedData[[#This Row],[Product Code]],ProductData[],3,FALSE)</f>
        <v>4188</v>
      </c>
      <c r="R12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3978.6</v>
      </c>
    </row>
    <row r="1272" spans="1:18" x14ac:dyDescent="0.3">
      <c r="A1272" s="2">
        <v>1265</v>
      </c>
      <c r="B1272" s="2" t="s">
        <v>4054</v>
      </c>
      <c r="C1272" s="2" t="s">
        <v>86</v>
      </c>
      <c r="D1272" s="2" t="s">
        <v>51</v>
      </c>
      <c r="E1272" s="2" t="s">
        <v>16</v>
      </c>
      <c r="F1272" s="2">
        <v>30</v>
      </c>
      <c r="G1272" s="2" t="s">
        <v>4055</v>
      </c>
      <c r="H1272" s="2" t="s">
        <v>4056</v>
      </c>
      <c r="I1272" s="2" t="s">
        <v>124</v>
      </c>
      <c r="J1272" s="3">
        <v>44213</v>
      </c>
      <c r="K1272" s="5">
        <f>YEAR(OrganizedData[[#This Row],[Order Date]])</f>
        <v>2021</v>
      </c>
      <c r="L1272" s="7" t="str">
        <f>TEXT(OrganizedData[[#This Row],[Order Date]],"mmm")</f>
        <v>Jan</v>
      </c>
      <c r="M1272" s="2">
        <v>5</v>
      </c>
      <c r="N1272" s="2" t="s">
        <v>20</v>
      </c>
      <c r="O1272" s="2" t="str">
        <f>VLOOKUP(OrganizedData[[#This Row],[Product Code]],ProductData[[Code]:[Item]],2,FALSE)</f>
        <v>Hyperwotsit</v>
      </c>
      <c r="P1272" s="4">
        <f>OrganizedData[[#This Row],[Quantity]]*VLOOKUP(OrganizedData[[#This Row],[Product Code]],ProductData[],4,FALSE)</f>
        <v>100</v>
      </c>
      <c r="Q1272" s="6">
        <f>OrganizedData[[#This Row],[Total Items Ordered]]*VLOOKUP(OrganizedData[[#This Row],[Product Code]],ProductData[],3,FALSE)</f>
        <v>200.99999999999997</v>
      </c>
      <c r="R12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1273" spans="1:18" x14ac:dyDescent="0.3">
      <c r="A1273" s="2">
        <v>1266</v>
      </c>
      <c r="B1273" s="2" t="s">
        <v>887</v>
      </c>
      <c r="C1273" s="2" t="s">
        <v>3300</v>
      </c>
      <c r="D1273" s="2" t="s">
        <v>28</v>
      </c>
      <c r="E1273" s="2" t="s">
        <v>29</v>
      </c>
      <c r="F1273" s="2">
        <v>90</v>
      </c>
      <c r="G1273" s="2" t="s">
        <v>10428</v>
      </c>
      <c r="H1273" s="2" t="s">
        <v>1827</v>
      </c>
      <c r="I1273" s="2" t="s">
        <v>25</v>
      </c>
      <c r="J1273" s="3">
        <v>44464</v>
      </c>
      <c r="K1273" s="5">
        <f>YEAR(OrganizedData[[#This Row],[Order Date]])</f>
        <v>2021</v>
      </c>
      <c r="L1273" s="7" t="str">
        <f>TEXT(OrganizedData[[#This Row],[Order Date]],"mmm")</f>
        <v>Sep</v>
      </c>
      <c r="M1273" s="2">
        <v>26</v>
      </c>
      <c r="N1273" s="2" t="s">
        <v>39</v>
      </c>
      <c r="O1273" s="2" t="str">
        <f>VLOOKUP(OrganizedData[[#This Row],[Product Code]],ProductData[[Code]:[Item]],2,FALSE)</f>
        <v>Ultrathing V1</v>
      </c>
      <c r="P1273" s="4">
        <f>OrganizedData[[#This Row],[Quantity]]*VLOOKUP(OrganizedData[[#This Row],[Product Code]],ProductData[],4,FALSE)</f>
        <v>442</v>
      </c>
      <c r="Q1273" s="6">
        <f>OrganizedData[[#This Row],[Total Items Ordered]]*VLOOKUP(OrganizedData[[#This Row],[Product Code]],ProductData[],3,FALSE)</f>
        <v>791.18000000000006</v>
      </c>
      <c r="R12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767.44460000000004</v>
      </c>
    </row>
    <row r="1274" spans="1:18" x14ac:dyDescent="0.3">
      <c r="A1274" s="2">
        <v>1267</v>
      </c>
      <c r="B1274" s="2" t="s">
        <v>4058</v>
      </c>
      <c r="C1274" s="2" t="s">
        <v>4059</v>
      </c>
      <c r="D1274" s="2" t="s">
        <v>15</v>
      </c>
      <c r="E1274" s="2" t="s">
        <v>16</v>
      </c>
      <c r="F1274" s="2">
        <v>60</v>
      </c>
      <c r="G1274" s="2" t="s">
        <v>4060</v>
      </c>
      <c r="H1274" s="2" t="s">
        <v>1482</v>
      </c>
      <c r="I1274" s="2" t="s">
        <v>1483</v>
      </c>
      <c r="J1274" s="3">
        <v>44331</v>
      </c>
      <c r="K1274" s="5">
        <f>YEAR(OrganizedData[[#This Row],[Order Date]])</f>
        <v>2021</v>
      </c>
      <c r="L1274" s="7" t="str">
        <f>TEXT(OrganizedData[[#This Row],[Order Date]],"mmm")</f>
        <v>May</v>
      </c>
      <c r="M1274" s="2">
        <v>25</v>
      </c>
      <c r="N1274" s="2" t="s">
        <v>64</v>
      </c>
      <c r="O1274" s="2" t="str">
        <f>VLOOKUP(OrganizedData[[#This Row],[Product Code]],ProductData[[Code]:[Item]],2,FALSE)</f>
        <v>Ultrathing V4</v>
      </c>
      <c r="P1274" s="4">
        <f>OrganizedData[[#This Row],[Quantity]]*VLOOKUP(OrganizedData[[#This Row],[Product Code]],ProductData[],4,FALSE)</f>
        <v>600</v>
      </c>
      <c r="Q1274" s="6">
        <f>OrganizedData[[#This Row],[Total Items Ordered]]*VLOOKUP(OrganizedData[[#This Row],[Product Code]],ProductData[],3,FALSE)</f>
        <v>2394</v>
      </c>
      <c r="R12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2322.1799999999998</v>
      </c>
    </row>
    <row r="1275" spans="1:18" x14ac:dyDescent="0.3">
      <c r="A1275" s="2">
        <v>1268</v>
      </c>
      <c r="B1275" s="2" t="s">
        <v>4061</v>
      </c>
      <c r="C1275" s="2" t="s">
        <v>1765</v>
      </c>
      <c r="D1275" s="2" t="s">
        <v>51</v>
      </c>
      <c r="E1275" s="2" t="s">
        <v>16</v>
      </c>
      <c r="F1275" s="2">
        <v>30</v>
      </c>
      <c r="G1275" s="2" t="s">
        <v>4060</v>
      </c>
      <c r="H1275" s="2" t="s">
        <v>1261</v>
      </c>
      <c r="I1275" s="2" t="s">
        <v>32</v>
      </c>
      <c r="J1275" s="3">
        <v>44276</v>
      </c>
      <c r="K1275" s="5">
        <f>YEAR(OrganizedData[[#This Row],[Order Date]])</f>
        <v>2021</v>
      </c>
      <c r="L1275" s="7" t="str">
        <f>TEXT(OrganizedData[[#This Row],[Order Date]],"mmm")</f>
        <v>Mar</v>
      </c>
      <c r="M1275" s="2">
        <v>5</v>
      </c>
      <c r="N1275" s="2" t="s">
        <v>20</v>
      </c>
      <c r="O1275" s="2" t="str">
        <f>VLOOKUP(OrganizedData[[#This Row],[Product Code]],ProductData[[Code]:[Item]],2,FALSE)</f>
        <v>Hyperwotsit</v>
      </c>
      <c r="P1275" s="4">
        <f>OrganizedData[[#This Row],[Quantity]]*VLOOKUP(OrganizedData[[#This Row],[Product Code]],ProductData[],4,FALSE)</f>
        <v>100</v>
      </c>
      <c r="Q1275" s="6">
        <f>OrganizedData[[#This Row],[Total Items Ordered]]*VLOOKUP(OrganizedData[[#This Row],[Product Code]],ProductData[],3,FALSE)</f>
        <v>200.99999999999997</v>
      </c>
      <c r="R12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1276" spans="1:18" x14ac:dyDescent="0.3">
      <c r="A1276" s="2">
        <v>1269</v>
      </c>
      <c r="B1276" s="2" t="s">
        <v>4062</v>
      </c>
      <c r="C1276" s="2" t="s">
        <v>2747</v>
      </c>
      <c r="D1276" s="2" t="s">
        <v>51</v>
      </c>
      <c r="E1276" s="2" t="s">
        <v>16</v>
      </c>
      <c r="F1276" s="2">
        <v>90</v>
      </c>
      <c r="G1276" s="2" t="s">
        <v>4063</v>
      </c>
      <c r="H1276" s="2" t="s">
        <v>587</v>
      </c>
      <c r="I1276" s="2" t="s">
        <v>25</v>
      </c>
      <c r="J1276" s="3">
        <v>44588</v>
      </c>
      <c r="K1276" s="5">
        <f>YEAR(OrganizedData[[#This Row],[Order Date]])</f>
        <v>2022</v>
      </c>
      <c r="L1276" s="7" t="str">
        <f>TEXT(OrganizedData[[#This Row],[Order Date]],"mmm")</f>
        <v>Jan</v>
      </c>
      <c r="M1276" s="2">
        <v>41</v>
      </c>
      <c r="N1276" s="2" t="s">
        <v>39</v>
      </c>
      <c r="O1276" s="2" t="str">
        <f>VLOOKUP(OrganizedData[[#This Row],[Product Code]],ProductData[[Code]:[Item]],2,FALSE)</f>
        <v>Ultrathing V1</v>
      </c>
      <c r="P1276" s="4">
        <f>OrganizedData[[#This Row],[Quantity]]*VLOOKUP(OrganizedData[[#This Row],[Product Code]],ProductData[],4,FALSE)</f>
        <v>697</v>
      </c>
      <c r="Q1276" s="6">
        <f>OrganizedData[[#This Row],[Total Items Ordered]]*VLOOKUP(OrganizedData[[#This Row],[Product Code]],ProductData[],3,FALSE)</f>
        <v>1247.6300000000001</v>
      </c>
      <c r="R12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1210.2011</v>
      </c>
    </row>
    <row r="1277" spans="1:18" x14ac:dyDescent="0.3">
      <c r="A1277" s="2">
        <v>1270</v>
      </c>
      <c r="B1277" s="2" t="s">
        <v>4064</v>
      </c>
      <c r="C1277" s="2" t="s">
        <v>3911</v>
      </c>
      <c r="D1277" s="2" t="s">
        <v>15</v>
      </c>
      <c r="E1277" s="2" t="s">
        <v>16</v>
      </c>
      <c r="F1277" s="2">
        <v>90</v>
      </c>
      <c r="G1277" s="2" t="s">
        <v>4065</v>
      </c>
      <c r="H1277" s="2" t="s">
        <v>4066</v>
      </c>
      <c r="I1277" s="2" t="s">
        <v>4067</v>
      </c>
      <c r="J1277" s="3">
        <v>44009</v>
      </c>
      <c r="K1277" s="5">
        <f>YEAR(OrganizedData[[#This Row],[Order Date]])</f>
        <v>2020</v>
      </c>
      <c r="L1277" s="7" t="str">
        <f>TEXT(OrganizedData[[#This Row],[Order Date]],"mmm")</f>
        <v>Jun</v>
      </c>
      <c r="M1277" s="2">
        <v>71</v>
      </c>
      <c r="N1277" s="2" t="s">
        <v>39</v>
      </c>
      <c r="O1277" s="2" t="str">
        <f>VLOOKUP(OrganizedData[[#This Row],[Product Code]],ProductData[[Code]:[Item]],2,FALSE)</f>
        <v>Ultrathing V1</v>
      </c>
      <c r="P1277" s="4">
        <f>OrganizedData[[#This Row],[Quantity]]*VLOOKUP(OrganizedData[[#This Row],[Product Code]],ProductData[],4,FALSE)</f>
        <v>1207</v>
      </c>
      <c r="Q1277" s="6">
        <f>OrganizedData[[#This Row],[Total Items Ordered]]*VLOOKUP(OrganizedData[[#This Row],[Product Code]],ProductData[],3,FALSE)</f>
        <v>2160.5300000000002</v>
      </c>
      <c r="R12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2052.5035000000003</v>
      </c>
    </row>
    <row r="1278" spans="1:18" x14ac:dyDescent="0.3">
      <c r="A1278" s="2">
        <v>1271</v>
      </c>
      <c r="B1278" s="2" t="s">
        <v>4068</v>
      </c>
      <c r="C1278" s="2" t="s">
        <v>4069</v>
      </c>
      <c r="D1278" s="2" t="s">
        <v>28</v>
      </c>
      <c r="E1278" s="2" t="s">
        <v>29</v>
      </c>
      <c r="F1278" s="2">
        <v>90</v>
      </c>
      <c r="G1278" s="2" t="s">
        <v>4070</v>
      </c>
      <c r="H1278" s="2" t="s">
        <v>4071</v>
      </c>
      <c r="I1278" s="2" t="s">
        <v>886</v>
      </c>
      <c r="J1278" s="3">
        <v>44404</v>
      </c>
      <c r="K1278" s="5">
        <f>YEAR(OrganizedData[[#This Row],[Order Date]])</f>
        <v>2021</v>
      </c>
      <c r="L1278" s="7" t="str">
        <f>TEXT(OrganizedData[[#This Row],[Order Date]],"mmm")</f>
        <v>Jul</v>
      </c>
      <c r="M1278" s="2">
        <v>56</v>
      </c>
      <c r="N1278" s="2" t="s">
        <v>45</v>
      </c>
      <c r="O1278" s="2" t="str">
        <f>VLOOKUP(OrganizedData[[#This Row],[Product Code]],ProductData[[Code]:[Item]],2,FALSE)</f>
        <v>Gigastuff</v>
      </c>
      <c r="P1278" s="4">
        <f>OrganizedData[[#This Row],[Quantity]]*VLOOKUP(OrganizedData[[#This Row],[Product Code]],ProductData[],4,FALSE)</f>
        <v>1008</v>
      </c>
      <c r="Q1278" s="6">
        <f>OrganizedData[[#This Row],[Total Items Ordered]]*VLOOKUP(OrganizedData[[#This Row],[Product Code]],ProductData[],3,FALSE)</f>
        <v>1905.12</v>
      </c>
      <c r="R12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1809.8639999999998</v>
      </c>
    </row>
    <row r="1279" spans="1:18" x14ac:dyDescent="0.3">
      <c r="A1279" s="2">
        <v>1272</v>
      </c>
      <c r="B1279" s="2" t="s">
        <v>4072</v>
      </c>
      <c r="C1279" s="2" t="s">
        <v>1270</v>
      </c>
      <c r="D1279" s="2" t="s">
        <v>28</v>
      </c>
      <c r="E1279" s="2" t="s">
        <v>29</v>
      </c>
      <c r="F1279" s="2">
        <v>60</v>
      </c>
      <c r="G1279" s="2" t="s">
        <v>4073</v>
      </c>
      <c r="H1279" s="2" t="s">
        <v>4074</v>
      </c>
      <c r="I1279" s="2" t="s">
        <v>19</v>
      </c>
      <c r="J1279" s="3">
        <v>44363</v>
      </c>
      <c r="K1279" s="5">
        <f>YEAR(OrganizedData[[#This Row],[Order Date]])</f>
        <v>2021</v>
      </c>
      <c r="L1279" s="7" t="str">
        <f>TEXT(OrganizedData[[#This Row],[Order Date]],"mmm")</f>
        <v>Jun</v>
      </c>
      <c r="M1279" s="2">
        <v>54</v>
      </c>
      <c r="N1279" s="2" t="s">
        <v>64</v>
      </c>
      <c r="O1279" s="2" t="str">
        <f>VLOOKUP(OrganizedData[[#This Row],[Product Code]],ProductData[[Code]:[Item]],2,FALSE)</f>
        <v>Ultrathing V4</v>
      </c>
      <c r="P1279" s="4">
        <f>OrganizedData[[#This Row],[Quantity]]*VLOOKUP(OrganizedData[[#This Row],[Product Code]],ProductData[],4,FALSE)</f>
        <v>1296</v>
      </c>
      <c r="Q1279" s="6">
        <f>OrganizedData[[#This Row],[Total Items Ordered]]*VLOOKUP(OrganizedData[[#This Row],[Product Code]],ProductData[],3,FALSE)</f>
        <v>5171.04</v>
      </c>
      <c r="R12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1280" spans="1:18" x14ac:dyDescent="0.3">
      <c r="A1280" s="2">
        <v>1273</v>
      </c>
      <c r="B1280" s="2" t="s">
        <v>2840</v>
      </c>
      <c r="C1280" s="2" t="s">
        <v>4075</v>
      </c>
      <c r="D1280" s="2" t="s">
        <v>28</v>
      </c>
      <c r="E1280" s="2" t="s">
        <v>29</v>
      </c>
      <c r="F1280" s="2">
        <v>60</v>
      </c>
      <c r="G1280" s="2" t="s">
        <v>4076</v>
      </c>
      <c r="H1280" s="2" t="s">
        <v>4077</v>
      </c>
      <c r="I1280" s="2" t="s">
        <v>554</v>
      </c>
      <c r="J1280" s="3">
        <v>44247</v>
      </c>
      <c r="K1280" s="5">
        <f>YEAR(OrganizedData[[#This Row],[Order Date]])</f>
        <v>2021</v>
      </c>
      <c r="L1280" s="7" t="str">
        <f>TEXT(OrganizedData[[#This Row],[Order Date]],"mmm")</f>
        <v>Feb</v>
      </c>
      <c r="M1280" s="2">
        <v>93</v>
      </c>
      <c r="N1280" s="2" t="s">
        <v>20</v>
      </c>
      <c r="O1280" s="2" t="str">
        <f>VLOOKUP(OrganizedData[[#This Row],[Product Code]],ProductData[[Code]:[Item]],2,FALSE)</f>
        <v>Hyperwotsit</v>
      </c>
      <c r="P1280" s="4">
        <f>OrganizedData[[#This Row],[Quantity]]*VLOOKUP(OrganizedData[[#This Row],[Product Code]],ProductData[],4,FALSE)</f>
        <v>1860</v>
      </c>
      <c r="Q1280" s="6">
        <f>OrganizedData[[#This Row],[Total Items Ordered]]*VLOOKUP(OrganizedData[[#This Row],[Product Code]],ProductData[],3,FALSE)</f>
        <v>3738.5999999999995</v>
      </c>
      <c r="R12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3551.6699999999992</v>
      </c>
    </row>
    <row r="1281" spans="1:18" x14ac:dyDescent="0.3">
      <c r="A1281" s="2">
        <v>1274</v>
      </c>
      <c r="B1281" s="2" t="s">
        <v>4078</v>
      </c>
      <c r="C1281" s="2" t="s">
        <v>4079</v>
      </c>
      <c r="D1281" s="2" t="s">
        <v>28</v>
      </c>
      <c r="E1281" s="2" t="s">
        <v>29</v>
      </c>
      <c r="F1281" s="2">
        <v>60</v>
      </c>
      <c r="G1281" s="2" t="s">
        <v>4080</v>
      </c>
      <c r="H1281" s="2" t="s">
        <v>4081</v>
      </c>
      <c r="I1281" s="2" t="s">
        <v>32</v>
      </c>
      <c r="J1281" s="3">
        <v>44808</v>
      </c>
      <c r="K1281" s="5">
        <f>YEAR(OrganizedData[[#This Row],[Order Date]])</f>
        <v>2022</v>
      </c>
      <c r="L1281" s="7" t="str">
        <f>TEXT(OrganizedData[[#This Row],[Order Date]],"mmm")</f>
        <v>Sep</v>
      </c>
      <c r="M1281" s="2">
        <v>97</v>
      </c>
      <c r="N1281" s="2" t="s">
        <v>80</v>
      </c>
      <c r="O1281" s="2" t="str">
        <f>VLOOKUP(OrganizedData[[#This Row],[Product Code]],ProductData[[Code]:[Item]],2,FALSE)</f>
        <v>Ultrathing V2</v>
      </c>
      <c r="P1281" s="4">
        <f>OrganizedData[[#This Row],[Quantity]]*VLOOKUP(OrganizedData[[#This Row],[Product Code]],ProductData[],4,FALSE)</f>
        <v>1940</v>
      </c>
      <c r="Q1281" s="6">
        <f>OrganizedData[[#This Row],[Total Items Ordered]]*VLOOKUP(OrganizedData[[#This Row],[Product Code]],ProductData[],3,FALSE)</f>
        <v>5723</v>
      </c>
      <c r="R12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5436.8499999999995</v>
      </c>
    </row>
    <row r="1282" spans="1:18" x14ac:dyDescent="0.3">
      <c r="A1282" s="2">
        <v>1275</v>
      </c>
      <c r="B1282" s="2" t="s">
        <v>4082</v>
      </c>
      <c r="C1282" s="2" t="s">
        <v>4083</v>
      </c>
      <c r="D1282" s="2" t="s">
        <v>51</v>
      </c>
      <c r="E1282" s="2" t="s">
        <v>16</v>
      </c>
      <c r="F1282" s="2">
        <v>60</v>
      </c>
      <c r="G1282" s="2" t="s">
        <v>4084</v>
      </c>
      <c r="H1282" s="2" t="s">
        <v>4085</v>
      </c>
      <c r="I1282" s="2" t="s">
        <v>240</v>
      </c>
      <c r="J1282" s="3">
        <v>44910</v>
      </c>
      <c r="K1282" s="5">
        <f>YEAR(OrganizedData[[#This Row],[Order Date]])</f>
        <v>2022</v>
      </c>
      <c r="L1282" s="7" t="str">
        <f>TEXT(OrganizedData[[#This Row],[Order Date]],"mmm")</f>
        <v>Dec</v>
      </c>
      <c r="M1282" s="2">
        <v>2</v>
      </c>
      <c r="N1282" s="2" t="s">
        <v>70</v>
      </c>
      <c r="O1282" s="2" t="str">
        <f>VLOOKUP(OrganizedData[[#This Row],[Product Code]],ProductData[[Code]:[Item]],2,FALSE)</f>
        <v>Megawidget M</v>
      </c>
      <c r="P1282" s="4">
        <f>OrganizedData[[#This Row],[Quantity]]*VLOOKUP(OrganizedData[[#This Row],[Product Code]],ProductData[],4,FALSE)</f>
        <v>48</v>
      </c>
      <c r="Q1282" s="6">
        <f>OrganizedData[[#This Row],[Total Items Ordered]]*VLOOKUP(OrganizedData[[#This Row],[Product Code]],ProductData[],3,FALSE)</f>
        <v>61.92</v>
      </c>
      <c r="R12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1283" spans="1:18" x14ac:dyDescent="0.3">
      <c r="A1283" s="2">
        <v>1276</v>
      </c>
      <c r="B1283" s="2" t="s">
        <v>631</v>
      </c>
      <c r="C1283" s="2" t="s">
        <v>1573</v>
      </c>
      <c r="D1283" s="2" t="s">
        <v>15</v>
      </c>
      <c r="E1283" s="2" t="s">
        <v>16</v>
      </c>
      <c r="F1283" s="2">
        <v>60</v>
      </c>
      <c r="G1283" s="2" t="s">
        <v>4086</v>
      </c>
      <c r="H1283" s="2" t="s">
        <v>3854</v>
      </c>
      <c r="I1283" s="2" t="s">
        <v>38</v>
      </c>
      <c r="J1283" s="3">
        <v>43840</v>
      </c>
      <c r="K1283" s="5">
        <f>YEAR(OrganizedData[[#This Row],[Order Date]])</f>
        <v>2020</v>
      </c>
      <c r="L1283" s="7" t="str">
        <f>TEXT(OrganizedData[[#This Row],[Order Date]],"mmm")</f>
        <v>Jan</v>
      </c>
      <c r="M1283" s="2">
        <v>67</v>
      </c>
      <c r="N1283" s="2" t="s">
        <v>80</v>
      </c>
      <c r="O1283" s="2" t="str">
        <f>VLOOKUP(OrganizedData[[#This Row],[Product Code]],ProductData[[Code]:[Item]],2,FALSE)</f>
        <v>Ultrathing V2</v>
      </c>
      <c r="P1283" s="4">
        <f>OrganizedData[[#This Row],[Quantity]]*VLOOKUP(OrganizedData[[#This Row],[Product Code]],ProductData[],4,FALSE)</f>
        <v>1340</v>
      </c>
      <c r="Q1283" s="6">
        <f>OrganizedData[[#This Row],[Total Items Ordered]]*VLOOKUP(OrganizedData[[#This Row],[Product Code]],ProductData[],3,FALSE)</f>
        <v>3953.0000000000005</v>
      </c>
      <c r="R12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3755.3500000000004</v>
      </c>
    </row>
    <row r="1284" spans="1:18" x14ac:dyDescent="0.3">
      <c r="A1284" s="2">
        <v>1277</v>
      </c>
      <c r="B1284" s="2" t="s">
        <v>4087</v>
      </c>
      <c r="C1284" s="2" t="s">
        <v>4088</v>
      </c>
      <c r="D1284" s="2" t="s">
        <v>51</v>
      </c>
      <c r="E1284" s="2" t="s">
        <v>16</v>
      </c>
      <c r="F1284" s="2">
        <v>60</v>
      </c>
      <c r="G1284" s="2" t="s">
        <v>4089</v>
      </c>
      <c r="H1284" s="2" t="s">
        <v>4090</v>
      </c>
      <c r="I1284" s="2" t="s">
        <v>32</v>
      </c>
      <c r="J1284" s="3">
        <v>44460</v>
      </c>
      <c r="K1284" s="5">
        <f>YEAR(OrganizedData[[#This Row],[Order Date]])</f>
        <v>2021</v>
      </c>
      <c r="L1284" s="7" t="str">
        <f>TEXT(OrganizedData[[#This Row],[Order Date]],"mmm")</f>
        <v>Sep</v>
      </c>
      <c r="M1284" s="2">
        <v>71</v>
      </c>
      <c r="N1284" s="2" t="s">
        <v>64</v>
      </c>
      <c r="O1284" s="2" t="str">
        <f>VLOOKUP(OrganizedData[[#This Row],[Product Code]],ProductData[[Code]:[Item]],2,FALSE)</f>
        <v>Ultrathing V4</v>
      </c>
      <c r="P1284" s="4">
        <f>OrganizedData[[#This Row],[Quantity]]*VLOOKUP(OrganizedData[[#This Row],[Product Code]],ProductData[],4,FALSE)</f>
        <v>1704</v>
      </c>
      <c r="Q1284" s="6">
        <f>OrganizedData[[#This Row],[Total Items Ordered]]*VLOOKUP(OrganizedData[[#This Row],[Product Code]],ProductData[],3,FALSE)</f>
        <v>6798.96</v>
      </c>
      <c r="R12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1285" spans="1:18" x14ac:dyDescent="0.3">
      <c r="A1285" s="2">
        <v>1278</v>
      </c>
      <c r="B1285" s="2" t="s">
        <v>4091</v>
      </c>
      <c r="C1285" s="2" t="s">
        <v>4092</v>
      </c>
      <c r="D1285" s="2" t="s">
        <v>28</v>
      </c>
      <c r="E1285" s="2" t="s">
        <v>29</v>
      </c>
      <c r="F1285" s="2">
        <v>60</v>
      </c>
      <c r="G1285" s="2" t="s">
        <v>4093</v>
      </c>
      <c r="H1285" s="2" t="s">
        <v>3637</v>
      </c>
      <c r="I1285" s="2" t="s">
        <v>38</v>
      </c>
      <c r="J1285" s="3">
        <v>43869</v>
      </c>
      <c r="K1285" s="5">
        <f>YEAR(OrganizedData[[#This Row],[Order Date]])</f>
        <v>2020</v>
      </c>
      <c r="L1285" s="7" t="str">
        <f>TEXT(OrganizedData[[#This Row],[Order Date]],"mmm")</f>
        <v>Feb</v>
      </c>
      <c r="M1285" s="2">
        <v>36</v>
      </c>
      <c r="N1285" s="2" t="s">
        <v>54</v>
      </c>
      <c r="O1285" s="2" t="str">
        <f>VLOOKUP(OrganizedData[[#This Row],[Product Code]],ProductData[[Code]:[Item]],2,FALSE)</f>
        <v>Megawidget S</v>
      </c>
      <c r="P1285" s="4">
        <f>OrganizedData[[#This Row],[Quantity]]*VLOOKUP(OrganizedData[[#This Row],[Product Code]],ProductData[],4,FALSE)</f>
        <v>864</v>
      </c>
      <c r="Q1285" s="6">
        <f>OrganizedData[[#This Row],[Total Items Ordered]]*VLOOKUP(OrganizedData[[#This Row],[Product Code]],ProductData[],3,FALSE)</f>
        <v>596.16</v>
      </c>
      <c r="R12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578.27519999999993</v>
      </c>
    </row>
    <row r="1286" spans="1:18" x14ac:dyDescent="0.3">
      <c r="A1286" s="2">
        <v>1279</v>
      </c>
      <c r="B1286" s="2" t="s">
        <v>4094</v>
      </c>
      <c r="C1286" s="2" t="s">
        <v>4095</v>
      </c>
      <c r="D1286" s="2" t="s">
        <v>28</v>
      </c>
      <c r="E1286" s="2" t="s">
        <v>29</v>
      </c>
      <c r="F1286" s="2">
        <v>90</v>
      </c>
      <c r="G1286" s="2" t="s">
        <v>4096</v>
      </c>
      <c r="H1286" s="2" t="s">
        <v>3261</v>
      </c>
      <c r="I1286" s="2" t="s">
        <v>124</v>
      </c>
      <c r="J1286" s="3">
        <v>43929</v>
      </c>
      <c r="K1286" s="5">
        <f>YEAR(OrganizedData[[#This Row],[Order Date]])</f>
        <v>2020</v>
      </c>
      <c r="L1286" s="7" t="str">
        <f>TEXT(OrganizedData[[#This Row],[Order Date]],"mmm")</f>
        <v>Apr</v>
      </c>
      <c r="M1286" s="2">
        <v>16</v>
      </c>
      <c r="N1286" s="2" t="s">
        <v>101</v>
      </c>
      <c r="O1286" s="2" t="str">
        <f>VLOOKUP(OrganizedData[[#This Row],[Product Code]],ProductData[[Code]:[Item]],2,FALSE)</f>
        <v>Superwossname</v>
      </c>
      <c r="P1286" s="4">
        <f>OrganizedData[[#This Row],[Quantity]]*VLOOKUP(OrganizedData[[#This Row],[Product Code]],ProductData[],4,FALSE)</f>
        <v>320</v>
      </c>
      <c r="Q1286" s="6">
        <f>OrganizedData[[#This Row],[Total Items Ordered]]*VLOOKUP(OrganizedData[[#This Row],[Product Code]],ProductData[],3,FALSE)</f>
        <v>1116.8000000000002</v>
      </c>
      <c r="R12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1287" spans="1:18" x14ac:dyDescent="0.3">
      <c r="A1287" s="2">
        <v>1280</v>
      </c>
      <c r="B1287" s="2" t="s">
        <v>2285</v>
      </c>
      <c r="C1287" s="2" t="s">
        <v>4035</v>
      </c>
      <c r="D1287" s="2" t="s">
        <v>15</v>
      </c>
      <c r="E1287" s="2" t="s">
        <v>16</v>
      </c>
      <c r="F1287" s="2">
        <v>60</v>
      </c>
      <c r="G1287" s="2" t="s">
        <v>4097</v>
      </c>
      <c r="H1287" s="2" t="s">
        <v>4098</v>
      </c>
      <c r="I1287" s="2" t="s">
        <v>1889</v>
      </c>
      <c r="J1287" s="3">
        <v>44352</v>
      </c>
      <c r="K1287" s="5">
        <f>YEAR(OrganizedData[[#This Row],[Order Date]])</f>
        <v>2021</v>
      </c>
      <c r="L1287" s="7" t="str">
        <f>TEXT(OrganizedData[[#This Row],[Order Date]],"mmm")</f>
        <v>Jun</v>
      </c>
      <c r="M1287" s="2">
        <v>14</v>
      </c>
      <c r="N1287" s="2" t="s">
        <v>20</v>
      </c>
      <c r="O1287" s="2" t="str">
        <f>VLOOKUP(OrganizedData[[#This Row],[Product Code]],ProductData[[Code]:[Item]],2,FALSE)</f>
        <v>Hyperwotsit</v>
      </c>
      <c r="P1287" s="4">
        <f>OrganizedData[[#This Row],[Quantity]]*VLOOKUP(OrganizedData[[#This Row],[Product Code]],ProductData[],4,FALSE)</f>
        <v>280</v>
      </c>
      <c r="Q1287" s="6">
        <f>OrganizedData[[#This Row],[Total Items Ordered]]*VLOOKUP(OrganizedData[[#This Row],[Product Code]],ProductData[],3,FALSE)</f>
        <v>562.79999999999995</v>
      </c>
      <c r="R12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1288" spans="1:18" x14ac:dyDescent="0.3">
      <c r="A1288" s="2">
        <v>1281</v>
      </c>
      <c r="B1288" s="2" t="s">
        <v>4099</v>
      </c>
      <c r="C1288" s="2" t="s">
        <v>2273</v>
      </c>
      <c r="D1288" s="2" t="s">
        <v>28</v>
      </c>
      <c r="E1288" s="2" t="s">
        <v>29</v>
      </c>
      <c r="F1288" s="2">
        <v>90</v>
      </c>
      <c r="G1288" s="2" t="s">
        <v>4097</v>
      </c>
      <c r="H1288" s="2" t="s">
        <v>4100</v>
      </c>
      <c r="I1288" s="2" t="s">
        <v>294</v>
      </c>
      <c r="J1288" s="3">
        <v>44641</v>
      </c>
      <c r="K1288" s="5">
        <f>YEAR(OrganizedData[[#This Row],[Order Date]])</f>
        <v>2022</v>
      </c>
      <c r="L1288" s="7" t="str">
        <f>TEXT(OrganizedData[[#This Row],[Order Date]],"mmm")</f>
        <v>Mar</v>
      </c>
      <c r="M1288" s="2">
        <v>100</v>
      </c>
      <c r="N1288" s="2" t="s">
        <v>54</v>
      </c>
      <c r="O1288" s="2" t="str">
        <f>VLOOKUP(OrganizedData[[#This Row],[Product Code]],ProductData[[Code]:[Item]],2,FALSE)</f>
        <v>Megawidget S</v>
      </c>
      <c r="P1288" s="4">
        <f>OrganizedData[[#This Row],[Quantity]]*VLOOKUP(OrganizedData[[#This Row],[Product Code]],ProductData[],4,FALSE)</f>
        <v>2400</v>
      </c>
      <c r="Q1288" s="6">
        <f>OrganizedData[[#This Row],[Total Items Ordered]]*VLOOKUP(OrganizedData[[#This Row],[Product Code]],ProductData[],3,FALSE)</f>
        <v>1655.9999999999998</v>
      </c>
      <c r="R12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1573.1999999999998</v>
      </c>
    </row>
    <row r="1289" spans="1:18" x14ac:dyDescent="0.3">
      <c r="A1289" s="2">
        <v>1282</v>
      </c>
      <c r="B1289" s="2" t="s">
        <v>4101</v>
      </c>
      <c r="C1289" s="2" t="s">
        <v>4102</v>
      </c>
      <c r="D1289" s="2" t="s">
        <v>15</v>
      </c>
      <c r="E1289" s="2" t="s">
        <v>16</v>
      </c>
      <c r="F1289" s="2">
        <v>60</v>
      </c>
      <c r="G1289" s="2" t="s">
        <v>4103</v>
      </c>
      <c r="H1289" s="2" t="s">
        <v>1772</v>
      </c>
      <c r="I1289" s="2" t="s">
        <v>178</v>
      </c>
      <c r="J1289" s="3">
        <v>44891</v>
      </c>
      <c r="K1289" s="5">
        <f>YEAR(OrganizedData[[#This Row],[Order Date]])</f>
        <v>2022</v>
      </c>
      <c r="L1289" s="7" t="str">
        <f>TEXT(OrganizedData[[#This Row],[Order Date]],"mmm")</f>
        <v>Nov</v>
      </c>
      <c r="M1289" s="2">
        <v>39</v>
      </c>
      <c r="N1289" s="2" t="s">
        <v>159</v>
      </c>
      <c r="O1289" s="2" t="str">
        <f>VLOOKUP(OrganizedData[[#This Row],[Product Code]],ProductData[[Code]:[Item]],2,FALSE)</f>
        <v>Ultrathing V3</v>
      </c>
      <c r="P1289" s="4">
        <f>OrganizedData[[#This Row],[Quantity]]*VLOOKUP(OrganizedData[[#This Row],[Product Code]],ProductData[],4,FALSE)</f>
        <v>936</v>
      </c>
      <c r="Q1289" s="6">
        <f>OrganizedData[[#This Row],[Total Items Ordered]]*VLOOKUP(OrganizedData[[#This Row],[Product Code]],ProductData[],3,FALSE)</f>
        <v>3173.04</v>
      </c>
      <c r="R12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3077.8487999999998</v>
      </c>
    </row>
    <row r="1290" spans="1:18" x14ac:dyDescent="0.3">
      <c r="A1290" s="2">
        <v>1283</v>
      </c>
      <c r="B1290" s="2" t="s">
        <v>4104</v>
      </c>
      <c r="C1290" s="2" t="s">
        <v>2471</v>
      </c>
      <c r="D1290" s="2" t="s">
        <v>15</v>
      </c>
      <c r="E1290" s="2" t="s">
        <v>16</v>
      </c>
      <c r="F1290" s="2">
        <v>30</v>
      </c>
      <c r="G1290" s="2" t="s">
        <v>4105</v>
      </c>
      <c r="H1290" s="2" t="s">
        <v>1156</v>
      </c>
      <c r="I1290" s="2" t="s">
        <v>1157</v>
      </c>
      <c r="J1290" s="3">
        <v>44501</v>
      </c>
      <c r="K1290" s="5">
        <f>YEAR(OrganizedData[[#This Row],[Order Date]])</f>
        <v>2021</v>
      </c>
      <c r="L1290" s="7" t="str">
        <f>TEXT(OrganizedData[[#This Row],[Order Date]],"mmm")</f>
        <v>Nov</v>
      </c>
      <c r="M1290" s="2">
        <v>16</v>
      </c>
      <c r="N1290" s="2" t="s">
        <v>64</v>
      </c>
      <c r="O1290" s="2" t="str">
        <f>VLOOKUP(OrganizedData[[#This Row],[Product Code]],ProductData[[Code]:[Item]],2,FALSE)</f>
        <v>Ultrathing V4</v>
      </c>
      <c r="P1290" s="4">
        <f>OrganizedData[[#This Row],[Quantity]]*VLOOKUP(OrganizedData[[#This Row],[Product Code]],ProductData[],4,FALSE)</f>
        <v>384</v>
      </c>
      <c r="Q1290" s="6">
        <f>OrganizedData[[#This Row],[Total Items Ordered]]*VLOOKUP(OrganizedData[[#This Row],[Product Code]],ProductData[],3,FALSE)</f>
        <v>1532.16</v>
      </c>
      <c r="R12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1291" spans="1:18" x14ac:dyDescent="0.3">
      <c r="A1291" s="2">
        <v>1284</v>
      </c>
      <c r="B1291" s="2" t="s">
        <v>335</v>
      </c>
      <c r="C1291" s="2" t="s">
        <v>589</v>
      </c>
      <c r="D1291" s="2" t="s">
        <v>28</v>
      </c>
      <c r="E1291" s="2" t="s">
        <v>29</v>
      </c>
      <c r="F1291" s="2">
        <v>90</v>
      </c>
      <c r="G1291" s="2" t="s">
        <v>4106</v>
      </c>
      <c r="H1291" s="2" t="s">
        <v>1042</v>
      </c>
      <c r="I1291" s="2" t="s">
        <v>32</v>
      </c>
      <c r="J1291" s="3">
        <v>44646</v>
      </c>
      <c r="K1291" s="5">
        <f>YEAR(OrganizedData[[#This Row],[Order Date]])</f>
        <v>2022</v>
      </c>
      <c r="L1291" s="7" t="str">
        <f>TEXT(OrganizedData[[#This Row],[Order Date]],"mmm")</f>
        <v>Mar</v>
      </c>
      <c r="M1291" s="2">
        <v>105</v>
      </c>
      <c r="N1291" s="2" t="s">
        <v>159</v>
      </c>
      <c r="O1291" s="2" t="str">
        <f>VLOOKUP(OrganizedData[[#This Row],[Product Code]],ProductData[[Code]:[Item]],2,FALSE)</f>
        <v>Ultrathing V3</v>
      </c>
      <c r="P1291" s="4">
        <f>OrganizedData[[#This Row],[Quantity]]*VLOOKUP(OrganizedData[[#This Row],[Product Code]],ProductData[],4,FALSE)</f>
        <v>2520</v>
      </c>
      <c r="Q1291" s="6">
        <f>OrganizedData[[#This Row],[Total Items Ordered]]*VLOOKUP(OrganizedData[[#This Row],[Product Code]],ProductData[],3,FALSE)</f>
        <v>8542.8000000000011</v>
      </c>
      <c r="R12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7944.804000000001</v>
      </c>
    </row>
    <row r="1292" spans="1:18" x14ac:dyDescent="0.3">
      <c r="A1292" s="2">
        <v>1285</v>
      </c>
      <c r="B1292" s="2" t="s">
        <v>2843</v>
      </c>
      <c r="C1292" s="2" t="s">
        <v>1877</v>
      </c>
      <c r="D1292" s="2" t="s">
        <v>51</v>
      </c>
      <c r="E1292" s="2" t="s">
        <v>16</v>
      </c>
      <c r="F1292" s="2">
        <v>30</v>
      </c>
      <c r="G1292" s="2" t="s">
        <v>4107</v>
      </c>
      <c r="H1292" s="2" t="s">
        <v>4108</v>
      </c>
      <c r="I1292" s="2" t="s">
        <v>1454</v>
      </c>
      <c r="J1292" s="3">
        <v>44724</v>
      </c>
      <c r="K1292" s="5">
        <f>YEAR(OrganizedData[[#This Row],[Order Date]])</f>
        <v>2022</v>
      </c>
      <c r="L1292" s="7" t="str">
        <f>TEXT(OrganizedData[[#This Row],[Order Date]],"mmm")</f>
        <v>Jun</v>
      </c>
      <c r="M1292" s="2">
        <v>105</v>
      </c>
      <c r="N1292" s="2" t="s">
        <v>39</v>
      </c>
      <c r="O1292" s="2" t="str">
        <f>VLOOKUP(OrganizedData[[#This Row],[Product Code]],ProductData[[Code]:[Item]],2,FALSE)</f>
        <v>Ultrathing V1</v>
      </c>
      <c r="P1292" s="4">
        <f>OrganizedData[[#This Row],[Quantity]]*VLOOKUP(OrganizedData[[#This Row],[Product Code]],ProductData[],4,FALSE)</f>
        <v>1785</v>
      </c>
      <c r="Q1292" s="6">
        <f>OrganizedData[[#This Row],[Total Items Ordered]]*VLOOKUP(OrganizedData[[#This Row],[Product Code]],ProductData[],3,FALSE)</f>
        <v>3195.15</v>
      </c>
      <c r="R12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2971.4895000000001</v>
      </c>
    </row>
    <row r="1293" spans="1:18" x14ac:dyDescent="0.3">
      <c r="A1293" s="2">
        <v>1286</v>
      </c>
      <c r="B1293" s="2" t="s">
        <v>4109</v>
      </c>
      <c r="C1293" s="2" t="s">
        <v>1075</v>
      </c>
      <c r="D1293" s="2" t="s">
        <v>15</v>
      </c>
      <c r="E1293" s="2" t="s">
        <v>16</v>
      </c>
      <c r="F1293" s="2">
        <v>30</v>
      </c>
      <c r="G1293" s="2" t="s">
        <v>4110</v>
      </c>
      <c r="H1293" s="2" t="s">
        <v>4111</v>
      </c>
      <c r="I1293" s="2" t="s">
        <v>95</v>
      </c>
      <c r="J1293" s="3">
        <v>44525</v>
      </c>
      <c r="K1293" s="5">
        <f>YEAR(OrganizedData[[#This Row],[Order Date]])</f>
        <v>2021</v>
      </c>
      <c r="L1293" s="7" t="str">
        <f>TEXT(OrganizedData[[#This Row],[Order Date]],"mmm")</f>
        <v>Nov</v>
      </c>
      <c r="M1293" s="2">
        <v>25</v>
      </c>
      <c r="N1293" s="2" t="s">
        <v>159</v>
      </c>
      <c r="O1293" s="2" t="str">
        <f>VLOOKUP(OrganizedData[[#This Row],[Product Code]],ProductData[[Code]:[Item]],2,FALSE)</f>
        <v>Ultrathing V3</v>
      </c>
      <c r="P1293" s="4">
        <f>OrganizedData[[#This Row],[Quantity]]*VLOOKUP(OrganizedData[[#This Row],[Product Code]],ProductData[],4,FALSE)</f>
        <v>600</v>
      </c>
      <c r="Q1293" s="6">
        <f>OrganizedData[[#This Row],[Total Items Ordered]]*VLOOKUP(OrganizedData[[#This Row],[Product Code]],ProductData[],3,FALSE)</f>
        <v>2034</v>
      </c>
      <c r="R12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1972.98</v>
      </c>
    </row>
    <row r="1294" spans="1:18" x14ac:dyDescent="0.3">
      <c r="A1294" s="2">
        <v>1287</v>
      </c>
      <c r="B1294" s="2" t="s">
        <v>4112</v>
      </c>
      <c r="C1294" s="2" t="s">
        <v>4113</v>
      </c>
      <c r="D1294" s="2" t="s">
        <v>28</v>
      </c>
      <c r="E1294" s="2" t="s">
        <v>29</v>
      </c>
      <c r="F1294" s="2">
        <v>30</v>
      </c>
      <c r="G1294" s="2" t="s">
        <v>4114</v>
      </c>
      <c r="H1294" s="2" t="s">
        <v>2053</v>
      </c>
      <c r="I1294" s="2" t="s">
        <v>187</v>
      </c>
      <c r="J1294" s="3">
        <v>44168</v>
      </c>
      <c r="K1294" s="5">
        <f>YEAR(OrganizedData[[#This Row],[Order Date]])</f>
        <v>2020</v>
      </c>
      <c r="L1294" s="7" t="str">
        <f>TEXT(OrganizedData[[#This Row],[Order Date]],"mmm")</f>
        <v>Dec</v>
      </c>
      <c r="M1294" s="2">
        <v>4</v>
      </c>
      <c r="N1294" s="2" t="s">
        <v>33</v>
      </c>
      <c r="O1294" s="2" t="str">
        <f>VLOOKUP(OrganizedData[[#This Row],[Product Code]],ProductData[[Code]:[Item]],2,FALSE)</f>
        <v>Megawidget L</v>
      </c>
      <c r="P1294" s="4">
        <f>OrganizedData[[#This Row],[Quantity]]*VLOOKUP(OrganizedData[[#This Row],[Product Code]],ProductData[],4,FALSE)</f>
        <v>96</v>
      </c>
      <c r="Q1294" s="6">
        <f>OrganizedData[[#This Row],[Total Items Ordered]]*VLOOKUP(OrganizedData[[#This Row],[Product Code]],ProductData[],3,FALSE)</f>
        <v>171.84</v>
      </c>
      <c r="R12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171.84</v>
      </c>
    </row>
    <row r="1295" spans="1:18" x14ac:dyDescent="0.3">
      <c r="A1295" s="2">
        <v>1288</v>
      </c>
      <c r="B1295" s="2" t="s">
        <v>4115</v>
      </c>
      <c r="C1295" s="2" t="s">
        <v>4116</v>
      </c>
      <c r="D1295" s="2" t="s">
        <v>28</v>
      </c>
      <c r="E1295" s="2" t="s">
        <v>29</v>
      </c>
      <c r="F1295" s="2">
        <v>90</v>
      </c>
      <c r="G1295" s="2" t="s">
        <v>4117</v>
      </c>
      <c r="H1295" s="2" t="s">
        <v>203</v>
      </c>
      <c r="I1295" s="2" t="s">
        <v>32</v>
      </c>
      <c r="J1295" s="3">
        <v>44740</v>
      </c>
      <c r="K1295" s="5">
        <f>YEAR(OrganizedData[[#This Row],[Order Date]])</f>
        <v>2022</v>
      </c>
      <c r="L1295" s="7" t="str">
        <f>TEXT(OrganizedData[[#This Row],[Order Date]],"mmm")</f>
        <v>Jun</v>
      </c>
      <c r="M1295" s="2">
        <v>85</v>
      </c>
      <c r="N1295" s="2" t="s">
        <v>159</v>
      </c>
      <c r="O1295" s="2" t="str">
        <f>VLOOKUP(OrganizedData[[#This Row],[Product Code]],ProductData[[Code]:[Item]],2,FALSE)</f>
        <v>Ultrathing V3</v>
      </c>
      <c r="P1295" s="4">
        <f>OrganizedData[[#This Row],[Quantity]]*VLOOKUP(OrganizedData[[#This Row],[Product Code]],ProductData[],4,FALSE)</f>
        <v>2040</v>
      </c>
      <c r="Q1295" s="6">
        <f>OrganizedData[[#This Row],[Total Items Ordered]]*VLOOKUP(OrganizedData[[#This Row],[Product Code]],ProductData[],3,FALSE)</f>
        <v>6915.6</v>
      </c>
      <c r="R12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1296" spans="1:18" x14ac:dyDescent="0.3">
      <c r="A1296" s="2">
        <v>1289</v>
      </c>
      <c r="B1296" s="2" t="s">
        <v>4118</v>
      </c>
      <c r="C1296" s="2" t="s">
        <v>2010</v>
      </c>
      <c r="D1296" s="2" t="s">
        <v>28</v>
      </c>
      <c r="E1296" s="2" t="s">
        <v>29</v>
      </c>
      <c r="F1296" s="2">
        <v>90</v>
      </c>
      <c r="G1296" s="2" t="s">
        <v>4119</v>
      </c>
      <c r="H1296" s="2" t="s">
        <v>2633</v>
      </c>
      <c r="I1296" s="2" t="s">
        <v>32</v>
      </c>
      <c r="J1296" s="3">
        <v>44675</v>
      </c>
      <c r="K1296" s="5">
        <f>YEAR(OrganizedData[[#This Row],[Order Date]])</f>
        <v>2022</v>
      </c>
      <c r="L1296" s="7" t="str">
        <f>TEXT(OrganizedData[[#This Row],[Order Date]],"mmm")</f>
        <v>Apr</v>
      </c>
      <c r="M1296" s="2">
        <v>81</v>
      </c>
      <c r="N1296" s="2" t="s">
        <v>54</v>
      </c>
      <c r="O1296" s="2" t="str">
        <f>VLOOKUP(OrganizedData[[#This Row],[Product Code]],ProductData[[Code]:[Item]],2,FALSE)</f>
        <v>Megawidget S</v>
      </c>
      <c r="P1296" s="4">
        <f>OrganizedData[[#This Row],[Quantity]]*VLOOKUP(OrganizedData[[#This Row],[Product Code]],ProductData[],4,FALSE)</f>
        <v>1944</v>
      </c>
      <c r="Q1296" s="6">
        <f>OrganizedData[[#This Row],[Total Items Ordered]]*VLOOKUP(OrganizedData[[#This Row],[Product Code]],ProductData[],3,FALSE)</f>
        <v>1341.36</v>
      </c>
      <c r="R12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1297" spans="1:18" x14ac:dyDescent="0.3">
      <c r="A1297" s="2">
        <v>1290</v>
      </c>
      <c r="B1297" s="2" t="s">
        <v>4120</v>
      </c>
      <c r="C1297" s="2" t="s">
        <v>4121</v>
      </c>
      <c r="D1297" s="2" t="s">
        <v>51</v>
      </c>
      <c r="E1297" s="2" t="s">
        <v>16</v>
      </c>
      <c r="F1297" s="2">
        <v>90</v>
      </c>
      <c r="G1297" s="2" t="s">
        <v>4122</v>
      </c>
      <c r="H1297" s="2" t="s">
        <v>4123</v>
      </c>
      <c r="I1297" s="2" t="s">
        <v>187</v>
      </c>
      <c r="J1297" s="3">
        <v>44722</v>
      </c>
      <c r="K1297" s="5">
        <f>YEAR(OrganizedData[[#This Row],[Order Date]])</f>
        <v>2022</v>
      </c>
      <c r="L1297" s="7" t="str">
        <f>TEXT(OrganizedData[[#This Row],[Order Date]],"mmm")</f>
        <v>Jun</v>
      </c>
      <c r="M1297" s="2">
        <v>74</v>
      </c>
      <c r="N1297" s="2" t="s">
        <v>45</v>
      </c>
      <c r="O1297" s="2" t="str">
        <f>VLOOKUP(OrganizedData[[#This Row],[Product Code]],ProductData[[Code]:[Item]],2,FALSE)</f>
        <v>Gigastuff</v>
      </c>
      <c r="P1297" s="4">
        <f>OrganizedData[[#This Row],[Quantity]]*VLOOKUP(OrganizedData[[#This Row],[Product Code]],ProductData[],4,FALSE)</f>
        <v>1332</v>
      </c>
      <c r="Q1297" s="6">
        <f>OrganizedData[[#This Row],[Total Items Ordered]]*VLOOKUP(OrganizedData[[#This Row],[Product Code]],ProductData[],3,FALSE)</f>
        <v>2517.48</v>
      </c>
      <c r="R12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2391.6059999999998</v>
      </c>
    </row>
    <row r="1298" spans="1:18" x14ac:dyDescent="0.3">
      <c r="A1298" s="2">
        <v>1291</v>
      </c>
      <c r="B1298" s="2" t="s">
        <v>4124</v>
      </c>
      <c r="C1298" s="2" t="s">
        <v>1214</v>
      </c>
      <c r="D1298" s="2" t="s">
        <v>51</v>
      </c>
      <c r="E1298" s="2" t="s">
        <v>16</v>
      </c>
      <c r="F1298" s="2">
        <v>90</v>
      </c>
      <c r="G1298" s="2" t="s">
        <v>4125</v>
      </c>
      <c r="H1298" s="2" t="s">
        <v>558</v>
      </c>
      <c r="I1298" s="2" t="s">
        <v>32</v>
      </c>
      <c r="J1298" s="3">
        <v>44506</v>
      </c>
      <c r="K1298" s="5">
        <f>YEAR(OrganizedData[[#This Row],[Order Date]])</f>
        <v>2021</v>
      </c>
      <c r="L1298" s="7" t="str">
        <f>TEXT(OrganizedData[[#This Row],[Order Date]],"mmm")</f>
        <v>Nov</v>
      </c>
      <c r="M1298" s="2">
        <v>4</v>
      </c>
      <c r="N1298" s="2" t="s">
        <v>64</v>
      </c>
      <c r="O1298" s="2" t="str">
        <f>VLOOKUP(OrganizedData[[#This Row],[Product Code]],ProductData[[Code]:[Item]],2,FALSE)</f>
        <v>Ultrathing V4</v>
      </c>
      <c r="P1298" s="4">
        <f>OrganizedData[[#This Row],[Quantity]]*VLOOKUP(OrganizedData[[#This Row],[Product Code]],ProductData[],4,FALSE)</f>
        <v>96</v>
      </c>
      <c r="Q1298" s="6">
        <f>OrganizedData[[#This Row],[Total Items Ordered]]*VLOOKUP(OrganizedData[[#This Row],[Product Code]],ProductData[],3,FALSE)</f>
        <v>383.04</v>
      </c>
      <c r="R12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1299" spans="1:18" x14ac:dyDescent="0.3">
      <c r="A1299" s="2">
        <v>1292</v>
      </c>
      <c r="B1299" s="2" t="s">
        <v>4126</v>
      </c>
      <c r="C1299" s="2" t="s">
        <v>683</v>
      </c>
      <c r="D1299" s="2" t="s">
        <v>28</v>
      </c>
      <c r="E1299" s="2" t="s">
        <v>29</v>
      </c>
      <c r="F1299" s="2">
        <v>30</v>
      </c>
      <c r="G1299" s="2" t="s">
        <v>4127</v>
      </c>
      <c r="H1299" s="2" t="s">
        <v>2117</v>
      </c>
      <c r="I1299" s="2" t="s">
        <v>886</v>
      </c>
      <c r="J1299" s="3">
        <v>44385</v>
      </c>
      <c r="K1299" s="5">
        <f>YEAR(OrganizedData[[#This Row],[Order Date]])</f>
        <v>2021</v>
      </c>
      <c r="L1299" s="7" t="str">
        <f>TEXT(OrganizedData[[#This Row],[Order Date]],"mmm")</f>
        <v>Jul</v>
      </c>
      <c r="M1299" s="2">
        <v>93</v>
      </c>
      <c r="N1299" s="2" t="s">
        <v>70</v>
      </c>
      <c r="O1299" s="2" t="str">
        <f>VLOOKUP(OrganizedData[[#This Row],[Product Code]],ProductData[[Code]:[Item]],2,FALSE)</f>
        <v>Megawidget M</v>
      </c>
      <c r="P1299" s="4">
        <f>OrganizedData[[#This Row],[Quantity]]*VLOOKUP(OrganizedData[[#This Row],[Product Code]],ProductData[],4,FALSE)</f>
        <v>2232</v>
      </c>
      <c r="Q1299" s="6">
        <f>OrganizedData[[#This Row],[Total Items Ordered]]*VLOOKUP(OrganizedData[[#This Row],[Product Code]],ProductData[],3,FALSE)</f>
        <v>2879.28</v>
      </c>
      <c r="R12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2735.3160000000003</v>
      </c>
    </row>
    <row r="1300" spans="1:18" x14ac:dyDescent="0.3">
      <c r="A1300" s="2">
        <v>1293</v>
      </c>
      <c r="B1300" s="2" t="s">
        <v>4128</v>
      </c>
      <c r="C1300" s="2" t="s">
        <v>143</v>
      </c>
      <c r="D1300" s="2" t="s">
        <v>15</v>
      </c>
      <c r="E1300" s="2" t="s">
        <v>16</v>
      </c>
      <c r="F1300" s="2">
        <v>30</v>
      </c>
      <c r="G1300" s="2" t="s">
        <v>4129</v>
      </c>
      <c r="H1300" s="2" t="s">
        <v>2066</v>
      </c>
      <c r="I1300" s="2" t="s">
        <v>294</v>
      </c>
      <c r="J1300" s="3">
        <v>44040</v>
      </c>
      <c r="K1300" s="5">
        <f>YEAR(OrganizedData[[#This Row],[Order Date]])</f>
        <v>2020</v>
      </c>
      <c r="L1300" s="7" t="str">
        <f>TEXT(OrganizedData[[#This Row],[Order Date]],"mmm")</f>
        <v>Jul</v>
      </c>
      <c r="M1300" s="2">
        <v>82</v>
      </c>
      <c r="N1300" s="2" t="s">
        <v>101</v>
      </c>
      <c r="O1300" s="2" t="str">
        <f>VLOOKUP(OrganizedData[[#This Row],[Product Code]],ProductData[[Code]:[Item]],2,FALSE)</f>
        <v>Superwossname</v>
      </c>
      <c r="P1300" s="4">
        <f>OrganizedData[[#This Row],[Quantity]]*VLOOKUP(OrganizedData[[#This Row],[Product Code]],ProductData[],4,FALSE)</f>
        <v>1640</v>
      </c>
      <c r="Q1300" s="6">
        <f>OrganizedData[[#This Row],[Total Items Ordered]]*VLOOKUP(OrganizedData[[#This Row],[Product Code]],ProductData[],3,FALSE)</f>
        <v>5723.6</v>
      </c>
      <c r="R13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5437.42</v>
      </c>
    </row>
    <row r="1301" spans="1:18" x14ac:dyDescent="0.3">
      <c r="A1301" s="2">
        <v>1294</v>
      </c>
      <c r="B1301" s="2" t="s">
        <v>4130</v>
      </c>
      <c r="C1301" s="2" t="s">
        <v>4131</v>
      </c>
      <c r="D1301" s="2" t="s">
        <v>51</v>
      </c>
      <c r="E1301" s="2" t="s">
        <v>16</v>
      </c>
      <c r="F1301" s="2">
        <v>30</v>
      </c>
      <c r="G1301" s="2" t="s">
        <v>4132</v>
      </c>
      <c r="H1301" s="2" t="s">
        <v>4133</v>
      </c>
      <c r="I1301" s="2" t="s">
        <v>32</v>
      </c>
      <c r="J1301" s="3">
        <v>44331</v>
      </c>
      <c r="K1301" s="5">
        <f>YEAR(OrganizedData[[#This Row],[Order Date]])</f>
        <v>2021</v>
      </c>
      <c r="L1301" s="7" t="str">
        <f>TEXT(OrganizedData[[#This Row],[Order Date]],"mmm")</f>
        <v>May</v>
      </c>
      <c r="M1301" s="2">
        <v>20</v>
      </c>
      <c r="N1301" s="2" t="s">
        <v>33</v>
      </c>
      <c r="O1301" s="2" t="str">
        <f>VLOOKUP(OrganizedData[[#This Row],[Product Code]],ProductData[[Code]:[Item]],2,FALSE)</f>
        <v>Megawidget L</v>
      </c>
      <c r="P1301" s="4">
        <f>OrganizedData[[#This Row],[Quantity]]*VLOOKUP(OrganizedData[[#This Row],[Product Code]],ProductData[],4,FALSE)</f>
        <v>480</v>
      </c>
      <c r="Q1301" s="6">
        <f>OrganizedData[[#This Row],[Total Items Ordered]]*VLOOKUP(OrganizedData[[#This Row],[Product Code]],ProductData[],3,FALSE)</f>
        <v>859.2</v>
      </c>
      <c r="R13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1302" spans="1:18" x14ac:dyDescent="0.3">
      <c r="A1302" s="2">
        <v>1295</v>
      </c>
      <c r="B1302" s="2" t="s">
        <v>4134</v>
      </c>
      <c r="C1302" s="2" t="s">
        <v>4135</v>
      </c>
      <c r="D1302" s="2" t="s">
        <v>28</v>
      </c>
      <c r="E1302" s="2" t="s">
        <v>29</v>
      </c>
      <c r="F1302" s="2">
        <v>60</v>
      </c>
      <c r="G1302" s="2" t="s">
        <v>4136</v>
      </c>
      <c r="H1302" s="2" t="s">
        <v>3610</v>
      </c>
      <c r="I1302" s="2" t="s">
        <v>32</v>
      </c>
      <c r="J1302" s="3">
        <v>44709</v>
      </c>
      <c r="K1302" s="5">
        <f>YEAR(OrganizedData[[#This Row],[Order Date]])</f>
        <v>2022</v>
      </c>
      <c r="L1302" s="7" t="str">
        <f>TEXT(OrganizedData[[#This Row],[Order Date]],"mmm")</f>
        <v>May</v>
      </c>
      <c r="M1302" s="2">
        <v>50</v>
      </c>
      <c r="N1302" s="2" t="s">
        <v>101</v>
      </c>
      <c r="O1302" s="2" t="str">
        <f>VLOOKUP(OrganizedData[[#This Row],[Product Code]],ProductData[[Code]:[Item]],2,FALSE)</f>
        <v>Superwossname</v>
      </c>
      <c r="P1302" s="4">
        <f>OrganizedData[[#This Row],[Quantity]]*VLOOKUP(OrganizedData[[#This Row],[Product Code]],ProductData[],4,FALSE)</f>
        <v>1000</v>
      </c>
      <c r="Q1302" s="6">
        <f>OrganizedData[[#This Row],[Total Items Ordered]]*VLOOKUP(OrganizedData[[#This Row],[Product Code]],ProductData[],3,FALSE)</f>
        <v>3490</v>
      </c>
      <c r="R13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3385.2999999999997</v>
      </c>
    </row>
    <row r="1303" spans="1:18" x14ac:dyDescent="0.3">
      <c r="A1303" s="2">
        <v>1296</v>
      </c>
      <c r="B1303" s="2" t="s">
        <v>3544</v>
      </c>
      <c r="C1303" s="2" t="s">
        <v>4137</v>
      </c>
      <c r="D1303" s="2" t="s">
        <v>28</v>
      </c>
      <c r="E1303" s="2" t="s">
        <v>29</v>
      </c>
      <c r="F1303" s="2">
        <v>60</v>
      </c>
      <c r="G1303" s="2" t="s">
        <v>4138</v>
      </c>
      <c r="H1303" s="2" t="s">
        <v>137</v>
      </c>
      <c r="I1303" s="2" t="s">
        <v>32</v>
      </c>
      <c r="J1303" s="3">
        <v>43996</v>
      </c>
      <c r="K1303" s="5">
        <f>YEAR(OrganizedData[[#This Row],[Order Date]])</f>
        <v>2020</v>
      </c>
      <c r="L1303" s="7" t="str">
        <f>TEXT(OrganizedData[[#This Row],[Order Date]],"mmm")</f>
        <v>Jun</v>
      </c>
      <c r="M1303" s="2">
        <v>14</v>
      </c>
      <c r="N1303" s="2" t="s">
        <v>33</v>
      </c>
      <c r="O1303" s="2" t="str">
        <f>VLOOKUP(OrganizedData[[#This Row],[Product Code]],ProductData[[Code]:[Item]],2,FALSE)</f>
        <v>Megawidget L</v>
      </c>
      <c r="P1303" s="4">
        <f>OrganizedData[[#This Row],[Quantity]]*VLOOKUP(OrganizedData[[#This Row],[Product Code]],ProductData[],4,FALSE)</f>
        <v>336</v>
      </c>
      <c r="Q1303" s="6">
        <f>OrganizedData[[#This Row],[Total Items Ordered]]*VLOOKUP(OrganizedData[[#This Row],[Product Code]],ProductData[],3,FALSE)</f>
        <v>601.44000000000005</v>
      </c>
      <c r="R13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601.44000000000005</v>
      </c>
    </row>
    <row r="1304" spans="1:18" x14ac:dyDescent="0.3">
      <c r="A1304" s="2">
        <v>1297</v>
      </c>
      <c r="B1304" s="2" t="s">
        <v>4139</v>
      </c>
      <c r="C1304" s="2" t="s">
        <v>692</v>
      </c>
      <c r="D1304" s="2" t="s">
        <v>51</v>
      </c>
      <c r="E1304" s="2" t="s">
        <v>16</v>
      </c>
      <c r="F1304" s="2">
        <v>90</v>
      </c>
      <c r="G1304" s="2" t="s">
        <v>4140</v>
      </c>
      <c r="H1304" s="2" t="s">
        <v>2141</v>
      </c>
      <c r="I1304" s="2" t="s">
        <v>1078</v>
      </c>
      <c r="J1304" s="3">
        <v>43906</v>
      </c>
      <c r="K1304" s="5">
        <f>YEAR(OrganizedData[[#This Row],[Order Date]])</f>
        <v>2020</v>
      </c>
      <c r="L1304" s="7" t="str">
        <f>TEXT(OrganizedData[[#This Row],[Order Date]],"mmm")</f>
        <v>Mar</v>
      </c>
      <c r="M1304" s="2">
        <v>71</v>
      </c>
      <c r="N1304" s="2" t="s">
        <v>33</v>
      </c>
      <c r="O1304" s="2" t="str">
        <f>VLOOKUP(OrganizedData[[#This Row],[Product Code]],ProductData[[Code]:[Item]],2,FALSE)</f>
        <v>Megawidget L</v>
      </c>
      <c r="P1304" s="4">
        <f>OrganizedData[[#This Row],[Quantity]]*VLOOKUP(OrganizedData[[#This Row],[Product Code]],ProductData[],4,FALSE)</f>
        <v>1704</v>
      </c>
      <c r="Q1304" s="6">
        <f>OrganizedData[[#This Row],[Total Items Ordered]]*VLOOKUP(OrganizedData[[#This Row],[Product Code]],ProductData[],3,FALSE)</f>
        <v>3050.16</v>
      </c>
      <c r="R13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1305" spans="1:18" x14ac:dyDescent="0.3">
      <c r="A1305" s="2">
        <v>1298</v>
      </c>
      <c r="B1305" s="2" t="s">
        <v>1363</v>
      </c>
      <c r="C1305" s="2" t="s">
        <v>4137</v>
      </c>
      <c r="D1305" s="2" t="s">
        <v>28</v>
      </c>
      <c r="E1305" s="2" t="s">
        <v>29</v>
      </c>
      <c r="F1305" s="2">
        <v>90</v>
      </c>
      <c r="G1305" s="2" t="s">
        <v>4140</v>
      </c>
      <c r="H1305" s="2" t="s">
        <v>1674</v>
      </c>
      <c r="I1305" s="2" t="s">
        <v>25</v>
      </c>
      <c r="J1305" s="3">
        <v>44364</v>
      </c>
      <c r="K1305" s="5">
        <f>YEAR(OrganizedData[[#This Row],[Order Date]])</f>
        <v>2021</v>
      </c>
      <c r="L1305" s="7" t="str">
        <f>TEXT(OrganizedData[[#This Row],[Order Date]],"mmm")</f>
        <v>Jun</v>
      </c>
      <c r="M1305" s="2">
        <v>8</v>
      </c>
      <c r="N1305" s="2" t="s">
        <v>64</v>
      </c>
      <c r="O1305" s="2" t="str">
        <f>VLOOKUP(OrganizedData[[#This Row],[Product Code]],ProductData[[Code]:[Item]],2,FALSE)</f>
        <v>Ultrathing V4</v>
      </c>
      <c r="P1305" s="4">
        <f>OrganizedData[[#This Row],[Quantity]]*VLOOKUP(OrganizedData[[#This Row],[Product Code]],ProductData[],4,FALSE)</f>
        <v>192</v>
      </c>
      <c r="Q1305" s="6">
        <f>OrganizedData[[#This Row],[Total Items Ordered]]*VLOOKUP(OrganizedData[[#This Row],[Product Code]],ProductData[],3,FALSE)</f>
        <v>766.08</v>
      </c>
      <c r="R13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1306" spans="1:18" x14ac:dyDescent="0.3">
      <c r="A1306" s="2">
        <v>1299</v>
      </c>
      <c r="B1306" s="2" t="s">
        <v>1695</v>
      </c>
      <c r="C1306" s="2" t="s">
        <v>3189</v>
      </c>
      <c r="D1306" s="2" t="s">
        <v>15</v>
      </c>
      <c r="E1306" s="2" t="s">
        <v>16</v>
      </c>
      <c r="F1306" s="2">
        <v>90</v>
      </c>
      <c r="G1306" s="2" t="s">
        <v>4144</v>
      </c>
      <c r="H1306" s="2" t="s">
        <v>6</v>
      </c>
      <c r="I1306" s="2" t="s">
        <v>32</v>
      </c>
      <c r="J1306" s="3">
        <v>44056</v>
      </c>
      <c r="K1306" s="5">
        <f>YEAR(OrganizedData[[#This Row],[Order Date]])</f>
        <v>2020</v>
      </c>
      <c r="L1306" s="7" t="str">
        <f>TEXT(OrganizedData[[#This Row],[Order Date]],"mmm")</f>
        <v>Aug</v>
      </c>
      <c r="M1306" s="2">
        <v>77</v>
      </c>
      <c r="N1306" s="2" t="s">
        <v>70</v>
      </c>
      <c r="O1306" s="2" t="str">
        <f>VLOOKUP(OrganizedData[[#This Row],[Product Code]],ProductData[[Code]:[Item]],2,FALSE)</f>
        <v>Megawidget M</v>
      </c>
      <c r="P1306" s="4">
        <f>OrganizedData[[#This Row],[Quantity]]*VLOOKUP(OrganizedData[[#This Row],[Product Code]],ProductData[],4,FALSE)</f>
        <v>1848</v>
      </c>
      <c r="Q1306" s="6">
        <f>OrganizedData[[#This Row],[Total Items Ordered]]*VLOOKUP(OrganizedData[[#This Row],[Product Code]],ProductData[],3,FALSE)</f>
        <v>2383.92</v>
      </c>
      <c r="R13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2264.7240000000002</v>
      </c>
    </row>
    <row r="1307" spans="1:18" x14ac:dyDescent="0.3">
      <c r="A1307" s="2">
        <v>1300</v>
      </c>
      <c r="B1307" s="2" t="s">
        <v>4142</v>
      </c>
      <c r="C1307" s="2" t="s">
        <v>4143</v>
      </c>
      <c r="D1307" s="2" t="s">
        <v>15</v>
      </c>
      <c r="E1307" s="2" t="s">
        <v>16</v>
      </c>
      <c r="F1307" s="2">
        <v>60</v>
      </c>
      <c r="G1307" s="2" t="s">
        <v>4144</v>
      </c>
      <c r="H1307" s="2" t="s">
        <v>4145</v>
      </c>
      <c r="I1307" s="2" t="s">
        <v>32</v>
      </c>
      <c r="J1307" s="3">
        <v>44069</v>
      </c>
      <c r="K1307" s="5">
        <f>YEAR(OrganizedData[[#This Row],[Order Date]])</f>
        <v>2020</v>
      </c>
      <c r="L1307" s="7" t="str">
        <f>TEXT(OrganizedData[[#This Row],[Order Date]],"mmm")</f>
        <v>Aug</v>
      </c>
      <c r="M1307" s="2">
        <v>46</v>
      </c>
      <c r="N1307" s="2" t="s">
        <v>45</v>
      </c>
      <c r="O1307" s="2" t="str">
        <f>VLOOKUP(OrganizedData[[#This Row],[Product Code]],ProductData[[Code]:[Item]],2,FALSE)</f>
        <v>Gigastuff</v>
      </c>
      <c r="P1307" s="4">
        <f>OrganizedData[[#This Row],[Quantity]]*VLOOKUP(OrganizedData[[#This Row],[Product Code]],ProductData[],4,FALSE)</f>
        <v>828</v>
      </c>
      <c r="Q1307" s="6">
        <f>OrganizedData[[#This Row],[Total Items Ordered]]*VLOOKUP(OrganizedData[[#This Row],[Product Code]],ProductData[],3,FALSE)</f>
        <v>1564.9199999999998</v>
      </c>
      <c r="R13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1517.9723999999999</v>
      </c>
    </row>
    <row r="1308" spans="1:18" x14ac:dyDescent="0.3">
      <c r="A1308" s="2">
        <v>1301</v>
      </c>
      <c r="B1308" s="2" t="s">
        <v>4146</v>
      </c>
      <c r="C1308" s="2" t="s">
        <v>987</v>
      </c>
      <c r="D1308" s="2" t="s">
        <v>51</v>
      </c>
      <c r="E1308" s="2" t="s">
        <v>16</v>
      </c>
      <c r="F1308" s="2">
        <v>30</v>
      </c>
      <c r="G1308" s="2" t="s">
        <v>4147</v>
      </c>
      <c r="H1308" s="2" t="s">
        <v>2908</v>
      </c>
      <c r="I1308" s="2" t="s">
        <v>25</v>
      </c>
      <c r="J1308" s="3">
        <v>43865</v>
      </c>
      <c r="K1308" s="5">
        <f>YEAR(OrganizedData[[#This Row],[Order Date]])</f>
        <v>2020</v>
      </c>
      <c r="L1308" s="7" t="str">
        <f>TEXT(OrganizedData[[#This Row],[Order Date]],"mmm")</f>
        <v>Feb</v>
      </c>
      <c r="M1308" s="2">
        <v>17</v>
      </c>
      <c r="N1308" s="2" t="s">
        <v>54</v>
      </c>
      <c r="O1308" s="2" t="str">
        <f>VLOOKUP(OrganizedData[[#This Row],[Product Code]],ProductData[[Code]:[Item]],2,FALSE)</f>
        <v>Megawidget S</v>
      </c>
      <c r="P1308" s="4">
        <f>OrganizedData[[#This Row],[Quantity]]*VLOOKUP(OrganizedData[[#This Row],[Product Code]],ProductData[],4,FALSE)</f>
        <v>408</v>
      </c>
      <c r="Q1308" s="6">
        <f>OrganizedData[[#This Row],[Total Items Ordered]]*VLOOKUP(OrganizedData[[#This Row],[Product Code]],ProductData[],3,FALSE)</f>
        <v>281.52</v>
      </c>
      <c r="R13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1309" spans="1:18" x14ac:dyDescent="0.3">
      <c r="A1309" s="2">
        <v>1302</v>
      </c>
      <c r="B1309" s="2" t="s">
        <v>4148</v>
      </c>
      <c r="C1309" s="2" t="s">
        <v>4149</v>
      </c>
      <c r="D1309" s="2" t="s">
        <v>51</v>
      </c>
      <c r="E1309" s="2" t="s">
        <v>16</v>
      </c>
      <c r="F1309" s="2">
        <v>90</v>
      </c>
      <c r="G1309" s="2" t="s">
        <v>4150</v>
      </c>
      <c r="H1309" s="2" t="s">
        <v>2972</v>
      </c>
      <c r="I1309" s="2" t="s">
        <v>32</v>
      </c>
      <c r="J1309" s="3">
        <v>44760</v>
      </c>
      <c r="K1309" s="5">
        <f>YEAR(OrganizedData[[#This Row],[Order Date]])</f>
        <v>2022</v>
      </c>
      <c r="L1309" s="7" t="str">
        <f>TEXT(OrganizedData[[#This Row],[Order Date]],"mmm")</f>
        <v>Jul</v>
      </c>
      <c r="M1309" s="2">
        <v>35</v>
      </c>
      <c r="N1309" s="2" t="s">
        <v>33</v>
      </c>
      <c r="O1309" s="2" t="str">
        <f>VLOOKUP(OrganizedData[[#This Row],[Product Code]],ProductData[[Code]:[Item]],2,FALSE)</f>
        <v>Megawidget L</v>
      </c>
      <c r="P1309" s="4">
        <f>OrganizedData[[#This Row],[Quantity]]*VLOOKUP(OrganizedData[[#This Row],[Product Code]],ProductData[],4,FALSE)</f>
        <v>840</v>
      </c>
      <c r="Q1309" s="6">
        <f>OrganizedData[[#This Row],[Total Items Ordered]]*VLOOKUP(OrganizedData[[#This Row],[Product Code]],ProductData[],3,FALSE)</f>
        <v>1503.6000000000001</v>
      </c>
      <c r="R13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1458.4920000000002</v>
      </c>
    </row>
    <row r="1310" spans="1:18" x14ac:dyDescent="0.3">
      <c r="A1310" s="2">
        <v>1303</v>
      </c>
      <c r="B1310" s="2" t="s">
        <v>4151</v>
      </c>
      <c r="C1310" s="2" t="s">
        <v>1470</v>
      </c>
      <c r="D1310" s="2" t="s">
        <v>51</v>
      </c>
      <c r="E1310" s="2" t="s">
        <v>16</v>
      </c>
      <c r="F1310" s="2">
        <v>30</v>
      </c>
      <c r="G1310" s="2" t="s">
        <v>4152</v>
      </c>
      <c r="H1310" s="2" t="s">
        <v>2032</v>
      </c>
      <c r="I1310" s="2" t="s">
        <v>173</v>
      </c>
      <c r="J1310" s="3">
        <v>44070</v>
      </c>
      <c r="K1310" s="5">
        <f>YEAR(OrganizedData[[#This Row],[Order Date]])</f>
        <v>2020</v>
      </c>
      <c r="L1310" s="7" t="str">
        <f>TEXT(OrganizedData[[#This Row],[Order Date]],"mmm")</f>
        <v>Aug</v>
      </c>
      <c r="M1310" s="2">
        <v>51</v>
      </c>
      <c r="N1310" s="2" t="s">
        <v>39</v>
      </c>
      <c r="O1310" s="2" t="str">
        <f>VLOOKUP(OrganizedData[[#This Row],[Product Code]],ProductData[[Code]:[Item]],2,FALSE)</f>
        <v>Ultrathing V1</v>
      </c>
      <c r="P1310" s="4">
        <f>OrganizedData[[#This Row],[Quantity]]*VLOOKUP(OrganizedData[[#This Row],[Product Code]],ProductData[],4,FALSE)</f>
        <v>867</v>
      </c>
      <c r="Q1310" s="6">
        <f>OrganizedData[[#This Row],[Total Items Ordered]]*VLOOKUP(OrganizedData[[#This Row],[Product Code]],ProductData[],3,FALSE)</f>
        <v>1551.93</v>
      </c>
      <c r="R13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1474.3335</v>
      </c>
    </row>
    <row r="1311" spans="1:18" x14ac:dyDescent="0.3">
      <c r="A1311" s="2">
        <v>1304</v>
      </c>
      <c r="B1311" s="2" t="s">
        <v>1703</v>
      </c>
      <c r="C1311" s="2" t="s">
        <v>4153</v>
      </c>
      <c r="D1311" s="2" t="s">
        <v>92</v>
      </c>
      <c r="E1311" s="2" t="s">
        <v>29</v>
      </c>
      <c r="F1311" s="2">
        <v>90</v>
      </c>
      <c r="G1311" s="2" t="s">
        <v>4154</v>
      </c>
      <c r="H1311" s="2" t="s">
        <v>2026</v>
      </c>
      <c r="I1311" s="2" t="s">
        <v>1078</v>
      </c>
      <c r="J1311" s="3">
        <v>44618</v>
      </c>
      <c r="K1311" s="5">
        <f>YEAR(OrganizedData[[#This Row],[Order Date]])</f>
        <v>2022</v>
      </c>
      <c r="L1311" s="7" t="str">
        <f>TEXT(OrganizedData[[#This Row],[Order Date]],"mmm")</f>
        <v>Feb</v>
      </c>
      <c r="M1311" s="2">
        <v>96</v>
      </c>
      <c r="N1311" s="2" t="s">
        <v>45</v>
      </c>
      <c r="O1311" s="2" t="str">
        <f>VLOOKUP(OrganizedData[[#This Row],[Product Code]],ProductData[[Code]:[Item]],2,FALSE)</f>
        <v>Gigastuff</v>
      </c>
      <c r="P1311" s="4">
        <f>OrganizedData[[#This Row],[Quantity]]*VLOOKUP(OrganizedData[[#This Row],[Product Code]],ProductData[],4,FALSE)</f>
        <v>1728</v>
      </c>
      <c r="Q1311" s="6">
        <f>OrganizedData[[#This Row],[Total Items Ordered]]*VLOOKUP(OrganizedData[[#This Row],[Product Code]],ProductData[],3,FALSE)</f>
        <v>3265.9199999999996</v>
      </c>
      <c r="R13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3102.6239999999993</v>
      </c>
    </row>
    <row r="1312" spans="1:18" x14ac:dyDescent="0.3">
      <c r="A1312" s="2">
        <v>1305</v>
      </c>
      <c r="B1312" s="2" t="s">
        <v>4155</v>
      </c>
      <c r="C1312" s="2" t="s">
        <v>4156</v>
      </c>
      <c r="D1312" s="2" t="s">
        <v>28</v>
      </c>
      <c r="E1312" s="2" t="s">
        <v>29</v>
      </c>
      <c r="F1312" s="2">
        <v>60</v>
      </c>
      <c r="G1312" s="2" t="s">
        <v>4157</v>
      </c>
      <c r="H1312" s="2" t="s">
        <v>4158</v>
      </c>
      <c r="I1312" s="2" t="s">
        <v>32</v>
      </c>
      <c r="J1312" s="3">
        <v>44476</v>
      </c>
      <c r="K1312" s="5">
        <f>YEAR(OrganizedData[[#This Row],[Order Date]])</f>
        <v>2021</v>
      </c>
      <c r="L1312" s="7" t="str">
        <f>TEXT(OrganizedData[[#This Row],[Order Date]],"mmm")</f>
        <v>Oct</v>
      </c>
      <c r="M1312" s="2">
        <v>7</v>
      </c>
      <c r="N1312" s="2" t="s">
        <v>54</v>
      </c>
      <c r="O1312" s="2" t="str">
        <f>VLOOKUP(OrganizedData[[#This Row],[Product Code]],ProductData[[Code]:[Item]],2,FALSE)</f>
        <v>Megawidget S</v>
      </c>
      <c r="P1312" s="4">
        <f>OrganizedData[[#This Row],[Quantity]]*VLOOKUP(OrganizedData[[#This Row],[Product Code]],ProductData[],4,FALSE)</f>
        <v>168</v>
      </c>
      <c r="Q1312" s="6">
        <f>OrganizedData[[#This Row],[Total Items Ordered]]*VLOOKUP(OrganizedData[[#This Row],[Product Code]],ProductData[],3,FALSE)</f>
        <v>115.91999999999999</v>
      </c>
      <c r="R13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1313" spans="1:18" x14ac:dyDescent="0.3">
      <c r="A1313" s="2">
        <v>1306</v>
      </c>
      <c r="B1313" s="2" t="s">
        <v>4159</v>
      </c>
      <c r="C1313" s="2" t="s">
        <v>1485</v>
      </c>
      <c r="D1313" s="2" t="s">
        <v>15</v>
      </c>
      <c r="E1313" s="2" t="s">
        <v>16</v>
      </c>
      <c r="F1313" s="2">
        <v>60</v>
      </c>
      <c r="G1313" s="2" t="s">
        <v>4160</v>
      </c>
      <c r="H1313" s="2" t="s">
        <v>4161</v>
      </c>
      <c r="I1313" s="2" t="s">
        <v>32</v>
      </c>
      <c r="J1313" s="3">
        <v>44431</v>
      </c>
      <c r="K1313" s="5">
        <f>YEAR(OrganizedData[[#This Row],[Order Date]])</f>
        <v>2021</v>
      </c>
      <c r="L1313" s="7" t="str">
        <f>TEXT(OrganizedData[[#This Row],[Order Date]],"mmm")</f>
        <v>Aug</v>
      </c>
      <c r="M1313" s="2">
        <v>95</v>
      </c>
      <c r="N1313" s="2" t="s">
        <v>20</v>
      </c>
      <c r="O1313" s="2" t="str">
        <f>VLOOKUP(OrganizedData[[#This Row],[Product Code]],ProductData[[Code]:[Item]],2,FALSE)</f>
        <v>Hyperwotsit</v>
      </c>
      <c r="P1313" s="4">
        <f>OrganizedData[[#This Row],[Quantity]]*VLOOKUP(OrganizedData[[#This Row],[Product Code]],ProductData[],4,FALSE)</f>
        <v>1900</v>
      </c>
      <c r="Q1313" s="6">
        <f>OrganizedData[[#This Row],[Total Items Ordered]]*VLOOKUP(OrganizedData[[#This Row],[Product Code]],ProductData[],3,FALSE)</f>
        <v>3818.9999999999995</v>
      </c>
      <c r="R13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3628.0499999999993</v>
      </c>
    </row>
    <row r="1314" spans="1:18" x14ac:dyDescent="0.3">
      <c r="A1314" s="2">
        <v>1307</v>
      </c>
      <c r="B1314" s="2" t="s">
        <v>3992</v>
      </c>
      <c r="C1314" s="2" t="s">
        <v>1635</v>
      </c>
      <c r="D1314" s="2" t="s">
        <v>28</v>
      </c>
      <c r="E1314" s="2" t="s">
        <v>29</v>
      </c>
      <c r="F1314" s="2">
        <v>90</v>
      </c>
      <c r="G1314" s="2" t="s">
        <v>4162</v>
      </c>
      <c r="H1314" s="2" t="s">
        <v>2154</v>
      </c>
      <c r="I1314" s="2" t="s">
        <v>124</v>
      </c>
      <c r="J1314" s="3">
        <v>44683</v>
      </c>
      <c r="K1314" s="5">
        <f>YEAR(OrganizedData[[#This Row],[Order Date]])</f>
        <v>2022</v>
      </c>
      <c r="L1314" s="7" t="str">
        <f>TEXT(OrganizedData[[#This Row],[Order Date]],"mmm")</f>
        <v>May</v>
      </c>
      <c r="M1314" s="2">
        <v>82</v>
      </c>
      <c r="N1314" s="2" t="s">
        <v>101</v>
      </c>
      <c r="O1314" s="2" t="str">
        <f>VLOOKUP(OrganizedData[[#This Row],[Product Code]],ProductData[[Code]:[Item]],2,FALSE)</f>
        <v>Superwossname</v>
      </c>
      <c r="P1314" s="4">
        <f>OrganizedData[[#This Row],[Quantity]]*VLOOKUP(OrganizedData[[#This Row],[Product Code]],ProductData[],4,FALSE)</f>
        <v>1640</v>
      </c>
      <c r="Q1314" s="6">
        <f>OrganizedData[[#This Row],[Total Items Ordered]]*VLOOKUP(OrganizedData[[#This Row],[Product Code]],ProductData[],3,FALSE)</f>
        <v>5723.6</v>
      </c>
      <c r="R13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5437.42</v>
      </c>
    </row>
    <row r="1315" spans="1:18" x14ac:dyDescent="0.3">
      <c r="A1315" s="2">
        <v>1308</v>
      </c>
      <c r="B1315" s="2" t="s">
        <v>4163</v>
      </c>
      <c r="C1315" s="2" t="s">
        <v>1727</v>
      </c>
      <c r="D1315" s="2" t="s">
        <v>15</v>
      </c>
      <c r="E1315" s="2" t="s">
        <v>16</v>
      </c>
      <c r="F1315" s="2">
        <v>30</v>
      </c>
      <c r="G1315" s="2" t="s">
        <v>4164</v>
      </c>
      <c r="H1315" s="2" t="s">
        <v>84</v>
      </c>
      <c r="I1315" s="2" t="s">
        <v>32</v>
      </c>
      <c r="J1315" s="3">
        <v>44712</v>
      </c>
      <c r="K1315" s="5">
        <f>YEAR(OrganizedData[[#This Row],[Order Date]])</f>
        <v>2022</v>
      </c>
      <c r="L1315" s="7" t="str">
        <f>TEXT(OrganizedData[[#This Row],[Order Date]],"mmm")</f>
        <v>May</v>
      </c>
      <c r="M1315" s="2">
        <v>70</v>
      </c>
      <c r="N1315" s="2" t="s">
        <v>20</v>
      </c>
      <c r="O1315" s="2" t="str">
        <f>VLOOKUP(OrganizedData[[#This Row],[Product Code]],ProductData[[Code]:[Item]],2,FALSE)</f>
        <v>Hyperwotsit</v>
      </c>
      <c r="P1315" s="4">
        <f>OrganizedData[[#This Row],[Quantity]]*VLOOKUP(OrganizedData[[#This Row],[Product Code]],ProductData[],4,FALSE)</f>
        <v>1400</v>
      </c>
      <c r="Q1315" s="6">
        <f>OrganizedData[[#This Row],[Total Items Ordered]]*VLOOKUP(OrganizedData[[#This Row],[Product Code]],ProductData[],3,FALSE)</f>
        <v>2813.9999999999995</v>
      </c>
      <c r="R13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2673.2999999999993</v>
      </c>
    </row>
    <row r="1316" spans="1:18" x14ac:dyDescent="0.3">
      <c r="A1316" s="2">
        <v>1309</v>
      </c>
      <c r="B1316" s="2" t="s">
        <v>2331</v>
      </c>
      <c r="C1316" s="2" t="s">
        <v>4165</v>
      </c>
      <c r="D1316" s="2" t="s">
        <v>15</v>
      </c>
      <c r="E1316" s="2" t="s">
        <v>16</v>
      </c>
      <c r="F1316" s="2">
        <v>90</v>
      </c>
      <c r="G1316" s="2" t="s">
        <v>10485</v>
      </c>
      <c r="H1316" s="2" t="s">
        <v>3511</v>
      </c>
      <c r="I1316" s="2" t="s">
        <v>32</v>
      </c>
      <c r="J1316" s="3">
        <v>43856</v>
      </c>
      <c r="K1316" s="5">
        <f>YEAR(OrganizedData[[#This Row],[Order Date]])</f>
        <v>2020</v>
      </c>
      <c r="L1316" s="7" t="str">
        <f>TEXT(OrganizedData[[#This Row],[Order Date]],"mmm")</f>
        <v>Jan</v>
      </c>
      <c r="M1316" s="2">
        <v>5</v>
      </c>
      <c r="N1316" s="2" t="s">
        <v>20</v>
      </c>
      <c r="O1316" s="2" t="str">
        <f>VLOOKUP(OrganizedData[[#This Row],[Product Code]],ProductData[[Code]:[Item]],2,FALSE)</f>
        <v>Hyperwotsit</v>
      </c>
      <c r="P1316" s="4">
        <f>OrganizedData[[#This Row],[Quantity]]*VLOOKUP(OrganizedData[[#This Row],[Product Code]],ProductData[],4,FALSE)</f>
        <v>100</v>
      </c>
      <c r="Q1316" s="6">
        <f>OrganizedData[[#This Row],[Total Items Ordered]]*VLOOKUP(OrganizedData[[#This Row],[Product Code]],ProductData[],3,FALSE)</f>
        <v>200.99999999999997</v>
      </c>
      <c r="R13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1317" spans="1:18" x14ac:dyDescent="0.3">
      <c r="A1317" s="2">
        <v>1310</v>
      </c>
      <c r="B1317" s="2" t="s">
        <v>4167</v>
      </c>
      <c r="C1317" s="2" t="s">
        <v>4168</v>
      </c>
      <c r="D1317" s="2" t="s">
        <v>28</v>
      </c>
      <c r="E1317" s="2" t="s">
        <v>29</v>
      </c>
      <c r="F1317" s="2">
        <v>30</v>
      </c>
      <c r="G1317" s="2" t="s">
        <v>4169</v>
      </c>
      <c r="H1317" s="2" t="s">
        <v>3053</v>
      </c>
      <c r="I1317" s="2" t="s">
        <v>32</v>
      </c>
      <c r="J1317" s="3">
        <v>44617</v>
      </c>
      <c r="K1317" s="5">
        <f>YEAR(OrganizedData[[#This Row],[Order Date]])</f>
        <v>2022</v>
      </c>
      <c r="L1317" s="7" t="str">
        <f>TEXT(OrganizedData[[#This Row],[Order Date]],"mmm")</f>
        <v>Feb</v>
      </c>
      <c r="M1317" s="2">
        <v>72</v>
      </c>
      <c r="N1317" s="2" t="s">
        <v>64</v>
      </c>
      <c r="O1317" s="2" t="str">
        <f>VLOOKUP(OrganizedData[[#This Row],[Product Code]],ProductData[[Code]:[Item]],2,FALSE)</f>
        <v>Ultrathing V4</v>
      </c>
      <c r="P1317" s="4">
        <f>OrganizedData[[#This Row],[Quantity]]*VLOOKUP(OrganizedData[[#This Row],[Product Code]],ProductData[],4,FALSE)</f>
        <v>1728</v>
      </c>
      <c r="Q1317" s="6">
        <f>OrganizedData[[#This Row],[Total Items Ordered]]*VLOOKUP(OrganizedData[[#This Row],[Product Code]],ProductData[],3,FALSE)</f>
        <v>6894.72</v>
      </c>
      <c r="R13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6549.9840000000004</v>
      </c>
    </row>
    <row r="1318" spans="1:18" x14ac:dyDescent="0.3">
      <c r="A1318" s="2">
        <v>1311</v>
      </c>
      <c r="B1318" s="2" t="s">
        <v>4170</v>
      </c>
      <c r="C1318" s="2" t="s">
        <v>286</v>
      </c>
      <c r="D1318" s="2" t="s">
        <v>28</v>
      </c>
      <c r="E1318" s="2" t="s">
        <v>29</v>
      </c>
      <c r="F1318" s="2">
        <v>90</v>
      </c>
      <c r="G1318" s="2" t="s">
        <v>4171</v>
      </c>
      <c r="H1318" s="2" t="s">
        <v>1430</v>
      </c>
      <c r="I1318" s="2" t="s">
        <v>32</v>
      </c>
      <c r="J1318" s="3">
        <v>44426</v>
      </c>
      <c r="K1318" s="5">
        <f>YEAR(OrganizedData[[#This Row],[Order Date]])</f>
        <v>2021</v>
      </c>
      <c r="L1318" s="7" t="str">
        <f>TEXT(OrganizedData[[#This Row],[Order Date]],"mmm")</f>
        <v>Aug</v>
      </c>
      <c r="M1318" s="2">
        <v>22</v>
      </c>
      <c r="N1318" s="2" t="s">
        <v>159</v>
      </c>
      <c r="O1318" s="2" t="str">
        <f>VLOOKUP(OrganizedData[[#This Row],[Product Code]],ProductData[[Code]:[Item]],2,FALSE)</f>
        <v>Ultrathing V3</v>
      </c>
      <c r="P1318" s="4">
        <f>OrganizedData[[#This Row],[Quantity]]*VLOOKUP(OrganizedData[[#This Row],[Product Code]],ProductData[],4,FALSE)</f>
        <v>528</v>
      </c>
      <c r="Q1318" s="6">
        <f>OrganizedData[[#This Row],[Total Items Ordered]]*VLOOKUP(OrganizedData[[#This Row],[Product Code]],ProductData[],3,FALSE)</f>
        <v>1789.92</v>
      </c>
      <c r="R13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1736.2224000000001</v>
      </c>
    </row>
    <row r="1319" spans="1:18" x14ac:dyDescent="0.3">
      <c r="A1319" s="2">
        <v>1312</v>
      </c>
      <c r="B1319" s="2" t="s">
        <v>4172</v>
      </c>
      <c r="C1319" s="2" t="s">
        <v>4173</v>
      </c>
      <c r="D1319" s="2" t="s">
        <v>51</v>
      </c>
      <c r="E1319" s="2" t="s">
        <v>16</v>
      </c>
      <c r="F1319" s="2">
        <v>60</v>
      </c>
      <c r="G1319" s="2" t="s">
        <v>4174</v>
      </c>
      <c r="H1319" s="2" t="s">
        <v>4175</v>
      </c>
      <c r="I1319" s="2" t="s">
        <v>25</v>
      </c>
      <c r="J1319" s="3">
        <v>44778</v>
      </c>
      <c r="K1319" s="5">
        <f>YEAR(OrganizedData[[#This Row],[Order Date]])</f>
        <v>2022</v>
      </c>
      <c r="L1319" s="7" t="str">
        <f>TEXT(OrganizedData[[#This Row],[Order Date]],"mmm")</f>
        <v>Aug</v>
      </c>
      <c r="M1319" s="2">
        <v>82</v>
      </c>
      <c r="N1319" s="2" t="s">
        <v>39</v>
      </c>
      <c r="O1319" s="2" t="str">
        <f>VLOOKUP(OrganizedData[[#This Row],[Product Code]],ProductData[[Code]:[Item]],2,FALSE)</f>
        <v>Ultrathing V1</v>
      </c>
      <c r="P1319" s="4">
        <f>OrganizedData[[#This Row],[Quantity]]*VLOOKUP(OrganizedData[[#This Row],[Product Code]],ProductData[],4,FALSE)</f>
        <v>1394</v>
      </c>
      <c r="Q1319" s="6">
        <f>OrganizedData[[#This Row],[Total Items Ordered]]*VLOOKUP(OrganizedData[[#This Row],[Product Code]],ProductData[],3,FALSE)</f>
        <v>2495.2600000000002</v>
      </c>
      <c r="R13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2370.4970000000003</v>
      </c>
    </row>
    <row r="1320" spans="1:18" x14ac:dyDescent="0.3">
      <c r="A1320" s="2">
        <v>1313</v>
      </c>
      <c r="B1320" s="2" t="s">
        <v>4176</v>
      </c>
      <c r="C1320" s="2" t="s">
        <v>2874</v>
      </c>
      <c r="D1320" s="2" t="s">
        <v>51</v>
      </c>
      <c r="E1320" s="2" t="s">
        <v>16</v>
      </c>
      <c r="F1320" s="2">
        <v>30</v>
      </c>
      <c r="G1320" s="2" t="s">
        <v>4177</v>
      </c>
      <c r="H1320" s="2" t="s">
        <v>864</v>
      </c>
      <c r="I1320" s="2" t="s">
        <v>19</v>
      </c>
      <c r="J1320" s="3">
        <v>44510</v>
      </c>
      <c r="K1320" s="5">
        <f>YEAR(OrganizedData[[#This Row],[Order Date]])</f>
        <v>2021</v>
      </c>
      <c r="L1320" s="7" t="str">
        <f>TEXT(OrganizedData[[#This Row],[Order Date]],"mmm")</f>
        <v>Nov</v>
      </c>
      <c r="M1320" s="2">
        <v>7</v>
      </c>
      <c r="N1320" s="2" t="s">
        <v>39</v>
      </c>
      <c r="O1320" s="2" t="str">
        <f>VLOOKUP(OrganizedData[[#This Row],[Product Code]],ProductData[[Code]:[Item]],2,FALSE)</f>
        <v>Ultrathing V1</v>
      </c>
      <c r="P1320" s="4">
        <f>OrganizedData[[#This Row],[Quantity]]*VLOOKUP(OrganizedData[[#This Row],[Product Code]],ProductData[],4,FALSE)</f>
        <v>119</v>
      </c>
      <c r="Q1320" s="6">
        <f>OrganizedData[[#This Row],[Total Items Ordered]]*VLOOKUP(OrganizedData[[#This Row],[Product Code]],ProductData[],3,FALSE)</f>
        <v>213.01</v>
      </c>
      <c r="R13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213.01</v>
      </c>
    </row>
    <row r="1321" spans="1:18" x14ac:dyDescent="0.3">
      <c r="A1321" s="2">
        <v>1314</v>
      </c>
      <c r="B1321" s="2" t="s">
        <v>4178</v>
      </c>
      <c r="C1321" s="2" t="s">
        <v>3345</v>
      </c>
      <c r="D1321" s="2" t="s">
        <v>15</v>
      </c>
      <c r="E1321" s="2" t="s">
        <v>16</v>
      </c>
      <c r="F1321" s="2">
        <v>60</v>
      </c>
      <c r="G1321" s="2" t="s">
        <v>4179</v>
      </c>
      <c r="H1321" s="2" t="s">
        <v>4180</v>
      </c>
      <c r="I1321" s="2" t="s">
        <v>187</v>
      </c>
      <c r="J1321" s="3">
        <v>43950</v>
      </c>
      <c r="K1321" s="5">
        <f>YEAR(OrganizedData[[#This Row],[Order Date]])</f>
        <v>2020</v>
      </c>
      <c r="L1321" s="7" t="str">
        <f>TEXT(OrganizedData[[#This Row],[Order Date]],"mmm")</f>
        <v>Apr</v>
      </c>
      <c r="M1321" s="2">
        <v>74</v>
      </c>
      <c r="N1321" s="2" t="s">
        <v>33</v>
      </c>
      <c r="O1321" s="2" t="str">
        <f>VLOOKUP(OrganizedData[[#This Row],[Product Code]],ProductData[[Code]:[Item]],2,FALSE)</f>
        <v>Megawidget L</v>
      </c>
      <c r="P1321" s="4">
        <f>OrganizedData[[#This Row],[Quantity]]*VLOOKUP(OrganizedData[[#This Row],[Product Code]],ProductData[],4,FALSE)</f>
        <v>1776</v>
      </c>
      <c r="Q1321" s="6">
        <f>OrganizedData[[#This Row],[Total Items Ordered]]*VLOOKUP(OrganizedData[[#This Row],[Product Code]],ProductData[],3,FALSE)</f>
        <v>3179.04</v>
      </c>
      <c r="R13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1322" spans="1:18" x14ac:dyDescent="0.3">
      <c r="A1322" s="2">
        <v>1315</v>
      </c>
      <c r="B1322" s="2" t="s">
        <v>2134</v>
      </c>
      <c r="C1322" s="2" t="s">
        <v>4181</v>
      </c>
      <c r="D1322" s="2" t="s">
        <v>15</v>
      </c>
      <c r="E1322" s="2" t="s">
        <v>16</v>
      </c>
      <c r="F1322" s="2">
        <v>30</v>
      </c>
      <c r="G1322" s="2" t="s">
        <v>4179</v>
      </c>
      <c r="H1322" s="2" t="s">
        <v>4182</v>
      </c>
      <c r="I1322" s="2" t="s">
        <v>32</v>
      </c>
      <c r="J1322" s="3">
        <v>44060</v>
      </c>
      <c r="K1322" s="5">
        <f>YEAR(OrganizedData[[#This Row],[Order Date]])</f>
        <v>2020</v>
      </c>
      <c r="L1322" s="7" t="str">
        <f>TEXT(OrganizedData[[#This Row],[Order Date]],"mmm")</f>
        <v>Aug</v>
      </c>
      <c r="M1322" s="2">
        <v>73</v>
      </c>
      <c r="N1322" s="2" t="s">
        <v>80</v>
      </c>
      <c r="O1322" s="2" t="str">
        <f>VLOOKUP(OrganizedData[[#This Row],[Product Code]],ProductData[[Code]:[Item]],2,FALSE)</f>
        <v>Ultrathing V2</v>
      </c>
      <c r="P1322" s="4">
        <f>OrganizedData[[#This Row],[Quantity]]*VLOOKUP(OrganizedData[[#This Row],[Product Code]],ProductData[],4,FALSE)</f>
        <v>1460</v>
      </c>
      <c r="Q1322" s="6">
        <f>OrganizedData[[#This Row],[Total Items Ordered]]*VLOOKUP(OrganizedData[[#This Row],[Product Code]],ProductData[],3,FALSE)</f>
        <v>4307</v>
      </c>
      <c r="R13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1323" spans="1:18" x14ac:dyDescent="0.3">
      <c r="A1323" s="2">
        <v>1316</v>
      </c>
      <c r="B1323" s="2" t="s">
        <v>4183</v>
      </c>
      <c r="C1323" s="2" t="s">
        <v>4059</v>
      </c>
      <c r="D1323" s="2" t="s">
        <v>15</v>
      </c>
      <c r="E1323" s="2" t="s">
        <v>16</v>
      </c>
      <c r="F1323" s="2">
        <v>90</v>
      </c>
      <c r="G1323" s="2" t="s">
        <v>4184</v>
      </c>
      <c r="H1323" s="2" t="s">
        <v>1103</v>
      </c>
      <c r="I1323" s="2" t="s">
        <v>25</v>
      </c>
      <c r="J1323" s="3">
        <v>43981</v>
      </c>
      <c r="K1323" s="5">
        <f>YEAR(OrganizedData[[#This Row],[Order Date]])</f>
        <v>2020</v>
      </c>
      <c r="L1323" s="7" t="str">
        <f>TEXT(OrganizedData[[#This Row],[Order Date]],"mmm")</f>
        <v>May</v>
      </c>
      <c r="M1323" s="2">
        <v>42</v>
      </c>
      <c r="N1323" s="2" t="s">
        <v>64</v>
      </c>
      <c r="O1323" s="2" t="str">
        <f>VLOOKUP(OrganizedData[[#This Row],[Product Code]],ProductData[[Code]:[Item]],2,FALSE)</f>
        <v>Ultrathing V4</v>
      </c>
      <c r="P1323" s="4">
        <f>OrganizedData[[#This Row],[Quantity]]*VLOOKUP(OrganizedData[[#This Row],[Product Code]],ProductData[],4,FALSE)</f>
        <v>1008</v>
      </c>
      <c r="Q1323" s="6">
        <f>OrganizedData[[#This Row],[Total Items Ordered]]*VLOOKUP(OrganizedData[[#This Row],[Product Code]],ProductData[],3,FALSE)</f>
        <v>4021.92</v>
      </c>
      <c r="R13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1324" spans="1:18" x14ac:dyDescent="0.3">
      <c r="A1324" s="2">
        <v>1317</v>
      </c>
      <c r="B1324" s="2" t="s">
        <v>4185</v>
      </c>
      <c r="C1324" s="2" t="s">
        <v>4186</v>
      </c>
      <c r="D1324" s="2" t="s">
        <v>28</v>
      </c>
      <c r="E1324" s="2" t="s">
        <v>29</v>
      </c>
      <c r="F1324" s="2">
        <v>90</v>
      </c>
      <c r="G1324" s="2" t="s">
        <v>4187</v>
      </c>
      <c r="H1324" s="2" t="s">
        <v>2130</v>
      </c>
      <c r="I1324" s="2" t="s">
        <v>32</v>
      </c>
      <c r="J1324" s="3">
        <v>44192</v>
      </c>
      <c r="K1324" s="5">
        <f>YEAR(OrganizedData[[#This Row],[Order Date]])</f>
        <v>2020</v>
      </c>
      <c r="L1324" s="7" t="str">
        <f>TEXT(OrganizedData[[#This Row],[Order Date]],"mmm")</f>
        <v>Dec</v>
      </c>
      <c r="M1324" s="2">
        <v>22</v>
      </c>
      <c r="N1324" s="2" t="s">
        <v>33</v>
      </c>
      <c r="O1324" s="2" t="str">
        <f>VLOOKUP(OrganizedData[[#This Row],[Product Code]],ProductData[[Code]:[Item]],2,FALSE)</f>
        <v>Megawidget L</v>
      </c>
      <c r="P1324" s="4">
        <f>OrganizedData[[#This Row],[Quantity]]*VLOOKUP(OrganizedData[[#This Row],[Product Code]],ProductData[],4,FALSE)</f>
        <v>528</v>
      </c>
      <c r="Q1324" s="6">
        <f>OrganizedData[[#This Row],[Total Items Ordered]]*VLOOKUP(OrganizedData[[#This Row],[Product Code]],ProductData[],3,FALSE)</f>
        <v>945.12</v>
      </c>
      <c r="R13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1325" spans="1:18" x14ac:dyDescent="0.3">
      <c r="A1325" s="2">
        <v>1318</v>
      </c>
      <c r="B1325" s="2" t="s">
        <v>4188</v>
      </c>
      <c r="C1325" s="2" t="s">
        <v>427</v>
      </c>
      <c r="D1325" s="2" t="s">
        <v>51</v>
      </c>
      <c r="E1325" s="2" t="s">
        <v>16</v>
      </c>
      <c r="F1325" s="2">
        <v>60</v>
      </c>
      <c r="G1325" s="2" t="s">
        <v>4189</v>
      </c>
      <c r="H1325" s="2" t="s">
        <v>1505</v>
      </c>
      <c r="I1325" s="2" t="s">
        <v>32</v>
      </c>
      <c r="J1325" s="3">
        <v>44511</v>
      </c>
      <c r="K1325" s="5">
        <f>YEAR(OrganizedData[[#This Row],[Order Date]])</f>
        <v>2021</v>
      </c>
      <c r="L1325" s="7" t="str">
        <f>TEXT(OrganizedData[[#This Row],[Order Date]],"mmm")</f>
        <v>Nov</v>
      </c>
      <c r="M1325" s="2">
        <v>49</v>
      </c>
      <c r="N1325" s="2" t="s">
        <v>101</v>
      </c>
      <c r="O1325" s="2" t="str">
        <f>VLOOKUP(OrganizedData[[#This Row],[Product Code]],ProductData[[Code]:[Item]],2,FALSE)</f>
        <v>Superwossname</v>
      </c>
      <c r="P1325" s="4">
        <f>OrganizedData[[#This Row],[Quantity]]*VLOOKUP(OrganizedData[[#This Row],[Product Code]],ProductData[],4,FALSE)</f>
        <v>980</v>
      </c>
      <c r="Q1325" s="6">
        <f>OrganizedData[[#This Row],[Total Items Ordered]]*VLOOKUP(OrganizedData[[#This Row],[Product Code]],ProductData[],3,FALSE)</f>
        <v>3420.2000000000003</v>
      </c>
      <c r="R13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3317.5940000000001</v>
      </c>
    </row>
    <row r="1326" spans="1:18" x14ac:dyDescent="0.3">
      <c r="A1326" s="2">
        <v>1319</v>
      </c>
      <c r="B1326" s="2" t="s">
        <v>4190</v>
      </c>
      <c r="C1326" s="2" t="s">
        <v>4191</v>
      </c>
      <c r="D1326" s="2" t="s">
        <v>15</v>
      </c>
      <c r="E1326" s="2" t="s">
        <v>16</v>
      </c>
      <c r="F1326" s="2">
        <v>30</v>
      </c>
      <c r="G1326" s="2" t="s">
        <v>4192</v>
      </c>
      <c r="H1326" s="2" t="s">
        <v>420</v>
      </c>
      <c r="I1326" s="2" t="s">
        <v>32</v>
      </c>
      <c r="J1326" s="3">
        <v>44396</v>
      </c>
      <c r="K1326" s="5">
        <f>YEAR(OrganizedData[[#This Row],[Order Date]])</f>
        <v>2021</v>
      </c>
      <c r="L1326" s="7" t="str">
        <f>TEXT(OrganizedData[[#This Row],[Order Date]],"mmm")</f>
        <v>Jul</v>
      </c>
      <c r="M1326" s="2">
        <v>46</v>
      </c>
      <c r="N1326" s="2" t="s">
        <v>54</v>
      </c>
      <c r="O1326" s="2" t="str">
        <f>VLOOKUP(OrganizedData[[#This Row],[Product Code]],ProductData[[Code]:[Item]],2,FALSE)</f>
        <v>Megawidget S</v>
      </c>
      <c r="P1326" s="4">
        <f>OrganizedData[[#This Row],[Quantity]]*VLOOKUP(OrganizedData[[#This Row],[Product Code]],ProductData[],4,FALSE)</f>
        <v>1104</v>
      </c>
      <c r="Q1326" s="6">
        <f>OrganizedData[[#This Row],[Total Items Ordered]]*VLOOKUP(OrganizedData[[#This Row],[Product Code]],ProductData[],3,FALSE)</f>
        <v>761.76</v>
      </c>
      <c r="R13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1327" spans="1:18" x14ac:dyDescent="0.3">
      <c r="A1327" s="2">
        <v>1320</v>
      </c>
      <c r="B1327" s="2" t="s">
        <v>4193</v>
      </c>
      <c r="C1327" s="2" t="s">
        <v>4194</v>
      </c>
      <c r="D1327" s="2" t="s">
        <v>28</v>
      </c>
      <c r="E1327" s="2" t="s">
        <v>29</v>
      </c>
      <c r="F1327" s="2">
        <v>90</v>
      </c>
      <c r="G1327" s="2" t="s">
        <v>4195</v>
      </c>
      <c r="H1327" s="2" t="s">
        <v>4196</v>
      </c>
      <c r="I1327" s="2" t="s">
        <v>240</v>
      </c>
      <c r="J1327" s="3">
        <v>44159</v>
      </c>
      <c r="K1327" s="5">
        <f>YEAR(OrganizedData[[#This Row],[Order Date]])</f>
        <v>2020</v>
      </c>
      <c r="L1327" s="7" t="str">
        <f>TEXT(OrganizedData[[#This Row],[Order Date]],"mmm")</f>
        <v>Nov</v>
      </c>
      <c r="M1327" s="2">
        <v>34</v>
      </c>
      <c r="N1327" s="2" t="s">
        <v>159</v>
      </c>
      <c r="O1327" s="2" t="str">
        <f>VLOOKUP(OrganizedData[[#This Row],[Product Code]],ProductData[[Code]:[Item]],2,FALSE)</f>
        <v>Ultrathing V3</v>
      </c>
      <c r="P1327" s="4">
        <f>OrganizedData[[#This Row],[Quantity]]*VLOOKUP(OrganizedData[[#This Row],[Product Code]],ProductData[],4,FALSE)</f>
        <v>816</v>
      </c>
      <c r="Q1327" s="6">
        <f>OrganizedData[[#This Row],[Total Items Ordered]]*VLOOKUP(OrganizedData[[#This Row],[Product Code]],ProductData[],3,FALSE)</f>
        <v>2766.2400000000002</v>
      </c>
      <c r="R13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2683.2528000000002</v>
      </c>
    </row>
    <row r="1328" spans="1:18" x14ac:dyDescent="0.3">
      <c r="A1328" s="2">
        <v>1321</v>
      </c>
      <c r="B1328" s="2" t="s">
        <v>4197</v>
      </c>
      <c r="C1328" s="2" t="s">
        <v>3146</v>
      </c>
      <c r="D1328" s="2" t="s">
        <v>15</v>
      </c>
      <c r="E1328" s="2" t="s">
        <v>16</v>
      </c>
      <c r="F1328" s="2">
        <v>90</v>
      </c>
      <c r="G1328" s="2" t="s">
        <v>4198</v>
      </c>
      <c r="H1328" s="2" t="s">
        <v>2877</v>
      </c>
      <c r="I1328" s="2" t="s">
        <v>2878</v>
      </c>
      <c r="J1328" s="3">
        <v>44129</v>
      </c>
      <c r="K1328" s="5">
        <f>YEAR(OrganizedData[[#This Row],[Order Date]])</f>
        <v>2020</v>
      </c>
      <c r="L1328" s="7" t="str">
        <f>TEXT(OrganizedData[[#This Row],[Order Date]],"mmm")</f>
        <v>Oct</v>
      </c>
      <c r="M1328" s="2">
        <v>8</v>
      </c>
      <c r="N1328" s="2" t="s">
        <v>159</v>
      </c>
      <c r="O1328" s="2" t="str">
        <f>VLOOKUP(OrganizedData[[#This Row],[Product Code]],ProductData[[Code]:[Item]],2,FALSE)</f>
        <v>Ultrathing V3</v>
      </c>
      <c r="P1328" s="4">
        <f>OrganizedData[[#This Row],[Quantity]]*VLOOKUP(OrganizedData[[#This Row],[Product Code]],ProductData[],4,FALSE)</f>
        <v>192</v>
      </c>
      <c r="Q1328" s="6">
        <f>OrganizedData[[#This Row],[Total Items Ordered]]*VLOOKUP(OrganizedData[[#This Row],[Product Code]],ProductData[],3,FALSE)</f>
        <v>650.88</v>
      </c>
      <c r="R13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650.88</v>
      </c>
    </row>
    <row r="1329" spans="1:18" x14ac:dyDescent="0.3">
      <c r="A1329" s="2">
        <v>1322</v>
      </c>
      <c r="B1329" s="2" t="s">
        <v>2147</v>
      </c>
      <c r="C1329" s="2" t="s">
        <v>1023</v>
      </c>
      <c r="D1329" s="2" t="s">
        <v>117</v>
      </c>
      <c r="E1329" s="2" t="s">
        <v>29</v>
      </c>
      <c r="F1329" s="2">
        <v>30</v>
      </c>
      <c r="G1329" s="2" t="s">
        <v>4199</v>
      </c>
      <c r="H1329" s="2" t="s">
        <v>3421</v>
      </c>
      <c r="I1329" s="2" t="s">
        <v>25</v>
      </c>
      <c r="J1329" s="3">
        <v>44006</v>
      </c>
      <c r="K1329" s="5">
        <f>YEAR(OrganizedData[[#This Row],[Order Date]])</f>
        <v>2020</v>
      </c>
      <c r="L1329" s="7" t="str">
        <f>TEXT(OrganizedData[[#This Row],[Order Date]],"mmm")</f>
        <v>Jun</v>
      </c>
      <c r="M1329" s="2">
        <v>3</v>
      </c>
      <c r="N1329" s="2" t="s">
        <v>70</v>
      </c>
      <c r="O1329" s="2" t="str">
        <f>VLOOKUP(OrganizedData[[#This Row],[Product Code]],ProductData[[Code]:[Item]],2,FALSE)</f>
        <v>Megawidget M</v>
      </c>
      <c r="P1329" s="4">
        <f>OrganizedData[[#This Row],[Quantity]]*VLOOKUP(OrganizedData[[#This Row],[Product Code]],ProductData[],4,FALSE)</f>
        <v>72</v>
      </c>
      <c r="Q1329" s="6">
        <f>OrganizedData[[#This Row],[Total Items Ordered]]*VLOOKUP(OrganizedData[[#This Row],[Product Code]],ProductData[],3,FALSE)</f>
        <v>92.88</v>
      </c>
      <c r="R13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92.88</v>
      </c>
    </row>
    <row r="1330" spans="1:18" x14ac:dyDescent="0.3">
      <c r="A1330" s="2">
        <v>1323</v>
      </c>
      <c r="B1330" s="2" t="s">
        <v>4200</v>
      </c>
      <c r="C1330" s="2" t="s">
        <v>2095</v>
      </c>
      <c r="D1330" s="2" t="s">
        <v>15</v>
      </c>
      <c r="E1330" s="2" t="s">
        <v>16</v>
      </c>
      <c r="F1330" s="2">
        <v>30</v>
      </c>
      <c r="G1330" s="2" t="s">
        <v>4201</v>
      </c>
      <c r="H1330" s="2" t="s">
        <v>2727</v>
      </c>
      <c r="I1330" s="2" t="s">
        <v>2330</v>
      </c>
      <c r="J1330" s="3">
        <v>43964</v>
      </c>
      <c r="K1330" s="5">
        <f>YEAR(OrganizedData[[#This Row],[Order Date]])</f>
        <v>2020</v>
      </c>
      <c r="L1330" s="7" t="str">
        <f>TEXT(OrganizedData[[#This Row],[Order Date]],"mmm")</f>
        <v>May</v>
      </c>
      <c r="M1330" s="2">
        <v>55</v>
      </c>
      <c r="N1330" s="2" t="s">
        <v>101</v>
      </c>
      <c r="O1330" s="2" t="str">
        <f>VLOOKUP(OrganizedData[[#This Row],[Product Code]],ProductData[[Code]:[Item]],2,FALSE)</f>
        <v>Superwossname</v>
      </c>
      <c r="P1330" s="4">
        <f>OrganizedData[[#This Row],[Quantity]]*VLOOKUP(OrganizedData[[#This Row],[Product Code]],ProductData[],4,FALSE)</f>
        <v>1100</v>
      </c>
      <c r="Q1330" s="6">
        <f>OrganizedData[[#This Row],[Total Items Ordered]]*VLOOKUP(OrganizedData[[#This Row],[Product Code]],ProductData[],3,FALSE)</f>
        <v>3839.0000000000005</v>
      </c>
      <c r="R13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3647.05</v>
      </c>
    </row>
    <row r="1331" spans="1:18" x14ac:dyDescent="0.3">
      <c r="A1331" s="2">
        <v>1324</v>
      </c>
      <c r="B1331" s="2" t="s">
        <v>130</v>
      </c>
      <c r="C1331" s="2" t="s">
        <v>3362</v>
      </c>
      <c r="D1331" s="2" t="s">
        <v>28</v>
      </c>
      <c r="E1331" s="2" t="s">
        <v>29</v>
      </c>
      <c r="F1331" s="2">
        <v>30</v>
      </c>
      <c r="G1331" s="2" t="s">
        <v>4204</v>
      </c>
      <c r="H1331" s="2" t="s">
        <v>2220</v>
      </c>
      <c r="I1331" s="2" t="s">
        <v>1889</v>
      </c>
      <c r="J1331" s="3">
        <v>44694</v>
      </c>
      <c r="K1331" s="5">
        <f>YEAR(OrganizedData[[#This Row],[Order Date]])</f>
        <v>2022</v>
      </c>
      <c r="L1331" s="7" t="str">
        <f>TEXT(OrganizedData[[#This Row],[Order Date]],"mmm")</f>
        <v>May</v>
      </c>
      <c r="M1331" s="2">
        <v>55</v>
      </c>
      <c r="N1331" s="2" t="s">
        <v>45</v>
      </c>
      <c r="O1331" s="2" t="str">
        <f>VLOOKUP(OrganizedData[[#This Row],[Product Code]],ProductData[[Code]:[Item]],2,FALSE)</f>
        <v>Gigastuff</v>
      </c>
      <c r="P1331" s="4">
        <f>OrganizedData[[#This Row],[Quantity]]*VLOOKUP(OrganizedData[[#This Row],[Product Code]],ProductData[],4,FALSE)</f>
        <v>990</v>
      </c>
      <c r="Q1331" s="6">
        <f>OrganizedData[[#This Row],[Total Items Ordered]]*VLOOKUP(OrganizedData[[#This Row],[Product Code]],ProductData[],3,FALSE)</f>
        <v>1871.1</v>
      </c>
      <c r="R13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1332" spans="1:18" x14ac:dyDescent="0.3">
      <c r="A1332" s="2">
        <v>1325</v>
      </c>
      <c r="B1332" s="2" t="s">
        <v>1096</v>
      </c>
      <c r="C1332" s="2" t="s">
        <v>4205</v>
      </c>
      <c r="D1332" s="2" t="s">
        <v>28</v>
      </c>
      <c r="E1332" s="2" t="s">
        <v>29</v>
      </c>
      <c r="F1332" s="2">
        <v>60</v>
      </c>
      <c r="G1332" s="2" t="s">
        <v>4206</v>
      </c>
      <c r="H1332" s="2" t="s">
        <v>2338</v>
      </c>
      <c r="I1332" s="2" t="s">
        <v>240</v>
      </c>
      <c r="J1332" s="3">
        <v>44704</v>
      </c>
      <c r="K1332" s="5">
        <f>YEAR(OrganizedData[[#This Row],[Order Date]])</f>
        <v>2022</v>
      </c>
      <c r="L1332" s="7" t="str">
        <f>TEXT(OrganizedData[[#This Row],[Order Date]],"mmm")</f>
        <v>May</v>
      </c>
      <c r="M1332" s="2">
        <v>70</v>
      </c>
      <c r="N1332" s="2" t="s">
        <v>80</v>
      </c>
      <c r="O1332" s="2" t="str">
        <f>VLOOKUP(OrganizedData[[#This Row],[Product Code]],ProductData[[Code]:[Item]],2,FALSE)</f>
        <v>Ultrathing V2</v>
      </c>
      <c r="P1332" s="4">
        <f>OrganizedData[[#This Row],[Quantity]]*VLOOKUP(OrganizedData[[#This Row],[Product Code]],ProductData[],4,FALSE)</f>
        <v>1400</v>
      </c>
      <c r="Q1332" s="6">
        <f>OrganizedData[[#This Row],[Total Items Ordered]]*VLOOKUP(OrganizedData[[#This Row],[Product Code]],ProductData[],3,FALSE)</f>
        <v>4130</v>
      </c>
      <c r="R13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1333" spans="1:18" x14ac:dyDescent="0.3">
      <c r="A1333" s="2">
        <v>1326</v>
      </c>
      <c r="B1333" s="2" t="s">
        <v>2094</v>
      </c>
      <c r="C1333" s="2" t="s">
        <v>170</v>
      </c>
      <c r="D1333" s="2" t="s">
        <v>51</v>
      </c>
      <c r="E1333" s="2" t="s">
        <v>16</v>
      </c>
      <c r="F1333" s="2">
        <v>90</v>
      </c>
      <c r="G1333" s="2" t="s">
        <v>4207</v>
      </c>
      <c r="H1333" s="2" t="s">
        <v>4208</v>
      </c>
      <c r="I1333" s="2" t="s">
        <v>44</v>
      </c>
      <c r="J1333" s="3">
        <v>44169</v>
      </c>
      <c r="K1333" s="5">
        <f>YEAR(OrganizedData[[#This Row],[Order Date]])</f>
        <v>2020</v>
      </c>
      <c r="L1333" s="7" t="str">
        <f>TEXT(OrganizedData[[#This Row],[Order Date]],"mmm")</f>
        <v>Dec</v>
      </c>
      <c r="M1333" s="2">
        <v>79</v>
      </c>
      <c r="N1333" s="2" t="s">
        <v>33</v>
      </c>
      <c r="O1333" s="2" t="str">
        <f>VLOOKUP(OrganizedData[[#This Row],[Product Code]],ProductData[[Code]:[Item]],2,FALSE)</f>
        <v>Megawidget L</v>
      </c>
      <c r="P1333" s="4">
        <f>OrganizedData[[#This Row],[Quantity]]*VLOOKUP(OrganizedData[[#This Row],[Product Code]],ProductData[],4,FALSE)</f>
        <v>1896</v>
      </c>
      <c r="Q1333" s="6">
        <f>OrganizedData[[#This Row],[Total Items Ordered]]*VLOOKUP(OrganizedData[[#This Row],[Product Code]],ProductData[],3,FALSE)</f>
        <v>3393.84</v>
      </c>
      <c r="R13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3224.1480000000001</v>
      </c>
    </row>
    <row r="1334" spans="1:18" x14ac:dyDescent="0.3">
      <c r="A1334" s="2">
        <v>1327</v>
      </c>
      <c r="B1334" s="2" t="s">
        <v>3711</v>
      </c>
      <c r="C1334" s="2" t="s">
        <v>2135</v>
      </c>
      <c r="D1334" s="2" t="s">
        <v>28</v>
      </c>
      <c r="E1334" s="2" t="s">
        <v>29</v>
      </c>
      <c r="F1334" s="2">
        <v>30</v>
      </c>
      <c r="G1334" s="2" t="s">
        <v>4209</v>
      </c>
      <c r="H1334" s="2" t="s">
        <v>3059</v>
      </c>
      <c r="I1334" s="2" t="s">
        <v>187</v>
      </c>
      <c r="J1334" s="3">
        <v>44876</v>
      </c>
      <c r="K1334" s="5">
        <f>YEAR(OrganizedData[[#This Row],[Order Date]])</f>
        <v>2022</v>
      </c>
      <c r="L1334" s="7" t="str">
        <f>TEXT(OrganizedData[[#This Row],[Order Date]],"mmm")</f>
        <v>Nov</v>
      </c>
      <c r="M1334" s="2">
        <v>50</v>
      </c>
      <c r="N1334" s="2" t="s">
        <v>20</v>
      </c>
      <c r="O1334" s="2" t="str">
        <f>VLOOKUP(OrganizedData[[#This Row],[Product Code]],ProductData[[Code]:[Item]],2,FALSE)</f>
        <v>Hyperwotsit</v>
      </c>
      <c r="P1334" s="4">
        <f>OrganizedData[[#This Row],[Quantity]]*VLOOKUP(OrganizedData[[#This Row],[Product Code]],ProductData[],4,FALSE)</f>
        <v>1000</v>
      </c>
      <c r="Q1334" s="6">
        <f>OrganizedData[[#This Row],[Total Items Ordered]]*VLOOKUP(OrganizedData[[#This Row],[Product Code]],ProductData[],3,FALSE)</f>
        <v>2009.9999999999998</v>
      </c>
      <c r="R13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1335" spans="1:18" x14ac:dyDescent="0.3">
      <c r="A1335" s="2">
        <v>1328</v>
      </c>
      <c r="B1335" s="2" t="s">
        <v>4210</v>
      </c>
      <c r="C1335" s="2" t="s">
        <v>2635</v>
      </c>
      <c r="D1335" s="2" t="s">
        <v>51</v>
      </c>
      <c r="E1335" s="2" t="s">
        <v>16</v>
      </c>
      <c r="F1335" s="2">
        <v>30</v>
      </c>
      <c r="G1335" s="2" t="s">
        <v>4211</v>
      </c>
      <c r="H1335" s="2" t="s">
        <v>3212</v>
      </c>
      <c r="I1335" s="2" t="s">
        <v>25</v>
      </c>
      <c r="J1335" s="3">
        <v>44302</v>
      </c>
      <c r="K1335" s="5">
        <f>YEAR(OrganizedData[[#This Row],[Order Date]])</f>
        <v>2021</v>
      </c>
      <c r="L1335" s="7" t="str">
        <f>TEXT(OrganizedData[[#This Row],[Order Date]],"mmm")</f>
        <v>Apr</v>
      </c>
      <c r="M1335" s="2">
        <v>8</v>
      </c>
      <c r="N1335" s="2" t="s">
        <v>45</v>
      </c>
      <c r="O1335" s="2" t="str">
        <f>VLOOKUP(OrganizedData[[#This Row],[Product Code]],ProductData[[Code]:[Item]],2,FALSE)</f>
        <v>Gigastuff</v>
      </c>
      <c r="P1335" s="4">
        <f>OrganizedData[[#This Row],[Quantity]]*VLOOKUP(OrganizedData[[#This Row],[Product Code]],ProductData[],4,FALSE)</f>
        <v>144</v>
      </c>
      <c r="Q1335" s="6">
        <f>OrganizedData[[#This Row],[Total Items Ordered]]*VLOOKUP(OrganizedData[[#This Row],[Product Code]],ProductData[],3,FALSE)</f>
        <v>272.15999999999997</v>
      </c>
      <c r="R13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1336" spans="1:18" x14ac:dyDescent="0.3">
      <c r="A1336" s="2">
        <v>1329</v>
      </c>
      <c r="B1336" s="2" t="s">
        <v>4212</v>
      </c>
      <c r="C1336" s="2" t="s">
        <v>1963</v>
      </c>
      <c r="D1336" s="2" t="s">
        <v>92</v>
      </c>
      <c r="E1336" s="2" t="s">
        <v>16</v>
      </c>
      <c r="F1336" s="2">
        <v>90</v>
      </c>
      <c r="G1336" s="2" t="s">
        <v>4213</v>
      </c>
      <c r="H1336" s="2" t="s">
        <v>4098</v>
      </c>
      <c r="I1336" s="2" t="s">
        <v>1889</v>
      </c>
      <c r="J1336" s="3">
        <v>44684</v>
      </c>
      <c r="K1336" s="5">
        <f>YEAR(OrganizedData[[#This Row],[Order Date]])</f>
        <v>2022</v>
      </c>
      <c r="L1336" s="7" t="str">
        <f>TEXT(OrganizedData[[#This Row],[Order Date]],"mmm")</f>
        <v>May</v>
      </c>
      <c r="M1336" s="2">
        <v>21</v>
      </c>
      <c r="N1336" s="2" t="s">
        <v>159</v>
      </c>
      <c r="O1336" s="2" t="str">
        <f>VLOOKUP(OrganizedData[[#This Row],[Product Code]],ProductData[[Code]:[Item]],2,FALSE)</f>
        <v>Ultrathing V3</v>
      </c>
      <c r="P1336" s="4">
        <f>OrganizedData[[#This Row],[Quantity]]*VLOOKUP(OrganizedData[[#This Row],[Product Code]],ProductData[],4,FALSE)</f>
        <v>504</v>
      </c>
      <c r="Q1336" s="6">
        <f>OrganizedData[[#This Row],[Total Items Ordered]]*VLOOKUP(OrganizedData[[#This Row],[Product Code]],ProductData[],3,FALSE)</f>
        <v>1708.5600000000002</v>
      </c>
      <c r="R13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1657.3032000000001</v>
      </c>
    </row>
    <row r="1337" spans="1:18" x14ac:dyDescent="0.3">
      <c r="A1337" s="2">
        <v>1330</v>
      </c>
      <c r="B1337" s="2" t="s">
        <v>1352</v>
      </c>
      <c r="C1337" s="2" t="s">
        <v>3057</v>
      </c>
      <c r="D1337" s="2" t="s">
        <v>28</v>
      </c>
      <c r="E1337" s="2" t="s">
        <v>29</v>
      </c>
      <c r="F1337" s="2">
        <v>90</v>
      </c>
      <c r="G1337" s="2" t="s">
        <v>4213</v>
      </c>
      <c r="H1337" s="2" t="s">
        <v>4214</v>
      </c>
      <c r="I1337" s="2" t="s">
        <v>187</v>
      </c>
      <c r="J1337" s="3">
        <v>44294</v>
      </c>
      <c r="K1337" s="5">
        <f>YEAR(OrganizedData[[#This Row],[Order Date]])</f>
        <v>2021</v>
      </c>
      <c r="L1337" s="7" t="str">
        <f>TEXT(OrganizedData[[#This Row],[Order Date]],"mmm")</f>
        <v>Apr</v>
      </c>
      <c r="M1337" s="2">
        <v>76</v>
      </c>
      <c r="N1337" s="2" t="s">
        <v>33</v>
      </c>
      <c r="O1337" s="2" t="str">
        <f>VLOOKUP(OrganizedData[[#This Row],[Product Code]],ProductData[[Code]:[Item]],2,FALSE)</f>
        <v>Megawidget L</v>
      </c>
      <c r="P1337" s="4">
        <f>OrganizedData[[#This Row],[Quantity]]*VLOOKUP(OrganizedData[[#This Row],[Product Code]],ProductData[],4,FALSE)</f>
        <v>1824</v>
      </c>
      <c r="Q1337" s="6">
        <f>OrganizedData[[#This Row],[Total Items Ordered]]*VLOOKUP(OrganizedData[[#This Row],[Product Code]],ProductData[],3,FALSE)</f>
        <v>3264.96</v>
      </c>
      <c r="R13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1338" spans="1:18" x14ac:dyDescent="0.3">
      <c r="A1338" s="2">
        <v>1331</v>
      </c>
      <c r="B1338" s="2" t="s">
        <v>4215</v>
      </c>
      <c r="C1338" s="2" t="s">
        <v>4216</v>
      </c>
      <c r="D1338" s="2" t="s">
        <v>51</v>
      </c>
      <c r="E1338" s="2" t="s">
        <v>16</v>
      </c>
      <c r="F1338" s="2">
        <v>30</v>
      </c>
      <c r="G1338" s="2" t="s">
        <v>4217</v>
      </c>
      <c r="H1338" s="2" t="s">
        <v>326</v>
      </c>
      <c r="I1338" s="2" t="s">
        <v>25</v>
      </c>
      <c r="J1338" s="3">
        <v>44279</v>
      </c>
      <c r="K1338" s="5">
        <f>YEAR(OrganizedData[[#This Row],[Order Date]])</f>
        <v>2021</v>
      </c>
      <c r="L1338" s="7" t="str">
        <f>TEXT(OrganizedData[[#This Row],[Order Date]],"mmm")</f>
        <v>Mar</v>
      </c>
      <c r="M1338" s="2">
        <v>12</v>
      </c>
      <c r="N1338" s="2" t="s">
        <v>101</v>
      </c>
      <c r="O1338" s="2" t="str">
        <f>VLOOKUP(OrganizedData[[#This Row],[Product Code]],ProductData[[Code]:[Item]],2,FALSE)</f>
        <v>Superwossname</v>
      </c>
      <c r="P1338" s="4">
        <f>OrganizedData[[#This Row],[Quantity]]*VLOOKUP(OrganizedData[[#This Row],[Product Code]],ProductData[],4,FALSE)</f>
        <v>240</v>
      </c>
      <c r="Q1338" s="6">
        <f>OrganizedData[[#This Row],[Total Items Ordered]]*VLOOKUP(OrganizedData[[#This Row],[Product Code]],ProductData[],3,FALSE)</f>
        <v>837.6</v>
      </c>
      <c r="R13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1339" spans="1:18" x14ac:dyDescent="0.3">
      <c r="A1339" s="2">
        <v>1332</v>
      </c>
      <c r="B1339" s="2" t="s">
        <v>4218</v>
      </c>
      <c r="C1339" s="2" t="s">
        <v>825</v>
      </c>
      <c r="D1339" s="2" t="s">
        <v>28</v>
      </c>
      <c r="E1339" s="2" t="s">
        <v>29</v>
      </c>
      <c r="F1339" s="2">
        <v>90</v>
      </c>
      <c r="G1339" s="2" t="s">
        <v>4219</v>
      </c>
      <c r="H1339" s="2" t="s">
        <v>4220</v>
      </c>
      <c r="I1339" s="2" t="s">
        <v>2543</v>
      </c>
      <c r="J1339" s="3">
        <v>44496</v>
      </c>
      <c r="K1339" s="5">
        <f>YEAR(OrganizedData[[#This Row],[Order Date]])</f>
        <v>2021</v>
      </c>
      <c r="L1339" s="7" t="str">
        <f>TEXT(OrganizedData[[#This Row],[Order Date]],"mmm")</f>
        <v>Oct</v>
      </c>
      <c r="M1339" s="2">
        <v>94</v>
      </c>
      <c r="N1339" s="2" t="s">
        <v>39</v>
      </c>
      <c r="O1339" s="2" t="str">
        <f>VLOOKUP(OrganizedData[[#This Row],[Product Code]],ProductData[[Code]:[Item]],2,FALSE)</f>
        <v>Ultrathing V1</v>
      </c>
      <c r="P1339" s="4">
        <f>OrganizedData[[#This Row],[Quantity]]*VLOOKUP(OrganizedData[[#This Row],[Product Code]],ProductData[],4,FALSE)</f>
        <v>1598</v>
      </c>
      <c r="Q1339" s="6">
        <f>OrganizedData[[#This Row],[Total Items Ordered]]*VLOOKUP(OrganizedData[[#This Row],[Product Code]],ProductData[],3,FALSE)</f>
        <v>2860.42</v>
      </c>
      <c r="R13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1340" spans="1:18" x14ac:dyDescent="0.3">
      <c r="A1340" s="2">
        <v>1333</v>
      </c>
      <c r="B1340" s="2" t="s">
        <v>4221</v>
      </c>
      <c r="C1340" s="2" t="s">
        <v>4222</v>
      </c>
      <c r="D1340" s="2" t="s">
        <v>41</v>
      </c>
      <c r="E1340" s="2" t="s">
        <v>16</v>
      </c>
      <c r="F1340" s="2">
        <v>30</v>
      </c>
      <c r="G1340" s="2" t="s">
        <v>4223</v>
      </c>
      <c r="H1340" s="2" t="s">
        <v>2494</v>
      </c>
      <c r="I1340" s="2" t="s">
        <v>25</v>
      </c>
      <c r="J1340" s="3">
        <v>44304</v>
      </c>
      <c r="K1340" s="5">
        <f>YEAR(OrganizedData[[#This Row],[Order Date]])</f>
        <v>2021</v>
      </c>
      <c r="L1340" s="7" t="str">
        <f>TEXT(OrganizedData[[#This Row],[Order Date]],"mmm")</f>
        <v>Apr</v>
      </c>
      <c r="M1340" s="2">
        <v>68</v>
      </c>
      <c r="N1340" s="2" t="s">
        <v>45</v>
      </c>
      <c r="O1340" s="2" t="str">
        <f>VLOOKUP(OrganizedData[[#This Row],[Product Code]],ProductData[[Code]:[Item]],2,FALSE)</f>
        <v>Gigastuff</v>
      </c>
      <c r="P1340" s="4">
        <f>OrganizedData[[#This Row],[Quantity]]*VLOOKUP(OrganizedData[[#This Row],[Product Code]],ProductData[],4,FALSE)</f>
        <v>1224</v>
      </c>
      <c r="Q1340" s="6">
        <f>OrganizedData[[#This Row],[Total Items Ordered]]*VLOOKUP(OrganizedData[[#This Row],[Product Code]],ProductData[],3,FALSE)</f>
        <v>2313.3599999999997</v>
      </c>
      <c r="R13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2197.6919999999996</v>
      </c>
    </row>
    <row r="1341" spans="1:18" x14ac:dyDescent="0.3">
      <c r="A1341" s="2">
        <v>1334</v>
      </c>
      <c r="B1341" s="2" t="s">
        <v>4224</v>
      </c>
      <c r="C1341" s="2" t="s">
        <v>2858</v>
      </c>
      <c r="D1341" s="2" t="s">
        <v>28</v>
      </c>
      <c r="E1341" s="2" t="s">
        <v>29</v>
      </c>
      <c r="F1341" s="2">
        <v>30</v>
      </c>
      <c r="G1341" s="2" t="s">
        <v>4225</v>
      </c>
      <c r="H1341" s="2" t="s">
        <v>2361</v>
      </c>
      <c r="I1341" s="2" t="s">
        <v>110</v>
      </c>
      <c r="J1341" s="3">
        <v>44809</v>
      </c>
      <c r="K1341" s="5">
        <f>YEAR(OrganizedData[[#This Row],[Order Date]])</f>
        <v>2022</v>
      </c>
      <c r="L1341" s="7" t="str">
        <f>TEXT(OrganizedData[[#This Row],[Order Date]],"mmm")</f>
        <v>Sep</v>
      </c>
      <c r="M1341" s="2">
        <v>48</v>
      </c>
      <c r="N1341" s="2" t="s">
        <v>159</v>
      </c>
      <c r="O1341" s="2" t="str">
        <f>VLOOKUP(OrganizedData[[#This Row],[Product Code]],ProductData[[Code]:[Item]],2,FALSE)</f>
        <v>Ultrathing V3</v>
      </c>
      <c r="P1341" s="4">
        <f>OrganizedData[[#This Row],[Quantity]]*VLOOKUP(OrganizedData[[#This Row],[Product Code]],ProductData[],4,FALSE)</f>
        <v>1152</v>
      </c>
      <c r="Q1341" s="6">
        <f>OrganizedData[[#This Row],[Total Items Ordered]]*VLOOKUP(OrganizedData[[#This Row],[Product Code]],ProductData[],3,FALSE)</f>
        <v>3905.28</v>
      </c>
      <c r="R13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1342" spans="1:18" x14ac:dyDescent="0.3">
      <c r="A1342" s="2">
        <v>1335</v>
      </c>
      <c r="B1342" s="2" t="s">
        <v>241</v>
      </c>
      <c r="C1342" s="2" t="s">
        <v>4226</v>
      </c>
      <c r="D1342" s="2" t="s">
        <v>51</v>
      </c>
      <c r="E1342" s="2" t="s">
        <v>16</v>
      </c>
      <c r="F1342" s="2">
        <v>30</v>
      </c>
      <c r="G1342" s="2" t="s">
        <v>4227</v>
      </c>
      <c r="H1342" s="2" t="s">
        <v>2441</v>
      </c>
      <c r="I1342" s="2" t="s">
        <v>1199</v>
      </c>
      <c r="J1342" s="3">
        <v>43957</v>
      </c>
      <c r="K1342" s="5">
        <f>YEAR(OrganizedData[[#This Row],[Order Date]])</f>
        <v>2020</v>
      </c>
      <c r="L1342" s="7" t="str">
        <f>TEXT(OrganizedData[[#This Row],[Order Date]],"mmm")</f>
        <v>May</v>
      </c>
      <c r="M1342" s="2">
        <v>18</v>
      </c>
      <c r="N1342" s="2" t="s">
        <v>159</v>
      </c>
      <c r="O1342" s="2" t="str">
        <f>VLOOKUP(OrganizedData[[#This Row],[Product Code]],ProductData[[Code]:[Item]],2,FALSE)</f>
        <v>Ultrathing V3</v>
      </c>
      <c r="P1342" s="4">
        <f>OrganizedData[[#This Row],[Quantity]]*VLOOKUP(OrganizedData[[#This Row],[Product Code]],ProductData[],4,FALSE)</f>
        <v>432</v>
      </c>
      <c r="Q1342" s="6">
        <f>OrganizedData[[#This Row],[Total Items Ordered]]*VLOOKUP(OrganizedData[[#This Row],[Product Code]],ProductData[],3,FALSE)</f>
        <v>1464.48</v>
      </c>
      <c r="R13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1343" spans="1:18" x14ac:dyDescent="0.3">
      <c r="A1343" s="2">
        <v>1336</v>
      </c>
      <c r="B1343" s="2" t="s">
        <v>3180</v>
      </c>
      <c r="C1343" s="2" t="s">
        <v>3845</v>
      </c>
      <c r="D1343" s="2" t="s">
        <v>28</v>
      </c>
      <c r="E1343" s="2" t="s">
        <v>29</v>
      </c>
      <c r="F1343" s="2">
        <v>30</v>
      </c>
      <c r="G1343" s="2" t="s">
        <v>4228</v>
      </c>
      <c r="H1343" s="2" t="s">
        <v>1206</v>
      </c>
      <c r="I1343" s="2" t="s">
        <v>294</v>
      </c>
      <c r="J1343" s="3">
        <v>44214</v>
      </c>
      <c r="K1343" s="5">
        <f>YEAR(OrganizedData[[#This Row],[Order Date]])</f>
        <v>2021</v>
      </c>
      <c r="L1343" s="7" t="str">
        <f>TEXT(OrganizedData[[#This Row],[Order Date]],"mmm")</f>
        <v>Jan</v>
      </c>
      <c r="M1343" s="2">
        <v>56</v>
      </c>
      <c r="N1343" s="2" t="s">
        <v>20</v>
      </c>
      <c r="O1343" s="2" t="str">
        <f>VLOOKUP(OrganizedData[[#This Row],[Product Code]],ProductData[[Code]:[Item]],2,FALSE)</f>
        <v>Hyperwotsit</v>
      </c>
      <c r="P1343" s="4">
        <f>OrganizedData[[#This Row],[Quantity]]*VLOOKUP(OrganizedData[[#This Row],[Product Code]],ProductData[],4,FALSE)</f>
        <v>1120</v>
      </c>
      <c r="Q1343" s="6">
        <f>OrganizedData[[#This Row],[Total Items Ordered]]*VLOOKUP(OrganizedData[[#This Row],[Product Code]],ProductData[],3,FALSE)</f>
        <v>2251.1999999999998</v>
      </c>
      <c r="R13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1344" spans="1:18" x14ac:dyDescent="0.3">
      <c r="A1344" s="2">
        <v>1337</v>
      </c>
      <c r="B1344" s="2" t="s">
        <v>4229</v>
      </c>
      <c r="C1344" s="2" t="s">
        <v>3297</v>
      </c>
      <c r="D1344" s="2" t="s">
        <v>51</v>
      </c>
      <c r="E1344" s="2" t="s">
        <v>16</v>
      </c>
      <c r="F1344" s="2">
        <v>60</v>
      </c>
      <c r="G1344" s="2" t="s">
        <v>4230</v>
      </c>
      <c r="H1344" s="2" t="s">
        <v>2890</v>
      </c>
      <c r="I1344" s="2" t="s">
        <v>32</v>
      </c>
      <c r="J1344" s="3">
        <v>44341</v>
      </c>
      <c r="K1344" s="5">
        <f>YEAR(OrganizedData[[#This Row],[Order Date]])</f>
        <v>2021</v>
      </c>
      <c r="L1344" s="7" t="str">
        <f>TEXT(OrganizedData[[#This Row],[Order Date]],"mmm")</f>
        <v>May</v>
      </c>
      <c r="M1344" s="2">
        <v>19</v>
      </c>
      <c r="N1344" s="2" t="s">
        <v>39</v>
      </c>
      <c r="O1344" s="2" t="str">
        <f>VLOOKUP(OrganizedData[[#This Row],[Product Code]],ProductData[[Code]:[Item]],2,FALSE)</f>
        <v>Ultrathing V1</v>
      </c>
      <c r="P1344" s="4">
        <f>OrganizedData[[#This Row],[Quantity]]*VLOOKUP(OrganizedData[[#This Row],[Product Code]],ProductData[],4,FALSE)</f>
        <v>323</v>
      </c>
      <c r="Q1344" s="6">
        <f>OrganizedData[[#This Row],[Total Items Ordered]]*VLOOKUP(OrganizedData[[#This Row],[Product Code]],ProductData[],3,FALSE)</f>
        <v>578.16999999999996</v>
      </c>
      <c r="R13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578.16999999999996</v>
      </c>
    </row>
    <row r="1345" spans="1:18" x14ac:dyDescent="0.3">
      <c r="A1345" s="2">
        <v>1338</v>
      </c>
      <c r="B1345" s="2" t="s">
        <v>4231</v>
      </c>
      <c r="C1345" s="2" t="s">
        <v>2669</v>
      </c>
      <c r="D1345" s="2" t="s">
        <v>51</v>
      </c>
      <c r="E1345" s="2" t="s">
        <v>16</v>
      </c>
      <c r="F1345" s="2">
        <v>60</v>
      </c>
      <c r="G1345" s="2" t="s">
        <v>4232</v>
      </c>
      <c r="H1345" s="2" t="s">
        <v>3666</v>
      </c>
      <c r="I1345" s="2" t="s">
        <v>1483</v>
      </c>
      <c r="J1345" s="3">
        <v>44526</v>
      </c>
      <c r="K1345" s="5">
        <f>YEAR(OrganizedData[[#This Row],[Order Date]])</f>
        <v>2021</v>
      </c>
      <c r="L1345" s="7" t="str">
        <f>TEXT(OrganizedData[[#This Row],[Order Date]],"mmm")</f>
        <v>Nov</v>
      </c>
      <c r="M1345" s="2">
        <v>65</v>
      </c>
      <c r="N1345" s="2" t="s">
        <v>39</v>
      </c>
      <c r="O1345" s="2" t="str">
        <f>VLOOKUP(OrganizedData[[#This Row],[Product Code]],ProductData[[Code]:[Item]],2,FALSE)</f>
        <v>Ultrathing V1</v>
      </c>
      <c r="P1345" s="4">
        <f>OrganizedData[[#This Row],[Quantity]]*VLOOKUP(OrganizedData[[#This Row],[Product Code]],ProductData[],4,FALSE)</f>
        <v>1105</v>
      </c>
      <c r="Q1345" s="6">
        <f>OrganizedData[[#This Row],[Total Items Ordered]]*VLOOKUP(OrganizedData[[#This Row],[Product Code]],ProductData[],3,FALSE)</f>
        <v>1977.95</v>
      </c>
      <c r="R13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1879.0525</v>
      </c>
    </row>
    <row r="1346" spans="1:18" x14ac:dyDescent="0.3">
      <c r="A1346" s="2">
        <v>1339</v>
      </c>
      <c r="B1346" s="2" t="s">
        <v>4233</v>
      </c>
      <c r="C1346" s="2" t="s">
        <v>4234</v>
      </c>
      <c r="D1346" s="2" t="s">
        <v>28</v>
      </c>
      <c r="E1346" s="2" t="s">
        <v>29</v>
      </c>
      <c r="F1346" s="2">
        <v>30</v>
      </c>
      <c r="G1346" s="2" t="s">
        <v>4235</v>
      </c>
      <c r="H1346" s="2" t="s">
        <v>2127</v>
      </c>
      <c r="I1346" s="2" t="s">
        <v>32</v>
      </c>
      <c r="J1346" s="3">
        <v>44558</v>
      </c>
      <c r="K1346" s="5">
        <f>YEAR(OrganizedData[[#This Row],[Order Date]])</f>
        <v>2021</v>
      </c>
      <c r="L1346" s="7" t="str">
        <f>TEXT(OrganizedData[[#This Row],[Order Date]],"mmm")</f>
        <v>Dec</v>
      </c>
      <c r="M1346" s="2">
        <v>6</v>
      </c>
      <c r="N1346" s="2" t="s">
        <v>101</v>
      </c>
      <c r="O1346" s="2" t="str">
        <f>VLOOKUP(OrganizedData[[#This Row],[Product Code]],ProductData[[Code]:[Item]],2,FALSE)</f>
        <v>Superwossname</v>
      </c>
      <c r="P1346" s="4">
        <f>OrganizedData[[#This Row],[Quantity]]*VLOOKUP(OrganizedData[[#This Row],[Product Code]],ProductData[],4,FALSE)</f>
        <v>120</v>
      </c>
      <c r="Q1346" s="6">
        <f>OrganizedData[[#This Row],[Total Items Ordered]]*VLOOKUP(OrganizedData[[#This Row],[Product Code]],ProductData[],3,FALSE)</f>
        <v>418.8</v>
      </c>
      <c r="R13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418.8</v>
      </c>
    </row>
    <row r="1347" spans="1:18" x14ac:dyDescent="0.3">
      <c r="A1347" s="2">
        <v>1340</v>
      </c>
      <c r="B1347" s="2" t="s">
        <v>4236</v>
      </c>
      <c r="C1347" s="2" t="s">
        <v>4237</v>
      </c>
      <c r="D1347" s="2" t="s">
        <v>15</v>
      </c>
      <c r="E1347" s="2" t="s">
        <v>16</v>
      </c>
      <c r="F1347" s="2">
        <v>30</v>
      </c>
      <c r="G1347" s="2" t="s">
        <v>4238</v>
      </c>
      <c r="H1347" s="2" t="s">
        <v>4196</v>
      </c>
      <c r="I1347" s="2" t="s">
        <v>240</v>
      </c>
      <c r="J1347" s="3">
        <v>44123</v>
      </c>
      <c r="K1347" s="5">
        <f>YEAR(OrganizedData[[#This Row],[Order Date]])</f>
        <v>2020</v>
      </c>
      <c r="L1347" s="7" t="str">
        <f>TEXT(OrganizedData[[#This Row],[Order Date]],"mmm")</f>
        <v>Oct</v>
      </c>
      <c r="M1347" s="2">
        <v>51</v>
      </c>
      <c r="N1347" s="2" t="s">
        <v>64</v>
      </c>
      <c r="O1347" s="2" t="str">
        <f>VLOOKUP(OrganizedData[[#This Row],[Product Code]],ProductData[[Code]:[Item]],2,FALSE)</f>
        <v>Ultrathing V4</v>
      </c>
      <c r="P1347" s="4">
        <f>OrganizedData[[#This Row],[Quantity]]*VLOOKUP(OrganizedData[[#This Row],[Product Code]],ProductData[],4,FALSE)</f>
        <v>1224</v>
      </c>
      <c r="Q1347" s="6">
        <f>OrganizedData[[#This Row],[Total Items Ordered]]*VLOOKUP(OrganizedData[[#This Row],[Product Code]],ProductData[],3,FALSE)</f>
        <v>4883.76</v>
      </c>
      <c r="R13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4639.5720000000001</v>
      </c>
    </row>
    <row r="1348" spans="1:18" x14ac:dyDescent="0.3">
      <c r="A1348" s="2">
        <v>1341</v>
      </c>
      <c r="B1348" s="2" t="s">
        <v>4239</v>
      </c>
      <c r="C1348" s="2" t="s">
        <v>2389</v>
      </c>
      <c r="D1348" s="2" t="s">
        <v>28</v>
      </c>
      <c r="E1348" s="2" t="s">
        <v>29</v>
      </c>
      <c r="F1348" s="2">
        <v>30</v>
      </c>
      <c r="G1348" s="2" t="s">
        <v>4240</v>
      </c>
      <c r="H1348" s="2" t="s">
        <v>637</v>
      </c>
      <c r="I1348" s="2" t="s">
        <v>32</v>
      </c>
      <c r="J1348" s="3">
        <v>44275</v>
      </c>
      <c r="K1348" s="5">
        <f>YEAR(OrganizedData[[#This Row],[Order Date]])</f>
        <v>2021</v>
      </c>
      <c r="L1348" s="7" t="str">
        <f>TEXT(OrganizedData[[#This Row],[Order Date]],"mmm")</f>
        <v>Mar</v>
      </c>
      <c r="M1348" s="2">
        <v>51</v>
      </c>
      <c r="N1348" s="2" t="s">
        <v>64</v>
      </c>
      <c r="O1348" s="2" t="str">
        <f>VLOOKUP(OrganizedData[[#This Row],[Product Code]],ProductData[[Code]:[Item]],2,FALSE)</f>
        <v>Ultrathing V4</v>
      </c>
      <c r="P1348" s="4">
        <f>OrganizedData[[#This Row],[Quantity]]*VLOOKUP(OrganizedData[[#This Row],[Product Code]],ProductData[],4,FALSE)</f>
        <v>1224</v>
      </c>
      <c r="Q1348" s="6">
        <f>OrganizedData[[#This Row],[Total Items Ordered]]*VLOOKUP(OrganizedData[[#This Row],[Product Code]],ProductData[],3,FALSE)</f>
        <v>4883.76</v>
      </c>
      <c r="R13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4639.5720000000001</v>
      </c>
    </row>
    <row r="1349" spans="1:18" x14ac:dyDescent="0.3">
      <c r="A1349" s="2">
        <v>1342</v>
      </c>
      <c r="B1349" s="2" t="s">
        <v>4241</v>
      </c>
      <c r="C1349" s="2" t="s">
        <v>4242</v>
      </c>
      <c r="D1349" s="2" t="s">
        <v>51</v>
      </c>
      <c r="E1349" s="2" t="s">
        <v>16</v>
      </c>
      <c r="F1349" s="2">
        <v>90</v>
      </c>
      <c r="G1349" s="2" t="s">
        <v>4243</v>
      </c>
      <c r="H1349" s="2" t="s">
        <v>1336</v>
      </c>
      <c r="I1349" s="2" t="s">
        <v>129</v>
      </c>
      <c r="J1349" s="3">
        <v>43975</v>
      </c>
      <c r="K1349" s="5">
        <f>YEAR(OrganizedData[[#This Row],[Order Date]])</f>
        <v>2020</v>
      </c>
      <c r="L1349" s="7" t="str">
        <f>TEXT(OrganizedData[[#This Row],[Order Date]],"mmm")</f>
        <v>May</v>
      </c>
      <c r="M1349" s="2">
        <v>18</v>
      </c>
      <c r="N1349" s="2" t="s">
        <v>20</v>
      </c>
      <c r="O1349" s="2" t="str">
        <f>VLOOKUP(OrganizedData[[#This Row],[Product Code]],ProductData[[Code]:[Item]],2,FALSE)</f>
        <v>Hyperwotsit</v>
      </c>
      <c r="P1349" s="4">
        <f>OrganizedData[[#This Row],[Quantity]]*VLOOKUP(OrganizedData[[#This Row],[Product Code]],ProductData[],4,FALSE)</f>
        <v>360</v>
      </c>
      <c r="Q1349" s="6">
        <f>OrganizedData[[#This Row],[Total Items Ordered]]*VLOOKUP(OrganizedData[[#This Row],[Product Code]],ProductData[],3,FALSE)</f>
        <v>723.59999999999991</v>
      </c>
      <c r="R13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1350" spans="1:18" x14ac:dyDescent="0.3">
      <c r="A1350" s="2">
        <v>1343</v>
      </c>
      <c r="B1350" s="2" t="s">
        <v>4244</v>
      </c>
      <c r="C1350" s="2" t="s">
        <v>3686</v>
      </c>
      <c r="D1350" s="2" t="s">
        <v>15</v>
      </c>
      <c r="E1350" s="2" t="s">
        <v>16</v>
      </c>
      <c r="F1350" s="2">
        <v>90</v>
      </c>
      <c r="G1350" s="2" t="s">
        <v>4245</v>
      </c>
      <c r="H1350" s="2" t="s">
        <v>1412</v>
      </c>
      <c r="I1350" s="2" t="s">
        <v>1413</v>
      </c>
      <c r="J1350" s="3">
        <v>44574</v>
      </c>
      <c r="K1350" s="5">
        <f>YEAR(OrganizedData[[#This Row],[Order Date]])</f>
        <v>2022</v>
      </c>
      <c r="L1350" s="7" t="str">
        <f>TEXT(OrganizedData[[#This Row],[Order Date]],"mmm")</f>
        <v>Jan</v>
      </c>
      <c r="M1350" s="2">
        <v>7</v>
      </c>
      <c r="N1350" s="2" t="s">
        <v>159</v>
      </c>
      <c r="O1350" s="2" t="str">
        <f>VLOOKUP(OrganizedData[[#This Row],[Product Code]],ProductData[[Code]:[Item]],2,FALSE)</f>
        <v>Ultrathing V3</v>
      </c>
      <c r="P1350" s="4">
        <f>OrganizedData[[#This Row],[Quantity]]*VLOOKUP(OrganizedData[[#This Row],[Product Code]],ProductData[],4,FALSE)</f>
        <v>168</v>
      </c>
      <c r="Q1350" s="6">
        <f>OrganizedData[[#This Row],[Total Items Ordered]]*VLOOKUP(OrganizedData[[#This Row],[Product Code]],ProductData[],3,FALSE)</f>
        <v>569.52</v>
      </c>
      <c r="R13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1351" spans="1:18" x14ac:dyDescent="0.3">
      <c r="A1351" s="2">
        <v>1344</v>
      </c>
      <c r="B1351" s="2" t="s">
        <v>4246</v>
      </c>
      <c r="C1351" s="2" t="s">
        <v>460</v>
      </c>
      <c r="D1351" s="2" t="s">
        <v>51</v>
      </c>
      <c r="E1351" s="2" t="s">
        <v>16</v>
      </c>
      <c r="F1351" s="2">
        <v>30</v>
      </c>
      <c r="G1351" s="2" t="s">
        <v>4245</v>
      </c>
      <c r="H1351" s="2" t="s">
        <v>793</v>
      </c>
      <c r="I1351" s="2" t="s">
        <v>178</v>
      </c>
      <c r="J1351" s="3">
        <v>44325</v>
      </c>
      <c r="K1351" s="5">
        <f>YEAR(OrganizedData[[#This Row],[Order Date]])</f>
        <v>2021</v>
      </c>
      <c r="L1351" s="7" t="str">
        <f>TEXT(OrganizedData[[#This Row],[Order Date]],"mmm")</f>
        <v>May</v>
      </c>
      <c r="M1351" s="2">
        <v>15</v>
      </c>
      <c r="N1351" s="2" t="s">
        <v>54</v>
      </c>
      <c r="O1351" s="2" t="str">
        <f>VLOOKUP(OrganizedData[[#This Row],[Product Code]],ProductData[[Code]:[Item]],2,FALSE)</f>
        <v>Megawidget S</v>
      </c>
      <c r="P1351" s="4">
        <f>OrganizedData[[#This Row],[Quantity]]*VLOOKUP(OrganizedData[[#This Row],[Product Code]],ProductData[],4,FALSE)</f>
        <v>360</v>
      </c>
      <c r="Q1351" s="6">
        <f>OrganizedData[[#This Row],[Total Items Ordered]]*VLOOKUP(OrganizedData[[#This Row],[Product Code]],ProductData[],3,FALSE)</f>
        <v>248.39999999999998</v>
      </c>
      <c r="R13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1352" spans="1:18" x14ac:dyDescent="0.3">
      <c r="A1352" s="2">
        <v>1345</v>
      </c>
      <c r="B1352" s="2" t="s">
        <v>4247</v>
      </c>
      <c r="C1352" s="2" t="s">
        <v>2653</v>
      </c>
      <c r="D1352" s="2" t="s">
        <v>51</v>
      </c>
      <c r="E1352" s="2" t="s">
        <v>16</v>
      </c>
      <c r="F1352" s="2">
        <v>30</v>
      </c>
      <c r="G1352" s="2" t="s">
        <v>4248</v>
      </c>
      <c r="H1352" s="2" t="s">
        <v>3473</v>
      </c>
      <c r="I1352" s="2" t="s">
        <v>1199</v>
      </c>
      <c r="J1352" s="3">
        <v>43988</v>
      </c>
      <c r="K1352" s="5">
        <f>YEAR(OrganizedData[[#This Row],[Order Date]])</f>
        <v>2020</v>
      </c>
      <c r="L1352" s="7" t="str">
        <f>TEXT(OrganizedData[[#This Row],[Order Date]],"mmm")</f>
        <v>Jun</v>
      </c>
      <c r="M1352" s="2">
        <v>46</v>
      </c>
      <c r="N1352" s="2" t="s">
        <v>39</v>
      </c>
      <c r="O1352" s="2" t="str">
        <f>VLOOKUP(OrganizedData[[#This Row],[Product Code]],ProductData[[Code]:[Item]],2,FALSE)</f>
        <v>Ultrathing V1</v>
      </c>
      <c r="P1352" s="4">
        <f>OrganizedData[[#This Row],[Quantity]]*VLOOKUP(OrganizedData[[#This Row],[Product Code]],ProductData[],4,FALSE)</f>
        <v>782</v>
      </c>
      <c r="Q1352" s="6">
        <f>OrganizedData[[#This Row],[Total Items Ordered]]*VLOOKUP(OrganizedData[[#This Row],[Product Code]],ProductData[],3,FALSE)</f>
        <v>1399.78</v>
      </c>
      <c r="R13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1353" spans="1:18" x14ac:dyDescent="0.3">
      <c r="A1353" s="2">
        <v>1346</v>
      </c>
      <c r="B1353" s="2" t="s">
        <v>2849</v>
      </c>
      <c r="C1353" s="2" t="s">
        <v>4191</v>
      </c>
      <c r="D1353" s="2" t="s">
        <v>28</v>
      </c>
      <c r="E1353" s="2" t="s">
        <v>29</v>
      </c>
      <c r="F1353" s="2">
        <v>30</v>
      </c>
      <c r="G1353" s="2" t="s">
        <v>4249</v>
      </c>
      <c r="H1353" s="2" t="s">
        <v>1530</v>
      </c>
      <c r="I1353" s="2" t="s">
        <v>32</v>
      </c>
      <c r="J1353" s="3">
        <v>44740</v>
      </c>
      <c r="K1353" s="5">
        <f>YEAR(OrganizedData[[#This Row],[Order Date]])</f>
        <v>2022</v>
      </c>
      <c r="L1353" s="7" t="str">
        <f>TEXT(OrganizedData[[#This Row],[Order Date]],"mmm")</f>
        <v>Jun</v>
      </c>
      <c r="M1353" s="2">
        <v>87</v>
      </c>
      <c r="N1353" s="2" t="s">
        <v>64</v>
      </c>
      <c r="O1353" s="2" t="str">
        <f>VLOOKUP(OrganizedData[[#This Row],[Product Code]],ProductData[[Code]:[Item]],2,FALSE)</f>
        <v>Ultrathing V4</v>
      </c>
      <c r="P1353" s="4">
        <f>OrganizedData[[#This Row],[Quantity]]*VLOOKUP(OrganizedData[[#This Row],[Product Code]],ProductData[],4,FALSE)</f>
        <v>2088</v>
      </c>
      <c r="Q1353" s="6">
        <f>OrganizedData[[#This Row],[Total Items Ordered]]*VLOOKUP(OrganizedData[[#This Row],[Product Code]],ProductData[],3,FALSE)</f>
        <v>8331.1200000000008</v>
      </c>
      <c r="R13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7914.5640000000003</v>
      </c>
    </row>
    <row r="1354" spans="1:18" x14ac:dyDescent="0.3">
      <c r="A1354" s="2">
        <v>1347</v>
      </c>
      <c r="B1354" s="2" t="s">
        <v>4250</v>
      </c>
      <c r="C1354" s="2" t="s">
        <v>4251</v>
      </c>
      <c r="D1354" s="2" t="s">
        <v>28</v>
      </c>
      <c r="E1354" s="2" t="s">
        <v>29</v>
      </c>
      <c r="F1354" s="2">
        <v>90</v>
      </c>
      <c r="G1354" s="2" t="s">
        <v>4252</v>
      </c>
      <c r="H1354" s="2" t="s">
        <v>526</v>
      </c>
      <c r="I1354" s="2" t="s">
        <v>32</v>
      </c>
      <c r="J1354" s="3">
        <v>44895</v>
      </c>
      <c r="K1354" s="5">
        <f>YEAR(OrganizedData[[#This Row],[Order Date]])</f>
        <v>2022</v>
      </c>
      <c r="L1354" s="7" t="str">
        <f>TEXT(OrganizedData[[#This Row],[Order Date]],"mmm")</f>
        <v>Nov</v>
      </c>
      <c r="M1354" s="2">
        <v>8</v>
      </c>
      <c r="N1354" s="2" t="s">
        <v>20</v>
      </c>
      <c r="O1354" s="2" t="str">
        <f>VLOOKUP(OrganizedData[[#This Row],[Product Code]],ProductData[[Code]:[Item]],2,FALSE)</f>
        <v>Hyperwotsit</v>
      </c>
      <c r="P1354" s="4">
        <f>OrganizedData[[#This Row],[Quantity]]*VLOOKUP(OrganizedData[[#This Row],[Product Code]],ProductData[],4,FALSE)</f>
        <v>160</v>
      </c>
      <c r="Q1354" s="6">
        <f>OrganizedData[[#This Row],[Total Items Ordered]]*VLOOKUP(OrganizedData[[#This Row],[Product Code]],ProductData[],3,FALSE)</f>
        <v>321.59999999999997</v>
      </c>
      <c r="R13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321.59999999999997</v>
      </c>
    </row>
    <row r="1355" spans="1:18" x14ac:dyDescent="0.3">
      <c r="A1355" s="2">
        <v>1348</v>
      </c>
      <c r="B1355" s="2" t="s">
        <v>4253</v>
      </c>
      <c r="C1355" s="2" t="s">
        <v>4254</v>
      </c>
      <c r="D1355" s="2" t="s">
        <v>51</v>
      </c>
      <c r="E1355" s="2" t="s">
        <v>16</v>
      </c>
      <c r="F1355" s="2">
        <v>90</v>
      </c>
      <c r="G1355" s="2" t="s">
        <v>4255</v>
      </c>
      <c r="H1355" s="2" t="s">
        <v>4256</v>
      </c>
      <c r="I1355" s="2" t="s">
        <v>1454</v>
      </c>
      <c r="J1355" s="3">
        <v>43951</v>
      </c>
      <c r="K1355" s="5">
        <f>YEAR(OrganizedData[[#This Row],[Order Date]])</f>
        <v>2020</v>
      </c>
      <c r="L1355" s="7" t="str">
        <f>TEXT(OrganizedData[[#This Row],[Order Date]],"mmm")</f>
        <v>Apr</v>
      </c>
      <c r="M1355" s="2">
        <v>33</v>
      </c>
      <c r="N1355" s="2" t="s">
        <v>20</v>
      </c>
      <c r="O1355" s="2" t="str">
        <f>VLOOKUP(OrganizedData[[#This Row],[Product Code]],ProductData[[Code]:[Item]],2,FALSE)</f>
        <v>Hyperwotsit</v>
      </c>
      <c r="P1355" s="4">
        <f>OrganizedData[[#This Row],[Quantity]]*VLOOKUP(OrganizedData[[#This Row],[Product Code]],ProductData[],4,FALSE)</f>
        <v>660</v>
      </c>
      <c r="Q1355" s="6">
        <f>OrganizedData[[#This Row],[Total Items Ordered]]*VLOOKUP(OrganizedData[[#This Row],[Product Code]],ProductData[],3,FALSE)</f>
        <v>1326.6</v>
      </c>
      <c r="R13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1286.8019999999999</v>
      </c>
    </row>
    <row r="1356" spans="1:18" x14ac:dyDescent="0.3">
      <c r="A1356" s="2">
        <v>1349</v>
      </c>
      <c r="B1356" s="2" t="s">
        <v>4257</v>
      </c>
      <c r="C1356" s="2" t="s">
        <v>4258</v>
      </c>
      <c r="D1356" s="2" t="s">
        <v>28</v>
      </c>
      <c r="E1356" s="2" t="s">
        <v>29</v>
      </c>
      <c r="F1356" s="2">
        <v>90</v>
      </c>
      <c r="G1356" s="2" t="s">
        <v>4259</v>
      </c>
      <c r="H1356" s="2" t="s">
        <v>1482</v>
      </c>
      <c r="I1356" s="2" t="s">
        <v>1483</v>
      </c>
      <c r="J1356" s="3">
        <v>44045</v>
      </c>
      <c r="K1356" s="5">
        <f>YEAR(OrganizedData[[#This Row],[Order Date]])</f>
        <v>2020</v>
      </c>
      <c r="L1356" s="7" t="str">
        <f>TEXT(OrganizedData[[#This Row],[Order Date]],"mmm")</f>
        <v>Aug</v>
      </c>
      <c r="M1356" s="2">
        <v>17</v>
      </c>
      <c r="N1356" s="2" t="s">
        <v>20</v>
      </c>
      <c r="O1356" s="2" t="str">
        <f>VLOOKUP(OrganizedData[[#This Row],[Product Code]],ProductData[[Code]:[Item]],2,FALSE)</f>
        <v>Hyperwotsit</v>
      </c>
      <c r="P1356" s="4">
        <f>OrganizedData[[#This Row],[Quantity]]*VLOOKUP(OrganizedData[[#This Row],[Product Code]],ProductData[],4,FALSE)</f>
        <v>340</v>
      </c>
      <c r="Q1356" s="6">
        <f>OrganizedData[[#This Row],[Total Items Ordered]]*VLOOKUP(OrganizedData[[#This Row],[Product Code]],ProductData[],3,FALSE)</f>
        <v>683.4</v>
      </c>
      <c r="R13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683.4</v>
      </c>
    </row>
    <row r="1357" spans="1:18" x14ac:dyDescent="0.3">
      <c r="A1357" s="2">
        <v>1350</v>
      </c>
      <c r="B1357" s="2" t="s">
        <v>4260</v>
      </c>
      <c r="C1357" s="2" t="s">
        <v>4261</v>
      </c>
      <c r="D1357" s="2" t="s">
        <v>28</v>
      </c>
      <c r="E1357" s="2" t="s">
        <v>29</v>
      </c>
      <c r="F1357" s="2">
        <v>30</v>
      </c>
      <c r="G1357" s="2" t="s">
        <v>4262</v>
      </c>
      <c r="H1357" s="2" t="s">
        <v>1276</v>
      </c>
      <c r="I1357" s="2" t="s">
        <v>32</v>
      </c>
      <c r="J1357" s="3">
        <v>44577</v>
      </c>
      <c r="K1357" s="5">
        <f>YEAR(OrganizedData[[#This Row],[Order Date]])</f>
        <v>2022</v>
      </c>
      <c r="L1357" s="7" t="str">
        <f>TEXT(OrganizedData[[#This Row],[Order Date]],"mmm")</f>
        <v>Jan</v>
      </c>
      <c r="M1357" s="2">
        <v>15</v>
      </c>
      <c r="N1357" s="2" t="s">
        <v>54</v>
      </c>
      <c r="O1357" s="2" t="str">
        <f>VLOOKUP(OrganizedData[[#This Row],[Product Code]],ProductData[[Code]:[Item]],2,FALSE)</f>
        <v>Megawidget S</v>
      </c>
      <c r="P1357" s="4">
        <f>OrganizedData[[#This Row],[Quantity]]*VLOOKUP(OrganizedData[[#This Row],[Product Code]],ProductData[],4,FALSE)</f>
        <v>360</v>
      </c>
      <c r="Q1357" s="6">
        <f>OrganizedData[[#This Row],[Total Items Ordered]]*VLOOKUP(OrganizedData[[#This Row],[Product Code]],ProductData[],3,FALSE)</f>
        <v>248.39999999999998</v>
      </c>
      <c r="R13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1358" spans="1:18" x14ac:dyDescent="0.3">
      <c r="A1358" s="2">
        <v>1351</v>
      </c>
      <c r="B1358" s="2" t="s">
        <v>4263</v>
      </c>
      <c r="C1358" s="2" t="s">
        <v>4264</v>
      </c>
      <c r="D1358" s="2" t="s">
        <v>92</v>
      </c>
      <c r="E1358" s="2" t="s">
        <v>16</v>
      </c>
      <c r="F1358" s="2">
        <v>60</v>
      </c>
      <c r="G1358" s="2" t="s">
        <v>4265</v>
      </c>
      <c r="H1358" s="2" t="s">
        <v>4266</v>
      </c>
      <c r="I1358" s="2" t="s">
        <v>25</v>
      </c>
      <c r="J1358" s="3">
        <v>44252</v>
      </c>
      <c r="K1358" s="5">
        <f>YEAR(OrganizedData[[#This Row],[Order Date]])</f>
        <v>2021</v>
      </c>
      <c r="L1358" s="7" t="str">
        <f>TEXT(OrganizedData[[#This Row],[Order Date]],"mmm")</f>
        <v>Feb</v>
      </c>
      <c r="M1358" s="2">
        <v>80</v>
      </c>
      <c r="N1358" s="2" t="s">
        <v>159</v>
      </c>
      <c r="O1358" s="2" t="str">
        <f>VLOOKUP(OrganizedData[[#This Row],[Product Code]],ProductData[[Code]:[Item]],2,FALSE)</f>
        <v>Ultrathing V3</v>
      </c>
      <c r="P1358" s="4">
        <f>OrganizedData[[#This Row],[Quantity]]*VLOOKUP(OrganizedData[[#This Row],[Product Code]],ProductData[],4,FALSE)</f>
        <v>1920</v>
      </c>
      <c r="Q1358" s="6">
        <f>OrganizedData[[#This Row],[Total Items Ordered]]*VLOOKUP(OrganizedData[[#This Row],[Product Code]],ProductData[],3,FALSE)</f>
        <v>6508.8</v>
      </c>
      <c r="R13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6183.36</v>
      </c>
    </row>
    <row r="1359" spans="1:18" x14ac:dyDescent="0.3">
      <c r="A1359" s="2">
        <v>1352</v>
      </c>
      <c r="B1359" s="2" t="s">
        <v>3065</v>
      </c>
      <c r="C1359" s="2" t="s">
        <v>2019</v>
      </c>
      <c r="D1359" s="2" t="s">
        <v>28</v>
      </c>
      <c r="E1359" s="2" t="s">
        <v>29</v>
      </c>
      <c r="F1359" s="2">
        <v>60</v>
      </c>
      <c r="G1359" s="2" t="s">
        <v>4267</v>
      </c>
      <c r="H1359" s="2" t="s">
        <v>3036</v>
      </c>
      <c r="I1359" s="2" t="s">
        <v>32</v>
      </c>
      <c r="J1359" s="3">
        <v>44006</v>
      </c>
      <c r="K1359" s="5">
        <f>YEAR(OrganizedData[[#This Row],[Order Date]])</f>
        <v>2020</v>
      </c>
      <c r="L1359" s="7" t="str">
        <f>TEXT(OrganizedData[[#This Row],[Order Date]],"mmm")</f>
        <v>Jun</v>
      </c>
      <c r="M1359" s="2">
        <v>15</v>
      </c>
      <c r="N1359" s="2" t="s">
        <v>70</v>
      </c>
      <c r="O1359" s="2" t="str">
        <f>VLOOKUP(OrganizedData[[#This Row],[Product Code]],ProductData[[Code]:[Item]],2,FALSE)</f>
        <v>Megawidget M</v>
      </c>
      <c r="P1359" s="4">
        <f>OrganizedData[[#This Row],[Quantity]]*VLOOKUP(OrganizedData[[#This Row],[Product Code]],ProductData[],4,FALSE)</f>
        <v>360</v>
      </c>
      <c r="Q1359" s="6">
        <f>OrganizedData[[#This Row],[Total Items Ordered]]*VLOOKUP(OrganizedData[[#This Row],[Product Code]],ProductData[],3,FALSE)</f>
        <v>464.40000000000003</v>
      </c>
      <c r="R13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464.40000000000003</v>
      </c>
    </row>
    <row r="1360" spans="1:18" x14ac:dyDescent="0.3">
      <c r="A1360" s="2">
        <v>1353</v>
      </c>
      <c r="B1360" s="2" t="s">
        <v>4268</v>
      </c>
      <c r="C1360" s="2" t="s">
        <v>4269</v>
      </c>
      <c r="D1360" s="2" t="s">
        <v>51</v>
      </c>
      <c r="E1360" s="2" t="s">
        <v>16</v>
      </c>
      <c r="F1360" s="2">
        <v>60</v>
      </c>
      <c r="G1360" s="2" t="s">
        <v>4270</v>
      </c>
      <c r="H1360" s="2" t="s">
        <v>724</v>
      </c>
      <c r="I1360" s="2" t="s">
        <v>240</v>
      </c>
      <c r="J1360" s="3">
        <v>44782</v>
      </c>
      <c r="K1360" s="5">
        <f>YEAR(OrganizedData[[#This Row],[Order Date]])</f>
        <v>2022</v>
      </c>
      <c r="L1360" s="7" t="str">
        <f>TEXT(OrganizedData[[#This Row],[Order Date]],"mmm")</f>
        <v>Aug</v>
      </c>
      <c r="M1360" s="2">
        <v>51</v>
      </c>
      <c r="N1360" s="2" t="s">
        <v>45</v>
      </c>
      <c r="O1360" s="2" t="str">
        <f>VLOOKUP(OrganizedData[[#This Row],[Product Code]],ProductData[[Code]:[Item]],2,FALSE)</f>
        <v>Gigastuff</v>
      </c>
      <c r="P1360" s="4">
        <f>OrganizedData[[#This Row],[Quantity]]*VLOOKUP(OrganizedData[[#This Row],[Product Code]],ProductData[],4,FALSE)</f>
        <v>918</v>
      </c>
      <c r="Q1360" s="6">
        <f>OrganizedData[[#This Row],[Total Items Ordered]]*VLOOKUP(OrganizedData[[#This Row],[Product Code]],ProductData[],3,FALSE)</f>
        <v>1735.02</v>
      </c>
      <c r="R13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1648.269</v>
      </c>
    </row>
    <row r="1361" spans="1:18" x14ac:dyDescent="0.3">
      <c r="A1361" s="2">
        <v>1354</v>
      </c>
      <c r="B1361" s="2" t="s">
        <v>115</v>
      </c>
      <c r="C1361" s="2" t="s">
        <v>131</v>
      </c>
      <c r="D1361" s="2" t="s">
        <v>28</v>
      </c>
      <c r="E1361" s="2" t="s">
        <v>29</v>
      </c>
      <c r="F1361" s="2">
        <v>60</v>
      </c>
      <c r="G1361" s="2" t="s">
        <v>4271</v>
      </c>
      <c r="H1361" s="2" t="s">
        <v>4272</v>
      </c>
      <c r="I1361" s="2" t="s">
        <v>1652</v>
      </c>
      <c r="J1361" s="3">
        <v>44227</v>
      </c>
      <c r="K1361" s="5">
        <f>YEAR(OrganizedData[[#This Row],[Order Date]])</f>
        <v>2021</v>
      </c>
      <c r="L1361" s="7" t="str">
        <f>TEXT(OrganizedData[[#This Row],[Order Date]],"mmm")</f>
        <v>Jan</v>
      </c>
      <c r="M1361" s="2">
        <v>79</v>
      </c>
      <c r="N1361" s="2" t="s">
        <v>33</v>
      </c>
      <c r="O1361" s="2" t="str">
        <f>VLOOKUP(OrganizedData[[#This Row],[Product Code]],ProductData[[Code]:[Item]],2,FALSE)</f>
        <v>Megawidget L</v>
      </c>
      <c r="P1361" s="4">
        <f>OrganizedData[[#This Row],[Quantity]]*VLOOKUP(OrganizedData[[#This Row],[Product Code]],ProductData[],4,FALSE)</f>
        <v>1896</v>
      </c>
      <c r="Q1361" s="6">
        <f>OrganizedData[[#This Row],[Total Items Ordered]]*VLOOKUP(OrganizedData[[#This Row],[Product Code]],ProductData[],3,FALSE)</f>
        <v>3393.84</v>
      </c>
      <c r="R13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3224.1480000000001</v>
      </c>
    </row>
    <row r="1362" spans="1:18" x14ac:dyDescent="0.3">
      <c r="A1362" s="2">
        <v>1355</v>
      </c>
      <c r="B1362" s="2" t="s">
        <v>1165</v>
      </c>
      <c r="C1362" s="2" t="s">
        <v>4273</v>
      </c>
      <c r="D1362" s="2" t="s">
        <v>15</v>
      </c>
      <c r="E1362" s="2" t="s">
        <v>16</v>
      </c>
      <c r="F1362" s="2">
        <v>90</v>
      </c>
      <c r="G1362" s="2" t="s">
        <v>4274</v>
      </c>
      <c r="H1362" s="2" t="s">
        <v>3307</v>
      </c>
      <c r="I1362" s="2" t="s">
        <v>32</v>
      </c>
      <c r="J1362" s="3">
        <v>44525</v>
      </c>
      <c r="K1362" s="5">
        <f>YEAR(OrganizedData[[#This Row],[Order Date]])</f>
        <v>2021</v>
      </c>
      <c r="L1362" s="7" t="str">
        <f>TEXT(OrganizedData[[#This Row],[Order Date]],"mmm")</f>
        <v>Nov</v>
      </c>
      <c r="M1362" s="2">
        <v>23</v>
      </c>
      <c r="N1362" s="2" t="s">
        <v>70</v>
      </c>
      <c r="O1362" s="2" t="str">
        <f>VLOOKUP(OrganizedData[[#This Row],[Product Code]],ProductData[[Code]:[Item]],2,FALSE)</f>
        <v>Megawidget M</v>
      </c>
      <c r="P1362" s="4">
        <f>OrganizedData[[#This Row],[Quantity]]*VLOOKUP(OrganizedData[[#This Row],[Product Code]],ProductData[],4,FALSE)</f>
        <v>552</v>
      </c>
      <c r="Q1362" s="6">
        <f>OrganizedData[[#This Row],[Total Items Ordered]]*VLOOKUP(OrganizedData[[#This Row],[Product Code]],ProductData[],3,FALSE)</f>
        <v>712.08</v>
      </c>
      <c r="R13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1363" spans="1:18" x14ac:dyDescent="0.3">
      <c r="A1363" s="2">
        <v>1356</v>
      </c>
      <c r="B1363" s="2" t="s">
        <v>4275</v>
      </c>
      <c r="C1363" s="2" t="s">
        <v>2874</v>
      </c>
      <c r="D1363" s="2" t="s">
        <v>15</v>
      </c>
      <c r="E1363" s="2" t="s">
        <v>16</v>
      </c>
      <c r="F1363" s="2">
        <v>60</v>
      </c>
      <c r="G1363" s="2" t="s">
        <v>4276</v>
      </c>
      <c r="H1363" s="2" t="s">
        <v>4277</v>
      </c>
      <c r="I1363" s="2" t="s">
        <v>32</v>
      </c>
      <c r="J1363" s="3">
        <v>44926</v>
      </c>
      <c r="K1363" s="5">
        <f>YEAR(OrganizedData[[#This Row],[Order Date]])</f>
        <v>2022</v>
      </c>
      <c r="L1363" s="7" t="str">
        <f>TEXT(OrganizedData[[#This Row],[Order Date]],"mmm")</f>
        <v>Dec</v>
      </c>
      <c r="M1363" s="2">
        <v>94</v>
      </c>
      <c r="N1363" s="2" t="s">
        <v>33</v>
      </c>
      <c r="O1363" s="2" t="str">
        <f>VLOOKUP(OrganizedData[[#This Row],[Product Code]],ProductData[[Code]:[Item]],2,FALSE)</f>
        <v>Megawidget L</v>
      </c>
      <c r="P1363" s="4">
        <f>OrganizedData[[#This Row],[Quantity]]*VLOOKUP(OrganizedData[[#This Row],[Product Code]],ProductData[],4,FALSE)</f>
        <v>2256</v>
      </c>
      <c r="Q1363" s="6">
        <f>OrganizedData[[#This Row],[Total Items Ordered]]*VLOOKUP(OrganizedData[[#This Row],[Product Code]],ProductData[],3,FALSE)</f>
        <v>4038.2400000000002</v>
      </c>
      <c r="R13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3836.328</v>
      </c>
    </row>
    <row r="1364" spans="1:18" x14ac:dyDescent="0.3">
      <c r="A1364" s="2">
        <v>1357</v>
      </c>
      <c r="B1364" s="2" t="s">
        <v>4278</v>
      </c>
      <c r="C1364" s="2" t="s">
        <v>1748</v>
      </c>
      <c r="D1364" s="2" t="s">
        <v>28</v>
      </c>
      <c r="E1364" s="2" t="s">
        <v>29</v>
      </c>
      <c r="F1364" s="2">
        <v>90</v>
      </c>
      <c r="G1364" s="2" t="s">
        <v>4279</v>
      </c>
      <c r="H1364" s="2" t="s">
        <v>938</v>
      </c>
      <c r="I1364" s="2" t="s">
        <v>25</v>
      </c>
      <c r="J1364" s="3">
        <v>44260</v>
      </c>
      <c r="K1364" s="5">
        <f>YEAR(OrganizedData[[#This Row],[Order Date]])</f>
        <v>2021</v>
      </c>
      <c r="L1364" s="7" t="str">
        <f>TEXT(OrganizedData[[#This Row],[Order Date]],"mmm")</f>
        <v>Mar</v>
      </c>
      <c r="M1364" s="2">
        <v>43</v>
      </c>
      <c r="N1364" s="2" t="s">
        <v>64</v>
      </c>
      <c r="O1364" s="2" t="str">
        <f>VLOOKUP(OrganizedData[[#This Row],[Product Code]],ProductData[[Code]:[Item]],2,FALSE)</f>
        <v>Ultrathing V4</v>
      </c>
      <c r="P1364" s="4">
        <f>OrganizedData[[#This Row],[Quantity]]*VLOOKUP(OrganizedData[[#This Row],[Product Code]],ProductData[],4,FALSE)</f>
        <v>1032</v>
      </c>
      <c r="Q1364" s="6">
        <f>OrganizedData[[#This Row],[Total Items Ordered]]*VLOOKUP(OrganizedData[[#This Row],[Product Code]],ProductData[],3,FALSE)</f>
        <v>4117.68</v>
      </c>
      <c r="R13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3994.1496000000002</v>
      </c>
    </row>
    <row r="1365" spans="1:18" x14ac:dyDescent="0.3">
      <c r="A1365" s="2">
        <v>1358</v>
      </c>
      <c r="B1365" s="2" t="s">
        <v>4280</v>
      </c>
      <c r="C1365" s="2" t="s">
        <v>4281</v>
      </c>
      <c r="D1365" s="2" t="s">
        <v>51</v>
      </c>
      <c r="E1365" s="2" t="s">
        <v>16</v>
      </c>
      <c r="F1365" s="2">
        <v>90</v>
      </c>
      <c r="G1365" s="2" t="s">
        <v>4282</v>
      </c>
      <c r="H1365" s="2" t="s">
        <v>4283</v>
      </c>
      <c r="I1365" s="2" t="s">
        <v>178</v>
      </c>
      <c r="J1365" s="3">
        <v>44015</v>
      </c>
      <c r="K1365" s="5">
        <f>YEAR(OrganizedData[[#This Row],[Order Date]])</f>
        <v>2020</v>
      </c>
      <c r="L1365" s="7" t="str">
        <f>TEXT(OrganizedData[[#This Row],[Order Date]],"mmm")</f>
        <v>Jul</v>
      </c>
      <c r="M1365" s="2">
        <v>29</v>
      </c>
      <c r="N1365" s="2" t="s">
        <v>64</v>
      </c>
      <c r="O1365" s="2" t="str">
        <f>VLOOKUP(OrganizedData[[#This Row],[Product Code]],ProductData[[Code]:[Item]],2,FALSE)</f>
        <v>Ultrathing V4</v>
      </c>
      <c r="P1365" s="4">
        <f>OrganizedData[[#This Row],[Quantity]]*VLOOKUP(OrganizedData[[#This Row],[Product Code]],ProductData[],4,FALSE)</f>
        <v>696</v>
      </c>
      <c r="Q1365" s="6">
        <f>OrganizedData[[#This Row],[Total Items Ordered]]*VLOOKUP(OrganizedData[[#This Row],[Product Code]],ProductData[],3,FALSE)</f>
        <v>2777.04</v>
      </c>
      <c r="R13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2693.7287999999999</v>
      </c>
    </row>
    <row r="1366" spans="1:18" x14ac:dyDescent="0.3">
      <c r="A1366" s="2">
        <v>1359</v>
      </c>
      <c r="B1366" s="2" t="s">
        <v>2256</v>
      </c>
      <c r="C1366" s="2" t="s">
        <v>2282</v>
      </c>
      <c r="D1366" s="2" t="s">
        <v>92</v>
      </c>
      <c r="E1366" s="2" t="s">
        <v>29</v>
      </c>
      <c r="F1366" s="2">
        <v>30</v>
      </c>
      <c r="G1366" s="2" t="s">
        <v>4284</v>
      </c>
      <c r="H1366" s="2" t="s">
        <v>4285</v>
      </c>
      <c r="I1366" s="2" t="s">
        <v>124</v>
      </c>
      <c r="J1366" s="3">
        <v>44024</v>
      </c>
      <c r="K1366" s="5">
        <f>YEAR(OrganizedData[[#This Row],[Order Date]])</f>
        <v>2020</v>
      </c>
      <c r="L1366" s="7" t="str">
        <f>TEXT(OrganizedData[[#This Row],[Order Date]],"mmm")</f>
        <v>Jul</v>
      </c>
      <c r="M1366" s="2">
        <v>11</v>
      </c>
      <c r="N1366" s="2" t="s">
        <v>20</v>
      </c>
      <c r="O1366" s="2" t="str">
        <f>VLOOKUP(OrganizedData[[#This Row],[Product Code]],ProductData[[Code]:[Item]],2,FALSE)</f>
        <v>Hyperwotsit</v>
      </c>
      <c r="P1366" s="4">
        <f>OrganizedData[[#This Row],[Quantity]]*VLOOKUP(OrganizedData[[#This Row],[Product Code]],ProductData[],4,FALSE)</f>
        <v>220</v>
      </c>
      <c r="Q1366" s="6">
        <f>OrganizedData[[#This Row],[Total Items Ordered]]*VLOOKUP(OrganizedData[[#This Row],[Product Code]],ProductData[],3,FALSE)</f>
        <v>442.19999999999993</v>
      </c>
      <c r="R13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442.19999999999993</v>
      </c>
    </row>
    <row r="1367" spans="1:18" x14ac:dyDescent="0.3">
      <c r="A1367" s="2">
        <v>1360</v>
      </c>
      <c r="B1367" s="2" t="s">
        <v>4286</v>
      </c>
      <c r="C1367" s="2" t="s">
        <v>4287</v>
      </c>
      <c r="D1367" s="2" t="s">
        <v>28</v>
      </c>
      <c r="E1367" s="2" t="s">
        <v>29</v>
      </c>
      <c r="F1367" s="2">
        <v>60</v>
      </c>
      <c r="G1367" s="2" t="s">
        <v>4288</v>
      </c>
      <c r="H1367" s="2" t="s">
        <v>4289</v>
      </c>
      <c r="I1367" s="2" t="s">
        <v>32</v>
      </c>
      <c r="J1367" s="3">
        <v>44194</v>
      </c>
      <c r="K1367" s="5">
        <f>YEAR(OrganizedData[[#This Row],[Order Date]])</f>
        <v>2020</v>
      </c>
      <c r="L1367" s="7" t="str">
        <f>TEXT(OrganizedData[[#This Row],[Order Date]],"mmm")</f>
        <v>Dec</v>
      </c>
      <c r="M1367" s="2">
        <v>57</v>
      </c>
      <c r="N1367" s="2" t="s">
        <v>70</v>
      </c>
      <c r="O1367" s="2" t="str">
        <f>VLOOKUP(OrganizedData[[#This Row],[Product Code]],ProductData[[Code]:[Item]],2,FALSE)</f>
        <v>Megawidget M</v>
      </c>
      <c r="P1367" s="4">
        <f>OrganizedData[[#This Row],[Quantity]]*VLOOKUP(OrganizedData[[#This Row],[Product Code]],ProductData[],4,FALSE)</f>
        <v>1368</v>
      </c>
      <c r="Q1367" s="6">
        <f>OrganizedData[[#This Row],[Total Items Ordered]]*VLOOKUP(OrganizedData[[#This Row],[Product Code]],ProductData[],3,FALSE)</f>
        <v>1764.72</v>
      </c>
      <c r="R13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1676.4839999999999</v>
      </c>
    </row>
    <row r="1368" spans="1:18" x14ac:dyDescent="0.3">
      <c r="A1368" s="2">
        <v>1361</v>
      </c>
      <c r="B1368" s="2" t="s">
        <v>4290</v>
      </c>
      <c r="C1368" s="2" t="s">
        <v>4291</v>
      </c>
      <c r="D1368" s="2" t="s">
        <v>15</v>
      </c>
      <c r="E1368" s="2" t="s">
        <v>16</v>
      </c>
      <c r="F1368" s="2">
        <v>60</v>
      </c>
      <c r="G1368" s="2" t="s">
        <v>4292</v>
      </c>
      <c r="H1368" s="2" t="s">
        <v>4293</v>
      </c>
      <c r="I1368" s="2" t="s">
        <v>38</v>
      </c>
      <c r="J1368" s="3">
        <v>44699</v>
      </c>
      <c r="K1368" s="5">
        <f>YEAR(OrganizedData[[#This Row],[Order Date]])</f>
        <v>2022</v>
      </c>
      <c r="L1368" s="7" t="str">
        <f>TEXT(OrganizedData[[#This Row],[Order Date]],"mmm")</f>
        <v>May</v>
      </c>
      <c r="M1368" s="2">
        <v>89</v>
      </c>
      <c r="N1368" s="2" t="s">
        <v>39</v>
      </c>
      <c r="O1368" s="2" t="str">
        <f>VLOOKUP(OrganizedData[[#This Row],[Product Code]],ProductData[[Code]:[Item]],2,FALSE)</f>
        <v>Ultrathing V1</v>
      </c>
      <c r="P1368" s="4">
        <f>OrganizedData[[#This Row],[Quantity]]*VLOOKUP(OrganizedData[[#This Row],[Product Code]],ProductData[],4,FALSE)</f>
        <v>1513</v>
      </c>
      <c r="Q1368" s="6">
        <f>OrganizedData[[#This Row],[Total Items Ordered]]*VLOOKUP(OrganizedData[[#This Row],[Product Code]],ProductData[],3,FALSE)</f>
        <v>2708.27</v>
      </c>
      <c r="R13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2572.8564999999999</v>
      </c>
    </row>
    <row r="1369" spans="1:18" x14ac:dyDescent="0.3">
      <c r="A1369" s="2">
        <v>1362</v>
      </c>
      <c r="B1369" s="2" t="s">
        <v>4294</v>
      </c>
      <c r="C1369" s="2" t="s">
        <v>1700</v>
      </c>
      <c r="D1369" s="2" t="s">
        <v>51</v>
      </c>
      <c r="E1369" s="2" t="s">
        <v>16</v>
      </c>
      <c r="F1369" s="2">
        <v>90</v>
      </c>
      <c r="G1369" s="2" t="s">
        <v>4295</v>
      </c>
      <c r="H1369" s="2" t="s">
        <v>363</v>
      </c>
      <c r="I1369" s="2" t="s">
        <v>110</v>
      </c>
      <c r="J1369" s="3">
        <v>44419</v>
      </c>
      <c r="K1369" s="5">
        <f>YEAR(OrganizedData[[#This Row],[Order Date]])</f>
        <v>2021</v>
      </c>
      <c r="L1369" s="7" t="str">
        <f>TEXT(OrganizedData[[#This Row],[Order Date]],"mmm")</f>
        <v>Aug</v>
      </c>
      <c r="M1369" s="2">
        <v>59</v>
      </c>
      <c r="N1369" s="2" t="s">
        <v>45</v>
      </c>
      <c r="O1369" s="2" t="str">
        <f>VLOOKUP(OrganizedData[[#This Row],[Product Code]],ProductData[[Code]:[Item]],2,FALSE)</f>
        <v>Gigastuff</v>
      </c>
      <c r="P1369" s="4">
        <f>OrganizedData[[#This Row],[Quantity]]*VLOOKUP(OrganizedData[[#This Row],[Product Code]],ProductData[],4,FALSE)</f>
        <v>1062</v>
      </c>
      <c r="Q1369" s="6">
        <f>OrganizedData[[#This Row],[Total Items Ordered]]*VLOOKUP(OrganizedData[[#This Row],[Product Code]],ProductData[],3,FALSE)</f>
        <v>2007.1799999999998</v>
      </c>
      <c r="R13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1906.8209999999997</v>
      </c>
    </row>
    <row r="1370" spans="1:18" x14ac:dyDescent="0.3">
      <c r="A1370" s="2">
        <v>1363</v>
      </c>
      <c r="B1370" s="2" t="s">
        <v>4296</v>
      </c>
      <c r="C1370" s="2" t="s">
        <v>4297</v>
      </c>
      <c r="D1370" s="2" t="s">
        <v>28</v>
      </c>
      <c r="E1370" s="2" t="s">
        <v>29</v>
      </c>
      <c r="F1370" s="2">
        <v>90</v>
      </c>
      <c r="G1370" s="2" t="s">
        <v>4298</v>
      </c>
      <c r="H1370" s="2" t="s">
        <v>4299</v>
      </c>
      <c r="I1370" s="2" t="s">
        <v>32</v>
      </c>
      <c r="J1370" s="3">
        <v>44312</v>
      </c>
      <c r="K1370" s="5">
        <f>YEAR(OrganizedData[[#This Row],[Order Date]])</f>
        <v>2021</v>
      </c>
      <c r="L1370" s="7" t="str">
        <f>TEXT(OrganizedData[[#This Row],[Order Date]],"mmm")</f>
        <v>Apr</v>
      </c>
      <c r="M1370" s="2">
        <v>7</v>
      </c>
      <c r="N1370" s="2" t="s">
        <v>54</v>
      </c>
      <c r="O1370" s="2" t="str">
        <f>VLOOKUP(OrganizedData[[#This Row],[Product Code]],ProductData[[Code]:[Item]],2,FALSE)</f>
        <v>Megawidget S</v>
      </c>
      <c r="P1370" s="4">
        <f>OrganizedData[[#This Row],[Quantity]]*VLOOKUP(OrganizedData[[#This Row],[Product Code]],ProductData[],4,FALSE)</f>
        <v>168</v>
      </c>
      <c r="Q1370" s="6">
        <f>OrganizedData[[#This Row],[Total Items Ordered]]*VLOOKUP(OrganizedData[[#This Row],[Product Code]],ProductData[],3,FALSE)</f>
        <v>115.91999999999999</v>
      </c>
      <c r="R13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1371" spans="1:18" x14ac:dyDescent="0.3">
      <c r="A1371" s="2">
        <v>1364</v>
      </c>
      <c r="B1371" s="2" t="s">
        <v>2050</v>
      </c>
      <c r="C1371" s="2" t="s">
        <v>3177</v>
      </c>
      <c r="D1371" s="2" t="s">
        <v>28</v>
      </c>
      <c r="E1371" s="2" t="s">
        <v>29</v>
      </c>
      <c r="F1371" s="2">
        <v>60</v>
      </c>
      <c r="G1371" s="2" t="s">
        <v>4300</v>
      </c>
      <c r="H1371" s="2" t="s">
        <v>3446</v>
      </c>
      <c r="I1371" s="2" t="s">
        <v>32</v>
      </c>
      <c r="J1371" s="3">
        <v>44166</v>
      </c>
      <c r="K1371" s="5">
        <f>YEAR(OrganizedData[[#This Row],[Order Date]])</f>
        <v>2020</v>
      </c>
      <c r="L1371" s="7" t="str">
        <f>TEXT(OrganizedData[[#This Row],[Order Date]],"mmm")</f>
        <v>Dec</v>
      </c>
      <c r="M1371" s="2">
        <v>15</v>
      </c>
      <c r="N1371" s="2" t="s">
        <v>159</v>
      </c>
      <c r="O1371" s="2" t="str">
        <f>VLOOKUP(OrganizedData[[#This Row],[Product Code]],ProductData[[Code]:[Item]],2,FALSE)</f>
        <v>Ultrathing V3</v>
      </c>
      <c r="P1371" s="4">
        <f>OrganizedData[[#This Row],[Quantity]]*VLOOKUP(OrganizedData[[#This Row],[Product Code]],ProductData[],4,FALSE)</f>
        <v>360</v>
      </c>
      <c r="Q1371" s="6">
        <f>OrganizedData[[#This Row],[Total Items Ordered]]*VLOOKUP(OrganizedData[[#This Row],[Product Code]],ProductData[],3,FALSE)</f>
        <v>1220.4000000000001</v>
      </c>
      <c r="R13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1220.4000000000001</v>
      </c>
    </row>
    <row r="1372" spans="1:18" x14ac:dyDescent="0.3">
      <c r="A1372" s="2">
        <v>1365</v>
      </c>
      <c r="B1372" s="2" t="s">
        <v>4301</v>
      </c>
      <c r="C1372" s="2" t="s">
        <v>605</v>
      </c>
      <c r="D1372" s="2" t="s">
        <v>28</v>
      </c>
      <c r="E1372" s="2" t="s">
        <v>29</v>
      </c>
      <c r="F1372" s="2">
        <v>60</v>
      </c>
      <c r="G1372" s="2" t="s">
        <v>4302</v>
      </c>
      <c r="H1372" s="2" t="s">
        <v>2953</v>
      </c>
      <c r="I1372" s="2" t="s">
        <v>124</v>
      </c>
      <c r="J1372" s="3">
        <v>44854</v>
      </c>
      <c r="K1372" s="5">
        <f>YEAR(OrganizedData[[#This Row],[Order Date]])</f>
        <v>2022</v>
      </c>
      <c r="L1372" s="7" t="str">
        <f>TEXT(OrganizedData[[#This Row],[Order Date]],"mmm")</f>
        <v>Oct</v>
      </c>
      <c r="M1372" s="2">
        <v>69</v>
      </c>
      <c r="N1372" s="2" t="s">
        <v>20</v>
      </c>
      <c r="O1372" s="2" t="str">
        <f>VLOOKUP(OrganizedData[[#This Row],[Product Code]],ProductData[[Code]:[Item]],2,FALSE)</f>
        <v>Hyperwotsit</v>
      </c>
      <c r="P1372" s="4">
        <f>OrganizedData[[#This Row],[Quantity]]*VLOOKUP(OrganizedData[[#This Row],[Product Code]],ProductData[],4,FALSE)</f>
        <v>1380</v>
      </c>
      <c r="Q1372" s="6">
        <f>OrganizedData[[#This Row],[Total Items Ordered]]*VLOOKUP(OrganizedData[[#This Row],[Product Code]],ProductData[],3,FALSE)</f>
        <v>2773.7999999999997</v>
      </c>
      <c r="R13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1373" spans="1:18" x14ac:dyDescent="0.3">
      <c r="A1373" s="2">
        <v>1366</v>
      </c>
      <c r="B1373" s="2" t="s">
        <v>4303</v>
      </c>
      <c r="C1373" s="2" t="s">
        <v>841</v>
      </c>
      <c r="D1373" s="2" t="s">
        <v>15</v>
      </c>
      <c r="E1373" s="2" t="s">
        <v>16</v>
      </c>
      <c r="F1373" s="2">
        <v>30</v>
      </c>
      <c r="G1373" s="2" t="s">
        <v>4304</v>
      </c>
      <c r="H1373" s="2" t="s">
        <v>3487</v>
      </c>
      <c r="I1373" s="2" t="s">
        <v>294</v>
      </c>
      <c r="J1373" s="3">
        <v>44590</v>
      </c>
      <c r="K1373" s="5">
        <f>YEAR(OrganizedData[[#This Row],[Order Date]])</f>
        <v>2022</v>
      </c>
      <c r="L1373" s="7" t="str">
        <f>TEXT(OrganizedData[[#This Row],[Order Date]],"mmm")</f>
        <v>Jan</v>
      </c>
      <c r="M1373" s="2">
        <v>98</v>
      </c>
      <c r="N1373" s="2" t="s">
        <v>80</v>
      </c>
      <c r="O1373" s="2" t="str">
        <f>VLOOKUP(OrganizedData[[#This Row],[Product Code]],ProductData[[Code]:[Item]],2,FALSE)</f>
        <v>Ultrathing V2</v>
      </c>
      <c r="P1373" s="4">
        <f>OrganizedData[[#This Row],[Quantity]]*VLOOKUP(OrganizedData[[#This Row],[Product Code]],ProductData[],4,FALSE)</f>
        <v>1960</v>
      </c>
      <c r="Q1373" s="6">
        <f>OrganizedData[[#This Row],[Total Items Ordered]]*VLOOKUP(OrganizedData[[#This Row],[Product Code]],ProductData[],3,FALSE)</f>
        <v>5782</v>
      </c>
      <c r="R13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5492.9</v>
      </c>
    </row>
    <row r="1374" spans="1:18" x14ac:dyDescent="0.3">
      <c r="A1374" s="2">
        <v>1367</v>
      </c>
      <c r="B1374" s="2" t="s">
        <v>657</v>
      </c>
      <c r="C1374" s="2" t="s">
        <v>879</v>
      </c>
      <c r="D1374" s="2" t="s">
        <v>28</v>
      </c>
      <c r="E1374" s="2" t="s">
        <v>29</v>
      </c>
      <c r="F1374" s="2">
        <v>90</v>
      </c>
      <c r="G1374" s="2" t="s">
        <v>4305</v>
      </c>
      <c r="H1374" s="2" t="s">
        <v>4098</v>
      </c>
      <c r="I1374" s="2" t="s">
        <v>1889</v>
      </c>
      <c r="J1374" s="3">
        <v>44611</v>
      </c>
      <c r="K1374" s="5">
        <f>YEAR(OrganizedData[[#This Row],[Order Date]])</f>
        <v>2022</v>
      </c>
      <c r="L1374" s="7" t="str">
        <f>TEXT(OrganizedData[[#This Row],[Order Date]],"mmm")</f>
        <v>Feb</v>
      </c>
      <c r="M1374" s="2">
        <v>63</v>
      </c>
      <c r="N1374" s="2" t="s">
        <v>45</v>
      </c>
      <c r="O1374" s="2" t="str">
        <f>VLOOKUP(OrganizedData[[#This Row],[Product Code]],ProductData[[Code]:[Item]],2,FALSE)</f>
        <v>Gigastuff</v>
      </c>
      <c r="P1374" s="4">
        <f>OrganizedData[[#This Row],[Quantity]]*VLOOKUP(OrganizedData[[#This Row],[Product Code]],ProductData[],4,FALSE)</f>
        <v>1134</v>
      </c>
      <c r="Q1374" s="6">
        <f>OrganizedData[[#This Row],[Total Items Ordered]]*VLOOKUP(OrganizedData[[#This Row],[Product Code]],ProductData[],3,FALSE)</f>
        <v>2143.2599999999998</v>
      </c>
      <c r="R13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2036.0969999999998</v>
      </c>
    </row>
    <row r="1375" spans="1:18" x14ac:dyDescent="0.3">
      <c r="A1375" s="2">
        <v>1368</v>
      </c>
      <c r="B1375" s="2" t="s">
        <v>4306</v>
      </c>
      <c r="C1375" s="2" t="s">
        <v>4307</v>
      </c>
      <c r="D1375" s="2" t="s">
        <v>28</v>
      </c>
      <c r="E1375" s="2" t="s">
        <v>29</v>
      </c>
      <c r="F1375" s="2">
        <v>30</v>
      </c>
      <c r="G1375" s="2" t="s">
        <v>4308</v>
      </c>
      <c r="H1375" s="2" t="s">
        <v>2069</v>
      </c>
      <c r="I1375" s="2" t="s">
        <v>1035</v>
      </c>
      <c r="J1375" s="3">
        <v>44329</v>
      </c>
      <c r="K1375" s="5">
        <f>YEAR(OrganizedData[[#This Row],[Order Date]])</f>
        <v>2021</v>
      </c>
      <c r="L1375" s="7" t="str">
        <f>TEXT(OrganizedData[[#This Row],[Order Date]],"mmm")</f>
        <v>May</v>
      </c>
      <c r="M1375" s="2">
        <v>20</v>
      </c>
      <c r="N1375" s="2" t="s">
        <v>159</v>
      </c>
      <c r="O1375" s="2" t="str">
        <f>VLOOKUP(OrganizedData[[#This Row],[Product Code]],ProductData[[Code]:[Item]],2,FALSE)</f>
        <v>Ultrathing V3</v>
      </c>
      <c r="P1375" s="4">
        <f>OrganizedData[[#This Row],[Quantity]]*VLOOKUP(OrganizedData[[#This Row],[Product Code]],ProductData[],4,FALSE)</f>
        <v>480</v>
      </c>
      <c r="Q1375" s="6">
        <f>OrganizedData[[#This Row],[Total Items Ordered]]*VLOOKUP(OrganizedData[[#This Row],[Product Code]],ProductData[],3,FALSE)</f>
        <v>1627.2</v>
      </c>
      <c r="R13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1627.2</v>
      </c>
    </row>
    <row r="1376" spans="1:18" x14ac:dyDescent="0.3">
      <c r="A1376" s="2">
        <v>1369</v>
      </c>
      <c r="B1376" s="2" t="s">
        <v>4309</v>
      </c>
      <c r="C1376" s="2" t="s">
        <v>3071</v>
      </c>
      <c r="D1376" s="2" t="s">
        <v>41</v>
      </c>
      <c r="E1376" s="2" t="s">
        <v>16</v>
      </c>
      <c r="F1376" s="2">
        <v>60</v>
      </c>
      <c r="G1376" s="2" t="s">
        <v>4310</v>
      </c>
      <c r="H1376" s="2" t="s">
        <v>4311</v>
      </c>
      <c r="I1376" s="2" t="s">
        <v>32</v>
      </c>
      <c r="J1376" s="3">
        <v>44408</v>
      </c>
      <c r="K1376" s="5">
        <f>YEAR(OrganizedData[[#This Row],[Order Date]])</f>
        <v>2021</v>
      </c>
      <c r="L1376" s="7" t="str">
        <f>TEXT(OrganizedData[[#This Row],[Order Date]],"mmm")</f>
        <v>Jul</v>
      </c>
      <c r="M1376" s="2">
        <v>72</v>
      </c>
      <c r="N1376" s="2" t="s">
        <v>101</v>
      </c>
      <c r="O1376" s="2" t="str">
        <f>VLOOKUP(OrganizedData[[#This Row],[Product Code]],ProductData[[Code]:[Item]],2,FALSE)</f>
        <v>Superwossname</v>
      </c>
      <c r="P1376" s="4">
        <f>OrganizedData[[#This Row],[Quantity]]*VLOOKUP(OrganizedData[[#This Row],[Product Code]],ProductData[],4,FALSE)</f>
        <v>1440</v>
      </c>
      <c r="Q1376" s="6">
        <f>OrganizedData[[#This Row],[Total Items Ordered]]*VLOOKUP(OrganizedData[[#This Row],[Product Code]],ProductData[],3,FALSE)</f>
        <v>5025.6000000000004</v>
      </c>
      <c r="R13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1377" spans="1:18" x14ac:dyDescent="0.3">
      <c r="A1377" s="2">
        <v>1370</v>
      </c>
      <c r="B1377" s="2" t="s">
        <v>1849</v>
      </c>
      <c r="C1377" s="2" t="s">
        <v>2915</v>
      </c>
      <c r="D1377" s="2" t="s">
        <v>28</v>
      </c>
      <c r="E1377" s="2" t="s">
        <v>29</v>
      </c>
      <c r="F1377" s="2">
        <v>30</v>
      </c>
      <c r="G1377" s="2" t="s">
        <v>4312</v>
      </c>
      <c r="H1377" s="2" t="s">
        <v>2673</v>
      </c>
      <c r="I1377" s="2" t="s">
        <v>19</v>
      </c>
      <c r="J1377" s="3">
        <v>44841</v>
      </c>
      <c r="K1377" s="5">
        <f>YEAR(OrganizedData[[#This Row],[Order Date]])</f>
        <v>2022</v>
      </c>
      <c r="L1377" s="7" t="str">
        <f>TEXT(OrganizedData[[#This Row],[Order Date]],"mmm")</f>
        <v>Oct</v>
      </c>
      <c r="M1377" s="2">
        <v>83</v>
      </c>
      <c r="N1377" s="2" t="s">
        <v>80</v>
      </c>
      <c r="O1377" s="2" t="str">
        <f>VLOOKUP(OrganizedData[[#This Row],[Product Code]],ProductData[[Code]:[Item]],2,FALSE)</f>
        <v>Ultrathing V2</v>
      </c>
      <c r="P1377" s="4">
        <f>OrganizedData[[#This Row],[Quantity]]*VLOOKUP(OrganizedData[[#This Row],[Product Code]],ProductData[],4,FALSE)</f>
        <v>1660</v>
      </c>
      <c r="Q1377" s="6">
        <f>OrganizedData[[#This Row],[Total Items Ordered]]*VLOOKUP(OrganizedData[[#This Row],[Product Code]],ProductData[],3,FALSE)</f>
        <v>4897</v>
      </c>
      <c r="R13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4652.1499999999996</v>
      </c>
    </row>
    <row r="1378" spans="1:18" x14ac:dyDescent="0.3">
      <c r="A1378" s="2">
        <v>1371</v>
      </c>
      <c r="B1378" s="2" t="s">
        <v>4313</v>
      </c>
      <c r="C1378" s="2" t="s">
        <v>4314</v>
      </c>
      <c r="D1378" s="2" t="s">
        <v>41</v>
      </c>
      <c r="E1378" s="2" t="s">
        <v>16</v>
      </c>
      <c r="F1378" s="2">
        <v>60</v>
      </c>
      <c r="G1378" s="2" t="s">
        <v>4312</v>
      </c>
      <c r="H1378" s="2" t="s">
        <v>2972</v>
      </c>
      <c r="I1378" s="2" t="s">
        <v>32</v>
      </c>
      <c r="J1378" s="3">
        <v>44910</v>
      </c>
      <c r="K1378" s="5">
        <f>YEAR(OrganizedData[[#This Row],[Order Date]])</f>
        <v>2022</v>
      </c>
      <c r="L1378" s="7" t="str">
        <f>TEXT(OrganizedData[[#This Row],[Order Date]],"mmm")</f>
        <v>Dec</v>
      </c>
      <c r="M1378" s="2">
        <v>79</v>
      </c>
      <c r="N1378" s="2" t="s">
        <v>64</v>
      </c>
      <c r="O1378" s="2" t="str">
        <f>VLOOKUP(OrganizedData[[#This Row],[Product Code]],ProductData[[Code]:[Item]],2,FALSE)</f>
        <v>Ultrathing V4</v>
      </c>
      <c r="P1378" s="4">
        <f>OrganizedData[[#This Row],[Quantity]]*VLOOKUP(OrganizedData[[#This Row],[Product Code]],ProductData[],4,FALSE)</f>
        <v>1896</v>
      </c>
      <c r="Q1378" s="6">
        <f>OrganizedData[[#This Row],[Total Items Ordered]]*VLOOKUP(OrganizedData[[#This Row],[Product Code]],ProductData[],3,FALSE)</f>
        <v>7565.04</v>
      </c>
      <c r="R13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1379" spans="1:18" x14ac:dyDescent="0.3">
      <c r="A1379" s="2">
        <v>1372</v>
      </c>
      <c r="B1379" s="2" t="s">
        <v>4315</v>
      </c>
      <c r="C1379" s="2" t="s">
        <v>4316</v>
      </c>
      <c r="D1379" s="2" t="s">
        <v>28</v>
      </c>
      <c r="E1379" s="2" t="s">
        <v>29</v>
      </c>
      <c r="F1379" s="2">
        <v>90</v>
      </c>
      <c r="G1379" s="2" t="s">
        <v>4312</v>
      </c>
      <c r="H1379" s="2" t="s">
        <v>4317</v>
      </c>
      <c r="I1379" s="2" t="s">
        <v>32</v>
      </c>
      <c r="J1379" s="3">
        <v>44605</v>
      </c>
      <c r="K1379" s="5">
        <f>YEAR(OrganizedData[[#This Row],[Order Date]])</f>
        <v>2022</v>
      </c>
      <c r="L1379" s="7" t="str">
        <f>TEXT(OrganizedData[[#This Row],[Order Date]],"mmm")</f>
        <v>Feb</v>
      </c>
      <c r="M1379" s="2">
        <v>8</v>
      </c>
      <c r="N1379" s="2" t="s">
        <v>70</v>
      </c>
      <c r="O1379" s="2" t="str">
        <f>VLOOKUP(OrganizedData[[#This Row],[Product Code]],ProductData[[Code]:[Item]],2,FALSE)</f>
        <v>Megawidget M</v>
      </c>
      <c r="P1379" s="4">
        <f>OrganizedData[[#This Row],[Quantity]]*VLOOKUP(OrganizedData[[#This Row],[Product Code]],ProductData[],4,FALSE)</f>
        <v>192</v>
      </c>
      <c r="Q1379" s="6">
        <f>OrganizedData[[#This Row],[Total Items Ordered]]*VLOOKUP(OrganizedData[[#This Row],[Product Code]],ProductData[],3,FALSE)</f>
        <v>247.68</v>
      </c>
      <c r="R13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247.68</v>
      </c>
    </row>
    <row r="1380" spans="1:18" x14ac:dyDescent="0.3">
      <c r="A1380" s="2">
        <v>1373</v>
      </c>
      <c r="B1380" s="2" t="s">
        <v>4072</v>
      </c>
      <c r="C1380" s="2" t="s">
        <v>4318</v>
      </c>
      <c r="D1380" s="2" t="s">
        <v>28</v>
      </c>
      <c r="E1380" s="2" t="s">
        <v>29</v>
      </c>
      <c r="F1380" s="2">
        <v>90</v>
      </c>
      <c r="G1380" s="2" t="s">
        <v>10486</v>
      </c>
      <c r="H1380" s="2" t="s">
        <v>4320</v>
      </c>
      <c r="I1380" s="2" t="s">
        <v>240</v>
      </c>
      <c r="J1380" s="3">
        <v>44072</v>
      </c>
      <c r="K1380" s="5">
        <f>YEAR(OrganizedData[[#This Row],[Order Date]])</f>
        <v>2020</v>
      </c>
      <c r="L1380" s="7" t="str">
        <f>TEXT(OrganizedData[[#This Row],[Order Date]],"mmm")</f>
        <v>Aug</v>
      </c>
      <c r="M1380" s="2">
        <v>76</v>
      </c>
      <c r="N1380" s="2" t="s">
        <v>39</v>
      </c>
      <c r="O1380" s="2" t="str">
        <f>VLOOKUP(OrganizedData[[#This Row],[Product Code]],ProductData[[Code]:[Item]],2,FALSE)</f>
        <v>Ultrathing V1</v>
      </c>
      <c r="P1380" s="4">
        <f>OrganizedData[[#This Row],[Quantity]]*VLOOKUP(OrganizedData[[#This Row],[Product Code]],ProductData[],4,FALSE)</f>
        <v>1292</v>
      </c>
      <c r="Q1380" s="6">
        <f>OrganizedData[[#This Row],[Total Items Ordered]]*VLOOKUP(OrganizedData[[#This Row],[Product Code]],ProductData[],3,FALSE)</f>
        <v>2312.6799999999998</v>
      </c>
      <c r="R13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1381" spans="1:18" x14ac:dyDescent="0.3">
      <c r="A1381" s="2">
        <v>1374</v>
      </c>
      <c r="B1381" s="2" t="s">
        <v>4321</v>
      </c>
      <c r="C1381" s="2" t="s">
        <v>4322</v>
      </c>
      <c r="D1381" s="2" t="s">
        <v>15</v>
      </c>
      <c r="E1381" s="2" t="s">
        <v>16</v>
      </c>
      <c r="F1381" s="2">
        <v>30</v>
      </c>
      <c r="G1381" s="2" t="s">
        <v>4323</v>
      </c>
      <c r="H1381" s="2" t="s">
        <v>3764</v>
      </c>
      <c r="I1381" s="2" t="s">
        <v>32</v>
      </c>
      <c r="J1381" s="3">
        <v>44485</v>
      </c>
      <c r="K1381" s="5">
        <f>YEAR(OrganizedData[[#This Row],[Order Date]])</f>
        <v>2021</v>
      </c>
      <c r="L1381" s="7" t="str">
        <f>TEXT(OrganizedData[[#This Row],[Order Date]],"mmm")</f>
        <v>Oct</v>
      </c>
      <c r="M1381" s="2">
        <v>84</v>
      </c>
      <c r="N1381" s="2" t="s">
        <v>159</v>
      </c>
      <c r="O1381" s="2" t="str">
        <f>VLOOKUP(OrganizedData[[#This Row],[Product Code]],ProductData[[Code]:[Item]],2,FALSE)</f>
        <v>Ultrathing V3</v>
      </c>
      <c r="P1381" s="4">
        <f>OrganizedData[[#This Row],[Quantity]]*VLOOKUP(OrganizedData[[#This Row],[Product Code]],ProductData[],4,FALSE)</f>
        <v>2016</v>
      </c>
      <c r="Q1381" s="6">
        <f>OrganizedData[[#This Row],[Total Items Ordered]]*VLOOKUP(OrganizedData[[#This Row],[Product Code]],ProductData[],3,FALSE)</f>
        <v>6834.2400000000007</v>
      </c>
      <c r="R13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1382" spans="1:18" x14ac:dyDescent="0.3">
      <c r="A1382" s="2">
        <v>1375</v>
      </c>
      <c r="B1382" s="2" t="s">
        <v>1300</v>
      </c>
      <c r="C1382" s="2" t="s">
        <v>4324</v>
      </c>
      <c r="D1382" s="2" t="s">
        <v>28</v>
      </c>
      <c r="E1382" s="2" t="s">
        <v>29</v>
      </c>
      <c r="F1382" s="2">
        <v>60</v>
      </c>
      <c r="G1382" s="2" t="s">
        <v>4325</v>
      </c>
      <c r="H1382" s="2" t="s">
        <v>4326</v>
      </c>
      <c r="I1382" s="2" t="s">
        <v>1078</v>
      </c>
      <c r="J1382" s="3">
        <v>44006</v>
      </c>
      <c r="K1382" s="5">
        <f>YEAR(OrganizedData[[#This Row],[Order Date]])</f>
        <v>2020</v>
      </c>
      <c r="L1382" s="7" t="str">
        <f>TEXT(OrganizedData[[#This Row],[Order Date]],"mmm")</f>
        <v>Jun</v>
      </c>
      <c r="M1382" s="2">
        <v>78</v>
      </c>
      <c r="N1382" s="2" t="s">
        <v>20</v>
      </c>
      <c r="O1382" s="2" t="str">
        <f>VLOOKUP(OrganizedData[[#This Row],[Product Code]],ProductData[[Code]:[Item]],2,FALSE)</f>
        <v>Hyperwotsit</v>
      </c>
      <c r="P1382" s="4">
        <f>OrganizedData[[#This Row],[Quantity]]*VLOOKUP(OrganizedData[[#This Row],[Product Code]],ProductData[],4,FALSE)</f>
        <v>1560</v>
      </c>
      <c r="Q1382" s="6">
        <f>OrganizedData[[#This Row],[Total Items Ordered]]*VLOOKUP(OrganizedData[[#This Row],[Product Code]],ProductData[],3,FALSE)</f>
        <v>3135.5999999999995</v>
      </c>
      <c r="R13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2978.8199999999993</v>
      </c>
    </row>
    <row r="1383" spans="1:18" x14ac:dyDescent="0.3">
      <c r="A1383" s="2">
        <v>1376</v>
      </c>
      <c r="B1383" s="2" t="s">
        <v>4327</v>
      </c>
      <c r="C1383" s="2" t="s">
        <v>143</v>
      </c>
      <c r="D1383" s="2" t="s">
        <v>51</v>
      </c>
      <c r="E1383" s="2" t="s">
        <v>16</v>
      </c>
      <c r="F1383" s="2">
        <v>60</v>
      </c>
      <c r="G1383" s="2" t="s">
        <v>4328</v>
      </c>
      <c r="H1383" s="2" t="s">
        <v>4046</v>
      </c>
      <c r="I1383" s="2" t="s">
        <v>173</v>
      </c>
      <c r="J1383" s="3">
        <v>44023</v>
      </c>
      <c r="K1383" s="5">
        <f>YEAR(OrganizedData[[#This Row],[Order Date]])</f>
        <v>2020</v>
      </c>
      <c r="L1383" s="7" t="str">
        <f>TEXT(OrganizedData[[#This Row],[Order Date]],"mmm")</f>
        <v>Jul</v>
      </c>
      <c r="M1383" s="2">
        <v>30</v>
      </c>
      <c r="N1383" s="2" t="s">
        <v>80</v>
      </c>
      <c r="O1383" s="2" t="str">
        <f>VLOOKUP(OrganizedData[[#This Row],[Product Code]],ProductData[[Code]:[Item]],2,FALSE)</f>
        <v>Ultrathing V2</v>
      </c>
      <c r="P1383" s="4">
        <f>OrganizedData[[#This Row],[Quantity]]*VLOOKUP(OrganizedData[[#This Row],[Product Code]],ProductData[],4,FALSE)</f>
        <v>600</v>
      </c>
      <c r="Q1383" s="6">
        <f>OrganizedData[[#This Row],[Total Items Ordered]]*VLOOKUP(OrganizedData[[#This Row],[Product Code]],ProductData[],3,FALSE)</f>
        <v>1770</v>
      </c>
      <c r="R13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1716.8999999999999</v>
      </c>
    </row>
    <row r="1384" spans="1:18" x14ac:dyDescent="0.3">
      <c r="A1384" s="2">
        <v>1377</v>
      </c>
      <c r="B1384" s="2" t="s">
        <v>4329</v>
      </c>
      <c r="C1384" s="2" t="s">
        <v>477</v>
      </c>
      <c r="D1384" s="2" t="s">
        <v>28</v>
      </c>
      <c r="E1384" s="2" t="s">
        <v>29</v>
      </c>
      <c r="F1384" s="2">
        <v>60</v>
      </c>
      <c r="G1384" s="2" t="s">
        <v>4328</v>
      </c>
      <c r="H1384" s="2" t="s">
        <v>4330</v>
      </c>
      <c r="I1384" s="2" t="s">
        <v>187</v>
      </c>
      <c r="J1384" s="3">
        <v>44706</v>
      </c>
      <c r="K1384" s="5">
        <f>YEAR(OrganizedData[[#This Row],[Order Date]])</f>
        <v>2022</v>
      </c>
      <c r="L1384" s="7" t="str">
        <f>TEXT(OrganizedData[[#This Row],[Order Date]],"mmm")</f>
        <v>May</v>
      </c>
      <c r="M1384" s="2">
        <v>83</v>
      </c>
      <c r="N1384" s="2" t="s">
        <v>64</v>
      </c>
      <c r="O1384" s="2" t="str">
        <f>VLOOKUP(OrganizedData[[#This Row],[Product Code]],ProductData[[Code]:[Item]],2,FALSE)</f>
        <v>Ultrathing V4</v>
      </c>
      <c r="P1384" s="4">
        <f>OrganizedData[[#This Row],[Quantity]]*VLOOKUP(OrganizedData[[#This Row],[Product Code]],ProductData[],4,FALSE)</f>
        <v>1992</v>
      </c>
      <c r="Q1384" s="6">
        <f>OrganizedData[[#This Row],[Total Items Ordered]]*VLOOKUP(OrganizedData[[#This Row],[Product Code]],ProductData[],3,FALSE)</f>
        <v>7948.0800000000008</v>
      </c>
      <c r="R13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1385" spans="1:18" x14ac:dyDescent="0.3">
      <c r="A1385" s="2">
        <v>1378</v>
      </c>
      <c r="B1385" s="2" t="s">
        <v>4331</v>
      </c>
      <c r="C1385" s="2" t="s">
        <v>2281</v>
      </c>
      <c r="D1385" s="2" t="s">
        <v>15</v>
      </c>
      <c r="E1385" s="2" t="s">
        <v>16</v>
      </c>
      <c r="F1385" s="2">
        <v>60</v>
      </c>
      <c r="G1385" s="2" t="s">
        <v>4332</v>
      </c>
      <c r="H1385" s="2" t="s">
        <v>4203</v>
      </c>
      <c r="I1385" s="2" t="s">
        <v>208</v>
      </c>
      <c r="J1385" s="3">
        <v>44268</v>
      </c>
      <c r="K1385" s="5">
        <f>YEAR(OrganizedData[[#This Row],[Order Date]])</f>
        <v>2021</v>
      </c>
      <c r="L1385" s="7" t="str">
        <f>TEXT(OrganizedData[[#This Row],[Order Date]],"mmm")</f>
        <v>Mar</v>
      </c>
      <c r="M1385" s="2">
        <v>62</v>
      </c>
      <c r="N1385" s="2" t="s">
        <v>70</v>
      </c>
      <c r="O1385" s="2" t="str">
        <f>VLOOKUP(OrganizedData[[#This Row],[Product Code]],ProductData[[Code]:[Item]],2,FALSE)</f>
        <v>Megawidget M</v>
      </c>
      <c r="P1385" s="4">
        <f>OrganizedData[[#This Row],[Quantity]]*VLOOKUP(OrganizedData[[#This Row],[Product Code]],ProductData[],4,FALSE)</f>
        <v>1488</v>
      </c>
      <c r="Q1385" s="6">
        <f>OrganizedData[[#This Row],[Total Items Ordered]]*VLOOKUP(OrganizedData[[#This Row],[Product Code]],ProductData[],3,FALSE)</f>
        <v>1919.52</v>
      </c>
      <c r="R13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1386" spans="1:18" x14ac:dyDescent="0.3">
      <c r="A1386" s="2">
        <v>1379</v>
      </c>
      <c r="B1386" s="2" t="s">
        <v>2549</v>
      </c>
      <c r="C1386" s="2" t="s">
        <v>1058</v>
      </c>
      <c r="D1386" s="2" t="s">
        <v>41</v>
      </c>
      <c r="E1386" s="2" t="s">
        <v>16</v>
      </c>
      <c r="F1386" s="2">
        <v>30</v>
      </c>
      <c r="G1386" s="2" t="s">
        <v>4333</v>
      </c>
      <c r="H1386" s="2" t="s">
        <v>4334</v>
      </c>
      <c r="I1386" s="2" t="s">
        <v>1199</v>
      </c>
      <c r="J1386" s="3">
        <v>44527</v>
      </c>
      <c r="K1386" s="5">
        <f>YEAR(OrganizedData[[#This Row],[Order Date]])</f>
        <v>2021</v>
      </c>
      <c r="L1386" s="7" t="str">
        <f>TEXT(OrganizedData[[#This Row],[Order Date]],"mmm")</f>
        <v>Nov</v>
      </c>
      <c r="M1386" s="2">
        <v>10</v>
      </c>
      <c r="N1386" s="2" t="s">
        <v>20</v>
      </c>
      <c r="O1386" s="2" t="str">
        <f>VLOOKUP(OrganizedData[[#This Row],[Product Code]],ProductData[[Code]:[Item]],2,FALSE)</f>
        <v>Hyperwotsit</v>
      </c>
      <c r="P1386" s="4">
        <f>OrganizedData[[#This Row],[Quantity]]*VLOOKUP(OrganizedData[[#This Row],[Product Code]],ProductData[],4,FALSE)</f>
        <v>200</v>
      </c>
      <c r="Q1386" s="6">
        <f>OrganizedData[[#This Row],[Total Items Ordered]]*VLOOKUP(OrganizedData[[#This Row],[Product Code]],ProductData[],3,FALSE)</f>
        <v>401.99999999999994</v>
      </c>
      <c r="R13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401.99999999999994</v>
      </c>
    </row>
    <row r="1387" spans="1:18" x14ac:dyDescent="0.3">
      <c r="A1387" s="2">
        <v>1380</v>
      </c>
      <c r="B1387" s="2" t="s">
        <v>4335</v>
      </c>
      <c r="C1387" s="2" t="s">
        <v>1546</v>
      </c>
      <c r="D1387" s="2" t="s">
        <v>15</v>
      </c>
      <c r="E1387" s="2" t="s">
        <v>16</v>
      </c>
      <c r="F1387" s="2">
        <v>60</v>
      </c>
      <c r="G1387" s="2" t="s">
        <v>4336</v>
      </c>
      <c r="H1387" s="2" t="s">
        <v>4337</v>
      </c>
      <c r="I1387" s="2" t="s">
        <v>25</v>
      </c>
      <c r="J1387" s="3">
        <v>44085</v>
      </c>
      <c r="K1387" s="5">
        <f>YEAR(OrganizedData[[#This Row],[Order Date]])</f>
        <v>2020</v>
      </c>
      <c r="L1387" s="7" t="str">
        <f>TEXT(OrganizedData[[#This Row],[Order Date]],"mmm")</f>
        <v>Sep</v>
      </c>
      <c r="M1387" s="2">
        <v>14</v>
      </c>
      <c r="N1387" s="2" t="s">
        <v>54</v>
      </c>
      <c r="O1387" s="2" t="str">
        <f>VLOOKUP(OrganizedData[[#This Row],[Product Code]],ProductData[[Code]:[Item]],2,FALSE)</f>
        <v>Megawidget S</v>
      </c>
      <c r="P1387" s="4">
        <f>OrganizedData[[#This Row],[Quantity]]*VLOOKUP(OrganizedData[[#This Row],[Product Code]],ProductData[],4,FALSE)</f>
        <v>336</v>
      </c>
      <c r="Q1387" s="6">
        <f>OrganizedData[[#This Row],[Total Items Ordered]]*VLOOKUP(OrganizedData[[#This Row],[Product Code]],ProductData[],3,FALSE)</f>
        <v>231.83999999999997</v>
      </c>
      <c r="R13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231.83999999999997</v>
      </c>
    </row>
    <row r="1388" spans="1:18" x14ac:dyDescent="0.3">
      <c r="A1388" s="2">
        <v>1381</v>
      </c>
      <c r="B1388" s="2" t="s">
        <v>3335</v>
      </c>
      <c r="C1388" s="2" t="s">
        <v>1656</v>
      </c>
      <c r="D1388" s="2" t="s">
        <v>28</v>
      </c>
      <c r="E1388" s="2" t="s">
        <v>29</v>
      </c>
      <c r="F1388" s="2">
        <v>30</v>
      </c>
      <c r="G1388" s="2" t="s">
        <v>4338</v>
      </c>
      <c r="H1388" s="2" t="s">
        <v>217</v>
      </c>
      <c r="I1388" s="2" t="s">
        <v>124</v>
      </c>
      <c r="J1388" s="3">
        <v>44625</v>
      </c>
      <c r="K1388" s="5">
        <f>YEAR(OrganizedData[[#This Row],[Order Date]])</f>
        <v>2022</v>
      </c>
      <c r="L1388" s="7" t="str">
        <f>TEXT(OrganizedData[[#This Row],[Order Date]],"mmm")</f>
        <v>Mar</v>
      </c>
      <c r="M1388" s="2">
        <v>99</v>
      </c>
      <c r="N1388" s="2" t="s">
        <v>101</v>
      </c>
      <c r="O1388" s="2" t="str">
        <f>VLOOKUP(OrganizedData[[#This Row],[Product Code]],ProductData[[Code]:[Item]],2,FALSE)</f>
        <v>Superwossname</v>
      </c>
      <c r="P1388" s="4">
        <f>OrganizedData[[#This Row],[Quantity]]*VLOOKUP(OrganizedData[[#This Row],[Product Code]],ProductData[],4,FALSE)</f>
        <v>1980</v>
      </c>
      <c r="Q1388" s="6">
        <f>OrganizedData[[#This Row],[Total Items Ordered]]*VLOOKUP(OrganizedData[[#This Row],[Product Code]],ProductData[],3,FALSE)</f>
        <v>6910.2000000000007</v>
      </c>
      <c r="R13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6564.6900000000005</v>
      </c>
    </row>
    <row r="1389" spans="1:18" x14ac:dyDescent="0.3">
      <c r="A1389" s="2">
        <v>1382</v>
      </c>
      <c r="B1389" s="2" t="s">
        <v>4339</v>
      </c>
      <c r="C1389" s="2" t="s">
        <v>4340</v>
      </c>
      <c r="D1389" s="2" t="s">
        <v>15</v>
      </c>
      <c r="E1389" s="2" t="s">
        <v>16</v>
      </c>
      <c r="F1389" s="2">
        <v>30</v>
      </c>
      <c r="G1389" s="2" t="s">
        <v>4341</v>
      </c>
      <c r="H1389" s="2" t="s">
        <v>2498</v>
      </c>
      <c r="I1389" s="2" t="s">
        <v>913</v>
      </c>
      <c r="J1389" s="3">
        <v>44047</v>
      </c>
      <c r="K1389" s="5">
        <f>YEAR(OrganizedData[[#This Row],[Order Date]])</f>
        <v>2020</v>
      </c>
      <c r="L1389" s="7" t="str">
        <f>TEXT(OrganizedData[[#This Row],[Order Date]],"mmm")</f>
        <v>Aug</v>
      </c>
      <c r="M1389" s="2">
        <v>60</v>
      </c>
      <c r="N1389" s="2" t="s">
        <v>20</v>
      </c>
      <c r="O1389" s="2" t="str">
        <f>VLOOKUP(OrganizedData[[#This Row],[Product Code]],ProductData[[Code]:[Item]],2,FALSE)</f>
        <v>Hyperwotsit</v>
      </c>
      <c r="P1389" s="4">
        <f>OrganizedData[[#This Row],[Quantity]]*VLOOKUP(OrganizedData[[#This Row],[Product Code]],ProductData[],4,FALSE)</f>
        <v>1200</v>
      </c>
      <c r="Q1389" s="6">
        <f>OrganizedData[[#This Row],[Total Items Ordered]]*VLOOKUP(OrganizedData[[#This Row],[Product Code]],ProductData[],3,FALSE)</f>
        <v>2411.9999999999995</v>
      </c>
      <c r="R13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1390" spans="1:18" x14ac:dyDescent="0.3">
      <c r="A1390" s="2">
        <v>1383</v>
      </c>
      <c r="B1390" s="2" t="s">
        <v>1946</v>
      </c>
      <c r="C1390" s="2" t="s">
        <v>4342</v>
      </c>
      <c r="D1390" s="2" t="s">
        <v>28</v>
      </c>
      <c r="E1390" s="2" t="s">
        <v>29</v>
      </c>
      <c r="F1390" s="2">
        <v>30</v>
      </c>
      <c r="G1390" s="2" t="s">
        <v>4343</v>
      </c>
      <c r="H1390" s="2" t="s">
        <v>570</v>
      </c>
      <c r="I1390" s="2" t="s">
        <v>187</v>
      </c>
      <c r="J1390" s="3">
        <v>44137</v>
      </c>
      <c r="K1390" s="5">
        <f>YEAR(OrganizedData[[#This Row],[Order Date]])</f>
        <v>2020</v>
      </c>
      <c r="L1390" s="7" t="str">
        <f>TEXT(OrganizedData[[#This Row],[Order Date]],"mmm")</f>
        <v>Nov</v>
      </c>
      <c r="M1390" s="2">
        <v>28</v>
      </c>
      <c r="N1390" s="2" t="s">
        <v>45</v>
      </c>
      <c r="O1390" s="2" t="str">
        <f>VLOOKUP(OrganizedData[[#This Row],[Product Code]],ProductData[[Code]:[Item]],2,FALSE)</f>
        <v>Gigastuff</v>
      </c>
      <c r="P1390" s="4">
        <f>OrganizedData[[#This Row],[Quantity]]*VLOOKUP(OrganizedData[[#This Row],[Product Code]],ProductData[],4,FALSE)</f>
        <v>504</v>
      </c>
      <c r="Q1390" s="6">
        <f>OrganizedData[[#This Row],[Total Items Ordered]]*VLOOKUP(OrganizedData[[#This Row],[Product Code]],ProductData[],3,FALSE)</f>
        <v>952.56</v>
      </c>
      <c r="R13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923.9831999999999</v>
      </c>
    </row>
    <row r="1391" spans="1:18" x14ac:dyDescent="0.3">
      <c r="A1391" s="2">
        <v>1384</v>
      </c>
      <c r="B1391" s="2" t="s">
        <v>1550</v>
      </c>
      <c r="C1391" s="2" t="s">
        <v>2276</v>
      </c>
      <c r="D1391" s="2" t="s">
        <v>28</v>
      </c>
      <c r="E1391" s="2" t="s">
        <v>29</v>
      </c>
      <c r="F1391" s="2">
        <v>90</v>
      </c>
      <c r="G1391" s="2" t="s">
        <v>4344</v>
      </c>
      <c r="H1391" s="2" t="s">
        <v>2917</v>
      </c>
      <c r="I1391" s="2" t="s">
        <v>95</v>
      </c>
      <c r="J1391" s="3">
        <v>44345</v>
      </c>
      <c r="K1391" s="5">
        <f>YEAR(OrganizedData[[#This Row],[Order Date]])</f>
        <v>2021</v>
      </c>
      <c r="L1391" s="7" t="str">
        <f>TEXT(OrganizedData[[#This Row],[Order Date]],"mmm")</f>
        <v>May</v>
      </c>
      <c r="M1391" s="2">
        <v>76</v>
      </c>
      <c r="N1391" s="2" t="s">
        <v>64</v>
      </c>
      <c r="O1391" s="2" t="str">
        <f>VLOOKUP(OrganizedData[[#This Row],[Product Code]],ProductData[[Code]:[Item]],2,FALSE)</f>
        <v>Ultrathing V4</v>
      </c>
      <c r="P1391" s="4">
        <f>OrganizedData[[#This Row],[Quantity]]*VLOOKUP(OrganizedData[[#This Row],[Product Code]],ProductData[],4,FALSE)</f>
        <v>1824</v>
      </c>
      <c r="Q1391" s="6">
        <f>OrganizedData[[#This Row],[Total Items Ordered]]*VLOOKUP(OrganizedData[[#This Row],[Product Code]],ProductData[],3,FALSE)</f>
        <v>7277.76</v>
      </c>
      <c r="R13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1392" spans="1:18" x14ac:dyDescent="0.3">
      <c r="A1392" s="2">
        <v>1385</v>
      </c>
      <c r="B1392" s="2" t="s">
        <v>4345</v>
      </c>
      <c r="C1392" s="2" t="s">
        <v>1121</v>
      </c>
      <c r="D1392" s="2" t="s">
        <v>51</v>
      </c>
      <c r="E1392" s="2" t="s">
        <v>16</v>
      </c>
      <c r="F1392" s="2">
        <v>90</v>
      </c>
      <c r="G1392" s="2" t="s">
        <v>4346</v>
      </c>
      <c r="H1392" s="2" t="s">
        <v>3870</v>
      </c>
      <c r="I1392" s="2" t="s">
        <v>124</v>
      </c>
      <c r="J1392" s="3">
        <v>44151</v>
      </c>
      <c r="K1392" s="5">
        <f>YEAR(OrganizedData[[#This Row],[Order Date]])</f>
        <v>2020</v>
      </c>
      <c r="L1392" s="7" t="str">
        <f>TEXT(OrganizedData[[#This Row],[Order Date]],"mmm")</f>
        <v>Nov</v>
      </c>
      <c r="M1392" s="2">
        <v>51</v>
      </c>
      <c r="N1392" s="2" t="s">
        <v>80</v>
      </c>
      <c r="O1392" s="2" t="str">
        <f>VLOOKUP(OrganizedData[[#This Row],[Product Code]],ProductData[[Code]:[Item]],2,FALSE)</f>
        <v>Ultrathing V2</v>
      </c>
      <c r="P1392" s="4">
        <f>OrganizedData[[#This Row],[Quantity]]*VLOOKUP(OrganizedData[[#This Row],[Product Code]],ProductData[],4,FALSE)</f>
        <v>1020</v>
      </c>
      <c r="Q1392" s="6">
        <f>OrganizedData[[#This Row],[Total Items Ordered]]*VLOOKUP(OrganizedData[[#This Row],[Product Code]],ProductData[],3,FALSE)</f>
        <v>3009</v>
      </c>
      <c r="R13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1393" spans="1:18" x14ac:dyDescent="0.3">
      <c r="A1393" s="2">
        <v>1386</v>
      </c>
      <c r="B1393" s="2" t="s">
        <v>4347</v>
      </c>
      <c r="C1393" s="2" t="s">
        <v>2198</v>
      </c>
      <c r="D1393" s="2" t="s">
        <v>41</v>
      </c>
      <c r="E1393" s="2" t="s">
        <v>16</v>
      </c>
      <c r="F1393" s="2">
        <v>30</v>
      </c>
      <c r="G1393" s="2" t="s">
        <v>4348</v>
      </c>
      <c r="H1393" s="2" t="s">
        <v>319</v>
      </c>
      <c r="I1393" s="2" t="s">
        <v>208</v>
      </c>
      <c r="J1393" s="3">
        <v>44886</v>
      </c>
      <c r="K1393" s="5">
        <f>YEAR(OrganizedData[[#This Row],[Order Date]])</f>
        <v>2022</v>
      </c>
      <c r="L1393" s="7" t="str">
        <f>TEXT(OrganizedData[[#This Row],[Order Date]],"mmm")</f>
        <v>Nov</v>
      </c>
      <c r="M1393" s="2">
        <v>67</v>
      </c>
      <c r="N1393" s="2" t="s">
        <v>54</v>
      </c>
      <c r="O1393" s="2" t="str">
        <f>VLOOKUP(OrganizedData[[#This Row],[Product Code]],ProductData[[Code]:[Item]],2,FALSE)</f>
        <v>Megawidget S</v>
      </c>
      <c r="P1393" s="4">
        <f>OrganizedData[[#This Row],[Quantity]]*VLOOKUP(OrganizedData[[#This Row],[Product Code]],ProductData[],4,FALSE)</f>
        <v>1608</v>
      </c>
      <c r="Q1393" s="6">
        <f>OrganizedData[[#This Row],[Total Items Ordered]]*VLOOKUP(OrganizedData[[#This Row],[Product Code]],ProductData[],3,FALSE)</f>
        <v>1109.52</v>
      </c>
      <c r="R13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1394" spans="1:18" x14ac:dyDescent="0.3">
      <c r="A1394" s="2">
        <v>1387</v>
      </c>
      <c r="B1394" s="2" t="s">
        <v>4349</v>
      </c>
      <c r="C1394" s="2" t="s">
        <v>2928</v>
      </c>
      <c r="D1394" s="2" t="s">
        <v>15</v>
      </c>
      <c r="E1394" s="2" t="s">
        <v>16</v>
      </c>
      <c r="F1394" s="2">
        <v>30</v>
      </c>
      <c r="G1394" s="2" t="s">
        <v>4350</v>
      </c>
      <c r="H1394" s="2" t="s">
        <v>510</v>
      </c>
      <c r="I1394" s="2" t="s">
        <v>32</v>
      </c>
      <c r="J1394" s="3">
        <v>44031</v>
      </c>
      <c r="K1394" s="5">
        <f>YEAR(OrganizedData[[#This Row],[Order Date]])</f>
        <v>2020</v>
      </c>
      <c r="L1394" s="7" t="str">
        <f>TEXT(OrganizedData[[#This Row],[Order Date]],"mmm")</f>
        <v>Jul</v>
      </c>
      <c r="M1394" s="2">
        <v>61</v>
      </c>
      <c r="N1394" s="2" t="s">
        <v>80</v>
      </c>
      <c r="O1394" s="2" t="str">
        <f>VLOOKUP(OrganizedData[[#This Row],[Product Code]],ProductData[[Code]:[Item]],2,FALSE)</f>
        <v>Ultrathing V2</v>
      </c>
      <c r="P1394" s="4">
        <f>OrganizedData[[#This Row],[Quantity]]*VLOOKUP(OrganizedData[[#This Row],[Product Code]],ProductData[],4,FALSE)</f>
        <v>1220</v>
      </c>
      <c r="Q1394" s="6">
        <f>OrganizedData[[#This Row],[Total Items Ordered]]*VLOOKUP(OrganizedData[[#This Row],[Product Code]],ProductData[],3,FALSE)</f>
        <v>3599</v>
      </c>
      <c r="R13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3419.0499999999997</v>
      </c>
    </row>
    <row r="1395" spans="1:18" x14ac:dyDescent="0.3">
      <c r="A1395" s="2">
        <v>1388</v>
      </c>
      <c r="B1395" s="2" t="s">
        <v>4351</v>
      </c>
      <c r="C1395" s="2" t="s">
        <v>4352</v>
      </c>
      <c r="D1395" s="2" t="s">
        <v>15</v>
      </c>
      <c r="E1395" s="2" t="s">
        <v>16</v>
      </c>
      <c r="F1395" s="2">
        <v>60</v>
      </c>
      <c r="G1395" s="2" t="s">
        <v>10487</v>
      </c>
      <c r="H1395" s="2" t="s">
        <v>928</v>
      </c>
      <c r="I1395" s="2" t="s">
        <v>38</v>
      </c>
      <c r="J1395" s="3">
        <v>44063</v>
      </c>
      <c r="K1395" s="5">
        <f>YEAR(OrganizedData[[#This Row],[Order Date]])</f>
        <v>2020</v>
      </c>
      <c r="L1395" s="7" t="str">
        <f>TEXT(OrganizedData[[#This Row],[Order Date]],"mmm")</f>
        <v>Aug</v>
      </c>
      <c r="M1395" s="2">
        <v>29</v>
      </c>
      <c r="N1395" s="2" t="s">
        <v>54</v>
      </c>
      <c r="O1395" s="2" t="str">
        <f>VLOOKUP(OrganizedData[[#This Row],[Product Code]],ProductData[[Code]:[Item]],2,FALSE)</f>
        <v>Megawidget S</v>
      </c>
      <c r="P1395" s="4">
        <f>OrganizedData[[#This Row],[Quantity]]*VLOOKUP(OrganizedData[[#This Row],[Product Code]],ProductData[],4,FALSE)</f>
        <v>696</v>
      </c>
      <c r="Q1395" s="6">
        <f>OrganizedData[[#This Row],[Total Items Ordered]]*VLOOKUP(OrganizedData[[#This Row],[Product Code]],ProductData[],3,FALSE)</f>
        <v>480.23999999999995</v>
      </c>
      <c r="R13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1396" spans="1:18" x14ac:dyDescent="0.3">
      <c r="A1396" s="2">
        <v>1389</v>
      </c>
      <c r="B1396" s="2" t="s">
        <v>1886</v>
      </c>
      <c r="C1396" s="2" t="s">
        <v>4356</v>
      </c>
      <c r="D1396" s="2" t="s">
        <v>51</v>
      </c>
      <c r="E1396" s="2" t="s">
        <v>16</v>
      </c>
      <c r="F1396" s="2">
        <v>60</v>
      </c>
      <c r="G1396" s="2" t="s">
        <v>4357</v>
      </c>
      <c r="H1396" s="2" t="s">
        <v>4358</v>
      </c>
      <c r="I1396" s="2" t="s">
        <v>146</v>
      </c>
      <c r="J1396" s="3">
        <v>44910</v>
      </c>
      <c r="K1396" s="5">
        <f>YEAR(OrganizedData[[#This Row],[Order Date]])</f>
        <v>2022</v>
      </c>
      <c r="L1396" s="7" t="str">
        <f>TEXT(OrganizedData[[#This Row],[Order Date]],"mmm")</f>
        <v>Dec</v>
      </c>
      <c r="M1396" s="2">
        <v>71</v>
      </c>
      <c r="N1396" s="2" t="s">
        <v>39</v>
      </c>
      <c r="O1396" s="2" t="str">
        <f>VLOOKUP(OrganizedData[[#This Row],[Product Code]],ProductData[[Code]:[Item]],2,FALSE)</f>
        <v>Ultrathing V1</v>
      </c>
      <c r="P1396" s="4">
        <f>OrganizedData[[#This Row],[Quantity]]*VLOOKUP(OrganizedData[[#This Row],[Product Code]],ProductData[],4,FALSE)</f>
        <v>1207</v>
      </c>
      <c r="Q1396" s="6">
        <f>OrganizedData[[#This Row],[Total Items Ordered]]*VLOOKUP(OrganizedData[[#This Row],[Product Code]],ProductData[],3,FALSE)</f>
        <v>2160.5300000000002</v>
      </c>
      <c r="R13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2052.5035000000003</v>
      </c>
    </row>
    <row r="1397" spans="1:18" x14ac:dyDescent="0.3">
      <c r="A1397" s="2">
        <v>1390</v>
      </c>
      <c r="B1397" s="2" t="s">
        <v>4359</v>
      </c>
      <c r="C1397" s="2" t="s">
        <v>376</v>
      </c>
      <c r="D1397" s="2" t="s">
        <v>28</v>
      </c>
      <c r="E1397" s="2" t="s">
        <v>29</v>
      </c>
      <c r="F1397" s="2">
        <v>90</v>
      </c>
      <c r="G1397" s="2" t="s">
        <v>4360</v>
      </c>
      <c r="H1397" s="2" t="s">
        <v>4361</v>
      </c>
      <c r="I1397" s="2" t="s">
        <v>4362</v>
      </c>
      <c r="J1397" s="3">
        <v>44460</v>
      </c>
      <c r="K1397" s="5">
        <f>YEAR(OrganizedData[[#This Row],[Order Date]])</f>
        <v>2021</v>
      </c>
      <c r="L1397" s="7" t="str">
        <f>TEXT(OrganizedData[[#This Row],[Order Date]],"mmm")</f>
        <v>Sep</v>
      </c>
      <c r="M1397" s="2">
        <v>85</v>
      </c>
      <c r="N1397" s="2" t="s">
        <v>54</v>
      </c>
      <c r="O1397" s="2" t="str">
        <f>VLOOKUP(OrganizedData[[#This Row],[Product Code]],ProductData[[Code]:[Item]],2,FALSE)</f>
        <v>Megawidget S</v>
      </c>
      <c r="P1397" s="4">
        <f>OrganizedData[[#This Row],[Quantity]]*VLOOKUP(OrganizedData[[#This Row],[Product Code]],ProductData[],4,FALSE)</f>
        <v>2040</v>
      </c>
      <c r="Q1397" s="6">
        <f>OrganizedData[[#This Row],[Total Items Ordered]]*VLOOKUP(OrganizedData[[#This Row],[Product Code]],ProductData[],3,FALSE)</f>
        <v>1407.6</v>
      </c>
      <c r="R13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1398" spans="1:18" x14ac:dyDescent="0.3">
      <c r="A1398" s="2">
        <v>1391</v>
      </c>
      <c r="B1398" s="2" t="s">
        <v>4363</v>
      </c>
      <c r="C1398" s="2" t="s">
        <v>2188</v>
      </c>
      <c r="D1398" s="2" t="s">
        <v>28</v>
      </c>
      <c r="E1398" s="2" t="s">
        <v>29</v>
      </c>
      <c r="F1398" s="2">
        <v>60</v>
      </c>
      <c r="G1398" s="2" t="s">
        <v>4364</v>
      </c>
      <c r="H1398" s="2" t="s">
        <v>2875</v>
      </c>
      <c r="I1398" s="2" t="s">
        <v>32</v>
      </c>
      <c r="J1398" s="3">
        <v>44787</v>
      </c>
      <c r="K1398" s="5">
        <f>YEAR(OrganizedData[[#This Row],[Order Date]])</f>
        <v>2022</v>
      </c>
      <c r="L1398" s="7" t="str">
        <f>TEXT(OrganizedData[[#This Row],[Order Date]],"mmm")</f>
        <v>Aug</v>
      </c>
      <c r="M1398" s="2">
        <v>105</v>
      </c>
      <c r="N1398" s="2" t="s">
        <v>45</v>
      </c>
      <c r="O1398" s="2" t="str">
        <f>VLOOKUP(OrganizedData[[#This Row],[Product Code]],ProductData[[Code]:[Item]],2,FALSE)</f>
        <v>Gigastuff</v>
      </c>
      <c r="P1398" s="4">
        <f>OrganizedData[[#This Row],[Quantity]]*VLOOKUP(OrganizedData[[#This Row],[Product Code]],ProductData[],4,FALSE)</f>
        <v>1890</v>
      </c>
      <c r="Q1398" s="6">
        <f>OrganizedData[[#This Row],[Total Items Ordered]]*VLOOKUP(OrganizedData[[#This Row],[Product Code]],ProductData[],3,FALSE)</f>
        <v>3572.1</v>
      </c>
      <c r="R13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3322.0529999999999</v>
      </c>
    </row>
    <row r="1399" spans="1:18" x14ac:dyDescent="0.3">
      <c r="A1399" s="2">
        <v>1392</v>
      </c>
      <c r="B1399" s="2" t="s">
        <v>4365</v>
      </c>
      <c r="C1399" s="2" t="s">
        <v>4366</v>
      </c>
      <c r="D1399" s="2" t="s">
        <v>28</v>
      </c>
      <c r="E1399" s="2" t="s">
        <v>29</v>
      </c>
      <c r="F1399" s="2">
        <v>90</v>
      </c>
      <c r="G1399" s="2" t="s">
        <v>4367</v>
      </c>
      <c r="H1399" s="2" t="s">
        <v>1362</v>
      </c>
      <c r="I1399" s="2" t="s">
        <v>178</v>
      </c>
      <c r="J1399" s="3">
        <v>44801</v>
      </c>
      <c r="K1399" s="5">
        <f>YEAR(OrganizedData[[#This Row],[Order Date]])</f>
        <v>2022</v>
      </c>
      <c r="L1399" s="7" t="str">
        <f>TEXT(OrganizedData[[#This Row],[Order Date]],"mmm")</f>
        <v>Aug</v>
      </c>
      <c r="M1399" s="2">
        <v>93</v>
      </c>
      <c r="N1399" s="2" t="s">
        <v>80</v>
      </c>
      <c r="O1399" s="2" t="str">
        <f>VLOOKUP(OrganizedData[[#This Row],[Product Code]],ProductData[[Code]:[Item]],2,FALSE)</f>
        <v>Ultrathing V2</v>
      </c>
      <c r="P1399" s="4">
        <f>OrganizedData[[#This Row],[Quantity]]*VLOOKUP(OrganizedData[[#This Row],[Product Code]],ProductData[],4,FALSE)</f>
        <v>1860</v>
      </c>
      <c r="Q1399" s="6">
        <f>OrganizedData[[#This Row],[Total Items Ordered]]*VLOOKUP(OrganizedData[[#This Row],[Product Code]],ProductData[],3,FALSE)</f>
        <v>5487</v>
      </c>
      <c r="R13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5212.6499999999996</v>
      </c>
    </row>
    <row r="1400" spans="1:18" x14ac:dyDescent="0.3">
      <c r="A1400" s="2">
        <v>1393</v>
      </c>
      <c r="B1400" s="2" t="s">
        <v>4368</v>
      </c>
      <c r="C1400" s="2" t="s">
        <v>3237</v>
      </c>
      <c r="D1400" s="2" t="s">
        <v>28</v>
      </c>
      <c r="E1400" s="2" t="s">
        <v>29</v>
      </c>
      <c r="F1400" s="2">
        <v>90</v>
      </c>
      <c r="G1400" s="2" t="s">
        <v>4369</v>
      </c>
      <c r="H1400" s="2" t="s">
        <v>195</v>
      </c>
      <c r="I1400" s="2" t="s">
        <v>187</v>
      </c>
      <c r="J1400" s="3">
        <v>43920</v>
      </c>
      <c r="K1400" s="5">
        <f>YEAR(OrganizedData[[#This Row],[Order Date]])</f>
        <v>2020</v>
      </c>
      <c r="L1400" s="7" t="str">
        <f>TEXT(OrganizedData[[#This Row],[Order Date]],"mmm")</f>
        <v>Mar</v>
      </c>
      <c r="M1400" s="2">
        <v>59</v>
      </c>
      <c r="N1400" s="2" t="s">
        <v>159</v>
      </c>
      <c r="O1400" s="2" t="str">
        <f>VLOOKUP(OrganizedData[[#This Row],[Product Code]],ProductData[[Code]:[Item]],2,FALSE)</f>
        <v>Ultrathing V3</v>
      </c>
      <c r="P1400" s="4">
        <f>OrganizedData[[#This Row],[Quantity]]*VLOOKUP(OrganizedData[[#This Row],[Product Code]],ProductData[],4,FALSE)</f>
        <v>1416</v>
      </c>
      <c r="Q1400" s="6">
        <f>OrganizedData[[#This Row],[Total Items Ordered]]*VLOOKUP(OrganizedData[[#This Row],[Product Code]],ProductData[],3,FALSE)</f>
        <v>4800.24</v>
      </c>
      <c r="R14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1401" spans="1:18" x14ac:dyDescent="0.3">
      <c r="A1401" s="2">
        <v>1394</v>
      </c>
      <c r="B1401" s="2" t="s">
        <v>4370</v>
      </c>
      <c r="C1401" s="2" t="s">
        <v>197</v>
      </c>
      <c r="D1401" s="2" t="s">
        <v>51</v>
      </c>
      <c r="E1401" s="2" t="s">
        <v>16</v>
      </c>
      <c r="F1401" s="2">
        <v>30</v>
      </c>
      <c r="G1401" s="2" t="s">
        <v>4371</v>
      </c>
      <c r="H1401" s="2" t="s">
        <v>3951</v>
      </c>
      <c r="I1401" s="2" t="s">
        <v>1576</v>
      </c>
      <c r="J1401" s="3">
        <v>44662</v>
      </c>
      <c r="K1401" s="5">
        <f>YEAR(OrganizedData[[#This Row],[Order Date]])</f>
        <v>2022</v>
      </c>
      <c r="L1401" s="7" t="str">
        <f>TEXT(OrganizedData[[#This Row],[Order Date]],"mmm")</f>
        <v>Apr</v>
      </c>
      <c r="M1401" s="2">
        <v>76</v>
      </c>
      <c r="N1401" s="2" t="s">
        <v>33</v>
      </c>
      <c r="O1401" s="2" t="str">
        <f>VLOOKUP(OrganizedData[[#This Row],[Product Code]],ProductData[[Code]:[Item]],2,FALSE)</f>
        <v>Megawidget L</v>
      </c>
      <c r="P1401" s="4">
        <f>OrganizedData[[#This Row],[Quantity]]*VLOOKUP(OrganizedData[[#This Row],[Product Code]],ProductData[],4,FALSE)</f>
        <v>1824</v>
      </c>
      <c r="Q1401" s="6">
        <f>OrganizedData[[#This Row],[Total Items Ordered]]*VLOOKUP(OrganizedData[[#This Row],[Product Code]],ProductData[],3,FALSE)</f>
        <v>3264.96</v>
      </c>
      <c r="R14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1402" spans="1:18" x14ac:dyDescent="0.3">
      <c r="A1402" s="2">
        <v>1395</v>
      </c>
      <c r="B1402" s="2" t="s">
        <v>4372</v>
      </c>
      <c r="C1402" s="2" t="s">
        <v>4373</v>
      </c>
      <c r="D1402" s="2" t="s">
        <v>28</v>
      </c>
      <c r="E1402" s="2" t="s">
        <v>29</v>
      </c>
      <c r="F1402" s="2">
        <v>60</v>
      </c>
      <c r="G1402" s="2" t="s">
        <v>4374</v>
      </c>
      <c r="H1402" s="2" t="s">
        <v>641</v>
      </c>
      <c r="I1402" s="2" t="s">
        <v>294</v>
      </c>
      <c r="J1402" s="3">
        <v>44899</v>
      </c>
      <c r="K1402" s="5">
        <f>YEAR(OrganizedData[[#This Row],[Order Date]])</f>
        <v>2022</v>
      </c>
      <c r="L1402" s="7" t="str">
        <f>TEXT(OrganizedData[[#This Row],[Order Date]],"mmm")</f>
        <v>Dec</v>
      </c>
      <c r="M1402" s="2">
        <v>59</v>
      </c>
      <c r="N1402" s="2" t="s">
        <v>159</v>
      </c>
      <c r="O1402" s="2" t="str">
        <f>VLOOKUP(OrganizedData[[#This Row],[Product Code]],ProductData[[Code]:[Item]],2,FALSE)</f>
        <v>Ultrathing V3</v>
      </c>
      <c r="P1402" s="4">
        <f>OrganizedData[[#This Row],[Quantity]]*VLOOKUP(OrganizedData[[#This Row],[Product Code]],ProductData[],4,FALSE)</f>
        <v>1416</v>
      </c>
      <c r="Q1402" s="6">
        <f>OrganizedData[[#This Row],[Total Items Ordered]]*VLOOKUP(OrganizedData[[#This Row],[Product Code]],ProductData[],3,FALSE)</f>
        <v>4800.24</v>
      </c>
      <c r="R14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1403" spans="1:18" x14ac:dyDescent="0.3">
      <c r="A1403" s="2">
        <v>1396</v>
      </c>
      <c r="B1403" s="2" t="s">
        <v>4375</v>
      </c>
      <c r="C1403" s="2" t="s">
        <v>4376</v>
      </c>
      <c r="D1403" s="2" t="s">
        <v>28</v>
      </c>
      <c r="E1403" s="2" t="s">
        <v>29</v>
      </c>
      <c r="F1403" s="2">
        <v>30</v>
      </c>
      <c r="G1403" s="2" t="s">
        <v>4377</v>
      </c>
      <c r="H1403" s="2" t="s">
        <v>3236</v>
      </c>
      <c r="I1403" s="2" t="s">
        <v>32</v>
      </c>
      <c r="J1403" s="3">
        <v>43906</v>
      </c>
      <c r="K1403" s="5">
        <f>YEAR(OrganizedData[[#This Row],[Order Date]])</f>
        <v>2020</v>
      </c>
      <c r="L1403" s="7" t="str">
        <f>TEXT(OrganizedData[[#This Row],[Order Date]],"mmm")</f>
        <v>Mar</v>
      </c>
      <c r="M1403" s="2">
        <v>2</v>
      </c>
      <c r="N1403" s="2" t="s">
        <v>33</v>
      </c>
      <c r="O1403" s="2" t="str">
        <f>VLOOKUP(OrganizedData[[#This Row],[Product Code]],ProductData[[Code]:[Item]],2,FALSE)</f>
        <v>Megawidget L</v>
      </c>
      <c r="P1403" s="4">
        <f>OrganizedData[[#This Row],[Quantity]]*VLOOKUP(OrganizedData[[#This Row],[Product Code]],ProductData[],4,FALSE)</f>
        <v>48</v>
      </c>
      <c r="Q1403" s="6">
        <f>OrganizedData[[#This Row],[Total Items Ordered]]*VLOOKUP(OrganizedData[[#This Row],[Product Code]],ProductData[],3,FALSE)</f>
        <v>85.92</v>
      </c>
      <c r="R14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1404" spans="1:18" x14ac:dyDescent="0.3">
      <c r="A1404" s="2">
        <v>1397</v>
      </c>
      <c r="B1404" s="2" t="s">
        <v>4378</v>
      </c>
      <c r="C1404" s="2" t="s">
        <v>4379</v>
      </c>
      <c r="D1404" s="2" t="s">
        <v>28</v>
      </c>
      <c r="E1404" s="2" t="s">
        <v>29</v>
      </c>
      <c r="F1404" s="2">
        <v>30</v>
      </c>
      <c r="G1404" s="2" t="s">
        <v>10488</v>
      </c>
      <c r="H1404" s="2" t="s">
        <v>4381</v>
      </c>
      <c r="I1404" s="2" t="s">
        <v>886</v>
      </c>
      <c r="J1404" s="3">
        <v>44520</v>
      </c>
      <c r="K1404" s="5">
        <f>YEAR(OrganizedData[[#This Row],[Order Date]])</f>
        <v>2021</v>
      </c>
      <c r="L1404" s="7" t="str">
        <f>TEXT(OrganizedData[[#This Row],[Order Date]],"mmm")</f>
        <v>Nov</v>
      </c>
      <c r="M1404" s="2">
        <v>71</v>
      </c>
      <c r="N1404" s="2" t="s">
        <v>20</v>
      </c>
      <c r="O1404" s="2" t="str">
        <f>VLOOKUP(OrganizedData[[#This Row],[Product Code]],ProductData[[Code]:[Item]],2,FALSE)</f>
        <v>Hyperwotsit</v>
      </c>
      <c r="P1404" s="4">
        <f>OrganizedData[[#This Row],[Quantity]]*VLOOKUP(OrganizedData[[#This Row],[Product Code]],ProductData[],4,FALSE)</f>
        <v>1420</v>
      </c>
      <c r="Q1404" s="6">
        <f>OrganizedData[[#This Row],[Total Items Ordered]]*VLOOKUP(OrganizedData[[#This Row],[Product Code]],ProductData[],3,FALSE)</f>
        <v>2854.2</v>
      </c>
      <c r="R14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1405" spans="1:18" x14ac:dyDescent="0.3">
      <c r="A1405" s="2">
        <v>1398</v>
      </c>
      <c r="B1405" s="2" t="s">
        <v>4382</v>
      </c>
      <c r="C1405" s="2" t="s">
        <v>1665</v>
      </c>
      <c r="D1405" s="2" t="s">
        <v>51</v>
      </c>
      <c r="E1405" s="2" t="s">
        <v>16</v>
      </c>
      <c r="F1405" s="2">
        <v>30</v>
      </c>
      <c r="G1405" s="2" t="s">
        <v>4383</v>
      </c>
      <c r="H1405" s="2" t="s">
        <v>154</v>
      </c>
      <c r="I1405" s="2" t="s">
        <v>25</v>
      </c>
      <c r="J1405" s="3">
        <v>44009</v>
      </c>
      <c r="K1405" s="5">
        <f>YEAR(OrganizedData[[#This Row],[Order Date]])</f>
        <v>2020</v>
      </c>
      <c r="L1405" s="7" t="str">
        <f>TEXT(OrganizedData[[#This Row],[Order Date]],"mmm")</f>
        <v>Jun</v>
      </c>
      <c r="M1405" s="2">
        <v>30</v>
      </c>
      <c r="N1405" s="2" t="s">
        <v>101</v>
      </c>
      <c r="O1405" s="2" t="str">
        <f>VLOOKUP(OrganizedData[[#This Row],[Product Code]],ProductData[[Code]:[Item]],2,FALSE)</f>
        <v>Superwossname</v>
      </c>
      <c r="P1405" s="4">
        <f>OrganizedData[[#This Row],[Quantity]]*VLOOKUP(OrganizedData[[#This Row],[Product Code]],ProductData[],4,FALSE)</f>
        <v>600</v>
      </c>
      <c r="Q1405" s="6">
        <f>OrganizedData[[#This Row],[Total Items Ordered]]*VLOOKUP(OrganizedData[[#This Row],[Product Code]],ProductData[],3,FALSE)</f>
        <v>2094</v>
      </c>
      <c r="R14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2031.1799999999998</v>
      </c>
    </row>
    <row r="1406" spans="1:18" x14ac:dyDescent="0.3">
      <c r="A1406" s="2">
        <v>1399</v>
      </c>
      <c r="B1406" s="2" t="s">
        <v>1246</v>
      </c>
      <c r="C1406" s="2" t="s">
        <v>4384</v>
      </c>
      <c r="D1406" s="2" t="s">
        <v>28</v>
      </c>
      <c r="E1406" s="2" t="s">
        <v>29</v>
      </c>
      <c r="F1406" s="2">
        <v>90</v>
      </c>
      <c r="G1406" s="2" t="s">
        <v>4385</v>
      </c>
      <c r="H1406" s="2" t="s">
        <v>4386</v>
      </c>
      <c r="I1406" s="2" t="s">
        <v>32</v>
      </c>
      <c r="J1406" s="3">
        <v>43833</v>
      </c>
      <c r="K1406" s="5">
        <f>YEAR(OrganizedData[[#This Row],[Order Date]])</f>
        <v>2020</v>
      </c>
      <c r="L1406" s="7" t="str">
        <f>TEXT(OrganizedData[[#This Row],[Order Date]],"mmm")</f>
        <v>Jan</v>
      </c>
      <c r="M1406" s="2">
        <v>55</v>
      </c>
      <c r="N1406" s="2" t="s">
        <v>80</v>
      </c>
      <c r="O1406" s="2" t="str">
        <f>VLOOKUP(OrganizedData[[#This Row],[Product Code]],ProductData[[Code]:[Item]],2,FALSE)</f>
        <v>Ultrathing V2</v>
      </c>
      <c r="P1406" s="4">
        <f>OrganizedData[[#This Row],[Quantity]]*VLOOKUP(OrganizedData[[#This Row],[Product Code]],ProductData[],4,FALSE)</f>
        <v>1100</v>
      </c>
      <c r="Q1406" s="6">
        <f>OrganizedData[[#This Row],[Total Items Ordered]]*VLOOKUP(OrganizedData[[#This Row],[Product Code]],ProductData[],3,FALSE)</f>
        <v>3245</v>
      </c>
      <c r="R14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3082.75</v>
      </c>
    </row>
    <row r="1407" spans="1:18" x14ac:dyDescent="0.3">
      <c r="A1407" s="2">
        <v>1400</v>
      </c>
      <c r="B1407" s="2" t="s">
        <v>90</v>
      </c>
      <c r="C1407" s="2" t="s">
        <v>4387</v>
      </c>
      <c r="D1407" s="2" t="s">
        <v>51</v>
      </c>
      <c r="E1407" s="2" t="s">
        <v>16</v>
      </c>
      <c r="F1407" s="2">
        <v>60</v>
      </c>
      <c r="G1407" s="2" t="s">
        <v>4388</v>
      </c>
      <c r="H1407" s="2" t="s">
        <v>4389</v>
      </c>
      <c r="I1407" s="2" t="s">
        <v>32</v>
      </c>
      <c r="J1407" s="3">
        <v>44206</v>
      </c>
      <c r="K1407" s="5">
        <f>YEAR(OrganizedData[[#This Row],[Order Date]])</f>
        <v>2021</v>
      </c>
      <c r="L1407" s="7" t="str">
        <f>TEXT(OrganizedData[[#This Row],[Order Date]],"mmm")</f>
        <v>Jan</v>
      </c>
      <c r="M1407" s="2">
        <v>82</v>
      </c>
      <c r="N1407" s="2" t="s">
        <v>159</v>
      </c>
      <c r="O1407" s="2" t="str">
        <f>VLOOKUP(OrganizedData[[#This Row],[Product Code]],ProductData[[Code]:[Item]],2,FALSE)</f>
        <v>Ultrathing V3</v>
      </c>
      <c r="P1407" s="4">
        <f>OrganizedData[[#This Row],[Quantity]]*VLOOKUP(OrganizedData[[#This Row],[Product Code]],ProductData[],4,FALSE)</f>
        <v>1968</v>
      </c>
      <c r="Q1407" s="6">
        <f>OrganizedData[[#This Row],[Total Items Ordered]]*VLOOKUP(OrganizedData[[#This Row],[Product Code]],ProductData[],3,FALSE)</f>
        <v>6671.52</v>
      </c>
      <c r="R14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6337.9440000000004</v>
      </c>
    </row>
    <row r="1408" spans="1:18" x14ac:dyDescent="0.3">
      <c r="A1408" s="2">
        <v>1401</v>
      </c>
      <c r="B1408" s="2" t="s">
        <v>4390</v>
      </c>
      <c r="C1408" s="2" t="s">
        <v>4324</v>
      </c>
      <c r="D1408" s="2" t="s">
        <v>28</v>
      </c>
      <c r="E1408" s="2" t="s">
        <v>29</v>
      </c>
      <c r="F1408" s="2">
        <v>60</v>
      </c>
      <c r="G1408" s="2" t="s">
        <v>4391</v>
      </c>
      <c r="H1408" s="2" t="s">
        <v>137</v>
      </c>
      <c r="I1408" s="2" t="s">
        <v>32</v>
      </c>
      <c r="J1408" s="3">
        <v>44764</v>
      </c>
      <c r="K1408" s="5">
        <f>YEAR(OrganizedData[[#This Row],[Order Date]])</f>
        <v>2022</v>
      </c>
      <c r="L1408" s="7" t="str">
        <f>TEXT(OrganizedData[[#This Row],[Order Date]],"mmm")</f>
        <v>Jul</v>
      </c>
      <c r="M1408" s="2">
        <v>35</v>
      </c>
      <c r="N1408" s="2" t="s">
        <v>64</v>
      </c>
      <c r="O1408" s="2" t="str">
        <f>VLOOKUP(OrganizedData[[#This Row],[Product Code]],ProductData[[Code]:[Item]],2,FALSE)</f>
        <v>Ultrathing V4</v>
      </c>
      <c r="P1408" s="4">
        <f>OrganizedData[[#This Row],[Quantity]]*VLOOKUP(OrganizedData[[#This Row],[Product Code]],ProductData[],4,FALSE)</f>
        <v>840</v>
      </c>
      <c r="Q1408" s="6">
        <f>OrganizedData[[#This Row],[Total Items Ordered]]*VLOOKUP(OrganizedData[[#This Row],[Product Code]],ProductData[],3,FALSE)</f>
        <v>3351.6000000000004</v>
      </c>
      <c r="R14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1409" spans="1:18" x14ac:dyDescent="0.3">
      <c r="A1409" s="2">
        <v>1402</v>
      </c>
      <c r="B1409" s="2" t="s">
        <v>4392</v>
      </c>
      <c r="C1409" s="2" t="s">
        <v>4393</v>
      </c>
      <c r="D1409" s="2" t="s">
        <v>117</v>
      </c>
      <c r="E1409" s="2" t="s">
        <v>29</v>
      </c>
      <c r="F1409" s="2">
        <v>90</v>
      </c>
      <c r="G1409" s="2" t="s">
        <v>4394</v>
      </c>
      <c r="H1409" s="2" t="s">
        <v>2890</v>
      </c>
      <c r="I1409" s="2" t="s">
        <v>32</v>
      </c>
      <c r="J1409" s="3">
        <v>44892</v>
      </c>
      <c r="K1409" s="5">
        <f>YEAR(OrganizedData[[#This Row],[Order Date]])</f>
        <v>2022</v>
      </c>
      <c r="L1409" s="7" t="str">
        <f>TEXT(OrganizedData[[#This Row],[Order Date]],"mmm")</f>
        <v>Nov</v>
      </c>
      <c r="M1409" s="2">
        <v>32</v>
      </c>
      <c r="N1409" s="2" t="s">
        <v>45</v>
      </c>
      <c r="O1409" s="2" t="str">
        <f>VLOOKUP(OrganizedData[[#This Row],[Product Code]],ProductData[[Code]:[Item]],2,FALSE)</f>
        <v>Gigastuff</v>
      </c>
      <c r="P1409" s="4">
        <f>OrganizedData[[#This Row],[Quantity]]*VLOOKUP(OrganizedData[[#This Row],[Product Code]],ProductData[],4,FALSE)</f>
        <v>576</v>
      </c>
      <c r="Q1409" s="6">
        <f>OrganizedData[[#This Row],[Total Items Ordered]]*VLOOKUP(OrganizedData[[#This Row],[Product Code]],ProductData[],3,FALSE)</f>
        <v>1088.6399999999999</v>
      </c>
      <c r="R14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1410" spans="1:18" x14ac:dyDescent="0.3">
      <c r="A1410" s="2">
        <v>1403</v>
      </c>
      <c r="B1410" s="2" t="s">
        <v>4395</v>
      </c>
      <c r="C1410" s="2" t="s">
        <v>4396</v>
      </c>
      <c r="D1410" s="2" t="s">
        <v>28</v>
      </c>
      <c r="E1410" s="2" t="s">
        <v>29</v>
      </c>
      <c r="F1410" s="2">
        <v>30</v>
      </c>
      <c r="G1410" s="2" t="s">
        <v>10489</v>
      </c>
      <c r="H1410" s="2" t="s">
        <v>1186</v>
      </c>
      <c r="I1410" s="2" t="s">
        <v>32</v>
      </c>
      <c r="J1410" s="3">
        <v>44846</v>
      </c>
      <c r="K1410" s="5">
        <f>YEAR(OrganizedData[[#This Row],[Order Date]])</f>
        <v>2022</v>
      </c>
      <c r="L1410" s="7" t="str">
        <f>TEXT(OrganizedData[[#This Row],[Order Date]],"mmm")</f>
        <v>Oct</v>
      </c>
      <c r="M1410" s="2">
        <v>13</v>
      </c>
      <c r="N1410" s="2" t="s">
        <v>54</v>
      </c>
      <c r="O1410" s="2" t="str">
        <f>VLOOKUP(OrganizedData[[#This Row],[Product Code]],ProductData[[Code]:[Item]],2,FALSE)</f>
        <v>Megawidget S</v>
      </c>
      <c r="P1410" s="4">
        <f>OrganizedData[[#This Row],[Quantity]]*VLOOKUP(OrganizedData[[#This Row],[Product Code]],ProductData[],4,FALSE)</f>
        <v>312</v>
      </c>
      <c r="Q1410" s="6">
        <f>OrganizedData[[#This Row],[Total Items Ordered]]*VLOOKUP(OrganizedData[[#This Row],[Product Code]],ProductData[],3,FALSE)</f>
        <v>215.27999999999997</v>
      </c>
      <c r="R14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215.27999999999997</v>
      </c>
    </row>
    <row r="1411" spans="1:18" x14ac:dyDescent="0.3">
      <c r="A1411" s="2">
        <v>1404</v>
      </c>
      <c r="B1411" s="2" t="s">
        <v>1116</v>
      </c>
      <c r="C1411" s="2" t="s">
        <v>375</v>
      </c>
      <c r="D1411" s="2" t="s">
        <v>28</v>
      </c>
      <c r="E1411" s="2" t="s">
        <v>29</v>
      </c>
      <c r="F1411" s="2">
        <v>90</v>
      </c>
      <c r="G1411" s="2" t="s">
        <v>4398</v>
      </c>
      <c r="H1411" s="2" t="s">
        <v>3897</v>
      </c>
      <c r="I1411" s="2" t="s">
        <v>3898</v>
      </c>
      <c r="J1411" s="3">
        <v>43999</v>
      </c>
      <c r="K1411" s="5">
        <f>YEAR(OrganizedData[[#This Row],[Order Date]])</f>
        <v>2020</v>
      </c>
      <c r="L1411" s="7" t="str">
        <f>TEXT(OrganizedData[[#This Row],[Order Date]],"mmm")</f>
        <v>Jun</v>
      </c>
      <c r="M1411" s="2">
        <v>14</v>
      </c>
      <c r="N1411" s="2" t="s">
        <v>159</v>
      </c>
      <c r="O1411" s="2" t="str">
        <f>VLOOKUP(OrganizedData[[#This Row],[Product Code]],ProductData[[Code]:[Item]],2,FALSE)</f>
        <v>Ultrathing V3</v>
      </c>
      <c r="P1411" s="4">
        <f>OrganizedData[[#This Row],[Quantity]]*VLOOKUP(OrganizedData[[#This Row],[Product Code]],ProductData[],4,FALSE)</f>
        <v>336</v>
      </c>
      <c r="Q1411" s="6">
        <f>OrganizedData[[#This Row],[Total Items Ordered]]*VLOOKUP(OrganizedData[[#This Row],[Product Code]],ProductData[],3,FALSE)</f>
        <v>1139.04</v>
      </c>
      <c r="R14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1139.04</v>
      </c>
    </row>
    <row r="1412" spans="1:18" x14ac:dyDescent="0.3">
      <c r="A1412" s="2">
        <v>1405</v>
      </c>
      <c r="B1412" s="2" t="s">
        <v>1405</v>
      </c>
      <c r="C1412" s="2" t="s">
        <v>4399</v>
      </c>
      <c r="D1412" s="2" t="s">
        <v>28</v>
      </c>
      <c r="E1412" s="2" t="s">
        <v>29</v>
      </c>
      <c r="F1412" s="2">
        <v>30</v>
      </c>
      <c r="G1412" s="2" t="s">
        <v>10490</v>
      </c>
      <c r="H1412" s="2" t="s">
        <v>3242</v>
      </c>
      <c r="I1412" s="2" t="s">
        <v>32</v>
      </c>
      <c r="J1412" s="3">
        <v>44606</v>
      </c>
      <c r="K1412" s="5">
        <f>YEAR(OrganizedData[[#This Row],[Order Date]])</f>
        <v>2022</v>
      </c>
      <c r="L1412" s="7" t="str">
        <f>TEXT(OrganizedData[[#This Row],[Order Date]],"mmm")</f>
        <v>Feb</v>
      </c>
      <c r="M1412" s="2">
        <v>5</v>
      </c>
      <c r="N1412" s="2" t="s">
        <v>159</v>
      </c>
      <c r="O1412" s="2" t="str">
        <f>VLOOKUP(OrganizedData[[#This Row],[Product Code]],ProductData[[Code]:[Item]],2,FALSE)</f>
        <v>Ultrathing V3</v>
      </c>
      <c r="P1412" s="4">
        <f>OrganizedData[[#This Row],[Quantity]]*VLOOKUP(OrganizedData[[#This Row],[Product Code]],ProductData[],4,FALSE)</f>
        <v>120</v>
      </c>
      <c r="Q1412" s="6">
        <f>OrganizedData[[#This Row],[Total Items Ordered]]*VLOOKUP(OrganizedData[[#This Row],[Product Code]],ProductData[],3,FALSE)</f>
        <v>406.8</v>
      </c>
      <c r="R14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406.8</v>
      </c>
    </row>
    <row r="1413" spans="1:18" x14ac:dyDescent="0.3">
      <c r="A1413" s="2">
        <v>1406</v>
      </c>
      <c r="B1413" s="2" t="s">
        <v>4401</v>
      </c>
      <c r="C1413" s="2" t="s">
        <v>4402</v>
      </c>
      <c r="D1413" s="2" t="s">
        <v>28</v>
      </c>
      <c r="E1413" s="2" t="s">
        <v>29</v>
      </c>
      <c r="F1413" s="2">
        <v>30</v>
      </c>
      <c r="G1413" s="2" t="s">
        <v>4403</v>
      </c>
      <c r="H1413" s="2" t="s">
        <v>4404</v>
      </c>
      <c r="I1413" s="2" t="s">
        <v>32</v>
      </c>
      <c r="J1413" s="3">
        <v>44383</v>
      </c>
      <c r="K1413" s="5">
        <f>YEAR(OrganizedData[[#This Row],[Order Date]])</f>
        <v>2021</v>
      </c>
      <c r="L1413" s="7" t="str">
        <f>TEXT(OrganizedData[[#This Row],[Order Date]],"mmm")</f>
        <v>Jul</v>
      </c>
      <c r="M1413" s="2">
        <v>15</v>
      </c>
      <c r="N1413" s="2" t="s">
        <v>39</v>
      </c>
      <c r="O1413" s="2" t="str">
        <f>VLOOKUP(OrganizedData[[#This Row],[Product Code]],ProductData[[Code]:[Item]],2,FALSE)</f>
        <v>Ultrathing V1</v>
      </c>
      <c r="P1413" s="4">
        <f>OrganizedData[[#This Row],[Quantity]]*VLOOKUP(OrganizedData[[#This Row],[Product Code]],ProductData[],4,FALSE)</f>
        <v>255</v>
      </c>
      <c r="Q1413" s="6">
        <f>OrganizedData[[#This Row],[Total Items Ordered]]*VLOOKUP(OrganizedData[[#This Row],[Product Code]],ProductData[],3,FALSE)</f>
        <v>456.45</v>
      </c>
      <c r="R14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456.45</v>
      </c>
    </row>
    <row r="1414" spans="1:18" x14ac:dyDescent="0.3">
      <c r="A1414" s="2">
        <v>1407</v>
      </c>
      <c r="B1414" s="2" t="s">
        <v>4405</v>
      </c>
      <c r="C1414" s="2" t="s">
        <v>4156</v>
      </c>
      <c r="D1414" s="2" t="s">
        <v>15</v>
      </c>
      <c r="E1414" s="2" t="s">
        <v>16</v>
      </c>
      <c r="F1414" s="2">
        <v>60</v>
      </c>
      <c r="G1414" s="2" t="s">
        <v>4406</v>
      </c>
      <c r="H1414" s="2" t="s">
        <v>3462</v>
      </c>
      <c r="I1414" s="2" t="s">
        <v>32</v>
      </c>
      <c r="J1414" s="3">
        <v>44614</v>
      </c>
      <c r="K1414" s="5">
        <f>YEAR(OrganizedData[[#This Row],[Order Date]])</f>
        <v>2022</v>
      </c>
      <c r="L1414" s="7" t="str">
        <f>TEXT(OrganizedData[[#This Row],[Order Date]],"mmm")</f>
        <v>Feb</v>
      </c>
      <c r="M1414" s="2">
        <v>2</v>
      </c>
      <c r="N1414" s="2" t="s">
        <v>64</v>
      </c>
      <c r="O1414" s="2" t="str">
        <f>VLOOKUP(OrganizedData[[#This Row],[Product Code]],ProductData[[Code]:[Item]],2,FALSE)</f>
        <v>Ultrathing V4</v>
      </c>
      <c r="P1414" s="4">
        <f>OrganizedData[[#This Row],[Quantity]]*VLOOKUP(OrganizedData[[#This Row],[Product Code]],ProductData[],4,FALSE)</f>
        <v>48</v>
      </c>
      <c r="Q1414" s="6">
        <f>OrganizedData[[#This Row],[Total Items Ordered]]*VLOOKUP(OrganizedData[[#This Row],[Product Code]],ProductData[],3,FALSE)</f>
        <v>191.52</v>
      </c>
      <c r="R14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1415" spans="1:18" x14ac:dyDescent="0.3">
      <c r="A1415" s="2">
        <v>1408</v>
      </c>
      <c r="B1415" s="2" t="s">
        <v>4407</v>
      </c>
      <c r="C1415" s="2" t="s">
        <v>2298</v>
      </c>
      <c r="D1415" s="2" t="s">
        <v>41</v>
      </c>
      <c r="E1415" s="2" t="s">
        <v>16</v>
      </c>
      <c r="F1415" s="2">
        <v>30</v>
      </c>
      <c r="G1415" s="2" t="s">
        <v>4408</v>
      </c>
      <c r="H1415" s="2" t="s">
        <v>4409</v>
      </c>
      <c r="I1415" s="2" t="s">
        <v>294</v>
      </c>
      <c r="J1415" s="3">
        <v>44229</v>
      </c>
      <c r="K1415" s="5">
        <f>YEAR(OrganizedData[[#This Row],[Order Date]])</f>
        <v>2021</v>
      </c>
      <c r="L1415" s="7" t="str">
        <f>TEXT(OrganizedData[[#This Row],[Order Date]],"mmm")</f>
        <v>Feb</v>
      </c>
      <c r="M1415" s="2">
        <v>34</v>
      </c>
      <c r="N1415" s="2" t="s">
        <v>20</v>
      </c>
      <c r="O1415" s="2" t="str">
        <f>VLOOKUP(OrganizedData[[#This Row],[Product Code]],ProductData[[Code]:[Item]],2,FALSE)</f>
        <v>Hyperwotsit</v>
      </c>
      <c r="P1415" s="4">
        <f>OrganizedData[[#This Row],[Quantity]]*VLOOKUP(OrganizedData[[#This Row],[Product Code]],ProductData[],4,FALSE)</f>
        <v>680</v>
      </c>
      <c r="Q1415" s="6">
        <f>OrganizedData[[#This Row],[Total Items Ordered]]*VLOOKUP(OrganizedData[[#This Row],[Product Code]],ProductData[],3,FALSE)</f>
        <v>1366.8</v>
      </c>
      <c r="R14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1325.7959999999998</v>
      </c>
    </row>
    <row r="1416" spans="1:18" x14ac:dyDescent="0.3">
      <c r="A1416" s="2">
        <v>1409</v>
      </c>
      <c r="B1416" s="2" t="s">
        <v>1333</v>
      </c>
      <c r="C1416" s="2" t="s">
        <v>4410</v>
      </c>
      <c r="D1416" s="2" t="s">
        <v>51</v>
      </c>
      <c r="E1416" s="2" t="s">
        <v>16</v>
      </c>
      <c r="F1416" s="2">
        <v>30</v>
      </c>
      <c r="G1416" s="2" t="s">
        <v>4408</v>
      </c>
      <c r="H1416" s="2" t="s">
        <v>924</v>
      </c>
      <c r="I1416" s="2" t="s">
        <v>32</v>
      </c>
      <c r="J1416" s="3">
        <v>43910</v>
      </c>
      <c r="K1416" s="5">
        <f>YEAR(OrganizedData[[#This Row],[Order Date]])</f>
        <v>2020</v>
      </c>
      <c r="L1416" s="7" t="str">
        <f>TEXT(OrganizedData[[#This Row],[Order Date]],"mmm")</f>
        <v>Mar</v>
      </c>
      <c r="M1416" s="2">
        <v>41</v>
      </c>
      <c r="N1416" s="2" t="s">
        <v>159</v>
      </c>
      <c r="O1416" s="2" t="str">
        <f>VLOOKUP(OrganizedData[[#This Row],[Product Code]],ProductData[[Code]:[Item]],2,FALSE)</f>
        <v>Ultrathing V3</v>
      </c>
      <c r="P1416" s="4">
        <f>OrganizedData[[#This Row],[Quantity]]*VLOOKUP(OrganizedData[[#This Row],[Product Code]],ProductData[],4,FALSE)</f>
        <v>984</v>
      </c>
      <c r="Q1416" s="6">
        <f>OrganizedData[[#This Row],[Total Items Ordered]]*VLOOKUP(OrganizedData[[#This Row],[Product Code]],ProductData[],3,FALSE)</f>
        <v>3335.76</v>
      </c>
      <c r="R14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3235.6872000000003</v>
      </c>
    </row>
    <row r="1417" spans="1:18" x14ac:dyDescent="0.3">
      <c r="A1417" s="2">
        <v>1410</v>
      </c>
      <c r="B1417" s="2" t="s">
        <v>4411</v>
      </c>
      <c r="C1417" s="2" t="s">
        <v>1330</v>
      </c>
      <c r="D1417" s="2" t="s">
        <v>28</v>
      </c>
      <c r="E1417" s="2" t="s">
        <v>29</v>
      </c>
      <c r="F1417" s="2">
        <v>30</v>
      </c>
      <c r="G1417" s="2" t="s">
        <v>4412</v>
      </c>
      <c r="H1417" s="2" t="s">
        <v>4413</v>
      </c>
      <c r="I1417" s="2" t="s">
        <v>32</v>
      </c>
      <c r="J1417" s="3">
        <v>44081</v>
      </c>
      <c r="K1417" s="5">
        <f>YEAR(OrganizedData[[#This Row],[Order Date]])</f>
        <v>2020</v>
      </c>
      <c r="L1417" s="7" t="str">
        <f>TEXT(OrganizedData[[#This Row],[Order Date]],"mmm")</f>
        <v>Sep</v>
      </c>
      <c r="M1417" s="2">
        <v>45</v>
      </c>
      <c r="N1417" s="2" t="s">
        <v>20</v>
      </c>
      <c r="O1417" s="2" t="str">
        <f>VLOOKUP(OrganizedData[[#This Row],[Product Code]],ProductData[[Code]:[Item]],2,FALSE)</f>
        <v>Hyperwotsit</v>
      </c>
      <c r="P1417" s="4">
        <f>OrganizedData[[#This Row],[Quantity]]*VLOOKUP(OrganizedData[[#This Row],[Product Code]],ProductData[],4,FALSE)</f>
        <v>900</v>
      </c>
      <c r="Q1417" s="6">
        <f>OrganizedData[[#This Row],[Total Items Ordered]]*VLOOKUP(OrganizedData[[#This Row],[Product Code]],ProductData[],3,FALSE)</f>
        <v>1808.9999999999998</v>
      </c>
      <c r="R14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1754.7299999999998</v>
      </c>
    </row>
    <row r="1418" spans="1:18" x14ac:dyDescent="0.3">
      <c r="A1418" s="2">
        <v>1411</v>
      </c>
      <c r="B1418" s="2" t="s">
        <v>4414</v>
      </c>
      <c r="C1418" s="2" t="s">
        <v>3051</v>
      </c>
      <c r="D1418" s="2" t="s">
        <v>28</v>
      </c>
      <c r="E1418" s="2" t="s">
        <v>29</v>
      </c>
      <c r="F1418" s="2">
        <v>30</v>
      </c>
      <c r="G1418" s="2" t="s">
        <v>4412</v>
      </c>
      <c r="H1418" s="2" t="s">
        <v>4415</v>
      </c>
      <c r="I1418" s="2" t="s">
        <v>32</v>
      </c>
      <c r="J1418" s="3">
        <v>44149</v>
      </c>
      <c r="K1418" s="5">
        <f>YEAR(OrganizedData[[#This Row],[Order Date]])</f>
        <v>2020</v>
      </c>
      <c r="L1418" s="7" t="str">
        <f>TEXT(OrganizedData[[#This Row],[Order Date]],"mmm")</f>
        <v>Nov</v>
      </c>
      <c r="M1418" s="2">
        <v>32</v>
      </c>
      <c r="N1418" s="2" t="s">
        <v>80</v>
      </c>
      <c r="O1418" s="2" t="str">
        <f>VLOOKUP(OrganizedData[[#This Row],[Product Code]],ProductData[[Code]:[Item]],2,FALSE)</f>
        <v>Ultrathing V2</v>
      </c>
      <c r="P1418" s="4">
        <f>OrganizedData[[#This Row],[Quantity]]*VLOOKUP(OrganizedData[[#This Row],[Product Code]],ProductData[],4,FALSE)</f>
        <v>640</v>
      </c>
      <c r="Q1418" s="6">
        <f>OrganizedData[[#This Row],[Total Items Ordered]]*VLOOKUP(OrganizedData[[#This Row],[Product Code]],ProductData[],3,FALSE)</f>
        <v>1888</v>
      </c>
      <c r="R14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1831.36</v>
      </c>
    </row>
    <row r="1419" spans="1:18" x14ac:dyDescent="0.3">
      <c r="A1419" s="2">
        <v>1412</v>
      </c>
      <c r="B1419" s="2" t="s">
        <v>1187</v>
      </c>
      <c r="C1419" s="2" t="s">
        <v>4416</v>
      </c>
      <c r="D1419" s="2" t="s">
        <v>28</v>
      </c>
      <c r="E1419" s="2" t="s">
        <v>29</v>
      </c>
      <c r="F1419" s="2">
        <v>60</v>
      </c>
      <c r="G1419" s="2" t="s">
        <v>4417</v>
      </c>
      <c r="H1419" s="2" t="s">
        <v>734</v>
      </c>
      <c r="I1419" s="2" t="s">
        <v>32</v>
      </c>
      <c r="J1419" s="3">
        <v>44871</v>
      </c>
      <c r="K1419" s="5">
        <f>YEAR(OrganizedData[[#This Row],[Order Date]])</f>
        <v>2022</v>
      </c>
      <c r="L1419" s="7" t="str">
        <f>TEXT(OrganizedData[[#This Row],[Order Date]],"mmm")</f>
        <v>Nov</v>
      </c>
      <c r="M1419" s="2">
        <v>4</v>
      </c>
      <c r="N1419" s="2" t="s">
        <v>20</v>
      </c>
      <c r="O1419" s="2" t="str">
        <f>VLOOKUP(OrganizedData[[#This Row],[Product Code]],ProductData[[Code]:[Item]],2,FALSE)</f>
        <v>Hyperwotsit</v>
      </c>
      <c r="P1419" s="4">
        <f>OrganizedData[[#This Row],[Quantity]]*VLOOKUP(OrganizedData[[#This Row],[Product Code]],ProductData[],4,FALSE)</f>
        <v>80</v>
      </c>
      <c r="Q1419" s="6">
        <f>OrganizedData[[#This Row],[Total Items Ordered]]*VLOOKUP(OrganizedData[[#This Row],[Product Code]],ProductData[],3,FALSE)</f>
        <v>160.79999999999998</v>
      </c>
      <c r="R14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160.79999999999998</v>
      </c>
    </row>
    <row r="1420" spans="1:18" x14ac:dyDescent="0.3">
      <c r="A1420" s="2">
        <v>1413</v>
      </c>
      <c r="B1420" s="2" t="s">
        <v>4418</v>
      </c>
      <c r="C1420" s="2" t="s">
        <v>2561</v>
      </c>
      <c r="D1420" s="2" t="s">
        <v>15</v>
      </c>
      <c r="E1420" s="2" t="s">
        <v>16</v>
      </c>
      <c r="F1420" s="2">
        <v>60</v>
      </c>
      <c r="G1420" s="2" t="s">
        <v>4417</v>
      </c>
      <c r="H1420" s="2" t="s">
        <v>2987</v>
      </c>
      <c r="I1420" s="2" t="s">
        <v>32</v>
      </c>
      <c r="J1420" s="3">
        <v>44413</v>
      </c>
      <c r="K1420" s="5">
        <f>YEAR(OrganizedData[[#This Row],[Order Date]])</f>
        <v>2021</v>
      </c>
      <c r="L1420" s="7" t="str">
        <f>TEXT(OrganizedData[[#This Row],[Order Date]],"mmm")</f>
        <v>Aug</v>
      </c>
      <c r="M1420" s="2">
        <v>22</v>
      </c>
      <c r="N1420" s="2" t="s">
        <v>20</v>
      </c>
      <c r="O1420" s="2" t="str">
        <f>VLOOKUP(OrganizedData[[#This Row],[Product Code]],ProductData[[Code]:[Item]],2,FALSE)</f>
        <v>Hyperwotsit</v>
      </c>
      <c r="P1420" s="4">
        <f>OrganizedData[[#This Row],[Quantity]]*VLOOKUP(OrganizedData[[#This Row],[Product Code]],ProductData[],4,FALSE)</f>
        <v>440</v>
      </c>
      <c r="Q1420" s="6">
        <f>OrganizedData[[#This Row],[Total Items Ordered]]*VLOOKUP(OrganizedData[[#This Row],[Product Code]],ProductData[],3,FALSE)</f>
        <v>884.39999999999986</v>
      </c>
      <c r="R14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857.86799999999982</v>
      </c>
    </row>
    <row r="1421" spans="1:18" x14ac:dyDescent="0.3">
      <c r="A1421" s="2">
        <v>1414</v>
      </c>
      <c r="B1421" s="2" t="s">
        <v>4419</v>
      </c>
      <c r="C1421" s="2" t="s">
        <v>4420</v>
      </c>
      <c r="D1421" s="2" t="s">
        <v>15</v>
      </c>
      <c r="E1421" s="2" t="s">
        <v>16</v>
      </c>
      <c r="F1421" s="2">
        <v>60</v>
      </c>
      <c r="G1421" s="2" t="s">
        <v>4421</v>
      </c>
      <c r="H1421" s="2" t="s">
        <v>2179</v>
      </c>
      <c r="I1421" s="2" t="s">
        <v>294</v>
      </c>
      <c r="J1421" s="3">
        <v>44877</v>
      </c>
      <c r="K1421" s="5">
        <f>YEAR(OrganizedData[[#This Row],[Order Date]])</f>
        <v>2022</v>
      </c>
      <c r="L1421" s="7" t="str">
        <f>TEXT(OrganizedData[[#This Row],[Order Date]],"mmm")</f>
        <v>Nov</v>
      </c>
      <c r="M1421" s="2">
        <v>41</v>
      </c>
      <c r="N1421" s="2" t="s">
        <v>39</v>
      </c>
      <c r="O1421" s="2" t="str">
        <f>VLOOKUP(OrganizedData[[#This Row],[Product Code]],ProductData[[Code]:[Item]],2,FALSE)</f>
        <v>Ultrathing V1</v>
      </c>
      <c r="P1421" s="4">
        <f>OrganizedData[[#This Row],[Quantity]]*VLOOKUP(OrganizedData[[#This Row],[Product Code]],ProductData[],4,FALSE)</f>
        <v>697</v>
      </c>
      <c r="Q1421" s="6">
        <f>OrganizedData[[#This Row],[Total Items Ordered]]*VLOOKUP(OrganizedData[[#This Row],[Product Code]],ProductData[],3,FALSE)</f>
        <v>1247.6300000000001</v>
      </c>
      <c r="R14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1210.2011</v>
      </c>
    </row>
    <row r="1422" spans="1:18" x14ac:dyDescent="0.3">
      <c r="A1422" s="2">
        <v>1415</v>
      </c>
      <c r="B1422" s="2" t="s">
        <v>2906</v>
      </c>
      <c r="C1422" s="2" t="s">
        <v>4422</v>
      </c>
      <c r="D1422" s="2" t="s">
        <v>28</v>
      </c>
      <c r="E1422" s="2" t="s">
        <v>29</v>
      </c>
      <c r="F1422" s="2">
        <v>60</v>
      </c>
      <c r="G1422" s="2" t="s">
        <v>4423</v>
      </c>
      <c r="H1422" s="2" t="s">
        <v>4424</v>
      </c>
      <c r="I1422" s="2" t="s">
        <v>25</v>
      </c>
      <c r="J1422" s="3">
        <v>43859</v>
      </c>
      <c r="K1422" s="5">
        <f>YEAR(OrganizedData[[#This Row],[Order Date]])</f>
        <v>2020</v>
      </c>
      <c r="L1422" s="7" t="str">
        <f>TEXT(OrganizedData[[#This Row],[Order Date]],"mmm")</f>
        <v>Jan</v>
      </c>
      <c r="M1422" s="2">
        <v>12</v>
      </c>
      <c r="N1422" s="2" t="s">
        <v>33</v>
      </c>
      <c r="O1422" s="2" t="str">
        <f>VLOOKUP(OrganizedData[[#This Row],[Product Code]],ProductData[[Code]:[Item]],2,FALSE)</f>
        <v>Megawidget L</v>
      </c>
      <c r="P1422" s="4">
        <f>OrganizedData[[#This Row],[Quantity]]*VLOOKUP(OrganizedData[[#This Row],[Product Code]],ProductData[],4,FALSE)</f>
        <v>288</v>
      </c>
      <c r="Q1422" s="6">
        <f>OrganizedData[[#This Row],[Total Items Ordered]]*VLOOKUP(OrganizedData[[#This Row],[Product Code]],ProductData[],3,FALSE)</f>
        <v>515.52</v>
      </c>
      <c r="R14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515.52</v>
      </c>
    </row>
    <row r="1423" spans="1:18" x14ac:dyDescent="0.3">
      <c r="A1423" s="2">
        <v>1416</v>
      </c>
      <c r="B1423" s="2" t="s">
        <v>3927</v>
      </c>
      <c r="C1423" s="2" t="s">
        <v>4425</v>
      </c>
      <c r="D1423" s="2" t="s">
        <v>28</v>
      </c>
      <c r="E1423" s="2" t="s">
        <v>29</v>
      </c>
      <c r="F1423" s="2">
        <v>30</v>
      </c>
      <c r="G1423" s="2" t="s">
        <v>4426</v>
      </c>
      <c r="H1423" s="2" t="s">
        <v>912</v>
      </c>
      <c r="I1423" s="2" t="s">
        <v>913</v>
      </c>
      <c r="J1423" s="3">
        <v>44638</v>
      </c>
      <c r="K1423" s="5">
        <f>YEAR(OrganizedData[[#This Row],[Order Date]])</f>
        <v>2022</v>
      </c>
      <c r="L1423" s="7" t="str">
        <f>TEXT(OrganizedData[[#This Row],[Order Date]],"mmm")</f>
        <v>Mar</v>
      </c>
      <c r="M1423" s="2">
        <v>14</v>
      </c>
      <c r="N1423" s="2" t="s">
        <v>39</v>
      </c>
      <c r="O1423" s="2" t="str">
        <f>VLOOKUP(OrganizedData[[#This Row],[Product Code]],ProductData[[Code]:[Item]],2,FALSE)</f>
        <v>Ultrathing V1</v>
      </c>
      <c r="P1423" s="4">
        <f>OrganizedData[[#This Row],[Quantity]]*VLOOKUP(OrganizedData[[#This Row],[Product Code]],ProductData[],4,FALSE)</f>
        <v>238</v>
      </c>
      <c r="Q1423" s="6">
        <f>OrganizedData[[#This Row],[Total Items Ordered]]*VLOOKUP(OrganizedData[[#This Row],[Product Code]],ProductData[],3,FALSE)</f>
        <v>426.02</v>
      </c>
      <c r="R14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1424" spans="1:18" x14ac:dyDescent="0.3">
      <c r="A1424" s="2">
        <v>1417</v>
      </c>
      <c r="B1424" s="2" t="s">
        <v>4427</v>
      </c>
      <c r="C1424" s="2" t="s">
        <v>2912</v>
      </c>
      <c r="D1424" s="2" t="s">
        <v>15</v>
      </c>
      <c r="E1424" s="2" t="s">
        <v>16</v>
      </c>
      <c r="F1424" s="2">
        <v>60</v>
      </c>
      <c r="G1424" s="2" t="s">
        <v>4428</v>
      </c>
      <c r="H1424" s="2" t="s">
        <v>587</v>
      </c>
      <c r="I1424" s="2" t="s">
        <v>25</v>
      </c>
      <c r="J1424" s="3">
        <v>44448</v>
      </c>
      <c r="K1424" s="5">
        <f>YEAR(OrganizedData[[#This Row],[Order Date]])</f>
        <v>2021</v>
      </c>
      <c r="L1424" s="7" t="str">
        <f>TEXT(OrganizedData[[#This Row],[Order Date]],"mmm")</f>
        <v>Sep</v>
      </c>
      <c r="M1424" s="2">
        <v>74</v>
      </c>
      <c r="N1424" s="2" t="s">
        <v>20</v>
      </c>
      <c r="O1424" s="2" t="str">
        <f>VLOOKUP(OrganizedData[[#This Row],[Product Code]],ProductData[[Code]:[Item]],2,FALSE)</f>
        <v>Hyperwotsit</v>
      </c>
      <c r="P1424" s="4">
        <f>OrganizedData[[#This Row],[Quantity]]*VLOOKUP(OrganizedData[[#This Row],[Product Code]],ProductData[],4,FALSE)</f>
        <v>1480</v>
      </c>
      <c r="Q1424" s="6">
        <f>OrganizedData[[#This Row],[Total Items Ordered]]*VLOOKUP(OrganizedData[[#This Row],[Product Code]],ProductData[],3,FALSE)</f>
        <v>2974.7999999999997</v>
      </c>
      <c r="R14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2826.0599999999995</v>
      </c>
    </row>
    <row r="1425" spans="1:18" x14ac:dyDescent="0.3">
      <c r="A1425" s="2">
        <v>1418</v>
      </c>
      <c r="B1425" s="2" t="s">
        <v>2837</v>
      </c>
      <c r="C1425" s="2" t="s">
        <v>3314</v>
      </c>
      <c r="D1425" s="2" t="s">
        <v>28</v>
      </c>
      <c r="E1425" s="2" t="s">
        <v>29</v>
      </c>
      <c r="F1425" s="2">
        <v>90</v>
      </c>
      <c r="G1425" s="2" t="s">
        <v>4429</v>
      </c>
      <c r="H1425" s="2" t="s">
        <v>2265</v>
      </c>
      <c r="I1425" s="2" t="s">
        <v>1083</v>
      </c>
      <c r="J1425" s="3">
        <v>44363</v>
      </c>
      <c r="K1425" s="5">
        <f>YEAR(OrganizedData[[#This Row],[Order Date]])</f>
        <v>2021</v>
      </c>
      <c r="L1425" s="7" t="str">
        <f>TEXT(OrganizedData[[#This Row],[Order Date]],"mmm")</f>
        <v>Jun</v>
      </c>
      <c r="M1425" s="2">
        <v>25</v>
      </c>
      <c r="N1425" s="2" t="s">
        <v>101</v>
      </c>
      <c r="O1425" s="2" t="str">
        <f>VLOOKUP(OrganizedData[[#This Row],[Product Code]],ProductData[[Code]:[Item]],2,FALSE)</f>
        <v>Superwossname</v>
      </c>
      <c r="P1425" s="4">
        <f>OrganizedData[[#This Row],[Quantity]]*VLOOKUP(OrganizedData[[#This Row],[Product Code]],ProductData[],4,FALSE)</f>
        <v>500</v>
      </c>
      <c r="Q1425" s="6">
        <f>OrganizedData[[#This Row],[Total Items Ordered]]*VLOOKUP(OrganizedData[[#This Row],[Product Code]],ProductData[],3,FALSE)</f>
        <v>1745</v>
      </c>
      <c r="R14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1426" spans="1:18" x14ac:dyDescent="0.3">
      <c r="A1426" s="2">
        <v>1419</v>
      </c>
      <c r="B1426" s="2" t="s">
        <v>4430</v>
      </c>
      <c r="C1426" s="2" t="s">
        <v>2575</v>
      </c>
      <c r="D1426" s="2" t="s">
        <v>28</v>
      </c>
      <c r="E1426" s="2" t="s">
        <v>29</v>
      </c>
      <c r="F1426" s="2">
        <v>30</v>
      </c>
      <c r="G1426" s="2" t="s">
        <v>4431</v>
      </c>
      <c r="H1426" s="2" t="s">
        <v>4432</v>
      </c>
      <c r="I1426" s="2" t="s">
        <v>32</v>
      </c>
      <c r="J1426" s="3">
        <v>43933</v>
      </c>
      <c r="K1426" s="5">
        <f>YEAR(OrganizedData[[#This Row],[Order Date]])</f>
        <v>2020</v>
      </c>
      <c r="L1426" s="7" t="str">
        <f>TEXT(OrganizedData[[#This Row],[Order Date]],"mmm")</f>
        <v>Apr</v>
      </c>
      <c r="M1426" s="2">
        <v>45</v>
      </c>
      <c r="N1426" s="2" t="s">
        <v>45</v>
      </c>
      <c r="O1426" s="2" t="str">
        <f>VLOOKUP(OrganizedData[[#This Row],[Product Code]],ProductData[[Code]:[Item]],2,FALSE)</f>
        <v>Gigastuff</v>
      </c>
      <c r="P1426" s="4">
        <f>OrganizedData[[#This Row],[Quantity]]*VLOOKUP(OrganizedData[[#This Row],[Product Code]],ProductData[],4,FALSE)</f>
        <v>810</v>
      </c>
      <c r="Q1426" s="6">
        <f>OrganizedData[[#This Row],[Total Items Ordered]]*VLOOKUP(OrganizedData[[#This Row],[Product Code]],ProductData[],3,FALSE)</f>
        <v>1530.8999999999999</v>
      </c>
      <c r="R14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1484.9729999999997</v>
      </c>
    </row>
    <row r="1427" spans="1:18" x14ac:dyDescent="0.3">
      <c r="A1427" s="2">
        <v>1420</v>
      </c>
      <c r="B1427" s="2" t="s">
        <v>2746</v>
      </c>
      <c r="C1427" s="2" t="s">
        <v>1789</v>
      </c>
      <c r="D1427" s="2" t="s">
        <v>51</v>
      </c>
      <c r="E1427" s="2" t="s">
        <v>16</v>
      </c>
      <c r="F1427" s="2">
        <v>30</v>
      </c>
      <c r="G1427" s="2" t="s">
        <v>4433</v>
      </c>
      <c r="H1427" s="2" t="s">
        <v>2559</v>
      </c>
      <c r="I1427" s="2" t="s">
        <v>124</v>
      </c>
      <c r="J1427" s="3">
        <v>44208</v>
      </c>
      <c r="K1427" s="5">
        <f>YEAR(OrganizedData[[#This Row],[Order Date]])</f>
        <v>2021</v>
      </c>
      <c r="L1427" s="7" t="str">
        <f>TEXT(OrganizedData[[#This Row],[Order Date]],"mmm")</f>
        <v>Jan</v>
      </c>
      <c r="M1427" s="2">
        <v>80</v>
      </c>
      <c r="N1427" s="2" t="s">
        <v>45</v>
      </c>
      <c r="O1427" s="2" t="str">
        <f>VLOOKUP(OrganizedData[[#This Row],[Product Code]],ProductData[[Code]:[Item]],2,FALSE)</f>
        <v>Gigastuff</v>
      </c>
      <c r="P1427" s="4">
        <f>OrganizedData[[#This Row],[Quantity]]*VLOOKUP(OrganizedData[[#This Row],[Product Code]],ProductData[],4,FALSE)</f>
        <v>1440</v>
      </c>
      <c r="Q1427" s="6">
        <f>OrganizedData[[#This Row],[Total Items Ordered]]*VLOOKUP(OrganizedData[[#This Row],[Product Code]],ProductData[],3,FALSE)</f>
        <v>2721.6</v>
      </c>
      <c r="R14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2585.52</v>
      </c>
    </row>
    <row r="1428" spans="1:18" x14ac:dyDescent="0.3">
      <c r="A1428" s="2">
        <v>1421</v>
      </c>
      <c r="B1428" s="2" t="s">
        <v>2050</v>
      </c>
      <c r="C1428" s="2" t="s">
        <v>4434</v>
      </c>
      <c r="D1428" s="2" t="s">
        <v>92</v>
      </c>
      <c r="E1428" s="2" t="s">
        <v>29</v>
      </c>
      <c r="F1428" s="2">
        <v>30</v>
      </c>
      <c r="G1428" s="2" t="s">
        <v>4435</v>
      </c>
      <c r="H1428" s="2" t="s">
        <v>3713</v>
      </c>
      <c r="I1428" s="2" t="s">
        <v>32</v>
      </c>
      <c r="J1428" s="3">
        <v>43960</v>
      </c>
      <c r="K1428" s="5">
        <f>YEAR(OrganizedData[[#This Row],[Order Date]])</f>
        <v>2020</v>
      </c>
      <c r="L1428" s="7" t="str">
        <f>TEXT(OrganizedData[[#This Row],[Order Date]],"mmm")</f>
        <v>May</v>
      </c>
      <c r="M1428" s="2">
        <v>5</v>
      </c>
      <c r="N1428" s="2" t="s">
        <v>33</v>
      </c>
      <c r="O1428" s="2" t="str">
        <f>VLOOKUP(OrganizedData[[#This Row],[Product Code]],ProductData[[Code]:[Item]],2,FALSE)</f>
        <v>Megawidget L</v>
      </c>
      <c r="P1428" s="4">
        <f>OrganizedData[[#This Row],[Quantity]]*VLOOKUP(OrganizedData[[#This Row],[Product Code]],ProductData[],4,FALSE)</f>
        <v>120</v>
      </c>
      <c r="Q1428" s="6">
        <f>OrganizedData[[#This Row],[Total Items Ordered]]*VLOOKUP(OrganizedData[[#This Row],[Product Code]],ProductData[],3,FALSE)</f>
        <v>214.8</v>
      </c>
      <c r="R14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214.8</v>
      </c>
    </row>
    <row r="1429" spans="1:18" x14ac:dyDescent="0.3">
      <c r="A1429" s="2">
        <v>1422</v>
      </c>
      <c r="B1429" s="2" t="s">
        <v>4436</v>
      </c>
      <c r="C1429" s="2" t="s">
        <v>489</v>
      </c>
      <c r="D1429" s="2" t="s">
        <v>15</v>
      </c>
      <c r="E1429" s="2" t="s">
        <v>16</v>
      </c>
      <c r="F1429" s="2">
        <v>30</v>
      </c>
      <c r="G1429" s="2" t="s">
        <v>4437</v>
      </c>
      <c r="H1429" s="2" t="s">
        <v>1401</v>
      </c>
      <c r="I1429" s="2" t="s">
        <v>1402</v>
      </c>
      <c r="J1429" s="3">
        <v>44663</v>
      </c>
      <c r="K1429" s="5">
        <f>YEAR(OrganizedData[[#This Row],[Order Date]])</f>
        <v>2022</v>
      </c>
      <c r="L1429" s="7" t="str">
        <f>TEXT(OrganizedData[[#This Row],[Order Date]],"mmm")</f>
        <v>Apr</v>
      </c>
      <c r="M1429" s="2">
        <v>63</v>
      </c>
      <c r="N1429" s="2" t="s">
        <v>20</v>
      </c>
      <c r="O1429" s="2" t="str">
        <f>VLOOKUP(OrganizedData[[#This Row],[Product Code]],ProductData[[Code]:[Item]],2,FALSE)</f>
        <v>Hyperwotsit</v>
      </c>
      <c r="P1429" s="4">
        <f>OrganizedData[[#This Row],[Quantity]]*VLOOKUP(OrganizedData[[#This Row],[Product Code]],ProductData[],4,FALSE)</f>
        <v>1260</v>
      </c>
      <c r="Q1429" s="6">
        <f>OrganizedData[[#This Row],[Total Items Ordered]]*VLOOKUP(OrganizedData[[#This Row],[Product Code]],ProductData[],3,FALSE)</f>
        <v>2532.6</v>
      </c>
      <c r="R14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2405.9699999999998</v>
      </c>
    </row>
    <row r="1430" spans="1:18" x14ac:dyDescent="0.3">
      <c r="A1430" s="2">
        <v>1423</v>
      </c>
      <c r="B1430" s="2" t="s">
        <v>4438</v>
      </c>
      <c r="C1430" s="2" t="s">
        <v>4439</v>
      </c>
      <c r="D1430" s="2" t="s">
        <v>28</v>
      </c>
      <c r="E1430" s="2" t="s">
        <v>29</v>
      </c>
      <c r="F1430" s="2">
        <v>90</v>
      </c>
      <c r="G1430" s="2" t="s">
        <v>4440</v>
      </c>
      <c r="H1430" s="2" t="s">
        <v>4441</v>
      </c>
      <c r="I1430" s="2" t="s">
        <v>146</v>
      </c>
      <c r="J1430" s="3">
        <v>44509</v>
      </c>
      <c r="K1430" s="5">
        <f>YEAR(OrganizedData[[#This Row],[Order Date]])</f>
        <v>2021</v>
      </c>
      <c r="L1430" s="7" t="str">
        <f>TEXT(OrganizedData[[#This Row],[Order Date]],"mmm")</f>
        <v>Nov</v>
      </c>
      <c r="M1430" s="2">
        <v>76</v>
      </c>
      <c r="N1430" s="2" t="s">
        <v>33</v>
      </c>
      <c r="O1430" s="2" t="str">
        <f>VLOOKUP(OrganizedData[[#This Row],[Product Code]],ProductData[[Code]:[Item]],2,FALSE)</f>
        <v>Megawidget L</v>
      </c>
      <c r="P1430" s="4">
        <f>OrganizedData[[#This Row],[Quantity]]*VLOOKUP(OrganizedData[[#This Row],[Product Code]],ProductData[],4,FALSE)</f>
        <v>1824</v>
      </c>
      <c r="Q1430" s="6">
        <f>OrganizedData[[#This Row],[Total Items Ordered]]*VLOOKUP(OrganizedData[[#This Row],[Product Code]],ProductData[],3,FALSE)</f>
        <v>3264.96</v>
      </c>
      <c r="R14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1431" spans="1:18" x14ac:dyDescent="0.3">
      <c r="A1431" s="2">
        <v>1424</v>
      </c>
      <c r="B1431" s="2" t="s">
        <v>4094</v>
      </c>
      <c r="C1431" s="2" t="s">
        <v>1623</v>
      </c>
      <c r="D1431" s="2" t="s">
        <v>28</v>
      </c>
      <c r="E1431" s="2" t="s">
        <v>29</v>
      </c>
      <c r="F1431" s="2">
        <v>60</v>
      </c>
      <c r="G1431" s="2" t="s">
        <v>4442</v>
      </c>
      <c r="H1431" s="2" t="s">
        <v>2972</v>
      </c>
      <c r="I1431" s="2" t="s">
        <v>32</v>
      </c>
      <c r="J1431" s="3">
        <v>44255</v>
      </c>
      <c r="K1431" s="5">
        <f>YEAR(OrganizedData[[#This Row],[Order Date]])</f>
        <v>2021</v>
      </c>
      <c r="L1431" s="7" t="str">
        <f>TEXT(OrganizedData[[#This Row],[Order Date]],"mmm")</f>
        <v>Feb</v>
      </c>
      <c r="M1431" s="2">
        <v>80</v>
      </c>
      <c r="N1431" s="2" t="s">
        <v>54</v>
      </c>
      <c r="O1431" s="2" t="str">
        <f>VLOOKUP(OrganizedData[[#This Row],[Product Code]],ProductData[[Code]:[Item]],2,FALSE)</f>
        <v>Megawidget S</v>
      </c>
      <c r="P1431" s="4">
        <f>OrganizedData[[#This Row],[Quantity]]*VLOOKUP(OrganizedData[[#This Row],[Product Code]],ProductData[],4,FALSE)</f>
        <v>1920</v>
      </c>
      <c r="Q1431" s="6">
        <f>OrganizedData[[#This Row],[Total Items Ordered]]*VLOOKUP(OrganizedData[[#This Row],[Product Code]],ProductData[],3,FALSE)</f>
        <v>1324.8</v>
      </c>
      <c r="R14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1258.56</v>
      </c>
    </row>
    <row r="1432" spans="1:18" x14ac:dyDescent="0.3">
      <c r="A1432" s="2">
        <v>1425</v>
      </c>
      <c r="B1432" s="2" t="s">
        <v>3688</v>
      </c>
      <c r="C1432" s="2" t="s">
        <v>3917</v>
      </c>
      <c r="D1432" s="2" t="s">
        <v>28</v>
      </c>
      <c r="E1432" s="2" t="s">
        <v>29</v>
      </c>
      <c r="F1432" s="2">
        <v>60</v>
      </c>
      <c r="G1432" s="2" t="s">
        <v>4443</v>
      </c>
      <c r="H1432" s="2" t="s">
        <v>698</v>
      </c>
      <c r="I1432" s="2" t="s">
        <v>213</v>
      </c>
      <c r="J1432" s="3">
        <v>44473</v>
      </c>
      <c r="K1432" s="5">
        <f>YEAR(OrganizedData[[#This Row],[Order Date]])</f>
        <v>2021</v>
      </c>
      <c r="L1432" s="7" t="str">
        <f>TEXT(OrganizedData[[#This Row],[Order Date]],"mmm")</f>
        <v>Oct</v>
      </c>
      <c r="M1432" s="2">
        <v>79</v>
      </c>
      <c r="N1432" s="2" t="s">
        <v>159</v>
      </c>
      <c r="O1432" s="2" t="str">
        <f>VLOOKUP(OrganizedData[[#This Row],[Product Code]],ProductData[[Code]:[Item]],2,FALSE)</f>
        <v>Ultrathing V3</v>
      </c>
      <c r="P1432" s="4">
        <f>OrganizedData[[#This Row],[Quantity]]*VLOOKUP(OrganizedData[[#This Row],[Product Code]],ProductData[],4,FALSE)</f>
        <v>1896</v>
      </c>
      <c r="Q1432" s="6">
        <f>OrganizedData[[#This Row],[Total Items Ordered]]*VLOOKUP(OrganizedData[[#This Row],[Product Code]],ProductData[],3,FALSE)</f>
        <v>6427.4400000000005</v>
      </c>
      <c r="R14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6106.0680000000002</v>
      </c>
    </row>
    <row r="1433" spans="1:18" x14ac:dyDescent="0.3">
      <c r="A1433" s="2">
        <v>1426</v>
      </c>
      <c r="B1433" s="2" t="s">
        <v>2138</v>
      </c>
      <c r="C1433" s="2" t="s">
        <v>4444</v>
      </c>
      <c r="D1433" s="2" t="s">
        <v>28</v>
      </c>
      <c r="E1433" s="2" t="s">
        <v>29</v>
      </c>
      <c r="F1433" s="2">
        <v>60</v>
      </c>
      <c r="G1433" s="2" t="s">
        <v>4445</v>
      </c>
      <c r="H1433" s="2" t="s">
        <v>3059</v>
      </c>
      <c r="I1433" s="2" t="s">
        <v>187</v>
      </c>
      <c r="J1433" s="3">
        <v>44811</v>
      </c>
      <c r="K1433" s="5">
        <f>YEAR(OrganizedData[[#This Row],[Order Date]])</f>
        <v>2022</v>
      </c>
      <c r="L1433" s="7" t="str">
        <f>TEXT(OrganizedData[[#This Row],[Order Date]],"mmm")</f>
        <v>Sep</v>
      </c>
      <c r="M1433" s="2">
        <v>47</v>
      </c>
      <c r="N1433" s="2" t="s">
        <v>70</v>
      </c>
      <c r="O1433" s="2" t="str">
        <f>VLOOKUP(OrganizedData[[#This Row],[Product Code]],ProductData[[Code]:[Item]],2,FALSE)</f>
        <v>Megawidget M</v>
      </c>
      <c r="P1433" s="4">
        <f>OrganizedData[[#This Row],[Quantity]]*VLOOKUP(OrganizedData[[#This Row],[Product Code]],ProductData[],4,FALSE)</f>
        <v>1128</v>
      </c>
      <c r="Q1433" s="6">
        <f>OrganizedData[[#This Row],[Total Items Ordered]]*VLOOKUP(OrganizedData[[#This Row],[Product Code]],ProductData[],3,FALSE)</f>
        <v>1455.1200000000001</v>
      </c>
      <c r="R14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1434" spans="1:18" x14ac:dyDescent="0.3">
      <c r="A1434" s="2">
        <v>1427</v>
      </c>
      <c r="B1434" s="2" t="s">
        <v>4446</v>
      </c>
      <c r="C1434" s="2" t="s">
        <v>3447</v>
      </c>
      <c r="D1434" s="2" t="s">
        <v>51</v>
      </c>
      <c r="E1434" s="2" t="s">
        <v>16</v>
      </c>
      <c r="F1434" s="2">
        <v>90</v>
      </c>
      <c r="G1434" s="2" t="s">
        <v>4447</v>
      </c>
      <c r="H1434" s="2" t="s">
        <v>4448</v>
      </c>
      <c r="I1434" s="2" t="s">
        <v>124</v>
      </c>
      <c r="J1434" s="3">
        <v>44231</v>
      </c>
      <c r="K1434" s="5">
        <f>YEAR(OrganizedData[[#This Row],[Order Date]])</f>
        <v>2021</v>
      </c>
      <c r="L1434" s="7" t="str">
        <f>TEXT(OrganizedData[[#This Row],[Order Date]],"mmm")</f>
        <v>Feb</v>
      </c>
      <c r="M1434" s="2">
        <v>14</v>
      </c>
      <c r="N1434" s="2" t="s">
        <v>70</v>
      </c>
      <c r="O1434" s="2" t="str">
        <f>VLOOKUP(OrganizedData[[#This Row],[Product Code]],ProductData[[Code]:[Item]],2,FALSE)</f>
        <v>Megawidget M</v>
      </c>
      <c r="P1434" s="4">
        <f>OrganizedData[[#This Row],[Quantity]]*VLOOKUP(OrganizedData[[#This Row],[Product Code]],ProductData[],4,FALSE)</f>
        <v>336</v>
      </c>
      <c r="Q1434" s="6">
        <f>OrganizedData[[#This Row],[Total Items Ordered]]*VLOOKUP(OrganizedData[[#This Row],[Product Code]],ProductData[],3,FALSE)</f>
        <v>433.44</v>
      </c>
      <c r="R14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1435" spans="1:18" x14ac:dyDescent="0.3">
      <c r="A1435" s="2">
        <v>1428</v>
      </c>
      <c r="B1435" s="2" t="s">
        <v>2900</v>
      </c>
      <c r="C1435" s="2" t="s">
        <v>2618</v>
      </c>
      <c r="D1435" s="2" t="s">
        <v>15</v>
      </c>
      <c r="E1435" s="2" t="s">
        <v>16</v>
      </c>
      <c r="F1435" s="2">
        <v>60</v>
      </c>
      <c r="G1435" s="2" t="s">
        <v>4449</v>
      </c>
      <c r="H1435" s="2" t="s">
        <v>3571</v>
      </c>
      <c r="I1435" s="2" t="s">
        <v>32</v>
      </c>
      <c r="J1435" s="3">
        <v>43955</v>
      </c>
      <c r="K1435" s="5">
        <f>YEAR(OrganizedData[[#This Row],[Order Date]])</f>
        <v>2020</v>
      </c>
      <c r="L1435" s="7" t="str">
        <f>TEXT(OrganizedData[[#This Row],[Order Date]],"mmm")</f>
        <v>May</v>
      </c>
      <c r="M1435" s="2">
        <v>34</v>
      </c>
      <c r="N1435" s="2" t="s">
        <v>80</v>
      </c>
      <c r="O1435" s="2" t="str">
        <f>VLOOKUP(OrganizedData[[#This Row],[Product Code]],ProductData[[Code]:[Item]],2,FALSE)</f>
        <v>Ultrathing V2</v>
      </c>
      <c r="P1435" s="4">
        <f>OrganizedData[[#This Row],[Quantity]]*VLOOKUP(OrganizedData[[#This Row],[Product Code]],ProductData[],4,FALSE)</f>
        <v>680</v>
      </c>
      <c r="Q1435" s="6">
        <f>OrganizedData[[#This Row],[Total Items Ordered]]*VLOOKUP(OrganizedData[[#This Row],[Product Code]],ProductData[],3,FALSE)</f>
        <v>2006.0000000000002</v>
      </c>
      <c r="R14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1945.8200000000002</v>
      </c>
    </row>
    <row r="1436" spans="1:18" x14ac:dyDescent="0.3">
      <c r="A1436" s="2">
        <v>1429</v>
      </c>
      <c r="B1436" s="2" t="s">
        <v>4450</v>
      </c>
      <c r="C1436" s="2" t="s">
        <v>3314</v>
      </c>
      <c r="D1436" s="2" t="s">
        <v>15</v>
      </c>
      <c r="E1436" s="2" t="s">
        <v>16</v>
      </c>
      <c r="F1436" s="2">
        <v>60</v>
      </c>
      <c r="G1436" s="2" t="s">
        <v>4449</v>
      </c>
      <c r="H1436" s="2" t="s">
        <v>4451</v>
      </c>
      <c r="I1436" s="2" t="s">
        <v>32</v>
      </c>
      <c r="J1436" s="3">
        <v>44109</v>
      </c>
      <c r="K1436" s="5">
        <f>YEAR(OrganizedData[[#This Row],[Order Date]])</f>
        <v>2020</v>
      </c>
      <c r="L1436" s="7" t="str">
        <f>TEXT(OrganizedData[[#This Row],[Order Date]],"mmm")</f>
        <v>Oct</v>
      </c>
      <c r="M1436" s="2">
        <v>8</v>
      </c>
      <c r="N1436" s="2" t="s">
        <v>80</v>
      </c>
      <c r="O1436" s="2" t="str">
        <f>VLOOKUP(OrganizedData[[#This Row],[Product Code]],ProductData[[Code]:[Item]],2,FALSE)</f>
        <v>Ultrathing V2</v>
      </c>
      <c r="P1436" s="4">
        <f>OrganizedData[[#This Row],[Quantity]]*VLOOKUP(OrganizedData[[#This Row],[Product Code]],ProductData[],4,FALSE)</f>
        <v>160</v>
      </c>
      <c r="Q1436" s="6">
        <f>OrganizedData[[#This Row],[Total Items Ordered]]*VLOOKUP(OrganizedData[[#This Row],[Product Code]],ProductData[],3,FALSE)</f>
        <v>472</v>
      </c>
      <c r="R14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v>
      </c>
    </row>
    <row r="1437" spans="1:18" x14ac:dyDescent="0.3">
      <c r="A1437" s="2">
        <v>1430</v>
      </c>
      <c r="B1437" s="2" t="s">
        <v>4452</v>
      </c>
      <c r="C1437" s="2" t="s">
        <v>4261</v>
      </c>
      <c r="D1437" s="2" t="s">
        <v>28</v>
      </c>
      <c r="E1437" s="2" t="s">
        <v>29</v>
      </c>
      <c r="F1437" s="2">
        <v>90</v>
      </c>
      <c r="G1437" s="2" t="s">
        <v>4453</v>
      </c>
      <c r="H1437" s="2" t="s">
        <v>3203</v>
      </c>
      <c r="I1437" s="2" t="s">
        <v>32</v>
      </c>
      <c r="J1437" s="3">
        <v>44235</v>
      </c>
      <c r="K1437" s="5">
        <f>YEAR(OrganizedData[[#This Row],[Order Date]])</f>
        <v>2021</v>
      </c>
      <c r="L1437" s="7" t="str">
        <f>TEXT(OrganizedData[[#This Row],[Order Date]],"mmm")</f>
        <v>Feb</v>
      </c>
      <c r="M1437" s="2">
        <v>31</v>
      </c>
      <c r="N1437" s="2" t="s">
        <v>159</v>
      </c>
      <c r="O1437" s="2" t="str">
        <f>VLOOKUP(OrganizedData[[#This Row],[Product Code]],ProductData[[Code]:[Item]],2,FALSE)</f>
        <v>Ultrathing V3</v>
      </c>
      <c r="P1437" s="4">
        <f>OrganizedData[[#This Row],[Quantity]]*VLOOKUP(OrganizedData[[#This Row],[Product Code]],ProductData[],4,FALSE)</f>
        <v>744</v>
      </c>
      <c r="Q1437" s="6">
        <f>OrganizedData[[#This Row],[Total Items Ordered]]*VLOOKUP(OrganizedData[[#This Row],[Product Code]],ProductData[],3,FALSE)</f>
        <v>2522.1600000000003</v>
      </c>
      <c r="R14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2446.4952000000003</v>
      </c>
    </row>
    <row r="1438" spans="1:18" x14ac:dyDescent="0.3">
      <c r="A1438" s="2">
        <v>1431</v>
      </c>
      <c r="B1438" s="2" t="s">
        <v>2312</v>
      </c>
      <c r="C1438" s="2" t="s">
        <v>434</v>
      </c>
      <c r="D1438" s="2" t="s">
        <v>28</v>
      </c>
      <c r="E1438" s="2" t="s">
        <v>29</v>
      </c>
      <c r="F1438" s="2">
        <v>30</v>
      </c>
      <c r="G1438" s="2" t="s">
        <v>4454</v>
      </c>
      <c r="H1438" s="2" t="s">
        <v>2768</v>
      </c>
      <c r="I1438" s="2" t="s">
        <v>554</v>
      </c>
      <c r="J1438" s="3">
        <v>43942</v>
      </c>
      <c r="K1438" s="5">
        <f>YEAR(OrganizedData[[#This Row],[Order Date]])</f>
        <v>2020</v>
      </c>
      <c r="L1438" s="7" t="str">
        <f>TEXT(OrganizedData[[#This Row],[Order Date]],"mmm")</f>
        <v>Apr</v>
      </c>
      <c r="M1438" s="2">
        <v>18</v>
      </c>
      <c r="N1438" s="2" t="s">
        <v>20</v>
      </c>
      <c r="O1438" s="2" t="str">
        <f>VLOOKUP(OrganizedData[[#This Row],[Product Code]],ProductData[[Code]:[Item]],2,FALSE)</f>
        <v>Hyperwotsit</v>
      </c>
      <c r="P1438" s="4">
        <f>OrganizedData[[#This Row],[Quantity]]*VLOOKUP(OrganizedData[[#This Row],[Product Code]],ProductData[],4,FALSE)</f>
        <v>360</v>
      </c>
      <c r="Q1438" s="6">
        <f>OrganizedData[[#This Row],[Total Items Ordered]]*VLOOKUP(OrganizedData[[#This Row],[Product Code]],ProductData[],3,FALSE)</f>
        <v>723.59999999999991</v>
      </c>
      <c r="R14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1439" spans="1:18" x14ac:dyDescent="0.3">
      <c r="A1439" s="2">
        <v>1432</v>
      </c>
      <c r="B1439" s="2" t="s">
        <v>4455</v>
      </c>
      <c r="C1439" s="2" t="s">
        <v>4456</v>
      </c>
      <c r="D1439" s="2" t="s">
        <v>15</v>
      </c>
      <c r="E1439" s="2" t="s">
        <v>16</v>
      </c>
      <c r="F1439" s="2">
        <v>90</v>
      </c>
      <c r="G1439" s="2" t="s">
        <v>4457</v>
      </c>
      <c r="H1439" s="2" t="s">
        <v>1422</v>
      </c>
      <c r="I1439" s="2" t="s">
        <v>575</v>
      </c>
      <c r="J1439" s="3">
        <v>44081</v>
      </c>
      <c r="K1439" s="5">
        <f>YEAR(OrganizedData[[#This Row],[Order Date]])</f>
        <v>2020</v>
      </c>
      <c r="L1439" s="7" t="str">
        <f>TEXT(OrganizedData[[#This Row],[Order Date]],"mmm")</f>
        <v>Sep</v>
      </c>
      <c r="M1439" s="2">
        <v>44</v>
      </c>
      <c r="N1439" s="2" t="s">
        <v>80</v>
      </c>
      <c r="O1439" s="2" t="str">
        <f>VLOOKUP(OrganizedData[[#This Row],[Product Code]],ProductData[[Code]:[Item]],2,FALSE)</f>
        <v>Ultrathing V2</v>
      </c>
      <c r="P1439" s="4">
        <f>OrganizedData[[#This Row],[Quantity]]*VLOOKUP(OrganizedData[[#This Row],[Product Code]],ProductData[],4,FALSE)</f>
        <v>880</v>
      </c>
      <c r="Q1439" s="6">
        <f>OrganizedData[[#This Row],[Total Items Ordered]]*VLOOKUP(OrganizedData[[#This Row],[Product Code]],ProductData[],3,FALSE)</f>
        <v>2596</v>
      </c>
      <c r="R14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2518.12</v>
      </c>
    </row>
    <row r="1440" spans="1:18" x14ac:dyDescent="0.3">
      <c r="A1440" s="2">
        <v>1433</v>
      </c>
      <c r="B1440" s="2" t="s">
        <v>4458</v>
      </c>
      <c r="C1440" s="2" t="s">
        <v>688</v>
      </c>
      <c r="D1440" s="2" t="s">
        <v>41</v>
      </c>
      <c r="E1440" s="2" t="s">
        <v>16</v>
      </c>
      <c r="F1440" s="2">
        <v>60</v>
      </c>
      <c r="G1440" s="2" t="s">
        <v>4459</v>
      </c>
      <c r="H1440" s="2" t="s">
        <v>2444</v>
      </c>
      <c r="I1440" s="2" t="s">
        <v>32</v>
      </c>
      <c r="J1440" s="3">
        <v>43933</v>
      </c>
      <c r="K1440" s="5">
        <f>YEAR(OrganizedData[[#This Row],[Order Date]])</f>
        <v>2020</v>
      </c>
      <c r="L1440" s="7" t="str">
        <f>TEXT(OrganizedData[[#This Row],[Order Date]],"mmm")</f>
        <v>Apr</v>
      </c>
      <c r="M1440" s="2">
        <v>64</v>
      </c>
      <c r="N1440" s="2" t="s">
        <v>70</v>
      </c>
      <c r="O1440" s="2" t="str">
        <f>VLOOKUP(OrganizedData[[#This Row],[Product Code]],ProductData[[Code]:[Item]],2,FALSE)</f>
        <v>Megawidget M</v>
      </c>
      <c r="P1440" s="4">
        <f>OrganizedData[[#This Row],[Quantity]]*VLOOKUP(OrganizedData[[#This Row],[Product Code]],ProductData[],4,FALSE)</f>
        <v>1536</v>
      </c>
      <c r="Q1440" s="6">
        <f>OrganizedData[[#This Row],[Total Items Ordered]]*VLOOKUP(OrganizedData[[#This Row],[Product Code]],ProductData[],3,FALSE)</f>
        <v>1981.44</v>
      </c>
      <c r="R14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1882.3679999999999</v>
      </c>
    </row>
    <row r="1441" spans="1:18" x14ac:dyDescent="0.3">
      <c r="A1441" s="2">
        <v>1434</v>
      </c>
      <c r="B1441" s="2" t="s">
        <v>4460</v>
      </c>
      <c r="C1441" s="2" t="s">
        <v>4461</v>
      </c>
      <c r="D1441" s="2" t="s">
        <v>28</v>
      </c>
      <c r="E1441" s="2" t="s">
        <v>29</v>
      </c>
      <c r="F1441" s="2">
        <v>30</v>
      </c>
      <c r="G1441" s="2" t="s">
        <v>4462</v>
      </c>
      <c r="H1441" s="2" t="s">
        <v>4463</v>
      </c>
      <c r="I1441" s="2" t="s">
        <v>32</v>
      </c>
      <c r="J1441" s="3">
        <v>44830</v>
      </c>
      <c r="K1441" s="5">
        <f>YEAR(OrganizedData[[#This Row],[Order Date]])</f>
        <v>2022</v>
      </c>
      <c r="L1441" s="7" t="str">
        <f>TEXT(OrganizedData[[#This Row],[Order Date]],"mmm")</f>
        <v>Sep</v>
      </c>
      <c r="M1441" s="2">
        <v>79</v>
      </c>
      <c r="N1441" s="2" t="s">
        <v>20</v>
      </c>
      <c r="O1441" s="2" t="str">
        <f>VLOOKUP(OrganizedData[[#This Row],[Product Code]],ProductData[[Code]:[Item]],2,FALSE)</f>
        <v>Hyperwotsit</v>
      </c>
      <c r="P1441" s="4">
        <f>OrganizedData[[#This Row],[Quantity]]*VLOOKUP(OrganizedData[[#This Row],[Product Code]],ProductData[],4,FALSE)</f>
        <v>1580</v>
      </c>
      <c r="Q1441" s="6">
        <f>OrganizedData[[#This Row],[Total Items Ordered]]*VLOOKUP(OrganizedData[[#This Row],[Product Code]],ProductData[],3,FALSE)</f>
        <v>3175.7999999999997</v>
      </c>
      <c r="R14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3017.0099999999998</v>
      </c>
    </row>
    <row r="1442" spans="1:18" x14ac:dyDescent="0.3">
      <c r="A1442" s="2">
        <v>1435</v>
      </c>
      <c r="B1442" s="2" t="s">
        <v>3013</v>
      </c>
      <c r="C1442" s="2" t="s">
        <v>4464</v>
      </c>
      <c r="D1442" s="2" t="s">
        <v>51</v>
      </c>
      <c r="E1442" s="2" t="s">
        <v>16</v>
      </c>
      <c r="F1442" s="2">
        <v>60</v>
      </c>
      <c r="G1442" s="2" t="s">
        <v>4465</v>
      </c>
      <c r="H1442" s="2" t="s">
        <v>334</v>
      </c>
      <c r="I1442" s="2" t="s">
        <v>124</v>
      </c>
      <c r="J1442" s="3">
        <v>44748</v>
      </c>
      <c r="K1442" s="5">
        <f>YEAR(OrganizedData[[#This Row],[Order Date]])</f>
        <v>2022</v>
      </c>
      <c r="L1442" s="7" t="str">
        <f>TEXT(OrganizedData[[#This Row],[Order Date]],"mmm")</f>
        <v>Jul</v>
      </c>
      <c r="M1442" s="2">
        <v>11</v>
      </c>
      <c r="N1442" s="2" t="s">
        <v>101</v>
      </c>
      <c r="O1442" s="2" t="str">
        <f>VLOOKUP(OrganizedData[[#This Row],[Product Code]],ProductData[[Code]:[Item]],2,FALSE)</f>
        <v>Superwossname</v>
      </c>
      <c r="P1442" s="4">
        <f>OrganizedData[[#This Row],[Quantity]]*VLOOKUP(OrganizedData[[#This Row],[Product Code]],ProductData[],4,FALSE)</f>
        <v>220</v>
      </c>
      <c r="Q1442" s="6">
        <f>OrganizedData[[#This Row],[Total Items Ordered]]*VLOOKUP(OrganizedData[[#This Row],[Product Code]],ProductData[],3,FALSE)</f>
        <v>767.80000000000007</v>
      </c>
      <c r="R14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1443" spans="1:18" x14ac:dyDescent="0.3">
      <c r="A1443" s="2">
        <v>1436</v>
      </c>
      <c r="B1443" s="2" t="s">
        <v>4466</v>
      </c>
      <c r="C1443" s="2" t="s">
        <v>804</v>
      </c>
      <c r="D1443" s="2" t="s">
        <v>51</v>
      </c>
      <c r="E1443" s="2" t="s">
        <v>16</v>
      </c>
      <c r="F1443" s="2">
        <v>30</v>
      </c>
      <c r="G1443" s="2" t="s">
        <v>4467</v>
      </c>
      <c r="H1443" s="2" t="s">
        <v>1519</v>
      </c>
      <c r="I1443" s="2" t="s">
        <v>32</v>
      </c>
      <c r="J1443" s="3">
        <v>44571</v>
      </c>
      <c r="K1443" s="5">
        <f>YEAR(OrganizedData[[#This Row],[Order Date]])</f>
        <v>2022</v>
      </c>
      <c r="L1443" s="7" t="str">
        <f>TEXT(OrganizedData[[#This Row],[Order Date]],"mmm")</f>
        <v>Jan</v>
      </c>
      <c r="M1443" s="2">
        <v>41</v>
      </c>
      <c r="N1443" s="2" t="s">
        <v>80</v>
      </c>
      <c r="O1443" s="2" t="str">
        <f>VLOOKUP(OrganizedData[[#This Row],[Product Code]],ProductData[[Code]:[Item]],2,FALSE)</f>
        <v>Ultrathing V2</v>
      </c>
      <c r="P1443" s="4">
        <f>OrganizedData[[#This Row],[Quantity]]*VLOOKUP(OrganizedData[[#This Row],[Product Code]],ProductData[],4,FALSE)</f>
        <v>820</v>
      </c>
      <c r="Q1443" s="6">
        <f>OrganizedData[[#This Row],[Total Items Ordered]]*VLOOKUP(OrganizedData[[#This Row],[Product Code]],ProductData[],3,FALSE)</f>
        <v>2419</v>
      </c>
      <c r="R14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2346.4299999999998</v>
      </c>
    </row>
    <row r="1444" spans="1:18" x14ac:dyDescent="0.3">
      <c r="A1444" s="2">
        <v>1437</v>
      </c>
      <c r="B1444" s="2" t="s">
        <v>960</v>
      </c>
      <c r="C1444" s="2" t="s">
        <v>225</v>
      </c>
      <c r="D1444" s="2" t="s">
        <v>28</v>
      </c>
      <c r="E1444" s="2" t="s">
        <v>29</v>
      </c>
      <c r="F1444" s="2">
        <v>90</v>
      </c>
      <c r="G1444" s="2" t="s">
        <v>4468</v>
      </c>
      <c r="H1444" s="2" t="s">
        <v>346</v>
      </c>
      <c r="I1444" s="2" t="s">
        <v>32</v>
      </c>
      <c r="J1444" s="3">
        <v>44009</v>
      </c>
      <c r="K1444" s="5">
        <f>YEAR(OrganizedData[[#This Row],[Order Date]])</f>
        <v>2020</v>
      </c>
      <c r="L1444" s="7" t="str">
        <f>TEXT(OrganizedData[[#This Row],[Order Date]],"mmm")</f>
        <v>Jun</v>
      </c>
      <c r="M1444" s="2">
        <v>23</v>
      </c>
      <c r="N1444" s="2" t="s">
        <v>45</v>
      </c>
      <c r="O1444" s="2" t="str">
        <f>VLOOKUP(OrganizedData[[#This Row],[Product Code]],ProductData[[Code]:[Item]],2,FALSE)</f>
        <v>Gigastuff</v>
      </c>
      <c r="P1444" s="4">
        <f>OrganizedData[[#This Row],[Quantity]]*VLOOKUP(OrganizedData[[#This Row],[Product Code]],ProductData[],4,FALSE)</f>
        <v>414</v>
      </c>
      <c r="Q1444" s="6">
        <f>OrganizedData[[#This Row],[Total Items Ordered]]*VLOOKUP(OrganizedData[[#This Row],[Product Code]],ProductData[],3,FALSE)</f>
        <v>782.45999999999992</v>
      </c>
      <c r="R14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758.98619999999994</v>
      </c>
    </row>
    <row r="1445" spans="1:18" x14ac:dyDescent="0.3">
      <c r="A1445" s="2">
        <v>1438</v>
      </c>
      <c r="B1445" s="2" t="s">
        <v>3706</v>
      </c>
      <c r="C1445" s="2" t="s">
        <v>4469</v>
      </c>
      <c r="D1445" s="2" t="s">
        <v>28</v>
      </c>
      <c r="E1445" s="2" t="s">
        <v>29</v>
      </c>
      <c r="F1445" s="2">
        <v>90</v>
      </c>
      <c r="G1445" s="2" t="s">
        <v>4470</v>
      </c>
      <c r="H1445" s="2" t="s">
        <v>1754</v>
      </c>
      <c r="I1445" s="2" t="s">
        <v>25</v>
      </c>
      <c r="J1445" s="3">
        <v>44189</v>
      </c>
      <c r="K1445" s="5">
        <f>YEAR(OrganizedData[[#This Row],[Order Date]])</f>
        <v>2020</v>
      </c>
      <c r="L1445" s="7" t="str">
        <f>TEXT(OrganizedData[[#This Row],[Order Date]],"mmm")</f>
        <v>Dec</v>
      </c>
      <c r="M1445" s="2">
        <v>77</v>
      </c>
      <c r="N1445" s="2" t="s">
        <v>64</v>
      </c>
      <c r="O1445" s="2" t="str">
        <f>VLOOKUP(OrganizedData[[#This Row],[Product Code]],ProductData[[Code]:[Item]],2,FALSE)</f>
        <v>Ultrathing V4</v>
      </c>
      <c r="P1445" s="4">
        <f>OrganizedData[[#This Row],[Quantity]]*VLOOKUP(OrganizedData[[#This Row],[Product Code]],ProductData[],4,FALSE)</f>
        <v>1848</v>
      </c>
      <c r="Q1445" s="6">
        <f>OrganizedData[[#This Row],[Total Items Ordered]]*VLOOKUP(OrganizedData[[#This Row],[Product Code]],ProductData[],3,FALSE)</f>
        <v>7373.52</v>
      </c>
      <c r="R14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7004.8440000000001</v>
      </c>
    </row>
    <row r="1446" spans="1:18" x14ac:dyDescent="0.3">
      <c r="A1446" s="2">
        <v>1439</v>
      </c>
      <c r="B1446" s="2" t="s">
        <v>4471</v>
      </c>
      <c r="C1446" s="2" t="s">
        <v>3591</v>
      </c>
      <c r="D1446" s="2" t="s">
        <v>15</v>
      </c>
      <c r="E1446" s="2" t="s">
        <v>16</v>
      </c>
      <c r="F1446" s="2">
        <v>30</v>
      </c>
      <c r="G1446" s="2" t="s">
        <v>10491</v>
      </c>
      <c r="H1446" s="2" t="s">
        <v>981</v>
      </c>
      <c r="I1446" s="2" t="s">
        <v>32</v>
      </c>
      <c r="J1446" s="3">
        <v>44800</v>
      </c>
      <c r="K1446" s="5">
        <f>YEAR(OrganizedData[[#This Row],[Order Date]])</f>
        <v>2022</v>
      </c>
      <c r="L1446" s="7" t="str">
        <f>TEXT(OrganizedData[[#This Row],[Order Date]],"mmm")</f>
        <v>Aug</v>
      </c>
      <c r="M1446" s="2">
        <v>23</v>
      </c>
      <c r="N1446" s="2" t="s">
        <v>33</v>
      </c>
      <c r="O1446" s="2" t="str">
        <f>VLOOKUP(OrganizedData[[#This Row],[Product Code]],ProductData[[Code]:[Item]],2,FALSE)</f>
        <v>Megawidget L</v>
      </c>
      <c r="P1446" s="4">
        <f>OrganizedData[[#This Row],[Quantity]]*VLOOKUP(OrganizedData[[#This Row],[Product Code]],ProductData[],4,FALSE)</f>
        <v>552</v>
      </c>
      <c r="Q1446" s="6">
        <f>OrganizedData[[#This Row],[Total Items Ordered]]*VLOOKUP(OrganizedData[[#This Row],[Product Code]],ProductData[],3,FALSE)</f>
        <v>988.08</v>
      </c>
      <c r="R14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958.43759999999997</v>
      </c>
    </row>
    <row r="1447" spans="1:18" x14ac:dyDescent="0.3">
      <c r="A1447" s="2">
        <v>1440</v>
      </c>
      <c r="B1447" s="2" t="s">
        <v>289</v>
      </c>
      <c r="C1447" s="2" t="s">
        <v>4473</v>
      </c>
      <c r="D1447" s="2" t="s">
        <v>15</v>
      </c>
      <c r="E1447" s="2" t="s">
        <v>16</v>
      </c>
      <c r="F1447" s="2">
        <v>60</v>
      </c>
      <c r="G1447" s="2" t="s">
        <v>4474</v>
      </c>
      <c r="H1447" s="2" t="s">
        <v>3951</v>
      </c>
      <c r="I1447" s="2" t="s">
        <v>1576</v>
      </c>
      <c r="J1447" s="3">
        <v>43891</v>
      </c>
      <c r="K1447" s="5">
        <f>YEAR(OrganizedData[[#This Row],[Order Date]])</f>
        <v>2020</v>
      </c>
      <c r="L1447" s="7" t="str">
        <f>TEXT(OrganizedData[[#This Row],[Order Date]],"mmm")</f>
        <v>Mar</v>
      </c>
      <c r="M1447" s="2">
        <v>70</v>
      </c>
      <c r="N1447" s="2" t="s">
        <v>20</v>
      </c>
      <c r="O1447" s="2" t="str">
        <f>VLOOKUP(OrganizedData[[#This Row],[Product Code]],ProductData[[Code]:[Item]],2,FALSE)</f>
        <v>Hyperwotsit</v>
      </c>
      <c r="P1447" s="4">
        <f>OrganizedData[[#This Row],[Quantity]]*VLOOKUP(OrganizedData[[#This Row],[Product Code]],ProductData[],4,FALSE)</f>
        <v>1400</v>
      </c>
      <c r="Q1447" s="6">
        <f>OrganizedData[[#This Row],[Total Items Ordered]]*VLOOKUP(OrganizedData[[#This Row],[Product Code]],ProductData[],3,FALSE)</f>
        <v>2813.9999999999995</v>
      </c>
      <c r="R14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2673.2999999999993</v>
      </c>
    </row>
    <row r="1448" spans="1:18" x14ac:dyDescent="0.3">
      <c r="A1448" s="2">
        <v>1441</v>
      </c>
      <c r="B1448" s="2" t="s">
        <v>4475</v>
      </c>
      <c r="C1448" s="2" t="s">
        <v>4476</v>
      </c>
      <c r="D1448" s="2" t="s">
        <v>51</v>
      </c>
      <c r="E1448" s="2" t="s">
        <v>16</v>
      </c>
      <c r="F1448" s="2">
        <v>60</v>
      </c>
      <c r="G1448" s="2" t="s">
        <v>4477</v>
      </c>
      <c r="H1448" s="2" t="s">
        <v>4478</v>
      </c>
      <c r="I1448" s="2" t="s">
        <v>777</v>
      </c>
      <c r="J1448" s="3">
        <v>43966</v>
      </c>
      <c r="K1448" s="5">
        <f>YEAR(OrganizedData[[#This Row],[Order Date]])</f>
        <v>2020</v>
      </c>
      <c r="L1448" s="7" t="str">
        <f>TEXT(OrganizedData[[#This Row],[Order Date]],"mmm")</f>
        <v>May</v>
      </c>
      <c r="M1448" s="2">
        <v>76</v>
      </c>
      <c r="N1448" s="2" t="s">
        <v>80</v>
      </c>
      <c r="O1448" s="2" t="str">
        <f>VLOOKUP(OrganizedData[[#This Row],[Product Code]],ProductData[[Code]:[Item]],2,FALSE)</f>
        <v>Ultrathing V2</v>
      </c>
      <c r="P1448" s="4">
        <f>OrganizedData[[#This Row],[Quantity]]*VLOOKUP(OrganizedData[[#This Row],[Product Code]],ProductData[],4,FALSE)</f>
        <v>1520</v>
      </c>
      <c r="Q1448" s="6">
        <f>OrganizedData[[#This Row],[Total Items Ordered]]*VLOOKUP(OrganizedData[[#This Row],[Product Code]],ProductData[],3,FALSE)</f>
        <v>4484</v>
      </c>
      <c r="R14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4259.8</v>
      </c>
    </row>
    <row r="1449" spans="1:18" x14ac:dyDescent="0.3">
      <c r="A1449" s="2">
        <v>1442</v>
      </c>
      <c r="B1449" s="2" t="s">
        <v>1672</v>
      </c>
      <c r="C1449" s="2" t="s">
        <v>1649</v>
      </c>
      <c r="D1449" s="2" t="s">
        <v>28</v>
      </c>
      <c r="E1449" s="2" t="s">
        <v>29</v>
      </c>
      <c r="F1449" s="2">
        <v>60</v>
      </c>
      <c r="G1449" s="2" t="s">
        <v>4477</v>
      </c>
      <c r="H1449" s="2" t="s">
        <v>4479</v>
      </c>
      <c r="I1449" s="2" t="s">
        <v>32</v>
      </c>
      <c r="J1449" s="3">
        <v>44271</v>
      </c>
      <c r="K1449" s="5">
        <f>YEAR(OrganizedData[[#This Row],[Order Date]])</f>
        <v>2021</v>
      </c>
      <c r="L1449" s="7" t="str">
        <f>TEXT(OrganizedData[[#This Row],[Order Date]],"mmm")</f>
        <v>Mar</v>
      </c>
      <c r="M1449" s="2">
        <v>2</v>
      </c>
      <c r="N1449" s="2" t="s">
        <v>80</v>
      </c>
      <c r="O1449" s="2" t="str">
        <f>VLOOKUP(OrganizedData[[#This Row],[Product Code]],ProductData[[Code]:[Item]],2,FALSE)</f>
        <v>Ultrathing V2</v>
      </c>
      <c r="P1449" s="4">
        <f>OrganizedData[[#This Row],[Quantity]]*VLOOKUP(OrganizedData[[#This Row],[Product Code]],ProductData[],4,FALSE)</f>
        <v>40</v>
      </c>
      <c r="Q1449" s="6">
        <f>OrganizedData[[#This Row],[Total Items Ordered]]*VLOOKUP(OrganizedData[[#This Row],[Product Code]],ProductData[],3,FALSE)</f>
        <v>118</v>
      </c>
      <c r="R14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1450" spans="1:18" x14ac:dyDescent="0.3">
      <c r="A1450" s="2">
        <v>1443</v>
      </c>
      <c r="B1450" s="2" t="s">
        <v>4480</v>
      </c>
      <c r="C1450" s="2" t="s">
        <v>4481</v>
      </c>
      <c r="D1450" s="2" t="s">
        <v>51</v>
      </c>
      <c r="E1450" s="2" t="s">
        <v>16</v>
      </c>
      <c r="F1450" s="2">
        <v>60</v>
      </c>
      <c r="G1450" s="2" t="s">
        <v>4482</v>
      </c>
      <c r="H1450" s="2" t="s">
        <v>2512</v>
      </c>
      <c r="I1450" s="2" t="s">
        <v>32</v>
      </c>
      <c r="J1450" s="3">
        <v>44431</v>
      </c>
      <c r="K1450" s="5">
        <f>YEAR(OrganizedData[[#This Row],[Order Date]])</f>
        <v>2021</v>
      </c>
      <c r="L1450" s="7" t="str">
        <f>TEXT(OrganizedData[[#This Row],[Order Date]],"mmm")</f>
        <v>Aug</v>
      </c>
      <c r="M1450" s="2">
        <v>53</v>
      </c>
      <c r="N1450" s="2" t="s">
        <v>159</v>
      </c>
      <c r="O1450" s="2" t="str">
        <f>VLOOKUP(OrganizedData[[#This Row],[Product Code]],ProductData[[Code]:[Item]],2,FALSE)</f>
        <v>Ultrathing V3</v>
      </c>
      <c r="P1450" s="4">
        <f>OrganizedData[[#This Row],[Quantity]]*VLOOKUP(OrganizedData[[#This Row],[Product Code]],ProductData[],4,FALSE)</f>
        <v>1272</v>
      </c>
      <c r="Q1450" s="6">
        <f>OrganizedData[[#This Row],[Total Items Ordered]]*VLOOKUP(OrganizedData[[#This Row],[Product Code]],ProductData[],3,FALSE)</f>
        <v>4312.08</v>
      </c>
      <c r="R14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4096.4759999999997</v>
      </c>
    </row>
    <row r="1451" spans="1:18" x14ac:dyDescent="0.3">
      <c r="A1451" s="2">
        <v>1444</v>
      </c>
      <c r="B1451" s="2" t="s">
        <v>4244</v>
      </c>
      <c r="C1451" s="2" t="s">
        <v>2148</v>
      </c>
      <c r="D1451" s="2" t="s">
        <v>92</v>
      </c>
      <c r="E1451" s="2" t="s">
        <v>16</v>
      </c>
      <c r="F1451" s="2">
        <v>90</v>
      </c>
      <c r="G1451" s="2" t="s">
        <v>4483</v>
      </c>
      <c r="H1451" s="2" t="s">
        <v>4484</v>
      </c>
      <c r="I1451" s="2" t="s">
        <v>32</v>
      </c>
      <c r="J1451" s="3">
        <v>44884</v>
      </c>
      <c r="K1451" s="5">
        <f>YEAR(OrganizedData[[#This Row],[Order Date]])</f>
        <v>2022</v>
      </c>
      <c r="L1451" s="7" t="str">
        <f>TEXT(OrganizedData[[#This Row],[Order Date]],"mmm")</f>
        <v>Nov</v>
      </c>
      <c r="M1451" s="2">
        <v>93</v>
      </c>
      <c r="N1451" s="2" t="s">
        <v>80</v>
      </c>
      <c r="O1451" s="2" t="str">
        <f>VLOOKUP(OrganizedData[[#This Row],[Product Code]],ProductData[[Code]:[Item]],2,FALSE)</f>
        <v>Ultrathing V2</v>
      </c>
      <c r="P1451" s="4">
        <f>OrganizedData[[#This Row],[Quantity]]*VLOOKUP(OrganizedData[[#This Row],[Product Code]],ProductData[],4,FALSE)</f>
        <v>1860</v>
      </c>
      <c r="Q1451" s="6">
        <f>OrganizedData[[#This Row],[Total Items Ordered]]*VLOOKUP(OrganizedData[[#This Row],[Product Code]],ProductData[],3,FALSE)</f>
        <v>5487</v>
      </c>
      <c r="R14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5212.6499999999996</v>
      </c>
    </row>
    <row r="1452" spans="1:18" x14ac:dyDescent="0.3">
      <c r="A1452" s="2">
        <v>1445</v>
      </c>
      <c r="B1452" s="2" t="s">
        <v>2001</v>
      </c>
      <c r="C1452" s="2" t="s">
        <v>4485</v>
      </c>
      <c r="D1452" s="2" t="s">
        <v>51</v>
      </c>
      <c r="E1452" s="2" t="s">
        <v>16</v>
      </c>
      <c r="F1452" s="2">
        <v>30</v>
      </c>
      <c r="G1452" s="2" t="s">
        <v>4486</v>
      </c>
      <c r="H1452" s="2" t="s">
        <v>4463</v>
      </c>
      <c r="I1452" s="2" t="s">
        <v>32</v>
      </c>
      <c r="J1452" s="3">
        <v>43845</v>
      </c>
      <c r="K1452" s="5">
        <f>YEAR(OrganizedData[[#This Row],[Order Date]])</f>
        <v>2020</v>
      </c>
      <c r="L1452" s="7" t="str">
        <f>TEXT(OrganizedData[[#This Row],[Order Date]],"mmm")</f>
        <v>Jan</v>
      </c>
      <c r="M1452" s="2">
        <v>66</v>
      </c>
      <c r="N1452" s="2" t="s">
        <v>39</v>
      </c>
      <c r="O1452" s="2" t="str">
        <f>VLOOKUP(OrganizedData[[#This Row],[Product Code]],ProductData[[Code]:[Item]],2,FALSE)</f>
        <v>Ultrathing V1</v>
      </c>
      <c r="P1452" s="4">
        <f>OrganizedData[[#This Row],[Quantity]]*VLOOKUP(OrganizedData[[#This Row],[Product Code]],ProductData[],4,FALSE)</f>
        <v>1122</v>
      </c>
      <c r="Q1452" s="6">
        <f>OrganizedData[[#This Row],[Total Items Ordered]]*VLOOKUP(OrganizedData[[#This Row],[Product Code]],ProductData[],3,FALSE)</f>
        <v>2008.38</v>
      </c>
      <c r="R14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1453" spans="1:18" x14ac:dyDescent="0.3">
      <c r="A1453" s="2">
        <v>1446</v>
      </c>
      <c r="B1453" s="2" t="s">
        <v>4487</v>
      </c>
      <c r="C1453" s="2" t="s">
        <v>4216</v>
      </c>
      <c r="D1453" s="2" t="s">
        <v>15</v>
      </c>
      <c r="E1453" s="2" t="s">
        <v>16</v>
      </c>
      <c r="F1453" s="2">
        <v>30</v>
      </c>
      <c r="G1453" s="2" t="s">
        <v>4488</v>
      </c>
      <c r="H1453" s="2" t="s">
        <v>2436</v>
      </c>
      <c r="I1453" s="2" t="s">
        <v>294</v>
      </c>
      <c r="J1453" s="3">
        <v>44717</v>
      </c>
      <c r="K1453" s="5">
        <f>YEAR(OrganizedData[[#This Row],[Order Date]])</f>
        <v>2022</v>
      </c>
      <c r="L1453" s="7" t="str">
        <f>TEXT(OrganizedData[[#This Row],[Order Date]],"mmm")</f>
        <v>Jun</v>
      </c>
      <c r="M1453" s="2">
        <v>28</v>
      </c>
      <c r="N1453" s="2" t="s">
        <v>33</v>
      </c>
      <c r="O1453" s="2" t="str">
        <f>VLOOKUP(OrganizedData[[#This Row],[Product Code]],ProductData[[Code]:[Item]],2,FALSE)</f>
        <v>Megawidget L</v>
      </c>
      <c r="P1453" s="4">
        <f>OrganizedData[[#This Row],[Quantity]]*VLOOKUP(OrganizedData[[#This Row],[Product Code]],ProductData[],4,FALSE)</f>
        <v>672</v>
      </c>
      <c r="Q1453" s="6">
        <f>OrganizedData[[#This Row],[Total Items Ordered]]*VLOOKUP(OrganizedData[[#This Row],[Product Code]],ProductData[],3,FALSE)</f>
        <v>1202.8800000000001</v>
      </c>
      <c r="R14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1166.7936</v>
      </c>
    </row>
    <row r="1454" spans="1:18" x14ac:dyDescent="0.3">
      <c r="A1454" s="2">
        <v>1447</v>
      </c>
      <c r="B1454" s="2" t="s">
        <v>4489</v>
      </c>
      <c r="C1454" s="2" t="s">
        <v>4490</v>
      </c>
      <c r="D1454" s="2" t="s">
        <v>28</v>
      </c>
      <c r="E1454" s="2" t="s">
        <v>29</v>
      </c>
      <c r="F1454" s="2">
        <v>90</v>
      </c>
      <c r="G1454" s="2" t="s">
        <v>4491</v>
      </c>
      <c r="H1454" s="2" t="s">
        <v>1082</v>
      </c>
      <c r="I1454" s="2" t="s">
        <v>1083</v>
      </c>
      <c r="J1454" s="3">
        <v>44188</v>
      </c>
      <c r="K1454" s="5">
        <f>YEAR(OrganizedData[[#This Row],[Order Date]])</f>
        <v>2020</v>
      </c>
      <c r="L1454" s="7" t="str">
        <f>TEXT(OrganizedData[[#This Row],[Order Date]],"mmm")</f>
        <v>Dec</v>
      </c>
      <c r="M1454" s="2">
        <v>58</v>
      </c>
      <c r="N1454" s="2" t="s">
        <v>80</v>
      </c>
      <c r="O1454" s="2" t="str">
        <f>VLOOKUP(OrganizedData[[#This Row],[Product Code]],ProductData[[Code]:[Item]],2,FALSE)</f>
        <v>Ultrathing V2</v>
      </c>
      <c r="P1454" s="4">
        <f>OrganizedData[[#This Row],[Quantity]]*VLOOKUP(OrganizedData[[#This Row],[Product Code]],ProductData[],4,FALSE)</f>
        <v>1160</v>
      </c>
      <c r="Q1454" s="6">
        <f>OrganizedData[[#This Row],[Total Items Ordered]]*VLOOKUP(OrganizedData[[#This Row],[Product Code]],ProductData[],3,FALSE)</f>
        <v>3422</v>
      </c>
      <c r="R14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3250.8999999999996</v>
      </c>
    </row>
    <row r="1455" spans="1:18" x14ac:dyDescent="0.3">
      <c r="A1455" s="2">
        <v>1448</v>
      </c>
      <c r="B1455" s="2" t="s">
        <v>3811</v>
      </c>
      <c r="C1455" s="2" t="s">
        <v>4261</v>
      </c>
      <c r="D1455" s="2" t="s">
        <v>28</v>
      </c>
      <c r="E1455" s="2" t="s">
        <v>29</v>
      </c>
      <c r="F1455" s="2">
        <v>90</v>
      </c>
      <c r="G1455" s="2" t="s">
        <v>4492</v>
      </c>
      <c r="H1455" s="2" t="s">
        <v>4493</v>
      </c>
      <c r="I1455" s="2" t="s">
        <v>32</v>
      </c>
      <c r="J1455" s="3">
        <v>44156</v>
      </c>
      <c r="K1455" s="5">
        <f>YEAR(OrganizedData[[#This Row],[Order Date]])</f>
        <v>2020</v>
      </c>
      <c r="L1455" s="7" t="str">
        <f>TEXT(OrganizedData[[#This Row],[Order Date]],"mmm")</f>
        <v>Nov</v>
      </c>
      <c r="M1455" s="2">
        <v>55</v>
      </c>
      <c r="N1455" s="2" t="s">
        <v>39</v>
      </c>
      <c r="O1455" s="2" t="str">
        <f>VLOOKUP(OrganizedData[[#This Row],[Product Code]],ProductData[[Code]:[Item]],2,FALSE)</f>
        <v>Ultrathing V1</v>
      </c>
      <c r="P1455" s="4">
        <f>OrganizedData[[#This Row],[Quantity]]*VLOOKUP(OrganizedData[[#This Row],[Product Code]],ProductData[],4,FALSE)</f>
        <v>935</v>
      </c>
      <c r="Q1455" s="6">
        <f>OrganizedData[[#This Row],[Total Items Ordered]]*VLOOKUP(OrganizedData[[#This Row],[Product Code]],ProductData[],3,FALSE)</f>
        <v>1673.65</v>
      </c>
      <c r="R14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1456" spans="1:18" x14ac:dyDescent="0.3">
      <c r="A1456" s="2">
        <v>1449</v>
      </c>
      <c r="B1456" s="2" t="s">
        <v>4494</v>
      </c>
      <c r="C1456" s="2" t="s">
        <v>4495</v>
      </c>
      <c r="D1456" s="2" t="s">
        <v>28</v>
      </c>
      <c r="E1456" s="2" t="s">
        <v>29</v>
      </c>
      <c r="F1456" s="2">
        <v>60</v>
      </c>
      <c r="G1456" s="2" t="s">
        <v>4496</v>
      </c>
      <c r="H1456" s="2" t="s">
        <v>1056</v>
      </c>
      <c r="I1456" s="2" t="s">
        <v>129</v>
      </c>
      <c r="J1456" s="3">
        <v>44861</v>
      </c>
      <c r="K1456" s="5">
        <f>YEAR(OrganizedData[[#This Row],[Order Date]])</f>
        <v>2022</v>
      </c>
      <c r="L1456" s="7" t="str">
        <f>TEXT(OrganizedData[[#This Row],[Order Date]],"mmm")</f>
        <v>Oct</v>
      </c>
      <c r="M1456" s="2">
        <v>45</v>
      </c>
      <c r="N1456" s="2" t="s">
        <v>80</v>
      </c>
      <c r="O1456" s="2" t="str">
        <f>VLOOKUP(OrganizedData[[#This Row],[Product Code]],ProductData[[Code]:[Item]],2,FALSE)</f>
        <v>Ultrathing V2</v>
      </c>
      <c r="P1456" s="4">
        <f>OrganizedData[[#This Row],[Quantity]]*VLOOKUP(OrganizedData[[#This Row],[Product Code]],ProductData[],4,FALSE)</f>
        <v>900</v>
      </c>
      <c r="Q1456" s="6">
        <f>OrganizedData[[#This Row],[Total Items Ordered]]*VLOOKUP(OrganizedData[[#This Row],[Product Code]],ProductData[],3,FALSE)</f>
        <v>2655</v>
      </c>
      <c r="R14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1457" spans="1:18" x14ac:dyDescent="0.3">
      <c r="A1457" s="2">
        <v>1450</v>
      </c>
      <c r="B1457" s="2" t="s">
        <v>4497</v>
      </c>
      <c r="C1457" s="2" t="s">
        <v>888</v>
      </c>
      <c r="D1457" s="2" t="s">
        <v>41</v>
      </c>
      <c r="E1457" s="2" t="s">
        <v>16</v>
      </c>
      <c r="F1457" s="2">
        <v>30</v>
      </c>
      <c r="G1457" s="2" t="s">
        <v>4498</v>
      </c>
      <c r="H1457" s="2" t="s">
        <v>2045</v>
      </c>
      <c r="I1457" s="2" t="s">
        <v>38</v>
      </c>
      <c r="J1457" s="3">
        <v>44268</v>
      </c>
      <c r="K1457" s="5">
        <f>YEAR(OrganizedData[[#This Row],[Order Date]])</f>
        <v>2021</v>
      </c>
      <c r="L1457" s="7" t="str">
        <f>TEXT(OrganizedData[[#This Row],[Order Date]],"mmm")</f>
        <v>Mar</v>
      </c>
      <c r="M1457" s="2">
        <v>47</v>
      </c>
      <c r="N1457" s="2" t="s">
        <v>45</v>
      </c>
      <c r="O1457" s="2" t="str">
        <f>VLOOKUP(OrganizedData[[#This Row],[Product Code]],ProductData[[Code]:[Item]],2,FALSE)</f>
        <v>Gigastuff</v>
      </c>
      <c r="P1457" s="4">
        <f>OrganizedData[[#This Row],[Quantity]]*VLOOKUP(OrganizedData[[#This Row],[Product Code]],ProductData[],4,FALSE)</f>
        <v>846</v>
      </c>
      <c r="Q1457" s="6">
        <f>OrganizedData[[#This Row],[Total Items Ordered]]*VLOOKUP(OrganizedData[[#This Row],[Product Code]],ProductData[],3,FALSE)</f>
        <v>1598.9399999999998</v>
      </c>
      <c r="R14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1458" spans="1:18" x14ac:dyDescent="0.3">
      <c r="A1458" s="2">
        <v>1451</v>
      </c>
      <c r="B1458" s="2" t="s">
        <v>4499</v>
      </c>
      <c r="C1458" s="2" t="s">
        <v>372</v>
      </c>
      <c r="D1458" s="2" t="s">
        <v>28</v>
      </c>
      <c r="E1458" s="2" t="s">
        <v>29</v>
      </c>
      <c r="F1458" s="2">
        <v>60</v>
      </c>
      <c r="G1458" s="2" t="s">
        <v>4500</v>
      </c>
      <c r="H1458" s="2" t="s">
        <v>3473</v>
      </c>
      <c r="I1458" s="2" t="s">
        <v>1199</v>
      </c>
      <c r="J1458" s="3">
        <v>44320</v>
      </c>
      <c r="K1458" s="5">
        <f>YEAR(OrganizedData[[#This Row],[Order Date]])</f>
        <v>2021</v>
      </c>
      <c r="L1458" s="7" t="str">
        <f>TEXT(OrganizedData[[#This Row],[Order Date]],"mmm")</f>
        <v>May</v>
      </c>
      <c r="M1458" s="2">
        <v>21</v>
      </c>
      <c r="N1458" s="2" t="s">
        <v>70</v>
      </c>
      <c r="O1458" s="2" t="str">
        <f>VLOOKUP(OrganizedData[[#This Row],[Product Code]],ProductData[[Code]:[Item]],2,FALSE)</f>
        <v>Megawidget M</v>
      </c>
      <c r="P1458" s="4">
        <f>OrganizedData[[#This Row],[Quantity]]*VLOOKUP(OrganizedData[[#This Row],[Product Code]],ProductData[],4,FALSE)</f>
        <v>504</v>
      </c>
      <c r="Q1458" s="6">
        <f>OrganizedData[[#This Row],[Total Items Ordered]]*VLOOKUP(OrganizedData[[#This Row],[Product Code]],ProductData[],3,FALSE)</f>
        <v>650.16</v>
      </c>
      <c r="R14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630.65519999999992</v>
      </c>
    </row>
    <row r="1459" spans="1:18" x14ac:dyDescent="0.3">
      <c r="A1459" s="2">
        <v>1452</v>
      </c>
      <c r="B1459" s="2" t="s">
        <v>683</v>
      </c>
      <c r="C1459" s="2" t="s">
        <v>4501</v>
      </c>
      <c r="D1459" s="2" t="s">
        <v>28</v>
      </c>
      <c r="E1459" s="2" t="s">
        <v>29</v>
      </c>
      <c r="F1459" s="2">
        <v>30</v>
      </c>
      <c r="G1459" s="2" t="s">
        <v>4502</v>
      </c>
      <c r="H1459" s="2" t="s">
        <v>4503</v>
      </c>
      <c r="I1459" s="2" t="s">
        <v>425</v>
      </c>
      <c r="J1459" s="3">
        <v>44301</v>
      </c>
      <c r="K1459" s="5">
        <f>YEAR(OrganizedData[[#This Row],[Order Date]])</f>
        <v>2021</v>
      </c>
      <c r="L1459" s="7" t="str">
        <f>TEXT(OrganizedData[[#This Row],[Order Date]],"mmm")</f>
        <v>Apr</v>
      </c>
      <c r="M1459" s="2">
        <v>35</v>
      </c>
      <c r="N1459" s="2" t="s">
        <v>20</v>
      </c>
      <c r="O1459" s="2" t="str">
        <f>VLOOKUP(OrganizedData[[#This Row],[Product Code]],ProductData[[Code]:[Item]],2,FALSE)</f>
        <v>Hyperwotsit</v>
      </c>
      <c r="P1459" s="4">
        <f>OrganizedData[[#This Row],[Quantity]]*VLOOKUP(OrganizedData[[#This Row],[Product Code]],ProductData[],4,FALSE)</f>
        <v>700</v>
      </c>
      <c r="Q1459" s="6">
        <f>OrganizedData[[#This Row],[Total Items Ordered]]*VLOOKUP(OrganizedData[[#This Row],[Product Code]],ProductData[],3,FALSE)</f>
        <v>1406.9999999999998</v>
      </c>
      <c r="R14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1364.7899999999997</v>
      </c>
    </row>
    <row r="1460" spans="1:18" x14ac:dyDescent="0.3">
      <c r="A1460" s="2">
        <v>1453</v>
      </c>
      <c r="B1460" s="2" t="s">
        <v>2455</v>
      </c>
      <c r="C1460" s="2" t="s">
        <v>4504</v>
      </c>
      <c r="D1460" s="2" t="s">
        <v>51</v>
      </c>
      <c r="E1460" s="2" t="s">
        <v>16</v>
      </c>
      <c r="F1460" s="2">
        <v>60</v>
      </c>
      <c r="G1460" s="2" t="s">
        <v>4505</v>
      </c>
      <c r="H1460" s="2" t="s">
        <v>1206</v>
      </c>
      <c r="I1460" s="2" t="s">
        <v>294</v>
      </c>
      <c r="J1460" s="3">
        <v>43968</v>
      </c>
      <c r="K1460" s="5">
        <f>YEAR(OrganizedData[[#This Row],[Order Date]])</f>
        <v>2020</v>
      </c>
      <c r="L1460" s="7" t="str">
        <f>TEXT(OrganizedData[[#This Row],[Order Date]],"mmm")</f>
        <v>May</v>
      </c>
      <c r="M1460" s="2">
        <v>16</v>
      </c>
      <c r="N1460" s="2" t="s">
        <v>33</v>
      </c>
      <c r="O1460" s="2" t="str">
        <f>VLOOKUP(OrganizedData[[#This Row],[Product Code]],ProductData[[Code]:[Item]],2,FALSE)</f>
        <v>Megawidget L</v>
      </c>
      <c r="P1460" s="4">
        <f>OrganizedData[[#This Row],[Quantity]]*VLOOKUP(OrganizedData[[#This Row],[Product Code]],ProductData[],4,FALSE)</f>
        <v>384</v>
      </c>
      <c r="Q1460" s="6">
        <f>OrganizedData[[#This Row],[Total Items Ordered]]*VLOOKUP(OrganizedData[[#This Row],[Product Code]],ProductData[],3,FALSE)</f>
        <v>687.36</v>
      </c>
      <c r="R14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1461" spans="1:18" x14ac:dyDescent="0.3">
      <c r="A1461" s="2">
        <v>1454</v>
      </c>
      <c r="B1461" s="2" t="s">
        <v>4506</v>
      </c>
      <c r="C1461" s="2" t="s">
        <v>3776</v>
      </c>
      <c r="D1461" s="2" t="s">
        <v>51</v>
      </c>
      <c r="E1461" s="2" t="s">
        <v>16</v>
      </c>
      <c r="F1461" s="2">
        <v>90</v>
      </c>
      <c r="G1461" s="2" t="s">
        <v>4507</v>
      </c>
      <c r="H1461" s="2" t="s">
        <v>4508</v>
      </c>
      <c r="I1461" s="2" t="s">
        <v>32</v>
      </c>
      <c r="J1461" s="3">
        <v>44462</v>
      </c>
      <c r="K1461" s="5">
        <f>YEAR(OrganizedData[[#This Row],[Order Date]])</f>
        <v>2021</v>
      </c>
      <c r="L1461" s="7" t="str">
        <f>TEXT(OrganizedData[[#This Row],[Order Date]],"mmm")</f>
        <v>Sep</v>
      </c>
      <c r="M1461" s="2">
        <v>38</v>
      </c>
      <c r="N1461" s="2" t="s">
        <v>39</v>
      </c>
      <c r="O1461" s="2" t="str">
        <f>VLOOKUP(OrganizedData[[#This Row],[Product Code]],ProductData[[Code]:[Item]],2,FALSE)</f>
        <v>Ultrathing V1</v>
      </c>
      <c r="P1461" s="4">
        <f>OrganizedData[[#This Row],[Quantity]]*VLOOKUP(OrganizedData[[#This Row],[Product Code]],ProductData[],4,FALSE)</f>
        <v>646</v>
      </c>
      <c r="Q1461" s="6">
        <f>OrganizedData[[#This Row],[Total Items Ordered]]*VLOOKUP(OrganizedData[[#This Row],[Product Code]],ProductData[],3,FALSE)</f>
        <v>1156.3399999999999</v>
      </c>
      <c r="R14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1121.6497999999999</v>
      </c>
    </row>
    <row r="1462" spans="1:18" x14ac:dyDescent="0.3">
      <c r="A1462" s="2">
        <v>1455</v>
      </c>
      <c r="B1462" s="2" t="s">
        <v>4509</v>
      </c>
      <c r="C1462" s="2" t="s">
        <v>1627</v>
      </c>
      <c r="D1462" s="2" t="s">
        <v>28</v>
      </c>
      <c r="E1462" s="2" t="s">
        <v>29</v>
      </c>
      <c r="F1462" s="2">
        <v>30</v>
      </c>
      <c r="G1462" s="2" t="s">
        <v>4510</v>
      </c>
      <c r="H1462" s="2" t="s">
        <v>1206</v>
      </c>
      <c r="I1462" s="2" t="s">
        <v>294</v>
      </c>
      <c r="J1462" s="3">
        <v>44798</v>
      </c>
      <c r="K1462" s="5">
        <f>YEAR(OrganizedData[[#This Row],[Order Date]])</f>
        <v>2022</v>
      </c>
      <c r="L1462" s="7" t="str">
        <f>TEXT(OrganizedData[[#This Row],[Order Date]],"mmm")</f>
        <v>Aug</v>
      </c>
      <c r="M1462" s="2">
        <v>16</v>
      </c>
      <c r="N1462" s="2" t="s">
        <v>101</v>
      </c>
      <c r="O1462" s="2" t="str">
        <f>VLOOKUP(OrganizedData[[#This Row],[Product Code]],ProductData[[Code]:[Item]],2,FALSE)</f>
        <v>Superwossname</v>
      </c>
      <c r="P1462" s="4">
        <f>OrganizedData[[#This Row],[Quantity]]*VLOOKUP(OrganizedData[[#This Row],[Product Code]],ProductData[],4,FALSE)</f>
        <v>320</v>
      </c>
      <c r="Q1462" s="6">
        <f>OrganizedData[[#This Row],[Total Items Ordered]]*VLOOKUP(OrganizedData[[#This Row],[Product Code]],ProductData[],3,FALSE)</f>
        <v>1116.8000000000002</v>
      </c>
      <c r="R14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1463" spans="1:18" x14ac:dyDescent="0.3">
      <c r="A1463" s="2">
        <v>1456</v>
      </c>
      <c r="B1463" s="2" t="s">
        <v>3313</v>
      </c>
      <c r="C1463" s="2" t="s">
        <v>3624</v>
      </c>
      <c r="D1463" s="2" t="s">
        <v>28</v>
      </c>
      <c r="E1463" s="2" t="s">
        <v>29</v>
      </c>
      <c r="F1463" s="2">
        <v>60</v>
      </c>
      <c r="G1463" s="2" t="s">
        <v>4511</v>
      </c>
      <c r="H1463" s="2" t="s">
        <v>1184</v>
      </c>
      <c r="I1463" s="2" t="s">
        <v>886</v>
      </c>
      <c r="J1463" s="3">
        <v>44898</v>
      </c>
      <c r="K1463" s="5">
        <f>YEAR(OrganizedData[[#This Row],[Order Date]])</f>
        <v>2022</v>
      </c>
      <c r="L1463" s="7" t="str">
        <f>TEXT(OrganizedData[[#This Row],[Order Date]],"mmm")</f>
        <v>Dec</v>
      </c>
      <c r="M1463" s="2">
        <v>97</v>
      </c>
      <c r="N1463" s="2" t="s">
        <v>54</v>
      </c>
      <c r="O1463" s="2" t="str">
        <f>VLOOKUP(OrganizedData[[#This Row],[Product Code]],ProductData[[Code]:[Item]],2,FALSE)</f>
        <v>Megawidget S</v>
      </c>
      <c r="P1463" s="4">
        <f>OrganizedData[[#This Row],[Quantity]]*VLOOKUP(OrganizedData[[#This Row],[Product Code]],ProductData[],4,FALSE)</f>
        <v>2328</v>
      </c>
      <c r="Q1463" s="6">
        <f>OrganizedData[[#This Row],[Total Items Ordered]]*VLOOKUP(OrganizedData[[#This Row],[Product Code]],ProductData[],3,FALSE)</f>
        <v>1606.32</v>
      </c>
      <c r="R14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1526.0039999999999</v>
      </c>
    </row>
    <row r="1464" spans="1:18" x14ac:dyDescent="0.3">
      <c r="A1464" s="2">
        <v>1457</v>
      </c>
      <c r="B1464" s="2" t="s">
        <v>3381</v>
      </c>
      <c r="C1464" s="2" t="s">
        <v>4512</v>
      </c>
      <c r="D1464" s="2" t="s">
        <v>51</v>
      </c>
      <c r="E1464" s="2" t="s">
        <v>16</v>
      </c>
      <c r="F1464" s="2">
        <v>90</v>
      </c>
      <c r="G1464" s="2" t="s">
        <v>4513</v>
      </c>
      <c r="H1464" s="2" t="s">
        <v>827</v>
      </c>
      <c r="I1464" s="2" t="s">
        <v>124</v>
      </c>
      <c r="J1464" s="3">
        <v>44660</v>
      </c>
      <c r="K1464" s="5">
        <f>YEAR(OrganizedData[[#This Row],[Order Date]])</f>
        <v>2022</v>
      </c>
      <c r="L1464" s="7" t="str">
        <f>TEXT(OrganizedData[[#This Row],[Order Date]],"mmm")</f>
        <v>Apr</v>
      </c>
      <c r="M1464" s="2">
        <v>29</v>
      </c>
      <c r="N1464" s="2" t="s">
        <v>70</v>
      </c>
      <c r="O1464" s="2" t="str">
        <f>VLOOKUP(OrganizedData[[#This Row],[Product Code]],ProductData[[Code]:[Item]],2,FALSE)</f>
        <v>Megawidget M</v>
      </c>
      <c r="P1464" s="4">
        <f>OrganizedData[[#This Row],[Quantity]]*VLOOKUP(OrganizedData[[#This Row],[Product Code]],ProductData[],4,FALSE)</f>
        <v>696</v>
      </c>
      <c r="Q1464" s="6">
        <f>OrganizedData[[#This Row],[Total Items Ordered]]*VLOOKUP(OrganizedData[[#This Row],[Product Code]],ProductData[],3,FALSE)</f>
        <v>897.84</v>
      </c>
      <c r="R14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870.90480000000002</v>
      </c>
    </row>
    <row r="1465" spans="1:18" x14ac:dyDescent="0.3">
      <c r="A1465" s="2">
        <v>1458</v>
      </c>
      <c r="B1465" s="2" t="s">
        <v>1591</v>
      </c>
      <c r="C1465" s="2" t="s">
        <v>219</v>
      </c>
      <c r="D1465" s="2" t="s">
        <v>28</v>
      </c>
      <c r="E1465" s="2" t="s">
        <v>29</v>
      </c>
      <c r="F1465" s="2">
        <v>90</v>
      </c>
      <c r="G1465" s="2" t="s">
        <v>4514</v>
      </c>
      <c r="H1465" s="2" t="s">
        <v>3208</v>
      </c>
      <c r="I1465" s="2" t="s">
        <v>32</v>
      </c>
      <c r="J1465" s="3">
        <v>44051</v>
      </c>
      <c r="K1465" s="5">
        <f>YEAR(OrganizedData[[#This Row],[Order Date]])</f>
        <v>2020</v>
      </c>
      <c r="L1465" s="7" t="str">
        <f>TEXT(OrganizedData[[#This Row],[Order Date]],"mmm")</f>
        <v>Aug</v>
      </c>
      <c r="M1465" s="2">
        <v>19</v>
      </c>
      <c r="N1465" s="2" t="s">
        <v>159</v>
      </c>
      <c r="O1465" s="2" t="str">
        <f>VLOOKUP(OrganizedData[[#This Row],[Product Code]],ProductData[[Code]:[Item]],2,FALSE)</f>
        <v>Ultrathing V3</v>
      </c>
      <c r="P1465" s="4">
        <f>OrganizedData[[#This Row],[Quantity]]*VLOOKUP(OrganizedData[[#This Row],[Product Code]],ProductData[],4,FALSE)</f>
        <v>456</v>
      </c>
      <c r="Q1465" s="6">
        <f>OrganizedData[[#This Row],[Total Items Ordered]]*VLOOKUP(OrganizedData[[#This Row],[Product Code]],ProductData[],3,FALSE)</f>
        <v>1545.8400000000001</v>
      </c>
      <c r="R14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1545.8400000000001</v>
      </c>
    </row>
    <row r="1466" spans="1:18" x14ac:dyDescent="0.3">
      <c r="A1466" s="2">
        <v>1459</v>
      </c>
      <c r="B1466" s="2" t="s">
        <v>2815</v>
      </c>
      <c r="C1466" s="2" t="s">
        <v>543</v>
      </c>
      <c r="D1466" s="2" t="s">
        <v>28</v>
      </c>
      <c r="E1466" s="2" t="s">
        <v>29</v>
      </c>
      <c r="F1466" s="2">
        <v>90</v>
      </c>
      <c r="G1466" s="2" t="s">
        <v>4515</v>
      </c>
      <c r="H1466" s="2" t="s">
        <v>2795</v>
      </c>
      <c r="I1466" s="2" t="s">
        <v>38</v>
      </c>
      <c r="J1466" s="3">
        <v>44007</v>
      </c>
      <c r="K1466" s="5">
        <f>YEAR(OrganizedData[[#This Row],[Order Date]])</f>
        <v>2020</v>
      </c>
      <c r="L1466" s="7" t="str">
        <f>TEXT(OrganizedData[[#This Row],[Order Date]],"mmm")</f>
        <v>Jun</v>
      </c>
      <c r="M1466" s="2">
        <v>40</v>
      </c>
      <c r="N1466" s="2" t="s">
        <v>20</v>
      </c>
      <c r="O1466" s="2" t="str">
        <f>VLOOKUP(OrganizedData[[#This Row],[Product Code]],ProductData[[Code]:[Item]],2,FALSE)</f>
        <v>Hyperwotsit</v>
      </c>
      <c r="P1466" s="4">
        <f>OrganizedData[[#This Row],[Quantity]]*VLOOKUP(OrganizedData[[#This Row],[Product Code]],ProductData[],4,FALSE)</f>
        <v>800</v>
      </c>
      <c r="Q1466" s="6">
        <f>OrganizedData[[#This Row],[Total Items Ordered]]*VLOOKUP(OrganizedData[[#This Row],[Product Code]],ProductData[],3,FALSE)</f>
        <v>1607.9999999999998</v>
      </c>
      <c r="R14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1467" spans="1:18" x14ac:dyDescent="0.3">
      <c r="A1467" s="2">
        <v>1460</v>
      </c>
      <c r="B1467" s="2" t="s">
        <v>994</v>
      </c>
      <c r="C1467" s="2" t="s">
        <v>1774</v>
      </c>
      <c r="D1467" s="2" t="s">
        <v>117</v>
      </c>
      <c r="E1467" s="2" t="s">
        <v>29</v>
      </c>
      <c r="F1467" s="2">
        <v>90</v>
      </c>
      <c r="G1467" s="2" t="s">
        <v>4516</v>
      </c>
      <c r="H1467" s="2" t="s">
        <v>4517</v>
      </c>
      <c r="I1467" s="2" t="s">
        <v>173</v>
      </c>
      <c r="J1467" s="3">
        <v>44134</v>
      </c>
      <c r="K1467" s="5">
        <f>YEAR(OrganizedData[[#This Row],[Order Date]])</f>
        <v>2020</v>
      </c>
      <c r="L1467" s="7" t="str">
        <f>TEXT(OrganizedData[[#This Row],[Order Date]],"mmm")</f>
        <v>Oct</v>
      </c>
      <c r="M1467" s="2">
        <v>27</v>
      </c>
      <c r="N1467" s="2" t="s">
        <v>39</v>
      </c>
      <c r="O1467" s="2" t="str">
        <f>VLOOKUP(OrganizedData[[#This Row],[Product Code]],ProductData[[Code]:[Item]],2,FALSE)</f>
        <v>Ultrathing V1</v>
      </c>
      <c r="P1467" s="4">
        <f>OrganizedData[[#This Row],[Quantity]]*VLOOKUP(OrganizedData[[#This Row],[Product Code]],ProductData[],4,FALSE)</f>
        <v>459</v>
      </c>
      <c r="Q1467" s="6">
        <f>OrganizedData[[#This Row],[Total Items Ordered]]*VLOOKUP(OrganizedData[[#This Row],[Product Code]],ProductData[],3,FALSE)</f>
        <v>821.61</v>
      </c>
      <c r="R14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796.96169999999995</v>
      </c>
    </row>
    <row r="1468" spans="1:18" x14ac:dyDescent="0.3">
      <c r="A1468" s="2">
        <v>1461</v>
      </c>
      <c r="B1468" s="2" t="s">
        <v>800</v>
      </c>
      <c r="C1468" s="2" t="s">
        <v>4518</v>
      </c>
      <c r="D1468" s="2" t="s">
        <v>28</v>
      </c>
      <c r="E1468" s="2" t="s">
        <v>29</v>
      </c>
      <c r="F1468" s="2">
        <v>30</v>
      </c>
      <c r="G1468" s="2" t="s">
        <v>4519</v>
      </c>
      <c r="H1468" s="2" t="s">
        <v>4520</v>
      </c>
      <c r="I1468" s="2" t="s">
        <v>32</v>
      </c>
      <c r="J1468" s="3">
        <v>44247</v>
      </c>
      <c r="K1468" s="5">
        <f>YEAR(OrganizedData[[#This Row],[Order Date]])</f>
        <v>2021</v>
      </c>
      <c r="L1468" s="7" t="str">
        <f>TEXT(OrganizedData[[#This Row],[Order Date]],"mmm")</f>
        <v>Feb</v>
      </c>
      <c r="M1468" s="2">
        <v>17</v>
      </c>
      <c r="N1468" s="2" t="s">
        <v>45</v>
      </c>
      <c r="O1468" s="2" t="str">
        <f>VLOOKUP(OrganizedData[[#This Row],[Product Code]],ProductData[[Code]:[Item]],2,FALSE)</f>
        <v>Gigastuff</v>
      </c>
      <c r="P1468" s="4">
        <f>OrganizedData[[#This Row],[Quantity]]*VLOOKUP(OrganizedData[[#This Row],[Product Code]],ProductData[],4,FALSE)</f>
        <v>306</v>
      </c>
      <c r="Q1468" s="6">
        <f>OrganizedData[[#This Row],[Total Items Ordered]]*VLOOKUP(OrganizedData[[#This Row],[Product Code]],ProductData[],3,FALSE)</f>
        <v>578.33999999999992</v>
      </c>
      <c r="R14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1469" spans="1:18" x14ac:dyDescent="0.3">
      <c r="A1469" s="2">
        <v>1462</v>
      </c>
      <c r="B1469" s="2" t="s">
        <v>4521</v>
      </c>
      <c r="C1469" s="2" t="s">
        <v>4522</v>
      </c>
      <c r="D1469" s="2" t="s">
        <v>51</v>
      </c>
      <c r="E1469" s="2" t="s">
        <v>16</v>
      </c>
      <c r="F1469" s="2">
        <v>90</v>
      </c>
      <c r="G1469" s="2" t="s">
        <v>4523</v>
      </c>
      <c r="H1469" s="2" t="s">
        <v>1168</v>
      </c>
      <c r="I1469" s="2" t="s">
        <v>32</v>
      </c>
      <c r="J1469" s="3">
        <v>44168</v>
      </c>
      <c r="K1469" s="5">
        <f>YEAR(OrganizedData[[#This Row],[Order Date]])</f>
        <v>2020</v>
      </c>
      <c r="L1469" s="7" t="str">
        <f>TEXT(OrganizedData[[#This Row],[Order Date]],"mmm")</f>
        <v>Dec</v>
      </c>
      <c r="M1469" s="2">
        <v>69</v>
      </c>
      <c r="N1469" s="2" t="s">
        <v>54</v>
      </c>
      <c r="O1469" s="2" t="str">
        <f>VLOOKUP(OrganizedData[[#This Row],[Product Code]],ProductData[[Code]:[Item]],2,FALSE)</f>
        <v>Megawidget S</v>
      </c>
      <c r="P1469" s="4">
        <f>OrganizedData[[#This Row],[Quantity]]*VLOOKUP(OrganizedData[[#This Row],[Product Code]],ProductData[],4,FALSE)</f>
        <v>1656</v>
      </c>
      <c r="Q1469" s="6">
        <f>OrganizedData[[#This Row],[Total Items Ordered]]*VLOOKUP(OrganizedData[[#This Row],[Product Code]],ProductData[],3,FALSE)</f>
        <v>1142.6399999999999</v>
      </c>
      <c r="R14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1470" spans="1:18" x14ac:dyDescent="0.3">
      <c r="A1470" s="2">
        <v>1463</v>
      </c>
      <c r="B1470" s="2" t="s">
        <v>4524</v>
      </c>
      <c r="C1470" s="2" t="s">
        <v>2298</v>
      </c>
      <c r="D1470" s="2" t="s">
        <v>15</v>
      </c>
      <c r="E1470" s="2" t="s">
        <v>16</v>
      </c>
      <c r="F1470" s="2">
        <v>60</v>
      </c>
      <c r="G1470" s="2" t="s">
        <v>10492</v>
      </c>
      <c r="H1470" s="2" t="s">
        <v>3044</v>
      </c>
      <c r="I1470" s="2" t="s">
        <v>1413</v>
      </c>
      <c r="J1470" s="3">
        <v>44350</v>
      </c>
      <c r="K1470" s="5">
        <f>YEAR(OrganizedData[[#This Row],[Order Date]])</f>
        <v>2021</v>
      </c>
      <c r="L1470" s="7" t="str">
        <f>TEXT(OrganizedData[[#This Row],[Order Date]],"mmm")</f>
        <v>Jun</v>
      </c>
      <c r="M1470" s="2">
        <v>65</v>
      </c>
      <c r="N1470" s="2" t="s">
        <v>54</v>
      </c>
      <c r="O1470" s="2" t="str">
        <f>VLOOKUP(OrganizedData[[#This Row],[Product Code]],ProductData[[Code]:[Item]],2,FALSE)</f>
        <v>Megawidget S</v>
      </c>
      <c r="P1470" s="4">
        <f>OrganizedData[[#This Row],[Quantity]]*VLOOKUP(OrganizedData[[#This Row],[Product Code]],ProductData[],4,FALSE)</f>
        <v>1560</v>
      </c>
      <c r="Q1470" s="6">
        <f>OrganizedData[[#This Row],[Total Items Ordered]]*VLOOKUP(OrganizedData[[#This Row],[Product Code]],ProductData[],3,FALSE)</f>
        <v>1076.3999999999999</v>
      </c>
      <c r="R14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1471" spans="1:18" x14ac:dyDescent="0.3">
      <c r="A1471" s="2">
        <v>1464</v>
      </c>
      <c r="B1471" s="2" t="s">
        <v>2203</v>
      </c>
      <c r="C1471" s="2" t="s">
        <v>1614</v>
      </c>
      <c r="D1471" s="2" t="s">
        <v>51</v>
      </c>
      <c r="E1471" s="2" t="s">
        <v>16</v>
      </c>
      <c r="F1471" s="2">
        <v>30</v>
      </c>
      <c r="G1471" s="2" t="s">
        <v>4526</v>
      </c>
      <c r="H1471" s="2" t="s">
        <v>4527</v>
      </c>
      <c r="I1471" s="2" t="s">
        <v>32</v>
      </c>
      <c r="J1471" s="3">
        <v>44367</v>
      </c>
      <c r="K1471" s="5">
        <f>YEAR(OrganizedData[[#This Row],[Order Date]])</f>
        <v>2021</v>
      </c>
      <c r="L1471" s="7" t="str">
        <f>TEXT(OrganizedData[[#This Row],[Order Date]],"mmm")</f>
        <v>Jun</v>
      </c>
      <c r="M1471" s="2">
        <v>47</v>
      </c>
      <c r="N1471" s="2" t="s">
        <v>33</v>
      </c>
      <c r="O1471" s="2" t="str">
        <f>VLOOKUP(OrganizedData[[#This Row],[Product Code]],ProductData[[Code]:[Item]],2,FALSE)</f>
        <v>Megawidget L</v>
      </c>
      <c r="P1471" s="4">
        <f>OrganizedData[[#This Row],[Quantity]]*VLOOKUP(OrganizedData[[#This Row],[Product Code]],ProductData[],4,FALSE)</f>
        <v>1128</v>
      </c>
      <c r="Q1471" s="6">
        <f>OrganizedData[[#This Row],[Total Items Ordered]]*VLOOKUP(OrganizedData[[#This Row],[Product Code]],ProductData[],3,FALSE)</f>
        <v>2019.1200000000001</v>
      </c>
      <c r="R14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1472" spans="1:18" x14ac:dyDescent="0.3">
      <c r="A1472" s="2">
        <v>1465</v>
      </c>
      <c r="B1472" s="2" t="s">
        <v>3503</v>
      </c>
      <c r="C1472" s="2" t="s">
        <v>4528</v>
      </c>
      <c r="D1472" s="2" t="s">
        <v>51</v>
      </c>
      <c r="E1472" s="2" t="s">
        <v>16</v>
      </c>
      <c r="F1472" s="2">
        <v>90</v>
      </c>
      <c r="G1472" s="2" t="s">
        <v>4529</v>
      </c>
      <c r="H1472" s="2" t="s">
        <v>2154</v>
      </c>
      <c r="I1472" s="2" t="s">
        <v>124</v>
      </c>
      <c r="J1472" s="3">
        <v>44651</v>
      </c>
      <c r="K1472" s="5">
        <f>YEAR(OrganizedData[[#This Row],[Order Date]])</f>
        <v>2022</v>
      </c>
      <c r="L1472" s="7" t="str">
        <f>TEXT(OrganizedData[[#This Row],[Order Date]],"mmm")</f>
        <v>Mar</v>
      </c>
      <c r="M1472" s="2">
        <v>22</v>
      </c>
      <c r="N1472" s="2" t="s">
        <v>45</v>
      </c>
      <c r="O1472" s="2" t="str">
        <f>VLOOKUP(OrganizedData[[#This Row],[Product Code]],ProductData[[Code]:[Item]],2,FALSE)</f>
        <v>Gigastuff</v>
      </c>
      <c r="P1472" s="4">
        <f>OrganizedData[[#This Row],[Quantity]]*VLOOKUP(OrganizedData[[#This Row],[Product Code]],ProductData[],4,FALSE)</f>
        <v>396</v>
      </c>
      <c r="Q1472" s="6">
        <f>OrganizedData[[#This Row],[Total Items Ordered]]*VLOOKUP(OrganizedData[[#This Row],[Product Code]],ProductData[],3,FALSE)</f>
        <v>748.43999999999994</v>
      </c>
      <c r="R14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725.9867999999999</v>
      </c>
    </row>
    <row r="1473" spans="1:18" x14ac:dyDescent="0.3">
      <c r="A1473" s="2">
        <v>1466</v>
      </c>
      <c r="B1473" s="2" t="s">
        <v>4008</v>
      </c>
      <c r="C1473" s="2" t="s">
        <v>2823</v>
      </c>
      <c r="D1473" s="2" t="s">
        <v>28</v>
      </c>
      <c r="E1473" s="2" t="s">
        <v>29</v>
      </c>
      <c r="F1473" s="2">
        <v>90</v>
      </c>
      <c r="G1473" s="2" t="s">
        <v>4530</v>
      </c>
      <c r="H1473" s="2" t="s">
        <v>838</v>
      </c>
      <c r="I1473" s="2" t="s">
        <v>839</v>
      </c>
      <c r="J1473" s="3">
        <v>43963</v>
      </c>
      <c r="K1473" s="5">
        <f>YEAR(OrganizedData[[#This Row],[Order Date]])</f>
        <v>2020</v>
      </c>
      <c r="L1473" s="7" t="str">
        <f>TEXT(OrganizedData[[#This Row],[Order Date]],"mmm")</f>
        <v>May</v>
      </c>
      <c r="M1473" s="2">
        <v>4</v>
      </c>
      <c r="N1473" s="2" t="s">
        <v>80</v>
      </c>
      <c r="O1473" s="2" t="str">
        <f>VLOOKUP(OrganizedData[[#This Row],[Product Code]],ProductData[[Code]:[Item]],2,FALSE)</f>
        <v>Ultrathing V2</v>
      </c>
      <c r="P1473" s="4">
        <f>OrganizedData[[#This Row],[Quantity]]*VLOOKUP(OrganizedData[[#This Row],[Product Code]],ProductData[],4,FALSE)</f>
        <v>80</v>
      </c>
      <c r="Q1473" s="6">
        <f>OrganizedData[[#This Row],[Total Items Ordered]]*VLOOKUP(OrganizedData[[#This Row],[Product Code]],ProductData[],3,FALSE)</f>
        <v>236</v>
      </c>
      <c r="R14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1474" spans="1:18" x14ac:dyDescent="0.3">
      <c r="A1474" s="2">
        <v>1467</v>
      </c>
      <c r="B1474" s="2" t="s">
        <v>1262</v>
      </c>
      <c r="C1474" s="2" t="s">
        <v>4531</v>
      </c>
      <c r="D1474" s="2" t="s">
        <v>28</v>
      </c>
      <c r="E1474" s="2" t="s">
        <v>29</v>
      </c>
      <c r="F1474" s="2">
        <v>60</v>
      </c>
      <c r="G1474" s="2" t="s">
        <v>4532</v>
      </c>
      <c r="H1474" s="2" t="s">
        <v>1625</v>
      </c>
      <c r="I1474" s="2" t="s">
        <v>32</v>
      </c>
      <c r="J1474" s="3">
        <v>43929</v>
      </c>
      <c r="K1474" s="5">
        <f>YEAR(OrganizedData[[#This Row],[Order Date]])</f>
        <v>2020</v>
      </c>
      <c r="L1474" s="7" t="str">
        <f>TEXT(OrganizedData[[#This Row],[Order Date]],"mmm")</f>
        <v>Apr</v>
      </c>
      <c r="M1474" s="2">
        <v>21</v>
      </c>
      <c r="N1474" s="2" t="s">
        <v>80</v>
      </c>
      <c r="O1474" s="2" t="str">
        <f>VLOOKUP(OrganizedData[[#This Row],[Product Code]],ProductData[[Code]:[Item]],2,FALSE)</f>
        <v>Ultrathing V2</v>
      </c>
      <c r="P1474" s="4">
        <f>OrganizedData[[#This Row],[Quantity]]*VLOOKUP(OrganizedData[[#This Row],[Product Code]],ProductData[],4,FALSE)</f>
        <v>420</v>
      </c>
      <c r="Q1474" s="6">
        <f>OrganizedData[[#This Row],[Total Items Ordered]]*VLOOKUP(OrganizedData[[#This Row],[Product Code]],ProductData[],3,FALSE)</f>
        <v>1239</v>
      </c>
      <c r="R14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1201.83</v>
      </c>
    </row>
    <row r="1475" spans="1:18" x14ac:dyDescent="0.3">
      <c r="A1475" s="2">
        <v>1468</v>
      </c>
      <c r="B1475" s="2" t="s">
        <v>4533</v>
      </c>
      <c r="C1475" s="2" t="s">
        <v>4534</v>
      </c>
      <c r="D1475" s="2" t="s">
        <v>15</v>
      </c>
      <c r="E1475" s="2" t="s">
        <v>16</v>
      </c>
      <c r="F1475" s="2">
        <v>90</v>
      </c>
      <c r="G1475" s="2" t="s">
        <v>4535</v>
      </c>
      <c r="H1475" s="2" t="s">
        <v>534</v>
      </c>
      <c r="I1475" s="2" t="s">
        <v>32</v>
      </c>
      <c r="J1475" s="3">
        <v>44064</v>
      </c>
      <c r="K1475" s="5">
        <f>YEAR(OrganizedData[[#This Row],[Order Date]])</f>
        <v>2020</v>
      </c>
      <c r="L1475" s="7" t="str">
        <f>TEXT(OrganizedData[[#This Row],[Order Date]],"mmm")</f>
        <v>Aug</v>
      </c>
      <c r="M1475" s="2">
        <v>48</v>
      </c>
      <c r="N1475" s="2" t="s">
        <v>64</v>
      </c>
      <c r="O1475" s="2" t="str">
        <f>VLOOKUP(OrganizedData[[#This Row],[Product Code]],ProductData[[Code]:[Item]],2,FALSE)</f>
        <v>Ultrathing V4</v>
      </c>
      <c r="P1475" s="4">
        <f>OrganizedData[[#This Row],[Quantity]]*VLOOKUP(OrganizedData[[#This Row],[Product Code]],ProductData[],4,FALSE)</f>
        <v>1152</v>
      </c>
      <c r="Q1475" s="6">
        <f>OrganizedData[[#This Row],[Total Items Ordered]]*VLOOKUP(OrganizedData[[#This Row],[Product Code]],ProductData[],3,FALSE)</f>
        <v>4596.4800000000005</v>
      </c>
      <c r="R14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4458.5856000000003</v>
      </c>
    </row>
    <row r="1476" spans="1:18" x14ac:dyDescent="0.3">
      <c r="A1476" s="2">
        <v>1469</v>
      </c>
      <c r="B1476" s="2" t="s">
        <v>4536</v>
      </c>
      <c r="C1476" s="2" t="s">
        <v>4537</v>
      </c>
      <c r="D1476" s="2" t="s">
        <v>28</v>
      </c>
      <c r="E1476" s="2" t="s">
        <v>29</v>
      </c>
      <c r="F1476" s="2">
        <v>90</v>
      </c>
      <c r="G1476" s="2" t="s">
        <v>4538</v>
      </c>
      <c r="H1476" s="2" t="s">
        <v>3670</v>
      </c>
      <c r="I1476" s="2" t="s">
        <v>3671</v>
      </c>
      <c r="J1476" s="3">
        <v>44576</v>
      </c>
      <c r="K1476" s="5">
        <f>YEAR(OrganizedData[[#This Row],[Order Date]])</f>
        <v>2022</v>
      </c>
      <c r="L1476" s="7" t="str">
        <f>TEXT(OrganizedData[[#This Row],[Order Date]],"mmm")</f>
        <v>Jan</v>
      </c>
      <c r="M1476" s="2">
        <v>101</v>
      </c>
      <c r="N1476" s="2" t="s">
        <v>70</v>
      </c>
      <c r="O1476" s="2" t="str">
        <f>VLOOKUP(OrganizedData[[#This Row],[Product Code]],ProductData[[Code]:[Item]],2,FALSE)</f>
        <v>Megawidget M</v>
      </c>
      <c r="P1476" s="4">
        <f>OrganizedData[[#This Row],[Quantity]]*VLOOKUP(OrganizedData[[#This Row],[Product Code]],ProductData[],4,FALSE)</f>
        <v>2424</v>
      </c>
      <c r="Q1476" s="6">
        <f>OrganizedData[[#This Row],[Total Items Ordered]]*VLOOKUP(OrganizedData[[#This Row],[Product Code]],ProductData[],3,FALSE)</f>
        <v>3126.96</v>
      </c>
      <c r="R14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2908.0728000000004</v>
      </c>
    </row>
    <row r="1477" spans="1:18" x14ac:dyDescent="0.3">
      <c r="A1477" s="2">
        <v>1470</v>
      </c>
      <c r="B1477" s="2" t="s">
        <v>1801</v>
      </c>
      <c r="C1477" s="2" t="s">
        <v>4539</v>
      </c>
      <c r="D1477" s="2" t="s">
        <v>51</v>
      </c>
      <c r="E1477" s="2" t="s">
        <v>16</v>
      </c>
      <c r="F1477" s="2">
        <v>90</v>
      </c>
      <c r="G1477" s="2" t="s">
        <v>4540</v>
      </c>
      <c r="H1477" s="2" t="s">
        <v>4541</v>
      </c>
      <c r="I1477" s="2" t="s">
        <v>89</v>
      </c>
      <c r="J1477" s="3">
        <v>44070</v>
      </c>
      <c r="K1477" s="5">
        <f>YEAR(OrganizedData[[#This Row],[Order Date]])</f>
        <v>2020</v>
      </c>
      <c r="L1477" s="7" t="str">
        <f>TEXT(OrganizedData[[#This Row],[Order Date]],"mmm")</f>
        <v>Aug</v>
      </c>
      <c r="M1477" s="2">
        <v>36</v>
      </c>
      <c r="N1477" s="2" t="s">
        <v>64</v>
      </c>
      <c r="O1477" s="2" t="str">
        <f>VLOOKUP(OrganizedData[[#This Row],[Product Code]],ProductData[[Code]:[Item]],2,FALSE)</f>
        <v>Ultrathing V4</v>
      </c>
      <c r="P1477" s="4">
        <f>OrganizedData[[#This Row],[Quantity]]*VLOOKUP(OrganizedData[[#This Row],[Product Code]],ProductData[],4,FALSE)</f>
        <v>864</v>
      </c>
      <c r="Q1477" s="6">
        <f>OrganizedData[[#This Row],[Total Items Ordered]]*VLOOKUP(OrganizedData[[#This Row],[Product Code]],ProductData[],3,FALSE)</f>
        <v>3447.36</v>
      </c>
      <c r="R14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3343.9392000000003</v>
      </c>
    </row>
    <row r="1478" spans="1:18" x14ac:dyDescent="0.3">
      <c r="A1478" s="2">
        <v>1471</v>
      </c>
      <c r="B1478" s="2" t="s">
        <v>380</v>
      </c>
      <c r="C1478" s="2" t="s">
        <v>2448</v>
      </c>
      <c r="D1478" s="2" t="s">
        <v>28</v>
      </c>
      <c r="E1478" s="2" t="s">
        <v>29</v>
      </c>
      <c r="F1478" s="2">
        <v>90</v>
      </c>
      <c r="G1478" s="2" t="s">
        <v>4542</v>
      </c>
      <c r="H1478" s="2" t="s">
        <v>4543</v>
      </c>
      <c r="I1478" s="2" t="s">
        <v>173</v>
      </c>
      <c r="J1478" s="3">
        <v>43936</v>
      </c>
      <c r="K1478" s="5">
        <f>YEAR(OrganizedData[[#This Row],[Order Date]])</f>
        <v>2020</v>
      </c>
      <c r="L1478" s="7" t="str">
        <f>TEXT(OrganizedData[[#This Row],[Order Date]],"mmm")</f>
        <v>Apr</v>
      </c>
      <c r="M1478" s="2">
        <v>62</v>
      </c>
      <c r="N1478" s="2" t="s">
        <v>80</v>
      </c>
      <c r="O1478" s="2" t="str">
        <f>VLOOKUP(OrganizedData[[#This Row],[Product Code]],ProductData[[Code]:[Item]],2,FALSE)</f>
        <v>Ultrathing V2</v>
      </c>
      <c r="P1478" s="4">
        <f>OrganizedData[[#This Row],[Quantity]]*VLOOKUP(OrganizedData[[#This Row],[Product Code]],ProductData[],4,FALSE)</f>
        <v>1240</v>
      </c>
      <c r="Q1478" s="6">
        <f>OrganizedData[[#This Row],[Total Items Ordered]]*VLOOKUP(OrganizedData[[#This Row],[Product Code]],ProductData[],3,FALSE)</f>
        <v>3658</v>
      </c>
      <c r="R14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1479" spans="1:18" x14ac:dyDescent="0.3">
      <c r="A1479" s="2">
        <v>1472</v>
      </c>
      <c r="B1479" s="2" t="s">
        <v>3268</v>
      </c>
      <c r="C1479" s="2" t="s">
        <v>2692</v>
      </c>
      <c r="D1479" s="2" t="s">
        <v>51</v>
      </c>
      <c r="E1479" s="2" t="s">
        <v>16</v>
      </c>
      <c r="F1479" s="2">
        <v>30</v>
      </c>
      <c r="G1479" s="2" t="s">
        <v>4544</v>
      </c>
      <c r="H1479" s="2" t="s">
        <v>1940</v>
      </c>
      <c r="I1479" s="2" t="s">
        <v>294</v>
      </c>
      <c r="J1479" s="3">
        <v>43904</v>
      </c>
      <c r="K1479" s="5">
        <f>YEAR(OrganizedData[[#This Row],[Order Date]])</f>
        <v>2020</v>
      </c>
      <c r="L1479" s="7" t="str">
        <f>TEXT(OrganizedData[[#This Row],[Order Date]],"mmm")</f>
        <v>Mar</v>
      </c>
      <c r="M1479" s="2">
        <v>25</v>
      </c>
      <c r="N1479" s="2" t="s">
        <v>80</v>
      </c>
      <c r="O1479" s="2" t="str">
        <f>VLOOKUP(OrganizedData[[#This Row],[Product Code]],ProductData[[Code]:[Item]],2,FALSE)</f>
        <v>Ultrathing V2</v>
      </c>
      <c r="P1479" s="4">
        <f>OrganizedData[[#This Row],[Quantity]]*VLOOKUP(OrganizedData[[#This Row],[Product Code]],ProductData[],4,FALSE)</f>
        <v>500</v>
      </c>
      <c r="Q1479" s="6">
        <f>OrganizedData[[#This Row],[Total Items Ordered]]*VLOOKUP(OrganizedData[[#This Row],[Product Code]],ProductData[],3,FALSE)</f>
        <v>1475</v>
      </c>
      <c r="R14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1430.75</v>
      </c>
    </row>
    <row r="1480" spans="1:18" x14ac:dyDescent="0.3">
      <c r="A1480" s="2">
        <v>1473</v>
      </c>
      <c r="B1480" s="2" t="s">
        <v>4545</v>
      </c>
      <c r="C1480" s="2" t="s">
        <v>3173</v>
      </c>
      <c r="D1480" s="2" t="s">
        <v>15</v>
      </c>
      <c r="E1480" s="2" t="s">
        <v>16</v>
      </c>
      <c r="F1480" s="2">
        <v>60</v>
      </c>
      <c r="G1480" s="2" t="s">
        <v>4546</v>
      </c>
      <c r="H1480" s="2" t="s">
        <v>4520</v>
      </c>
      <c r="I1480" s="2" t="s">
        <v>32</v>
      </c>
      <c r="J1480" s="3">
        <v>44360</v>
      </c>
      <c r="K1480" s="5">
        <f>YEAR(OrganizedData[[#This Row],[Order Date]])</f>
        <v>2021</v>
      </c>
      <c r="L1480" s="7" t="str">
        <f>TEXT(OrganizedData[[#This Row],[Order Date]],"mmm")</f>
        <v>Jun</v>
      </c>
      <c r="M1480" s="2">
        <v>17</v>
      </c>
      <c r="N1480" s="2" t="s">
        <v>101</v>
      </c>
      <c r="O1480" s="2" t="str">
        <f>VLOOKUP(OrganizedData[[#This Row],[Product Code]],ProductData[[Code]:[Item]],2,FALSE)</f>
        <v>Superwossname</v>
      </c>
      <c r="P1480" s="4">
        <f>OrganizedData[[#This Row],[Quantity]]*VLOOKUP(OrganizedData[[#This Row],[Product Code]],ProductData[],4,FALSE)</f>
        <v>340</v>
      </c>
      <c r="Q1480" s="6">
        <f>OrganizedData[[#This Row],[Total Items Ordered]]*VLOOKUP(OrganizedData[[#This Row],[Product Code]],ProductData[],3,FALSE)</f>
        <v>1186.6000000000001</v>
      </c>
      <c r="R14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1186.6000000000001</v>
      </c>
    </row>
    <row r="1481" spans="1:18" x14ac:dyDescent="0.3">
      <c r="A1481" s="2">
        <v>1474</v>
      </c>
      <c r="B1481" s="2" t="s">
        <v>4547</v>
      </c>
      <c r="C1481" s="2" t="s">
        <v>4548</v>
      </c>
      <c r="D1481" s="2" t="s">
        <v>15</v>
      </c>
      <c r="E1481" s="2" t="s">
        <v>16</v>
      </c>
      <c r="F1481" s="2">
        <v>30</v>
      </c>
      <c r="G1481" s="2" t="s">
        <v>4549</v>
      </c>
      <c r="H1481" s="2" t="s">
        <v>1284</v>
      </c>
      <c r="I1481" s="2" t="s">
        <v>32</v>
      </c>
      <c r="J1481" s="3">
        <v>44834</v>
      </c>
      <c r="K1481" s="5">
        <f>YEAR(OrganizedData[[#This Row],[Order Date]])</f>
        <v>2022</v>
      </c>
      <c r="L1481" s="7" t="str">
        <f>TEXT(OrganizedData[[#This Row],[Order Date]],"mmm")</f>
        <v>Sep</v>
      </c>
      <c r="M1481" s="2">
        <v>45</v>
      </c>
      <c r="N1481" s="2" t="s">
        <v>33</v>
      </c>
      <c r="O1481" s="2" t="str">
        <f>VLOOKUP(OrganizedData[[#This Row],[Product Code]],ProductData[[Code]:[Item]],2,FALSE)</f>
        <v>Megawidget L</v>
      </c>
      <c r="P1481" s="4">
        <f>OrganizedData[[#This Row],[Quantity]]*VLOOKUP(OrganizedData[[#This Row],[Product Code]],ProductData[],4,FALSE)</f>
        <v>1080</v>
      </c>
      <c r="Q1481" s="6">
        <f>OrganizedData[[#This Row],[Total Items Ordered]]*VLOOKUP(OrganizedData[[#This Row],[Product Code]],ProductData[],3,FALSE)</f>
        <v>1933.2</v>
      </c>
      <c r="R14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1482" spans="1:18" x14ac:dyDescent="0.3">
      <c r="A1482" s="2">
        <v>1475</v>
      </c>
      <c r="B1482" s="2" t="s">
        <v>4550</v>
      </c>
      <c r="C1482" s="2" t="s">
        <v>372</v>
      </c>
      <c r="D1482" s="2" t="s">
        <v>28</v>
      </c>
      <c r="E1482" s="2" t="s">
        <v>29</v>
      </c>
      <c r="F1482" s="2">
        <v>30</v>
      </c>
      <c r="G1482" s="2" t="s">
        <v>4551</v>
      </c>
      <c r="H1482" s="2" t="s">
        <v>4552</v>
      </c>
      <c r="I1482" s="2" t="s">
        <v>38</v>
      </c>
      <c r="J1482" s="3">
        <v>44162</v>
      </c>
      <c r="K1482" s="5">
        <f>YEAR(OrganizedData[[#This Row],[Order Date]])</f>
        <v>2020</v>
      </c>
      <c r="L1482" s="7" t="str">
        <f>TEXT(OrganizedData[[#This Row],[Order Date]],"mmm")</f>
        <v>Nov</v>
      </c>
      <c r="M1482" s="2">
        <v>58</v>
      </c>
      <c r="N1482" s="2" t="s">
        <v>70</v>
      </c>
      <c r="O1482" s="2" t="str">
        <f>VLOOKUP(OrganizedData[[#This Row],[Product Code]],ProductData[[Code]:[Item]],2,FALSE)</f>
        <v>Megawidget M</v>
      </c>
      <c r="P1482" s="4">
        <f>OrganizedData[[#This Row],[Quantity]]*VLOOKUP(OrganizedData[[#This Row],[Product Code]],ProductData[],4,FALSE)</f>
        <v>1392</v>
      </c>
      <c r="Q1482" s="6">
        <f>OrganizedData[[#This Row],[Total Items Ordered]]*VLOOKUP(OrganizedData[[#This Row],[Product Code]],ProductData[],3,FALSE)</f>
        <v>1795.68</v>
      </c>
      <c r="R14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1705.896</v>
      </c>
    </row>
    <row r="1483" spans="1:18" x14ac:dyDescent="0.3">
      <c r="A1483" s="2">
        <v>1476</v>
      </c>
      <c r="B1483" s="2" t="s">
        <v>263</v>
      </c>
      <c r="C1483" s="2" t="s">
        <v>4512</v>
      </c>
      <c r="D1483" s="2" t="s">
        <v>51</v>
      </c>
      <c r="E1483" s="2" t="s">
        <v>16</v>
      </c>
      <c r="F1483" s="2">
        <v>60</v>
      </c>
      <c r="G1483" s="2" t="s">
        <v>4553</v>
      </c>
      <c r="H1483" s="2" t="s">
        <v>2069</v>
      </c>
      <c r="I1483" s="2" t="s">
        <v>1035</v>
      </c>
      <c r="J1483" s="3">
        <v>44114</v>
      </c>
      <c r="K1483" s="5">
        <f>YEAR(OrganizedData[[#This Row],[Order Date]])</f>
        <v>2020</v>
      </c>
      <c r="L1483" s="7" t="str">
        <f>TEXT(OrganizedData[[#This Row],[Order Date]],"mmm")</f>
        <v>Oct</v>
      </c>
      <c r="M1483" s="2">
        <v>33</v>
      </c>
      <c r="N1483" s="2" t="s">
        <v>20</v>
      </c>
      <c r="O1483" s="2" t="str">
        <f>VLOOKUP(OrganizedData[[#This Row],[Product Code]],ProductData[[Code]:[Item]],2,FALSE)</f>
        <v>Hyperwotsit</v>
      </c>
      <c r="P1483" s="4">
        <f>OrganizedData[[#This Row],[Quantity]]*VLOOKUP(OrganizedData[[#This Row],[Product Code]],ProductData[],4,FALSE)</f>
        <v>660</v>
      </c>
      <c r="Q1483" s="6">
        <f>OrganizedData[[#This Row],[Total Items Ordered]]*VLOOKUP(OrganizedData[[#This Row],[Product Code]],ProductData[],3,FALSE)</f>
        <v>1326.6</v>
      </c>
      <c r="R14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1286.8019999999999</v>
      </c>
    </row>
    <row r="1484" spans="1:18" x14ac:dyDescent="0.3">
      <c r="A1484" s="2">
        <v>1477</v>
      </c>
      <c r="B1484" s="2" t="s">
        <v>4554</v>
      </c>
      <c r="C1484" s="2" t="s">
        <v>1891</v>
      </c>
      <c r="D1484" s="2" t="s">
        <v>51</v>
      </c>
      <c r="E1484" s="2" t="s">
        <v>16</v>
      </c>
      <c r="F1484" s="2">
        <v>60</v>
      </c>
      <c r="G1484" s="2" t="s">
        <v>4555</v>
      </c>
      <c r="H1484" s="2" t="s">
        <v>1160</v>
      </c>
      <c r="I1484" s="2" t="s">
        <v>25</v>
      </c>
      <c r="J1484" s="3">
        <v>44385</v>
      </c>
      <c r="K1484" s="5">
        <f>YEAR(OrganizedData[[#This Row],[Order Date]])</f>
        <v>2021</v>
      </c>
      <c r="L1484" s="7" t="str">
        <f>TEXT(OrganizedData[[#This Row],[Order Date]],"mmm")</f>
        <v>Jul</v>
      </c>
      <c r="M1484" s="2">
        <v>62</v>
      </c>
      <c r="N1484" s="2" t="s">
        <v>64</v>
      </c>
      <c r="O1484" s="2" t="str">
        <f>VLOOKUP(OrganizedData[[#This Row],[Product Code]],ProductData[[Code]:[Item]],2,FALSE)</f>
        <v>Ultrathing V4</v>
      </c>
      <c r="P1484" s="4">
        <f>OrganizedData[[#This Row],[Quantity]]*VLOOKUP(OrganizedData[[#This Row],[Product Code]],ProductData[],4,FALSE)</f>
        <v>1488</v>
      </c>
      <c r="Q1484" s="6">
        <f>OrganizedData[[#This Row],[Total Items Ordered]]*VLOOKUP(OrganizedData[[#This Row],[Product Code]],ProductData[],3,FALSE)</f>
        <v>5937.12</v>
      </c>
      <c r="R14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1485" spans="1:18" x14ac:dyDescent="0.3">
      <c r="A1485" s="2">
        <v>1478</v>
      </c>
      <c r="B1485" s="2" t="s">
        <v>4556</v>
      </c>
      <c r="C1485" s="2" t="s">
        <v>3366</v>
      </c>
      <c r="D1485" s="2" t="s">
        <v>15</v>
      </c>
      <c r="E1485" s="2" t="s">
        <v>16</v>
      </c>
      <c r="F1485" s="2">
        <v>60</v>
      </c>
      <c r="G1485" s="2" t="s">
        <v>4557</v>
      </c>
      <c r="H1485" s="2" t="s">
        <v>1781</v>
      </c>
      <c r="I1485" s="2" t="s">
        <v>32</v>
      </c>
      <c r="J1485" s="3">
        <v>44362</v>
      </c>
      <c r="K1485" s="5">
        <f>YEAR(OrganizedData[[#This Row],[Order Date]])</f>
        <v>2021</v>
      </c>
      <c r="L1485" s="7" t="str">
        <f>TEXT(OrganizedData[[#This Row],[Order Date]],"mmm")</f>
        <v>Jun</v>
      </c>
      <c r="M1485" s="2">
        <v>48</v>
      </c>
      <c r="N1485" s="2" t="s">
        <v>20</v>
      </c>
      <c r="O1485" s="2" t="str">
        <f>VLOOKUP(OrganizedData[[#This Row],[Product Code]],ProductData[[Code]:[Item]],2,FALSE)</f>
        <v>Hyperwotsit</v>
      </c>
      <c r="P1485" s="4">
        <f>OrganizedData[[#This Row],[Quantity]]*VLOOKUP(OrganizedData[[#This Row],[Product Code]],ProductData[],4,FALSE)</f>
        <v>960</v>
      </c>
      <c r="Q1485" s="6">
        <f>OrganizedData[[#This Row],[Total Items Ordered]]*VLOOKUP(OrganizedData[[#This Row],[Product Code]],ProductData[],3,FALSE)</f>
        <v>1929.6</v>
      </c>
      <c r="R14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1486" spans="1:18" x14ac:dyDescent="0.3">
      <c r="A1486" s="2">
        <v>1479</v>
      </c>
      <c r="B1486" s="2" t="s">
        <v>1313</v>
      </c>
      <c r="C1486" s="2" t="s">
        <v>4558</v>
      </c>
      <c r="D1486" s="2" t="s">
        <v>28</v>
      </c>
      <c r="E1486" s="2" t="s">
        <v>29</v>
      </c>
      <c r="F1486" s="2">
        <v>30</v>
      </c>
      <c r="G1486" s="2" t="s">
        <v>4559</v>
      </c>
      <c r="H1486" s="2" t="s">
        <v>3730</v>
      </c>
      <c r="I1486" s="2" t="s">
        <v>32</v>
      </c>
      <c r="J1486" s="3">
        <v>44184</v>
      </c>
      <c r="K1486" s="5">
        <f>YEAR(OrganizedData[[#This Row],[Order Date]])</f>
        <v>2020</v>
      </c>
      <c r="L1486" s="7" t="str">
        <f>TEXT(OrganizedData[[#This Row],[Order Date]],"mmm")</f>
        <v>Dec</v>
      </c>
      <c r="M1486" s="2">
        <v>36</v>
      </c>
      <c r="N1486" s="2" t="s">
        <v>101</v>
      </c>
      <c r="O1486" s="2" t="str">
        <f>VLOOKUP(OrganizedData[[#This Row],[Product Code]],ProductData[[Code]:[Item]],2,FALSE)</f>
        <v>Superwossname</v>
      </c>
      <c r="P1486" s="4">
        <f>OrganizedData[[#This Row],[Quantity]]*VLOOKUP(OrganizedData[[#This Row],[Product Code]],ProductData[],4,FALSE)</f>
        <v>720</v>
      </c>
      <c r="Q1486" s="6">
        <f>OrganizedData[[#This Row],[Total Items Ordered]]*VLOOKUP(OrganizedData[[#This Row],[Product Code]],ProductData[],3,FALSE)</f>
        <v>2512.8000000000002</v>
      </c>
      <c r="R14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2437.4160000000002</v>
      </c>
    </row>
    <row r="1487" spans="1:18" x14ac:dyDescent="0.3">
      <c r="A1487" s="2">
        <v>1480</v>
      </c>
      <c r="B1487" s="2" t="s">
        <v>4560</v>
      </c>
      <c r="C1487" s="2" t="s">
        <v>4561</v>
      </c>
      <c r="D1487" s="2" t="s">
        <v>51</v>
      </c>
      <c r="E1487" s="2" t="s">
        <v>16</v>
      </c>
      <c r="F1487" s="2">
        <v>60</v>
      </c>
      <c r="G1487" s="2" t="s">
        <v>4562</v>
      </c>
      <c r="H1487" s="2" t="s">
        <v>4563</v>
      </c>
      <c r="I1487" s="2" t="s">
        <v>1824</v>
      </c>
      <c r="J1487" s="3">
        <v>43989</v>
      </c>
      <c r="K1487" s="5">
        <f>YEAR(OrganizedData[[#This Row],[Order Date]])</f>
        <v>2020</v>
      </c>
      <c r="L1487" s="7" t="str">
        <f>TEXT(OrganizedData[[#This Row],[Order Date]],"mmm")</f>
        <v>Jun</v>
      </c>
      <c r="M1487" s="2">
        <v>68</v>
      </c>
      <c r="N1487" s="2" t="s">
        <v>70</v>
      </c>
      <c r="O1487" s="2" t="str">
        <f>VLOOKUP(OrganizedData[[#This Row],[Product Code]],ProductData[[Code]:[Item]],2,FALSE)</f>
        <v>Megawidget M</v>
      </c>
      <c r="P1487" s="4">
        <f>OrganizedData[[#This Row],[Quantity]]*VLOOKUP(OrganizedData[[#This Row],[Product Code]],ProductData[],4,FALSE)</f>
        <v>1632</v>
      </c>
      <c r="Q1487" s="6">
        <f>OrganizedData[[#This Row],[Total Items Ordered]]*VLOOKUP(OrganizedData[[#This Row],[Product Code]],ProductData[],3,FALSE)</f>
        <v>2105.2800000000002</v>
      </c>
      <c r="R14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2000.0160000000001</v>
      </c>
    </row>
    <row r="1488" spans="1:18" x14ac:dyDescent="0.3">
      <c r="A1488" s="2">
        <v>1481</v>
      </c>
      <c r="B1488" s="2" t="s">
        <v>4564</v>
      </c>
      <c r="C1488" s="2" t="s">
        <v>1211</v>
      </c>
      <c r="D1488" s="2" t="s">
        <v>51</v>
      </c>
      <c r="E1488" s="2" t="s">
        <v>16</v>
      </c>
      <c r="F1488" s="2">
        <v>60</v>
      </c>
      <c r="G1488" s="2" t="s">
        <v>4565</v>
      </c>
      <c r="H1488" s="2" t="s">
        <v>2008</v>
      </c>
      <c r="I1488" s="2" t="s">
        <v>129</v>
      </c>
      <c r="J1488" s="3">
        <v>44856</v>
      </c>
      <c r="K1488" s="5">
        <f>YEAR(OrganizedData[[#This Row],[Order Date]])</f>
        <v>2022</v>
      </c>
      <c r="L1488" s="7" t="str">
        <f>TEXT(OrganizedData[[#This Row],[Order Date]],"mmm")</f>
        <v>Oct</v>
      </c>
      <c r="M1488" s="2">
        <v>77</v>
      </c>
      <c r="N1488" s="2" t="s">
        <v>20</v>
      </c>
      <c r="O1488" s="2" t="str">
        <f>VLOOKUP(OrganizedData[[#This Row],[Product Code]],ProductData[[Code]:[Item]],2,FALSE)</f>
        <v>Hyperwotsit</v>
      </c>
      <c r="P1488" s="4">
        <f>OrganizedData[[#This Row],[Quantity]]*VLOOKUP(OrganizedData[[#This Row],[Product Code]],ProductData[],4,FALSE)</f>
        <v>1540</v>
      </c>
      <c r="Q1488" s="6">
        <f>OrganizedData[[#This Row],[Total Items Ordered]]*VLOOKUP(OrganizedData[[#This Row],[Product Code]],ProductData[],3,FALSE)</f>
        <v>3095.3999999999996</v>
      </c>
      <c r="R14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2940.6299999999997</v>
      </c>
    </row>
    <row r="1489" spans="1:18" x14ac:dyDescent="0.3">
      <c r="A1489" s="2">
        <v>1482</v>
      </c>
      <c r="B1489" s="2" t="s">
        <v>3616</v>
      </c>
      <c r="C1489" s="2" t="s">
        <v>1967</v>
      </c>
      <c r="D1489" s="2" t="s">
        <v>28</v>
      </c>
      <c r="E1489" s="2" t="s">
        <v>29</v>
      </c>
      <c r="F1489" s="2">
        <v>30</v>
      </c>
      <c r="G1489" s="2" t="s">
        <v>4566</v>
      </c>
      <c r="H1489" s="2" t="s">
        <v>4567</v>
      </c>
      <c r="I1489" s="2" t="s">
        <v>38</v>
      </c>
      <c r="J1489" s="3">
        <v>44471</v>
      </c>
      <c r="K1489" s="5">
        <f>YEAR(OrganizedData[[#This Row],[Order Date]])</f>
        <v>2021</v>
      </c>
      <c r="L1489" s="7" t="str">
        <f>TEXT(OrganizedData[[#This Row],[Order Date]],"mmm")</f>
        <v>Oct</v>
      </c>
      <c r="M1489" s="2">
        <v>8</v>
      </c>
      <c r="N1489" s="2" t="s">
        <v>54</v>
      </c>
      <c r="O1489" s="2" t="str">
        <f>VLOOKUP(OrganizedData[[#This Row],[Product Code]],ProductData[[Code]:[Item]],2,FALSE)</f>
        <v>Megawidget S</v>
      </c>
      <c r="P1489" s="4">
        <f>OrganizedData[[#This Row],[Quantity]]*VLOOKUP(OrganizedData[[#This Row],[Product Code]],ProductData[],4,FALSE)</f>
        <v>192</v>
      </c>
      <c r="Q1489" s="6">
        <f>OrganizedData[[#This Row],[Total Items Ordered]]*VLOOKUP(OrganizedData[[#This Row],[Product Code]],ProductData[],3,FALSE)</f>
        <v>132.47999999999999</v>
      </c>
      <c r="R14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132.47999999999999</v>
      </c>
    </row>
    <row r="1490" spans="1:18" x14ac:dyDescent="0.3">
      <c r="A1490" s="2">
        <v>1483</v>
      </c>
      <c r="B1490" s="2" t="s">
        <v>1793</v>
      </c>
      <c r="C1490" s="2" t="s">
        <v>481</v>
      </c>
      <c r="D1490" s="2" t="s">
        <v>28</v>
      </c>
      <c r="E1490" s="2" t="s">
        <v>29</v>
      </c>
      <c r="F1490" s="2">
        <v>90</v>
      </c>
      <c r="G1490" s="2" t="s">
        <v>4568</v>
      </c>
      <c r="H1490" s="2" t="s">
        <v>137</v>
      </c>
      <c r="I1490" s="2" t="s">
        <v>32</v>
      </c>
      <c r="J1490" s="3">
        <v>44322</v>
      </c>
      <c r="K1490" s="5">
        <f>YEAR(OrganizedData[[#This Row],[Order Date]])</f>
        <v>2021</v>
      </c>
      <c r="L1490" s="7" t="str">
        <f>TEXT(OrganizedData[[#This Row],[Order Date]],"mmm")</f>
        <v>May</v>
      </c>
      <c r="M1490" s="2">
        <v>48</v>
      </c>
      <c r="N1490" s="2" t="s">
        <v>54</v>
      </c>
      <c r="O1490" s="2" t="str">
        <f>VLOOKUP(OrganizedData[[#This Row],[Product Code]],ProductData[[Code]:[Item]],2,FALSE)</f>
        <v>Megawidget S</v>
      </c>
      <c r="P1490" s="4">
        <f>OrganizedData[[#This Row],[Quantity]]*VLOOKUP(OrganizedData[[#This Row],[Product Code]],ProductData[],4,FALSE)</f>
        <v>1152</v>
      </c>
      <c r="Q1490" s="6">
        <f>OrganizedData[[#This Row],[Total Items Ordered]]*VLOOKUP(OrganizedData[[#This Row],[Product Code]],ProductData[],3,FALSE)</f>
        <v>794.87999999999988</v>
      </c>
      <c r="R14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771.03359999999986</v>
      </c>
    </row>
    <row r="1491" spans="1:18" x14ac:dyDescent="0.3">
      <c r="A1491" s="2">
        <v>1484</v>
      </c>
      <c r="B1491" s="2" t="s">
        <v>4569</v>
      </c>
      <c r="C1491" s="2" t="s">
        <v>4570</v>
      </c>
      <c r="D1491" s="2" t="s">
        <v>28</v>
      </c>
      <c r="E1491" s="2" t="s">
        <v>29</v>
      </c>
      <c r="F1491" s="2">
        <v>30</v>
      </c>
      <c r="G1491" s="2" t="s">
        <v>4571</v>
      </c>
      <c r="H1491" s="2" t="s">
        <v>1920</v>
      </c>
      <c r="I1491" s="2" t="s">
        <v>1921</v>
      </c>
      <c r="J1491" s="3">
        <v>44486</v>
      </c>
      <c r="K1491" s="5">
        <f>YEAR(OrganizedData[[#This Row],[Order Date]])</f>
        <v>2021</v>
      </c>
      <c r="L1491" s="7" t="str">
        <f>TEXT(OrganizedData[[#This Row],[Order Date]],"mmm")</f>
        <v>Oct</v>
      </c>
      <c r="M1491" s="2">
        <v>31</v>
      </c>
      <c r="N1491" s="2" t="s">
        <v>64</v>
      </c>
      <c r="O1491" s="2" t="str">
        <f>VLOOKUP(OrganizedData[[#This Row],[Product Code]],ProductData[[Code]:[Item]],2,FALSE)</f>
        <v>Ultrathing V4</v>
      </c>
      <c r="P1491" s="4">
        <f>OrganizedData[[#This Row],[Quantity]]*VLOOKUP(OrganizedData[[#This Row],[Product Code]],ProductData[],4,FALSE)</f>
        <v>744</v>
      </c>
      <c r="Q1491" s="6">
        <f>OrganizedData[[#This Row],[Total Items Ordered]]*VLOOKUP(OrganizedData[[#This Row],[Product Code]],ProductData[],3,FALSE)</f>
        <v>2968.56</v>
      </c>
      <c r="R14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1492" spans="1:18" x14ac:dyDescent="0.3">
      <c r="A1492" s="2">
        <v>1485</v>
      </c>
      <c r="B1492" s="2" t="s">
        <v>4572</v>
      </c>
      <c r="C1492" s="2" t="s">
        <v>1101</v>
      </c>
      <c r="D1492" s="2" t="s">
        <v>28</v>
      </c>
      <c r="E1492" s="2" t="s">
        <v>29</v>
      </c>
      <c r="F1492" s="2">
        <v>30</v>
      </c>
      <c r="G1492" s="2" t="s">
        <v>4573</v>
      </c>
      <c r="H1492" s="2" t="s">
        <v>1494</v>
      </c>
      <c r="I1492" s="2" t="s">
        <v>32</v>
      </c>
      <c r="J1492" s="3">
        <v>43840</v>
      </c>
      <c r="K1492" s="5">
        <f>YEAR(OrganizedData[[#This Row],[Order Date]])</f>
        <v>2020</v>
      </c>
      <c r="L1492" s="7" t="str">
        <f>TEXT(OrganizedData[[#This Row],[Order Date]],"mmm")</f>
        <v>Jan</v>
      </c>
      <c r="M1492" s="2">
        <v>32</v>
      </c>
      <c r="N1492" s="2" t="s">
        <v>54</v>
      </c>
      <c r="O1492" s="2" t="str">
        <f>VLOOKUP(OrganizedData[[#This Row],[Product Code]],ProductData[[Code]:[Item]],2,FALSE)</f>
        <v>Megawidget S</v>
      </c>
      <c r="P1492" s="4">
        <f>OrganizedData[[#This Row],[Quantity]]*VLOOKUP(OrganizedData[[#This Row],[Product Code]],ProductData[],4,FALSE)</f>
        <v>768</v>
      </c>
      <c r="Q1492" s="6">
        <f>OrganizedData[[#This Row],[Total Items Ordered]]*VLOOKUP(OrganizedData[[#This Row],[Product Code]],ProductData[],3,FALSE)</f>
        <v>529.91999999999996</v>
      </c>
      <c r="R14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514.02239999999995</v>
      </c>
    </row>
    <row r="1493" spans="1:18" x14ac:dyDescent="0.3">
      <c r="A1493" s="2">
        <v>1486</v>
      </c>
      <c r="B1493" s="2" t="s">
        <v>3787</v>
      </c>
      <c r="C1493" s="2" t="s">
        <v>4574</v>
      </c>
      <c r="D1493" s="2" t="s">
        <v>28</v>
      </c>
      <c r="E1493" s="2" t="s">
        <v>29</v>
      </c>
      <c r="F1493" s="2">
        <v>30</v>
      </c>
      <c r="G1493" s="2" t="s">
        <v>4575</v>
      </c>
      <c r="H1493" s="2" t="s">
        <v>1206</v>
      </c>
      <c r="I1493" s="2" t="s">
        <v>294</v>
      </c>
      <c r="J1493" s="3">
        <v>43887</v>
      </c>
      <c r="K1493" s="5">
        <f>YEAR(OrganizedData[[#This Row],[Order Date]])</f>
        <v>2020</v>
      </c>
      <c r="L1493" s="7" t="str">
        <f>TEXT(OrganizedData[[#This Row],[Order Date]],"mmm")</f>
        <v>Feb</v>
      </c>
      <c r="M1493" s="2">
        <v>26</v>
      </c>
      <c r="N1493" s="2" t="s">
        <v>45</v>
      </c>
      <c r="O1493" s="2" t="str">
        <f>VLOOKUP(OrganizedData[[#This Row],[Product Code]],ProductData[[Code]:[Item]],2,FALSE)</f>
        <v>Gigastuff</v>
      </c>
      <c r="P1493" s="4">
        <f>OrganizedData[[#This Row],[Quantity]]*VLOOKUP(OrganizedData[[#This Row],[Product Code]],ProductData[],4,FALSE)</f>
        <v>468</v>
      </c>
      <c r="Q1493" s="6">
        <f>OrganizedData[[#This Row],[Total Items Ordered]]*VLOOKUP(OrganizedData[[#This Row],[Product Code]],ProductData[],3,FALSE)</f>
        <v>884.52</v>
      </c>
      <c r="R14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1494" spans="1:18" x14ac:dyDescent="0.3">
      <c r="A1494" s="2">
        <v>1487</v>
      </c>
      <c r="B1494" s="2" t="s">
        <v>4576</v>
      </c>
      <c r="C1494" s="2" t="s">
        <v>4577</v>
      </c>
      <c r="D1494" s="2" t="s">
        <v>51</v>
      </c>
      <c r="E1494" s="2" t="s">
        <v>16</v>
      </c>
      <c r="F1494" s="2">
        <v>30</v>
      </c>
      <c r="G1494" s="2" t="s">
        <v>4578</v>
      </c>
      <c r="H1494" s="2" t="s">
        <v>4463</v>
      </c>
      <c r="I1494" s="2" t="s">
        <v>32</v>
      </c>
      <c r="J1494" s="3">
        <v>44432</v>
      </c>
      <c r="K1494" s="5">
        <f>YEAR(OrganizedData[[#This Row],[Order Date]])</f>
        <v>2021</v>
      </c>
      <c r="L1494" s="7" t="str">
        <f>TEXT(OrganizedData[[#This Row],[Order Date]],"mmm")</f>
        <v>Aug</v>
      </c>
      <c r="M1494" s="2">
        <v>66</v>
      </c>
      <c r="N1494" s="2" t="s">
        <v>64</v>
      </c>
      <c r="O1494" s="2" t="str">
        <f>VLOOKUP(OrganizedData[[#This Row],[Product Code]],ProductData[[Code]:[Item]],2,FALSE)</f>
        <v>Ultrathing V4</v>
      </c>
      <c r="P1494" s="4">
        <f>OrganizedData[[#This Row],[Quantity]]*VLOOKUP(OrganizedData[[#This Row],[Product Code]],ProductData[],4,FALSE)</f>
        <v>1584</v>
      </c>
      <c r="Q1494" s="6">
        <f>OrganizedData[[#This Row],[Total Items Ordered]]*VLOOKUP(OrganizedData[[#This Row],[Product Code]],ProductData[],3,FALSE)</f>
        <v>6320.1600000000008</v>
      </c>
      <c r="R14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6004.152</v>
      </c>
    </row>
    <row r="1495" spans="1:18" x14ac:dyDescent="0.3">
      <c r="A1495" s="2">
        <v>1488</v>
      </c>
      <c r="B1495" s="2" t="s">
        <v>4579</v>
      </c>
      <c r="C1495" s="2" t="s">
        <v>4580</v>
      </c>
      <c r="D1495" s="2" t="s">
        <v>51</v>
      </c>
      <c r="E1495" s="2" t="s">
        <v>16</v>
      </c>
      <c r="F1495" s="2">
        <v>30</v>
      </c>
      <c r="G1495" s="2" t="s">
        <v>4581</v>
      </c>
      <c r="H1495" s="2" t="s">
        <v>1210</v>
      </c>
      <c r="I1495" s="2" t="s">
        <v>294</v>
      </c>
      <c r="J1495" s="3">
        <v>44858</v>
      </c>
      <c r="K1495" s="5">
        <f>YEAR(OrganizedData[[#This Row],[Order Date]])</f>
        <v>2022</v>
      </c>
      <c r="L1495" s="7" t="str">
        <f>TEXT(OrganizedData[[#This Row],[Order Date]],"mmm")</f>
        <v>Oct</v>
      </c>
      <c r="M1495" s="2">
        <v>99</v>
      </c>
      <c r="N1495" s="2" t="s">
        <v>64</v>
      </c>
      <c r="O1495" s="2" t="str">
        <f>VLOOKUP(OrganizedData[[#This Row],[Product Code]],ProductData[[Code]:[Item]],2,FALSE)</f>
        <v>Ultrathing V4</v>
      </c>
      <c r="P1495" s="4">
        <f>OrganizedData[[#This Row],[Quantity]]*VLOOKUP(OrganizedData[[#This Row],[Product Code]],ProductData[],4,FALSE)</f>
        <v>2376</v>
      </c>
      <c r="Q1495" s="6">
        <f>OrganizedData[[#This Row],[Total Items Ordered]]*VLOOKUP(OrganizedData[[#This Row],[Product Code]],ProductData[],3,FALSE)</f>
        <v>9480.24</v>
      </c>
      <c r="R14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9006.2279999999992</v>
      </c>
    </row>
    <row r="1496" spans="1:18" x14ac:dyDescent="0.3">
      <c r="A1496" s="2">
        <v>1489</v>
      </c>
      <c r="B1496" s="2" t="s">
        <v>1572</v>
      </c>
      <c r="C1496" s="2" t="s">
        <v>2722</v>
      </c>
      <c r="D1496" s="2" t="s">
        <v>28</v>
      </c>
      <c r="E1496" s="2" t="s">
        <v>29</v>
      </c>
      <c r="F1496" s="2">
        <v>30</v>
      </c>
      <c r="G1496" s="2" t="s">
        <v>4582</v>
      </c>
      <c r="H1496" s="2" t="s">
        <v>1952</v>
      </c>
      <c r="I1496" s="2" t="s">
        <v>32</v>
      </c>
      <c r="J1496" s="3">
        <v>44092</v>
      </c>
      <c r="K1496" s="5">
        <f>YEAR(OrganizedData[[#This Row],[Order Date]])</f>
        <v>2020</v>
      </c>
      <c r="L1496" s="7" t="str">
        <f>TEXT(OrganizedData[[#This Row],[Order Date]],"mmm")</f>
        <v>Sep</v>
      </c>
      <c r="M1496" s="2">
        <v>46</v>
      </c>
      <c r="N1496" s="2" t="s">
        <v>159</v>
      </c>
      <c r="O1496" s="2" t="str">
        <f>VLOOKUP(OrganizedData[[#This Row],[Product Code]],ProductData[[Code]:[Item]],2,FALSE)</f>
        <v>Ultrathing V3</v>
      </c>
      <c r="P1496" s="4">
        <f>OrganizedData[[#This Row],[Quantity]]*VLOOKUP(OrganizedData[[#This Row],[Product Code]],ProductData[],4,FALSE)</f>
        <v>1104</v>
      </c>
      <c r="Q1496" s="6">
        <f>OrganizedData[[#This Row],[Total Items Ordered]]*VLOOKUP(OrganizedData[[#This Row],[Product Code]],ProductData[],3,FALSE)</f>
        <v>3742.56</v>
      </c>
      <c r="R14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3630.2831999999999</v>
      </c>
    </row>
    <row r="1497" spans="1:18" x14ac:dyDescent="0.3">
      <c r="A1497" s="2">
        <v>1490</v>
      </c>
      <c r="B1497" s="2" t="s">
        <v>3170</v>
      </c>
      <c r="C1497" s="2" t="s">
        <v>4583</v>
      </c>
      <c r="D1497" s="2" t="s">
        <v>51</v>
      </c>
      <c r="E1497" s="2" t="s">
        <v>16</v>
      </c>
      <c r="F1497" s="2">
        <v>90</v>
      </c>
      <c r="G1497" s="2" t="s">
        <v>4584</v>
      </c>
      <c r="H1497" s="2" t="s">
        <v>4585</v>
      </c>
      <c r="I1497" s="2" t="s">
        <v>25</v>
      </c>
      <c r="J1497" s="3">
        <v>44136</v>
      </c>
      <c r="K1497" s="5">
        <f>YEAR(OrganizedData[[#This Row],[Order Date]])</f>
        <v>2020</v>
      </c>
      <c r="L1497" s="7" t="str">
        <f>TEXT(OrganizedData[[#This Row],[Order Date]],"mmm")</f>
        <v>Nov</v>
      </c>
      <c r="M1497" s="2">
        <v>83</v>
      </c>
      <c r="N1497" s="2" t="s">
        <v>20</v>
      </c>
      <c r="O1497" s="2" t="str">
        <f>VLOOKUP(OrganizedData[[#This Row],[Product Code]],ProductData[[Code]:[Item]],2,FALSE)</f>
        <v>Hyperwotsit</v>
      </c>
      <c r="P1497" s="4">
        <f>OrganizedData[[#This Row],[Quantity]]*VLOOKUP(OrganizedData[[#This Row],[Product Code]],ProductData[],4,FALSE)</f>
        <v>1660</v>
      </c>
      <c r="Q1497" s="6">
        <f>OrganizedData[[#This Row],[Total Items Ordered]]*VLOOKUP(OrganizedData[[#This Row],[Product Code]],ProductData[],3,FALSE)</f>
        <v>3336.5999999999995</v>
      </c>
      <c r="R14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3169.7699999999995</v>
      </c>
    </row>
    <row r="1498" spans="1:18" x14ac:dyDescent="0.3">
      <c r="A1498" s="2">
        <v>1491</v>
      </c>
      <c r="B1498" s="2" t="s">
        <v>1379</v>
      </c>
      <c r="C1498" s="2" t="s">
        <v>873</v>
      </c>
      <c r="D1498" s="2" t="s">
        <v>28</v>
      </c>
      <c r="E1498" s="2" t="s">
        <v>29</v>
      </c>
      <c r="F1498" s="2">
        <v>90</v>
      </c>
      <c r="G1498" s="2" t="s">
        <v>4586</v>
      </c>
      <c r="H1498" s="2" t="s">
        <v>4587</v>
      </c>
      <c r="I1498" s="2" t="s">
        <v>32</v>
      </c>
      <c r="J1498" s="3">
        <v>44180</v>
      </c>
      <c r="K1498" s="5">
        <f>YEAR(OrganizedData[[#This Row],[Order Date]])</f>
        <v>2020</v>
      </c>
      <c r="L1498" s="7" t="str">
        <f>TEXT(OrganizedData[[#This Row],[Order Date]],"mmm")</f>
        <v>Dec</v>
      </c>
      <c r="M1498" s="2">
        <v>21</v>
      </c>
      <c r="N1498" s="2" t="s">
        <v>80</v>
      </c>
      <c r="O1498" s="2" t="str">
        <f>VLOOKUP(OrganizedData[[#This Row],[Product Code]],ProductData[[Code]:[Item]],2,FALSE)</f>
        <v>Ultrathing V2</v>
      </c>
      <c r="P1498" s="4">
        <f>OrganizedData[[#This Row],[Quantity]]*VLOOKUP(OrganizedData[[#This Row],[Product Code]],ProductData[],4,FALSE)</f>
        <v>420</v>
      </c>
      <c r="Q1498" s="6">
        <f>OrganizedData[[#This Row],[Total Items Ordered]]*VLOOKUP(OrganizedData[[#This Row],[Product Code]],ProductData[],3,FALSE)</f>
        <v>1239</v>
      </c>
      <c r="R14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1201.83</v>
      </c>
    </row>
    <row r="1499" spans="1:18" x14ac:dyDescent="0.3">
      <c r="A1499" s="2">
        <v>1492</v>
      </c>
      <c r="B1499" s="2" t="s">
        <v>4588</v>
      </c>
      <c r="C1499" s="2" t="s">
        <v>2349</v>
      </c>
      <c r="D1499" s="2" t="s">
        <v>15</v>
      </c>
      <c r="E1499" s="2" t="s">
        <v>16</v>
      </c>
      <c r="F1499" s="2">
        <v>60</v>
      </c>
      <c r="G1499" s="2" t="s">
        <v>4589</v>
      </c>
      <c r="H1499" s="2" t="s">
        <v>818</v>
      </c>
      <c r="I1499" s="2" t="s">
        <v>819</v>
      </c>
      <c r="J1499" s="3">
        <v>44876</v>
      </c>
      <c r="K1499" s="5">
        <f>YEAR(OrganizedData[[#This Row],[Order Date]])</f>
        <v>2022</v>
      </c>
      <c r="L1499" s="7" t="str">
        <f>TEXT(OrganizedData[[#This Row],[Order Date]],"mmm")</f>
        <v>Nov</v>
      </c>
      <c r="M1499" s="2">
        <v>62</v>
      </c>
      <c r="N1499" s="2" t="s">
        <v>20</v>
      </c>
      <c r="O1499" s="2" t="str">
        <f>VLOOKUP(OrganizedData[[#This Row],[Product Code]],ProductData[[Code]:[Item]],2,FALSE)</f>
        <v>Hyperwotsit</v>
      </c>
      <c r="P1499" s="4">
        <f>OrganizedData[[#This Row],[Quantity]]*VLOOKUP(OrganizedData[[#This Row],[Product Code]],ProductData[],4,FALSE)</f>
        <v>1240</v>
      </c>
      <c r="Q1499" s="6">
        <f>OrganizedData[[#This Row],[Total Items Ordered]]*VLOOKUP(OrganizedData[[#This Row],[Product Code]],ProductData[],3,FALSE)</f>
        <v>2492.3999999999996</v>
      </c>
      <c r="R14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2367.7799999999997</v>
      </c>
    </row>
    <row r="1500" spans="1:18" x14ac:dyDescent="0.3">
      <c r="A1500" s="2">
        <v>1493</v>
      </c>
      <c r="B1500" s="2" t="s">
        <v>4590</v>
      </c>
      <c r="C1500" s="2" t="s">
        <v>4591</v>
      </c>
      <c r="D1500" s="2" t="s">
        <v>15</v>
      </c>
      <c r="E1500" s="2" t="s">
        <v>16</v>
      </c>
      <c r="F1500" s="2">
        <v>90</v>
      </c>
      <c r="G1500" s="2" t="s">
        <v>4592</v>
      </c>
      <c r="H1500" s="2" t="s">
        <v>3242</v>
      </c>
      <c r="I1500" s="2" t="s">
        <v>32</v>
      </c>
      <c r="J1500" s="3">
        <v>44132</v>
      </c>
      <c r="K1500" s="5">
        <f>YEAR(OrganizedData[[#This Row],[Order Date]])</f>
        <v>2020</v>
      </c>
      <c r="L1500" s="7" t="str">
        <f>TEXT(OrganizedData[[#This Row],[Order Date]],"mmm")</f>
        <v>Oct</v>
      </c>
      <c r="M1500" s="2">
        <v>34</v>
      </c>
      <c r="N1500" s="2" t="s">
        <v>70</v>
      </c>
      <c r="O1500" s="2" t="str">
        <f>VLOOKUP(OrganizedData[[#This Row],[Product Code]],ProductData[[Code]:[Item]],2,FALSE)</f>
        <v>Megawidget M</v>
      </c>
      <c r="P1500" s="4">
        <f>OrganizedData[[#This Row],[Quantity]]*VLOOKUP(OrganizedData[[#This Row],[Product Code]],ProductData[],4,FALSE)</f>
        <v>816</v>
      </c>
      <c r="Q1500" s="6">
        <f>OrganizedData[[#This Row],[Total Items Ordered]]*VLOOKUP(OrganizedData[[#This Row],[Product Code]],ProductData[],3,FALSE)</f>
        <v>1052.6400000000001</v>
      </c>
      <c r="R15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1021.0608000000001</v>
      </c>
    </row>
    <row r="1501" spans="1:18" x14ac:dyDescent="0.3">
      <c r="A1501" s="2">
        <v>1494</v>
      </c>
      <c r="B1501" s="2" t="s">
        <v>1909</v>
      </c>
      <c r="C1501" s="2" t="s">
        <v>2127</v>
      </c>
      <c r="D1501" s="2" t="s">
        <v>28</v>
      </c>
      <c r="E1501" s="2" t="s">
        <v>29</v>
      </c>
      <c r="F1501" s="2">
        <v>90</v>
      </c>
      <c r="G1501" s="2" t="s">
        <v>4593</v>
      </c>
      <c r="H1501" s="2" t="s">
        <v>4594</v>
      </c>
      <c r="I1501" s="2" t="s">
        <v>38</v>
      </c>
      <c r="J1501" s="3">
        <v>44873</v>
      </c>
      <c r="K1501" s="5">
        <f>YEAR(OrganizedData[[#This Row],[Order Date]])</f>
        <v>2022</v>
      </c>
      <c r="L1501" s="7" t="str">
        <f>TEXT(OrganizedData[[#This Row],[Order Date]],"mmm")</f>
        <v>Nov</v>
      </c>
      <c r="M1501" s="2">
        <v>89</v>
      </c>
      <c r="N1501" s="2" t="s">
        <v>20</v>
      </c>
      <c r="O1501" s="2" t="str">
        <f>VLOOKUP(OrganizedData[[#This Row],[Product Code]],ProductData[[Code]:[Item]],2,FALSE)</f>
        <v>Hyperwotsit</v>
      </c>
      <c r="P1501" s="4">
        <f>OrganizedData[[#This Row],[Quantity]]*VLOOKUP(OrganizedData[[#This Row],[Product Code]],ProductData[],4,FALSE)</f>
        <v>1780</v>
      </c>
      <c r="Q1501" s="6">
        <f>OrganizedData[[#This Row],[Total Items Ordered]]*VLOOKUP(OrganizedData[[#This Row],[Product Code]],ProductData[],3,FALSE)</f>
        <v>3577.7999999999997</v>
      </c>
      <c r="R15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3398.9099999999994</v>
      </c>
    </row>
    <row r="1502" spans="1:18" x14ac:dyDescent="0.3">
      <c r="A1502" s="2">
        <v>1495</v>
      </c>
      <c r="B1502" s="2" t="s">
        <v>1234</v>
      </c>
      <c r="C1502" s="2" t="s">
        <v>1874</v>
      </c>
      <c r="D1502" s="2" t="s">
        <v>28</v>
      </c>
      <c r="E1502" s="2" t="s">
        <v>29</v>
      </c>
      <c r="F1502" s="2">
        <v>60</v>
      </c>
      <c r="G1502" s="2" t="s">
        <v>4595</v>
      </c>
      <c r="H1502" s="2" t="s">
        <v>2742</v>
      </c>
      <c r="I1502" s="2" t="s">
        <v>124</v>
      </c>
      <c r="J1502" s="3">
        <v>44837</v>
      </c>
      <c r="K1502" s="5">
        <f>YEAR(OrganizedData[[#This Row],[Order Date]])</f>
        <v>2022</v>
      </c>
      <c r="L1502" s="7" t="str">
        <f>TEXT(OrganizedData[[#This Row],[Order Date]],"mmm")</f>
        <v>Oct</v>
      </c>
      <c r="M1502" s="2">
        <v>60</v>
      </c>
      <c r="N1502" s="2" t="s">
        <v>70</v>
      </c>
      <c r="O1502" s="2" t="str">
        <f>VLOOKUP(OrganizedData[[#This Row],[Product Code]],ProductData[[Code]:[Item]],2,FALSE)</f>
        <v>Megawidget M</v>
      </c>
      <c r="P1502" s="4">
        <f>OrganizedData[[#This Row],[Quantity]]*VLOOKUP(OrganizedData[[#This Row],[Product Code]],ProductData[],4,FALSE)</f>
        <v>1440</v>
      </c>
      <c r="Q1502" s="6">
        <f>OrganizedData[[#This Row],[Total Items Ordered]]*VLOOKUP(OrganizedData[[#This Row],[Product Code]],ProductData[],3,FALSE)</f>
        <v>1857.6000000000001</v>
      </c>
      <c r="R15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1764.72</v>
      </c>
    </row>
    <row r="1503" spans="1:18" x14ac:dyDescent="0.3">
      <c r="A1503" s="2">
        <v>1496</v>
      </c>
      <c r="B1503" s="2" t="s">
        <v>4596</v>
      </c>
      <c r="C1503" s="2" t="s">
        <v>4079</v>
      </c>
      <c r="D1503" s="2" t="s">
        <v>28</v>
      </c>
      <c r="E1503" s="2" t="s">
        <v>29</v>
      </c>
      <c r="F1503" s="2">
        <v>90</v>
      </c>
      <c r="G1503" s="2" t="s">
        <v>4597</v>
      </c>
      <c r="H1503" s="2" t="s">
        <v>4598</v>
      </c>
      <c r="I1503" s="2" t="s">
        <v>187</v>
      </c>
      <c r="J1503" s="3">
        <v>43963</v>
      </c>
      <c r="K1503" s="5">
        <f>YEAR(OrganizedData[[#This Row],[Order Date]])</f>
        <v>2020</v>
      </c>
      <c r="L1503" s="7" t="str">
        <f>TEXT(OrganizedData[[#This Row],[Order Date]],"mmm")</f>
        <v>May</v>
      </c>
      <c r="M1503" s="2">
        <v>72</v>
      </c>
      <c r="N1503" s="2" t="s">
        <v>20</v>
      </c>
      <c r="O1503" s="2" t="str">
        <f>VLOOKUP(OrganizedData[[#This Row],[Product Code]],ProductData[[Code]:[Item]],2,FALSE)</f>
        <v>Hyperwotsit</v>
      </c>
      <c r="P1503" s="4">
        <f>OrganizedData[[#This Row],[Quantity]]*VLOOKUP(OrganizedData[[#This Row],[Product Code]],ProductData[],4,FALSE)</f>
        <v>1440</v>
      </c>
      <c r="Q1503" s="6">
        <f>OrganizedData[[#This Row],[Total Items Ordered]]*VLOOKUP(OrganizedData[[#This Row],[Product Code]],ProductData[],3,FALSE)</f>
        <v>2894.3999999999996</v>
      </c>
      <c r="R15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1504" spans="1:18" x14ac:dyDescent="0.3">
      <c r="A1504" s="2">
        <v>1497</v>
      </c>
      <c r="B1504" s="2" t="s">
        <v>4599</v>
      </c>
      <c r="C1504" s="2" t="s">
        <v>4600</v>
      </c>
      <c r="D1504" s="2" t="s">
        <v>28</v>
      </c>
      <c r="E1504" s="2" t="s">
        <v>29</v>
      </c>
      <c r="F1504" s="2">
        <v>30</v>
      </c>
      <c r="G1504" s="2" t="s">
        <v>4601</v>
      </c>
      <c r="H1504" s="2" t="s">
        <v>4090</v>
      </c>
      <c r="I1504" s="2" t="s">
        <v>32</v>
      </c>
      <c r="J1504" s="3">
        <v>44687</v>
      </c>
      <c r="K1504" s="5">
        <f>YEAR(OrganizedData[[#This Row],[Order Date]])</f>
        <v>2022</v>
      </c>
      <c r="L1504" s="7" t="str">
        <f>TEXT(OrganizedData[[#This Row],[Order Date]],"mmm")</f>
        <v>May</v>
      </c>
      <c r="M1504" s="2">
        <v>66</v>
      </c>
      <c r="N1504" s="2" t="s">
        <v>33</v>
      </c>
      <c r="O1504" s="2" t="str">
        <f>VLOOKUP(OrganizedData[[#This Row],[Product Code]],ProductData[[Code]:[Item]],2,FALSE)</f>
        <v>Megawidget L</v>
      </c>
      <c r="P1504" s="4">
        <f>OrganizedData[[#This Row],[Quantity]]*VLOOKUP(OrganizedData[[#This Row],[Product Code]],ProductData[],4,FALSE)</f>
        <v>1584</v>
      </c>
      <c r="Q1504" s="6">
        <f>OrganizedData[[#This Row],[Total Items Ordered]]*VLOOKUP(OrganizedData[[#This Row],[Product Code]],ProductData[],3,FALSE)</f>
        <v>2835.36</v>
      </c>
      <c r="R15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2693.5920000000001</v>
      </c>
    </row>
    <row r="1505" spans="1:18" x14ac:dyDescent="0.3">
      <c r="A1505" s="2">
        <v>1498</v>
      </c>
      <c r="B1505" s="2" t="s">
        <v>4602</v>
      </c>
      <c r="C1505" s="2" t="s">
        <v>4603</v>
      </c>
      <c r="D1505" s="2" t="s">
        <v>15</v>
      </c>
      <c r="E1505" s="2" t="s">
        <v>16</v>
      </c>
      <c r="F1505" s="2">
        <v>30</v>
      </c>
      <c r="G1505" s="2" t="s">
        <v>4604</v>
      </c>
      <c r="H1505" s="2" t="s">
        <v>849</v>
      </c>
      <c r="I1505" s="2" t="s">
        <v>124</v>
      </c>
      <c r="J1505" s="3">
        <v>44331</v>
      </c>
      <c r="K1505" s="5">
        <f>YEAR(OrganizedData[[#This Row],[Order Date]])</f>
        <v>2021</v>
      </c>
      <c r="L1505" s="7" t="str">
        <f>TEXT(OrganizedData[[#This Row],[Order Date]],"mmm")</f>
        <v>May</v>
      </c>
      <c r="M1505" s="2">
        <v>86</v>
      </c>
      <c r="N1505" s="2" t="s">
        <v>45</v>
      </c>
      <c r="O1505" s="2" t="str">
        <f>VLOOKUP(OrganizedData[[#This Row],[Product Code]],ProductData[[Code]:[Item]],2,FALSE)</f>
        <v>Gigastuff</v>
      </c>
      <c r="P1505" s="4">
        <f>OrganizedData[[#This Row],[Quantity]]*VLOOKUP(OrganizedData[[#This Row],[Product Code]],ProductData[],4,FALSE)</f>
        <v>1548</v>
      </c>
      <c r="Q1505" s="6">
        <f>OrganizedData[[#This Row],[Total Items Ordered]]*VLOOKUP(OrganizedData[[#This Row],[Product Code]],ProductData[],3,FALSE)</f>
        <v>2925.72</v>
      </c>
      <c r="R15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2779.4339999999997</v>
      </c>
    </row>
    <row r="1506" spans="1:18" x14ac:dyDescent="0.3">
      <c r="A1506" s="2">
        <v>1499</v>
      </c>
      <c r="B1506" s="2" t="s">
        <v>4605</v>
      </c>
      <c r="C1506" s="2" t="s">
        <v>1829</v>
      </c>
      <c r="D1506" s="2" t="s">
        <v>621</v>
      </c>
      <c r="E1506" s="2" t="s">
        <v>29</v>
      </c>
      <c r="F1506" s="2">
        <v>30</v>
      </c>
      <c r="G1506" s="2" t="s">
        <v>4606</v>
      </c>
      <c r="H1506" s="2" t="s">
        <v>4607</v>
      </c>
      <c r="I1506" s="2" t="s">
        <v>25</v>
      </c>
      <c r="J1506" s="3">
        <v>44555</v>
      </c>
      <c r="K1506" s="5">
        <f>YEAR(OrganizedData[[#This Row],[Order Date]])</f>
        <v>2021</v>
      </c>
      <c r="L1506" s="7" t="str">
        <f>TEXT(OrganizedData[[#This Row],[Order Date]],"mmm")</f>
        <v>Dec</v>
      </c>
      <c r="M1506" s="2">
        <v>11</v>
      </c>
      <c r="N1506" s="2" t="s">
        <v>80</v>
      </c>
      <c r="O1506" s="2" t="str">
        <f>VLOOKUP(OrganizedData[[#This Row],[Product Code]],ProductData[[Code]:[Item]],2,FALSE)</f>
        <v>Ultrathing V2</v>
      </c>
      <c r="P1506" s="4">
        <f>OrganizedData[[#This Row],[Quantity]]*VLOOKUP(OrganizedData[[#This Row],[Product Code]],ProductData[],4,FALSE)</f>
        <v>220</v>
      </c>
      <c r="Q1506" s="6">
        <f>OrganizedData[[#This Row],[Total Items Ordered]]*VLOOKUP(OrganizedData[[#This Row],[Product Code]],ProductData[],3,FALSE)</f>
        <v>649</v>
      </c>
      <c r="R15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v>
      </c>
    </row>
    <row r="1507" spans="1:18" x14ac:dyDescent="0.3">
      <c r="A1507" s="2">
        <v>1500</v>
      </c>
      <c r="B1507" s="2" t="s">
        <v>4608</v>
      </c>
      <c r="C1507" s="2" t="s">
        <v>4609</v>
      </c>
      <c r="D1507" s="2" t="s">
        <v>15</v>
      </c>
      <c r="E1507" s="2" t="s">
        <v>16</v>
      </c>
      <c r="F1507" s="2">
        <v>60</v>
      </c>
      <c r="G1507" s="2" t="s">
        <v>4610</v>
      </c>
      <c r="H1507" s="2" t="s">
        <v>4611</v>
      </c>
      <c r="I1507" s="2" t="s">
        <v>38</v>
      </c>
      <c r="J1507" s="3">
        <v>44807</v>
      </c>
      <c r="K1507" s="5">
        <f>YEAR(OrganizedData[[#This Row],[Order Date]])</f>
        <v>2022</v>
      </c>
      <c r="L1507" s="7" t="str">
        <f>TEXT(OrganizedData[[#This Row],[Order Date]],"mmm")</f>
        <v>Sep</v>
      </c>
      <c r="M1507" s="2">
        <v>73</v>
      </c>
      <c r="N1507" s="2" t="s">
        <v>159</v>
      </c>
      <c r="O1507" s="2" t="str">
        <f>VLOOKUP(OrganizedData[[#This Row],[Product Code]],ProductData[[Code]:[Item]],2,FALSE)</f>
        <v>Ultrathing V3</v>
      </c>
      <c r="P1507" s="4">
        <f>OrganizedData[[#This Row],[Quantity]]*VLOOKUP(OrganizedData[[#This Row],[Product Code]],ProductData[],4,FALSE)</f>
        <v>1752</v>
      </c>
      <c r="Q1507" s="6">
        <f>OrganizedData[[#This Row],[Total Items Ordered]]*VLOOKUP(OrganizedData[[#This Row],[Product Code]],ProductData[],3,FALSE)</f>
        <v>5939.2800000000007</v>
      </c>
      <c r="R15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1508" spans="1:18" x14ac:dyDescent="0.3">
      <c r="A1508" s="2">
        <v>1501</v>
      </c>
      <c r="B1508" s="2" t="s">
        <v>4612</v>
      </c>
      <c r="C1508" s="2" t="s">
        <v>516</v>
      </c>
      <c r="D1508" s="2" t="s">
        <v>51</v>
      </c>
      <c r="E1508" s="2" t="s">
        <v>16</v>
      </c>
      <c r="F1508" s="2">
        <v>90</v>
      </c>
      <c r="G1508" s="2" t="s">
        <v>4613</v>
      </c>
      <c r="H1508" s="2" t="s">
        <v>378</v>
      </c>
      <c r="I1508" s="2" t="s">
        <v>146</v>
      </c>
      <c r="J1508" s="3">
        <v>44463</v>
      </c>
      <c r="K1508" s="5">
        <f>YEAR(OrganizedData[[#This Row],[Order Date]])</f>
        <v>2021</v>
      </c>
      <c r="L1508" s="7" t="str">
        <f>TEXT(OrganizedData[[#This Row],[Order Date]],"mmm")</f>
        <v>Sep</v>
      </c>
      <c r="M1508" s="2">
        <v>29</v>
      </c>
      <c r="N1508" s="2" t="s">
        <v>39</v>
      </c>
      <c r="O1508" s="2" t="str">
        <f>VLOOKUP(OrganizedData[[#This Row],[Product Code]],ProductData[[Code]:[Item]],2,FALSE)</f>
        <v>Ultrathing V1</v>
      </c>
      <c r="P1508" s="4">
        <f>OrganizedData[[#This Row],[Quantity]]*VLOOKUP(OrganizedData[[#This Row],[Product Code]],ProductData[],4,FALSE)</f>
        <v>493</v>
      </c>
      <c r="Q1508" s="6">
        <f>OrganizedData[[#This Row],[Total Items Ordered]]*VLOOKUP(OrganizedData[[#This Row],[Product Code]],ProductData[],3,FALSE)</f>
        <v>882.47</v>
      </c>
      <c r="R15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855.99590000000001</v>
      </c>
    </row>
    <row r="1509" spans="1:18" x14ac:dyDescent="0.3">
      <c r="A1509" s="2">
        <v>1502</v>
      </c>
      <c r="B1509" s="2" t="s">
        <v>4614</v>
      </c>
      <c r="C1509" s="2" t="s">
        <v>4615</v>
      </c>
      <c r="D1509" s="2" t="s">
        <v>51</v>
      </c>
      <c r="E1509" s="2" t="s">
        <v>16</v>
      </c>
      <c r="F1509" s="2">
        <v>90</v>
      </c>
      <c r="G1509" s="2" t="s">
        <v>4616</v>
      </c>
      <c r="H1509" s="2" t="s">
        <v>2890</v>
      </c>
      <c r="I1509" s="2" t="s">
        <v>32</v>
      </c>
      <c r="J1509" s="3">
        <v>44531</v>
      </c>
      <c r="K1509" s="5">
        <f>YEAR(OrganizedData[[#This Row],[Order Date]])</f>
        <v>2021</v>
      </c>
      <c r="L1509" s="7" t="str">
        <f>TEXT(OrganizedData[[#This Row],[Order Date]],"mmm")</f>
        <v>Dec</v>
      </c>
      <c r="M1509" s="2">
        <v>62</v>
      </c>
      <c r="N1509" s="2" t="s">
        <v>80</v>
      </c>
      <c r="O1509" s="2" t="str">
        <f>VLOOKUP(OrganizedData[[#This Row],[Product Code]],ProductData[[Code]:[Item]],2,FALSE)</f>
        <v>Ultrathing V2</v>
      </c>
      <c r="P1509" s="4">
        <f>OrganizedData[[#This Row],[Quantity]]*VLOOKUP(OrganizedData[[#This Row],[Product Code]],ProductData[],4,FALSE)</f>
        <v>1240</v>
      </c>
      <c r="Q1509" s="6">
        <f>OrganizedData[[#This Row],[Total Items Ordered]]*VLOOKUP(OrganizedData[[#This Row],[Product Code]],ProductData[],3,FALSE)</f>
        <v>3658</v>
      </c>
      <c r="R15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1510" spans="1:18" x14ac:dyDescent="0.3">
      <c r="A1510" s="2">
        <v>1503</v>
      </c>
      <c r="B1510" s="2" t="s">
        <v>51</v>
      </c>
      <c r="C1510" s="2" t="s">
        <v>66</v>
      </c>
      <c r="D1510" s="2" t="s">
        <v>15</v>
      </c>
      <c r="E1510" s="2" t="s">
        <v>16</v>
      </c>
      <c r="F1510" s="2">
        <v>30</v>
      </c>
      <c r="G1510" s="2" t="s">
        <v>4617</v>
      </c>
      <c r="H1510" s="2" t="s">
        <v>2341</v>
      </c>
      <c r="I1510" s="2" t="s">
        <v>2342</v>
      </c>
      <c r="J1510" s="3">
        <v>44164</v>
      </c>
      <c r="K1510" s="5">
        <f>YEAR(OrganizedData[[#This Row],[Order Date]])</f>
        <v>2020</v>
      </c>
      <c r="L1510" s="7" t="str">
        <f>TEXT(OrganizedData[[#This Row],[Order Date]],"mmm")</f>
        <v>Nov</v>
      </c>
      <c r="M1510" s="2">
        <v>83</v>
      </c>
      <c r="N1510" s="2" t="s">
        <v>54</v>
      </c>
      <c r="O1510" s="2" t="str">
        <f>VLOOKUP(OrganizedData[[#This Row],[Product Code]],ProductData[[Code]:[Item]],2,FALSE)</f>
        <v>Megawidget S</v>
      </c>
      <c r="P1510" s="4">
        <f>OrganizedData[[#This Row],[Quantity]]*VLOOKUP(OrganizedData[[#This Row],[Product Code]],ProductData[],4,FALSE)</f>
        <v>1992</v>
      </c>
      <c r="Q1510" s="6">
        <f>OrganizedData[[#This Row],[Total Items Ordered]]*VLOOKUP(OrganizedData[[#This Row],[Product Code]],ProductData[],3,FALSE)</f>
        <v>1374.4799999999998</v>
      </c>
      <c r="R15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1305.7559999999996</v>
      </c>
    </row>
    <row r="1511" spans="1:18" x14ac:dyDescent="0.3">
      <c r="A1511" s="2">
        <v>1504</v>
      </c>
      <c r="B1511" s="2" t="s">
        <v>4618</v>
      </c>
      <c r="C1511" s="2" t="s">
        <v>4619</v>
      </c>
      <c r="D1511" s="2" t="s">
        <v>28</v>
      </c>
      <c r="E1511" s="2" t="s">
        <v>29</v>
      </c>
      <c r="F1511" s="2">
        <v>90</v>
      </c>
      <c r="G1511" s="2" t="s">
        <v>4620</v>
      </c>
      <c r="H1511" s="2" t="s">
        <v>4621</v>
      </c>
      <c r="I1511" s="2" t="s">
        <v>178</v>
      </c>
      <c r="J1511" s="3">
        <v>44143</v>
      </c>
      <c r="K1511" s="5">
        <f>YEAR(OrganizedData[[#This Row],[Order Date]])</f>
        <v>2020</v>
      </c>
      <c r="L1511" s="7" t="str">
        <f>TEXT(OrganizedData[[#This Row],[Order Date]],"mmm")</f>
        <v>Nov</v>
      </c>
      <c r="M1511" s="2">
        <v>80</v>
      </c>
      <c r="N1511" s="2" t="s">
        <v>159</v>
      </c>
      <c r="O1511" s="2" t="str">
        <f>VLOOKUP(OrganizedData[[#This Row],[Product Code]],ProductData[[Code]:[Item]],2,FALSE)</f>
        <v>Ultrathing V3</v>
      </c>
      <c r="P1511" s="4">
        <f>OrganizedData[[#This Row],[Quantity]]*VLOOKUP(OrganizedData[[#This Row],[Product Code]],ProductData[],4,FALSE)</f>
        <v>1920</v>
      </c>
      <c r="Q1511" s="6">
        <f>OrganizedData[[#This Row],[Total Items Ordered]]*VLOOKUP(OrganizedData[[#This Row],[Product Code]],ProductData[],3,FALSE)</f>
        <v>6508.8</v>
      </c>
      <c r="R15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6183.36</v>
      </c>
    </row>
    <row r="1512" spans="1:18" x14ac:dyDescent="0.3">
      <c r="A1512" s="2">
        <v>1505</v>
      </c>
      <c r="B1512" s="2" t="s">
        <v>4622</v>
      </c>
      <c r="C1512" s="2" t="s">
        <v>4623</v>
      </c>
      <c r="D1512" s="2" t="s">
        <v>15</v>
      </c>
      <c r="E1512" s="2" t="s">
        <v>16</v>
      </c>
      <c r="F1512" s="2">
        <v>30</v>
      </c>
      <c r="G1512" s="2" t="s">
        <v>4624</v>
      </c>
      <c r="H1512" s="2" t="s">
        <v>4214</v>
      </c>
      <c r="I1512" s="2" t="s">
        <v>187</v>
      </c>
      <c r="J1512" s="3">
        <v>44734</v>
      </c>
      <c r="K1512" s="5">
        <f>YEAR(OrganizedData[[#This Row],[Order Date]])</f>
        <v>2022</v>
      </c>
      <c r="L1512" s="7" t="str">
        <f>TEXT(OrganizedData[[#This Row],[Order Date]],"mmm")</f>
        <v>Jun</v>
      </c>
      <c r="M1512" s="2">
        <v>16</v>
      </c>
      <c r="N1512" s="2" t="s">
        <v>20</v>
      </c>
      <c r="O1512" s="2" t="str">
        <f>VLOOKUP(OrganizedData[[#This Row],[Product Code]],ProductData[[Code]:[Item]],2,FALSE)</f>
        <v>Hyperwotsit</v>
      </c>
      <c r="P1512" s="4">
        <f>OrganizedData[[#This Row],[Quantity]]*VLOOKUP(OrganizedData[[#This Row],[Product Code]],ProductData[],4,FALSE)</f>
        <v>320</v>
      </c>
      <c r="Q1512" s="6">
        <f>OrganizedData[[#This Row],[Total Items Ordered]]*VLOOKUP(OrganizedData[[#This Row],[Product Code]],ProductData[],3,FALSE)</f>
        <v>643.19999999999993</v>
      </c>
      <c r="R15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643.19999999999993</v>
      </c>
    </row>
    <row r="1513" spans="1:18" x14ac:dyDescent="0.3">
      <c r="A1513" s="2">
        <v>1506</v>
      </c>
      <c r="B1513" s="2" t="s">
        <v>4625</v>
      </c>
      <c r="C1513" s="2" t="s">
        <v>4626</v>
      </c>
      <c r="D1513" s="2" t="s">
        <v>41</v>
      </c>
      <c r="E1513" s="2" t="s">
        <v>16</v>
      </c>
      <c r="F1513" s="2">
        <v>30</v>
      </c>
      <c r="G1513" s="2" t="s">
        <v>4627</v>
      </c>
      <c r="H1513" s="2" t="s">
        <v>2325</v>
      </c>
      <c r="I1513" s="2" t="s">
        <v>173</v>
      </c>
      <c r="J1513" s="3">
        <v>43983</v>
      </c>
      <c r="K1513" s="5">
        <f>YEAR(OrganizedData[[#This Row],[Order Date]])</f>
        <v>2020</v>
      </c>
      <c r="L1513" s="7" t="str">
        <f>TEXT(OrganizedData[[#This Row],[Order Date]],"mmm")</f>
        <v>Jun</v>
      </c>
      <c r="M1513" s="2">
        <v>42</v>
      </c>
      <c r="N1513" s="2" t="s">
        <v>101</v>
      </c>
      <c r="O1513" s="2" t="str">
        <f>VLOOKUP(OrganizedData[[#This Row],[Product Code]],ProductData[[Code]:[Item]],2,FALSE)</f>
        <v>Superwossname</v>
      </c>
      <c r="P1513" s="4">
        <f>OrganizedData[[#This Row],[Quantity]]*VLOOKUP(OrganizedData[[#This Row],[Product Code]],ProductData[],4,FALSE)</f>
        <v>840</v>
      </c>
      <c r="Q1513" s="6">
        <f>OrganizedData[[#This Row],[Total Items Ordered]]*VLOOKUP(OrganizedData[[#This Row],[Product Code]],ProductData[],3,FALSE)</f>
        <v>2931.6000000000004</v>
      </c>
      <c r="R15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1514" spans="1:18" x14ac:dyDescent="0.3">
      <c r="A1514" s="2">
        <v>1507</v>
      </c>
      <c r="B1514" s="2" t="s">
        <v>4628</v>
      </c>
      <c r="C1514" s="2" t="s">
        <v>4629</v>
      </c>
      <c r="D1514" s="2" t="s">
        <v>28</v>
      </c>
      <c r="E1514" s="2" t="s">
        <v>29</v>
      </c>
      <c r="F1514" s="2">
        <v>90</v>
      </c>
      <c r="G1514" s="2" t="s">
        <v>4630</v>
      </c>
      <c r="H1514" s="2" t="s">
        <v>4631</v>
      </c>
      <c r="I1514" s="2" t="s">
        <v>187</v>
      </c>
      <c r="J1514" s="3">
        <v>43989</v>
      </c>
      <c r="K1514" s="5">
        <f>YEAR(OrganizedData[[#This Row],[Order Date]])</f>
        <v>2020</v>
      </c>
      <c r="L1514" s="7" t="str">
        <f>TEXT(OrganizedData[[#This Row],[Order Date]],"mmm")</f>
        <v>Jun</v>
      </c>
      <c r="M1514" s="2">
        <v>34</v>
      </c>
      <c r="N1514" s="2" t="s">
        <v>80</v>
      </c>
      <c r="O1514" s="2" t="str">
        <f>VLOOKUP(OrganizedData[[#This Row],[Product Code]],ProductData[[Code]:[Item]],2,FALSE)</f>
        <v>Ultrathing V2</v>
      </c>
      <c r="P1514" s="4">
        <f>OrganizedData[[#This Row],[Quantity]]*VLOOKUP(OrganizedData[[#This Row],[Product Code]],ProductData[],4,FALSE)</f>
        <v>680</v>
      </c>
      <c r="Q1514" s="6">
        <f>OrganizedData[[#This Row],[Total Items Ordered]]*VLOOKUP(OrganizedData[[#This Row],[Product Code]],ProductData[],3,FALSE)</f>
        <v>2006.0000000000002</v>
      </c>
      <c r="R15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1945.8200000000002</v>
      </c>
    </row>
    <row r="1515" spans="1:18" x14ac:dyDescent="0.3">
      <c r="A1515" s="2">
        <v>1508</v>
      </c>
      <c r="B1515" s="2" t="s">
        <v>3221</v>
      </c>
      <c r="C1515" s="2" t="s">
        <v>4632</v>
      </c>
      <c r="D1515" s="2" t="s">
        <v>51</v>
      </c>
      <c r="E1515" s="2" t="s">
        <v>16</v>
      </c>
      <c r="F1515" s="2">
        <v>60</v>
      </c>
      <c r="G1515" s="2" t="s">
        <v>4633</v>
      </c>
      <c r="H1515" s="2" t="s">
        <v>3024</v>
      </c>
      <c r="I1515" s="2" t="s">
        <v>32</v>
      </c>
      <c r="J1515" s="3">
        <v>44796</v>
      </c>
      <c r="K1515" s="5">
        <f>YEAR(OrganizedData[[#This Row],[Order Date]])</f>
        <v>2022</v>
      </c>
      <c r="L1515" s="7" t="str">
        <f>TEXT(OrganizedData[[#This Row],[Order Date]],"mmm")</f>
        <v>Aug</v>
      </c>
      <c r="M1515" s="2">
        <v>81</v>
      </c>
      <c r="N1515" s="2" t="s">
        <v>33</v>
      </c>
      <c r="O1515" s="2" t="str">
        <f>VLOOKUP(OrganizedData[[#This Row],[Product Code]],ProductData[[Code]:[Item]],2,FALSE)</f>
        <v>Megawidget L</v>
      </c>
      <c r="P1515" s="4">
        <f>OrganizedData[[#This Row],[Quantity]]*VLOOKUP(OrganizedData[[#This Row],[Product Code]],ProductData[],4,FALSE)</f>
        <v>1944</v>
      </c>
      <c r="Q1515" s="6">
        <f>OrganizedData[[#This Row],[Total Items Ordered]]*VLOOKUP(OrganizedData[[#This Row],[Product Code]],ProductData[],3,FALSE)</f>
        <v>3479.76</v>
      </c>
      <c r="R15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3305.7719999999999</v>
      </c>
    </row>
    <row r="1516" spans="1:18" x14ac:dyDescent="0.3">
      <c r="A1516" s="2">
        <v>1509</v>
      </c>
      <c r="B1516" s="2" t="s">
        <v>4634</v>
      </c>
      <c r="C1516" s="2" t="s">
        <v>4635</v>
      </c>
      <c r="D1516" s="2" t="s">
        <v>51</v>
      </c>
      <c r="E1516" s="2" t="s">
        <v>16</v>
      </c>
      <c r="F1516" s="2">
        <v>90</v>
      </c>
      <c r="G1516" s="2" t="s">
        <v>4636</v>
      </c>
      <c r="H1516" s="2" t="s">
        <v>3932</v>
      </c>
      <c r="I1516" s="2" t="s">
        <v>32</v>
      </c>
      <c r="J1516" s="3">
        <v>44394</v>
      </c>
      <c r="K1516" s="5">
        <f>YEAR(OrganizedData[[#This Row],[Order Date]])</f>
        <v>2021</v>
      </c>
      <c r="L1516" s="7" t="str">
        <f>TEXT(OrganizedData[[#This Row],[Order Date]],"mmm")</f>
        <v>Jul</v>
      </c>
      <c r="M1516" s="2">
        <v>23</v>
      </c>
      <c r="N1516" s="2" t="s">
        <v>70</v>
      </c>
      <c r="O1516" s="2" t="str">
        <f>VLOOKUP(OrganizedData[[#This Row],[Product Code]],ProductData[[Code]:[Item]],2,FALSE)</f>
        <v>Megawidget M</v>
      </c>
      <c r="P1516" s="4">
        <f>OrganizedData[[#This Row],[Quantity]]*VLOOKUP(OrganizedData[[#This Row],[Product Code]],ProductData[],4,FALSE)</f>
        <v>552</v>
      </c>
      <c r="Q1516" s="6">
        <f>OrganizedData[[#This Row],[Total Items Ordered]]*VLOOKUP(OrganizedData[[#This Row],[Product Code]],ProductData[],3,FALSE)</f>
        <v>712.08</v>
      </c>
      <c r="R15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1517" spans="1:18" x14ac:dyDescent="0.3">
      <c r="A1517" s="2">
        <v>1510</v>
      </c>
      <c r="B1517" s="2" t="s">
        <v>3597</v>
      </c>
      <c r="C1517" s="2" t="s">
        <v>4637</v>
      </c>
      <c r="D1517" s="2" t="s">
        <v>28</v>
      </c>
      <c r="E1517" s="2" t="s">
        <v>29</v>
      </c>
      <c r="F1517" s="2">
        <v>90</v>
      </c>
      <c r="G1517" s="2" t="s">
        <v>4638</v>
      </c>
      <c r="H1517" s="2" t="s">
        <v>172</v>
      </c>
      <c r="I1517" s="2" t="s">
        <v>173</v>
      </c>
      <c r="J1517" s="3">
        <v>44266</v>
      </c>
      <c r="K1517" s="5">
        <f>YEAR(OrganizedData[[#This Row],[Order Date]])</f>
        <v>2021</v>
      </c>
      <c r="L1517" s="7" t="str">
        <f>TEXT(OrganizedData[[#This Row],[Order Date]],"mmm")</f>
        <v>Mar</v>
      </c>
      <c r="M1517" s="2">
        <v>55</v>
      </c>
      <c r="N1517" s="2" t="s">
        <v>80</v>
      </c>
      <c r="O1517" s="2" t="str">
        <f>VLOOKUP(OrganizedData[[#This Row],[Product Code]],ProductData[[Code]:[Item]],2,FALSE)</f>
        <v>Ultrathing V2</v>
      </c>
      <c r="P1517" s="4">
        <f>OrganizedData[[#This Row],[Quantity]]*VLOOKUP(OrganizedData[[#This Row],[Product Code]],ProductData[],4,FALSE)</f>
        <v>1100</v>
      </c>
      <c r="Q1517" s="6">
        <f>OrganizedData[[#This Row],[Total Items Ordered]]*VLOOKUP(OrganizedData[[#This Row],[Product Code]],ProductData[],3,FALSE)</f>
        <v>3245</v>
      </c>
      <c r="R15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3082.75</v>
      </c>
    </row>
    <row r="1518" spans="1:18" x14ac:dyDescent="0.3">
      <c r="A1518" s="2">
        <v>1511</v>
      </c>
      <c r="B1518" s="2" t="s">
        <v>4639</v>
      </c>
      <c r="C1518" s="2" t="s">
        <v>4640</v>
      </c>
      <c r="D1518" s="2" t="s">
        <v>51</v>
      </c>
      <c r="E1518" s="2" t="s">
        <v>16</v>
      </c>
      <c r="F1518" s="2">
        <v>30</v>
      </c>
      <c r="G1518" s="2" t="s">
        <v>4641</v>
      </c>
      <c r="H1518" s="2" t="s">
        <v>3437</v>
      </c>
      <c r="I1518" s="2" t="s">
        <v>100</v>
      </c>
      <c r="J1518" s="3">
        <v>44669</v>
      </c>
      <c r="K1518" s="5">
        <f>YEAR(OrganizedData[[#This Row],[Order Date]])</f>
        <v>2022</v>
      </c>
      <c r="L1518" s="7" t="str">
        <f>TEXT(OrganizedData[[#This Row],[Order Date]],"mmm")</f>
        <v>Apr</v>
      </c>
      <c r="M1518" s="2">
        <v>32</v>
      </c>
      <c r="N1518" s="2" t="s">
        <v>70</v>
      </c>
      <c r="O1518" s="2" t="str">
        <f>VLOOKUP(OrganizedData[[#This Row],[Product Code]],ProductData[[Code]:[Item]],2,FALSE)</f>
        <v>Megawidget M</v>
      </c>
      <c r="P1518" s="4">
        <f>OrganizedData[[#This Row],[Quantity]]*VLOOKUP(OrganizedData[[#This Row],[Product Code]],ProductData[],4,FALSE)</f>
        <v>768</v>
      </c>
      <c r="Q1518" s="6">
        <f>OrganizedData[[#This Row],[Total Items Ordered]]*VLOOKUP(OrganizedData[[#This Row],[Product Code]],ProductData[],3,FALSE)</f>
        <v>990.72</v>
      </c>
      <c r="R15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960.99839999999995</v>
      </c>
    </row>
    <row r="1519" spans="1:18" x14ac:dyDescent="0.3">
      <c r="A1519" s="2">
        <v>1512</v>
      </c>
      <c r="B1519" s="2" t="s">
        <v>4642</v>
      </c>
      <c r="C1519" s="2" t="s">
        <v>3900</v>
      </c>
      <c r="D1519" s="2" t="s">
        <v>51</v>
      </c>
      <c r="E1519" s="2" t="s">
        <v>16</v>
      </c>
      <c r="F1519" s="2">
        <v>60</v>
      </c>
      <c r="G1519" s="2" t="s">
        <v>4643</v>
      </c>
      <c r="H1519" s="2" t="s">
        <v>4389</v>
      </c>
      <c r="I1519" s="2" t="s">
        <v>32</v>
      </c>
      <c r="J1519" s="3">
        <v>44910</v>
      </c>
      <c r="K1519" s="5">
        <f>YEAR(OrganizedData[[#This Row],[Order Date]])</f>
        <v>2022</v>
      </c>
      <c r="L1519" s="7" t="str">
        <f>TEXT(OrganizedData[[#This Row],[Order Date]],"mmm")</f>
        <v>Dec</v>
      </c>
      <c r="M1519" s="2">
        <v>40</v>
      </c>
      <c r="N1519" s="2" t="s">
        <v>159</v>
      </c>
      <c r="O1519" s="2" t="str">
        <f>VLOOKUP(OrganizedData[[#This Row],[Product Code]],ProductData[[Code]:[Item]],2,FALSE)</f>
        <v>Ultrathing V3</v>
      </c>
      <c r="P1519" s="4">
        <f>OrganizedData[[#This Row],[Quantity]]*VLOOKUP(OrganizedData[[#This Row],[Product Code]],ProductData[],4,FALSE)</f>
        <v>960</v>
      </c>
      <c r="Q1519" s="6">
        <f>OrganizedData[[#This Row],[Total Items Ordered]]*VLOOKUP(OrganizedData[[#This Row],[Product Code]],ProductData[],3,FALSE)</f>
        <v>3254.4</v>
      </c>
      <c r="R15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3156.768</v>
      </c>
    </row>
    <row r="1520" spans="1:18" x14ac:dyDescent="0.3">
      <c r="A1520" s="2">
        <v>1513</v>
      </c>
      <c r="B1520" s="2" t="s">
        <v>785</v>
      </c>
      <c r="C1520" s="2" t="s">
        <v>4644</v>
      </c>
      <c r="D1520" s="2" t="s">
        <v>28</v>
      </c>
      <c r="E1520" s="2" t="s">
        <v>29</v>
      </c>
      <c r="F1520" s="2">
        <v>90</v>
      </c>
      <c r="G1520" s="2" t="s">
        <v>4645</v>
      </c>
      <c r="H1520" s="2" t="s">
        <v>1647</v>
      </c>
      <c r="I1520" s="2" t="s">
        <v>554</v>
      </c>
      <c r="J1520" s="3">
        <v>44861</v>
      </c>
      <c r="K1520" s="5">
        <f>YEAR(OrganizedData[[#This Row],[Order Date]])</f>
        <v>2022</v>
      </c>
      <c r="L1520" s="7" t="str">
        <f>TEXT(OrganizedData[[#This Row],[Order Date]],"mmm")</f>
        <v>Oct</v>
      </c>
      <c r="M1520" s="2">
        <v>75</v>
      </c>
      <c r="N1520" s="2" t="s">
        <v>64</v>
      </c>
      <c r="O1520" s="2" t="str">
        <f>VLOOKUP(OrganizedData[[#This Row],[Product Code]],ProductData[[Code]:[Item]],2,FALSE)</f>
        <v>Ultrathing V4</v>
      </c>
      <c r="P1520" s="4">
        <f>OrganizedData[[#This Row],[Quantity]]*VLOOKUP(OrganizedData[[#This Row],[Product Code]],ProductData[],4,FALSE)</f>
        <v>1800</v>
      </c>
      <c r="Q1520" s="6">
        <f>OrganizedData[[#This Row],[Total Items Ordered]]*VLOOKUP(OrganizedData[[#This Row],[Product Code]],ProductData[],3,FALSE)</f>
        <v>7182</v>
      </c>
      <c r="R15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6822.9</v>
      </c>
    </row>
    <row r="1521" spans="1:18" x14ac:dyDescent="0.3">
      <c r="A1521" s="2">
        <v>1514</v>
      </c>
      <c r="B1521" s="2" t="s">
        <v>3050</v>
      </c>
      <c r="C1521" s="2" t="s">
        <v>4422</v>
      </c>
      <c r="D1521" s="2" t="s">
        <v>28</v>
      </c>
      <c r="E1521" s="2" t="s">
        <v>29</v>
      </c>
      <c r="F1521" s="2">
        <v>30</v>
      </c>
      <c r="G1521" s="2" t="s">
        <v>4646</v>
      </c>
      <c r="H1521" s="2" t="s">
        <v>1987</v>
      </c>
      <c r="I1521" s="2" t="s">
        <v>19</v>
      </c>
      <c r="J1521" s="3">
        <v>44147</v>
      </c>
      <c r="K1521" s="5">
        <f>YEAR(OrganizedData[[#This Row],[Order Date]])</f>
        <v>2020</v>
      </c>
      <c r="L1521" s="7" t="str">
        <f>TEXT(OrganizedData[[#This Row],[Order Date]],"mmm")</f>
        <v>Nov</v>
      </c>
      <c r="M1521" s="2">
        <v>71</v>
      </c>
      <c r="N1521" s="2" t="s">
        <v>80</v>
      </c>
      <c r="O1521" s="2" t="str">
        <f>VLOOKUP(OrganizedData[[#This Row],[Product Code]],ProductData[[Code]:[Item]],2,FALSE)</f>
        <v>Ultrathing V2</v>
      </c>
      <c r="P1521" s="4">
        <f>OrganizedData[[#This Row],[Quantity]]*VLOOKUP(OrganizedData[[#This Row],[Product Code]],ProductData[],4,FALSE)</f>
        <v>1420</v>
      </c>
      <c r="Q1521" s="6">
        <f>OrganizedData[[#This Row],[Total Items Ordered]]*VLOOKUP(OrganizedData[[#This Row],[Product Code]],ProductData[],3,FALSE)</f>
        <v>4189</v>
      </c>
      <c r="R15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3979.5499999999997</v>
      </c>
    </row>
    <row r="1522" spans="1:18" x14ac:dyDescent="0.3">
      <c r="A1522" s="2">
        <v>1515</v>
      </c>
      <c r="B1522" s="2" t="s">
        <v>4647</v>
      </c>
      <c r="C1522" s="2" t="s">
        <v>4481</v>
      </c>
      <c r="D1522" s="2" t="s">
        <v>28</v>
      </c>
      <c r="E1522" s="2" t="s">
        <v>29</v>
      </c>
      <c r="F1522" s="2">
        <v>30</v>
      </c>
      <c r="G1522" s="2" t="s">
        <v>4648</v>
      </c>
      <c r="H1522" s="2" t="s">
        <v>3274</v>
      </c>
      <c r="I1522" s="2" t="s">
        <v>32</v>
      </c>
      <c r="J1522" s="3">
        <v>44660</v>
      </c>
      <c r="K1522" s="5">
        <f>YEAR(OrganizedData[[#This Row],[Order Date]])</f>
        <v>2022</v>
      </c>
      <c r="L1522" s="7" t="str">
        <f>TEXT(OrganizedData[[#This Row],[Order Date]],"mmm")</f>
        <v>Apr</v>
      </c>
      <c r="M1522" s="2">
        <v>57</v>
      </c>
      <c r="N1522" s="2" t="s">
        <v>39</v>
      </c>
      <c r="O1522" s="2" t="str">
        <f>VLOOKUP(OrganizedData[[#This Row],[Product Code]],ProductData[[Code]:[Item]],2,FALSE)</f>
        <v>Ultrathing V1</v>
      </c>
      <c r="P1522" s="4">
        <f>OrganizedData[[#This Row],[Quantity]]*VLOOKUP(OrganizedData[[#This Row],[Product Code]],ProductData[],4,FALSE)</f>
        <v>969</v>
      </c>
      <c r="Q1522" s="6">
        <f>OrganizedData[[#This Row],[Total Items Ordered]]*VLOOKUP(OrganizedData[[#This Row],[Product Code]],ProductData[],3,FALSE)</f>
        <v>1734.51</v>
      </c>
      <c r="R15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1523" spans="1:18" x14ac:dyDescent="0.3">
      <c r="A1523" s="2">
        <v>1516</v>
      </c>
      <c r="B1523" s="2" t="s">
        <v>4649</v>
      </c>
      <c r="C1523" s="2" t="s">
        <v>2385</v>
      </c>
      <c r="D1523" s="2" t="s">
        <v>28</v>
      </c>
      <c r="E1523" s="2" t="s">
        <v>29</v>
      </c>
      <c r="F1523" s="2">
        <v>60</v>
      </c>
      <c r="G1523" s="2" t="s">
        <v>4650</v>
      </c>
      <c r="H1523" s="2" t="s">
        <v>4651</v>
      </c>
      <c r="I1523" s="2" t="s">
        <v>32</v>
      </c>
      <c r="J1523" s="3">
        <v>44732</v>
      </c>
      <c r="K1523" s="5">
        <f>YEAR(OrganizedData[[#This Row],[Order Date]])</f>
        <v>2022</v>
      </c>
      <c r="L1523" s="7" t="str">
        <f>TEXT(OrganizedData[[#This Row],[Order Date]],"mmm")</f>
        <v>Jun</v>
      </c>
      <c r="M1523" s="2">
        <v>39</v>
      </c>
      <c r="N1523" s="2" t="s">
        <v>80</v>
      </c>
      <c r="O1523" s="2" t="str">
        <f>VLOOKUP(OrganizedData[[#This Row],[Product Code]],ProductData[[Code]:[Item]],2,FALSE)</f>
        <v>Ultrathing V2</v>
      </c>
      <c r="P1523" s="4">
        <f>OrganizedData[[#This Row],[Quantity]]*VLOOKUP(OrganizedData[[#This Row],[Product Code]],ProductData[],4,FALSE)</f>
        <v>780</v>
      </c>
      <c r="Q1523" s="6">
        <f>OrganizedData[[#This Row],[Total Items Ordered]]*VLOOKUP(OrganizedData[[#This Row],[Product Code]],ProductData[],3,FALSE)</f>
        <v>2301</v>
      </c>
      <c r="R15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1524" spans="1:18" x14ac:dyDescent="0.3">
      <c r="A1524" s="2">
        <v>1517</v>
      </c>
      <c r="B1524" s="2" t="s">
        <v>4652</v>
      </c>
      <c r="C1524" s="2" t="s">
        <v>4653</v>
      </c>
      <c r="D1524" s="2" t="s">
        <v>28</v>
      </c>
      <c r="E1524" s="2" t="s">
        <v>29</v>
      </c>
      <c r="F1524" s="2">
        <v>90</v>
      </c>
      <c r="G1524" s="2" t="s">
        <v>4654</v>
      </c>
      <c r="H1524" s="2" t="s">
        <v>4655</v>
      </c>
      <c r="I1524" s="2" t="s">
        <v>32</v>
      </c>
      <c r="J1524" s="3">
        <v>44175</v>
      </c>
      <c r="K1524" s="5">
        <f>YEAR(OrganizedData[[#This Row],[Order Date]])</f>
        <v>2020</v>
      </c>
      <c r="L1524" s="7" t="str">
        <f>TEXT(OrganizedData[[#This Row],[Order Date]],"mmm")</f>
        <v>Dec</v>
      </c>
      <c r="M1524" s="2">
        <v>46</v>
      </c>
      <c r="N1524" s="2" t="s">
        <v>39</v>
      </c>
      <c r="O1524" s="2" t="str">
        <f>VLOOKUP(OrganizedData[[#This Row],[Product Code]],ProductData[[Code]:[Item]],2,FALSE)</f>
        <v>Ultrathing V1</v>
      </c>
      <c r="P1524" s="4">
        <f>OrganizedData[[#This Row],[Quantity]]*VLOOKUP(OrganizedData[[#This Row],[Product Code]],ProductData[],4,FALSE)</f>
        <v>782</v>
      </c>
      <c r="Q1524" s="6">
        <f>OrganizedData[[#This Row],[Total Items Ordered]]*VLOOKUP(OrganizedData[[#This Row],[Product Code]],ProductData[],3,FALSE)</f>
        <v>1399.78</v>
      </c>
      <c r="R15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1525" spans="1:18" x14ac:dyDescent="0.3">
      <c r="A1525" s="2">
        <v>1518</v>
      </c>
      <c r="B1525" s="2" t="s">
        <v>4656</v>
      </c>
      <c r="C1525" s="2" t="s">
        <v>3469</v>
      </c>
      <c r="D1525" s="2" t="s">
        <v>15</v>
      </c>
      <c r="E1525" s="2" t="s">
        <v>16</v>
      </c>
      <c r="F1525" s="2">
        <v>90</v>
      </c>
      <c r="G1525" s="2" t="s">
        <v>4657</v>
      </c>
      <c r="H1525" s="2" t="s">
        <v>1690</v>
      </c>
      <c r="I1525" s="2" t="s">
        <v>208</v>
      </c>
      <c r="J1525" s="3">
        <v>44429</v>
      </c>
      <c r="K1525" s="5">
        <f>YEAR(OrganizedData[[#This Row],[Order Date]])</f>
        <v>2021</v>
      </c>
      <c r="L1525" s="7" t="str">
        <f>TEXT(OrganizedData[[#This Row],[Order Date]],"mmm")</f>
        <v>Aug</v>
      </c>
      <c r="M1525" s="2">
        <v>19</v>
      </c>
      <c r="N1525" s="2" t="s">
        <v>54</v>
      </c>
      <c r="O1525" s="2" t="str">
        <f>VLOOKUP(OrganizedData[[#This Row],[Product Code]],ProductData[[Code]:[Item]],2,FALSE)</f>
        <v>Megawidget S</v>
      </c>
      <c r="P1525" s="4">
        <f>OrganizedData[[#This Row],[Quantity]]*VLOOKUP(OrganizedData[[#This Row],[Product Code]],ProductData[],4,FALSE)</f>
        <v>456</v>
      </c>
      <c r="Q1525" s="6">
        <f>OrganizedData[[#This Row],[Total Items Ordered]]*VLOOKUP(OrganizedData[[#This Row],[Product Code]],ProductData[],3,FALSE)</f>
        <v>314.64</v>
      </c>
      <c r="R15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314.64</v>
      </c>
    </row>
    <row r="1526" spans="1:18" x14ac:dyDescent="0.3">
      <c r="A1526" s="2">
        <v>1519</v>
      </c>
      <c r="B1526" s="2" t="s">
        <v>4658</v>
      </c>
      <c r="C1526" s="2" t="s">
        <v>788</v>
      </c>
      <c r="D1526" s="2" t="s">
        <v>15</v>
      </c>
      <c r="E1526" s="2" t="s">
        <v>16</v>
      </c>
      <c r="F1526" s="2">
        <v>30</v>
      </c>
      <c r="G1526" s="2" t="s">
        <v>4659</v>
      </c>
      <c r="H1526" s="2" t="s">
        <v>429</v>
      </c>
      <c r="I1526" s="2" t="s">
        <v>32</v>
      </c>
      <c r="J1526" s="3">
        <v>44051</v>
      </c>
      <c r="K1526" s="5">
        <f>YEAR(OrganizedData[[#This Row],[Order Date]])</f>
        <v>2020</v>
      </c>
      <c r="L1526" s="7" t="str">
        <f>TEXT(OrganizedData[[#This Row],[Order Date]],"mmm")</f>
        <v>Aug</v>
      </c>
      <c r="M1526" s="2">
        <v>69</v>
      </c>
      <c r="N1526" s="2" t="s">
        <v>20</v>
      </c>
      <c r="O1526" s="2" t="str">
        <f>VLOOKUP(OrganizedData[[#This Row],[Product Code]],ProductData[[Code]:[Item]],2,FALSE)</f>
        <v>Hyperwotsit</v>
      </c>
      <c r="P1526" s="4">
        <f>OrganizedData[[#This Row],[Quantity]]*VLOOKUP(OrganizedData[[#This Row],[Product Code]],ProductData[],4,FALSE)</f>
        <v>1380</v>
      </c>
      <c r="Q1526" s="6">
        <f>OrganizedData[[#This Row],[Total Items Ordered]]*VLOOKUP(OrganizedData[[#This Row],[Product Code]],ProductData[],3,FALSE)</f>
        <v>2773.7999999999997</v>
      </c>
      <c r="R15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1527" spans="1:18" x14ac:dyDescent="0.3">
      <c r="A1527" s="2">
        <v>1520</v>
      </c>
      <c r="B1527" s="2" t="s">
        <v>4660</v>
      </c>
      <c r="C1527" s="2" t="s">
        <v>4425</v>
      </c>
      <c r="D1527" s="2" t="s">
        <v>51</v>
      </c>
      <c r="E1527" s="2" t="s">
        <v>16</v>
      </c>
      <c r="F1527" s="2">
        <v>30</v>
      </c>
      <c r="G1527" s="2" t="s">
        <v>4661</v>
      </c>
      <c r="H1527" s="2" t="s">
        <v>4662</v>
      </c>
      <c r="I1527" s="2" t="s">
        <v>32</v>
      </c>
      <c r="J1527" s="3">
        <v>44166</v>
      </c>
      <c r="K1527" s="5">
        <f>YEAR(OrganizedData[[#This Row],[Order Date]])</f>
        <v>2020</v>
      </c>
      <c r="L1527" s="7" t="str">
        <f>TEXT(OrganizedData[[#This Row],[Order Date]],"mmm")</f>
        <v>Dec</v>
      </c>
      <c r="M1527" s="2">
        <v>50</v>
      </c>
      <c r="N1527" s="2" t="s">
        <v>33</v>
      </c>
      <c r="O1527" s="2" t="str">
        <f>VLOOKUP(OrganizedData[[#This Row],[Product Code]],ProductData[[Code]:[Item]],2,FALSE)</f>
        <v>Megawidget L</v>
      </c>
      <c r="P1527" s="4">
        <f>OrganizedData[[#This Row],[Quantity]]*VLOOKUP(OrganizedData[[#This Row],[Product Code]],ProductData[],4,FALSE)</f>
        <v>1200</v>
      </c>
      <c r="Q1527" s="6">
        <f>OrganizedData[[#This Row],[Total Items Ordered]]*VLOOKUP(OrganizedData[[#This Row],[Product Code]],ProductData[],3,FALSE)</f>
        <v>2148</v>
      </c>
      <c r="R15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1528" spans="1:18" x14ac:dyDescent="0.3">
      <c r="A1528" s="2">
        <v>1521</v>
      </c>
      <c r="B1528" s="2" t="s">
        <v>4663</v>
      </c>
      <c r="C1528" s="2" t="s">
        <v>4664</v>
      </c>
      <c r="D1528" s="2" t="s">
        <v>28</v>
      </c>
      <c r="E1528" s="2" t="s">
        <v>29</v>
      </c>
      <c r="F1528" s="2">
        <v>90</v>
      </c>
      <c r="G1528" s="2" t="s">
        <v>4665</v>
      </c>
      <c r="H1528" s="2" t="s">
        <v>4074</v>
      </c>
      <c r="I1528" s="2" t="s">
        <v>19</v>
      </c>
      <c r="J1528" s="3">
        <v>44116</v>
      </c>
      <c r="K1528" s="5">
        <f>YEAR(OrganizedData[[#This Row],[Order Date]])</f>
        <v>2020</v>
      </c>
      <c r="L1528" s="7" t="str">
        <f>TEXT(OrganizedData[[#This Row],[Order Date]],"mmm")</f>
        <v>Oct</v>
      </c>
      <c r="M1528" s="2">
        <v>15</v>
      </c>
      <c r="N1528" s="2" t="s">
        <v>20</v>
      </c>
      <c r="O1528" s="2" t="str">
        <f>VLOOKUP(OrganizedData[[#This Row],[Product Code]],ProductData[[Code]:[Item]],2,FALSE)</f>
        <v>Hyperwotsit</v>
      </c>
      <c r="P1528" s="4">
        <f>OrganizedData[[#This Row],[Quantity]]*VLOOKUP(OrganizedData[[#This Row],[Product Code]],ProductData[],4,FALSE)</f>
        <v>300</v>
      </c>
      <c r="Q1528" s="6">
        <f>OrganizedData[[#This Row],[Total Items Ordered]]*VLOOKUP(OrganizedData[[#This Row],[Product Code]],ProductData[],3,FALSE)</f>
        <v>602.99999999999989</v>
      </c>
      <c r="R15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602.99999999999989</v>
      </c>
    </row>
    <row r="1529" spans="1:18" x14ac:dyDescent="0.3">
      <c r="A1529" s="2">
        <v>1522</v>
      </c>
      <c r="B1529" s="2" t="s">
        <v>3871</v>
      </c>
      <c r="C1529" s="2" t="s">
        <v>4473</v>
      </c>
      <c r="D1529" s="2" t="s">
        <v>28</v>
      </c>
      <c r="E1529" s="2" t="s">
        <v>29</v>
      </c>
      <c r="F1529" s="2">
        <v>60</v>
      </c>
      <c r="G1529" s="2" t="s">
        <v>4666</v>
      </c>
      <c r="H1529" s="2" t="s">
        <v>4667</v>
      </c>
      <c r="I1529" s="2" t="s">
        <v>4668</v>
      </c>
      <c r="J1529" s="3">
        <v>44565</v>
      </c>
      <c r="K1529" s="5">
        <f>YEAR(OrganizedData[[#This Row],[Order Date]])</f>
        <v>2022</v>
      </c>
      <c r="L1529" s="7" t="str">
        <f>TEXT(OrganizedData[[#This Row],[Order Date]],"mmm")</f>
        <v>Jan</v>
      </c>
      <c r="M1529" s="2">
        <v>48</v>
      </c>
      <c r="N1529" s="2" t="s">
        <v>64</v>
      </c>
      <c r="O1529" s="2" t="str">
        <f>VLOOKUP(OrganizedData[[#This Row],[Product Code]],ProductData[[Code]:[Item]],2,FALSE)</f>
        <v>Ultrathing V4</v>
      </c>
      <c r="P1529" s="4">
        <f>OrganizedData[[#This Row],[Quantity]]*VLOOKUP(OrganizedData[[#This Row],[Product Code]],ProductData[],4,FALSE)</f>
        <v>1152</v>
      </c>
      <c r="Q1529" s="6">
        <f>OrganizedData[[#This Row],[Total Items Ordered]]*VLOOKUP(OrganizedData[[#This Row],[Product Code]],ProductData[],3,FALSE)</f>
        <v>4596.4800000000005</v>
      </c>
      <c r="R15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4458.5856000000003</v>
      </c>
    </row>
    <row r="1530" spans="1:18" x14ac:dyDescent="0.3">
      <c r="A1530" s="2">
        <v>1523</v>
      </c>
      <c r="B1530" s="2" t="s">
        <v>2938</v>
      </c>
      <c r="C1530" s="2" t="s">
        <v>3748</v>
      </c>
      <c r="D1530" s="2" t="s">
        <v>51</v>
      </c>
      <c r="E1530" s="2" t="s">
        <v>16</v>
      </c>
      <c r="F1530" s="2">
        <v>30</v>
      </c>
      <c r="G1530" s="2" t="s">
        <v>4666</v>
      </c>
      <c r="H1530" s="2" t="s">
        <v>4669</v>
      </c>
      <c r="I1530" s="2" t="s">
        <v>187</v>
      </c>
      <c r="J1530" s="3">
        <v>44164</v>
      </c>
      <c r="K1530" s="5">
        <f>YEAR(OrganizedData[[#This Row],[Order Date]])</f>
        <v>2020</v>
      </c>
      <c r="L1530" s="7" t="str">
        <f>TEXT(OrganizedData[[#This Row],[Order Date]],"mmm")</f>
        <v>Nov</v>
      </c>
      <c r="M1530" s="2">
        <v>47</v>
      </c>
      <c r="N1530" s="2" t="s">
        <v>159</v>
      </c>
      <c r="O1530" s="2" t="str">
        <f>VLOOKUP(OrganizedData[[#This Row],[Product Code]],ProductData[[Code]:[Item]],2,FALSE)</f>
        <v>Ultrathing V3</v>
      </c>
      <c r="P1530" s="4">
        <f>OrganizedData[[#This Row],[Quantity]]*VLOOKUP(OrganizedData[[#This Row],[Product Code]],ProductData[],4,FALSE)</f>
        <v>1128</v>
      </c>
      <c r="Q1530" s="6">
        <f>OrganizedData[[#This Row],[Total Items Ordered]]*VLOOKUP(OrganizedData[[#This Row],[Product Code]],ProductData[],3,FALSE)</f>
        <v>3823.92</v>
      </c>
      <c r="R15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3709.2024000000001</v>
      </c>
    </row>
    <row r="1531" spans="1:18" x14ac:dyDescent="0.3">
      <c r="A1531" s="2">
        <v>1524</v>
      </c>
      <c r="B1531" s="2" t="s">
        <v>4670</v>
      </c>
      <c r="C1531" s="2" t="s">
        <v>4671</v>
      </c>
      <c r="D1531" s="2" t="s">
        <v>28</v>
      </c>
      <c r="E1531" s="2" t="s">
        <v>29</v>
      </c>
      <c r="F1531" s="2">
        <v>90</v>
      </c>
      <c r="G1531" s="2" t="s">
        <v>4672</v>
      </c>
      <c r="H1531" s="2" t="s">
        <v>4673</v>
      </c>
      <c r="I1531" s="2" t="s">
        <v>294</v>
      </c>
      <c r="J1531" s="3">
        <v>44454</v>
      </c>
      <c r="K1531" s="5">
        <f>YEAR(OrganizedData[[#This Row],[Order Date]])</f>
        <v>2021</v>
      </c>
      <c r="L1531" s="7" t="str">
        <f>TEXT(OrganizedData[[#This Row],[Order Date]],"mmm")</f>
        <v>Sep</v>
      </c>
      <c r="M1531" s="2">
        <v>58</v>
      </c>
      <c r="N1531" s="2" t="s">
        <v>20</v>
      </c>
      <c r="O1531" s="2" t="str">
        <f>VLOOKUP(OrganizedData[[#This Row],[Product Code]],ProductData[[Code]:[Item]],2,FALSE)</f>
        <v>Hyperwotsit</v>
      </c>
      <c r="P1531" s="4">
        <f>OrganizedData[[#This Row],[Quantity]]*VLOOKUP(OrganizedData[[#This Row],[Product Code]],ProductData[],4,FALSE)</f>
        <v>1160</v>
      </c>
      <c r="Q1531" s="6">
        <f>OrganizedData[[#This Row],[Total Items Ordered]]*VLOOKUP(OrganizedData[[#This Row],[Product Code]],ProductData[],3,FALSE)</f>
        <v>2331.6</v>
      </c>
      <c r="R15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2215.02</v>
      </c>
    </row>
    <row r="1532" spans="1:18" x14ac:dyDescent="0.3">
      <c r="A1532" s="2">
        <v>1525</v>
      </c>
      <c r="B1532" s="2" t="s">
        <v>484</v>
      </c>
      <c r="C1532" s="2" t="s">
        <v>718</v>
      </c>
      <c r="D1532" s="2" t="s">
        <v>15</v>
      </c>
      <c r="E1532" s="2" t="s">
        <v>16</v>
      </c>
      <c r="F1532" s="2">
        <v>60</v>
      </c>
      <c r="G1532" s="2" t="s">
        <v>4674</v>
      </c>
      <c r="H1532" s="2" t="s">
        <v>4675</v>
      </c>
      <c r="I1532" s="2" t="s">
        <v>178</v>
      </c>
      <c r="J1532" s="3">
        <v>43918</v>
      </c>
      <c r="K1532" s="5">
        <f>YEAR(OrganizedData[[#This Row],[Order Date]])</f>
        <v>2020</v>
      </c>
      <c r="L1532" s="7" t="str">
        <f>TEXT(OrganizedData[[#This Row],[Order Date]],"mmm")</f>
        <v>Mar</v>
      </c>
      <c r="M1532" s="2">
        <v>28</v>
      </c>
      <c r="N1532" s="2" t="s">
        <v>39</v>
      </c>
      <c r="O1532" s="2" t="str">
        <f>VLOOKUP(OrganizedData[[#This Row],[Product Code]],ProductData[[Code]:[Item]],2,FALSE)</f>
        <v>Ultrathing V1</v>
      </c>
      <c r="P1532" s="4">
        <f>OrganizedData[[#This Row],[Quantity]]*VLOOKUP(OrganizedData[[#This Row],[Product Code]],ProductData[],4,FALSE)</f>
        <v>476</v>
      </c>
      <c r="Q1532" s="6">
        <f>OrganizedData[[#This Row],[Total Items Ordered]]*VLOOKUP(OrganizedData[[#This Row],[Product Code]],ProductData[],3,FALSE)</f>
        <v>852.04</v>
      </c>
      <c r="R15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826.47879999999998</v>
      </c>
    </row>
    <row r="1533" spans="1:18" x14ac:dyDescent="0.3">
      <c r="A1533" s="2">
        <v>1526</v>
      </c>
      <c r="B1533" s="2" t="s">
        <v>4676</v>
      </c>
      <c r="C1533" s="2" t="s">
        <v>131</v>
      </c>
      <c r="D1533" s="2" t="s">
        <v>51</v>
      </c>
      <c r="E1533" s="2" t="s">
        <v>16</v>
      </c>
      <c r="F1533" s="2">
        <v>60</v>
      </c>
      <c r="G1533" s="2" t="s">
        <v>4677</v>
      </c>
      <c r="H1533" s="2" t="s">
        <v>4678</v>
      </c>
      <c r="I1533" s="2" t="s">
        <v>886</v>
      </c>
      <c r="J1533" s="3">
        <v>44788</v>
      </c>
      <c r="K1533" s="5">
        <f>YEAR(OrganizedData[[#This Row],[Order Date]])</f>
        <v>2022</v>
      </c>
      <c r="L1533" s="7" t="str">
        <f>TEXT(OrganizedData[[#This Row],[Order Date]],"mmm")</f>
        <v>Aug</v>
      </c>
      <c r="M1533" s="2">
        <v>79</v>
      </c>
      <c r="N1533" s="2" t="s">
        <v>64</v>
      </c>
      <c r="O1533" s="2" t="str">
        <f>VLOOKUP(OrganizedData[[#This Row],[Product Code]],ProductData[[Code]:[Item]],2,FALSE)</f>
        <v>Ultrathing V4</v>
      </c>
      <c r="P1533" s="4">
        <f>OrganizedData[[#This Row],[Quantity]]*VLOOKUP(OrganizedData[[#This Row],[Product Code]],ProductData[],4,FALSE)</f>
        <v>1896</v>
      </c>
      <c r="Q1533" s="6">
        <f>OrganizedData[[#This Row],[Total Items Ordered]]*VLOOKUP(OrganizedData[[#This Row],[Product Code]],ProductData[],3,FALSE)</f>
        <v>7565.04</v>
      </c>
      <c r="R15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1534" spans="1:18" x14ac:dyDescent="0.3">
      <c r="A1534" s="2">
        <v>1527</v>
      </c>
      <c r="B1534" s="2" t="s">
        <v>2424</v>
      </c>
      <c r="C1534" s="2" t="s">
        <v>4679</v>
      </c>
      <c r="D1534" s="2" t="s">
        <v>28</v>
      </c>
      <c r="E1534" s="2" t="s">
        <v>29</v>
      </c>
      <c r="F1534" s="2">
        <v>90</v>
      </c>
      <c r="G1534" s="2" t="s">
        <v>4677</v>
      </c>
      <c r="H1534" s="2" t="s">
        <v>3678</v>
      </c>
      <c r="I1534" s="2" t="s">
        <v>32</v>
      </c>
      <c r="J1534" s="3">
        <v>44637</v>
      </c>
      <c r="K1534" s="5">
        <f>YEAR(OrganizedData[[#This Row],[Order Date]])</f>
        <v>2022</v>
      </c>
      <c r="L1534" s="7" t="str">
        <f>TEXT(OrganizedData[[#This Row],[Order Date]],"mmm")</f>
        <v>Mar</v>
      </c>
      <c r="M1534" s="2">
        <v>79</v>
      </c>
      <c r="N1534" s="2" t="s">
        <v>33</v>
      </c>
      <c r="O1534" s="2" t="str">
        <f>VLOOKUP(OrganizedData[[#This Row],[Product Code]],ProductData[[Code]:[Item]],2,FALSE)</f>
        <v>Megawidget L</v>
      </c>
      <c r="P1534" s="4">
        <f>OrganizedData[[#This Row],[Quantity]]*VLOOKUP(OrganizedData[[#This Row],[Product Code]],ProductData[],4,FALSE)</f>
        <v>1896</v>
      </c>
      <c r="Q1534" s="6">
        <f>OrganizedData[[#This Row],[Total Items Ordered]]*VLOOKUP(OrganizedData[[#This Row],[Product Code]],ProductData[],3,FALSE)</f>
        <v>3393.84</v>
      </c>
      <c r="R15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3224.1480000000001</v>
      </c>
    </row>
    <row r="1535" spans="1:18" x14ac:dyDescent="0.3">
      <c r="A1535" s="2">
        <v>1528</v>
      </c>
      <c r="B1535" s="2" t="s">
        <v>4680</v>
      </c>
      <c r="C1535" s="2" t="s">
        <v>4681</v>
      </c>
      <c r="D1535" s="2" t="s">
        <v>15</v>
      </c>
      <c r="E1535" s="2" t="s">
        <v>16</v>
      </c>
      <c r="F1535" s="2">
        <v>30</v>
      </c>
      <c r="G1535" s="2" t="s">
        <v>4682</v>
      </c>
      <c r="H1535" s="2" t="s">
        <v>4683</v>
      </c>
      <c r="I1535" s="2" t="s">
        <v>178</v>
      </c>
      <c r="J1535" s="3">
        <v>44130</v>
      </c>
      <c r="K1535" s="5">
        <f>YEAR(OrganizedData[[#This Row],[Order Date]])</f>
        <v>2020</v>
      </c>
      <c r="L1535" s="7" t="str">
        <f>TEXT(OrganizedData[[#This Row],[Order Date]],"mmm")</f>
        <v>Oct</v>
      </c>
      <c r="M1535" s="2">
        <v>55</v>
      </c>
      <c r="N1535" s="2" t="s">
        <v>39</v>
      </c>
      <c r="O1535" s="2" t="str">
        <f>VLOOKUP(OrganizedData[[#This Row],[Product Code]],ProductData[[Code]:[Item]],2,FALSE)</f>
        <v>Ultrathing V1</v>
      </c>
      <c r="P1535" s="4">
        <f>OrganizedData[[#This Row],[Quantity]]*VLOOKUP(OrganizedData[[#This Row],[Product Code]],ProductData[],4,FALSE)</f>
        <v>935</v>
      </c>
      <c r="Q1535" s="6">
        <f>OrganizedData[[#This Row],[Total Items Ordered]]*VLOOKUP(OrganizedData[[#This Row],[Product Code]],ProductData[],3,FALSE)</f>
        <v>1673.65</v>
      </c>
      <c r="R15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1536" spans="1:18" x14ac:dyDescent="0.3">
      <c r="A1536" s="2">
        <v>1529</v>
      </c>
      <c r="B1536" s="2" t="s">
        <v>397</v>
      </c>
      <c r="C1536" s="2" t="s">
        <v>4684</v>
      </c>
      <c r="D1536" s="2" t="s">
        <v>41</v>
      </c>
      <c r="E1536" s="2" t="s">
        <v>16</v>
      </c>
      <c r="F1536" s="2">
        <v>90</v>
      </c>
      <c r="G1536" s="2" t="s">
        <v>10429</v>
      </c>
      <c r="H1536" s="2" t="s">
        <v>3666</v>
      </c>
      <c r="I1536" s="2" t="s">
        <v>1483</v>
      </c>
      <c r="J1536" s="3">
        <v>44096</v>
      </c>
      <c r="K1536" s="5">
        <f>YEAR(OrganizedData[[#This Row],[Order Date]])</f>
        <v>2020</v>
      </c>
      <c r="L1536" s="7" t="str">
        <f>TEXT(OrganizedData[[#This Row],[Order Date]],"mmm")</f>
        <v>Sep</v>
      </c>
      <c r="M1536" s="2">
        <v>4</v>
      </c>
      <c r="N1536" s="2" t="s">
        <v>45</v>
      </c>
      <c r="O1536" s="2" t="str">
        <f>VLOOKUP(OrganizedData[[#This Row],[Product Code]],ProductData[[Code]:[Item]],2,FALSE)</f>
        <v>Gigastuff</v>
      </c>
      <c r="P1536" s="4">
        <f>OrganizedData[[#This Row],[Quantity]]*VLOOKUP(OrganizedData[[#This Row],[Product Code]],ProductData[],4,FALSE)</f>
        <v>72</v>
      </c>
      <c r="Q1536" s="6">
        <f>OrganizedData[[#This Row],[Total Items Ordered]]*VLOOKUP(OrganizedData[[#This Row],[Product Code]],ProductData[],3,FALSE)</f>
        <v>136.07999999999998</v>
      </c>
      <c r="R15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1537" spans="1:18" x14ac:dyDescent="0.3">
      <c r="A1537" s="2">
        <v>1530</v>
      </c>
      <c r="B1537" s="2" t="s">
        <v>4686</v>
      </c>
      <c r="C1537" s="2" t="s">
        <v>1857</v>
      </c>
      <c r="D1537" s="2" t="s">
        <v>51</v>
      </c>
      <c r="E1537" s="2" t="s">
        <v>16</v>
      </c>
      <c r="F1537" s="2">
        <v>90</v>
      </c>
      <c r="G1537" s="2" t="s">
        <v>4687</v>
      </c>
      <c r="H1537" s="2" t="s">
        <v>2008</v>
      </c>
      <c r="I1537" s="2" t="s">
        <v>129</v>
      </c>
      <c r="J1537" s="3">
        <v>44311</v>
      </c>
      <c r="K1537" s="5">
        <f>YEAR(OrganizedData[[#This Row],[Order Date]])</f>
        <v>2021</v>
      </c>
      <c r="L1537" s="7" t="str">
        <f>TEXT(OrganizedData[[#This Row],[Order Date]],"mmm")</f>
        <v>Apr</v>
      </c>
      <c r="M1537" s="2">
        <v>80</v>
      </c>
      <c r="N1537" s="2" t="s">
        <v>45</v>
      </c>
      <c r="O1537" s="2" t="str">
        <f>VLOOKUP(OrganizedData[[#This Row],[Product Code]],ProductData[[Code]:[Item]],2,FALSE)</f>
        <v>Gigastuff</v>
      </c>
      <c r="P1537" s="4">
        <f>OrganizedData[[#This Row],[Quantity]]*VLOOKUP(OrganizedData[[#This Row],[Product Code]],ProductData[],4,FALSE)</f>
        <v>1440</v>
      </c>
      <c r="Q1537" s="6">
        <f>OrganizedData[[#This Row],[Total Items Ordered]]*VLOOKUP(OrganizedData[[#This Row],[Product Code]],ProductData[],3,FALSE)</f>
        <v>2721.6</v>
      </c>
      <c r="R15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2585.52</v>
      </c>
    </row>
    <row r="1538" spans="1:18" x14ac:dyDescent="0.3">
      <c r="A1538" s="2">
        <v>1531</v>
      </c>
      <c r="B1538" s="2" t="s">
        <v>4688</v>
      </c>
      <c r="C1538" s="2" t="s">
        <v>368</v>
      </c>
      <c r="D1538" s="2" t="s">
        <v>15</v>
      </c>
      <c r="E1538" s="2" t="s">
        <v>16</v>
      </c>
      <c r="F1538" s="2">
        <v>60</v>
      </c>
      <c r="G1538" s="2" t="s">
        <v>4689</v>
      </c>
      <c r="H1538" s="2" t="s">
        <v>3288</v>
      </c>
      <c r="I1538" s="2" t="s">
        <v>32</v>
      </c>
      <c r="J1538" s="3">
        <v>44799</v>
      </c>
      <c r="K1538" s="5">
        <f>YEAR(OrganizedData[[#This Row],[Order Date]])</f>
        <v>2022</v>
      </c>
      <c r="L1538" s="7" t="str">
        <f>TEXT(OrganizedData[[#This Row],[Order Date]],"mmm")</f>
        <v>Aug</v>
      </c>
      <c r="M1538" s="2">
        <v>17</v>
      </c>
      <c r="N1538" s="2" t="s">
        <v>20</v>
      </c>
      <c r="O1538" s="2" t="str">
        <f>VLOOKUP(OrganizedData[[#This Row],[Product Code]],ProductData[[Code]:[Item]],2,FALSE)</f>
        <v>Hyperwotsit</v>
      </c>
      <c r="P1538" s="4">
        <f>OrganizedData[[#This Row],[Quantity]]*VLOOKUP(OrganizedData[[#This Row],[Product Code]],ProductData[],4,FALSE)</f>
        <v>340</v>
      </c>
      <c r="Q1538" s="6">
        <f>OrganizedData[[#This Row],[Total Items Ordered]]*VLOOKUP(OrganizedData[[#This Row],[Product Code]],ProductData[],3,FALSE)</f>
        <v>683.4</v>
      </c>
      <c r="R15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683.4</v>
      </c>
    </row>
    <row r="1539" spans="1:18" x14ac:dyDescent="0.3">
      <c r="A1539" s="2">
        <v>1532</v>
      </c>
      <c r="B1539" s="2" t="s">
        <v>4690</v>
      </c>
      <c r="C1539" s="2" t="s">
        <v>1766</v>
      </c>
      <c r="D1539" s="2" t="s">
        <v>28</v>
      </c>
      <c r="E1539" s="2" t="s">
        <v>29</v>
      </c>
      <c r="F1539" s="2">
        <v>30</v>
      </c>
      <c r="G1539" s="2" t="s">
        <v>4691</v>
      </c>
      <c r="H1539" s="2" t="s">
        <v>4272</v>
      </c>
      <c r="I1539" s="2" t="s">
        <v>1652</v>
      </c>
      <c r="J1539" s="3">
        <v>44785</v>
      </c>
      <c r="K1539" s="5">
        <f>YEAR(OrganizedData[[#This Row],[Order Date]])</f>
        <v>2022</v>
      </c>
      <c r="L1539" s="7" t="str">
        <f>TEXT(OrganizedData[[#This Row],[Order Date]],"mmm")</f>
        <v>Aug</v>
      </c>
      <c r="M1539" s="2">
        <v>17</v>
      </c>
      <c r="N1539" s="2" t="s">
        <v>159</v>
      </c>
      <c r="O1539" s="2" t="str">
        <f>VLOOKUP(OrganizedData[[#This Row],[Product Code]],ProductData[[Code]:[Item]],2,FALSE)</f>
        <v>Ultrathing V3</v>
      </c>
      <c r="P1539" s="4">
        <f>OrganizedData[[#This Row],[Quantity]]*VLOOKUP(OrganizedData[[#This Row],[Product Code]],ProductData[],4,FALSE)</f>
        <v>408</v>
      </c>
      <c r="Q1539" s="6">
        <f>OrganizedData[[#This Row],[Total Items Ordered]]*VLOOKUP(OrganizedData[[#This Row],[Product Code]],ProductData[],3,FALSE)</f>
        <v>1383.1200000000001</v>
      </c>
      <c r="R15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1383.1200000000001</v>
      </c>
    </row>
    <row r="1540" spans="1:18" x14ac:dyDescent="0.3">
      <c r="A1540" s="2">
        <v>1533</v>
      </c>
      <c r="B1540" s="2" t="s">
        <v>1281</v>
      </c>
      <c r="C1540" s="2" t="s">
        <v>3927</v>
      </c>
      <c r="D1540" s="2" t="s">
        <v>15</v>
      </c>
      <c r="E1540" s="2" t="s">
        <v>16</v>
      </c>
      <c r="F1540" s="2">
        <v>90</v>
      </c>
      <c r="G1540" s="2" t="s">
        <v>4692</v>
      </c>
      <c r="H1540" s="2" t="s">
        <v>114</v>
      </c>
      <c r="I1540" s="2" t="s">
        <v>38</v>
      </c>
      <c r="J1540" s="3">
        <v>44105</v>
      </c>
      <c r="K1540" s="5">
        <f>YEAR(OrganizedData[[#This Row],[Order Date]])</f>
        <v>2020</v>
      </c>
      <c r="L1540" s="7" t="str">
        <f>TEXT(OrganizedData[[#This Row],[Order Date]],"mmm")</f>
        <v>Oct</v>
      </c>
      <c r="M1540" s="2">
        <v>49</v>
      </c>
      <c r="N1540" s="2" t="s">
        <v>39</v>
      </c>
      <c r="O1540" s="2" t="str">
        <f>VLOOKUP(OrganizedData[[#This Row],[Product Code]],ProductData[[Code]:[Item]],2,FALSE)</f>
        <v>Ultrathing V1</v>
      </c>
      <c r="P1540" s="4">
        <f>OrganizedData[[#This Row],[Quantity]]*VLOOKUP(OrganizedData[[#This Row],[Product Code]],ProductData[],4,FALSE)</f>
        <v>833</v>
      </c>
      <c r="Q1540" s="6">
        <f>OrganizedData[[#This Row],[Total Items Ordered]]*VLOOKUP(OrganizedData[[#This Row],[Product Code]],ProductData[],3,FALSE)</f>
        <v>1491.07</v>
      </c>
      <c r="R15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1446.3379</v>
      </c>
    </row>
    <row r="1541" spans="1:18" x14ac:dyDescent="0.3">
      <c r="A1541" s="2">
        <v>1534</v>
      </c>
      <c r="B1541" s="2" t="s">
        <v>4693</v>
      </c>
      <c r="C1541" s="2" t="s">
        <v>1979</v>
      </c>
      <c r="D1541" s="2" t="s">
        <v>15</v>
      </c>
      <c r="E1541" s="2" t="s">
        <v>16</v>
      </c>
      <c r="F1541" s="2">
        <v>60</v>
      </c>
      <c r="G1541" s="2" t="s">
        <v>4692</v>
      </c>
      <c r="H1541" s="2" t="s">
        <v>1299</v>
      </c>
      <c r="I1541" s="2" t="s">
        <v>1199</v>
      </c>
      <c r="J1541" s="3">
        <v>44328</v>
      </c>
      <c r="K1541" s="5">
        <f>YEAR(OrganizedData[[#This Row],[Order Date]])</f>
        <v>2021</v>
      </c>
      <c r="L1541" s="7" t="str">
        <f>TEXT(OrganizedData[[#This Row],[Order Date]],"mmm")</f>
        <v>May</v>
      </c>
      <c r="M1541" s="2">
        <v>62</v>
      </c>
      <c r="N1541" s="2" t="s">
        <v>54</v>
      </c>
      <c r="O1541" s="2" t="str">
        <f>VLOOKUP(OrganizedData[[#This Row],[Product Code]],ProductData[[Code]:[Item]],2,FALSE)</f>
        <v>Megawidget S</v>
      </c>
      <c r="P1541" s="4">
        <f>OrganizedData[[#This Row],[Quantity]]*VLOOKUP(OrganizedData[[#This Row],[Product Code]],ProductData[],4,FALSE)</f>
        <v>1488</v>
      </c>
      <c r="Q1541" s="6">
        <f>OrganizedData[[#This Row],[Total Items Ordered]]*VLOOKUP(OrganizedData[[#This Row],[Product Code]],ProductData[],3,FALSE)</f>
        <v>1026.72</v>
      </c>
      <c r="R15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975.38400000000001</v>
      </c>
    </row>
    <row r="1542" spans="1:18" x14ac:dyDescent="0.3">
      <c r="A1542" s="2">
        <v>1535</v>
      </c>
      <c r="B1542" s="2" t="s">
        <v>4694</v>
      </c>
      <c r="C1542" s="2" t="s">
        <v>4695</v>
      </c>
      <c r="D1542" s="2" t="s">
        <v>41</v>
      </c>
      <c r="E1542" s="2" t="s">
        <v>16</v>
      </c>
      <c r="F1542" s="2">
        <v>30</v>
      </c>
      <c r="G1542" s="2" t="s">
        <v>4696</v>
      </c>
      <c r="H1542" s="2" t="s">
        <v>1256</v>
      </c>
      <c r="I1542" s="2" t="s">
        <v>32</v>
      </c>
      <c r="J1542" s="3">
        <v>44279</v>
      </c>
      <c r="K1542" s="5">
        <f>YEAR(OrganizedData[[#This Row],[Order Date]])</f>
        <v>2021</v>
      </c>
      <c r="L1542" s="7" t="str">
        <f>TEXT(OrganizedData[[#This Row],[Order Date]],"mmm")</f>
        <v>Mar</v>
      </c>
      <c r="M1542" s="2">
        <v>11</v>
      </c>
      <c r="N1542" s="2" t="s">
        <v>33</v>
      </c>
      <c r="O1542" s="2" t="str">
        <f>VLOOKUP(OrganizedData[[#This Row],[Product Code]],ProductData[[Code]:[Item]],2,FALSE)</f>
        <v>Megawidget L</v>
      </c>
      <c r="P1542" s="4">
        <f>OrganizedData[[#This Row],[Quantity]]*VLOOKUP(OrganizedData[[#This Row],[Product Code]],ProductData[],4,FALSE)</f>
        <v>264</v>
      </c>
      <c r="Q1542" s="6">
        <f>OrganizedData[[#This Row],[Total Items Ordered]]*VLOOKUP(OrganizedData[[#This Row],[Product Code]],ProductData[],3,FALSE)</f>
        <v>472.56</v>
      </c>
      <c r="R15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472.56</v>
      </c>
    </row>
    <row r="1543" spans="1:18" x14ac:dyDescent="0.3">
      <c r="A1543" s="2">
        <v>1536</v>
      </c>
      <c r="B1543" s="2" t="s">
        <v>4697</v>
      </c>
      <c r="C1543" s="2" t="s">
        <v>1698</v>
      </c>
      <c r="D1543" s="2" t="s">
        <v>28</v>
      </c>
      <c r="E1543" s="2" t="s">
        <v>29</v>
      </c>
      <c r="F1543" s="2">
        <v>60</v>
      </c>
      <c r="G1543" s="2" t="s">
        <v>4698</v>
      </c>
      <c r="H1543" s="2" t="s">
        <v>4699</v>
      </c>
      <c r="I1543" s="2" t="s">
        <v>32</v>
      </c>
      <c r="J1543" s="3">
        <v>43917</v>
      </c>
      <c r="K1543" s="5">
        <f>YEAR(OrganizedData[[#This Row],[Order Date]])</f>
        <v>2020</v>
      </c>
      <c r="L1543" s="7" t="str">
        <f>TEXT(OrganizedData[[#This Row],[Order Date]],"mmm")</f>
        <v>Mar</v>
      </c>
      <c r="M1543" s="2">
        <v>25</v>
      </c>
      <c r="N1543" s="2" t="s">
        <v>45</v>
      </c>
      <c r="O1543" s="2" t="str">
        <f>VLOOKUP(OrganizedData[[#This Row],[Product Code]],ProductData[[Code]:[Item]],2,FALSE)</f>
        <v>Gigastuff</v>
      </c>
      <c r="P1543" s="4">
        <f>OrganizedData[[#This Row],[Quantity]]*VLOOKUP(OrganizedData[[#This Row],[Product Code]],ProductData[],4,FALSE)</f>
        <v>450</v>
      </c>
      <c r="Q1543" s="6">
        <f>OrganizedData[[#This Row],[Total Items Ordered]]*VLOOKUP(OrganizedData[[#This Row],[Product Code]],ProductData[],3,FALSE)</f>
        <v>850.5</v>
      </c>
      <c r="R15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824.98500000000001</v>
      </c>
    </row>
    <row r="1544" spans="1:18" x14ac:dyDescent="0.3">
      <c r="A1544" s="2">
        <v>1537</v>
      </c>
      <c r="B1544" s="2" t="s">
        <v>862</v>
      </c>
      <c r="C1544" s="2" t="s">
        <v>728</v>
      </c>
      <c r="D1544" s="2" t="s">
        <v>15</v>
      </c>
      <c r="E1544" s="2" t="s">
        <v>16</v>
      </c>
      <c r="F1544" s="2">
        <v>60</v>
      </c>
      <c r="G1544" s="2" t="s">
        <v>4700</v>
      </c>
      <c r="H1544" s="2" t="s">
        <v>1366</v>
      </c>
      <c r="I1544" s="2" t="s">
        <v>1367</v>
      </c>
      <c r="J1544" s="3">
        <v>43968</v>
      </c>
      <c r="K1544" s="5">
        <f>YEAR(OrganizedData[[#This Row],[Order Date]])</f>
        <v>2020</v>
      </c>
      <c r="L1544" s="7" t="str">
        <f>TEXT(OrganizedData[[#This Row],[Order Date]],"mmm")</f>
        <v>May</v>
      </c>
      <c r="M1544" s="2">
        <v>29</v>
      </c>
      <c r="N1544" s="2" t="s">
        <v>80</v>
      </c>
      <c r="O1544" s="2" t="str">
        <f>VLOOKUP(OrganizedData[[#This Row],[Product Code]],ProductData[[Code]:[Item]],2,FALSE)</f>
        <v>Ultrathing V2</v>
      </c>
      <c r="P1544" s="4">
        <f>OrganizedData[[#This Row],[Quantity]]*VLOOKUP(OrganizedData[[#This Row],[Product Code]],ProductData[],4,FALSE)</f>
        <v>580</v>
      </c>
      <c r="Q1544" s="6">
        <f>OrganizedData[[#This Row],[Total Items Ordered]]*VLOOKUP(OrganizedData[[#This Row],[Product Code]],ProductData[],3,FALSE)</f>
        <v>1711</v>
      </c>
      <c r="R15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1659.6699999999998</v>
      </c>
    </row>
    <row r="1545" spans="1:18" x14ac:dyDescent="0.3">
      <c r="A1545" s="2">
        <v>1538</v>
      </c>
      <c r="B1545" s="2" t="s">
        <v>4701</v>
      </c>
      <c r="C1545" s="2" t="s">
        <v>732</v>
      </c>
      <c r="D1545" s="2" t="s">
        <v>41</v>
      </c>
      <c r="E1545" s="2" t="s">
        <v>16</v>
      </c>
      <c r="F1545" s="2">
        <v>60</v>
      </c>
      <c r="G1545" s="2" t="s">
        <v>4702</v>
      </c>
      <c r="H1545" s="2" t="s">
        <v>3531</v>
      </c>
      <c r="I1545" s="2" t="s">
        <v>32</v>
      </c>
      <c r="J1545" s="3">
        <v>43879</v>
      </c>
      <c r="K1545" s="5">
        <f>YEAR(OrganizedData[[#This Row],[Order Date]])</f>
        <v>2020</v>
      </c>
      <c r="L1545" s="7" t="str">
        <f>TEXT(OrganizedData[[#This Row],[Order Date]],"mmm")</f>
        <v>Feb</v>
      </c>
      <c r="M1545" s="2">
        <v>60</v>
      </c>
      <c r="N1545" s="2" t="s">
        <v>54</v>
      </c>
      <c r="O1545" s="2" t="str">
        <f>VLOOKUP(OrganizedData[[#This Row],[Product Code]],ProductData[[Code]:[Item]],2,FALSE)</f>
        <v>Megawidget S</v>
      </c>
      <c r="P1545" s="4">
        <f>OrganizedData[[#This Row],[Quantity]]*VLOOKUP(OrganizedData[[#This Row],[Product Code]],ProductData[],4,FALSE)</f>
        <v>1440</v>
      </c>
      <c r="Q1545" s="6">
        <f>OrganizedData[[#This Row],[Total Items Ordered]]*VLOOKUP(OrganizedData[[#This Row],[Product Code]],ProductData[],3,FALSE)</f>
        <v>993.59999999999991</v>
      </c>
      <c r="R15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1546" spans="1:18" x14ac:dyDescent="0.3">
      <c r="A1546" s="2">
        <v>1539</v>
      </c>
      <c r="B1546" s="2" t="s">
        <v>4703</v>
      </c>
      <c r="C1546" s="2" t="s">
        <v>3426</v>
      </c>
      <c r="D1546" s="2" t="s">
        <v>28</v>
      </c>
      <c r="E1546" s="2" t="s">
        <v>29</v>
      </c>
      <c r="F1546" s="2">
        <v>30</v>
      </c>
      <c r="G1546" s="2" t="s">
        <v>4704</v>
      </c>
      <c r="H1546" s="2" t="s">
        <v>3882</v>
      </c>
      <c r="I1546" s="2" t="s">
        <v>38</v>
      </c>
      <c r="J1546" s="3">
        <v>44667</v>
      </c>
      <c r="K1546" s="5">
        <f>YEAR(OrganizedData[[#This Row],[Order Date]])</f>
        <v>2022</v>
      </c>
      <c r="L1546" s="7" t="str">
        <f>TEXT(OrganizedData[[#This Row],[Order Date]],"mmm")</f>
        <v>Apr</v>
      </c>
      <c r="M1546" s="2">
        <v>11</v>
      </c>
      <c r="N1546" s="2" t="s">
        <v>54</v>
      </c>
      <c r="O1546" s="2" t="str">
        <f>VLOOKUP(OrganizedData[[#This Row],[Product Code]],ProductData[[Code]:[Item]],2,FALSE)</f>
        <v>Megawidget S</v>
      </c>
      <c r="P1546" s="4">
        <f>OrganizedData[[#This Row],[Quantity]]*VLOOKUP(OrganizedData[[#This Row],[Product Code]],ProductData[],4,FALSE)</f>
        <v>264</v>
      </c>
      <c r="Q1546" s="6">
        <f>OrganizedData[[#This Row],[Total Items Ordered]]*VLOOKUP(OrganizedData[[#This Row],[Product Code]],ProductData[],3,FALSE)</f>
        <v>182.16</v>
      </c>
      <c r="R15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182.16</v>
      </c>
    </row>
    <row r="1547" spans="1:18" x14ac:dyDescent="0.3">
      <c r="A1547" s="2">
        <v>1540</v>
      </c>
      <c r="B1547" s="2" t="s">
        <v>4705</v>
      </c>
      <c r="C1547" s="2" t="s">
        <v>4706</v>
      </c>
      <c r="D1547" s="2" t="s">
        <v>15</v>
      </c>
      <c r="E1547" s="2" t="s">
        <v>16</v>
      </c>
      <c r="F1547" s="2">
        <v>90</v>
      </c>
      <c r="G1547" s="2" t="s">
        <v>4704</v>
      </c>
      <c r="H1547" s="2" t="s">
        <v>4358</v>
      </c>
      <c r="I1547" s="2" t="s">
        <v>146</v>
      </c>
      <c r="J1547" s="3">
        <v>44695</v>
      </c>
      <c r="K1547" s="5">
        <f>YEAR(OrganizedData[[#This Row],[Order Date]])</f>
        <v>2022</v>
      </c>
      <c r="L1547" s="7" t="str">
        <f>TEXT(OrganizedData[[#This Row],[Order Date]],"mmm")</f>
        <v>May</v>
      </c>
      <c r="M1547" s="2">
        <v>51</v>
      </c>
      <c r="N1547" s="2" t="s">
        <v>39</v>
      </c>
      <c r="O1547" s="2" t="str">
        <f>VLOOKUP(OrganizedData[[#This Row],[Product Code]],ProductData[[Code]:[Item]],2,FALSE)</f>
        <v>Ultrathing V1</v>
      </c>
      <c r="P1547" s="4">
        <f>OrganizedData[[#This Row],[Quantity]]*VLOOKUP(OrganizedData[[#This Row],[Product Code]],ProductData[],4,FALSE)</f>
        <v>867</v>
      </c>
      <c r="Q1547" s="6">
        <f>OrganizedData[[#This Row],[Total Items Ordered]]*VLOOKUP(OrganizedData[[#This Row],[Product Code]],ProductData[],3,FALSE)</f>
        <v>1551.93</v>
      </c>
      <c r="R15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1474.3335</v>
      </c>
    </row>
    <row r="1548" spans="1:18" x14ac:dyDescent="0.3">
      <c r="A1548" s="2">
        <v>1541</v>
      </c>
      <c r="B1548" s="2" t="s">
        <v>4625</v>
      </c>
      <c r="C1548" s="2" t="s">
        <v>2382</v>
      </c>
      <c r="D1548" s="2" t="s">
        <v>92</v>
      </c>
      <c r="E1548" s="2" t="s">
        <v>29</v>
      </c>
      <c r="F1548" s="2">
        <v>60</v>
      </c>
      <c r="G1548" s="2" t="s">
        <v>10493</v>
      </c>
      <c r="H1548" s="2" t="s">
        <v>2603</v>
      </c>
      <c r="I1548" s="2" t="s">
        <v>2604</v>
      </c>
      <c r="J1548" s="3">
        <v>44197</v>
      </c>
      <c r="K1548" s="5">
        <f>YEAR(OrganizedData[[#This Row],[Order Date]])</f>
        <v>2021</v>
      </c>
      <c r="L1548" s="7" t="str">
        <f>TEXT(OrganizedData[[#This Row],[Order Date]],"mmm")</f>
        <v>Jan</v>
      </c>
      <c r="M1548" s="2">
        <v>21</v>
      </c>
      <c r="N1548" s="2" t="s">
        <v>45</v>
      </c>
      <c r="O1548" s="2" t="str">
        <f>VLOOKUP(OrganizedData[[#This Row],[Product Code]],ProductData[[Code]:[Item]],2,FALSE)</f>
        <v>Gigastuff</v>
      </c>
      <c r="P1548" s="4">
        <f>OrganizedData[[#This Row],[Quantity]]*VLOOKUP(OrganizedData[[#This Row],[Product Code]],ProductData[],4,FALSE)</f>
        <v>378</v>
      </c>
      <c r="Q1548" s="6">
        <f>OrganizedData[[#This Row],[Total Items Ordered]]*VLOOKUP(OrganizedData[[#This Row],[Product Code]],ProductData[],3,FALSE)</f>
        <v>714.42</v>
      </c>
      <c r="R15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692.98739999999998</v>
      </c>
    </row>
    <row r="1549" spans="1:18" x14ac:dyDescent="0.3">
      <c r="A1549" s="2">
        <v>1542</v>
      </c>
      <c r="B1549" s="2" t="s">
        <v>4708</v>
      </c>
      <c r="C1549" s="2" t="s">
        <v>1216</v>
      </c>
      <c r="D1549" s="2" t="s">
        <v>51</v>
      </c>
      <c r="E1549" s="2" t="s">
        <v>16</v>
      </c>
      <c r="F1549" s="2">
        <v>30</v>
      </c>
      <c r="G1549" s="2" t="s">
        <v>4709</v>
      </c>
      <c r="H1549" s="2" t="s">
        <v>3183</v>
      </c>
      <c r="I1549" s="2" t="s">
        <v>32</v>
      </c>
      <c r="J1549" s="3">
        <v>44501</v>
      </c>
      <c r="K1549" s="5">
        <f>YEAR(OrganizedData[[#This Row],[Order Date]])</f>
        <v>2021</v>
      </c>
      <c r="L1549" s="7" t="str">
        <f>TEXT(OrganizedData[[#This Row],[Order Date]],"mmm")</f>
        <v>Nov</v>
      </c>
      <c r="M1549" s="2">
        <v>9</v>
      </c>
      <c r="N1549" s="2" t="s">
        <v>64</v>
      </c>
      <c r="O1549" s="2" t="str">
        <f>VLOOKUP(OrganizedData[[#This Row],[Product Code]],ProductData[[Code]:[Item]],2,FALSE)</f>
        <v>Ultrathing V4</v>
      </c>
      <c r="P1549" s="4">
        <f>OrganizedData[[#This Row],[Quantity]]*VLOOKUP(OrganizedData[[#This Row],[Product Code]],ProductData[],4,FALSE)</f>
        <v>216</v>
      </c>
      <c r="Q1549" s="6">
        <f>OrganizedData[[#This Row],[Total Items Ordered]]*VLOOKUP(OrganizedData[[#This Row],[Product Code]],ProductData[],3,FALSE)</f>
        <v>861.84</v>
      </c>
      <c r="R15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861.84</v>
      </c>
    </row>
    <row r="1550" spans="1:18" x14ac:dyDescent="0.3">
      <c r="A1550" s="2">
        <v>1543</v>
      </c>
      <c r="B1550" s="2" t="s">
        <v>4710</v>
      </c>
      <c r="C1550" s="2" t="s">
        <v>1678</v>
      </c>
      <c r="D1550" s="2" t="s">
        <v>15</v>
      </c>
      <c r="E1550" s="2" t="s">
        <v>16</v>
      </c>
      <c r="F1550" s="2">
        <v>30</v>
      </c>
      <c r="G1550" s="2" t="s">
        <v>4711</v>
      </c>
      <c r="H1550" s="2" t="s">
        <v>3405</v>
      </c>
      <c r="I1550" s="2" t="s">
        <v>32</v>
      </c>
      <c r="J1550" s="3">
        <v>44677</v>
      </c>
      <c r="K1550" s="5">
        <f>YEAR(OrganizedData[[#This Row],[Order Date]])</f>
        <v>2022</v>
      </c>
      <c r="L1550" s="7" t="str">
        <f>TEXT(OrganizedData[[#This Row],[Order Date]],"mmm")</f>
        <v>Apr</v>
      </c>
      <c r="M1550" s="2">
        <v>104</v>
      </c>
      <c r="N1550" s="2" t="s">
        <v>159</v>
      </c>
      <c r="O1550" s="2" t="str">
        <f>VLOOKUP(OrganizedData[[#This Row],[Product Code]],ProductData[[Code]:[Item]],2,FALSE)</f>
        <v>Ultrathing V3</v>
      </c>
      <c r="P1550" s="4">
        <f>OrganizedData[[#This Row],[Quantity]]*VLOOKUP(OrganizedData[[#This Row],[Product Code]],ProductData[],4,FALSE)</f>
        <v>2496</v>
      </c>
      <c r="Q1550" s="6">
        <f>OrganizedData[[#This Row],[Total Items Ordered]]*VLOOKUP(OrganizedData[[#This Row],[Product Code]],ProductData[],3,FALSE)</f>
        <v>8461.44</v>
      </c>
      <c r="R15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7869.1392000000005</v>
      </c>
    </row>
    <row r="1551" spans="1:18" x14ac:dyDescent="0.3">
      <c r="A1551" s="2">
        <v>1544</v>
      </c>
      <c r="B1551" s="2" t="s">
        <v>3013</v>
      </c>
      <c r="C1551" s="2" t="s">
        <v>1037</v>
      </c>
      <c r="D1551" s="2" t="s">
        <v>51</v>
      </c>
      <c r="E1551" s="2" t="s">
        <v>16</v>
      </c>
      <c r="F1551" s="2">
        <v>90</v>
      </c>
      <c r="G1551" s="2" t="s">
        <v>4712</v>
      </c>
      <c r="H1551" s="2" t="s">
        <v>4713</v>
      </c>
      <c r="I1551" s="2" t="s">
        <v>294</v>
      </c>
      <c r="J1551" s="3">
        <v>44665</v>
      </c>
      <c r="K1551" s="5">
        <f>YEAR(OrganizedData[[#This Row],[Order Date]])</f>
        <v>2022</v>
      </c>
      <c r="L1551" s="7" t="str">
        <f>TEXT(OrganizedData[[#This Row],[Order Date]],"mmm")</f>
        <v>Apr</v>
      </c>
      <c r="M1551" s="2">
        <v>84</v>
      </c>
      <c r="N1551" s="2" t="s">
        <v>39</v>
      </c>
      <c r="O1551" s="2" t="str">
        <f>VLOOKUP(OrganizedData[[#This Row],[Product Code]],ProductData[[Code]:[Item]],2,FALSE)</f>
        <v>Ultrathing V1</v>
      </c>
      <c r="P1551" s="4">
        <f>OrganizedData[[#This Row],[Quantity]]*VLOOKUP(OrganizedData[[#This Row],[Product Code]],ProductData[],4,FALSE)</f>
        <v>1428</v>
      </c>
      <c r="Q1551" s="6">
        <f>OrganizedData[[#This Row],[Total Items Ordered]]*VLOOKUP(OrganizedData[[#This Row],[Product Code]],ProductData[],3,FALSE)</f>
        <v>2556.12</v>
      </c>
      <c r="R15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1552" spans="1:18" x14ac:dyDescent="0.3">
      <c r="A1552" s="2">
        <v>1545</v>
      </c>
      <c r="B1552" s="2" t="s">
        <v>4714</v>
      </c>
      <c r="C1552" s="2" t="s">
        <v>3258</v>
      </c>
      <c r="D1552" s="2" t="s">
        <v>15</v>
      </c>
      <c r="E1552" s="2" t="s">
        <v>16</v>
      </c>
      <c r="F1552" s="2">
        <v>30</v>
      </c>
      <c r="G1552" s="2" t="s">
        <v>10430</v>
      </c>
      <c r="H1552" s="2" t="s">
        <v>2872</v>
      </c>
      <c r="I1552" s="2" t="s">
        <v>294</v>
      </c>
      <c r="J1552" s="3">
        <v>44824</v>
      </c>
      <c r="K1552" s="5">
        <f>YEAR(OrganizedData[[#This Row],[Order Date]])</f>
        <v>2022</v>
      </c>
      <c r="L1552" s="7" t="str">
        <f>TEXT(OrganizedData[[#This Row],[Order Date]],"mmm")</f>
        <v>Sep</v>
      </c>
      <c r="M1552" s="2">
        <v>30</v>
      </c>
      <c r="N1552" s="2" t="s">
        <v>54</v>
      </c>
      <c r="O1552" s="2" t="str">
        <f>VLOOKUP(OrganizedData[[#This Row],[Product Code]],ProductData[[Code]:[Item]],2,FALSE)</f>
        <v>Megawidget S</v>
      </c>
      <c r="P1552" s="4">
        <f>OrganizedData[[#This Row],[Quantity]]*VLOOKUP(OrganizedData[[#This Row],[Product Code]],ProductData[],4,FALSE)</f>
        <v>720</v>
      </c>
      <c r="Q1552" s="6">
        <f>OrganizedData[[#This Row],[Total Items Ordered]]*VLOOKUP(OrganizedData[[#This Row],[Product Code]],ProductData[],3,FALSE)</f>
        <v>496.79999999999995</v>
      </c>
      <c r="R15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481.89599999999996</v>
      </c>
    </row>
    <row r="1553" spans="1:18" x14ac:dyDescent="0.3">
      <c r="A1553" s="2">
        <v>1546</v>
      </c>
      <c r="B1553" s="2" t="s">
        <v>4716</v>
      </c>
      <c r="C1553" s="2" t="s">
        <v>1273</v>
      </c>
      <c r="D1553" s="2" t="s">
        <v>41</v>
      </c>
      <c r="E1553" s="2" t="s">
        <v>16</v>
      </c>
      <c r="F1553" s="2">
        <v>90</v>
      </c>
      <c r="G1553" s="2" t="s">
        <v>4717</v>
      </c>
      <c r="H1553" s="2" t="s">
        <v>4718</v>
      </c>
      <c r="I1553" s="2" t="s">
        <v>32</v>
      </c>
      <c r="J1553" s="3">
        <v>44528</v>
      </c>
      <c r="K1553" s="5">
        <f>YEAR(OrganizedData[[#This Row],[Order Date]])</f>
        <v>2021</v>
      </c>
      <c r="L1553" s="7" t="str">
        <f>TEXT(OrganizedData[[#This Row],[Order Date]],"mmm")</f>
        <v>Nov</v>
      </c>
      <c r="M1553" s="2">
        <v>71</v>
      </c>
      <c r="N1553" s="2" t="s">
        <v>70</v>
      </c>
      <c r="O1553" s="2" t="str">
        <f>VLOOKUP(OrganizedData[[#This Row],[Product Code]],ProductData[[Code]:[Item]],2,FALSE)</f>
        <v>Megawidget M</v>
      </c>
      <c r="P1553" s="4">
        <f>OrganizedData[[#This Row],[Quantity]]*VLOOKUP(OrganizedData[[#This Row],[Product Code]],ProductData[],4,FALSE)</f>
        <v>1704</v>
      </c>
      <c r="Q1553" s="6">
        <f>OrganizedData[[#This Row],[Total Items Ordered]]*VLOOKUP(OrganizedData[[#This Row],[Product Code]],ProductData[],3,FALSE)</f>
        <v>2198.16</v>
      </c>
      <c r="R15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2088.252</v>
      </c>
    </row>
    <row r="1554" spans="1:18" x14ac:dyDescent="0.3">
      <c r="A1554" s="2">
        <v>1547</v>
      </c>
      <c r="B1554" s="2" t="s">
        <v>4719</v>
      </c>
      <c r="C1554" s="2" t="s">
        <v>3265</v>
      </c>
      <c r="D1554" s="2" t="s">
        <v>51</v>
      </c>
      <c r="E1554" s="2" t="s">
        <v>16</v>
      </c>
      <c r="F1554" s="2">
        <v>90</v>
      </c>
      <c r="G1554" s="2" t="s">
        <v>4720</v>
      </c>
      <c r="H1554" s="2" t="s">
        <v>927</v>
      </c>
      <c r="I1554" s="2" t="s">
        <v>129</v>
      </c>
      <c r="J1554" s="3">
        <v>44171</v>
      </c>
      <c r="K1554" s="5">
        <f>YEAR(OrganizedData[[#This Row],[Order Date]])</f>
        <v>2020</v>
      </c>
      <c r="L1554" s="7" t="str">
        <f>TEXT(OrganizedData[[#This Row],[Order Date]],"mmm")</f>
        <v>Dec</v>
      </c>
      <c r="M1554" s="2">
        <v>45</v>
      </c>
      <c r="N1554" s="2" t="s">
        <v>64</v>
      </c>
      <c r="O1554" s="2" t="str">
        <f>VLOOKUP(OrganizedData[[#This Row],[Product Code]],ProductData[[Code]:[Item]],2,FALSE)</f>
        <v>Ultrathing V4</v>
      </c>
      <c r="P1554" s="4">
        <f>OrganizedData[[#This Row],[Quantity]]*VLOOKUP(OrganizedData[[#This Row],[Product Code]],ProductData[],4,FALSE)</f>
        <v>1080</v>
      </c>
      <c r="Q1554" s="6">
        <f>OrganizedData[[#This Row],[Total Items Ordered]]*VLOOKUP(OrganizedData[[#This Row],[Product Code]],ProductData[],3,FALSE)</f>
        <v>4309.2</v>
      </c>
      <c r="R15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4179.924</v>
      </c>
    </row>
    <row r="1555" spans="1:18" x14ac:dyDescent="0.3">
      <c r="A1555" s="2">
        <v>1548</v>
      </c>
      <c r="B1555" s="2" t="s">
        <v>4721</v>
      </c>
      <c r="C1555" s="2" t="s">
        <v>4722</v>
      </c>
      <c r="D1555" s="2" t="s">
        <v>28</v>
      </c>
      <c r="E1555" s="2" t="s">
        <v>29</v>
      </c>
      <c r="F1555" s="2">
        <v>30</v>
      </c>
      <c r="G1555" s="2" t="s">
        <v>4723</v>
      </c>
      <c r="H1555" s="2" t="s">
        <v>1272</v>
      </c>
      <c r="I1555" s="2" t="s">
        <v>59</v>
      </c>
      <c r="J1555" s="3">
        <v>44528</v>
      </c>
      <c r="K1555" s="5">
        <f>YEAR(OrganizedData[[#This Row],[Order Date]])</f>
        <v>2021</v>
      </c>
      <c r="L1555" s="7" t="str">
        <f>TEXT(OrganizedData[[#This Row],[Order Date]],"mmm")</f>
        <v>Nov</v>
      </c>
      <c r="M1555" s="2">
        <v>65</v>
      </c>
      <c r="N1555" s="2" t="s">
        <v>159</v>
      </c>
      <c r="O1555" s="2" t="str">
        <f>VLOOKUP(OrganizedData[[#This Row],[Product Code]],ProductData[[Code]:[Item]],2,FALSE)</f>
        <v>Ultrathing V3</v>
      </c>
      <c r="P1555" s="4">
        <f>OrganizedData[[#This Row],[Quantity]]*VLOOKUP(OrganizedData[[#This Row],[Product Code]],ProductData[],4,FALSE)</f>
        <v>1560</v>
      </c>
      <c r="Q1555" s="6">
        <f>OrganizedData[[#This Row],[Total Items Ordered]]*VLOOKUP(OrganizedData[[#This Row],[Product Code]],ProductData[],3,FALSE)</f>
        <v>5288.4000000000005</v>
      </c>
      <c r="R15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1556" spans="1:18" x14ac:dyDescent="0.3">
      <c r="A1556" s="2">
        <v>1549</v>
      </c>
      <c r="B1556" s="2" t="s">
        <v>4724</v>
      </c>
      <c r="C1556" s="2" t="s">
        <v>4725</v>
      </c>
      <c r="D1556" s="2" t="s">
        <v>28</v>
      </c>
      <c r="E1556" s="2" t="s">
        <v>29</v>
      </c>
      <c r="F1556" s="2">
        <v>30</v>
      </c>
      <c r="G1556" s="2" t="s">
        <v>4723</v>
      </c>
      <c r="H1556" s="2" t="s">
        <v>1647</v>
      </c>
      <c r="I1556" s="2" t="s">
        <v>554</v>
      </c>
      <c r="J1556" s="3">
        <v>44236</v>
      </c>
      <c r="K1556" s="5">
        <f>YEAR(OrganizedData[[#This Row],[Order Date]])</f>
        <v>2021</v>
      </c>
      <c r="L1556" s="7" t="str">
        <f>TEXT(OrganizedData[[#This Row],[Order Date]],"mmm")</f>
        <v>Feb</v>
      </c>
      <c r="M1556" s="2">
        <v>61</v>
      </c>
      <c r="N1556" s="2" t="s">
        <v>45</v>
      </c>
      <c r="O1556" s="2" t="str">
        <f>VLOOKUP(OrganizedData[[#This Row],[Product Code]],ProductData[[Code]:[Item]],2,FALSE)</f>
        <v>Gigastuff</v>
      </c>
      <c r="P1556" s="4">
        <f>OrganizedData[[#This Row],[Quantity]]*VLOOKUP(OrganizedData[[#This Row],[Product Code]],ProductData[],4,FALSE)</f>
        <v>1098</v>
      </c>
      <c r="Q1556" s="6">
        <f>OrganizedData[[#This Row],[Total Items Ordered]]*VLOOKUP(OrganizedData[[#This Row],[Product Code]],ProductData[],3,FALSE)</f>
        <v>2075.2199999999998</v>
      </c>
      <c r="R15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1971.4589999999996</v>
      </c>
    </row>
    <row r="1557" spans="1:18" x14ac:dyDescent="0.3">
      <c r="A1557" s="2">
        <v>1550</v>
      </c>
      <c r="B1557" s="2" t="s">
        <v>4726</v>
      </c>
      <c r="C1557" s="2" t="s">
        <v>4727</v>
      </c>
      <c r="D1557" s="2" t="s">
        <v>15</v>
      </c>
      <c r="E1557" s="2" t="s">
        <v>16</v>
      </c>
      <c r="F1557" s="2">
        <v>60</v>
      </c>
      <c r="G1557" s="2" t="s">
        <v>4728</v>
      </c>
      <c r="H1557" s="2" t="s">
        <v>4729</v>
      </c>
      <c r="I1557" s="2" t="s">
        <v>32</v>
      </c>
      <c r="J1557" s="3">
        <v>44559</v>
      </c>
      <c r="K1557" s="5">
        <f>YEAR(OrganizedData[[#This Row],[Order Date]])</f>
        <v>2021</v>
      </c>
      <c r="L1557" s="7" t="str">
        <f>TEXT(OrganizedData[[#This Row],[Order Date]],"mmm")</f>
        <v>Dec</v>
      </c>
      <c r="M1557" s="2">
        <v>30</v>
      </c>
      <c r="N1557" s="2" t="s">
        <v>70</v>
      </c>
      <c r="O1557" s="2" t="str">
        <f>VLOOKUP(OrganizedData[[#This Row],[Product Code]],ProductData[[Code]:[Item]],2,FALSE)</f>
        <v>Megawidget M</v>
      </c>
      <c r="P1557" s="4">
        <f>OrganizedData[[#This Row],[Quantity]]*VLOOKUP(OrganizedData[[#This Row],[Product Code]],ProductData[],4,FALSE)</f>
        <v>720</v>
      </c>
      <c r="Q1557" s="6">
        <f>OrganizedData[[#This Row],[Total Items Ordered]]*VLOOKUP(OrganizedData[[#This Row],[Product Code]],ProductData[],3,FALSE)</f>
        <v>928.80000000000007</v>
      </c>
      <c r="R15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900.93600000000004</v>
      </c>
    </row>
    <row r="1558" spans="1:18" x14ac:dyDescent="0.3">
      <c r="A1558" s="2">
        <v>1551</v>
      </c>
      <c r="B1558" s="2" t="s">
        <v>4730</v>
      </c>
      <c r="C1558" s="2" t="s">
        <v>4490</v>
      </c>
      <c r="D1558" s="2" t="s">
        <v>41</v>
      </c>
      <c r="E1558" s="2" t="s">
        <v>16</v>
      </c>
      <c r="F1558" s="2">
        <v>90</v>
      </c>
      <c r="G1558" s="2" t="s">
        <v>10431</v>
      </c>
      <c r="H1558" s="2" t="s">
        <v>2753</v>
      </c>
      <c r="I1558" s="2" t="s">
        <v>124</v>
      </c>
      <c r="J1558" s="3">
        <v>44123</v>
      </c>
      <c r="K1558" s="5">
        <f>YEAR(OrganizedData[[#This Row],[Order Date]])</f>
        <v>2020</v>
      </c>
      <c r="L1558" s="7" t="str">
        <f>TEXT(OrganizedData[[#This Row],[Order Date]],"mmm")</f>
        <v>Oct</v>
      </c>
      <c r="M1558" s="2">
        <v>62</v>
      </c>
      <c r="N1558" s="2" t="s">
        <v>101</v>
      </c>
      <c r="O1558" s="2" t="str">
        <f>VLOOKUP(OrganizedData[[#This Row],[Product Code]],ProductData[[Code]:[Item]],2,FALSE)</f>
        <v>Superwossname</v>
      </c>
      <c r="P1558" s="4">
        <f>OrganizedData[[#This Row],[Quantity]]*VLOOKUP(OrganizedData[[#This Row],[Product Code]],ProductData[],4,FALSE)</f>
        <v>1240</v>
      </c>
      <c r="Q1558" s="6">
        <f>OrganizedData[[#This Row],[Total Items Ordered]]*VLOOKUP(OrganizedData[[#This Row],[Product Code]],ProductData[],3,FALSE)</f>
        <v>4327.6000000000004</v>
      </c>
      <c r="R15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4111.22</v>
      </c>
    </row>
    <row r="1559" spans="1:18" x14ac:dyDescent="0.3">
      <c r="A1559" s="2">
        <v>1552</v>
      </c>
      <c r="B1559" s="2" t="s">
        <v>3515</v>
      </c>
      <c r="C1559" s="2" t="s">
        <v>4732</v>
      </c>
      <c r="D1559" s="2" t="s">
        <v>28</v>
      </c>
      <c r="E1559" s="2" t="s">
        <v>29</v>
      </c>
      <c r="F1559" s="2">
        <v>90</v>
      </c>
      <c r="G1559" s="2" t="s">
        <v>10494</v>
      </c>
      <c r="H1559" s="2" t="s">
        <v>714</v>
      </c>
      <c r="I1559" s="2" t="s">
        <v>38</v>
      </c>
      <c r="J1559" s="3">
        <v>44231</v>
      </c>
      <c r="K1559" s="5">
        <f>YEAR(OrganizedData[[#This Row],[Order Date]])</f>
        <v>2021</v>
      </c>
      <c r="L1559" s="7" t="str">
        <f>TEXT(OrganizedData[[#This Row],[Order Date]],"mmm")</f>
        <v>Feb</v>
      </c>
      <c r="M1559" s="2">
        <v>92</v>
      </c>
      <c r="N1559" s="2" t="s">
        <v>33</v>
      </c>
      <c r="O1559" s="2" t="str">
        <f>VLOOKUP(OrganizedData[[#This Row],[Product Code]],ProductData[[Code]:[Item]],2,FALSE)</f>
        <v>Megawidget L</v>
      </c>
      <c r="P1559" s="4">
        <f>OrganizedData[[#This Row],[Quantity]]*VLOOKUP(OrganizedData[[#This Row],[Product Code]],ProductData[],4,FALSE)</f>
        <v>2208</v>
      </c>
      <c r="Q1559" s="6">
        <f>OrganizedData[[#This Row],[Total Items Ordered]]*VLOOKUP(OrganizedData[[#This Row],[Product Code]],ProductData[],3,FALSE)</f>
        <v>3952.32</v>
      </c>
      <c r="R15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3754.7040000000002</v>
      </c>
    </row>
    <row r="1560" spans="1:18" x14ac:dyDescent="0.3">
      <c r="A1560" s="2">
        <v>1553</v>
      </c>
      <c r="B1560" s="2" t="s">
        <v>4734</v>
      </c>
      <c r="C1560" s="2" t="s">
        <v>2697</v>
      </c>
      <c r="D1560" s="2" t="s">
        <v>51</v>
      </c>
      <c r="E1560" s="2" t="s">
        <v>16</v>
      </c>
      <c r="F1560" s="2">
        <v>30</v>
      </c>
      <c r="G1560" s="2" t="s">
        <v>4735</v>
      </c>
      <c r="H1560" s="2" t="s">
        <v>1872</v>
      </c>
      <c r="I1560" s="2" t="s">
        <v>124</v>
      </c>
      <c r="J1560" s="3">
        <v>44891</v>
      </c>
      <c r="K1560" s="5">
        <f>YEAR(OrganizedData[[#This Row],[Order Date]])</f>
        <v>2022</v>
      </c>
      <c r="L1560" s="7" t="str">
        <f>TEXT(OrganizedData[[#This Row],[Order Date]],"mmm")</f>
        <v>Nov</v>
      </c>
      <c r="M1560" s="2">
        <v>100</v>
      </c>
      <c r="N1560" s="2" t="s">
        <v>80</v>
      </c>
      <c r="O1560" s="2" t="str">
        <f>VLOOKUP(OrganizedData[[#This Row],[Product Code]],ProductData[[Code]:[Item]],2,FALSE)</f>
        <v>Ultrathing V2</v>
      </c>
      <c r="P1560" s="4">
        <f>OrganizedData[[#This Row],[Quantity]]*VLOOKUP(OrganizedData[[#This Row],[Product Code]],ProductData[],4,FALSE)</f>
        <v>2000</v>
      </c>
      <c r="Q1560" s="6">
        <f>OrganizedData[[#This Row],[Total Items Ordered]]*VLOOKUP(OrganizedData[[#This Row],[Product Code]],ProductData[],3,FALSE)</f>
        <v>5900</v>
      </c>
      <c r="R15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5605</v>
      </c>
    </row>
    <row r="1561" spans="1:18" x14ac:dyDescent="0.3">
      <c r="A1561" s="2">
        <v>1554</v>
      </c>
      <c r="B1561" s="2" t="s">
        <v>492</v>
      </c>
      <c r="C1561" s="2" t="s">
        <v>2030</v>
      </c>
      <c r="D1561" s="2" t="s">
        <v>28</v>
      </c>
      <c r="E1561" s="2" t="s">
        <v>29</v>
      </c>
      <c r="F1561" s="2">
        <v>90</v>
      </c>
      <c r="G1561" s="2" t="s">
        <v>4735</v>
      </c>
      <c r="H1561" s="2" t="s">
        <v>716</v>
      </c>
      <c r="I1561" s="2" t="s">
        <v>32</v>
      </c>
      <c r="J1561" s="3">
        <v>44198</v>
      </c>
      <c r="K1561" s="5">
        <f>YEAR(OrganizedData[[#This Row],[Order Date]])</f>
        <v>2021</v>
      </c>
      <c r="L1561" s="7" t="str">
        <f>TEXT(OrganizedData[[#This Row],[Order Date]],"mmm")</f>
        <v>Jan</v>
      </c>
      <c r="M1561" s="2">
        <v>93</v>
      </c>
      <c r="N1561" s="2" t="s">
        <v>159</v>
      </c>
      <c r="O1561" s="2" t="str">
        <f>VLOOKUP(OrganizedData[[#This Row],[Product Code]],ProductData[[Code]:[Item]],2,FALSE)</f>
        <v>Ultrathing V3</v>
      </c>
      <c r="P1561" s="4">
        <f>OrganizedData[[#This Row],[Quantity]]*VLOOKUP(OrganizedData[[#This Row],[Product Code]],ProductData[],4,FALSE)</f>
        <v>2232</v>
      </c>
      <c r="Q1561" s="6">
        <f>OrganizedData[[#This Row],[Total Items Ordered]]*VLOOKUP(OrganizedData[[#This Row],[Product Code]],ProductData[],3,FALSE)</f>
        <v>7566.4800000000005</v>
      </c>
      <c r="R15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7188.1559999999999</v>
      </c>
    </row>
    <row r="1562" spans="1:18" x14ac:dyDescent="0.3">
      <c r="A1562" s="2">
        <v>1555</v>
      </c>
      <c r="B1562" s="2" t="s">
        <v>665</v>
      </c>
      <c r="C1562" s="2" t="s">
        <v>2941</v>
      </c>
      <c r="D1562" s="2" t="s">
        <v>28</v>
      </c>
      <c r="E1562" s="2" t="s">
        <v>29</v>
      </c>
      <c r="F1562" s="2">
        <v>90</v>
      </c>
      <c r="G1562" s="2" t="s">
        <v>4736</v>
      </c>
      <c r="H1562" s="2" t="s">
        <v>2559</v>
      </c>
      <c r="I1562" s="2" t="s">
        <v>124</v>
      </c>
      <c r="J1562" s="3">
        <v>44724</v>
      </c>
      <c r="K1562" s="5">
        <f>YEAR(OrganizedData[[#This Row],[Order Date]])</f>
        <v>2022</v>
      </c>
      <c r="L1562" s="7" t="str">
        <f>TEXT(OrganizedData[[#This Row],[Order Date]],"mmm")</f>
        <v>Jun</v>
      </c>
      <c r="M1562" s="2">
        <v>81</v>
      </c>
      <c r="N1562" s="2" t="s">
        <v>64</v>
      </c>
      <c r="O1562" s="2" t="str">
        <f>VLOOKUP(OrganizedData[[#This Row],[Product Code]],ProductData[[Code]:[Item]],2,FALSE)</f>
        <v>Ultrathing V4</v>
      </c>
      <c r="P1562" s="4">
        <f>OrganizedData[[#This Row],[Quantity]]*VLOOKUP(OrganizedData[[#This Row],[Product Code]],ProductData[],4,FALSE)</f>
        <v>1944</v>
      </c>
      <c r="Q1562" s="6">
        <f>OrganizedData[[#This Row],[Total Items Ordered]]*VLOOKUP(OrganizedData[[#This Row],[Product Code]],ProductData[],3,FALSE)</f>
        <v>7756.56</v>
      </c>
      <c r="R15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7368.732</v>
      </c>
    </row>
    <row r="1563" spans="1:18" x14ac:dyDescent="0.3">
      <c r="A1563" s="2">
        <v>1556</v>
      </c>
      <c r="B1563" s="2" t="s">
        <v>4737</v>
      </c>
      <c r="C1563" s="2" t="s">
        <v>3022</v>
      </c>
      <c r="D1563" s="2" t="s">
        <v>28</v>
      </c>
      <c r="E1563" s="2" t="s">
        <v>29</v>
      </c>
      <c r="F1563" s="2">
        <v>30</v>
      </c>
      <c r="G1563" s="2" t="s">
        <v>4738</v>
      </c>
      <c r="H1563" s="2" t="s">
        <v>4739</v>
      </c>
      <c r="I1563" s="2" t="s">
        <v>59</v>
      </c>
      <c r="J1563" s="3">
        <v>44002</v>
      </c>
      <c r="K1563" s="5">
        <f>YEAR(OrganizedData[[#This Row],[Order Date]])</f>
        <v>2020</v>
      </c>
      <c r="L1563" s="7" t="str">
        <f>TEXT(OrganizedData[[#This Row],[Order Date]],"mmm")</f>
        <v>Jun</v>
      </c>
      <c r="M1563" s="2">
        <v>47</v>
      </c>
      <c r="N1563" s="2" t="s">
        <v>20</v>
      </c>
      <c r="O1563" s="2" t="str">
        <f>VLOOKUP(OrganizedData[[#This Row],[Product Code]],ProductData[[Code]:[Item]],2,FALSE)</f>
        <v>Hyperwotsit</v>
      </c>
      <c r="P1563" s="4">
        <f>OrganizedData[[#This Row],[Quantity]]*VLOOKUP(OrganizedData[[#This Row],[Product Code]],ProductData[],4,FALSE)</f>
        <v>940</v>
      </c>
      <c r="Q1563" s="6">
        <f>OrganizedData[[#This Row],[Total Items Ordered]]*VLOOKUP(OrganizedData[[#This Row],[Product Code]],ProductData[],3,FALSE)</f>
        <v>1889.3999999999999</v>
      </c>
      <c r="R15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1564" spans="1:18" x14ac:dyDescent="0.3">
      <c r="A1564" s="2">
        <v>1557</v>
      </c>
      <c r="B1564" s="2" t="s">
        <v>4740</v>
      </c>
      <c r="C1564" s="2" t="s">
        <v>3253</v>
      </c>
      <c r="D1564" s="2" t="s">
        <v>15</v>
      </c>
      <c r="E1564" s="2" t="s">
        <v>16</v>
      </c>
      <c r="F1564" s="2">
        <v>60</v>
      </c>
      <c r="G1564" s="2" t="s">
        <v>4741</v>
      </c>
      <c r="H1564" s="2" t="s">
        <v>3197</v>
      </c>
      <c r="I1564" s="2" t="s">
        <v>32</v>
      </c>
      <c r="J1564" s="3">
        <v>44773</v>
      </c>
      <c r="K1564" s="5">
        <f>YEAR(OrganizedData[[#This Row],[Order Date]])</f>
        <v>2022</v>
      </c>
      <c r="L1564" s="7" t="str">
        <f>TEXT(OrganizedData[[#This Row],[Order Date]],"mmm")</f>
        <v>Jul</v>
      </c>
      <c r="M1564" s="2">
        <v>28</v>
      </c>
      <c r="N1564" s="2" t="s">
        <v>54</v>
      </c>
      <c r="O1564" s="2" t="str">
        <f>VLOOKUP(OrganizedData[[#This Row],[Product Code]],ProductData[[Code]:[Item]],2,FALSE)</f>
        <v>Megawidget S</v>
      </c>
      <c r="P1564" s="4">
        <f>OrganizedData[[#This Row],[Quantity]]*VLOOKUP(OrganizedData[[#This Row],[Product Code]],ProductData[],4,FALSE)</f>
        <v>672</v>
      </c>
      <c r="Q1564" s="6">
        <f>OrganizedData[[#This Row],[Total Items Ordered]]*VLOOKUP(OrganizedData[[#This Row],[Product Code]],ProductData[],3,FALSE)</f>
        <v>463.67999999999995</v>
      </c>
      <c r="R15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449.76959999999991</v>
      </c>
    </row>
    <row r="1565" spans="1:18" x14ac:dyDescent="0.3">
      <c r="A1565" s="2">
        <v>1558</v>
      </c>
      <c r="B1565" s="2" t="s">
        <v>4742</v>
      </c>
      <c r="C1565" s="2" t="s">
        <v>4743</v>
      </c>
      <c r="D1565" s="2" t="s">
        <v>15</v>
      </c>
      <c r="E1565" s="2" t="s">
        <v>16</v>
      </c>
      <c r="F1565" s="2">
        <v>60</v>
      </c>
      <c r="G1565" s="2" t="s">
        <v>4744</v>
      </c>
      <c r="H1565" s="2" t="s">
        <v>4386</v>
      </c>
      <c r="I1565" s="2" t="s">
        <v>32</v>
      </c>
      <c r="J1565" s="3">
        <v>44025</v>
      </c>
      <c r="K1565" s="5">
        <f>YEAR(OrganizedData[[#This Row],[Order Date]])</f>
        <v>2020</v>
      </c>
      <c r="L1565" s="7" t="str">
        <f>TEXT(OrganizedData[[#This Row],[Order Date]],"mmm")</f>
        <v>Jul</v>
      </c>
      <c r="M1565" s="2">
        <v>8</v>
      </c>
      <c r="N1565" s="2" t="s">
        <v>64</v>
      </c>
      <c r="O1565" s="2" t="str">
        <f>VLOOKUP(OrganizedData[[#This Row],[Product Code]],ProductData[[Code]:[Item]],2,FALSE)</f>
        <v>Ultrathing V4</v>
      </c>
      <c r="P1565" s="4">
        <f>OrganizedData[[#This Row],[Quantity]]*VLOOKUP(OrganizedData[[#This Row],[Product Code]],ProductData[],4,FALSE)</f>
        <v>192</v>
      </c>
      <c r="Q1565" s="6">
        <f>OrganizedData[[#This Row],[Total Items Ordered]]*VLOOKUP(OrganizedData[[#This Row],[Product Code]],ProductData[],3,FALSE)</f>
        <v>766.08</v>
      </c>
      <c r="R15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1566" spans="1:18" x14ac:dyDescent="0.3">
      <c r="A1566" s="2">
        <v>1559</v>
      </c>
      <c r="B1566" s="2" t="s">
        <v>3607</v>
      </c>
      <c r="C1566" s="2" t="s">
        <v>2806</v>
      </c>
      <c r="D1566" s="2" t="s">
        <v>28</v>
      </c>
      <c r="E1566" s="2" t="s">
        <v>29</v>
      </c>
      <c r="F1566" s="2">
        <v>30</v>
      </c>
      <c r="G1566" s="2" t="s">
        <v>4745</v>
      </c>
      <c r="H1566" s="2" t="s">
        <v>429</v>
      </c>
      <c r="I1566" s="2" t="s">
        <v>32</v>
      </c>
      <c r="J1566" s="3">
        <v>43976</v>
      </c>
      <c r="K1566" s="5">
        <f>YEAR(OrganizedData[[#This Row],[Order Date]])</f>
        <v>2020</v>
      </c>
      <c r="L1566" s="7" t="str">
        <f>TEXT(OrganizedData[[#This Row],[Order Date]],"mmm")</f>
        <v>May</v>
      </c>
      <c r="M1566" s="2">
        <v>20</v>
      </c>
      <c r="N1566" s="2" t="s">
        <v>39</v>
      </c>
      <c r="O1566" s="2" t="str">
        <f>VLOOKUP(OrganizedData[[#This Row],[Product Code]],ProductData[[Code]:[Item]],2,FALSE)</f>
        <v>Ultrathing V1</v>
      </c>
      <c r="P1566" s="4">
        <f>OrganizedData[[#This Row],[Quantity]]*VLOOKUP(OrganizedData[[#This Row],[Product Code]],ProductData[],4,FALSE)</f>
        <v>340</v>
      </c>
      <c r="Q1566" s="6">
        <f>OrganizedData[[#This Row],[Total Items Ordered]]*VLOOKUP(OrganizedData[[#This Row],[Product Code]],ProductData[],3,FALSE)</f>
        <v>608.6</v>
      </c>
      <c r="R15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1567" spans="1:18" x14ac:dyDescent="0.3">
      <c r="A1567" s="2">
        <v>1560</v>
      </c>
      <c r="B1567" s="2" t="s">
        <v>2206</v>
      </c>
      <c r="C1567" s="2" t="s">
        <v>4083</v>
      </c>
      <c r="D1567" s="2" t="s">
        <v>28</v>
      </c>
      <c r="E1567" s="2" t="s">
        <v>29</v>
      </c>
      <c r="F1567" s="2">
        <v>30</v>
      </c>
      <c r="G1567" s="2" t="s">
        <v>4746</v>
      </c>
      <c r="H1567" s="2" t="s">
        <v>2703</v>
      </c>
      <c r="I1567" s="2" t="s">
        <v>32</v>
      </c>
      <c r="J1567" s="3">
        <v>44608</v>
      </c>
      <c r="K1567" s="5">
        <f>YEAR(OrganizedData[[#This Row],[Order Date]])</f>
        <v>2022</v>
      </c>
      <c r="L1567" s="7" t="str">
        <f>TEXT(OrganizedData[[#This Row],[Order Date]],"mmm")</f>
        <v>Feb</v>
      </c>
      <c r="M1567" s="2">
        <v>80</v>
      </c>
      <c r="N1567" s="2" t="s">
        <v>64</v>
      </c>
      <c r="O1567" s="2" t="str">
        <f>VLOOKUP(OrganizedData[[#This Row],[Product Code]],ProductData[[Code]:[Item]],2,FALSE)</f>
        <v>Ultrathing V4</v>
      </c>
      <c r="P1567" s="4">
        <f>OrganizedData[[#This Row],[Quantity]]*VLOOKUP(OrganizedData[[#This Row],[Product Code]],ProductData[],4,FALSE)</f>
        <v>1920</v>
      </c>
      <c r="Q1567" s="6">
        <f>OrganizedData[[#This Row],[Total Items Ordered]]*VLOOKUP(OrganizedData[[#This Row],[Product Code]],ProductData[],3,FALSE)</f>
        <v>7660.8</v>
      </c>
      <c r="R15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1568" spans="1:18" x14ac:dyDescent="0.3">
      <c r="A1568" s="2">
        <v>1561</v>
      </c>
      <c r="B1568" s="2" t="s">
        <v>2540</v>
      </c>
      <c r="C1568" s="2" t="s">
        <v>3928</v>
      </c>
      <c r="D1568" s="2" t="s">
        <v>28</v>
      </c>
      <c r="E1568" s="2" t="s">
        <v>29</v>
      </c>
      <c r="F1568" s="2">
        <v>30</v>
      </c>
      <c r="G1568" s="2" t="s">
        <v>4747</v>
      </c>
      <c r="H1568" s="2" t="s">
        <v>4748</v>
      </c>
      <c r="I1568" s="2" t="s">
        <v>32</v>
      </c>
      <c r="J1568" s="3">
        <v>44029</v>
      </c>
      <c r="K1568" s="5">
        <f>YEAR(OrganizedData[[#This Row],[Order Date]])</f>
        <v>2020</v>
      </c>
      <c r="L1568" s="7" t="str">
        <f>TEXT(OrganizedData[[#This Row],[Order Date]],"mmm")</f>
        <v>Jul</v>
      </c>
      <c r="M1568" s="2">
        <v>2</v>
      </c>
      <c r="N1568" s="2" t="s">
        <v>33</v>
      </c>
      <c r="O1568" s="2" t="str">
        <f>VLOOKUP(OrganizedData[[#This Row],[Product Code]],ProductData[[Code]:[Item]],2,FALSE)</f>
        <v>Megawidget L</v>
      </c>
      <c r="P1568" s="4">
        <f>OrganizedData[[#This Row],[Quantity]]*VLOOKUP(OrganizedData[[#This Row],[Product Code]],ProductData[],4,FALSE)</f>
        <v>48</v>
      </c>
      <c r="Q1568" s="6">
        <f>OrganizedData[[#This Row],[Total Items Ordered]]*VLOOKUP(OrganizedData[[#This Row],[Product Code]],ProductData[],3,FALSE)</f>
        <v>85.92</v>
      </c>
      <c r="R15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1569" spans="1:18" x14ac:dyDescent="0.3">
      <c r="A1569" s="2">
        <v>1562</v>
      </c>
      <c r="B1569" s="2" t="s">
        <v>4749</v>
      </c>
      <c r="C1569" s="2" t="s">
        <v>4750</v>
      </c>
      <c r="D1569" s="2" t="s">
        <v>51</v>
      </c>
      <c r="E1569" s="2" t="s">
        <v>16</v>
      </c>
      <c r="F1569" s="2">
        <v>30</v>
      </c>
      <c r="G1569" s="2" t="s">
        <v>4751</v>
      </c>
      <c r="H1569" s="2" t="s">
        <v>1694</v>
      </c>
      <c r="I1569" s="2" t="s">
        <v>32</v>
      </c>
      <c r="J1569" s="3">
        <v>44302</v>
      </c>
      <c r="K1569" s="5">
        <f>YEAR(OrganizedData[[#This Row],[Order Date]])</f>
        <v>2021</v>
      </c>
      <c r="L1569" s="7" t="str">
        <f>TEXT(OrganizedData[[#This Row],[Order Date]],"mmm")</f>
        <v>Apr</v>
      </c>
      <c r="M1569" s="2">
        <v>44</v>
      </c>
      <c r="N1569" s="2" t="s">
        <v>33</v>
      </c>
      <c r="O1569" s="2" t="str">
        <f>VLOOKUP(OrganizedData[[#This Row],[Product Code]],ProductData[[Code]:[Item]],2,FALSE)</f>
        <v>Megawidget L</v>
      </c>
      <c r="P1569" s="4">
        <f>OrganizedData[[#This Row],[Quantity]]*VLOOKUP(OrganizedData[[#This Row],[Product Code]],ProductData[],4,FALSE)</f>
        <v>1056</v>
      </c>
      <c r="Q1569" s="6">
        <f>OrganizedData[[#This Row],[Total Items Ordered]]*VLOOKUP(OrganizedData[[#This Row],[Product Code]],ProductData[],3,FALSE)</f>
        <v>1890.24</v>
      </c>
      <c r="R15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1833.5328</v>
      </c>
    </row>
    <row r="1570" spans="1:18" x14ac:dyDescent="0.3">
      <c r="A1570" s="2">
        <v>1563</v>
      </c>
      <c r="B1570" s="2" t="s">
        <v>4752</v>
      </c>
      <c r="C1570" s="2" t="s">
        <v>4753</v>
      </c>
      <c r="D1570" s="2" t="s">
        <v>51</v>
      </c>
      <c r="E1570" s="2" t="s">
        <v>16</v>
      </c>
      <c r="F1570" s="2">
        <v>60</v>
      </c>
      <c r="G1570" s="2" t="s">
        <v>4754</v>
      </c>
      <c r="H1570" s="2" t="s">
        <v>3976</v>
      </c>
      <c r="I1570" s="2" t="s">
        <v>173</v>
      </c>
      <c r="J1570" s="3">
        <v>44031</v>
      </c>
      <c r="K1570" s="5">
        <f>YEAR(OrganizedData[[#This Row],[Order Date]])</f>
        <v>2020</v>
      </c>
      <c r="L1570" s="7" t="str">
        <f>TEXT(OrganizedData[[#This Row],[Order Date]],"mmm")</f>
        <v>Jul</v>
      </c>
      <c r="M1570" s="2">
        <v>7</v>
      </c>
      <c r="N1570" s="2" t="s">
        <v>64</v>
      </c>
      <c r="O1570" s="2" t="str">
        <f>VLOOKUP(OrganizedData[[#This Row],[Product Code]],ProductData[[Code]:[Item]],2,FALSE)</f>
        <v>Ultrathing V4</v>
      </c>
      <c r="P1570" s="4">
        <f>OrganizedData[[#This Row],[Quantity]]*VLOOKUP(OrganizedData[[#This Row],[Product Code]],ProductData[],4,FALSE)</f>
        <v>168</v>
      </c>
      <c r="Q1570" s="6">
        <f>OrganizedData[[#This Row],[Total Items Ordered]]*VLOOKUP(OrganizedData[[#This Row],[Product Code]],ProductData[],3,FALSE)</f>
        <v>670.32</v>
      </c>
      <c r="R15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670.32</v>
      </c>
    </row>
    <row r="1571" spans="1:18" x14ac:dyDescent="0.3">
      <c r="A1571" s="2">
        <v>1564</v>
      </c>
      <c r="B1571" s="2" t="s">
        <v>4499</v>
      </c>
      <c r="C1571" s="2" t="s">
        <v>4755</v>
      </c>
      <c r="D1571" s="2" t="s">
        <v>28</v>
      </c>
      <c r="E1571" s="2" t="s">
        <v>29</v>
      </c>
      <c r="F1571" s="2">
        <v>30</v>
      </c>
      <c r="G1571" s="2" t="s">
        <v>4756</v>
      </c>
      <c r="H1571" s="2" t="s">
        <v>2341</v>
      </c>
      <c r="I1571" s="2" t="s">
        <v>2342</v>
      </c>
      <c r="J1571" s="3">
        <v>44859</v>
      </c>
      <c r="K1571" s="5">
        <f>YEAR(OrganizedData[[#This Row],[Order Date]])</f>
        <v>2022</v>
      </c>
      <c r="L1571" s="7" t="str">
        <f>TEXT(OrganizedData[[#This Row],[Order Date]],"mmm")</f>
        <v>Oct</v>
      </c>
      <c r="M1571" s="2">
        <v>97</v>
      </c>
      <c r="N1571" s="2" t="s">
        <v>20</v>
      </c>
      <c r="O1571" s="2" t="str">
        <f>VLOOKUP(OrganizedData[[#This Row],[Product Code]],ProductData[[Code]:[Item]],2,FALSE)</f>
        <v>Hyperwotsit</v>
      </c>
      <c r="P1571" s="4">
        <f>OrganizedData[[#This Row],[Quantity]]*VLOOKUP(OrganizedData[[#This Row],[Product Code]],ProductData[],4,FALSE)</f>
        <v>1940</v>
      </c>
      <c r="Q1571" s="6">
        <f>OrganizedData[[#This Row],[Total Items Ordered]]*VLOOKUP(OrganizedData[[#This Row],[Product Code]],ProductData[],3,FALSE)</f>
        <v>3899.3999999999996</v>
      </c>
      <c r="R15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3704.4299999999994</v>
      </c>
    </row>
    <row r="1572" spans="1:18" x14ac:dyDescent="0.3">
      <c r="A1572" s="2">
        <v>1565</v>
      </c>
      <c r="B1572" s="2" t="s">
        <v>4757</v>
      </c>
      <c r="C1572" s="2" t="s">
        <v>464</v>
      </c>
      <c r="D1572" s="2" t="s">
        <v>28</v>
      </c>
      <c r="E1572" s="2" t="s">
        <v>29</v>
      </c>
      <c r="F1572" s="2">
        <v>90</v>
      </c>
      <c r="G1572" s="2" t="s">
        <v>4758</v>
      </c>
      <c r="H1572" s="2" t="s">
        <v>195</v>
      </c>
      <c r="I1572" s="2" t="s">
        <v>187</v>
      </c>
      <c r="J1572" s="3">
        <v>44909</v>
      </c>
      <c r="K1572" s="5">
        <f>YEAR(OrganizedData[[#This Row],[Order Date]])</f>
        <v>2022</v>
      </c>
      <c r="L1572" s="7" t="str">
        <f>TEXT(OrganizedData[[#This Row],[Order Date]],"mmm")</f>
        <v>Dec</v>
      </c>
      <c r="M1572" s="2">
        <v>56</v>
      </c>
      <c r="N1572" s="2" t="s">
        <v>159</v>
      </c>
      <c r="O1572" s="2" t="str">
        <f>VLOOKUP(OrganizedData[[#This Row],[Product Code]],ProductData[[Code]:[Item]],2,FALSE)</f>
        <v>Ultrathing V3</v>
      </c>
      <c r="P1572" s="4">
        <f>OrganizedData[[#This Row],[Quantity]]*VLOOKUP(OrganizedData[[#This Row],[Product Code]],ProductData[],4,FALSE)</f>
        <v>1344</v>
      </c>
      <c r="Q1572" s="6">
        <f>OrganizedData[[#This Row],[Total Items Ordered]]*VLOOKUP(OrganizedData[[#This Row],[Product Code]],ProductData[],3,FALSE)</f>
        <v>4556.16</v>
      </c>
      <c r="R15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4328.3519999999999</v>
      </c>
    </row>
    <row r="1573" spans="1:18" x14ac:dyDescent="0.3">
      <c r="A1573" s="2">
        <v>1566</v>
      </c>
      <c r="B1573" s="2" t="s">
        <v>4759</v>
      </c>
      <c r="C1573" s="2" t="s">
        <v>3527</v>
      </c>
      <c r="D1573" s="2" t="s">
        <v>51</v>
      </c>
      <c r="E1573" s="2" t="s">
        <v>16</v>
      </c>
      <c r="F1573" s="2">
        <v>30</v>
      </c>
      <c r="G1573" s="2" t="s">
        <v>4758</v>
      </c>
      <c r="H1573" s="2" t="s">
        <v>4760</v>
      </c>
      <c r="I1573" s="2" t="s">
        <v>32</v>
      </c>
      <c r="J1573" s="3">
        <v>44438</v>
      </c>
      <c r="K1573" s="5">
        <f>YEAR(OrganizedData[[#This Row],[Order Date]])</f>
        <v>2021</v>
      </c>
      <c r="L1573" s="7" t="str">
        <f>TEXT(OrganizedData[[#This Row],[Order Date]],"mmm")</f>
        <v>Aug</v>
      </c>
      <c r="M1573" s="2">
        <v>62</v>
      </c>
      <c r="N1573" s="2" t="s">
        <v>39</v>
      </c>
      <c r="O1573" s="2" t="str">
        <f>VLOOKUP(OrganizedData[[#This Row],[Product Code]],ProductData[[Code]:[Item]],2,FALSE)</f>
        <v>Ultrathing V1</v>
      </c>
      <c r="P1573" s="4">
        <f>OrganizedData[[#This Row],[Quantity]]*VLOOKUP(OrganizedData[[#This Row],[Product Code]],ProductData[],4,FALSE)</f>
        <v>1054</v>
      </c>
      <c r="Q1573" s="6">
        <f>OrganizedData[[#This Row],[Total Items Ordered]]*VLOOKUP(OrganizedData[[#This Row],[Product Code]],ProductData[],3,FALSE)</f>
        <v>1886.66</v>
      </c>
      <c r="R15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1792.327</v>
      </c>
    </row>
    <row r="1574" spans="1:18" x14ac:dyDescent="0.3">
      <c r="A1574" s="2">
        <v>1567</v>
      </c>
      <c r="B1574" s="2" t="s">
        <v>4761</v>
      </c>
      <c r="C1574" s="2" t="s">
        <v>4762</v>
      </c>
      <c r="D1574" s="2" t="s">
        <v>15</v>
      </c>
      <c r="E1574" s="2" t="s">
        <v>16</v>
      </c>
      <c r="F1574" s="2">
        <v>90</v>
      </c>
      <c r="G1574" s="2" t="s">
        <v>4763</v>
      </c>
      <c r="H1574" s="2" t="s">
        <v>1034</v>
      </c>
      <c r="I1574" s="2" t="s">
        <v>1035</v>
      </c>
      <c r="J1574" s="3">
        <v>44911</v>
      </c>
      <c r="K1574" s="5">
        <f>YEAR(OrganizedData[[#This Row],[Order Date]])</f>
        <v>2022</v>
      </c>
      <c r="L1574" s="7" t="str">
        <f>TEXT(OrganizedData[[#This Row],[Order Date]],"mmm")</f>
        <v>Dec</v>
      </c>
      <c r="M1574" s="2">
        <v>42</v>
      </c>
      <c r="N1574" s="2" t="s">
        <v>64</v>
      </c>
      <c r="O1574" s="2" t="str">
        <f>VLOOKUP(OrganizedData[[#This Row],[Product Code]],ProductData[[Code]:[Item]],2,FALSE)</f>
        <v>Ultrathing V4</v>
      </c>
      <c r="P1574" s="4">
        <f>OrganizedData[[#This Row],[Quantity]]*VLOOKUP(OrganizedData[[#This Row],[Product Code]],ProductData[],4,FALSE)</f>
        <v>1008</v>
      </c>
      <c r="Q1574" s="6">
        <f>OrganizedData[[#This Row],[Total Items Ordered]]*VLOOKUP(OrganizedData[[#This Row],[Product Code]],ProductData[],3,FALSE)</f>
        <v>4021.92</v>
      </c>
      <c r="R15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1575" spans="1:18" x14ac:dyDescent="0.3">
      <c r="A1575" s="2">
        <v>1568</v>
      </c>
      <c r="B1575" s="2" t="s">
        <v>304</v>
      </c>
      <c r="C1575" s="2" t="s">
        <v>1175</v>
      </c>
      <c r="D1575" s="2" t="s">
        <v>15</v>
      </c>
      <c r="E1575" s="2" t="s">
        <v>16</v>
      </c>
      <c r="F1575" s="2">
        <v>90</v>
      </c>
      <c r="G1575" s="2" t="s">
        <v>4764</v>
      </c>
      <c r="H1575" s="2" t="s">
        <v>3466</v>
      </c>
      <c r="I1575" s="2" t="s">
        <v>32</v>
      </c>
      <c r="J1575" s="3">
        <v>44860</v>
      </c>
      <c r="K1575" s="5">
        <f>YEAR(OrganizedData[[#This Row],[Order Date]])</f>
        <v>2022</v>
      </c>
      <c r="L1575" s="7" t="str">
        <f>TEXT(OrganizedData[[#This Row],[Order Date]],"mmm")</f>
        <v>Oct</v>
      </c>
      <c r="M1575" s="2">
        <v>45</v>
      </c>
      <c r="N1575" s="2" t="s">
        <v>20</v>
      </c>
      <c r="O1575" s="2" t="str">
        <f>VLOOKUP(OrganizedData[[#This Row],[Product Code]],ProductData[[Code]:[Item]],2,FALSE)</f>
        <v>Hyperwotsit</v>
      </c>
      <c r="P1575" s="4">
        <f>OrganizedData[[#This Row],[Quantity]]*VLOOKUP(OrganizedData[[#This Row],[Product Code]],ProductData[],4,FALSE)</f>
        <v>900</v>
      </c>
      <c r="Q1575" s="6">
        <f>OrganizedData[[#This Row],[Total Items Ordered]]*VLOOKUP(OrganizedData[[#This Row],[Product Code]],ProductData[],3,FALSE)</f>
        <v>1808.9999999999998</v>
      </c>
      <c r="R15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1754.7299999999998</v>
      </c>
    </row>
    <row r="1576" spans="1:18" x14ac:dyDescent="0.3">
      <c r="A1576" s="2">
        <v>1569</v>
      </c>
      <c r="B1576" s="2" t="s">
        <v>4765</v>
      </c>
      <c r="C1576" s="2" t="s">
        <v>4766</v>
      </c>
      <c r="D1576" s="2" t="s">
        <v>15</v>
      </c>
      <c r="E1576" s="2" t="s">
        <v>16</v>
      </c>
      <c r="F1576" s="2">
        <v>90</v>
      </c>
      <c r="G1576" s="2" t="s">
        <v>4767</v>
      </c>
      <c r="H1576" s="2" t="s">
        <v>1018</v>
      </c>
      <c r="I1576" s="2" t="s">
        <v>294</v>
      </c>
      <c r="J1576" s="3">
        <v>44123</v>
      </c>
      <c r="K1576" s="5">
        <f>YEAR(OrganizedData[[#This Row],[Order Date]])</f>
        <v>2020</v>
      </c>
      <c r="L1576" s="7" t="str">
        <f>TEXT(OrganizedData[[#This Row],[Order Date]],"mmm")</f>
        <v>Oct</v>
      </c>
      <c r="M1576" s="2">
        <v>60</v>
      </c>
      <c r="N1576" s="2" t="s">
        <v>33</v>
      </c>
      <c r="O1576" s="2" t="str">
        <f>VLOOKUP(OrganizedData[[#This Row],[Product Code]],ProductData[[Code]:[Item]],2,FALSE)</f>
        <v>Megawidget L</v>
      </c>
      <c r="P1576" s="4">
        <f>OrganizedData[[#This Row],[Quantity]]*VLOOKUP(OrganizedData[[#This Row],[Product Code]],ProductData[],4,FALSE)</f>
        <v>1440</v>
      </c>
      <c r="Q1576" s="6">
        <f>OrganizedData[[#This Row],[Total Items Ordered]]*VLOOKUP(OrganizedData[[#This Row],[Product Code]],ProductData[],3,FALSE)</f>
        <v>2577.6</v>
      </c>
      <c r="R15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2448.7199999999998</v>
      </c>
    </row>
    <row r="1577" spans="1:18" x14ac:dyDescent="0.3">
      <c r="A1577" s="2">
        <v>1570</v>
      </c>
      <c r="B1577" s="2" t="s">
        <v>4768</v>
      </c>
      <c r="C1577" s="2" t="s">
        <v>1918</v>
      </c>
      <c r="D1577" s="2" t="s">
        <v>28</v>
      </c>
      <c r="E1577" s="2" t="s">
        <v>29</v>
      </c>
      <c r="F1577" s="2">
        <v>60</v>
      </c>
      <c r="G1577" s="2" t="s">
        <v>4769</v>
      </c>
      <c r="H1577" s="2" t="s">
        <v>4770</v>
      </c>
      <c r="I1577" s="2" t="s">
        <v>294</v>
      </c>
      <c r="J1577" s="3">
        <v>43964</v>
      </c>
      <c r="K1577" s="5">
        <f>YEAR(OrganizedData[[#This Row],[Order Date]])</f>
        <v>2020</v>
      </c>
      <c r="L1577" s="7" t="str">
        <f>TEXT(OrganizedData[[#This Row],[Order Date]],"mmm")</f>
        <v>May</v>
      </c>
      <c r="M1577" s="2">
        <v>36</v>
      </c>
      <c r="N1577" s="2" t="s">
        <v>70</v>
      </c>
      <c r="O1577" s="2" t="str">
        <f>VLOOKUP(OrganizedData[[#This Row],[Product Code]],ProductData[[Code]:[Item]],2,FALSE)</f>
        <v>Megawidget M</v>
      </c>
      <c r="P1577" s="4">
        <f>OrganizedData[[#This Row],[Quantity]]*VLOOKUP(OrganizedData[[#This Row],[Product Code]],ProductData[],4,FALSE)</f>
        <v>864</v>
      </c>
      <c r="Q1577" s="6">
        <f>OrganizedData[[#This Row],[Total Items Ordered]]*VLOOKUP(OrganizedData[[#This Row],[Product Code]],ProductData[],3,FALSE)</f>
        <v>1114.56</v>
      </c>
      <c r="R15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1081.1232</v>
      </c>
    </row>
    <row r="1578" spans="1:18" x14ac:dyDescent="0.3">
      <c r="A1578" s="2">
        <v>1571</v>
      </c>
      <c r="B1578" s="2" t="s">
        <v>4771</v>
      </c>
      <c r="C1578" s="2" t="s">
        <v>672</v>
      </c>
      <c r="D1578" s="2" t="s">
        <v>28</v>
      </c>
      <c r="E1578" s="2" t="s">
        <v>29</v>
      </c>
      <c r="F1578" s="2">
        <v>30</v>
      </c>
      <c r="G1578" s="2" t="s">
        <v>4769</v>
      </c>
      <c r="H1578" s="2" t="s">
        <v>917</v>
      </c>
      <c r="I1578" s="2" t="s">
        <v>32</v>
      </c>
      <c r="J1578" s="3">
        <v>44103</v>
      </c>
      <c r="K1578" s="5">
        <f>YEAR(OrganizedData[[#This Row],[Order Date]])</f>
        <v>2020</v>
      </c>
      <c r="L1578" s="7" t="str">
        <f>TEXT(OrganizedData[[#This Row],[Order Date]],"mmm")</f>
        <v>Sep</v>
      </c>
      <c r="M1578" s="2">
        <v>30</v>
      </c>
      <c r="N1578" s="2" t="s">
        <v>39</v>
      </c>
      <c r="O1578" s="2" t="str">
        <f>VLOOKUP(OrganizedData[[#This Row],[Product Code]],ProductData[[Code]:[Item]],2,FALSE)</f>
        <v>Ultrathing V1</v>
      </c>
      <c r="P1578" s="4">
        <f>OrganizedData[[#This Row],[Quantity]]*VLOOKUP(OrganizedData[[#This Row],[Product Code]],ProductData[],4,FALSE)</f>
        <v>510</v>
      </c>
      <c r="Q1578" s="6">
        <f>OrganizedData[[#This Row],[Total Items Ordered]]*VLOOKUP(OrganizedData[[#This Row],[Product Code]],ProductData[],3,FALSE)</f>
        <v>912.9</v>
      </c>
      <c r="R15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1579" spans="1:18" x14ac:dyDescent="0.3">
      <c r="A1579" s="2">
        <v>1572</v>
      </c>
      <c r="B1579" s="2" t="s">
        <v>4772</v>
      </c>
      <c r="C1579" s="2" t="s">
        <v>2246</v>
      </c>
      <c r="D1579" s="2" t="s">
        <v>41</v>
      </c>
      <c r="E1579" s="2" t="s">
        <v>16</v>
      </c>
      <c r="F1579" s="2">
        <v>90</v>
      </c>
      <c r="G1579" s="2" t="s">
        <v>4773</v>
      </c>
      <c r="H1579" s="2" t="s">
        <v>530</v>
      </c>
      <c r="I1579" s="2" t="s">
        <v>124</v>
      </c>
      <c r="J1579" s="3">
        <v>43877</v>
      </c>
      <c r="K1579" s="5">
        <f>YEAR(OrganizedData[[#This Row],[Order Date]])</f>
        <v>2020</v>
      </c>
      <c r="L1579" s="7" t="str">
        <f>TEXT(OrganizedData[[#This Row],[Order Date]],"mmm")</f>
        <v>Feb</v>
      </c>
      <c r="M1579" s="2">
        <v>19</v>
      </c>
      <c r="N1579" s="2" t="s">
        <v>70</v>
      </c>
      <c r="O1579" s="2" t="str">
        <f>VLOOKUP(OrganizedData[[#This Row],[Product Code]],ProductData[[Code]:[Item]],2,FALSE)</f>
        <v>Megawidget M</v>
      </c>
      <c r="P1579" s="4">
        <f>OrganizedData[[#This Row],[Quantity]]*VLOOKUP(OrganizedData[[#This Row],[Product Code]],ProductData[],4,FALSE)</f>
        <v>456</v>
      </c>
      <c r="Q1579" s="6">
        <f>OrganizedData[[#This Row],[Total Items Ordered]]*VLOOKUP(OrganizedData[[#This Row],[Product Code]],ProductData[],3,FALSE)</f>
        <v>588.24</v>
      </c>
      <c r="R15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1580" spans="1:18" x14ac:dyDescent="0.3">
      <c r="A1580" s="2">
        <v>1573</v>
      </c>
      <c r="B1580" s="2" t="s">
        <v>3572</v>
      </c>
      <c r="C1580" s="2" t="s">
        <v>76</v>
      </c>
      <c r="D1580" s="2" t="s">
        <v>28</v>
      </c>
      <c r="E1580" s="2" t="s">
        <v>29</v>
      </c>
      <c r="F1580" s="2">
        <v>30</v>
      </c>
      <c r="G1580" s="2" t="s">
        <v>4773</v>
      </c>
      <c r="H1580" s="2" t="s">
        <v>1042</v>
      </c>
      <c r="I1580" s="2" t="s">
        <v>32</v>
      </c>
      <c r="J1580" s="3">
        <v>44472</v>
      </c>
      <c r="K1580" s="5">
        <f>YEAR(OrganizedData[[#This Row],[Order Date]])</f>
        <v>2021</v>
      </c>
      <c r="L1580" s="7" t="str">
        <f>TEXT(OrganizedData[[#This Row],[Order Date]],"mmm")</f>
        <v>Oct</v>
      </c>
      <c r="M1580" s="2">
        <v>79</v>
      </c>
      <c r="N1580" s="2" t="s">
        <v>39</v>
      </c>
      <c r="O1580" s="2" t="str">
        <f>VLOOKUP(OrganizedData[[#This Row],[Product Code]],ProductData[[Code]:[Item]],2,FALSE)</f>
        <v>Ultrathing V1</v>
      </c>
      <c r="P1580" s="4">
        <f>OrganizedData[[#This Row],[Quantity]]*VLOOKUP(OrganizedData[[#This Row],[Product Code]],ProductData[],4,FALSE)</f>
        <v>1343</v>
      </c>
      <c r="Q1580" s="6">
        <f>OrganizedData[[#This Row],[Total Items Ordered]]*VLOOKUP(OrganizedData[[#This Row],[Product Code]],ProductData[],3,FALSE)</f>
        <v>2403.9700000000003</v>
      </c>
      <c r="R15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2283.7715000000003</v>
      </c>
    </row>
    <row r="1581" spans="1:18" x14ac:dyDescent="0.3">
      <c r="A1581" s="2">
        <v>1574</v>
      </c>
      <c r="B1581" s="2" t="s">
        <v>3013</v>
      </c>
      <c r="C1581" s="2" t="s">
        <v>644</v>
      </c>
      <c r="D1581" s="2" t="s">
        <v>51</v>
      </c>
      <c r="E1581" s="2" t="s">
        <v>16</v>
      </c>
      <c r="F1581" s="2">
        <v>30</v>
      </c>
      <c r="G1581" s="2" t="s">
        <v>4774</v>
      </c>
      <c r="H1581" s="2" t="s">
        <v>4683</v>
      </c>
      <c r="I1581" s="2" t="s">
        <v>178</v>
      </c>
      <c r="J1581" s="3">
        <v>44200</v>
      </c>
      <c r="K1581" s="5">
        <f>YEAR(OrganizedData[[#This Row],[Order Date]])</f>
        <v>2021</v>
      </c>
      <c r="L1581" s="7" t="str">
        <f>TEXT(OrganizedData[[#This Row],[Order Date]],"mmm")</f>
        <v>Jan</v>
      </c>
      <c r="M1581" s="2">
        <v>84</v>
      </c>
      <c r="N1581" s="2" t="s">
        <v>39</v>
      </c>
      <c r="O1581" s="2" t="str">
        <f>VLOOKUP(OrganizedData[[#This Row],[Product Code]],ProductData[[Code]:[Item]],2,FALSE)</f>
        <v>Ultrathing V1</v>
      </c>
      <c r="P1581" s="4">
        <f>OrganizedData[[#This Row],[Quantity]]*VLOOKUP(OrganizedData[[#This Row],[Product Code]],ProductData[],4,FALSE)</f>
        <v>1428</v>
      </c>
      <c r="Q1581" s="6">
        <f>OrganizedData[[#This Row],[Total Items Ordered]]*VLOOKUP(OrganizedData[[#This Row],[Product Code]],ProductData[],3,FALSE)</f>
        <v>2556.12</v>
      </c>
      <c r="R15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1582" spans="1:18" x14ac:dyDescent="0.3">
      <c r="A1582" s="2">
        <v>1575</v>
      </c>
      <c r="B1582" s="2" t="s">
        <v>4775</v>
      </c>
      <c r="C1582" s="2" t="s">
        <v>3913</v>
      </c>
      <c r="D1582" s="2" t="s">
        <v>28</v>
      </c>
      <c r="E1582" s="2" t="s">
        <v>29</v>
      </c>
      <c r="F1582" s="2">
        <v>90</v>
      </c>
      <c r="G1582" s="2" t="s">
        <v>4776</v>
      </c>
      <c r="H1582" s="2" t="s">
        <v>1761</v>
      </c>
      <c r="I1582" s="2" t="s">
        <v>38</v>
      </c>
      <c r="J1582" s="3">
        <v>44274</v>
      </c>
      <c r="K1582" s="5">
        <f>YEAR(OrganizedData[[#This Row],[Order Date]])</f>
        <v>2021</v>
      </c>
      <c r="L1582" s="7" t="str">
        <f>TEXT(OrganizedData[[#This Row],[Order Date]],"mmm")</f>
        <v>Mar</v>
      </c>
      <c r="M1582" s="2">
        <v>74</v>
      </c>
      <c r="N1582" s="2" t="s">
        <v>70</v>
      </c>
      <c r="O1582" s="2" t="str">
        <f>VLOOKUP(OrganizedData[[#This Row],[Product Code]],ProductData[[Code]:[Item]],2,FALSE)</f>
        <v>Megawidget M</v>
      </c>
      <c r="P1582" s="4">
        <f>OrganizedData[[#This Row],[Quantity]]*VLOOKUP(OrganizedData[[#This Row],[Product Code]],ProductData[],4,FALSE)</f>
        <v>1776</v>
      </c>
      <c r="Q1582" s="6">
        <f>OrganizedData[[#This Row],[Total Items Ordered]]*VLOOKUP(OrganizedData[[#This Row],[Product Code]],ProductData[],3,FALSE)</f>
        <v>2291.04</v>
      </c>
      <c r="R15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2176.4879999999998</v>
      </c>
    </row>
    <row r="1583" spans="1:18" x14ac:dyDescent="0.3">
      <c r="A1583" s="2">
        <v>1576</v>
      </c>
      <c r="B1583" s="2" t="s">
        <v>641</v>
      </c>
      <c r="C1583" s="2" t="s">
        <v>4777</v>
      </c>
      <c r="D1583" s="2" t="s">
        <v>28</v>
      </c>
      <c r="E1583" s="2" t="s">
        <v>29</v>
      </c>
      <c r="F1583" s="2">
        <v>60</v>
      </c>
      <c r="G1583" s="2" t="s">
        <v>4778</v>
      </c>
      <c r="H1583" s="2" t="s">
        <v>4779</v>
      </c>
      <c r="I1583" s="2" t="s">
        <v>686</v>
      </c>
      <c r="J1583" s="3">
        <v>44726</v>
      </c>
      <c r="K1583" s="5">
        <f>YEAR(OrganizedData[[#This Row],[Order Date]])</f>
        <v>2022</v>
      </c>
      <c r="L1583" s="7" t="str">
        <f>TEXT(OrganizedData[[#This Row],[Order Date]],"mmm")</f>
        <v>Jun</v>
      </c>
      <c r="M1583" s="2">
        <v>45</v>
      </c>
      <c r="N1583" s="2" t="s">
        <v>80</v>
      </c>
      <c r="O1583" s="2" t="str">
        <f>VLOOKUP(OrganizedData[[#This Row],[Product Code]],ProductData[[Code]:[Item]],2,FALSE)</f>
        <v>Ultrathing V2</v>
      </c>
      <c r="P1583" s="4">
        <f>OrganizedData[[#This Row],[Quantity]]*VLOOKUP(OrganizedData[[#This Row],[Product Code]],ProductData[],4,FALSE)</f>
        <v>900</v>
      </c>
      <c r="Q1583" s="6">
        <f>OrganizedData[[#This Row],[Total Items Ordered]]*VLOOKUP(OrganizedData[[#This Row],[Product Code]],ProductData[],3,FALSE)</f>
        <v>2655</v>
      </c>
      <c r="R15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1584" spans="1:18" x14ac:dyDescent="0.3">
      <c r="A1584" s="2">
        <v>1577</v>
      </c>
      <c r="B1584" s="2" t="s">
        <v>4780</v>
      </c>
      <c r="C1584" s="2" t="s">
        <v>112</v>
      </c>
      <c r="D1584" s="2" t="s">
        <v>28</v>
      </c>
      <c r="E1584" s="2" t="s">
        <v>29</v>
      </c>
      <c r="F1584" s="2">
        <v>30</v>
      </c>
      <c r="G1584" s="2" t="s">
        <v>4781</v>
      </c>
      <c r="H1584" s="2" t="s">
        <v>3730</v>
      </c>
      <c r="I1584" s="2" t="s">
        <v>32</v>
      </c>
      <c r="J1584" s="3">
        <v>43969</v>
      </c>
      <c r="K1584" s="5">
        <f>YEAR(OrganizedData[[#This Row],[Order Date]])</f>
        <v>2020</v>
      </c>
      <c r="L1584" s="7" t="str">
        <f>TEXT(OrganizedData[[#This Row],[Order Date]],"mmm")</f>
        <v>May</v>
      </c>
      <c r="M1584" s="2">
        <v>51</v>
      </c>
      <c r="N1584" s="2" t="s">
        <v>159</v>
      </c>
      <c r="O1584" s="2" t="str">
        <f>VLOOKUP(OrganizedData[[#This Row],[Product Code]],ProductData[[Code]:[Item]],2,FALSE)</f>
        <v>Ultrathing V3</v>
      </c>
      <c r="P1584" s="4">
        <f>OrganizedData[[#This Row],[Quantity]]*VLOOKUP(OrganizedData[[#This Row],[Product Code]],ProductData[],4,FALSE)</f>
        <v>1224</v>
      </c>
      <c r="Q1584" s="6">
        <f>OrganizedData[[#This Row],[Total Items Ordered]]*VLOOKUP(OrganizedData[[#This Row],[Product Code]],ProductData[],3,FALSE)</f>
        <v>4149.3600000000006</v>
      </c>
      <c r="R15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3941.8920000000003</v>
      </c>
    </row>
    <row r="1585" spans="1:18" x14ac:dyDescent="0.3">
      <c r="A1585" s="2">
        <v>1578</v>
      </c>
      <c r="B1585" s="2" t="s">
        <v>2571</v>
      </c>
      <c r="C1585" s="2" t="s">
        <v>4782</v>
      </c>
      <c r="D1585" s="2" t="s">
        <v>28</v>
      </c>
      <c r="E1585" s="2" t="s">
        <v>29</v>
      </c>
      <c r="F1585" s="2">
        <v>30</v>
      </c>
      <c r="G1585" s="2" t="s">
        <v>4783</v>
      </c>
      <c r="H1585" s="2" t="s">
        <v>1772</v>
      </c>
      <c r="I1585" s="2" t="s">
        <v>178</v>
      </c>
      <c r="J1585" s="3">
        <v>44022</v>
      </c>
      <c r="K1585" s="5">
        <f>YEAR(OrganizedData[[#This Row],[Order Date]])</f>
        <v>2020</v>
      </c>
      <c r="L1585" s="7" t="str">
        <f>TEXT(OrganizedData[[#This Row],[Order Date]],"mmm")</f>
        <v>Jul</v>
      </c>
      <c r="M1585" s="2">
        <v>75</v>
      </c>
      <c r="N1585" s="2" t="s">
        <v>39</v>
      </c>
      <c r="O1585" s="2" t="str">
        <f>VLOOKUP(OrganizedData[[#This Row],[Product Code]],ProductData[[Code]:[Item]],2,FALSE)</f>
        <v>Ultrathing V1</v>
      </c>
      <c r="P1585" s="4">
        <f>OrganizedData[[#This Row],[Quantity]]*VLOOKUP(OrganizedData[[#This Row],[Product Code]],ProductData[],4,FALSE)</f>
        <v>1275</v>
      </c>
      <c r="Q1585" s="6">
        <f>OrganizedData[[#This Row],[Total Items Ordered]]*VLOOKUP(OrganizedData[[#This Row],[Product Code]],ProductData[],3,FALSE)</f>
        <v>2282.25</v>
      </c>
      <c r="R15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2168.1374999999998</v>
      </c>
    </row>
    <row r="1586" spans="1:18" x14ac:dyDescent="0.3">
      <c r="A1586" s="2">
        <v>1579</v>
      </c>
      <c r="B1586" s="2" t="s">
        <v>2523</v>
      </c>
      <c r="C1586" s="2" t="s">
        <v>597</v>
      </c>
      <c r="D1586" s="2" t="s">
        <v>28</v>
      </c>
      <c r="E1586" s="2" t="s">
        <v>29</v>
      </c>
      <c r="F1586" s="2">
        <v>90</v>
      </c>
      <c r="G1586" s="2" t="s">
        <v>4784</v>
      </c>
      <c r="H1586" s="2" t="s">
        <v>2498</v>
      </c>
      <c r="I1586" s="2" t="s">
        <v>913</v>
      </c>
      <c r="J1586" s="3">
        <v>44856</v>
      </c>
      <c r="K1586" s="5">
        <f>YEAR(OrganizedData[[#This Row],[Order Date]])</f>
        <v>2022</v>
      </c>
      <c r="L1586" s="7" t="str">
        <f>TEXT(OrganizedData[[#This Row],[Order Date]],"mmm")</f>
        <v>Oct</v>
      </c>
      <c r="M1586" s="2">
        <v>94</v>
      </c>
      <c r="N1586" s="2" t="s">
        <v>159</v>
      </c>
      <c r="O1586" s="2" t="str">
        <f>VLOOKUP(OrganizedData[[#This Row],[Product Code]],ProductData[[Code]:[Item]],2,FALSE)</f>
        <v>Ultrathing V3</v>
      </c>
      <c r="P1586" s="4">
        <f>OrganizedData[[#This Row],[Quantity]]*VLOOKUP(OrganizedData[[#This Row],[Product Code]],ProductData[],4,FALSE)</f>
        <v>2256</v>
      </c>
      <c r="Q1586" s="6">
        <f>OrganizedData[[#This Row],[Total Items Ordered]]*VLOOKUP(OrganizedData[[#This Row],[Product Code]],ProductData[],3,FALSE)</f>
        <v>7647.84</v>
      </c>
      <c r="R15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7265.4479999999994</v>
      </c>
    </row>
    <row r="1587" spans="1:18" x14ac:dyDescent="0.3">
      <c r="A1587" s="2">
        <v>1580</v>
      </c>
      <c r="B1587" s="2" t="s">
        <v>4499</v>
      </c>
      <c r="C1587" s="2" t="s">
        <v>2809</v>
      </c>
      <c r="D1587" s="2" t="s">
        <v>28</v>
      </c>
      <c r="E1587" s="2" t="s">
        <v>29</v>
      </c>
      <c r="F1587" s="2">
        <v>30</v>
      </c>
      <c r="G1587" s="2" t="s">
        <v>4785</v>
      </c>
      <c r="H1587" s="2" t="s">
        <v>1587</v>
      </c>
      <c r="I1587" s="2" t="s">
        <v>32</v>
      </c>
      <c r="J1587" s="3">
        <v>43857</v>
      </c>
      <c r="K1587" s="5">
        <f>YEAR(OrganizedData[[#This Row],[Order Date]])</f>
        <v>2020</v>
      </c>
      <c r="L1587" s="7" t="str">
        <f>TEXT(OrganizedData[[#This Row],[Order Date]],"mmm")</f>
        <v>Jan</v>
      </c>
      <c r="M1587" s="2">
        <v>17</v>
      </c>
      <c r="N1587" s="2" t="s">
        <v>64</v>
      </c>
      <c r="O1587" s="2" t="str">
        <f>VLOOKUP(OrganizedData[[#This Row],[Product Code]],ProductData[[Code]:[Item]],2,FALSE)</f>
        <v>Ultrathing V4</v>
      </c>
      <c r="P1587" s="4">
        <f>OrganizedData[[#This Row],[Quantity]]*VLOOKUP(OrganizedData[[#This Row],[Product Code]],ProductData[],4,FALSE)</f>
        <v>408</v>
      </c>
      <c r="Q1587" s="6">
        <f>OrganizedData[[#This Row],[Total Items Ordered]]*VLOOKUP(OrganizedData[[#This Row],[Product Code]],ProductData[],3,FALSE)</f>
        <v>1627.92</v>
      </c>
      <c r="R15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1627.92</v>
      </c>
    </row>
    <row r="1588" spans="1:18" x14ac:dyDescent="0.3">
      <c r="A1588" s="2">
        <v>1581</v>
      </c>
      <c r="B1588" s="2" t="s">
        <v>1700</v>
      </c>
      <c r="C1588" s="2" t="s">
        <v>4786</v>
      </c>
      <c r="D1588" s="2" t="s">
        <v>117</v>
      </c>
      <c r="E1588" s="2" t="s">
        <v>29</v>
      </c>
      <c r="F1588" s="2">
        <v>90</v>
      </c>
      <c r="G1588" s="2" t="s">
        <v>4787</v>
      </c>
      <c r="H1588" s="2" t="s">
        <v>4182</v>
      </c>
      <c r="I1588" s="2" t="s">
        <v>32</v>
      </c>
      <c r="J1588" s="3">
        <v>44877</v>
      </c>
      <c r="K1588" s="5">
        <f>YEAR(OrganizedData[[#This Row],[Order Date]])</f>
        <v>2022</v>
      </c>
      <c r="L1588" s="7" t="str">
        <f>TEXT(OrganizedData[[#This Row],[Order Date]],"mmm")</f>
        <v>Nov</v>
      </c>
      <c r="M1588" s="2">
        <v>67</v>
      </c>
      <c r="N1588" s="2" t="s">
        <v>39</v>
      </c>
      <c r="O1588" s="2" t="str">
        <f>VLOOKUP(OrganizedData[[#This Row],[Product Code]],ProductData[[Code]:[Item]],2,FALSE)</f>
        <v>Ultrathing V1</v>
      </c>
      <c r="P1588" s="4">
        <f>OrganizedData[[#This Row],[Quantity]]*VLOOKUP(OrganizedData[[#This Row],[Product Code]],ProductData[],4,FALSE)</f>
        <v>1139</v>
      </c>
      <c r="Q1588" s="6">
        <f>OrganizedData[[#This Row],[Total Items Ordered]]*VLOOKUP(OrganizedData[[#This Row],[Product Code]],ProductData[],3,FALSE)</f>
        <v>2038.81</v>
      </c>
      <c r="R15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1936.8694999999998</v>
      </c>
    </row>
    <row r="1589" spans="1:18" x14ac:dyDescent="0.3">
      <c r="A1589" s="2">
        <v>1582</v>
      </c>
      <c r="B1589" s="2" t="s">
        <v>2142</v>
      </c>
      <c r="C1589" s="2" t="s">
        <v>1641</v>
      </c>
      <c r="D1589" s="2" t="s">
        <v>28</v>
      </c>
      <c r="E1589" s="2" t="s">
        <v>29</v>
      </c>
      <c r="F1589" s="2">
        <v>90</v>
      </c>
      <c r="G1589" s="2" t="s">
        <v>4788</v>
      </c>
      <c r="H1589" s="2" t="s">
        <v>2791</v>
      </c>
      <c r="I1589" s="2" t="s">
        <v>178</v>
      </c>
      <c r="J1589" s="3">
        <v>44672</v>
      </c>
      <c r="K1589" s="5">
        <f>YEAR(OrganizedData[[#This Row],[Order Date]])</f>
        <v>2022</v>
      </c>
      <c r="L1589" s="7" t="str">
        <f>TEXT(OrganizedData[[#This Row],[Order Date]],"mmm")</f>
        <v>Apr</v>
      </c>
      <c r="M1589" s="2">
        <v>57</v>
      </c>
      <c r="N1589" s="2" t="s">
        <v>159</v>
      </c>
      <c r="O1589" s="2" t="str">
        <f>VLOOKUP(OrganizedData[[#This Row],[Product Code]],ProductData[[Code]:[Item]],2,FALSE)</f>
        <v>Ultrathing V3</v>
      </c>
      <c r="P1589" s="4">
        <f>OrganizedData[[#This Row],[Quantity]]*VLOOKUP(OrganizedData[[#This Row],[Product Code]],ProductData[],4,FALSE)</f>
        <v>1368</v>
      </c>
      <c r="Q1589" s="6">
        <f>OrganizedData[[#This Row],[Total Items Ordered]]*VLOOKUP(OrganizedData[[#This Row],[Product Code]],ProductData[],3,FALSE)</f>
        <v>4637.5200000000004</v>
      </c>
      <c r="R15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4405.6440000000002</v>
      </c>
    </row>
    <row r="1590" spans="1:18" x14ac:dyDescent="0.3">
      <c r="A1590" s="2">
        <v>1583</v>
      </c>
      <c r="B1590" s="2" t="s">
        <v>4789</v>
      </c>
      <c r="C1590" s="2" t="s">
        <v>4790</v>
      </c>
      <c r="D1590" s="2" t="s">
        <v>41</v>
      </c>
      <c r="E1590" s="2" t="s">
        <v>16</v>
      </c>
      <c r="F1590" s="2">
        <v>90</v>
      </c>
      <c r="G1590" s="2" t="s">
        <v>10432</v>
      </c>
      <c r="H1590" s="2" t="s">
        <v>1948</v>
      </c>
      <c r="I1590" s="2" t="s">
        <v>25</v>
      </c>
      <c r="J1590" s="3">
        <v>44851</v>
      </c>
      <c r="K1590" s="5">
        <f>YEAR(OrganizedData[[#This Row],[Order Date]])</f>
        <v>2022</v>
      </c>
      <c r="L1590" s="7" t="str">
        <f>TEXT(OrganizedData[[#This Row],[Order Date]],"mmm")</f>
        <v>Oct</v>
      </c>
      <c r="M1590" s="2">
        <v>91</v>
      </c>
      <c r="N1590" s="2" t="s">
        <v>54</v>
      </c>
      <c r="O1590" s="2" t="str">
        <f>VLOOKUP(OrganizedData[[#This Row],[Product Code]],ProductData[[Code]:[Item]],2,FALSE)</f>
        <v>Megawidget S</v>
      </c>
      <c r="P1590" s="4">
        <f>OrganizedData[[#This Row],[Quantity]]*VLOOKUP(OrganizedData[[#This Row],[Product Code]],ProductData[],4,FALSE)</f>
        <v>2184</v>
      </c>
      <c r="Q1590" s="6">
        <f>OrganizedData[[#This Row],[Total Items Ordered]]*VLOOKUP(OrganizedData[[#This Row],[Product Code]],ProductData[],3,FALSE)</f>
        <v>1506.9599999999998</v>
      </c>
      <c r="R15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1431.6119999999999</v>
      </c>
    </row>
    <row r="1591" spans="1:18" x14ac:dyDescent="0.3">
      <c r="A1591" s="2">
        <v>1584</v>
      </c>
      <c r="B1591" s="2" t="s">
        <v>2701</v>
      </c>
      <c r="C1591" s="2" t="s">
        <v>4792</v>
      </c>
      <c r="D1591" s="2" t="s">
        <v>28</v>
      </c>
      <c r="E1591" s="2" t="s">
        <v>29</v>
      </c>
      <c r="F1591" s="2">
        <v>60</v>
      </c>
      <c r="G1591" s="2" t="s">
        <v>4793</v>
      </c>
      <c r="H1591" s="2" t="s">
        <v>4794</v>
      </c>
      <c r="I1591" s="2" t="s">
        <v>32</v>
      </c>
      <c r="J1591" s="3">
        <v>44221</v>
      </c>
      <c r="K1591" s="5">
        <f>YEAR(OrganizedData[[#This Row],[Order Date]])</f>
        <v>2021</v>
      </c>
      <c r="L1591" s="7" t="str">
        <f>TEXT(OrganizedData[[#This Row],[Order Date]],"mmm")</f>
        <v>Jan</v>
      </c>
      <c r="M1591" s="2">
        <v>85</v>
      </c>
      <c r="N1591" s="2" t="s">
        <v>70</v>
      </c>
      <c r="O1591" s="2" t="str">
        <f>VLOOKUP(OrganizedData[[#This Row],[Product Code]],ProductData[[Code]:[Item]],2,FALSE)</f>
        <v>Megawidget M</v>
      </c>
      <c r="P1591" s="4">
        <f>OrganizedData[[#This Row],[Quantity]]*VLOOKUP(OrganizedData[[#This Row],[Product Code]],ProductData[],4,FALSE)</f>
        <v>2040</v>
      </c>
      <c r="Q1591" s="6">
        <f>OrganizedData[[#This Row],[Total Items Ordered]]*VLOOKUP(OrganizedData[[#This Row],[Product Code]],ProductData[],3,FALSE)</f>
        <v>2631.6</v>
      </c>
      <c r="R15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2500.02</v>
      </c>
    </row>
    <row r="1592" spans="1:18" x14ac:dyDescent="0.3">
      <c r="A1592" s="2">
        <v>1585</v>
      </c>
      <c r="B1592" s="2" t="s">
        <v>4247</v>
      </c>
      <c r="C1592" s="2" t="s">
        <v>4795</v>
      </c>
      <c r="D1592" s="2" t="s">
        <v>41</v>
      </c>
      <c r="E1592" s="2" t="s">
        <v>16</v>
      </c>
      <c r="F1592" s="2">
        <v>60</v>
      </c>
      <c r="G1592" s="2" t="s">
        <v>4796</v>
      </c>
      <c r="H1592" s="2" t="s">
        <v>3793</v>
      </c>
      <c r="I1592" s="2" t="s">
        <v>173</v>
      </c>
      <c r="J1592" s="3">
        <v>43896</v>
      </c>
      <c r="K1592" s="5">
        <f>YEAR(OrganizedData[[#This Row],[Order Date]])</f>
        <v>2020</v>
      </c>
      <c r="L1592" s="7" t="str">
        <f>TEXT(OrganizedData[[#This Row],[Order Date]],"mmm")</f>
        <v>Mar</v>
      </c>
      <c r="M1592" s="2">
        <v>68</v>
      </c>
      <c r="N1592" s="2" t="s">
        <v>33</v>
      </c>
      <c r="O1592" s="2" t="str">
        <f>VLOOKUP(OrganizedData[[#This Row],[Product Code]],ProductData[[Code]:[Item]],2,FALSE)</f>
        <v>Megawidget L</v>
      </c>
      <c r="P1592" s="4">
        <f>OrganizedData[[#This Row],[Quantity]]*VLOOKUP(OrganizedData[[#This Row],[Product Code]],ProductData[],4,FALSE)</f>
        <v>1632</v>
      </c>
      <c r="Q1592" s="6">
        <f>OrganizedData[[#This Row],[Total Items Ordered]]*VLOOKUP(OrganizedData[[#This Row],[Product Code]],ProductData[],3,FALSE)</f>
        <v>2921.28</v>
      </c>
      <c r="R15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1593" spans="1:18" x14ac:dyDescent="0.3">
      <c r="A1593" s="2">
        <v>1586</v>
      </c>
      <c r="B1593" s="2" t="s">
        <v>1399</v>
      </c>
      <c r="C1593" s="2" t="s">
        <v>4797</v>
      </c>
      <c r="D1593" s="2" t="s">
        <v>28</v>
      </c>
      <c r="E1593" s="2" t="s">
        <v>29</v>
      </c>
      <c r="F1593" s="2">
        <v>60</v>
      </c>
      <c r="G1593" s="2" t="s">
        <v>4798</v>
      </c>
      <c r="H1593" s="2" t="s">
        <v>4799</v>
      </c>
      <c r="I1593" s="2" t="s">
        <v>25</v>
      </c>
      <c r="J1593" s="3">
        <v>44374</v>
      </c>
      <c r="K1593" s="5">
        <f>YEAR(OrganizedData[[#This Row],[Order Date]])</f>
        <v>2021</v>
      </c>
      <c r="L1593" s="7" t="str">
        <f>TEXT(OrganizedData[[#This Row],[Order Date]],"mmm")</f>
        <v>Jun</v>
      </c>
      <c r="M1593" s="2">
        <v>15</v>
      </c>
      <c r="N1593" s="2" t="s">
        <v>159</v>
      </c>
      <c r="O1593" s="2" t="str">
        <f>VLOOKUP(OrganizedData[[#This Row],[Product Code]],ProductData[[Code]:[Item]],2,FALSE)</f>
        <v>Ultrathing V3</v>
      </c>
      <c r="P1593" s="4">
        <f>OrganizedData[[#This Row],[Quantity]]*VLOOKUP(OrganizedData[[#This Row],[Product Code]],ProductData[],4,FALSE)</f>
        <v>360</v>
      </c>
      <c r="Q1593" s="6">
        <f>OrganizedData[[#This Row],[Total Items Ordered]]*VLOOKUP(OrganizedData[[#This Row],[Product Code]],ProductData[],3,FALSE)</f>
        <v>1220.4000000000001</v>
      </c>
      <c r="R15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1220.4000000000001</v>
      </c>
    </row>
    <row r="1594" spans="1:18" x14ac:dyDescent="0.3">
      <c r="A1594" s="2">
        <v>1587</v>
      </c>
      <c r="B1594" s="2" t="s">
        <v>4800</v>
      </c>
      <c r="C1594" s="2" t="s">
        <v>961</v>
      </c>
      <c r="D1594" s="2" t="s">
        <v>15</v>
      </c>
      <c r="E1594" s="2" t="s">
        <v>16</v>
      </c>
      <c r="F1594" s="2">
        <v>60</v>
      </c>
      <c r="G1594" s="2" t="s">
        <v>4801</v>
      </c>
      <c r="H1594" s="2" t="s">
        <v>3126</v>
      </c>
      <c r="I1594" s="2" t="s">
        <v>32</v>
      </c>
      <c r="J1594" s="3">
        <v>44102</v>
      </c>
      <c r="K1594" s="5">
        <f>YEAR(OrganizedData[[#This Row],[Order Date]])</f>
        <v>2020</v>
      </c>
      <c r="L1594" s="7" t="str">
        <f>TEXT(OrganizedData[[#This Row],[Order Date]],"mmm")</f>
        <v>Sep</v>
      </c>
      <c r="M1594" s="2">
        <v>18</v>
      </c>
      <c r="N1594" s="2" t="s">
        <v>159</v>
      </c>
      <c r="O1594" s="2" t="str">
        <f>VLOOKUP(OrganizedData[[#This Row],[Product Code]],ProductData[[Code]:[Item]],2,FALSE)</f>
        <v>Ultrathing V3</v>
      </c>
      <c r="P1594" s="4">
        <f>OrganizedData[[#This Row],[Quantity]]*VLOOKUP(OrganizedData[[#This Row],[Product Code]],ProductData[],4,FALSE)</f>
        <v>432</v>
      </c>
      <c r="Q1594" s="6">
        <f>OrganizedData[[#This Row],[Total Items Ordered]]*VLOOKUP(OrganizedData[[#This Row],[Product Code]],ProductData[],3,FALSE)</f>
        <v>1464.48</v>
      </c>
      <c r="R15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1595" spans="1:18" x14ac:dyDescent="0.3">
      <c r="A1595" s="2">
        <v>1588</v>
      </c>
      <c r="B1595" s="2" t="s">
        <v>4805</v>
      </c>
      <c r="C1595" s="2" t="s">
        <v>1786</v>
      </c>
      <c r="D1595" s="2" t="s">
        <v>28</v>
      </c>
      <c r="E1595" s="2" t="s">
        <v>29</v>
      </c>
      <c r="F1595" s="2">
        <v>30</v>
      </c>
      <c r="G1595" s="2" t="s">
        <v>4806</v>
      </c>
      <c r="H1595" s="2" t="s">
        <v>4807</v>
      </c>
      <c r="I1595" s="2" t="s">
        <v>32</v>
      </c>
      <c r="J1595" s="3">
        <v>44793</v>
      </c>
      <c r="K1595" s="5">
        <f>YEAR(OrganizedData[[#This Row],[Order Date]])</f>
        <v>2022</v>
      </c>
      <c r="L1595" s="7" t="str">
        <f>TEXT(OrganizedData[[#This Row],[Order Date]],"mmm")</f>
        <v>Aug</v>
      </c>
      <c r="M1595" s="2">
        <v>14</v>
      </c>
      <c r="N1595" s="2" t="s">
        <v>101</v>
      </c>
      <c r="O1595" s="2" t="str">
        <f>VLOOKUP(OrganizedData[[#This Row],[Product Code]],ProductData[[Code]:[Item]],2,FALSE)</f>
        <v>Superwossname</v>
      </c>
      <c r="P1595" s="4">
        <f>OrganizedData[[#This Row],[Quantity]]*VLOOKUP(OrganizedData[[#This Row],[Product Code]],ProductData[],4,FALSE)</f>
        <v>280</v>
      </c>
      <c r="Q1595" s="6">
        <f>OrganizedData[[#This Row],[Total Items Ordered]]*VLOOKUP(OrganizedData[[#This Row],[Product Code]],ProductData[],3,FALSE)</f>
        <v>977.2</v>
      </c>
      <c r="R15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977.2</v>
      </c>
    </row>
    <row r="1596" spans="1:18" x14ac:dyDescent="0.3">
      <c r="A1596" s="2">
        <v>1589</v>
      </c>
      <c r="B1596" s="2" t="s">
        <v>4808</v>
      </c>
      <c r="C1596" s="2" t="s">
        <v>4005</v>
      </c>
      <c r="D1596" s="2" t="s">
        <v>15</v>
      </c>
      <c r="E1596" s="2" t="s">
        <v>16</v>
      </c>
      <c r="F1596" s="2">
        <v>90</v>
      </c>
      <c r="G1596" s="2" t="s">
        <v>4806</v>
      </c>
      <c r="H1596" s="2" t="s">
        <v>487</v>
      </c>
      <c r="I1596" s="2" t="s">
        <v>32</v>
      </c>
      <c r="J1596" s="3">
        <v>44028</v>
      </c>
      <c r="K1596" s="5">
        <f>YEAR(OrganizedData[[#This Row],[Order Date]])</f>
        <v>2020</v>
      </c>
      <c r="L1596" s="7" t="str">
        <f>TEXT(OrganizedData[[#This Row],[Order Date]],"mmm")</f>
        <v>Jul</v>
      </c>
      <c r="M1596" s="2">
        <v>8</v>
      </c>
      <c r="N1596" s="2" t="s">
        <v>45</v>
      </c>
      <c r="O1596" s="2" t="str">
        <f>VLOOKUP(OrganizedData[[#This Row],[Product Code]],ProductData[[Code]:[Item]],2,FALSE)</f>
        <v>Gigastuff</v>
      </c>
      <c r="P1596" s="4">
        <f>OrganizedData[[#This Row],[Quantity]]*VLOOKUP(OrganizedData[[#This Row],[Product Code]],ProductData[],4,FALSE)</f>
        <v>144</v>
      </c>
      <c r="Q1596" s="6">
        <f>OrganizedData[[#This Row],[Total Items Ordered]]*VLOOKUP(OrganizedData[[#This Row],[Product Code]],ProductData[],3,FALSE)</f>
        <v>272.15999999999997</v>
      </c>
      <c r="R15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1597" spans="1:18" x14ac:dyDescent="0.3">
      <c r="A1597" s="2">
        <v>1590</v>
      </c>
      <c r="B1597" s="2" t="s">
        <v>4809</v>
      </c>
      <c r="C1597" s="2" t="s">
        <v>564</v>
      </c>
      <c r="D1597" s="2" t="s">
        <v>51</v>
      </c>
      <c r="E1597" s="2" t="s">
        <v>16</v>
      </c>
      <c r="F1597" s="2">
        <v>90</v>
      </c>
      <c r="G1597" s="2" t="s">
        <v>4810</v>
      </c>
      <c r="H1597" s="2" t="s">
        <v>2163</v>
      </c>
      <c r="I1597" s="2" t="s">
        <v>1824</v>
      </c>
      <c r="J1597" s="3">
        <v>44660</v>
      </c>
      <c r="K1597" s="5">
        <f>YEAR(OrganizedData[[#This Row],[Order Date]])</f>
        <v>2022</v>
      </c>
      <c r="L1597" s="7" t="str">
        <f>TEXT(OrganizedData[[#This Row],[Order Date]],"mmm")</f>
        <v>Apr</v>
      </c>
      <c r="M1597" s="2">
        <v>12</v>
      </c>
      <c r="N1597" s="2" t="s">
        <v>33</v>
      </c>
      <c r="O1597" s="2" t="str">
        <f>VLOOKUP(OrganizedData[[#This Row],[Product Code]],ProductData[[Code]:[Item]],2,FALSE)</f>
        <v>Megawidget L</v>
      </c>
      <c r="P1597" s="4">
        <f>OrganizedData[[#This Row],[Quantity]]*VLOOKUP(OrganizedData[[#This Row],[Product Code]],ProductData[],4,FALSE)</f>
        <v>288</v>
      </c>
      <c r="Q1597" s="6">
        <f>OrganizedData[[#This Row],[Total Items Ordered]]*VLOOKUP(OrganizedData[[#This Row],[Product Code]],ProductData[],3,FALSE)</f>
        <v>515.52</v>
      </c>
      <c r="R15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515.52</v>
      </c>
    </row>
    <row r="1598" spans="1:18" x14ac:dyDescent="0.3">
      <c r="A1598" s="2">
        <v>1591</v>
      </c>
      <c r="B1598" s="2" t="s">
        <v>1009</v>
      </c>
      <c r="C1598" s="2" t="s">
        <v>4811</v>
      </c>
      <c r="D1598" s="2" t="s">
        <v>28</v>
      </c>
      <c r="E1598" s="2" t="s">
        <v>29</v>
      </c>
      <c r="F1598" s="2">
        <v>30</v>
      </c>
      <c r="G1598" s="2" t="s">
        <v>4812</v>
      </c>
      <c r="H1598" s="2" t="s">
        <v>1426</v>
      </c>
      <c r="I1598" s="2" t="s">
        <v>32</v>
      </c>
      <c r="J1598" s="3">
        <v>44385</v>
      </c>
      <c r="K1598" s="5">
        <f>YEAR(OrganizedData[[#This Row],[Order Date]])</f>
        <v>2021</v>
      </c>
      <c r="L1598" s="7" t="str">
        <f>TEXT(OrganizedData[[#This Row],[Order Date]],"mmm")</f>
        <v>Jul</v>
      </c>
      <c r="M1598" s="2">
        <v>25</v>
      </c>
      <c r="N1598" s="2" t="s">
        <v>159</v>
      </c>
      <c r="O1598" s="2" t="str">
        <f>VLOOKUP(OrganizedData[[#This Row],[Product Code]],ProductData[[Code]:[Item]],2,FALSE)</f>
        <v>Ultrathing V3</v>
      </c>
      <c r="P1598" s="4">
        <f>OrganizedData[[#This Row],[Quantity]]*VLOOKUP(OrganizedData[[#This Row],[Product Code]],ProductData[],4,FALSE)</f>
        <v>600</v>
      </c>
      <c r="Q1598" s="6">
        <f>OrganizedData[[#This Row],[Total Items Ordered]]*VLOOKUP(OrganizedData[[#This Row],[Product Code]],ProductData[],3,FALSE)</f>
        <v>2034</v>
      </c>
      <c r="R15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1972.98</v>
      </c>
    </row>
    <row r="1599" spans="1:18" x14ac:dyDescent="0.3">
      <c r="A1599" s="2">
        <v>1592</v>
      </c>
      <c r="B1599" s="2" t="s">
        <v>4094</v>
      </c>
      <c r="C1599" s="2" t="s">
        <v>4813</v>
      </c>
      <c r="D1599" s="2" t="s">
        <v>28</v>
      </c>
      <c r="E1599" s="2" t="s">
        <v>29</v>
      </c>
      <c r="F1599" s="2">
        <v>30</v>
      </c>
      <c r="G1599" s="2" t="s">
        <v>4814</v>
      </c>
      <c r="H1599" s="2" t="s">
        <v>1764</v>
      </c>
      <c r="I1599" s="2" t="s">
        <v>124</v>
      </c>
      <c r="J1599" s="3">
        <v>44084</v>
      </c>
      <c r="K1599" s="5">
        <f>YEAR(OrganizedData[[#This Row],[Order Date]])</f>
        <v>2020</v>
      </c>
      <c r="L1599" s="7" t="str">
        <f>TEXT(OrganizedData[[#This Row],[Order Date]],"mmm")</f>
        <v>Sep</v>
      </c>
      <c r="M1599" s="2">
        <v>27</v>
      </c>
      <c r="N1599" s="2" t="s">
        <v>70</v>
      </c>
      <c r="O1599" s="2" t="str">
        <f>VLOOKUP(OrganizedData[[#This Row],[Product Code]],ProductData[[Code]:[Item]],2,FALSE)</f>
        <v>Megawidget M</v>
      </c>
      <c r="P1599" s="4">
        <f>OrganizedData[[#This Row],[Quantity]]*VLOOKUP(OrganizedData[[#This Row],[Product Code]],ProductData[],4,FALSE)</f>
        <v>648</v>
      </c>
      <c r="Q1599" s="6">
        <f>OrganizedData[[#This Row],[Total Items Ordered]]*VLOOKUP(OrganizedData[[#This Row],[Product Code]],ProductData[],3,FALSE)</f>
        <v>835.92000000000007</v>
      </c>
      <c r="R15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810.8424</v>
      </c>
    </row>
    <row r="1600" spans="1:18" x14ac:dyDescent="0.3">
      <c r="A1600" s="2">
        <v>1593</v>
      </c>
      <c r="B1600" s="2" t="s">
        <v>4815</v>
      </c>
      <c r="C1600" s="2" t="s">
        <v>1251</v>
      </c>
      <c r="D1600" s="2" t="s">
        <v>28</v>
      </c>
      <c r="E1600" s="2" t="s">
        <v>29</v>
      </c>
      <c r="F1600" s="2">
        <v>90</v>
      </c>
      <c r="G1600" s="2" t="s">
        <v>149</v>
      </c>
      <c r="H1600" s="2" t="s">
        <v>1948</v>
      </c>
      <c r="I1600" s="2" t="s">
        <v>25</v>
      </c>
      <c r="J1600" s="3">
        <v>44410</v>
      </c>
      <c r="K1600" s="5">
        <f>YEAR(OrganizedData[[#This Row],[Order Date]])</f>
        <v>2021</v>
      </c>
      <c r="L1600" s="7" t="str">
        <f>TEXT(OrganizedData[[#This Row],[Order Date]],"mmm")</f>
        <v>Aug</v>
      </c>
      <c r="M1600" s="2">
        <v>39</v>
      </c>
      <c r="N1600" s="2" t="s">
        <v>54</v>
      </c>
      <c r="O1600" s="2" t="str">
        <f>VLOOKUP(OrganizedData[[#This Row],[Product Code]],ProductData[[Code]:[Item]],2,FALSE)</f>
        <v>Megawidget S</v>
      </c>
      <c r="P1600" s="4">
        <f>OrganizedData[[#This Row],[Quantity]]*VLOOKUP(OrganizedData[[#This Row],[Product Code]],ProductData[],4,FALSE)</f>
        <v>936</v>
      </c>
      <c r="Q1600" s="6">
        <f>OrganizedData[[#This Row],[Total Items Ordered]]*VLOOKUP(OrganizedData[[#This Row],[Product Code]],ProductData[],3,FALSE)</f>
        <v>645.83999999999992</v>
      </c>
      <c r="R16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626.46479999999985</v>
      </c>
    </row>
    <row r="1601" spans="1:18" x14ac:dyDescent="0.3">
      <c r="A1601" s="2">
        <v>1594</v>
      </c>
      <c r="B1601" s="2" t="s">
        <v>527</v>
      </c>
      <c r="C1601" s="2" t="s">
        <v>4291</v>
      </c>
      <c r="D1601" s="2" t="s">
        <v>28</v>
      </c>
      <c r="E1601" s="2" t="s">
        <v>29</v>
      </c>
      <c r="F1601" s="2">
        <v>60</v>
      </c>
      <c r="G1601" s="2" t="s">
        <v>4816</v>
      </c>
      <c r="H1601" s="2" t="s">
        <v>4326</v>
      </c>
      <c r="I1601" s="2" t="s">
        <v>1078</v>
      </c>
      <c r="J1601" s="3">
        <v>44346</v>
      </c>
      <c r="K1601" s="5">
        <f>YEAR(OrganizedData[[#This Row],[Order Date]])</f>
        <v>2021</v>
      </c>
      <c r="L1601" s="7" t="str">
        <f>TEXT(OrganizedData[[#This Row],[Order Date]],"mmm")</f>
        <v>May</v>
      </c>
      <c r="M1601" s="2">
        <v>76</v>
      </c>
      <c r="N1601" s="2" t="s">
        <v>101</v>
      </c>
      <c r="O1601" s="2" t="str">
        <f>VLOOKUP(OrganizedData[[#This Row],[Product Code]],ProductData[[Code]:[Item]],2,FALSE)</f>
        <v>Superwossname</v>
      </c>
      <c r="P1601" s="4">
        <f>OrganizedData[[#This Row],[Quantity]]*VLOOKUP(OrganizedData[[#This Row],[Product Code]],ProductData[],4,FALSE)</f>
        <v>1520</v>
      </c>
      <c r="Q1601" s="6">
        <f>OrganizedData[[#This Row],[Total Items Ordered]]*VLOOKUP(OrganizedData[[#This Row],[Product Code]],ProductData[],3,FALSE)</f>
        <v>5304.8</v>
      </c>
      <c r="R16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5039.5599999999995</v>
      </c>
    </row>
    <row r="1602" spans="1:18" x14ac:dyDescent="0.3">
      <c r="A1602" s="2">
        <v>1595</v>
      </c>
      <c r="B1602" s="2" t="s">
        <v>4817</v>
      </c>
      <c r="C1602" s="2" t="s">
        <v>925</v>
      </c>
      <c r="D1602" s="2" t="s">
        <v>15</v>
      </c>
      <c r="E1602" s="2" t="s">
        <v>16</v>
      </c>
      <c r="F1602" s="2">
        <v>30</v>
      </c>
      <c r="G1602" s="2" t="s">
        <v>10495</v>
      </c>
      <c r="H1602" s="2" t="s">
        <v>1530</v>
      </c>
      <c r="I1602" s="2" t="s">
        <v>32</v>
      </c>
      <c r="J1602" s="3">
        <v>43946</v>
      </c>
      <c r="K1602" s="5">
        <f>YEAR(OrganizedData[[#This Row],[Order Date]])</f>
        <v>2020</v>
      </c>
      <c r="L1602" s="7" t="str">
        <f>TEXT(OrganizedData[[#This Row],[Order Date]],"mmm")</f>
        <v>Apr</v>
      </c>
      <c r="M1602" s="2">
        <v>78</v>
      </c>
      <c r="N1602" s="2" t="s">
        <v>39</v>
      </c>
      <c r="O1602" s="2" t="str">
        <f>VLOOKUP(OrganizedData[[#This Row],[Product Code]],ProductData[[Code]:[Item]],2,FALSE)</f>
        <v>Ultrathing V1</v>
      </c>
      <c r="P1602" s="4">
        <f>OrganizedData[[#This Row],[Quantity]]*VLOOKUP(OrganizedData[[#This Row],[Product Code]],ProductData[],4,FALSE)</f>
        <v>1326</v>
      </c>
      <c r="Q1602" s="6">
        <f>OrganizedData[[#This Row],[Total Items Ordered]]*VLOOKUP(OrganizedData[[#This Row],[Product Code]],ProductData[],3,FALSE)</f>
        <v>2373.54</v>
      </c>
      <c r="R16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2254.8629999999998</v>
      </c>
    </row>
    <row r="1603" spans="1:18" x14ac:dyDescent="0.3">
      <c r="A1603" s="2">
        <v>1596</v>
      </c>
      <c r="B1603" s="2" t="s">
        <v>3089</v>
      </c>
      <c r="C1603" s="2" t="s">
        <v>4819</v>
      </c>
      <c r="D1603" s="2" t="s">
        <v>28</v>
      </c>
      <c r="E1603" s="2" t="s">
        <v>29</v>
      </c>
      <c r="F1603" s="2">
        <v>60</v>
      </c>
      <c r="G1603" s="2" t="s">
        <v>4820</v>
      </c>
      <c r="H1603" s="2" t="s">
        <v>1210</v>
      </c>
      <c r="I1603" s="2" t="s">
        <v>294</v>
      </c>
      <c r="J1603" s="3">
        <v>43945</v>
      </c>
      <c r="K1603" s="5">
        <f>YEAR(OrganizedData[[#This Row],[Order Date]])</f>
        <v>2020</v>
      </c>
      <c r="L1603" s="7" t="str">
        <f>TEXT(OrganizedData[[#This Row],[Order Date]],"mmm")</f>
        <v>Apr</v>
      </c>
      <c r="M1603" s="2">
        <v>70</v>
      </c>
      <c r="N1603" s="2" t="s">
        <v>20</v>
      </c>
      <c r="O1603" s="2" t="str">
        <f>VLOOKUP(OrganizedData[[#This Row],[Product Code]],ProductData[[Code]:[Item]],2,FALSE)</f>
        <v>Hyperwotsit</v>
      </c>
      <c r="P1603" s="4">
        <f>OrganizedData[[#This Row],[Quantity]]*VLOOKUP(OrganizedData[[#This Row],[Product Code]],ProductData[],4,FALSE)</f>
        <v>1400</v>
      </c>
      <c r="Q1603" s="6">
        <f>OrganizedData[[#This Row],[Total Items Ordered]]*VLOOKUP(OrganizedData[[#This Row],[Product Code]],ProductData[],3,FALSE)</f>
        <v>2813.9999999999995</v>
      </c>
      <c r="R16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2673.2999999999993</v>
      </c>
    </row>
    <row r="1604" spans="1:18" x14ac:dyDescent="0.3">
      <c r="A1604" s="2">
        <v>1597</v>
      </c>
      <c r="B1604" s="2" t="s">
        <v>4821</v>
      </c>
      <c r="C1604" s="2" t="s">
        <v>2028</v>
      </c>
      <c r="D1604" s="2" t="s">
        <v>51</v>
      </c>
      <c r="E1604" s="2" t="s">
        <v>16</v>
      </c>
      <c r="F1604" s="2">
        <v>90</v>
      </c>
      <c r="G1604" s="2" t="s">
        <v>4822</v>
      </c>
      <c r="H1604" s="2" t="s">
        <v>1855</v>
      </c>
      <c r="I1604" s="2" t="s">
        <v>25</v>
      </c>
      <c r="J1604" s="3">
        <v>44474</v>
      </c>
      <c r="K1604" s="5">
        <f>YEAR(OrganizedData[[#This Row],[Order Date]])</f>
        <v>2021</v>
      </c>
      <c r="L1604" s="7" t="str">
        <f>TEXT(OrganizedData[[#This Row],[Order Date]],"mmm")</f>
        <v>Oct</v>
      </c>
      <c r="M1604" s="2">
        <v>10</v>
      </c>
      <c r="N1604" s="2" t="s">
        <v>80</v>
      </c>
      <c r="O1604" s="2" t="str">
        <f>VLOOKUP(OrganizedData[[#This Row],[Product Code]],ProductData[[Code]:[Item]],2,FALSE)</f>
        <v>Ultrathing V2</v>
      </c>
      <c r="P1604" s="4">
        <f>OrganizedData[[#This Row],[Quantity]]*VLOOKUP(OrganizedData[[#This Row],[Product Code]],ProductData[],4,FALSE)</f>
        <v>200</v>
      </c>
      <c r="Q1604" s="6">
        <f>OrganizedData[[#This Row],[Total Items Ordered]]*VLOOKUP(OrganizedData[[#This Row],[Product Code]],ProductData[],3,FALSE)</f>
        <v>590</v>
      </c>
      <c r="R16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v>
      </c>
    </row>
    <row r="1605" spans="1:18" x14ac:dyDescent="0.3">
      <c r="A1605" s="2">
        <v>1598</v>
      </c>
      <c r="B1605" s="2" t="s">
        <v>4823</v>
      </c>
      <c r="C1605" s="2" t="s">
        <v>1041</v>
      </c>
      <c r="D1605" s="2" t="s">
        <v>15</v>
      </c>
      <c r="E1605" s="2" t="s">
        <v>16</v>
      </c>
      <c r="F1605" s="2">
        <v>60</v>
      </c>
      <c r="G1605" s="2" t="s">
        <v>4824</v>
      </c>
      <c r="H1605" s="2" t="s">
        <v>4825</v>
      </c>
      <c r="I1605" s="2" t="s">
        <v>32</v>
      </c>
      <c r="J1605" s="3">
        <v>44463</v>
      </c>
      <c r="K1605" s="5">
        <f>YEAR(OrganizedData[[#This Row],[Order Date]])</f>
        <v>2021</v>
      </c>
      <c r="L1605" s="7" t="str">
        <f>TEXT(OrganizedData[[#This Row],[Order Date]],"mmm")</f>
        <v>Sep</v>
      </c>
      <c r="M1605" s="2">
        <v>55</v>
      </c>
      <c r="N1605" s="2" t="s">
        <v>45</v>
      </c>
      <c r="O1605" s="2" t="str">
        <f>VLOOKUP(OrganizedData[[#This Row],[Product Code]],ProductData[[Code]:[Item]],2,FALSE)</f>
        <v>Gigastuff</v>
      </c>
      <c r="P1605" s="4">
        <f>OrganizedData[[#This Row],[Quantity]]*VLOOKUP(OrganizedData[[#This Row],[Product Code]],ProductData[],4,FALSE)</f>
        <v>990</v>
      </c>
      <c r="Q1605" s="6">
        <f>OrganizedData[[#This Row],[Total Items Ordered]]*VLOOKUP(OrganizedData[[#This Row],[Product Code]],ProductData[],3,FALSE)</f>
        <v>1871.1</v>
      </c>
      <c r="R16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1606" spans="1:18" x14ac:dyDescent="0.3">
      <c r="A1606" s="2">
        <v>1599</v>
      </c>
      <c r="B1606" s="2" t="s">
        <v>4826</v>
      </c>
      <c r="C1606" s="2" t="s">
        <v>4045</v>
      </c>
      <c r="D1606" s="2" t="s">
        <v>51</v>
      </c>
      <c r="E1606" s="2" t="s">
        <v>16</v>
      </c>
      <c r="F1606" s="2">
        <v>60</v>
      </c>
      <c r="G1606" s="2" t="s">
        <v>4827</v>
      </c>
      <c r="H1606" s="2" t="s">
        <v>4527</v>
      </c>
      <c r="I1606" s="2" t="s">
        <v>32</v>
      </c>
      <c r="J1606" s="3">
        <v>44743</v>
      </c>
      <c r="K1606" s="5">
        <f>YEAR(OrganizedData[[#This Row],[Order Date]])</f>
        <v>2022</v>
      </c>
      <c r="L1606" s="7" t="str">
        <f>TEXT(OrganizedData[[#This Row],[Order Date]],"mmm")</f>
        <v>Jul</v>
      </c>
      <c r="M1606" s="2">
        <v>58</v>
      </c>
      <c r="N1606" s="2" t="s">
        <v>39</v>
      </c>
      <c r="O1606" s="2" t="str">
        <f>VLOOKUP(OrganizedData[[#This Row],[Product Code]],ProductData[[Code]:[Item]],2,FALSE)</f>
        <v>Ultrathing V1</v>
      </c>
      <c r="P1606" s="4">
        <f>OrganizedData[[#This Row],[Quantity]]*VLOOKUP(OrganizedData[[#This Row],[Product Code]],ProductData[],4,FALSE)</f>
        <v>986</v>
      </c>
      <c r="Q1606" s="6">
        <f>OrganizedData[[#This Row],[Total Items Ordered]]*VLOOKUP(OrganizedData[[#This Row],[Product Code]],ProductData[],3,FALSE)</f>
        <v>1764.94</v>
      </c>
      <c r="R16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1676.693</v>
      </c>
    </row>
    <row r="1607" spans="1:18" x14ac:dyDescent="0.3">
      <c r="A1607" s="2">
        <v>1600</v>
      </c>
      <c r="B1607" s="2" t="s">
        <v>4828</v>
      </c>
      <c r="C1607" s="2" t="s">
        <v>4829</v>
      </c>
      <c r="D1607" s="2" t="s">
        <v>15</v>
      </c>
      <c r="E1607" s="2" t="s">
        <v>16</v>
      </c>
      <c r="F1607" s="2">
        <v>30</v>
      </c>
      <c r="G1607" s="2" t="s">
        <v>4830</v>
      </c>
      <c r="H1607" s="2" t="s">
        <v>1590</v>
      </c>
      <c r="I1607" s="2" t="s">
        <v>32</v>
      </c>
      <c r="J1607" s="3">
        <v>44307</v>
      </c>
      <c r="K1607" s="5">
        <f>YEAR(OrganizedData[[#This Row],[Order Date]])</f>
        <v>2021</v>
      </c>
      <c r="L1607" s="7" t="str">
        <f>TEXT(OrganizedData[[#This Row],[Order Date]],"mmm")</f>
        <v>Apr</v>
      </c>
      <c r="M1607" s="2">
        <v>45</v>
      </c>
      <c r="N1607" s="2" t="s">
        <v>33</v>
      </c>
      <c r="O1607" s="2" t="str">
        <f>VLOOKUP(OrganizedData[[#This Row],[Product Code]],ProductData[[Code]:[Item]],2,FALSE)</f>
        <v>Megawidget L</v>
      </c>
      <c r="P1607" s="4">
        <f>OrganizedData[[#This Row],[Quantity]]*VLOOKUP(OrganizedData[[#This Row],[Product Code]],ProductData[],4,FALSE)</f>
        <v>1080</v>
      </c>
      <c r="Q1607" s="6">
        <f>OrganizedData[[#This Row],[Total Items Ordered]]*VLOOKUP(OrganizedData[[#This Row],[Product Code]],ProductData[],3,FALSE)</f>
        <v>1933.2</v>
      </c>
      <c r="R16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1608" spans="1:18" x14ac:dyDescent="0.3">
      <c r="A1608" s="2">
        <v>1601</v>
      </c>
      <c r="B1608" s="2" t="s">
        <v>3844</v>
      </c>
      <c r="C1608" s="2" t="s">
        <v>1592</v>
      </c>
      <c r="D1608" s="2" t="s">
        <v>51</v>
      </c>
      <c r="E1608" s="2" t="s">
        <v>16</v>
      </c>
      <c r="F1608" s="2">
        <v>60</v>
      </c>
      <c r="G1608" s="2" t="s">
        <v>4831</v>
      </c>
      <c r="H1608" s="2" t="s">
        <v>587</v>
      </c>
      <c r="I1608" s="2" t="s">
        <v>25</v>
      </c>
      <c r="J1608" s="3">
        <v>43907</v>
      </c>
      <c r="K1608" s="5">
        <f>YEAR(OrganizedData[[#This Row],[Order Date]])</f>
        <v>2020</v>
      </c>
      <c r="L1608" s="7" t="str">
        <f>TEXT(OrganizedData[[#This Row],[Order Date]],"mmm")</f>
        <v>Mar</v>
      </c>
      <c r="M1608" s="2">
        <v>11</v>
      </c>
      <c r="N1608" s="2" t="s">
        <v>159</v>
      </c>
      <c r="O1608" s="2" t="str">
        <f>VLOOKUP(OrganizedData[[#This Row],[Product Code]],ProductData[[Code]:[Item]],2,FALSE)</f>
        <v>Ultrathing V3</v>
      </c>
      <c r="P1608" s="4">
        <f>OrganizedData[[#This Row],[Quantity]]*VLOOKUP(OrganizedData[[#This Row],[Product Code]],ProductData[],4,FALSE)</f>
        <v>264</v>
      </c>
      <c r="Q1608" s="6">
        <f>OrganizedData[[#This Row],[Total Items Ordered]]*VLOOKUP(OrganizedData[[#This Row],[Product Code]],ProductData[],3,FALSE)</f>
        <v>894.96</v>
      </c>
      <c r="R16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1609" spans="1:18" x14ac:dyDescent="0.3">
      <c r="A1609" s="2">
        <v>1602</v>
      </c>
      <c r="B1609" s="2" t="s">
        <v>3548</v>
      </c>
      <c r="C1609" s="2" t="s">
        <v>1627</v>
      </c>
      <c r="D1609" s="2" t="s">
        <v>28</v>
      </c>
      <c r="E1609" s="2" t="s">
        <v>29</v>
      </c>
      <c r="F1609" s="2">
        <v>30</v>
      </c>
      <c r="G1609" s="2" t="s">
        <v>4832</v>
      </c>
      <c r="H1609" s="2" t="s">
        <v>2633</v>
      </c>
      <c r="I1609" s="2" t="s">
        <v>32</v>
      </c>
      <c r="J1609" s="3">
        <v>44298</v>
      </c>
      <c r="K1609" s="5">
        <f>YEAR(OrganizedData[[#This Row],[Order Date]])</f>
        <v>2021</v>
      </c>
      <c r="L1609" s="7" t="str">
        <f>TEXT(OrganizedData[[#This Row],[Order Date]],"mmm")</f>
        <v>Apr</v>
      </c>
      <c r="M1609" s="2">
        <v>8</v>
      </c>
      <c r="N1609" s="2" t="s">
        <v>80</v>
      </c>
      <c r="O1609" s="2" t="str">
        <f>VLOOKUP(OrganizedData[[#This Row],[Product Code]],ProductData[[Code]:[Item]],2,FALSE)</f>
        <v>Ultrathing V2</v>
      </c>
      <c r="P1609" s="4">
        <f>OrganizedData[[#This Row],[Quantity]]*VLOOKUP(OrganizedData[[#This Row],[Product Code]],ProductData[],4,FALSE)</f>
        <v>160</v>
      </c>
      <c r="Q1609" s="6">
        <f>OrganizedData[[#This Row],[Total Items Ordered]]*VLOOKUP(OrganizedData[[#This Row],[Product Code]],ProductData[],3,FALSE)</f>
        <v>472</v>
      </c>
      <c r="R16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v>
      </c>
    </row>
    <row r="1610" spans="1:18" x14ac:dyDescent="0.3">
      <c r="A1610" s="2">
        <v>1603</v>
      </c>
      <c r="B1610" s="2" t="s">
        <v>4833</v>
      </c>
      <c r="C1610" s="2" t="s">
        <v>597</v>
      </c>
      <c r="D1610" s="2" t="s">
        <v>51</v>
      </c>
      <c r="E1610" s="2" t="s">
        <v>16</v>
      </c>
      <c r="F1610" s="2">
        <v>30</v>
      </c>
      <c r="G1610" s="2" t="s">
        <v>4834</v>
      </c>
      <c r="H1610" s="2" t="s">
        <v>4835</v>
      </c>
      <c r="I1610" s="2" t="s">
        <v>32</v>
      </c>
      <c r="J1610" s="3">
        <v>44610</v>
      </c>
      <c r="K1610" s="5">
        <f>YEAR(OrganizedData[[#This Row],[Order Date]])</f>
        <v>2022</v>
      </c>
      <c r="L1610" s="7" t="str">
        <f>TEXT(OrganizedData[[#This Row],[Order Date]],"mmm")</f>
        <v>Feb</v>
      </c>
      <c r="M1610" s="2">
        <v>25</v>
      </c>
      <c r="N1610" s="2" t="s">
        <v>33</v>
      </c>
      <c r="O1610" s="2" t="str">
        <f>VLOOKUP(OrganizedData[[#This Row],[Product Code]],ProductData[[Code]:[Item]],2,FALSE)</f>
        <v>Megawidget L</v>
      </c>
      <c r="P1610" s="4">
        <f>OrganizedData[[#This Row],[Quantity]]*VLOOKUP(OrganizedData[[#This Row],[Product Code]],ProductData[],4,FALSE)</f>
        <v>600</v>
      </c>
      <c r="Q1610" s="6">
        <f>OrganizedData[[#This Row],[Total Items Ordered]]*VLOOKUP(OrganizedData[[#This Row],[Product Code]],ProductData[],3,FALSE)</f>
        <v>1074</v>
      </c>
      <c r="R16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1041.78</v>
      </c>
    </row>
    <row r="1611" spans="1:18" x14ac:dyDescent="0.3">
      <c r="A1611" s="2">
        <v>1604</v>
      </c>
      <c r="B1611" s="2" t="s">
        <v>2947</v>
      </c>
      <c r="C1611" s="2" t="s">
        <v>4836</v>
      </c>
      <c r="D1611" s="2" t="s">
        <v>28</v>
      </c>
      <c r="E1611" s="2" t="s">
        <v>29</v>
      </c>
      <c r="F1611" s="2">
        <v>90</v>
      </c>
      <c r="G1611" s="2" t="s">
        <v>4837</v>
      </c>
      <c r="H1611" s="2" t="s">
        <v>1336</v>
      </c>
      <c r="I1611" s="2" t="s">
        <v>129</v>
      </c>
      <c r="J1611" s="3">
        <v>44242</v>
      </c>
      <c r="K1611" s="5">
        <f>YEAR(OrganizedData[[#This Row],[Order Date]])</f>
        <v>2021</v>
      </c>
      <c r="L1611" s="7" t="str">
        <f>TEXT(OrganizedData[[#This Row],[Order Date]],"mmm")</f>
        <v>Feb</v>
      </c>
      <c r="M1611" s="2">
        <v>47</v>
      </c>
      <c r="N1611" s="2" t="s">
        <v>70</v>
      </c>
      <c r="O1611" s="2" t="str">
        <f>VLOOKUP(OrganizedData[[#This Row],[Product Code]],ProductData[[Code]:[Item]],2,FALSE)</f>
        <v>Megawidget M</v>
      </c>
      <c r="P1611" s="4">
        <f>OrganizedData[[#This Row],[Quantity]]*VLOOKUP(OrganizedData[[#This Row],[Product Code]],ProductData[],4,FALSE)</f>
        <v>1128</v>
      </c>
      <c r="Q1611" s="6">
        <f>OrganizedData[[#This Row],[Total Items Ordered]]*VLOOKUP(OrganizedData[[#This Row],[Product Code]],ProductData[],3,FALSE)</f>
        <v>1455.1200000000001</v>
      </c>
      <c r="R16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1612" spans="1:18" x14ac:dyDescent="0.3">
      <c r="A1612" s="2">
        <v>1605</v>
      </c>
      <c r="B1612" s="2" t="s">
        <v>2225</v>
      </c>
      <c r="C1612" s="2" t="s">
        <v>3750</v>
      </c>
      <c r="D1612" s="2" t="s">
        <v>15</v>
      </c>
      <c r="E1612" s="2" t="s">
        <v>16</v>
      </c>
      <c r="F1612" s="2">
        <v>30</v>
      </c>
      <c r="G1612" s="2" t="s">
        <v>4838</v>
      </c>
      <c r="H1612" s="2" t="s">
        <v>2685</v>
      </c>
      <c r="I1612" s="2" t="s">
        <v>32</v>
      </c>
      <c r="J1612" s="3">
        <v>44828</v>
      </c>
      <c r="K1612" s="5">
        <f>YEAR(OrganizedData[[#This Row],[Order Date]])</f>
        <v>2022</v>
      </c>
      <c r="L1612" s="7" t="str">
        <f>TEXT(OrganizedData[[#This Row],[Order Date]],"mmm")</f>
        <v>Sep</v>
      </c>
      <c r="M1612" s="2">
        <v>43</v>
      </c>
      <c r="N1612" s="2" t="s">
        <v>33</v>
      </c>
      <c r="O1612" s="2" t="str">
        <f>VLOOKUP(OrganizedData[[#This Row],[Product Code]],ProductData[[Code]:[Item]],2,FALSE)</f>
        <v>Megawidget L</v>
      </c>
      <c r="P1612" s="4">
        <f>OrganizedData[[#This Row],[Quantity]]*VLOOKUP(OrganizedData[[#This Row],[Product Code]],ProductData[],4,FALSE)</f>
        <v>1032</v>
      </c>
      <c r="Q1612" s="6">
        <f>OrganizedData[[#This Row],[Total Items Ordered]]*VLOOKUP(OrganizedData[[#This Row],[Product Code]],ProductData[],3,FALSE)</f>
        <v>1847.28</v>
      </c>
      <c r="R16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1613" spans="1:18" x14ac:dyDescent="0.3">
      <c r="A1613" s="2">
        <v>1606</v>
      </c>
      <c r="B1613" s="2" t="s">
        <v>4839</v>
      </c>
      <c r="C1613" s="2" t="s">
        <v>2332</v>
      </c>
      <c r="D1613" s="2" t="s">
        <v>15</v>
      </c>
      <c r="E1613" s="2" t="s">
        <v>16</v>
      </c>
      <c r="F1613" s="2">
        <v>30</v>
      </c>
      <c r="G1613" s="2" t="s">
        <v>4840</v>
      </c>
      <c r="H1613" s="2" t="s">
        <v>3619</v>
      </c>
      <c r="I1613" s="2" t="s">
        <v>575</v>
      </c>
      <c r="J1613" s="3">
        <v>44709</v>
      </c>
      <c r="K1613" s="5">
        <f>YEAR(OrganizedData[[#This Row],[Order Date]])</f>
        <v>2022</v>
      </c>
      <c r="L1613" s="7" t="str">
        <f>TEXT(OrganizedData[[#This Row],[Order Date]],"mmm")</f>
        <v>May</v>
      </c>
      <c r="M1613" s="2">
        <v>61</v>
      </c>
      <c r="N1613" s="2" t="s">
        <v>64</v>
      </c>
      <c r="O1613" s="2" t="str">
        <f>VLOOKUP(OrganizedData[[#This Row],[Product Code]],ProductData[[Code]:[Item]],2,FALSE)</f>
        <v>Ultrathing V4</v>
      </c>
      <c r="P1613" s="4">
        <f>OrganizedData[[#This Row],[Quantity]]*VLOOKUP(OrganizedData[[#This Row],[Product Code]],ProductData[],4,FALSE)</f>
        <v>1464</v>
      </c>
      <c r="Q1613" s="6">
        <f>OrganizedData[[#This Row],[Total Items Ordered]]*VLOOKUP(OrganizedData[[#This Row],[Product Code]],ProductData[],3,FALSE)</f>
        <v>5841.3600000000006</v>
      </c>
      <c r="R16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1614" spans="1:18" x14ac:dyDescent="0.3">
      <c r="A1614" s="2">
        <v>1607</v>
      </c>
      <c r="B1614" s="2" t="s">
        <v>1170</v>
      </c>
      <c r="C1614" s="2" t="s">
        <v>3884</v>
      </c>
      <c r="D1614" s="2" t="s">
        <v>28</v>
      </c>
      <c r="E1614" s="2" t="s">
        <v>29</v>
      </c>
      <c r="F1614" s="2">
        <v>90</v>
      </c>
      <c r="G1614" s="2" t="s">
        <v>4841</v>
      </c>
      <c r="H1614" s="2" t="s">
        <v>3531</v>
      </c>
      <c r="I1614" s="2" t="s">
        <v>32</v>
      </c>
      <c r="J1614" s="3">
        <v>44173</v>
      </c>
      <c r="K1614" s="5">
        <f>YEAR(OrganizedData[[#This Row],[Order Date]])</f>
        <v>2020</v>
      </c>
      <c r="L1614" s="7" t="str">
        <f>TEXT(OrganizedData[[#This Row],[Order Date]],"mmm")</f>
        <v>Dec</v>
      </c>
      <c r="M1614" s="2">
        <v>83</v>
      </c>
      <c r="N1614" s="2" t="s">
        <v>39</v>
      </c>
      <c r="O1614" s="2" t="str">
        <f>VLOOKUP(OrganizedData[[#This Row],[Product Code]],ProductData[[Code]:[Item]],2,FALSE)</f>
        <v>Ultrathing V1</v>
      </c>
      <c r="P1614" s="4">
        <f>OrganizedData[[#This Row],[Quantity]]*VLOOKUP(OrganizedData[[#This Row],[Product Code]],ProductData[],4,FALSE)</f>
        <v>1411</v>
      </c>
      <c r="Q1614" s="6">
        <f>OrganizedData[[#This Row],[Total Items Ordered]]*VLOOKUP(OrganizedData[[#This Row],[Product Code]],ProductData[],3,FALSE)</f>
        <v>2525.69</v>
      </c>
      <c r="R16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1615" spans="1:18" x14ac:dyDescent="0.3">
      <c r="A1615" s="2">
        <v>1608</v>
      </c>
      <c r="B1615" s="2" t="s">
        <v>3476</v>
      </c>
      <c r="C1615" s="2" t="s">
        <v>4842</v>
      </c>
      <c r="D1615" s="2" t="s">
        <v>51</v>
      </c>
      <c r="E1615" s="2" t="s">
        <v>16</v>
      </c>
      <c r="F1615" s="2">
        <v>60</v>
      </c>
      <c r="G1615" s="2" t="s">
        <v>4843</v>
      </c>
      <c r="H1615" s="2" t="s">
        <v>2896</v>
      </c>
      <c r="I1615" s="2" t="s">
        <v>110</v>
      </c>
      <c r="J1615" s="3">
        <v>44412</v>
      </c>
      <c r="K1615" s="5">
        <f>YEAR(OrganizedData[[#This Row],[Order Date]])</f>
        <v>2021</v>
      </c>
      <c r="L1615" s="7" t="str">
        <f>TEXT(OrganizedData[[#This Row],[Order Date]],"mmm")</f>
        <v>Aug</v>
      </c>
      <c r="M1615" s="2">
        <v>88</v>
      </c>
      <c r="N1615" s="2" t="s">
        <v>45</v>
      </c>
      <c r="O1615" s="2" t="str">
        <f>VLOOKUP(OrganizedData[[#This Row],[Product Code]],ProductData[[Code]:[Item]],2,FALSE)</f>
        <v>Gigastuff</v>
      </c>
      <c r="P1615" s="4">
        <f>OrganizedData[[#This Row],[Quantity]]*VLOOKUP(OrganizedData[[#This Row],[Product Code]],ProductData[],4,FALSE)</f>
        <v>1584</v>
      </c>
      <c r="Q1615" s="6">
        <f>OrganizedData[[#This Row],[Total Items Ordered]]*VLOOKUP(OrganizedData[[#This Row],[Product Code]],ProductData[],3,FALSE)</f>
        <v>2993.7599999999998</v>
      </c>
      <c r="R16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2844.0719999999997</v>
      </c>
    </row>
    <row r="1616" spans="1:18" x14ac:dyDescent="0.3">
      <c r="A1616" s="2">
        <v>1609</v>
      </c>
      <c r="B1616" s="2" t="s">
        <v>4844</v>
      </c>
      <c r="C1616" s="2" t="s">
        <v>4845</v>
      </c>
      <c r="D1616" s="2" t="s">
        <v>28</v>
      </c>
      <c r="E1616" s="2" t="s">
        <v>29</v>
      </c>
      <c r="F1616" s="2">
        <v>60</v>
      </c>
      <c r="G1616" s="2" t="s">
        <v>4846</v>
      </c>
      <c r="H1616" s="2" t="s">
        <v>487</v>
      </c>
      <c r="I1616" s="2" t="s">
        <v>32</v>
      </c>
      <c r="J1616" s="3">
        <v>44539</v>
      </c>
      <c r="K1616" s="5">
        <f>YEAR(OrganizedData[[#This Row],[Order Date]])</f>
        <v>2021</v>
      </c>
      <c r="L1616" s="7" t="str">
        <f>TEXT(OrganizedData[[#This Row],[Order Date]],"mmm")</f>
        <v>Dec</v>
      </c>
      <c r="M1616" s="2">
        <v>74</v>
      </c>
      <c r="N1616" s="2" t="s">
        <v>101</v>
      </c>
      <c r="O1616" s="2" t="str">
        <f>VLOOKUP(OrganizedData[[#This Row],[Product Code]],ProductData[[Code]:[Item]],2,FALSE)</f>
        <v>Superwossname</v>
      </c>
      <c r="P1616" s="4">
        <f>OrganizedData[[#This Row],[Quantity]]*VLOOKUP(OrganizedData[[#This Row],[Product Code]],ProductData[],4,FALSE)</f>
        <v>1480</v>
      </c>
      <c r="Q1616" s="6">
        <f>OrganizedData[[#This Row],[Total Items Ordered]]*VLOOKUP(OrganizedData[[#This Row],[Product Code]],ProductData[],3,FALSE)</f>
        <v>5165.2000000000007</v>
      </c>
      <c r="R16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4906.9400000000005</v>
      </c>
    </row>
    <row r="1617" spans="1:18" x14ac:dyDescent="0.3">
      <c r="A1617" s="2">
        <v>1610</v>
      </c>
      <c r="B1617" s="2" t="s">
        <v>3105</v>
      </c>
      <c r="C1617" s="2" t="s">
        <v>4847</v>
      </c>
      <c r="D1617" s="2" t="s">
        <v>51</v>
      </c>
      <c r="E1617" s="2" t="s">
        <v>16</v>
      </c>
      <c r="F1617" s="2">
        <v>60</v>
      </c>
      <c r="G1617" s="2" t="s">
        <v>4848</v>
      </c>
      <c r="H1617" s="2" t="s">
        <v>4849</v>
      </c>
      <c r="I1617" s="2" t="s">
        <v>294</v>
      </c>
      <c r="J1617" s="3">
        <v>44078</v>
      </c>
      <c r="K1617" s="5">
        <f>YEAR(OrganizedData[[#This Row],[Order Date]])</f>
        <v>2020</v>
      </c>
      <c r="L1617" s="7" t="str">
        <f>TEXT(OrganizedData[[#This Row],[Order Date]],"mmm")</f>
        <v>Sep</v>
      </c>
      <c r="M1617" s="2">
        <v>42</v>
      </c>
      <c r="N1617" s="2" t="s">
        <v>45</v>
      </c>
      <c r="O1617" s="2" t="str">
        <f>VLOOKUP(OrganizedData[[#This Row],[Product Code]],ProductData[[Code]:[Item]],2,FALSE)</f>
        <v>Gigastuff</v>
      </c>
      <c r="P1617" s="4">
        <f>OrganizedData[[#This Row],[Quantity]]*VLOOKUP(OrganizedData[[#This Row],[Product Code]],ProductData[],4,FALSE)</f>
        <v>756</v>
      </c>
      <c r="Q1617" s="6">
        <f>OrganizedData[[#This Row],[Total Items Ordered]]*VLOOKUP(OrganizedData[[#This Row],[Product Code]],ProductData[],3,FALSE)</f>
        <v>1428.84</v>
      </c>
      <c r="R16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1618" spans="1:18" x14ac:dyDescent="0.3">
      <c r="A1618" s="2">
        <v>1611</v>
      </c>
      <c r="B1618" s="2" t="s">
        <v>2231</v>
      </c>
      <c r="C1618" s="2" t="s">
        <v>2722</v>
      </c>
      <c r="D1618" s="2" t="s">
        <v>28</v>
      </c>
      <c r="E1618" s="2" t="s">
        <v>29</v>
      </c>
      <c r="F1618" s="2">
        <v>60</v>
      </c>
      <c r="G1618" s="2" t="s">
        <v>4850</v>
      </c>
      <c r="H1618" s="2" t="s">
        <v>4851</v>
      </c>
      <c r="I1618" s="2" t="s">
        <v>2543</v>
      </c>
      <c r="J1618" s="3">
        <v>44899</v>
      </c>
      <c r="K1618" s="5">
        <f>YEAR(OrganizedData[[#This Row],[Order Date]])</f>
        <v>2022</v>
      </c>
      <c r="L1618" s="7" t="str">
        <f>TEXT(OrganizedData[[#This Row],[Order Date]],"mmm")</f>
        <v>Dec</v>
      </c>
      <c r="M1618" s="2">
        <v>91</v>
      </c>
      <c r="N1618" s="2" t="s">
        <v>20</v>
      </c>
      <c r="O1618" s="2" t="str">
        <f>VLOOKUP(OrganizedData[[#This Row],[Product Code]],ProductData[[Code]:[Item]],2,FALSE)</f>
        <v>Hyperwotsit</v>
      </c>
      <c r="P1618" s="4">
        <f>OrganizedData[[#This Row],[Quantity]]*VLOOKUP(OrganizedData[[#This Row],[Product Code]],ProductData[],4,FALSE)</f>
        <v>1820</v>
      </c>
      <c r="Q1618" s="6">
        <f>OrganizedData[[#This Row],[Total Items Ordered]]*VLOOKUP(OrganizedData[[#This Row],[Product Code]],ProductData[],3,FALSE)</f>
        <v>3658.2</v>
      </c>
      <c r="R16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3475.2899999999995</v>
      </c>
    </row>
    <row r="1619" spans="1:18" x14ac:dyDescent="0.3">
      <c r="A1619" s="2">
        <v>1612</v>
      </c>
      <c r="B1619" s="2" t="s">
        <v>960</v>
      </c>
      <c r="C1619" s="2" t="s">
        <v>3953</v>
      </c>
      <c r="D1619" s="2" t="s">
        <v>28</v>
      </c>
      <c r="E1619" s="2" t="s">
        <v>29</v>
      </c>
      <c r="F1619" s="2">
        <v>30</v>
      </c>
      <c r="G1619" s="2" t="s">
        <v>4852</v>
      </c>
      <c r="H1619" s="2" t="s">
        <v>4853</v>
      </c>
      <c r="I1619" s="2" t="s">
        <v>178</v>
      </c>
      <c r="J1619" s="3">
        <v>44583</v>
      </c>
      <c r="K1619" s="5">
        <f>YEAR(OrganizedData[[#This Row],[Order Date]])</f>
        <v>2022</v>
      </c>
      <c r="L1619" s="7" t="str">
        <f>TEXT(OrganizedData[[#This Row],[Order Date]],"mmm")</f>
        <v>Jan</v>
      </c>
      <c r="M1619" s="2">
        <v>24</v>
      </c>
      <c r="N1619" s="2" t="s">
        <v>159</v>
      </c>
      <c r="O1619" s="2" t="str">
        <f>VLOOKUP(OrganizedData[[#This Row],[Product Code]],ProductData[[Code]:[Item]],2,FALSE)</f>
        <v>Ultrathing V3</v>
      </c>
      <c r="P1619" s="4">
        <f>OrganizedData[[#This Row],[Quantity]]*VLOOKUP(OrganizedData[[#This Row],[Product Code]],ProductData[],4,FALSE)</f>
        <v>576</v>
      </c>
      <c r="Q1619" s="6">
        <f>OrganizedData[[#This Row],[Total Items Ordered]]*VLOOKUP(OrganizedData[[#This Row],[Product Code]],ProductData[],3,FALSE)</f>
        <v>1952.64</v>
      </c>
      <c r="R16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1894.0608</v>
      </c>
    </row>
    <row r="1620" spans="1:18" x14ac:dyDescent="0.3">
      <c r="A1620" s="2">
        <v>1613</v>
      </c>
      <c r="B1620" s="2" t="s">
        <v>665</v>
      </c>
      <c r="C1620" s="2" t="s">
        <v>3419</v>
      </c>
      <c r="D1620" s="2" t="s">
        <v>28</v>
      </c>
      <c r="E1620" s="2" t="s">
        <v>29</v>
      </c>
      <c r="F1620" s="2">
        <v>30</v>
      </c>
      <c r="G1620" s="2" t="s">
        <v>4854</v>
      </c>
      <c r="H1620" s="2" t="s">
        <v>432</v>
      </c>
      <c r="I1620" s="2" t="s">
        <v>32</v>
      </c>
      <c r="J1620" s="3">
        <v>44823</v>
      </c>
      <c r="K1620" s="5">
        <f>YEAR(OrganizedData[[#This Row],[Order Date]])</f>
        <v>2022</v>
      </c>
      <c r="L1620" s="7" t="str">
        <f>TEXT(OrganizedData[[#This Row],[Order Date]],"mmm")</f>
        <v>Sep</v>
      </c>
      <c r="M1620" s="2">
        <v>72</v>
      </c>
      <c r="N1620" s="2" t="s">
        <v>70</v>
      </c>
      <c r="O1620" s="2" t="str">
        <f>VLOOKUP(OrganizedData[[#This Row],[Product Code]],ProductData[[Code]:[Item]],2,FALSE)</f>
        <v>Megawidget M</v>
      </c>
      <c r="P1620" s="4">
        <f>OrganizedData[[#This Row],[Quantity]]*VLOOKUP(OrganizedData[[#This Row],[Product Code]],ProductData[],4,FALSE)</f>
        <v>1728</v>
      </c>
      <c r="Q1620" s="6">
        <f>OrganizedData[[#This Row],[Total Items Ordered]]*VLOOKUP(OrganizedData[[#This Row],[Product Code]],ProductData[],3,FALSE)</f>
        <v>2229.12</v>
      </c>
      <c r="R16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1621" spans="1:18" x14ac:dyDescent="0.3">
      <c r="A1621" s="2">
        <v>1614</v>
      </c>
      <c r="B1621" s="2" t="s">
        <v>4855</v>
      </c>
      <c r="C1621" s="2" t="s">
        <v>264</v>
      </c>
      <c r="D1621" s="2" t="s">
        <v>15</v>
      </c>
      <c r="E1621" s="2" t="s">
        <v>16</v>
      </c>
      <c r="F1621" s="2">
        <v>90</v>
      </c>
      <c r="G1621" s="2" t="s">
        <v>4856</v>
      </c>
      <c r="H1621" s="2" t="s">
        <v>2902</v>
      </c>
      <c r="I1621" s="2" t="s">
        <v>32</v>
      </c>
      <c r="J1621" s="3">
        <v>43857</v>
      </c>
      <c r="K1621" s="5">
        <f>YEAR(OrganizedData[[#This Row],[Order Date]])</f>
        <v>2020</v>
      </c>
      <c r="L1621" s="7" t="str">
        <f>TEXT(OrganizedData[[#This Row],[Order Date]],"mmm")</f>
        <v>Jan</v>
      </c>
      <c r="M1621" s="2">
        <v>35</v>
      </c>
      <c r="N1621" s="2" t="s">
        <v>33</v>
      </c>
      <c r="O1621" s="2" t="str">
        <f>VLOOKUP(OrganizedData[[#This Row],[Product Code]],ProductData[[Code]:[Item]],2,FALSE)</f>
        <v>Megawidget L</v>
      </c>
      <c r="P1621" s="4">
        <f>OrganizedData[[#This Row],[Quantity]]*VLOOKUP(OrganizedData[[#This Row],[Product Code]],ProductData[],4,FALSE)</f>
        <v>840</v>
      </c>
      <c r="Q1621" s="6">
        <f>OrganizedData[[#This Row],[Total Items Ordered]]*VLOOKUP(OrganizedData[[#This Row],[Product Code]],ProductData[],3,FALSE)</f>
        <v>1503.6000000000001</v>
      </c>
      <c r="R16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1458.4920000000002</v>
      </c>
    </row>
    <row r="1622" spans="1:18" x14ac:dyDescent="0.3">
      <c r="A1622" s="2">
        <v>1615</v>
      </c>
      <c r="B1622" s="2" t="s">
        <v>4857</v>
      </c>
      <c r="C1622" s="2" t="s">
        <v>4858</v>
      </c>
      <c r="D1622" s="2" t="s">
        <v>41</v>
      </c>
      <c r="E1622" s="2" t="s">
        <v>16</v>
      </c>
      <c r="F1622" s="2">
        <v>60</v>
      </c>
      <c r="G1622" s="2" t="s">
        <v>4859</v>
      </c>
      <c r="H1622" s="2" t="s">
        <v>4860</v>
      </c>
      <c r="I1622" s="2" t="s">
        <v>32</v>
      </c>
      <c r="J1622" s="3">
        <v>44669</v>
      </c>
      <c r="K1622" s="5">
        <f>YEAR(OrganizedData[[#This Row],[Order Date]])</f>
        <v>2022</v>
      </c>
      <c r="L1622" s="7" t="str">
        <f>TEXT(OrganizedData[[#This Row],[Order Date]],"mmm")</f>
        <v>Apr</v>
      </c>
      <c r="M1622" s="2">
        <v>15</v>
      </c>
      <c r="N1622" s="2" t="s">
        <v>54</v>
      </c>
      <c r="O1622" s="2" t="str">
        <f>VLOOKUP(OrganizedData[[#This Row],[Product Code]],ProductData[[Code]:[Item]],2,FALSE)</f>
        <v>Megawidget S</v>
      </c>
      <c r="P1622" s="4">
        <f>OrganizedData[[#This Row],[Quantity]]*VLOOKUP(OrganizedData[[#This Row],[Product Code]],ProductData[],4,FALSE)</f>
        <v>360</v>
      </c>
      <c r="Q1622" s="6">
        <f>OrganizedData[[#This Row],[Total Items Ordered]]*VLOOKUP(OrganizedData[[#This Row],[Product Code]],ProductData[],3,FALSE)</f>
        <v>248.39999999999998</v>
      </c>
      <c r="R16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1623" spans="1:18" x14ac:dyDescent="0.3">
      <c r="A1623" s="2">
        <v>1616</v>
      </c>
      <c r="B1623" s="2" t="s">
        <v>179</v>
      </c>
      <c r="C1623" s="2" t="s">
        <v>4861</v>
      </c>
      <c r="D1623" s="2" t="s">
        <v>28</v>
      </c>
      <c r="E1623" s="2" t="s">
        <v>29</v>
      </c>
      <c r="F1623" s="2">
        <v>60</v>
      </c>
      <c r="G1623" s="2" t="s">
        <v>4862</v>
      </c>
      <c r="H1623" s="2" t="s">
        <v>4863</v>
      </c>
      <c r="I1623" s="2" t="s">
        <v>32</v>
      </c>
      <c r="J1623" s="3">
        <v>44573</v>
      </c>
      <c r="K1623" s="5">
        <f>YEAR(OrganizedData[[#This Row],[Order Date]])</f>
        <v>2022</v>
      </c>
      <c r="L1623" s="7" t="str">
        <f>TEXT(OrganizedData[[#This Row],[Order Date]],"mmm")</f>
        <v>Jan</v>
      </c>
      <c r="M1623" s="2">
        <v>11</v>
      </c>
      <c r="N1623" s="2" t="s">
        <v>101</v>
      </c>
      <c r="O1623" s="2" t="str">
        <f>VLOOKUP(OrganizedData[[#This Row],[Product Code]],ProductData[[Code]:[Item]],2,FALSE)</f>
        <v>Superwossname</v>
      </c>
      <c r="P1623" s="4">
        <f>OrganizedData[[#This Row],[Quantity]]*VLOOKUP(OrganizedData[[#This Row],[Product Code]],ProductData[],4,FALSE)</f>
        <v>220</v>
      </c>
      <c r="Q1623" s="6">
        <f>OrganizedData[[#This Row],[Total Items Ordered]]*VLOOKUP(OrganizedData[[#This Row],[Product Code]],ProductData[],3,FALSE)</f>
        <v>767.80000000000007</v>
      </c>
      <c r="R16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1624" spans="1:18" x14ac:dyDescent="0.3">
      <c r="A1624" s="2">
        <v>1617</v>
      </c>
      <c r="B1624" s="2" t="s">
        <v>4868</v>
      </c>
      <c r="C1624" s="2" t="s">
        <v>3439</v>
      </c>
      <c r="D1624" s="2" t="s">
        <v>41</v>
      </c>
      <c r="E1624" s="2" t="s">
        <v>16</v>
      </c>
      <c r="F1624" s="2">
        <v>60</v>
      </c>
      <c r="G1624" s="2" t="s">
        <v>4869</v>
      </c>
      <c r="H1624" s="2" t="s">
        <v>4870</v>
      </c>
      <c r="I1624" s="2" t="s">
        <v>146</v>
      </c>
      <c r="J1624" s="3">
        <v>44841</v>
      </c>
      <c r="K1624" s="5">
        <f>YEAR(OrganizedData[[#This Row],[Order Date]])</f>
        <v>2022</v>
      </c>
      <c r="L1624" s="7" t="str">
        <f>TEXT(OrganizedData[[#This Row],[Order Date]],"mmm")</f>
        <v>Oct</v>
      </c>
      <c r="M1624" s="2">
        <v>86</v>
      </c>
      <c r="N1624" s="2" t="s">
        <v>64</v>
      </c>
      <c r="O1624" s="2" t="str">
        <f>VLOOKUP(OrganizedData[[#This Row],[Product Code]],ProductData[[Code]:[Item]],2,FALSE)</f>
        <v>Ultrathing V4</v>
      </c>
      <c r="P1624" s="4">
        <f>OrganizedData[[#This Row],[Quantity]]*VLOOKUP(OrganizedData[[#This Row],[Product Code]],ProductData[],4,FALSE)</f>
        <v>2064</v>
      </c>
      <c r="Q1624" s="6">
        <f>OrganizedData[[#This Row],[Total Items Ordered]]*VLOOKUP(OrganizedData[[#This Row],[Product Code]],ProductData[],3,FALSE)</f>
        <v>8235.36</v>
      </c>
      <c r="R16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7823.5920000000006</v>
      </c>
    </row>
    <row r="1625" spans="1:18" x14ac:dyDescent="0.3">
      <c r="A1625" s="2">
        <v>1618</v>
      </c>
      <c r="B1625" s="2" t="s">
        <v>4871</v>
      </c>
      <c r="C1625" s="2" t="s">
        <v>2326</v>
      </c>
      <c r="D1625" s="2" t="s">
        <v>51</v>
      </c>
      <c r="E1625" s="2" t="s">
        <v>16</v>
      </c>
      <c r="F1625" s="2">
        <v>90</v>
      </c>
      <c r="G1625" s="2" t="s">
        <v>4872</v>
      </c>
      <c r="H1625" s="2" t="s">
        <v>3551</v>
      </c>
      <c r="I1625" s="2" t="s">
        <v>32</v>
      </c>
      <c r="J1625" s="3">
        <v>43951</v>
      </c>
      <c r="K1625" s="5">
        <f>YEAR(OrganizedData[[#This Row],[Order Date]])</f>
        <v>2020</v>
      </c>
      <c r="L1625" s="7" t="str">
        <f>TEXT(OrganizedData[[#This Row],[Order Date]],"mmm")</f>
        <v>Apr</v>
      </c>
      <c r="M1625" s="2">
        <v>46</v>
      </c>
      <c r="N1625" s="2" t="s">
        <v>159</v>
      </c>
      <c r="O1625" s="2" t="str">
        <f>VLOOKUP(OrganizedData[[#This Row],[Product Code]],ProductData[[Code]:[Item]],2,FALSE)</f>
        <v>Ultrathing V3</v>
      </c>
      <c r="P1625" s="4">
        <f>OrganizedData[[#This Row],[Quantity]]*VLOOKUP(OrganizedData[[#This Row],[Product Code]],ProductData[],4,FALSE)</f>
        <v>1104</v>
      </c>
      <c r="Q1625" s="6">
        <f>OrganizedData[[#This Row],[Total Items Ordered]]*VLOOKUP(OrganizedData[[#This Row],[Product Code]],ProductData[],3,FALSE)</f>
        <v>3742.56</v>
      </c>
      <c r="R16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3630.2831999999999</v>
      </c>
    </row>
    <row r="1626" spans="1:18" x14ac:dyDescent="0.3">
      <c r="A1626" s="2">
        <v>1619</v>
      </c>
      <c r="B1626" s="2" t="s">
        <v>4554</v>
      </c>
      <c r="C1626" s="2" t="s">
        <v>816</v>
      </c>
      <c r="D1626" s="2" t="s">
        <v>15</v>
      </c>
      <c r="E1626" s="2" t="s">
        <v>16</v>
      </c>
      <c r="F1626" s="2">
        <v>90</v>
      </c>
      <c r="G1626" s="2" t="s">
        <v>4873</v>
      </c>
      <c r="H1626" s="2" t="s">
        <v>4874</v>
      </c>
      <c r="I1626" s="2" t="s">
        <v>32</v>
      </c>
      <c r="J1626" s="3">
        <v>44453</v>
      </c>
      <c r="K1626" s="5">
        <f>YEAR(OrganizedData[[#This Row],[Order Date]])</f>
        <v>2021</v>
      </c>
      <c r="L1626" s="7" t="str">
        <f>TEXT(OrganizedData[[#This Row],[Order Date]],"mmm")</f>
        <v>Sep</v>
      </c>
      <c r="M1626" s="2">
        <v>5</v>
      </c>
      <c r="N1626" s="2" t="s">
        <v>20</v>
      </c>
      <c r="O1626" s="2" t="str">
        <f>VLOOKUP(OrganizedData[[#This Row],[Product Code]],ProductData[[Code]:[Item]],2,FALSE)</f>
        <v>Hyperwotsit</v>
      </c>
      <c r="P1626" s="4">
        <f>OrganizedData[[#This Row],[Quantity]]*VLOOKUP(OrganizedData[[#This Row],[Product Code]],ProductData[],4,FALSE)</f>
        <v>100</v>
      </c>
      <c r="Q1626" s="6">
        <f>OrganizedData[[#This Row],[Total Items Ordered]]*VLOOKUP(OrganizedData[[#This Row],[Product Code]],ProductData[],3,FALSE)</f>
        <v>200.99999999999997</v>
      </c>
      <c r="R16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1627" spans="1:18" x14ac:dyDescent="0.3">
      <c r="A1627" s="2">
        <v>1620</v>
      </c>
      <c r="B1627" s="2" t="s">
        <v>4875</v>
      </c>
      <c r="C1627" s="2" t="s">
        <v>4876</v>
      </c>
      <c r="D1627" s="2" t="s">
        <v>28</v>
      </c>
      <c r="E1627" s="2" t="s">
        <v>29</v>
      </c>
      <c r="F1627" s="2">
        <v>90</v>
      </c>
      <c r="G1627" s="2" t="s">
        <v>4877</v>
      </c>
      <c r="H1627" s="2" t="s">
        <v>4878</v>
      </c>
      <c r="I1627" s="2" t="s">
        <v>187</v>
      </c>
      <c r="J1627" s="3">
        <v>44825</v>
      </c>
      <c r="K1627" s="5">
        <f>YEAR(OrganizedData[[#This Row],[Order Date]])</f>
        <v>2022</v>
      </c>
      <c r="L1627" s="7" t="str">
        <f>TEXT(OrganizedData[[#This Row],[Order Date]],"mmm")</f>
        <v>Sep</v>
      </c>
      <c r="M1627" s="2">
        <v>22</v>
      </c>
      <c r="N1627" s="2" t="s">
        <v>101</v>
      </c>
      <c r="O1627" s="2" t="str">
        <f>VLOOKUP(OrganizedData[[#This Row],[Product Code]],ProductData[[Code]:[Item]],2,FALSE)</f>
        <v>Superwossname</v>
      </c>
      <c r="P1627" s="4">
        <f>OrganizedData[[#This Row],[Quantity]]*VLOOKUP(OrganizedData[[#This Row],[Product Code]],ProductData[],4,FALSE)</f>
        <v>440</v>
      </c>
      <c r="Q1627" s="6">
        <f>OrganizedData[[#This Row],[Total Items Ordered]]*VLOOKUP(OrganizedData[[#This Row],[Product Code]],ProductData[],3,FALSE)</f>
        <v>1535.6000000000001</v>
      </c>
      <c r="R16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1628" spans="1:18" x14ac:dyDescent="0.3">
      <c r="A1628" s="2">
        <v>1621</v>
      </c>
      <c r="B1628" s="2" t="s">
        <v>4879</v>
      </c>
      <c r="C1628" s="2" t="s">
        <v>4880</v>
      </c>
      <c r="D1628" s="2" t="s">
        <v>15</v>
      </c>
      <c r="E1628" s="2" t="s">
        <v>16</v>
      </c>
      <c r="F1628" s="2">
        <v>90</v>
      </c>
      <c r="G1628" s="2" t="s">
        <v>4881</v>
      </c>
      <c r="H1628" s="2" t="s">
        <v>4882</v>
      </c>
      <c r="I1628" s="2" t="s">
        <v>146</v>
      </c>
      <c r="J1628" s="3">
        <v>44473</v>
      </c>
      <c r="K1628" s="5">
        <f>YEAR(OrganizedData[[#This Row],[Order Date]])</f>
        <v>2021</v>
      </c>
      <c r="L1628" s="7" t="str">
        <f>TEXT(OrganizedData[[#This Row],[Order Date]],"mmm")</f>
        <v>Oct</v>
      </c>
      <c r="M1628" s="2">
        <v>45</v>
      </c>
      <c r="N1628" s="2" t="s">
        <v>159</v>
      </c>
      <c r="O1628" s="2" t="str">
        <f>VLOOKUP(OrganizedData[[#This Row],[Product Code]],ProductData[[Code]:[Item]],2,FALSE)</f>
        <v>Ultrathing V3</v>
      </c>
      <c r="P1628" s="4">
        <f>OrganizedData[[#This Row],[Quantity]]*VLOOKUP(OrganizedData[[#This Row],[Product Code]],ProductData[],4,FALSE)</f>
        <v>1080</v>
      </c>
      <c r="Q1628" s="6">
        <f>OrganizedData[[#This Row],[Total Items Ordered]]*VLOOKUP(OrganizedData[[#This Row],[Product Code]],ProductData[],3,FALSE)</f>
        <v>3661.2000000000003</v>
      </c>
      <c r="R16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3551.364</v>
      </c>
    </row>
    <row r="1629" spans="1:18" x14ac:dyDescent="0.3">
      <c r="A1629" s="2">
        <v>1622</v>
      </c>
      <c r="B1629" s="2" t="s">
        <v>1208</v>
      </c>
      <c r="C1629" s="2" t="s">
        <v>422</v>
      </c>
      <c r="D1629" s="2" t="s">
        <v>28</v>
      </c>
      <c r="E1629" s="2" t="s">
        <v>29</v>
      </c>
      <c r="F1629" s="2">
        <v>90</v>
      </c>
      <c r="G1629" s="2" t="s">
        <v>4883</v>
      </c>
      <c r="H1629" s="2" t="s">
        <v>806</v>
      </c>
      <c r="I1629" s="2" t="s">
        <v>178</v>
      </c>
      <c r="J1629" s="3">
        <v>44480</v>
      </c>
      <c r="K1629" s="5">
        <f>YEAR(OrganizedData[[#This Row],[Order Date]])</f>
        <v>2021</v>
      </c>
      <c r="L1629" s="7" t="str">
        <f>TEXT(OrganizedData[[#This Row],[Order Date]],"mmm")</f>
        <v>Oct</v>
      </c>
      <c r="M1629" s="2">
        <v>78</v>
      </c>
      <c r="N1629" s="2" t="s">
        <v>64</v>
      </c>
      <c r="O1629" s="2" t="str">
        <f>VLOOKUP(OrganizedData[[#This Row],[Product Code]],ProductData[[Code]:[Item]],2,FALSE)</f>
        <v>Ultrathing V4</v>
      </c>
      <c r="P1629" s="4">
        <f>OrganizedData[[#This Row],[Quantity]]*VLOOKUP(OrganizedData[[#This Row],[Product Code]],ProductData[],4,FALSE)</f>
        <v>1872</v>
      </c>
      <c r="Q1629" s="6">
        <f>OrganizedData[[#This Row],[Total Items Ordered]]*VLOOKUP(OrganizedData[[#This Row],[Product Code]],ProductData[],3,FALSE)</f>
        <v>7469.2800000000007</v>
      </c>
      <c r="R16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1630" spans="1:18" x14ac:dyDescent="0.3">
      <c r="A1630" s="2">
        <v>1623</v>
      </c>
      <c r="B1630" s="2" t="s">
        <v>4884</v>
      </c>
      <c r="C1630" s="2" t="s">
        <v>4664</v>
      </c>
      <c r="D1630" s="2" t="s">
        <v>51</v>
      </c>
      <c r="E1630" s="2" t="s">
        <v>16</v>
      </c>
      <c r="F1630" s="2">
        <v>60</v>
      </c>
      <c r="G1630" s="2" t="s">
        <v>4885</v>
      </c>
      <c r="H1630" s="2" t="s">
        <v>4886</v>
      </c>
      <c r="I1630" s="2" t="s">
        <v>32</v>
      </c>
      <c r="J1630" s="3">
        <v>44653</v>
      </c>
      <c r="K1630" s="5">
        <f>YEAR(OrganizedData[[#This Row],[Order Date]])</f>
        <v>2022</v>
      </c>
      <c r="L1630" s="7" t="str">
        <f>TEXT(OrganizedData[[#This Row],[Order Date]],"mmm")</f>
        <v>Apr</v>
      </c>
      <c r="M1630" s="2">
        <v>84</v>
      </c>
      <c r="N1630" s="2" t="s">
        <v>54</v>
      </c>
      <c r="O1630" s="2" t="str">
        <f>VLOOKUP(OrganizedData[[#This Row],[Product Code]],ProductData[[Code]:[Item]],2,FALSE)</f>
        <v>Megawidget S</v>
      </c>
      <c r="P1630" s="4">
        <f>OrganizedData[[#This Row],[Quantity]]*VLOOKUP(OrganizedData[[#This Row],[Product Code]],ProductData[],4,FALSE)</f>
        <v>2016</v>
      </c>
      <c r="Q1630" s="6">
        <f>OrganizedData[[#This Row],[Total Items Ordered]]*VLOOKUP(OrganizedData[[#This Row],[Product Code]],ProductData[],3,FALSE)</f>
        <v>1391.04</v>
      </c>
      <c r="R16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1321.4879999999998</v>
      </c>
    </row>
    <row r="1631" spans="1:18" x14ac:dyDescent="0.3">
      <c r="A1631" s="2">
        <v>1624</v>
      </c>
      <c r="B1631" s="2" t="s">
        <v>1922</v>
      </c>
      <c r="C1631" s="2" t="s">
        <v>4261</v>
      </c>
      <c r="D1631" s="2" t="s">
        <v>51</v>
      </c>
      <c r="E1631" s="2" t="s">
        <v>16</v>
      </c>
      <c r="F1631" s="2">
        <v>90</v>
      </c>
      <c r="G1631" s="2" t="s">
        <v>4887</v>
      </c>
      <c r="H1631" s="2" t="s">
        <v>3365</v>
      </c>
      <c r="I1631" s="2" t="s">
        <v>146</v>
      </c>
      <c r="J1631" s="3">
        <v>44468</v>
      </c>
      <c r="K1631" s="5">
        <f>YEAR(OrganizedData[[#This Row],[Order Date]])</f>
        <v>2021</v>
      </c>
      <c r="L1631" s="7" t="str">
        <f>TEXT(OrganizedData[[#This Row],[Order Date]],"mmm")</f>
        <v>Sep</v>
      </c>
      <c r="M1631" s="2">
        <v>42</v>
      </c>
      <c r="N1631" s="2" t="s">
        <v>101</v>
      </c>
      <c r="O1631" s="2" t="str">
        <f>VLOOKUP(OrganizedData[[#This Row],[Product Code]],ProductData[[Code]:[Item]],2,FALSE)</f>
        <v>Superwossname</v>
      </c>
      <c r="P1631" s="4">
        <f>OrganizedData[[#This Row],[Quantity]]*VLOOKUP(OrganizedData[[#This Row],[Product Code]],ProductData[],4,FALSE)</f>
        <v>840</v>
      </c>
      <c r="Q1631" s="6">
        <f>OrganizedData[[#This Row],[Total Items Ordered]]*VLOOKUP(OrganizedData[[#This Row],[Product Code]],ProductData[],3,FALSE)</f>
        <v>2931.6000000000004</v>
      </c>
      <c r="R16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1632" spans="1:18" x14ac:dyDescent="0.3">
      <c r="A1632" s="2">
        <v>1625</v>
      </c>
      <c r="B1632" s="2" t="s">
        <v>1234</v>
      </c>
      <c r="C1632" s="2" t="s">
        <v>2823</v>
      </c>
      <c r="D1632" s="2" t="s">
        <v>28</v>
      </c>
      <c r="E1632" s="2" t="s">
        <v>29</v>
      </c>
      <c r="F1632" s="2">
        <v>30</v>
      </c>
      <c r="G1632" s="2" t="s">
        <v>4888</v>
      </c>
      <c r="H1632" s="2" t="s">
        <v>4889</v>
      </c>
      <c r="I1632" s="2" t="s">
        <v>110</v>
      </c>
      <c r="J1632" s="3">
        <v>44126</v>
      </c>
      <c r="K1632" s="5">
        <f>YEAR(OrganizedData[[#This Row],[Order Date]])</f>
        <v>2020</v>
      </c>
      <c r="L1632" s="7" t="str">
        <f>TEXT(OrganizedData[[#This Row],[Order Date]],"mmm")</f>
        <v>Oct</v>
      </c>
      <c r="M1632" s="2">
        <v>62</v>
      </c>
      <c r="N1632" s="2" t="s">
        <v>20</v>
      </c>
      <c r="O1632" s="2" t="str">
        <f>VLOOKUP(OrganizedData[[#This Row],[Product Code]],ProductData[[Code]:[Item]],2,FALSE)</f>
        <v>Hyperwotsit</v>
      </c>
      <c r="P1632" s="4">
        <f>OrganizedData[[#This Row],[Quantity]]*VLOOKUP(OrganizedData[[#This Row],[Product Code]],ProductData[],4,FALSE)</f>
        <v>1240</v>
      </c>
      <c r="Q1632" s="6">
        <f>OrganizedData[[#This Row],[Total Items Ordered]]*VLOOKUP(OrganizedData[[#This Row],[Product Code]],ProductData[],3,FALSE)</f>
        <v>2492.3999999999996</v>
      </c>
      <c r="R16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2367.7799999999997</v>
      </c>
    </row>
    <row r="1633" spans="1:18" x14ac:dyDescent="0.3">
      <c r="A1633" s="2">
        <v>1626</v>
      </c>
      <c r="B1633" s="2" t="s">
        <v>204</v>
      </c>
      <c r="C1633" s="2" t="s">
        <v>1461</v>
      </c>
      <c r="D1633" s="2" t="s">
        <v>28</v>
      </c>
      <c r="E1633" s="2" t="s">
        <v>29</v>
      </c>
      <c r="F1633" s="2">
        <v>90</v>
      </c>
      <c r="G1633" s="2" t="s">
        <v>4890</v>
      </c>
      <c r="H1633" s="2" t="s">
        <v>2516</v>
      </c>
      <c r="I1633" s="2" t="s">
        <v>32</v>
      </c>
      <c r="J1633" s="3">
        <v>44114</v>
      </c>
      <c r="K1633" s="5">
        <f>YEAR(OrganizedData[[#This Row],[Order Date]])</f>
        <v>2020</v>
      </c>
      <c r="L1633" s="7" t="str">
        <f>TEXT(OrganizedData[[#This Row],[Order Date]],"mmm")</f>
        <v>Oct</v>
      </c>
      <c r="M1633" s="2">
        <v>18</v>
      </c>
      <c r="N1633" s="2" t="s">
        <v>159</v>
      </c>
      <c r="O1633" s="2" t="str">
        <f>VLOOKUP(OrganizedData[[#This Row],[Product Code]],ProductData[[Code]:[Item]],2,FALSE)</f>
        <v>Ultrathing V3</v>
      </c>
      <c r="P1633" s="4">
        <f>OrganizedData[[#This Row],[Quantity]]*VLOOKUP(OrganizedData[[#This Row],[Product Code]],ProductData[],4,FALSE)</f>
        <v>432</v>
      </c>
      <c r="Q1633" s="6">
        <f>OrganizedData[[#This Row],[Total Items Ordered]]*VLOOKUP(OrganizedData[[#This Row],[Product Code]],ProductData[],3,FALSE)</f>
        <v>1464.48</v>
      </c>
      <c r="R16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1634" spans="1:18" x14ac:dyDescent="0.3">
      <c r="A1634" s="2">
        <v>1627</v>
      </c>
      <c r="B1634" s="2" t="s">
        <v>4891</v>
      </c>
      <c r="C1634" s="2" t="s">
        <v>4892</v>
      </c>
      <c r="D1634" s="2" t="s">
        <v>15</v>
      </c>
      <c r="E1634" s="2" t="s">
        <v>16</v>
      </c>
      <c r="F1634" s="2">
        <v>30</v>
      </c>
      <c r="G1634" s="2" t="s">
        <v>4893</v>
      </c>
      <c r="H1634" s="2" t="s">
        <v>1295</v>
      </c>
      <c r="I1634" s="2" t="s">
        <v>32</v>
      </c>
      <c r="J1634" s="3">
        <v>44322</v>
      </c>
      <c r="K1634" s="5">
        <f>YEAR(OrganizedData[[#This Row],[Order Date]])</f>
        <v>2021</v>
      </c>
      <c r="L1634" s="7" t="str">
        <f>TEXT(OrganizedData[[#This Row],[Order Date]],"mmm")</f>
        <v>May</v>
      </c>
      <c r="M1634" s="2">
        <v>70</v>
      </c>
      <c r="N1634" s="2" t="s">
        <v>54</v>
      </c>
      <c r="O1634" s="2" t="str">
        <f>VLOOKUP(OrganizedData[[#This Row],[Product Code]],ProductData[[Code]:[Item]],2,FALSE)</f>
        <v>Megawidget S</v>
      </c>
      <c r="P1634" s="4">
        <f>OrganizedData[[#This Row],[Quantity]]*VLOOKUP(OrganizedData[[#This Row],[Product Code]],ProductData[],4,FALSE)</f>
        <v>1680</v>
      </c>
      <c r="Q1634" s="6">
        <f>OrganizedData[[#This Row],[Total Items Ordered]]*VLOOKUP(OrganizedData[[#This Row],[Product Code]],ProductData[],3,FALSE)</f>
        <v>1159.1999999999998</v>
      </c>
      <c r="R16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1101.2399999999998</v>
      </c>
    </row>
    <row r="1635" spans="1:18" x14ac:dyDescent="0.3">
      <c r="A1635" s="2">
        <v>1628</v>
      </c>
      <c r="B1635" s="2" t="s">
        <v>4894</v>
      </c>
      <c r="C1635" s="2" t="s">
        <v>1170</v>
      </c>
      <c r="D1635" s="2" t="s">
        <v>41</v>
      </c>
      <c r="E1635" s="2" t="s">
        <v>16</v>
      </c>
      <c r="F1635" s="2">
        <v>60</v>
      </c>
      <c r="G1635" s="2" t="s">
        <v>4895</v>
      </c>
      <c r="H1635" s="2" t="s">
        <v>3531</v>
      </c>
      <c r="I1635" s="2" t="s">
        <v>32</v>
      </c>
      <c r="J1635" s="3">
        <v>44538</v>
      </c>
      <c r="K1635" s="5">
        <f>YEAR(OrganizedData[[#This Row],[Order Date]])</f>
        <v>2021</v>
      </c>
      <c r="L1635" s="7" t="str">
        <f>TEXT(OrganizedData[[#This Row],[Order Date]],"mmm")</f>
        <v>Dec</v>
      </c>
      <c r="M1635" s="2">
        <v>81</v>
      </c>
      <c r="N1635" s="2" t="s">
        <v>80</v>
      </c>
      <c r="O1635" s="2" t="str">
        <f>VLOOKUP(OrganizedData[[#This Row],[Product Code]],ProductData[[Code]:[Item]],2,FALSE)</f>
        <v>Ultrathing V2</v>
      </c>
      <c r="P1635" s="4">
        <f>OrganizedData[[#This Row],[Quantity]]*VLOOKUP(OrganizedData[[#This Row],[Product Code]],ProductData[],4,FALSE)</f>
        <v>1620</v>
      </c>
      <c r="Q1635" s="6">
        <f>OrganizedData[[#This Row],[Total Items Ordered]]*VLOOKUP(OrganizedData[[#This Row],[Product Code]],ProductData[],3,FALSE)</f>
        <v>4779</v>
      </c>
      <c r="R16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4540.05</v>
      </c>
    </row>
    <row r="1636" spans="1:18" x14ac:dyDescent="0.3">
      <c r="A1636" s="2">
        <v>1629</v>
      </c>
      <c r="B1636" s="2" t="s">
        <v>1200</v>
      </c>
      <c r="C1636" s="2" t="s">
        <v>1950</v>
      </c>
      <c r="D1636" s="2" t="s">
        <v>28</v>
      </c>
      <c r="E1636" s="2" t="s">
        <v>29</v>
      </c>
      <c r="F1636" s="2">
        <v>60</v>
      </c>
      <c r="G1636" s="2" t="s">
        <v>4896</v>
      </c>
      <c r="H1636" s="2" t="s">
        <v>4266</v>
      </c>
      <c r="I1636" s="2" t="s">
        <v>25</v>
      </c>
      <c r="J1636" s="3">
        <v>43937</v>
      </c>
      <c r="K1636" s="5">
        <f>YEAR(OrganizedData[[#This Row],[Order Date]])</f>
        <v>2020</v>
      </c>
      <c r="L1636" s="7" t="str">
        <f>TEXT(OrganizedData[[#This Row],[Order Date]],"mmm")</f>
        <v>Apr</v>
      </c>
      <c r="M1636" s="2">
        <v>70</v>
      </c>
      <c r="N1636" s="2" t="s">
        <v>159</v>
      </c>
      <c r="O1636" s="2" t="str">
        <f>VLOOKUP(OrganizedData[[#This Row],[Product Code]],ProductData[[Code]:[Item]],2,FALSE)</f>
        <v>Ultrathing V3</v>
      </c>
      <c r="P1636" s="4">
        <f>OrganizedData[[#This Row],[Quantity]]*VLOOKUP(OrganizedData[[#This Row],[Product Code]],ProductData[],4,FALSE)</f>
        <v>1680</v>
      </c>
      <c r="Q1636" s="6">
        <f>OrganizedData[[#This Row],[Total Items Ordered]]*VLOOKUP(OrganizedData[[#This Row],[Product Code]],ProductData[],3,FALSE)</f>
        <v>5695.2</v>
      </c>
      <c r="R16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1637" spans="1:18" x14ac:dyDescent="0.3">
      <c r="A1637" s="2">
        <v>1630</v>
      </c>
      <c r="B1637" s="2" t="s">
        <v>4897</v>
      </c>
      <c r="C1637" s="2" t="s">
        <v>189</v>
      </c>
      <c r="D1637" s="2" t="s">
        <v>28</v>
      </c>
      <c r="E1637" s="2" t="s">
        <v>29</v>
      </c>
      <c r="F1637" s="2">
        <v>30</v>
      </c>
      <c r="G1637" s="2" t="s">
        <v>4898</v>
      </c>
      <c r="H1637" s="2" t="s">
        <v>4899</v>
      </c>
      <c r="I1637" s="2" t="s">
        <v>100</v>
      </c>
      <c r="J1637" s="3">
        <v>44165</v>
      </c>
      <c r="K1637" s="5">
        <f>YEAR(OrganizedData[[#This Row],[Order Date]])</f>
        <v>2020</v>
      </c>
      <c r="L1637" s="7" t="str">
        <f>TEXT(OrganizedData[[#This Row],[Order Date]],"mmm")</f>
        <v>Nov</v>
      </c>
      <c r="M1637" s="2">
        <v>23</v>
      </c>
      <c r="N1637" s="2" t="s">
        <v>39</v>
      </c>
      <c r="O1637" s="2" t="str">
        <f>VLOOKUP(OrganizedData[[#This Row],[Product Code]],ProductData[[Code]:[Item]],2,FALSE)</f>
        <v>Ultrathing V1</v>
      </c>
      <c r="P1637" s="4">
        <f>OrganizedData[[#This Row],[Quantity]]*VLOOKUP(OrganizedData[[#This Row],[Product Code]],ProductData[],4,FALSE)</f>
        <v>391</v>
      </c>
      <c r="Q1637" s="6">
        <f>OrganizedData[[#This Row],[Total Items Ordered]]*VLOOKUP(OrganizedData[[#This Row],[Product Code]],ProductData[],3,FALSE)</f>
        <v>699.89</v>
      </c>
      <c r="R16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1638" spans="1:18" x14ac:dyDescent="0.3">
      <c r="A1638" s="2">
        <v>1631</v>
      </c>
      <c r="B1638" s="2" t="s">
        <v>2268</v>
      </c>
      <c r="C1638" s="2" t="s">
        <v>1204</v>
      </c>
      <c r="D1638" s="2" t="s">
        <v>15</v>
      </c>
      <c r="E1638" s="2" t="s">
        <v>16</v>
      </c>
      <c r="F1638" s="2">
        <v>90</v>
      </c>
      <c r="G1638" s="2" t="s">
        <v>4900</v>
      </c>
      <c r="H1638" s="2" t="s">
        <v>3261</v>
      </c>
      <c r="I1638" s="2" t="s">
        <v>124</v>
      </c>
      <c r="J1638" s="3">
        <v>44853</v>
      </c>
      <c r="K1638" s="5">
        <f>YEAR(OrganizedData[[#This Row],[Order Date]])</f>
        <v>2022</v>
      </c>
      <c r="L1638" s="7" t="str">
        <f>TEXT(OrganizedData[[#This Row],[Order Date]],"mmm")</f>
        <v>Oct</v>
      </c>
      <c r="M1638" s="2">
        <v>66</v>
      </c>
      <c r="N1638" s="2" t="s">
        <v>33</v>
      </c>
      <c r="O1638" s="2" t="str">
        <f>VLOOKUP(OrganizedData[[#This Row],[Product Code]],ProductData[[Code]:[Item]],2,FALSE)</f>
        <v>Megawidget L</v>
      </c>
      <c r="P1638" s="4">
        <f>OrganizedData[[#This Row],[Quantity]]*VLOOKUP(OrganizedData[[#This Row],[Product Code]],ProductData[],4,FALSE)</f>
        <v>1584</v>
      </c>
      <c r="Q1638" s="6">
        <f>OrganizedData[[#This Row],[Total Items Ordered]]*VLOOKUP(OrganizedData[[#This Row],[Product Code]],ProductData[],3,FALSE)</f>
        <v>2835.36</v>
      </c>
      <c r="R16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2693.5920000000001</v>
      </c>
    </row>
    <row r="1639" spans="1:18" x14ac:dyDescent="0.3">
      <c r="A1639" s="2">
        <v>1632</v>
      </c>
      <c r="B1639" s="2" t="s">
        <v>731</v>
      </c>
      <c r="C1639" s="2" t="s">
        <v>3676</v>
      </c>
      <c r="D1639" s="2" t="s">
        <v>28</v>
      </c>
      <c r="E1639" s="2" t="s">
        <v>29</v>
      </c>
      <c r="F1639" s="2">
        <v>30</v>
      </c>
      <c r="G1639" s="2" t="s">
        <v>4900</v>
      </c>
      <c r="H1639" s="2" t="s">
        <v>4901</v>
      </c>
      <c r="I1639" s="2" t="s">
        <v>32</v>
      </c>
      <c r="J1639" s="3">
        <v>43896</v>
      </c>
      <c r="K1639" s="5">
        <f>YEAR(OrganizedData[[#This Row],[Order Date]])</f>
        <v>2020</v>
      </c>
      <c r="L1639" s="7" t="str">
        <f>TEXT(OrganizedData[[#This Row],[Order Date]],"mmm")</f>
        <v>Mar</v>
      </c>
      <c r="M1639" s="2">
        <v>84</v>
      </c>
      <c r="N1639" s="2" t="s">
        <v>101</v>
      </c>
      <c r="O1639" s="2" t="str">
        <f>VLOOKUP(OrganizedData[[#This Row],[Product Code]],ProductData[[Code]:[Item]],2,FALSE)</f>
        <v>Superwossname</v>
      </c>
      <c r="P1639" s="4">
        <f>OrganizedData[[#This Row],[Quantity]]*VLOOKUP(OrganizedData[[#This Row],[Product Code]],ProductData[],4,FALSE)</f>
        <v>1680</v>
      </c>
      <c r="Q1639" s="6">
        <f>OrganizedData[[#This Row],[Total Items Ordered]]*VLOOKUP(OrganizedData[[#This Row],[Product Code]],ProductData[],3,FALSE)</f>
        <v>5863.2000000000007</v>
      </c>
      <c r="R16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5570.0400000000009</v>
      </c>
    </row>
    <row r="1640" spans="1:18" x14ac:dyDescent="0.3">
      <c r="A1640" s="2">
        <v>1633</v>
      </c>
      <c r="B1640" s="2" t="s">
        <v>4902</v>
      </c>
      <c r="C1640" s="2" t="s">
        <v>4903</v>
      </c>
      <c r="D1640" s="2" t="s">
        <v>15</v>
      </c>
      <c r="E1640" s="2" t="s">
        <v>16</v>
      </c>
      <c r="F1640" s="2">
        <v>30</v>
      </c>
      <c r="G1640" s="2" t="s">
        <v>4904</v>
      </c>
      <c r="H1640" s="2" t="s">
        <v>1463</v>
      </c>
      <c r="I1640" s="2" t="s">
        <v>19</v>
      </c>
      <c r="J1640" s="3">
        <v>44388</v>
      </c>
      <c r="K1640" s="5">
        <f>YEAR(OrganizedData[[#This Row],[Order Date]])</f>
        <v>2021</v>
      </c>
      <c r="L1640" s="7" t="str">
        <f>TEXT(OrganizedData[[#This Row],[Order Date]],"mmm")</f>
        <v>Jul</v>
      </c>
      <c r="M1640" s="2">
        <v>10</v>
      </c>
      <c r="N1640" s="2" t="s">
        <v>54</v>
      </c>
      <c r="O1640" s="2" t="str">
        <f>VLOOKUP(OrganizedData[[#This Row],[Product Code]],ProductData[[Code]:[Item]],2,FALSE)</f>
        <v>Megawidget S</v>
      </c>
      <c r="P1640" s="4">
        <f>OrganizedData[[#This Row],[Quantity]]*VLOOKUP(OrganizedData[[#This Row],[Product Code]],ProductData[],4,FALSE)</f>
        <v>240</v>
      </c>
      <c r="Q1640" s="6">
        <f>OrganizedData[[#This Row],[Total Items Ordered]]*VLOOKUP(OrganizedData[[#This Row],[Product Code]],ProductData[],3,FALSE)</f>
        <v>165.6</v>
      </c>
      <c r="R16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165.6</v>
      </c>
    </row>
    <row r="1641" spans="1:18" x14ac:dyDescent="0.3">
      <c r="A1641" s="2">
        <v>1634</v>
      </c>
      <c r="B1641" s="2" t="s">
        <v>4905</v>
      </c>
      <c r="C1641" s="2" t="s">
        <v>2690</v>
      </c>
      <c r="D1641" s="2" t="s">
        <v>28</v>
      </c>
      <c r="E1641" s="2" t="s">
        <v>29</v>
      </c>
      <c r="F1641" s="2">
        <v>90</v>
      </c>
      <c r="G1641" s="2" t="s">
        <v>4904</v>
      </c>
      <c r="H1641" s="2" t="s">
        <v>1965</v>
      </c>
      <c r="I1641" s="2" t="s">
        <v>32</v>
      </c>
      <c r="J1641" s="3">
        <v>44123</v>
      </c>
      <c r="K1641" s="5">
        <f>YEAR(OrganizedData[[#This Row],[Order Date]])</f>
        <v>2020</v>
      </c>
      <c r="L1641" s="7" t="str">
        <f>TEXT(OrganizedData[[#This Row],[Order Date]],"mmm")</f>
        <v>Oct</v>
      </c>
      <c r="M1641" s="2">
        <v>74</v>
      </c>
      <c r="N1641" s="2" t="s">
        <v>33</v>
      </c>
      <c r="O1641" s="2" t="str">
        <f>VLOOKUP(OrganizedData[[#This Row],[Product Code]],ProductData[[Code]:[Item]],2,FALSE)</f>
        <v>Megawidget L</v>
      </c>
      <c r="P1641" s="4">
        <f>OrganizedData[[#This Row],[Quantity]]*VLOOKUP(OrganizedData[[#This Row],[Product Code]],ProductData[],4,FALSE)</f>
        <v>1776</v>
      </c>
      <c r="Q1641" s="6">
        <f>OrganizedData[[#This Row],[Total Items Ordered]]*VLOOKUP(OrganizedData[[#This Row],[Product Code]],ProductData[],3,FALSE)</f>
        <v>3179.04</v>
      </c>
      <c r="R16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1642" spans="1:18" x14ac:dyDescent="0.3">
      <c r="A1642" s="2">
        <v>1635</v>
      </c>
      <c r="B1642" s="2" t="s">
        <v>4906</v>
      </c>
      <c r="C1642" s="2" t="s">
        <v>892</v>
      </c>
      <c r="D1642" s="2" t="s">
        <v>51</v>
      </c>
      <c r="E1642" s="2" t="s">
        <v>16</v>
      </c>
      <c r="F1642" s="2">
        <v>60</v>
      </c>
      <c r="G1642" s="2" t="s">
        <v>4907</v>
      </c>
      <c r="H1642" s="2" t="s">
        <v>1632</v>
      </c>
      <c r="I1642" s="2" t="s">
        <v>32</v>
      </c>
      <c r="J1642" s="3">
        <v>44333</v>
      </c>
      <c r="K1642" s="5">
        <f>YEAR(OrganizedData[[#This Row],[Order Date]])</f>
        <v>2021</v>
      </c>
      <c r="L1642" s="7" t="str">
        <f>TEXT(OrganizedData[[#This Row],[Order Date]],"mmm")</f>
        <v>May</v>
      </c>
      <c r="M1642" s="2">
        <v>8</v>
      </c>
      <c r="N1642" s="2" t="s">
        <v>70</v>
      </c>
      <c r="O1642" s="2" t="str">
        <f>VLOOKUP(OrganizedData[[#This Row],[Product Code]],ProductData[[Code]:[Item]],2,FALSE)</f>
        <v>Megawidget M</v>
      </c>
      <c r="P1642" s="4">
        <f>OrganizedData[[#This Row],[Quantity]]*VLOOKUP(OrganizedData[[#This Row],[Product Code]],ProductData[],4,FALSE)</f>
        <v>192</v>
      </c>
      <c r="Q1642" s="6">
        <f>OrganizedData[[#This Row],[Total Items Ordered]]*VLOOKUP(OrganizedData[[#This Row],[Product Code]],ProductData[],3,FALSE)</f>
        <v>247.68</v>
      </c>
      <c r="R16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247.68</v>
      </c>
    </row>
    <row r="1643" spans="1:18" x14ac:dyDescent="0.3">
      <c r="A1643" s="2">
        <v>1636</v>
      </c>
      <c r="B1643" s="2" t="s">
        <v>3089</v>
      </c>
      <c r="C1643" s="2" t="s">
        <v>2715</v>
      </c>
      <c r="D1643" s="2" t="s">
        <v>28</v>
      </c>
      <c r="E1643" s="2" t="s">
        <v>29</v>
      </c>
      <c r="F1643" s="2">
        <v>90</v>
      </c>
      <c r="G1643" s="2" t="s">
        <v>4908</v>
      </c>
      <c r="H1643" s="2" t="s">
        <v>917</v>
      </c>
      <c r="I1643" s="2" t="s">
        <v>32</v>
      </c>
      <c r="J1643" s="3">
        <v>44644</v>
      </c>
      <c r="K1643" s="5">
        <f>YEAR(OrganizedData[[#This Row],[Order Date]])</f>
        <v>2022</v>
      </c>
      <c r="L1643" s="7" t="str">
        <f>TEXT(OrganizedData[[#This Row],[Order Date]],"mmm")</f>
        <v>Mar</v>
      </c>
      <c r="M1643" s="2">
        <v>71</v>
      </c>
      <c r="N1643" s="2" t="s">
        <v>33</v>
      </c>
      <c r="O1643" s="2" t="str">
        <f>VLOOKUP(OrganizedData[[#This Row],[Product Code]],ProductData[[Code]:[Item]],2,FALSE)</f>
        <v>Megawidget L</v>
      </c>
      <c r="P1643" s="4">
        <f>OrganizedData[[#This Row],[Quantity]]*VLOOKUP(OrganizedData[[#This Row],[Product Code]],ProductData[],4,FALSE)</f>
        <v>1704</v>
      </c>
      <c r="Q1643" s="6">
        <f>OrganizedData[[#This Row],[Total Items Ordered]]*VLOOKUP(OrganizedData[[#This Row],[Product Code]],ProductData[],3,FALSE)</f>
        <v>3050.16</v>
      </c>
      <c r="R16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1644" spans="1:18" x14ac:dyDescent="0.3">
      <c r="A1644" s="2">
        <v>1637</v>
      </c>
      <c r="B1644" s="2" t="s">
        <v>4909</v>
      </c>
      <c r="C1644" s="2" t="s">
        <v>3824</v>
      </c>
      <c r="D1644" s="2" t="s">
        <v>15</v>
      </c>
      <c r="E1644" s="2" t="s">
        <v>16</v>
      </c>
      <c r="F1644" s="2">
        <v>30</v>
      </c>
      <c r="G1644" s="2" t="s">
        <v>4910</v>
      </c>
      <c r="H1644" s="2" t="s">
        <v>4911</v>
      </c>
      <c r="I1644" s="2" t="s">
        <v>95</v>
      </c>
      <c r="J1644" s="3">
        <v>43880</v>
      </c>
      <c r="K1644" s="5">
        <f>YEAR(OrganizedData[[#This Row],[Order Date]])</f>
        <v>2020</v>
      </c>
      <c r="L1644" s="7" t="str">
        <f>TEXT(OrganizedData[[#This Row],[Order Date]],"mmm")</f>
        <v>Feb</v>
      </c>
      <c r="M1644" s="2">
        <v>48</v>
      </c>
      <c r="N1644" s="2" t="s">
        <v>159</v>
      </c>
      <c r="O1644" s="2" t="str">
        <f>VLOOKUP(OrganizedData[[#This Row],[Product Code]],ProductData[[Code]:[Item]],2,FALSE)</f>
        <v>Ultrathing V3</v>
      </c>
      <c r="P1644" s="4">
        <f>OrganizedData[[#This Row],[Quantity]]*VLOOKUP(OrganizedData[[#This Row],[Product Code]],ProductData[],4,FALSE)</f>
        <v>1152</v>
      </c>
      <c r="Q1644" s="6">
        <f>OrganizedData[[#This Row],[Total Items Ordered]]*VLOOKUP(OrganizedData[[#This Row],[Product Code]],ProductData[],3,FALSE)</f>
        <v>3905.28</v>
      </c>
      <c r="R16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1645" spans="1:18" x14ac:dyDescent="0.3">
      <c r="A1645" s="2">
        <v>1638</v>
      </c>
      <c r="B1645" s="2" t="s">
        <v>4652</v>
      </c>
      <c r="C1645" s="2" t="s">
        <v>1918</v>
      </c>
      <c r="D1645" s="2" t="s">
        <v>28</v>
      </c>
      <c r="E1645" s="2" t="s">
        <v>29</v>
      </c>
      <c r="F1645" s="2">
        <v>30</v>
      </c>
      <c r="G1645" s="2" t="s">
        <v>4910</v>
      </c>
      <c r="H1645" s="2" t="s">
        <v>545</v>
      </c>
      <c r="I1645" s="2" t="s">
        <v>173</v>
      </c>
      <c r="J1645" s="3">
        <v>44382</v>
      </c>
      <c r="K1645" s="5">
        <f>YEAR(OrganizedData[[#This Row],[Order Date]])</f>
        <v>2021</v>
      </c>
      <c r="L1645" s="7" t="str">
        <f>TEXT(OrganizedData[[#This Row],[Order Date]],"mmm")</f>
        <v>Jul</v>
      </c>
      <c r="M1645" s="2">
        <v>7</v>
      </c>
      <c r="N1645" s="2" t="s">
        <v>39</v>
      </c>
      <c r="O1645" s="2" t="str">
        <f>VLOOKUP(OrganizedData[[#This Row],[Product Code]],ProductData[[Code]:[Item]],2,FALSE)</f>
        <v>Ultrathing V1</v>
      </c>
      <c r="P1645" s="4">
        <f>OrganizedData[[#This Row],[Quantity]]*VLOOKUP(OrganizedData[[#This Row],[Product Code]],ProductData[],4,FALSE)</f>
        <v>119</v>
      </c>
      <c r="Q1645" s="6">
        <f>OrganizedData[[#This Row],[Total Items Ordered]]*VLOOKUP(OrganizedData[[#This Row],[Product Code]],ProductData[],3,FALSE)</f>
        <v>213.01</v>
      </c>
      <c r="R16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213.01</v>
      </c>
    </row>
    <row r="1646" spans="1:18" x14ac:dyDescent="0.3">
      <c r="A1646" s="2">
        <v>1639</v>
      </c>
      <c r="B1646" s="2" t="s">
        <v>4912</v>
      </c>
      <c r="C1646" s="2" t="s">
        <v>4913</v>
      </c>
      <c r="D1646" s="2" t="s">
        <v>15</v>
      </c>
      <c r="E1646" s="2" t="s">
        <v>16</v>
      </c>
      <c r="F1646" s="2">
        <v>30</v>
      </c>
      <c r="G1646" s="2" t="s">
        <v>4914</v>
      </c>
      <c r="H1646" s="2" t="s">
        <v>4915</v>
      </c>
      <c r="I1646" s="2" t="s">
        <v>32</v>
      </c>
      <c r="J1646" s="3">
        <v>44192</v>
      </c>
      <c r="K1646" s="5">
        <f>YEAR(OrganizedData[[#This Row],[Order Date]])</f>
        <v>2020</v>
      </c>
      <c r="L1646" s="7" t="str">
        <f>TEXT(OrganizedData[[#This Row],[Order Date]],"mmm")</f>
        <v>Dec</v>
      </c>
      <c r="M1646" s="2">
        <v>61</v>
      </c>
      <c r="N1646" s="2" t="s">
        <v>20</v>
      </c>
      <c r="O1646" s="2" t="str">
        <f>VLOOKUP(OrganizedData[[#This Row],[Product Code]],ProductData[[Code]:[Item]],2,FALSE)</f>
        <v>Hyperwotsit</v>
      </c>
      <c r="P1646" s="4">
        <f>OrganizedData[[#This Row],[Quantity]]*VLOOKUP(OrganizedData[[#This Row],[Product Code]],ProductData[],4,FALSE)</f>
        <v>1220</v>
      </c>
      <c r="Q1646" s="6">
        <f>OrganizedData[[#This Row],[Total Items Ordered]]*VLOOKUP(OrganizedData[[#This Row],[Product Code]],ProductData[],3,FALSE)</f>
        <v>2452.1999999999998</v>
      </c>
      <c r="R16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2329.5899999999997</v>
      </c>
    </row>
    <row r="1647" spans="1:18" x14ac:dyDescent="0.3">
      <c r="A1647" s="2">
        <v>1640</v>
      </c>
      <c r="B1647" s="2" t="s">
        <v>4916</v>
      </c>
      <c r="C1647" s="2" t="s">
        <v>4917</v>
      </c>
      <c r="D1647" s="2" t="s">
        <v>28</v>
      </c>
      <c r="E1647" s="2" t="s">
        <v>29</v>
      </c>
      <c r="F1647" s="2">
        <v>90</v>
      </c>
      <c r="G1647" s="2" t="s">
        <v>4918</v>
      </c>
      <c r="H1647" s="2" t="s">
        <v>4919</v>
      </c>
      <c r="I1647" s="2" t="s">
        <v>303</v>
      </c>
      <c r="J1647" s="3">
        <v>44021</v>
      </c>
      <c r="K1647" s="5">
        <f>YEAR(OrganizedData[[#This Row],[Order Date]])</f>
        <v>2020</v>
      </c>
      <c r="L1647" s="7" t="str">
        <f>TEXT(OrganizedData[[#This Row],[Order Date]],"mmm")</f>
        <v>Jul</v>
      </c>
      <c r="M1647" s="2">
        <v>31</v>
      </c>
      <c r="N1647" s="2" t="s">
        <v>101</v>
      </c>
      <c r="O1647" s="2" t="str">
        <f>VLOOKUP(OrganizedData[[#This Row],[Product Code]],ProductData[[Code]:[Item]],2,FALSE)</f>
        <v>Superwossname</v>
      </c>
      <c r="P1647" s="4">
        <f>OrganizedData[[#This Row],[Quantity]]*VLOOKUP(OrganizedData[[#This Row],[Product Code]],ProductData[],4,FALSE)</f>
        <v>620</v>
      </c>
      <c r="Q1647" s="6">
        <f>OrganizedData[[#This Row],[Total Items Ordered]]*VLOOKUP(OrganizedData[[#This Row],[Product Code]],ProductData[],3,FALSE)</f>
        <v>2163.8000000000002</v>
      </c>
      <c r="R16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2098.886</v>
      </c>
    </row>
    <row r="1648" spans="1:18" x14ac:dyDescent="0.3">
      <c r="A1648" s="2">
        <v>1641</v>
      </c>
      <c r="B1648" s="2" t="s">
        <v>4920</v>
      </c>
      <c r="C1648" s="2" t="s">
        <v>3330</v>
      </c>
      <c r="D1648" s="2" t="s">
        <v>15</v>
      </c>
      <c r="E1648" s="2" t="s">
        <v>16</v>
      </c>
      <c r="F1648" s="2">
        <v>90</v>
      </c>
      <c r="G1648" s="2" t="s">
        <v>4921</v>
      </c>
      <c r="H1648" s="2" t="s">
        <v>3695</v>
      </c>
      <c r="I1648" s="2" t="s">
        <v>173</v>
      </c>
      <c r="J1648" s="3">
        <v>44386</v>
      </c>
      <c r="K1648" s="5">
        <f>YEAR(OrganizedData[[#This Row],[Order Date]])</f>
        <v>2021</v>
      </c>
      <c r="L1648" s="7" t="str">
        <f>TEXT(OrganizedData[[#This Row],[Order Date]],"mmm")</f>
        <v>Jul</v>
      </c>
      <c r="M1648" s="2">
        <v>76</v>
      </c>
      <c r="N1648" s="2" t="s">
        <v>39</v>
      </c>
      <c r="O1648" s="2" t="str">
        <f>VLOOKUP(OrganizedData[[#This Row],[Product Code]],ProductData[[Code]:[Item]],2,FALSE)</f>
        <v>Ultrathing V1</v>
      </c>
      <c r="P1648" s="4">
        <f>OrganizedData[[#This Row],[Quantity]]*VLOOKUP(OrganizedData[[#This Row],[Product Code]],ProductData[],4,FALSE)</f>
        <v>1292</v>
      </c>
      <c r="Q1648" s="6">
        <f>OrganizedData[[#This Row],[Total Items Ordered]]*VLOOKUP(OrganizedData[[#This Row],[Product Code]],ProductData[],3,FALSE)</f>
        <v>2312.6799999999998</v>
      </c>
      <c r="R16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1649" spans="1:18" x14ac:dyDescent="0.3">
      <c r="A1649" s="2">
        <v>1642</v>
      </c>
      <c r="B1649" s="2" t="s">
        <v>4922</v>
      </c>
      <c r="C1649" s="2" t="s">
        <v>3338</v>
      </c>
      <c r="D1649" s="2" t="s">
        <v>51</v>
      </c>
      <c r="E1649" s="2" t="s">
        <v>16</v>
      </c>
      <c r="F1649" s="2">
        <v>60</v>
      </c>
      <c r="G1649" s="2" t="s">
        <v>4923</v>
      </c>
      <c r="H1649" s="2" t="s">
        <v>4924</v>
      </c>
      <c r="I1649" s="2" t="s">
        <v>32</v>
      </c>
      <c r="J1649" s="3">
        <v>44494</v>
      </c>
      <c r="K1649" s="5">
        <f>YEAR(OrganizedData[[#This Row],[Order Date]])</f>
        <v>2021</v>
      </c>
      <c r="L1649" s="7" t="str">
        <f>TEXT(OrganizedData[[#This Row],[Order Date]],"mmm")</f>
        <v>Oct</v>
      </c>
      <c r="M1649" s="2">
        <v>6</v>
      </c>
      <c r="N1649" s="2" t="s">
        <v>64</v>
      </c>
      <c r="O1649" s="2" t="str">
        <f>VLOOKUP(OrganizedData[[#This Row],[Product Code]],ProductData[[Code]:[Item]],2,FALSE)</f>
        <v>Ultrathing V4</v>
      </c>
      <c r="P1649" s="4">
        <f>OrganizedData[[#This Row],[Quantity]]*VLOOKUP(OrganizedData[[#This Row],[Product Code]],ProductData[],4,FALSE)</f>
        <v>144</v>
      </c>
      <c r="Q1649" s="6">
        <f>OrganizedData[[#This Row],[Total Items Ordered]]*VLOOKUP(OrganizedData[[#This Row],[Product Code]],ProductData[],3,FALSE)</f>
        <v>574.56000000000006</v>
      </c>
      <c r="R16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574.56000000000006</v>
      </c>
    </row>
    <row r="1650" spans="1:18" x14ac:dyDescent="0.3">
      <c r="A1650" s="2">
        <v>1643</v>
      </c>
      <c r="B1650" s="2" t="s">
        <v>4250</v>
      </c>
      <c r="C1650" s="2" t="s">
        <v>2148</v>
      </c>
      <c r="D1650" s="2" t="s">
        <v>28</v>
      </c>
      <c r="E1650" s="2" t="s">
        <v>29</v>
      </c>
      <c r="F1650" s="2">
        <v>30</v>
      </c>
      <c r="G1650" s="2" t="s">
        <v>4925</v>
      </c>
      <c r="H1650" s="2" t="s">
        <v>199</v>
      </c>
      <c r="I1650" s="2" t="s">
        <v>32</v>
      </c>
      <c r="J1650" s="3">
        <v>44908</v>
      </c>
      <c r="K1650" s="5">
        <f>YEAR(OrganizedData[[#This Row],[Order Date]])</f>
        <v>2022</v>
      </c>
      <c r="L1650" s="7" t="str">
        <f>TEXT(OrganizedData[[#This Row],[Order Date]],"mmm")</f>
        <v>Dec</v>
      </c>
      <c r="M1650" s="2">
        <v>37</v>
      </c>
      <c r="N1650" s="2" t="s">
        <v>80</v>
      </c>
      <c r="O1650" s="2" t="str">
        <f>VLOOKUP(OrganizedData[[#This Row],[Product Code]],ProductData[[Code]:[Item]],2,FALSE)</f>
        <v>Ultrathing V2</v>
      </c>
      <c r="P1650" s="4">
        <f>OrganizedData[[#This Row],[Quantity]]*VLOOKUP(OrganizedData[[#This Row],[Product Code]],ProductData[],4,FALSE)</f>
        <v>740</v>
      </c>
      <c r="Q1650" s="6">
        <f>OrganizedData[[#This Row],[Total Items Ordered]]*VLOOKUP(OrganizedData[[#This Row],[Product Code]],ProductData[],3,FALSE)</f>
        <v>2183</v>
      </c>
      <c r="R16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1651" spans="1:18" x14ac:dyDescent="0.3">
      <c r="A1651" s="2">
        <v>1644</v>
      </c>
      <c r="B1651" s="2" t="s">
        <v>4926</v>
      </c>
      <c r="C1651" s="2" t="s">
        <v>4927</v>
      </c>
      <c r="D1651" s="2" t="s">
        <v>15</v>
      </c>
      <c r="E1651" s="2" t="s">
        <v>16</v>
      </c>
      <c r="F1651" s="2">
        <v>90</v>
      </c>
      <c r="G1651" s="2" t="s">
        <v>4928</v>
      </c>
      <c r="H1651" s="2" t="s">
        <v>3387</v>
      </c>
      <c r="I1651" s="2" t="s">
        <v>2878</v>
      </c>
      <c r="J1651" s="3">
        <v>44367</v>
      </c>
      <c r="K1651" s="5">
        <f>YEAR(OrganizedData[[#This Row],[Order Date]])</f>
        <v>2021</v>
      </c>
      <c r="L1651" s="7" t="str">
        <f>TEXT(OrganizedData[[#This Row],[Order Date]],"mmm")</f>
        <v>Jun</v>
      </c>
      <c r="M1651" s="2">
        <v>14</v>
      </c>
      <c r="N1651" s="2" t="s">
        <v>70</v>
      </c>
      <c r="O1651" s="2" t="str">
        <f>VLOOKUP(OrganizedData[[#This Row],[Product Code]],ProductData[[Code]:[Item]],2,FALSE)</f>
        <v>Megawidget M</v>
      </c>
      <c r="P1651" s="4">
        <f>OrganizedData[[#This Row],[Quantity]]*VLOOKUP(OrganizedData[[#This Row],[Product Code]],ProductData[],4,FALSE)</f>
        <v>336</v>
      </c>
      <c r="Q1651" s="6">
        <f>OrganizedData[[#This Row],[Total Items Ordered]]*VLOOKUP(OrganizedData[[#This Row],[Product Code]],ProductData[],3,FALSE)</f>
        <v>433.44</v>
      </c>
      <c r="R16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1652" spans="1:18" x14ac:dyDescent="0.3">
      <c r="A1652" s="2">
        <v>1645</v>
      </c>
      <c r="B1652" s="2" t="s">
        <v>4929</v>
      </c>
      <c r="C1652" s="2" t="s">
        <v>832</v>
      </c>
      <c r="D1652" s="2" t="s">
        <v>15</v>
      </c>
      <c r="E1652" s="2" t="s">
        <v>16</v>
      </c>
      <c r="F1652" s="2">
        <v>90</v>
      </c>
      <c r="G1652" s="2" t="s">
        <v>10496</v>
      </c>
      <c r="H1652" s="2" t="s">
        <v>1077</v>
      </c>
      <c r="I1652" s="2" t="s">
        <v>1078</v>
      </c>
      <c r="J1652" s="3">
        <v>44828</v>
      </c>
      <c r="K1652" s="5">
        <f>YEAR(OrganizedData[[#This Row],[Order Date]])</f>
        <v>2022</v>
      </c>
      <c r="L1652" s="7" t="str">
        <f>TEXT(OrganizedData[[#This Row],[Order Date]],"mmm")</f>
        <v>Sep</v>
      </c>
      <c r="M1652" s="2">
        <v>65</v>
      </c>
      <c r="N1652" s="2" t="s">
        <v>159</v>
      </c>
      <c r="O1652" s="2" t="str">
        <f>VLOOKUP(OrganizedData[[#This Row],[Product Code]],ProductData[[Code]:[Item]],2,FALSE)</f>
        <v>Ultrathing V3</v>
      </c>
      <c r="P1652" s="4">
        <f>OrganizedData[[#This Row],[Quantity]]*VLOOKUP(OrganizedData[[#This Row],[Product Code]],ProductData[],4,FALSE)</f>
        <v>1560</v>
      </c>
      <c r="Q1652" s="6">
        <f>OrganizedData[[#This Row],[Total Items Ordered]]*VLOOKUP(OrganizedData[[#This Row],[Product Code]],ProductData[],3,FALSE)</f>
        <v>5288.4000000000005</v>
      </c>
      <c r="R16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1653" spans="1:18" x14ac:dyDescent="0.3">
      <c r="A1653" s="2">
        <v>1646</v>
      </c>
      <c r="B1653" s="2" t="s">
        <v>2292</v>
      </c>
      <c r="C1653" s="2" t="s">
        <v>2977</v>
      </c>
      <c r="D1653" s="2" t="s">
        <v>117</v>
      </c>
      <c r="E1653" s="2" t="s">
        <v>29</v>
      </c>
      <c r="F1653" s="2">
        <v>90</v>
      </c>
      <c r="G1653" s="2" t="s">
        <v>4931</v>
      </c>
      <c r="H1653" s="2" t="s">
        <v>4932</v>
      </c>
      <c r="I1653" s="2" t="s">
        <v>38</v>
      </c>
      <c r="J1653" s="3">
        <v>44623</v>
      </c>
      <c r="K1653" s="5">
        <f>YEAR(OrganizedData[[#This Row],[Order Date]])</f>
        <v>2022</v>
      </c>
      <c r="L1653" s="7" t="str">
        <f>TEXT(OrganizedData[[#This Row],[Order Date]],"mmm")</f>
        <v>Mar</v>
      </c>
      <c r="M1653" s="2">
        <v>55</v>
      </c>
      <c r="N1653" s="2" t="s">
        <v>45</v>
      </c>
      <c r="O1653" s="2" t="str">
        <f>VLOOKUP(OrganizedData[[#This Row],[Product Code]],ProductData[[Code]:[Item]],2,FALSE)</f>
        <v>Gigastuff</v>
      </c>
      <c r="P1653" s="4">
        <f>OrganizedData[[#This Row],[Quantity]]*VLOOKUP(OrganizedData[[#This Row],[Product Code]],ProductData[],4,FALSE)</f>
        <v>990</v>
      </c>
      <c r="Q1653" s="6">
        <f>OrganizedData[[#This Row],[Total Items Ordered]]*VLOOKUP(OrganizedData[[#This Row],[Product Code]],ProductData[],3,FALSE)</f>
        <v>1871.1</v>
      </c>
      <c r="R16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1654" spans="1:18" x14ac:dyDescent="0.3">
      <c r="A1654" s="2">
        <v>1647</v>
      </c>
      <c r="B1654" s="2" t="s">
        <v>721</v>
      </c>
      <c r="C1654" s="2" t="s">
        <v>4933</v>
      </c>
      <c r="D1654" s="2" t="s">
        <v>28</v>
      </c>
      <c r="E1654" s="2" t="s">
        <v>29</v>
      </c>
      <c r="F1654" s="2">
        <v>30</v>
      </c>
      <c r="G1654" s="2" t="s">
        <v>4934</v>
      </c>
      <c r="H1654" s="2" t="s">
        <v>4935</v>
      </c>
      <c r="I1654" s="2" t="s">
        <v>124</v>
      </c>
      <c r="J1654" s="3">
        <v>43860</v>
      </c>
      <c r="K1654" s="5">
        <f>YEAR(OrganizedData[[#This Row],[Order Date]])</f>
        <v>2020</v>
      </c>
      <c r="L1654" s="7" t="str">
        <f>TEXT(OrganizedData[[#This Row],[Order Date]],"mmm")</f>
        <v>Jan</v>
      </c>
      <c r="M1654" s="2">
        <v>78</v>
      </c>
      <c r="N1654" s="2" t="s">
        <v>33</v>
      </c>
      <c r="O1654" s="2" t="str">
        <f>VLOOKUP(OrganizedData[[#This Row],[Product Code]],ProductData[[Code]:[Item]],2,FALSE)</f>
        <v>Megawidget L</v>
      </c>
      <c r="P1654" s="4">
        <f>OrganizedData[[#This Row],[Quantity]]*VLOOKUP(OrganizedData[[#This Row],[Product Code]],ProductData[],4,FALSE)</f>
        <v>1872</v>
      </c>
      <c r="Q1654" s="6">
        <f>OrganizedData[[#This Row],[Total Items Ordered]]*VLOOKUP(OrganizedData[[#This Row],[Product Code]],ProductData[],3,FALSE)</f>
        <v>3350.88</v>
      </c>
      <c r="R16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3183.3359999999998</v>
      </c>
    </row>
    <row r="1655" spans="1:18" x14ac:dyDescent="0.3">
      <c r="A1655" s="2">
        <v>1648</v>
      </c>
      <c r="B1655" s="2" t="s">
        <v>4936</v>
      </c>
      <c r="C1655" s="2" t="s">
        <v>3109</v>
      </c>
      <c r="D1655" s="2" t="s">
        <v>28</v>
      </c>
      <c r="E1655" s="2" t="s">
        <v>29</v>
      </c>
      <c r="F1655" s="2">
        <v>60</v>
      </c>
      <c r="G1655" s="2" t="s">
        <v>4937</v>
      </c>
      <c r="H1655" s="2" t="s">
        <v>4938</v>
      </c>
      <c r="I1655" s="2" t="s">
        <v>32</v>
      </c>
      <c r="J1655" s="3">
        <v>44381</v>
      </c>
      <c r="K1655" s="5">
        <f>YEAR(OrganizedData[[#This Row],[Order Date]])</f>
        <v>2021</v>
      </c>
      <c r="L1655" s="7" t="str">
        <f>TEXT(OrganizedData[[#This Row],[Order Date]],"mmm")</f>
        <v>Jul</v>
      </c>
      <c r="M1655" s="2">
        <v>92</v>
      </c>
      <c r="N1655" s="2" t="s">
        <v>33</v>
      </c>
      <c r="O1655" s="2" t="str">
        <f>VLOOKUP(OrganizedData[[#This Row],[Product Code]],ProductData[[Code]:[Item]],2,FALSE)</f>
        <v>Megawidget L</v>
      </c>
      <c r="P1655" s="4">
        <f>OrganizedData[[#This Row],[Quantity]]*VLOOKUP(OrganizedData[[#This Row],[Product Code]],ProductData[],4,FALSE)</f>
        <v>2208</v>
      </c>
      <c r="Q1655" s="6">
        <f>OrganizedData[[#This Row],[Total Items Ordered]]*VLOOKUP(OrganizedData[[#This Row],[Product Code]],ProductData[],3,FALSE)</f>
        <v>3952.32</v>
      </c>
      <c r="R16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3754.7040000000002</v>
      </c>
    </row>
    <row r="1656" spans="1:18" x14ac:dyDescent="0.3">
      <c r="A1656" s="2">
        <v>1649</v>
      </c>
      <c r="B1656" s="2" t="s">
        <v>4939</v>
      </c>
      <c r="C1656" s="2" t="s">
        <v>1282</v>
      </c>
      <c r="D1656" s="2" t="s">
        <v>28</v>
      </c>
      <c r="E1656" s="2" t="s">
        <v>29</v>
      </c>
      <c r="F1656" s="2">
        <v>30</v>
      </c>
      <c r="G1656" s="2" t="s">
        <v>4940</v>
      </c>
      <c r="H1656" s="2" t="s">
        <v>4941</v>
      </c>
      <c r="I1656" s="2" t="s">
        <v>32</v>
      </c>
      <c r="J1656" s="3">
        <v>44915</v>
      </c>
      <c r="K1656" s="5">
        <f>YEAR(OrganizedData[[#This Row],[Order Date]])</f>
        <v>2022</v>
      </c>
      <c r="L1656" s="7" t="str">
        <f>TEXT(OrganizedData[[#This Row],[Order Date]],"mmm")</f>
        <v>Dec</v>
      </c>
      <c r="M1656" s="2">
        <v>88</v>
      </c>
      <c r="N1656" s="2" t="s">
        <v>80</v>
      </c>
      <c r="O1656" s="2" t="str">
        <f>VLOOKUP(OrganizedData[[#This Row],[Product Code]],ProductData[[Code]:[Item]],2,FALSE)</f>
        <v>Ultrathing V2</v>
      </c>
      <c r="P1656" s="4">
        <f>OrganizedData[[#This Row],[Quantity]]*VLOOKUP(OrganizedData[[#This Row],[Product Code]],ProductData[],4,FALSE)</f>
        <v>1760</v>
      </c>
      <c r="Q1656" s="6">
        <f>OrganizedData[[#This Row],[Total Items Ordered]]*VLOOKUP(OrganizedData[[#This Row],[Product Code]],ProductData[],3,FALSE)</f>
        <v>5192</v>
      </c>
      <c r="R16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4932.3999999999996</v>
      </c>
    </row>
    <row r="1657" spans="1:18" x14ac:dyDescent="0.3">
      <c r="A1657" s="2">
        <v>1650</v>
      </c>
      <c r="B1657" s="2" t="s">
        <v>4942</v>
      </c>
      <c r="C1657" s="2" t="s">
        <v>1406</v>
      </c>
      <c r="D1657" s="2" t="s">
        <v>41</v>
      </c>
      <c r="E1657" s="2" t="s">
        <v>16</v>
      </c>
      <c r="F1657" s="2">
        <v>60</v>
      </c>
      <c r="G1657" s="2" t="s">
        <v>4943</v>
      </c>
      <c r="H1657" s="2" t="s">
        <v>4944</v>
      </c>
      <c r="I1657" s="2" t="s">
        <v>839</v>
      </c>
      <c r="J1657" s="3">
        <v>44691</v>
      </c>
      <c r="K1657" s="5">
        <f>YEAR(OrganizedData[[#This Row],[Order Date]])</f>
        <v>2022</v>
      </c>
      <c r="L1657" s="7" t="str">
        <f>TEXT(OrganizedData[[#This Row],[Order Date]],"mmm")</f>
        <v>May</v>
      </c>
      <c r="M1657" s="2">
        <v>99</v>
      </c>
      <c r="N1657" s="2" t="s">
        <v>20</v>
      </c>
      <c r="O1657" s="2" t="str">
        <f>VLOOKUP(OrganizedData[[#This Row],[Product Code]],ProductData[[Code]:[Item]],2,FALSE)</f>
        <v>Hyperwotsit</v>
      </c>
      <c r="P1657" s="4">
        <f>OrganizedData[[#This Row],[Quantity]]*VLOOKUP(OrganizedData[[#This Row],[Product Code]],ProductData[],4,FALSE)</f>
        <v>1980</v>
      </c>
      <c r="Q1657" s="6">
        <f>OrganizedData[[#This Row],[Total Items Ordered]]*VLOOKUP(OrganizedData[[#This Row],[Product Code]],ProductData[],3,FALSE)</f>
        <v>3979.7999999999997</v>
      </c>
      <c r="R16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3780.8099999999995</v>
      </c>
    </row>
    <row r="1658" spans="1:18" x14ac:dyDescent="0.3">
      <c r="A1658" s="2">
        <v>1651</v>
      </c>
      <c r="B1658" s="2" t="s">
        <v>1672</v>
      </c>
      <c r="C1658" s="2" t="s">
        <v>499</v>
      </c>
      <c r="D1658" s="2" t="s">
        <v>28</v>
      </c>
      <c r="E1658" s="2" t="s">
        <v>29</v>
      </c>
      <c r="F1658" s="2">
        <v>90</v>
      </c>
      <c r="G1658" s="2" t="s">
        <v>4945</v>
      </c>
      <c r="H1658" s="2" t="s">
        <v>720</v>
      </c>
      <c r="I1658" s="2" t="s">
        <v>686</v>
      </c>
      <c r="J1658" s="3">
        <v>44444</v>
      </c>
      <c r="K1658" s="5">
        <f>YEAR(OrganizedData[[#This Row],[Order Date]])</f>
        <v>2021</v>
      </c>
      <c r="L1658" s="7" t="str">
        <f>TEXT(OrganizedData[[#This Row],[Order Date]],"mmm")</f>
        <v>Sep</v>
      </c>
      <c r="M1658" s="2">
        <v>68</v>
      </c>
      <c r="N1658" s="2" t="s">
        <v>20</v>
      </c>
      <c r="O1658" s="2" t="str">
        <f>VLOOKUP(OrganizedData[[#This Row],[Product Code]],ProductData[[Code]:[Item]],2,FALSE)</f>
        <v>Hyperwotsit</v>
      </c>
      <c r="P1658" s="4">
        <f>OrganizedData[[#This Row],[Quantity]]*VLOOKUP(OrganizedData[[#This Row],[Product Code]],ProductData[],4,FALSE)</f>
        <v>1360</v>
      </c>
      <c r="Q1658" s="6">
        <f>OrganizedData[[#This Row],[Total Items Ordered]]*VLOOKUP(OrganizedData[[#This Row],[Product Code]],ProductData[],3,FALSE)</f>
        <v>2733.6</v>
      </c>
      <c r="R16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2596.9199999999996</v>
      </c>
    </row>
    <row r="1659" spans="1:18" x14ac:dyDescent="0.3">
      <c r="A1659" s="2">
        <v>1652</v>
      </c>
      <c r="B1659" s="2" t="s">
        <v>1881</v>
      </c>
      <c r="C1659" s="2" t="s">
        <v>4946</v>
      </c>
      <c r="D1659" s="2" t="s">
        <v>28</v>
      </c>
      <c r="E1659" s="2" t="s">
        <v>29</v>
      </c>
      <c r="F1659" s="2">
        <v>90</v>
      </c>
      <c r="G1659" s="2" t="s">
        <v>4945</v>
      </c>
      <c r="H1659" s="2" t="s">
        <v>4947</v>
      </c>
      <c r="I1659" s="2" t="s">
        <v>32</v>
      </c>
      <c r="J1659" s="3">
        <v>44596</v>
      </c>
      <c r="K1659" s="5">
        <f>YEAR(OrganizedData[[#This Row],[Order Date]])</f>
        <v>2022</v>
      </c>
      <c r="L1659" s="7" t="str">
        <f>TEXT(OrganizedData[[#This Row],[Order Date]],"mmm")</f>
        <v>Feb</v>
      </c>
      <c r="M1659" s="2">
        <v>75</v>
      </c>
      <c r="N1659" s="2" t="s">
        <v>64</v>
      </c>
      <c r="O1659" s="2" t="str">
        <f>VLOOKUP(OrganizedData[[#This Row],[Product Code]],ProductData[[Code]:[Item]],2,FALSE)</f>
        <v>Ultrathing V4</v>
      </c>
      <c r="P1659" s="4">
        <f>OrganizedData[[#This Row],[Quantity]]*VLOOKUP(OrganizedData[[#This Row],[Product Code]],ProductData[],4,FALSE)</f>
        <v>1800</v>
      </c>
      <c r="Q1659" s="6">
        <f>OrganizedData[[#This Row],[Total Items Ordered]]*VLOOKUP(OrganizedData[[#This Row],[Product Code]],ProductData[],3,FALSE)</f>
        <v>7182</v>
      </c>
      <c r="R16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6822.9</v>
      </c>
    </row>
    <row r="1660" spans="1:18" x14ac:dyDescent="0.3">
      <c r="A1660" s="2">
        <v>1653</v>
      </c>
      <c r="B1660" s="2" t="s">
        <v>4948</v>
      </c>
      <c r="C1660" s="2" t="s">
        <v>4949</v>
      </c>
      <c r="D1660" s="2" t="s">
        <v>15</v>
      </c>
      <c r="E1660" s="2" t="s">
        <v>16</v>
      </c>
      <c r="F1660" s="2">
        <v>90</v>
      </c>
      <c r="G1660" s="2" t="s">
        <v>4950</v>
      </c>
      <c r="H1660" s="2" t="s">
        <v>3699</v>
      </c>
      <c r="I1660" s="2" t="s">
        <v>2983</v>
      </c>
      <c r="J1660" s="3">
        <v>44313</v>
      </c>
      <c r="K1660" s="5">
        <f>YEAR(OrganizedData[[#This Row],[Order Date]])</f>
        <v>2021</v>
      </c>
      <c r="L1660" s="7" t="str">
        <f>TEXT(OrganizedData[[#This Row],[Order Date]],"mmm")</f>
        <v>Apr</v>
      </c>
      <c r="M1660" s="2">
        <v>95</v>
      </c>
      <c r="N1660" s="2" t="s">
        <v>70</v>
      </c>
      <c r="O1660" s="2" t="str">
        <f>VLOOKUP(OrganizedData[[#This Row],[Product Code]],ProductData[[Code]:[Item]],2,FALSE)</f>
        <v>Megawidget M</v>
      </c>
      <c r="P1660" s="4">
        <f>OrganizedData[[#This Row],[Quantity]]*VLOOKUP(OrganizedData[[#This Row],[Product Code]],ProductData[],4,FALSE)</f>
        <v>2280</v>
      </c>
      <c r="Q1660" s="6">
        <f>OrganizedData[[#This Row],[Total Items Ordered]]*VLOOKUP(OrganizedData[[#This Row],[Product Code]],ProductData[],3,FALSE)</f>
        <v>2941.2000000000003</v>
      </c>
      <c r="R16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2794.1400000000003</v>
      </c>
    </row>
    <row r="1661" spans="1:18" x14ac:dyDescent="0.3">
      <c r="A1661" s="2">
        <v>1654</v>
      </c>
      <c r="B1661" s="2" t="s">
        <v>4951</v>
      </c>
      <c r="C1661" s="2" t="s">
        <v>26</v>
      </c>
      <c r="D1661" s="2" t="s">
        <v>15</v>
      </c>
      <c r="E1661" s="2" t="s">
        <v>16</v>
      </c>
      <c r="F1661" s="2">
        <v>90</v>
      </c>
      <c r="G1661" s="2" t="s">
        <v>4952</v>
      </c>
      <c r="H1661" s="2" t="s">
        <v>806</v>
      </c>
      <c r="I1661" s="2" t="s">
        <v>178</v>
      </c>
      <c r="J1661" s="3">
        <v>44847</v>
      </c>
      <c r="K1661" s="5">
        <f>YEAR(OrganizedData[[#This Row],[Order Date]])</f>
        <v>2022</v>
      </c>
      <c r="L1661" s="7" t="str">
        <f>TEXT(OrganizedData[[#This Row],[Order Date]],"mmm")</f>
        <v>Oct</v>
      </c>
      <c r="M1661" s="2">
        <v>72</v>
      </c>
      <c r="N1661" s="2" t="s">
        <v>45</v>
      </c>
      <c r="O1661" s="2" t="str">
        <f>VLOOKUP(OrganizedData[[#This Row],[Product Code]],ProductData[[Code]:[Item]],2,FALSE)</f>
        <v>Gigastuff</v>
      </c>
      <c r="P1661" s="4">
        <f>OrganizedData[[#This Row],[Quantity]]*VLOOKUP(OrganizedData[[#This Row],[Product Code]],ProductData[],4,FALSE)</f>
        <v>1296</v>
      </c>
      <c r="Q1661" s="6">
        <f>OrganizedData[[#This Row],[Total Items Ordered]]*VLOOKUP(OrganizedData[[#This Row],[Product Code]],ProductData[],3,FALSE)</f>
        <v>2449.44</v>
      </c>
      <c r="R16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2326.9679999999998</v>
      </c>
    </row>
    <row r="1662" spans="1:18" x14ac:dyDescent="0.3">
      <c r="A1662" s="2">
        <v>1655</v>
      </c>
      <c r="B1662" s="2" t="s">
        <v>4953</v>
      </c>
      <c r="C1662" s="2" t="s">
        <v>4596</v>
      </c>
      <c r="D1662" s="2" t="s">
        <v>15</v>
      </c>
      <c r="E1662" s="2" t="s">
        <v>16</v>
      </c>
      <c r="F1662" s="2">
        <v>60</v>
      </c>
      <c r="G1662" s="2" t="s">
        <v>4954</v>
      </c>
      <c r="H1662" s="2" t="s">
        <v>4955</v>
      </c>
      <c r="I1662" s="2" t="s">
        <v>645</v>
      </c>
      <c r="J1662" s="3">
        <v>44901</v>
      </c>
      <c r="K1662" s="5">
        <f>YEAR(OrganizedData[[#This Row],[Order Date]])</f>
        <v>2022</v>
      </c>
      <c r="L1662" s="7" t="str">
        <f>TEXT(OrganizedData[[#This Row],[Order Date]],"mmm")</f>
        <v>Dec</v>
      </c>
      <c r="M1662" s="2">
        <v>56</v>
      </c>
      <c r="N1662" s="2" t="s">
        <v>33</v>
      </c>
      <c r="O1662" s="2" t="str">
        <f>VLOOKUP(OrganizedData[[#This Row],[Product Code]],ProductData[[Code]:[Item]],2,FALSE)</f>
        <v>Megawidget L</v>
      </c>
      <c r="P1662" s="4">
        <f>OrganizedData[[#This Row],[Quantity]]*VLOOKUP(OrganizedData[[#This Row],[Product Code]],ProductData[],4,FALSE)</f>
        <v>1344</v>
      </c>
      <c r="Q1662" s="6">
        <f>OrganizedData[[#This Row],[Total Items Ordered]]*VLOOKUP(OrganizedData[[#This Row],[Product Code]],ProductData[],3,FALSE)</f>
        <v>2405.7600000000002</v>
      </c>
      <c r="R16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2285.4720000000002</v>
      </c>
    </row>
    <row r="1663" spans="1:18" x14ac:dyDescent="0.3">
      <c r="A1663" s="2">
        <v>1656</v>
      </c>
      <c r="B1663" s="2" t="s">
        <v>2701</v>
      </c>
      <c r="C1663" s="2" t="s">
        <v>3350</v>
      </c>
      <c r="D1663" s="2" t="s">
        <v>28</v>
      </c>
      <c r="E1663" s="2" t="s">
        <v>29</v>
      </c>
      <c r="F1663" s="2">
        <v>90</v>
      </c>
      <c r="G1663" s="2" t="s">
        <v>4954</v>
      </c>
      <c r="H1663" s="2" t="s">
        <v>997</v>
      </c>
      <c r="I1663" s="2" t="s">
        <v>110</v>
      </c>
      <c r="J1663" s="3">
        <v>44179</v>
      </c>
      <c r="K1663" s="5">
        <f>YEAR(OrganizedData[[#This Row],[Order Date]])</f>
        <v>2020</v>
      </c>
      <c r="L1663" s="7" t="str">
        <f>TEXT(OrganizedData[[#This Row],[Order Date]],"mmm")</f>
        <v>Dec</v>
      </c>
      <c r="M1663" s="2">
        <v>53</v>
      </c>
      <c r="N1663" s="2" t="s">
        <v>39</v>
      </c>
      <c r="O1663" s="2" t="str">
        <f>VLOOKUP(OrganizedData[[#This Row],[Product Code]],ProductData[[Code]:[Item]],2,FALSE)</f>
        <v>Ultrathing V1</v>
      </c>
      <c r="P1663" s="4">
        <f>OrganizedData[[#This Row],[Quantity]]*VLOOKUP(OrganizedData[[#This Row],[Product Code]],ProductData[],4,FALSE)</f>
        <v>901</v>
      </c>
      <c r="Q1663" s="6">
        <f>OrganizedData[[#This Row],[Total Items Ordered]]*VLOOKUP(OrganizedData[[#This Row],[Product Code]],ProductData[],3,FALSE)</f>
        <v>1612.79</v>
      </c>
      <c r="R16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1532.1505</v>
      </c>
    </row>
    <row r="1664" spans="1:18" x14ac:dyDescent="0.3">
      <c r="A1664" s="2">
        <v>1657</v>
      </c>
      <c r="B1664" s="2" t="s">
        <v>4956</v>
      </c>
      <c r="C1664" s="2" t="s">
        <v>2317</v>
      </c>
      <c r="D1664" s="2" t="s">
        <v>15</v>
      </c>
      <c r="E1664" s="2" t="s">
        <v>16</v>
      </c>
      <c r="F1664" s="2">
        <v>90</v>
      </c>
      <c r="G1664" s="2" t="s">
        <v>4957</v>
      </c>
      <c r="H1664" s="2" t="s">
        <v>4958</v>
      </c>
      <c r="I1664" s="2" t="s">
        <v>95</v>
      </c>
      <c r="J1664" s="3">
        <v>44775</v>
      </c>
      <c r="K1664" s="5">
        <f>YEAR(OrganizedData[[#This Row],[Order Date]])</f>
        <v>2022</v>
      </c>
      <c r="L1664" s="7" t="str">
        <f>TEXT(OrganizedData[[#This Row],[Order Date]],"mmm")</f>
        <v>Aug</v>
      </c>
      <c r="M1664" s="2">
        <v>103</v>
      </c>
      <c r="N1664" s="2" t="s">
        <v>159</v>
      </c>
      <c r="O1664" s="2" t="str">
        <f>VLOOKUP(OrganizedData[[#This Row],[Product Code]],ProductData[[Code]:[Item]],2,FALSE)</f>
        <v>Ultrathing V3</v>
      </c>
      <c r="P1664" s="4">
        <f>OrganizedData[[#This Row],[Quantity]]*VLOOKUP(OrganizedData[[#This Row],[Product Code]],ProductData[],4,FALSE)</f>
        <v>2472</v>
      </c>
      <c r="Q1664" s="6">
        <f>OrganizedData[[#This Row],[Total Items Ordered]]*VLOOKUP(OrganizedData[[#This Row],[Product Code]],ProductData[],3,FALSE)</f>
        <v>8380.08</v>
      </c>
      <c r="R16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7793.4744000000001</v>
      </c>
    </row>
    <row r="1665" spans="1:18" x14ac:dyDescent="0.3">
      <c r="A1665" s="2">
        <v>1658</v>
      </c>
      <c r="B1665" s="2" t="s">
        <v>979</v>
      </c>
      <c r="C1665" s="2" t="s">
        <v>4168</v>
      </c>
      <c r="D1665" s="2" t="s">
        <v>28</v>
      </c>
      <c r="E1665" s="2" t="s">
        <v>29</v>
      </c>
      <c r="F1665" s="2">
        <v>30</v>
      </c>
      <c r="G1665" s="2" t="s">
        <v>4959</v>
      </c>
      <c r="H1665" s="2" t="s">
        <v>2506</v>
      </c>
      <c r="I1665" s="2" t="s">
        <v>32</v>
      </c>
      <c r="J1665" s="3">
        <v>44599</v>
      </c>
      <c r="K1665" s="5">
        <f>YEAR(OrganizedData[[#This Row],[Order Date]])</f>
        <v>2022</v>
      </c>
      <c r="L1665" s="7" t="str">
        <f>TEXT(OrganizedData[[#This Row],[Order Date]],"mmm")</f>
        <v>Feb</v>
      </c>
      <c r="M1665" s="2">
        <v>87</v>
      </c>
      <c r="N1665" s="2" t="s">
        <v>64</v>
      </c>
      <c r="O1665" s="2" t="str">
        <f>VLOOKUP(OrganizedData[[#This Row],[Product Code]],ProductData[[Code]:[Item]],2,FALSE)</f>
        <v>Ultrathing V4</v>
      </c>
      <c r="P1665" s="4">
        <f>OrganizedData[[#This Row],[Quantity]]*VLOOKUP(OrganizedData[[#This Row],[Product Code]],ProductData[],4,FALSE)</f>
        <v>2088</v>
      </c>
      <c r="Q1665" s="6">
        <f>OrganizedData[[#This Row],[Total Items Ordered]]*VLOOKUP(OrganizedData[[#This Row],[Product Code]],ProductData[],3,FALSE)</f>
        <v>8331.1200000000008</v>
      </c>
      <c r="R16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7914.5640000000003</v>
      </c>
    </row>
    <row r="1666" spans="1:18" x14ac:dyDescent="0.3">
      <c r="A1666" s="2">
        <v>1659</v>
      </c>
      <c r="B1666" s="2" t="s">
        <v>2399</v>
      </c>
      <c r="C1666" s="2" t="s">
        <v>4960</v>
      </c>
      <c r="D1666" s="2" t="s">
        <v>28</v>
      </c>
      <c r="E1666" s="2" t="s">
        <v>29</v>
      </c>
      <c r="F1666" s="2">
        <v>60</v>
      </c>
      <c r="G1666" s="2" t="s">
        <v>4961</v>
      </c>
      <c r="H1666" s="2" t="s">
        <v>917</v>
      </c>
      <c r="I1666" s="2" t="s">
        <v>32</v>
      </c>
      <c r="J1666" s="3">
        <v>44768</v>
      </c>
      <c r="K1666" s="5">
        <f>YEAR(OrganizedData[[#This Row],[Order Date]])</f>
        <v>2022</v>
      </c>
      <c r="L1666" s="7" t="str">
        <f>TEXT(OrganizedData[[#This Row],[Order Date]],"mmm")</f>
        <v>Jul</v>
      </c>
      <c r="M1666" s="2">
        <v>48</v>
      </c>
      <c r="N1666" s="2" t="s">
        <v>54</v>
      </c>
      <c r="O1666" s="2" t="str">
        <f>VLOOKUP(OrganizedData[[#This Row],[Product Code]],ProductData[[Code]:[Item]],2,FALSE)</f>
        <v>Megawidget S</v>
      </c>
      <c r="P1666" s="4">
        <f>OrganizedData[[#This Row],[Quantity]]*VLOOKUP(OrganizedData[[#This Row],[Product Code]],ProductData[],4,FALSE)</f>
        <v>1152</v>
      </c>
      <c r="Q1666" s="6">
        <f>OrganizedData[[#This Row],[Total Items Ordered]]*VLOOKUP(OrganizedData[[#This Row],[Product Code]],ProductData[],3,FALSE)</f>
        <v>794.87999999999988</v>
      </c>
      <c r="R16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771.03359999999986</v>
      </c>
    </row>
    <row r="1667" spans="1:18" x14ac:dyDescent="0.3">
      <c r="A1667" s="2">
        <v>1660</v>
      </c>
      <c r="B1667" s="2" t="s">
        <v>4962</v>
      </c>
      <c r="C1667" s="2" t="s">
        <v>4963</v>
      </c>
      <c r="D1667" s="2" t="s">
        <v>28</v>
      </c>
      <c r="E1667" s="2" t="s">
        <v>29</v>
      </c>
      <c r="F1667" s="2">
        <v>30</v>
      </c>
      <c r="G1667" s="2" t="s">
        <v>4964</v>
      </c>
      <c r="H1667" s="2" t="s">
        <v>119</v>
      </c>
      <c r="I1667" s="2" t="s">
        <v>32</v>
      </c>
      <c r="J1667" s="3">
        <v>44020</v>
      </c>
      <c r="K1667" s="5">
        <f>YEAR(OrganizedData[[#This Row],[Order Date]])</f>
        <v>2020</v>
      </c>
      <c r="L1667" s="7" t="str">
        <f>TEXT(OrganizedData[[#This Row],[Order Date]],"mmm")</f>
        <v>Jul</v>
      </c>
      <c r="M1667" s="2">
        <v>3</v>
      </c>
      <c r="N1667" s="2" t="s">
        <v>64</v>
      </c>
      <c r="O1667" s="2" t="str">
        <f>VLOOKUP(OrganizedData[[#This Row],[Product Code]],ProductData[[Code]:[Item]],2,FALSE)</f>
        <v>Ultrathing V4</v>
      </c>
      <c r="P1667" s="4">
        <f>OrganizedData[[#This Row],[Quantity]]*VLOOKUP(OrganizedData[[#This Row],[Product Code]],ProductData[],4,FALSE)</f>
        <v>72</v>
      </c>
      <c r="Q1667" s="6">
        <f>OrganizedData[[#This Row],[Total Items Ordered]]*VLOOKUP(OrganizedData[[#This Row],[Product Code]],ProductData[],3,FALSE)</f>
        <v>287.28000000000003</v>
      </c>
      <c r="R16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287.28000000000003</v>
      </c>
    </row>
    <row r="1668" spans="1:18" x14ac:dyDescent="0.3">
      <c r="A1668" s="2">
        <v>1661</v>
      </c>
      <c r="B1668" s="2" t="s">
        <v>4965</v>
      </c>
      <c r="C1668" s="2" t="s">
        <v>4242</v>
      </c>
      <c r="D1668" s="2" t="s">
        <v>28</v>
      </c>
      <c r="E1668" s="2" t="s">
        <v>29</v>
      </c>
      <c r="F1668" s="2">
        <v>30</v>
      </c>
      <c r="G1668" s="2" t="s">
        <v>4966</v>
      </c>
      <c r="H1668" s="2" t="s">
        <v>4967</v>
      </c>
      <c r="I1668" s="2" t="s">
        <v>32</v>
      </c>
      <c r="J1668" s="3">
        <v>44347</v>
      </c>
      <c r="K1668" s="5">
        <f>YEAR(OrganizedData[[#This Row],[Order Date]])</f>
        <v>2021</v>
      </c>
      <c r="L1668" s="7" t="str">
        <f>TEXT(OrganizedData[[#This Row],[Order Date]],"mmm")</f>
        <v>May</v>
      </c>
      <c r="M1668" s="2">
        <v>89</v>
      </c>
      <c r="N1668" s="2" t="s">
        <v>70</v>
      </c>
      <c r="O1668" s="2" t="str">
        <f>VLOOKUP(OrganizedData[[#This Row],[Product Code]],ProductData[[Code]:[Item]],2,FALSE)</f>
        <v>Megawidget M</v>
      </c>
      <c r="P1668" s="4">
        <f>OrganizedData[[#This Row],[Quantity]]*VLOOKUP(OrganizedData[[#This Row],[Product Code]],ProductData[],4,FALSE)</f>
        <v>2136</v>
      </c>
      <c r="Q1668" s="6">
        <f>OrganizedData[[#This Row],[Total Items Ordered]]*VLOOKUP(OrganizedData[[#This Row],[Product Code]],ProductData[],3,FALSE)</f>
        <v>2755.44</v>
      </c>
      <c r="R16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2617.6680000000001</v>
      </c>
    </row>
    <row r="1669" spans="1:18" x14ac:dyDescent="0.3">
      <c r="A1669" s="2">
        <v>1662</v>
      </c>
      <c r="B1669" s="2" t="s">
        <v>4072</v>
      </c>
      <c r="C1669" s="2" t="s">
        <v>1698</v>
      </c>
      <c r="D1669" s="2" t="s">
        <v>51</v>
      </c>
      <c r="E1669" s="2" t="s">
        <v>16</v>
      </c>
      <c r="F1669" s="2">
        <v>30</v>
      </c>
      <c r="G1669" s="2" t="s">
        <v>4968</v>
      </c>
      <c r="H1669" s="2" t="s">
        <v>746</v>
      </c>
      <c r="I1669" s="2" t="s">
        <v>32</v>
      </c>
      <c r="J1669" s="3">
        <v>44814</v>
      </c>
      <c r="K1669" s="5">
        <f>YEAR(OrganizedData[[#This Row],[Order Date]])</f>
        <v>2022</v>
      </c>
      <c r="L1669" s="7" t="str">
        <f>TEXT(OrganizedData[[#This Row],[Order Date]],"mmm")</f>
        <v>Sep</v>
      </c>
      <c r="M1669" s="2">
        <v>81</v>
      </c>
      <c r="N1669" s="2" t="s">
        <v>64</v>
      </c>
      <c r="O1669" s="2" t="str">
        <f>VLOOKUP(OrganizedData[[#This Row],[Product Code]],ProductData[[Code]:[Item]],2,FALSE)</f>
        <v>Ultrathing V4</v>
      </c>
      <c r="P1669" s="4">
        <f>OrganizedData[[#This Row],[Quantity]]*VLOOKUP(OrganizedData[[#This Row],[Product Code]],ProductData[],4,FALSE)</f>
        <v>1944</v>
      </c>
      <c r="Q1669" s="6">
        <f>OrganizedData[[#This Row],[Total Items Ordered]]*VLOOKUP(OrganizedData[[#This Row],[Product Code]],ProductData[],3,FALSE)</f>
        <v>7756.56</v>
      </c>
      <c r="R16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7368.732</v>
      </c>
    </row>
    <row r="1670" spans="1:18" x14ac:dyDescent="0.3">
      <c r="A1670" s="2">
        <v>1663</v>
      </c>
      <c r="B1670" s="2" t="s">
        <v>752</v>
      </c>
      <c r="C1670" s="2" t="s">
        <v>2359</v>
      </c>
      <c r="D1670" s="2" t="s">
        <v>28</v>
      </c>
      <c r="E1670" s="2" t="s">
        <v>29</v>
      </c>
      <c r="F1670" s="2">
        <v>30</v>
      </c>
      <c r="G1670" s="2" t="s">
        <v>4969</v>
      </c>
      <c r="H1670" s="2" t="s">
        <v>4915</v>
      </c>
      <c r="I1670" s="2" t="s">
        <v>32</v>
      </c>
      <c r="J1670" s="3">
        <v>44847</v>
      </c>
      <c r="K1670" s="5">
        <f>YEAR(OrganizedData[[#This Row],[Order Date]])</f>
        <v>2022</v>
      </c>
      <c r="L1670" s="7" t="str">
        <f>TEXT(OrganizedData[[#This Row],[Order Date]],"mmm")</f>
        <v>Oct</v>
      </c>
      <c r="M1670" s="2">
        <v>28</v>
      </c>
      <c r="N1670" s="2" t="s">
        <v>20</v>
      </c>
      <c r="O1670" s="2" t="str">
        <f>VLOOKUP(OrganizedData[[#This Row],[Product Code]],ProductData[[Code]:[Item]],2,FALSE)</f>
        <v>Hyperwotsit</v>
      </c>
      <c r="P1670" s="4">
        <f>OrganizedData[[#This Row],[Quantity]]*VLOOKUP(OrganizedData[[#This Row],[Product Code]],ProductData[],4,FALSE)</f>
        <v>560</v>
      </c>
      <c r="Q1670" s="6">
        <f>OrganizedData[[#This Row],[Total Items Ordered]]*VLOOKUP(OrganizedData[[#This Row],[Product Code]],ProductData[],3,FALSE)</f>
        <v>1125.5999999999999</v>
      </c>
      <c r="R16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1091.8319999999999</v>
      </c>
    </row>
    <row r="1671" spans="1:18" x14ac:dyDescent="0.3">
      <c r="A1671" s="2">
        <v>1664</v>
      </c>
      <c r="B1671" s="2" t="s">
        <v>4970</v>
      </c>
      <c r="C1671" s="2" t="s">
        <v>4971</v>
      </c>
      <c r="D1671" s="2" t="s">
        <v>51</v>
      </c>
      <c r="E1671" s="2" t="s">
        <v>16</v>
      </c>
      <c r="F1671" s="2">
        <v>30</v>
      </c>
      <c r="G1671" s="2" t="s">
        <v>4972</v>
      </c>
      <c r="H1671" s="2" t="s">
        <v>3356</v>
      </c>
      <c r="I1671" s="2" t="s">
        <v>32</v>
      </c>
      <c r="J1671" s="3">
        <v>44702</v>
      </c>
      <c r="K1671" s="5">
        <f>YEAR(OrganizedData[[#This Row],[Order Date]])</f>
        <v>2022</v>
      </c>
      <c r="L1671" s="7" t="str">
        <f>TEXT(OrganizedData[[#This Row],[Order Date]],"mmm")</f>
        <v>May</v>
      </c>
      <c r="M1671" s="2">
        <v>19</v>
      </c>
      <c r="N1671" s="2" t="s">
        <v>39</v>
      </c>
      <c r="O1671" s="2" t="str">
        <f>VLOOKUP(OrganizedData[[#This Row],[Product Code]],ProductData[[Code]:[Item]],2,FALSE)</f>
        <v>Ultrathing V1</v>
      </c>
      <c r="P1671" s="4">
        <f>OrganizedData[[#This Row],[Quantity]]*VLOOKUP(OrganizedData[[#This Row],[Product Code]],ProductData[],4,FALSE)</f>
        <v>323</v>
      </c>
      <c r="Q1671" s="6">
        <f>OrganizedData[[#This Row],[Total Items Ordered]]*VLOOKUP(OrganizedData[[#This Row],[Product Code]],ProductData[],3,FALSE)</f>
        <v>578.16999999999996</v>
      </c>
      <c r="R16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578.16999999999996</v>
      </c>
    </row>
    <row r="1672" spans="1:18" x14ac:dyDescent="0.3">
      <c r="A1672" s="2">
        <v>1665</v>
      </c>
      <c r="B1672" s="2" t="s">
        <v>4973</v>
      </c>
      <c r="C1672" s="2" t="s">
        <v>4974</v>
      </c>
      <c r="D1672" s="2" t="s">
        <v>28</v>
      </c>
      <c r="E1672" s="2" t="s">
        <v>29</v>
      </c>
      <c r="F1672" s="2">
        <v>90</v>
      </c>
      <c r="G1672" s="2" t="s">
        <v>4975</v>
      </c>
      <c r="H1672" s="2" t="s">
        <v>710</v>
      </c>
      <c r="I1672" s="2" t="s">
        <v>187</v>
      </c>
      <c r="J1672" s="3">
        <v>44481</v>
      </c>
      <c r="K1672" s="5">
        <f>YEAR(OrganizedData[[#This Row],[Order Date]])</f>
        <v>2021</v>
      </c>
      <c r="L1672" s="7" t="str">
        <f>TEXT(OrganizedData[[#This Row],[Order Date]],"mmm")</f>
        <v>Oct</v>
      </c>
      <c r="M1672" s="2">
        <v>20</v>
      </c>
      <c r="N1672" s="2" t="s">
        <v>64</v>
      </c>
      <c r="O1672" s="2" t="str">
        <f>VLOOKUP(OrganizedData[[#This Row],[Product Code]],ProductData[[Code]:[Item]],2,FALSE)</f>
        <v>Ultrathing V4</v>
      </c>
      <c r="P1672" s="4">
        <f>OrganizedData[[#This Row],[Quantity]]*VLOOKUP(OrganizedData[[#This Row],[Product Code]],ProductData[],4,FALSE)</f>
        <v>480</v>
      </c>
      <c r="Q1672" s="6">
        <f>OrganizedData[[#This Row],[Total Items Ordered]]*VLOOKUP(OrganizedData[[#This Row],[Product Code]],ProductData[],3,FALSE)</f>
        <v>1915.2</v>
      </c>
      <c r="R16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1673" spans="1:18" x14ac:dyDescent="0.3">
      <c r="A1673" s="2">
        <v>1666</v>
      </c>
      <c r="B1673" s="2" t="s">
        <v>2853</v>
      </c>
      <c r="C1673" s="2" t="s">
        <v>1085</v>
      </c>
      <c r="D1673" s="2" t="s">
        <v>28</v>
      </c>
      <c r="E1673" s="2" t="s">
        <v>29</v>
      </c>
      <c r="F1673" s="2">
        <v>60</v>
      </c>
      <c r="G1673" s="2" t="s">
        <v>4976</v>
      </c>
      <c r="H1673" s="2" t="s">
        <v>1099</v>
      </c>
      <c r="I1673" s="2" t="s">
        <v>25</v>
      </c>
      <c r="J1673" s="3">
        <v>43902</v>
      </c>
      <c r="K1673" s="5">
        <f>YEAR(OrganizedData[[#This Row],[Order Date]])</f>
        <v>2020</v>
      </c>
      <c r="L1673" s="7" t="str">
        <f>TEXT(OrganizedData[[#This Row],[Order Date]],"mmm")</f>
        <v>Mar</v>
      </c>
      <c r="M1673" s="2">
        <v>46</v>
      </c>
      <c r="N1673" s="2" t="s">
        <v>64</v>
      </c>
      <c r="O1673" s="2" t="str">
        <f>VLOOKUP(OrganizedData[[#This Row],[Product Code]],ProductData[[Code]:[Item]],2,FALSE)</f>
        <v>Ultrathing V4</v>
      </c>
      <c r="P1673" s="4">
        <f>OrganizedData[[#This Row],[Quantity]]*VLOOKUP(OrganizedData[[#This Row],[Product Code]],ProductData[],4,FALSE)</f>
        <v>1104</v>
      </c>
      <c r="Q1673" s="6">
        <f>OrganizedData[[#This Row],[Total Items Ordered]]*VLOOKUP(OrganizedData[[#This Row],[Product Code]],ProductData[],3,FALSE)</f>
        <v>4404.96</v>
      </c>
      <c r="R16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4272.8112000000001</v>
      </c>
    </row>
    <row r="1674" spans="1:18" x14ac:dyDescent="0.3">
      <c r="A1674" s="2">
        <v>1667</v>
      </c>
      <c r="B1674" s="2" t="s">
        <v>4977</v>
      </c>
      <c r="C1674" s="2" t="s">
        <v>983</v>
      </c>
      <c r="D1674" s="2" t="s">
        <v>15</v>
      </c>
      <c r="E1674" s="2" t="s">
        <v>16</v>
      </c>
      <c r="F1674" s="2">
        <v>30</v>
      </c>
      <c r="G1674" s="2" t="s">
        <v>4978</v>
      </c>
      <c r="H1674" s="2" t="s">
        <v>4979</v>
      </c>
      <c r="I1674" s="2" t="s">
        <v>294</v>
      </c>
      <c r="J1674" s="3">
        <v>44834</v>
      </c>
      <c r="K1674" s="5">
        <f>YEAR(OrganizedData[[#This Row],[Order Date]])</f>
        <v>2022</v>
      </c>
      <c r="L1674" s="7" t="str">
        <f>TEXT(OrganizedData[[#This Row],[Order Date]],"mmm")</f>
        <v>Sep</v>
      </c>
      <c r="M1674" s="2">
        <v>36</v>
      </c>
      <c r="N1674" s="2" t="s">
        <v>101</v>
      </c>
      <c r="O1674" s="2" t="str">
        <f>VLOOKUP(OrganizedData[[#This Row],[Product Code]],ProductData[[Code]:[Item]],2,FALSE)</f>
        <v>Superwossname</v>
      </c>
      <c r="P1674" s="4">
        <f>OrganizedData[[#This Row],[Quantity]]*VLOOKUP(OrganizedData[[#This Row],[Product Code]],ProductData[],4,FALSE)</f>
        <v>720</v>
      </c>
      <c r="Q1674" s="6">
        <f>OrganizedData[[#This Row],[Total Items Ordered]]*VLOOKUP(OrganizedData[[#This Row],[Product Code]],ProductData[],3,FALSE)</f>
        <v>2512.8000000000002</v>
      </c>
      <c r="R16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2437.4160000000002</v>
      </c>
    </row>
    <row r="1675" spans="1:18" x14ac:dyDescent="0.3">
      <c r="A1675" s="2">
        <v>1668</v>
      </c>
      <c r="B1675" s="2" t="s">
        <v>4980</v>
      </c>
      <c r="C1675" s="2" t="s">
        <v>2047</v>
      </c>
      <c r="D1675" s="2" t="s">
        <v>51</v>
      </c>
      <c r="E1675" s="2" t="s">
        <v>16</v>
      </c>
      <c r="F1675" s="2">
        <v>60</v>
      </c>
      <c r="G1675" s="2" t="s">
        <v>4981</v>
      </c>
      <c r="H1675" s="2" t="s">
        <v>2811</v>
      </c>
      <c r="I1675" s="2" t="s">
        <v>32</v>
      </c>
      <c r="J1675" s="3">
        <v>44543</v>
      </c>
      <c r="K1675" s="5">
        <f>YEAR(OrganizedData[[#This Row],[Order Date]])</f>
        <v>2021</v>
      </c>
      <c r="L1675" s="7" t="str">
        <f>TEXT(OrganizedData[[#This Row],[Order Date]],"mmm")</f>
        <v>Dec</v>
      </c>
      <c r="M1675" s="2">
        <v>57</v>
      </c>
      <c r="N1675" s="2" t="s">
        <v>159</v>
      </c>
      <c r="O1675" s="2" t="str">
        <f>VLOOKUP(OrganizedData[[#This Row],[Product Code]],ProductData[[Code]:[Item]],2,FALSE)</f>
        <v>Ultrathing V3</v>
      </c>
      <c r="P1675" s="4">
        <f>OrganizedData[[#This Row],[Quantity]]*VLOOKUP(OrganizedData[[#This Row],[Product Code]],ProductData[],4,FALSE)</f>
        <v>1368</v>
      </c>
      <c r="Q1675" s="6">
        <f>OrganizedData[[#This Row],[Total Items Ordered]]*VLOOKUP(OrganizedData[[#This Row],[Product Code]],ProductData[],3,FALSE)</f>
        <v>4637.5200000000004</v>
      </c>
      <c r="R16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4405.6440000000002</v>
      </c>
    </row>
    <row r="1676" spans="1:18" x14ac:dyDescent="0.3">
      <c r="A1676" s="2">
        <v>1669</v>
      </c>
      <c r="B1676" s="2" t="s">
        <v>4982</v>
      </c>
      <c r="C1676" s="2" t="s">
        <v>1898</v>
      </c>
      <c r="D1676" s="2" t="s">
        <v>51</v>
      </c>
      <c r="E1676" s="2" t="s">
        <v>16</v>
      </c>
      <c r="F1676" s="2">
        <v>60</v>
      </c>
      <c r="G1676" s="2" t="s">
        <v>4983</v>
      </c>
      <c r="H1676" s="2" t="s">
        <v>3500</v>
      </c>
      <c r="I1676" s="2" t="s">
        <v>25</v>
      </c>
      <c r="J1676" s="3">
        <v>44052</v>
      </c>
      <c r="K1676" s="5">
        <f>YEAR(OrganizedData[[#This Row],[Order Date]])</f>
        <v>2020</v>
      </c>
      <c r="L1676" s="7" t="str">
        <f>TEXT(OrganizedData[[#This Row],[Order Date]],"mmm")</f>
        <v>Aug</v>
      </c>
      <c r="M1676" s="2">
        <v>68</v>
      </c>
      <c r="N1676" s="2" t="s">
        <v>70</v>
      </c>
      <c r="O1676" s="2" t="str">
        <f>VLOOKUP(OrganizedData[[#This Row],[Product Code]],ProductData[[Code]:[Item]],2,FALSE)</f>
        <v>Megawidget M</v>
      </c>
      <c r="P1676" s="4">
        <f>OrganizedData[[#This Row],[Quantity]]*VLOOKUP(OrganizedData[[#This Row],[Product Code]],ProductData[],4,FALSE)</f>
        <v>1632</v>
      </c>
      <c r="Q1676" s="6">
        <f>OrganizedData[[#This Row],[Total Items Ordered]]*VLOOKUP(OrganizedData[[#This Row],[Product Code]],ProductData[],3,FALSE)</f>
        <v>2105.2800000000002</v>
      </c>
      <c r="R16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2000.0160000000001</v>
      </c>
    </row>
    <row r="1677" spans="1:18" x14ac:dyDescent="0.3">
      <c r="A1677" s="2">
        <v>1670</v>
      </c>
      <c r="B1677" s="2" t="s">
        <v>4984</v>
      </c>
      <c r="C1677" s="2" t="s">
        <v>1244</v>
      </c>
      <c r="D1677" s="2" t="s">
        <v>28</v>
      </c>
      <c r="E1677" s="2" t="s">
        <v>29</v>
      </c>
      <c r="F1677" s="2">
        <v>60</v>
      </c>
      <c r="G1677" s="2" t="s">
        <v>4985</v>
      </c>
      <c r="H1677" s="2" t="s">
        <v>1519</v>
      </c>
      <c r="I1677" s="2" t="s">
        <v>32</v>
      </c>
      <c r="J1677" s="3">
        <v>44362</v>
      </c>
      <c r="K1677" s="5">
        <f>YEAR(OrganizedData[[#This Row],[Order Date]])</f>
        <v>2021</v>
      </c>
      <c r="L1677" s="7" t="str">
        <f>TEXT(OrganizedData[[#This Row],[Order Date]],"mmm")</f>
        <v>Jun</v>
      </c>
      <c r="M1677" s="2">
        <v>74</v>
      </c>
      <c r="N1677" s="2" t="s">
        <v>70</v>
      </c>
      <c r="O1677" s="2" t="str">
        <f>VLOOKUP(OrganizedData[[#This Row],[Product Code]],ProductData[[Code]:[Item]],2,FALSE)</f>
        <v>Megawidget M</v>
      </c>
      <c r="P1677" s="4">
        <f>OrganizedData[[#This Row],[Quantity]]*VLOOKUP(OrganizedData[[#This Row],[Product Code]],ProductData[],4,FALSE)</f>
        <v>1776</v>
      </c>
      <c r="Q1677" s="6">
        <f>OrganizedData[[#This Row],[Total Items Ordered]]*VLOOKUP(OrganizedData[[#This Row],[Product Code]],ProductData[],3,FALSE)</f>
        <v>2291.04</v>
      </c>
      <c r="R16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2176.4879999999998</v>
      </c>
    </row>
    <row r="1678" spans="1:18" x14ac:dyDescent="0.3">
      <c r="A1678" s="2">
        <v>1671</v>
      </c>
      <c r="B1678" s="2" t="s">
        <v>4986</v>
      </c>
      <c r="C1678" s="2" t="s">
        <v>4876</v>
      </c>
      <c r="D1678" s="2" t="s">
        <v>28</v>
      </c>
      <c r="E1678" s="2" t="s">
        <v>29</v>
      </c>
      <c r="F1678" s="2">
        <v>30</v>
      </c>
      <c r="G1678" s="2" t="s">
        <v>4987</v>
      </c>
      <c r="H1678" s="2" t="s">
        <v>1716</v>
      </c>
      <c r="I1678" s="2" t="s">
        <v>425</v>
      </c>
      <c r="J1678" s="3">
        <v>44288</v>
      </c>
      <c r="K1678" s="5">
        <f>YEAR(OrganizedData[[#This Row],[Order Date]])</f>
        <v>2021</v>
      </c>
      <c r="L1678" s="7" t="str">
        <f>TEXT(OrganizedData[[#This Row],[Order Date]],"mmm")</f>
        <v>Apr</v>
      </c>
      <c r="M1678" s="2">
        <v>86</v>
      </c>
      <c r="N1678" s="2" t="s">
        <v>39</v>
      </c>
      <c r="O1678" s="2" t="str">
        <f>VLOOKUP(OrganizedData[[#This Row],[Product Code]],ProductData[[Code]:[Item]],2,FALSE)</f>
        <v>Ultrathing V1</v>
      </c>
      <c r="P1678" s="4">
        <f>OrganizedData[[#This Row],[Quantity]]*VLOOKUP(OrganizedData[[#This Row],[Product Code]],ProductData[],4,FALSE)</f>
        <v>1462</v>
      </c>
      <c r="Q1678" s="6">
        <f>OrganizedData[[#This Row],[Total Items Ordered]]*VLOOKUP(OrganizedData[[#This Row],[Product Code]],ProductData[],3,FALSE)</f>
        <v>2616.98</v>
      </c>
      <c r="R16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2486.1309999999999</v>
      </c>
    </row>
    <row r="1679" spans="1:18" x14ac:dyDescent="0.3">
      <c r="A1679" s="2">
        <v>1672</v>
      </c>
      <c r="B1679" s="2" t="s">
        <v>4988</v>
      </c>
      <c r="C1679" s="2" t="s">
        <v>4989</v>
      </c>
      <c r="D1679" s="2" t="s">
        <v>51</v>
      </c>
      <c r="E1679" s="2" t="s">
        <v>16</v>
      </c>
      <c r="F1679" s="2">
        <v>30</v>
      </c>
      <c r="G1679" s="2" t="s">
        <v>4990</v>
      </c>
      <c r="H1679" s="2" t="s">
        <v>776</v>
      </c>
      <c r="I1679" s="2" t="s">
        <v>777</v>
      </c>
      <c r="J1679" s="3">
        <v>43992</v>
      </c>
      <c r="K1679" s="5">
        <f>YEAR(OrganizedData[[#This Row],[Order Date]])</f>
        <v>2020</v>
      </c>
      <c r="L1679" s="7" t="str">
        <f>TEXT(OrganizedData[[#This Row],[Order Date]],"mmm")</f>
        <v>Jun</v>
      </c>
      <c r="M1679" s="2">
        <v>69</v>
      </c>
      <c r="N1679" s="2" t="s">
        <v>54</v>
      </c>
      <c r="O1679" s="2" t="str">
        <f>VLOOKUP(OrganizedData[[#This Row],[Product Code]],ProductData[[Code]:[Item]],2,FALSE)</f>
        <v>Megawidget S</v>
      </c>
      <c r="P1679" s="4">
        <f>OrganizedData[[#This Row],[Quantity]]*VLOOKUP(OrganizedData[[#This Row],[Product Code]],ProductData[],4,FALSE)</f>
        <v>1656</v>
      </c>
      <c r="Q1679" s="6">
        <f>OrganizedData[[#This Row],[Total Items Ordered]]*VLOOKUP(OrganizedData[[#This Row],[Product Code]],ProductData[],3,FALSE)</f>
        <v>1142.6399999999999</v>
      </c>
      <c r="R16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1680" spans="1:18" x14ac:dyDescent="0.3">
      <c r="A1680" s="2">
        <v>1673</v>
      </c>
      <c r="B1680" s="2" t="s">
        <v>3794</v>
      </c>
      <c r="C1680" s="2" t="s">
        <v>4991</v>
      </c>
      <c r="D1680" s="2" t="s">
        <v>28</v>
      </c>
      <c r="E1680" s="2" t="s">
        <v>29</v>
      </c>
      <c r="F1680" s="2">
        <v>90</v>
      </c>
      <c r="G1680" s="2" t="s">
        <v>4990</v>
      </c>
      <c r="H1680" s="2" t="s">
        <v>4992</v>
      </c>
      <c r="I1680" s="2" t="s">
        <v>294</v>
      </c>
      <c r="J1680" s="3">
        <v>44714</v>
      </c>
      <c r="K1680" s="5">
        <f>YEAR(OrganizedData[[#This Row],[Order Date]])</f>
        <v>2022</v>
      </c>
      <c r="L1680" s="7" t="str">
        <f>TEXT(OrganizedData[[#This Row],[Order Date]],"mmm")</f>
        <v>Jun</v>
      </c>
      <c r="M1680" s="2">
        <v>76</v>
      </c>
      <c r="N1680" s="2" t="s">
        <v>101</v>
      </c>
      <c r="O1680" s="2" t="str">
        <f>VLOOKUP(OrganizedData[[#This Row],[Product Code]],ProductData[[Code]:[Item]],2,FALSE)</f>
        <v>Superwossname</v>
      </c>
      <c r="P1680" s="4">
        <f>OrganizedData[[#This Row],[Quantity]]*VLOOKUP(OrganizedData[[#This Row],[Product Code]],ProductData[],4,FALSE)</f>
        <v>1520</v>
      </c>
      <c r="Q1680" s="6">
        <f>OrganizedData[[#This Row],[Total Items Ordered]]*VLOOKUP(OrganizedData[[#This Row],[Product Code]],ProductData[],3,FALSE)</f>
        <v>5304.8</v>
      </c>
      <c r="R16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5039.5599999999995</v>
      </c>
    </row>
    <row r="1681" spans="1:18" x14ac:dyDescent="0.3">
      <c r="A1681" s="2">
        <v>1674</v>
      </c>
      <c r="B1681" s="2" t="s">
        <v>4993</v>
      </c>
      <c r="C1681" s="2" t="s">
        <v>3118</v>
      </c>
      <c r="D1681" s="2" t="s">
        <v>15</v>
      </c>
      <c r="E1681" s="2" t="s">
        <v>16</v>
      </c>
      <c r="F1681" s="2">
        <v>90</v>
      </c>
      <c r="G1681" s="2" t="s">
        <v>4990</v>
      </c>
      <c r="H1681" s="2" t="s">
        <v>3754</v>
      </c>
      <c r="I1681" s="2" t="s">
        <v>124</v>
      </c>
      <c r="J1681" s="3">
        <v>43922</v>
      </c>
      <c r="K1681" s="5">
        <f>YEAR(OrganizedData[[#This Row],[Order Date]])</f>
        <v>2020</v>
      </c>
      <c r="L1681" s="7" t="str">
        <f>TEXT(OrganizedData[[#This Row],[Order Date]],"mmm")</f>
        <v>Apr</v>
      </c>
      <c r="M1681" s="2">
        <v>72</v>
      </c>
      <c r="N1681" s="2" t="s">
        <v>101</v>
      </c>
      <c r="O1681" s="2" t="str">
        <f>VLOOKUP(OrganizedData[[#This Row],[Product Code]],ProductData[[Code]:[Item]],2,FALSE)</f>
        <v>Superwossname</v>
      </c>
      <c r="P1681" s="4">
        <f>OrganizedData[[#This Row],[Quantity]]*VLOOKUP(OrganizedData[[#This Row],[Product Code]],ProductData[],4,FALSE)</f>
        <v>1440</v>
      </c>
      <c r="Q1681" s="6">
        <f>OrganizedData[[#This Row],[Total Items Ordered]]*VLOOKUP(OrganizedData[[#This Row],[Product Code]],ProductData[],3,FALSE)</f>
        <v>5025.6000000000004</v>
      </c>
      <c r="R16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1682" spans="1:18" x14ac:dyDescent="0.3">
      <c r="A1682" s="2">
        <v>1675</v>
      </c>
      <c r="B1682" s="2" t="s">
        <v>3478</v>
      </c>
      <c r="C1682" s="2" t="s">
        <v>4994</v>
      </c>
      <c r="D1682" s="2" t="s">
        <v>28</v>
      </c>
      <c r="E1682" s="2" t="s">
        <v>29</v>
      </c>
      <c r="F1682" s="2">
        <v>60</v>
      </c>
      <c r="G1682" s="2" t="s">
        <v>4995</v>
      </c>
      <c r="H1682" s="2" t="s">
        <v>4996</v>
      </c>
      <c r="I1682" s="2" t="s">
        <v>32</v>
      </c>
      <c r="J1682" s="3">
        <v>44272</v>
      </c>
      <c r="K1682" s="5">
        <f>YEAR(OrganizedData[[#This Row],[Order Date]])</f>
        <v>2021</v>
      </c>
      <c r="L1682" s="7" t="str">
        <f>TEXT(OrganizedData[[#This Row],[Order Date]],"mmm")</f>
        <v>Mar</v>
      </c>
      <c r="M1682" s="2">
        <v>75</v>
      </c>
      <c r="N1682" s="2" t="s">
        <v>159</v>
      </c>
      <c r="O1682" s="2" t="str">
        <f>VLOOKUP(OrganizedData[[#This Row],[Product Code]],ProductData[[Code]:[Item]],2,FALSE)</f>
        <v>Ultrathing V3</v>
      </c>
      <c r="P1682" s="4">
        <f>OrganizedData[[#This Row],[Quantity]]*VLOOKUP(OrganizedData[[#This Row],[Product Code]],ProductData[],4,FALSE)</f>
        <v>1800</v>
      </c>
      <c r="Q1682" s="6">
        <f>OrganizedData[[#This Row],[Total Items Ordered]]*VLOOKUP(OrganizedData[[#This Row],[Product Code]],ProductData[],3,FALSE)</f>
        <v>6102</v>
      </c>
      <c r="R16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1683" spans="1:18" x14ac:dyDescent="0.3">
      <c r="A1683" s="2">
        <v>1676</v>
      </c>
      <c r="B1683" s="2" t="s">
        <v>4997</v>
      </c>
      <c r="C1683" s="2" t="s">
        <v>4998</v>
      </c>
      <c r="D1683" s="2" t="s">
        <v>28</v>
      </c>
      <c r="E1683" s="2" t="s">
        <v>29</v>
      </c>
      <c r="F1683" s="2">
        <v>90</v>
      </c>
      <c r="G1683" s="2" t="s">
        <v>4999</v>
      </c>
      <c r="H1683" s="2" t="s">
        <v>2710</v>
      </c>
      <c r="I1683" s="2" t="s">
        <v>294</v>
      </c>
      <c r="J1683" s="3">
        <v>44713</v>
      </c>
      <c r="K1683" s="5">
        <f>YEAR(OrganizedData[[#This Row],[Order Date]])</f>
        <v>2022</v>
      </c>
      <c r="L1683" s="7" t="str">
        <f>TEXT(OrganizedData[[#This Row],[Order Date]],"mmm")</f>
        <v>Jun</v>
      </c>
      <c r="M1683" s="2">
        <v>96</v>
      </c>
      <c r="N1683" s="2" t="s">
        <v>20</v>
      </c>
      <c r="O1683" s="2" t="str">
        <f>VLOOKUP(OrganizedData[[#This Row],[Product Code]],ProductData[[Code]:[Item]],2,FALSE)</f>
        <v>Hyperwotsit</v>
      </c>
      <c r="P1683" s="4">
        <f>OrganizedData[[#This Row],[Quantity]]*VLOOKUP(OrganizedData[[#This Row],[Product Code]],ProductData[],4,FALSE)</f>
        <v>1920</v>
      </c>
      <c r="Q1683" s="6">
        <f>OrganizedData[[#This Row],[Total Items Ordered]]*VLOOKUP(OrganizedData[[#This Row],[Product Code]],ProductData[],3,FALSE)</f>
        <v>3859.2</v>
      </c>
      <c r="R16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3666.24</v>
      </c>
    </row>
    <row r="1684" spans="1:18" x14ac:dyDescent="0.3">
      <c r="A1684" s="2">
        <v>1677</v>
      </c>
      <c r="B1684" s="2" t="s">
        <v>2312</v>
      </c>
      <c r="C1684" s="2" t="s">
        <v>1688</v>
      </c>
      <c r="D1684" s="2" t="s">
        <v>28</v>
      </c>
      <c r="E1684" s="2" t="s">
        <v>29</v>
      </c>
      <c r="F1684" s="2">
        <v>30</v>
      </c>
      <c r="G1684" s="2" t="s">
        <v>4999</v>
      </c>
      <c r="H1684" s="2" t="s">
        <v>5000</v>
      </c>
      <c r="I1684" s="2" t="s">
        <v>32</v>
      </c>
      <c r="J1684" s="3">
        <v>44423</v>
      </c>
      <c r="K1684" s="5">
        <f>YEAR(OrganizedData[[#This Row],[Order Date]])</f>
        <v>2021</v>
      </c>
      <c r="L1684" s="7" t="str">
        <f>TEXT(OrganizedData[[#This Row],[Order Date]],"mmm")</f>
        <v>Aug</v>
      </c>
      <c r="M1684" s="2">
        <v>93</v>
      </c>
      <c r="N1684" s="2" t="s">
        <v>159</v>
      </c>
      <c r="O1684" s="2" t="str">
        <f>VLOOKUP(OrganizedData[[#This Row],[Product Code]],ProductData[[Code]:[Item]],2,FALSE)</f>
        <v>Ultrathing V3</v>
      </c>
      <c r="P1684" s="4">
        <f>OrganizedData[[#This Row],[Quantity]]*VLOOKUP(OrganizedData[[#This Row],[Product Code]],ProductData[],4,FALSE)</f>
        <v>2232</v>
      </c>
      <c r="Q1684" s="6">
        <f>OrganizedData[[#This Row],[Total Items Ordered]]*VLOOKUP(OrganizedData[[#This Row],[Product Code]],ProductData[],3,FALSE)</f>
        <v>7566.4800000000005</v>
      </c>
      <c r="R16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7188.1559999999999</v>
      </c>
    </row>
    <row r="1685" spans="1:18" x14ac:dyDescent="0.3">
      <c r="A1685" s="2">
        <v>1678</v>
      </c>
      <c r="B1685" s="2" t="s">
        <v>5001</v>
      </c>
      <c r="C1685" s="2" t="s">
        <v>5002</v>
      </c>
      <c r="D1685" s="2" t="s">
        <v>28</v>
      </c>
      <c r="E1685" s="2" t="s">
        <v>29</v>
      </c>
      <c r="F1685" s="2">
        <v>30</v>
      </c>
      <c r="G1685" s="2" t="s">
        <v>5003</v>
      </c>
      <c r="H1685" s="2" t="s">
        <v>1453</v>
      </c>
      <c r="I1685" s="2" t="s">
        <v>1454</v>
      </c>
      <c r="J1685" s="3">
        <v>44102</v>
      </c>
      <c r="K1685" s="5">
        <f>YEAR(OrganizedData[[#This Row],[Order Date]])</f>
        <v>2020</v>
      </c>
      <c r="L1685" s="7" t="str">
        <f>TEXT(OrganizedData[[#This Row],[Order Date]],"mmm")</f>
        <v>Sep</v>
      </c>
      <c r="M1685" s="2">
        <v>63</v>
      </c>
      <c r="N1685" s="2" t="s">
        <v>45</v>
      </c>
      <c r="O1685" s="2" t="str">
        <f>VLOOKUP(OrganizedData[[#This Row],[Product Code]],ProductData[[Code]:[Item]],2,FALSE)</f>
        <v>Gigastuff</v>
      </c>
      <c r="P1685" s="4">
        <f>OrganizedData[[#This Row],[Quantity]]*VLOOKUP(OrganizedData[[#This Row],[Product Code]],ProductData[],4,FALSE)</f>
        <v>1134</v>
      </c>
      <c r="Q1685" s="6">
        <f>OrganizedData[[#This Row],[Total Items Ordered]]*VLOOKUP(OrganizedData[[#This Row],[Product Code]],ProductData[],3,FALSE)</f>
        <v>2143.2599999999998</v>
      </c>
      <c r="R16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2036.0969999999998</v>
      </c>
    </row>
    <row r="1686" spans="1:18" x14ac:dyDescent="0.3">
      <c r="A1686" s="2">
        <v>1679</v>
      </c>
      <c r="B1686" s="2" t="s">
        <v>5004</v>
      </c>
      <c r="C1686" s="2" t="s">
        <v>4504</v>
      </c>
      <c r="D1686" s="2" t="s">
        <v>51</v>
      </c>
      <c r="E1686" s="2" t="s">
        <v>16</v>
      </c>
      <c r="F1686" s="2">
        <v>30</v>
      </c>
      <c r="G1686" s="2" t="s">
        <v>5006</v>
      </c>
      <c r="H1686" s="2" t="s">
        <v>99</v>
      </c>
      <c r="I1686" s="2" t="s">
        <v>100</v>
      </c>
      <c r="J1686" s="3">
        <v>44853</v>
      </c>
      <c r="K1686" s="5">
        <f>YEAR(OrganizedData[[#This Row],[Order Date]])</f>
        <v>2022</v>
      </c>
      <c r="L1686" s="7" t="str">
        <f>TEXT(OrganizedData[[#This Row],[Order Date]],"mmm")</f>
        <v>Oct</v>
      </c>
      <c r="M1686" s="2">
        <v>62</v>
      </c>
      <c r="N1686" s="2" t="s">
        <v>159</v>
      </c>
      <c r="O1686" s="2" t="str">
        <f>VLOOKUP(OrganizedData[[#This Row],[Product Code]],ProductData[[Code]:[Item]],2,FALSE)</f>
        <v>Ultrathing V3</v>
      </c>
      <c r="P1686" s="4">
        <f>OrganizedData[[#This Row],[Quantity]]*VLOOKUP(OrganizedData[[#This Row],[Product Code]],ProductData[],4,FALSE)</f>
        <v>1488</v>
      </c>
      <c r="Q1686" s="6">
        <f>OrganizedData[[#This Row],[Total Items Ordered]]*VLOOKUP(OrganizedData[[#This Row],[Product Code]],ProductData[],3,FALSE)</f>
        <v>5044.3200000000006</v>
      </c>
      <c r="R16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4792.1040000000003</v>
      </c>
    </row>
    <row r="1687" spans="1:18" x14ac:dyDescent="0.3">
      <c r="A1687" s="2">
        <v>1680</v>
      </c>
      <c r="B1687" s="2" t="s">
        <v>3243</v>
      </c>
      <c r="C1687" s="2" t="s">
        <v>2220</v>
      </c>
      <c r="D1687" s="2" t="s">
        <v>28</v>
      </c>
      <c r="E1687" s="2" t="s">
        <v>29</v>
      </c>
      <c r="F1687" s="2">
        <v>90</v>
      </c>
      <c r="G1687" s="2" t="s">
        <v>5006</v>
      </c>
      <c r="H1687" s="2" t="s">
        <v>5007</v>
      </c>
      <c r="I1687" s="2" t="s">
        <v>89</v>
      </c>
      <c r="J1687" s="3">
        <v>43965</v>
      </c>
      <c r="K1687" s="5">
        <f>YEAR(OrganizedData[[#This Row],[Order Date]])</f>
        <v>2020</v>
      </c>
      <c r="L1687" s="7" t="str">
        <f>TEXT(OrganizedData[[#This Row],[Order Date]],"mmm")</f>
        <v>May</v>
      </c>
      <c r="M1687" s="2">
        <v>79</v>
      </c>
      <c r="N1687" s="2" t="s">
        <v>80</v>
      </c>
      <c r="O1687" s="2" t="str">
        <f>VLOOKUP(OrganizedData[[#This Row],[Product Code]],ProductData[[Code]:[Item]],2,FALSE)</f>
        <v>Ultrathing V2</v>
      </c>
      <c r="P1687" s="4">
        <f>OrganizedData[[#This Row],[Quantity]]*VLOOKUP(OrganizedData[[#This Row],[Product Code]],ProductData[],4,FALSE)</f>
        <v>1580</v>
      </c>
      <c r="Q1687" s="6">
        <f>OrganizedData[[#This Row],[Total Items Ordered]]*VLOOKUP(OrganizedData[[#This Row],[Product Code]],ProductData[],3,FALSE)</f>
        <v>4661</v>
      </c>
      <c r="R16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4427.95</v>
      </c>
    </row>
    <row r="1688" spans="1:18" x14ac:dyDescent="0.3">
      <c r="A1688" s="2">
        <v>1681</v>
      </c>
      <c r="B1688" s="2" t="s">
        <v>5008</v>
      </c>
      <c r="C1688" s="2" t="s">
        <v>3522</v>
      </c>
      <c r="D1688" s="2" t="s">
        <v>51</v>
      </c>
      <c r="E1688" s="2" t="s">
        <v>16</v>
      </c>
      <c r="F1688" s="2">
        <v>90</v>
      </c>
      <c r="G1688" s="2" t="s">
        <v>5009</v>
      </c>
      <c r="H1688" s="2" t="s">
        <v>5010</v>
      </c>
      <c r="I1688" s="2" t="s">
        <v>32</v>
      </c>
      <c r="J1688" s="3">
        <v>44313</v>
      </c>
      <c r="K1688" s="5">
        <f>YEAR(OrganizedData[[#This Row],[Order Date]])</f>
        <v>2021</v>
      </c>
      <c r="L1688" s="7" t="str">
        <f>TEXT(OrganizedData[[#This Row],[Order Date]],"mmm")</f>
        <v>Apr</v>
      </c>
      <c r="M1688" s="2">
        <v>37</v>
      </c>
      <c r="N1688" s="2" t="s">
        <v>33</v>
      </c>
      <c r="O1688" s="2" t="str">
        <f>VLOOKUP(OrganizedData[[#This Row],[Product Code]],ProductData[[Code]:[Item]],2,FALSE)</f>
        <v>Megawidget L</v>
      </c>
      <c r="P1688" s="4">
        <f>OrganizedData[[#This Row],[Quantity]]*VLOOKUP(OrganizedData[[#This Row],[Product Code]],ProductData[],4,FALSE)</f>
        <v>888</v>
      </c>
      <c r="Q1688" s="6">
        <f>OrganizedData[[#This Row],[Total Items Ordered]]*VLOOKUP(OrganizedData[[#This Row],[Product Code]],ProductData[],3,FALSE)</f>
        <v>1589.52</v>
      </c>
      <c r="R16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1541.8344</v>
      </c>
    </row>
    <row r="1689" spans="1:18" x14ac:dyDescent="0.3">
      <c r="A1689" s="2">
        <v>1682</v>
      </c>
      <c r="B1689" s="2" t="s">
        <v>5011</v>
      </c>
      <c r="C1689" s="2" t="s">
        <v>5012</v>
      </c>
      <c r="D1689" s="2" t="s">
        <v>51</v>
      </c>
      <c r="E1689" s="2" t="s">
        <v>16</v>
      </c>
      <c r="F1689" s="2">
        <v>30</v>
      </c>
      <c r="G1689" s="2" t="s">
        <v>5009</v>
      </c>
      <c r="H1689" s="2" t="s">
        <v>3424</v>
      </c>
      <c r="I1689" s="2" t="s">
        <v>32</v>
      </c>
      <c r="J1689" s="3">
        <v>44215</v>
      </c>
      <c r="K1689" s="5">
        <f>YEAR(OrganizedData[[#This Row],[Order Date]])</f>
        <v>2021</v>
      </c>
      <c r="L1689" s="7" t="str">
        <f>TEXT(OrganizedData[[#This Row],[Order Date]],"mmm")</f>
        <v>Jan</v>
      </c>
      <c r="M1689" s="2">
        <v>45</v>
      </c>
      <c r="N1689" s="2" t="s">
        <v>70</v>
      </c>
      <c r="O1689" s="2" t="str">
        <f>VLOOKUP(OrganizedData[[#This Row],[Product Code]],ProductData[[Code]:[Item]],2,FALSE)</f>
        <v>Megawidget M</v>
      </c>
      <c r="P1689" s="4">
        <f>OrganizedData[[#This Row],[Quantity]]*VLOOKUP(OrganizedData[[#This Row],[Product Code]],ProductData[],4,FALSE)</f>
        <v>1080</v>
      </c>
      <c r="Q1689" s="6">
        <f>OrganizedData[[#This Row],[Total Items Ordered]]*VLOOKUP(OrganizedData[[#This Row],[Product Code]],ProductData[],3,FALSE)</f>
        <v>1393.2</v>
      </c>
      <c r="R16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1690" spans="1:18" x14ac:dyDescent="0.3">
      <c r="A1690" s="2">
        <v>1683</v>
      </c>
      <c r="B1690" s="2" t="s">
        <v>3544</v>
      </c>
      <c r="C1690" s="2" t="s">
        <v>3171</v>
      </c>
      <c r="D1690" s="2" t="s">
        <v>28</v>
      </c>
      <c r="E1690" s="2" t="s">
        <v>29</v>
      </c>
      <c r="F1690" s="2">
        <v>90</v>
      </c>
      <c r="G1690" s="2" t="s">
        <v>5013</v>
      </c>
      <c r="H1690" s="2" t="s">
        <v>1482</v>
      </c>
      <c r="I1690" s="2" t="s">
        <v>1483</v>
      </c>
      <c r="J1690" s="3">
        <v>44199</v>
      </c>
      <c r="K1690" s="5">
        <f>YEAR(OrganizedData[[#This Row],[Order Date]])</f>
        <v>2021</v>
      </c>
      <c r="L1690" s="7" t="str">
        <f>TEXT(OrganizedData[[#This Row],[Order Date]],"mmm")</f>
        <v>Jan</v>
      </c>
      <c r="M1690" s="2">
        <v>10</v>
      </c>
      <c r="N1690" s="2" t="s">
        <v>20</v>
      </c>
      <c r="O1690" s="2" t="str">
        <f>VLOOKUP(OrganizedData[[#This Row],[Product Code]],ProductData[[Code]:[Item]],2,FALSE)</f>
        <v>Hyperwotsit</v>
      </c>
      <c r="P1690" s="4">
        <f>OrganizedData[[#This Row],[Quantity]]*VLOOKUP(OrganizedData[[#This Row],[Product Code]],ProductData[],4,FALSE)</f>
        <v>200</v>
      </c>
      <c r="Q1690" s="6">
        <f>OrganizedData[[#This Row],[Total Items Ordered]]*VLOOKUP(OrganizedData[[#This Row],[Product Code]],ProductData[],3,FALSE)</f>
        <v>401.99999999999994</v>
      </c>
      <c r="R16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401.99999999999994</v>
      </c>
    </row>
    <row r="1691" spans="1:18" x14ac:dyDescent="0.3">
      <c r="A1691" s="2">
        <v>1684</v>
      </c>
      <c r="B1691" s="2" t="s">
        <v>5014</v>
      </c>
      <c r="C1691" s="2" t="s">
        <v>5015</v>
      </c>
      <c r="D1691" s="2" t="s">
        <v>41</v>
      </c>
      <c r="E1691" s="2" t="s">
        <v>16</v>
      </c>
      <c r="F1691" s="2">
        <v>90</v>
      </c>
      <c r="G1691" s="2" t="s">
        <v>5016</v>
      </c>
      <c r="H1691" s="2" t="s">
        <v>3554</v>
      </c>
      <c r="I1691" s="2" t="s">
        <v>32</v>
      </c>
      <c r="J1691" s="3">
        <v>44323</v>
      </c>
      <c r="K1691" s="5">
        <f>YEAR(OrganizedData[[#This Row],[Order Date]])</f>
        <v>2021</v>
      </c>
      <c r="L1691" s="7" t="str">
        <f>TEXT(OrganizedData[[#This Row],[Order Date]],"mmm")</f>
        <v>May</v>
      </c>
      <c r="M1691" s="2">
        <v>45</v>
      </c>
      <c r="N1691" s="2" t="s">
        <v>20</v>
      </c>
      <c r="O1691" s="2" t="str">
        <f>VLOOKUP(OrganizedData[[#This Row],[Product Code]],ProductData[[Code]:[Item]],2,FALSE)</f>
        <v>Hyperwotsit</v>
      </c>
      <c r="P1691" s="4">
        <f>OrganizedData[[#This Row],[Quantity]]*VLOOKUP(OrganizedData[[#This Row],[Product Code]],ProductData[],4,FALSE)</f>
        <v>900</v>
      </c>
      <c r="Q1691" s="6">
        <f>OrganizedData[[#This Row],[Total Items Ordered]]*VLOOKUP(OrganizedData[[#This Row],[Product Code]],ProductData[],3,FALSE)</f>
        <v>1808.9999999999998</v>
      </c>
      <c r="R16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1754.7299999999998</v>
      </c>
    </row>
    <row r="1692" spans="1:18" x14ac:dyDescent="0.3">
      <c r="A1692" s="2">
        <v>1685</v>
      </c>
      <c r="B1692" s="2" t="s">
        <v>1769</v>
      </c>
      <c r="C1692" s="2" t="s">
        <v>2915</v>
      </c>
      <c r="D1692" s="2" t="s">
        <v>28</v>
      </c>
      <c r="E1692" s="2" t="s">
        <v>29</v>
      </c>
      <c r="F1692" s="2">
        <v>30</v>
      </c>
      <c r="G1692" s="2" t="s">
        <v>5017</v>
      </c>
      <c r="H1692" s="2" t="s">
        <v>1370</v>
      </c>
      <c r="I1692" s="2" t="s">
        <v>32</v>
      </c>
      <c r="J1692" s="3">
        <v>44466</v>
      </c>
      <c r="K1692" s="5">
        <f>YEAR(OrganizedData[[#This Row],[Order Date]])</f>
        <v>2021</v>
      </c>
      <c r="L1692" s="7" t="str">
        <f>TEXT(OrganizedData[[#This Row],[Order Date]],"mmm")</f>
        <v>Sep</v>
      </c>
      <c r="M1692" s="2">
        <v>61</v>
      </c>
      <c r="N1692" s="2" t="s">
        <v>64</v>
      </c>
      <c r="O1692" s="2" t="str">
        <f>VLOOKUP(OrganizedData[[#This Row],[Product Code]],ProductData[[Code]:[Item]],2,FALSE)</f>
        <v>Ultrathing V4</v>
      </c>
      <c r="P1692" s="4">
        <f>OrganizedData[[#This Row],[Quantity]]*VLOOKUP(OrganizedData[[#This Row],[Product Code]],ProductData[],4,FALSE)</f>
        <v>1464</v>
      </c>
      <c r="Q1692" s="6">
        <f>OrganizedData[[#This Row],[Total Items Ordered]]*VLOOKUP(OrganizedData[[#This Row],[Product Code]],ProductData[],3,FALSE)</f>
        <v>5841.3600000000006</v>
      </c>
      <c r="R16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1693" spans="1:18" x14ac:dyDescent="0.3">
      <c r="A1693" s="2">
        <v>1686</v>
      </c>
      <c r="B1693" s="2" t="s">
        <v>5018</v>
      </c>
      <c r="C1693" s="2" t="s">
        <v>3989</v>
      </c>
      <c r="D1693" s="2" t="s">
        <v>15</v>
      </c>
      <c r="E1693" s="2" t="s">
        <v>16</v>
      </c>
      <c r="F1693" s="2">
        <v>60</v>
      </c>
      <c r="G1693" s="2" t="s">
        <v>5019</v>
      </c>
      <c r="H1693" s="2" t="s">
        <v>99</v>
      </c>
      <c r="I1693" s="2" t="s">
        <v>100</v>
      </c>
      <c r="J1693" s="3">
        <v>44563</v>
      </c>
      <c r="K1693" s="5">
        <f>YEAR(OrganizedData[[#This Row],[Order Date]])</f>
        <v>2022</v>
      </c>
      <c r="L1693" s="7" t="str">
        <f>TEXT(OrganizedData[[#This Row],[Order Date]],"mmm")</f>
        <v>Jan</v>
      </c>
      <c r="M1693" s="2">
        <v>97</v>
      </c>
      <c r="N1693" s="2" t="s">
        <v>64</v>
      </c>
      <c r="O1693" s="2" t="str">
        <f>VLOOKUP(OrganizedData[[#This Row],[Product Code]],ProductData[[Code]:[Item]],2,FALSE)</f>
        <v>Ultrathing V4</v>
      </c>
      <c r="P1693" s="4">
        <f>OrganizedData[[#This Row],[Quantity]]*VLOOKUP(OrganizedData[[#This Row],[Product Code]],ProductData[],4,FALSE)</f>
        <v>2328</v>
      </c>
      <c r="Q1693" s="6">
        <f>OrganizedData[[#This Row],[Total Items Ordered]]*VLOOKUP(OrganizedData[[#This Row],[Product Code]],ProductData[],3,FALSE)</f>
        <v>9288.7200000000012</v>
      </c>
      <c r="R16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8824.2840000000015</v>
      </c>
    </row>
    <row r="1694" spans="1:18" x14ac:dyDescent="0.3">
      <c r="A1694" s="2">
        <v>1687</v>
      </c>
      <c r="B1694" s="2" t="s">
        <v>5020</v>
      </c>
      <c r="C1694" s="2" t="s">
        <v>5021</v>
      </c>
      <c r="D1694" s="2" t="s">
        <v>51</v>
      </c>
      <c r="E1694" s="2" t="s">
        <v>16</v>
      </c>
      <c r="F1694" s="2">
        <v>60</v>
      </c>
      <c r="G1694" s="2" t="s">
        <v>5022</v>
      </c>
      <c r="H1694" s="2" t="s">
        <v>2338</v>
      </c>
      <c r="I1694" s="2" t="s">
        <v>240</v>
      </c>
      <c r="J1694" s="3">
        <v>44386</v>
      </c>
      <c r="K1694" s="5">
        <f>YEAR(OrganizedData[[#This Row],[Order Date]])</f>
        <v>2021</v>
      </c>
      <c r="L1694" s="7" t="str">
        <f>TEXT(OrganizedData[[#This Row],[Order Date]],"mmm")</f>
        <v>Jul</v>
      </c>
      <c r="M1694" s="2">
        <v>28</v>
      </c>
      <c r="N1694" s="2" t="s">
        <v>45</v>
      </c>
      <c r="O1694" s="2" t="str">
        <f>VLOOKUP(OrganizedData[[#This Row],[Product Code]],ProductData[[Code]:[Item]],2,FALSE)</f>
        <v>Gigastuff</v>
      </c>
      <c r="P1694" s="4">
        <f>OrganizedData[[#This Row],[Quantity]]*VLOOKUP(OrganizedData[[#This Row],[Product Code]],ProductData[],4,FALSE)</f>
        <v>504</v>
      </c>
      <c r="Q1694" s="6">
        <f>OrganizedData[[#This Row],[Total Items Ordered]]*VLOOKUP(OrganizedData[[#This Row],[Product Code]],ProductData[],3,FALSE)</f>
        <v>952.56</v>
      </c>
      <c r="R16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923.9831999999999</v>
      </c>
    </row>
    <row r="1695" spans="1:18" x14ac:dyDescent="0.3">
      <c r="A1695" s="2">
        <v>1688</v>
      </c>
      <c r="B1695" s="2" t="s">
        <v>5023</v>
      </c>
      <c r="C1695" s="2" t="s">
        <v>2963</v>
      </c>
      <c r="D1695" s="2" t="s">
        <v>15</v>
      </c>
      <c r="E1695" s="2" t="s">
        <v>16</v>
      </c>
      <c r="F1695" s="2">
        <v>30</v>
      </c>
      <c r="G1695" s="2" t="s">
        <v>5024</v>
      </c>
      <c r="H1695" s="2" t="s">
        <v>5025</v>
      </c>
      <c r="I1695" s="2" t="s">
        <v>32</v>
      </c>
      <c r="J1695" s="3">
        <v>44860</v>
      </c>
      <c r="K1695" s="5">
        <f>YEAR(OrganizedData[[#This Row],[Order Date]])</f>
        <v>2022</v>
      </c>
      <c r="L1695" s="7" t="str">
        <f>TEXT(OrganizedData[[#This Row],[Order Date]],"mmm")</f>
        <v>Oct</v>
      </c>
      <c r="M1695" s="2">
        <v>43</v>
      </c>
      <c r="N1695" s="2" t="s">
        <v>54</v>
      </c>
      <c r="O1695" s="2" t="str">
        <f>VLOOKUP(OrganizedData[[#This Row],[Product Code]],ProductData[[Code]:[Item]],2,FALSE)</f>
        <v>Megawidget S</v>
      </c>
      <c r="P1695" s="4">
        <f>OrganizedData[[#This Row],[Quantity]]*VLOOKUP(OrganizedData[[#This Row],[Product Code]],ProductData[],4,FALSE)</f>
        <v>1032</v>
      </c>
      <c r="Q1695" s="6">
        <f>OrganizedData[[#This Row],[Total Items Ordered]]*VLOOKUP(OrganizedData[[#This Row],[Product Code]],ProductData[],3,FALSE)</f>
        <v>712.07999999999993</v>
      </c>
      <c r="R16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690.71759999999995</v>
      </c>
    </row>
    <row r="1696" spans="1:18" x14ac:dyDescent="0.3">
      <c r="A1696" s="2">
        <v>1689</v>
      </c>
      <c r="B1696" s="2" t="s">
        <v>245</v>
      </c>
      <c r="C1696" s="2" t="s">
        <v>657</v>
      </c>
      <c r="D1696" s="2" t="s">
        <v>28</v>
      </c>
      <c r="E1696" s="2" t="s">
        <v>29</v>
      </c>
      <c r="F1696" s="2">
        <v>30</v>
      </c>
      <c r="G1696" s="2" t="s">
        <v>5026</v>
      </c>
      <c r="H1696" s="2" t="s">
        <v>3506</v>
      </c>
      <c r="I1696" s="2" t="s">
        <v>124</v>
      </c>
      <c r="J1696" s="3">
        <v>44112</v>
      </c>
      <c r="K1696" s="5">
        <f>YEAR(OrganizedData[[#This Row],[Order Date]])</f>
        <v>2020</v>
      </c>
      <c r="L1696" s="7" t="str">
        <f>TEXT(OrganizedData[[#This Row],[Order Date]],"mmm")</f>
        <v>Oct</v>
      </c>
      <c r="M1696" s="2">
        <v>20</v>
      </c>
      <c r="N1696" s="2" t="s">
        <v>45</v>
      </c>
      <c r="O1696" s="2" t="str">
        <f>VLOOKUP(OrganizedData[[#This Row],[Product Code]],ProductData[[Code]:[Item]],2,FALSE)</f>
        <v>Gigastuff</v>
      </c>
      <c r="P1696" s="4">
        <f>OrganizedData[[#This Row],[Quantity]]*VLOOKUP(OrganizedData[[#This Row],[Product Code]],ProductData[],4,FALSE)</f>
        <v>360</v>
      </c>
      <c r="Q1696" s="6">
        <f>OrganizedData[[#This Row],[Total Items Ordered]]*VLOOKUP(OrganizedData[[#This Row],[Product Code]],ProductData[],3,FALSE)</f>
        <v>680.4</v>
      </c>
      <c r="R16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680.4</v>
      </c>
    </row>
    <row r="1697" spans="1:18" x14ac:dyDescent="0.3">
      <c r="A1697" s="2">
        <v>1690</v>
      </c>
      <c r="B1697" s="2" t="s">
        <v>1961</v>
      </c>
      <c r="C1697" s="2" t="s">
        <v>403</v>
      </c>
      <c r="D1697" s="2" t="s">
        <v>117</v>
      </c>
      <c r="E1697" s="2" t="s">
        <v>16</v>
      </c>
      <c r="F1697" s="2">
        <v>90</v>
      </c>
      <c r="G1697" s="2" t="s">
        <v>5027</v>
      </c>
      <c r="H1697" s="2" t="s">
        <v>526</v>
      </c>
      <c r="I1697" s="2" t="s">
        <v>32</v>
      </c>
      <c r="J1697" s="3">
        <v>44058</v>
      </c>
      <c r="K1697" s="5">
        <f>YEAR(OrganizedData[[#This Row],[Order Date]])</f>
        <v>2020</v>
      </c>
      <c r="L1697" s="7" t="str">
        <f>TEXT(OrganizedData[[#This Row],[Order Date]],"mmm")</f>
        <v>Aug</v>
      </c>
      <c r="M1697" s="2">
        <v>28</v>
      </c>
      <c r="N1697" s="2" t="s">
        <v>101</v>
      </c>
      <c r="O1697" s="2" t="str">
        <f>VLOOKUP(OrganizedData[[#This Row],[Product Code]],ProductData[[Code]:[Item]],2,FALSE)</f>
        <v>Superwossname</v>
      </c>
      <c r="P1697" s="4">
        <f>OrganizedData[[#This Row],[Quantity]]*VLOOKUP(OrganizedData[[#This Row],[Product Code]],ProductData[],4,FALSE)</f>
        <v>560</v>
      </c>
      <c r="Q1697" s="6">
        <f>OrganizedData[[#This Row],[Total Items Ordered]]*VLOOKUP(OrganizedData[[#This Row],[Product Code]],ProductData[],3,FALSE)</f>
        <v>1954.4</v>
      </c>
      <c r="R16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1698" spans="1:18" x14ac:dyDescent="0.3">
      <c r="A1698" s="2">
        <v>1691</v>
      </c>
      <c r="B1698" s="2" t="s">
        <v>5028</v>
      </c>
      <c r="C1698" s="2" t="s">
        <v>5029</v>
      </c>
      <c r="D1698" s="2" t="s">
        <v>28</v>
      </c>
      <c r="E1698" s="2" t="s">
        <v>29</v>
      </c>
      <c r="F1698" s="2">
        <v>90</v>
      </c>
      <c r="G1698" s="2" t="s">
        <v>5030</v>
      </c>
      <c r="H1698" s="2" t="s">
        <v>279</v>
      </c>
      <c r="I1698" s="2" t="s">
        <v>213</v>
      </c>
      <c r="J1698" s="3">
        <v>44194</v>
      </c>
      <c r="K1698" s="5">
        <f>YEAR(OrganizedData[[#This Row],[Order Date]])</f>
        <v>2020</v>
      </c>
      <c r="L1698" s="7" t="str">
        <f>TEXT(OrganizedData[[#This Row],[Order Date]],"mmm")</f>
        <v>Dec</v>
      </c>
      <c r="M1698" s="2">
        <v>60</v>
      </c>
      <c r="N1698" s="2" t="s">
        <v>159</v>
      </c>
      <c r="O1698" s="2" t="str">
        <f>VLOOKUP(OrganizedData[[#This Row],[Product Code]],ProductData[[Code]:[Item]],2,FALSE)</f>
        <v>Ultrathing V3</v>
      </c>
      <c r="P1698" s="4">
        <f>OrganizedData[[#This Row],[Quantity]]*VLOOKUP(OrganizedData[[#This Row],[Product Code]],ProductData[],4,FALSE)</f>
        <v>1440</v>
      </c>
      <c r="Q1698" s="6">
        <f>OrganizedData[[#This Row],[Total Items Ordered]]*VLOOKUP(OrganizedData[[#This Row],[Product Code]],ProductData[],3,FALSE)</f>
        <v>4881.6000000000004</v>
      </c>
      <c r="R16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4637.5200000000004</v>
      </c>
    </row>
    <row r="1699" spans="1:18" x14ac:dyDescent="0.3">
      <c r="A1699" s="2">
        <v>1692</v>
      </c>
      <c r="B1699" s="2" t="s">
        <v>5031</v>
      </c>
      <c r="C1699" s="2" t="s">
        <v>5032</v>
      </c>
      <c r="D1699" s="2" t="s">
        <v>28</v>
      </c>
      <c r="E1699" s="2" t="s">
        <v>29</v>
      </c>
      <c r="F1699" s="2">
        <v>60</v>
      </c>
      <c r="G1699" s="2" t="s">
        <v>5030</v>
      </c>
      <c r="H1699" s="2" t="s">
        <v>5033</v>
      </c>
      <c r="I1699" s="2" t="s">
        <v>2543</v>
      </c>
      <c r="J1699" s="3">
        <v>44361</v>
      </c>
      <c r="K1699" s="5">
        <f>YEAR(OrganizedData[[#This Row],[Order Date]])</f>
        <v>2021</v>
      </c>
      <c r="L1699" s="7" t="str">
        <f>TEXT(OrganizedData[[#This Row],[Order Date]],"mmm")</f>
        <v>Jun</v>
      </c>
      <c r="M1699" s="2">
        <v>3</v>
      </c>
      <c r="N1699" s="2" t="s">
        <v>20</v>
      </c>
      <c r="O1699" s="2" t="str">
        <f>VLOOKUP(OrganizedData[[#This Row],[Product Code]],ProductData[[Code]:[Item]],2,FALSE)</f>
        <v>Hyperwotsit</v>
      </c>
      <c r="P1699" s="4">
        <f>OrganizedData[[#This Row],[Quantity]]*VLOOKUP(OrganizedData[[#This Row],[Product Code]],ProductData[],4,FALSE)</f>
        <v>60</v>
      </c>
      <c r="Q1699" s="6">
        <f>OrganizedData[[#This Row],[Total Items Ordered]]*VLOOKUP(OrganizedData[[#This Row],[Product Code]],ProductData[],3,FALSE)</f>
        <v>120.6</v>
      </c>
      <c r="R16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120.6</v>
      </c>
    </row>
    <row r="1700" spans="1:18" x14ac:dyDescent="0.3">
      <c r="A1700" s="2">
        <v>1693</v>
      </c>
      <c r="B1700" s="2" t="s">
        <v>5034</v>
      </c>
      <c r="C1700" s="2" t="s">
        <v>1638</v>
      </c>
      <c r="D1700" s="2" t="s">
        <v>28</v>
      </c>
      <c r="E1700" s="2" t="s">
        <v>29</v>
      </c>
      <c r="F1700" s="2">
        <v>90</v>
      </c>
      <c r="G1700" s="2" t="s">
        <v>5035</v>
      </c>
      <c r="H1700" s="2" t="s">
        <v>5036</v>
      </c>
      <c r="I1700" s="2" t="s">
        <v>32</v>
      </c>
      <c r="J1700" s="3">
        <v>44159</v>
      </c>
      <c r="K1700" s="5">
        <f>YEAR(OrganizedData[[#This Row],[Order Date]])</f>
        <v>2020</v>
      </c>
      <c r="L1700" s="7" t="str">
        <f>TEXT(OrganizedData[[#This Row],[Order Date]],"mmm")</f>
        <v>Nov</v>
      </c>
      <c r="M1700" s="2">
        <v>5</v>
      </c>
      <c r="N1700" s="2" t="s">
        <v>80</v>
      </c>
      <c r="O1700" s="2" t="str">
        <f>VLOOKUP(OrganizedData[[#This Row],[Product Code]],ProductData[[Code]:[Item]],2,FALSE)</f>
        <v>Ultrathing V2</v>
      </c>
      <c r="P1700" s="4">
        <f>OrganizedData[[#This Row],[Quantity]]*VLOOKUP(OrganizedData[[#This Row],[Product Code]],ProductData[],4,FALSE)</f>
        <v>100</v>
      </c>
      <c r="Q1700" s="6">
        <f>OrganizedData[[#This Row],[Total Items Ordered]]*VLOOKUP(OrganizedData[[#This Row],[Product Code]],ProductData[],3,FALSE)</f>
        <v>295</v>
      </c>
      <c r="R17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295</v>
      </c>
    </row>
    <row r="1701" spans="1:18" x14ac:dyDescent="0.3">
      <c r="A1701" s="2">
        <v>1694</v>
      </c>
      <c r="B1701" s="2" t="s">
        <v>4134</v>
      </c>
      <c r="C1701" s="2" t="s">
        <v>5037</v>
      </c>
      <c r="D1701" s="2" t="s">
        <v>28</v>
      </c>
      <c r="E1701" s="2" t="s">
        <v>29</v>
      </c>
      <c r="F1701" s="2">
        <v>30</v>
      </c>
      <c r="G1701" s="2" t="s">
        <v>5038</v>
      </c>
      <c r="H1701" s="2" t="s">
        <v>5039</v>
      </c>
      <c r="I1701" s="2" t="s">
        <v>32</v>
      </c>
      <c r="J1701" s="3">
        <v>44722</v>
      </c>
      <c r="K1701" s="5">
        <f>YEAR(OrganizedData[[#This Row],[Order Date]])</f>
        <v>2022</v>
      </c>
      <c r="L1701" s="7" t="str">
        <f>TEXT(OrganizedData[[#This Row],[Order Date]],"mmm")</f>
        <v>Jun</v>
      </c>
      <c r="M1701" s="2">
        <v>70</v>
      </c>
      <c r="N1701" s="2" t="s">
        <v>33</v>
      </c>
      <c r="O1701" s="2" t="str">
        <f>VLOOKUP(OrganizedData[[#This Row],[Product Code]],ProductData[[Code]:[Item]],2,FALSE)</f>
        <v>Megawidget L</v>
      </c>
      <c r="P1701" s="4">
        <f>OrganizedData[[#This Row],[Quantity]]*VLOOKUP(OrganizedData[[#This Row],[Product Code]],ProductData[],4,FALSE)</f>
        <v>1680</v>
      </c>
      <c r="Q1701" s="6">
        <f>OrganizedData[[#This Row],[Total Items Ordered]]*VLOOKUP(OrganizedData[[#This Row],[Product Code]],ProductData[],3,FALSE)</f>
        <v>3007.2000000000003</v>
      </c>
      <c r="R17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1702" spans="1:18" x14ac:dyDescent="0.3">
      <c r="A1702" s="2">
        <v>1695</v>
      </c>
      <c r="B1702" s="2" t="s">
        <v>5040</v>
      </c>
      <c r="C1702" s="2" t="s">
        <v>3162</v>
      </c>
      <c r="D1702" s="2" t="s">
        <v>15</v>
      </c>
      <c r="E1702" s="2" t="s">
        <v>16</v>
      </c>
      <c r="F1702" s="2">
        <v>30</v>
      </c>
      <c r="G1702" s="2" t="s">
        <v>5041</v>
      </c>
      <c r="H1702" s="2" t="s">
        <v>579</v>
      </c>
      <c r="I1702" s="2" t="s">
        <v>32</v>
      </c>
      <c r="J1702" s="3">
        <v>44488</v>
      </c>
      <c r="K1702" s="5">
        <f>YEAR(OrganizedData[[#This Row],[Order Date]])</f>
        <v>2021</v>
      </c>
      <c r="L1702" s="7" t="str">
        <f>TEXT(OrganizedData[[#This Row],[Order Date]],"mmm")</f>
        <v>Oct</v>
      </c>
      <c r="M1702" s="2">
        <v>7</v>
      </c>
      <c r="N1702" s="2" t="s">
        <v>101</v>
      </c>
      <c r="O1702" s="2" t="str">
        <f>VLOOKUP(OrganizedData[[#This Row],[Product Code]],ProductData[[Code]:[Item]],2,FALSE)</f>
        <v>Superwossname</v>
      </c>
      <c r="P1702" s="4">
        <f>OrganizedData[[#This Row],[Quantity]]*VLOOKUP(OrganizedData[[#This Row],[Product Code]],ProductData[],4,FALSE)</f>
        <v>140</v>
      </c>
      <c r="Q1702" s="6">
        <f>OrganizedData[[#This Row],[Total Items Ordered]]*VLOOKUP(OrganizedData[[#This Row],[Product Code]],ProductData[],3,FALSE)</f>
        <v>488.6</v>
      </c>
      <c r="R17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488.6</v>
      </c>
    </row>
    <row r="1703" spans="1:18" x14ac:dyDescent="0.3">
      <c r="A1703" s="2">
        <v>1696</v>
      </c>
      <c r="B1703" s="2" t="s">
        <v>5042</v>
      </c>
      <c r="C1703" s="2" t="s">
        <v>5043</v>
      </c>
      <c r="D1703" s="2" t="s">
        <v>28</v>
      </c>
      <c r="E1703" s="2" t="s">
        <v>29</v>
      </c>
      <c r="F1703" s="2">
        <v>90</v>
      </c>
      <c r="G1703" s="2" t="s">
        <v>5044</v>
      </c>
      <c r="H1703" s="2" t="s">
        <v>4182</v>
      </c>
      <c r="I1703" s="2" t="s">
        <v>32</v>
      </c>
      <c r="J1703" s="3">
        <v>44808</v>
      </c>
      <c r="K1703" s="5">
        <f>YEAR(OrganizedData[[#This Row],[Order Date]])</f>
        <v>2022</v>
      </c>
      <c r="L1703" s="7" t="str">
        <f>TEXT(OrganizedData[[#This Row],[Order Date]],"mmm")</f>
        <v>Sep</v>
      </c>
      <c r="M1703" s="2">
        <v>67</v>
      </c>
      <c r="N1703" s="2" t="s">
        <v>70</v>
      </c>
      <c r="O1703" s="2" t="str">
        <f>VLOOKUP(OrganizedData[[#This Row],[Product Code]],ProductData[[Code]:[Item]],2,FALSE)</f>
        <v>Megawidget M</v>
      </c>
      <c r="P1703" s="4">
        <f>OrganizedData[[#This Row],[Quantity]]*VLOOKUP(OrganizedData[[#This Row],[Product Code]],ProductData[],4,FALSE)</f>
        <v>1608</v>
      </c>
      <c r="Q1703" s="6">
        <f>OrganizedData[[#This Row],[Total Items Ordered]]*VLOOKUP(OrganizedData[[#This Row],[Product Code]],ProductData[],3,FALSE)</f>
        <v>2074.3200000000002</v>
      </c>
      <c r="R17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1704" spans="1:18" x14ac:dyDescent="0.3">
      <c r="A1704" s="2">
        <v>1697</v>
      </c>
      <c r="B1704" s="2" t="s">
        <v>5045</v>
      </c>
      <c r="C1704" s="2" t="s">
        <v>2119</v>
      </c>
      <c r="D1704" s="2" t="s">
        <v>15</v>
      </c>
      <c r="E1704" s="2" t="s">
        <v>16</v>
      </c>
      <c r="F1704" s="2">
        <v>90</v>
      </c>
      <c r="G1704" s="2" t="s">
        <v>5046</v>
      </c>
      <c r="H1704" s="2" t="s">
        <v>5047</v>
      </c>
      <c r="I1704" s="2" t="s">
        <v>178</v>
      </c>
      <c r="J1704" s="3">
        <v>44626</v>
      </c>
      <c r="K1704" s="5">
        <f>YEAR(OrganizedData[[#This Row],[Order Date]])</f>
        <v>2022</v>
      </c>
      <c r="L1704" s="7" t="str">
        <f>TEXT(OrganizedData[[#This Row],[Order Date]],"mmm")</f>
        <v>Mar</v>
      </c>
      <c r="M1704" s="2">
        <v>34</v>
      </c>
      <c r="N1704" s="2" t="s">
        <v>159</v>
      </c>
      <c r="O1704" s="2" t="str">
        <f>VLOOKUP(OrganizedData[[#This Row],[Product Code]],ProductData[[Code]:[Item]],2,FALSE)</f>
        <v>Ultrathing V3</v>
      </c>
      <c r="P1704" s="4">
        <f>OrganizedData[[#This Row],[Quantity]]*VLOOKUP(OrganizedData[[#This Row],[Product Code]],ProductData[],4,FALSE)</f>
        <v>816</v>
      </c>
      <c r="Q1704" s="6">
        <f>OrganizedData[[#This Row],[Total Items Ordered]]*VLOOKUP(OrganizedData[[#This Row],[Product Code]],ProductData[],3,FALSE)</f>
        <v>2766.2400000000002</v>
      </c>
      <c r="R17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2683.2528000000002</v>
      </c>
    </row>
    <row r="1705" spans="1:18" x14ac:dyDescent="0.3">
      <c r="A1705" s="2">
        <v>1698</v>
      </c>
      <c r="B1705" s="2" t="s">
        <v>5048</v>
      </c>
      <c r="C1705" s="2" t="s">
        <v>2365</v>
      </c>
      <c r="D1705" s="2" t="s">
        <v>51</v>
      </c>
      <c r="E1705" s="2" t="s">
        <v>16</v>
      </c>
      <c r="F1705" s="2">
        <v>90</v>
      </c>
      <c r="G1705" s="2" t="s">
        <v>5049</v>
      </c>
      <c r="H1705" s="2" t="s">
        <v>5050</v>
      </c>
      <c r="I1705" s="2" t="s">
        <v>124</v>
      </c>
      <c r="J1705" s="3">
        <v>44838</v>
      </c>
      <c r="K1705" s="5">
        <f>YEAR(OrganizedData[[#This Row],[Order Date]])</f>
        <v>2022</v>
      </c>
      <c r="L1705" s="7" t="str">
        <f>TEXT(OrganizedData[[#This Row],[Order Date]],"mmm")</f>
        <v>Oct</v>
      </c>
      <c r="M1705" s="2">
        <v>48</v>
      </c>
      <c r="N1705" s="2" t="s">
        <v>70</v>
      </c>
      <c r="O1705" s="2" t="str">
        <f>VLOOKUP(OrganizedData[[#This Row],[Product Code]],ProductData[[Code]:[Item]],2,FALSE)</f>
        <v>Megawidget M</v>
      </c>
      <c r="P1705" s="4">
        <f>OrganizedData[[#This Row],[Quantity]]*VLOOKUP(OrganizedData[[#This Row],[Product Code]],ProductData[],4,FALSE)</f>
        <v>1152</v>
      </c>
      <c r="Q1705" s="6">
        <f>OrganizedData[[#This Row],[Total Items Ordered]]*VLOOKUP(OrganizedData[[#This Row],[Product Code]],ProductData[],3,FALSE)</f>
        <v>1486.08</v>
      </c>
      <c r="R17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1706" spans="1:18" x14ac:dyDescent="0.3">
      <c r="A1706" s="2">
        <v>1699</v>
      </c>
      <c r="B1706" s="2" t="s">
        <v>5051</v>
      </c>
      <c r="C1706" s="2" t="s">
        <v>5052</v>
      </c>
      <c r="D1706" s="2" t="s">
        <v>15</v>
      </c>
      <c r="E1706" s="2" t="s">
        <v>16</v>
      </c>
      <c r="F1706" s="2">
        <v>30</v>
      </c>
      <c r="G1706" s="2" t="s">
        <v>5053</v>
      </c>
      <c r="H1706" s="2" t="s">
        <v>2763</v>
      </c>
      <c r="I1706" s="2" t="s">
        <v>294</v>
      </c>
      <c r="J1706" s="3">
        <v>44547</v>
      </c>
      <c r="K1706" s="5">
        <f>YEAR(OrganizedData[[#This Row],[Order Date]])</f>
        <v>2021</v>
      </c>
      <c r="L1706" s="7" t="str">
        <f>TEXT(OrganizedData[[#This Row],[Order Date]],"mmm")</f>
        <v>Dec</v>
      </c>
      <c r="M1706" s="2">
        <v>67</v>
      </c>
      <c r="N1706" s="2" t="s">
        <v>45</v>
      </c>
      <c r="O1706" s="2" t="str">
        <f>VLOOKUP(OrganizedData[[#This Row],[Product Code]],ProductData[[Code]:[Item]],2,FALSE)</f>
        <v>Gigastuff</v>
      </c>
      <c r="P1706" s="4">
        <f>OrganizedData[[#This Row],[Quantity]]*VLOOKUP(OrganizedData[[#This Row],[Product Code]],ProductData[],4,FALSE)</f>
        <v>1206</v>
      </c>
      <c r="Q1706" s="6">
        <f>OrganizedData[[#This Row],[Total Items Ordered]]*VLOOKUP(OrganizedData[[#This Row],[Product Code]],ProductData[],3,FALSE)</f>
        <v>2279.3399999999997</v>
      </c>
      <c r="R17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2165.3729999999996</v>
      </c>
    </row>
    <row r="1707" spans="1:18" x14ac:dyDescent="0.3">
      <c r="A1707" s="2">
        <v>1700</v>
      </c>
      <c r="B1707" s="2" t="s">
        <v>3711</v>
      </c>
      <c r="C1707" s="2" t="s">
        <v>5054</v>
      </c>
      <c r="D1707" s="2" t="s">
        <v>28</v>
      </c>
      <c r="E1707" s="2" t="s">
        <v>29</v>
      </c>
      <c r="F1707" s="2">
        <v>30</v>
      </c>
      <c r="G1707" s="2" t="s">
        <v>5055</v>
      </c>
      <c r="H1707" s="2" t="s">
        <v>4283</v>
      </c>
      <c r="I1707" s="2" t="s">
        <v>178</v>
      </c>
      <c r="J1707" s="3">
        <v>44836</v>
      </c>
      <c r="K1707" s="5">
        <f>YEAR(OrganizedData[[#This Row],[Order Date]])</f>
        <v>2022</v>
      </c>
      <c r="L1707" s="7" t="str">
        <f>TEXT(OrganizedData[[#This Row],[Order Date]],"mmm")</f>
        <v>Oct</v>
      </c>
      <c r="M1707" s="2">
        <v>75</v>
      </c>
      <c r="N1707" s="2" t="s">
        <v>54</v>
      </c>
      <c r="O1707" s="2" t="str">
        <f>VLOOKUP(OrganizedData[[#This Row],[Product Code]],ProductData[[Code]:[Item]],2,FALSE)</f>
        <v>Megawidget S</v>
      </c>
      <c r="P1707" s="4">
        <f>OrganizedData[[#This Row],[Quantity]]*VLOOKUP(OrganizedData[[#This Row],[Product Code]],ProductData[],4,FALSE)</f>
        <v>1800</v>
      </c>
      <c r="Q1707" s="6">
        <f>OrganizedData[[#This Row],[Total Items Ordered]]*VLOOKUP(OrganizedData[[#This Row],[Product Code]],ProductData[],3,FALSE)</f>
        <v>1242</v>
      </c>
      <c r="R17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1179.8999999999999</v>
      </c>
    </row>
    <row r="1708" spans="1:18" x14ac:dyDescent="0.3">
      <c r="A1708" s="2">
        <v>1701</v>
      </c>
      <c r="B1708" s="2" t="s">
        <v>499</v>
      </c>
      <c r="C1708" s="2" t="s">
        <v>3371</v>
      </c>
      <c r="D1708" s="2" t="s">
        <v>51</v>
      </c>
      <c r="E1708" s="2" t="s">
        <v>16</v>
      </c>
      <c r="F1708" s="2">
        <v>90</v>
      </c>
      <c r="G1708" s="2" t="s">
        <v>5056</v>
      </c>
      <c r="H1708" s="2" t="s">
        <v>526</v>
      </c>
      <c r="I1708" s="2" t="s">
        <v>32</v>
      </c>
      <c r="J1708" s="3">
        <v>43950</v>
      </c>
      <c r="K1708" s="5">
        <f>YEAR(OrganizedData[[#This Row],[Order Date]])</f>
        <v>2020</v>
      </c>
      <c r="L1708" s="7" t="str">
        <f>TEXT(OrganizedData[[#This Row],[Order Date]],"mmm")</f>
        <v>Apr</v>
      </c>
      <c r="M1708" s="2">
        <v>78</v>
      </c>
      <c r="N1708" s="2" t="s">
        <v>54</v>
      </c>
      <c r="O1708" s="2" t="str">
        <f>VLOOKUP(OrganizedData[[#This Row],[Product Code]],ProductData[[Code]:[Item]],2,FALSE)</f>
        <v>Megawidget S</v>
      </c>
      <c r="P1708" s="4">
        <f>OrganizedData[[#This Row],[Quantity]]*VLOOKUP(OrganizedData[[#This Row],[Product Code]],ProductData[],4,FALSE)</f>
        <v>1872</v>
      </c>
      <c r="Q1708" s="6">
        <f>OrganizedData[[#This Row],[Total Items Ordered]]*VLOOKUP(OrganizedData[[#This Row],[Product Code]],ProductData[],3,FALSE)</f>
        <v>1291.6799999999998</v>
      </c>
      <c r="R17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1709" spans="1:18" x14ac:dyDescent="0.3">
      <c r="A1709" s="2">
        <v>1702</v>
      </c>
      <c r="B1709" s="2" t="s">
        <v>5057</v>
      </c>
      <c r="C1709" s="2" t="s">
        <v>1468</v>
      </c>
      <c r="D1709" s="2" t="s">
        <v>28</v>
      </c>
      <c r="E1709" s="2" t="s">
        <v>29</v>
      </c>
      <c r="F1709" s="2">
        <v>60</v>
      </c>
      <c r="G1709" s="2" t="s">
        <v>5058</v>
      </c>
      <c r="H1709" s="2" t="s">
        <v>5059</v>
      </c>
      <c r="I1709" s="2" t="s">
        <v>294</v>
      </c>
      <c r="J1709" s="3">
        <v>43896</v>
      </c>
      <c r="K1709" s="5">
        <f>YEAR(OrganizedData[[#This Row],[Order Date]])</f>
        <v>2020</v>
      </c>
      <c r="L1709" s="7" t="str">
        <f>TEXT(OrganizedData[[#This Row],[Order Date]],"mmm")</f>
        <v>Mar</v>
      </c>
      <c r="M1709" s="2">
        <v>2</v>
      </c>
      <c r="N1709" s="2" t="s">
        <v>70</v>
      </c>
      <c r="O1709" s="2" t="str">
        <f>VLOOKUP(OrganizedData[[#This Row],[Product Code]],ProductData[[Code]:[Item]],2,FALSE)</f>
        <v>Megawidget M</v>
      </c>
      <c r="P1709" s="4">
        <f>OrganizedData[[#This Row],[Quantity]]*VLOOKUP(OrganizedData[[#This Row],[Product Code]],ProductData[],4,FALSE)</f>
        <v>48</v>
      </c>
      <c r="Q1709" s="6">
        <f>OrganizedData[[#This Row],[Total Items Ordered]]*VLOOKUP(OrganizedData[[#This Row],[Product Code]],ProductData[],3,FALSE)</f>
        <v>61.92</v>
      </c>
      <c r="R17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1710" spans="1:18" x14ac:dyDescent="0.3">
      <c r="A1710" s="2">
        <v>1703</v>
      </c>
      <c r="B1710" s="2" t="s">
        <v>5060</v>
      </c>
      <c r="C1710" s="2" t="s">
        <v>3812</v>
      </c>
      <c r="D1710" s="2" t="s">
        <v>28</v>
      </c>
      <c r="E1710" s="2" t="s">
        <v>29</v>
      </c>
      <c r="F1710" s="2">
        <v>30</v>
      </c>
      <c r="G1710" s="2" t="s">
        <v>5061</v>
      </c>
      <c r="H1710" s="2" t="s">
        <v>4527</v>
      </c>
      <c r="I1710" s="2" t="s">
        <v>32</v>
      </c>
      <c r="J1710" s="3">
        <v>44156</v>
      </c>
      <c r="K1710" s="5">
        <f>YEAR(OrganizedData[[#This Row],[Order Date]])</f>
        <v>2020</v>
      </c>
      <c r="L1710" s="7" t="str">
        <f>TEXT(OrganizedData[[#This Row],[Order Date]],"mmm")</f>
        <v>Nov</v>
      </c>
      <c r="M1710" s="2">
        <v>76</v>
      </c>
      <c r="N1710" s="2" t="s">
        <v>64</v>
      </c>
      <c r="O1710" s="2" t="str">
        <f>VLOOKUP(OrganizedData[[#This Row],[Product Code]],ProductData[[Code]:[Item]],2,FALSE)</f>
        <v>Ultrathing V4</v>
      </c>
      <c r="P1710" s="4">
        <f>OrganizedData[[#This Row],[Quantity]]*VLOOKUP(OrganizedData[[#This Row],[Product Code]],ProductData[],4,FALSE)</f>
        <v>1824</v>
      </c>
      <c r="Q1710" s="6">
        <f>OrganizedData[[#This Row],[Total Items Ordered]]*VLOOKUP(OrganizedData[[#This Row],[Product Code]],ProductData[],3,FALSE)</f>
        <v>7277.76</v>
      </c>
      <c r="R17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1711" spans="1:18" x14ac:dyDescent="0.3">
      <c r="A1711" s="2">
        <v>1704</v>
      </c>
      <c r="B1711" s="2" t="s">
        <v>5062</v>
      </c>
      <c r="C1711" s="2" t="s">
        <v>1607</v>
      </c>
      <c r="D1711" s="2" t="s">
        <v>621</v>
      </c>
      <c r="E1711" s="2" t="s">
        <v>29</v>
      </c>
      <c r="F1711" s="2">
        <v>90</v>
      </c>
      <c r="G1711" s="2" t="s">
        <v>5063</v>
      </c>
      <c r="H1711" s="2" t="s">
        <v>154</v>
      </c>
      <c r="I1711" s="2" t="s">
        <v>25</v>
      </c>
      <c r="J1711" s="3">
        <v>43946</v>
      </c>
      <c r="K1711" s="5">
        <f>YEAR(OrganizedData[[#This Row],[Order Date]])</f>
        <v>2020</v>
      </c>
      <c r="L1711" s="7" t="str">
        <f>TEXT(OrganizedData[[#This Row],[Order Date]],"mmm")</f>
        <v>Apr</v>
      </c>
      <c r="M1711" s="2">
        <v>18</v>
      </c>
      <c r="N1711" s="2" t="s">
        <v>45</v>
      </c>
      <c r="O1711" s="2" t="str">
        <f>VLOOKUP(OrganizedData[[#This Row],[Product Code]],ProductData[[Code]:[Item]],2,FALSE)</f>
        <v>Gigastuff</v>
      </c>
      <c r="P1711" s="4">
        <f>OrganizedData[[#This Row],[Quantity]]*VLOOKUP(OrganizedData[[#This Row],[Product Code]],ProductData[],4,FALSE)</f>
        <v>324</v>
      </c>
      <c r="Q1711" s="6">
        <f>OrganizedData[[#This Row],[Total Items Ordered]]*VLOOKUP(OrganizedData[[#This Row],[Product Code]],ProductData[],3,FALSE)</f>
        <v>612.36</v>
      </c>
      <c r="R17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612.36</v>
      </c>
    </row>
    <row r="1712" spans="1:18" x14ac:dyDescent="0.3">
      <c r="A1712" s="2">
        <v>1705</v>
      </c>
      <c r="B1712" s="2" t="s">
        <v>4956</v>
      </c>
      <c r="C1712" s="2" t="s">
        <v>3362</v>
      </c>
      <c r="D1712" s="2" t="s">
        <v>41</v>
      </c>
      <c r="E1712" s="2" t="s">
        <v>16</v>
      </c>
      <c r="F1712" s="2">
        <v>30</v>
      </c>
      <c r="G1712" s="2" t="s">
        <v>5064</v>
      </c>
      <c r="H1712" s="2" t="s">
        <v>3770</v>
      </c>
      <c r="I1712" s="2" t="s">
        <v>32</v>
      </c>
      <c r="J1712" s="3">
        <v>44663</v>
      </c>
      <c r="K1712" s="5">
        <f>YEAR(OrganizedData[[#This Row],[Order Date]])</f>
        <v>2022</v>
      </c>
      <c r="L1712" s="7" t="str">
        <f>TEXT(OrganizedData[[#This Row],[Order Date]],"mmm")</f>
        <v>Apr</v>
      </c>
      <c r="M1712" s="2">
        <v>47</v>
      </c>
      <c r="N1712" s="2" t="s">
        <v>54</v>
      </c>
      <c r="O1712" s="2" t="str">
        <f>VLOOKUP(OrganizedData[[#This Row],[Product Code]],ProductData[[Code]:[Item]],2,FALSE)</f>
        <v>Megawidget S</v>
      </c>
      <c r="P1712" s="4">
        <f>OrganizedData[[#This Row],[Quantity]]*VLOOKUP(OrganizedData[[#This Row],[Product Code]],ProductData[],4,FALSE)</f>
        <v>1128</v>
      </c>
      <c r="Q1712" s="6">
        <f>OrganizedData[[#This Row],[Total Items Ordered]]*VLOOKUP(OrganizedData[[#This Row],[Product Code]],ProductData[],3,FALSE)</f>
        <v>778.31999999999994</v>
      </c>
      <c r="R17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1713" spans="1:18" x14ac:dyDescent="0.3">
      <c r="A1713" s="2">
        <v>1706</v>
      </c>
      <c r="B1713" s="2" t="s">
        <v>5065</v>
      </c>
      <c r="C1713" s="2" t="s">
        <v>286</v>
      </c>
      <c r="D1713" s="2" t="s">
        <v>41</v>
      </c>
      <c r="E1713" s="2" t="s">
        <v>16</v>
      </c>
      <c r="F1713" s="2">
        <v>30</v>
      </c>
      <c r="G1713" s="2" t="s">
        <v>5066</v>
      </c>
      <c r="H1713" s="2" t="s">
        <v>3296</v>
      </c>
      <c r="I1713" s="2" t="s">
        <v>32</v>
      </c>
      <c r="J1713" s="3">
        <v>43973</v>
      </c>
      <c r="K1713" s="5">
        <f>YEAR(OrganizedData[[#This Row],[Order Date]])</f>
        <v>2020</v>
      </c>
      <c r="L1713" s="7" t="str">
        <f>TEXT(OrganizedData[[#This Row],[Order Date]],"mmm")</f>
        <v>May</v>
      </c>
      <c r="M1713" s="2">
        <v>51</v>
      </c>
      <c r="N1713" s="2" t="s">
        <v>33</v>
      </c>
      <c r="O1713" s="2" t="str">
        <f>VLOOKUP(OrganizedData[[#This Row],[Product Code]],ProductData[[Code]:[Item]],2,FALSE)</f>
        <v>Megawidget L</v>
      </c>
      <c r="P1713" s="4">
        <f>OrganizedData[[#This Row],[Quantity]]*VLOOKUP(OrganizedData[[#This Row],[Product Code]],ProductData[],4,FALSE)</f>
        <v>1224</v>
      </c>
      <c r="Q1713" s="6">
        <f>OrganizedData[[#This Row],[Total Items Ordered]]*VLOOKUP(OrganizedData[[#This Row],[Product Code]],ProductData[],3,FALSE)</f>
        <v>2190.96</v>
      </c>
      <c r="R17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1714" spans="1:18" x14ac:dyDescent="0.3">
      <c r="A1714" s="2">
        <v>1707</v>
      </c>
      <c r="B1714" s="2" t="s">
        <v>2853</v>
      </c>
      <c r="C1714" s="2" t="s">
        <v>5067</v>
      </c>
      <c r="D1714" s="2" t="s">
        <v>28</v>
      </c>
      <c r="E1714" s="2" t="s">
        <v>29</v>
      </c>
      <c r="F1714" s="2">
        <v>60</v>
      </c>
      <c r="G1714" s="2" t="s">
        <v>5068</v>
      </c>
      <c r="H1714" s="2" t="s">
        <v>5069</v>
      </c>
      <c r="I1714" s="2" t="s">
        <v>32</v>
      </c>
      <c r="J1714" s="3">
        <v>44416</v>
      </c>
      <c r="K1714" s="5">
        <f>YEAR(OrganizedData[[#This Row],[Order Date]])</f>
        <v>2021</v>
      </c>
      <c r="L1714" s="7" t="str">
        <f>TEXT(OrganizedData[[#This Row],[Order Date]],"mmm")</f>
        <v>Aug</v>
      </c>
      <c r="M1714" s="2">
        <v>4</v>
      </c>
      <c r="N1714" s="2" t="s">
        <v>39</v>
      </c>
      <c r="O1714" s="2" t="str">
        <f>VLOOKUP(OrganizedData[[#This Row],[Product Code]],ProductData[[Code]:[Item]],2,FALSE)</f>
        <v>Ultrathing V1</v>
      </c>
      <c r="P1714" s="4">
        <f>OrganizedData[[#This Row],[Quantity]]*VLOOKUP(OrganizedData[[#This Row],[Product Code]],ProductData[],4,FALSE)</f>
        <v>68</v>
      </c>
      <c r="Q1714" s="6">
        <f>OrganizedData[[#This Row],[Total Items Ordered]]*VLOOKUP(OrganizedData[[#This Row],[Product Code]],ProductData[],3,FALSE)</f>
        <v>121.72</v>
      </c>
      <c r="R17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121.72</v>
      </c>
    </row>
    <row r="1715" spans="1:18" x14ac:dyDescent="0.3">
      <c r="A1715" s="2">
        <v>1708</v>
      </c>
      <c r="B1715" s="2" t="s">
        <v>5070</v>
      </c>
      <c r="C1715" s="2" t="s">
        <v>3258</v>
      </c>
      <c r="D1715" s="2" t="s">
        <v>28</v>
      </c>
      <c r="E1715" s="2" t="s">
        <v>29</v>
      </c>
      <c r="F1715" s="2">
        <v>30</v>
      </c>
      <c r="G1715" s="2" t="s">
        <v>5071</v>
      </c>
      <c r="H1715" s="2" t="s">
        <v>1391</v>
      </c>
      <c r="I1715" s="2" t="s">
        <v>32</v>
      </c>
      <c r="J1715" s="3">
        <v>44559</v>
      </c>
      <c r="K1715" s="5">
        <f>YEAR(OrganizedData[[#This Row],[Order Date]])</f>
        <v>2021</v>
      </c>
      <c r="L1715" s="7" t="str">
        <f>TEXT(OrganizedData[[#This Row],[Order Date]],"mmm")</f>
        <v>Dec</v>
      </c>
      <c r="M1715" s="2">
        <v>20</v>
      </c>
      <c r="N1715" s="2" t="s">
        <v>64</v>
      </c>
      <c r="O1715" s="2" t="str">
        <f>VLOOKUP(OrganizedData[[#This Row],[Product Code]],ProductData[[Code]:[Item]],2,FALSE)</f>
        <v>Ultrathing V4</v>
      </c>
      <c r="P1715" s="4">
        <f>OrganizedData[[#This Row],[Quantity]]*VLOOKUP(OrganizedData[[#This Row],[Product Code]],ProductData[],4,FALSE)</f>
        <v>480</v>
      </c>
      <c r="Q1715" s="6">
        <f>OrganizedData[[#This Row],[Total Items Ordered]]*VLOOKUP(OrganizedData[[#This Row],[Product Code]],ProductData[],3,FALSE)</f>
        <v>1915.2</v>
      </c>
      <c r="R17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1716" spans="1:18" x14ac:dyDescent="0.3">
      <c r="A1716" s="2">
        <v>1709</v>
      </c>
      <c r="B1716" s="2" t="s">
        <v>2980</v>
      </c>
      <c r="C1716" s="2" t="s">
        <v>5072</v>
      </c>
      <c r="D1716" s="2" t="s">
        <v>28</v>
      </c>
      <c r="E1716" s="2" t="s">
        <v>29</v>
      </c>
      <c r="F1716" s="2">
        <v>60</v>
      </c>
      <c r="G1716" s="2" t="s">
        <v>5073</v>
      </c>
      <c r="H1716" s="2" t="s">
        <v>4071</v>
      </c>
      <c r="I1716" s="2" t="s">
        <v>886</v>
      </c>
      <c r="J1716" s="3">
        <v>44493</v>
      </c>
      <c r="K1716" s="5">
        <f>YEAR(OrganizedData[[#This Row],[Order Date]])</f>
        <v>2021</v>
      </c>
      <c r="L1716" s="7" t="str">
        <f>TEXT(OrganizedData[[#This Row],[Order Date]],"mmm")</f>
        <v>Oct</v>
      </c>
      <c r="M1716" s="2">
        <v>45</v>
      </c>
      <c r="N1716" s="2" t="s">
        <v>64</v>
      </c>
      <c r="O1716" s="2" t="str">
        <f>VLOOKUP(OrganizedData[[#This Row],[Product Code]],ProductData[[Code]:[Item]],2,FALSE)</f>
        <v>Ultrathing V4</v>
      </c>
      <c r="P1716" s="4">
        <f>OrganizedData[[#This Row],[Quantity]]*VLOOKUP(OrganizedData[[#This Row],[Product Code]],ProductData[],4,FALSE)</f>
        <v>1080</v>
      </c>
      <c r="Q1716" s="6">
        <f>OrganizedData[[#This Row],[Total Items Ordered]]*VLOOKUP(OrganizedData[[#This Row],[Product Code]],ProductData[],3,FALSE)</f>
        <v>4309.2</v>
      </c>
      <c r="R17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4179.924</v>
      </c>
    </row>
    <row r="1717" spans="1:18" x14ac:dyDescent="0.3">
      <c r="A1717" s="2">
        <v>1710</v>
      </c>
      <c r="B1717" s="2" t="s">
        <v>5074</v>
      </c>
      <c r="C1717" s="2" t="s">
        <v>1627</v>
      </c>
      <c r="D1717" s="2" t="s">
        <v>15</v>
      </c>
      <c r="E1717" s="2" t="s">
        <v>16</v>
      </c>
      <c r="F1717" s="2">
        <v>30</v>
      </c>
      <c r="G1717" s="2" t="s">
        <v>5075</v>
      </c>
      <c r="H1717" s="2" t="s">
        <v>1242</v>
      </c>
      <c r="I1717" s="2" t="s">
        <v>38</v>
      </c>
      <c r="J1717" s="3">
        <v>44572</v>
      </c>
      <c r="K1717" s="5">
        <f>YEAR(OrganizedData[[#This Row],[Order Date]])</f>
        <v>2022</v>
      </c>
      <c r="L1717" s="7" t="str">
        <f>TEXT(OrganizedData[[#This Row],[Order Date]],"mmm")</f>
        <v>Jan</v>
      </c>
      <c r="M1717" s="2">
        <v>82</v>
      </c>
      <c r="N1717" s="2" t="s">
        <v>101</v>
      </c>
      <c r="O1717" s="2" t="str">
        <f>VLOOKUP(OrganizedData[[#This Row],[Product Code]],ProductData[[Code]:[Item]],2,FALSE)</f>
        <v>Superwossname</v>
      </c>
      <c r="P1717" s="4">
        <f>OrganizedData[[#This Row],[Quantity]]*VLOOKUP(OrganizedData[[#This Row],[Product Code]],ProductData[],4,FALSE)</f>
        <v>1640</v>
      </c>
      <c r="Q1717" s="6">
        <f>OrganizedData[[#This Row],[Total Items Ordered]]*VLOOKUP(OrganizedData[[#This Row],[Product Code]],ProductData[],3,FALSE)</f>
        <v>5723.6</v>
      </c>
      <c r="R17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5437.42</v>
      </c>
    </row>
    <row r="1718" spans="1:18" x14ac:dyDescent="0.3">
      <c r="A1718" s="2">
        <v>1711</v>
      </c>
      <c r="B1718" s="2" t="s">
        <v>5076</v>
      </c>
      <c r="C1718" s="2" t="s">
        <v>5077</v>
      </c>
      <c r="D1718" s="2" t="s">
        <v>15</v>
      </c>
      <c r="E1718" s="2" t="s">
        <v>16</v>
      </c>
      <c r="F1718" s="2">
        <v>60</v>
      </c>
      <c r="G1718" s="2" t="s">
        <v>5078</v>
      </c>
      <c r="H1718" s="2" t="s">
        <v>5079</v>
      </c>
      <c r="I1718" s="2" t="s">
        <v>294</v>
      </c>
      <c r="J1718" s="3">
        <v>44844</v>
      </c>
      <c r="K1718" s="5">
        <f>YEAR(OrganizedData[[#This Row],[Order Date]])</f>
        <v>2022</v>
      </c>
      <c r="L1718" s="7" t="str">
        <f>TEXT(OrganizedData[[#This Row],[Order Date]],"mmm")</f>
        <v>Oct</v>
      </c>
      <c r="M1718" s="2">
        <v>50</v>
      </c>
      <c r="N1718" s="2" t="s">
        <v>101</v>
      </c>
      <c r="O1718" s="2" t="str">
        <f>VLOOKUP(OrganizedData[[#This Row],[Product Code]],ProductData[[Code]:[Item]],2,FALSE)</f>
        <v>Superwossname</v>
      </c>
      <c r="P1718" s="4">
        <f>OrganizedData[[#This Row],[Quantity]]*VLOOKUP(OrganizedData[[#This Row],[Product Code]],ProductData[],4,FALSE)</f>
        <v>1000</v>
      </c>
      <c r="Q1718" s="6">
        <f>OrganizedData[[#This Row],[Total Items Ordered]]*VLOOKUP(OrganizedData[[#This Row],[Product Code]],ProductData[],3,FALSE)</f>
        <v>3490</v>
      </c>
      <c r="R17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3385.2999999999997</v>
      </c>
    </row>
    <row r="1719" spans="1:18" x14ac:dyDescent="0.3">
      <c r="A1719" s="2">
        <v>1712</v>
      </c>
      <c r="B1719" s="2" t="s">
        <v>3329</v>
      </c>
      <c r="C1719" s="2" t="s">
        <v>5081</v>
      </c>
      <c r="D1719" s="2" t="s">
        <v>28</v>
      </c>
      <c r="E1719" s="2" t="s">
        <v>29</v>
      </c>
      <c r="F1719" s="2">
        <v>60</v>
      </c>
      <c r="G1719" s="2" t="s">
        <v>5082</v>
      </c>
      <c r="H1719" s="2" t="s">
        <v>3324</v>
      </c>
      <c r="I1719" s="2" t="s">
        <v>32</v>
      </c>
      <c r="J1719" s="3">
        <v>44870</v>
      </c>
      <c r="K1719" s="5">
        <f>YEAR(OrganizedData[[#This Row],[Order Date]])</f>
        <v>2022</v>
      </c>
      <c r="L1719" s="7" t="str">
        <f>TEXT(OrganizedData[[#This Row],[Order Date]],"mmm")</f>
        <v>Nov</v>
      </c>
      <c r="M1719" s="2">
        <v>98</v>
      </c>
      <c r="N1719" s="2" t="s">
        <v>45</v>
      </c>
      <c r="O1719" s="2" t="str">
        <f>VLOOKUP(OrganizedData[[#This Row],[Product Code]],ProductData[[Code]:[Item]],2,FALSE)</f>
        <v>Gigastuff</v>
      </c>
      <c r="P1719" s="4">
        <f>OrganizedData[[#This Row],[Quantity]]*VLOOKUP(OrganizedData[[#This Row],[Product Code]],ProductData[],4,FALSE)</f>
        <v>1764</v>
      </c>
      <c r="Q1719" s="6">
        <f>OrganizedData[[#This Row],[Total Items Ordered]]*VLOOKUP(OrganizedData[[#This Row],[Product Code]],ProductData[],3,FALSE)</f>
        <v>3333.96</v>
      </c>
      <c r="R17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3167.2619999999997</v>
      </c>
    </row>
    <row r="1720" spans="1:18" x14ac:dyDescent="0.3">
      <c r="A1720" s="2">
        <v>1713</v>
      </c>
      <c r="B1720" s="2" t="s">
        <v>5083</v>
      </c>
      <c r="C1720" s="2" t="s">
        <v>5084</v>
      </c>
      <c r="D1720" s="2" t="s">
        <v>28</v>
      </c>
      <c r="E1720" s="2" t="s">
        <v>29</v>
      </c>
      <c r="F1720" s="2">
        <v>30</v>
      </c>
      <c r="G1720" s="2" t="s">
        <v>5085</v>
      </c>
      <c r="H1720" s="2" t="s">
        <v>3756</v>
      </c>
      <c r="I1720" s="2" t="s">
        <v>178</v>
      </c>
      <c r="J1720" s="3">
        <v>43844</v>
      </c>
      <c r="K1720" s="5">
        <f>YEAR(OrganizedData[[#This Row],[Order Date]])</f>
        <v>2020</v>
      </c>
      <c r="L1720" s="7" t="str">
        <f>TEXT(OrganizedData[[#This Row],[Order Date]],"mmm")</f>
        <v>Jan</v>
      </c>
      <c r="M1720" s="2">
        <v>34</v>
      </c>
      <c r="N1720" s="2" t="s">
        <v>101</v>
      </c>
      <c r="O1720" s="2" t="str">
        <f>VLOOKUP(OrganizedData[[#This Row],[Product Code]],ProductData[[Code]:[Item]],2,FALSE)</f>
        <v>Superwossname</v>
      </c>
      <c r="P1720" s="4">
        <f>OrganizedData[[#This Row],[Quantity]]*VLOOKUP(OrganizedData[[#This Row],[Product Code]],ProductData[],4,FALSE)</f>
        <v>680</v>
      </c>
      <c r="Q1720" s="6">
        <f>OrganizedData[[#This Row],[Total Items Ordered]]*VLOOKUP(OrganizedData[[#This Row],[Product Code]],ProductData[],3,FALSE)</f>
        <v>2373.2000000000003</v>
      </c>
      <c r="R17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1721" spans="1:18" x14ac:dyDescent="0.3">
      <c r="A1721" s="2">
        <v>1714</v>
      </c>
      <c r="B1721" s="2" t="s">
        <v>5086</v>
      </c>
      <c r="C1721" s="2" t="s">
        <v>593</v>
      </c>
      <c r="D1721" s="2" t="s">
        <v>28</v>
      </c>
      <c r="E1721" s="2" t="s">
        <v>29</v>
      </c>
      <c r="F1721" s="2">
        <v>90</v>
      </c>
      <c r="G1721" s="2" t="s">
        <v>5087</v>
      </c>
      <c r="H1721" s="2" t="s">
        <v>3870</v>
      </c>
      <c r="I1721" s="2" t="s">
        <v>124</v>
      </c>
      <c r="J1721" s="3">
        <v>44709</v>
      </c>
      <c r="K1721" s="5">
        <f>YEAR(OrganizedData[[#This Row],[Order Date]])</f>
        <v>2022</v>
      </c>
      <c r="L1721" s="7" t="str">
        <f>TEXT(OrganizedData[[#This Row],[Order Date]],"mmm")</f>
        <v>May</v>
      </c>
      <c r="M1721" s="2">
        <v>18</v>
      </c>
      <c r="N1721" s="2" t="s">
        <v>159</v>
      </c>
      <c r="O1721" s="2" t="str">
        <f>VLOOKUP(OrganizedData[[#This Row],[Product Code]],ProductData[[Code]:[Item]],2,FALSE)</f>
        <v>Ultrathing V3</v>
      </c>
      <c r="P1721" s="4">
        <f>OrganizedData[[#This Row],[Quantity]]*VLOOKUP(OrganizedData[[#This Row],[Product Code]],ProductData[],4,FALSE)</f>
        <v>432</v>
      </c>
      <c r="Q1721" s="6">
        <f>OrganizedData[[#This Row],[Total Items Ordered]]*VLOOKUP(OrganizedData[[#This Row],[Product Code]],ProductData[],3,FALSE)</f>
        <v>1464.48</v>
      </c>
      <c r="R17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1722" spans="1:18" x14ac:dyDescent="0.3">
      <c r="A1722" s="2">
        <v>1715</v>
      </c>
      <c r="B1722" s="2" t="s">
        <v>5088</v>
      </c>
      <c r="C1722" s="2" t="s">
        <v>457</v>
      </c>
      <c r="D1722" s="2" t="s">
        <v>28</v>
      </c>
      <c r="E1722" s="2" t="s">
        <v>29</v>
      </c>
      <c r="F1722" s="2">
        <v>90</v>
      </c>
      <c r="G1722" s="2" t="s">
        <v>5089</v>
      </c>
      <c r="H1722" s="2" t="s">
        <v>298</v>
      </c>
      <c r="I1722" s="2" t="s">
        <v>25</v>
      </c>
      <c r="J1722" s="3">
        <v>44522</v>
      </c>
      <c r="K1722" s="5">
        <f>YEAR(OrganizedData[[#This Row],[Order Date]])</f>
        <v>2021</v>
      </c>
      <c r="L1722" s="7" t="str">
        <f>TEXT(OrganizedData[[#This Row],[Order Date]],"mmm")</f>
        <v>Nov</v>
      </c>
      <c r="M1722" s="2">
        <v>65</v>
      </c>
      <c r="N1722" s="2" t="s">
        <v>80</v>
      </c>
      <c r="O1722" s="2" t="str">
        <f>VLOOKUP(OrganizedData[[#This Row],[Product Code]],ProductData[[Code]:[Item]],2,FALSE)</f>
        <v>Ultrathing V2</v>
      </c>
      <c r="P1722" s="4">
        <f>OrganizedData[[#This Row],[Quantity]]*VLOOKUP(OrganizedData[[#This Row],[Product Code]],ProductData[],4,FALSE)</f>
        <v>1300</v>
      </c>
      <c r="Q1722" s="6">
        <f>OrganizedData[[#This Row],[Total Items Ordered]]*VLOOKUP(OrganizedData[[#This Row],[Product Code]],ProductData[],3,FALSE)</f>
        <v>3835.0000000000005</v>
      </c>
      <c r="R17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3643.2500000000005</v>
      </c>
    </row>
    <row r="1723" spans="1:18" x14ac:dyDescent="0.3">
      <c r="A1723" s="2">
        <v>1716</v>
      </c>
      <c r="B1723" s="2" t="s">
        <v>1405</v>
      </c>
      <c r="C1723" s="2" t="s">
        <v>5090</v>
      </c>
      <c r="D1723" s="2" t="s">
        <v>28</v>
      </c>
      <c r="E1723" s="2" t="s">
        <v>29</v>
      </c>
      <c r="F1723" s="2">
        <v>90</v>
      </c>
      <c r="G1723" s="2" t="s">
        <v>5091</v>
      </c>
      <c r="H1723" s="2" t="s">
        <v>1781</v>
      </c>
      <c r="I1723" s="2" t="s">
        <v>32</v>
      </c>
      <c r="J1723" s="3">
        <v>44844</v>
      </c>
      <c r="K1723" s="5">
        <f>YEAR(OrganizedData[[#This Row],[Order Date]])</f>
        <v>2022</v>
      </c>
      <c r="L1723" s="7" t="str">
        <f>TEXT(OrganizedData[[#This Row],[Order Date]],"mmm")</f>
        <v>Oct</v>
      </c>
      <c r="M1723" s="2">
        <v>26</v>
      </c>
      <c r="N1723" s="2" t="s">
        <v>45</v>
      </c>
      <c r="O1723" s="2" t="str">
        <f>VLOOKUP(OrganizedData[[#This Row],[Product Code]],ProductData[[Code]:[Item]],2,FALSE)</f>
        <v>Gigastuff</v>
      </c>
      <c r="P1723" s="4">
        <f>OrganizedData[[#This Row],[Quantity]]*VLOOKUP(OrganizedData[[#This Row],[Product Code]],ProductData[],4,FALSE)</f>
        <v>468</v>
      </c>
      <c r="Q1723" s="6">
        <f>OrganizedData[[#This Row],[Total Items Ordered]]*VLOOKUP(OrganizedData[[#This Row],[Product Code]],ProductData[],3,FALSE)</f>
        <v>884.52</v>
      </c>
      <c r="R17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1724" spans="1:18" x14ac:dyDescent="0.3">
      <c r="A1724" s="2">
        <v>1717</v>
      </c>
      <c r="B1724" s="2" t="s">
        <v>1923</v>
      </c>
      <c r="C1724" s="2" t="s">
        <v>5092</v>
      </c>
      <c r="D1724" s="2" t="s">
        <v>28</v>
      </c>
      <c r="E1724" s="2" t="s">
        <v>29</v>
      </c>
      <c r="F1724" s="2">
        <v>30</v>
      </c>
      <c r="G1724" s="2" t="s">
        <v>5093</v>
      </c>
      <c r="H1724" s="2" t="s">
        <v>3459</v>
      </c>
      <c r="I1724" s="2" t="s">
        <v>178</v>
      </c>
      <c r="J1724" s="3">
        <v>44160</v>
      </c>
      <c r="K1724" s="5">
        <f>YEAR(OrganizedData[[#This Row],[Order Date]])</f>
        <v>2020</v>
      </c>
      <c r="L1724" s="7" t="str">
        <f>TEXT(OrganizedData[[#This Row],[Order Date]],"mmm")</f>
        <v>Nov</v>
      </c>
      <c r="M1724" s="2">
        <v>73</v>
      </c>
      <c r="N1724" s="2" t="s">
        <v>70</v>
      </c>
      <c r="O1724" s="2" t="str">
        <f>VLOOKUP(OrganizedData[[#This Row],[Product Code]],ProductData[[Code]:[Item]],2,FALSE)</f>
        <v>Megawidget M</v>
      </c>
      <c r="P1724" s="4">
        <f>OrganizedData[[#This Row],[Quantity]]*VLOOKUP(OrganizedData[[#This Row],[Product Code]],ProductData[],4,FALSE)</f>
        <v>1752</v>
      </c>
      <c r="Q1724" s="6">
        <f>OrganizedData[[#This Row],[Total Items Ordered]]*VLOOKUP(OrganizedData[[#This Row],[Product Code]],ProductData[],3,FALSE)</f>
        <v>2260.08</v>
      </c>
      <c r="R17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1725" spans="1:18" x14ac:dyDescent="0.3">
      <c r="A1725" s="2">
        <v>1718</v>
      </c>
      <c r="B1725" s="2" t="s">
        <v>1865</v>
      </c>
      <c r="C1725" s="2" t="s">
        <v>1703</v>
      </c>
      <c r="D1725" s="2" t="s">
        <v>41</v>
      </c>
      <c r="E1725" s="2" t="s">
        <v>16</v>
      </c>
      <c r="F1725" s="2">
        <v>30</v>
      </c>
      <c r="G1725" s="2" t="s">
        <v>5094</v>
      </c>
      <c r="H1725" s="2" t="s">
        <v>738</v>
      </c>
      <c r="I1725" s="2" t="s">
        <v>38</v>
      </c>
      <c r="J1725" s="3">
        <v>44240</v>
      </c>
      <c r="K1725" s="5">
        <f>YEAR(OrganizedData[[#This Row],[Order Date]])</f>
        <v>2021</v>
      </c>
      <c r="L1725" s="7" t="str">
        <f>TEXT(OrganizedData[[#This Row],[Order Date]],"mmm")</f>
        <v>Feb</v>
      </c>
      <c r="M1725" s="2">
        <v>28</v>
      </c>
      <c r="N1725" s="2" t="s">
        <v>39</v>
      </c>
      <c r="O1725" s="2" t="str">
        <f>VLOOKUP(OrganizedData[[#This Row],[Product Code]],ProductData[[Code]:[Item]],2,FALSE)</f>
        <v>Ultrathing V1</v>
      </c>
      <c r="P1725" s="4">
        <f>OrganizedData[[#This Row],[Quantity]]*VLOOKUP(OrganizedData[[#This Row],[Product Code]],ProductData[],4,FALSE)</f>
        <v>476</v>
      </c>
      <c r="Q1725" s="6">
        <f>OrganizedData[[#This Row],[Total Items Ordered]]*VLOOKUP(OrganizedData[[#This Row],[Product Code]],ProductData[],3,FALSE)</f>
        <v>852.04</v>
      </c>
      <c r="R17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826.47879999999998</v>
      </c>
    </row>
    <row r="1726" spans="1:18" x14ac:dyDescent="0.3">
      <c r="A1726" s="2">
        <v>1719</v>
      </c>
      <c r="B1726" s="2" t="s">
        <v>5095</v>
      </c>
      <c r="C1726" s="2" t="s">
        <v>5096</v>
      </c>
      <c r="D1726" s="2" t="s">
        <v>51</v>
      </c>
      <c r="E1726" s="2" t="s">
        <v>16</v>
      </c>
      <c r="F1726" s="2">
        <v>90</v>
      </c>
      <c r="G1726" s="2" t="s">
        <v>5097</v>
      </c>
      <c r="H1726" s="2" t="s">
        <v>2516</v>
      </c>
      <c r="I1726" s="2" t="s">
        <v>32</v>
      </c>
      <c r="J1726" s="3">
        <v>44368</v>
      </c>
      <c r="K1726" s="5">
        <f>YEAR(OrganizedData[[#This Row],[Order Date]])</f>
        <v>2021</v>
      </c>
      <c r="L1726" s="7" t="str">
        <f>TEXT(OrganizedData[[#This Row],[Order Date]],"mmm")</f>
        <v>Jun</v>
      </c>
      <c r="M1726" s="2">
        <v>66</v>
      </c>
      <c r="N1726" s="2" t="s">
        <v>54</v>
      </c>
      <c r="O1726" s="2" t="str">
        <f>VLOOKUP(OrganizedData[[#This Row],[Product Code]],ProductData[[Code]:[Item]],2,FALSE)</f>
        <v>Megawidget S</v>
      </c>
      <c r="P1726" s="4">
        <f>OrganizedData[[#This Row],[Quantity]]*VLOOKUP(OrganizedData[[#This Row],[Product Code]],ProductData[],4,FALSE)</f>
        <v>1584</v>
      </c>
      <c r="Q1726" s="6">
        <f>OrganizedData[[#This Row],[Total Items Ordered]]*VLOOKUP(OrganizedData[[#This Row],[Product Code]],ProductData[],3,FALSE)</f>
        <v>1092.9599999999998</v>
      </c>
      <c r="R17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727" spans="1:18" x14ac:dyDescent="0.3">
      <c r="A1727" s="2">
        <v>1720</v>
      </c>
      <c r="B1727" s="2" t="s">
        <v>2600</v>
      </c>
      <c r="C1727" s="2" t="s">
        <v>1148</v>
      </c>
      <c r="D1727" s="2" t="s">
        <v>51</v>
      </c>
      <c r="E1727" s="2" t="s">
        <v>16</v>
      </c>
      <c r="F1727" s="2">
        <v>90</v>
      </c>
      <c r="G1727" s="2" t="s">
        <v>5098</v>
      </c>
      <c r="H1727" s="2" t="s">
        <v>5099</v>
      </c>
      <c r="I1727" s="2" t="s">
        <v>32</v>
      </c>
      <c r="J1727" s="3">
        <v>44211</v>
      </c>
      <c r="K1727" s="5">
        <f>YEAR(OrganizedData[[#This Row],[Order Date]])</f>
        <v>2021</v>
      </c>
      <c r="L1727" s="7" t="str">
        <f>TEXT(OrganizedData[[#This Row],[Order Date]],"mmm")</f>
        <v>Jan</v>
      </c>
      <c r="M1727" s="2">
        <v>51</v>
      </c>
      <c r="N1727" s="2" t="s">
        <v>101</v>
      </c>
      <c r="O1727" s="2" t="str">
        <f>VLOOKUP(OrganizedData[[#This Row],[Product Code]],ProductData[[Code]:[Item]],2,FALSE)</f>
        <v>Superwossname</v>
      </c>
      <c r="P1727" s="4">
        <f>OrganizedData[[#This Row],[Quantity]]*VLOOKUP(OrganizedData[[#This Row],[Product Code]],ProductData[],4,FALSE)</f>
        <v>1020</v>
      </c>
      <c r="Q1727" s="6">
        <f>OrganizedData[[#This Row],[Total Items Ordered]]*VLOOKUP(OrganizedData[[#This Row],[Product Code]],ProductData[],3,FALSE)</f>
        <v>3559.8</v>
      </c>
      <c r="R17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3381.81</v>
      </c>
    </row>
    <row r="1728" spans="1:18" x14ac:dyDescent="0.3">
      <c r="A1728" s="2">
        <v>1721</v>
      </c>
      <c r="B1728" s="2" t="s">
        <v>3300</v>
      </c>
      <c r="C1728" s="2" t="s">
        <v>5100</v>
      </c>
      <c r="D1728" s="2" t="s">
        <v>28</v>
      </c>
      <c r="E1728" s="2" t="s">
        <v>29</v>
      </c>
      <c r="F1728" s="2">
        <v>60</v>
      </c>
      <c r="G1728" s="2" t="s">
        <v>5101</v>
      </c>
      <c r="H1728" s="2" t="s">
        <v>2791</v>
      </c>
      <c r="I1728" s="2" t="s">
        <v>178</v>
      </c>
      <c r="J1728" s="3">
        <v>44275</v>
      </c>
      <c r="K1728" s="5">
        <f>YEAR(OrganizedData[[#This Row],[Order Date]])</f>
        <v>2021</v>
      </c>
      <c r="L1728" s="7" t="str">
        <f>TEXT(OrganizedData[[#This Row],[Order Date]],"mmm")</f>
        <v>Mar</v>
      </c>
      <c r="M1728" s="2">
        <v>9</v>
      </c>
      <c r="N1728" s="2" t="s">
        <v>39</v>
      </c>
      <c r="O1728" s="2" t="str">
        <f>VLOOKUP(OrganizedData[[#This Row],[Product Code]],ProductData[[Code]:[Item]],2,FALSE)</f>
        <v>Ultrathing V1</v>
      </c>
      <c r="P1728" s="4">
        <f>OrganizedData[[#This Row],[Quantity]]*VLOOKUP(OrganizedData[[#This Row],[Product Code]],ProductData[],4,FALSE)</f>
        <v>153</v>
      </c>
      <c r="Q1728" s="6">
        <f>OrganizedData[[#This Row],[Total Items Ordered]]*VLOOKUP(OrganizedData[[#This Row],[Product Code]],ProductData[],3,FALSE)</f>
        <v>273.87</v>
      </c>
      <c r="R17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1729" spans="1:18" x14ac:dyDescent="0.3">
      <c r="A1729" s="2">
        <v>1722</v>
      </c>
      <c r="B1729" s="2" t="s">
        <v>5102</v>
      </c>
      <c r="C1729" s="2" t="s">
        <v>1874</v>
      </c>
      <c r="D1729" s="2" t="s">
        <v>15</v>
      </c>
      <c r="E1729" s="2" t="s">
        <v>16</v>
      </c>
      <c r="F1729" s="2">
        <v>60</v>
      </c>
      <c r="G1729" s="2" t="s">
        <v>5103</v>
      </c>
      <c r="H1729" s="2" t="s">
        <v>754</v>
      </c>
      <c r="I1729" s="2" t="s">
        <v>25</v>
      </c>
      <c r="J1729" s="3">
        <v>44890</v>
      </c>
      <c r="K1729" s="5">
        <f>YEAR(OrganizedData[[#This Row],[Order Date]])</f>
        <v>2022</v>
      </c>
      <c r="L1729" s="7" t="str">
        <f>TEXT(OrganizedData[[#This Row],[Order Date]],"mmm")</f>
        <v>Nov</v>
      </c>
      <c r="M1729" s="2">
        <v>20</v>
      </c>
      <c r="N1729" s="2" t="s">
        <v>80</v>
      </c>
      <c r="O1729" s="2" t="str">
        <f>VLOOKUP(OrganizedData[[#This Row],[Product Code]],ProductData[[Code]:[Item]],2,FALSE)</f>
        <v>Ultrathing V2</v>
      </c>
      <c r="P1729" s="4">
        <f>OrganizedData[[#This Row],[Quantity]]*VLOOKUP(OrganizedData[[#This Row],[Product Code]],ProductData[],4,FALSE)</f>
        <v>400</v>
      </c>
      <c r="Q1729" s="6">
        <f>OrganizedData[[#This Row],[Total Items Ordered]]*VLOOKUP(OrganizedData[[#This Row],[Product Code]],ProductData[],3,FALSE)</f>
        <v>1180</v>
      </c>
      <c r="R17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v>
      </c>
    </row>
    <row r="1730" spans="1:18" x14ac:dyDescent="0.3">
      <c r="A1730" s="2">
        <v>1723</v>
      </c>
      <c r="B1730" s="2" t="s">
        <v>2346</v>
      </c>
      <c r="C1730" s="2" t="s">
        <v>512</v>
      </c>
      <c r="D1730" s="2" t="s">
        <v>28</v>
      </c>
      <c r="E1730" s="2" t="s">
        <v>29</v>
      </c>
      <c r="F1730" s="2">
        <v>60</v>
      </c>
      <c r="G1730" s="2" t="s">
        <v>10497</v>
      </c>
      <c r="H1730" s="2" t="s">
        <v>2688</v>
      </c>
      <c r="I1730" s="2" t="s">
        <v>1199</v>
      </c>
      <c r="J1730" s="3">
        <v>44115</v>
      </c>
      <c r="K1730" s="5">
        <f>YEAR(OrganizedData[[#This Row],[Order Date]])</f>
        <v>2020</v>
      </c>
      <c r="L1730" s="7" t="str">
        <f>TEXT(OrganizedData[[#This Row],[Order Date]],"mmm")</f>
        <v>Oct</v>
      </c>
      <c r="M1730" s="2">
        <v>48</v>
      </c>
      <c r="N1730" s="2" t="s">
        <v>33</v>
      </c>
      <c r="O1730" s="2" t="str">
        <f>VLOOKUP(OrganizedData[[#This Row],[Product Code]],ProductData[[Code]:[Item]],2,FALSE)</f>
        <v>Megawidget L</v>
      </c>
      <c r="P1730" s="4">
        <f>OrganizedData[[#This Row],[Quantity]]*VLOOKUP(OrganizedData[[#This Row],[Product Code]],ProductData[],4,FALSE)</f>
        <v>1152</v>
      </c>
      <c r="Q1730" s="6">
        <f>OrganizedData[[#This Row],[Total Items Ordered]]*VLOOKUP(OrganizedData[[#This Row],[Product Code]],ProductData[],3,FALSE)</f>
        <v>2062.08</v>
      </c>
      <c r="R17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2000.2175999999999</v>
      </c>
    </row>
    <row r="1731" spans="1:18" x14ac:dyDescent="0.3">
      <c r="A1731" s="2">
        <v>1724</v>
      </c>
      <c r="B1731" s="2" t="s">
        <v>5105</v>
      </c>
      <c r="C1731" s="2" t="s">
        <v>5106</v>
      </c>
      <c r="D1731" s="2" t="s">
        <v>51</v>
      </c>
      <c r="E1731" s="2" t="s">
        <v>16</v>
      </c>
      <c r="F1731" s="2">
        <v>30</v>
      </c>
      <c r="G1731" s="2" t="s">
        <v>5107</v>
      </c>
      <c r="H1731" s="2" t="s">
        <v>5108</v>
      </c>
      <c r="I1731" s="2" t="s">
        <v>38</v>
      </c>
      <c r="J1731" s="3">
        <v>44636</v>
      </c>
      <c r="K1731" s="5">
        <f>YEAR(OrganizedData[[#This Row],[Order Date]])</f>
        <v>2022</v>
      </c>
      <c r="L1731" s="7" t="str">
        <f>TEXT(OrganizedData[[#This Row],[Order Date]],"mmm")</f>
        <v>Mar</v>
      </c>
      <c r="M1731" s="2">
        <v>39</v>
      </c>
      <c r="N1731" s="2" t="s">
        <v>20</v>
      </c>
      <c r="O1731" s="2" t="str">
        <f>VLOOKUP(OrganizedData[[#This Row],[Product Code]],ProductData[[Code]:[Item]],2,FALSE)</f>
        <v>Hyperwotsit</v>
      </c>
      <c r="P1731" s="4">
        <f>OrganizedData[[#This Row],[Quantity]]*VLOOKUP(OrganizedData[[#This Row],[Product Code]],ProductData[],4,FALSE)</f>
        <v>780</v>
      </c>
      <c r="Q1731" s="6">
        <f>OrganizedData[[#This Row],[Total Items Ordered]]*VLOOKUP(OrganizedData[[#This Row],[Product Code]],ProductData[],3,FALSE)</f>
        <v>1567.7999999999997</v>
      </c>
      <c r="R17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1520.7659999999996</v>
      </c>
    </row>
    <row r="1732" spans="1:18" x14ac:dyDescent="0.3">
      <c r="A1732" s="2">
        <v>1725</v>
      </c>
      <c r="B1732" s="2" t="s">
        <v>111</v>
      </c>
      <c r="C1732" s="2" t="s">
        <v>647</v>
      </c>
      <c r="D1732" s="2" t="s">
        <v>28</v>
      </c>
      <c r="E1732" s="2" t="s">
        <v>29</v>
      </c>
      <c r="F1732" s="2">
        <v>60</v>
      </c>
      <c r="G1732" s="2" t="s">
        <v>5109</v>
      </c>
      <c r="H1732" s="2" t="s">
        <v>4020</v>
      </c>
      <c r="I1732" s="2" t="s">
        <v>173</v>
      </c>
      <c r="J1732" s="3">
        <v>44519</v>
      </c>
      <c r="K1732" s="5">
        <f>YEAR(OrganizedData[[#This Row],[Order Date]])</f>
        <v>2021</v>
      </c>
      <c r="L1732" s="7" t="str">
        <f>TEXT(OrganizedData[[#This Row],[Order Date]],"mmm")</f>
        <v>Nov</v>
      </c>
      <c r="M1732" s="2">
        <v>81</v>
      </c>
      <c r="N1732" s="2" t="s">
        <v>20</v>
      </c>
      <c r="O1732" s="2" t="str">
        <f>VLOOKUP(OrganizedData[[#This Row],[Product Code]],ProductData[[Code]:[Item]],2,FALSE)</f>
        <v>Hyperwotsit</v>
      </c>
      <c r="P1732" s="4">
        <f>OrganizedData[[#This Row],[Quantity]]*VLOOKUP(OrganizedData[[#This Row],[Product Code]],ProductData[],4,FALSE)</f>
        <v>1620</v>
      </c>
      <c r="Q1732" s="6">
        <f>OrganizedData[[#This Row],[Total Items Ordered]]*VLOOKUP(OrganizedData[[#This Row],[Product Code]],ProductData[],3,FALSE)</f>
        <v>3256.2</v>
      </c>
      <c r="R17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1733" spans="1:18" x14ac:dyDescent="0.3">
      <c r="A1733" s="2">
        <v>1726</v>
      </c>
      <c r="B1733" s="2" t="s">
        <v>5110</v>
      </c>
      <c r="C1733" s="2" t="s">
        <v>5111</v>
      </c>
      <c r="D1733" s="2" t="s">
        <v>15</v>
      </c>
      <c r="E1733" s="2" t="s">
        <v>16</v>
      </c>
      <c r="F1733" s="2">
        <v>30</v>
      </c>
      <c r="G1733" s="2" t="s">
        <v>5112</v>
      </c>
      <c r="H1733" s="2" t="s">
        <v>154</v>
      </c>
      <c r="I1733" s="2" t="s">
        <v>25</v>
      </c>
      <c r="J1733" s="3">
        <v>44170</v>
      </c>
      <c r="K1733" s="5">
        <f>YEAR(OrganizedData[[#This Row],[Order Date]])</f>
        <v>2020</v>
      </c>
      <c r="L1733" s="7" t="str">
        <f>TEXT(OrganizedData[[#This Row],[Order Date]],"mmm")</f>
        <v>Dec</v>
      </c>
      <c r="M1733" s="2">
        <v>19</v>
      </c>
      <c r="N1733" s="2" t="s">
        <v>70</v>
      </c>
      <c r="O1733" s="2" t="str">
        <f>VLOOKUP(OrganizedData[[#This Row],[Product Code]],ProductData[[Code]:[Item]],2,FALSE)</f>
        <v>Megawidget M</v>
      </c>
      <c r="P1733" s="4">
        <f>OrganizedData[[#This Row],[Quantity]]*VLOOKUP(OrganizedData[[#This Row],[Product Code]],ProductData[],4,FALSE)</f>
        <v>456</v>
      </c>
      <c r="Q1733" s="6">
        <f>OrganizedData[[#This Row],[Total Items Ordered]]*VLOOKUP(OrganizedData[[#This Row],[Product Code]],ProductData[],3,FALSE)</f>
        <v>588.24</v>
      </c>
      <c r="R17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1734" spans="1:18" x14ac:dyDescent="0.3">
      <c r="A1734" s="2">
        <v>1727</v>
      </c>
      <c r="B1734" s="2" t="s">
        <v>3992</v>
      </c>
      <c r="C1734" s="2" t="s">
        <v>5113</v>
      </c>
      <c r="D1734" s="2" t="s">
        <v>28</v>
      </c>
      <c r="E1734" s="2" t="s">
        <v>29</v>
      </c>
      <c r="F1734" s="2">
        <v>90</v>
      </c>
      <c r="G1734" s="2" t="s">
        <v>5114</v>
      </c>
      <c r="H1734" s="2" t="s">
        <v>2069</v>
      </c>
      <c r="I1734" s="2" t="s">
        <v>1035</v>
      </c>
      <c r="J1734" s="3">
        <v>44421</v>
      </c>
      <c r="K1734" s="5">
        <f>YEAR(OrganizedData[[#This Row],[Order Date]])</f>
        <v>2021</v>
      </c>
      <c r="L1734" s="7" t="str">
        <f>TEXT(OrganizedData[[#This Row],[Order Date]],"mmm")</f>
        <v>Aug</v>
      </c>
      <c r="M1734" s="2">
        <v>42</v>
      </c>
      <c r="N1734" s="2" t="s">
        <v>33</v>
      </c>
      <c r="O1734" s="2" t="str">
        <f>VLOOKUP(OrganizedData[[#This Row],[Product Code]],ProductData[[Code]:[Item]],2,FALSE)</f>
        <v>Megawidget L</v>
      </c>
      <c r="P1734" s="4">
        <f>OrganizedData[[#This Row],[Quantity]]*VLOOKUP(OrganizedData[[#This Row],[Product Code]],ProductData[],4,FALSE)</f>
        <v>1008</v>
      </c>
      <c r="Q1734" s="6">
        <f>OrganizedData[[#This Row],[Total Items Ordered]]*VLOOKUP(OrganizedData[[#This Row],[Product Code]],ProductData[],3,FALSE)</f>
        <v>1804.32</v>
      </c>
      <c r="R17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1735" spans="1:18" x14ac:dyDescent="0.3">
      <c r="A1735" s="2">
        <v>1728</v>
      </c>
      <c r="B1735" s="2" t="s">
        <v>705</v>
      </c>
      <c r="C1735" s="2" t="s">
        <v>1501</v>
      </c>
      <c r="D1735" s="2" t="s">
        <v>28</v>
      </c>
      <c r="E1735" s="2" t="s">
        <v>29</v>
      </c>
      <c r="F1735" s="2">
        <v>90</v>
      </c>
      <c r="G1735" s="2" t="s">
        <v>5114</v>
      </c>
      <c r="H1735" s="2" t="s">
        <v>2533</v>
      </c>
      <c r="I1735" s="2" t="s">
        <v>2534</v>
      </c>
      <c r="J1735" s="3">
        <v>44657</v>
      </c>
      <c r="K1735" s="5">
        <f>YEAR(OrganizedData[[#This Row],[Order Date]])</f>
        <v>2022</v>
      </c>
      <c r="L1735" s="7" t="str">
        <f>TEXT(OrganizedData[[#This Row],[Order Date]],"mmm")</f>
        <v>Apr</v>
      </c>
      <c r="M1735" s="2">
        <v>18</v>
      </c>
      <c r="N1735" s="2" t="s">
        <v>159</v>
      </c>
      <c r="O1735" s="2" t="str">
        <f>VLOOKUP(OrganizedData[[#This Row],[Product Code]],ProductData[[Code]:[Item]],2,FALSE)</f>
        <v>Ultrathing V3</v>
      </c>
      <c r="P1735" s="4">
        <f>OrganizedData[[#This Row],[Quantity]]*VLOOKUP(OrganizedData[[#This Row],[Product Code]],ProductData[],4,FALSE)</f>
        <v>432</v>
      </c>
      <c r="Q1735" s="6">
        <f>OrganizedData[[#This Row],[Total Items Ordered]]*VLOOKUP(OrganizedData[[#This Row],[Product Code]],ProductData[],3,FALSE)</f>
        <v>1464.48</v>
      </c>
      <c r="R17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1464.48</v>
      </c>
    </row>
    <row r="1736" spans="1:18" x14ac:dyDescent="0.3">
      <c r="A1736" s="2">
        <v>1729</v>
      </c>
      <c r="B1736" s="2" t="s">
        <v>5115</v>
      </c>
      <c r="C1736" s="2" t="s">
        <v>2071</v>
      </c>
      <c r="D1736" s="2" t="s">
        <v>28</v>
      </c>
      <c r="E1736" s="2" t="s">
        <v>29</v>
      </c>
      <c r="F1736" s="2">
        <v>60</v>
      </c>
      <c r="G1736" s="2" t="s">
        <v>5116</v>
      </c>
      <c r="H1736" s="2" t="s">
        <v>2570</v>
      </c>
      <c r="I1736" s="2" t="s">
        <v>32</v>
      </c>
      <c r="J1736" s="3">
        <v>44117</v>
      </c>
      <c r="K1736" s="5">
        <f>YEAR(OrganizedData[[#This Row],[Order Date]])</f>
        <v>2020</v>
      </c>
      <c r="L1736" s="7" t="str">
        <f>TEXT(OrganizedData[[#This Row],[Order Date]],"mmm")</f>
        <v>Oct</v>
      </c>
      <c r="M1736" s="2">
        <v>74</v>
      </c>
      <c r="N1736" s="2" t="s">
        <v>64</v>
      </c>
      <c r="O1736" s="2" t="str">
        <f>VLOOKUP(OrganizedData[[#This Row],[Product Code]],ProductData[[Code]:[Item]],2,FALSE)</f>
        <v>Ultrathing V4</v>
      </c>
      <c r="P1736" s="4">
        <f>OrganizedData[[#This Row],[Quantity]]*VLOOKUP(OrganizedData[[#This Row],[Product Code]],ProductData[],4,FALSE)</f>
        <v>1776</v>
      </c>
      <c r="Q1736" s="6">
        <f>OrganizedData[[#This Row],[Total Items Ordered]]*VLOOKUP(OrganizedData[[#This Row],[Product Code]],ProductData[],3,FALSE)</f>
        <v>7086.2400000000007</v>
      </c>
      <c r="R17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6731.9280000000008</v>
      </c>
    </row>
    <row r="1737" spans="1:18" x14ac:dyDescent="0.3">
      <c r="A1737" s="2">
        <v>1730</v>
      </c>
      <c r="B1737" s="2" t="s">
        <v>4697</v>
      </c>
      <c r="C1737" s="2" t="s">
        <v>3605</v>
      </c>
      <c r="D1737" s="2" t="s">
        <v>28</v>
      </c>
      <c r="E1737" s="2" t="s">
        <v>29</v>
      </c>
      <c r="F1737" s="2">
        <v>30</v>
      </c>
      <c r="G1737" s="2" t="s">
        <v>5117</v>
      </c>
      <c r="H1737" s="2" t="s">
        <v>716</v>
      </c>
      <c r="I1737" s="2" t="s">
        <v>32</v>
      </c>
      <c r="J1737" s="3">
        <v>44425</v>
      </c>
      <c r="K1737" s="5">
        <f>YEAR(OrganizedData[[#This Row],[Order Date]])</f>
        <v>2021</v>
      </c>
      <c r="L1737" s="7" t="str">
        <f>TEXT(OrganizedData[[#This Row],[Order Date]],"mmm")</f>
        <v>Aug</v>
      </c>
      <c r="M1737" s="2">
        <v>23</v>
      </c>
      <c r="N1737" s="2" t="s">
        <v>45</v>
      </c>
      <c r="O1737" s="2" t="str">
        <f>VLOOKUP(OrganizedData[[#This Row],[Product Code]],ProductData[[Code]:[Item]],2,FALSE)</f>
        <v>Gigastuff</v>
      </c>
      <c r="P1737" s="4">
        <f>OrganizedData[[#This Row],[Quantity]]*VLOOKUP(OrganizedData[[#This Row],[Product Code]],ProductData[],4,FALSE)</f>
        <v>414</v>
      </c>
      <c r="Q1737" s="6">
        <f>OrganizedData[[#This Row],[Total Items Ordered]]*VLOOKUP(OrganizedData[[#This Row],[Product Code]],ProductData[],3,FALSE)</f>
        <v>782.45999999999992</v>
      </c>
      <c r="R17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758.98619999999994</v>
      </c>
    </row>
    <row r="1738" spans="1:18" x14ac:dyDescent="0.3">
      <c r="A1738" s="2">
        <v>1731</v>
      </c>
      <c r="B1738" s="2" t="s">
        <v>5118</v>
      </c>
      <c r="C1738" s="2" t="s">
        <v>304</v>
      </c>
      <c r="D1738" s="2" t="s">
        <v>51</v>
      </c>
      <c r="E1738" s="2" t="s">
        <v>16</v>
      </c>
      <c r="F1738" s="2">
        <v>60</v>
      </c>
      <c r="G1738" s="2" t="s">
        <v>5119</v>
      </c>
      <c r="H1738" s="2" t="s">
        <v>3424</v>
      </c>
      <c r="I1738" s="2" t="s">
        <v>32</v>
      </c>
      <c r="J1738" s="3">
        <v>44657</v>
      </c>
      <c r="K1738" s="5">
        <f>YEAR(OrganizedData[[#This Row],[Order Date]])</f>
        <v>2022</v>
      </c>
      <c r="L1738" s="7" t="str">
        <f>TEXT(OrganizedData[[#This Row],[Order Date]],"mmm")</f>
        <v>Apr</v>
      </c>
      <c r="M1738" s="2">
        <v>57</v>
      </c>
      <c r="N1738" s="2" t="s">
        <v>80</v>
      </c>
      <c r="O1738" s="2" t="str">
        <f>VLOOKUP(OrganizedData[[#This Row],[Product Code]],ProductData[[Code]:[Item]],2,FALSE)</f>
        <v>Ultrathing V2</v>
      </c>
      <c r="P1738" s="4">
        <f>OrganizedData[[#This Row],[Quantity]]*VLOOKUP(OrganizedData[[#This Row],[Product Code]],ProductData[],4,FALSE)</f>
        <v>1140</v>
      </c>
      <c r="Q1738" s="6">
        <f>OrganizedData[[#This Row],[Total Items Ordered]]*VLOOKUP(OrganizedData[[#This Row],[Product Code]],ProductData[],3,FALSE)</f>
        <v>3363</v>
      </c>
      <c r="R17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3194.85</v>
      </c>
    </row>
    <row r="1739" spans="1:18" x14ac:dyDescent="0.3">
      <c r="A1739" s="2">
        <v>1732</v>
      </c>
      <c r="B1739" s="2" t="s">
        <v>5120</v>
      </c>
      <c r="C1739" s="2" t="s">
        <v>2547</v>
      </c>
      <c r="D1739" s="2" t="s">
        <v>51</v>
      </c>
      <c r="E1739" s="2" t="s">
        <v>16</v>
      </c>
      <c r="F1739" s="2">
        <v>90</v>
      </c>
      <c r="G1739" s="2" t="s">
        <v>5121</v>
      </c>
      <c r="H1739" s="2" t="s">
        <v>5122</v>
      </c>
      <c r="I1739" s="2" t="s">
        <v>25</v>
      </c>
      <c r="J1739" s="3">
        <v>44036</v>
      </c>
      <c r="K1739" s="5">
        <f>YEAR(OrganizedData[[#This Row],[Order Date]])</f>
        <v>2020</v>
      </c>
      <c r="L1739" s="7" t="str">
        <f>TEXT(OrganizedData[[#This Row],[Order Date]],"mmm")</f>
        <v>Jul</v>
      </c>
      <c r="M1739" s="2">
        <v>19</v>
      </c>
      <c r="N1739" s="2" t="s">
        <v>20</v>
      </c>
      <c r="O1739" s="2" t="str">
        <f>VLOOKUP(OrganizedData[[#This Row],[Product Code]],ProductData[[Code]:[Item]],2,FALSE)</f>
        <v>Hyperwotsit</v>
      </c>
      <c r="P1739" s="4">
        <f>OrganizedData[[#This Row],[Quantity]]*VLOOKUP(OrganizedData[[#This Row],[Product Code]],ProductData[],4,FALSE)</f>
        <v>380</v>
      </c>
      <c r="Q1739" s="6">
        <f>OrganizedData[[#This Row],[Total Items Ordered]]*VLOOKUP(OrganizedData[[#This Row],[Product Code]],ProductData[],3,FALSE)</f>
        <v>763.8</v>
      </c>
      <c r="R17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1740" spans="1:18" x14ac:dyDescent="0.3">
      <c r="A1740" s="2">
        <v>1733</v>
      </c>
      <c r="B1740" s="2" t="s">
        <v>5123</v>
      </c>
      <c r="C1740" s="2" t="s">
        <v>1093</v>
      </c>
      <c r="D1740" s="2" t="s">
        <v>15</v>
      </c>
      <c r="E1740" s="2" t="s">
        <v>16</v>
      </c>
      <c r="F1740" s="2">
        <v>60</v>
      </c>
      <c r="G1740" s="2" t="s">
        <v>5124</v>
      </c>
      <c r="H1740" s="2" t="s">
        <v>2284</v>
      </c>
      <c r="I1740" s="2" t="s">
        <v>32</v>
      </c>
      <c r="J1740" s="3">
        <v>44285</v>
      </c>
      <c r="K1740" s="5">
        <f>YEAR(OrganizedData[[#This Row],[Order Date]])</f>
        <v>2021</v>
      </c>
      <c r="L1740" s="7" t="str">
        <f>TEXT(OrganizedData[[#This Row],[Order Date]],"mmm")</f>
        <v>Mar</v>
      </c>
      <c r="M1740" s="2">
        <v>73</v>
      </c>
      <c r="N1740" s="2" t="s">
        <v>101</v>
      </c>
      <c r="O1740" s="2" t="str">
        <f>VLOOKUP(OrganizedData[[#This Row],[Product Code]],ProductData[[Code]:[Item]],2,FALSE)</f>
        <v>Superwossname</v>
      </c>
      <c r="P1740" s="4">
        <f>OrganizedData[[#This Row],[Quantity]]*VLOOKUP(OrganizedData[[#This Row],[Product Code]],ProductData[],4,FALSE)</f>
        <v>1460</v>
      </c>
      <c r="Q1740" s="6">
        <f>OrganizedData[[#This Row],[Total Items Ordered]]*VLOOKUP(OrganizedData[[#This Row],[Product Code]],ProductData[],3,FALSE)</f>
        <v>5095.4000000000005</v>
      </c>
      <c r="R17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4840.63</v>
      </c>
    </row>
    <row r="1741" spans="1:18" x14ac:dyDescent="0.3">
      <c r="A1741" s="2">
        <v>1734</v>
      </c>
      <c r="B1741" s="2" t="s">
        <v>5125</v>
      </c>
      <c r="C1741" s="2" t="s">
        <v>3712</v>
      </c>
      <c r="D1741" s="2" t="s">
        <v>28</v>
      </c>
      <c r="E1741" s="2" t="s">
        <v>29</v>
      </c>
      <c r="F1741" s="2">
        <v>60</v>
      </c>
      <c r="G1741" s="2" t="s">
        <v>5126</v>
      </c>
      <c r="H1741" s="2" t="s">
        <v>3506</v>
      </c>
      <c r="I1741" s="2" t="s">
        <v>124</v>
      </c>
      <c r="J1741" s="3">
        <v>44295</v>
      </c>
      <c r="K1741" s="5">
        <f>YEAR(OrganizedData[[#This Row],[Order Date]])</f>
        <v>2021</v>
      </c>
      <c r="L1741" s="7" t="str">
        <f>TEXT(OrganizedData[[#This Row],[Order Date]],"mmm")</f>
        <v>Apr</v>
      </c>
      <c r="M1741" s="2">
        <v>45</v>
      </c>
      <c r="N1741" s="2" t="s">
        <v>54</v>
      </c>
      <c r="O1741" s="2" t="str">
        <f>VLOOKUP(OrganizedData[[#This Row],[Product Code]],ProductData[[Code]:[Item]],2,FALSE)</f>
        <v>Megawidget S</v>
      </c>
      <c r="P1741" s="4">
        <f>OrganizedData[[#This Row],[Quantity]]*VLOOKUP(OrganizedData[[#This Row],[Product Code]],ProductData[],4,FALSE)</f>
        <v>1080</v>
      </c>
      <c r="Q1741" s="6">
        <f>OrganizedData[[#This Row],[Total Items Ordered]]*VLOOKUP(OrganizedData[[#This Row],[Product Code]],ProductData[],3,FALSE)</f>
        <v>745.19999999999993</v>
      </c>
      <c r="R17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722.84399999999994</v>
      </c>
    </row>
    <row r="1742" spans="1:18" x14ac:dyDescent="0.3">
      <c r="A1742" s="2">
        <v>1735</v>
      </c>
      <c r="B1742" s="2" t="s">
        <v>5127</v>
      </c>
      <c r="C1742" s="2" t="s">
        <v>5128</v>
      </c>
      <c r="D1742" s="2" t="s">
        <v>51</v>
      </c>
      <c r="E1742" s="2" t="s">
        <v>16</v>
      </c>
      <c r="F1742" s="2">
        <v>90</v>
      </c>
      <c r="G1742" s="2" t="s">
        <v>5129</v>
      </c>
      <c r="H1742" s="2" t="s">
        <v>3169</v>
      </c>
      <c r="I1742" s="2" t="s">
        <v>110</v>
      </c>
      <c r="J1742" s="3">
        <v>44536</v>
      </c>
      <c r="K1742" s="5">
        <f>YEAR(OrganizedData[[#This Row],[Order Date]])</f>
        <v>2021</v>
      </c>
      <c r="L1742" s="7" t="str">
        <f>TEXT(OrganizedData[[#This Row],[Order Date]],"mmm")</f>
        <v>Dec</v>
      </c>
      <c r="M1742" s="2">
        <v>47</v>
      </c>
      <c r="N1742" s="2" t="s">
        <v>54</v>
      </c>
      <c r="O1742" s="2" t="str">
        <f>VLOOKUP(OrganizedData[[#This Row],[Product Code]],ProductData[[Code]:[Item]],2,FALSE)</f>
        <v>Megawidget S</v>
      </c>
      <c r="P1742" s="4">
        <f>OrganizedData[[#This Row],[Quantity]]*VLOOKUP(OrganizedData[[#This Row],[Product Code]],ProductData[],4,FALSE)</f>
        <v>1128</v>
      </c>
      <c r="Q1742" s="6">
        <f>OrganizedData[[#This Row],[Total Items Ordered]]*VLOOKUP(OrganizedData[[#This Row],[Product Code]],ProductData[],3,FALSE)</f>
        <v>778.31999999999994</v>
      </c>
      <c r="R17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1743" spans="1:18" x14ac:dyDescent="0.3">
      <c r="A1743" s="2">
        <v>1736</v>
      </c>
      <c r="B1743" s="2" t="s">
        <v>4922</v>
      </c>
      <c r="C1743" s="2" t="s">
        <v>2719</v>
      </c>
      <c r="D1743" s="2" t="s">
        <v>51</v>
      </c>
      <c r="E1743" s="2" t="s">
        <v>16</v>
      </c>
      <c r="F1743" s="2">
        <v>30</v>
      </c>
      <c r="G1743" s="2" t="s">
        <v>5129</v>
      </c>
      <c r="H1743" s="2" t="s">
        <v>2759</v>
      </c>
      <c r="I1743" s="2" t="s">
        <v>32</v>
      </c>
      <c r="J1743" s="3">
        <v>44412</v>
      </c>
      <c r="K1743" s="5">
        <f>YEAR(OrganizedData[[#This Row],[Order Date]])</f>
        <v>2021</v>
      </c>
      <c r="L1743" s="7" t="str">
        <f>TEXT(OrganizedData[[#This Row],[Order Date]],"mmm")</f>
        <v>Aug</v>
      </c>
      <c r="M1743" s="2">
        <v>30</v>
      </c>
      <c r="N1743" s="2" t="s">
        <v>39</v>
      </c>
      <c r="O1743" s="2" t="str">
        <f>VLOOKUP(OrganizedData[[#This Row],[Product Code]],ProductData[[Code]:[Item]],2,FALSE)</f>
        <v>Ultrathing V1</v>
      </c>
      <c r="P1743" s="4">
        <f>OrganizedData[[#This Row],[Quantity]]*VLOOKUP(OrganizedData[[#This Row],[Product Code]],ProductData[],4,FALSE)</f>
        <v>510</v>
      </c>
      <c r="Q1743" s="6">
        <f>OrganizedData[[#This Row],[Total Items Ordered]]*VLOOKUP(OrganizedData[[#This Row],[Product Code]],ProductData[],3,FALSE)</f>
        <v>912.9</v>
      </c>
      <c r="R17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1744" spans="1:18" x14ac:dyDescent="0.3">
      <c r="A1744" s="2">
        <v>1737</v>
      </c>
      <c r="B1744" s="2" t="s">
        <v>1068</v>
      </c>
      <c r="C1744" s="2" t="s">
        <v>5130</v>
      </c>
      <c r="D1744" s="2" t="s">
        <v>15</v>
      </c>
      <c r="E1744" s="2" t="s">
        <v>16</v>
      </c>
      <c r="F1744" s="2">
        <v>60</v>
      </c>
      <c r="G1744" s="2" t="s">
        <v>10433</v>
      </c>
      <c r="H1744" s="2" t="s">
        <v>5132</v>
      </c>
      <c r="I1744" s="2" t="s">
        <v>32</v>
      </c>
      <c r="J1744" s="3">
        <v>44587</v>
      </c>
      <c r="K1744" s="5">
        <f>YEAR(OrganizedData[[#This Row],[Order Date]])</f>
        <v>2022</v>
      </c>
      <c r="L1744" s="7" t="str">
        <f>TEXT(OrganizedData[[#This Row],[Order Date]],"mmm")</f>
        <v>Jan</v>
      </c>
      <c r="M1744" s="2">
        <v>89</v>
      </c>
      <c r="N1744" s="2" t="s">
        <v>20</v>
      </c>
      <c r="O1744" s="2" t="str">
        <f>VLOOKUP(OrganizedData[[#This Row],[Product Code]],ProductData[[Code]:[Item]],2,FALSE)</f>
        <v>Hyperwotsit</v>
      </c>
      <c r="P1744" s="4">
        <f>OrganizedData[[#This Row],[Quantity]]*VLOOKUP(OrganizedData[[#This Row],[Product Code]],ProductData[],4,FALSE)</f>
        <v>1780</v>
      </c>
      <c r="Q1744" s="6">
        <f>OrganizedData[[#This Row],[Total Items Ordered]]*VLOOKUP(OrganizedData[[#This Row],[Product Code]],ProductData[],3,FALSE)</f>
        <v>3577.7999999999997</v>
      </c>
      <c r="R17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3398.9099999999994</v>
      </c>
    </row>
    <row r="1745" spans="1:18" x14ac:dyDescent="0.3">
      <c r="A1745" s="2">
        <v>1738</v>
      </c>
      <c r="B1745" s="2" t="s">
        <v>692</v>
      </c>
      <c r="C1745" s="2" t="s">
        <v>516</v>
      </c>
      <c r="D1745" s="2" t="s">
        <v>28</v>
      </c>
      <c r="E1745" s="2" t="s">
        <v>29</v>
      </c>
      <c r="F1745" s="2">
        <v>60</v>
      </c>
      <c r="G1745" s="2" t="s">
        <v>5133</v>
      </c>
      <c r="H1745" s="2" t="s">
        <v>5134</v>
      </c>
      <c r="I1745" s="2" t="s">
        <v>32</v>
      </c>
      <c r="J1745" s="3">
        <v>43866</v>
      </c>
      <c r="K1745" s="5">
        <f>YEAR(OrganizedData[[#This Row],[Order Date]])</f>
        <v>2020</v>
      </c>
      <c r="L1745" s="7" t="str">
        <f>TEXT(OrganizedData[[#This Row],[Order Date]],"mmm")</f>
        <v>Feb</v>
      </c>
      <c r="M1745" s="2">
        <v>43</v>
      </c>
      <c r="N1745" s="2" t="s">
        <v>101</v>
      </c>
      <c r="O1745" s="2" t="str">
        <f>VLOOKUP(OrganizedData[[#This Row],[Product Code]],ProductData[[Code]:[Item]],2,FALSE)</f>
        <v>Superwossname</v>
      </c>
      <c r="P1745" s="4">
        <f>OrganizedData[[#This Row],[Quantity]]*VLOOKUP(OrganizedData[[#This Row],[Product Code]],ProductData[],4,FALSE)</f>
        <v>860</v>
      </c>
      <c r="Q1745" s="6">
        <f>OrganizedData[[#This Row],[Total Items Ordered]]*VLOOKUP(OrganizedData[[#This Row],[Product Code]],ProductData[],3,FALSE)</f>
        <v>3001.4</v>
      </c>
      <c r="R17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1746" spans="1:18" x14ac:dyDescent="0.3">
      <c r="A1746" s="2">
        <v>1739</v>
      </c>
      <c r="B1746" s="2" t="s">
        <v>2812</v>
      </c>
      <c r="C1746" s="2" t="s">
        <v>414</v>
      </c>
      <c r="D1746" s="2" t="s">
        <v>15</v>
      </c>
      <c r="E1746" s="2" t="s">
        <v>16</v>
      </c>
      <c r="F1746" s="2">
        <v>30</v>
      </c>
      <c r="G1746" s="2" t="s">
        <v>5135</v>
      </c>
      <c r="H1746" s="2" t="s">
        <v>1880</v>
      </c>
      <c r="I1746" s="2" t="s">
        <v>32</v>
      </c>
      <c r="J1746" s="3">
        <v>44318</v>
      </c>
      <c r="K1746" s="5">
        <f>YEAR(OrganizedData[[#This Row],[Order Date]])</f>
        <v>2021</v>
      </c>
      <c r="L1746" s="7" t="str">
        <f>TEXT(OrganizedData[[#This Row],[Order Date]],"mmm")</f>
        <v>May</v>
      </c>
      <c r="M1746" s="2">
        <v>14</v>
      </c>
      <c r="N1746" s="2" t="s">
        <v>20</v>
      </c>
      <c r="O1746" s="2" t="str">
        <f>VLOOKUP(OrganizedData[[#This Row],[Product Code]],ProductData[[Code]:[Item]],2,FALSE)</f>
        <v>Hyperwotsit</v>
      </c>
      <c r="P1746" s="4">
        <f>OrganizedData[[#This Row],[Quantity]]*VLOOKUP(OrganizedData[[#This Row],[Product Code]],ProductData[],4,FALSE)</f>
        <v>280</v>
      </c>
      <c r="Q1746" s="6">
        <f>OrganizedData[[#This Row],[Total Items Ordered]]*VLOOKUP(OrganizedData[[#This Row],[Product Code]],ProductData[],3,FALSE)</f>
        <v>562.79999999999995</v>
      </c>
      <c r="R17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1747" spans="1:18" x14ac:dyDescent="0.3">
      <c r="A1747" s="2">
        <v>1740</v>
      </c>
      <c r="B1747" s="2" t="s">
        <v>1506</v>
      </c>
      <c r="C1747" s="2" t="s">
        <v>4725</v>
      </c>
      <c r="D1747" s="2" t="s">
        <v>15</v>
      </c>
      <c r="E1747" s="2" t="s">
        <v>16</v>
      </c>
      <c r="F1747" s="2">
        <v>90</v>
      </c>
      <c r="G1747" s="2" t="s">
        <v>5136</v>
      </c>
      <c r="H1747" s="2" t="s">
        <v>1590</v>
      </c>
      <c r="I1747" s="2" t="s">
        <v>32</v>
      </c>
      <c r="J1747" s="3">
        <v>44198</v>
      </c>
      <c r="K1747" s="5">
        <f>YEAR(OrganizedData[[#This Row],[Order Date]])</f>
        <v>2021</v>
      </c>
      <c r="L1747" s="7" t="str">
        <f>TEXT(OrganizedData[[#This Row],[Order Date]],"mmm")</f>
        <v>Jan</v>
      </c>
      <c r="M1747" s="2">
        <v>66</v>
      </c>
      <c r="N1747" s="2" t="s">
        <v>45</v>
      </c>
      <c r="O1747" s="2" t="str">
        <f>VLOOKUP(OrganizedData[[#This Row],[Product Code]],ProductData[[Code]:[Item]],2,FALSE)</f>
        <v>Gigastuff</v>
      </c>
      <c r="P1747" s="4">
        <f>OrganizedData[[#This Row],[Quantity]]*VLOOKUP(OrganizedData[[#This Row],[Product Code]],ProductData[],4,FALSE)</f>
        <v>1188</v>
      </c>
      <c r="Q1747" s="6">
        <f>OrganizedData[[#This Row],[Total Items Ordered]]*VLOOKUP(OrganizedData[[#This Row],[Product Code]],ProductData[],3,FALSE)</f>
        <v>2245.3199999999997</v>
      </c>
      <c r="R17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2133.0539999999996</v>
      </c>
    </row>
    <row r="1748" spans="1:18" x14ac:dyDescent="0.3">
      <c r="A1748" s="2">
        <v>1741</v>
      </c>
      <c r="B1748" s="2" t="s">
        <v>5137</v>
      </c>
      <c r="C1748" s="2" t="s">
        <v>5138</v>
      </c>
      <c r="D1748" s="2" t="s">
        <v>41</v>
      </c>
      <c r="E1748" s="2" t="s">
        <v>16</v>
      </c>
      <c r="F1748" s="2">
        <v>90</v>
      </c>
      <c r="G1748" s="2" t="s">
        <v>5139</v>
      </c>
      <c r="H1748" s="2" t="s">
        <v>1651</v>
      </c>
      <c r="I1748" s="2" t="s">
        <v>1652</v>
      </c>
      <c r="J1748" s="3">
        <v>43884</v>
      </c>
      <c r="K1748" s="5">
        <f>YEAR(OrganizedData[[#This Row],[Order Date]])</f>
        <v>2020</v>
      </c>
      <c r="L1748" s="7" t="str">
        <f>TEXT(OrganizedData[[#This Row],[Order Date]],"mmm")</f>
        <v>Feb</v>
      </c>
      <c r="M1748" s="2">
        <v>16</v>
      </c>
      <c r="N1748" s="2" t="s">
        <v>33</v>
      </c>
      <c r="O1748" s="2" t="str">
        <f>VLOOKUP(OrganizedData[[#This Row],[Product Code]],ProductData[[Code]:[Item]],2,FALSE)</f>
        <v>Megawidget L</v>
      </c>
      <c r="P1748" s="4">
        <f>OrganizedData[[#This Row],[Quantity]]*VLOOKUP(OrganizedData[[#This Row],[Product Code]],ProductData[],4,FALSE)</f>
        <v>384</v>
      </c>
      <c r="Q1748" s="6">
        <f>OrganizedData[[#This Row],[Total Items Ordered]]*VLOOKUP(OrganizedData[[#This Row],[Product Code]],ProductData[],3,FALSE)</f>
        <v>687.36</v>
      </c>
      <c r="R17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1749" spans="1:18" x14ac:dyDescent="0.3">
      <c r="A1749" s="2">
        <v>1742</v>
      </c>
      <c r="B1749" s="2" t="s">
        <v>2690</v>
      </c>
      <c r="C1749" s="2" t="s">
        <v>4695</v>
      </c>
      <c r="D1749" s="2" t="s">
        <v>28</v>
      </c>
      <c r="E1749" s="2" t="s">
        <v>29</v>
      </c>
      <c r="F1749" s="2">
        <v>90</v>
      </c>
      <c r="G1749" s="2" t="s">
        <v>5140</v>
      </c>
      <c r="H1749" s="2" t="s">
        <v>3070</v>
      </c>
      <c r="I1749" s="2" t="s">
        <v>575</v>
      </c>
      <c r="J1749" s="3">
        <v>44105</v>
      </c>
      <c r="K1749" s="5">
        <f>YEAR(OrganizedData[[#This Row],[Order Date]])</f>
        <v>2020</v>
      </c>
      <c r="L1749" s="7" t="str">
        <f>TEXT(OrganizedData[[#This Row],[Order Date]],"mmm")</f>
        <v>Oct</v>
      </c>
      <c r="M1749" s="2">
        <v>29</v>
      </c>
      <c r="N1749" s="2" t="s">
        <v>20</v>
      </c>
      <c r="O1749" s="2" t="str">
        <f>VLOOKUP(OrganizedData[[#This Row],[Product Code]],ProductData[[Code]:[Item]],2,FALSE)</f>
        <v>Hyperwotsit</v>
      </c>
      <c r="P1749" s="4">
        <f>OrganizedData[[#This Row],[Quantity]]*VLOOKUP(OrganizedData[[#This Row],[Product Code]],ProductData[],4,FALSE)</f>
        <v>580</v>
      </c>
      <c r="Q1749" s="6">
        <f>OrganizedData[[#This Row],[Total Items Ordered]]*VLOOKUP(OrganizedData[[#This Row],[Product Code]],ProductData[],3,FALSE)</f>
        <v>1165.8</v>
      </c>
      <c r="R17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1750" spans="1:18" x14ac:dyDescent="0.3">
      <c r="A1750" s="2">
        <v>1743</v>
      </c>
      <c r="B1750" s="2" t="s">
        <v>5141</v>
      </c>
      <c r="C1750" s="2" t="s">
        <v>5142</v>
      </c>
      <c r="D1750" s="2" t="s">
        <v>28</v>
      </c>
      <c r="E1750" s="2" t="s">
        <v>29</v>
      </c>
      <c r="F1750" s="2">
        <v>30</v>
      </c>
      <c r="G1750" s="2" t="s">
        <v>5143</v>
      </c>
      <c r="H1750" s="2" t="s">
        <v>74</v>
      </c>
      <c r="I1750" s="2" t="s">
        <v>32</v>
      </c>
      <c r="J1750" s="3">
        <v>44623</v>
      </c>
      <c r="K1750" s="5">
        <f>YEAR(OrganizedData[[#This Row],[Order Date]])</f>
        <v>2022</v>
      </c>
      <c r="L1750" s="7" t="str">
        <f>TEXT(OrganizedData[[#This Row],[Order Date]],"mmm")</f>
        <v>Mar</v>
      </c>
      <c r="M1750" s="2">
        <v>74</v>
      </c>
      <c r="N1750" s="2" t="s">
        <v>45</v>
      </c>
      <c r="O1750" s="2" t="str">
        <f>VLOOKUP(OrganizedData[[#This Row],[Product Code]],ProductData[[Code]:[Item]],2,FALSE)</f>
        <v>Gigastuff</v>
      </c>
      <c r="P1750" s="4">
        <f>OrganizedData[[#This Row],[Quantity]]*VLOOKUP(OrganizedData[[#This Row],[Product Code]],ProductData[],4,FALSE)</f>
        <v>1332</v>
      </c>
      <c r="Q1750" s="6">
        <f>OrganizedData[[#This Row],[Total Items Ordered]]*VLOOKUP(OrganizedData[[#This Row],[Product Code]],ProductData[],3,FALSE)</f>
        <v>2517.48</v>
      </c>
      <c r="R17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2391.6059999999998</v>
      </c>
    </row>
    <row r="1751" spans="1:18" x14ac:dyDescent="0.3">
      <c r="A1751" s="2">
        <v>1744</v>
      </c>
      <c r="B1751" s="2" t="s">
        <v>5144</v>
      </c>
      <c r="C1751" s="2" t="s">
        <v>5145</v>
      </c>
      <c r="D1751" s="2" t="s">
        <v>15</v>
      </c>
      <c r="E1751" s="2" t="s">
        <v>16</v>
      </c>
      <c r="F1751" s="2">
        <v>90</v>
      </c>
      <c r="G1751" s="2" t="s">
        <v>5146</v>
      </c>
      <c r="H1751" s="2" t="s">
        <v>4441</v>
      </c>
      <c r="I1751" s="2" t="s">
        <v>146</v>
      </c>
      <c r="J1751" s="3">
        <v>44007</v>
      </c>
      <c r="K1751" s="5">
        <f>YEAR(OrganizedData[[#This Row],[Order Date]])</f>
        <v>2020</v>
      </c>
      <c r="L1751" s="7" t="str">
        <f>TEXT(OrganizedData[[#This Row],[Order Date]],"mmm")</f>
        <v>Jun</v>
      </c>
      <c r="M1751" s="2">
        <v>16</v>
      </c>
      <c r="N1751" s="2" t="s">
        <v>33</v>
      </c>
      <c r="O1751" s="2" t="str">
        <f>VLOOKUP(OrganizedData[[#This Row],[Product Code]],ProductData[[Code]:[Item]],2,FALSE)</f>
        <v>Megawidget L</v>
      </c>
      <c r="P1751" s="4">
        <f>OrganizedData[[#This Row],[Quantity]]*VLOOKUP(OrganizedData[[#This Row],[Product Code]],ProductData[],4,FALSE)</f>
        <v>384</v>
      </c>
      <c r="Q1751" s="6">
        <f>OrganizedData[[#This Row],[Total Items Ordered]]*VLOOKUP(OrganizedData[[#This Row],[Product Code]],ProductData[],3,FALSE)</f>
        <v>687.36</v>
      </c>
      <c r="R17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1752" spans="1:18" x14ac:dyDescent="0.3">
      <c r="A1752" s="2">
        <v>1745</v>
      </c>
      <c r="B1752" s="2" t="s">
        <v>5147</v>
      </c>
      <c r="C1752" s="2" t="s">
        <v>3812</v>
      </c>
      <c r="D1752" s="2" t="s">
        <v>28</v>
      </c>
      <c r="E1752" s="2" t="s">
        <v>29</v>
      </c>
      <c r="F1752" s="2">
        <v>90</v>
      </c>
      <c r="G1752" s="2" t="s">
        <v>5146</v>
      </c>
      <c r="H1752" s="2" t="s">
        <v>5148</v>
      </c>
      <c r="I1752" s="2" t="s">
        <v>32</v>
      </c>
      <c r="J1752" s="3">
        <v>44255</v>
      </c>
      <c r="K1752" s="5">
        <f>YEAR(OrganizedData[[#This Row],[Order Date]])</f>
        <v>2021</v>
      </c>
      <c r="L1752" s="7" t="str">
        <f>TEXT(OrganizedData[[#This Row],[Order Date]],"mmm")</f>
        <v>Feb</v>
      </c>
      <c r="M1752" s="2">
        <v>92</v>
      </c>
      <c r="N1752" s="2" t="s">
        <v>45</v>
      </c>
      <c r="O1752" s="2" t="str">
        <f>VLOOKUP(OrganizedData[[#This Row],[Product Code]],ProductData[[Code]:[Item]],2,FALSE)</f>
        <v>Gigastuff</v>
      </c>
      <c r="P1752" s="4">
        <f>OrganizedData[[#This Row],[Quantity]]*VLOOKUP(OrganizedData[[#This Row],[Product Code]],ProductData[],4,FALSE)</f>
        <v>1656</v>
      </c>
      <c r="Q1752" s="6">
        <f>OrganizedData[[#This Row],[Total Items Ordered]]*VLOOKUP(OrganizedData[[#This Row],[Product Code]],ProductData[],3,FALSE)</f>
        <v>3129.8399999999997</v>
      </c>
      <c r="R17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2973.3479999999995</v>
      </c>
    </row>
    <row r="1753" spans="1:18" x14ac:dyDescent="0.3">
      <c r="A1753" s="2">
        <v>1746</v>
      </c>
      <c r="B1753" s="2" t="s">
        <v>5149</v>
      </c>
      <c r="C1753" s="2" t="s">
        <v>3971</v>
      </c>
      <c r="D1753" s="2" t="s">
        <v>51</v>
      </c>
      <c r="E1753" s="2" t="s">
        <v>16</v>
      </c>
      <c r="F1753" s="2">
        <v>90</v>
      </c>
      <c r="G1753" s="2" t="s">
        <v>5150</v>
      </c>
      <c r="H1753" s="2" t="s">
        <v>1333</v>
      </c>
      <c r="I1753" s="2" t="s">
        <v>294</v>
      </c>
      <c r="J1753" s="3">
        <v>44309</v>
      </c>
      <c r="K1753" s="5">
        <f>YEAR(OrganizedData[[#This Row],[Order Date]])</f>
        <v>2021</v>
      </c>
      <c r="L1753" s="7" t="str">
        <f>TEXT(OrganizedData[[#This Row],[Order Date]],"mmm")</f>
        <v>Apr</v>
      </c>
      <c r="M1753" s="2">
        <v>13</v>
      </c>
      <c r="N1753" s="2" t="s">
        <v>159</v>
      </c>
      <c r="O1753" s="2" t="str">
        <f>VLOOKUP(OrganizedData[[#This Row],[Product Code]],ProductData[[Code]:[Item]],2,FALSE)</f>
        <v>Ultrathing V3</v>
      </c>
      <c r="P1753" s="4">
        <f>OrganizedData[[#This Row],[Quantity]]*VLOOKUP(OrganizedData[[#This Row],[Product Code]],ProductData[],4,FALSE)</f>
        <v>312</v>
      </c>
      <c r="Q1753" s="6">
        <f>OrganizedData[[#This Row],[Total Items Ordered]]*VLOOKUP(OrganizedData[[#This Row],[Product Code]],ProductData[],3,FALSE)</f>
        <v>1057.68</v>
      </c>
      <c r="R17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1057.68</v>
      </c>
    </row>
    <row r="1754" spans="1:18" x14ac:dyDescent="0.3">
      <c r="A1754" s="2">
        <v>1747</v>
      </c>
      <c r="B1754" s="2" t="s">
        <v>5151</v>
      </c>
      <c r="C1754" s="2" t="s">
        <v>3493</v>
      </c>
      <c r="D1754" s="2" t="s">
        <v>15</v>
      </c>
      <c r="E1754" s="2" t="s">
        <v>16</v>
      </c>
      <c r="F1754" s="2">
        <v>60</v>
      </c>
      <c r="G1754" s="2" t="s">
        <v>5152</v>
      </c>
      <c r="H1754" s="2" t="s">
        <v>4860</v>
      </c>
      <c r="I1754" s="2" t="s">
        <v>32</v>
      </c>
      <c r="J1754" s="3">
        <v>44159</v>
      </c>
      <c r="K1754" s="5">
        <f>YEAR(OrganizedData[[#This Row],[Order Date]])</f>
        <v>2020</v>
      </c>
      <c r="L1754" s="7" t="str">
        <f>TEXT(OrganizedData[[#This Row],[Order Date]],"mmm")</f>
        <v>Nov</v>
      </c>
      <c r="M1754" s="2">
        <v>58</v>
      </c>
      <c r="N1754" s="2" t="s">
        <v>64</v>
      </c>
      <c r="O1754" s="2" t="str">
        <f>VLOOKUP(OrganizedData[[#This Row],[Product Code]],ProductData[[Code]:[Item]],2,FALSE)</f>
        <v>Ultrathing V4</v>
      </c>
      <c r="P1754" s="4">
        <f>OrganizedData[[#This Row],[Quantity]]*VLOOKUP(OrganizedData[[#This Row],[Product Code]],ProductData[],4,FALSE)</f>
        <v>1392</v>
      </c>
      <c r="Q1754" s="6">
        <f>OrganizedData[[#This Row],[Total Items Ordered]]*VLOOKUP(OrganizedData[[#This Row],[Product Code]],ProductData[],3,FALSE)</f>
        <v>5554.08</v>
      </c>
      <c r="R17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5276.3759999999993</v>
      </c>
    </row>
    <row r="1755" spans="1:18" x14ac:dyDescent="0.3">
      <c r="A1755" s="2">
        <v>1748</v>
      </c>
      <c r="B1755" s="2" t="s">
        <v>5153</v>
      </c>
      <c r="C1755" s="2" t="s">
        <v>2923</v>
      </c>
      <c r="D1755" s="2" t="s">
        <v>51</v>
      </c>
      <c r="E1755" s="2" t="s">
        <v>16</v>
      </c>
      <c r="F1755" s="2">
        <v>90</v>
      </c>
      <c r="G1755" s="2" t="s">
        <v>5154</v>
      </c>
      <c r="H1755" s="2" t="s">
        <v>3996</v>
      </c>
      <c r="I1755" s="2" t="s">
        <v>294</v>
      </c>
      <c r="J1755" s="3">
        <v>43934</v>
      </c>
      <c r="K1755" s="5">
        <f>YEAR(OrganizedData[[#This Row],[Order Date]])</f>
        <v>2020</v>
      </c>
      <c r="L1755" s="7" t="str">
        <f>TEXT(OrganizedData[[#This Row],[Order Date]],"mmm")</f>
        <v>Apr</v>
      </c>
      <c r="M1755" s="2">
        <v>36</v>
      </c>
      <c r="N1755" s="2" t="s">
        <v>39</v>
      </c>
      <c r="O1755" s="2" t="str">
        <f>VLOOKUP(OrganizedData[[#This Row],[Product Code]],ProductData[[Code]:[Item]],2,FALSE)</f>
        <v>Ultrathing V1</v>
      </c>
      <c r="P1755" s="4">
        <f>OrganizedData[[#This Row],[Quantity]]*VLOOKUP(OrganizedData[[#This Row],[Product Code]],ProductData[],4,FALSE)</f>
        <v>612</v>
      </c>
      <c r="Q1755" s="6">
        <f>OrganizedData[[#This Row],[Total Items Ordered]]*VLOOKUP(OrganizedData[[#This Row],[Product Code]],ProductData[],3,FALSE)</f>
        <v>1095.48</v>
      </c>
      <c r="R17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1756" spans="1:18" x14ac:dyDescent="0.3">
      <c r="A1756" s="2">
        <v>1749</v>
      </c>
      <c r="B1756" s="2" t="s">
        <v>1304</v>
      </c>
      <c r="C1756" s="2" t="s">
        <v>2043</v>
      </c>
      <c r="D1756" s="2" t="s">
        <v>28</v>
      </c>
      <c r="E1756" s="2" t="s">
        <v>29</v>
      </c>
      <c r="F1756" s="2">
        <v>60</v>
      </c>
      <c r="G1756" s="2" t="s">
        <v>5155</v>
      </c>
      <c r="H1756" s="2" t="s">
        <v>389</v>
      </c>
      <c r="I1756" s="2" t="s">
        <v>32</v>
      </c>
      <c r="J1756" s="3">
        <v>44809</v>
      </c>
      <c r="K1756" s="5">
        <f>YEAR(OrganizedData[[#This Row],[Order Date]])</f>
        <v>2022</v>
      </c>
      <c r="L1756" s="7" t="str">
        <f>TEXT(OrganizedData[[#This Row],[Order Date]],"mmm")</f>
        <v>Sep</v>
      </c>
      <c r="M1756" s="2">
        <v>68</v>
      </c>
      <c r="N1756" s="2" t="s">
        <v>20</v>
      </c>
      <c r="O1756" s="2" t="str">
        <f>VLOOKUP(OrganizedData[[#This Row],[Product Code]],ProductData[[Code]:[Item]],2,FALSE)</f>
        <v>Hyperwotsit</v>
      </c>
      <c r="P1756" s="4">
        <f>OrganizedData[[#This Row],[Quantity]]*VLOOKUP(OrganizedData[[#This Row],[Product Code]],ProductData[],4,FALSE)</f>
        <v>1360</v>
      </c>
      <c r="Q1756" s="6">
        <f>OrganizedData[[#This Row],[Total Items Ordered]]*VLOOKUP(OrganizedData[[#This Row],[Product Code]],ProductData[],3,FALSE)</f>
        <v>2733.6</v>
      </c>
      <c r="R17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2596.9199999999996</v>
      </c>
    </row>
    <row r="1757" spans="1:18" x14ac:dyDescent="0.3">
      <c r="A1757" s="2">
        <v>1750</v>
      </c>
      <c r="B1757" s="2" t="s">
        <v>4414</v>
      </c>
      <c r="C1757" s="2" t="s">
        <v>5156</v>
      </c>
      <c r="D1757" s="2" t="s">
        <v>28</v>
      </c>
      <c r="E1757" s="2" t="s">
        <v>29</v>
      </c>
      <c r="F1757" s="2">
        <v>30</v>
      </c>
      <c r="G1757" s="2" t="s">
        <v>5157</v>
      </c>
      <c r="H1757" s="2" t="s">
        <v>5158</v>
      </c>
      <c r="I1757" s="2" t="s">
        <v>5159</v>
      </c>
      <c r="J1757" s="3">
        <v>44926</v>
      </c>
      <c r="K1757" s="5">
        <f>YEAR(OrganizedData[[#This Row],[Order Date]])</f>
        <v>2022</v>
      </c>
      <c r="L1757" s="7" t="str">
        <f>TEXT(OrganizedData[[#This Row],[Order Date]],"mmm")</f>
        <v>Dec</v>
      </c>
      <c r="M1757" s="2">
        <v>51</v>
      </c>
      <c r="N1757" s="2" t="s">
        <v>64</v>
      </c>
      <c r="O1757" s="2" t="str">
        <f>VLOOKUP(OrganizedData[[#This Row],[Product Code]],ProductData[[Code]:[Item]],2,FALSE)</f>
        <v>Ultrathing V4</v>
      </c>
      <c r="P1757" s="4">
        <f>OrganizedData[[#This Row],[Quantity]]*VLOOKUP(OrganizedData[[#This Row],[Product Code]],ProductData[],4,FALSE)</f>
        <v>1224</v>
      </c>
      <c r="Q1757" s="6">
        <f>OrganizedData[[#This Row],[Total Items Ordered]]*VLOOKUP(OrganizedData[[#This Row],[Product Code]],ProductData[],3,FALSE)</f>
        <v>4883.76</v>
      </c>
      <c r="R17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4639.5720000000001</v>
      </c>
    </row>
    <row r="1758" spans="1:18" x14ac:dyDescent="0.3">
      <c r="A1758" s="2">
        <v>1751</v>
      </c>
      <c r="B1758" s="2" t="s">
        <v>5160</v>
      </c>
      <c r="C1758" s="2" t="s">
        <v>5161</v>
      </c>
      <c r="D1758" s="2" t="s">
        <v>15</v>
      </c>
      <c r="E1758" s="2" t="s">
        <v>16</v>
      </c>
      <c r="F1758" s="2">
        <v>90</v>
      </c>
      <c r="G1758" s="2" t="s">
        <v>5162</v>
      </c>
      <c r="H1758" s="2" t="s">
        <v>2768</v>
      </c>
      <c r="I1758" s="2" t="s">
        <v>554</v>
      </c>
      <c r="J1758" s="3">
        <v>43990</v>
      </c>
      <c r="K1758" s="5">
        <f>YEAR(OrganizedData[[#This Row],[Order Date]])</f>
        <v>2020</v>
      </c>
      <c r="L1758" s="7" t="str">
        <f>TEXT(OrganizedData[[#This Row],[Order Date]],"mmm")</f>
        <v>Jun</v>
      </c>
      <c r="M1758" s="2">
        <v>7</v>
      </c>
      <c r="N1758" s="2" t="s">
        <v>20</v>
      </c>
      <c r="O1758" s="2" t="str">
        <f>VLOOKUP(OrganizedData[[#This Row],[Product Code]],ProductData[[Code]:[Item]],2,FALSE)</f>
        <v>Hyperwotsit</v>
      </c>
      <c r="P1758" s="4">
        <f>OrganizedData[[#This Row],[Quantity]]*VLOOKUP(OrganizedData[[#This Row],[Product Code]],ProductData[],4,FALSE)</f>
        <v>140</v>
      </c>
      <c r="Q1758" s="6">
        <f>OrganizedData[[#This Row],[Total Items Ordered]]*VLOOKUP(OrganizedData[[#This Row],[Product Code]],ProductData[],3,FALSE)</f>
        <v>281.39999999999998</v>
      </c>
      <c r="R17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1759" spans="1:18" x14ac:dyDescent="0.3">
      <c r="A1759" s="2">
        <v>1752</v>
      </c>
      <c r="B1759" s="2" t="s">
        <v>5163</v>
      </c>
      <c r="C1759" s="2" t="s">
        <v>5164</v>
      </c>
      <c r="D1759" s="2" t="s">
        <v>28</v>
      </c>
      <c r="E1759" s="2" t="s">
        <v>29</v>
      </c>
      <c r="F1759" s="2">
        <v>30</v>
      </c>
      <c r="G1759" s="2" t="s">
        <v>5165</v>
      </c>
      <c r="H1759" s="2" t="s">
        <v>248</v>
      </c>
      <c r="I1759" s="2" t="s">
        <v>178</v>
      </c>
      <c r="J1759" s="3">
        <v>44510</v>
      </c>
      <c r="K1759" s="5">
        <f>YEAR(OrganizedData[[#This Row],[Order Date]])</f>
        <v>2021</v>
      </c>
      <c r="L1759" s="7" t="str">
        <f>TEXT(OrganizedData[[#This Row],[Order Date]],"mmm")</f>
        <v>Nov</v>
      </c>
      <c r="M1759" s="2">
        <v>72</v>
      </c>
      <c r="N1759" s="2" t="s">
        <v>20</v>
      </c>
      <c r="O1759" s="2" t="str">
        <f>VLOOKUP(OrganizedData[[#This Row],[Product Code]],ProductData[[Code]:[Item]],2,FALSE)</f>
        <v>Hyperwotsit</v>
      </c>
      <c r="P1759" s="4">
        <f>OrganizedData[[#This Row],[Quantity]]*VLOOKUP(OrganizedData[[#This Row],[Product Code]],ProductData[],4,FALSE)</f>
        <v>1440</v>
      </c>
      <c r="Q1759" s="6">
        <f>OrganizedData[[#This Row],[Total Items Ordered]]*VLOOKUP(OrganizedData[[#This Row],[Product Code]],ProductData[],3,FALSE)</f>
        <v>2894.3999999999996</v>
      </c>
      <c r="R17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1760" spans="1:18" x14ac:dyDescent="0.3">
      <c r="A1760" s="2">
        <v>1753</v>
      </c>
      <c r="B1760" s="2" t="s">
        <v>4458</v>
      </c>
      <c r="C1760" s="2" t="s">
        <v>3519</v>
      </c>
      <c r="D1760" s="2" t="s">
        <v>28</v>
      </c>
      <c r="E1760" s="2" t="s">
        <v>29</v>
      </c>
      <c r="F1760" s="2">
        <v>90</v>
      </c>
      <c r="G1760" s="2" t="s">
        <v>5166</v>
      </c>
      <c r="H1760" s="2" t="s">
        <v>5167</v>
      </c>
      <c r="I1760" s="2" t="s">
        <v>32</v>
      </c>
      <c r="J1760" s="3">
        <v>44589</v>
      </c>
      <c r="K1760" s="5">
        <f>YEAR(OrganizedData[[#This Row],[Order Date]])</f>
        <v>2022</v>
      </c>
      <c r="L1760" s="7" t="str">
        <f>TEXT(OrganizedData[[#This Row],[Order Date]],"mmm")</f>
        <v>Jan</v>
      </c>
      <c r="M1760" s="2">
        <v>7</v>
      </c>
      <c r="N1760" s="2" t="s">
        <v>159</v>
      </c>
      <c r="O1760" s="2" t="str">
        <f>VLOOKUP(OrganizedData[[#This Row],[Product Code]],ProductData[[Code]:[Item]],2,FALSE)</f>
        <v>Ultrathing V3</v>
      </c>
      <c r="P1760" s="4">
        <f>OrganizedData[[#This Row],[Quantity]]*VLOOKUP(OrganizedData[[#This Row],[Product Code]],ProductData[],4,FALSE)</f>
        <v>168</v>
      </c>
      <c r="Q1760" s="6">
        <f>OrganizedData[[#This Row],[Total Items Ordered]]*VLOOKUP(OrganizedData[[#This Row],[Product Code]],ProductData[],3,FALSE)</f>
        <v>569.52</v>
      </c>
      <c r="R17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1761" spans="1:18" x14ac:dyDescent="0.3">
      <c r="A1761" s="2">
        <v>1754</v>
      </c>
      <c r="B1761" s="2" t="s">
        <v>2540</v>
      </c>
      <c r="C1761" s="2" t="s">
        <v>5168</v>
      </c>
      <c r="D1761" s="2" t="s">
        <v>28</v>
      </c>
      <c r="E1761" s="2" t="s">
        <v>29</v>
      </c>
      <c r="F1761" s="2">
        <v>30</v>
      </c>
      <c r="G1761" s="2" t="s">
        <v>5169</v>
      </c>
      <c r="H1761" s="2" t="s">
        <v>5170</v>
      </c>
      <c r="I1761" s="2" t="s">
        <v>294</v>
      </c>
      <c r="J1761" s="3">
        <v>44803</v>
      </c>
      <c r="K1761" s="5">
        <f>YEAR(OrganizedData[[#This Row],[Order Date]])</f>
        <v>2022</v>
      </c>
      <c r="L1761" s="7" t="str">
        <f>TEXT(OrganizedData[[#This Row],[Order Date]],"mmm")</f>
        <v>Aug</v>
      </c>
      <c r="M1761" s="2">
        <v>32</v>
      </c>
      <c r="N1761" s="2" t="s">
        <v>70</v>
      </c>
      <c r="O1761" s="2" t="str">
        <f>VLOOKUP(OrganizedData[[#This Row],[Product Code]],ProductData[[Code]:[Item]],2,FALSE)</f>
        <v>Megawidget M</v>
      </c>
      <c r="P1761" s="4">
        <f>OrganizedData[[#This Row],[Quantity]]*VLOOKUP(OrganizedData[[#This Row],[Product Code]],ProductData[],4,FALSE)</f>
        <v>768</v>
      </c>
      <c r="Q1761" s="6">
        <f>OrganizedData[[#This Row],[Total Items Ordered]]*VLOOKUP(OrganizedData[[#This Row],[Product Code]],ProductData[],3,FALSE)</f>
        <v>990.72</v>
      </c>
      <c r="R17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960.99839999999995</v>
      </c>
    </row>
    <row r="1762" spans="1:18" x14ac:dyDescent="0.3">
      <c r="A1762" s="2">
        <v>1755</v>
      </c>
      <c r="B1762" s="2" t="s">
        <v>5171</v>
      </c>
      <c r="C1762" s="2" t="s">
        <v>878</v>
      </c>
      <c r="D1762" s="2" t="s">
        <v>51</v>
      </c>
      <c r="E1762" s="2" t="s">
        <v>16</v>
      </c>
      <c r="F1762" s="2">
        <v>90</v>
      </c>
      <c r="G1762" s="2" t="s">
        <v>5172</v>
      </c>
      <c r="H1762" s="2" t="s">
        <v>5173</v>
      </c>
      <c r="I1762" s="2" t="s">
        <v>686</v>
      </c>
      <c r="J1762" s="3">
        <v>43862</v>
      </c>
      <c r="K1762" s="5">
        <f>YEAR(OrganizedData[[#This Row],[Order Date]])</f>
        <v>2020</v>
      </c>
      <c r="L1762" s="7" t="str">
        <f>TEXT(OrganizedData[[#This Row],[Order Date]],"mmm")</f>
        <v>Feb</v>
      </c>
      <c r="M1762" s="2">
        <v>47</v>
      </c>
      <c r="N1762" s="2" t="s">
        <v>64</v>
      </c>
      <c r="O1762" s="2" t="str">
        <f>VLOOKUP(OrganizedData[[#This Row],[Product Code]],ProductData[[Code]:[Item]],2,FALSE)</f>
        <v>Ultrathing V4</v>
      </c>
      <c r="P1762" s="4">
        <f>OrganizedData[[#This Row],[Quantity]]*VLOOKUP(OrganizedData[[#This Row],[Product Code]],ProductData[],4,FALSE)</f>
        <v>1128</v>
      </c>
      <c r="Q1762" s="6">
        <f>OrganizedData[[#This Row],[Total Items Ordered]]*VLOOKUP(OrganizedData[[#This Row],[Product Code]],ProductData[],3,FALSE)</f>
        <v>4500.72</v>
      </c>
      <c r="R17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4365.6984000000002</v>
      </c>
    </row>
    <row r="1763" spans="1:18" x14ac:dyDescent="0.3">
      <c r="A1763" s="2">
        <v>1756</v>
      </c>
      <c r="B1763" s="2" t="s">
        <v>1376</v>
      </c>
      <c r="C1763" s="2" t="s">
        <v>5174</v>
      </c>
      <c r="D1763" s="2" t="s">
        <v>28</v>
      </c>
      <c r="E1763" s="2" t="s">
        <v>29</v>
      </c>
      <c r="F1763" s="2">
        <v>60</v>
      </c>
      <c r="G1763" s="2" t="s">
        <v>5175</v>
      </c>
      <c r="H1763" s="2" t="s">
        <v>506</v>
      </c>
      <c r="I1763" s="2" t="s">
        <v>32</v>
      </c>
      <c r="J1763" s="3">
        <v>44337</v>
      </c>
      <c r="K1763" s="5">
        <f>YEAR(OrganizedData[[#This Row],[Order Date]])</f>
        <v>2021</v>
      </c>
      <c r="L1763" s="7" t="str">
        <f>TEXT(OrganizedData[[#This Row],[Order Date]],"mmm")</f>
        <v>May</v>
      </c>
      <c r="M1763" s="2">
        <v>92</v>
      </c>
      <c r="N1763" s="2" t="s">
        <v>80</v>
      </c>
      <c r="O1763" s="2" t="str">
        <f>VLOOKUP(OrganizedData[[#This Row],[Product Code]],ProductData[[Code]:[Item]],2,FALSE)</f>
        <v>Ultrathing V2</v>
      </c>
      <c r="P1763" s="4">
        <f>OrganizedData[[#This Row],[Quantity]]*VLOOKUP(OrganizedData[[#This Row],[Product Code]],ProductData[],4,FALSE)</f>
        <v>1840</v>
      </c>
      <c r="Q1763" s="6">
        <f>OrganizedData[[#This Row],[Total Items Ordered]]*VLOOKUP(OrganizedData[[#This Row],[Product Code]],ProductData[],3,FALSE)</f>
        <v>5428</v>
      </c>
      <c r="R17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5156.5999999999995</v>
      </c>
    </row>
    <row r="1764" spans="1:18" x14ac:dyDescent="0.3">
      <c r="A1764" s="2">
        <v>1757</v>
      </c>
      <c r="B1764" s="2" t="s">
        <v>5176</v>
      </c>
      <c r="C1764" s="2" t="s">
        <v>290</v>
      </c>
      <c r="D1764" s="2" t="s">
        <v>51</v>
      </c>
      <c r="E1764" s="2" t="s">
        <v>16</v>
      </c>
      <c r="F1764" s="2">
        <v>60</v>
      </c>
      <c r="G1764" s="2" t="s">
        <v>5177</v>
      </c>
      <c r="H1764" s="2" t="s">
        <v>5178</v>
      </c>
      <c r="I1764" s="2" t="s">
        <v>25</v>
      </c>
      <c r="J1764" s="3">
        <v>44769</v>
      </c>
      <c r="K1764" s="5">
        <f>YEAR(OrganizedData[[#This Row],[Order Date]])</f>
        <v>2022</v>
      </c>
      <c r="L1764" s="7" t="str">
        <f>TEXT(OrganizedData[[#This Row],[Order Date]],"mmm")</f>
        <v>Jul</v>
      </c>
      <c r="M1764" s="2">
        <v>93</v>
      </c>
      <c r="N1764" s="2" t="s">
        <v>54</v>
      </c>
      <c r="O1764" s="2" t="str">
        <f>VLOOKUP(OrganizedData[[#This Row],[Product Code]],ProductData[[Code]:[Item]],2,FALSE)</f>
        <v>Megawidget S</v>
      </c>
      <c r="P1764" s="4">
        <f>OrganizedData[[#This Row],[Quantity]]*VLOOKUP(OrganizedData[[#This Row],[Product Code]],ProductData[],4,FALSE)</f>
        <v>2232</v>
      </c>
      <c r="Q1764" s="6">
        <f>OrganizedData[[#This Row],[Total Items Ordered]]*VLOOKUP(OrganizedData[[#This Row],[Product Code]],ProductData[],3,FALSE)</f>
        <v>1540.08</v>
      </c>
      <c r="R17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1463.0759999999998</v>
      </c>
    </row>
    <row r="1765" spans="1:18" x14ac:dyDescent="0.3">
      <c r="A1765" s="2">
        <v>1758</v>
      </c>
      <c r="B1765" s="2" t="s">
        <v>5179</v>
      </c>
      <c r="C1765" s="2" t="s">
        <v>5180</v>
      </c>
      <c r="D1765" s="2" t="s">
        <v>15</v>
      </c>
      <c r="E1765" s="2" t="s">
        <v>16</v>
      </c>
      <c r="F1765" s="2">
        <v>90</v>
      </c>
      <c r="G1765" s="2" t="s">
        <v>5181</v>
      </c>
      <c r="H1765" s="2" t="s">
        <v>1087</v>
      </c>
      <c r="I1765" s="2" t="s">
        <v>554</v>
      </c>
      <c r="J1765" s="3">
        <v>44811</v>
      </c>
      <c r="K1765" s="5">
        <f>YEAR(OrganizedData[[#This Row],[Order Date]])</f>
        <v>2022</v>
      </c>
      <c r="L1765" s="7" t="str">
        <f>TEXT(OrganizedData[[#This Row],[Order Date]],"mmm")</f>
        <v>Sep</v>
      </c>
      <c r="M1765" s="2">
        <v>95</v>
      </c>
      <c r="N1765" s="2" t="s">
        <v>33</v>
      </c>
      <c r="O1765" s="2" t="str">
        <f>VLOOKUP(OrganizedData[[#This Row],[Product Code]],ProductData[[Code]:[Item]],2,FALSE)</f>
        <v>Megawidget L</v>
      </c>
      <c r="P1765" s="4">
        <f>OrganizedData[[#This Row],[Quantity]]*VLOOKUP(OrganizedData[[#This Row],[Product Code]],ProductData[],4,FALSE)</f>
        <v>2280</v>
      </c>
      <c r="Q1765" s="6">
        <f>OrganizedData[[#This Row],[Total Items Ordered]]*VLOOKUP(OrganizedData[[#This Row],[Product Code]],ProductData[],3,FALSE)</f>
        <v>4081.2000000000003</v>
      </c>
      <c r="R17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3877.14</v>
      </c>
    </row>
    <row r="1766" spans="1:18" x14ac:dyDescent="0.3">
      <c r="A1766" s="2">
        <v>1759</v>
      </c>
      <c r="B1766" s="2" t="s">
        <v>3519</v>
      </c>
      <c r="C1766" s="2" t="s">
        <v>4379</v>
      </c>
      <c r="D1766" s="2" t="s">
        <v>51</v>
      </c>
      <c r="E1766" s="2" t="s">
        <v>16</v>
      </c>
      <c r="F1766" s="2">
        <v>90</v>
      </c>
      <c r="G1766" s="2" t="s">
        <v>5182</v>
      </c>
      <c r="H1766" s="2" t="s">
        <v>2877</v>
      </c>
      <c r="I1766" s="2" t="s">
        <v>2878</v>
      </c>
      <c r="J1766" s="3">
        <v>44077</v>
      </c>
      <c r="K1766" s="5">
        <f>YEAR(OrganizedData[[#This Row],[Order Date]])</f>
        <v>2020</v>
      </c>
      <c r="L1766" s="7" t="str">
        <f>TEXT(OrganizedData[[#This Row],[Order Date]],"mmm")</f>
        <v>Sep</v>
      </c>
      <c r="M1766" s="2">
        <v>11</v>
      </c>
      <c r="N1766" s="2" t="s">
        <v>159</v>
      </c>
      <c r="O1766" s="2" t="str">
        <f>VLOOKUP(OrganizedData[[#This Row],[Product Code]],ProductData[[Code]:[Item]],2,FALSE)</f>
        <v>Ultrathing V3</v>
      </c>
      <c r="P1766" s="4">
        <f>OrganizedData[[#This Row],[Quantity]]*VLOOKUP(OrganizedData[[#This Row],[Product Code]],ProductData[],4,FALSE)</f>
        <v>264</v>
      </c>
      <c r="Q1766" s="6">
        <f>OrganizedData[[#This Row],[Total Items Ordered]]*VLOOKUP(OrganizedData[[#This Row],[Product Code]],ProductData[],3,FALSE)</f>
        <v>894.96</v>
      </c>
      <c r="R17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1767" spans="1:18" x14ac:dyDescent="0.3">
      <c r="A1767" s="2">
        <v>1760</v>
      </c>
      <c r="B1767" s="2" t="s">
        <v>5183</v>
      </c>
      <c r="C1767" s="2" t="s">
        <v>783</v>
      </c>
      <c r="D1767" s="2" t="s">
        <v>51</v>
      </c>
      <c r="E1767" s="2" t="s">
        <v>16</v>
      </c>
      <c r="F1767" s="2">
        <v>60</v>
      </c>
      <c r="G1767" s="2" t="s">
        <v>5182</v>
      </c>
      <c r="H1767" s="2" t="s">
        <v>307</v>
      </c>
      <c r="I1767" s="2" t="s">
        <v>32</v>
      </c>
      <c r="J1767" s="3">
        <v>43980</v>
      </c>
      <c r="K1767" s="5">
        <f>YEAR(OrganizedData[[#This Row],[Order Date]])</f>
        <v>2020</v>
      </c>
      <c r="L1767" s="7" t="str">
        <f>TEXT(OrganizedData[[#This Row],[Order Date]],"mmm")</f>
        <v>May</v>
      </c>
      <c r="M1767" s="2">
        <v>28</v>
      </c>
      <c r="N1767" s="2" t="s">
        <v>80</v>
      </c>
      <c r="O1767" s="2" t="str">
        <f>VLOOKUP(OrganizedData[[#This Row],[Product Code]],ProductData[[Code]:[Item]],2,FALSE)</f>
        <v>Ultrathing V2</v>
      </c>
      <c r="P1767" s="4">
        <f>OrganizedData[[#This Row],[Quantity]]*VLOOKUP(OrganizedData[[#This Row],[Product Code]],ProductData[],4,FALSE)</f>
        <v>560</v>
      </c>
      <c r="Q1767" s="6">
        <f>OrganizedData[[#This Row],[Total Items Ordered]]*VLOOKUP(OrganizedData[[#This Row],[Product Code]],ProductData[],3,FALSE)</f>
        <v>1652</v>
      </c>
      <c r="R17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1602.44</v>
      </c>
    </row>
    <row r="1768" spans="1:18" x14ac:dyDescent="0.3">
      <c r="A1768" s="2">
        <v>1761</v>
      </c>
      <c r="B1768" s="2" t="s">
        <v>5184</v>
      </c>
      <c r="C1768" s="2" t="s">
        <v>4042</v>
      </c>
      <c r="D1768" s="2" t="s">
        <v>28</v>
      </c>
      <c r="E1768" s="2" t="s">
        <v>29</v>
      </c>
      <c r="F1768" s="2">
        <v>60</v>
      </c>
      <c r="G1768" s="2" t="s">
        <v>5185</v>
      </c>
      <c r="H1768" s="2" t="s">
        <v>1052</v>
      </c>
      <c r="I1768" s="2" t="s">
        <v>32</v>
      </c>
      <c r="J1768" s="3">
        <v>44153</v>
      </c>
      <c r="K1768" s="5">
        <f>YEAR(OrganizedData[[#This Row],[Order Date]])</f>
        <v>2020</v>
      </c>
      <c r="L1768" s="7" t="str">
        <f>TEXT(OrganizedData[[#This Row],[Order Date]],"mmm")</f>
        <v>Nov</v>
      </c>
      <c r="M1768" s="2">
        <v>63</v>
      </c>
      <c r="N1768" s="2" t="s">
        <v>20</v>
      </c>
      <c r="O1768" s="2" t="str">
        <f>VLOOKUP(OrganizedData[[#This Row],[Product Code]],ProductData[[Code]:[Item]],2,FALSE)</f>
        <v>Hyperwotsit</v>
      </c>
      <c r="P1768" s="4">
        <f>OrganizedData[[#This Row],[Quantity]]*VLOOKUP(OrganizedData[[#This Row],[Product Code]],ProductData[],4,FALSE)</f>
        <v>1260</v>
      </c>
      <c r="Q1768" s="6">
        <f>OrganizedData[[#This Row],[Total Items Ordered]]*VLOOKUP(OrganizedData[[#This Row],[Product Code]],ProductData[],3,FALSE)</f>
        <v>2532.6</v>
      </c>
      <c r="R17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2405.9699999999998</v>
      </c>
    </row>
    <row r="1769" spans="1:18" x14ac:dyDescent="0.3">
      <c r="A1769" s="2">
        <v>1762</v>
      </c>
      <c r="B1769" s="2" t="s">
        <v>2627</v>
      </c>
      <c r="C1769" s="2" t="s">
        <v>3779</v>
      </c>
      <c r="D1769" s="2" t="s">
        <v>51</v>
      </c>
      <c r="E1769" s="2" t="s">
        <v>16</v>
      </c>
      <c r="F1769" s="2">
        <v>30</v>
      </c>
      <c r="G1769" s="2" t="s">
        <v>5186</v>
      </c>
      <c r="H1769" s="2" t="s">
        <v>674</v>
      </c>
      <c r="I1769" s="2" t="s">
        <v>32</v>
      </c>
      <c r="J1769" s="3">
        <v>44654</v>
      </c>
      <c r="K1769" s="5">
        <f>YEAR(OrganizedData[[#This Row],[Order Date]])</f>
        <v>2022</v>
      </c>
      <c r="L1769" s="7" t="str">
        <f>TEXT(OrganizedData[[#This Row],[Order Date]],"mmm")</f>
        <v>Apr</v>
      </c>
      <c r="M1769" s="2">
        <v>66</v>
      </c>
      <c r="N1769" s="2" t="s">
        <v>54</v>
      </c>
      <c r="O1769" s="2" t="str">
        <f>VLOOKUP(OrganizedData[[#This Row],[Product Code]],ProductData[[Code]:[Item]],2,FALSE)</f>
        <v>Megawidget S</v>
      </c>
      <c r="P1769" s="4">
        <f>OrganizedData[[#This Row],[Quantity]]*VLOOKUP(OrganizedData[[#This Row],[Product Code]],ProductData[],4,FALSE)</f>
        <v>1584</v>
      </c>
      <c r="Q1769" s="6">
        <f>OrganizedData[[#This Row],[Total Items Ordered]]*VLOOKUP(OrganizedData[[#This Row],[Product Code]],ProductData[],3,FALSE)</f>
        <v>1092.9599999999998</v>
      </c>
      <c r="R17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770" spans="1:18" x14ac:dyDescent="0.3">
      <c r="A1770" s="2">
        <v>1763</v>
      </c>
      <c r="B1770" s="2" t="s">
        <v>5187</v>
      </c>
      <c r="C1770" s="2" t="s">
        <v>1851</v>
      </c>
      <c r="D1770" s="2" t="s">
        <v>41</v>
      </c>
      <c r="E1770" s="2" t="s">
        <v>16</v>
      </c>
      <c r="F1770" s="2">
        <v>30</v>
      </c>
      <c r="G1770" s="2" t="s">
        <v>5188</v>
      </c>
      <c r="H1770" s="2" t="s">
        <v>5189</v>
      </c>
      <c r="I1770" s="2" t="s">
        <v>32</v>
      </c>
      <c r="J1770" s="3">
        <v>44875</v>
      </c>
      <c r="K1770" s="5">
        <f>YEAR(OrganizedData[[#This Row],[Order Date]])</f>
        <v>2022</v>
      </c>
      <c r="L1770" s="7" t="str">
        <f>TEXT(OrganizedData[[#This Row],[Order Date]],"mmm")</f>
        <v>Nov</v>
      </c>
      <c r="M1770" s="2">
        <v>37</v>
      </c>
      <c r="N1770" s="2" t="s">
        <v>64</v>
      </c>
      <c r="O1770" s="2" t="str">
        <f>VLOOKUP(OrganizedData[[#This Row],[Product Code]],ProductData[[Code]:[Item]],2,FALSE)</f>
        <v>Ultrathing V4</v>
      </c>
      <c r="P1770" s="4">
        <f>OrganizedData[[#This Row],[Quantity]]*VLOOKUP(OrganizedData[[#This Row],[Product Code]],ProductData[],4,FALSE)</f>
        <v>888</v>
      </c>
      <c r="Q1770" s="6">
        <f>OrganizedData[[#This Row],[Total Items Ordered]]*VLOOKUP(OrganizedData[[#This Row],[Product Code]],ProductData[],3,FALSE)</f>
        <v>3543.1200000000003</v>
      </c>
      <c r="R17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3436.8264000000004</v>
      </c>
    </row>
    <row r="1771" spans="1:18" x14ac:dyDescent="0.3">
      <c r="A1771" s="2">
        <v>1764</v>
      </c>
      <c r="B1771" s="2" t="s">
        <v>5190</v>
      </c>
      <c r="C1771" s="2" t="s">
        <v>5191</v>
      </c>
      <c r="D1771" s="2" t="s">
        <v>41</v>
      </c>
      <c r="E1771" s="2" t="s">
        <v>16</v>
      </c>
      <c r="F1771" s="2">
        <v>60</v>
      </c>
      <c r="G1771" s="2" t="s">
        <v>5192</v>
      </c>
      <c r="H1771" s="2" t="s">
        <v>429</v>
      </c>
      <c r="I1771" s="2" t="s">
        <v>32</v>
      </c>
      <c r="J1771" s="3">
        <v>44019</v>
      </c>
      <c r="K1771" s="5">
        <f>YEAR(OrganizedData[[#This Row],[Order Date]])</f>
        <v>2020</v>
      </c>
      <c r="L1771" s="7" t="str">
        <f>TEXT(OrganizedData[[#This Row],[Order Date]],"mmm")</f>
        <v>Jul</v>
      </c>
      <c r="M1771" s="2">
        <v>73</v>
      </c>
      <c r="N1771" s="2" t="s">
        <v>159</v>
      </c>
      <c r="O1771" s="2" t="str">
        <f>VLOOKUP(OrganizedData[[#This Row],[Product Code]],ProductData[[Code]:[Item]],2,FALSE)</f>
        <v>Ultrathing V3</v>
      </c>
      <c r="P1771" s="4">
        <f>OrganizedData[[#This Row],[Quantity]]*VLOOKUP(OrganizedData[[#This Row],[Product Code]],ProductData[],4,FALSE)</f>
        <v>1752</v>
      </c>
      <c r="Q1771" s="6">
        <f>OrganizedData[[#This Row],[Total Items Ordered]]*VLOOKUP(OrganizedData[[#This Row],[Product Code]],ProductData[],3,FALSE)</f>
        <v>5939.2800000000007</v>
      </c>
      <c r="R17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1772" spans="1:18" x14ac:dyDescent="0.3">
      <c r="A1772" s="2">
        <v>1765</v>
      </c>
      <c r="B1772" s="2" t="s">
        <v>1961</v>
      </c>
      <c r="C1772" s="2" t="s">
        <v>5193</v>
      </c>
      <c r="D1772" s="2" t="s">
        <v>51</v>
      </c>
      <c r="E1772" s="2" t="s">
        <v>16</v>
      </c>
      <c r="F1772" s="2">
        <v>90</v>
      </c>
      <c r="G1772" s="2" t="s">
        <v>5194</v>
      </c>
      <c r="H1772" s="2" t="s">
        <v>1131</v>
      </c>
      <c r="I1772" s="2" t="s">
        <v>32</v>
      </c>
      <c r="J1772" s="3">
        <v>44563</v>
      </c>
      <c r="K1772" s="5">
        <f>YEAR(OrganizedData[[#This Row],[Order Date]])</f>
        <v>2022</v>
      </c>
      <c r="L1772" s="7" t="str">
        <f>TEXT(OrganizedData[[#This Row],[Order Date]],"mmm")</f>
        <v>Jan</v>
      </c>
      <c r="M1772" s="2">
        <v>93</v>
      </c>
      <c r="N1772" s="2" t="s">
        <v>80</v>
      </c>
      <c r="O1772" s="2" t="str">
        <f>VLOOKUP(OrganizedData[[#This Row],[Product Code]],ProductData[[Code]:[Item]],2,FALSE)</f>
        <v>Ultrathing V2</v>
      </c>
      <c r="P1772" s="4">
        <f>OrganizedData[[#This Row],[Quantity]]*VLOOKUP(OrganizedData[[#This Row],[Product Code]],ProductData[],4,FALSE)</f>
        <v>1860</v>
      </c>
      <c r="Q1772" s="6">
        <f>OrganizedData[[#This Row],[Total Items Ordered]]*VLOOKUP(OrganizedData[[#This Row],[Product Code]],ProductData[],3,FALSE)</f>
        <v>5487</v>
      </c>
      <c r="R17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5212.6499999999996</v>
      </c>
    </row>
    <row r="1773" spans="1:18" x14ac:dyDescent="0.3">
      <c r="A1773" s="2">
        <v>1766</v>
      </c>
      <c r="B1773" s="2" t="s">
        <v>5195</v>
      </c>
      <c r="C1773" s="2" t="s">
        <v>5196</v>
      </c>
      <c r="D1773" s="2" t="s">
        <v>28</v>
      </c>
      <c r="E1773" s="2" t="s">
        <v>29</v>
      </c>
      <c r="F1773" s="2">
        <v>60</v>
      </c>
      <c r="G1773" s="2" t="s">
        <v>5197</v>
      </c>
      <c r="H1773" s="2" t="s">
        <v>1164</v>
      </c>
      <c r="I1773" s="2" t="s">
        <v>89</v>
      </c>
      <c r="J1773" s="3">
        <v>44499</v>
      </c>
      <c r="K1773" s="5">
        <f>YEAR(OrganizedData[[#This Row],[Order Date]])</f>
        <v>2021</v>
      </c>
      <c r="L1773" s="7" t="str">
        <f>TEXT(OrganizedData[[#This Row],[Order Date]],"mmm")</f>
        <v>Oct</v>
      </c>
      <c r="M1773" s="2">
        <v>26</v>
      </c>
      <c r="N1773" s="2" t="s">
        <v>39</v>
      </c>
      <c r="O1773" s="2" t="str">
        <f>VLOOKUP(OrganizedData[[#This Row],[Product Code]],ProductData[[Code]:[Item]],2,FALSE)</f>
        <v>Ultrathing V1</v>
      </c>
      <c r="P1773" s="4">
        <f>OrganizedData[[#This Row],[Quantity]]*VLOOKUP(OrganizedData[[#This Row],[Product Code]],ProductData[],4,FALSE)</f>
        <v>442</v>
      </c>
      <c r="Q1773" s="6">
        <f>OrganizedData[[#This Row],[Total Items Ordered]]*VLOOKUP(OrganizedData[[#This Row],[Product Code]],ProductData[],3,FALSE)</f>
        <v>791.18000000000006</v>
      </c>
      <c r="R17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767.44460000000004</v>
      </c>
    </row>
    <row r="1774" spans="1:18" x14ac:dyDescent="0.3">
      <c r="A1774" s="2">
        <v>1767</v>
      </c>
      <c r="B1774" s="2" t="s">
        <v>5198</v>
      </c>
      <c r="C1774" s="2" t="s">
        <v>5199</v>
      </c>
      <c r="D1774" s="2" t="s">
        <v>51</v>
      </c>
      <c r="E1774" s="2" t="s">
        <v>16</v>
      </c>
      <c r="F1774" s="2">
        <v>30</v>
      </c>
      <c r="G1774" s="2" t="s">
        <v>5200</v>
      </c>
      <c r="H1774" s="2" t="s">
        <v>637</v>
      </c>
      <c r="I1774" s="2" t="s">
        <v>32</v>
      </c>
      <c r="J1774" s="3">
        <v>44800</v>
      </c>
      <c r="K1774" s="5">
        <f>YEAR(OrganizedData[[#This Row],[Order Date]])</f>
        <v>2022</v>
      </c>
      <c r="L1774" s="7" t="str">
        <f>TEXT(OrganizedData[[#This Row],[Order Date]],"mmm")</f>
        <v>Aug</v>
      </c>
      <c r="M1774" s="2">
        <v>96</v>
      </c>
      <c r="N1774" s="2" t="s">
        <v>39</v>
      </c>
      <c r="O1774" s="2" t="str">
        <f>VLOOKUP(OrganizedData[[#This Row],[Product Code]],ProductData[[Code]:[Item]],2,FALSE)</f>
        <v>Ultrathing V1</v>
      </c>
      <c r="P1774" s="4">
        <f>OrganizedData[[#This Row],[Quantity]]*VLOOKUP(OrganizedData[[#This Row],[Product Code]],ProductData[],4,FALSE)</f>
        <v>1632</v>
      </c>
      <c r="Q1774" s="6">
        <f>OrganizedData[[#This Row],[Total Items Ordered]]*VLOOKUP(OrganizedData[[#This Row],[Product Code]],ProductData[],3,FALSE)</f>
        <v>2921.28</v>
      </c>
      <c r="R17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1775" spans="1:18" x14ac:dyDescent="0.3">
      <c r="A1775" s="2">
        <v>1768</v>
      </c>
      <c r="B1775" s="2" t="s">
        <v>3910</v>
      </c>
      <c r="C1775" s="2" t="s">
        <v>4750</v>
      </c>
      <c r="D1775" s="2" t="s">
        <v>28</v>
      </c>
      <c r="E1775" s="2" t="s">
        <v>29</v>
      </c>
      <c r="F1775" s="2">
        <v>60</v>
      </c>
      <c r="G1775" s="2" t="s">
        <v>5201</v>
      </c>
      <c r="H1775" s="2" t="s">
        <v>1741</v>
      </c>
      <c r="I1775" s="2" t="s">
        <v>173</v>
      </c>
      <c r="J1775" s="3">
        <v>44391</v>
      </c>
      <c r="K1775" s="5">
        <f>YEAR(OrganizedData[[#This Row],[Order Date]])</f>
        <v>2021</v>
      </c>
      <c r="L1775" s="7" t="str">
        <f>TEXT(OrganizedData[[#This Row],[Order Date]],"mmm")</f>
        <v>Jul</v>
      </c>
      <c r="M1775" s="2">
        <v>81</v>
      </c>
      <c r="N1775" s="2" t="s">
        <v>159</v>
      </c>
      <c r="O1775" s="2" t="str">
        <f>VLOOKUP(OrganizedData[[#This Row],[Product Code]],ProductData[[Code]:[Item]],2,FALSE)</f>
        <v>Ultrathing V3</v>
      </c>
      <c r="P1775" s="4">
        <f>OrganizedData[[#This Row],[Quantity]]*VLOOKUP(OrganizedData[[#This Row],[Product Code]],ProductData[],4,FALSE)</f>
        <v>1944</v>
      </c>
      <c r="Q1775" s="6">
        <f>OrganizedData[[#This Row],[Total Items Ordered]]*VLOOKUP(OrganizedData[[#This Row],[Product Code]],ProductData[],3,FALSE)</f>
        <v>6590.16</v>
      </c>
      <c r="R17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1776" spans="1:18" x14ac:dyDescent="0.3">
      <c r="A1776" s="2">
        <v>1769</v>
      </c>
      <c r="B1776" s="2" t="s">
        <v>3655</v>
      </c>
      <c r="C1776" s="2" t="s">
        <v>2336</v>
      </c>
      <c r="D1776" s="2" t="s">
        <v>28</v>
      </c>
      <c r="E1776" s="2" t="s">
        <v>29</v>
      </c>
      <c r="F1776" s="2">
        <v>90</v>
      </c>
      <c r="G1776" s="2" t="s">
        <v>5202</v>
      </c>
      <c r="H1776" s="2" t="s">
        <v>2893</v>
      </c>
      <c r="I1776" s="2" t="s">
        <v>32</v>
      </c>
      <c r="J1776" s="3">
        <v>44015</v>
      </c>
      <c r="K1776" s="5">
        <f>YEAR(OrganizedData[[#This Row],[Order Date]])</f>
        <v>2020</v>
      </c>
      <c r="L1776" s="7" t="str">
        <f>TEXT(OrganizedData[[#This Row],[Order Date]],"mmm")</f>
        <v>Jul</v>
      </c>
      <c r="M1776" s="2">
        <v>66</v>
      </c>
      <c r="N1776" s="2" t="s">
        <v>39</v>
      </c>
      <c r="O1776" s="2" t="str">
        <f>VLOOKUP(OrganizedData[[#This Row],[Product Code]],ProductData[[Code]:[Item]],2,FALSE)</f>
        <v>Ultrathing V1</v>
      </c>
      <c r="P1776" s="4">
        <f>OrganizedData[[#This Row],[Quantity]]*VLOOKUP(OrganizedData[[#This Row],[Product Code]],ProductData[],4,FALSE)</f>
        <v>1122</v>
      </c>
      <c r="Q1776" s="6">
        <f>OrganizedData[[#This Row],[Total Items Ordered]]*VLOOKUP(OrganizedData[[#This Row],[Product Code]],ProductData[],3,FALSE)</f>
        <v>2008.38</v>
      </c>
      <c r="R17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1777" spans="1:18" x14ac:dyDescent="0.3">
      <c r="A1777" s="2">
        <v>1770</v>
      </c>
      <c r="B1777" s="2" t="s">
        <v>4988</v>
      </c>
      <c r="C1777" s="2" t="s">
        <v>5203</v>
      </c>
      <c r="D1777" s="2" t="s">
        <v>15</v>
      </c>
      <c r="E1777" s="2" t="s">
        <v>16</v>
      </c>
      <c r="F1777" s="2">
        <v>60</v>
      </c>
      <c r="G1777" s="2" t="s">
        <v>5204</v>
      </c>
      <c r="H1777" s="2" t="s">
        <v>3299</v>
      </c>
      <c r="I1777" s="2" t="s">
        <v>32</v>
      </c>
      <c r="J1777" s="3">
        <v>44765</v>
      </c>
      <c r="K1777" s="5">
        <f>YEAR(OrganizedData[[#This Row],[Order Date]])</f>
        <v>2022</v>
      </c>
      <c r="L1777" s="7" t="str">
        <f>TEXT(OrganizedData[[#This Row],[Order Date]],"mmm")</f>
        <v>Jul</v>
      </c>
      <c r="M1777" s="2">
        <v>51</v>
      </c>
      <c r="N1777" s="2" t="s">
        <v>159</v>
      </c>
      <c r="O1777" s="2" t="str">
        <f>VLOOKUP(OrganizedData[[#This Row],[Product Code]],ProductData[[Code]:[Item]],2,FALSE)</f>
        <v>Ultrathing V3</v>
      </c>
      <c r="P1777" s="4">
        <f>OrganizedData[[#This Row],[Quantity]]*VLOOKUP(OrganizedData[[#This Row],[Product Code]],ProductData[],4,FALSE)</f>
        <v>1224</v>
      </c>
      <c r="Q1777" s="6">
        <f>OrganizedData[[#This Row],[Total Items Ordered]]*VLOOKUP(OrganizedData[[#This Row],[Product Code]],ProductData[],3,FALSE)</f>
        <v>4149.3600000000006</v>
      </c>
      <c r="R17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3941.8920000000003</v>
      </c>
    </row>
    <row r="1778" spans="1:18" x14ac:dyDescent="0.3">
      <c r="A1778" s="2">
        <v>1771</v>
      </c>
      <c r="B1778" s="2" t="s">
        <v>5205</v>
      </c>
      <c r="C1778" s="2" t="s">
        <v>2024</v>
      </c>
      <c r="D1778" s="2" t="s">
        <v>15</v>
      </c>
      <c r="E1778" s="2" t="s">
        <v>16</v>
      </c>
      <c r="F1778" s="2">
        <v>90</v>
      </c>
      <c r="G1778" s="2" t="s">
        <v>5206</v>
      </c>
      <c r="H1778" s="2" t="s">
        <v>5207</v>
      </c>
      <c r="I1778" s="2" t="s">
        <v>38</v>
      </c>
      <c r="J1778" s="3">
        <v>44876</v>
      </c>
      <c r="K1778" s="5">
        <f>YEAR(OrganizedData[[#This Row],[Order Date]])</f>
        <v>2022</v>
      </c>
      <c r="L1778" s="7" t="str">
        <f>TEXT(OrganizedData[[#This Row],[Order Date]],"mmm")</f>
        <v>Nov</v>
      </c>
      <c r="M1778" s="2">
        <v>39</v>
      </c>
      <c r="N1778" s="2" t="s">
        <v>80</v>
      </c>
      <c r="O1778" s="2" t="str">
        <f>VLOOKUP(OrganizedData[[#This Row],[Product Code]],ProductData[[Code]:[Item]],2,FALSE)</f>
        <v>Ultrathing V2</v>
      </c>
      <c r="P1778" s="4">
        <f>OrganizedData[[#This Row],[Quantity]]*VLOOKUP(OrganizedData[[#This Row],[Product Code]],ProductData[],4,FALSE)</f>
        <v>780</v>
      </c>
      <c r="Q1778" s="6">
        <f>OrganizedData[[#This Row],[Total Items Ordered]]*VLOOKUP(OrganizedData[[#This Row],[Product Code]],ProductData[],3,FALSE)</f>
        <v>2301</v>
      </c>
      <c r="R17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1779" spans="1:18" x14ac:dyDescent="0.3">
      <c r="A1779" s="2">
        <v>1772</v>
      </c>
      <c r="B1779" s="2" t="s">
        <v>5208</v>
      </c>
      <c r="C1779" s="2" t="s">
        <v>3155</v>
      </c>
      <c r="D1779" s="2" t="s">
        <v>28</v>
      </c>
      <c r="E1779" s="2" t="s">
        <v>29</v>
      </c>
      <c r="F1779" s="2">
        <v>60</v>
      </c>
      <c r="G1779" s="2" t="s">
        <v>5209</v>
      </c>
      <c r="H1779" s="2" t="s">
        <v>474</v>
      </c>
      <c r="I1779" s="2" t="s">
        <v>475</v>
      </c>
      <c r="J1779" s="3">
        <v>44281</v>
      </c>
      <c r="K1779" s="5">
        <f>YEAR(OrganizedData[[#This Row],[Order Date]])</f>
        <v>2021</v>
      </c>
      <c r="L1779" s="7" t="str">
        <f>TEXT(OrganizedData[[#This Row],[Order Date]],"mmm")</f>
        <v>Mar</v>
      </c>
      <c r="M1779" s="2">
        <v>24</v>
      </c>
      <c r="N1779" s="2" t="s">
        <v>33</v>
      </c>
      <c r="O1779" s="2" t="str">
        <f>VLOOKUP(OrganizedData[[#This Row],[Product Code]],ProductData[[Code]:[Item]],2,FALSE)</f>
        <v>Megawidget L</v>
      </c>
      <c r="P1779" s="4">
        <f>OrganizedData[[#This Row],[Quantity]]*VLOOKUP(OrganizedData[[#This Row],[Product Code]],ProductData[],4,FALSE)</f>
        <v>576</v>
      </c>
      <c r="Q1779" s="6">
        <f>OrganizedData[[#This Row],[Total Items Ordered]]*VLOOKUP(OrganizedData[[#This Row],[Product Code]],ProductData[],3,FALSE)</f>
        <v>1031.04</v>
      </c>
      <c r="R17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1000.1088</v>
      </c>
    </row>
    <row r="1780" spans="1:18" x14ac:dyDescent="0.3">
      <c r="A1780" s="2">
        <v>1773</v>
      </c>
      <c r="B1780" s="2" t="s">
        <v>5210</v>
      </c>
      <c r="C1780" s="2" t="s">
        <v>5211</v>
      </c>
      <c r="D1780" s="2" t="s">
        <v>51</v>
      </c>
      <c r="E1780" s="2" t="s">
        <v>16</v>
      </c>
      <c r="F1780" s="2">
        <v>30</v>
      </c>
      <c r="G1780" s="2" t="s">
        <v>5212</v>
      </c>
      <c r="H1780" s="2" t="s">
        <v>5025</v>
      </c>
      <c r="I1780" s="2" t="s">
        <v>32</v>
      </c>
      <c r="J1780" s="3">
        <v>44426</v>
      </c>
      <c r="K1780" s="5">
        <f>YEAR(OrganizedData[[#This Row],[Order Date]])</f>
        <v>2021</v>
      </c>
      <c r="L1780" s="7" t="str">
        <f>TEXT(OrganizedData[[#This Row],[Order Date]],"mmm")</f>
        <v>Aug</v>
      </c>
      <c r="M1780" s="2">
        <v>51</v>
      </c>
      <c r="N1780" s="2" t="s">
        <v>159</v>
      </c>
      <c r="O1780" s="2" t="str">
        <f>VLOOKUP(OrganizedData[[#This Row],[Product Code]],ProductData[[Code]:[Item]],2,FALSE)</f>
        <v>Ultrathing V3</v>
      </c>
      <c r="P1780" s="4">
        <f>OrganizedData[[#This Row],[Quantity]]*VLOOKUP(OrganizedData[[#This Row],[Product Code]],ProductData[],4,FALSE)</f>
        <v>1224</v>
      </c>
      <c r="Q1780" s="6">
        <f>OrganizedData[[#This Row],[Total Items Ordered]]*VLOOKUP(OrganizedData[[#This Row],[Product Code]],ProductData[],3,FALSE)</f>
        <v>4149.3600000000006</v>
      </c>
      <c r="R17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3941.8920000000003</v>
      </c>
    </row>
    <row r="1781" spans="1:18" x14ac:dyDescent="0.3">
      <c r="A1781" s="2">
        <v>1774</v>
      </c>
      <c r="B1781" s="2" t="s">
        <v>5213</v>
      </c>
      <c r="C1781" s="2" t="s">
        <v>5214</v>
      </c>
      <c r="D1781" s="2" t="s">
        <v>51</v>
      </c>
      <c r="E1781" s="2" t="s">
        <v>16</v>
      </c>
      <c r="F1781" s="2">
        <v>30</v>
      </c>
      <c r="G1781" s="2" t="s">
        <v>5212</v>
      </c>
      <c r="H1781" s="2" t="s">
        <v>4825</v>
      </c>
      <c r="I1781" s="2" t="s">
        <v>32</v>
      </c>
      <c r="J1781" s="3">
        <v>44287</v>
      </c>
      <c r="K1781" s="5">
        <f>YEAR(OrganizedData[[#This Row],[Order Date]])</f>
        <v>2021</v>
      </c>
      <c r="L1781" s="7" t="str">
        <f>TEXT(OrganizedData[[#This Row],[Order Date]],"mmm")</f>
        <v>Apr</v>
      </c>
      <c r="M1781" s="2">
        <v>16</v>
      </c>
      <c r="N1781" s="2" t="s">
        <v>45</v>
      </c>
      <c r="O1781" s="2" t="str">
        <f>VLOOKUP(OrganizedData[[#This Row],[Product Code]],ProductData[[Code]:[Item]],2,FALSE)</f>
        <v>Gigastuff</v>
      </c>
      <c r="P1781" s="4">
        <f>OrganizedData[[#This Row],[Quantity]]*VLOOKUP(OrganizedData[[#This Row],[Product Code]],ProductData[],4,FALSE)</f>
        <v>288</v>
      </c>
      <c r="Q1781" s="6">
        <f>OrganizedData[[#This Row],[Total Items Ordered]]*VLOOKUP(OrganizedData[[#This Row],[Product Code]],ProductData[],3,FALSE)</f>
        <v>544.31999999999994</v>
      </c>
      <c r="R17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544.31999999999994</v>
      </c>
    </row>
    <row r="1782" spans="1:18" x14ac:dyDescent="0.3">
      <c r="A1782" s="2">
        <v>1775</v>
      </c>
      <c r="B1782" s="2" t="s">
        <v>1657</v>
      </c>
      <c r="C1782" s="2" t="s">
        <v>5215</v>
      </c>
      <c r="D1782" s="2" t="s">
        <v>28</v>
      </c>
      <c r="E1782" s="2" t="s">
        <v>29</v>
      </c>
      <c r="F1782" s="2">
        <v>30</v>
      </c>
      <c r="G1782" s="2" t="s">
        <v>5216</v>
      </c>
      <c r="H1782" s="2" t="s">
        <v>3909</v>
      </c>
      <c r="I1782" s="2" t="s">
        <v>32</v>
      </c>
      <c r="J1782" s="3">
        <v>44193</v>
      </c>
      <c r="K1782" s="5">
        <f>YEAR(OrganizedData[[#This Row],[Order Date]])</f>
        <v>2020</v>
      </c>
      <c r="L1782" s="7" t="str">
        <f>TEXT(OrganizedData[[#This Row],[Order Date]],"mmm")</f>
        <v>Dec</v>
      </c>
      <c r="M1782" s="2">
        <v>42</v>
      </c>
      <c r="N1782" s="2" t="s">
        <v>45</v>
      </c>
      <c r="O1782" s="2" t="str">
        <f>VLOOKUP(OrganizedData[[#This Row],[Product Code]],ProductData[[Code]:[Item]],2,FALSE)</f>
        <v>Gigastuff</v>
      </c>
      <c r="P1782" s="4">
        <f>OrganizedData[[#This Row],[Quantity]]*VLOOKUP(OrganizedData[[#This Row],[Product Code]],ProductData[],4,FALSE)</f>
        <v>756</v>
      </c>
      <c r="Q1782" s="6">
        <f>OrganizedData[[#This Row],[Total Items Ordered]]*VLOOKUP(OrganizedData[[#This Row],[Product Code]],ProductData[],3,FALSE)</f>
        <v>1428.84</v>
      </c>
      <c r="R17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1783" spans="1:18" x14ac:dyDescent="0.3">
      <c r="A1783" s="2">
        <v>1776</v>
      </c>
      <c r="B1783" s="2" t="s">
        <v>972</v>
      </c>
      <c r="C1783" s="2" t="s">
        <v>5217</v>
      </c>
      <c r="D1783" s="2" t="s">
        <v>28</v>
      </c>
      <c r="E1783" s="2" t="s">
        <v>29</v>
      </c>
      <c r="F1783" s="2">
        <v>60</v>
      </c>
      <c r="G1783" s="2" t="s">
        <v>5218</v>
      </c>
      <c r="H1783" s="2" t="s">
        <v>3619</v>
      </c>
      <c r="I1783" s="2" t="s">
        <v>575</v>
      </c>
      <c r="J1783" s="3">
        <v>44678</v>
      </c>
      <c r="K1783" s="5">
        <f>YEAR(OrganizedData[[#This Row],[Order Date]])</f>
        <v>2022</v>
      </c>
      <c r="L1783" s="7" t="str">
        <f>TEXT(OrganizedData[[#This Row],[Order Date]],"mmm")</f>
        <v>Apr</v>
      </c>
      <c r="M1783" s="2">
        <v>105</v>
      </c>
      <c r="N1783" s="2" t="s">
        <v>64</v>
      </c>
      <c r="O1783" s="2" t="str">
        <f>VLOOKUP(OrganizedData[[#This Row],[Product Code]],ProductData[[Code]:[Item]],2,FALSE)</f>
        <v>Ultrathing V4</v>
      </c>
      <c r="P1783" s="4">
        <f>OrganizedData[[#This Row],[Quantity]]*VLOOKUP(OrganizedData[[#This Row],[Product Code]],ProductData[],4,FALSE)</f>
        <v>2520</v>
      </c>
      <c r="Q1783" s="6">
        <f>OrganizedData[[#This Row],[Total Items Ordered]]*VLOOKUP(OrganizedData[[#This Row],[Product Code]],ProductData[],3,FALSE)</f>
        <v>10054.800000000001</v>
      </c>
      <c r="R17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9350.9640000000018</v>
      </c>
    </row>
    <row r="1784" spans="1:18" x14ac:dyDescent="0.3">
      <c r="A1784" s="2">
        <v>1777</v>
      </c>
      <c r="B1784" s="2" t="s">
        <v>5219</v>
      </c>
      <c r="C1784" s="2" t="s">
        <v>332</v>
      </c>
      <c r="D1784" s="2" t="s">
        <v>51</v>
      </c>
      <c r="E1784" s="2" t="s">
        <v>16</v>
      </c>
      <c r="F1784" s="2">
        <v>60</v>
      </c>
      <c r="G1784" s="2" t="s">
        <v>5220</v>
      </c>
      <c r="H1784" s="2" t="s">
        <v>2305</v>
      </c>
      <c r="I1784" s="2" t="s">
        <v>25</v>
      </c>
      <c r="J1784" s="3">
        <v>44803</v>
      </c>
      <c r="K1784" s="5">
        <f>YEAR(OrganizedData[[#This Row],[Order Date]])</f>
        <v>2022</v>
      </c>
      <c r="L1784" s="7" t="str">
        <f>TEXT(OrganizedData[[#This Row],[Order Date]],"mmm")</f>
        <v>Aug</v>
      </c>
      <c r="M1784" s="2">
        <v>85</v>
      </c>
      <c r="N1784" s="2" t="s">
        <v>33</v>
      </c>
      <c r="O1784" s="2" t="str">
        <f>VLOOKUP(OrganizedData[[#This Row],[Product Code]],ProductData[[Code]:[Item]],2,FALSE)</f>
        <v>Megawidget L</v>
      </c>
      <c r="P1784" s="4">
        <f>OrganizedData[[#This Row],[Quantity]]*VLOOKUP(OrganizedData[[#This Row],[Product Code]],ProductData[],4,FALSE)</f>
        <v>2040</v>
      </c>
      <c r="Q1784" s="6">
        <f>OrganizedData[[#This Row],[Total Items Ordered]]*VLOOKUP(OrganizedData[[#This Row],[Product Code]],ProductData[],3,FALSE)</f>
        <v>3651.6</v>
      </c>
      <c r="R17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3469.0199999999995</v>
      </c>
    </row>
    <row r="1785" spans="1:18" x14ac:dyDescent="0.3">
      <c r="A1785" s="2">
        <v>1778</v>
      </c>
      <c r="B1785" s="2" t="s">
        <v>4920</v>
      </c>
      <c r="C1785" s="2" t="s">
        <v>5214</v>
      </c>
      <c r="D1785" s="2" t="s">
        <v>51</v>
      </c>
      <c r="E1785" s="2" t="s">
        <v>16</v>
      </c>
      <c r="F1785" s="2">
        <v>90</v>
      </c>
      <c r="G1785" s="2" t="s">
        <v>5221</v>
      </c>
      <c r="H1785" s="2" t="s">
        <v>5222</v>
      </c>
      <c r="I1785" s="2" t="s">
        <v>32</v>
      </c>
      <c r="J1785" s="3">
        <v>43938</v>
      </c>
      <c r="K1785" s="5">
        <f>YEAR(OrganizedData[[#This Row],[Order Date]])</f>
        <v>2020</v>
      </c>
      <c r="L1785" s="7" t="str">
        <f>TEXT(OrganizedData[[#This Row],[Order Date]],"mmm")</f>
        <v>Apr</v>
      </c>
      <c r="M1785" s="2">
        <v>42</v>
      </c>
      <c r="N1785" s="2" t="s">
        <v>54</v>
      </c>
      <c r="O1785" s="2" t="str">
        <f>VLOOKUP(OrganizedData[[#This Row],[Product Code]],ProductData[[Code]:[Item]],2,FALSE)</f>
        <v>Megawidget S</v>
      </c>
      <c r="P1785" s="4">
        <f>OrganizedData[[#This Row],[Quantity]]*VLOOKUP(OrganizedData[[#This Row],[Product Code]],ProductData[],4,FALSE)</f>
        <v>1008</v>
      </c>
      <c r="Q1785" s="6">
        <f>OrganizedData[[#This Row],[Total Items Ordered]]*VLOOKUP(OrganizedData[[#This Row],[Product Code]],ProductData[],3,FALSE)</f>
        <v>695.52</v>
      </c>
      <c r="R17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674.65440000000001</v>
      </c>
    </row>
    <row r="1786" spans="1:18" x14ac:dyDescent="0.3">
      <c r="A1786" s="2">
        <v>1779</v>
      </c>
      <c r="B1786" s="2" t="s">
        <v>5223</v>
      </c>
      <c r="C1786" s="2" t="s">
        <v>632</v>
      </c>
      <c r="D1786" s="2" t="s">
        <v>51</v>
      </c>
      <c r="E1786" s="2" t="s">
        <v>16</v>
      </c>
      <c r="F1786" s="2">
        <v>30</v>
      </c>
      <c r="G1786" s="2" t="s">
        <v>5224</v>
      </c>
      <c r="H1786" s="2" t="s">
        <v>2265</v>
      </c>
      <c r="I1786" s="2" t="s">
        <v>1083</v>
      </c>
      <c r="J1786" s="3">
        <v>44048</v>
      </c>
      <c r="K1786" s="5">
        <f>YEAR(OrganizedData[[#This Row],[Order Date]])</f>
        <v>2020</v>
      </c>
      <c r="L1786" s="7" t="str">
        <f>TEXT(OrganizedData[[#This Row],[Order Date]],"mmm")</f>
        <v>Aug</v>
      </c>
      <c r="M1786" s="2">
        <v>73</v>
      </c>
      <c r="N1786" s="2" t="s">
        <v>20</v>
      </c>
      <c r="O1786" s="2" t="str">
        <f>VLOOKUP(OrganizedData[[#This Row],[Product Code]],ProductData[[Code]:[Item]],2,FALSE)</f>
        <v>Hyperwotsit</v>
      </c>
      <c r="P1786" s="4">
        <f>OrganizedData[[#This Row],[Quantity]]*VLOOKUP(OrganizedData[[#This Row],[Product Code]],ProductData[],4,FALSE)</f>
        <v>1460</v>
      </c>
      <c r="Q1786" s="6">
        <f>OrganizedData[[#This Row],[Total Items Ordered]]*VLOOKUP(OrganizedData[[#This Row],[Product Code]],ProductData[],3,FALSE)</f>
        <v>2934.6</v>
      </c>
      <c r="R17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1787" spans="1:18" x14ac:dyDescent="0.3">
      <c r="A1787" s="2">
        <v>1780</v>
      </c>
      <c r="B1787" s="2" t="s">
        <v>4663</v>
      </c>
      <c r="C1787" s="2" t="s">
        <v>5225</v>
      </c>
      <c r="D1787" s="2" t="s">
        <v>28</v>
      </c>
      <c r="E1787" s="2" t="s">
        <v>29</v>
      </c>
      <c r="F1787" s="2">
        <v>60</v>
      </c>
      <c r="G1787" s="2" t="s">
        <v>10498</v>
      </c>
      <c r="H1787" s="2" t="s">
        <v>2441</v>
      </c>
      <c r="I1787" s="2" t="s">
        <v>1199</v>
      </c>
      <c r="J1787" s="3">
        <v>44162</v>
      </c>
      <c r="K1787" s="5">
        <f>YEAR(OrganizedData[[#This Row],[Order Date]])</f>
        <v>2020</v>
      </c>
      <c r="L1787" s="7" t="str">
        <f>TEXT(OrganizedData[[#This Row],[Order Date]],"mmm")</f>
        <v>Nov</v>
      </c>
      <c r="M1787" s="2">
        <v>7</v>
      </c>
      <c r="N1787" s="2" t="s">
        <v>159</v>
      </c>
      <c r="O1787" s="2" t="str">
        <f>VLOOKUP(OrganizedData[[#This Row],[Product Code]],ProductData[[Code]:[Item]],2,FALSE)</f>
        <v>Ultrathing V3</v>
      </c>
      <c r="P1787" s="4">
        <f>OrganizedData[[#This Row],[Quantity]]*VLOOKUP(OrganizedData[[#This Row],[Product Code]],ProductData[],4,FALSE)</f>
        <v>168</v>
      </c>
      <c r="Q1787" s="6">
        <f>OrganizedData[[#This Row],[Total Items Ordered]]*VLOOKUP(OrganizedData[[#This Row],[Product Code]],ProductData[],3,FALSE)</f>
        <v>569.52</v>
      </c>
      <c r="R17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1788" spans="1:18" x14ac:dyDescent="0.3">
      <c r="A1788" s="2">
        <v>1781</v>
      </c>
      <c r="B1788" s="2" t="s">
        <v>5227</v>
      </c>
      <c r="C1788" s="2" t="s">
        <v>4481</v>
      </c>
      <c r="D1788" s="2" t="s">
        <v>28</v>
      </c>
      <c r="E1788" s="2" t="s">
        <v>29</v>
      </c>
      <c r="F1788" s="2">
        <v>90</v>
      </c>
      <c r="G1788" s="2" t="s">
        <v>5228</v>
      </c>
      <c r="H1788" s="2" t="s">
        <v>4479</v>
      </c>
      <c r="I1788" s="2" t="s">
        <v>32</v>
      </c>
      <c r="J1788" s="3">
        <v>44278</v>
      </c>
      <c r="K1788" s="5">
        <f>YEAR(OrganizedData[[#This Row],[Order Date]])</f>
        <v>2021</v>
      </c>
      <c r="L1788" s="7" t="str">
        <f>TEXT(OrganizedData[[#This Row],[Order Date]],"mmm")</f>
        <v>Mar</v>
      </c>
      <c r="M1788" s="2">
        <v>11</v>
      </c>
      <c r="N1788" s="2" t="s">
        <v>80</v>
      </c>
      <c r="O1788" s="2" t="str">
        <f>VLOOKUP(OrganizedData[[#This Row],[Product Code]],ProductData[[Code]:[Item]],2,FALSE)</f>
        <v>Ultrathing V2</v>
      </c>
      <c r="P1788" s="4">
        <f>OrganizedData[[#This Row],[Quantity]]*VLOOKUP(OrganizedData[[#This Row],[Product Code]],ProductData[],4,FALSE)</f>
        <v>220</v>
      </c>
      <c r="Q1788" s="6">
        <f>OrganizedData[[#This Row],[Total Items Ordered]]*VLOOKUP(OrganizedData[[#This Row],[Product Code]],ProductData[],3,FALSE)</f>
        <v>649</v>
      </c>
      <c r="R17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v>
      </c>
    </row>
    <row r="1789" spans="1:18" x14ac:dyDescent="0.3">
      <c r="A1789" s="2">
        <v>1782</v>
      </c>
      <c r="B1789" s="2" t="s">
        <v>1140</v>
      </c>
      <c r="C1789" s="2" t="s">
        <v>233</v>
      </c>
      <c r="D1789" s="2" t="s">
        <v>28</v>
      </c>
      <c r="E1789" s="2" t="s">
        <v>29</v>
      </c>
      <c r="F1789" s="2">
        <v>90</v>
      </c>
      <c r="G1789" s="2" t="s">
        <v>5229</v>
      </c>
      <c r="H1789" s="2" t="s">
        <v>4527</v>
      </c>
      <c r="I1789" s="2" t="s">
        <v>32</v>
      </c>
      <c r="J1789" s="3">
        <v>44822</v>
      </c>
      <c r="K1789" s="5">
        <f>YEAR(OrganizedData[[#This Row],[Order Date]])</f>
        <v>2022</v>
      </c>
      <c r="L1789" s="7" t="str">
        <f>TEXT(OrganizedData[[#This Row],[Order Date]],"mmm")</f>
        <v>Sep</v>
      </c>
      <c r="M1789" s="2">
        <v>104</v>
      </c>
      <c r="N1789" s="2" t="s">
        <v>39</v>
      </c>
      <c r="O1789" s="2" t="str">
        <f>VLOOKUP(OrganizedData[[#This Row],[Product Code]],ProductData[[Code]:[Item]],2,FALSE)</f>
        <v>Ultrathing V1</v>
      </c>
      <c r="P1789" s="4">
        <f>OrganizedData[[#This Row],[Quantity]]*VLOOKUP(OrganizedData[[#This Row],[Product Code]],ProductData[],4,FALSE)</f>
        <v>1768</v>
      </c>
      <c r="Q1789" s="6">
        <f>OrganizedData[[#This Row],[Total Items Ordered]]*VLOOKUP(OrganizedData[[#This Row],[Product Code]],ProductData[],3,FALSE)</f>
        <v>3164.7200000000003</v>
      </c>
      <c r="R17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2943.1896000000006</v>
      </c>
    </row>
    <row r="1790" spans="1:18" x14ac:dyDescent="0.3">
      <c r="A1790" s="2">
        <v>1783</v>
      </c>
      <c r="B1790" s="2" t="s">
        <v>5230</v>
      </c>
      <c r="C1790" s="2" t="s">
        <v>1222</v>
      </c>
      <c r="D1790" s="2" t="s">
        <v>51</v>
      </c>
      <c r="E1790" s="2" t="s">
        <v>16</v>
      </c>
      <c r="F1790" s="2">
        <v>60</v>
      </c>
      <c r="G1790" s="2" t="s">
        <v>5231</v>
      </c>
      <c r="H1790" s="2" t="s">
        <v>5232</v>
      </c>
      <c r="I1790" s="2" t="s">
        <v>146</v>
      </c>
      <c r="J1790" s="3">
        <v>43835</v>
      </c>
      <c r="K1790" s="5">
        <f>YEAR(OrganizedData[[#This Row],[Order Date]])</f>
        <v>2020</v>
      </c>
      <c r="L1790" s="7" t="str">
        <f>TEXT(OrganizedData[[#This Row],[Order Date]],"mmm")</f>
        <v>Jan</v>
      </c>
      <c r="M1790" s="2">
        <v>52</v>
      </c>
      <c r="N1790" s="2" t="s">
        <v>64</v>
      </c>
      <c r="O1790" s="2" t="str">
        <f>VLOOKUP(OrganizedData[[#This Row],[Product Code]],ProductData[[Code]:[Item]],2,FALSE)</f>
        <v>Ultrathing V4</v>
      </c>
      <c r="P1790" s="4">
        <f>OrganizedData[[#This Row],[Quantity]]*VLOOKUP(OrganizedData[[#This Row],[Product Code]],ProductData[],4,FALSE)</f>
        <v>1248</v>
      </c>
      <c r="Q1790" s="6">
        <f>OrganizedData[[#This Row],[Total Items Ordered]]*VLOOKUP(OrganizedData[[#This Row],[Product Code]],ProductData[],3,FALSE)</f>
        <v>4979.5200000000004</v>
      </c>
      <c r="R17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4730.5439999999999</v>
      </c>
    </row>
    <row r="1791" spans="1:18" x14ac:dyDescent="0.3">
      <c r="A1791" s="2">
        <v>1784</v>
      </c>
      <c r="B1791" s="2" t="s">
        <v>5233</v>
      </c>
      <c r="C1791" s="2" t="s">
        <v>3222</v>
      </c>
      <c r="D1791" s="2" t="s">
        <v>15</v>
      </c>
      <c r="E1791" s="2" t="s">
        <v>16</v>
      </c>
      <c r="F1791" s="2">
        <v>60</v>
      </c>
      <c r="G1791" s="2" t="s">
        <v>5234</v>
      </c>
      <c r="H1791" s="2" t="s">
        <v>595</v>
      </c>
      <c r="I1791" s="2" t="s">
        <v>124</v>
      </c>
      <c r="J1791" s="3">
        <v>43935</v>
      </c>
      <c r="K1791" s="5">
        <f>YEAR(OrganizedData[[#This Row],[Order Date]])</f>
        <v>2020</v>
      </c>
      <c r="L1791" s="7" t="str">
        <f>TEXT(OrganizedData[[#This Row],[Order Date]],"mmm")</f>
        <v>Apr</v>
      </c>
      <c r="M1791" s="2">
        <v>71</v>
      </c>
      <c r="N1791" s="2" t="s">
        <v>39</v>
      </c>
      <c r="O1791" s="2" t="str">
        <f>VLOOKUP(OrganizedData[[#This Row],[Product Code]],ProductData[[Code]:[Item]],2,FALSE)</f>
        <v>Ultrathing V1</v>
      </c>
      <c r="P1791" s="4">
        <f>OrganizedData[[#This Row],[Quantity]]*VLOOKUP(OrganizedData[[#This Row],[Product Code]],ProductData[],4,FALSE)</f>
        <v>1207</v>
      </c>
      <c r="Q1791" s="6">
        <f>OrganizedData[[#This Row],[Total Items Ordered]]*VLOOKUP(OrganizedData[[#This Row],[Product Code]],ProductData[],3,FALSE)</f>
        <v>2160.5300000000002</v>
      </c>
      <c r="R17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2052.5035000000003</v>
      </c>
    </row>
    <row r="1792" spans="1:18" x14ac:dyDescent="0.3">
      <c r="A1792" s="2">
        <v>1785</v>
      </c>
      <c r="B1792" s="2" t="s">
        <v>5235</v>
      </c>
      <c r="C1792" s="2" t="s">
        <v>72</v>
      </c>
      <c r="D1792" s="2" t="s">
        <v>51</v>
      </c>
      <c r="E1792" s="2" t="s">
        <v>16</v>
      </c>
      <c r="F1792" s="2">
        <v>90</v>
      </c>
      <c r="G1792" s="2" t="s">
        <v>5236</v>
      </c>
      <c r="H1792" s="2" t="s">
        <v>3334</v>
      </c>
      <c r="I1792" s="2" t="s">
        <v>32</v>
      </c>
      <c r="J1792" s="3">
        <v>44129</v>
      </c>
      <c r="K1792" s="5">
        <f>YEAR(OrganizedData[[#This Row],[Order Date]])</f>
        <v>2020</v>
      </c>
      <c r="L1792" s="7" t="str">
        <f>TEXT(OrganizedData[[#This Row],[Order Date]],"mmm")</f>
        <v>Oct</v>
      </c>
      <c r="M1792" s="2">
        <v>68</v>
      </c>
      <c r="N1792" s="2" t="s">
        <v>80</v>
      </c>
      <c r="O1792" s="2" t="str">
        <f>VLOOKUP(OrganizedData[[#This Row],[Product Code]],ProductData[[Code]:[Item]],2,FALSE)</f>
        <v>Ultrathing V2</v>
      </c>
      <c r="P1792" s="4">
        <f>OrganizedData[[#This Row],[Quantity]]*VLOOKUP(OrganizedData[[#This Row],[Product Code]],ProductData[],4,FALSE)</f>
        <v>1360</v>
      </c>
      <c r="Q1792" s="6">
        <f>OrganizedData[[#This Row],[Total Items Ordered]]*VLOOKUP(OrganizedData[[#This Row],[Product Code]],ProductData[],3,FALSE)</f>
        <v>4012.0000000000005</v>
      </c>
      <c r="R17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1793" spans="1:18" x14ac:dyDescent="0.3">
      <c r="A1793" s="2">
        <v>1786</v>
      </c>
      <c r="B1793" s="2" t="s">
        <v>5237</v>
      </c>
      <c r="C1793" s="2" t="s">
        <v>1891</v>
      </c>
      <c r="D1793" s="2" t="s">
        <v>28</v>
      </c>
      <c r="E1793" s="2" t="s">
        <v>29</v>
      </c>
      <c r="F1793" s="2">
        <v>30</v>
      </c>
      <c r="G1793" s="2" t="s">
        <v>10499</v>
      </c>
      <c r="H1793" s="2" t="s">
        <v>970</v>
      </c>
      <c r="I1793" s="2" t="s">
        <v>187</v>
      </c>
      <c r="J1793" s="3">
        <v>44278</v>
      </c>
      <c r="K1793" s="5">
        <f>YEAR(OrganizedData[[#This Row],[Order Date]])</f>
        <v>2021</v>
      </c>
      <c r="L1793" s="7" t="str">
        <f>TEXT(OrganizedData[[#This Row],[Order Date]],"mmm")</f>
        <v>Mar</v>
      </c>
      <c r="M1793" s="2">
        <v>83</v>
      </c>
      <c r="N1793" s="2" t="s">
        <v>39</v>
      </c>
      <c r="O1793" s="2" t="str">
        <f>VLOOKUP(OrganizedData[[#This Row],[Product Code]],ProductData[[Code]:[Item]],2,FALSE)</f>
        <v>Ultrathing V1</v>
      </c>
      <c r="P1793" s="4">
        <f>OrganizedData[[#This Row],[Quantity]]*VLOOKUP(OrganizedData[[#This Row],[Product Code]],ProductData[],4,FALSE)</f>
        <v>1411</v>
      </c>
      <c r="Q1793" s="6">
        <f>OrganizedData[[#This Row],[Total Items Ordered]]*VLOOKUP(OrganizedData[[#This Row],[Product Code]],ProductData[],3,FALSE)</f>
        <v>2525.69</v>
      </c>
      <c r="R17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1794" spans="1:18" x14ac:dyDescent="0.3">
      <c r="A1794" s="2">
        <v>1787</v>
      </c>
      <c r="B1794" s="2" t="s">
        <v>5239</v>
      </c>
      <c r="C1794" s="2" t="s">
        <v>3079</v>
      </c>
      <c r="D1794" s="2" t="s">
        <v>51</v>
      </c>
      <c r="E1794" s="2" t="s">
        <v>16</v>
      </c>
      <c r="F1794" s="2">
        <v>30</v>
      </c>
      <c r="G1794" s="2" t="s">
        <v>5240</v>
      </c>
      <c r="H1794" s="2" t="s">
        <v>5241</v>
      </c>
      <c r="I1794" s="2" t="s">
        <v>32</v>
      </c>
      <c r="J1794" s="3">
        <v>43959</v>
      </c>
      <c r="K1794" s="5">
        <f>YEAR(OrganizedData[[#This Row],[Order Date]])</f>
        <v>2020</v>
      </c>
      <c r="L1794" s="7" t="str">
        <f>TEXT(OrganizedData[[#This Row],[Order Date]],"mmm")</f>
        <v>May</v>
      </c>
      <c r="M1794" s="2">
        <v>43</v>
      </c>
      <c r="N1794" s="2" t="s">
        <v>159</v>
      </c>
      <c r="O1794" s="2" t="str">
        <f>VLOOKUP(OrganizedData[[#This Row],[Product Code]],ProductData[[Code]:[Item]],2,FALSE)</f>
        <v>Ultrathing V3</v>
      </c>
      <c r="P1794" s="4">
        <f>OrganizedData[[#This Row],[Quantity]]*VLOOKUP(OrganizedData[[#This Row],[Product Code]],ProductData[],4,FALSE)</f>
        <v>1032</v>
      </c>
      <c r="Q1794" s="6">
        <f>OrganizedData[[#This Row],[Total Items Ordered]]*VLOOKUP(OrganizedData[[#This Row],[Product Code]],ProductData[],3,FALSE)</f>
        <v>3498.48</v>
      </c>
      <c r="R17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1795" spans="1:18" x14ac:dyDescent="0.3">
      <c r="A1795" s="2">
        <v>1788</v>
      </c>
      <c r="B1795" s="2" t="s">
        <v>3574</v>
      </c>
      <c r="C1795" s="2" t="s">
        <v>1470</v>
      </c>
      <c r="D1795" s="2" t="s">
        <v>15</v>
      </c>
      <c r="E1795" s="2" t="s">
        <v>16</v>
      </c>
      <c r="F1795" s="2">
        <v>30</v>
      </c>
      <c r="G1795" s="2" t="s">
        <v>10500</v>
      </c>
      <c r="H1795" s="2" t="s">
        <v>5243</v>
      </c>
      <c r="I1795" s="2" t="s">
        <v>25</v>
      </c>
      <c r="J1795" s="3">
        <v>44300</v>
      </c>
      <c r="K1795" s="5">
        <f>YEAR(OrganizedData[[#This Row],[Order Date]])</f>
        <v>2021</v>
      </c>
      <c r="L1795" s="7" t="str">
        <f>TEXT(OrganizedData[[#This Row],[Order Date]],"mmm")</f>
        <v>Apr</v>
      </c>
      <c r="M1795" s="2">
        <v>75</v>
      </c>
      <c r="N1795" s="2" t="s">
        <v>64</v>
      </c>
      <c r="O1795" s="2" t="str">
        <f>VLOOKUP(OrganizedData[[#This Row],[Product Code]],ProductData[[Code]:[Item]],2,FALSE)</f>
        <v>Ultrathing V4</v>
      </c>
      <c r="P1795" s="4">
        <f>OrganizedData[[#This Row],[Quantity]]*VLOOKUP(OrganizedData[[#This Row],[Product Code]],ProductData[],4,FALSE)</f>
        <v>1800</v>
      </c>
      <c r="Q1795" s="6">
        <f>OrganizedData[[#This Row],[Total Items Ordered]]*VLOOKUP(OrganizedData[[#This Row],[Product Code]],ProductData[],3,FALSE)</f>
        <v>7182</v>
      </c>
      <c r="R17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6822.9</v>
      </c>
    </row>
    <row r="1796" spans="1:18" x14ac:dyDescent="0.3">
      <c r="A1796" s="2">
        <v>1789</v>
      </c>
      <c r="B1796" s="2" t="s">
        <v>1656</v>
      </c>
      <c r="C1796" s="2" t="s">
        <v>2392</v>
      </c>
      <c r="D1796" s="2" t="s">
        <v>28</v>
      </c>
      <c r="E1796" s="2" t="s">
        <v>29</v>
      </c>
      <c r="F1796" s="2">
        <v>30</v>
      </c>
      <c r="G1796" s="2" t="s">
        <v>5244</v>
      </c>
      <c r="H1796" s="2" t="s">
        <v>4484</v>
      </c>
      <c r="I1796" s="2" t="s">
        <v>32</v>
      </c>
      <c r="J1796" s="3">
        <v>44745</v>
      </c>
      <c r="K1796" s="5">
        <f>YEAR(OrganizedData[[#This Row],[Order Date]])</f>
        <v>2022</v>
      </c>
      <c r="L1796" s="7" t="str">
        <f>TEXT(OrganizedData[[#This Row],[Order Date]],"mmm")</f>
        <v>Jul</v>
      </c>
      <c r="M1796" s="2">
        <v>17</v>
      </c>
      <c r="N1796" s="2" t="s">
        <v>80</v>
      </c>
      <c r="O1796" s="2" t="str">
        <f>VLOOKUP(OrganizedData[[#This Row],[Product Code]],ProductData[[Code]:[Item]],2,FALSE)</f>
        <v>Ultrathing V2</v>
      </c>
      <c r="P1796" s="4">
        <f>OrganizedData[[#This Row],[Quantity]]*VLOOKUP(OrganizedData[[#This Row],[Product Code]],ProductData[],4,FALSE)</f>
        <v>340</v>
      </c>
      <c r="Q1796" s="6">
        <f>OrganizedData[[#This Row],[Total Items Ordered]]*VLOOKUP(OrganizedData[[#This Row],[Product Code]],ProductData[],3,FALSE)</f>
        <v>1003.0000000000001</v>
      </c>
      <c r="R17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1797" spans="1:18" x14ac:dyDescent="0.3">
      <c r="A1797" s="2">
        <v>1790</v>
      </c>
      <c r="B1797" s="2" t="s">
        <v>811</v>
      </c>
      <c r="C1797" s="2" t="s">
        <v>1230</v>
      </c>
      <c r="D1797" s="2" t="s">
        <v>28</v>
      </c>
      <c r="E1797" s="2" t="s">
        <v>29</v>
      </c>
      <c r="F1797" s="2">
        <v>90</v>
      </c>
      <c r="G1797" s="2" t="s">
        <v>5245</v>
      </c>
      <c r="H1797" s="2" t="s">
        <v>141</v>
      </c>
      <c r="I1797" s="2" t="s">
        <v>32</v>
      </c>
      <c r="J1797" s="3">
        <v>44083</v>
      </c>
      <c r="K1797" s="5">
        <f>YEAR(OrganizedData[[#This Row],[Order Date]])</f>
        <v>2020</v>
      </c>
      <c r="L1797" s="7" t="str">
        <f>TEXT(OrganizedData[[#This Row],[Order Date]],"mmm")</f>
        <v>Sep</v>
      </c>
      <c r="M1797" s="2">
        <v>85</v>
      </c>
      <c r="N1797" s="2" t="s">
        <v>159</v>
      </c>
      <c r="O1797" s="2" t="str">
        <f>VLOOKUP(OrganizedData[[#This Row],[Product Code]],ProductData[[Code]:[Item]],2,FALSE)</f>
        <v>Ultrathing V3</v>
      </c>
      <c r="P1797" s="4">
        <f>OrganizedData[[#This Row],[Quantity]]*VLOOKUP(OrganizedData[[#This Row],[Product Code]],ProductData[],4,FALSE)</f>
        <v>2040</v>
      </c>
      <c r="Q1797" s="6">
        <f>OrganizedData[[#This Row],[Total Items Ordered]]*VLOOKUP(OrganizedData[[#This Row],[Product Code]],ProductData[],3,FALSE)</f>
        <v>6915.6</v>
      </c>
      <c r="R17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1798" spans="1:18" x14ac:dyDescent="0.3">
      <c r="A1798" s="2">
        <v>1791</v>
      </c>
      <c r="B1798" s="2" t="s">
        <v>5246</v>
      </c>
      <c r="C1798" s="2" t="s">
        <v>4974</v>
      </c>
      <c r="D1798" s="2" t="s">
        <v>51</v>
      </c>
      <c r="E1798" s="2" t="s">
        <v>16</v>
      </c>
      <c r="F1798" s="2">
        <v>90</v>
      </c>
      <c r="G1798" s="2" t="s">
        <v>5247</v>
      </c>
      <c r="H1798" s="2" t="s">
        <v>5248</v>
      </c>
      <c r="I1798" s="2" t="s">
        <v>32</v>
      </c>
      <c r="J1798" s="3">
        <v>44806</v>
      </c>
      <c r="K1798" s="5">
        <f>YEAR(OrganizedData[[#This Row],[Order Date]])</f>
        <v>2022</v>
      </c>
      <c r="L1798" s="7" t="str">
        <f>TEXT(OrganizedData[[#This Row],[Order Date]],"mmm")</f>
        <v>Sep</v>
      </c>
      <c r="M1798" s="2">
        <v>4</v>
      </c>
      <c r="N1798" s="2" t="s">
        <v>80</v>
      </c>
      <c r="O1798" s="2" t="str">
        <f>VLOOKUP(OrganizedData[[#This Row],[Product Code]],ProductData[[Code]:[Item]],2,FALSE)</f>
        <v>Ultrathing V2</v>
      </c>
      <c r="P1798" s="4">
        <f>OrganizedData[[#This Row],[Quantity]]*VLOOKUP(OrganizedData[[#This Row],[Product Code]],ProductData[],4,FALSE)</f>
        <v>80</v>
      </c>
      <c r="Q1798" s="6">
        <f>OrganizedData[[#This Row],[Total Items Ordered]]*VLOOKUP(OrganizedData[[#This Row],[Product Code]],ProductData[],3,FALSE)</f>
        <v>236</v>
      </c>
      <c r="R17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1799" spans="1:18" x14ac:dyDescent="0.3">
      <c r="A1799" s="2">
        <v>1792</v>
      </c>
      <c r="B1799" s="2" t="s">
        <v>5249</v>
      </c>
      <c r="C1799" s="2" t="s">
        <v>5250</v>
      </c>
      <c r="D1799" s="2" t="s">
        <v>92</v>
      </c>
      <c r="E1799" s="2" t="s">
        <v>16</v>
      </c>
      <c r="F1799" s="2">
        <v>60</v>
      </c>
      <c r="G1799" s="2" t="s">
        <v>5251</v>
      </c>
      <c r="H1799" s="2" t="s">
        <v>2866</v>
      </c>
      <c r="I1799" s="2" t="s">
        <v>32</v>
      </c>
      <c r="J1799" s="3">
        <v>43871</v>
      </c>
      <c r="K1799" s="5">
        <f>YEAR(OrganizedData[[#This Row],[Order Date]])</f>
        <v>2020</v>
      </c>
      <c r="L1799" s="7" t="str">
        <f>TEXT(OrganizedData[[#This Row],[Order Date]],"mmm")</f>
        <v>Feb</v>
      </c>
      <c r="M1799" s="2">
        <v>53</v>
      </c>
      <c r="N1799" s="2" t="s">
        <v>70</v>
      </c>
      <c r="O1799" s="2" t="str">
        <f>VLOOKUP(OrganizedData[[#This Row],[Product Code]],ProductData[[Code]:[Item]],2,FALSE)</f>
        <v>Megawidget M</v>
      </c>
      <c r="P1799" s="4">
        <f>OrganizedData[[#This Row],[Quantity]]*VLOOKUP(OrganizedData[[#This Row],[Product Code]],ProductData[],4,FALSE)</f>
        <v>1272</v>
      </c>
      <c r="Q1799" s="6">
        <f>OrganizedData[[#This Row],[Total Items Ordered]]*VLOOKUP(OrganizedData[[#This Row],[Product Code]],ProductData[],3,FALSE)</f>
        <v>1640.88</v>
      </c>
      <c r="R17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1558.836</v>
      </c>
    </row>
    <row r="1800" spans="1:18" x14ac:dyDescent="0.3">
      <c r="A1800" s="2">
        <v>1793</v>
      </c>
      <c r="B1800" s="2" t="s">
        <v>4705</v>
      </c>
      <c r="C1800" s="2" t="s">
        <v>1861</v>
      </c>
      <c r="D1800" s="2" t="s">
        <v>41</v>
      </c>
      <c r="E1800" s="2" t="s">
        <v>16</v>
      </c>
      <c r="F1800" s="2">
        <v>60</v>
      </c>
      <c r="G1800" s="2" t="s">
        <v>5252</v>
      </c>
      <c r="H1800" s="2" t="s">
        <v>974</v>
      </c>
      <c r="I1800" s="2" t="s">
        <v>32</v>
      </c>
      <c r="J1800" s="3">
        <v>44774</v>
      </c>
      <c r="K1800" s="5">
        <f>YEAR(OrganizedData[[#This Row],[Order Date]])</f>
        <v>2022</v>
      </c>
      <c r="L1800" s="7" t="str">
        <f>TEXT(OrganizedData[[#This Row],[Order Date]],"mmm")</f>
        <v>Aug</v>
      </c>
      <c r="M1800" s="2">
        <v>63</v>
      </c>
      <c r="N1800" s="2" t="s">
        <v>80</v>
      </c>
      <c r="O1800" s="2" t="str">
        <f>VLOOKUP(OrganizedData[[#This Row],[Product Code]],ProductData[[Code]:[Item]],2,FALSE)</f>
        <v>Ultrathing V2</v>
      </c>
      <c r="P1800" s="4">
        <f>OrganizedData[[#This Row],[Quantity]]*VLOOKUP(OrganizedData[[#This Row],[Product Code]],ProductData[],4,FALSE)</f>
        <v>1260</v>
      </c>
      <c r="Q1800" s="6">
        <f>OrganizedData[[#This Row],[Total Items Ordered]]*VLOOKUP(OrganizedData[[#This Row],[Product Code]],ProductData[],3,FALSE)</f>
        <v>3717</v>
      </c>
      <c r="R18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3531.1499999999996</v>
      </c>
    </row>
    <row r="1801" spans="1:18" x14ac:dyDescent="0.3">
      <c r="A1801" s="2">
        <v>1794</v>
      </c>
      <c r="B1801" s="2" t="s">
        <v>5253</v>
      </c>
      <c r="C1801" s="2" t="s">
        <v>5254</v>
      </c>
      <c r="D1801" s="2" t="s">
        <v>51</v>
      </c>
      <c r="E1801" s="2" t="s">
        <v>16</v>
      </c>
      <c r="F1801" s="2">
        <v>60</v>
      </c>
      <c r="G1801" s="2" t="s">
        <v>5255</v>
      </c>
      <c r="H1801" s="2" t="s">
        <v>1931</v>
      </c>
      <c r="I1801" s="2" t="s">
        <v>32</v>
      </c>
      <c r="J1801" s="3">
        <v>44366</v>
      </c>
      <c r="K1801" s="5">
        <f>YEAR(OrganizedData[[#This Row],[Order Date]])</f>
        <v>2021</v>
      </c>
      <c r="L1801" s="7" t="str">
        <f>TEXT(OrganizedData[[#This Row],[Order Date]],"mmm")</f>
        <v>Jun</v>
      </c>
      <c r="M1801" s="2">
        <v>38</v>
      </c>
      <c r="N1801" s="2" t="s">
        <v>45</v>
      </c>
      <c r="O1801" s="2" t="str">
        <f>VLOOKUP(OrganizedData[[#This Row],[Product Code]],ProductData[[Code]:[Item]],2,FALSE)</f>
        <v>Gigastuff</v>
      </c>
      <c r="P1801" s="4">
        <f>OrganizedData[[#This Row],[Quantity]]*VLOOKUP(OrganizedData[[#This Row],[Product Code]],ProductData[],4,FALSE)</f>
        <v>684</v>
      </c>
      <c r="Q1801" s="6">
        <f>OrganizedData[[#This Row],[Total Items Ordered]]*VLOOKUP(OrganizedData[[#This Row],[Product Code]],ProductData[],3,FALSE)</f>
        <v>1292.76</v>
      </c>
      <c r="R18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1253.9772</v>
      </c>
    </row>
    <row r="1802" spans="1:18" x14ac:dyDescent="0.3">
      <c r="A1802" s="2">
        <v>1795</v>
      </c>
      <c r="B1802" s="2" t="s">
        <v>1371</v>
      </c>
      <c r="C1802" s="2" t="s">
        <v>585</v>
      </c>
      <c r="D1802" s="2" t="s">
        <v>28</v>
      </c>
      <c r="E1802" s="2" t="s">
        <v>29</v>
      </c>
      <c r="F1802" s="2">
        <v>60</v>
      </c>
      <c r="G1802" s="2" t="s">
        <v>5256</v>
      </c>
      <c r="H1802" s="2" t="s">
        <v>4911</v>
      </c>
      <c r="I1802" s="2" t="s">
        <v>95</v>
      </c>
      <c r="J1802" s="3">
        <v>43999</v>
      </c>
      <c r="K1802" s="5">
        <f>YEAR(OrganizedData[[#This Row],[Order Date]])</f>
        <v>2020</v>
      </c>
      <c r="L1802" s="7" t="str">
        <f>TEXT(OrganizedData[[#This Row],[Order Date]],"mmm")</f>
        <v>Jun</v>
      </c>
      <c r="M1802" s="2">
        <v>67</v>
      </c>
      <c r="N1802" s="2" t="s">
        <v>64</v>
      </c>
      <c r="O1802" s="2" t="str">
        <f>VLOOKUP(OrganizedData[[#This Row],[Product Code]],ProductData[[Code]:[Item]],2,FALSE)</f>
        <v>Ultrathing V4</v>
      </c>
      <c r="P1802" s="4">
        <f>OrganizedData[[#This Row],[Quantity]]*VLOOKUP(OrganizedData[[#This Row],[Product Code]],ProductData[],4,FALSE)</f>
        <v>1608</v>
      </c>
      <c r="Q1802" s="6">
        <f>OrganizedData[[#This Row],[Total Items Ordered]]*VLOOKUP(OrganizedData[[#This Row],[Product Code]],ProductData[],3,FALSE)</f>
        <v>6415.92</v>
      </c>
      <c r="R18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6095.1239999999998</v>
      </c>
    </row>
    <row r="1803" spans="1:18" x14ac:dyDescent="0.3">
      <c r="A1803" s="2">
        <v>1796</v>
      </c>
      <c r="B1803" s="2" t="s">
        <v>5257</v>
      </c>
      <c r="C1803" s="2" t="s">
        <v>5258</v>
      </c>
      <c r="D1803" s="2" t="s">
        <v>51</v>
      </c>
      <c r="E1803" s="2" t="s">
        <v>16</v>
      </c>
      <c r="F1803" s="2">
        <v>90</v>
      </c>
      <c r="G1803" s="2" t="s">
        <v>5256</v>
      </c>
      <c r="H1803" s="2" t="s">
        <v>145</v>
      </c>
      <c r="I1803" s="2" t="s">
        <v>146</v>
      </c>
      <c r="J1803" s="3">
        <v>44636</v>
      </c>
      <c r="K1803" s="5">
        <f>YEAR(OrganizedData[[#This Row],[Order Date]])</f>
        <v>2022</v>
      </c>
      <c r="L1803" s="7" t="str">
        <f>TEXT(OrganizedData[[#This Row],[Order Date]],"mmm")</f>
        <v>Mar</v>
      </c>
      <c r="M1803" s="2">
        <v>102</v>
      </c>
      <c r="N1803" s="2" t="s">
        <v>64</v>
      </c>
      <c r="O1803" s="2" t="str">
        <f>VLOOKUP(OrganizedData[[#This Row],[Product Code]],ProductData[[Code]:[Item]],2,FALSE)</f>
        <v>Ultrathing V4</v>
      </c>
      <c r="P1803" s="4">
        <f>OrganizedData[[#This Row],[Quantity]]*VLOOKUP(OrganizedData[[#This Row],[Product Code]],ProductData[],4,FALSE)</f>
        <v>2448</v>
      </c>
      <c r="Q1803" s="6">
        <f>OrganizedData[[#This Row],[Total Items Ordered]]*VLOOKUP(OrganizedData[[#This Row],[Product Code]],ProductData[],3,FALSE)</f>
        <v>9767.52</v>
      </c>
      <c r="R18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9083.7936000000009</v>
      </c>
    </row>
    <row r="1804" spans="1:18" x14ac:dyDescent="0.3">
      <c r="A1804" s="2">
        <v>1797</v>
      </c>
      <c r="B1804" s="2" t="s">
        <v>5259</v>
      </c>
      <c r="C1804" s="2" t="s">
        <v>5260</v>
      </c>
      <c r="D1804" s="2" t="s">
        <v>15</v>
      </c>
      <c r="E1804" s="2" t="s">
        <v>16</v>
      </c>
      <c r="F1804" s="2">
        <v>60</v>
      </c>
      <c r="G1804" s="2" t="s">
        <v>5261</v>
      </c>
      <c r="H1804" s="2" t="s">
        <v>2552</v>
      </c>
      <c r="I1804" s="2" t="s">
        <v>32</v>
      </c>
      <c r="J1804" s="3">
        <v>44081</v>
      </c>
      <c r="K1804" s="5">
        <f>YEAR(OrganizedData[[#This Row],[Order Date]])</f>
        <v>2020</v>
      </c>
      <c r="L1804" s="7" t="str">
        <f>TEXT(OrganizedData[[#This Row],[Order Date]],"mmm")</f>
        <v>Sep</v>
      </c>
      <c r="M1804" s="2">
        <v>49</v>
      </c>
      <c r="N1804" s="2" t="s">
        <v>70</v>
      </c>
      <c r="O1804" s="2" t="str">
        <f>VLOOKUP(OrganizedData[[#This Row],[Product Code]],ProductData[[Code]:[Item]],2,FALSE)</f>
        <v>Megawidget M</v>
      </c>
      <c r="P1804" s="4">
        <f>OrganizedData[[#This Row],[Quantity]]*VLOOKUP(OrganizedData[[#This Row],[Product Code]],ProductData[],4,FALSE)</f>
        <v>1176</v>
      </c>
      <c r="Q1804" s="6">
        <f>OrganizedData[[#This Row],[Total Items Ordered]]*VLOOKUP(OrganizedData[[#This Row],[Product Code]],ProductData[],3,FALSE)</f>
        <v>1517.04</v>
      </c>
      <c r="R18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1805" spans="1:18" x14ac:dyDescent="0.3">
      <c r="A1805" s="2">
        <v>1798</v>
      </c>
      <c r="B1805" s="2" t="s">
        <v>5262</v>
      </c>
      <c r="C1805" s="2" t="s">
        <v>597</v>
      </c>
      <c r="D1805" s="2" t="s">
        <v>28</v>
      </c>
      <c r="E1805" s="2" t="s">
        <v>29</v>
      </c>
      <c r="F1805" s="2">
        <v>30</v>
      </c>
      <c r="G1805" s="2" t="s">
        <v>5263</v>
      </c>
      <c r="H1805" s="2" t="s">
        <v>3179</v>
      </c>
      <c r="I1805" s="2" t="s">
        <v>187</v>
      </c>
      <c r="J1805" s="3">
        <v>43979</v>
      </c>
      <c r="K1805" s="5">
        <f>YEAR(OrganizedData[[#This Row],[Order Date]])</f>
        <v>2020</v>
      </c>
      <c r="L1805" s="7" t="str">
        <f>TEXT(OrganizedData[[#This Row],[Order Date]],"mmm")</f>
        <v>May</v>
      </c>
      <c r="M1805" s="2">
        <v>32</v>
      </c>
      <c r="N1805" s="2" t="s">
        <v>39</v>
      </c>
      <c r="O1805" s="2" t="str">
        <f>VLOOKUP(OrganizedData[[#This Row],[Product Code]],ProductData[[Code]:[Item]],2,FALSE)</f>
        <v>Ultrathing V1</v>
      </c>
      <c r="P1805" s="4">
        <f>OrganizedData[[#This Row],[Quantity]]*VLOOKUP(OrganizedData[[#This Row],[Product Code]],ProductData[],4,FALSE)</f>
        <v>544</v>
      </c>
      <c r="Q1805" s="6">
        <f>OrganizedData[[#This Row],[Total Items Ordered]]*VLOOKUP(OrganizedData[[#This Row],[Product Code]],ProductData[],3,FALSE)</f>
        <v>973.76</v>
      </c>
      <c r="R18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944.54719999999998</v>
      </c>
    </row>
    <row r="1806" spans="1:18" x14ac:dyDescent="0.3">
      <c r="A1806" s="2">
        <v>1799</v>
      </c>
      <c r="B1806" s="2" t="s">
        <v>1392</v>
      </c>
      <c r="C1806" s="2" t="s">
        <v>617</v>
      </c>
      <c r="D1806" s="2" t="s">
        <v>28</v>
      </c>
      <c r="E1806" s="2" t="s">
        <v>29</v>
      </c>
      <c r="F1806" s="2">
        <v>90</v>
      </c>
      <c r="G1806" s="2" t="s">
        <v>5264</v>
      </c>
      <c r="H1806" s="2" t="s">
        <v>1594</v>
      </c>
      <c r="I1806" s="2" t="s">
        <v>178</v>
      </c>
      <c r="J1806" s="3">
        <v>44821</v>
      </c>
      <c r="K1806" s="5">
        <f>YEAR(OrganizedData[[#This Row],[Order Date]])</f>
        <v>2022</v>
      </c>
      <c r="L1806" s="7" t="str">
        <f>TEXT(OrganizedData[[#This Row],[Order Date]],"mmm")</f>
        <v>Sep</v>
      </c>
      <c r="M1806" s="2">
        <v>44</v>
      </c>
      <c r="N1806" s="2" t="s">
        <v>33</v>
      </c>
      <c r="O1806" s="2" t="str">
        <f>VLOOKUP(OrganizedData[[#This Row],[Product Code]],ProductData[[Code]:[Item]],2,FALSE)</f>
        <v>Megawidget L</v>
      </c>
      <c r="P1806" s="4">
        <f>OrganizedData[[#This Row],[Quantity]]*VLOOKUP(OrganizedData[[#This Row],[Product Code]],ProductData[],4,FALSE)</f>
        <v>1056</v>
      </c>
      <c r="Q1806" s="6">
        <f>OrganizedData[[#This Row],[Total Items Ordered]]*VLOOKUP(OrganizedData[[#This Row],[Product Code]],ProductData[],3,FALSE)</f>
        <v>1890.24</v>
      </c>
      <c r="R18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1833.5328</v>
      </c>
    </row>
    <row r="1807" spans="1:18" x14ac:dyDescent="0.3">
      <c r="A1807" s="2">
        <v>1800</v>
      </c>
      <c r="B1807" s="2" t="s">
        <v>665</v>
      </c>
      <c r="C1807" s="2" t="s">
        <v>1857</v>
      </c>
      <c r="D1807" s="2" t="s">
        <v>28</v>
      </c>
      <c r="E1807" s="2" t="s">
        <v>29</v>
      </c>
      <c r="F1807" s="2">
        <v>90</v>
      </c>
      <c r="G1807" s="2" t="s">
        <v>5265</v>
      </c>
      <c r="H1807" s="2" t="s">
        <v>2616</v>
      </c>
      <c r="I1807" s="2" t="s">
        <v>886</v>
      </c>
      <c r="J1807" s="3">
        <v>43940</v>
      </c>
      <c r="K1807" s="5">
        <f>YEAR(OrganizedData[[#This Row],[Order Date]])</f>
        <v>2020</v>
      </c>
      <c r="L1807" s="7" t="str">
        <f>TEXT(OrganizedData[[#This Row],[Order Date]],"mmm")</f>
        <v>Apr</v>
      </c>
      <c r="M1807" s="2">
        <v>19</v>
      </c>
      <c r="N1807" s="2" t="s">
        <v>33</v>
      </c>
      <c r="O1807" s="2" t="str">
        <f>VLOOKUP(OrganizedData[[#This Row],[Product Code]],ProductData[[Code]:[Item]],2,FALSE)</f>
        <v>Megawidget L</v>
      </c>
      <c r="P1807" s="4">
        <f>OrganizedData[[#This Row],[Quantity]]*VLOOKUP(OrganizedData[[#This Row],[Product Code]],ProductData[],4,FALSE)</f>
        <v>456</v>
      </c>
      <c r="Q1807" s="6">
        <f>OrganizedData[[#This Row],[Total Items Ordered]]*VLOOKUP(OrganizedData[[#This Row],[Product Code]],ProductData[],3,FALSE)</f>
        <v>816.24</v>
      </c>
      <c r="R18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1808" spans="1:18" x14ac:dyDescent="0.3">
      <c r="A1808" s="2">
        <v>1801</v>
      </c>
      <c r="B1808" s="2" t="s">
        <v>5266</v>
      </c>
      <c r="C1808" s="2" t="s">
        <v>5267</v>
      </c>
      <c r="D1808" s="2" t="s">
        <v>51</v>
      </c>
      <c r="E1808" s="2" t="s">
        <v>16</v>
      </c>
      <c r="F1808" s="2">
        <v>60</v>
      </c>
      <c r="G1808" s="2" t="s">
        <v>5268</v>
      </c>
      <c r="H1808" s="2" t="s">
        <v>607</v>
      </c>
      <c r="I1808" s="2" t="s">
        <v>32</v>
      </c>
      <c r="J1808" s="3">
        <v>44906</v>
      </c>
      <c r="K1808" s="5">
        <f>YEAR(OrganizedData[[#This Row],[Order Date]])</f>
        <v>2022</v>
      </c>
      <c r="L1808" s="7" t="str">
        <f>TEXT(OrganizedData[[#This Row],[Order Date]],"mmm")</f>
        <v>Dec</v>
      </c>
      <c r="M1808" s="2">
        <v>80</v>
      </c>
      <c r="N1808" s="2" t="s">
        <v>54</v>
      </c>
      <c r="O1808" s="2" t="str">
        <f>VLOOKUP(OrganizedData[[#This Row],[Product Code]],ProductData[[Code]:[Item]],2,FALSE)</f>
        <v>Megawidget S</v>
      </c>
      <c r="P1808" s="4">
        <f>OrganizedData[[#This Row],[Quantity]]*VLOOKUP(OrganizedData[[#This Row],[Product Code]],ProductData[],4,FALSE)</f>
        <v>1920</v>
      </c>
      <c r="Q1808" s="6">
        <f>OrganizedData[[#This Row],[Total Items Ordered]]*VLOOKUP(OrganizedData[[#This Row],[Product Code]],ProductData[],3,FALSE)</f>
        <v>1324.8</v>
      </c>
      <c r="R18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1258.56</v>
      </c>
    </row>
    <row r="1809" spans="1:18" x14ac:dyDescent="0.3">
      <c r="A1809" s="2">
        <v>1802</v>
      </c>
      <c r="B1809" s="2" t="s">
        <v>5269</v>
      </c>
      <c r="C1809" s="2" t="s">
        <v>3167</v>
      </c>
      <c r="D1809" s="2" t="s">
        <v>51</v>
      </c>
      <c r="E1809" s="2" t="s">
        <v>16</v>
      </c>
      <c r="F1809" s="2">
        <v>60</v>
      </c>
      <c r="G1809" s="2" t="s">
        <v>5270</v>
      </c>
      <c r="H1809" s="2" t="s">
        <v>5271</v>
      </c>
      <c r="I1809" s="2" t="s">
        <v>187</v>
      </c>
      <c r="J1809" s="3">
        <v>44143</v>
      </c>
      <c r="K1809" s="5">
        <f>YEAR(OrganizedData[[#This Row],[Order Date]])</f>
        <v>2020</v>
      </c>
      <c r="L1809" s="7" t="str">
        <f>TEXT(OrganizedData[[#This Row],[Order Date]],"mmm")</f>
        <v>Nov</v>
      </c>
      <c r="M1809" s="2">
        <v>3</v>
      </c>
      <c r="N1809" s="2" t="s">
        <v>80</v>
      </c>
      <c r="O1809" s="2" t="str">
        <f>VLOOKUP(OrganizedData[[#This Row],[Product Code]],ProductData[[Code]:[Item]],2,FALSE)</f>
        <v>Ultrathing V2</v>
      </c>
      <c r="P1809" s="4">
        <f>OrganizedData[[#This Row],[Quantity]]*VLOOKUP(OrganizedData[[#This Row],[Product Code]],ProductData[],4,FALSE)</f>
        <v>60</v>
      </c>
      <c r="Q1809" s="6">
        <f>OrganizedData[[#This Row],[Total Items Ordered]]*VLOOKUP(OrganizedData[[#This Row],[Product Code]],ProductData[],3,FALSE)</f>
        <v>177</v>
      </c>
      <c r="R18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v>
      </c>
    </row>
    <row r="1810" spans="1:18" x14ac:dyDescent="0.3">
      <c r="A1810" s="2">
        <v>1803</v>
      </c>
      <c r="B1810" s="2" t="s">
        <v>5272</v>
      </c>
      <c r="C1810" s="2" t="s">
        <v>5273</v>
      </c>
      <c r="D1810" s="2" t="s">
        <v>28</v>
      </c>
      <c r="E1810" s="2" t="s">
        <v>29</v>
      </c>
      <c r="F1810" s="2">
        <v>60</v>
      </c>
      <c r="G1810" s="2" t="s">
        <v>5274</v>
      </c>
      <c r="H1810" s="2" t="s">
        <v>1008</v>
      </c>
      <c r="I1810" s="2" t="s">
        <v>32</v>
      </c>
      <c r="J1810" s="3">
        <v>44475</v>
      </c>
      <c r="K1810" s="5">
        <f>YEAR(OrganizedData[[#This Row],[Order Date]])</f>
        <v>2021</v>
      </c>
      <c r="L1810" s="7" t="str">
        <f>TEXT(OrganizedData[[#This Row],[Order Date]],"mmm")</f>
        <v>Oct</v>
      </c>
      <c r="M1810" s="2">
        <v>40</v>
      </c>
      <c r="N1810" s="2" t="s">
        <v>101</v>
      </c>
      <c r="O1810" s="2" t="str">
        <f>VLOOKUP(OrganizedData[[#This Row],[Product Code]],ProductData[[Code]:[Item]],2,FALSE)</f>
        <v>Superwossname</v>
      </c>
      <c r="P1810" s="4">
        <f>OrganizedData[[#This Row],[Quantity]]*VLOOKUP(OrganizedData[[#This Row],[Product Code]],ProductData[],4,FALSE)</f>
        <v>800</v>
      </c>
      <c r="Q1810" s="6">
        <f>OrganizedData[[#This Row],[Total Items Ordered]]*VLOOKUP(OrganizedData[[#This Row],[Product Code]],ProductData[],3,FALSE)</f>
        <v>2792</v>
      </c>
      <c r="R18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2708.24</v>
      </c>
    </row>
    <row r="1811" spans="1:18" x14ac:dyDescent="0.3">
      <c r="A1811" s="2">
        <v>1804</v>
      </c>
      <c r="B1811" s="2" t="s">
        <v>5275</v>
      </c>
      <c r="C1811" s="2" t="s">
        <v>434</v>
      </c>
      <c r="D1811" s="2" t="s">
        <v>51</v>
      </c>
      <c r="E1811" s="2" t="s">
        <v>16</v>
      </c>
      <c r="F1811" s="2">
        <v>90</v>
      </c>
      <c r="G1811" s="2" t="s">
        <v>5276</v>
      </c>
      <c r="H1811" s="2" t="s">
        <v>5277</v>
      </c>
      <c r="I1811" s="2" t="s">
        <v>32</v>
      </c>
      <c r="J1811" s="3">
        <v>44033</v>
      </c>
      <c r="K1811" s="5">
        <f>YEAR(OrganizedData[[#This Row],[Order Date]])</f>
        <v>2020</v>
      </c>
      <c r="L1811" s="7" t="str">
        <f>TEXT(OrganizedData[[#This Row],[Order Date]],"mmm")</f>
        <v>Jul</v>
      </c>
      <c r="M1811" s="2">
        <v>16</v>
      </c>
      <c r="N1811" s="2" t="s">
        <v>70</v>
      </c>
      <c r="O1811" s="2" t="str">
        <f>VLOOKUP(OrganizedData[[#This Row],[Product Code]],ProductData[[Code]:[Item]],2,FALSE)</f>
        <v>Megawidget M</v>
      </c>
      <c r="P1811" s="4">
        <f>OrganizedData[[#This Row],[Quantity]]*VLOOKUP(OrganizedData[[#This Row],[Product Code]],ProductData[],4,FALSE)</f>
        <v>384</v>
      </c>
      <c r="Q1811" s="6">
        <f>OrganizedData[[#This Row],[Total Items Ordered]]*VLOOKUP(OrganizedData[[#This Row],[Product Code]],ProductData[],3,FALSE)</f>
        <v>495.36</v>
      </c>
      <c r="R18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495.36</v>
      </c>
    </row>
    <row r="1812" spans="1:18" x14ac:dyDescent="0.3">
      <c r="A1812" s="2">
        <v>1805</v>
      </c>
      <c r="B1812" s="2" t="s">
        <v>5278</v>
      </c>
      <c r="C1812" s="2" t="s">
        <v>5279</v>
      </c>
      <c r="D1812" s="2" t="s">
        <v>51</v>
      </c>
      <c r="E1812" s="2" t="s">
        <v>16</v>
      </c>
      <c r="F1812" s="2">
        <v>60</v>
      </c>
      <c r="G1812" s="2" t="s">
        <v>5280</v>
      </c>
      <c r="H1812" s="2" t="s">
        <v>1708</v>
      </c>
      <c r="I1812" s="2" t="s">
        <v>124</v>
      </c>
      <c r="J1812" s="3">
        <v>44794</v>
      </c>
      <c r="K1812" s="5">
        <f>YEAR(OrganizedData[[#This Row],[Order Date]])</f>
        <v>2022</v>
      </c>
      <c r="L1812" s="7" t="str">
        <f>TEXT(OrganizedData[[#This Row],[Order Date]],"mmm")</f>
        <v>Aug</v>
      </c>
      <c r="M1812" s="2">
        <v>13</v>
      </c>
      <c r="N1812" s="2" t="s">
        <v>70</v>
      </c>
      <c r="O1812" s="2" t="str">
        <f>VLOOKUP(OrganizedData[[#This Row],[Product Code]],ProductData[[Code]:[Item]],2,FALSE)</f>
        <v>Megawidget M</v>
      </c>
      <c r="P1812" s="4">
        <f>OrganizedData[[#This Row],[Quantity]]*VLOOKUP(OrganizedData[[#This Row],[Product Code]],ProductData[],4,FALSE)</f>
        <v>312</v>
      </c>
      <c r="Q1812" s="6">
        <f>OrganizedData[[#This Row],[Total Items Ordered]]*VLOOKUP(OrganizedData[[#This Row],[Product Code]],ProductData[],3,FALSE)</f>
        <v>402.48</v>
      </c>
      <c r="R18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402.48</v>
      </c>
    </row>
    <row r="1813" spans="1:18" x14ac:dyDescent="0.3">
      <c r="A1813" s="2">
        <v>1806</v>
      </c>
      <c r="B1813" s="2" t="s">
        <v>5281</v>
      </c>
      <c r="C1813" s="2" t="s">
        <v>4165</v>
      </c>
      <c r="D1813" s="2" t="s">
        <v>15</v>
      </c>
      <c r="E1813" s="2" t="s">
        <v>16</v>
      </c>
      <c r="F1813" s="2">
        <v>30</v>
      </c>
      <c r="G1813" s="2" t="s">
        <v>5282</v>
      </c>
      <c r="H1813" s="2" t="s">
        <v>5283</v>
      </c>
      <c r="I1813" s="2" t="s">
        <v>32</v>
      </c>
      <c r="J1813" s="3">
        <v>44453</v>
      </c>
      <c r="K1813" s="5">
        <f>YEAR(OrganizedData[[#This Row],[Order Date]])</f>
        <v>2021</v>
      </c>
      <c r="L1813" s="7" t="str">
        <f>TEXT(OrganizedData[[#This Row],[Order Date]],"mmm")</f>
        <v>Sep</v>
      </c>
      <c r="M1813" s="2">
        <v>50</v>
      </c>
      <c r="N1813" s="2" t="s">
        <v>39</v>
      </c>
      <c r="O1813" s="2" t="str">
        <f>VLOOKUP(OrganizedData[[#This Row],[Product Code]],ProductData[[Code]:[Item]],2,FALSE)</f>
        <v>Ultrathing V1</v>
      </c>
      <c r="P1813" s="4">
        <f>OrganizedData[[#This Row],[Quantity]]*VLOOKUP(OrganizedData[[#This Row],[Product Code]],ProductData[],4,FALSE)</f>
        <v>850</v>
      </c>
      <c r="Q1813" s="6">
        <f>OrganizedData[[#This Row],[Total Items Ordered]]*VLOOKUP(OrganizedData[[#This Row],[Product Code]],ProductData[],3,FALSE)</f>
        <v>1521.5</v>
      </c>
      <c r="R18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1814" spans="1:18" x14ac:dyDescent="0.3">
      <c r="A1814" s="2">
        <v>1807</v>
      </c>
      <c r="B1814" s="2" t="s">
        <v>604</v>
      </c>
      <c r="C1814" s="2" t="s">
        <v>1244</v>
      </c>
      <c r="D1814" s="2" t="s">
        <v>41</v>
      </c>
      <c r="E1814" s="2" t="s">
        <v>16</v>
      </c>
      <c r="F1814" s="2">
        <v>60</v>
      </c>
      <c r="G1814" s="2" t="s">
        <v>5284</v>
      </c>
      <c r="H1814" s="2" t="s">
        <v>3373</v>
      </c>
      <c r="I1814" s="2" t="s">
        <v>32</v>
      </c>
      <c r="J1814" s="3">
        <v>44033</v>
      </c>
      <c r="K1814" s="5">
        <f>YEAR(OrganizedData[[#This Row],[Order Date]])</f>
        <v>2020</v>
      </c>
      <c r="L1814" s="7" t="str">
        <f>TEXT(OrganizedData[[#This Row],[Order Date]],"mmm")</f>
        <v>Jul</v>
      </c>
      <c r="M1814" s="2">
        <v>22</v>
      </c>
      <c r="N1814" s="2" t="s">
        <v>80</v>
      </c>
      <c r="O1814" s="2" t="str">
        <f>VLOOKUP(OrganizedData[[#This Row],[Product Code]],ProductData[[Code]:[Item]],2,FALSE)</f>
        <v>Ultrathing V2</v>
      </c>
      <c r="P1814" s="4">
        <f>OrganizedData[[#This Row],[Quantity]]*VLOOKUP(OrganizedData[[#This Row],[Product Code]],ProductData[],4,FALSE)</f>
        <v>440</v>
      </c>
      <c r="Q1814" s="6">
        <f>OrganizedData[[#This Row],[Total Items Ordered]]*VLOOKUP(OrganizedData[[#This Row],[Product Code]],ProductData[],3,FALSE)</f>
        <v>1298</v>
      </c>
      <c r="R18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1815" spans="1:18" x14ac:dyDescent="0.3">
      <c r="A1815" s="2">
        <v>1808</v>
      </c>
      <c r="B1815" s="2" t="s">
        <v>5285</v>
      </c>
      <c r="C1815" s="2" t="s">
        <v>2449</v>
      </c>
      <c r="D1815" s="2" t="s">
        <v>28</v>
      </c>
      <c r="E1815" s="2" t="s">
        <v>29</v>
      </c>
      <c r="F1815" s="2">
        <v>30</v>
      </c>
      <c r="G1815" s="2" t="s">
        <v>10501</v>
      </c>
      <c r="H1815" s="2" t="s">
        <v>393</v>
      </c>
      <c r="I1815" s="2" t="s">
        <v>32</v>
      </c>
      <c r="J1815" s="3">
        <v>44677</v>
      </c>
      <c r="K1815" s="5">
        <f>YEAR(OrganizedData[[#This Row],[Order Date]])</f>
        <v>2022</v>
      </c>
      <c r="L1815" s="7" t="str">
        <f>TEXT(OrganizedData[[#This Row],[Order Date]],"mmm")</f>
        <v>Apr</v>
      </c>
      <c r="M1815" s="2">
        <v>38</v>
      </c>
      <c r="N1815" s="2" t="s">
        <v>70</v>
      </c>
      <c r="O1815" s="2" t="str">
        <f>VLOOKUP(OrganizedData[[#This Row],[Product Code]],ProductData[[Code]:[Item]],2,FALSE)</f>
        <v>Megawidget M</v>
      </c>
      <c r="P1815" s="4">
        <f>OrganizedData[[#This Row],[Quantity]]*VLOOKUP(OrganizedData[[#This Row],[Product Code]],ProductData[],4,FALSE)</f>
        <v>912</v>
      </c>
      <c r="Q1815" s="6">
        <f>OrganizedData[[#This Row],[Total Items Ordered]]*VLOOKUP(OrganizedData[[#This Row],[Product Code]],ProductData[],3,FALSE)</f>
        <v>1176.48</v>
      </c>
      <c r="R18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1141.1856</v>
      </c>
    </row>
    <row r="1816" spans="1:18" x14ac:dyDescent="0.3">
      <c r="A1816" s="2">
        <v>1809</v>
      </c>
      <c r="B1816" s="2" t="s">
        <v>5287</v>
      </c>
      <c r="C1816" s="2" t="s">
        <v>1935</v>
      </c>
      <c r="D1816" s="2" t="s">
        <v>51</v>
      </c>
      <c r="E1816" s="2" t="s">
        <v>16</v>
      </c>
      <c r="F1816" s="2">
        <v>90</v>
      </c>
      <c r="G1816" s="2" t="s">
        <v>10502</v>
      </c>
      <c r="H1816" s="2" t="s">
        <v>244</v>
      </c>
      <c r="I1816" s="2" t="s">
        <v>240</v>
      </c>
      <c r="J1816" s="3">
        <v>44213</v>
      </c>
      <c r="K1816" s="5">
        <f>YEAR(OrganizedData[[#This Row],[Order Date]])</f>
        <v>2021</v>
      </c>
      <c r="L1816" s="7" t="str">
        <f>TEXT(OrganizedData[[#This Row],[Order Date]],"mmm")</f>
        <v>Jan</v>
      </c>
      <c r="M1816" s="2">
        <v>14</v>
      </c>
      <c r="N1816" s="2" t="s">
        <v>80</v>
      </c>
      <c r="O1816" s="2" t="str">
        <f>VLOOKUP(OrganizedData[[#This Row],[Product Code]],ProductData[[Code]:[Item]],2,FALSE)</f>
        <v>Ultrathing V2</v>
      </c>
      <c r="P1816" s="4">
        <f>OrganizedData[[#This Row],[Quantity]]*VLOOKUP(OrganizedData[[#This Row],[Product Code]],ProductData[],4,FALSE)</f>
        <v>280</v>
      </c>
      <c r="Q1816" s="6">
        <f>OrganizedData[[#This Row],[Total Items Ordered]]*VLOOKUP(OrganizedData[[#This Row],[Product Code]],ProductData[],3,FALSE)</f>
        <v>826</v>
      </c>
      <c r="R18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v>
      </c>
    </row>
    <row r="1817" spans="1:18" x14ac:dyDescent="0.3">
      <c r="A1817" s="2">
        <v>1810</v>
      </c>
      <c r="B1817" s="2" t="s">
        <v>5289</v>
      </c>
      <c r="C1817" s="2" t="s">
        <v>5290</v>
      </c>
      <c r="D1817" s="2" t="s">
        <v>51</v>
      </c>
      <c r="E1817" s="2" t="s">
        <v>16</v>
      </c>
      <c r="F1817" s="2">
        <v>60</v>
      </c>
      <c r="G1817" s="2" t="s">
        <v>5291</v>
      </c>
      <c r="H1817" s="2" t="s">
        <v>4066</v>
      </c>
      <c r="I1817" s="2" t="s">
        <v>4067</v>
      </c>
      <c r="J1817" s="3">
        <v>44722</v>
      </c>
      <c r="K1817" s="5">
        <f>YEAR(OrganizedData[[#This Row],[Order Date]])</f>
        <v>2022</v>
      </c>
      <c r="L1817" s="7" t="str">
        <f>TEXT(OrganizedData[[#This Row],[Order Date]],"mmm")</f>
        <v>Jun</v>
      </c>
      <c r="M1817" s="2">
        <v>6</v>
      </c>
      <c r="N1817" s="2" t="s">
        <v>45</v>
      </c>
      <c r="O1817" s="2" t="str">
        <f>VLOOKUP(OrganizedData[[#This Row],[Product Code]],ProductData[[Code]:[Item]],2,FALSE)</f>
        <v>Gigastuff</v>
      </c>
      <c r="P1817" s="4">
        <f>OrganizedData[[#This Row],[Quantity]]*VLOOKUP(OrganizedData[[#This Row],[Product Code]],ProductData[],4,FALSE)</f>
        <v>108</v>
      </c>
      <c r="Q1817" s="6">
        <f>OrganizedData[[#This Row],[Total Items Ordered]]*VLOOKUP(OrganizedData[[#This Row],[Product Code]],ProductData[],3,FALSE)</f>
        <v>204.11999999999998</v>
      </c>
      <c r="R18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204.11999999999998</v>
      </c>
    </row>
    <row r="1818" spans="1:18" x14ac:dyDescent="0.3">
      <c r="A1818" s="2">
        <v>1811</v>
      </c>
      <c r="B1818" s="2" t="s">
        <v>5292</v>
      </c>
      <c r="C1818" s="2" t="s">
        <v>3341</v>
      </c>
      <c r="D1818" s="2" t="s">
        <v>28</v>
      </c>
      <c r="E1818" s="2" t="s">
        <v>29</v>
      </c>
      <c r="F1818" s="2">
        <v>60</v>
      </c>
      <c r="G1818" s="2" t="s">
        <v>5293</v>
      </c>
      <c r="H1818" s="2" t="s">
        <v>4889</v>
      </c>
      <c r="I1818" s="2" t="s">
        <v>110</v>
      </c>
      <c r="J1818" s="3">
        <v>44059</v>
      </c>
      <c r="K1818" s="5">
        <f>YEAR(OrganizedData[[#This Row],[Order Date]])</f>
        <v>2020</v>
      </c>
      <c r="L1818" s="7" t="str">
        <f>TEXT(OrganizedData[[#This Row],[Order Date]],"mmm")</f>
        <v>Aug</v>
      </c>
      <c r="M1818" s="2">
        <v>30</v>
      </c>
      <c r="N1818" s="2" t="s">
        <v>39</v>
      </c>
      <c r="O1818" s="2" t="str">
        <f>VLOOKUP(OrganizedData[[#This Row],[Product Code]],ProductData[[Code]:[Item]],2,FALSE)</f>
        <v>Ultrathing V1</v>
      </c>
      <c r="P1818" s="4">
        <f>OrganizedData[[#This Row],[Quantity]]*VLOOKUP(OrganizedData[[#This Row],[Product Code]],ProductData[],4,FALSE)</f>
        <v>510</v>
      </c>
      <c r="Q1818" s="6">
        <f>OrganizedData[[#This Row],[Total Items Ordered]]*VLOOKUP(OrganizedData[[#This Row],[Product Code]],ProductData[],3,FALSE)</f>
        <v>912.9</v>
      </c>
      <c r="R18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1819" spans="1:18" x14ac:dyDescent="0.3">
      <c r="A1819" s="2">
        <v>1812</v>
      </c>
      <c r="B1819" s="2" t="s">
        <v>5294</v>
      </c>
      <c r="C1819" s="2" t="s">
        <v>5295</v>
      </c>
      <c r="D1819" s="2" t="s">
        <v>15</v>
      </c>
      <c r="E1819" s="2" t="s">
        <v>16</v>
      </c>
      <c r="F1819" s="2">
        <v>90</v>
      </c>
      <c r="G1819" s="2" t="s">
        <v>5296</v>
      </c>
      <c r="H1819" s="2" t="s">
        <v>5297</v>
      </c>
      <c r="I1819" s="2" t="s">
        <v>32</v>
      </c>
      <c r="J1819" s="3">
        <v>44824</v>
      </c>
      <c r="K1819" s="5">
        <f>YEAR(OrganizedData[[#This Row],[Order Date]])</f>
        <v>2022</v>
      </c>
      <c r="L1819" s="7" t="str">
        <f>TEXT(OrganizedData[[#This Row],[Order Date]],"mmm")</f>
        <v>Sep</v>
      </c>
      <c r="M1819" s="2">
        <v>73</v>
      </c>
      <c r="N1819" s="2" t="s">
        <v>54</v>
      </c>
      <c r="O1819" s="2" t="str">
        <f>VLOOKUP(OrganizedData[[#This Row],[Product Code]],ProductData[[Code]:[Item]],2,FALSE)</f>
        <v>Megawidget S</v>
      </c>
      <c r="P1819" s="4">
        <f>OrganizedData[[#This Row],[Quantity]]*VLOOKUP(OrganizedData[[#This Row],[Product Code]],ProductData[],4,FALSE)</f>
        <v>1752</v>
      </c>
      <c r="Q1819" s="6">
        <f>OrganizedData[[#This Row],[Total Items Ordered]]*VLOOKUP(OrganizedData[[#This Row],[Product Code]],ProductData[],3,FALSE)</f>
        <v>1208.8799999999999</v>
      </c>
      <c r="R18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1148.4359999999999</v>
      </c>
    </row>
    <row r="1820" spans="1:18" x14ac:dyDescent="0.3">
      <c r="A1820" s="2">
        <v>1813</v>
      </c>
      <c r="B1820" s="2" t="s">
        <v>371</v>
      </c>
      <c r="C1820" s="2" t="s">
        <v>4792</v>
      </c>
      <c r="D1820" s="2" t="s">
        <v>28</v>
      </c>
      <c r="E1820" s="2" t="s">
        <v>29</v>
      </c>
      <c r="F1820" s="2">
        <v>90</v>
      </c>
      <c r="G1820" s="2" t="s">
        <v>5298</v>
      </c>
      <c r="H1820" s="2" t="s">
        <v>1206</v>
      </c>
      <c r="I1820" s="2" t="s">
        <v>294</v>
      </c>
      <c r="J1820" s="3">
        <v>44817</v>
      </c>
      <c r="K1820" s="5">
        <f>YEAR(OrganizedData[[#This Row],[Order Date]])</f>
        <v>2022</v>
      </c>
      <c r="L1820" s="7" t="str">
        <f>TEXT(OrganizedData[[#This Row],[Order Date]],"mmm")</f>
        <v>Sep</v>
      </c>
      <c r="M1820" s="2">
        <v>32</v>
      </c>
      <c r="N1820" s="2" t="s">
        <v>20</v>
      </c>
      <c r="O1820" s="2" t="str">
        <f>VLOOKUP(OrganizedData[[#This Row],[Product Code]],ProductData[[Code]:[Item]],2,FALSE)</f>
        <v>Hyperwotsit</v>
      </c>
      <c r="P1820" s="4">
        <f>OrganizedData[[#This Row],[Quantity]]*VLOOKUP(OrganizedData[[#This Row],[Product Code]],ProductData[],4,FALSE)</f>
        <v>640</v>
      </c>
      <c r="Q1820" s="6">
        <f>OrganizedData[[#This Row],[Total Items Ordered]]*VLOOKUP(OrganizedData[[#This Row],[Product Code]],ProductData[],3,FALSE)</f>
        <v>1286.3999999999999</v>
      </c>
      <c r="R18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1821" spans="1:18" x14ac:dyDescent="0.3">
      <c r="A1821" s="2">
        <v>1814</v>
      </c>
      <c r="B1821" s="2" t="s">
        <v>4233</v>
      </c>
      <c r="C1821" s="2" t="s">
        <v>5299</v>
      </c>
      <c r="D1821" s="2" t="s">
        <v>28</v>
      </c>
      <c r="E1821" s="2" t="s">
        <v>29</v>
      </c>
      <c r="F1821" s="2">
        <v>90</v>
      </c>
      <c r="G1821" s="2" t="s">
        <v>5300</v>
      </c>
      <c r="H1821" s="2" t="s">
        <v>5301</v>
      </c>
      <c r="I1821" s="2" t="s">
        <v>173</v>
      </c>
      <c r="J1821" s="3">
        <v>44334</v>
      </c>
      <c r="K1821" s="5">
        <f>YEAR(OrganizedData[[#This Row],[Order Date]])</f>
        <v>2021</v>
      </c>
      <c r="L1821" s="7" t="str">
        <f>TEXT(OrganizedData[[#This Row],[Order Date]],"mmm")</f>
        <v>May</v>
      </c>
      <c r="M1821" s="2">
        <v>10</v>
      </c>
      <c r="N1821" s="2" t="s">
        <v>45</v>
      </c>
      <c r="O1821" s="2" t="str">
        <f>VLOOKUP(OrganizedData[[#This Row],[Product Code]],ProductData[[Code]:[Item]],2,FALSE)</f>
        <v>Gigastuff</v>
      </c>
      <c r="P1821" s="4">
        <f>OrganizedData[[#This Row],[Quantity]]*VLOOKUP(OrganizedData[[#This Row],[Product Code]],ProductData[],4,FALSE)</f>
        <v>180</v>
      </c>
      <c r="Q1821" s="6">
        <f>OrganizedData[[#This Row],[Total Items Ordered]]*VLOOKUP(OrganizedData[[#This Row],[Product Code]],ProductData[],3,FALSE)</f>
        <v>340.2</v>
      </c>
      <c r="R18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1822" spans="1:18" x14ac:dyDescent="0.3">
      <c r="A1822" s="2">
        <v>1815</v>
      </c>
      <c r="B1822" s="2" t="s">
        <v>4642</v>
      </c>
      <c r="C1822" s="2" t="s">
        <v>5214</v>
      </c>
      <c r="D1822" s="2" t="s">
        <v>51</v>
      </c>
      <c r="E1822" s="2" t="s">
        <v>16</v>
      </c>
      <c r="F1822" s="2">
        <v>90</v>
      </c>
      <c r="G1822" s="2" t="s">
        <v>5302</v>
      </c>
      <c r="H1822" s="2" t="s">
        <v>2671</v>
      </c>
      <c r="I1822" s="2" t="s">
        <v>1157</v>
      </c>
      <c r="J1822" s="3">
        <v>44797</v>
      </c>
      <c r="K1822" s="5">
        <f>YEAR(OrganizedData[[#This Row],[Order Date]])</f>
        <v>2022</v>
      </c>
      <c r="L1822" s="7" t="str">
        <f>TEXT(OrganizedData[[#This Row],[Order Date]],"mmm")</f>
        <v>Aug</v>
      </c>
      <c r="M1822" s="2">
        <v>73</v>
      </c>
      <c r="N1822" s="2" t="s">
        <v>39</v>
      </c>
      <c r="O1822" s="2" t="str">
        <f>VLOOKUP(OrganizedData[[#This Row],[Product Code]],ProductData[[Code]:[Item]],2,FALSE)</f>
        <v>Ultrathing V1</v>
      </c>
      <c r="P1822" s="4">
        <f>OrganizedData[[#This Row],[Quantity]]*VLOOKUP(OrganizedData[[#This Row],[Product Code]],ProductData[],4,FALSE)</f>
        <v>1241</v>
      </c>
      <c r="Q1822" s="6">
        <f>OrganizedData[[#This Row],[Total Items Ordered]]*VLOOKUP(OrganizedData[[#This Row],[Product Code]],ProductData[],3,FALSE)</f>
        <v>2221.39</v>
      </c>
      <c r="R18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1823" spans="1:18" x14ac:dyDescent="0.3">
      <c r="A1823" s="2">
        <v>1816</v>
      </c>
      <c r="B1823" s="2" t="s">
        <v>5303</v>
      </c>
      <c r="C1823" s="2" t="s">
        <v>3140</v>
      </c>
      <c r="D1823" s="2" t="s">
        <v>15</v>
      </c>
      <c r="E1823" s="2" t="s">
        <v>16</v>
      </c>
      <c r="F1823" s="2">
        <v>30</v>
      </c>
      <c r="G1823" s="2" t="s">
        <v>5304</v>
      </c>
      <c r="H1823" s="2" t="s">
        <v>898</v>
      </c>
      <c r="I1823" s="2" t="s">
        <v>32</v>
      </c>
      <c r="J1823" s="3">
        <v>44535</v>
      </c>
      <c r="K1823" s="5">
        <f>YEAR(OrganizedData[[#This Row],[Order Date]])</f>
        <v>2021</v>
      </c>
      <c r="L1823" s="7" t="str">
        <f>TEXT(OrganizedData[[#This Row],[Order Date]],"mmm")</f>
        <v>Dec</v>
      </c>
      <c r="M1823" s="2">
        <v>10</v>
      </c>
      <c r="N1823" s="2" t="s">
        <v>159</v>
      </c>
      <c r="O1823" s="2" t="str">
        <f>VLOOKUP(OrganizedData[[#This Row],[Product Code]],ProductData[[Code]:[Item]],2,FALSE)</f>
        <v>Ultrathing V3</v>
      </c>
      <c r="P1823" s="4">
        <f>OrganizedData[[#This Row],[Quantity]]*VLOOKUP(OrganizedData[[#This Row],[Product Code]],ProductData[],4,FALSE)</f>
        <v>240</v>
      </c>
      <c r="Q1823" s="6">
        <f>OrganizedData[[#This Row],[Total Items Ordered]]*VLOOKUP(OrganizedData[[#This Row],[Product Code]],ProductData[],3,FALSE)</f>
        <v>813.6</v>
      </c>
      <c r="R18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1824" spans="1:18" x14ac:dyDescent="0.3">
      <c r="A1824" s="2">
        <v>1817</v>
      </c>
      <c r="B1824" s="2" t="s">
        <v>5305</v>
      </c>
      <c r="C1824" s="2" t="s">
        <v>5306</v>
      </c>
      <c r="D1824" s="2" t="s">
        <v>28</v>
      </c>
      <c r="E1824" s="2" t="s">
        <v>29</v>
      </c>
      <c r="F1824" s="2">
        <v>60</v>
      </c>
      <c r="G1824" s="2" t="s">
        <v>5307</v>
      </c>
      <c r="H1824" s="2" t="s">
        <v>3932</v>
      </c>
      <c r="I1824" s="2" t="s">
        <v>32</v>
      </c>
      <c r="J1824" s="3">
        <v>44076</v>
      </c>
      <c r="K1824" s="5">
        <f>YEAR(OrganizedData[[#This Row],[Order Date]])</f>
        <v>2020</v>
      </c>
      <c r="L1824" s="7" t="str">
        <f>TEXT(OrganizedData[[#This Row],[Order Date]],"mmm")</f>
        <v>Sep</v>
      </c>
      <c r="M1824" s="2">
        <v>20</v>
      </c>
      <c r="N1824" s="2" t="s">
        <v>54</v>
      </c>
      <c r="O1824" s="2" t="str">
        <f>VLOOKUP(OrganizedData[[#This Row],[Product Code]],ProductData[[Code]:[Item]],2,FALSE)</f>
        <v>Megawidget S</v>
      </c>
      <c r="P1824" s="4">
        <f>OrganizedData[[#This Row],[Quantity]]*VLOOKUP(OrganizedData[[#This Row],[Product Code]],ProductData[],4,FALSE)</f>
        <v>480</v>
      </c>
      <c r="Q1824" s="6">
        <f>OrganizedData[[#This Row],[Total Items Ordered]]*VLOOKUP(OrganizedData[[#This Row],[Product Code]],ProductData[],3,FALSE)</f>
        <v>331.2</v>
      </c>
      <c r="R18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331.2</v>
      </c>
    </row>
    <row r="1825" spans="1:18" x14ac:dyDescent="0.3">
      <c r="A1825" s="2">
        <v>1818</v>
      </c>
      <c r="B1825" s="2" t="s">
        <v>5048</v>
      </c>
      <c r="C1825" s="2" t="s">
        <v>1528</v>
      </c>
      <c r="D1825" s="2" t="s">
        <v>51</v>
      </c>
      <c r="E1825" s="2" t="s">
        <v>16</v>
      </c>
      <c r="F1825" s="2">
        <v>30</v>
      </c>
      <c r="G1825" s="2" t="s">
        <v>5308</v>
      </c>
      <c r="H1825" s="2" t="s">
        <v>3238</v>
      </c>
      <c r="I1825" s="2" t="s">
        <v>173</v>
      </c>
      <c r="J1825" s="3">
        <v>44234</v>
      </c>
      <c r="K1825" s="5">
        <f>YEAR(OrganizedData[[#This Row],[Order Date]])</f>
        <v>2021</v>
      </c>
      <c r="L1825" s="7" t="str">
        <f>TEXT(OrganizedData[[#This Row],[Order Date]],"mmm")</f>
        <v>Feb</v>
      </c>
      <c r="M1825" s="2">
        <v>15</v>
      </c>
      <c r="N1825" s="2" t="s">
        <v>70</v>
      </c>
      <c r="O1825" s="2" t="str">
        <f>VLOOKUP(OrganizedData[[#This Row],[Product Code]],ProductData[[Code]:[Item]],2,FALSE)</f>
        <v>Megawidget M</v>
      </c>
      <c r="P1825" s="4">
        <f>OrganizedData[[#This Row],[Quantity]]*VLOOKUP(OrganizedData[[#This Row],[Product Code]],ProductData[],4,FALSE)</f>
        <v>360</v>
      </c>
      <c r="Q1825" s="6">
        <f>OrganizedData[[#This Row],[Total Items Ordered]]*VLOOKUP(OrganizedData[[#This Row],[Product Code]],ProductData[],3,FALSE)</f>
        <v>464.40000000000003</v>
      </c>
      <c r="R18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464.40000000000003</v>
      </c>
    </row>
    <row r="1826" spans="1:18" x14ac:dyDescent="0.3">
      <c r="A1826" s="2">
        <v>1819</v>
      </c>
      <c r="B1826" s="2" t="s">
        <v>5309</v>
      </c>
      <c r="C1826" s="2" t="s">
        <v>5310</v>
      </c>
      <c r="D1826" s="2" t="s">
        <v>15</v>
      </c>
      <c r="E1826" s="2" t="s">
        <v>16</v>
      </c>
      <c r="F1826" s="2">
        <v>90</v>
      </c>
      <c r="G1826" s="2" t="s">
        <v>5311</v>
      </c>
      <c r="H1826" s="2" t="s">
        <v>195</v>
      </c>
      <c r="I1826" s="2" t="s">
        <v>187</v>
      </c>
      <c r="J1826" s="3">
        <v>44153</v>
      </c>
      <c r="K1826" s="5">
        <f>YEAR(OrganizedData[[#This Row],[Order Date]])</f>
        <v>2020</v>
      </c>
      <c r="L1826" s="7" t="str">
        <f>TEXT(OrganizedData[[#This Row],[Order Date]],"mmm")</f>
        <v>Nov</v>
      </c>
      <c r="M1826" s="2">
        <v>36</v>
      </c>
      <c r="N1826" s="2" t="s">
        <v>20</v>
      </c>
      <c r="O1826" s="2" t="str">
        <f>VLOOKUP(OrganizedData[[#This Row],[Product Code]],ProductData[[Code]:[Item]],2,FALSE)</f>
        <v>Hyperwotsit</v>
      </c>
      <c r="P1826" s="4">
        <f>OrganizedData[[#This Row],[Quantity]]*VLOOKUP(OrganizedData[[#This Row],[Product Code]],ProductData[],4,FALSE)</f>
        <v>720</v>
      </c>
      <c r="Q1826" s="6">
        <f>OrganizedData[[#This Row],[Total Items Ordered]]*VLOOKUP(OrganizedData[[#This Row],[Product Code]],ProductData[],3,FALSE)</f>
        <v>1447.1999999999998</v>
      </c>
      <c r="R18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1403.7839999999999</v>
      </c>
    </row>
    <row r="1827" spans="1:18" x14ac:dyDescent="0.3">
      <c r="A1827" s="2">
        <v>1820</v>
      </c>
      <c r="B1827" s="2" t="s">
        <v>5312</v>
      </c>
      <c r="C1827" s="2" t="s">
        <v>358</v>
      </c>
      <c r="D1827" s="2" t="s">
        <v>51</v>
      </c>
      <c r="E1827" s="2" t="s">
        <v>16</v>
      </c>
      <c r="F1827" s="2">
        <v>30</v>
      </c>
      <c r="G1827" s="2" t="s">
        <v>5313</v>
      </c>
      <c r="H1827" s="2" t="s">
        <v>2749</v>
      </c>
      <c r="I1827" s="2" t="s">
        <v>187</v>
      </c>
      <c r="J1827" s="3">
        <v>43981</v>
      </c>
      <c r="K1827" s="5">
        <f>YEAR(OrganizedData[[#This Row],[Order Date]])</f>
        <v>2020</v>
      </c>
      <c r="L1827" s="7" t="str">
        <f>TEXT(OrganizedData[[#This Row],[Order Date]],"mmm")</f>
        <v>May</v>
      </c>
      <c r="M1827" s="2">
        <v>38</v>
      </c>
      <c r="N1827" s="2" t="s">
        <v>101</v>
      </c>
      <c r="O1827" s="2" t="str">
        <f>VLOOKUP(OrganizedData[[#This Row],[Product Code]],ProductData[[Code]:[Item]],2,FALSE)</f>
        <v>Superwossname</v>
      </c>
      <c r="P1827" s="4">
        <f>OrganizedData[[#This Row],[Quantity]]*VLOOKUP(OrganizedData[[#This Row],[Product Code]],ProductData[],4,FALSE)</f>
        <v>760</v>
      </c>
      <c r="Q1827" s="6">
        <f>OrganizedData[[#This Row],[Total Items Ordered]]*VLOOKUP(OrganizedData[[#This Row],[Product Code]],ProductData[],3,FALSE)</f>
        <v>2652.4</v>
      </c>
      <c r="R18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2572.828</v>
      </c>
    </row>
    <row r="1828" spans="1:18" x14ac:dyDescent="0.3">
      <c r="A1828" s="2">
        <v>1821</v>
      </c>
      <c r="B1828" s="2" t="s">
        <v>5314</v>
      </c>
      <c r="C1828" s="2" t="s">
        <v>5315</v>
      </c>
      <c r="D1828" s="2" t="s">
        <v>28</v>
      </c>
      <c r="E1828" s="2" t="s">
        <v>29</v>
      </c>
      <c r="F1828" s="2">
        <v>60</v>
      </c>
      <c r="G1828" s="2" t="s">
        <v>5313</v>
      </c>
      <c r="H1828" s="2" t="s">
        <v>5316</v>
      </c>
      <c r="I1828" s="2" t="s">
        <v>25</v>
      </c>
      <c r="J1828" s="3">
        <v>44160</v>
      </c>
      <c r="K1828" s="5">
        <f>YEAR(OrganizedData[[#This Row],[Order Date]])</f>
        <v>2020</v>
      </c>
      <c r="L1828" s="7" t="str">
        <f>TEXT(OrganizedData[[#This Row],[Order Date]],"mmm")</f>
        <v>Nov</v>
      </c>
      <c r="M1828" s="2">
        <v>71</v>
      </c>
      <c r="N1828" s="2" t="s">
        <v>101</v>
      </c>
      <c r="O1828" s="2" t="str">
        <f>VLOOKUP(OrganizedData[[#This Row],[Product Code]],ProductData[[Code]:[Item]],2,FALSE)</f>
        <v>Superwossname</v>
      </c>
      <c r="P1828" s="4">
        <f>OrganizedData[[#This Row],[Quantity]]*VLOOKUP(OrganizedData[[#This Row],[Product Code]],ProductData[],4,FALSE)</f>
        <v>1420</v>
      </c>
      <c r="Q1828" s="6">
        <f>OrganizedData[[#This Row],[Total Items Ordered]]*VLOOKUP(OrganizedData[[#This Row],[Product Code]],ProductData[],3,FALSE)</f>
        <v>4955.8</v>
      </c>
      <c r="R18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4708.01</v>
      </c>
    </row>
    <row r="1829" spans="1:18" x14ac:dyDescent="0.3">
      <c r="A1829" s="2">
        <v>1822</v>
      </c>
      <c r="B1829" s="2" t="s">
        <v>5317</v>
      </c>
      <c r="C1829" s="2" t="s">
        <v>5318</v>
      </c>
      <c r="D1829" s="2" t="s">
        <v>15</v>
      </c>
      <c r="E1829" s="2" t="s">
        <v>16</v>
      </c>
      <c r="F1829" s="2">
        <v>30</v>
      </c>
      <c r="G1829" s="2" t="s">
        <v>5319</v>
      </c>
      <c r="H1829" s="2" t="s">
        <v>963</v>
      </c>
      <c r="I1829" s="2" t="s">
        <v>25</v>
      </c>
      <c r="J1829" s="3">
        <v>44074</v>
      </c>
      <c r="K1829" s="5">
        <f>YEAR(OrganizedData[[#This Row],[Order Date]])</f>
        <v>2020</v>
      </c>
      <c r="L1829" s="7" t="str">
        <f>TEXT(OrganizedData[[#This Row],[Order Date]],"mmm")</f>
        <v>Aug</v>
      </c>
      <c r="M1829" s="2">
        <v>80</v>
      </c>
      <c r="N1829" s="2" t="s">
        <v>39</v>
      </c>
      <c r="O1829" s="2" t="str">
        <f>VLOOKUP(OrganizedData[[#This Row],[Product Code]],ProductData[[Code]:[Item]],2,FALSE)</f>
        <v>Ultrathing V1</v>
      </c>
      <c r="P1829" s="4">
        <f>OrganizedData[[#This Row],[Quantity]]*VLOOKUP(OrganizedData[[#This Row],[Product Code]],ProductData[],4,FALSE)</f>
        <v>1360</v>
      </c>
      <c r="Q1829" s="6">
        <f>OrganizedData[[#This Row],[Total Items Ordered]]*VLOOKUP(OrganizedData[[#This Row],[Product Code]],ProductData[],3,FALSE)</f>
        <v>2434.4</v>
      </c>
      <c r="R18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2312.6799999999998</v>
      </c>
    </row>
    <row r="1830" spans="1:18" x14ac:dyDescent="0.3">
      <c r="A1830" s="2">
        <v>1823</v>
      </c>
      <c r="B1830" s="2" t="s">
        <v>5320</v>
      </c>
      <c r="C1830" s="2" t="s">
        <v>5321</v>
      </c>
      <c r="D1830" s="2" t="s">
        <v>51</v>
      </c>
      <c r="E1830" s="2" t="s">
        <v>16</v>
      </c>
      <c r="F1830" s="2">
        <v>90</v>
      </c>
      <c r="G1830" s="2" t="s">
        <v>5322</v>
      </c>
      <c r="H1830" s="2" t="s">
        <v>2401</v>
      </c>
      <c r="I1830" s="2" t="s">
        <v>178</v>
      </c>
      <c r="J1830" s="3">
        <v>44110</v>
      </c>
      <c r="K1830" s="5">
        <f>YEAR(OrganizedData[[#This Row],[Order Date]])</f>
        <v>2020</v>
      </c>
      <c r="L1830" s="7" t="str">
        <f>TEXT(OrganizedData[[#This Row],[Order Date]],"mmm")</f>
        <v>Oct</v>
      </c>
      <c r="M1830" s="2">
        <v>31</v>
      </c>
      <c r="N1830" s="2" t="s">
        <v>80</v>
      </c>
      <c r="O1830" s="2" t="str">
        <f>VLOOKUP(OrganizedData[[#This Row],[Product Code]],ProductData[[Code]:[Item]],2,FALSE)</f>
        <v>Ultrathing V2</v>
      </c>
      <c r="P1830" s="4">
        <f>OrganizedData[[#This Row],[Quantity]]*VLOOKUP(OrganizedData[[#This Row],[Product Code]],ProductData[],4,FALSE)</f>
        <v>620</v>
      </c>
      <c r="Q1830" s="6">
        <f>OrganizedData[[#This Row],[Total Items Ordered]]*VLOOKUP(OrganizedData[[#This Row],[Product Code]],ProductData[],3,FALSE)</f>
        <v>1829</v>
      </c>
      <c r="R18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1774.1299999999999</v>
      </c>
    </row>
    <row r="1831" spans="1:18" x14ac:dyDescent="0.3">
      <c r="A1831" s="2">
        <v>1824</v>
      </c>
      <c r="B1831" s="2" t="s">
        <v>1758</v>
      </c>
      <c r="C1831" s="2" t="s">
        <v>5323</v>
      </c>
      <c r="D1831" s="2" t="s">
        <v>28</v>
      </c>
      <c r="E1831" s="2" t="s">
        <v>29</v>
      </c>
      <c r="F1831" s="2">
        <v>30</v>
      </c>
      <c r="G1831" s="2" t="s">
        <v>5324</v>
      </c>
      <c r="H1831" s="2" t="s">
        <v>5025</v>
      </c>
      <c r="I1831" s="2" t="s">
        <v>32</v>
      </c>
      <c r="J1831" s="3">
        <v>44864</v>
      </c>
      <c r="K1831" s="5">
        <f>YEAR(OrganizedData[[#This Row],[Order Date]])</f>
        <v>2022</v>
      </c>
      <c r="L1831" s="7" t="str">
        <f>TEXT(OrganizedData[[#This Row],[Order Date]],"mmm")</f>
        <v>Oct</v>
      </c>
      <c r="M1831" s="2">
        <v>67</v>
      </c>
      <c r="N1831" s="2" t="s">
        <v>101</v>
      </c>
      <c r="O1831" s="2" t="str">
        <f>VLOOKUP(OrganizedData[[#This Row],[Product Code]],ProductData[[Code]:[Item]],2,FALSE)</f>
        <v>Superwossname</v>
      </c>
      <c r="P1831" s="4">
        <f>OrganizedData[[#This Row],[Quantity]]*VLOOKUP(OrganizedData[[#This Row],[Product Code]],ProductData[],4,FALSE)</f>
        <v>1340</v>
      </c>
      <c r="Q1831" s="6">
        <f>OrganizedData[[#This Row],[Total Items Ordered]]*VLOOKUP(OrganizedData[[#This Row],[Product Code]],ProductData[],3,FALSE)</f>
        <v>4676.6000000000004</v>
      </c>
      <c r="R18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4442.7700000000004</v>
      </c>
    </row>
    <row r="1832" spans="1:18" x14ac:dyDescent="0.3">
      <c r="A1832" s="2">
        <v>1825</v>
      </c>
      <c r="B1832" s="2" t="s">
        <v>1991</v>
      </c>
      <c r="C1832" s="2" t="s">
        <v>4528</v>
      </c>
      <c r="D1832" s="2" t="s">
        <v>41</v>
      </c>
      <c r="E1832" s="2" t="s">
        <v>16</v>
      </c>
      <c r="F1832" s="2">
        <v>30</v>
      </c>
      <c r="G1832" s="2" t="s">
        <v>5324</v>
      </c>
      <c r="H1832" s="2" t="s">
        <v>382</v>
      </c>
      <c r="I1832" s="2" t="s">
        <v>32</v>
      </c>
      <c r="J1832" s="3">
        <v>43865</v>
      </c>
      <c r="K1832" s="5">
        <f>YEAR(OrganizedData[[#This Row],[Order Date]])</f>
        <v>2020</v>
      </c>
      <c r="L1832" s="7" t="str">
        <f>TEXT(OrganizedData[[#This Row],[Order Date]],"mmm")</f>
        <v>Feb</v>
      </c>
      <c r="M1832" s="2">
        <v>84</v>
      </c>
      <c r="N1832" s="2" t="s">
        <v>80</v>
      </c>
      <c r="O1832" s="2" t="str">
        <f>VLOOKUP(OrganizedData[[#This Row],[Product Code]],ProductData[[Code]:[Item]],2,FALSE)</f>
        <v>Ultrathing V2</v>
      </c>
      <c r="P1832" s="4">
        <f>OrganizedData[[#This Row],[Quantity]]*VLOOKUP(OrganizedData[[#This Row],[Product Code]],ProductData[],4,FALSE)</f>
        <v>1680</v>
      </c>
      <c r="Q1832" s="6">
        <f>OrganizedData[[#This Row],[Total Items Ordered]]*VLOOKUP(OrganizedData[[#This Row],[Product Code]],ProductData[],3,FALSE)</f>
        <v>4956</v>
      </c>
      <c r="R18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1833" spans="1:18" x14ac:dyDescent="0.3">
      <c r="A1833" s="2">
        <v>1826</v>
      </c>
      <c r="B1833" s="2" t="s">
        <v>4550</v>
      </c>
      <c r="C1833" s="2" t="s">
        <v>5325</v>
      </c>
      <c r="D1833" s="2" t="s">
        <v>28</v>
      </c>
      <c r="E1833" s="2" t="s">
        <v>29</v>
      </c>
      <c r="F1833" s="2">
        <v>90</v>
      </c>
      <c r="G1833" s="2" t="s">
        <v>5326</v>
      </c>
      <c r="H1833" s="2" t="s">
        <v>5327</v>
      </c>
      <c r="I1833" s="2" t="s">
        <v>187</v>
      </c>
      <c r="J1833" s="3">
        <v>44451</v>
      </c>
      <c r="K1833" s="5">
        <f>YEAR(OrganizedData[[#This Row],[Order Date]])</f>
        <v>2021</v>
      </c>
      <c r="L1833" s="7" t="str">
        <f>TEXT(OrganizedData[[#This Row],[Order Date]],"mmm")</f>
        <v>Sep</v>
      </c>
      <c r="M1833" s="2">
        <v>61</v>
      </c>
      <c r="N1833" s="2" t="s">
        <v>159</v>
      </c>
      <c r="O1833" s="2" t="str">
        <f>VLOOKUP(OrganizedData[[#This Row],[Product Code]],ProductData[[Code]:[Item]],2,FALSE)</f>
        <v>Ultrathing V3</v>
      </c>
      <c r="P1833" s="4">
        <f>OrganizedData[[#This Row],[Quantity]]*VLOOKUP(OrganizedData[[#This Row],[Product Code]],ProductData[],4,FALSE)</f>
        <v>1464</v>
      </c>
      <c r="Q1833" s="6">
        <f>OrganizedData[[#This Row],[Total Items Ordered]]*VLOOKUP(OrganizedData[[#This Row],[Product Code]],ProductData[],3,FALSE)</f>
        <v>4962.96</v>
      </c>
      <c r="R18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1834" spans="1:18" x14ac:dyDescent="0.3">
      <c r="A1834" s="2">
        <v>1827</v>
      </c>
      <c r="B1834" s="2" t="s">
        <v>4438</v>
      </c>
      <c r="C1834" s="2" t="s">
        <v>5328</v>
      </c>
      <c r="D1834" s="2" t="s">
        <v>28</v>
      </c>
      <c r="E1834" s="2" t="s">
        <v>29</v>
      </c>
      <c r="F1834" s="2">
        <v>60</v>
      </c>
      <c r="G1834" s="2" t="s">
        <v>5329</v>
      </c>
      <c r="H1834" s="2" t="s">
        <v>714</v>
      </c>
      <c r="I1834" s="2" t="s">
        <v>38</v>
      </c>
      <c r="J1834" s="3">
        <v>44272</v>
      </c>
      <c r="K1834" s="5">
        <f>YEAR(OrganizedData[[#This Row],[Order Date]])</f>
        <v>2021</v>
      </c>
      <c r="L1834" s="7" t="str">
        <f>TEXT(OrganizedData[[#This Row],[Order Date]],"mmm")</f>
        <v>Mar</v>
      </c>
      <c r="M1834" s="2">
        <v>25</v>
      </c>
      <c r="N1834" s="2" t="s">
        <v>64</v>
      </c>
      <c r="O1834" s="2" t="str">
        <f>VLOOKUP(OrganizedData[[#This Row],[Product Code]],ProductData[[Code]:[Item]],2,FALSE)</f>
        <v>Ultrathing V4</v>
      </c>
      <c r="P1834" s="4">
        <f>OrganizedData[[#This Row],[Quantity]]*VLOOKUP(OrganizedData[[#This Row],[Product Code]],ProductData[],4,FALSE)</f>
        <v>600</v>
      </c>
      <c r="Q1834" s="6">
        <f>OrganizedData[[#This Row],[Total Items Ordered]]*VLOOKUP(OrganizedData[[#This Row],[Product Code]],ProductData[],3,FALSE)</f>
        <v>2394</v>
      </c>
      <c r="R18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2322.1799999999998</v>
      </c>
    </row>
    <row r="1835" spans="1:18" x14ac:dyDescent="0.3">
      <c r="A1835" s="2">
        <v>1828</v>
      </c>
      <c r="B1835" s="2" t="s">
        <v>196</v>
      </c>
      <c r="C1835" s="2" t="s">
        <v>5330</v>
      </c>
      <c r="D1835" s="2" t="s">
        <v>28</v>
      </c>
      <c r="E1835" s="2" t="s">
        <v>29</v>
      </c>
      <c r="F1835" s="2">
        <v>60</v>
      </c>
      <c r="G1835" s="2" t="s">
        <v>5329</v>
      </c>
      <c r="H1835" s="2" t="s">
        <v>4867</v>
      </c>
      <c r="I1835" s="2" t="s">
        <v>294</v>
      </c>
      <c r="J1835" s="3">
        <v>44230</v>
      </c>
      <c r="K1835" s="5">
        <f>YEAR(OrganizedData[[#This Row],[Order Date]])</f>
        <v>2021</v>
      </c>
      <c r="L1835" s="7" t="str">
        <f>TEXT(OrganizedData[[#This Row],[Order Date]],"mmm")</f>
        <v>Feb</v>
      </c>
      <c r="M1835" s="2">
        <v>64</v>
      </c>
      <c r="N1835" s="2" t="s">
        <v>54</v>
      </c>
      <c r="O1835" s="2" t="str">
        <f>VLOOKUP(OrganizedData[[#This Row],[Product Code]],ProductData[[Code]:[Item]],2,FALSE)</f>
        <v>Megawidget S</v>
      </c>
      <c r="P1835" s="4">
        <f>OrganizedData[[#This Row],[Quantity]]*VLOOKUP(OrganizedData[[#This Row],[Product Code]],ProductData[],4,FALSE)</f>
        <v>1536</v>
      </c>
      <c r="Q1835" s="6">
        <f>OrganizedData[[#This Row],[Total Items Ordered]]*VLOOKUP(OrganizedData[[#This Row],[Product Code]],ProductData[],3,FALSE)</f>
        <v>1059.8399999999999</v>
      </c>
      <c r="R18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1006.8479999999998</v>
      </c>
    </row>
    <row r="1836" spans="1:18" x14ac:dyDescent="0.3">
      <c r="A1836" s="2">
        <v>1829</v>
      </c>
      <c r="B1836" s="2" t="s">
        <v>5331</v>
      </c>
      <c r="C1836" s="2" t="s">
        <v>5332</v>
      </c>
      <c r="D1836" s="2" t="s">
        <v>51</v>
      </c>
      <c r="E1836" s="2" t="s">
        <v>16</v>
      </c>
      <c r="F1836" s="2">
        <v>60</v>
      </c>
      <c r="G1836" s="2" t="s">
        <v>5333</v>
      </c>
      <c r="H1836" s="2" t="s">
        <v>2753</v>
      </c>
      <c r="I1836" s="2" t="s">
        <v>124</v>
      </c>
      <c r="J1836" s="3">
        <v>43879</v>
      </c>
      <c r="K1836" s="5">
        <f>YEAR(OrganizedData[[#This Row],[Order Date]])</f>
        <v>2020</v>
      </c>
      <c r="L1836" s="7" t="str">
        <f>TEXT(OrganizedData[[#This Row],[Order Date]],"mmm")</f>
        <v>Feb</v>
      </c>
      <c r="M1836" s="2">
        <v>27</v>
      </c>
      <c r="N1836" s="2" t="s">
        <v>64</v>
      </c>
      <c r="O1836" s="2" t="str">
        <f>VLOOKUP(OrganizedData[[#This Row],[Product Code]],ProductData[[Code]:[Item]],2,FALSE)</f>
        <v>Ultrathing V4</v>
      </c>
      <c r="P1836" s="4">
        <f>OrganizedData[[#This Row],[Quantity]]*VLOOKUP(OrganizedData[[#This Row],[Product Code]],ProductData[],4,FALSE)</f>
        <v>648</v>
      </c>
      <c r="Q1836" s="6">
        <f>OrganizedData[[#This Row],[Total Items Ordered]]*VLOOKUP(OrganizedData[[#This Row],[Product Code]],ProductData[],3,FALSE)</f>
        <v>2585.52</v>
      </c>
      <c r="R18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2507.9544000000001</v>
      </c>
    </row>
    <row r="1837" spans="1:18" x14ac:dyDescent="0.3">
      <c r="A1837" s="2">
        <v>1830</v>
      </c>
      <c r="B1837" s="2" t="s">
        <v>5334</v>
      </c>
      <c r="C1837" s="2" t="s">
        <v>2480</v>
      </c>
      <c r="D1837" s="2" t="s">
        <v>28</v>
      </c>
      <c r="E1837" s="2" t="s">
        <v>29</v>
      </c>
      <c r="F1837" s="2">
        <v>90</v>
      </c>
      <c r="G1837" s="2" t="s">
        <v>5335</v>
      </c>
      <c r="H1837" s="2" t="s">
        <v>5336</v>
      </c>
      <c r="I1837" s="2" t="s">
        <v>32</v>
      </c>
      <c r="J1837" s="3">
        <v>44412</v>
      </c>
      <c r="K1837" s="5">
        <f>YEAR(OrganizedData[[#This Row],[Order Date]])</f>
        <v>2021</v>
      </c>
      <c r="L1837" s="7" t="str">
        <f>TEXT(OrganizedData[[#This Row],[Order Date]],"mmm")</f>
        <v>Aug</v>
      </c>
      <c r="M1837" s="2">
        <v>42</v>
      </c>
      <c r="N1837" s="2" t="s">
        <v>101</v>
      </c>
      <c r="O1837" s="2" t="str">
        <f>VLOOKUP(OrganizedData[[#This Row],[Product Code]],ProductData[[Code]:[Item]],2,FALSE)</f>
        <v>Superwossname</v>
      </c>
      <c r="P1837" s="4">
        <f>OrganizedData[[#This Row],[Quantity]]*VLOOKUP(OrganizedData[[#This Row],[Product Code]],ProductData[],4,FALSE)</f>
        <v>840</v>
      </c>
      <c r="Q1837" s="6">
        <f>OrganizedData[[#This Row],[Total Items Ordered]]*VLOOKUP(OrganizedData[[#This Row],[Product Code]],ProductData[],3,FALSE)</f>
        <v>2931.6000000000004</v>
      </c>
      <c r="R18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1838" spans="1:18" x14ac:dyDescent="0.3">
      <c r="A1838" s="2">
        <v>1831</v>
      </c>
      <c r="B1838" s="2" t="s">
        <v>5337</v>
      </c>
      <c r="C1838" s="2" t="s">
        <v>5338</v>
      </c>
      <c r="D1838" s="2" t="s">
        <v>51</v>
      </c>
      <c r="E1838" s="2" t="s">
        <v>16</v>
      </c>
      <c r="F1838" s="2">
        <v>60</v>
      </c>
      <c r="G1838" s="2" t="s">
        <v>5339</v>
      </c>
      <c r="H1838" s="2" t="s">
        <v>5340</v>
      </c>
      <c r="I1838" s="2" t="s">
        <v>32</v>
      </c>
      <c r="J1838" s="3">
        <v>43875</v>
      </c>
      <c r="K1838" s="5">
        <f>YEAR(OrganizedData[[#This Row],[Order Date]])</f>
        <v>2020</v>
      </c>
      <c r="L1838" s="7" t="str">
        <f>TEXT(OrganizedData[[#This Row],[Order Date]],"mmm")</f>
        <v>Feb</v>
      </c>
      <c r="M1838" s="2">
        <v>70</v>
      </c>
      <c r="N1838" s="2" t="s">
        <v>159</v>
      </c>
      <c r="O1838" s="2" t="str">
        <f>VLOOKUP(OrganizedData[[#This Row],[Product Code]],ProductData[[Code]:[Item]],2,FALSE)</f>
        <v>Ultrathing V3</v>
      </c>
      <c r="P1838" s="4">
        <f>OrganizedData[[#This Row],[Quantity]]*VLOOKUP(OrganizedData[[#This Row],[Product Code]],ProductData[],4,FALSE)</f>
        <v>1680</v>
      </c>
      <c r="Q1838" s="6">
        <f>OrganizedData[[#This Row],[Total Items Ordered]]*VLOOKUP(OrganizedData[[#This Row],[Product Code]],ProductData[],3,FALSE)</f>
        <v>5695.2</v>
      </c>
      <c r="R18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1839" spans="1:18" x14ac:dyDescent="0.3">
      <c r="A1839" s="2">
        <v>1832</v>
      </c>
      <c r="B1839" s="2" t="s">
        <v>5341</v>
      </c>
      <c r="C1839" s="2" t="s">
        <v>3435</v>
      </c>
      <c r="D1839" s="2" t="s">
        <v>15</v>
      </c>
      <c r="E1839" s="2" t="s">
        <v>16</v>
      </c>
      <c r="F1839" s="2">
        <v>90</v>
      </c>
      <c r="G1839" s="2" t="s">
        <v>5342</v>
      </c>
      <c r="H1839" s="2" t="s">
        <v>3033</v>
      </c>
      <c r="I1839" s="2" t="s">
        <v>32</v>
      </c>
      <c r="J1839" s="3">
        <v>44574</v>
      </c>
      <c r="K1839" s="5">
        <f>YEAR(OrganizedData[[#This Row],[Order Date]])</f>
        <v>2022</v>
      </c>
      <c r="L1839" s="7" t="str">
        <f>TEXT(OrganizedData[[#This Row],[Order Date]],"mmm")</f>
        <v>Jan</v>
      </c>
      <c r="M1839" s="2">
        <v>16</v>
      </c>
      <c r="N1839" s="2" t="s">
        <v>159</v>
      </c>
      <c r="O1839" s="2" t="str">
        <f>VLOOKUP(OrganizedData[[#This Row],[Product Code]],ProductData[[Code]:[Item]],2,FALSE)</f>
        <v>Ultrathing V3</v>
      </c>
      <c r="P1839" s="4">
        <f>OrganizedData[[#This Row],[Quantity]]*VLOOKUP(OrganizedData[[#This Row],[Product Code]],ProductData[],4,FALSE)</f>
        <v>384</v>
      </c>
      <c r="Q1839" s="6">
        <f>OrganizedData[[#This Row],[Total Items Ordered]]*VLOOKUP(OrganizedData[[#This Row],[Product Code]],ProductData[],3,FALSE)</f>
        <v>1301.76</v>
      </c>
      <c r="R18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1301.76</v>
      </c>
    </row>
    <row r="1840" spans="1:18" x14ac:dyDescent="0.3">
      <c r="A1840" s="2">
        <v>1833</v>
      </c>
      <c r="B1840" s="2" t="s">
        <v>5343</v>
      </c>
      <c r="C1840" s="2" t="s">
        <v>507</v>
      </c>
      <c r="D1840" s="2" t="s">
        <v>51</v>
      </c>
      <c r="E1840" s="2" t="s">
        <v>16</v>
      </c>
      <c r="F1840" s="2">
        <v>90</v>
      </c>
      <c r="G1840" s="2" t="s">
        <v>5344</v>
      </c>
      <c r="H1840" s="2" t="s">
        <v>1202</v>
      </c>
      <c r="I1840" s="2" t="s">
        <v>32</v>
      </c>
      <c r="J1840" s="3">
        <v>44081</v>
      </c>
      <c r="K1840" s="5">
        <f>YEAR(OrganizedData[[#This Row],[Order Date]])</f>
        <v>2020</v>
      </c>
      <c r="L1840" s="7" t="str">
        <f>TEXT(OrganizedData[[#This Row],[Order Date]],"mmm")</f>
        <v>Sep</v>
      </c>
      <c r="M1840" s="2">
        <v>84</v>
      </c>
      <c r="N1840" s="2" t="s">
        <v>54</v>
      </c>
      <c r="O1840" s="2" t="str">
        <f>VLOOKUP(OrganizedData[[#This Row],[Product Code]],ProductData[[Code]:[Item]],2,FALSE)</f>
        <v>Megawidget S</v>
      </c>
      <c r="P1840" s="4">
        <f>OrganizedData[[#This Row],[Quantity]]*VLOOKUP(OrganizedData[[#This Row],[Product Code]],ProductData[],4,FALSE)</f>
        <v>2016</v>
      </c>
      <c r="Q1840" s="6">
        <f>OrganizedData[[#This Row],[Total Items Ordered]]*VLOOKUP(OrganizedData[[#This Row],[Product Code]],ProductData[],3,FALSE)</f>
        <v>1391.04</v>
      </c>
      <c r="R18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1321.4879999999998</v>
      </c>
    </row>
    <row r="1841" spans="1:18" x14ac:dyDescent="0.3">
      <c r="A1841" s="2">
        <v>1834</v>
      </c>
      <c r="B1841" s="2" t="s">
        <v>5345</v>
      </c>
      <c r="C1841" s="2" t="s">
        <v>5346</v>
      </c>
      <c r="D1841" s="2" t="s">
        <v>51</v>
      </c>
      <c r="E1841" s="2" t="s">
        <v>16</v>
      </c>
      <c r="F1841" s="2">
        <v>30</v>
      </c>
      <c r="G1841" s="2" t="s">
        <v>10503</v>
      </c>
      <c r="H1841" s="2" t="s">
        <v>549</v>
      </c>
      <c r="I1841" s="2" t="s">
        <v>425</v>
      </c>
      <c r="J1841" s="3">
        <v>44101</v>
      </c>
      <c r="K1841" s="5">
        <f>YEAR(OrganizedData[[#This Row],[Order Date]])</f>
        <v>2020</v>
      </c>
      <c r="L1841" s="7" t="str">
        <f>TEXT(OrganizedData[[#This Row],[Order Date]],"mmm")</f>
        <v>Sep</v>
      </c>
      <c r="M1841" s="2">
        <v>45</v>
      </c>
      <c r="N1841" s="2" t="s">
        <v>20</v>
      </c>
      <c r="O1841" s="2" t="str">
        <f>VLOOKUP(OrganizedData[[#This Row],[Product Code]],ProductData[[Code]:[Item]],2,FALSE)</f>
        <v>Hyperwotsit</v>
      </c>
      <c r="P1841" s="4">
        <f>OrganizedData[[#This Row],[Quantity]]*VLOOKUP(OrganizedData[[#This Row],[Product Code]],ProductData[],4,FALSE)</f>
        <v>900</v>
      </c>
      <c r="Q1841" s="6">
        <f>OrganizedData[[#This Row],[Total Items Ordered]]*VLOOKUP(OrganizedData[[#This Row],[Product Code]],ProductData[],3,FALSE)</f>
        <v>1808.9999999999998</v>
      </c>
      <c r="R18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1754.7299999999998</v>
      </c>
    </row>
    <row r="1842" spans="1:18" x14ac:dyDescent="0.3">
      <c r="A1842" s="2">
        <v>1835</v>
      </c>
      <c r="B1842" s="2" t="s">
        <v>5348</v>
      </c>
      <c r="C1842" s="2" t="s">
        <v>2815</v>
      </c>
      <c r="D1842" s="2" t="s">
        <v>28</v>
      </c>
      <c r="E1842" s="2" t="s">
        <v>29</v>
      </c>
      <c r="F1842" s="2">
        <v>30</v>
      </c>
      <c r="G1842" s="2" t="s">
        <v>10503</v>
      </c>
      <c r="H1842" s="2" t="s">
        <v>1977</v>
      </c>
      <c r="I1842" s="2" t="s">
        <v>124</v>
      </c>
      <c r="J1842" s="3">
        <v>43933</v>
      </c>
      <c r="K1842" s="5">
        <f>YEAR(OrganizedData[[#This Row],[Order Date]])</f>
        <v>2020</v>
      </c>
      <c r="L1842" s="7" t="str">
        <f>TEXT(OrganizedData[[#This Row],[Order Date]],"mmm")</f>
        <v>Apr</v>
      </c>
      <c r="M1842" s="2">
        <v>56</v>
      </c>
      <c r="N1842" s="2" t="s">
        <v>54</v>
      </c>
      <c r="O1842" s="2" t="str">
        <f>VLOOKUP(OrganizedData[[#This Row],[Product Code]],ProductData[[Code]:[Item]],2,FALSE)</f>
        <v>Megawidget S</v>
      </c>
      <c r="P1842" s="4">
        <f>OrganizedData[[#This Row],[Quantity]]*VLOOKUP(OrganizedData[[#This Row],[Product Code]],ProductData[],4,FALSE)</f>
        <v>1344</v>
      </c>
      <c r="Q1842" s="6">
        <f>OrganizedData[[#This Row],[Total Items Ordered]]*VLOOKUP(OrganizedData[[#This Row],[Product Code]],ProductData[],3,FALSE)</f>
        <v>927.3599999999999</v>
      </c>
      <c r="R18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880.99199999999985</v>
      </c>
    </row>
    <row r="1843" spans="1:18" x14ac:dyDescent="0.3">
      <c r="A1843" s="2">
        <v>1836</v>
      </c>
      <c r="B1843" s="2" t="s">
        <v>1065</v>
      </c>
      <c r="C1843" s="2" t="s">
        <v>260</v>
      </c>
      <c r="D1843" s="2" t="s">
        <v>28</v>
      </c>
      <c r="E1843" s="2" t="s">
        <v>29</v>
      </c>
      <c r="F1843" s="2">
        <v>90</v>
      </c>
      <c r="G1843" s="2" t="s">
        <v>5349</v>
      </c>
      <c r="H1843" s="2" t="s">
        <v>4272</v>
      </c>
      <c r="I1843" s="2" t="s">
        <v>1652</v>
      </c>
      <c r="J1843" s="3">
        <v>44644</v>
      </c>
      <c r="K1843" s="5">
        <f>YEAR(OrganizedData[[#This Row],[Order Date]])</f>
        <v>2022</v>
      </c>
      <c r="L1843" s="7" t="str">
        <f>TEXT(OrganizedData[[#This Row],[Order Date]],"mmm")</f>
        <v>Mar</v>
      </c>
      <c r="M1843" s="2">
        <v>84</v>
      </c>
      <c r="N1843" s="2" t="s">
        <v>33</v>
      </c>
      <c r="O1843" s="2" t="str">
        <f>VLOOKUP(OrganizedData[[#This Row],[Product Code]],ProductData[[Code]:[Item]],2,FALSE)</f>
        <v>Megawidget L</v>
      </c>
      <c r="P1843" s="4">
        <f>OrganizedData[[#This Row],[Quantity]]*VLOOKUP(OrganizedData[[#This Row],[Product Code]],ProductData[],4,FALSE)</f>
        <v>2016</v>
      </c>
      <c r="Q1843" s="6">
        <f>OrganizedData[[#This Row],[Total Items Ordered]]*VLOOKUP(OrganizedData[[#This Row],[Product Code]],ProductData[],3,FALSE)</f>
        <v>3608.64</v>
      </c>
      <c r="R18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3428.2079999999996</v>
      </c>
    </row>
    <row r="1844" spans="1:18" x14ac:dyDescent="0.3">
      <c r="A1844" s="2">
        <v>1837</v>
      </c>
      <c r="B1844" s="2" t="s">
        <v>5350</v>
      </c>
      <c r="C1844" s="2" t="s">
        <v>4706</v>
      </c>
      <c r="D1844" s="2" t="s">
        <v>28</v>
      </c>
      <c r="E1844" s="2" t="s">
        <v>29</v>
      </c>
      <c r="F1844" s="2">
        <v>90</v>
      </c>
      <c r="G1844" s="2" t="s">
        <v>5351</v>
      </c>
      <c r="H1844" s="2" t="s">
        <v>842</v>
      </c>
      <c r="I1844" s="2" t="s">
        <v>32</v>
      </c>
      <c r="J1844" s="3">
        <v>43963</v>
      </c>
      <c r="K1844" s="5">
        <f>YEAR(OrganizedData[[#This Row],[Order Date]])</f>
        <v>2020</v>
      </c>
      <c r="L1844" s="7" t="str">
        <f>TEXT(OrganizedData[[#This Row],[Order Date]],"mmm")</f>
        <v>May</v>
      </c>
      <c r="M1844" s="2">
        <v>73</v>
      </c>
      <c r="N1844" s="2" t="s">
        <v>54</v>
      </c>
      <c r="O1844" s="2" t="str">
        <f>VLOOKUP(OrganizedData[[#This Row],[Product Code]],ProductData[[Code]:[Item]],2,FALSE)</f>
        <v>Megawidget S</v>
      </c>
      <c r="P1844" s="4">
        <f>OrganizedData[[#This Row],[Quantity]]*VLOOKUP(OrganizedData[[#This Row],[Product Code]],ProductData[],4,FALSE)</f>
        <v>1752</v>
      </c>
      <c r="Q1844" s="6">
        <f>OrganizedData[[#This Row],[Total Items Ordered]]*VLOOKUP(OrganizedData[[#This Row],[Product Code]],ProductData[],3,FALSE)</f>
        <v>1208.8799999999999</v>
      </c>
      <c r="R18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1148.4359999999999</v>
      </c>
    </row>
    <row r="1845" spans="1:18" x14ac:dyDescent="0.3">
      <c r="A1845" s="2">
        <v>1838</v>
      </c>
      <c r="B1845" s="2" t="s">
        <v>4075</v>
      </c>
      <c r="C1845" s="2" t="s">
        <v>4725</v>
      </c>
      <c r="D1845" s="2" t="s">
        <v>28</v>
      </c>
      <c r="E1845" s="2" t="s">
        <v>29</v>
      </c>
      <c r="F1845" s="2">
        <v>90</v>
      </c>
      <c r="G1845" s="2" t="s">
        <v>5352</v>
      </c>
      <c r="H1845" s="2" t="s">
        <v>920</v>
      </c>
      <c r="I1845" s="2" t="s">
        <v>178</v>
      </c>
      <c r="J1845" s="3">
        <v>44017</v>
      </c>
      <c r="K1845" s="5">
        <f>YEAR(OrganizedData[[#This Row],[Order Date]])</f>
        <v>2020</v>
      </c>
      <c r="L1845" s="7" t="str">
        <f>TEXT(OrganizedData[[#This Row],[Order Date]],"mmm")</f>
        <v>Jul</v>
      </c>
      <c r="M1845" s="2">
        <v>81</v>
      </c>
      <c r="N1845" s="2" t="s">
        <v>20</v>
      </c>
      <c r="O1845" s="2" t="str">
        <f>VLOOKUP(OrganizedData[[#This Row],[Product Code]],ProductData[[Code]:[Item]],2,FALSE)</f>
        <v>Hyperwotsit</v>
      </c>
      <c r="P1845" s="4">
        <f>OrganizedData[[#This Row],[Quantity]]*VLOOKUP(OrganizedData[[#This Row],[Product Code]],ProductData[],4,FALSE)</f>
        <v>1620</v>
      </c>
      <c r="Q1845" s="6">
        <f>OrganizedData[[#This Row],[Total Items Ordered]]*VLOOKUP(OrganizedData[[#This Row],[Product Code]],ProductData[],3,FALSE)</f>
        <v>3256.2</v>
      </c>
      <c r="R18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1846" spans="1:18" x14ac:dyDescent="0.3">
      <c r="A1846" s="2">
        <v>1839</v>
      </c>
      <c r="B1846" s="2" t="s">
        <v>5353</v>
      </c>
      <c r="C1846" s="2" t="s">
        <v>5354</v>
      </c>
      <c r="D1846" s="2" t="s">
        <v>15</v>
      </c>
      <c r="E1846" s="2" t="s">
        <v>16</v>
      </c>
      <c r="F1846" s="2">
        <v>90</v>
      </c>
      <c r="G1846" s="2" t="s">
        <v>5355</v>
      </c>
      <c r="H1846" s="2" t="s">
        <v>4889</v>
      </c>
      <c r="I1846" s="2" t="s">
        <v>110</v>
      </c>
      <c r="J1846" s="3">
        <v>44282</v>
      </c>
      <c r="K1846" s="5">
        <f>YEAR(OrganizedData[[#This Row],[Order Date]])</f>
        <v>2021</v>
      </c>
      <c r="L1846" s="7" t="str">
        <f>TEXT(OrganizedData[[#This Row],[Order Date]],"mmm")</f>
        <v>Mar</v>
      </c>
      <c r="M1846" s="2">
        <v>35</v>
      </c>
      <c r="N1846" s="2" t="s">
        <v>64</v>
      </c>
      <c r="O1846" s="2" t="str">
        <f>VLOOKUP(OrganizedData[[#This Row],[Product Code]],ProductData[[Code]:[Item]],2,FALSE)</f>
        <v>Ultrathing V4</v>
      </c>
      <c r="P1846" s="4">
        <f>OrganizedData[[#This Row],[Quantity]]*VLOOKUP(OrganizedData[[#This Row],[Product Code]],ProductData[],4,FALSE)</f>
        <v>840</v>
      </c>
      <c r="Q1846" s="6">
        <f>OrganizedData[[#This Row],[Total Items Ordered]]*VLOOKUP(OrganizedData[[#This Row],[Product Code]],ProductData[],3,FALSE)</f>
        <v>3351.6000000000004</v>
      </c>
      <c r="R18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1847" spans="1:18" x14ac:dyDescent="0.3">
      <c r="A1847" s="2">
        <v>1840</v>
      </c>
      <c r="B1847" s="2" t="s">
        <v>5356</v>
      </c>
      <c r="C1847" s="2" t="s">
        <v>2223</v>
      </c>
      <c r="D1847" s="2" t="s">
        <v>41</v>
      </c>
      <c r="E1847" s="2" t="s">
        <v>16</v>
      </c>
      <c r="F1847" s="2">
        <v>30</v>
      </c>
      <c r="G1847" s="2" t="s">
        <v>5357</v>
      </c>
      <c r="H1847" s="2" t="s">
        <v>4919</v>
      </c>
      <c r="I1847" s="2" t="s">
        <v>303</v>
      </c>
      <c r="J1847" s="3">
        <v>44468</v>
      </c>
      <c r="K1847" s="5">
        <f>YEAR(OrganizedData[[#This Row],[Order Date]])</f>
        <v>2021</v>
      </c>
      <c r="L1847" s="7" t="str">
        <f>TEXT(OrganizedData[[#This Row],[Order Date]],"mmm")</f>
        <v>Sep</v>
      </c>
      <c r="M1847" s="2">
        <v>63</v>
      </c>
      <c r="N1847" s="2" t="s">
        <v>33</v>
      </c>
      <c r="O1847" s="2" t="str">
        <f>VLOOKUP(OrganizedData[[#This Row],[Product Code]],ProductData[[Code]:[Item]],2,FALSE)</f>
        <v>Megawidget L</v>
      </c>
      <c r="P1847" s="4">
        <f>OrganizedData[[#This Row],[Quantity]]*VLOOKUP(OrganizedData[[#This Row],[Product Code]],ProductData[],4,FALSE)</f>
        <v>1512</v>
      </c>
      <c r="Q1847" s="6">
        <f>OrganizedData[[#This Row],[Total Items Ordered]]*VLOOKUP(OrganizedData[[#This Row],[Product Code]],ProductData[],3,FALSE)</f>
        <v>2706.48</v>
      </c>
      <c r="R18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2571.1559999999999</v>
      </c>
    </row>
    <row r="1848" spans="1:18" x14ac:dyDescent="0.3">
      <c r="A1848" s="2">
        <v>1841</v>
      </c>
      <c r="B1848" s="2" t="s">
        <v>5358</v>
      </c>
      <c r="C1848" s="2" t="s">
        <v>5359</v>
      </c>
      <c r="D1848" s="2" t="s">
        <v>28</v>
      </c>
      <c r="E1848" s="2" t="s">
        <v>29</v>
      </c>
      <c r="F1848" s="2">
        <v>60</v>
      </c>
      <c r="G1848" s="2" t="s">
        <v>10504</v>
      </c>
      <c r="H1848" s="2" t="s">
        <v>37</v>
      </c>
      <c r="I1848" s="2" t="s">
        <v>38</v>
      </c>
      <c r="J1848" s="3">
        <v>44559</v>
      </c>
      <c r="K1848" s="5">
        <f>YEAR(OrganizedData[[#This Row],[Order Date]])</f>
        <v>2021</v>
      </c>
      <c r="L1848" s="7" t="str">
        <f>TEXT(OrganizedData[[#This Row],[Order Date]],"mmm")</f>
        <v>Dec</v>
      </c>
      <c r="M1848" s="2">
        <v>5</v>
      </c>
      <c r="N1848" s="2" t="s">
        <v>64</v>
      </c>
      <c r="O1848" s="2" t="str">
        <f>VLOOKUP(OrganizedData[[#This Row],[Product Code]],ProductData[[Code]:[Item]],2,FALSE)</f>
        <v>Ultrathing V4</v>
      </c>
      <c r="P1848" s="4">
        <f>OrganizedData[[#This Row],[Quantity]]*VLOOKUP(OrganizedData[[#This Row],[Product Code]],ProductData[],4,FALSE)</f>
        <v>120</v>
      </c>
      <c r="Q1848" s="6">
        <f>OrganizedData[[#This Row],[Total Items Ordered]]*VLOOKUP(OrganizedData[[#This Row],[Product Code]],ProductData[],3,FALSE)</f>
        <v>478.8</v>
      </c>
      <c r="R18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1849" spans="1:18" x14ac:dyDescent="0.3">
      <c r="A1849" s="2">
        <v>1842</v>
      </c>
      <c r="B1849" s="2" t="s">
        <v>5361</v>
      </c>
      <c r="C1849" s="2" t="s">
        <v>5362</v>
      </c>
      <c r="D1849" s="2" t="s">
        <v>15</v>
      </c>
      <c r="E1849" s="2" t="s">
        <v>16</v>
      </c>
      <c r="F1849" s="2">
        <v>30</v>
      </c>
      <c r="G1849" s="2" t="s">
        <v>5363</v>
      </c>
      <c r="H1849" s="2" t="s">
        <v>5122</v>
      </c>
      <c r="I1849" s="2" t="s">
        <v>25</v>
      </c>
      <c r="J1849" s="3">
        <v>44514</v>
      </c>
      <c r="K1849" s="5">
        <f>YEAR(OrganizedData[[#This Row],[Order Date]])</f>
        <v>2021</v>
      </c>
      <c r="L1849" s="7" t="str">
        <f>TEXT(OrganizedData[[#This Row],[Order Date]],"mmm")</f>
        <v>Nov</v>
      </c>
      <c r="M1849" s="2">
        <v>70</v>
      </c>
      <c r="N1849" s="2" t="s">
        <v>101</v>
      </c>
      <c r="O1849" s="2" t="str">
        <f>VLOOKUP(OrganizedData[[#This Row],[Product Code]],ProductData[[Code]:[Item]],2,FALSE)</f>
        <v>Superwossname</v>
      </c>
      <c r="P1849" s="4">
        <f>OrganizedData[[#This Row],[Quantity]]*VLOOKUP(OrganizedData[[#This Row],[Product Code]],ProductData[],4,FALSE)</f>
        <v>1400</v>
      </c>
      <c r="Q1849" s="6">
        <f>OrganizedData[[#This Row],[Total Items Ordered]]*VLOOKUP(OrganizedData[[#This Row],[Product Code]],ProductData[],3,FALSE)</f>
        <v>4886</v>
      </c>
      <c r="R18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4641.7</v>
      </c>
    </row>
    <row r="1850" spans="1:18" x14ac:dyDescent="0.3">
      <c r="A1850" s="2">
        <v>1843</v>
      </c>
      <c r="B1850" s="2" t="s">
        <v>5364</v>
      </c>
      <c r="C1850" s="2" t="s">
        <v>3922</v>
      </c>
      <c r="D1850" s="2" t="s">
        <v>28</v>
      </c>
      <c r="E1850" s="2" t="s">
        <v>29</v>
      </c>
      <c r="F1850" s="2">
        <v>90</v>
      </c>
      <c r="G1850" s="2" t="s">
        <v>5365</v>
      </c>
      <c r="H1850" s="2" t="s">
        <v>5241</v>
      </c>
      <c r="I1850" s="2" t="s">
        <v>32</v>
      </c>
      <c r="J1850" s="3">
        <v>43855</v>
      </c>
      <c r="K1850" s="5">
        <f>YEAR(OrganizedData[[#This Row],[Order Date]])</f>
        <v>2020</v>
      </c>
      <c r="L1850" s="7" t="str">
        <f>TEXT(OrganizedData[[#This Row],[Order Date]],"mmm")</f>
        <v>Jan</v>
      </c>
      <c r="M1850" s="2">
        <v>6</v>
      </c>
      <c r="N1850" s="2" t="s">
        <v>70</v>
      </c>
      <c r="O1850" s="2" t="str">
        <f>VLOOKUP(OrganizedData[[#This Row],[Product Code]],ProductData[[Code]:[Item]],2,FALSE)</f>
        <v>Megawidget M</v>
      </c>
      <c r="P1850" s="4">
        <f>OrganizedData[[#This Row],[Quantity]]*VLOOKUP(OrganizedData[[#This Row],[Product Code]],ProductData[],4,FALSE)</f>
        <v>144</v>
      </c>
      <c r="Q1850" s="6">
        <f>OrganizedData[[#This Row],[Total Items Ordered]]*VLOOKUP(OrganizedData[[#This Row],[Product Code]],ProductData[],3,FALSE)</f>
        <v>185.76</v>
      </c>
      <c r="R18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185.76</v>
      </c>
    </row>
    <row r="1851" spans="1:18" x14ac:dyDescent="0.3">
      <c r="A1851" s="2">
        <v>1844</v>
      </c>
      <c r="B1851" s="2" t="s">
        <v>4233</v>
      </c>
      <c r="C1851" s="2" t="s">
        <v>5366</v>
      </c>
      <c r="D1851" s="2" t="s">
        <v>28</v>
      </c>
      <c r="E1851" s="2" t="s">
        <v>29</v>
      </c>
      <c r="F1851" s="2">
        <v>90</v>
      </c>
      <c r="G1851" s="2" t="s">
        <v>5367</v>
      </c>
      <c r="H1851" s="2" t="s">
        <v>2804</v>
      </c>
      <c r="I1851" s="2" t="s">
        <v>124</v>
      </c>
      <c r="J1851" s="3">
        <v>44632</v>
      </c>
      <c r="K1851" s="5">
        <f>YEAR(OrganizedData[[#This Row],[Order Date]])</f>
        <v>2022</v>
      </c>
      <c r="L1851" s="7" t="str">
        <f>TEXT(OrganizedData[[#This Row],[Order Date]],"mmm")</f>
        <v>Mar</v>
      </c>
      <c r="M1851" s="2">
        <v>92</v>
      </c>
      <c r="N1851" s="2" t="s">
        <v>45</v>
      </c>
      <c r="O1851" s="2" t="str">
        <f>VLOOKUP(OrganizedData[[#This Row],[Product Code]],ProductData[[Code]:[Item]],2,FALSE)</f>
        <v>Gigastuff</v>
      </c>
      <c r="P1851" s="4">
        <f>OrganizedData[[#This Row],[Quantity]]*VLOOKUP(OrganizedData[[#This Row],[Product Code]],ProductData[],4,FALSE)</f>
        <v>1656</v>
      </c>
      <c r="Q1851" s="6">
        <f>OrganizedData[[#This Row],[Total Items Ordered]]*VLOOKUP(OrganizedData[[#This Row],[Product Code]],ProductData[],3,FALSE)</f>
        <v>3129.8399999999997</v>
      </c>
      <c r="R18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2973.3479999999995</v>
      </c>
    </row>
    <row r="1852" spans="1:18" x14ac:dyDescent="0.3">
      <c r="A1852" s="2">
        <v>1845</v>
      </c>
      <c r="B1852" s="2" t="s">
        <v>5368</v>
      </c>
      <c r="C1852" s="2" t="s">
        <v>3887</v>
      </c>
      <c r="D1852" s="2" t="s">
        <v>15</v>
      </c>
      <c r="E1852" s="2" t="s">
        <v>16</v>
      </c>
      <c r="F1852" s="2">
        <v>90</v>
      </c>
      <c r="G1852" s="2" t="s">
        <v>5369</v>
      </c>
      <c r="H1852" s="2" t="s">
        <v>714</v>
      </c>
      <c r="I1852" s="2" t="s">
        <v>38</v>
      </c>
      <c r="J1852" s="3">
        <v>44236</v>
      </c>
      <c r="K1852" s="5">
        <f>YEAR(OrganizedData[[#This Row],[Order Date]])</f>
        <v>2021</v>
      </c>
      <c r="L1852" s="7" t="str">
        <f>TEXT(OrganizedData[[#This Row],[Order Date]],"mmm")</f>
        <v>Feb</v>
      </c>
      <c r="M1852" s="2">
        <v>43</v>
      </c>
      <c r="N1852" s="2" t="s">
        <v>45</v>
      </c>
      <c r="O1852" s="2" t="str">
        <f>VLOOKUP(OrganizedData[[#This Row],[Product Code]],ProductData[[Code]:[Item]],2,FALSE)</f>
        <v>Gigastuff</v>
      </c>
      <c r="P1852" s="4">
        <f>OrganizedData[[#This Row],[Quantity]]*VLOOKUP(OrganizedData[[#This Row],[Product Code]],ProductData[],4,FALSE)</f>
        <v>774</v>
      </c>
      <c r="Q1852" s="6">
        <f>OrganizedData[[#This Row],[Total Items Ordered]]*VLOOKUP(OrganizedData[[#This Row],[Product Code]],ProductData[],3,FALSE)</f>
        <v>1462.86</v>
      </c>
      <c r="R18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1853" spans="1:18" x14ac:dyDescent="0.3">
      <c r="A1853" s="2">
        <v>1846</v>
      </c>
      <c r="B1853" s="2" t="s">
        <v>364</v>
      </c>
      <c r="C1853" s="2" t="s">
        <v>5370</v>
      </c>
      <c r="D1853" s="2" t="s">
        <v>51</v>
      </c>
      <c r="E1853" s="2" t="s">
        <v>16</v>
      </c>
      <c r="F1853" s="2">
        <v>60</v>
      </c>
      <c r="G1853" s="2" t="s">
        <v>5371</v>
      </c>
      <c r="H1853" s="2" t="s">
        <v>2325</v>
      </c>
      <c r="I1853" s="2" t="s">
        <v>173</v>
      </c>
      <c r="J1853" s="3">
        <v>44433</v>
      </c>
      <c r="K1853" s="5">
        <f>YEAR(OrganizedData[[#This Row],[Order Date]])</f>
        <v>2021</v>
      </c>
      <c r="L1853" s="7" t="str">
        <f>TEXT(OrganizedData[[#This Row],[Order Date]],"mmm")</f>
        <v>Aug</v>
      </c>
      <c r="M1853" s="2">
        <v>2</v>
      </c>
      <c r="N1853" s="2" t="s">
        <v>54</v>
      </c>
      <c r="O1853" s="2" t="str">
        <f>VLOOKUP(OrganizedData[[#This Row],[Product Code]],ProductData[[Code]:[Item]],2,FALSE)</f>
        <v>Megawidget S</v>
      </c>
      <c r="P1853" s="4">
        <f>OrganizedData[[#This Row],[Quantity]]*VLOOKUP(OrganizedData[[#This Row],[Product Code]],ProductData[],4,FALSE)</f>
        <v>48</v>
      </c>
      <c r="Q1853" s="6">
        <f>OrganizedData[[#This Row],[Total Items Ordered]]*VLOOKUP(OrganizedData[[#This Row],[Product Code]],ProductData[],3,FALSE)</f>
        <v>33.119999999999997</v>
      </c>
      <c r="R18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33.119999999999997</v>
      </c>
    </row>
    <row r="1854" spans="1:18" x14ac:dyDescent="0.3">
      <c r="A1854" s="2">
        <v>1847</v>
      </c>
      <c r="B1854" s="2" t="s">
        <v>3158</v>
      </c>
      <c r="C1854" s="2" t="s">
        <v>556</v>
      </c>
      <c r="D1854" s="2" t="s">
        <v>28</v>
      </c>
      <c r="E1854" s="2" t="s">
        <v>29</v>
      </c>
      <c r="F1854" s="2">
        <v>90</v>
      </c>
      <c r="G1854" s="2" t="s">
        <v>5372</v>
      </c>
      <c r="H1854" s="2" t="s">
        <v>4034</v>
      </c>
      <c r="I1854" s="2" t="s">
        <v>178</v>
      </c>
      <c r="J1854" s="3">
        <v>44311</v>
      </c>
      <c r="K1854" s="5">
        <f>YEAR(OrganizedData[[#This Row],[Order Date]])</f>
        <v>2021</v>
      </c>
      <c r="L1854" s="7" t="str">
        <f>TEXT(OrganizedData[[#This Row],[Order Date]],"mmm")</f>
        <v>Apr</v>
      </c>
      <c r="M1854" s="2">
        <v>91</v>
      </c>
      <c r="N1854" s="2" t="s">
        <v>80</v>
      </c>
      <c r="O1854" s="2" t="str">
        <f>VLOOKUP(OrganizedData[[#This Row],[Product Code]],ProductData[[Code]:[Item]],2,FALSE)</f>
        <v>Ultrathing V2</v>
      </c>
      <c r="P1854" s="4">
        <f>OrganizedData[[#This Row],[Quantity]]*VLOOKUP(OrganizedData[[#This Row],[Product Code]],ProductData[],4,FALSE)</f>
        <v>1820</v>
      </c>
      <c r="Q1854" s="6">
        <f>OrganizedData[[#This Row],[Total Items Ordered]]*VLOOKUP(OrganizedData[[#This Row],[Product Code]],ProductData[],3,FALSE)</f>
        <v>5369</v>
      </c>
      <c r="R18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1855" spans="1:18" x14ac:dyDescent="0.3">
      <c r="A1855" s="2">
        <v>1848</v>
      </c>
      <c r="B1855" s="2" t="s">
        <v>5373</v>
      </c>
      <c r="C1855" s="2" t="s">
        <v>5374</v>
      </c>
      <c r="D1855" s="2" t="s">
        <v>41</v>
      </c>
      <c r="E1855" s="2" t="s">
        <v>16</v>
      </c>
      <c r="F1855" s="2">
        <v>90</v>
      </c>
      <c r="G1855" s="2" t="s">
        <v>5375</v>
      </c>
      <c r="H1855" s="2" t="s">
        <v>5376</v>
      </c>
      <c r="I1855" s="2" t="s">
        <v>32</v>
      </c>
      <c r="J1855" s="3">
        <v>44578</v>
      </c>
      <c r="K1855" s="5">
        <f>YEAR(OrganizedData[[#This Row],[Order Date]])</f>
        <v>2022</v>
      </c>
      <c r="L1855" s="7" t="str">
        <f>TEXT(OrganizedData[[#This Row],[Order Date]],"mmm")</f>
        <v>Jan</v>
      </c>
      <c r="M1855" s="2">
        <v>6</v>
      </c>
      <c r="N1855" s="2" t="s">
        <v>39</v>
      </c>
      <c r="O1855" s="2" t="str">
        <f>VLOOKUP(OrganizedData[[#This Row],[Product Code]],ProductData[[Code]:[Item]],2,FALSE)</f>
        <v>Ultrathing V1</v>
      </c>
      <c r="P1855" s="4">
        <f>OrganizedData[[#This Row],[Quantity]]*VLOOKUP(OrganizedData[[#This Row],[Product Code]],ProductData[],4,FALSE)</f>
        <v>102</v>
      </c>
      <c r="Q1855" s="6">
        <f>OrganizedData[[#This Row],[Total Items Ordered]]*VLOOKUP(OrganizedData[[#This Row],[Product Code]],ProductData[],3,FALSE)</f>
        <v>182.58</v>
      </c>
      <c r="R18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1856" spans="1:18" x14ac:dyDescent="0.3">
      <c r="A1856" s="2">
        <v>1849</v>
      </c>
      <c r="B1856" s="2" t="s">
        <v>5377</v>
      </c>
      <c r="C1856" s="2" t="s">
        <v>972</v>
      </c>
      <c r="D1856" s="2" t="s">
        <v>15</v>
      </c>
      <c r="E1856" s="2" t="s">
        <v>16</v>
      </c>
      <c r="F1856" s="2">
        <v>30</v>
      </c>
      <c r="G1856" s="2" t="s">
        <v>5378</v>
      </c>
      <c r="H1856" s="2" t="s">
        <v>5379</v>
      </c>
      <c r="I1856" s="2" t="s">
        <v>1199</v>
      </c>
      <c r="J1856" s="3">
        <v>43832</v>
      </c>
      <c r="K1856" s="5">
        <f>YEAR(OrganizedData[[#This Row],[Order Date]])</f>
        <v>2020</v>
      </c>
      <c r="L1856" s="7" t="str">
        <f>TEXT(OrganizedData[[#This Row],[Order Date]],"mmm")</f>
        <v>Jan</v>
      </c>
      <c r="M1856" s="2">
        <v>74</v>
      </c>
      <c r="N1856" s="2" t="s">
        <v>70</v>
      </c>
      <c r="O1856" s="2" t="str">
        <f>VLOOKUP(OrganizedData[[#This Row],[Product Code]],ProductData[[Code]:[Item]],2,FALSE)</f>
        <v>Megawidget M</v>
      </c>
      <c r="P1856" s="4">
        <f>OrganizedData[[#This Row],[Quantity]]*VLOOKUP(OrganizedData[[#This Row],[Product Code]],ProductData[],4,FALSE)</f>
        <v>1776</v>
      </c>
      <c r="Q1856" s="6">
        <f>OrganizedData[[#This Row],[Total Items Ordered]]*VLOOKUP(OrganizedData[[#This Row],[Product Code]],ProductData[],3,FALSE)</f>
        <v>2291.04</v>
      </c>
      <c r="R18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2176.4879999999998</v>
      </c>
    </row>
    <row r="1857" spans="1:18" x14ac:dyDescent="0.3">
      <c r="A1857" s="2">
        <v>1850</v>
      </c>
      <c r="B1857" s="2" t="s">
        <v>5380</v>
      </c>
      <c r="C1857" s="2" t="s">
        <v>5381</v>
      </c>
      <c r="D1857" s="2" t="s">
        <v>92</v>
      </c>
      <c r="E1857" s="2" t="s">
        <v>29</v>
      </c>
      <c r="F1857" s="2">
        <v>60</v>
      </c>
      <c r="G1857" s="2" t="s">
        <v>5382</v>
      </c>
      <c r="H1857" s="2" t="s">
        <v>951</v>
      </c>
      <c r="I1857" s="2" t="s">
        <v>95</v>
      </c>
      <c r="J1857" s="3">
        <v>43952</v>
      </c>
      <c r="K1857" s="5">
        <f>YEAR(OrganizedData[[#This Row],[Order Date]])</f>
        <v>2020</v>
      </c>
      <c r="L1857" s="7" t="str">
        <f>TEXT(OrganizedData[[#This Row],[Order Date]],"mmm")</f>
        <v>May</v>
      </c>
      <c r="M1857" s="2">
        <v>80</v>
      </c>
      <c r="N1857" s="2" t="s">
        <v>80</v>
      </c>
      <c r="O1857" s="2" t="str">
        <f>VLOOKUP(OrganizedData[[#This Row],[Product Code]],ProductData[[Code]:[Item]],2,FALSE)</f>
        <v>Ultrathing V2</v>
      </c>
      <c r="P1857" s="4">
        <f>OrganizedData[[#This Row],[Quantity]]*VLOOKUP(OrganizedData[[#This Row],[Product Code]],ProductData[],4,FALSE)</f>
        <v>1600</v>
      </c>
      <c r="Q1857" s="6">
        <f>OrganizedData[[#This Row],[Total Items Ordered]]*VLOOKUP(OrganizedData[[#This Row],[Product Code]],ProductData[],3,FALSE)</f>
        <v>4720</v>
      </c>
      <c r="R18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4484</v>
      </c>
    </row>
    <row r="1858" spans="1:18" x14ac:dyDescent="0.3">
      <c r="A1858" s="2">
        <v>1851</v>
      </c>
      <c r="B1858" s="2" t="s">
        <v>3515</v>
      </c>
      <c r="C1858" s="2" t="s">
        <v>5383</v>
      </c>
      <c r="D1858" s="2" t="s">
        <v>28</v>
      </c>
      <c r="E1858" s="2" t="s">
        <v>29</v>
      </c>
      <c r="F1858" s="2">
        <v>30</v>
      </c>
      <c r="G1858" s="2" t="s">
        <v>10505</v>
      </c>
      <c r="H1858" s="2" t="s">
        <v>4675</v>
      </c>
      <c r="I1858" s="2" t="s">
        <v>178</v>
      </c>
      <c r="J1858" s="3">
        <v>43859</v>
      </c>
      <c r="K1858" s="5">
        <f>YEAR(OrganizedData[[#This Row],[Order Date]])</f>
        <v>2020</v>
      </c>
      <c r="L1858" s="7" t="str">
        <f>TEXT(OrganizedData[[#This Row],[Order Date]],"mmm")</f>
        <v>Jan</v>
      </c>
      <c r="M1858" s="2">
        <v>13</v>
      </c>
      <c r="N1858" s="2" t="s">
        <v>80</v>
      </c>
      <c r="O1858" s="2" t="str">
        <f>VLOOKUP(OrganizedData[[#This Row],[Product Code]],ProductData[[Code]:[Item]],2,FALSE)</f>
        <v>Ultrathing V2</v>
      </c>
      <c r="P1858" s="4">
        <f>OrganizedData[[#This Row],[Quantity]]*VLOOKUP(OrganizedData[[#This Row],[Product Code]],ProductData[],4,FALSE)</f>
        <v>260</v>
      </c>
      <c r="Q1858" s="6">
        <f>OrganizedData[[#This Row],[Total Items Ordered]]*VLOOKUP(OrganizedData[[#This Row],[Product Code]],ProductData[],3,FALSE)</f>
        <v>767</v>
      </c>
      <c r="R18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v>
      </c>
    </row>
    <row r="1859" spans="1:18" x14ac:dyDescent="0.3">
      <c r="A1859" s="2">
        <v>1852</v>
      </c>
      <c r="B1859" s="2" t="s">
        <v>5020</v>
      </c>
      <c r="C1859" s="2" t="s">
        <v>5385</v>
      </c>
      <c r="D1859" s="2" t="s">
        <v>51</v>
      </c>
      <c r="E1859" s="2" t="s">
        <v>16</v>
      </c>
      <c r="F1859" s="2">
        <v>30</v>
      </c>
      <c r="G1859" s="2" t="s">
        <v>10506</v>
      </c>
      <c r="H1859" s="2" t="s">
        <v>3558</v>
      </c>
      <c r="I1859" s="2" t="s">
        <v>32</v>
      </c>
      <c r="J1859" s="3">
        <v>44385</v>
      </c>
      <c r="K1859" s="5">
        <f>YEAR(OrganizedData[[#This Row],[Order Date]])</f>
        <v>2021</v>
      </c>
      <c r="L1859" s="7" t="str">
        <f>TEXT(OrganizedData[[#This Row],[Order Date]],"mmm")</f>
        <v>Jul</v>
      </c>
      <c r="M1859" s="2">
        <v>93</v>
      </c>
      <c r="N1859" s="2" t="s">
        <v>70</v>
      </c>
      <c r="O1859" s="2" t="str">
        <f>VLOOKUP(OrganizedData[[#This Row],[Product Code]],ProductData[[Code]:[Item]],2,FALSE)</f>
        <v>Megawidget M</v>
      </c>
      <c r="P1859" s="4">
        <f>OrganizedData[[#This Row],[Quantity]]*VLOOKUP(OrganizedData[[#This Row],[Product Code]],ProductData[],4,FALSE)</f>
        <v>2232</v>
      </c>
      <c r="Q1859" s="6">
        <f>OrganizedData[[#This Row],[Total Items Ordered]]*VLOOKUP(OrganizedData[[#This Row],[Product Code]],ProductData[],3,FALSE)</f>
        <v>2879.28</v>
      </c>
      <c r="R18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2735.3160000000003</v>
      </c>
    </row>
    <row r="1860" spans="1:18" x14ac:dyDescent="0.3">
      <c r="A1860" s="2">
        <v>1853</v>
      </c>
      <c r="B1860" s="2" t="s">
        <v>5387</v>
      </c>
      <c r="C1860" s="2" t="s">
        <v>4314</v>
      </c>
      <c r="D1860" s="2" t="s">
        <v>15</v>
      </c>
      <c r="E1860" s="2" t="s">
        <v>16</v>
      </c>
      <c r="F1860" s="2">
        <v>60</v>
      </c>
      <c r="G1860" s="2" t="s">
        <v>5388</v>
      </c>
      <c r="H1860" s="2" t="s">
        <v>3628</v>
      </c>
      <c r="I1860" s="2" t="s">
        <v>32</v>
      </c>
      <c r="J1860" s="3">
        <v>44431</v>
      </c>
      <c r="K1860" s="5">
        <f>YEAR(OrganizedData[[#This Row],[Order Date]])</f>
        <v>2021</v>
      </c>
      <c r="L1860" s="7" t="str">
        <f>TEXT(OrganizedData[[#This Row],[Order Date]],"mmm")</f>
        <v>Aug</v>
      </c>
      <c r="M1860" s="2">
        <v>76</v>
      </c>
      <c r="N1860" s="2" t="s">
        <v>45</v>
      </c>
      <c r="O1860" s="2" t="str">
        <f>VLOOKUP(OrganizedData[[#This Row],[Product Code]],ProductData[[Code]:[Item]],2,FALSE)</f>
        <v>Gigastuff</v>
      </c>
      <c r="P1860" s="4">
        <f>OrganizedData[[#This Row],[Quantity]]*VLOOKUP(OrganizedData[[#This Row],[Product Code]],ProductData[],4,FALSE)</f>
        <v>1368</v>
      </c>
      <c r="Q1860" s="6">
        <f>OrganizedData[[#This Row],[Total Items Ordered]]*VLOOKUP(OrganizedData[[#This Row],[Product Code]],ProductData[],3,FALSE)</f>
        <v>2585.52</v>
      </c>
      <c r="R18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2456.2439999999997</v>
      </c>
    </row>
    <row r="1861" spans="1:18" x14ac:dyDescent="0.3">
      <c r="A1861" s="2">
        <v>1854</v>
      </c>
      <c r="B1861" s="2" t="s">
        <v>4697</v>
      </c>
      <c r="C1861" s="2" t="s">
        <v>5389</v>
      </c>
      <c r="D1861" s="2" t="s">
        <v>28</v>
      </c>
      <c r="E1861" s="2" t="s">
        <v>29</v>
      </c>
      <c r="F1861" s="2">
        <v>60</v>
      </c>
      <c r="G1861" s="2" t="s">
        <v>5390</v>
      </c>
      <c r="H1861" s="2" t="s">
        <v>1107</v>
      </c>
      <c r="I1861" s="2" t="s">
        <v>32</v>
      </c>
      <c r="J1861" s="3">
        <v>44031</v>
      </c>
      <c r="K1861" s="5">
        <f>YEAR(OrganizedData[[#This Row],[Order Date]])</f>
        <v>2020</v>
      </c>
      <c r="L1861" s="7" t="str">
        <f>TEXT(OrganizedData[[#This Row],[Order Date]],"mmm")</f>
        <v>Jul</v>
      </c>
      <c r="M1861" s="2">
        <v>85</v>
      </c>
      <c r="N1861" s="2" t="s">
        <v>45</v>
      </c>
      <c r="O1861" s="2" t="str">
        <f>VLOOKUP(OrganizedData[[#This Row],[Product Code]],ProductData[[Code]:[Item]],2,FALSE)</f>
        <v>Gigastuff</v>
      </c>
      <c r="P1861" s="4">
        <f>OrganizedData[[#This Row],[Quantity]]*VLOOKUP(OrganizedData[[#This Row],[Product Code]],ProductData[],4,FALSE)</f>
        <v>1530</v>
      </c>
      <c r="Q1861" s="6">
        <f>OrganizedData[[#This Row],[Total Items Ordered]]*VLOOKUP(OrganizedData[[#This Row],[Product Code]],ProductData[],3,FALSE)</f>
        <v>2891.7</v>
      </c>
      <c r="R18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1862" spans="1:18" x14ac:dyDescent="0.3">
      <c r="A1862" s="2">
        <v>1855</v>
      </c>
      <c r="B1862" s="2" t="s">
        <v>1234</v>
      </c>
      <c r="C1862" s="2" t="s">
        <v>5391</v>
      </c>
      <c r="D1862" s="2" t="s">
        <v>28</v>
      </c>
      <c r="E1862" s="2" t="s">
        <v>29</v>
      </c>
      <c r="F1862" s="2">
        <v>90</v>
      </c>
      <c r="G1862" s="2" t="s">
        <v>5392</v>
      </c>
      <c r="H1862" s="2" t="s">
        <v>5207</v>
      </c>
      <c r="I1862" s="2" t="s">
        <v>38</v>
      </c>
      <c r="J1862" s="3">
        <v>44293</v>
      </c>
      <c r="K1862" s="5">
        <f>YEAR(OrganizedData[[#This Row],[Order Date]])</f>
        <v>2021</v>
      </c>
      <c r="L1862" s="7" t="str">
        <f>TEXT(OrganizedData[[#This Row],[Order Date]],"mmm")</f>
        <v>Apr</v>
      </c>
      <c r="M1862" s="2">
        <v>65</v>
      </c>
      <c r="N1862" s="2" t="s">
        <v>54</v>
      </c>
      <c r="O1862" s="2" t="str">
        <f>VLOOKUP(OrganizedData[[#This Row],[Product Code]],ProductData[[Code]:[Item]],2,FALSE)</f>
        <v>Megawidget S</v>
      </c>
      <c r="P1862" s="4">
        <f>OrganizedData[[#This Row],[Quantity]]*VLOOKUP(OrganizedData[[#This Row],[Product Code]],ProductData[],4,FALSE)</f>
        <v>1560</v>
      </c>
      <c r="Q1862" s="6">
        <f>OrganizedData[[#This Row],[Total Items Ordered]]*VLOOKUP(OrganizedData[[#This Row],[Product Code]],ProductData[],3,FALSE)</f>
        <v>1076.3999999999999</v>
      </c>
      <c r="R18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1863" spans="1:18" x14ac:dyDescent="0.3">
      <c r="A1863" s="2">
        <v>1856</v>
      </c>
      <c r="B1863" s="2" t="s">
        <v>5393</v>
      </c>
      <c r="C1863" s="2" t="s">
        <v>5217</v>
      </c>
      <c r="D1863" s="2" t="s">
        <v>15</v>
      </c>
      <c r="E1863" s="2" t="s">
        <v>16</v>
      </c>
      <c r="F1863" s="2">
        <v>30</v>
      </c>
      <c r="G1863" s="2" t="s">
        <v>5394</v>
      </c>
      <c r="H1863" s="2" t="s">
        <v>3291</v>
      </c>
      <c r="I1863" s="2" t="s">
        <v>124</v>
      </c>
      <c r="J1863" s="3">
        <v>44588</v>
      </c>
      <c r="K1863" s="5">
        <f>YEAR(OrganizedData[[#This Row],[Order Date]])</f>
        <v>2022</v>
      </c>
      <c r="L1863" s="7" t="str">
        <f>TEXT(OrganizedData[[#This Row],[Order Date]],"mmm")</f>
        <v>Jan</v>
      </c>
      <c r="M1863" s="2">
        <v>89</v>
      </c>
      <c r="N1863" s="2" t="s">
        <v>101</v>
      </c>
      <c r="O1863" s="2" t="str">
        <f>VLOOKUP(OrganizedData[[#This Row],[Product Code]],ProductData[[Code]:[Item]],2,FALSE)</f>
        <v>Superwossname</v>
      </c>
      <c r="P1863" s="4">
        <f>OrganizedData[[#This Row],[Quantity]]*VLOOKUP(OrganizedData[[#This Row],[Product Code]],ProductData[],4,FALSE)</f>
        <v>1780</v>
      </c>
      <c r="Q1863" s="6">
        <f>OrganizedData[[#This Row],[Total Items Ordered]]*VLOOKUP(OrganizedData[[#This Row],[Product Code]],ProductData[],3,FALSE)</f>
        <v>6212.2000000000007</v>
      </c>
      <c r="R18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5901.59</v>
      </c>
    </row>
    <row r="1864" spans="1:18" x14ac:dyDescent="0.3">
      <c r="A1864" s="2">
        <v>1857</v>
      </c>
      <c r="B1864" s="2" t="s">
        <v>4092</v>
      </c>
      <c r="C1864" s="2" t="s">
        <v>5395</v>
      </c>
      <c r="D1864" s="2" t="s">
        <v>28</v>
      </c>
      <c r="E1864" s="2" t="s">
        <v>29</v>
      </c>
      <c r="F1864" s="2">
        <v>60</v>
      </c>
      <c r="G1864" s="2" t="s">
        <v>5396</v>
      </c>
      <c r="H1864" s="2" t="s">
        <v>3203</v>
      </c>
      <c r="I1864" s="2" t="s">
        <v>32</v>
      </c>
      <c r="J1864" s="3">
        <v>44473</v>
      </c>
      <c r="K1864" s="5">
        <f>YEAR(OrganizedData[[#This Row],[Order Date]])</f>
        <v>2021</v>
      </c>
      <c r="L1864" s="7" t="str">
        <f>TEXT(OrganizedData[[#This Row],[Order Date]],"mmm")</f>
        <v>Oct</v>
      </c>
      <c r="M1864" s="2">
        <v>2</v>
      </c>
      <c r="N1864" s="2" t="s">
        <v>80</v>
      </c>
      <c r="O1864" s="2" t="str">
        <f>VLOOKUP(OrganizedData[[#This Row],[Product Code]],ProductData[[Code]:[Item]],2,FALSE)</f>
        <v>Ultrathing V2</v>
      </c>
      <c r="P1864" s="4">
        <f>OrganizedData[[#This Row],[Quantity]]*VLOOKUP(OrganizedData[[#This Row],[Product Code]],ProductData[],4,FALSE)</f>
        <v>40</v>
      </c>
      <c r="Q1864" s="6">
        <f>OrganizedData[[#This Row],[Total Items Ordered]]*VLOOKUP(OrganizedData[[#This Row],[Product Code]],ProductData[],3,FALSE)</f>
        <v>118</v>
      </c>
      <c r="R18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1865" spans="1:18" x14ac:dyDescent="0.3">
      <c r="A1865" s="2">
        <v>1858</v>
      </c>
      <c r="B1865" s="2" t="s">
        <v>5397</v>
      </c>
      <c r="C1865" s="2" t="s">
        <v>4531</v>
      </c>
      <c r="D1865" s="2" t="s">
        <v>15</v>
      </c>
      <c r="E1865" s="2" t="s">
        <v>16</v>
      </c>
      <c r="F1865" s="2">
        <v>30</v>
      </c>
      <c r="G1865" s="2" t="s">
        <v>10507</v>
      </c>
      <c r="H1865" s="2" t="s">
        <v>5399</v>
      </c>
      <c r="I1865" s="2" t="s">
        <v>32</v>
      </c>
      <c r="J1865" s="3">
        <v>44629</v>
      </c>
      <c r="K1865" s="5">
        <f>YEAR(OrganizedData[[#This Row],[Order Date]])</f>
        <v>2022</v>
      </c>
      <c r="L1865" s="7" t="str">
        <f>TEXT(OrganizedData[[#This Row],[Order Date]],"mmm")</f>
        <v>Mar</v>
      </c>
      <c r="M1865" s="2">
        <v>59</v>
      </c>
      <c r="N1865" s="2" t="s">
        <v>80</v>
      </c>
      <c r="O1865" s="2" t="str">
        <f>VLOOKUP(OrganizedData[[#This Row],[Product Code]],ProductData[[Code]:[Item]],2,FALSE)</f>
        <v>Ultrathing V2</v>
      </c>
      <c r="P1865" s="4">
        <f>OrganizedData[[#This Row],[Quantity]]*VLOOKUP(OrganizedData[[#This Row],[Product Code]],ProductData[],4,FALSE)</f>
        <v>1180</v>
      </c>
      <c r="Q1865" s="6">
        <f>OrganizedData[[#This Row],[Total Items Ordered]]*VLOOKUP(OrganizedData[[#This Row],[Product Code]],ProductData[],3,FALSE)</f>
        <v>3481</v>
      </c>
      <c r="R18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3306.95</v>
      </c>
    </row>
    <row r="1866" spans="1:18" x14ac:dyDescent="0.3">
      <c r="A1866" s="2">
        <v>1859</v>
      </c>
      <c r="B1866" s="2" t="s">
        <v>5400</v>
      </c>
      <c r="C1866" s="2" t="s">
        <v>1410</v>
      </c>
      <c r="D1866" s="2" t="s">
        <v>15</v>
      </c>
      <c r="E1866" s="2" t="s">
        <v>16</v>
      </c>
      <c r="F1866" s="2">
        <v>30</v>
      </c>
      <c r="G1866" s="2" t="s">
        <v>5401</v>
      </c>
      <c r="H1866" s="2" t="s">
        <v>1358</v>
      </c>
      <c r="I1866" s="2" t="s">
        <v>1359</v>
      </c>
      <c r="J1866" s="3">
        <v>44578</v>
      </c>
      <c r="K1866" s="5">
        <f>YEAR(OrganizedData[[#This Row],[Order Date]])</f>
        <v>2022</v>
      </c>
      <c r="L1866" s="7" t="str">
        <f>TEXT(OrganizedData[[#This Row],[Order Date]],"mmm")</f>
        <v>Jan</v>
      </c>
      <c r="M1866" s="2">
        <v>16</v>
      </c>
      <c r="N1866" s="2" t="s">
        <v>64</v>
      </c>
      <c r="O1866" s="2" t="str">
        <f>VLOOKUP(OrganizedData[[#This Row],[Product Code]],ProductData[[Code]:[Item]],2,FALSE)</f>
        <v>Ultrathing V4</v>
      </c>
      <c r="P1866" s="4">
        <f>OrganizedData[[#This Row],[Quantity]]*VLOOKUP(OrganizedData[[#This Row],[Product Code]],ProductData[],4,FALSE)</f>
        <v>384</v>
      </c>
      <c r="Q1866" s="6">
        <f>OrganizedData[[#This Row],[Total Items Ordered]]*VLOOKUP(OrganizedData[[#This Row],[Product Code]],ProductData[],3,FALSE)</f>
        <v>1532.16</v>
      </c>
      <c r="R18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1867" spans="1:18" x14ac:dyDescent="0.3">
      <c r="A1867" s="2">
        <v>1860</v>
      </c>
      <c r="B1867" s="2" t="s">
        <v>1886</v>
      </c>
      <c r="C1867" s="2" t="s">
        <v>961</v>
      </c>
      <c r="D1867" s="2" t="s">
        <v>51</v>
      </c>
      <c r="E1867" s="2" t="s">
        <v>16</v>
      </c>
      <c r="F1867" s="2">
        <v>60</v>
      </c>
      <c r="G1867" s="2" t="s">
        <v>5402</v>
      </c>
      <c r="H1867" s="2" t="s">
        <v>5403</v>
      </c>
      <c r="I1867" s="2" t="s">
        <v>5404</v>
      </c>
      <c r="J1867" s="3">
        <v>44234</v>
      </c>
      <c r="K1867" s="5">
        <f>YEAR(OrganizedData[[#This Row],[Order Date]])</f>
        <v>2021</v>
      </c>
      <c r="L1867" s="7" t="str">
        <f>TEXT(OrganizedData[[#This Row],[Order Date]],"mmm")</f>
        <v>Feb</v>
      </c>
      <c r="M1867" s="2">
        <v>71</v>
      </c>
      <c r="N1867" s="2" t="s">
        <v>80</v>
      </c>
      <c r="O1867" s="2" t="str">
        <f>VLOOKUP(OrganizedData[[#This Row],[Product Code]],ProductData[[Code]:[Item]],2,FALSE)</f>
        <v>Ultrathing V2</v>
      </c>
      <c r="P1867" s="4">
        <f>OrganizedData[[#This Row],[Quantity]]*VLOOKUP(OrganizedData[[#This Row],[Product Code]],ProductData[],4,FALSE)</f>
        <v>1420</v>
      </c>
      <c r="Q1867" s="6">
        <f>OrganizedData[[#This Row],[Total Items Ordered]]*VLOOKUP(OrganizedData[[#This Row],[Product Code]],ProductData[],3,FALSE)</f>
        <v>4189</v>
      </c>
      <c r="R18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3979.5499999999997</v>
      </c>
    </row>
    <row r="1868" spans="1:18" x14ac:dyDescent="0.3">
      <c r="A1868" s="2">
        <v>1861</v>
      </c>
      <c r="B1868" s="2" t="s">
        <v>5405</v>
      </c>
      <c r="C1868" s="2" t="s">
        <v>4829</v>
      </c>
      <c r="D1868" s="2" t="s">
        <v>15</v>
      </c>
      <c r="E1868" s="2" t="s">
        <v>16</v>
      </c>
      <c r="F1868" s="2">
        <v>60</v>
      </c>
      <c r="G1868" s="2" t="s">
        <v>5402</v>
      </c>
      <c r="H1868" s="2" t="s">
        <v>5406</v>
      </c>
      <c r="I1868" s="2" t="s">
        <v>32</v>
      </c>
      <c r="J1868" s="3">
        <v>44871</v>
      </c>
      <c r="K1868" s="5">
        <f>YEAR(OrganizedData[[#This Row],[Order Date]])</f>
        <v>2022</v>
      </c>
      <c r="L1868" s="7" t="str">
        <f>TEXT(OrganizedData[[#This Row],[Order Date]],"mmm")</f>
        <v>Nov</v>
      </c>
      <c r="M1868" s="2">
        <v>99</v>
      </c>
      <c r="N1868" s="2" t="s">
        <v>80</v>
      </c>
      <c r="O1868" s="2" t="str">
        <f>VLOOKUP(OrganizedData[[#This Row],[Product Code]],ProductData[[Code]:[Item]],2,FALSE)</f>
        <v>Ultrathing V2</v>
      </c>
      <c r="P1868" s="4">
        <f>OrganizedData[[#This Row],[Quantity]]*VLOOKUP(OrganizedData[[#This Row],[Product Code]],ProductData[],4,FALSE)</f>
        <v>1980</v>
      </c>
      <c r="Q1868" s="6">
        <f>OrganizedData[[#This Row],[Total Items Ordered]]*VLOOKUP(OrganizedData[[#This Row],[Product Code]],ProductData[],3,FALSE)</f>
        <v>5841</v>
      </c>
      <c r="R18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5548.95</v>
      </c>
    </row>
    <row r="1869" spans="1:18" x14ac:dyDescent="0.3">
      <c r="A1869" s="2">
        <v>1862</v>
      </c>
      <c r="B1869" s="2" t="s">
        <v>5407</v>
      </c>
      <c r="C1869" s="2" t="s">
        <v>5408</v>
      </c>
      <c r="D1869" s="2" t="s">
        <v>51</v>
      </c>
      <c r="E1869" s="2" t="s">
        <v>16</v>
      </c>
      <c r="F1869" s="2">
        <v>60</v>
      </c>
      <c r="G1869" s="2" t="s">
        <v>10508</v>
      </c>
      <c r="H1869" s="2" t="s">
        <v>2749</v>
      </c>
      <c r="I1869" s="2" t="s">
        <v>187</v>
      </c>
      <c r="J1869" s="3">
        <v>43910</v>
      </c>
      <c r="K1869" s="5">
        <f>YEAR(OrganizedData[[#This Row],[Order Date]])</f>
        <v>2020</v>
      </c>
      <c r="L1869" s="7" t="str">
        <f>TEXT(OrganizedData[[#This Row],[Order Date]],"mmm")</f>
        <v>Mar</v>
      </c>
      <c r="M1869" s="2">
        <v>70</v>
      </c>
      <c r="N1869" s="2" t="s">
        <v>33</v>
      </c>
      <c r="O1869" s="2" t="str">
        <f>VLOOKUP(OrganizedData[[#This Row],[Product Code]],ProductData[[Code]:[Item]],2,FALSE)</f>
        <v>Megawidget L</v>
      </c>
      <c r="P1869" s="4">
        <f>OrganizedData[[#This Row],[Quantity]]*VLOOKUP(OrganizedData[[#This Row],[Product Code]],ProductData[],4,FALSE)</f>
        <v>1680</v>
      </c>
      <c r="Q1869" s="6">
        <f>OrganizedData[[#This Row],[Total Items Ordered]]*VLOOKUP(OrganizedData[[#This Row],[Product Code]],ProductData[],3,FALSE)</f>
        <v>3007.2000000000003</v>
      </c>
      <c r="R18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1870" spans="1:18" x14ac:dyDescent="0.3">
      <c r="A1870" s="2">
        <v>1863</v>
      </c>
      <c r="B1870" s="2" t="s">
        <v>5410</v>
      </c>
      <c r="C1870" s="2" t="s">
        <v>5142</v>
      </c>
      <c r="D1870" s="2" t="s">
        <v>15</v>
      </c>
      <c r="E1870" s="2" t="s">
        <v>16</v>
      </c>
      <c r="F1870" s="2">
        <v>90</v>
      </c>
      <c r="G1870" s="2" t="s">
        <v>5411</v>
      </c>
      <c r="H1870" s="2" t="s">
        <v>154</v>
      </c>
      <c r="I1870" s="2" t="s">
        <v>25</v>
      </c>
      <c r="J1870" s="3">
        <v>44603</v>
      </c>
      <c r="K1870" s="5">
        <f>YEAR(OrganizedData[[#This Row],[Order Date]])</f>
        <v>2022</v>
      </c>
      <c r="L1870" s="7" t="str">
        <f>TEXT(OrganizedData[[#This Row],[Order Date]],"mmm")</f>
        <v>Feb</v>
      </c>
      <c r="M1870" s="2">
        <v>103</v>
      </c>
      <c r="N1870" s="2" t="s">
        <v>159</v>
      </c>
      <c r="O1870" s="2" t="str">
        <f>VLOOKUP(OrganizedData[[#This Row],[Product Code]],ProductData[[Code]:[Item]],2,FALSE)</f>
        <v>Ultrathing V3</v>
      </c>
      <c r="P1870" s="4">
        <f>OrganizedData[[#This Row],[Quantity]]*VLOOKUP(OrganizedData[[#This Row],[Product Code]],ProductData[],4,FALSE)</f>
        <v>2472</v>
      </c>
      <c r="Q1870" s="6">
        <f>OrganizedData[[#This Row],[Total Items Ordered]]*VLOOKUP(OrganizedData[[#This Row],[Product Code]],ProductData[],3,FALSE)</f>
        <v>8380.08</v>
      </c>
      <c r="R18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7793.4744000000001</v>
      </c>
    </row>
    <row r="1871" spans="1:18" x14ac:dyDescent="0.3">
      <c r="A1871" s="2">
        <v>1864</v>
      </c>
      <c r="B1871" s="2" t="s">
        <v>2115</v>
      </c>
      <c r="C1871" s="2" t="s">
        <v>2323</v>
      </c>
      <c r="D1871" s="2" t="s">
        <v>28</v>
      </c>
      <c r="E1871" s="2" t="s">
        <v>29</v>
      </c>
      <c r="F1871" s="2">
        <v>60</v>
      </c>
      <c r="G1871" s="2" t="s">
        <v>5412</v>
      </c>
      <c r="H1871" s="2" t="s">
        <v>3261</v>
      </c>
      <c r="I1871" s="2" t="s">
        <v>124</v>
      </c>
      <c r="J1871" s="3">
        <v>44281</v>
      </c>
      <c r="K1871" s="5">
        <f>YEAR(OrganizedData[[#This Row],[Order Date]])</f>
        <v>2021</v>
      </c>
      <c r="L1871" s="7" t="str">
        <f>TEXT(OrganizedData[[#This Row],[Order Date]],"mmm")</f>
        <v>Mar</v>
      </c>
      <c r="M1871" s="2">
        <v>12</v>
      </c>
      <c r="N1871" s="2" t="s">
        <v>64</v>
      </c>
      <c r="O1871" s="2" t="str">
        <f>VLOOKUP(OrganizedData[[#This Row],[Product Code]],ProductData[[Code]:[Item]],2,FALSE)</f>
        <v>Ultrathing V4</v>
      </c>
      <c r="P1871" s="4">
        <f>OrganizedData[[#This Row],[Quantity]]*VLOOKUP(OrganizedData[[#This Row],[Product Code]],ProductData[],4,FALSE)</f>
        <v>288</v>
      </c>
      <c r="Q1871" s="6">
        <f>OrganizedData[[#This Row],[Total Items Ordered]]*VLOOKUP(OrganizedData[[#This Row],[Product Code]],ProductData[],3,FALSE)</f>
        <v>1149.1200000000001</v>
      </c>
      <c r="R18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1149.1200000000001</v>
      </c>
    </row>
    <row r="1872" spans="1:18" x14ac:dyDescent="0.3">
      <c r="A1872" s="2">
        <v>1865</v>
      </c>
      <c r="B1872" s="2" t="s">
        <v>2980</v>
      </c>
      <c r="C1872" s="2" t="s">
        <v>5413</v>
      </c>
      <c r="D1872" s="2" t="s">
        <v>28</v>
      </c>
      <c r="E1872" s="2" t="s">
        <v>29</v>
      </c>
      <c r="F1872" s="2">
        <v>90</v>
      </c>
      <c r="G1872" s="2" t="s">
        <v>5414</v>
      </c>
      <c r="H1872" s="2" t="s">
        <v>1131</v>
      </c>
      <c r="I1872" s="2" t="s">
        <v>32</v>
      </c>
      <c r="J1872" s="3">
        <v>44091</v>
      </c>
      <c r="K1872" s="5">
        <f>YEAR(OrganizedData[[#This Row],[Order Date]])</f>
        <v>2020</v>
      </c>
      <c r="L1872" s="7" t="str">
        <f>TEXT(OrganizedData[[#This Row],[Order Date]],"mmm")</f>
        <v>Sep</v>
      </c>
      <c r="M1872" s="2">
        <v>19</v>
      </c>
      <c r="N1872" s="2" t="s">
        <v>70</v>
      </c>
      <c r="O1872" s="2" t="str">
        <f>VLOOKUP(OrganizedData[[#This Row],[Product Code]],ProductData[[Code]:[Item]],2,FALSE)</f>
        <v>Megawidget M</v>
      </c>
      <c r="P1872" s="4">
        <f>OrganizedData[[#This Row],[Quantity]]*VLOOKUP(OrganizedData[[#This Row],[Product Code]],ProductData[],4,FALSE)</f>
        <v>456</v>
      </c>
      <c r="Q1872" s="6">
        <f>OrganizedData[[#This Row],[Total Items Ordered]]*VLOOKUP(OrganizedData[[#This Row],[Product Code]],ProductData[],3,FALSE)</f>
        <v>588.24</v>
      </c>
      <c r="R18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1873" spans="1:18" x14ac:dyDescent="0.3">
      <c r="A1873" s="2">
        <v>1866</v>
      </c>
      <c r="B1873" s="2" t="s">
        <v>5415</v>
      </c>
      <c r="C1873" s="2" t="s">
        <v>1907</v>
      </c>
      <c r="D1873" s="2" t="s">
        <v>51</v>
      </c>
      <c r="E1873" s="2" t="s">
        <v>16</v>
      </c>
      <c r="F1873" s="2">
        <v>30</v>
      </c>
      <c r="G1873" s="2" t="s">
        <v>5416</v>
      </c>
      <c r="H1873" s="2" t="s">
        <v>4161</v>
      </c>
      <c r="I1873" s="2" t="s">
        <v>32</v>
      </c>
      <c r="J1873" s="3">
        <v>44011</v>
      </c>
      <c r="K1873" s="5">
        <f>YEAR(OrganizedData[[#This Row],[Order Date]])</f>
        <v>2020</v>
      </c>
      <c r="L1873" s="7" t="str">
        <f>TEXT(OrganizedData[[#This Row],[Order Date]],"mmm")</f>
        <v>Jun</v>
      </c>
      <c r="M1873" s="2">
        <v>37</v>
      </c>
      <c r="N1873" s="2" t="s">
        <v>45</v>
      </c>
      <c r="O1873" s="2" t="str">
        <f>VLOOKUP(OrganizedData[[#This Row],[Product Code]],ProductData[[Code]:[Item]],2,FALSE)</f>
        <v>Gigastuff</v>
      </c>
      <c r="P1873" s="4">
        <f>OrganizedData[[#This Row],[Quantity]]*VLOOKUP(OrganizedData[[#This Row],[Product Code]],ProductData[],4,FALSE)</f>
        <v>666</v>
      </c>
      <c r="Q1873" s="6">
        <f>OrganizedData[[#This Row],[Total Items Ordered]]*VLOOKUP(OrganizedData[[#This Row],[Product Code]],ProductData[],3,FALSE)</f>
        <v>1258.74</v>
      </c>
      <c r="R18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1220.9777999999999</v>
      </c>
    </row>
    <row r="1874" spans="1:18" x14ac:dyDescent="0.3">
      <c r="A1874" s="2">
        <v>1867</v>
      </c>
      <c r="B1874" s="2" t="s">
        <v>5057</v>
      </c>
      <c r="C1874" s="2" t="s">
        <v>5417</v>
      </c>
      <c r="D1874" s="2" t="s">
        <v>28</v>
      </c>
      <c r="E1874" s="2" t="s">
        <v>29</v>
      </c>
      <c r="F1874" s="2">
        <v>90</v>
      </c>
      <c r="G1874" s="2" t="s">
        <v>5418</v>
      </c>
      <c r="H1874" s="2" t="s">
        <v>993</v>
      </c>
      <c r="I1874" s="2" t="s">
        <v>32</v>
      </c>
      <c r="J1874" s="3">
        <v>44847</v>
      </c>
      <c r="K1874" s="5">
        <f>YEAR(OrganizedData[[#This Row],[Order Date]])</f>
        <v>2022</v>
      </c>
      <c r="L1874" s="7" t="str">
        <f>TEXT(OrganizedData[[#This Row],[Order Date]],"mmm")</f>
        <v>Oct</v>
      </c>
      <c r="M1874" s="2">
        <v>59</v>
      </c>
      <c r="N1874" s="2" t="s">
        <v>54</v>
      </c>
      <c r="O1874" s="2" t="str">
        <f>VLOOKUP(OrganizedData[[#This Row],[Product Code]],ProductData[[Code]:[Item]],2,FALSE)</f>
        <v>Megawidget S</v>
      </c>
      <c r="P1874" s="4">
        <f>OrganizedData[[#This Row],[Quantity]]*VLOOKUP(OrganizedData[[#This Row],[Product Code]],ProductData[],4,FALSE)</f>
        <v>1416</v>
      </c>
      <c r="Q1874" s="6">
        <f>OrganizedData[[#This Row],[Total Items Ordered]]*VLOOKUP(OrganizedData[[#This Row],[Product Code]],ProductData[],3,FALSE)</f>
        <v>977.04</v>
      </c>
      <c r="R18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928.18799999999987</v>
      </c>
    </row>
    <row r="1875" spans="1:18" x14ac:dyDescent="0.3">
      <c r="A1875" s="2">
        <v>1868</v>
      </c>
      <c r="B1875" s="2" t="s">
        <v>5419</v>
      </c>
      <c r="C1875" s="2" t="s">
        <v>1698</v>
      </c>
      <c r="D1875" s="2" t="s">
        <v>51</v>
      </c>
      <c r="E1875" s="2" t="s">
        <v>16</v>
      </c>
      <c r="F1875" s="2">
        <v>90</v>
      </c>
      <c r="G1875" s="2" t="s">
        <v>5418</v>
      </c>
      <c r="H1875" s="2" t="s">
        <v>5420</v>
      </c>
      <c r="I1875" s="2" t="s">
        <v>32</v>
      </c>
      <c r="J1875" s="3">
        <v>43878</v>
      </c>
      <c r="K1875" s="5">
        <f>YEAR(OrganizedData[[#This Row],[Order Date]])</f>
        <v>2020</v>
      </c>
      <c r="L1875" s="7" t="str">
        <f>TEXT(OrganizedData[[#This Row],[Order Date]],"mmm")</f>
        <v>Feb</v>
      </c>
      <c r="M1875" s="2">
        <v>36</v>
      </c>
      <c r="N1875" s="2" t="s">
        <v>70</v>
      </c>
      <c r="O1875" s="2" t="str">
        <f>VLOOKUP(OrganizedData[[#This Row],[Product Code]],ProductData[[Code]:[Item]],2,FALSE)</f>
        <v>Megawidget M</v>
      </c>
      <c r="P1875" s="4">
        <f>OrganizedData[[#This Row],[Quantity]]*VLOOKUP(OrganizedData[[#This Row],[Product Code]],ProductData[],4,FALSE)</f>
        <v>864</v>
      </c>
      <c r="Q1875" s="6">
        <f>OrganizedData[[#This Row],[Total Items Ordered]]*VLOOKUP(OrganizedData[[#This Row],[Product Code]],ProductData[],3,FALSE)</f>
        <v>1114.56</v>
      </c>
      <c r="R18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1081.1232</v>
      </c>
    </row>
    <row r="1876" spans="1:18" x14ac:dyDescent="0.3">
      <c r="A1876" s="2">
        <v>1869</v>
      </c>
      <c r="B1876" s="2" t="s">
        <v>5421</v>
      </c>
      <c r="C1876" s="2" t="s">
        <v>3504</v>
      </c>
      <c r="D1876" s="2" t="s">
        <v>28</v>
      </c>
      <c r="E1876" s="2" t="s">
        <v>29</v>
      </c>
      <c r="F1876" s="2">
        <v>90</v>
      </c>
      <c r="G1876" s="2" t="s">
        <v>5422</v>
      </c>
      <c r="H1876" s="2" t="s">
        <v>3987</v>
      </c>
      <c r="I1876" s="2" t="s">
        <v>554</v>
      </c>
      <c r="J1876" s="3">
        <v>44769</v>
      </c>
      <c r="K1876" s="5">
        <f>YEAR(OrganizedData[[#This Row],[Order Date]])</f>
        <v>2022</v>
      </c>
      <c r="L1876" s="7" t="str">
        <f>TEXT(OrganizedData[[#This Row],[Order Date]],"mmm")</f>
        <v>Jul</v>
      </c>
      <c r="M1876" s="2">
        <v>34</v>
      </c>
      <c r="N1876" s="2" t="s">
        <v>33</v>
      </c>
      <c r="O1876" s="2" t="str">
        <f>VLOOKUP(OrganizedData[[#This Row],[Product Code]],ProductData[[Code]:[Item]],2,FALSE)</f>
        <v>Megawidget L</v>
      </c>
      <c r="P1876" s="4">
        <f>OrganizedData[[#This Row],[Quantity]]*VLOOKUP(OrganizedData[[#This Row],[Product Code]],ProductData[],4,FALSE)</f>
        <v>816</v>
      </c>
      <c r="Q1876" s="6">
        <f>OrganizedData[[#This Row],[Total Items Ordered]]*VLOOKUP(OrganizedData[[#This Row],[Product Code]],ProductData[],3,FALSE)</f>
        <v>1460.64</v>
      </c>
      <c r="R18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1416.8208</v>
      </c>
    </row>
    <row r="1877" spans="1:18" x14ac:dyDescent="0.3">
      <c r="A1877" s="2">
        <v>1870</v>
      </c>
      <c r="B1877" s="2" t="s">
        <v>3910</v>
      </c>
      <c r="C1877" s="2" t="s">
        <v>5423</v>
      </c>
      <c r="D1877" s="2" t="s">
        <v>28</v>
      </c>
      <c r="E1877" s="2" t="s">
        <v>29</v>
      </c>
      <c r="F1877" s="2">
        <v>90</v>
      </c>
      <c r="G1877" s="2" t="s">
        <v>5424</v>
      </c>
      <c r="H1877" s="2" t="s">
        <v>4266</v>
      </c>
      <c r="I1877" s="2" t="s">
        <v>25</v>
      </c>
      <c r="J1877" s="3">
        <v>44456</v>
      </c>
      <c r="K1877" s="5">
        <f>YEAR(OrganizedData[[#This Row],[Order Date]])</f>
        <v>2021</v>
      </c>
      <c r="L1877" s="7" t="str">
        <f>TEXT(OrganizedData[[#This Row],[Order Date]],"mmm")</f>
        <v>Sep</v>
      </c>
      <c r="M1877" s="2">
        <v>34</v>
      </c>
      <c r="N1877" s="2" t="s">
        <v>70</v>
      </c>
      <c r="O1877" s="2" t="str">
        <f>VLOOKUP(OrganizedData[[#This Row],[Product Code]],ProductData[[Code]:[Item]],2,FALSE)</f>
        <v>Megawidget M</v>
      </c>
      <c r="P1877" s="4">
        <f>OrganizedData[[#This Row],[Quantity]]*VLOOKUP(OrganizedData[[#This Row],[Product Code]],ProductData[],4,FALSE)</f>
        <v>816</v>
      </c>
      <c r="Q1877" s="6">
        <f>OrganizedData[[#This Row],[Total Items Ordered]]*VLOOKUP(OrganizedData[[#This Row],[Product Code]],ProductData[],3,FALSE)</f>
        <v>1052.6400000000001</v>
      </c>
      <c r="R18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1021.0608000000001</v>
      </c>
    </row>
    <row r="1878" spans="1:18" x14ac:dyDescent="0.3">
      <c r="A1878" s="2">
        <v>1871</v>
      </c>
      <c r="B1878" s="2" t="s">
        <v>5425</v>
      </c>
      <c r="C1878" s="2" t="s">
        <v>1627</v>
      </c>
      <c r="D1878" s="2" t="s">
        <v>15</v>
      </c>
      <c r="E1878" s="2" t="s">
        <v>16</v>
      </c>
      <c r="F1878" s="2">
        <v>90</v>
      </c>
      <c r="G1878" s="2" t="s">
        <v>5426</v>
      </c>
      <c r="H1878" s="2" t="s">
        <v>5427</v>
      </c>
      <c r="I1878" s="2" t="s">
        <v>32</v>
      </c>
      <c r="J1878" s="3">
        <v>44565</v>
      </c>
      <c r="K1878" s="5">
        <f>YEAR(OrganizedData[[#This Row],[Order Date]])</f>
        <v>2022</v>
      </c>
      <c r="L1878" s="7" t="str">
        <f>TEXT(OrganizedData[[#This Row],[Order Date]],"mmm")</f>
        <v>Jan</v>
      </c>
      <c r="M1878" s="2">
        <v>43</v>
      </c>
      <c r="N1878" s="2" t="s">
        <v>45</v>
      </c>
      <c r="O1878" s="2" t="str">
        <f>VLOOKUP(OrganizedData[[#This Row],[Product Code]],ProductData[[Code]:[Item]],2,FALSE)</f>
        <v>Gigastuff</v>
      </c>
      <c r="P1878" s="4">
        <f>OrganizedData[[#This Row],[Quantity]]*VLOOKUP(OrganizedData[[#This Row],[Product Code]],ProductData[],4,FALSE)</f>
        <v>774</v>
      </c>
      <c r="Q1878" s="6">
        <f>OrganizedData[[#This Row],[Total Items Ordered]]*VLOOKUP(OrganizedData[[#This Row],[Product Code]],ProductData[],3,FALSE)</f>
        <v>1462.86</v>
      </c>
      <c r="R18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1879" spans="1:18" x14ac:dyDescent="0.3">
      <c r="A1879" s="2">
        <v>1872</v>
      </c>
      <c r="B1879" s="2" t="s">
        <v>1428</v>
      </c>
      <c r="C1879" s="2" t="s">
        <v>5428</v>
      </c>
      <c r="D1879" s="2" t="s">
        <v>51</v>
      </c>
      <c r="E1879" s="2" t="s">
        <v>16</v>
      </c>
      <c r="F1879" s="2">
        <v>90</v>
      </c>
      <c r="G1879" s="2" t="s">
        <v>5429</v>
      </c>
      <c r="H1879" s="2" t="s">
        <v>1164</v>
      </c>
      <c r="I1879" s="2" t="s">
        <v>89</v>
      </c>
      <c r="J1879" s="3">
        <v>44288</v>
      </c>
      <c r="K1879" s="5">
        <f>YEAR(OrganizedData[[#This Row],[Order Date]])</f>
        <v>2021</v>
      </c>
      <c r="L1879" s="7" t="str">
        <f>TEXT(OrganizedData[[#This Row],[Order Date]],"mmm")</f>
        <v>Apr</v>
      </c>
      <c r="M1879" s="2">
        <v>40</v>
      </c>
      <c r="N1879" s="2" t="s">
        <v>20</v>
      </c>
      <c r="O1879" s="2" t="str">
        <f>VLOOKUP(OrganizedData[[#This Row],[Product Code]],ProductData[[Code]:[Item]],2,FALSE)</f>
        <v>Hyperwotsit</v>
      </c>
      <c r="P1879" s="4">
        <f>OrganizedData[[#This Row],[Quantity]]*VLOOKUP(OrganizedData[[#This Row],[Product Code]],ProductData[],4,FALSE)</f>
        <v>800</v>
      </c>
      <c r="Q1879" s="6">
        <f>OrganizedData[[#This Row],[Total Items Ordered]]*VLOOKUP(OrganizedData[[#This Row],[Product Code]],ProductData[],3,FALSE)</f>
        <v>1607.9999999999998</v>
      </c>
      <c r="R18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1880" spans="1:18" x14ac:dyDescent="0.3">
      <c r="A1880" s="2">
        <v>1873</v>
      </c>
      <c r="B1880" s="2" t="s">
        <v>5430</v>
      </c>
      <c r="C1880" s="2" t="s">
        <v>5431</v>
      </c>
      <c r="D1880" s="2" t="s">
        <v>41</v>
      </c>
      <c r="E1880" s="2" t="s">
        <v>16</v>
      </c>
      <c r="F1880" s="2">
        <v>30</v>
      </c>
      <c r="G1880" s="2" t="s">
        <v>5432</v>
      </c>
      <c r="H1880" s="2" t="s">
        <v>1001</v>
      </c>
      <c r="I1880" s="2" t="s">
        <v>32</v>
      </c>
      <c r="J1880" s="3">
        <v>44072</v>
      </c>
      <c r="K1880" s="5">
        <f>YEAR(OrganizedData[[#This Row],[Order Date]])</f>
        <v>2020</v>
      </c>
      <c r="L1880" s="7" t="str">
        <f>TEXT(OrganizedData[[#This Row],[Order Date]],"mmm")</f>
        <v>Aug</v>
      </c>
      <c r="M1880" s="2">
        <v>22</v>
      </c>
      <c r="N1880" s="2" t="s">
        <v>33</v>
      </c>
      <c r="O1880" s="2" t="str">
        <f>VLOOKUP(OrganizedData[[#This Row],[Product Code]],ProductData[[Code]:[Item]],2,FALSE)</f>
        <v>Megawidget L</v>
      </c>
      <c r="P1880" s="4">
        <f>OrganizedData[[#This Row],[Quantity]]*VLOOKUP(OrganizedData[[#This Row],[Product Code]],ProductData[],4,FALSE)</f>
        <v>528</v>
      </c>
      <c r="Q1880" s="6">
        <f>OrganizedData[[#This Row],[Total Items Ordered]]*VLOOKUP(OrganizedData[[#This Row],[Product Code]],ProductData[],3,FALSE)</f>
        <v>945.12</v>
      </c>
      <c r="R18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1881" spans="1:18" x14ac:dyDescent="0.3">
      <c r="A1881" s="2">
        <v>1874</v>
      </c>
      <c r="B1881" s="2" t="s">
        <v>5433</v>
      </c>
      <c r="C1881" s="2" t="s">
        <v>5196</v>
      </c>
      <c r="D1881" s="2" t="s">
        <v>28</v>
      </c>
      <c r="E1881" s="2" t="s">
        <v>29</v>
      </c>
      <c r="F1881" s="2">
        <v>60</v>
      </c>
      <c r="G1881" s="2" t="s">
        <v>5434</v>
      </c>
      <c r="H1881" s="2" t="s">
        <v>2334</v>
      </c>
      <c r="I1881" s="2" t="s">
        <v>32</v>
      </c>
      <c r="J1881" s="3">
        <v>43869</v>
      </c>
      <c r="K1881" s="5">
        <f>YEAR(OrganizedData[[#This Row],[Order Date]])</f>
        <v>2020</v>
      </c>
      <c r="L1881" s="7" t="str">
        <f>TEXT(OrganizedData[[#This Row],[Order Date]],"mmm")</f>
        <v>Feb</v>
      </c>
      <c r="M1881" s="2">
        <v>23</v>
      </c>
      <c r="N1881" s="2" t="s">
        <v>39</v>
      </c>
      <c r="O1881" s="2" t="str">
        <f>VLOOKUP(OrganizedData[[#This Row],[Product Code]],ProductData[[Code]:[Item]],2,FALSE)</f>
        <v>Ultrathing V1</v>
      </c>
      <c r="P1881" s="4">
        <f>OrganizedData[[#This Row],[Quantity]]*VLOOKUP(OrganizedData[[#This Row],[Product Code]],ProductData[],4,FALSE)</f>
        <v>391</v>
      </c>
      <c r="Q1881" s="6">
        <f>OrganizedData[[#This Row],[Total Items Ordered]]*VLOOKUP(OrganizedData[[#This Row],[Product Code]],ProductData[],3,FALSE)</f>
        <v>699.89</v>
      </c>
      <c r="R18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1882" spans="1:18" x14ac:dyDescent="0.3">
      <c r="A1882" s="2">
        <v>1875</v>
      </c>
      <c r="B1882" s="2" t="s">
        <v>5435</v>
      </c>
      <c r="C1882" s="2" t="s">
        <v>1334</v>
      </c>
      <c r="D1882" s="2" t="s">
        <v>92</v>
      </c>
      <c r="E1882" s="2" t="s">
        <v>16</v>
      </c>
      <c r="F1882" s="2">
        <v>90</v>
      </c>
      <c r="G1882" s="2" t="s">
        <v>5436</v>
      </c>
      <c r="H1882" s="2" t="s">
        <v>3951</v>
      </c>
      <c r="I1882" s="2" t="s">
        <v>1576</v>
      </c>
      <c r="J1882" s="3">
        <v>44126</v>
      </c>
      <c r="K1882" s="5">
        <f>YEAR(OrganizedData[[#This Row],[Order Date]])</f>
        <v>2020</v>
      </c>
      <c r="L1882" s="7" t="str">
        <f>TEXT(OrganizedData[[#This Row],[Order Date]],"mmm")</f>
        <v>Oct</v>
      </c>
      <c r="M1882" s="2">
        <v>46</v>
      </c>
      <c r="N1882" s="2" t="s">
        <v>70</v>
      </c>
      <c r="O1882" s="2" t="str">
        <f>VLOOKUP(OrganizedData[[#This Row],[Product Code]],ProductData[[Code]:[Item]],2,FALSE)</f>
        <v>Megawidget M</v>
      </c>
      <c r="P1882" s="4">
        <f>OrganizedData[[#This Row],[Quantity]]*VLOOKUP(OrganizedData[[#This Row],[Product Code]],ProductData[],4,FALSE)</f>
        <v>1104</v>
      </c>
      <c r="Q1882" s="6">
        <f>OrganizedData[[#This Row],[Total Items Ordered]]*VLOOKUP(OrganizedData[[#This Row],[Product Code]],ProductData[],3,FALSE)</f>
        <v>1424.16</v>
      </c>
      <c r="R18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1883" spans="1:18" x14ac:dyDescent="0.3">
      <c r="A1883" s="2">
        <v>1876</v>
      </c>
      <c r="B1883" s="2" t="s">
        <v>5437</v>
      </c>
      <c r="C1883" s="2" t="s">
        <v>5438</v>
      </c>
      <c r="D1883" s="2" t="s">
        <v>51</v>
      </c>
      <c r="E1883" s="2" t="s">
        <v>16</v>
      </c>
      <c r="F1883" s="2">
        <v>60</v>
      </c>
      <c r="G1883" s="2" t="s">
        <v>5439</v>
      </c>
      <c r="H1883" s="2" t="s">
        <v>599</v>
      </c>
      <c r="I1883" s="2" t="s">
        <v>32</v>
      </c>
      <c r="J1883" s="3">
        <v>44891</v>
      </c>
      <c r="K1883" s="5">
        <f>YEAR(OrganizedData[[#This Row],[Order Date]])</f>
        <v>2022</v>
      </c>
      <c r="L1883" s="7" t="str">
        <f>TEXT(OrganizedData[[#This Row],[Order Date]],"mmm")</f>
        <v>Nov</v>
      </c>
      <c r="M1883" s="2">
        <v>3</v>
      </c>
      <c r="N1883" s="2" t="s">
        <v>159</v>
      </c>
      <c r="O1883" s="2" t="str">
        <f>VLOOKUP(OrganizedData[[#This Row],[Product Code]],ProductData[[Code]:[Item]],2,FALSE)</f>
        <v>Ultrathing V3</v>
      </c>
      <c r="P1883" s="4">
        <f>OrganizedData[[#This Row],[Quantity]]*VLOOKUP(OrganizedData[[#This Row],[Product Code]],ProductData[],4,FALSE)</f>
        <v>72</v>
      </c>
      <c r="Q1883" s="6">
        <f>OrganizedData[[#This Row],[Total Items Ordered]]*VLOOKUP(OrganizedData[[#This Row],[Product Code]],ProductData[],3,FALSE)</f>
        <v>244.08</v>
      </c>
      <c r="R18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1884" spans="1:18" x14ac:dyDescent="0.3">
      <c r="A1884" s="2">
        <v>1877</v>
      </c>
      <c r="B1884" s="2" t="s">
        <v>2253</v>
      </c>
      <c r="C1884" s="2" t="s">
        <v>2779</v>
      </c>
      <c r="D1884" s="2" t="s">
        <v>28</v>
      </c>
      <c r="E1884" s="2" t="s">
        <v>29</v>
      </c>
      <c r="F1884" s="2">
        <v>90</v>
      </c>
      <c r="G1884" s="2" t="s">
        <v>5440</v>
      </c>
      <c r="H1884" s="2" t="s">
        <v>5441</v>
      </c>
      <c r="I1884" s="2" t="s">
        <v>178</v>
      </c>
      <c r="J1884" s="3">
        <v>44435</v>
      </c>
      <c r="K1884" s="5">
        <f>YEAR(OrganizedData[[#This Row],[Order Date]])</f>
        <v>2021</v>
      </c>
      <c r="L1884" s="7" t="str">
        <f>TEXT(OrganizedData[[#This Row],[Order Date]],"mmm")</f>
        <v>Aug</v>
      </c>
      <c r="M1884" s="2">
        <v>33</v>
      </c>
      <c r="N1884" s="2" t="s">
        <v>159</v>
      </c>
      <c r="O1884" s="2" t="str">
        <f>VLOOKUP(OrganizedData[[#This Row],[Product Code]],ProductData[[Code]:[Item]],2,FALSE)</f>
        <v>Ultrathing V3</v>
      </c>
      <c r="P1884" s="4">
        <f>OrganizedData[[#This Row],[Quantity]]*VLOOKUP(OrganizedData[[#This Row],[Product Code]],ProductData[],4,FALSE)</f>
        <v>792</v>
      </c>
      <c r="Q1884" s="6">
        <f>OrganizedData[[#This Row],[Total Items Ordered]]*VLOOKUP(OrganizedData[[#This Row],[Product Code]],ProductData[],3,FALSE)</f>
        <v>2684.88</v>
      </c>
      <c r="R18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2604.3335999999999</v>
      </c>
    </row>
    <row r="1885" spans="1:18" x14ac:dyDescent="0.3">
      <c r="A1885" s="2">
        <v>1878</v>
      </c>
      <c r="B1885" s="2" t="s">
        <v>2891</v>
      </c>
      <c r="C1885" s="2" t="s">
        <v>5442</v>
      </c>
      <c r="D1885" s="2" t="s">
        <v>28</v>
      </c>
      <c r="E1885" s="2" t="s">
        <v>29</v>
      </c>
      <c r="F1885" s="2">
        <v>60</v>
      </c>
      <c r="G1885" s="2" t="s">
        <v>5443</v>
      </c>
      <c r="H1885" s="2" t="s">
        <v>1168</v>
      </c>
      <c r="I1885" s="2" t="s">
        <v>32</v>
      </c>
      <c r="J1885" s="3">
        <v>43901</v>
      </c>
      <c r="K1885" s="5">
        <f>YEAR(OrganizedData[[#This Row],[Order Date]])</f>
        <v>2020</v>
      </c>
      <c r="L1885" s="7" t="str">
        <f>TEXT(OrganizedData[[#This Row],[Order Date]],"mmm")</f>
        <v>Mar</v>
      </c>
      <c r="M1885" s="2">
        <v>35</v>
      </c>
      <c r="N1885" s="2" t="s">
        <v>45</v>
      </c>
      <c r="O1885" s="2" t="str">
        <f>VLOOKUP(OrganizedData[[#This Row],[Product Code]],ProductData[[Code]:[Item]],2,FALSE)</f>
        <v>Gigastuff</v>
      </c>
      <c r="P1885" s="4">
        <f>OrganizedData[[#This Row],[Quantity]]*VLOOKUP(OrganizedData[[#This Row],[Product Code]],ProductData[],4,FALSE)</f>
        <v>630</v>
      </c>
      <c r="Q1885" s="6">
        <f>OrganizedData[[#This Row],[Total Items Ordered]]*VLOOKUP(OrganizedData[[#This Row],[Product Code]],ProductData[],3,FALSE)</f>
        <v>1190.7</v>
      </c>
      <c r="R18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1154.979</v>
      </c>
    </row>
    <row r="1886" spans="1:18" x14ac:dyDescent="0.3">
      <c r="A1886" s="2">
        <v>1879</v>
      </c>
      <c r="B1886" s="2" t="s">
        <v>5444</v>
      </c>
      <c r="C1886" s="2" t="s">
        <v>5445</v>
      </c>
      <c r="D1886" s="2" t="s">
        <v>28</v>
      </c>
      <c r="E1886" s="2" t="s">
        <v>29</v>
      </c>
      <c r="F1886" s="2">
        <v>90</v>
      </c>
      <c r="G1886" s="2" t="s">
        <v>5446</v>
      </c>
      <c r="H1886" s="2" t="s">
        <v>1587</v>
      </c>
      <c r="I1886" s="2" t="s">
        <v>32</v>
      </c>
      <c r="J1886" s="3">
        <v>43834</v>
      </c>
      <c r="K1886" s="5">
        <f>YEAR(OrganizedData[[#This Row],[Order Date]])</f>
        <v>2020</v>
      </c>
      <c r="L1886" s="7" t="str">
        <f>TEXT(OrganizedData[[#This Row],[Order Date]],"mmm")</f>
        <v>Jan</v>
      </c>
      <c r="M1886" s="2">
        <v>69</v>
      </c>
      <c r="N1886" s="2" t="s">
        <v>64</v>
      </c>
      <c r="O1886" s="2" t="str">
        <f>VLOOKUP(OrganizedData[[#This Row],[Product Code]],ProductData[[Code]:[Item]],2,FALSE)</f>
        <v>Ultrathing V4</v>
      </c>
      <c r="P1886" s="4">
        <f>OrganizedData[[#This Row],[Quantity]]*VLOOKUP(OrganizedData[[#This Row],[Product Code]],ProductData[],4,FALSE)</f>
        <v>1656</v>
      </c>
      <c r="Q1886" s="6">
        <f>OrganizedData[[#This Row],[Total Items Ordered]]*VLOOKUP(OrganizedData[[#This Row],[Product Code]],ProductData[],3,FALSE)</f>
        <v>6607.4400000000005</v>
      </c>
      <c r="R18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6277.0680000000002</v>
      </c>
    </row>
    <row r="1887" spans="1:18" x14ac:dyDescent="0.3">
      <c r="A1887" s="2">
        <v>1880</v>
      </c>
      <c r="B1887" s="2" t="s">
        <v>5447</v>
      </c>
      <c r="C1887" s="2" t="s">
        <v>2323</v>
      </c>
      <c r="D1887" s="2" t="s">
        <v>41</v>
      </c>
      <c r="E1887" s="2" t="s">
        <v>16</v>
      </c>
      <c r="F1887" s="2">
        <v>60</v>
      </c>
      <c r="G1887" s="2" t="s">
        <v>5448</v>
      </c>
      <c r="H1887" s="2" t="s">
        <v>5449</v>
      </c>
      <c r="I1887" s="2" t="s">
        <v>32</v>
      </c>
      <c r="J1887" s="3">
        <v>43914</v>
      </c>
      <c r="K1887" s="5">
        <f>YEAR(OrganizedData[[#This Row],[Order Date]])</f>
        <v>2020</v>
      </c>
      <c r="L1887" s="7" t="str">
        <f>TEXT(OrganizedData[[#This Row],[Order Date]],"mmm")</f>
        <v>Mar</v>
      </c>
      <c r="M1887" s="2">
        <v>53</v>
      </c>
      <c r="N1887" s="2" t="s">
        <v>101</v>
      </c>
      <c r="O1887" s="2" t="str">
        <f>VLOOKUP(OrganizedData[[#This Row],[Product Code]],ProductData[[Code]:[Item]],2,FALSE)</f>
        <v>Superwossname</v>
      </c>
      <c r="P1887" s="4">
        <f>OrganizedData[[#This Row],[Quantity]]*VLOOKUP(OrganizedData[[#This Row],[Product Code]],ProductData[],4,FALSE)</f>
        <v>1060</v>
      </c>
      <c r="Q1887" s="6">
        <f>OrganizedData[[#This Row],[Total Items Ordered]]*VLOOKUP(OrganizedData[[#This Row],[Product Code]],ProductData[],3,FALSE)</f>
        <v>3699.4</v>
      </c>
      <c r="R18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1888" spans="1:18" x14ac:dyDescent="0.3">
      <c r="A1888" s="2">
        <v>1881</v>
      </c>
      <c r="B1888" s="2" t="s">
        <v>656</v>
      </c>
      <c r="C1888" s="2" t="s">
        <v>1129</v>
      </c>
      <c r="D1888" s="2" t="s">
        <v>51</v>
      </c>
      <c r="E1888" s="2" t="s">
        <v>16</v>
      </c>
      <c r="F1888" s="2">
        <v>60</v>
      </c>
      <c r="G1888" s="2" t="s">
        <v>5450</v>
      </c>
      <c r="H1888" s="2" t="s">
        <v>5451</v>
      </c>
      <c r="I1888" s="2" t="s">
        <v>32</v>
      </c>
      <c r="J1888" s="3">
        <v>44711</v>
      </c>
      <c r="K1888" s="5">
        <f>YEAR(OrganizedData[[#This Row],[Order Date]])</f>
        <v>2022</v>
      </c>
      <c r="L1888" s="7" t="str">
        <f>TEXT(OrganizedData[[#This Row],[Order Date]],"mmm")</f>
        <v>May</v>
      </c>
      <c r="M1888" s="2">
        <v>88</v>
      </c>
      <c r="N1888" s="2" t="s">
        <v>54</v>
      </c>
      <c r="O1888" s="2" t="str">
        <f>VLOOKUP(OrganizedData[[#This Row],[Product Code]],ProductData[[Code]:[Item]],2,FALSE)</f>
        <v>Megawidget S</v>
      </c>
      <c r="P1888" s="4">
        <f>OrganizedData[[#This Row],[Quantity]]*VLOOKUP(OrganizedData[[#This Row],[Product Code]],ProductData[],4,FALSE)</f>
        <v>2112</v>
      </c>
      <c r="Q1888" s="6">
        <f>OrganizedData[[#This Row],[Total Items Ordered]]*VLOOKUP(OrganizedData[[#This Row],[Product Code]],ProductData[],3,FALSE)</f>
        <v>1457.28</v>
      </c>
      <c r="R18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1384.4159999999999</v>
      </c>
    </row>
    <row r="1889" spans="1:18" x14ac:dyDescent="0.3">
      <c r="A1889" s="2">
        <v>1882</v>
      </c>
      <c r="B1889" s="2" t="s">
        <v>4815</v>
      </c>
      <c r="C1889" s="2" t="s">
        <v>5452</v>
      </c>
      <c r="D1889" s="2" t="s">
        <v>28</v>
      </c>
      <c r="E1889" s="2" t="s">
        <v>29</v>
      </c>
      <c r="F1889" s="2">
        <v>90</v>
      </c>
      <c r="G1889" s="2" t="s">
        <v>5453</v>
      </c>
      <c r="H1889" s="2" t="s">
        <v>2965</v>
      </c>
      <c r="I1889" s="2" t="s">
        <v>25</v>
      </c>
      <c r="J1889" s="3">
        <v>43974</v>
      </c>
      <c r="K1889" s="5">
        <f>YEAR(OrganizedData[[#This Row],[Order Date]])</f>
        <v>2020</v>
      </c>
      <c r="L1889" s="7" t="str">
        <f>TEXT(OrganizedData[[#This Row],[Order Date]],"mmm")</f>
        <v>May</v>
      </c>
      <c r="M1889" s="2">
        <v>32</v>
      </c>
      <c r="N1889" s="2" t="s">
        <v>101</v>
      </c>
      <c r="O1889" s="2" t="str">
        <f>VLOOKUP(OrganizedData[[#This Row],[Product Code]],ProductData[[Code]:[Item]],2,FALSE)</f>
        <v>Superwossname</v>
      </c>
      <c r="P1889" s="4">
        <f>OrganizedData[[#This Row],[Quantity]]*VLOOKUP(OrganizedData[[#This Row],[Product Code]],ProductData[],4,FALSE)</f>
        <v>640</v>
      </c>
      <c r="Q1889" s="6">
        <f>OrganizedData[[#This Row],[Total Items Ordered]]*VLOOKUP(OrganizedData[[#This Row],[Product Code]],ProductData[],3,FALSE)</f>
        <v>2233.6000000000004</v>
      </c>
      <c r="R18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2166.5920000000001</v>
      </c>
    </row>
    <row r="1890" spans="1:18" x14ac:dyDescent="0.3">
      <c r="A1890" s="2">
        <v>1883</v>
      </c>
      <c r="B1890" s="2" t="s">
        <v>5454</v>
      </c>
      <c r="C1890" s="2" t="s">
        <v>1688</v>
      </c>
      <c r="D1890" s="2" t="s">
        <v>15</v>
      </c>
      <c r="E1890" s="2" t="s">
        <v>16</v>
      </c>
      <c r="F1890" s="2">
        <v>30</v>
      </c>
      <c r="G1890" s="2" t="s">
        <v>5455</v>
      </c>
      <c r="H1890" s="2" t="s">
        <v>772</v>
      </c>
      <c r="I1890" s="2" t="s">
        <v>32</v>
      </c>
      <c r="J1890" s="3">
        <v>44887</v>
      </c>
      <c r="K1890" s="5">
        <f>YEAR(OrganizedData[[#This Row],[Order Date]])</f>
        <v>2022</v>
      </c>
      <c r="L1890" s="7" t="str">
        <f>TEXT(OrganizedData[[#This Row],[Order Date]],"mmm")</f>
        <v>Nov</v>
      </c>
      <c r="M1890" s="2">
        <v>72</v>
      </c>
      <c r="N1890" s="2" t="s">
        <v>39</v>
      </c>
      <c r="O1890" s="2" t="str">
        <f>VLOOKUP(OrganizedData[[#This Row],[Product Code]],ProductData[[Code]:[Item]],2,FALSE)</f>
        <v>Ultrathing V1</v>
      </c>
      <c r="P1890" s="4">
        <f>OrganizedData[[#This Row],[Quantity]]*VLOOKUP(OrganizedData[[#This Row],[Product Code]],ProductData[],4,FALSE)</f>
        <v>1224</v>
      </c>
      <c r="Q1890" s="6">
        <f>OrganizedData[[#This Row],[Total Items Ordered]]*VLOOKUP(OrganizedData[[#This Row],[Product Code]],ProductData[],3,FALSE)</f>
        <v>2190.96</v>
      </c>
      <c r="R18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1891" spans="1:18" x14ac:dyDescent="0.3">
      <c r="A1891" s="2">
        <v>1884</v>
      </c>
      <c r="B1891" s="2" t="s">
        <v>2711</v>
      </c>
      <c r="C1891" s="2" t="s">
        <v>210</v>
      </c>
      <c r="D1891" s="2" t="s">
        <v>15</v>
      </c>
      <c r="E1891" s="2" t="s">
        <v>16</v>
      </c>
      <c r="F1891" s="2">
        <v>60</v>
      </c>
      <c r="G1891" s="2" t="s">
        <v>5456</v>
      </c>
      <c r="H1891" s="2" t="s">
        <v>4034</v>
      </c>
      <c r="I1891" s="2" t="s">
        <v>178</v>
      </c>
      <c r="J1891" s="3">
        <v>44784</v>
      </c>
      <c r="K1891" s="5">
        <f>YEAR(OrganizedData[[#This Row],[Order Date]])</f>
        <v>2022</v>
      </c>
      <c r="L1891" s="7" t="str">
        <f>TEXT(OrganizedData[[#This Row],[Order Date]],"mmm")</f>
        <v>Aug</v>
      </c>
      <c r="M1891" s="2">
        <v>91</v>
      </c>
      <c r="N1891" s="2" t="s">
        <v>159</v>
      </c>
      <c r="O1891" s="2" t="str">
        <f>VLOOKUP(OrganizedData[[#This Row],[Product Code]],ProductData[[Code]:[Item]],2,FALSE)</f>
        <v>Ultrathing V3</v>
      </c>
      <c r="P1891" s="4">
        <f>OrganizedData[[#This Row],[Quantity]]*VLOOKUP(OrganizedData[[#This Row],[Product Code]],ProductData[],4,FALSE)</f>
        <v>2184</v>
      </c>
      <c r="Q1891" s="6">
        <f>OrganizedData[[#This Row],[Total Items Ordered]]*VLOOKUP(OrganizedData[[#This Row],[Product Code]],ProductData[],3,FALSE)</f>
        <v>7403.76</v>
      </c>
      <c r="R18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7033.5720000000001</v>
      </c>
    </row>
    <row r="1892" spans="1:18" x14ac:dyDescent="0.3">
      <c r="A1892" s="2">
        <v>1885</v>
      </c>
      <c r="B1892" s="2" t="s">
        <v>5457</v>
      </c>
      <c r="C1892" s="2" t="s">
        <v>156</v>
      </c>
      <c r="D1892" s="2" t="s">
        <v>28</v>
      </c>
      <c r="E1892" s="2" t="s">
        <v>29</v>
      </c>
      <c r="F1892" s="2">
        <v>90</v>
      </c>
      <c r="G1892" s="2" t="s">
        <v>5458</v>
      </c>
      <c r="H1892" s="2" t="s">
        <v>5459</v>
      </c>
      <c r="I1892" s="2" t="s">
        <v>1478</v>
      </c>
      <c r="J1892" s="3">
        <v>44106</v>
      </c>
      <c r="K1892" s="5">
        <f>YEAR(OrganizedData[[#This Row],[Order Date]])</f>
        <v>2020</v>
      </c>
      <c r="L1892" s="7" t="str">
        <f>TEXT(OrganizedData[[#This Row],[Order Date]],"mmm")</f>
        <v>Oct</v>
      </c>
      <c r="M1892" s="2">
        <v>35</v>
      </c>
      <c r="N1892" s="2" t="s">
        <v>80</v>
      </c>
      <c r="O1892" s="2" t="str">
        <f>VLOOKUP(OrganizedData[[#This Row],[Product Code]],ProductData[[Code]:[Item]],2,FALSE)</f>
        <v>Ultrathing V2</v>
      </c>
      <c r="P1892" s="4">
        <f>OrganizedData[[#This Row],[Quantity]]*VLOOKUP(OrganizedData[[#This Row],[Product Code]],ProductData[],4,FALSE)</f>
        <v>700</v>
      </c>
      <c r="Q1892" s="6">
        <f>OrganizedData[[#This Row],[Total Items Ordered]]*VLOOKUP(OrganizedData[[#This Row],[Product Code]],ProductData[],3,FALSE)</f>
        <v>2065</v>
      </c>
      <c r="R18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2003.05</v>
      </c>
    </row>
    <row r="1893" spans="1:18" x14ac:dyDescent="0.3">
      <c r="A1893" s="2">
        <v>1886</v>
      </c>
      <c r="B1893" s="2" t="s">
        <v>5460</v>
      </c>
      <c r="C1893" s="2" t="s">
        <v>5461</v>
      </c>
      <c r="D1893" s="2" t="s">
        <v>28</v>
      </c>
      <c r="E1893" s="2" t="s">
        <v>29</v>
      </c>
      <c r="F1893" s="2">
        <v>90</v>
      </c>
      <c r="G1893" s="2" t="s">
        <v>5462</v>
      </c>
      <c r="H1893" s="2" t="s">
        <v>4924</v>
      </c>
      <c r="I1893" s="2" t="s">
        <v>32</v>
      </c>
      <c r="J1893" s="3">
        <v>44716</v>
      </c>
      <c r="K1893" s="5">
        <f>YEAR(OrganizedData[[#This Row],[Order Date]])</f>
        <v>2022</v>
      </c>
      <c r="L1893" s="7" t="str">
        <f>TEXT(OrganizedData[[#This Row],[Order Date]],"mmm")</f>
        <v>Jun</v>
      </c>
      <c r="M1893" s="2">
        <v>101</v>
      </c>
      <c r="N1893" s="2" t="s">
        <v>54</v>
      </c>
      <c r="O1893" s="2" t="str">
        <f>VLOOKUP(OrganizedData[[#This Row],[Product Code]],ProductData[[Code]:[Item]],2,FALSE)</f>
        <v>Megawidget S</v>
      </c>
      <c r="P1893" s="4">
        <f>OrganizedData[[#This Row],[Quantity]]*VLOOKUP(OrganizedData[[#This Row],[Product Code]],ProductData[],4,FALSE)</f>
        <v>2424</v>
      </c>
      <c r="Q1893" s="6">
        <f>OrganizedData[[#This Row],[Total Items Ordered]]*VLOOKUP(OrganizedData[[#This Row],[Product Code]],ProductData[],3,FALSE)</f>
        <v>1672.56</v>
      </c>
      <c r="R18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1555.4808</v>
      </c>
    </row>
    <row r="1894" spans="1:18" x14ac:dyDescent="0.3">
      <c r="A1894" s="2">
        <v>1887</v>
      </c>
      <c r="B1894" s="2" t="s">
        <v>4392</v>
      </c>
      <c r="C1894" s="2" t="s">
        <v>4743</v>
      </c>
      <c r="D1894" s="2" t="s">
        <v>28</v>
      </c>
      <c r="E1894" s="2" t="s">
        <v>29</v>
      </c>
      <c r="F1894" s="2">
        <v>60</v>
      </c>
      <c r="G1894" s="2" t="s">
        <v>5463</v>
      </c>
      <c r="H1894" s="2" t="s">
        <v>5464</v>
      </c>
      <c r="I1894" s="2" t="s">
        <v>124</v>
      </c>
      <c r="J1894" s="3">
        <v>44247</v>
      </c>
      <c r="K1894" s="5">
        <f>YEAR(OrganizedData[[#This Row],[Order Date]])</f>
        <v>2021</v>
      </c>
      <c r="L1894" s="7" t="str">
        <f>TEXT(OrganizedData[[#This Row],[Order Date]],"mmm")</f>
        <v>Feb</v>
      </c>
      <c r="M1894" s="2">
        <v>20</v>
      </c>
      <c r="N1894" s="2" t="s">
        <v>45</v>
      </c>
      <c r="O1894" s="2" t="str">
        <f>VLOOKUP(OrganizedData[[#This Row],[Product Code]],ProductData[[Code]:[Item]],2,FALSE)</f>
        <v>Gigastuff</v>
      </c>
      <c r="P1894" s="4">
        <f>OrganizedData[[#This Row],[Quantity]]*VLOOKUP(OrganizedData[[#This Row],[Product Code]],ProductData[],4,FALSE)</f>
        <v>360</v>
      </c>
      <c r="Q1894" s="6">
        <f>OrganizedData[[#This Row],[Total Items Ordered]]*VLOOKUP(OrganizedData[[#This Row],[Product Code]],ProductData[],3,FALSE)</f>
        <v>680.4</v>
      </c>
      <c r="R18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680.4</v>
      </c>
    </row>
    <row r="1895" spans="1:18" x14ac:dyDescent="0.3">
      <c r="A1895" s="2">
        <v>1888</v>
      </c>
      <c r="B1895" s="2" t="s">
        <v>5168</v>
      </c>
      <c r="C1895" s="2" t="s">
        <v>3673</v>
      </c>
      <c r="D1895" s="2" t="s">
        <v>28</v>
      </c>
      <c r="E1895" s="2" t="s">
        <v>29</v>
      </c>
      <c r="F1895" s="2">
        <v>30</v>
      </c>
      <c r="G1895" s="2" t="s">
        <v>5465</v>
      </c>
      <c r="H1895" s="2" t="s">
        <v>5466</v>
      </c>
      <c r="I1895" s="2" t="s">
        <v>95</v>
      </c>
      <c r="J1895" s="3">
        <v>44551</v>
      </c>
      <c r="K1895" s="5">
        <f>YEAR(OrganizedData[[#This Row],[Order Date]])</f>
        <v>2021</v>
      </c>
      <c r="L1895" s="7" t="str">
        <f>TEXT(OrganizedData[[#This Row],[Order Date]],"mmm")</f>
        <v>Dec</v>
      </c>
      <c r="M1895" s="2">
        <v>50</v>
      </c>
      <c r="N1895" s="2" t="s">
        <v>20</v>
      </c>
      <c r="O1895" s="2" t="str">
        <f>VLOOKUP(OrganizedData[[#This Row],[Product Code]],ProductData[[Code]:[Item]],2,FALSE)</f>
        <v>Hyperwotsit</v>
      </c>
      <c r="P1895" s="4">
        <f>OrganizedData[[#This Row],[Quantity]]*VLOOKUP(OrganizedData[[#This Row],[Product Code]],ProductData[],4,FALSE)</f>
        <v>1000</v>
      </c>
      <c r="Q1895" s="6">
        <f>OrganizedData[[#This Row],[Total Items Ordered]]*VLOOKUP(OrganizedData[[#This Row],[Product Code]],ProductData[],3,FALSE)</f>
        <v>2009.9999999999998</v>
      </c>
      <c r="R18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1896" spans="1:18" x14ac:dyDescent="0.3">
      <c r="A1896" s="2">
        <v>1889</v>
      </c>
      <c r="B1896" s="2" t="s">
        <v>1246</v>
      </c>
      <c r="C1896" s="2" t="s">
        <v>896</v>
      </c>
      <c r="D1896" s="2" t="s">
        <v>28</v>
      </c>
      <c r="E1896" s="2" t="s">
        <v>29</v>
      </c>
      <c r="F1896" s="2">
        <v>60</v>
      </c>
      <c r="G1896" s="2" t="s">
        <v>5467</v>
      </c>
      <c r="H1896" s="2" t="s">
        <v>2137</v>
      </c>
      <c r="I1896" s="2" t="s">
        <v>187</v>
      </c>
      <c r="J1896" s="3">
        <v>44433</v>
      </c>
      <c r="K1896" s="5">
        <f>YEAR(OrganizedData[[#This Row],[Order Date]])</f>
        <v>2021</v>
      </c>
      <c r="L1896" s="7" t="str">
        <f>TEXT(OrganizedData[[#This Row],[Order Date]],"mmm")</f>
        <v>Aug</v>
      </c>
      <c r="M1896" s="2">
        <v>32</v>
      </c>
      <c r="N1896" s="2" t="s">
        <v>45</v>
      </c>
      <c r="O1896" s="2" t="str">
        <f>VLOOKUP(OrganizedData[[#This Row],[Product Code]],ProductData[[Code]:[Item]],2,FALSE)</f>
        <v>Gigastuff</v>
      </c>
      <c r="P1896" s="4">
        <f>OrganizedData[[#This Row],[Quantity]]*VLOOKUP(OrganizedData[[#This Row],[Product Code]],ProductData[],4,FALSE)</f>
        <v>576</v>
      </c>
      <c r="Q1896" s="6">
        <f>OrganizedData[[#This Row],[Total Items Ordered]]*VLOOKUP(OrganizedData[[#This Row],[Product Code]],ProductData[],3,FALSE)</f>
        <v>1088.6399999999999</v>
      </c>
      <c r="R18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1897" spans="1:18" x14ac:dyDescent="0.3">
      <c r="A1897" s="2">
        <v>1890</v>
      </c>
      <c r="B1897" s="2" t="s">
        <v>5468</v>
      </c>
      <c r="C1897" s="2" t="s">
        <v>3084</v>
      </c>
      <c r="D1897" s="2" t="s">
        <v>28</v>
      </c>
      <c r="E1897" s="2" t="s">
        <v>29</v>
      </c>
      <c r="F1897" s="2">
        <v>60</v>
      </c>
      <c r="G1897" s="2" t="s">
        <v>5469</v>
      </c>
      <c r="H1897" s="2" t="s">
        <v>942</v>
      </c>
      <c r="I1897" s="2" t="s">
        <v>32</v>
      </c>
      <c r="J1897" s="3">
        <v>44148</v>
      </c>
      <c r="K1897" s="5">
        <f>YEAR(OrganizedData[[#This Row],[Order Date]])</f>
        <v>2020</v>
      </c>
      <c r="L1897" s="7" t="str">
        <f>TEXT(OrganizedData[[#This Row],[Order Date]],"mmm")</f>
        <v>Nov</v>
      </c>
      <c r="M1897" s="2">
        <v>27</v>
      </c>
      <c r="N1897" s="2" t="s">
        <v>159</v>
      </c>
      <c r="O1897" s="2" t="str">
        <f>VLOOKUP(OrganizedData[[#This Row],[Product Code]],ProductData[[Code]:[Item]],2,FALSE)</f>
        <v>Ultrathing V3</v>
      </c>
      <c r="P1897" s="4">
        <f>OrganizedData[[#This Row],[Quantity]]*VLOOKUP(OrganizedData[[#This Row],[Product Code]],ProductData[],4,FALSE)</f>
        <v>648</v>
      </c>
      <c r="Q1897" s="6">
        <f>OrganizedData[[#This Row],[Total Items Ordered]]*VLOOKUP(OrganizedData[[#This Row],[Product Code]],ProductData[],3,FALSE)</f>
        <v>2196.7200000000003</v>
      </c>
      <c r="R18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2130.8184000000001</v>
      </c>
    </row>
    <row r="1898" spans="1:18" x14ac:dyDescent="0.3">
      <c r="A1898" s="2">
        <v>1891</v>
      </c>
      <c r="B1898" s="2" t="s">
        <v>3532</v>
      </c>
      <c r="C1898" s="2" t="s">
        <v>5470</v>
      </c>
      <c r="D1898" s="2" t="s">
        <v>28</v>
      </c>
      <c r="E1898" s="2" t="s">
        <v>29</v>
      </c>
      <c r="F1898" s="2">
        <v>60</v>
      </c>
      <c r="G1898" s="2" t="s">
        <v>5471</v>
      </c>
      <c r="H1898" s="2" t="s">
        <v>5079</v>
      </c>
      <c r="I1898" s="2" t="s">
        <v>294</v>
      </c>
      <c r="J1898" s="3">
        <v>44082</v>
      </c>
      <c r="K1898" s="5">
        <f>YEAR(OrganizedData[[#This Row],[Order Date]])</f>
        <v>2020</v>
      </c>
      <c r="L1898" s="7" t="str">
        <f>TEXT(OrganizedData[[#This Row],[Order Date]],"mmm")</f>
        <v>Sep</v>
      </c>
      <c r="M1898" s="2">
        <v>66</v>
      </c>
      <c r="N1898" s="2" t="s">
        <v>54</v>
      </c>
      <c r="O1898" s="2" t="str">
        <f>VLOOKUP(OrganizedData[[#This Row],[Product Code]],ProductData[[Code]:[Item]],2,FALSE)</f>
        <v>Megawidget S</v>
      </c>
      <c r="P1898" s="4">
        <f>OrganizedData[[#This Row],[Quantity]]*VLOOKUP(OrganizedData[[#This Row],[Product Code]],ProductData[],4,FALSE)</f>
        <v>1584</v>
      </c>
      <c r="Q1898" s="6">
        <f>OrganizedData[[#This Row],[Total Items Ordered]]*VLOOKUP(OrganizedData[[#This Row],[Product Code]],ProductData[],3,FALSE)</f>
        <v>1092.9599999999998</v>
      </c>
      <c r="R18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899" spans="1:18" x14ac:dyDescent="0.3">
      <c r="A1899" s="2">
        <v>1892</v>
      </c>
      <c r="B1899" s="2" t="s">
        <v>55</v>
      </c>
      <c r="C1899" s="2" t="s">
        <v>1340</v>
      </c>
      <c r="D1899" s="2" t="s">
        <v>28</v>
      </c>
      <c r="E1899" s="2" t="s">
        <v>29</v>
      </c>
      <c r="F1899" s="2">
        <v>30</v>
      </c>
      <c r="G1899" s="2" t="s">
        <v>5472</v>
      </c>
      <c r="H1899" s="2" t="s">
        <v>5473</v>
      </c>
      <c r="I1899" s="2" t="s">
        <v>240</v>
      </c>
      <c r="J1899" s="3">
        <v>44378</v>
      </c>
      <c r="K1899" s="5">
        <f>YEAR(OrganizedData[[#This Row],[Order Date]])</f>
        <v>2021</v>
      </c>
      <c r="L1899" s="7" t="str">
        <f>TEXT(OrganizedData[[#This Row],[Order Date]],"mmm")</f>
        <v>Jul</v>
      </c>
      <c r="M1899" s="2">
        <v>6</v>
      </c>
      <c r="N1899" s="2" t="s">
        <v>45</v>
      </c>
      <c r="O1899" s="2" t="str">
        <f>VLOOKUP(OrganizedData[[#This Row],[Product Code]],ProductData[[Code]:[Item]],2,FALSE)</f>
        <v>Gigastuff</v>
      </c>
      <c r="P1899" s="4">
        <f>OrganizedData[[#This Row],[Quantity]]*VLOOKUP(OrganizedData[[#This Row],[Product Code]],ProductData[],4,FALSE)</f>
        <v>108</v>
      </c>
      <c r="Q1899" s="6">
        <f>OrganizedData[[#This Row],[Total Items Ordered]]*VLOOKUP(OrganizedData[[#This Row],[Product Code]],ProductData[],3,FALSE)</f>
        <v>204.11999999999998</v>
      </c>
      <c r="R18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204.11999999999998</v>
      </c>
    </row>
    <row r="1900" spans="1:18" x14ac:dyDescent="0.3">
      <c r="A1900" s="2">
        <v>1893</v>
      </c>
      <c r="B1900" s="2" t="s">
        <v>5474</v>
      </c>
      <c r="C1900" s="2" t="s">
        <v>5475</v>
      </c>
      <c r="D1900" s="2" t="s">
        <v>15</v>
      </c>
      <c r="E1900" s="2" t="s">
        <v>16</v>
      </c>
      <c r="F1900" s="2">
        <v>90</v>
      </c>
      <c r="G1900" s="2" t="s">
        <v>5476</v>
      </c>
      <c r="H1900" s="2" t="s">
        <v>5477</v>
      </c>
      <c r="I1900" s="2" t="s">
        <v>187</v>
      </c>
      <c r="J1900" s="3">
        <v>44358</v>
      </c>
      <c r="K1900" s="5">
        <f>YEAR(OrganizedData[[#This Row],[Order Date]])</f>
        <v>2021</v>
      </c>
      <c r="L1900" s="7" t="str">
        <f>TEXT(OrganizedData[[#This Row],[Order Date]],"mmm")</f>
        <v>Jun</v>
      </c>
      <c r="M1900" s="2">
        <v>67</v>
      </c>
      <c r="N1900" s="2" t="s">
        <v>54</v>
      </c>
      <c r="O1900" s="2" t="str">
        <f>VLOOKUP(OrganizedData[[#This Row],[Product Code]],ProductData[[Code]:[Item]],2,FALSE)</f>
        <v>Megawidget S</v>
      </c>
      <c r="P1900" s="4">
        <f>OrganizedData[[#This Row],[Quantity]]*VLOOKUP(OrganizedData[[#This Row],[Product Code]],ProductData[],4,FALSE)</f>
        <v>1608</v>
      </c>
      <c r="Q1900" s="6">
        <f>OrganizedData[[#This Row],[Total Items Ordered]]*VLOOKUP(OrganizedData[[#This Row],[Product Code]],ProductData[],3,FALSE)</f>
        <v>1109.52</v>
      </c>
      <c r="R19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1901" spans="1:18" x14ac:dyDescent="0.3">
      <c r="A1901" s="2">
        <v>1894</v>
      </c>
      <c r="B1901" s="2" t="s">
        <v>3623</v>
      </c>
      <c r="C1901" s="2" t="s">
        <v>3927</v>
      </c>
      <c r="D1901" s="2" t="s">
        <v>28</v>
      </c>
      <c r="E1901" s="2" t="s">
        <v>29</v>
      </c>
      <c r="F1901" s="2">
        <v>90</v>
      </c>
      <c r="G1901" s="2" t="s">
        <v>5478</v>
      </c>
      <c r="H1901" s="2" t="s">
        <v>315</v>
      </c>
      <c r="I1901" s="2" t="s">
        <v>32</v>
      </c>
      <c r="J1901" s="3">
        <v>44458</v>
      </c>
      <c r="K1901" s="5">
        <f>YEAR(OrganizedData[[#This Row],[Order Date]])</f>
        <v>2021</v>
      </c>
      <c r="L1901" s="7" t="str">
        <f>TEXT(OrganizedData[[#This Row],[Order Date]],"mmm")</f>
        <v>Sep</v>
      </c>
      <c r="M1901" s="2">
        <v>69</v>
      </c>
      <c r="N1901" s="2" t="s">
        <v>33</v>
      </c>
      <c r="O1901" s="2" t="str">
        <f>VLOOKUP(OrganizedData[[#This Row],[Product Code]],ProductData[[Code]:[Item]],2,FALSE)</f>
        <v>Megawidget L</v>
      </c>
      <c r="P1901" s="4">
        <f>OrganizedData[[#This Row],[Quantity]]*VLOOKUP(OrganizedData[[#This Row],[Product Code]],ProductData[],4,FALSE)</f>
        <v>1656</v>
      </c>
      <c r="Q1901" s="6">
        <f>OrganizedData[[#This Row],[Total Items Ordered]]*VLOOKUP(OrganizedData[[#This Row],[Product Code]],ProductData[],3,FALSE)</f>
        <v>2964.2400000000002</v>
      </c>
      <c r="R19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2816.0280000000002</v>
      </c>
    </row>
    <row r="1902" spans="1:18" x14ac:dyDescent="0.3">
      <c r="A1902" s="2">
        <v>1895</v>
      </c>
      <c r="B1902" s="2" t="s">
        <v>5479</v>
      </c>
      <c r="C1902" s="2" t="s">
        <v>5480</v>
      </c>
      <c r="D1902" s="2" t="s">
        <v>28</v>
      </c>
      <c r="E1902" s="2" t="s">
        <v>29</v>
      </c>
      <c r="F1902" s="2">
        <v>30</v>
      </c>
      <c r="G1902" s="2" t="s">
        <v>5481</v>
      </c>
      <c r="H1902" s="2" t="s">
        <v>382</v>
      </c>
      <c r="I1902" s="2" t="s">
        <v>32</v>
      </c>
      <c r="J1902" s="3">
        <v>44416</v>
      </c>
      <c r="K1902" s="5">
        <f>YEAR(OrganizedData[[#This Row],[Order Date]])</f>
        <v>2021</v>
      </c>
      <c r="L1902" s="7" t="str">
        <f>TEXT(OrganizedData[[#This Row],[Order Date]],"mmm")</f>
        <v>Aug</v>
      </c>
      <c r="M1902" s="2">
        <v>10</v>
      </c>
      <c r="N1902" s="2" t="s">
        <v>101</v>
      </c>
      <c r="O1902" s="2" t="str">
        <f>VLOOKUP(OrganizedData[[#This Row],[Product Code]],ProductData[[Code]:[Item]],2,FALSE)</f>
        <v>Superwossname</v>
      </c>
      <c r="P1902" s="4">
        <f>OrganizedData[[#This Row],[Quantity]]*VLOOKUP(OrganizedData[[#This Row],[Product Code]],ProductData[],4,FALSE)</f>
        <v>200</v>
      </c>
      <c r="Q1902" s="6">
        <f>OrganizedData[[#This Row],[Total Items Ordered]]*VLOOKUP(OrganizedData[[#This Row],[Product Code]],ProductData[],3,FALSE)</f>
        <v>698</v>
      </c>
      <c r="R19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698</v>
      </c>
    </row>
    <row r="1903" spans="1:18" x14ac:dyDescent="0.3">
      <c r="A1903" s="2">
        <v>1896</v>
      </c>
      <c r="B1903" s="2" t="s">
        <v>5482</v>
      </c>
      <c r="C1903" s="2" t="s">
        <v>5483</v>
      </c>
      <c r="D1903" s="2" t="s">
        <v>15</v>
      </c>
      <c r="E1903" s="2" t="s">
        <v>16</v>
      </c>
      <c r="F1903" s="2">
        <v>60</v>
      </c>
      <c r="G1903" s="2" t="s">
        <v>5484</v>
      </c>
      <c r="H1903" s="2" t="s">
        <v>3637</v>
      </c>
      <c r="I1903" s="2" t="s">
        <v>38</v>
      </c>
      <c r="J1903" s="3">
        <v>44295</v>
      </c>
      <c r="K1903" s="5">
        <f>YEAR(OrganizedData[[#This Row],[Order Date]])</f>
        <v>2021</v>
      </c>
      <c r="L1903" s="7" t="str">
        <f>TEXT(OrganizedData[[#This Row],[Order Date]],"mmm")</f>
        <v>Apr</v>
      </c>
      <c r="M1903" s="2">
        <v>57</v>
      </c>
      <c r="N1903" s="2" t="s">
        <v>101</v>
      </c>
      <c r="O1903" s="2" t="str">
        <f>VLOOKUP(OrganizedData[[#This Row],[Product Code]],ProductData[[Code]:[Item]],2,FALSE)</f>
        <v>Superwossname</v>
      </c>
      <c r="P1903" s="4">
        <f>OrganizedData[[#This Row],[Quantity]]*VLOOKUP(OrganizedData[[#This Row],[Product Code]],ProductData[],4,FALSE)</f>
        <v>1140</v>
      </c>
      <c r="Q1903" s="6">
        <f>OrganizedData[[#This Row],[Total Items Ordered]]*VLOOKUP(OrganizedData[[#This Row],[Product Code]],ProductData[],3,FALSE)</f>
        <v>3978.6000000000004</v>
      </c>
      <c r="R19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3779.67</v>
      </c>
    </row>
    <row r="1904" spans="1:18" x14ac:dyDescent="0.3">
      <c r="A1904" s="2">
        <v>1897</v>
      </c>
      <c r="B1904" s="2" t="s">
        <v>5485</v>
      </c>
      <c r="C1904" s="2" t="s">
        <v>4574</v>
      </c>
      <c r="D1904" s="2" t="s">
        <v>28</v>
      </c>
      <c r="E1904" s="2" t="s">
        <v>29</v>
      </c>
      <c r="F1904" s="2">
        <v>60</v>
      </c>
      <c r="G1904" s="2" t="s">
        <v>5486</v>
      </c>
      <c r="H1904" s="2" t="s">
        <v>4667</v>
      </c>
      <c r="I1904" s="2" t="s">
        <v>4668</v>
      </c>
      <c r="J1904" s="3">
        <v>44544</v>
      </c>
      <c r="K1904" s="5">
        <f>YEAR(OrganizedData[[#This Row],[Order Date]])</f>
        <v>2021</v>
      </c>
      <c r="L1904" s="7" t="str">
        <f>TEXT(OrganizedData[[#This Row],[Order Date]],"mmm")</f>
        <v>Dec</v>
      </c>
      <c r="M1904" s="2">
        <v>66</v>
      </c>
      <c r="N1904" s="2" t="s">
        <v>54</v>
      </c>
      <c r="O1904" s="2" t="str">
        <f>VLOOKUP(OrganizedData[[#This Row],[Product Code]],ProductData[[Code]:[Item]],2,FALSE)</f>
        <v>Megawidget S</v>
      </c>
      <c r="P1904" s="4">
        <f>OrganizedData[[#This Row],[Quantity]]*VLOOKUP(OrganizedData[[#This Row],[Product Code]],ProductData[],4,FALSE)</f>
        <v>1584</v>
      </c>
      <c r="Q1904" s="6">
        <f>OrganizedData[[#This Row],[Total Items Ordered]]*VLOOKUP(OrganizedData[[#This Row],[Product Code]],ProductData[],3,FALSE)</f>
        <v>1092.9599999999998</v>
      </c>
      <c r="R19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1905" spans="1:18" x14ac:dyDescent="0.3">
      <c r="A1905" s="2">
        <v>1898</v>
      </c>
      <c r="B1905" s="2" t="s">
        <v>5230</v>
      </c>
      <c r="C1905" s="2" t="s">
        <v>5487</v>
      </c>
      <c r="D1905" s="2" t="s">
        <v>15</v>
      </c>
      <c r="E1905" s="2" t="s">
        <v>16</v>
      </c>
      <c r="F1905" s="2">
        <v>60</v>
      </c>
      <c r="G1905" s="2" t="s">
        <v>5488</v>
      </c>
      <c r="H1905" s="2" t="s">
        <v>396</v>
      </c>
      <c r="I1905" s="2" t="s">
        <v>32</v>
      </c>
      <c r="J1905" s="3">
        <v>43847</v>
      </c>
      <c r="K1905" s="5">
        <f>YEAR(OrganizedData[[#This Row],[Order Date]])</f>
        <v>2020</v>
      </c>
      <c r="L1905" s="7" t="str">
        <f>TEXT(OrganizedData[[#This Row],[Order Date]],"mmm")</f>
        <v>Jan</v>
      </c>
      <c r="M1905" s="2">
        <v>42</v>
      </c>
      <c r="N1905" s="2" t="s">
        <v>70</v>
      </c>
      <c r="O1905" s="2" t="str">
        <f>VLOOKUP(OrganizedData[[#This Row],[Product Code]],ProductData[[Code]:[Item]],2,FALSE)</f>
        <v>Megawidget M</v>
      </c>
      <c r="P1905" s="4">
        <f>OrganizedData[[#This Row],[Quantity]]*VLOOKUP(OrganizedData[[#This Row],[Product Code]],ProductData[],4,FALSE)</f>
        <v>1008</v>
      </c>
      <c r="Q1905" s="6">
        <f>OrganizedData[[#This Row],[Total Items Ordered]]*VLOOKUP(OrganizedData[[#This Row],[Product Code]],ProductData[],3,FALSE)</f>
        <v>1300.32</v>
      </c>
      <c r="R19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1906" spans="1:18" x14ac:dyDescent="0.3">
      <c r="A1906" s="2">
        <v>1899</v>
      </c>
      <c r="B1906" s="2" t="s">
        <v>1580</v>
      </c>
      <c r="C1906" s="2" t="s">
        <v>1182</v>
      </c>
      <c r="D1906" s="2" t="s">
        <v>15</v>
      </c>
      <c r="E1906" s="2" t="s">
        <v>16</v>
      </c>
      <c r="F1906" s="2">
        <v>30</v>
      </c>
      <c r="G1906" s="2" t="s">
        <v>5489</v>
      </c>
      <c r="H1906" s="2" t="s">
        <v>920</v>
      </c>
      <c r="I1906" s="2" t="s">
        <v>178</v>
      </c>
      <c r="J1906" s="3">
        <v>44312</v>
      </c>
      <c r="K1906" s="5">
        <f>YEAR(OrganizedData[[#This Row],[Order Date]])</f>
        <v>2021</v>
      </c>
      <c r="L1906" s="7" t="str">
        <f>TEXT(OrganizedData[[#This Row],[Order Date]],"mmm")</f>
        <v>Apr</v>
      </c>
      <c r="M1906" s="2">
        <v>21</v>
      </c>
      <c r="N1906" s="2" t="s">
        <v>64</v>
      </c>
      <c r="O1906" s="2" t="str">
        <f>VLOOKUP(OrganizedData[[#This Row],[Product Code]],ProductData[[Code]:[Item]],2,FALSE)</f>
        <v>Ultrathing V4</v>
      </c>
      <c r="P1906" s="4">
        <f>OrganizedData[[#This Row],[Quantity]]*VLOOKUP(OrganizedData[[#This Row],[Product Code]],ProductData[],4,FALSE)</f>
        <v>504</v>
      </c>
      <c r="Q1906" s="6">
        <f>OrganizedData[[#This Row],[Total Items Ordered]]*VLOOKUP(OrganizedData[[#This Row],[Product Code]],ProductData[],3,FALSE)</f>
        <v>2010.96</v>
      </c>
      <c r="R19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1907" spans="1:18" x14ac:dyDescent="0.3">
      <c r="A1907" s="2">
        <v>1900</v>
      </c>
      <c r="B1907" s="2" t="s">
        <v>2682</v>
      </c>
      <c r="C1907" s="2" t="s">
        <v>5490</v>
      </c>
      <c r="D1907" s="2" t="s">
        <v>28</v>
      </c>
      <c r="E1907" s="2" t="s">
        <v>29</v>
      </c>
      <c r="F1907" s="2">
        <v>60</v>
      </c>
      <c r="G1907" s="2" t="s">
        <v>5491</v>
      </c>
      <c r="H1907" s="2" t="s">
        <v>4409</v>
      </c>
      <c r="I1907" s="2" t="s">
        <v>294</v>
      </c>
      <c r="J1907" s="3">
        <v>44214</v>
      </c>
      <c r="K1907" s="5">
        <f>YEAR(OrganizedData[[#This Row],[Order Date]])</f>
        <v>2021</v>
      </c>
      <c r="L1907" s="7" t="str">
        <f>TEXT(OrganizedData[[#This Row],[Order Date]],"mmm")</f>
        <v>Jan</v>
      </c>
      <c r="M1907" s="2">
        <v>76</v>
      </c>
      <c r="N1907" s="2" t="s">
        <v>159</v>
      </c>
      <c r="O1907" s="2" t="str">
        <f>VLOOKUP(OrganizedData[[#This Row],[Product Code]],ProductData[[Code]:[Item]],2,FALSE)</f>
        <v>Ultrathing V3</v>
      </c>
      <c r="P1907" s="4">
        <f>OrganizedData[[#This Row],[Quantity]]*VLOOKUP(OrganizedData[[#This Row],[Product Code]],ProductData[],4,FALSE)</f>
        <v>1824</v>
      </c>
      <c r="Q1907" s="6">
        <f>OrganizedData[[#This Row],[Total Items Ordered]]*VLOOKUP(OrganizedData[[#This Row],[Product Code]],ProductData[],3,FALSE)</f>
        <v>6183.3600000000006</v>
      </c>
      <c r="R19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5874.192</v>
      </c>
    </row>
    <row r="1908" spans="1:18" x14ac:dyDescent="0.3">
      <c r="A1908" s="2">
        <v>1901</v>
      </c>
      <c r="B1908" s="2" t="s">
        <v>3835</v>
      </c>
      <c r="C1908" s="2" t="s">
        <v>2938</v>
      </c>
      <c r="D1908" s="2" t="s">
        <v>15</v>
      </c>
      <c r="E1908" s="2" t="s">
        <v>16</v>
      </c>
      <c r="F1908" s="2">
        <v>90</v>
      </c>
      <c r="G1908" s="2" t="s">
        <v>10509</v>
      </c>
      <c r="H1908" s="2" t="s">
        <v>802</v>
      </c>
      <c r="I1908" s="2" t="s">
        <v>294</v>
      </c>
      <c r="J1908" s="3">
        <v>44197</v>
      </c>
      <c r="K1908" s="5">
        <f>YEAR(OrganizedData[[#This Row],[Order Date]])</f>
        <v>2021</v>
      </c>
      <c r="L1908" s="7" t="str">
        <f>TEXT(OrganizedData[[#This Row],[Order Date]],"mmm")</f>
        <v>Jan</v>
      </c>
      <c r="M1908" s="2">
        <v>13</v>
      </c>
      <c r="N1908" s="2" t="s">
        <v>20</v>
      </c>
      <c r="O1908" s="2" t="str">
        <f>VLOOKUP(OrganizedData[[#This Row],[Product Code]],ProductData[[Code]:[Item]],2,FALSE)</f>
        <v>Hyperwotsit</v>
      </c>
      <c r="P1908" s="4">
        <f>OrganizedData[[#This Row],[Quantity]]*VLOOKUP(OrganizedData[[#This Row],[Product Code]],ProductData[],4,FALSE)</f>
        <v>260</v>
      </c>
      <c r="Q1908" s="6">
        <f>OrganizedData[[#This Row],[Total Items Ordered]]*VLOOKUP(OrganizedData[[#This Row],[Product Code]],ProductData[],3,FALSE)</f>
        <v>522.59999999999991</v>
      </c>
      <c r="R19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1909" spans="1:18" x14ac:dyDescent="0.3">
      <c r="A1909" s="2">
        <v>1902</v>
      </c>
      <c r="B1909" s="2" t="s">
        <v>5493</v>
      </c>
      <c r="C1909" s="2" t="s">
        <v>4962</v>
      </c>
      <c r="D1909" s="2" t="s">
        <v>15</v>
      </c>
      <c r="E1909" s="2" t="s">
        <v>16</v>
      </c>
      <c r="F1909" s="2">
        <v>30</v>
      </c>
      <c r="G1909" s="2" t="s">
        <v>5494</v>
      </c>
      <c r="H1909" s="2" t="s">
        <v>2212</v>
      </c>
      <c r="I1909" s="2" t="s">
        <v>32</v>
      </c>
      <c r="J1909" s="3">
        <v>44579</v>
      </c>
      <c r="K1909" s="5">
        <f>YEAR(OrganizedData[[#This Row],[Order Date]])</f>
        <v>2022</v>
      </c>
      <c r="L1909" s="7" t="str">
        <f>TEXT(OrganizedData[[#This Row],[Order Date]],"mmm")</f>
        <v>Jan</v>
      </c>
      <c r="M1909" s="2">
        <v>46</v>
      </c>
      <c r="N1909" s="2" t="s">
        <v>80</v>
      </c>
      <c r="O1909" s="2" t="str">
        <f>VLOOKUP(OrganizedData[[#This Row],[Product Code]],ProductData[[Code]:[Item]],2,FALSE)</f>
        <v>Ultrathing V2</v>
      </c>
      <c r="P1909" s="4">
        <f>OrganizedData[[#This Row],[Quantity]]*VLOOKUP(OrganizedData[[#This Row],[Product Code]],ProductData[],4,FALSE)</f>
        <v>920</v>
      </c>
      <c r="Q1909" s="6">
        <f>OrganizedData[[#This Row],[Total Items Ordered]]*VLOOKUP(OrganizedData[[#This Row],[Product Code]],ProductData[],3,FALSE)</f>
        <v>2714</v>
      </c>
      <c r="R19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1910" spans="1:18" x14ac:dyDescent="0.3">
      <c r="A1910" s="2">
        <v>1903</v>
      </c>
      <c r="B1910" s="2" t="s">
        <v>5495</v>
      </c>
      <c r="C1910" s="2" t="s">
        <v>4813</v>
      </c>
      <c r="D1910" s="2" t="s">
        <v>15</v>
      </c>
      <c r="E1910" s="2" t="s">
        <v>16</v>
      </c>
      <c r="F1910" s="2">
        <v>90</v>
      </c>
      <c r="G1910" s="2" t="s">
        <v>5496</v>
      </c>
      <c r="H1910" s="2" t="s">
        <v>2542</v>
      </c>
      <c r="I1910" s="2" t="s">
        <v>2543</v>
      </c>
      <c r="J1910" s="3">
        <v>44169</v>
      </c>
      <c r="K1910" s="5">
        <f>YEAR(OrganizedData[[#This Row],[Order Date]])</f>
        <v>2020</v>
      </c>
      <c r="L1910" s="7" t="str">
        <f>TEXT(OrganizedData[[#This Row],[Order Date]],"mmm")</f>
        <v>Dec</v>
      </c>
      <c r="M1910" s="2">
        <v>58</v>
      </c>
      <c r="N1910" s="2" t="s">
        <v>20</v>
      </c>
      <c r="O1910" s="2" t="str">
        <f>VLOOKUP(OrganizedData[[#This Row],[Product Code]],ProductData[[Code]:[Item]],2,FALSE)</f>
        <v>Hyperwotsit</v>
      </c>
      <c r="P1910" s="4">
        <f>OrganizedData[[#This Row],[Quantity]]*VLOOKUP(OrganizedData[[#This Row],[Product Code]],ProductData[],4,FALSE)</f>
        <v>1160</v>
      </c>
      <c r="Q1910" s="6">
        <f>OrganizedData[[#This Row],[Total Items Ordered]]*VLOOKUP(OrganizedData[[#This Row],[Product Code]],ProductData[],3,FALSE)</f>
        <v>2331.6</v>
      </c>
      <c r="R19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2215.02</v>
      </c>
    </row>
    <row r="1911" spans="1:18" x14ac:dyDescent="0.3">
      <c r="A1911" s="2">
        <v>1904</v>
      </c>
      <c r="B1911" s="2" t="s">
        <v>5497</v>
      </c>
      <c r="C1911" s="2" t="s">
        <v>1853</v>
      </c>
      <c r="D1911" s="2" t="s">
        <v>28</v>
      </c>
      <c r="E1911" s="2" t="s">
        <v>29</v>
      </c>
      <c r="F1911" s="2">
        <v>60</v>
      </c>
      <c r="G1911" s="2" t="s">
        <v>5498</v>
      </c>
      <c r="H1911" s="2" t="s">
        <v>5499</v>
      </c>
      <c r="I1911" s="2" t="s">
        <v>32</v>
      </c>
      <c r="J1911" s="3">
        <v>44381</v>
      </c>
      <c r="K1911" s="5">
        <f>YEAR(OrganizedData[[#This Row],[Order Date]])</f>
        <v>2021</v>
      </c>
      <c r="L1911" s="7" t="str">
        <f>TEXT(OrganizedData[[#This Row],[Order Date]],"mmm")</f>
        <v>Jul</v>
      </c>
      <c r="M1911" s="2">
        <v>95</v>
      </c>
      <c r="N1911" s="2" t="s">
        <v>20</v>
      </c>
      <c r="O1911" s="2" t="str">
        <f>VLOOKUP(OrganizedData[[#This Row],[Product Code]],ProductData[[Code]:[Item]],2,FALSE)</f>
        <v>Hyperwotsit</v>
      </c>
      <c r="P1911" s="4">
        <f>OrganizedData[[#This Row],[Quantity]]*VLOOKUP(OrganizedData[[#This Row],[Product Code]],ProductData[],4,FALSE)</f>
        <v>1900</v>
      </c>
      <c r="Q1911" s="6">
        <f>OrganizedData[[#This Row],[Total Items Ordered]]*VLOOKUP(OrganizedData[[#This Row],[Product Code]],ProductData[],3,FALSE)</f>
        <v>3818.9999999999995</v>
      </c>
      <c r="R19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3628.0499999999993</v>
      </c>
    </row>
    <row r="1912" spans="1:18" x14ac:dyDescent="0.3">
      <c r="A1912" s="2">
        <v>1905</v>
      </c>
      <c r="B1912" s="2" t="s">
        <v>5500</v>
      </c>
      <c r="C1912" s="2" t="s">
        <v>2438</v>
      </c>
      <c r="D1912" s="2" t="s">
        <v>28</v>
      </c>
      <c r="E1912" s="2" t="s">
        <v>29</v>
      </c>
      <c r="F1912" s="2">
        <v>60</v>
      </c>
      <c r="G1912" s="2" t="s">
        <v>5501</v>
      </c>
      <c r="H1912" s="2" t="s">
        <v>3387</v>
      </c>
      <c r="I1912" s="2" t="s">
        <v>2878</v>
      </c>
      <c r="J1912" s="3">
        <v>44012</v>
      </c>
      <c r="K1912" s="5">
        <f>YEAR(OrganizedData[[#This Row],[Order Date]])</f>
        <v>2020</v>
      </c>
      <c r="L1912" s="7" t="str">
        <f>TEXT(OrganizedData[[#This Row],[Order Date]],"mmm")</f>
        <v>Jun</v>
      </c>
      <c r="M1912" s="2">
        <v>60</v>
      </c>
      <c r="N1912" s="2" t="s">
        <v>64</v>
      </c>
      <c r="O1912" s="2" t="str">
        <f>VLOOKUP(OrganizedData[[#This Row],[Product Code]],ProductData[[Code]:[Item]],2,FALSE)</f>
        <v>Ultrathing V4</v>
      </c>
      <c r="P1912" s="4">
        <f>OrganizedData[[#This Row],[Quantity]]*VLOOKUP(OrganizedData[[#This Row],[Product Code]],ProductData[],4,FALSE)</f>
        <v>1440</v>
      </c>
      <c r="Q1912" s="6">
        <f>OrganizedData[[#This Row],[Total Items Ordered]]*VLOOKUP(OrganizedData[[#This Row],[Product Code]],ProductData[],3,FALSE)</f>
        <v>5745.6</v>
      </c>
      <c r="R19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5458.32</v>
      </c>
    </row>
    <row r="1913" spans="1:18" x14ac:dyDescent="0.3">
      <c r="A1913" s="2">
        <v>1906</v>
      </c>
      <c r="B1913" s="2" t="s">
        <v>4765</v>
      </c>
      <c r="C1913" s="2" t="s">
        <v>5502</v>
      </c>
      <c r="D1913" s="2" t="s">
        <v>51</v>
      </c>
      <c r="E1913" s="2" t="s">
        <v>16</v>
      </c>
      <c r="F1913" s="2">
        <v>60</v>
      </c>
      <c r="G1913" s="2" t="s">
        <v>5503</v>
      </c>
      <c r="H1913" s="2" t="s">
        <v>682</v>
      </c>
      <c r="I1913" s="2" t="s">
        <v>32</v>
      </c>
      <c r="J1913" s="3">
        <v>43893</v>
      </c>
      <c r="K1913" s="5">
        <f>YEAR(OrganizedData[[#This Row],[Order Date]])</f>
        <v>2020</v>
      </c>
      <c r="L1913" s="7" t="str">
        <f>TEXT(OrganizedData[[#This Row],[Order Date]],"mmm")</f>
        <v>Mar</v>
      </c>
      <c r="M1913" s="2">
        <v>33</v>
      </c>
      <c r="N1913" s="2" t="s">
        <v>33</v>
      </c>
      <c r="O1913" s="2" t="str">
        <f>VLOOKUP(OrganizedData[[#This Row],[Product Code]],ProductData[[Code]:[Item]],2,FALSE)</f>
        <v>Megawidget L</v>
      </c>
      <c r="P1913" s="4">
        <f>OrganizedData[[#This Row],[Quantity]]*VLOOKUP(OrganizedData[[#This Row],[Product Code]],ProductData[],4,FALSE)</f>
        <v>792</v>
      </c>
      <c r="Q1913" s="6">
        <f>OrganizedData[[#This Row],[Total Items Ordered]]*VLOOKUP(OrganizedData[[#This Row],[Product Code]],ProductData[],3,FALSE)</f>
        <v>1417.68</v>
      </c>
      <c r="R19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1375.1496</v>
      </c>
    </row>
    <row r="1914" spans="1:18" x14ac:dyDescent="0.3">
      <c r="A1914" s="2">
        <v>1907</v>
      </c>
      <c r="B1914" s="2" t="s">
        <v>2556</v>
      </c>
      <c r="C1914" s="2" t="s">
        <v>1779</v>
      </c>
      <c r="D1914" s="2" t="s">
        <v>28</v>
      </c>
      <c r="E1914" s="2" t="s">
        <v>29</v>
      </c>
      <c r="F1914" s="2">
        <v>30</v>
      </c>
      <c r="G1914" s="2" t="s">
        <v>5504</v>
      </c>
      <c r="H1914" s="2" t="s">
        <v>5505</v>
      </c>
      <c r="I1914" s="2" t="s">
        <v>240</v>
      </c>
      <c r="J1914" s="3">
        <v>44806</v>
      </c>
      <c r="K1914" s="5">
        <f>YEAR(OrganizedData[[#This Row],[Order Date]])</f>
        <v>2022</v>
      </c>
      <c r="L1914" s="7" t="str">
        <f>TEXT(OrganizedData[[#This Row],[Order Date]],"mmm")</f>
        <v>Sep</v>
      </c>
      <c r="M1914" s="2">
        <v>100</v>
      </c>
      <c r="N1914" s="2" t="s">
        <v>64</v>
      </c>
      <c r="O1914" s="2" t="str">
        <f>VLOOKUP(OrganizedData[[#This Row],[Product Code]],ProductData[[Code]:[Item]],2,FALSE)</f>
        <v>Ultrathing V4</v>
      </c>
      <c r="P1914" s="4">
        <f>OrganizedData[[#This Row],[Quantity]]*VLOOKUP(OrganizedData[[#This Row],[Product Code]],ProductData[],4,FALSE)</f>
        <v>2400</v>
      </c>
      <c r="Q1914" s="6">
        <f>OrganizedData[[#This Row],[Total Items Ordered]]*VLOOKUP(OrganizedData[[#This Row],[Product Code]],ProductData[],3,FALSE)</f>
        <v>9576</v>
      </c>
      <c r="R19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9097.1999999999989</v>
      </c>
    </row>
    <row r="1915" spans="1:18" x14ac:dyDescent="0.3">
      <c r="A1915" s="2">
        <v>1908</v>
      </c>
      <c r="B1915" s="2" t="s">
        <v>5506</v>
      </c>
      <c r="C1915" s="2" t="s">
        <v>516</v>
      </c>
      <c r="D1915" s="2" t="s">
        <v>28</v>
      </c>
      <c r="E1915" s="2" t="s">
        <v>29</v>
      </c>
      <c r="F1915" s="2">
        <v>90</v>
      </c>
      <c r="G1915" s="2" t="s">
        <v>5507</v>
      </c>
      <c r="H1915" s="2" t="s">
        <v>3894</v>
      </c>
      <c r="I1915" s="2" t="s">
        <v>110</v>
      </c>
      <c r="J1915" s="3">
        <v>44015</v>
      </c>
      <c r="K1915" s="5">
        <f>YEAR(OrganizedData[[#This Row],[Order Date]])</f>
        <v>2020</v>
      </c>
      <c r="L1915" s="7" t="str">
        <f>TEXT(OrganizedData[[#This Row],[Order Date]],"mmm")</f>
        <v>Jul</v>
      </c>
      <c r="M1915" s="2">
        <v>70</v>
      </c>
      <c r="N1915" s="2" t="s">
        <v>64</v>
      </c>
      <c r="O1915" s="2" t="str">
        <f>VLOOKUP(OrganizedData[[#This Row],[Product Code]],ProductData[[Code]:[Item]],2,FALSE)</f>
        <v>Ultrathing V4</v>
      </c>
      <c r="P1915" s="4">
        <f>OrganizedData[[#This Row],[Quantity]]*VLOOKUP(OrganizedData[[#This Row],[Product Code]],ProductData[],4,FALSE)</f>
        <v>1680</v>
      </c>
      <c r="Q1915" s="6">
        <f>OrganizedData[[#This Row],[Total Items Ordered]]*VLOOKUP(OrganizedData[[#This Row],[Product Code]],ProductData[],3,FALSE)</f>
        <v>6703.2000000000007</v>
      </c>
      <c r="R19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6368.04</v>
      </c>
    </row>
    <row r="1916" spans="1:18" x14ac:dyDescent="0.3">
      <c r="A1916" s="2">
        <v>1909</v>
      </c>
      <c r="B1916" s="2" t="s">
        <v>5508</v>
      </c>
      <c r="C1916" s="2" t="s">
        <v>1923</v>
      </c>
      <c r="D1916" s="2" t="s">
        <v>15</v>
      </c>
      <c r="E1916" s="2" t="s">
        <v>16</v>
      </c>
      <c r="F1916" s="2">
        <v>60</v>
      </c>
      <c r="G1916" s="2" t="s">
        <v>5509</v>
      </c>
      <c r="H1916" s="2" t="s">
        <v>3628</v>
      </c>
      <c r="I1916" s="2" t="s">
        <v>32</v>
      </c>
      <c r="J1916" s="3">
        <v>43921</v>
      </c>
      <c r="K1916" s="5">
        <f>YEAR(OrganizedData[[#This Row],[Order Date]])</f>
        <v>2020</v>
      </c>
      <c r="L1916" s="7" t="str">
        <f>TEXT(OrganizedData[[#This Row],[Order Date]],"mmm")</f>
        <v>Mar</v>
      </c>
      <c r="M1916" s="2">
        <v>61</v>
      </c>
      <c r="N1916" s="2" t="s">
        <v>33</v>
      </c>
      <c r="O1916" s="2" t="str">
        <f>VLOOKUP(OrganizedData[[#This Row],[Product Code]],ProductData[[Code]:[Item]],2,FALSE)</f>
        <v>Megawidget L</v>
      </c>
      <c r="P1916" s="4">
        <f>OrganizedData[[#This Row],[Quantity]]*VLOOKUP(OrganizedData[[#This Row],[Product Code]],ProductData[],4,FALSE)</f>
        <v>1464</v>
      </c>
      <c r="Q1916" s="6">
        <f>OrganizedData[[#This Row],[Total Items Ordered]]*VLOOKUP(OrganizedData[[#This Row],[Product Code]],ProductData[],3,FALSE)</f>
        <v>2620.56</v>
      </c>
      <c r="R19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2489.5319999999997</v>
      </c>
    </row>
    <row r="1917" spans="1:18" x14ac:dyDescent="0.3">
      <c r="A1917" s="2">
        <v>1910</v>
      </c>
      <c r="B1917" s="2" t="s">
        <v>5510</v>
      </c>
      <c r="C1917" s="2" t="s">
        <v>5511</v>
      </c>
      <c r="D1917" s="2" t="s">
        <v>51</v>
      </c>
      <c r="E1917" s="2" t="s">
        <v>16</v>
      </c>
      <c r="F1917" s="2">
        <v>30</v>
      </c>
      <c r="G1917" s="2" t="s">
        <v>5512</v>
      </c>
      <c r="H1917" s="2" t="s">
        <v>389</v>
      </c>
      <c r="I1917" s="2" t="s">
        <v>32</v>
      </c>
      <c r="J1917" s="3">
        <v>44652</v>
      </c>
      <c r="K1917" s="5">
        <f>YEAR(OrganizedData[[#This Row],[Order Date]])</f>
        <v>2022</v>
      </c>
      <c r="L1917" s="7" t="str">
        <f>TEXT(OrganizedData[[#This Row],[Order Date]],"mmm")</f>
        <v>Apr</v>
      </c>
      <c r="M1917" s="2">
        <v>101</v>
      </c>
      <c r="N1917" s="2" t="s">
        <v>33</v>
      </c>
      <c r="O1917" s="2" t="str">
        <f>VLOOKUP(OrganizedData[[#This Row],[Product Code]],ProductData[[Code]:[Item]],2,FALSE)</f>
        <v>Megawidget L</v>
      </c>
      <c r="P1917" s="4">
        <f>OrganizedData[[#This Row],[Quantity]]*VLOOKUP(OrganizedData[[#This Row],[Product Code]],ProductData[],4,FALSE)</f>
        <v>2424</v>
      </c>
      <c r="Q1917" s="6">
        <f>OrganizedData[[#This Row],[Total Items Ordered]]*VLOOKUP(OrganizedData[[#This Row],[Product Code]],ProductData[],3,FALSE)</f>
        <v>4338.96</v>
      </c>
      <c r="R19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4035.2328000000002</v>
      </c>
    </row>
    <row r="1918" spans="1:18" x14ac:dyDescent="0.3">
      <c r="A1918" s="2">
        <v>1911</v>
      </c>
      <c r="B1918" s="2" t="s">
        <v>5513</v>
      </c>
      <c r="C1918" s="2" t="s">
        <v>3515</v>
      </c>
      <c r="D1918" s="2" t="s">
        <v>51</v>
      </c>
      <c r="E1918" s="2" t="s">
        <v>16</v>
      </c>
      <c r="F1918" s="2">
        <v>90</v>
      </c>
      <c r="G1918" s="2" t="s">
        <v>5514</v>
      </c>
      <c r="H1918" s="2" t="s">
        <v>2804</v>
      </c>
      <c r="I1918" s="2" t="s">
        <v>124</v>
      </c>
      <c r="J1918" s="3">
        <v>44233</v>
      </c>
      <c r="K1918" s="5">
        <f>YEAR(OrganizedData[[#This Row],[Order Date]])</f>
        <v>2021</v>
      </c>
      <c r="L1918" s="7" t="str">
        <f>TEXT(OrganizedData[[#This Row],[Order Date]],"mmm")</f>
        <v>Feb</v>
      </c>
      <c r="M1918" s="2">
        <v>77</v>
      </c>
      <c r="N1918" s="2" t="s">
        <v>20</v>
      </c>
      <c r="O1918" s="2" t="str">
        <f>VLOOKUP(OrganizedData[[#This Row],[Product Code]],ProductData[[Code]:[Item]],2,FALSE)</f>
        <v>Hyperwotsit</v>
      </c>
      <c r="P1918" s="4">
        <f>OrganizedData[[#This Row],[Quantity]]*VLOOKUP(OrganizedData[[#This Row],[Product Code]],ProductData[],4,FALSE)</f>
        <v>1540</v>
      </c>
      <c r="Q1918" s="6">
        <f>OrganizedData[[#This Row],[Total Items Ordered]]*VLOOKUP(OrganizedData[[#This Row],[Product Code]],ProductData[],3,FALSE)</f>
        <v>3095.3999999999996</v>
      </c>
      <c r="R19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2940.6299999999997</v>
      </c>
    </row>
    <row r="1919" spans="1:18" x14ac:dyDescent="0.3">
      <c r="A1919" s="2">
        <v>1912</v>
      </c>
      <c r="B1919" s="2" t="s">
        <v>1363</v>
      </c>
      <c r="C1919" s="2" t="s">
        <v>581</v>
      </c>
      <c r="D1919" s="2" t="s">
        <v>28</v>
      </c>
      <c r="E1919" s="2" t="s">
        <v>29</v>
      </c>
      <c r="F1919" s="2">
        <v>60</v>
      </c>
      <c r="G1919" s="2" t="s">
        <v>5514</v>
      </c>
      <c r="H1919" s="2" t="s">
        <v>924</v>
      </c>
      <c r="I1919" s="2" t="s">
        <v>32</v>
      </c>
      <c r="J1919" s="3">
        <v>44152</v>
      </c>
      <c r="K1919" s="5">
        <f>YEAR(OrganizedData[[#This Row],[Order Date]])</f>
        <v>2020</v>
      </c>
      <c r="L1919" s="7" t="str">
        <f>TEXT(OrganizedData[[#This Row],[Order Date]],"mmm")</f>
        <v>Nov</v>
      </c>
      <c r="M1919" s="2">
        <v>66</v>
      </c>
      <c r="N1919" s="2" t="s">
        <v>101</v>
      </c>
      <c r="O1919" s="2" t="str">
        <f>VLOOKUP(OrganizedData[[#This Row],[Product Code]],ProductData[[Code]:[Item]],2,FALSE)</f>
        <v>Superwossname</v>
      </c>
      <c r="P1919" s="4">
        <f>OrganizedData[[#This Row],[Quantity]]*VLOOKUP(OrganizedData[[#This Row],[Product Code]],ProductData[],4,FALSE)</f>
        <v>1320</v>
      </c>
      <c r="Q1919" s="6">
        <f>OrganizedData[[#This Row],[Total Items Ordered]]*VLOOKUP(OrganizedData[[#This Row],[Product Code]],ProductData[],3,FALSE)</f>
        <v>4606.8</v>
      </c>
      <c r="R19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1920" spans="1:18" x14ac:dyDescent="0.3">
      <c r="A1920" s="2">
        <v>1913</v>
      </c>
      <c r="B1920" s="2" t="s">
        <v>3985</v>
      </c>
      <c r="C1920" s="2" t="s">
        <v>2127</v>
      </c>
      <c r="D1920" s="2" t="s">
        <v>15</v>
      </c>
      <c r="E1920" s="2" t="s">
        <v>16</v>
      </c>
      <c r="F1920" s="2">
        <v>30</v>
      </c>
      <c r="G1920" s="2" t="s">
        <v>5514</v>
      </c>
      <c r="H1920" s="2" t="s">
        <v>288</v>
      </c>
      <c r="I1920" s="2" t="s">
        <v>32</v>
      </c>
      <c r="J1920" s="3">
        <v>44608</v>
      </c>
      <c r="K1920" s="5">
        <f>YEAR(OrganizedData[[#This Row],[Order Date]])</f>
        <v>2022</v>
      </c>
      <c r="L1920" s="7" t="str">
        <f>TEXT(OrganizedData[[#This Row],[Order Date]],"mmm")</f>
        <v>Feb</v>
      </c>
      <c r="M1920" s="2">
        <v>94</v>
      </c>
      <c r="N1920" s="2" t="s">
        <v>39</v>
      </c>
      <c r="O1920" s="2" t="str">
        <f>VLOOKUP(OrganizedData[[#This Row],[Product Code]],ProductData[[Code]:[Item]],2,FALSE)</f>
        <v>Ultrathing V1</v>
      </c>
      <c r="P1920" s="4">
        <f>OrganizedData[[#This Row],[Quantity]]*VLOOKUP(OrganizedData[[#This Row],[Product Code]],ProductData[],4,FALSE)</f>
        <v>1598</v>
      </c>
      <c r="Q1920" s="6">
        <f>OrganizedData[[#This Row],[Total Items Ordered]]*VLOOKUP(OrganizedData[[#This Row],[Product Code]],ProductData[],3,FALSE)</f>
        <v>2860.42</v>
      </c>
      <c r="R19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1921" spans="1:18" x14ac:dyDescent="0.3">
      <c r="A1921" s="2">
        <v>1914</v>
      </c>
      <c r="B1921" s="2" t="s">
        <v>5515</v>
      </c>
      <c r="C1921" s="2" t="s">
        <v>2010</v>
      </c>
      <c r="D1921" s="2" t="s">
        <v>28</v>
      </c>
      <c r="E1921" s="2" t="s">
        <v>29</v>
      </c>
      <c r="F1921" s="2">
        <v>60</v>
      </c>
      <c r="G1921" s="2" t="s">
        <v>5516</v>
      </c>
      <c r="H1921" s="2" t="s">
        <v>1232</v>
      </c>
      <c r="I1921" s="2" t="s">
        <v>1233</v>
      </c>
      <c r="J1921" s="3">
        <v>43873</v>
      </c>
      <c r="K1921" s="5">
        <f>YEAR(OrganizedData[[#This Row],[Order Date]])</f>
        <v>2020</v>
      </c>
      <c r="L1921" s="7" t="str">
        <f>TEXT(OrganizedData[[#This Row],[Order Date]],"mmm")</f>
        <v>Feb</v>
      </c>
      <c r="M1921" s="2">
        <v>10</v>
      </c>
      <c r="N1921" s="2" t="s">
        <v>45</v>
      </c>
      <c r="O1921" s="2" t="str">
        <f>VLOOKUP(OrganizedData[[#This Row],[Product Code]],ProductData[[Code]:[Item]],2,FALSE)</f>
        <v>Gigastuff</v>
      </c>
      <c r="P1921" s="4">
        <f>OrganizedData[[#This Row],[Quantity]]*VLOOKUP(OrganizedData[[#This Row],[Product Code]],ProductData[],4,FALSE)</f>
        <v>180</v>
      </c>
      <c r="Q1921" s="6">
        <f>OrganizedData[[#This Row],[Total Items Ordered]]*VLOOKUP(OrganizedData[[#This Row],[Product Code]],ProductData[],3,FALSE)</f>
        <v>340.2</v>
      </c>
      <c r="R19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1922" spans="1:18" x14ac:dyDescent="0.3">
      <c r="A1922" s="2">
        <v>1915</v>
      </c>
      <c r="B1922" s="2" t="s">
        <v>2253</v>
      </c>
      <c r="C1922" s="2" t="s">
        <v>3362</v>
      </c>
      <c r="D1922" s="2" t="s">
        <v>28</v>
      </c>
      <c r="E1922" s="2" t="s">
        <v>29</v>
      </c>
      <c r="F1922" s="2">
        <v>30</v>
      </c>
      <c r="G1922" s="2" t="s">
        <v>5517</v>
      </c>
      <c r="H1922" s="2" t="s">
        <v>2975</v>
      </c>
      <c r="I1922" s="2" t="s">
        <v>146</v>
      </c>
      <c r="J1922" s="3">
        <v>44544</v>
      </c>
      <c r="K1922" s="5">
        <f>YEAR(OrganizedData[[#This Row],[Order Date]])</f>
        <v>2021</v>
      </c>
      <c r="L1922" s="7" t="str">
        <f>TEXT(OrganizedData[[#This Row],[Order Date]],"mmm")</f>
        <v>Dec</v>
      </c>
      <c r="M1922" s="2">
        <v>5</v>
      </c>
      <c r="N1922" s="2" t="s">
        <v>20</v>
      </c>
      <c r="O1922" s="2" t="str">
        <f>VLOOKUP(OrganizedData[[#This Row],[Product Code]],ProductData[[Code]:[Item]],2,FALSE)</f>
        <v>Hyperwotsit</v>
      </c>
      <c r="P1922" s="4">
        <f>OrganizedData[[#This Row],[Quantity]]*VLOOKUP(OrganizedData[[#This Row],[Product Code]],ProductData[],4,FALSE)</f>
        <v>100</v>
      </c>
      <c r="Q1922" s="6">
        <f>OrganizedData[[#This Row],[Total Items Ordered]]*VLOOKUP(OrganizedData[[#This Row],[Product Code]],ProductData[],3,FALSE)</f>
        <v>200.99999999999997</v>
      </c>
      <c r="R19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1923" spans="1:18" x14ac:dyDescent="0.3">
      <c r="A1923" s="2">
        <v>1916</v>
      </c>
      <c r="B1923" s="2" t="s">
        <v>5518</v>
      </c>
      <c r="C1923" s="2" t="s">
        <v>5519</v>
      </c>
      <c r="D1923" s="2" t="s">
        <v>28</v>
      </c>
      <c r="E1923" s="2" t="s">
        <v>29</v>
      </c>
      <c r="F1923" s="2">
        <v>90</v>
      </c>
      <c r="G1923" s="2" t="s">
        <v>5520</v>
      </c>
      <c r="H1923" s="2" t="s">
        <v>5521</v>
      </c>
      <c r="I1923" s="2" t="s">
        <v>25</v>
      </c>
      <c r="J1923" s="3">
        <v>44175</v>
      </c>
      <c r="K1923" s="5">
        <f>YEAR(OrganizedData[[#This Row],[Order Date]])</f>
        <v>2020</v>
      </c>
      <c r="L1923" s="7" t="str">
        <f>TEXT(OrganizedData[[#This Row],[Order Date]],"mmm")</f>
        <v>Dec</v>
      </c>
      <c r="M1923" s="2">
        <v>26</v>
      </c>
      <c r="N1923" s="2" t="s">
        <v>20</v>
      </c>
      <c r="O1923" s="2" t="str">
        <f>VLOOKUP(OrganizedData[[#This Row],[Product Code]],ProductData[[Code]:[Item]],2,FALSE)</f>
        <v>Hyperwotsit</v>
      </c>
      <c r="P1923" s="4">
        <f>OrganizedData[[#This Row],[Quantity]]*VLOOKUP(OrganizedData[[#This Row],[Product Code]],ProductData[],4,FALSE)</f>
        <v>520</v>
      </c>
      <c r="Q1923" s="6">
        <f>OrganizedData[[#This Row],[Total Items Ordered]]*VLOOKUP(OrganizedData[[#This Row],[Product Code]],ProductData[],3,FALSE)</f>
        <v>1045.1999999999998</v>
      </c>
      <c r="R19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1013.8439999999998</v>
      </c>
    </row>
    <row r="1924" spans="1:18" x14ac:dyDescent="0.3">
      <c r="A1924" s="2">
        <v>1917</v>
      </c>
      <c r="B1924" s="2" t="s">
        <v>5522</v>
      </c>
      <c r="C1924" s="2" t="s">
        <v>394</v>
      </c>
      <c r="D1924" s="2" t="s">
        <v>15</v>
      </c>
      <c r="E1924" s="2" t="s">
        <v>16</v>
      </c>
      <c r="F1924" s="2">
        <v>90</v>
      </c>
      <c r="G1924" s="2" t="s">
        <v>5523</v>
      </c>
      <c r="H1924" s="2" t="s">
        <v>5039</v>
      </c>
      <c r="I1924" s="2" t="s">
        <v>32</v>
      </c>
      <c r="J1924" s="3">
        <v>44030</v>
      </c>
      <c r="K1924" s="5">
        <f>YEAR(OrganizedData[[#This Row],[Order Date]])</f>
        <v>2020</v>
      </c>
      <c r="L1924" s="7" t="str">
        <f>TEXT(OrganizedData[[#This Row],[Order Date]],"mmm")</f>
        <v>Jul</v>
      </c>
      <c r="M1924" s="2">
        <v>19</v>
      </c>
      <c r="N1924" s="2" t="s">
        <v>39</v>
      </c>
      <c r="O1924" s="2" t="str">
        <f>VLOOKUP(OrganizedData[[#This Row],[Product Code]],ProductData[[Code]:[Item]],2,FALSE)</f>
        <v>Ultrathing V1</v>
      </c>
      <c r="P1924" s="4">
        <f>OrganizedData[[#This Row],[Quantity]]*VLOOKUP(OrganizedData[[#This Row],[Product Code]],ProductData[],4,FALSE)</f>
        <v>323</v>
      </c>
      <c r="Q1924" s="6">
        <f>OrganizedData[[#This Row],[Total Items Ordered]]*VLOOKUP(OrganizedData[[#This Row],[Product Code]],ProductData[],3,FALSE)</f>
        <v>578.16999999999996</v>
      </c>
      <c r="R19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578.16999999999996</v>
      </c>
    </row>
    <row r="1925" spans="1:18" x14ac:dyDescent="0.3">
      <c r="A1925" s="2">
        <v>1918</v>
      </c>
      <c r="B1925" s="2" t="s">
        <v>1352</v>
      </c>
      <c r="C1925" s="2" t="s">
        <v>3845</v>
      </c>
      <c r="D1925" s="2" t="s">
        <v>15</v>
      </c>
      <c r="E1925" s="2" t="s">
        <v>16</v>
      </c>
      <c r="F1925" s="2">
        <v>30</v>
      </c>
      <c r="G1925" s="2" t="s">
        <v>5524</v>
      </c>
      <c r="H1925" s="2" t="s">
        <v>4358</v>
      </c>
      <c r="I1925" s="2" t="s">
        <v>146</v>
      </c>
      <c r="J1925" s="3">
        <v>44417</v>
      </c>
      <c r="K1925" s="5">
        <f>YEAR(OrganizedData[[#This Row],[Order Date]])</f>
        <v>2021</v>
      </c>
      <c r="L1925" s="7" t="str">
        <f>TEXT(OrganizedData[[#This Row],[Order Date]],"mmm")</f>
        <v>Aug</v>
      </c>
      <c r="M1925" s="2">
        <v>83</v>
      </c>
      <c r="N1925" s="2" t="s">
        <v>64</v>
      </c>
      <c r="O1925" s="2" t="str">
        <f>VLOOKUP(OrganizedData[[#This Row],[Product Code]],ProductData[[Code]:[Item]],2,FALSE)</f>
        <v>Ultrathing V4</v>
      </c>
      <c r="P1925" s="4">
        <f>OrganizedData[[#This Row],[Quantity]]*VLOOKUP(OrganizedData[[#This Row],[Product Code]],ProductData[],4,FALSE)</f>
        <v>1992</v>
      </c>
      <c r="Q1925" s="6">
        <f>OrganizedData[[#This Row],[Total Items Ordered]]*VLOOKUP(OrganizedData[[#This Row],[Product Code]],ProductData[],3,FALSE)</f>
        <v>7948.0800000000008</v>
      </c>
      <c r="R19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1926" spans="1:18" x14ac:dyDescent="0.3">
      <c r="A1926" s="2">
        <v>1919</v>
      </c>
      <c r="B1926" s="2" t="s">
        <v>5525</v>
      </c>
      <c r="C1926" s="2" t="s">
        <v>5526</v>
      </c>
      <c r="D1926" s="2" t="s">
        <v>15</v>
      </c>
      <c r="E1926" s="2" t="s">
        <v>16</v>
      </c>
      <c r="F1926" s="2">
        <v>90</v>
      </c>
      <c r="G1926" s="2" t="s">
        <v>5527</v>
      </c>
      <c r="H1926" s="2" t="s">
        <v>1052</v>
      </c>
      <c r="I1926" s="2" t="s">
        <v>32</v>
      </c>
      <c r="J1926" s="3">
        <v>44267</v>
      </c>
      <c r="K1926" s="5">
        <f>YEAR(OrganizedData[[#This Row],[Order Date]])</f>
        <v>2021</v>
      </c>
      <c r="L1926" s="7" t="str">
        <f>TEXT(OrganizedData[[#This Row],[Order Date]],"mmm")</f>
        <v>Mar</v>
      </c>
      <c r="M1926" s="2">
        <v>94</v>
      </c>
      <c r="N1926" s="2" t="s">
        <v>20</v>
      </c>
      <c r="O1926" s="2" t="str">
        <f>VLOOKUP(OrganizedData[[#This Row],[Product Code]],ProductData[[Code]:[Item]],2,FALSE)</f>
        <v>Hyperwotsit</v>
      </c>
      <c r="P1926" s="4">
        <f>OrganizedData[[#This Row],[Quantity]]*VLOOKUP(OrganizedData[[#This Row],[Product Code]],ProductData[],4,FALSE)</f>
        <v>1880</v>
      </c>
      <c r="Q1926" s="6">
        <f>OrganizedData[[#This Row],[Total Items Ordered]]*VLOOKUP(OrganizedData[[#This Row],[Product Code]],ProductData[],3,FALSE)</f>
        <v>3778.7999999999997</v>
      </c>
      <c r="R19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3589.8599999999997</v>
      </c>
    </row>
    <row r="1927" spans="1:18" x14ac:dyDescent="0.3">
      <c r="A1927" s="2">
        <v>1920</v>
      </c>
      <c r="B1927" s="2" t="s">
        <v>1661</v>
      </c>
      <c r="C1927" s="2" t="s">
        <v>3382</v>
      </c>
      <c r="D1927" s="2" t="s">
        <v>28</v>
      </c>
      <c r="E1927" s="2" t="s">
        <v>29</v>
      </c>
      <c r="F1927" s="2">
        <v>90</v>
      </c>
      <c r="G1927" s="2" t="s">
        <v>5528</v>
      </c>
      <c r="H1927" s="2" t="s">
        <v>302</v>
      </c>
      <c r="I1927" s="2" t="s">
        <v>303</v>
      </c>
      <c r="J1927" s="3">
        <v>44865</v>
      </c>
      <c r="K1927" s="5">
        <f>YEAR(OrganizedData[[#This Row],[Order Date]])</f>
        <v>2022</v>
      </c>
      <c r="L1927" s="7" t="str">
        <f>TEXT(OrganizedData[[#This Row],[Order Date]],"mmm")</f>
        <v>Oct</v>
      </c>
      <c r="M1927" s="2">
        <v>70</v>
      </c>
      <c r="N1927" s="2" t="s">
        <v>70</v>
      </c>
      <c r="O1927" s="2" t="str">
        <f>VLOOKUP(OrganizedData[[#This Row],[Product Code]],ProductData[[Code]:[Item]],2,FALSE)</f>
        <v>Megawidget M</v>
      </c>
      <c r="P1927" s="4">
        <f>OrganizedData[[#This Row],[Quantity]]*VLOOKUP(OrganizedData[[#This Row],[Product Code]],ProductData[],4,FALSE)</f>
        <v>1680</v>
      </c>
      <c r="Q1927" s="6">
        <f>OrganizedData[[#This Row],[Total Items Ordered]]*VLOOKUP(OrganizedData[[#This Row],[Product Code]],ProductData[],3,FALSE)</f>
        <v>2167.2000000000003</v>
      </c>
      <c r="R19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2058.84</v>
      </c>
    </row>
    <row r="1928" spans="1:18" x14ac:dyDescent="0.3">
      <c r="A1928" s="2">
        <v>1921</v>
      </c>
      <c r="B1928" s="2" t="s">
        <v>285</v>
      </c>
      <c r="C1928" s="2" t="s">
        <v>5529</v>
      </c>
      <c r="D1928" s="2" t="s">
        <v>15</v>
      </c>
      <c r="E1928" s="2" t="s">
        <v>16</v>
      </c>
      <c r="F1928" s="2">
        <v>90</v>
      </c>
      <c r="G1928" s="2" t="s">
        <v>5528</v>
      </c>
      <c r="H1928" s="2" t="s">
        <v>3558</v>
      </c>
      <c r="I1928" s="2" t="s">
        <v>32</v>
      </c>
      <c r="J1928" s="3">
        <v>44823</v>
      </c>
      <c r="K1928" s="5">
        <f>YEAR(OrganizedData[[#This Row],[Order Date]])</f>
        <v>2022</v>
      </c>
      <c r="L1928" s="7" t="str">
        <f>TEXT(OrganizedData[[#This Row],[Order Date]],"mmm")</f>
        <v>Sep</v>
      </c>
      <c r="M1928" s="2">
        <v>10</v>
      </c>
      <c r="N1928" s="2" t="s">
        <v>39</v>
      </c>
      <c r="O1928" s="2" t="str">
        <f>VLOOKUP(OrganizedData[[#This Row],[Product Code]],ProductData[[Code]:[Item]],2,FALSE)</f>
        <v>Ultrathing V1</v>
      </c>
      <c r="P1928" s="4">
        <f>OrganizedData[[#This Row],[Quantity]]*VLOOKUP(OrganizedData[[#This Row],[Product Code]],ProductData[],4,FALSE)</f>
        <v>170</v>
      </c>
      <c r="Q1928" s="6">
        <f>OrganizedData[[#This Row],[Total Items Ordered]]*VLOOKUP(OrganizedData[[#This Row],[Product Code]],ProductData[],3,FALSE)</f>
        <v>304.3</v>
      </c>
      <c r="R19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1929" spans="1:18" x14ac:dyDescent="0.3">
      <c r="A1929" s="2">
        <v>1922</v>
      </c>
      <c r="B1929" s="2" t="s">
        <v>5530</v>
      </c>
      <c r="C1929" s="2" t="s">
        <v>131</v>
      </c>
      <c r="D1929" s="2" t="s">
        <v>51</v>
      </c>
      <c r="E1929" s="2" t="s">
        <v>16</v>
      </c>
      <c r="F1929" s="2">
        <v>90</v>
      </c>
      <c r="G1929" s="2" t="s">
        <v>5531</v>
      </c>
      <c r="H1929" s="2" t="s">
        <v>2097</v>
      </c>
      <c r="I1929" s="2" t="s">
        <v>178</v>
      </c>
      <c r="J1929" s="3">
        <v>44061</v>
      </c>
      <c r="K1929" s="5">
        <f>YEAR(OrganizedData[[#This Row],[Order Date]])</f>
        <v>2020</v>
      </c>
      <c r="L1929" s="7" t="str">
        <f>TEXT(OrganizedData[[#This Row],[Order Date]],"mmm")</f>
        <v>Aug</v>
      </c>
      <c r="M1929" s="2">
        <v>61</v>
      </c>
      <c r="N1929" s="2" t="s">
        <v>101</v>
      </c>
      <c r="O1929" s="2" t="str">
        <f>VLOOKUP(OrganizedData[[#This Row],[Product Code]],ProductData[[Code]:[Item]],2,FALSE)</f>
        <v>Superwossname</v>
      </c>
      <c r="P1929" s="4">
        <f>OrganizedData[[#This Row],[Quantity]]*VLOOKUP(OrganizedData[[#This Row],[Product Code]],ProductData[],4,FALSE)</f>
        <v>1220</v>
      </c>
      <c r="Q1929" s="6">
        <f>OrganizedData[[#This Row],[Total Items Ordered]]*VLOOKUP(OrganizedData[[#This Row],[Product Code]],ProductData[],3,FALSE)</f>
        <v>4257.8</v>
      </c>
      <c r="R19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4044.91</v>
      </c>
    </row>
    <row r="1930" spans="1:18" x14ac:dyDescent="0.3">
      <c r="A1930" s="2">
        <v>1923</v>
      </c>
      <c r="B1930" s="2" t="s">
        <v>5317</v>
      </c>
      <c r="C1930" s="2" t="s">
        <v>5442</v>
      </c>
      <c r="D1930" s="2" t="s">
        <v>41</v>
      </c>
      <c r="E1930" s="2" t="s">
        <v>16</v>
      </c>
      <c r="F1930" s="2">
        <v>60</v>
      </c>
      <c r="G1930" s="2" t="s">
        <v>5532</v>
      </c>
      <c r="H1930" s="2" t="s">
        <v>678</v>
      </c>
      <c r="I1930" s="2" t="s">
        <v>32</v>
      </c>
      <c r="J1930" s="3">
        <v>44521</v>
      </c>
      <c r="K1930" s="5">
        <f>YEAR(OrganizedData[[#This Row],[Order Date]])</f>
        <v>2021</v>
      </c>
      <c r="L1930" s="7" t="str">
        <f>TEXT(OrganizedData[[#This Row],[Order Date]],"mmm")</f>
        <v>Nov</v>
      </c>
      <c r="M1930" s="2">
        <v>3</v>
      </c>
      <c r="N1930" s="2" t="s">
        <v>101</v>
      </c>
      <c r="O1930" s="2" t="str">
        <f>VLOOKUP(OrganizedData[[#This Row],[Product Code]],ProductData[[Code]:[Item]],2,FALSE)</f>
        <v>Superwossname</v>
      </c>
      <c r="P1930" s="4">
        <f>OrganizedData[[#This Row],[Quantity]]*VLOOKUP(OrganizedData[[#This Row],[Product Code]],ProductData[],4,FALSE)</f>
        <v>60</v>
      </c>
      <c r="Q1930" s="6">
        <f>OrganizedData[[#This Row],[Total Items Ordered]]*VLOOKUP(OrganizedData[[#This Row],[Product Code]],ProductData[],3,FALSE)</f>
        <v>209.4</v>
      </c>
      <c r="R19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209.4</v>
      </c>
    </row>
    <row r="1931" spans="1:18" x14ac:dyDescent="0.3">
      <c r="A1931" s="2">
        <v>1924</v>
      </c>
      <c r="B1931" s="2" t="s">
        <v>1300</v>
      </c>
      <c r="C1931" s="2" t="s">
        <v>692</v>
      </c>
      <c r="D1931" s="2" t="s">
        <v>28</v>
      </c>
      <c r="E1931" s="2" t="s">
        <v>29</v>
      </c>
      <c r="F1931" s="2">
        <v>30</v>
      </c>
      <c r="G1931" s="2" t="s">
        <v>5533</v>
      </c>
      <c r="H1931" s="2" t="s">
        <v>2338</v>
      </c>
      <c r="I1931" s="2" t="s">
        <v>240</v>
      </c>
      <c r="J1931" s="3">
        <v>44905</v>
      </c>
      <c r="K1931" s="5">
        <f>YEAR(OrganizedData[[#This Row],[Order Date]])</f>
        <v>2022</v>
      </c>
      <c r="L1931" s="7" t="str">
        <f>TEXT(OrganizedData[[#This Row],[Order Date]],"mmm")</f>
        <v>Dec</v>
      </c>
      <c r="M1931" s="2">
        <v>86</v>
      </c>
      <c r="N1931" s="2" t="s">
        <v>33</v>
      </c>
      <c r="O1931" s="2" t="str">
        <f>VLOOKUP(OrganizedData[[#This Row],[Product Code]],ProductData[[Code]:[Item]],2,FALSE)</f>
        <v>Megawidget L</v>
      </c>
      <c r="P1931" s="4">
        <f>OrganizedData[[#This Row],[Quantity]]*VLOOKUP(OrganizedData[[#This Row],[Product Code]],ProductData[],4,FALSE)</f>
        <v>2064</v>
      </c>
      <c r="Q1931" s="6">
        <f>OrganizedData[[#This Row],[Total Items Ordered]]*VLOOKUP(OrganizedData[[#This Row],[Product Code]],ProductData[],3,FALSE)</f>
        <v>3694.56</v>
      </c>
      <c r="R19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3509.8319999999999</v>
      </c>
    </row>
    <row r="1932" spans="1:18" x14ac:dyDescent="0.3">
      <c r="A1932" s="2">
        <v>1925</v>
      </c>
      <c r="B1932" s="2" t="s">
        <v>3963</v>
      </c>
      <c r="C1932" s="2" t="s">
        <v>5534</v>
      </c>
      <c r="D1932" s="2" t="s">
        <v>41</v>
      </c>
      <c r="E1932" s="2" t="s">
        <v>16</v>
      </c>
      <c r="F1932" s="2">
        <v>60</v>
      </c>
      <c r="G1932" s="2" t="s">
        <v>5535</v>
      </c>
      <c r="H1932" s="2" t="s">
        <v>5536</v>
      </c>
      <c r="I1932" s="2" t="s">
        <v>886</v>
      </c>
      <c r="J1932" s="3">
        <v>43855</v>
      </c>
      <c r="K1932" s="5">
        <f>YEAR(OrganizedData[[#This Row],[Order Date]])</f>
        <v>2020</v>
      </c>
      <c r="L1932" s="7" t="str">
        <f>TEXT(OrganizedData[[#This Row],[Order Date]],"mmm")</f>
        <v>Jan</v>
      </c>
      <c r="M1932" s="2">
        <v>54</v>
      </c>
      <c r="N1932" s="2" t="s">
        <v>101</v>
      </c>
      <c r="O1932" s="2" t="str">
        <f>VLOOKUP(OrganizedData[[#This Row],[Product Code]],ProductData[[Code]:[Item]],2,FALSE)</f>
        <v>Superwossname</v>
      </c>
      <c r="P1932" s="4">
        <f>OrganizedData[[#This Row],[Quantity]]*VLOOKUP(OrganizedData[[#This Row],[Product Code]],ProductData[],4,FALSE)</f>
        <v>1080</v>
      </c>
      <c r="Q1932" s="6">
        <f>OrganizedData[[#This Row],[Total Items Ordered]]*VLOOKUP(OrganizedData[[#This Row],[Product Code]],ProductData[],3,FALSE)</f>
        <v>3769.2000000000003</v>
      </c>
      <c r="R19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1933" spans="1:18" x14ac:dyDescent="0.3">
      <c r="A1933" s="2">
        <v>1926</v>
      </c>
      <c r="B1933" s="2" t="s">
        <v>5537</v>
      </c>
      <c r="C1933" s="2" t="s">
        <v>1392</v>
      </c>
      <c r="D1933" s="2" t="s">
        <v>15</v>
      </c>
      <c r="E1933" s="2" t="s">
        <v>16</v>
      </c>
      <c r="F1933" s="2">
        <v>90</v>
      </c>
      <c r="G1933" s="2" t="s">
        <v>5538</v>
      </c>
      <c r="H1933" s="2" t="s">
        <v>4256</v>
      </c>
      <c r="I1933" s="2" t="s">
        <v>1454</v>
      </c>
      <c r="J1933" s="3">
        <v>44740</v>
      </c>
      <c r="K1933" s="5">
        <f>YEAR(OrganizedData[[#This Row],[Order Date]])</f>
        <v>2022</v>
      </c>
      <c r="L1933" s="7" t="str">
        <f>TEXT(OrganizedData[[#This Row],[Order Date]],"mmm")</f>
        <v>Jun</v>
      </c>
      <c r="M1933" s="2">
        <v>86</v>
      </c>
      <c r="N1933" s="2" t="s">
        <v>54</v>
      </c>
      <c r="O1933" s="2" t="str">
        <f>VLOOKUP(OrganizedData[[#This Row],[Product Code]],ProductData[[Code]:[Item]],2,FALSE)</f>
        <v>Megawidget S</v>
      </c>
      <c r="P1933" s="4">
        <f>OrganizedData[[#This Row],[Quantity]]*VLOOKUP(OrganizedData[[#This Row],[Product Code]],ProductData[],4,FALSE)</f>
        <v>2064</v>
      </c>
      <c r="Q1933" s="6">
        <f>OrganizedData[[#This Row],[Total Items Ordered]]*VLOOKUP(OrganizedData[[#This Row],[Product Code]],ProductData[],3,FALSE)</f>
        <v>1424.1599999999999</v>
      </c>
      <c r="R19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1352.9519999999998</v>
      </c>
    </row>
    <row r="1934" spans="1:18" x14ac:dyDescent="0.3">
      <c r="A1934" s="2">
        <v>1927</v>
      </c>
      <c r="B1934" s="2" t="s">
        <v>5539</v>
      </c>
      <c r="C1934" s="2" t="s">
        <v>825</v>
      </c>
      <c r="D1934" s="2" t="s">
        <v>15</v>
      </c>
      <c r="E1934" s="2" t="s">
        <v>16</v>
      </c>
      <c r="F1934" s="2">
        <v>30</v>
      </c>
      <c r="G1934" s="2" t="s">
        <v>10510</v>
      </c>
      <c r="H1934" s="2" t="s">
        <v>1888</v>
      </c>
      <c r="I1934" s="2" t="s">
        <v>1889</v>
      </c>
      <c r="J1934" s="3">
        <v>44639</v>
      </c>
      <c r="K1934" s="5">
        <f>YEAR(OrganizedData[[#This Row],[Order Date]])</f>
        <v>2022</v>
      </c>
      <c r="L1934" s="7" t="str">
        <f>TEXT(OrganizedData[[#This Row],[Order Date]],"mmm")</f>
        <v>Mar</v>
      </c>
      <c r="M1934" s="2">
        <v>25</v>
      </c>
      <c r="N1934" s="2" t="s">
        <v>20</v>
      </c>
      <c r="O1934" s="2" t="str">
        <f>VLOOKUP(OrganizedData[[#This Row],[Product Code]],ProductData[[Code]:[Item]],2,FALSE)</f>
        <v>Hyperwotsit</v>
      </c>
      <c r="P1934" s="4">
        <f>OrganizedData[[#This Row],[Quantity]]*VLOOKUP(OrganizedData[[#This Row],[Product Code]],ProductData[],4,FALSE)</f>
        <v>500</v>
      </c>
      <c r="Q1934" s="6">
        <f>OrganizedData[[#This Row],[Total Items Ordered]]*VLOOKUP(OrganizedData[[#This Row],[Product Code]],ProductData[],3,FALSE)</f>
        <v>1004.9999999999999</v>
      </c>
      <c r="R19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1935" spans="1:18" x14ac:dyDescent="0.3">
      <c r="A1935" s="2">
        <v>1928</v>
      </c>
      <c r="B1935" s="2" t="s">
        <v>2027</v>
      </c>
      <c r="C1935" s="2" t="s">
        <v>5541</v>
      </c>
      <c r="D1935" s="2" t="s">
        <v>28</v>
      </c>
      <c r="E1935" s="2" t="s">
        <v>29</v>
      </c>
      <c r="F1935" s="2">
        <v>30</v>
      </c>
      <c r="G1935" s="2" t="s">
        <v>10510</v>
      </c>
      <c r="H1935" s="2" t="s">
        <v>221</v>
      </c>
      <c r="I1935" s="2" t="s">
        <v>32</v>
      </c>
      <c r="J1935" s="3">
        <v>44417</v>
      </c>
      <c r="K1935" s="5">
        <f>YEAR(OrganizedData[[#This Row],[Order Date]])</f>
        <v>2021</v>
      </c>
      <c r="L1935" s="7" t="str">
        <f>TEXT(OrganizedData[[#This Row],[Order Date]],"mmm")</f>
        <v>Aug</v>
      </c>
      <c r="M1935" s="2">
        <v>67</v>
      </c>
      <c r="N1935" s="2" t="s">
        <v>33</v>
      </c>
      <c r="O1935" s="2" t="str">
        <f>VLOOKUP(OrganizedData[[#This Row],[Product Code]],ProductData[[Code]:[Item]],2,FALSE)</f>
        <v>Megawidget L</v>
      </c>
      <c r="P1935" s="4">
        <f>OrganizedData[[#This Row],[Quantity]]*VLOOKUP(OrganizedData[[#This Row],[Product Code]],ProductData[],4,FALSE)</f>
        <v>1608</v>
      </c>
      <c r="Q1935" s="6">
        <f>OrganizedData[[#This Row],[Total Items Ordered]]*VLOOKUP(OrganizedData[[#This Row],[Product Code]],ProductData[],3,FALSE)</f>
        <v>2878.32</v>
      </c>
      <c r="R19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2734.404</v>
      </c>
    </row>
    <row r="1936" spans="1:18" x14ac:dyDescent="0.3">
      <c r="A1936" s="2">
        <v>1929</v>
      </c>
      <c r="B1936" s="2" t="s">
        <v>5542</v>
      </c>
      <c r="C1936" s="2" t="s">
        <v>5543</v>
      </c>
      <c r="D1936" s="2" t="s">
        <v>51</v>
      </c>
      <c r="E1936" s="2" t="s">
        <v>16</v>
      </c>
      <c r="F1936" s="2">
        <v>60</v>
      </c>
      <c r="G1936" s="2" t="s">
        <v>5544</v>
      </c>
      <c r="H1936" s="2" t="s">
        <v>823</v>
      </c>
      <c r="I1936" s="2" t="s">
        <v>187</v>
      </c>
      <c r="J1936" s="3">
        <v>44674</v>
      </c>
      <c r="K1936" s="5">
        <f>YEAR(OrganizedData[[#This Row],[Order Date]])</f>
        <v>2022</v>
      </c>
      <c r="L1936" s="7" t="str">
        <f>TEXT(OrganizedData[[#This Row],[Order Date]],"mmm")</f>
        <v>Apr</v>
      </c>
      <c r="M1936" s="2">
        <v>68</v>
      </c>
      <c r="N1936" s="2" t="s">
        <v>39</v>
      </c>
      <c r="O1936" s="2" t="str">
        <f>VLOOKUP(OrganizedData[[#This Row],[Product Code]],ProductData[[Code]:[Item]],2,FALSE)</f>
        <v>Ultrathing V1</v>
      </c>
      <c r="P1936" s="4">
        <f>OrganizedData[[#This Row],[Quantity]]*VLOOKUP(OrganizedData[[#This Row],[Product Code]],ProductData[],4,FALSE)</f>
        <v>1156</v>
      </c>
      <c r="Q1936" s="6">
        <f>OrganizedData[[#This Row],[Total Items Ordered]]*VLOOKUP(OrganizedData[[#This Row],[Product Code]],ProductData[],3,FALSE)</f>
        <v>2069.2400000000002</v>
      </c>
      <c r="R19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1937" spans="1:18" x14ac:dyDescent="0.3">
      <c r="A1937" s="2">
        <v>1930</v>
      </c>
      <c r="B1937" s="2" t="s">
        <v>5545</v>
      </c>
      <c r="C1937" s="2" t="s">
        <v>5546</v>
      </c>
      <c r="D1937" s="2" t="s">
        <v>41</v>
      </c>
      <c r="E1937" s="2" t="s">
        <v>16</v>
      </c>
      <c r="F1937" s="2">
        <v>30</v>
      </c>
      <c r="G1937" s="2" t="s">
        <v>5547</v>
      </c>
      <c r="H1937" s="2" t="s">
        <v>3682</v>
      </c>
      <c r="I1937" s="2" t="s">
        <v>178</v>
      </c>
      <c r="J1937" s="3">
        <v>44356</v>
      </c>
      <c r="K1937" s="5">
        <f>YEAR(OrganizedData[[#This Row],[Order Date]])</f>
        <v>2021</v>
      </c>
      <c r="L1937" s="7" t="str">
        <f>TEXT(OrganizedData[[#This Row],[Order Date]],"mmm")</f>
        <v>Jun</v>
      </c>
      <c r="M1937" s="2">
        <v>50</v>
      </c>
      <c r="N1937" s="2" t="s">
        <v>159</v>
      </c>
      <c r="O1937" s="2" t="str">
        <f>VLOOKUP(OrganizedData[[#This Row],[Product Code]],ProductData[[Code]:[Item]],2,FALSE)</f>
        <v>Ultrathing V3</v>
      </c>
      <c r="P1937" s="4">
        <f>OrganizedData[[#This Row],[Quantity]]*VLOOKUP(OrganizedData[[#This Row],[Product Code]],ProductData[],4,FALSE)</f>
        <v>1200</v>
      </c>
      <c r="Q1937" s="6">
        <f>OrganizedData[[#This Row],[Total Items Ordered]]*VLOOKUP(OrganizedData[[#This Row],[Product Code]],ProductData[],3,FALSE)</f>
        <v>4068</v>
      </c>
      <c r="R19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1938" spans="1:18" x14ac:dyDescent="0.3">
      <c r="A1938" s="2">
        <v>1931</v>
      </c>
      <c r="B1938" s="2" t="s">
        <v>5548</v>
      </c>
      <c r="C1938" s="2" t="s">
        <v>4786</v>
      </c>
      <c r="D1938" s="2" t="s">
        <v>15</v>
      </c>
      <c r="E1938" s="2" t="s">
        <v>16</v>
      </c>
      <c r="F1938" s="2">
        <v>60</v>
      </c>
      <c r="G1938" s="2" t="s">
        <v>5549</v>
      </c>
      <c r="H1938" s="2" t="s">
        <v>1401</v>
      </c>
      <c r="I1938" s="2" t="s">
        <v>1402</v>
      </c>
      <c r="J1938" s="3">
        <v>44499</v>
      </c>
      <c r="K1938" s="5">
        <f>YEAR(OrganizedData[[#This Row],[Order Date]])</f>
        <v>2021</v>
      </c>
      <c r="L1938" s="7" t="str">
        <f>TEXT(OrganizedData[[#This Row],[Order Date]],"mmm")</f>
        <v>Oct</v>
      </c>
      <c r="M1938" s="2">
        <v>24</v>
      </c>
      <c r="N1938" s="2" t="s">
        <v>80</v>
      </c>
      <c r="O1938" s="2" t="str">
        <f>VLOOKUP(OrganizedData[[#This Row],[Product Code]],ProductData[[Code]:[Item]],2,FALSE)</f>
        <v>Ultrathing V2</v>
      </c>
      <c r="P1938" s="4">
        <f>OrganizedData[[#This Row],[Quantity]]*VLOOKUP(OrganizedData[[#This Row],[Product Code]],ProductData[],4,FALSE)</f>
        <v>480</v>
      </c>
      <c r="Q1938" s="6">
        <f>OrganizedData[[#This Row],[Total Items Ordered]]*VLOOKUP(OrganizedData[[#This Row],[Product Code]],ProductData[],3,FALSE)</f>
        <v>1416</v>
      </c>
      <c r="R19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1373.52</v>
      </c>
    </row>
    <row r="1939" spans="1:18" x14ac:dyDescent="0.3">
      <c r="A1939" s="2">
        <v>1932</v>
      </c>
      <c r="B1939" s="2" t="s">
        <v>5550</v>
      </c>
      <c r="C1939" s="2" t="s">
        <v>5551</v>
      </c>
      <c r="D1939" s="2" t="s">
        <v>51</v>
      </c>
      <c r="E1939" s="2" t="s">
        <v>16</v>
      </c>
      <c r="F1939" s="2">
        <v>30</v>
      </c>
      <c r="G1939" s="2" t="s">
        <v>5552</v>
      </c>
      <c r="H1939" s="2" t="s">
        <v>2361</v>
      </c>
      <c r="I1939" s="2" t="s">
        <v>110</v>
      </c>
      <c r="J1939" s="3">
        <v>44061</v>
      </c>
      <c r="K1939" s="5">
        <f>YEAR(OrganizedData[[#This Row],[Order Date]])</f>
        <v>2020</v>
      </c>
      <c r="L1939" s="7" t="str">
        <f>TEXT(OrganizedData[[#This Row],[Order Date]],"mmm")</f>
        <v>Aug</v>
      </c>
      <c r="M1939" s="2">
        <v>37</v>
      </c>
      <c r="N1939" s="2" t="s">
        <v>33</v>
      </c>
      <c r="O1939" s="2" t="str">
        <f>VLOOKUP(OrganizedData[[#This Row],[Product Code]],ProductData[[Code]:[Item]],2,FALSE)</f>
        <v>Megawidget L</v>
      </c>
      <c r="P1939" s="4">
        <f>OrganizedData[[#This Row],[Quantity]]*VLOOKUP(OrganizedData[[#This Row],[Product Code]],ProductData[],4,FALSE)</f>
        <v>888</v>
      </c>
      <c r="Q1939" s="6">
        <f>OrganizedData[[#This Row],[Total Items Ordered]]*VLOOKUP(OrganizedData[[#This Row],[Product Code]],ProductData[],3,FALSE)</f>
        <v>1589.52</v>
      </c>
      <c r="R19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1541.8344</v>
      </c>
    </row>
    <row r="1940" spans="1:18" x14ac:dyDescent="0.3">
      <c r="A1940" s="2">
        <v>1933</v>
      </c>
      <c r="B1940" s="2" t="s">
        <v>5553</v>
      </c>
      <c r="C1940" s="2" t="s">
        <v>5554</v>
      </c>
      <c r="D1940" s="2" t="s">
        <v>15</v>
      </c>
      <c r="E1940" s="2" t="s">
        <v>16</v>
      </c>
      <c r="F1940" s="2">
        <v>60</v>
      </c>
      <c r="G1940" s="2" t="s">
        <v>5555</v>
      </c>
      <c r="H1940" s="2" t="s">
        <v>4598</v>
      </c>
      <c r="I1940" s="2" t="s">
        <v>187</v>
      </c>
      <c r="J1940" s="3">
        <v>44524</v>
      </c>
      <c r="K1940" s="5">
        <f>YEAR(OrganizedData[[#This Row],[Order Date]])</f>
        <v>2021</v>
      </c>
      <c r="L1940" s="7" t="str">
        <f>TEXT(OrganizedData[[#This Row],[Order Date]],"mmm")</f>
        <v>Nov</v>
      </c>
      <c r="M1940" s="2">
        <v>3</v>
      </c>
      <c r="N1940" s="2" t="s">
        <v>45</v>
      </c>
      <c r="O1940" s="2" t="str">
        <f>VLOOKUP(OrganizedData[[#This Row],[Product Code]],ProductData[[Code]:[Item]],2,FALSE)</f>
        <v>Gigastuff</v>
      </c>
      <c r="P1940" s="4">
        <f>OrganizedData[[#This Row],[Quantity]]*VLOOKUP(OrganizedData[[#This Row],[Product Code]],ProductData[],4,FALSE)</f>
        <v>54</v>
      </c>
      <c r="Q1940" s="6">
        <f>OrganizedData[[#This Row],[Total Items Ordered]]*VLOOKUP(OrganizedData[[#This Row],[Product Code]],ProductData[],3,FALSE)</f>
        <v>102.05999999999999</v>
      </c>
      <c r="R19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1941" spans="1:18" x14ac:dyDescent="0.3">
      <c r="A1941" s="2">
        <v>1934</v>
      </c>
      <c r="B1941" s="2" t="s">
        <v>5556</v>
      </c>
      <c r="C1941" s="2" t="s">
        <v>1058</v>
      </c>
      <c r="D1941" s="2" t="s">
        <v>15</v>
      </c>
      <c r="E1941" s="2" t="s">
        <v>16</v>
      </c>
      <c r="F1941" s="2">
        <v>90</v>
      </c>
      <c r="G1941" s="2" t="s">
        <v>5557</v>
      </c>
      <c r="H1941" s="2" t="s">
        <v>2710</v>
      </c>
      <c r="I1941" s="2" t="s">
        <v>294</v>
      </c>
      <c r="J1941" s="3">
        <v>43960</v>
      </c>
      <c r="K1941" s="5">
        <f>YEAR(OrganizedData[[#This Row],[Order Date]])</f>
        <v>2020</v>
      </c>
      <c r="L1941" s="7" t="str">
        <f>TEXT(OrganizedData[[#This Row],[Order Date]],"mmm")</f>
        <v>May</v>
      </c>
      <c r="M1941" s="2">
        <v>67</v>
      </c>
      <c r="N1941" s="2" t="s">
        <v>70</v>
      </c>
      <c r="O1941" s="2" t="str">
        <f>VLOOKUP(OrganizedData[[#This Row],[Product Code]],ProductData[[Code]:[Item]],2,FALSE)</f>
        <v>Megawidget M</v>
      </c>
      <c r="P1941" s="4">
        <f>OrganizedData[[#This Row],[Quantity]]*VLOOKUP(OrganizedData[[#This Row],[Product Code]],ProductData[],4,FALSE)</f>
        <v>1608</v>
      </c>
      <c r="Q1941" s="6">
        <f>OrganizedData[[#This Row],[Total Items Ordered]]*VLOOKUP(OrganizedData[[#This Row],[Product Code]],ProductData[],3,FALSE)</f>
        <v>2074.3200000000002</v>
      </c>
      <c r="R19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1942" spans="1:18" x14ac:dyDescent="0.3">
      <c r="A1942" s="2">
        <v>1935</v>
      </c>
      <c r="B1942" s="2" t="s">
        <v>2792</v>
      </c>
      <c r="C1942" s="2" t="s">
        <v>3286</v>
      </c>
      <c r="D1942" s="2" t="s">
        <v>51</v>
      </c>
      <c r="E1942" s="2" t="s">
        <v>16</v>
      </c>
      <c r="F1942" s="2">
        <v>60</v>
      </c>
      <c r="G1942" s="2" t="s">
        <v>5558</v>
      </c>
      <c r="H1942" s="2" t="s">
        <v>3263</v>
      </c>
      <c r="I1942" s="2" t="s">
        <v>32</v>
      </c>
      <c r="J1942" s="3">
        <v>44537</v>
      </c>
      <c r="K1942" s="5">
        <f>YEAR(OrganizedData[[#This Row],[Order Date]])</f>
        <v>2021</v>
      </c>
      <c r="L1942" s="7" t="str">
        <f>TEXT(OrganizedData[[#This Row],[Order Date]],"mmm")</f>
        <v>Dec</v>
      </c>
      <c r="M1942" s="2">
        <v>57</v>
      </c>
      <c r="N1942" s="2" t="s">
        <v>54</v>
      </c>
      <c r="O1942" s="2" t="str">
        <f>VLOOKUP(OrganizedData[[#This Row],[Product Code]],ProductData[[Code]:[Item]],2,FALSE)</f>
        <v>Megawidget S</v>
      </c>
      <c r="P1942" s="4">
        <f>OrganizedData[[#This Row],[Quantity]]*VLOOKUP(OrganizedData[[#This Row],[Product Code]],ProductData[],4,FALSE)</f>
        <v>1368</v>
      </c>
      <c r="Q1942" s="6">
        <f>OrganizedData[[#This Row],[Total Items Ordered]]*VLOOKUP(OrganizedData[[#This Row],[Product Code]],ProductData[],3,FALSE)</f>
        <v>943.92</v>
      </c>
      <c r="R19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896.72399999999993</v>
      </c>
    </row>
    <row r="1943" spans="1:18" x14ac:dyDescent="0.3">
      <c r="A1943" s="2">
        <v>1936</v>
      </c>
      <c r="B1943" s="2" t="s">
        <v>5559</v>
      </c>
      <c r="C1943" s="2" t="s">
        <v>3273</v>
      </c>
      <c r="D1943" s="2" t="s">
        <v>28</v>
      </c>
      <c r="E1943" s="2" t="s">
        <v>29</v>
      </c>
      <c r="F1943" s="2">
        <v>30</v>
      </c>
      <c r="G1943" s="2" t="s">
        <v>5560</v>
      </c>
      <c r="H1943" s="2" t="s">
        <v>2791</v>
      </c>
      <c r="I1943" s="2" t="s">
        <v>178</v>
      </c>
      <c r="J1943" s="3">
        <v>44024</v>
      </c>
      <c r="K1943" s="5">
        <f>YEAR(OrganizedData[[#This Row],[Order Date]])</f>
        <v>2020</v>
      </c>
      <c r="L1943" s="7" t="str">
        <f>TEXT(OrganizedData[[#This Row],[Order Date]],"mmm")</f>
        <v>Jul</v>
      </c>
      <c r="M1943" s="2">
        <v>8</v>
      </c>
      <c r="N1943" s="2" t="s">
        <v>159</v>
      </c>
      <c r="O1943" s="2" t="str">
        <f>VLOOKUP(OrganizedData[[#This Row],[Product Code]],ProductData[[Code]:[Item]],2,FALSE)</f>
        <v>Ultrathing V3</v>
      </c>
      <c r="P1943" s="4">
        <f>OrganizedData[[#This Row],[Quantity]]*VLOOKUP(OrganizedData[[#This Row],[Product Code]],ProductData[],4,FALSE)</f>
        <v>192</v>
      </c>
      <c r="Q1943" s="6">
        <f>OrganizedData[[#This Row],[Total Items Ordered]]*VLOOKUP(OrganizedData[[#This Row],[Product Code]],ProductData[],3,FALSE)</f>
        <v>650.88</v>
      </c>
      <c r="R19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650.88</v>
      </c>
    </row>
    <row r="1944" spans="1:18" x14ac:dyDescent="0.3">
      <c r="A1944" s="2">
        <v>1937</v>
      </c>
      <c r="B1944" s="2" t="s">
        <v>5561</v>
      </c>
      <c r="C1944" s="2" t="s">
        <v>2829</v>
      </c>
      <c r="D1944" s="2" t="s">
        <v>15</v>
      </c>
      <c r="E1944" s="2" t="s">
        <v>16</v>
      </c>
      <c r="F1944" s="2">
        <v>60</v>
      </c>
      <c r="G1944" s="2" t="s">
        <v>5562</v>
      </c>
      <c r="H1944" s="2" t="s">
        <v>1868</v>
      </c>
      <c r="I1944" s="2" t="s">
        <v>1869</v>
      </c>
      <c r="J1944" s="3">
        <v>44439</v>
      </c>
      <c r="K1944" s="5">
        <f>YEAR(OrganizedData[[#This Row],[Order Date]])</f>
        <v>2021</v>
      </c>
      <c r="L1944" s="7" t="str">
        <f>TEXT(OrganizedData[[#This Row],[Order Date]],"mmm")</f>
        <v>Aug</v>
      </c>
      <c r="M1944" s="2">
        <v>37</v>
      </c>
      <c r="N1944" s="2" t="s">
        <v>39</v>
      </c>
      <c r="O1944" s="2" t="str">
        <f>VLOOKUP(OrganizedData[[#This Row],[Product Code]],ProductData[[Code]:[Item]],2,FALSE)</f>
        <v>Ultrathing V1</v>
      </c>
      <c r="P1944" s="4">
        <f>OrganizedData[[#This Row],[Quantity]]*VLOOKUP(OrganizedData[[#This Row],[Product Code]],ProductData[],4,FALSE)</f>
        <v>629</v>
      </c>
      <c r="Q1944" s="6">
        <f>OrganizedData[[#This Row],[Total Items Ordered]]*VLOOKUP(OrganizedData[[#This Row],[Product Code]],ProductData[],3,FALSE)</f>
        <v>1125.9100000000001</v>
      </c>
      <c r="R19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1092.1327000000001</v>
      </c>
    </row>
    <row r="1945" spans="1:18" x14ac:dyDescent="0.3">
      <c r="A1945" s="2">
        <v>1938</v>
      </c>
      <c r="B1945" s="2" t="s">
        <v>4509</v>
      </c>
      <c r="C1945" s="2" t="s">
        <v>453</v>
      </c>
      <c r="D1945" s="2" t="s">
        <v>117</v>
      </c>
      <c r="E1945" s="2" t="s">
        <v>29</v>
      </c>
      <c r="F1945" s="2">
        <v>30</v>
      </c>
      <c r="G1945" s="2" t="s">
        <v>5563</v>
      </c>
      <c r="H1945" s="2" t="s">
        <v>1864</v>
      </c>
      <c r="I1945" s="2" t="s">
        <v>294</v>
      </c>
      <c r="J1945" s="3">
        <v>44152</v>
      </c>
      <c r="K1945" s="5">
        <f>YEAR(OrganizedData[[#This Row],[Order Date]])</f>
        <v>2020</v>
      </c>
      <c r="L1945" s="7" t="str">
        <f>TEXT(OrganizedData[[#This Row],[Order Date]],"mmm")</f>
        <v>Nov</v>
      </c>
      <c r="M1945" s="2">
        <v>33</v>
      </c>
      <c r="N1945" s="2" t="s">
        <v>70</v>
      </c>
      <c r="O1945" s="2" t="str">
        <f>VLOOKUP(OrganizedData[[#This Row],[Product Code]],ProductData[[Code]:[Item]],2,FALSE)</f>
        <v>Megawidget M</v>
      </c>
      <c r="P1945" s="4">
        <f>OrganizedData[[#This Row],[Quantity]]*VLOOKUP(OrganizedData[[#This Row],[Product Code]],ProductData[],4,FALSE)</f>
        <v>792</v>
      </c>
      <c r="Q1945" s="6">
        <f>OrganizedData[[#This Row],[Total Items Ordered]]*VLOOKUP(OrganizedData[[#This Row],[Product Code]],ProductData[],3,FALSE)</f>
        <v>1021.6800000000001</v>
      </c>
      <c r="R19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991.02960000000007</v>
      </c>
    </row>
    <row r="1946" spans="1:18" x14ac:dyDescent="0.3">
      <c r="A1946" s="2">
        <v>1939</v>
      </c>
      <c r="B1946" s="2" t="s">
        <v>5564</v>
      </c>
      <c r="C1946" s="2" t="s">
        <v>5565</v>
      </c>
      <c r="D1946" s="2" t="s">
        <v>15</v>
      </c>
      <c r="E1946" s="2" t="s">
        <v>16</v>
      </c>
      <c r="F1946" s="2">
        <v>60</v>
      </c>
      <c r="G1946" s="2" t="s">
        <v>10511</v>
      </c>
      <c r="H1946" s="2" t="s">
        <v>195</v>
      </c>
      <c r="I1946" s="2" t="s">
        <v>187</v>
      </c>
      <c r="J1946" s="3">
        <v>44228</v>
      </c>
      <c r="K1946" s="5">
        <f>YEAR(OrganizedData[[#This Row],[Order Date]])</f>
        <v>2021</v>
      </c>
      <c r="L1946" s="7" t="str">
        <f>TEXT(OrganizedData[[#This Row],[Order Date]],"mmm")</f>
        <v>Feb</v>
      </c>
      <c r="M1946" s="2">
        <v>25</v>
      </c>
      <c r="N1946" s="2" t="s">
        <v>101</v>
      </c>
      <c r="O1946" s="2" t="str">
        <f>VLOOKUP(OrganizedData[[#This Row],[Product Code]],ProductData[[Code]:[Item]],2,FALSE)</f>
        <v>Superwossname</v>
      </c>
      <c r="P1946" s="4">
        <f>OrganizedData[[#This Row],[Quantity]]*VLOOKUP(OrganizedData[[#This Row],[Product Code]],ProductData[],4,FALSE)</f>
        <v>500</v>
      </c>
      <c r="Q1946" s="6">
        <f>OrganizedData[[#This Row],[Total Items Ordered]]*VLOOKUP(OrganizedData[[#This Row],[Product Code]],ProductData[],3,FALSE)</f>
        <v>1745</v>
      </c>
      <c r="R19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1947" spans="1:18" x14ac:dyDescent="0.3">
      <c r="A1947" s="2">
        <v>1940</v>
      </c>
      <c r="B1947" s="2" t="s">
        <v>5567</v>
      </c>
      <c r="C1947" s="2" t="s">
        <v>5568</v>
      </c>
      <c r="D1947" s="2" t="s">
        <v>28</v>
      </c>
      <c r="E1947" s="2" t="s">
        <v>29</v>
      </c>
      <c r="F1947" s="2">
        <v>30</v>
      </c>
      <c r="G1947" s="2" t="s">
        <v>5569</v>
      </c>
      <c r="H1947" s="2" t="s">
        <v>2831</v>
      </c>
      <c r="I1947" s="2" t="s">
        <v>32</v>
      </c>
      <c r="J1947" s="3">
        <v>44085</v>
      </c>
      <c r="K1947" s="5">
        <f>YEAR(OrganizedData[[#This Row],[Order Date]])</f>
        <v>2020</v>
      </c>
      <c r="L1947" s="7" t="str">
        <f>TEXT(OrganizedData[[#This Row],[Order Date]],"mmm")</f>
        <v>Sep</v>
      </c>
      <c r="M1947" s="2">
        <v>4</v>
      </c>
      <c r="N1947" s="2" t="s">
        <v>54</v>
      </c>
      <c r="O1947" s="2" t="str">
        <f>VLOOKUP(OrganizedData[[#This Row],[Product Code]],ProductData[[Code]:[Item]],2,FALSE)</f>
        <v>Megawidget S</v>
      </c>
      <c r="P1947" s="4">
        <f>OrganizedData[[#This Row],[Quantity]]*VLOOKUP(OrganizedData[[#This Row],[Product Code]],ProductData[],4,FALSE)</f>
        <v>96</v>
      </c>
      <c r="Q1947" s="6">
        <f>OrganizedData[[#This Row],[Total Items Ordered]]*VLOOKUP(OrganizedData[[#This Row],[Product Code]],ProductData[],3,FALSE)</f>
        <v>66.239999999999995</v>
      </c>
      <c r="R19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1948" spans="1:18" x14ac:dyDescent="0.3">
      <c r="A1948" s="2">
        <v>1941</v>
      </c>
      <c r="B1948" s="2" t="s">
        <v>2477</v>
      </c>
      <c r="C1948" s="2" t="s">
        <v>197</v>
      </c>
      <c r="D1948" s="2" t="s">
        <v>28</v>
      </c>
      <c r="E1948" s="2" t="s">
        <v>29</v>
      </c>
      <c r="F1948" s="2">
        <v>60</v>
      </c>
      <c r="G1948" s="2" t="s">
        <v>5570</v>
      </c>
      <c r="H1948" s="2" t="s">
        <v>84</v>
      </c>
      <c r="I1948" s="2" t="s">
        <v>32</v>
      </c>
      <c r="J1948" s="3">
        <v>43897</v>
      </c>
      <c r="K1948" s="5">
        <f>YEAR(OrganizedData[[#This Row],[Order Date]])</f>
        <v>2020</v>
      </c>
      <c r="L1948" s="7" t="str">
        <f>TEXT(OrganizedData[[#This Row],[Order Date]],"mmm")</f>
        <v>Mar</v>
      </c>
      <c r="M1948" s="2">
        <v>85</v>
      </c>
      <c r="N1948" s="2" t="s">
        <v>39</v>
      </c>
      <c r="O1948" s="2" t="str">
        <f>VLOOKUP(OrganizedData[[#This Row],[Product Code]],ProductData[[Code]:[Item]],2,FALSE)</f>
        <v>Ultrathing V1</v>
      </c>
      <c r="P1948" s="4">
        <f>OrganizedData[[#This Row],[Quantity]]*VLOOKUP(OrganizedData[[#This Row],[Product Code]],ProductData[],4,FALSE)</f>
        <v>1445</v>
      </c>
      <c r="Q1948" s="6">
        <f>OrganizedData[[#This Row],[Total Items Ordered]]*VLOOKUP(OrganizedData[[#This Row],[Product Code]],ProductData[],3,FALSE)</f>
        <v>2586.5500000000002</v>
      </c>
      <c r="R19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1949" spans="1:18" x14ac:dyDescent="0.3">
      <c r="A1949" s="2">
        <v>1942</v>
      </c>
      <c r="B1949" s="2" t="s">
        <v>5571</v>
      </c>
      <c r="C1949" s="2" t="s">
        <v>770</v>
      </c>
      <c r="D1949" s="2" t="s">
        <v>51</v>
      </c>
      <c r="E1949" s="2" t="s">
        <v>16</v>
      </c>
      <c r="F1949" s="2">
        <v>60</v>
      </c>
      <c r="G1949" s="2" t="s">
        <v>5572</v>
      </c>
      <c r="H1949" s="2" t="s">
        <v>1457</v>
      </c>
      <c r="I1949" s="2" t="s">
        <v>187</v>
      </c>
      <c r="J1949" s="3">
        <v>44389</v>
      </c>
      <c r="K1949" s="5">
        <f>YEAR(OrganizedData[[#This Row],[Order Date]])</f>
        <v>2021</v>
      </c>
      <c r="L1949" s="7" t="str">
        <f>TEXT(OrganizedData[[#This Row],[Order Date]],"mmm")</f>
        <v>Jul</v>
      </c>
      <c r="M1949" s="2">
        <v>23</v>
      </c>
      <c r="N1949" s="2" t="s">
        <v>39</v>
      </c>
      <c r="O1949" s="2" t="str">
        <f>VLOOKUP(OrganizedData[[#This Row],[Product Code]],ProductData[[Code]:[Item]],2,FALSE)</f>
        <v>Ultrathing V1</v>
      </c>
      <c r="P1949" s="4">
        <f>OrganizedData[[#This Row],[Quantity]]*VLOOKUP(OrganizedData[[#This Row],[Product Code]],ProductData[],4,FALSE)</f>
        <v>391</v>
      </c>
      <c r="Q1949" s="6">
        <f>OrganizedData[[#This Row],[Total Items Ordered]]*VLOOKUP(OrganizedData[[#This Row],[Product Code]],ProductData[],3,FALSE)</f>
        <v>699.89</v>
      </c>
      <c r="R19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1950" spans="1:18" x14ac:dyDescent="0.3">
      <c r="A1950" s="2">
        <v>1943</v>
      </c>
      <c r="B1950" s="2" t="s">
        <v>5573</v>
      </c>
      <c r="C1950" s="2" t="s">
        <v>2998</v>
      </c>
      <c r="D1950" s="2" t="s">
        <v>51</v>
      </c>
      <c r="E1950" s="2" t="s">
        <v>16</v>
      </c>
      <c r="F1950" s="2">
        <v>60</v>
      </c>
      <c r="G1950" s="2" t="s">
        <v>5574</v>
      </c>
      <c r="H1950" s="2" t="s">
        <v>2243</v>
      </c>
      <c r="I1950" s="2" t="s">
        <v>32</v>
      </c>
      <c r="J1950" s="3">
        <v>44019</v>
      </c>
      <c r="K1950" s="5">
        <f>YEAR(OrganizedData[[#This Row],[Order Date]])</f>
        <v>2020</v>
      </c>
      <c r="L1950" s="7" t="str">
        <f>TEXT(OrganizedData[[#This Row],[Order Date]],"mmm")</f>
        <v>Jul</v>
      </c>
      <c r="M1950" s="2">
        <v>12</v>
      </c>
      <c r="N1950" s="2" t="s">
        <v>20</v>
      </c>
      <c r="O1950" s="2" t="str">
        <f>VLOOKUP(OrganizedData[[#This Row],[Product Code]],ProductData[[Code]:[Item]],2,FALSE)</f>
        <v>Hyperwotsit</v>
      </c>
      <c r="P1950" s="4">
        <f>OrganizedData[[#This Row],[Quantity]]*VLOOKUP(OrganizedData[[#This Row],[Product Code]],ProductData[],4,FALSE)</f>
        <v>240</v>
      </c>
      <c r="Q1950" s="6">
        <f>OrganizedData[[#This Row],[Total Items Ordered]]*VLOOKUP(OrganizedData[[#This Row],[Product Code]],ProductData[],3,FALSE)</f>
        <v>482.4</v>
      </c>
      <c r="R19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482.4</v>
      </c>
    </row>
    <row r="1951" spans="1:18" x14ac:dyDescent="0.3">
      <c r="A1951" s="2">
        <v>1944</v>
      </c>
      <c r="B1951" s="2" t="s">
        <v>4703</v>
      </c>
      <c r="C1951" s="2" t="s">
        <v>5575</v>
      </c>
      <c r="D1951" s="2" t="s">
        <v>28</v>
      </c>
      <c r="E1951" s="2" t="s">
        <v>29</v>
      </c>
      <c r="F1951" s="2">
        <v>60</v>
      </c>
      <c r="G1951" s="2" t="s">
        <v>5576</v>
      </c>
      <c r="H1951" s="2" t="s">
        <v>315</v>
      </c>
      <c r="I1951" s="2" t="s">
        <v>32</v>
      </c>
      <c r="J1951" s="3">
        <v>44526</v>
      </c>
      <c r="K1951" s="5">
        <f>YEAR(OrganizedData[[#This Row],[Order Date]])</f>
        <v>2021</v>
      </c>
      <c r="L1951" s="7" t="str">
        <f>TEXT(OrganizedData[[#This Row],[Order Date]],"mmm")</f>
        <v>Nov</v>
      </c>
      <c r="M1951" s="2">
        <v>94</v>
      </c>
      <c r="N1951" s="2" t="s">
        <v>33</v>
      </c>
      <c r="O1951" s="2" t="str">
        <f>VLOOKUP(OrganizedData[[#This Row],[Product Code]],ProductData[[Code]:[Item]],2,FALSE)</f>
        <v>Megawidget L</v>
      </c>
      <c r="P1951" s="4">
        <f>OrganizedData[[#This Row],[Quantity]]*VLOOKUP(OrganizedData[[#This Row],[Product Code]],ProductData[],4,FALSE)</f>
        <v>2256</v>
      </c>
      <c r="Q1951" s="6">
        <f>OrganizedData[[#This Row],[Total Items Ordered]]*VLOOKUP(OrganizedData[[#This Row],[Product Code]],ProductData[],3,FALSE)</f>
        <v>4038.2400000000002</v>
      </c>
      <c r="R19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3836.328</v>
      </c>
    </row>
    <row r="1952" spans="1:18" x14ac:dyDescent="0.3">
      <c r="A1952" s="2">
        <v>1945</v>
      </c>
      <c r="B1952" s="2" t="s">
        <v>5577</v>
      </c>
      <c r="C1952" s="2" t="s">
        <v>121</v>
      </c>
      <c r="D1952" s="2" t="s">
        <v>15</v>
      </c>
      <c r="E1952" s="2" t="s">
        <v>16</v>
      </c>
      <c r="F1952" s="2">
        <v>90</v>
      </c>
      <c r="G1952" s="2" t="s">
        <v>5578</v>
      </c>
      <c r="H1952" s="2" t="s">
        <v>868</v>
      </c>
      <c r="I1952" s="2" t="s">
        <v>32</v>
      </c>
      <c r="J1952" s="3">
        <v>44531</v>
      </c>
      <c r="K1952" s="5">
        <f>YEAR(OrganizedData[[#This Row],[Order Date]])</f>
        <v>2021</v>
      </c>
      <c r="L1952" s="7" t="str">
        <f>TEXT(OrganizedData[[#This Row],[Order Date]],"mmm")</f>
        <v>Dec</v>
      </c>
      <c r="M1952" s="2">
        <v>74</v>
      </c>
      <c r="N1952" s="2" t="s">
        <v>64</v>
      </c>
      <c r="O1952" s="2" t="str">
        <f>VLOOKUP(OrganizedData[[#This Row],[Product Code]],ProductData[[Code]:[Item]],2,FALSE)</f>
        <v>Ultrathing V4</v>
      </c>
      <c r="P1952" s="4">
        <f>OrganizedData[[#This Row],[Quantity]]*VLOOKUP(OrganizedData[[#This Row],[Product Code]],ProductData[],4,FALSE)</f>
        <v>1776</v>
      </c>
      <c r="Q1952" s="6">
        <f>OrganizedData[[#This Row],[Total Items Ordered]]*VLOOKUP(OrganizedData[[#This Row],[Product Code]],ProductData[],3,FALSE)</f>
        <v>7086.2400000000007</v>
      </c>
      <c r="R19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6731.9280000000008</v>
      </c>
    </row>
    <row r="1953" spans="1:18" x14ac:dyDescent="0.3">
      <c r="A1953" s="2">
        <v>1946</v>
      </c>
      <c r="B1953" s="2" t="s">
        <v>1200</v>
      </c>
      <c r="C1953" s="2" t="s">
        <v>5579</v>
      </c>
      <c r="D1953" s="2" t="s">
        <v>117</v>
      </c>
      <c r="E1953" s="2" t="s">
        <v>29</v>
      </c>
      <c r="F1953" s="2">
        <v>60</v>
      </c>
      <c r="G1953" s="2" t="s">
        <v>5580</v>
      </c>
      <c r="H1953" s="2" t="s">
        <v>5581</v>
      </c>
      <c r="I1953" s="2" t="s">
        <v>187</v>
      </c>
      <c r="J1953" s="3">
        <v>44383</v>
      </c>
      <c r="K1953" s="5">
        <f>YEAR(OrganizedData[[#This Row],[Order Date]])</f>
        <v>2021</v>
      </c>
      <c r="L1953" s="7" t="str">
        <f>TEXT(OrganizedData[[#This Row],[Order Date]],"mmm")</f>
        <v>Jul</v>
      </c>
      <c r="M1953" s="2">
        <v>2</v>
      </c>
      <c r="N1953" s="2" t="s">
        <v>20</v>
      </c>
      <c r="O1953" s="2" t="str">
        <f>VLOOKUP(OrganizedData[[#This Row],[Product Code]],ProductData[[Code]:[Item]],2,FALSE)</f>
        <v>Hyperwotsit</v>
      </c>
      <c r="P1953" s="4">
        <f>OrganizedData[[#This Row],[Quantity]]*VLOOKUP(OrganizedData[[#This Row],[Product Code]],ProductData[],4,FALSE)</f>
        <v>40</v>
      </c>
      <c r="Q1953" s="6">
        <f>OrganizedData[[#This Row],[Total Items Ordered]]*VLOOKUP(OrganizedData[[#This Row],[Product Code]],ProductData[],3,FALSE)</f>
        <v>80.399999999999991</v>
      </c>
      <c r="R19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1954" spans="1:18" x14ac:dyDescent="0.3">
      <c r="A1954" s="2">
        <v>1947</v>
      </c>
      <c r="B1954" s="2" t="s">
        <v>5582</v>
      </c>
      <c r="C1954" s="2" t="s">
        <v>5583</v>
      </c>
      <c r="D1954" s="2" t="s">
        <v>51</v>
      </c>
      <c r="E1954" s="2" t="s">
        <v>16</v>
      </c>
      <c r="F1954" s="2">
        <v>90</v>
      </c>
      <c r="G1954" s="2" t="s">
        <v>5584</v>
      </c>
      <c r="H1954" s="2" t="s">
        <v>2436</v>
      </c>
      <c r="I1954" s="2" t="s">
        <v>294</v>
      </c>
      <c r="J1954" s="3">
        <v>44844</v>
      </c>
      <c r="K1954" s="5">
        <f>YEAR(OrganizedData[[#This Row],[Order Date]])</f>
        <v>2022</v>
      </c>
      <c r="L1954" s="7" t="str">
        <f>TEXT(OrganizedData[[#This Row],[Order Date]],"mmm")</f>
        <v>Oct</v>
      </c>
      <c r="M1954" s="2">
        <v>60</v>
      </c>
      <c r="N1954" s="2" t="s">
        <v>20</v>
      </c>
      <c r="O1954" s="2" t="str">
        <f>VLOOKUP(OrganizedData[[#This Row],[Product Code]],ProductData[[Code]:[Item]],2,FALSE)</f>
        <v>Hyperwotsit</v>
      </c>
      <c r="P1954" s="4">
        <f>OrganizedData[[#This Row],[Quantity]]*VLOOKUP(OrganizedData[[#This Row],[Product Code]],ProductData[],4,FALSE)</f>
        <v>1200</v>
      </c>
      <c r="Q1954" s="6">
        <f>OrganizedData[[#This Row],[Total Items Ordered]]*VLOOKUP(OrganizedData[[#This Row],[Product Code]],ProductData[],3,FALSE)</f>
        <v>2411.9999999999995</v>
      </c>
      <c r="R19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1955" spans="1:18" x14ac:dyDescent="0.3">
      <c r="A1955" s="2">
        <v>1948</v>
      </c>
      <c r="B1955" s="2" t="s">
        <v>5585</v>
      </c>
      <c r="C1955" s="2" t="s">
        <v>5586</v>
      </c>
      <c r="D1955" s="2" t="s">
        <v>51</v>
      </c>
      <c r="E1955" s="2" t="s">
        <v>16</v>
      </c>
      <c r="F1955" s="2">
        <v>60</v>
      </c>
      <c r="G1955" s="2" t="s">
        <v>10512</v>
      </c>
      <c r="H1955" s="2" t="s">
        <v>4631</v>
      </c>
      <c r="I1955" s="2" t="s">
        <v>187</v>
      </c>
      <c r="J1955" s="3">
        <v>43857</v>
      </c>
      <c r="K1955" s="5">
        <f>YEAR(OrganizedData[[#This Row],[Order Date]])</f>
        <v>2020</v>
      </c>
      <c r="L1955" s="7" t="str">
        <f>TEXT(OrganizedData[[#This Row],[Order Date]],"mmm")</f>
        <v>Jan</v>
      </c>
      <c r="M1955" s="2">
        <v>22</v>
      </c>
      <c r="N1955" s="2" t="s">
        <v>70</v>
      </c>
      <c r="O1955" s="2" t="str">
        <f>VLOOKUP(OrganizedData[[#This Row],[Product Code]],ProductData[[Code]:[Item]],2,FALSE)</f>
        <v>Megawidget M</v>
      </c>
      <c r="P1955" s="4">
        <f>OrganizedData[[#This Row],[Quantity]]*VLOOKUP(OrganizedData[[#This Row],[Product Code]],ProductData[],4,FALSE)</f>
        <v>528</v>
      </c>
      <c r="Q1955" s="6">
        <f>OrganizedData[[#This Row],[Total Items Ordered]]*VLOOKUP(OrganizedData[[#This Row],[Product Code]],ProductData[],3,FALSE)</f>
        <v>681.12</v>
      </c>
      <c r="R19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1956" spans="1:18" x14ac:dyDescent="0.3">
      <c r="A1956" s="2">
        <v>1949</v>
      </c>
      <c r="B1956" s="2" t="s">
        <v>5588</v>
      </c>
      <c r="C1956" s="2" t="s">
        <v>1717</v>
      </c>
      <c r="D1956" s="2" t="s">
        <v>51</v>
      </c>
      <c r="E1956" s="2" t="s">
        <v>16</v>
      </c>
      <c r="F1956" s="2">
        <v>60</v>
      </c>
      <c r="G1956" s="2" t="s">
        <v>5589</v>
      </c>
      <c r="H1956" s="2" t="s">
        <v>5473</v>
      </c>
      <c r="I1956" s="2" t="s">
        <v>240</v>
      </c>
      <c r="J1956" s="3">
        <v>44672</v>
      </c>
      <c r="K1956" s="5">
        <f>YEAR(OrganizedData[[#This Row],[Order Date]])</f>
        <v>2022</v>
      </c>
      <c r="L1956" s="7" t="str">
        <f>TEXT(OrganizedData[[#This Row],[Order Date]],"mmm")</f>
        <v>Apr</v>
      </c>
      <c r="M1956" s="2">
        <v>43</v>
      </c>
      <c r="N1956" s="2" t="s">
        <v>80</v>
      </c>
      <c r="O1956" s="2" t="str">
        <f>VLOOKUP(OrganizedData[[#This Row],[Product Code]],ProductData[[Code]:[Item]],2,FALSE)</f>
        <v>Ultrathing V2</v>
      </c>
      <c r="P1956" s="4">
        <f>OrganizedData[[#This Row],[Quantity]]*VLOOKUP(OrganizedData[[#This Row],[Product Code]],ProductData[],4,FALSE)</f>
        <v>860</v>
      </c>
      <c r="Q1956" s="6">
        <f>OrganizedData[[#This Row],[Total Items Ordered]]*VLOOKUP(OrganizedData[[#This Row],[Product Code]],ProductData[],3,FALSE)</f>
        <v>2537</v>
      </c>
      <c r="R19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1957" spans="1:18" x14ac:dyDescent="0.3">
      <c r="A1957" s="2">
        <v>1950</v>
      </c>
      <c r="B1957" s="2" t="s">
        <v>2098</v>
      </c>
      <c r="C1957" s="2" t="s">
        <v>5590</v>
      </c>
      <c r="D1957" s="2" t="s">
        <v>28</v>
      </c>
      <c r="E1957" s="2" t="s">
        <v>29</v>
      </c>
      <c r="F1957" s="2">
        <v>90</v>
      </c>
      <c r="G1957" s="2" t="s">
        <v>5591</v>
      </c>
      <c r="H1957" s="2" t="s">
        <v>487</v>
      </c>
      <c r="I1957" s="2" t="s">
        <v>32</v>
      </c>
      <c r="J1957" s="3">
        <v>44328</v>
      </c>
      <c r="K1957" s="5">
        <f>YEAR(OrganizedData[[#This Row],[Order Date]])</f>
        <v>2021</v>
      </c>
      <c r="L1957" s="7" t="str">
        <f>TEXT(OrganizedData[[#This Row],[Order Date]],"mmm")</f>
        <v>May</v>
      </c>
      <c r="M1957" s="2">
        <v>78</v>
      </c>
      <c r="N1957" s="2" t="s">
        <v>45</v>
      </c>
      <c r="O1957" s="2" t="str">
        <f>VLOOKUP(OrganizedData[[#This Row],[Product Code]],ProductData[[Code]:[Item]],2,FALSE)</f>
        <v>Gigastuff</v>
      </c>
      <c r="P1957" s="4">
        <f>OrganizedData[[#This Row],[Quantity]]*VLOOKUP(OrganizedData[[#This Row],[Product Code]],ProductData[],4,FALSE)</f>
        <v>1404</v>
      </c>
      <c r="Q1957" s="6">
        <f>OrganizedData[[#This Row],[Total Items Ordered]]*VLOOKUP(OrganizedData[[#This Row],[Product Code]],ProductData[],3,FALSE)</f>
        <v>2653.56</v>
      </c>
      <c r="R19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1958" spans="1:18" x14ac:dyDescent="0.3">
      <c r="A1958" s="2">
        <v>1951</v>
      </c>
      <c r="B1958" s="2" t="s">
        <v>5592</v>
      </c>
      <c r="C1958" s="2" t="s">
        <v>2019</v>
      </c>
      <c r="D1958" s="2" t="s">
        <v>15</v>
      </c>
      <c r="E1958" s="2" t="s">
        <v>16</v>
      </c>
      <c r="F1958" s="2">
        <v>60</v>
      </c>
      <c r="G1958" s="2" t="s">
        <v>5593</v>
      </c>
      <c r="H1958" s="2" t="s">
        <v>2008</v>
      </c>
      <c r="I1958" s="2" t="s">
        <v>129</v>
      </c>
      <c r="J1958" s="3">
        <v>44912</v>
      </c>
      <c r="K1958" s="5">
        <f>YEAR(OrganizedData[[#This Row],[Order Date]])</f>
        <v>2022</v>
      </c>
      <c r="L1958" s="7" t="str">
        <f>TEXT(OrganizedData[[#This Row],[Order Date]],"mmm")</f>
        <v>Dec</v>
      </c>
      <c r="M1958" s="2">
        <v>84</v>
      </c>
      <c r="N1958" s="2" t="s">
        <v>39</v>
      </c>
      <c r="O1958" s="2" t="str">
        <f>VLOOKUP(OrganizedData[[#This Row],[Product Code]],ProductData[[Code]:[Item]],2,FALSE)</f>
        <v>Ultrathing V1</v>
      </c>
      <c r="P1958" s="4">
        <f>OrganizedData[[#This Row],[Quantity]]*VLOOKUP(OrganizedData[[#This Row],[Product Code]],ProductData[],4,FALSE)</f>
        <v>1428</v>
      </c>
      <c r="Q1958" s="6">
        <f>OrganizedData[[#This Row],[Total Items Ordered]]*VLOOKUP(OrganizedData[[#This Row],[Product Code]],ProductData[],3,FALSE)</f>
        <v>2556.12</v>
      </c>
      <c r="R19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1959" spans="1:18" x14ac:dyDescent="0.3">
      <c r="A1959" s="2">
        <v>1952</v>
      </c>
      <c r="B1959" s="2" t="s">
        <v>5594</v>
      </c>
      <c r="C1959" s="2" t="s">
        <v>744</v>
      </c>
      <c r="D1959" s="2" t="s">
        <v>51</v>
      </c>
      <c r="E1959" s="2" t="s">
        <v>16</v>
      </c>
      <c r="F1959" s="2">
        <v>90</v>
      </c>
      <c r="G1959" s="2" t="s">
        <v>5595</v>
      </c>
      <c r="H1959" s="2" t="s">
        <v>5596</v>
      </c>
      <c r="I1959" s="2" t="s">
        <v>32</v>
      </c>
      <c r="J1959" s="3">
        <v>44457</v>
      </c>
      <c r="K1959" s="5">
        <f>YEAR(OrganizedData[[#This Row],[Order Date]])</f>
        <v>2021</v>
      </c>
      <c r="L1959" s="7" t="str">
        <f>TEXT(OrganizedData[[#This Row],[Order Date]],"mmm")</f>
        <v>Sep</v>
      </c>
      <c r="M1959" s="2">
        <v>17</v>
      </c>
      <c r="N1959" s="2" t="s">
        <v>101</v>
      </c>
      <c r="O1959" s="2" t="str">
        <f>VLOOKUP(OrganizedData[[#This Row],[Product Code]],ProductData[[Code]:[Item]],2,FALSE)</f>
        <v>Superwossname</v>
      </c>
      <c r="P1959" s="4">
        <f>OrganizedData[[#This Row],[Quantity]]*VLOOKUP(OrganizedData[[#This Row],[Product Code]],ProductData[],4,FALSE)</f>
        <v>340</v>
      </c>
      <c r="Q1959" s="6">
        <f>OrganizedData[[#This Row],[Total Items Ordered]]*VLOOKUP(OrganizedData[[#This Row],[Product Code]],ProductData[],3,FALSE)</f>
        <v>1186.6000000000001</v>
      </c>
      <c r="R19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1186.6000000000001</v>
      </c>
    </row>
    <row r="1960" spans="1:18" x14ac:dyDescent="0.3">
      <c r="A1960" s="2">
        <v>1953</v>
      </c>
      <c r="B1960" s="2" t="s">
        <v>3867</v>
      </c>
      <c r="C1960" s="2" t="s">
        <v>5438</v>
      </c>
      <c r="D1960" s="2" t="s">
        <v>28</v>
      </c>
      <c r="E1960" s="2" t="s">
        <v>29</v>
      </c>
      <c r="F1960" s="2">
        <v>30</v>
      </c>
      <c r="G1960" s="2" t="s">
        <v>5597</v>
      </c>
      <c r="H1960" s="2" t="s">
        <v>1434</v>
      </c>
      <c r="I1960" s="2" t="s">
        <v>1435</v>
      </c>
      <c r="J1960" s="3">
        <v>44464</v>
      </c>
      <c r="K1960" s="5">
        <f>YEAR(OrganizedData[[#This Row],[Order Date]])</f>
        <v>2021</v>
      </c>
      <c r="L1960" s="7" t="str">
        <f>TEXT(OrganizedData[[#This Row],[Order Date]],"mmm")</f>
        <v>Sep</v>
      </c>
      <c r="M1960" s="2">
        <v>62</v>
      </c>
      <c r="N1960" s="2" t="s">
        <v>54</v>
      </c>
      <c r="O1960" s="2" t="str">
        <f>VLOOKUP(OrganizedData[[#This Row],[Product Code]],ProductData[[Code]:[Item]],2,FALSE)</f>
        <v>Megawidget S</v>
      </c>
      <c r="P1960" s="4">
        <f>OrganizedData[[#This Row],[Quantity]]*VLOOKUP(OrganizedData[[#This Row],[Product Code]],ProductData[],4,FALSE)</f>
        <v>1488</v>
      </c>
      <c r="Q1960" s="6">
        <f>OrganizedData[[#This Row],[Total Items Ordered]]*VLOOKUP(OrganizedData[[#This Row],[Product Code]],ProductData[],3,FALSE)</f>
        <v>1026.72</v>
      </c>
      <c r="R19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975.38400000000001</v>
      </c>
    </row>
    <row r="1961" spans="1:18" x14ac:dyDescent="0.3">
      <c r="A1961" s="2">
        <v>1954</v>
      </c>
      <c r="B1961" s="2" t="s">
        <v>800</v>
      </c>
      <c r="C1961" s="2" t="s">
        <v>5598</v>
      </c>
      <c r="D1961" s="2" t="s">
        <v>28</v>
      </c>
      <c r="E1961" s="2" t="s">
        <v>29</v>
      </c>
      <c r="F1961" s="2">
        <v>60</v>
      </c>
      <c r="G1961" s="2" t="s">
        <v>5599</v>
      </c>
      <c r="H1961" s="2" t="s">
        <v>1876</v>
      </c>
      <c r="I1961" s="2" t="s">
        <v>32</v>
      </c>
      <c r="J1961" s="3">
        <v>44152</v>
      </c>
      <c r="K1961" s="5">
        <f>YEAR(OrganizedData[[#This Row],[Order Date]])</f>
        <v>2020</v>
      </c>
      <c r="L1961" s="7" t="str">
        <f>TEXT(OrganizedData[[#This Row],[Order Date]],"mmm")</f>
        <v>Nov</v>
      </c>
      <c r="M1961" s="2">
        <v>21</v>
      </c>
      <c r="N1961" s="2" t="s">
        <v>20</v>
      </c>
      <c r="O1961" s="2" t="str">
        <f>VLOOKUP(OrganizedData[[#This Row],[Product Code]],ProductData[[Code]:[Item]],2,FALSE)</f>
        <v>Hyperwotsit</v>
      </c>
      <c r="P1961" s="4">
        <f>OrganizedData[[#This Row],[Quantity]]*VLOOKUP(OrganizedData[[#This Row],[Product Code]],ProductData[],4,FALSE)</f>
        <v>420</v>
      </c>
      <c r="Q1961" s="6">
        <f>OrganizedData[[#This Row],[Total Items Ordered]]*VLOOKUP(OrganizedData[[#This Row],[Product Code]],ProductData[],3,FALSE)</f>
        <v>844.19999999999993</v>
      </c>
      <c r="R19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818.87399999999991</v>
      </c>
    </row>
    <row r="1962" spans="1:18" x14ac:dyDescent="0.3">
      <c r="A1962" s="2">
        <v>1955</v>
      </c>
      <c r="B1962" s="2" t="s">
        <v>4092</v>
      </c>
      <c r="C1962" s="2" t="s">
        <v>3021</v>
      </c>
      <c r="D1962" s="2" t="s">
        <v>28</v>
      </c>
      <c r="E1962" s="2" t="s">
        <v>29</v>
      </c>
      <c r="F1962" s="2">
        <v>90</v>
      </c>
      <c r="G1962" s="2" t="s">
        <v>5600</v>
      </c>
      <c r="H1962" s="2" t="s">
        <v>2447</v>
      </c>
      <c r="I1962" s="2" t="s">
        <v>1869</v>
      </c>
      <c r="J1962" s="3">
        <v>44549</v>
      </c>
      <c r="K1962" s="5">
        <f>YEAR(OrganizedData[[#This Row],[Order Date]])</f>
        <v>2021</v>
      </c>
      <c r="L1962" s="7" t="str">
        <f>TEXT(OrganizedData[[#This Row],[Order Date]],"mmm")</f>
        <v>Dec</v>
      </c>
      <c r="M1962" s="2">
        <v>29</v>
      </c>
      <c r="N1962" s="2" t="s">
        <v>20</v>
      </c>
      <c r="O1962" s="2" t="str">
        <f>VLOOKUP(OrganizedData[[#This Row],[Product Code]],ProductData[[Code]:[Item]],2,FALSE)</f>
        <v>Hyperwotsit</v>
      </c>
      <c r="P1962" s="4">
        <f>OrganizedData[[#This Row],[Quantity]]*VLOOKUP(OrganizedData[[#This Row],[Product Code]],ProductData[],4,FALSE)</f>
        <v>580</v>
      </c>
      <c r="Q1962" s="6">
        <f>OrganizedData[[#This Row],[Total Items Ordered]]*VLOOKUP(OrganizedData[[#This Row],[Product Code]],ProductData[],3,FALSE)</f>
        <v>1165.8</v>
      </c>
      <c r="R19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1963" spans="1:18" x14ac:dyDescent="0.3">
      <c r="A1963" s="2">
        <v>1956</v>
      </c>
      <c r="B1963" s="2" t="s">
        <v>5601</v>
      </c>
      <c r="C1963" s="2" t="s">
        <v>1159</v>
      </c>
      <c r="D1963" s="2" t="s">
        <v>28</v>
      </c>
      <c r="E1963" s="2" t="s">
        <v>29</v>
      </c>
      <c r="F1963" s="2">
        <v>30</v>
      </c>
      <c r="G1963" s="2" t="s">
        <v>5602</v>
      </c>
      <c r="H1963" s="2" t="s">
        <v>5603</v>
      </c>
      <c r="I1963" s="2" t="s">
        <v>32</v>
      </c>
      <c r="J1963" s="3">
        <v>44698</v>
      </c>
      <c r="K1963" s="5">
        <f>YEAR(OrganizedData[[#This Row],[Order Date]])</f>
        <v>2022</v>
      </c>
      <c r="L1963" s="7" t="str">
        <f>TEXT(OrganizedData[[#This Row],[Order Date]],"mmm")</f>
        <v>May</v>
      </c>
      <c r="M1963" s="2">
        <v>40</v>
      </c>
      <c r="N1963" s="2" t="s">
        <v>20</v>
      </c>
      <c r="O1963" s="2" t="str">
        <f>VLOOKUP(OrganizedData[[#This Row],[Product Code]],ProductData[[Code]:[Item]],2,FALSE)</f>
        <v>Hyperwotsit</v>
      </c>
      <c r="P1963" s="4">
        <f>OrganizedData[[#This Row],[Quantity]]*VLOOKUP(OrganizedData[[#This Row],[Product Code]],ProductData[],4,FALSE)</f>
        <v>800</v>
      </c>
      <c r="Q1963" s="6">
        <f>OrganizedData[[#This Row],[Total Items Ordered]]*VLOOKUP(OrganizedData[[#This Row],[Product Code]],ProductData[],3,FALSE)</f>
        <v>1607.9999999999998</v>
      </c>
      <c r="R19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1964" spans="1:18" x14ac:dyDescent="0.3">
      <c r="A1964" s="2">
        <v>1957</v>
      </c>
      <c r="B1964" s="2" t="s">
        <v>5604</v>
      </c>
      <c r="C1964" s="2" t="s">
        <v>106</v>
      </c>
      <c r="D1964" s="2" t="s">
        <v>28</v>
      </c>
      <c r="E1964" s="2" t="s">
        <v>29</v>
      </c>
      <c r="F1964" s="2">
        <v>60</v>
      </c>
      <c r="G1964" s="2" t="s">
        <v>5605</v>
      </c>
      <c r="H1964" s="2" t="s">
        <v>4413</v>
      </c>
      <c r="I1964" s="2" t="s">
        <v>32</v>
      </c>
      <c r="J1964" s="3">
        <v>44799</v>
      </c>
      <c r="K1964" s="5">
        <f>YEAR(OrganizedData[[#This Row],[Order Date]])</f>
        <v>2022</v>
      </c>
      <c r="L1964" s="7" t="str">
        <f>TEXT(OrganizedData[[#This Row],[Order Date]],"mmm")</f>
        <v>Aug</v>
      </c>
      <c r="M1964" s="2">
        <v>75</v>
      </c>
      <c r="N1964" s="2" t="s">
        <v>101</v>
      </c>
      <c r="O1964" s="2" t="str">
        <f>VLOOKUP(OrganizedData[[#This Row],[Product Code]],ProductData[[Code]:[Item]],2,FALSE)</f>
        <v>Superwossname</v>
      </c>
      <c r="P1964" s="4">
        <f>OrganizedData[[#This Row],[Quantity]]*VLOOKUP(OrganizedData[[#This Row],[Product Code]],ProductData[],4,FALSE)</f>
        <v>1500</v>
      </c>
      <c r="Q1964" s="6">
        <f>OrganizedData[[#This Row],[Total Items Ordered]]*VLOOKUP(OrganizedData[[#This Row],[Product Code]],ProductData[],3,FALSE)</f>
        <v>5235</v>
      </c>
      <c r="R19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1965" spans="1:18" x14ac:dyDescent="0.3">
      <c r="A1965" s="2">
        <v>1958</v>
      </c>
      <c r="B1965" s="2" t="s">
        <v>511</v>
      </c>
      <c r="C1965" s="2" t="s">
        <v>489</v>
      </c>
      <c r="D1965" s="2" t="s">
        <v>51</v>
      </c>
      <c r="E1965" s="2" t="s">
        <v>16</v>
      </c>
      <c r="F1965" s="2">
        <v>30</v>
      </c>
      <c r="G1965" s="2" t="s">
        <v>5606</v>
      </c>
      <c r="H1965" s="2" t="s">
        <v>3659</v>
      </c>
      <c r="I1965" s="2" t="s">
        <v>3660</v>
      </c>
      <c r="J1965" s="3">
        <v>44781</v>
      </c>
      <c r="K1965" s="5">
        <f>YEAR(OrganizedData[[#This Row],[Order Date]])</f>
        <v>2022</v>
      </c>
      <c r="L1965" s="7" t="str">
        <f>TEXT(OrganizedData[[#This Row],[Order Date]],"mmm")</f>
        <v>Aug</v>
      </c>
      <c r="M1965" s="2">
        <v>51</v>
      </c>
      <c r="N1965" s="2" t="s">
        <v>70</v>
      </c>
      <c r="O1965" s="2" t="str">
        <f>VLOOKUP(OrganizedData[[#This Row],[Product Code]],ProductData[[Code]:[Item]],2,FALSE)</f>
        <v>Megawidget M</v>
      </c>
      <c r="P1965" s="4">
        <f>OrganizedData[[#This Row],[Quantity]]*VLOOKUP(OrganizedData[[#This Row],[Product Code]],ProductData[],4,FALSE)</f>
        <v>1224</v>
      </c>
      <c r="Q1965" s="6">
        <f>OrganizedData[[#This Row],[Total Items Ordered]]*VLOOKUP(OrganizedData[[#This Row],[Product Code]],ProductData[],3,FALSE)</f>
        <v>1578.96</v>
      </c>
      <c r="R19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1500.0119999999999</v>
      </c>
    </row>
    <row r="1966" spans="1:18" x14ac:dyDescent="0.3">
      <c r="A1966" s="2">
        <v>1959</v>
      </c>
      <c r="B1966" s="2" t="s">
        <v>125</v>
      </c>
      <c r="C1966" s="2" t="s">
        <v>4722</v>
      </c>
      <c r="D1966" s="2" t="s">
        <v>15</v>
      </c>
      <c r="E1966" s="2" t="s">
        <v>16</v>
      </c>
      <c r="F1966" s="2">
        <v>30</v>
      </c>
      <c r="G1966" s="2" t="s">
        <v>5606</v>
      </c>
      <c r="H1966" s="2" t="s">
        <v>938</v>
      </c>
      <c r="I1966" s="2" t="s">
        <v>25</v>
      </c>
      <c r="J1966" s="3">
        <v>44462</v>
      </c>
      <c r="K1966" s="5">
        <f>YEAR(OrganizedData[[#This Row],[Order Date]])</f>
        <v>2021</v>
      </c>
      <c r="L1966" s="7" t="str">
        <f>TEXT(OrganizedData[[#This Row],[Order Date]],"mmm")</f>
        <v>Sep</v>
      </c>
      <c r="M1966" s="2">
        <v>57</v>
      </c>
      <c r="N1966" s="2" t="s">
        <v>39</v>
      </c>
      <c r="O1966" s="2" t="str">
        <f>VLOOKUP(OrganizedData[[#This Row],[Product Code]],ProductData[[Code]:[Item]],2,FALSE)</f>
        <v>Ultrathing V1</v>
      </c>
      <c r="P1966" s="4">
        <f>OrganizedData[[#This Row],[Quantity]]*VLOOKUP(OrganizedData[[#This Row],[Product Code]],ProductData[],4,FALSE)</f>
        <v>969</v>
      </c>
      <c r="Q1966" s="6">
        <f>OrganizedData[[#This Row],[Total Items Ordered]]*VLOOKUP(OrganizedData[[#This Row],[Product Code]],ProductData[],3,FALSE)</f>
        <v>1734.51</v>
      </c>
      <c r="R19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1967" spans="1:18" x14ac:dyDescent="0.3">
      <c r="A1967" s="2">
        <v>1960</v>
      </c>
      <c r="B1967" s="2" t="s">
        <v>1773</v>
      </c>
      <c r="C1967" s="2" t="s">
        <v>2521</v>
      </c>
      <c r="D1967" s="2" t="s">
        <v>28</v>
      </c>
      <c r="E1967" s="2" t="s">
        <v>29</v>
      </c>
      <c r="F1967" s="2">
        <v>60</v>
      </c>
      <c r="G1967" s="2" t="s">
        <v>5606</v>
      </c>
      <c r="H1967" s="2" t="s">
        <v>2599</v>
      </c>
      <c r="I1967" s="2" t="s">
        <v>25</v>
      </c>
      <c r="J1967" s="3">
        <v>43991</v>
      </c>
      <c r="K1967" s="5">
        <f>YEAR(OrganizedData[[#This Row],[Order Date]])</f>
        <v>2020</v>
      </c>
      <c r="L1967" s="7" t="str">
        <f>TEXT(OrganizedData[[#This Row],[Order Date]],"mmm")</f>
        <v>Jun</v>
      </c>
      <c r="M1967" s="2">
        <v>62</v>
      </c>
      <c r="N1967" s="2" t="s">
        <v>33</v>
      </c>
      <c r="O1967" s="2" t="str">
        <f>VLOOKUP(OrganizedData[[#This Row],[Product Code]],ProductData[[Code]:[Item]],2,FALSE)</f>
        <v>Megawidget L</v>
      </c>
      <c r="P1967" s="4">
        <f>OrganizedData[[#This Row],[Quantity]]*VLOOKUP(OrganizedData[[#This Row],[Product Code]],ProductData[],4,FALSE)</f>
        <v>1488</v>
      </c>
      <c r="Q1967" s="6">
        <f>OrganizedData[[#This Row],[Total Items Ordered]]*VLOOKUP(OrganizedData[[#This Row],[Product Code]],ProductData[],3,FALSE)</f>
        <v>2663.52</v>
      </c>
      <c r="R19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1968" spans="1:18" x14ac:dyDescent="0.3">
      <c r="A1968" s="2">
        <v>1961</v>
      </c>
      <c r="B1968" s="2" t="s">
        <v>5607</v>
      </c>
      <c r="C1968" s="2" t="s">
        <v>430</v>
      </c>
      <c r="D1968" s="2" t="s">
        <v>51</v>
      </c>
      <c r="E1968" s="2" t="s">
        <v>16</v>
      </c>
      <c r="F1968" s="2">
        <v>90</v>
      </c>
      <c r="G1968" s="2" t="s">
        <v>5608</v>
      </c>
      <c r="H1968" s="2" t="s">
        <v>5609</v>
      </c>
      <c r="I1968" s="2" t="s">
        <v>19</v>
      </c>
      <c r="J1968" s="3">
        <v>44855</v>
      </c>
      <c r="K1968" s="5">
        <f>YEAR(OrganizedData[[#This Row],[Order Date]])</f>
        <v>2022</v>
      </c>
      <c r="L1968" s="7" t="str">
        <f>TEXT(OrganizedData[[#This Row],[Order Date]],"mmm")</f>
        <v>Oct</v>
      </c>
      <c r="M1968" s="2">
        <v>45</v>
      </c>
      <c r="N1968" s="2" t="s">
        <v>20</v>
      </c>
      <c r="O1968" s="2" t="str">
        <f>VLOOKUP(OrganizedData[[#This Row],[Product Code]],ProductData[[Code]:[Item]],2,FALSE)</f>
        <v>Hyperwotsit</v>
      </c>
      <c r="P1968" s="4">
        <f>OrganizedData[[#This Row],[Quantity]]*VLOOKUP(OrganizedData[[#This Row],[Product Code]],ProductData[],4,FALSE)</f>
        <v>900</v>
      </c>
      <c r="Q1968" s="6">
        <f>OrganizedData[[#This Row],[Total Items Ordered]]*VLOOKUP(OrganizedData[[#This Row],[Product Code]],ProductData[],3,FALSE)</f>
        <v>1808.9999999999998</v>
      </c>
      <c r="R19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1754.7299999999998</v>
      </c>
    </row>
    <row r="1969" spans="1:18" x14ac:dyDescent="0.3">
      <c r="A1969" s="2">
        <v>1962</v>
      </c>
      <c r="B1969" s="2" t="s">
        <v>188</v>
      </c>
      <c r="C1969" s="2" t="s">
        <v>1024</v>
      </c>
      <c r="D1969" s="2" t="s">
        <v>28</v>
      </c>
      <c r="E1969" s="2" t="s">
        <v>29</v>
      </c>
      <c r="F1969" s="2">
        <v>30</v>
      </c>
      <c r="G1969" s="2" t="s">
        <v>5610</v>
      </c>
      <c r="H1969" s="2" t="s">
        <v>5611</v>
      </c>
      <c r="I1969" s="2" t="s">
        <v>32</v>
      </c>
      <c r="J1969" s="3">
        <v>44658</v>
      </c>
      <c r="K1969" s="5">
        <f>YEAR(OrganizedData[[#This Row],[Order Date]])</f>
        <v>2022</v>
      </c>
      <c r="L1969" s="7" t="str">
        <f>TEXT(OrganizedData[[#This Row],[Order Date]],"mmm")</f>
        <v>Apr</v>
      </c>
      <c r="M1969" s="2">
        <v>84</v>
      </c>
      <c r="N1969" s="2" t="s">
        <v>159</v>
      </c>
      <c r="O1969" s="2" t="str">
        <f>VLOOKUP(OrganizedData[[#This Row],[Product Code]],ProductData[[Code]:[Item]],2,FALSE)</f>
        <v>Ultrathing V3</v>
      </c>
      <c r="P1969" s="4">
        <f>OrganizedData[[#This Row],[Quantity]]*VLOOKUP(OrganizedData[[#This Row],[Product Code]],ProductData[],4,FALSE)</f>
        <v>2016</v>
      </c>
      <c r="Q1969" s="6">
        <f>OrganizedData[[#This Row],[Total Items Ordered]]*VLOOKUP(OrganizedData[[#This Row],[Product Code]],ProductData[],3,FALSE)</f>
        <v>6834.2400000000007</v>
      </c>
      <c r="R19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1970" spans="1:18" x14ac:dyDescent="0.3">
      <c r="A1970" s="2">
        <v>1963</v>
      </c>
      <c r="B1970" s="2" t="s">
        <v>5612</v>
      </c>
      <c r="C1970" s="2" t="s">
        <v>1517</v>
      </c>
      <c r="D1970" s="2" t="s">
        <v>15</v>
      </c>
      <c r="E1970" s="2" t="s">
        <v>16</v>
      </c>
      <c r="F1970" s="2">
        <v>90</v>
      </c>
      <c r="G1970" s="2" t="s">
        <v>5613</v>
      </c>
      <c r="H1970" s="2" t="s">
        <v>2848</v>
      </c>
      <c r="I1970" s="2" t="s">
        <v>129</v>
      </c>
      <c r="J1970" s="3">
        <v>44564</v>
      </c>
      <c r="K1970" s="5">
        <f>YEAR(OrganizedData[[#This Row],[Order Date]])</f>
        <v>2022</v>
      </c>
      <c r="L1970" s="7" t="str">
        <f>TEXT(OrganizedData[[#This Row],[Order Date]],"mmm")</f>
        <v>Jan</v>
      </c>
      <c r="M1970" s="2">
        <v>72</v>
      </c>
      <c r="N1970" s="2" t="s">
        <v>54</v>
      </c>
      <c r="O1970" s="2" t="str">
        <f>VLOOKUP(OrganizedData[[#This Row],[Product Code]],ProductData[[Code]:[Item]],2,FALSE)</f>
        <v>Megawidget S</v>
      </c>
      <c r="P1970" s="4">
        <f>OrganizedData[[#This Row],[Quantity]]*VLOOKUP(OrganizedData[[#This Row],[Product Code]],ProductData[],4,FALSE)</f>
        <v>1728</v>
      </c>
      <c r="Q1970" s="6">
        <f>OrganizedData[[#This Row],[Total Items Ordered]]*VLOOKUP(OrganizedData[[#This Row],[Product Code]],ProductData[],3,FALSE)</f>
        <v>1192.32</v>
      </c>
      <c r="R19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1971" spans="1:18" x14ac:dyDescent="0.3">
      <c r="A1971" s="2">
        <v>1964</v>
      </c>
      <c r="B1971" s="2" t="s">
        <v>5614</v>
      </c>
      <c r="C1971" s="2" t="s">
        <v>2028</v>
      </c>
      <c r="D1971" s="2" t="s">
        <v>28</v>
      </c>
      <c r="E1971" s="2" t="s">
        <v>29</v>
      </c>
      <c r="F1971" s="2">
        <v>60</v>
      </c>
      <c r="G1971" s="2" t="s">
        <v>5615</v>
      </c>
      <c r="H1971" s="2" t="s">
        <v>993</v>
      </c>
      <c r="I1971" s="2" t="s">
        <v>32</v>
      </c>
      <c r="J1971" s="3">
        <v>43863</v>
      </c>
      <c r="K1971" s="5">
        <f>YEAR(OrganizedData[[#This Row],[Order Date]])</f>
        <v>2020</v>
      </c>
      <c r="L1971" s="7" t="str">
        <f>TEXT(OrganizedData[[#This Row],[Order Date]],"mmm")</f>
        <v>Feb</v>
      </c>
      <c r="M1971" s="2">
        <v>17</v>
      </c>
      <c r="N1971" s="2" t="s">
        <v>80</v>
      </c>
      <c r="O1971" s="2" t="str">
        <f>VLOOKUP(OrganizedData[[#This Row],[Product Code]],ProductData[[Code]:[Item]],2,FALSE)</f>
        <v>Ultrathing V2</v>
      </c>
      <c r="P1971" s="4">
        <f>OrganizedData[[#This Row],[Quantity]]*VLOOKUP(OrganizedData[[#This Row],[Product Code]],ProductData[],4,FALSE)</f>
        <v>340</v>
      </c>
      <c r="Q1971" s="6">
        <f>OrganizedData[[#This Row],[Total Items Ordered]]*VLOOKUP(OrganizedData[[#This Row],[Product Code]],ProductData[],3,FALSE)</f>
        <v>1003.0000000000001</v>
      </c>
      <c r="R19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1972" spans="1:18" x14ac:dyDescent="0.3">
      <c r="A1972" s="2">
        <v>1965</v>
      </c>
      <c r="B1972" s="2" t="s">
        <v>4018</v>
      </c>
      <c r="C1972" s="2" t="s">
        <v>1727</v>
      </c>
      <c r="D1972" s="2" t="s">
        <v>28</v>
      </c>
      <c r="E1972" s="2" t="s">
        <v>29</v>
      </c>
      <c r="F1972" s="2">
        <v>90</v>
      </c>
      <c r="G1972" s="2" t="s">
        <v>5616</v>
      </c>
      <c r="H1972" s="2" t="s">
        <v>4699</v>
      </c>
      <c r="I1972" s="2" t="s">
        <v>32</v>
      </c>
      <c r="J1972" s="3">
        <v>44919</v>
      </c>
      <c r="K1972" s="5">
        <f>YEAR(OrganizedData[[#This Row],[Order Date]])</f>
        <v>2022</v>
      </c>
      <c r="L1972" s="7" t="str">
        <f>TEXT(OrganizedData[[#This Row],[Order Date]],"mmm")</f>
        <v>Dec</v>
      </c>
      <c r="M1972" s="2">
        <v>97</v>
      </c>
      <c r="N1972" s="2" t="s">
        <v>20</v>
      </c>
      <c r="O1972" s="2" t="str">
        <f>VLOOKUP(OrganizedData[[#This Row],[Product Code]],ProductData[[Code]:[Item]],2,FALSE)</f>
        <v>Hyperwotsit</v>
      </c>
      <c r="P1972" s="4">
        <f>OrganizedData[[#This Row],[Quantity]]*VLOOKUP(OrganizedData[[#This Row],[Product Code]],ProductData[],4,FALSE)</f>
        <v>1940</v>
      </c>
      <c r="Q1972" s="6">
        <f>OrganizedData[[#This Row],[Total Items Ordered]]*VLOOKUP(OrganizedData[[#This Row],[Product Code]],ProductData[],3,FALSE)</f>
        <v>3899.3999999999996</v>
      </c>
      <c r="R19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3704.4299999999994</v>
      </c>
    </row>
    <row r="1973" spans="1:18" x14ac:dyDescent="0.3">
      <c r="A1973" s="2">
        <v>1966</v>
      </c>
      <c r="B1973" s="2" t="s">
        <v>5617</v>
      </c>
      <c r="C1973" s="2" t="s">
        <v>1662</v>
      </c>
      <c r="D1973" s="2" t="s">
        <v>51</v>
      </c>
      <c r="E1973" s="2" t="s">
        <v>16</v>
      </c>
      <c r="F1973" s="2">
        <v>30</v>
      </c>
      <c r="G1973" s="2" t="s">
        <v>5618</v>
      </c>
      <c r="H1973" s="2" t="s">
        <v>5619</v>
      </c>
      <c r="I1973" s="2" t="s">
        <v>32</v>
      </c>
      <c r="J1973" s="3">
        <v>44388</v>
      </c>
      <c r="K1973" s="5">
        <f>YEAR(OrganizedData[[#This Row],[Order Date]])</f>
        <v>2021</v>
      </c>
      <c r="L1973" s="7" t="str">
        <f>TEXT(OrganizedData[[#This Row],[Order Date]],"mmm")</f>
        <v>Jul</v>
      </c>
      <c r="M1973" s="2">
        <v>22</v>
      </c>
      <c r="N1973" s="2" t="s">
        <v>159</v>
      </c>
      <c r="O1973" s="2" t="str">
        <f>VLOOKUP(OrganizedData[[#This Row],[Product Code]],ProductData[[Code]:[Item]],2,FALSE)</f>
        <v>Ultrathing V3</v>
      </c>
      <c r="P1973" s="4">
        <f>OrganizedData[[#This Row],[Quantity]]*VLOOKUP(OrganizedData[[#This Row],[Product Code]],ProductData[],4,FALSE)</f>
        <v>528</v>
      </c>
      <c r="Q1973" s="6">
        <f>OrganizedData[[#This Row],[Total Items Ordered]]*VLOOKUP(OrganizedData[[#This Row],[Product Code]],ProductData[],3,FALSE)</f>
        <v>1789.92</v>
      </c>
      <c r="R19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1736.2224000000001</v>
      </c>
    </row>
    <row r="1974" spans="1:18" x14ac:dyDescent="0.3">
      <c r="A1974" s="2">
        <v>1967</v>
      </c>
      <c r="B1974" s="2" t="s">
        <v>1405</v>
      </c>
      <c r="C1974" s="2" t="s">
        <v>4242</v>
      </c>
      <c r="D1974" s="2" t="s">
        <v>28</v>
      </c>
      <c r="E1974" s="2" t="s">
        <v>29</v>
      </c>
      <c r="F1974" s="2">
        <v>30</v>
      </c>
      <c r="G1974" s="2" t="s">
        <v>5620</v>
      </c>
      <c r="H1974" s="2" t="s">
        <v>652</v>
      </c>
      <c r="I1974" s="2" t="s">
        <v>32</v>
      </c>
      <c r="J1974" s="3">
        <v>44407</v>
      </c>
      <c r="K1974" s="5">
        <f>YEAR(OrganizedData[[#This Row],[Order Date]])</f>
        <v>2021</v>
      </c>
      <c r="L1974" s="7" t="str">
        <f>TEXT(OrganizedData[[#This Row],[Order Date]],"mmm")</f>
        <v>Jul</v>
      </c>
      <c r="M1974" s="2">
        <v>16</v>
      </c>
      <c r="N1974" s="2" t="s">
        <v>101</v>
      </c>
      <c r="O1974" s="2" t="str">
        <f>VLOOKUP(OrganizedData[[#This Row],[Product Code]],ProductData[[Code]:[Item]],2,FALSE)</f>
        <v>Superwossname</v>
      </c>
      <c r="P1974" s="4">
        <f>OrganizedData[[#This Row],[Quantity]]*VLOOKUP(OrganizedData[[#This Row],[Product Code]],ProductData[],4,FALSE)</f>
        <v>320</v>
      </c>
      <c r="Q1974" s="6">
        <f>OrganizedData[[#This Row],[Total Items Ordered]]*VLOOKUP(OrganizedData[[#This Row],[Product Code]],ProductData[],3,FALSE)</f>
        <v>1116.8000000000002</v>
      </c>
      <c r="R19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1975" spans="1:18" x14ac:dyDescent="0.3">
      <c r="A1975" s="2">
        <v>1968</v>
      </c>
      <c r="B1975" s="2" t="s">
        <v>5621</v>
      </c>
      <c r="C1975" s="2" t="s">
        <v>2963</v>
      </c>
      <c r="D1975" s="2" t="s">
        <v>51</v>
      </c>
      <c r="E1975" s="2" t="s">
        <v>16</v>
      </c>
      <c r="F1975" s="2">
        <v>30</v>
      </c>
      <c r="G1975" s="2" t="s">
        <v>5622</v>
      </c>
      <c r="H1975" s="2" t="s">
        <v>2186</v>
      </c>
      <c r="I1975" s="2" t="s">
        <v>187</v>
      </c>
      <c r="J1975" s="3">
        <v>44078</v>
      </c>
      <c r="K1975" s="5">
        <f>YEAR(OrganizedData[[#This Row],[Order Date]])</f>
        <v>2020</v>
      </c>
      <c r="L1975" s="7" t="str">
        <f>TEXT(OrganizedData[[#This Row],[Order Date]],"mmm")</f>
        <v>Sep</v>
      </c>
      <c r="M1975" s="2">
        <v>7</v>
      </c>
      <c r="N1975" s="2" t="s">
        <v>54</v>
      </c>
      <c r="O1975" s="2" t="str">
        <f>VLOOKUP(OrganizedData[[#This Row],[Product Code]],ProductData[[Code]:[Item]],2,FALSE)</f>
        <v>Megawidget S</v>
      </c>
      <c r="P1975" s="4">
        <f>OrganizedData[[#This Row],[Quantity]]*VLOOKUP(OrganizedData[[#This Row],[Product Code]],ProductData[],4,FALSE)</f>
        <v>168</v>
      </c>
      <c r="Q1975" s="6">
        <f>OrganizedData[[#This Row],[Total Items Ordered]]*VLOOKUP(OrganizedData[[#This Row],[Product Code]],ProductData[],3,FALSE)</f>
        <v>115.91999999999999</v>
      </c>
      <c r="R19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1976" spans="1:18" x14ac:dyDescent="0.3">
      <c r="A1976" s="2">
        <v>1969</v>
      </c>
      <c r="B1976" s="2" t="s">
        <v>5623</v>
      </c>
      <c r="C1976" s="2" t="s">
        <v>5624</v>
      </c>
      <c r="D1976" s="2" t="s">
        <v>28</v>
      </c>
      <c r="E1976" s="2" t="s">
        <v>29</v>
      </c>
      <c r="F1976" s="2">
        <v>30</v>
      </c>
      <c r="G1976" s="2" t="s">
        <v>5625</v>
      </c>
      <c r="H1976" s="2" t="s">
        <v>1996</v>
      </c>
      <c r="I1976" s="2" t="s">
        <v>208</v>
      </c>
      <c r="J1976" s="3">
        <v>44273</v>
      </c>
      <c r="K1976" s="5">
        <f>YEAR(OrganizedData[[#This Row],[Order Date]])</f>
        <v>2021</v>
      </c>
      <c r="L1976" s="7" t="str">
        <f>TEXT(OrganizedData[[#This Row],[Order Date]],"mmm")</f>
        <v>Mar</v>
      </c>
      <c r="M1976" s="2">
        <v>74</v>
      </c>
      <c r="N1976" s="2" t="s">
        <v>33</v>
      </c>
      <c r="O1976" s="2" t="str">
        <f>VLOOKUP(OrganizedData[[#This Row],[Product Code]],ProductData[[Code]:[Item]],2,FALSE)</f>
        <v>Megawidget L</v>
      </c>
      <c r="P1976" s="4">
        <f>OrganizedData[[#This Row],[Quantity]]*VLOOKUP(OrganizedData[[#This Row],[Product Code]],ProductData[],4,FALSE)</f>
        <v>1776</v>
      </c>
      <c r="Q1976" s="6">
        <f>OrganizedData[[#This Row],[Total Items Ordered]]*VLOOKUP(OrganizedData[[#This Row],[Product Code]],ProductData[],3,FALSE)</f>
        <v>3179.04</v>
      </c>
      <c r="R19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1977" spans="1:18" x14ac:dyDescent="0.3">
      <c r="A1977" s="2">
        <v>1970</v>
      </c>
      <c r="B1977" s="2" t="s">
        <v>5585</v>
      </c>
      <c r="C1977" s="2" t="s">
        <v>5626</v>
      </c>
      <c r="D1977" s="2" t="s">
        <v>41</v>
      </c>
      <c r="E1977" s="2" t="s">
        <v>16</v>
      </c>
      <c r="F1977" s="2">
        <v>30</v>
      </c>
      <c r="G1977" s="2" t="s">
        <v>5627</v>
      </c>
      <c r="H1977" s="2" t="s">
        <v>5628</v>
      </c>
      <c r="I1977" s="2" t="s">
        <v>32</v>
      </c>
      <c r="J1977" s="3">
        <v>44171</v>
      </c>
      <c r="K1977" s="5">
        <f>YEAR(OrganizedData[[#This Row],[Order Date]])</f>
        <v>2020</v>
      </c>
      <c r="L1977" s="7" t="str">
        <f>TEXT(OrganizedData[[#This Row],[Order Date]],"mmm")</f>
        <v>Dec</v>
      </c>
      <c r="M1977" s="2">
        <v>33</v>
      </c>
      <c r="N1977" s="2" t="s">
        <v>54</v>
      </c>
      <c r="O1977" s="2" t="str">
        <f>VLOOKUP(OrganizedData[[#This Row],[Product Code]],ProductData[[Code]:[Item]],2,FALSE)</f>
        <v>Megawidget S</v>
      </c>
      <c r="P1977" s="4">
        <f>OrganizedData[[#This Row],[Quantity]]*VLOOKUP(OrganizedData[[#This Row],[Product Code]],ProductData[],4,FALSE)</f>
        <v>792</v>
      </c>
      <c r="Q1977" s="6">
        <f>OrganizedData[[#This Row],[Total Items Ordered]]*VLOOKUP(OrganizedData[[#This Row],[Product Code]],ProductData[],3,FALSE)</f>
        <v>546.4799999999999</v>
      </c>
      <c r="R19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1978" spans="1:18" x14ac:dyDescent="0.3">
      <c r="A1978" s="2">
        <v>1971</v>
      </c>
      <c r="B1978" s="2" t="s">
        <v>5629</v>
      </c>
      <c r="C1978" s="2" t="s">
        <v>3884</v>
      </c>
      <c r="D1978" s="2" t="s">
        <v>15</v>
      </c>
      <c r="E1978" s="2" t="s">
        <v>16</v>
      </c>
      <c r="F1978" s="2">
        <v>90</v>
      </c>
      <c r="G1978" s="2" t="s">
        <v>5630</v>
      </c>
      <c r="H1978" s="2" t="s">
        <v>5631</v>
      </c>
      <c r="I1978" s="2" t="s">
        <v>129</v>
      </c>
      <c r="J1978" s="3">
        <v>44219</v>
      </c>
      <c r="K1978" s="5">
        <f>YEAR(OrganizedData[[#This Row],[Order Date]])</f>
        <v>2021</v>
      </c>
      <c r="L1978" s="7" t="str">
        <f>TEXT(OrganizedData[[#This Row],[Order Date]],"mmm")</f>
        <v>Jan</v>
      </c>
      <c r="M1978" s="2">
        <v>83</v>
      </c>
      <c r="N1978" s="2" t="s">
        <v>20</v>
      </c>
      <c r="O1978" s="2" t="str">
        <f>VLOOKUP(OrganizedData[[#This Row],[Product Code]],ProductData[[Code]:[Item]],2,FALSE)</f>
        <v>Hyperwotsit</v>
      </c>
      <c r="P1978" s="4">
        <f>OrganizedData[[#This Row],[Quantity]]*VLOOKUP(OrganizedData[[#This Row],[Product Code]],ProductData[],4,FALSE)</f>
        <v>1660</v>
      </c>
      <c r="Q1978" s="6">
        <f>OrganizedData[[#This Row],[Total Items Ordered]]*VLOOKUP(OrganizedData[[#This Row],[Product Code]],ProductData[],3,FALSE)</f>
        <v>3336.5999999999995</v>
      </c>
      <c r="R19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3169.7699999999995</v>
      </c>
    </row>
    <row r="1979" spans="1:18" x14ac:dyDescent="0.3">
      <c r="A1979" s="2">
        <v>1972</v>
      </c>
      <c r="B1979" s="2" t="s">
        <v>5632</v>
      </c>
      <c r="C1979" s="2" t="s">
        <v>3210</v>
      </c>
      <c r="D1979" s="2" t="s">
        <v>15</v>
      </c>
      <c r="E1979" s="2" t="s">
        <v>16</v>
      </c>
      <c r="F1979" s="2">
        <v>60</v>
      </c>
      <c r="G1979" s="2" t="s">
        <v>5633</v>
      </c>
      <c r="H1979" s="2" t="s">
        <v>5634</v>
      </c>
      <c r="I1979" s="2" t="s">
        <v>32</v>
      </c>
      <c r="J1979" s="3">
        <v>43860</v>
      </c>
      <c r="K1979" s="5">
        <f>YEAR(OrganizedData[[#This Row],[Order Date]])</f>
        <v>2020</v>
      </c>
      <c r="L1979" s="7" t="str">
        <f>TEXT(OrganizedData[[#This Row],[Order Date]],"mmm")</f>
        <v>Jan</v>
      </c>
      <c r="M1979" s="2">
        <v>41</v>
      </c>
      <c r="N1979" s="2" t="s">
        <v>20</v>
      </c>
      <c r="O1979" s="2" t="str">
        <f>VLOOKUP(OrganizedData[[#This Row],[Product Code]],ProductData[[Code]:[Item]],2,FALSE)</f>
        <v>Hyperwotsit</v>
      </c>
      <c r="P1979" s="4">
        <f>OrganizedData[[#This Row],[Quantity]]*VLOOKUP(OrganizedData[[#This Row],[Product Code]],ProductData[],4,FALSE)</f>
        <v>820</v>
      </c>
      <c r="Q1979" s="6">
        <f>OrganizedData[[#This Row],[Total Items Ordered]]*VLOOKUP(OrganizedData[[#This Row],[Product Code]],ProductData[],3,FALSE)</f>
        <v>1648.1999999999998</v>
      </c>
      <c r="R19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1598.7539999999997</v>
      </c>
    </row>
    <row r="1980" spans="1:18" x14ac:dyDescent="0.3">
      <c r="A1980" s="2">
        <v>1973</v>
      </c>
      <c r="B1980" s="2" t="s">
        <v>5635</v>
      </c>
      <c r="C1980" s="2" t="s">
        <v>5067</v>
      </c>
      <c r="D1980" s="2" t="s">
        <v>51</v>
      </c>
      <c r="E1980" s="2" t="s">
        <v>16</v>
      </c>
      <c r="F1980" s="2">
        <v>30</v>
      </c>
      <c r="G1980" s="2" t="s">
        <v>5636</v>
      </c>
      <c r="H1980" s="2" t="s">
        <v>5637</v>
      </c>
      <c r="I1980" s="2" t="s">
        <v>32</v>
      </c>
      <c r="J1980" s="3">
        <v>44764</v>
      </c>
      <c r="K1980" s="5">
        <f>YEAR(OrganizedData[[#This Row],[Order Date]])</f>
        <v>2022</v>
      </c>
      <c r="L1980" s="7" t="str">
        <f>TEXT(OrganizedData[[#This Row],[Order Date]],"mmm")</f>
        <v>Jul</v>
      </c>
      <c r="M1980" s="2">
        <v>2</v>
      </c>
      <c r="N1980" s="2" t="s">
        <v>33</v>
      </c>
      <c r="O1980" s="2" t="str">
        <f>VLOOKUP(OrganizedData[[#This Row],[Product Code]],ProductData[[Code]:[Item]],2,FALSE)</f>
        <v>Megawidget L</v>
      </c>
      <c r="P1980" s="4">
        <f>OrganizedData[[#This Row],[Quantity]]*VLOOKUP(OrganizedData[[#This Row],[Product Code]],ProductData[],4,FALSE)</f>
        <v>48</v>
      </c>
      <c r="Q1980" s="6">
        <f>OrganizedData[[#This Row],[Total Items Ordered]]*VLOOKUP(OrganizedData[[#This Row],[Product Code]],ProductData[],3,FALSE)</f>
        <v>85.92</v>
      </c>
      <c r="R19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1981" spans="1:18" x14ac:dyDescent="0.3">
      <c r="A1981" s="2">
        <v>1974</v>
      </c>
      <c r="B1981" s="2" t="s">
        <v>3198</v>
      </c>
      <c r="C1981" s="2" t="s">
        <v>5638</v>
      </c>
      <c r="D1981" s="2" t="s">
        <v>28</v>
      </c>
      <c r="E1981" s="2" t="s">
        <v>29</v>
      </c>
      <c r="F1981" s="2">
        <v>90</v>
      </c>
      <c r="G1981" s="2" t="s">
        <v>5639</v>
      </c>
      <c r="H1981" s="2" t="s">
        <v>3790</v>
      </c>
      <c r="I1981" s="2" t="s">
        <v>32</v>
      </c>
      <c r="J1981" s="3">
        <v>43988</v>
      </c>
      <c r="K1981" s="5">
        <f>YEAR(OrganizedData[[#This Row],[Order Date]])</f>
        <v>2020</v>
      </c>
      <c r="L1981" s="7" t="str">
        <f>TEXT(OrganizedData[[#This Row],[Order Date]],"mmm")</f>
        <v>Jun</v>
      </c>
      <c r="M1981" s="2">
        <v>50</v>
      </c>
      <c r="N1981" s="2" t="s">
        <v>39</v>
      </c>
      <c r="O1981" s="2" t="str">
        <f>VLOOKUP(OrganizedData[[#This Row],[Product Code]],ProductData[[Code]:[Item]],2,FALSE)</f>
        <v>Ultrathing V1</v>
      </c>
      <c r="P1981" s="4">
        <f>OrganizedData[[#This Row],[Quantity]]*VLOOKUP(OrganizedData[[#This Row],[Product Code]],ProductData[],4,FALSE)</f>
        <v>850</v>
      </c>
      <c r="Q1981" s="6">
        <f>OrganizedData[[#This Row],[Total Items Ordered]]*VLOOKUP(OrganizedData[[#This Row],[Product Code]],ProductData[],3,FALSE)</f>
        <v>1521.5</v>
      </c>
      <c r="R19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1982" spans="1:18" x14ac:dyDescent="0.3">
      <c r="A1982" s="2">
        <v>1975</v>
      </c>
      <c r="B1982" s="2" t="s">
        <v>4430</v>
      </c>
      <c r="C1982" s="2" t="s">
        <v>5568</v>
      </c>
      <c r="D1982" s="2" t="s">
        <v>28</v>
      </c>
      <c r="E1982" s="2" t="s">
        <v>29</v>
      </c>
      <c r="F1982" s="2">
        <v>30</v>
      </c>
      <c r="G1982" s="2" t="s">
        <v>5640</v>
      </c>
      <c r="H1982" s="2" t="s">
        <v>534</v>
      </c>
      <c r="I1982" s="2" t="s">
        <v>32</v>
      </c>
      <c r="J1982" s="3">
        <v>44046</v>
      </c>
      <c r="K1982" s="5">
        <f>YEAR(OrganizedData[[#This Row],[Order Date]])</f>
        <v>2020</v>
      </c>
      <c r="L1982" s="7" t="str">
        <f>TEXT(OrganizedData[[#This Row],[Order Date]],"mmm")</f>
        <v>Aug</v>
      </c>
      <c r="M1982" s="2">
        <v>3</v>
      </c>
      <c r="N1982" s="2" t="s">
        <v>101</v>
      </c>
      <c r="O1982" s="2" t="str">
        <f>VLOOKUP(OrganizedData[[#This Row],[Product Code]],ProductData[[Code]:[Item]],2,FALSE)</f>
        <v>Superwossname</v>
      </c>
      <c r="P1982" s="4">
        <f>OrganizedData[[#This Row],[Quantity]]*VLOOKUP(OrganizedData[[#This Row],[Product Code]],ProductData[],4,FALSE)</f>
        <v>60</v>
      </c>
      <c r="Q1982" s="6">
        <f>OrganizedData[[#This Row],[Total Items Ordered]]*VLOOKUP(OrganizedData[[#This Row],[Product Code]],ProductData[],3,FALSE)</f>
        <v>209.4</v>
      </c>
      <c r="R19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209.4</v>
      </c>
    </row>
    <row r="1983" spans="1:18" x14ac:dyDescent="0.3">
      <c r="A1983" s="2">
        <v>1976</v>
      </c>
      <c r="B1983" s="2" t="s">
        <v>5641</v>
      </c>
      <c r="C1983" s="2" t="s">
        <v>2286</v>
      </c>
      <c r="D1983" s="2" t="s">
        <v>51</v>
      </c>
      <c r="E1983" s="2" t="s">
        <v>16</v>
      </c>
      <c r="F1983" s="2">
        <v>30</v>
      </c>
      <c r="G1983" s="2" t="s">
        <v>5642</v>
      </c>
      <c r="H1983" s="2" t="s">
        <v>5643</v>
      </c>
      <c r="I1983" s="2" t="s">
        <v>886</v>
      </c>
      <c r="J1983" s="3">
        <v>44197</v>
      </c>
      <c r="K1983" s="5">
        <f>YEAR(OrganizedData[[#This Row],[Order Date]])</f>
        <v>2021</v>
      </c>
      <c r="L1983" s="7" t="str">
        <f>TEXT(OrganizedData[[#This Row],[Order Date]],"mmm")</f>
        <v>Jan</v>
      </c>
      <c r="M1983" s="2">
        <v>29</v>
      </c>
      <c r="N1983" s="2" t="s">
        <v>20</v>
      </c>
      <c r="O1983" s="2" t="str">
        <f>VLOOKUP(OrganizedData[[#This Row],[Product Code]],ProductData[[Code]:[Item]],2,FALSE)</f>
        <v>Hyperwotsit</v>
      </c>
      <c r="P1983" s="4">
        <f>OrganizedData[[#This Row],[Quantity]]*VLOOKUP(OrganizedData[[#This Row],[Product Code]],ProductData[],4,FALSE)</f>
        <v>580</v>
      </c>
      <c r="Q1983" s="6">
        <f>OrganizedData[[#This Row],[Total Items Ordered]]*VLOOKUP(OrganizedData[[#This Row],[Product Code]],ProductData[],3,FALSE)</f>
        <v>1165.8</v>
      </c>
      <c r="R19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1984" spans="1:18" x14ac:dyDescent="0.3">
      <c r="A1984" s="2">
        <v>1977</v>
      </c>
      <c r="B1984" s="2" t="s">
        <v>5644</v>
      </c>
      <c r="C1984" s="2" t="s">
        <v>5645</v>
      </c>
      <c r="D1984" s="2" t="s">
        <v>28</v>
      </c>
      <c r="E1984" s="2" t="s">
        <v>29</v>
      </c>
      <c r="F1984" s="2">
        <v>60</v>
      </c>
      <c r="G1984" s="2" t="s">
        <v>5646</v>
      </c>
      <c r="H1984" s="2" t="s">
        <v>5647</v>
      </c>
      <c r="I1984" s="2" t="s">
        <v>38</v>
      </c>
      <c r="J1984" s="3">
        <v>44682</v>
      </c>
      <c r="K1984" s="5">
        <f>YEAR(OrganizedData[[#This Row],[Order Date]])</f>
        <v>2022</v>
      </c>
      <c r="L1984" s="7" t="str">
        <f>TEXT(OrganizedData[[#This Row],[Order Date]],"mmm")</f>
        <v>May</v>
      </c>
      <c r="M1984" s="2">
        <v>71</v>
      </c>
      <c r="N1984" s="2" t="s">
        <v>33</v>
      </c>
      <c r="O1984" s="2" t="str">
        <f>VLOOKUP(OrganizedData[[#This Row],[Product Code]],ProductData[[Code]:[Item]],2,FALSE)</f>
        <v>Megawidget L</v>
      </c>
      <c r="P1984" s="4">
        <f>OrganizedData[[#This Row],[Quantity]]*VLOOKUP(OrganizedData[[#This Row],[Product Code]],ProductData[],4,FALSE)</f>
        <v>1704</v>
      </c>
      <c r="Q1984" s="6">
        <f>OrganizedData[[#This Row],[Total Items Ordered]]*VLOOKUP(OrganizedData[[#This Row],[Product Code]],ProductData[],3,FALSE)</f>
        <v>3050.16</v>
      </c>
      <c r="R19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1985" spans="1:18" x14ac:dyDescent="0.3">
      <c r="A1985" s="2">
        <v>1978</v>
      </c>
      <c r="B1985" s="2" t="s">
        <v>5648</v>
      </c>
      <c r="C1985" s="2" t="s">
        <v>5649</v>
      </c>
      <c r="D1985" s="2" t="s">
        <v>41</v>
      </c>
      <c r="E1985" s="2" t="s">
        <v>16</v>
      </c>
      <c r="F1985" s="2">
        <v>30</v>
      </c>
      <c r="G1985" s="2" t="s">
        <v>5650</v>
      </c>
      <c r="H1985" s="2" t="s">
        <v>4669</v>
      </c>
      <c r="I1985" s="2" t="s">
        <v>187</v>
      </c>
      <c r="J1985" s="3">
        <v>44147</v>
      </c>
      <c r="K1985" s="5">
        <f>YEAR(OrganizedData[[#This Row],[Order Date]])</f>
        <v>2020</v>
      </c>
      <c r="L1985" s="7" t="str">
        <f>TEXT(OrganizedData[[#This Row],[Order Date]],"mmm")</f>
        <v>Nov</v>
      </c>
      <c r="M1985" s="2">
        <v>33</v>
      </c>
      <c r="N1985" s="2" t="s">
        <v>39</v>
      </c>
      <c r="O1985" s="2" t="str">
        <f>VLOOKUP(OrganizedData[[#This Row],[Product Code]],ProductData[[Code]:[Item]],2,FALSE)</f>
        <v>Ultrathing V1</v>
      </c>
      <c r="P1985" s="4">
        <f>OrganizedData[[#This Row],[Quantity]]*VLOOKUP(OrganizedData[[#This Row],[Product Code]],ProductData[],4,FALSE)</f>
        <v>561</v>
      </c>
      <c r="Q1985" s="6">
        <f>OrganizedData[[#This Row],[Total Items Ordered]]*VLOOKUP(OrganizedData[[#This Row],[Product Code]],ProductData[],3,FALSE)</f>
        <v>1004.19</v>
      </c>
      <c r="R19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1986" spans="1:18" x14ac:dyDescent="0.3">
      <c r="A1986" s="2">
        <v>1979</v>
      </c>
      <c r="B1986" s="2" t="s">
        <v>2051</v>
      </c>
      <c r="C1986" s="2" t="s">
        <v>1154</v>
      </c>
      <c r="D1986" s="2" t="s">
        <v>28</v>
      </c>
      <c r="E1986" s="2" t="s">
        <v>29</v>
      </c>
      <c r="F1986" s="2">
        <v>30</v>
      </c>
      <c r="G1986" s="2" t="s">
        <v>5651</v>
      </c>
      <c r="H1986" s="2" t="s">
        <v>5652</v>
      </c>
      <c r="I1986" s="2" t="s">
        <v>32</v>
      </c>
      <c r="J1986" s="3">
        <v>44657</v>
      </c>
      <c r="K1986" s="5">
        <f>YEAR(OrganizedData[[#This Row],[Order Date]])</f>
        <v>2022</v>
      </c>
      <c r="L1986" s="7" t="str">
        <f>TEXT(OrganizedData[[#This Row],[Order Date]],"mmm")</f>
        <v>Apr</v>
      </c>
      <c r="M1986" s="2">
        <v>96</v>
      </c>
      <c r="N1986" s="2" t="s">
        <v>45</v>
      </c>
      <c r="O1986" s="2" t="str">
        <f>VLOOKUP(OrganizedData[[#This Row],[Product Code]],ProductData[[Code]:[Item]],2,FALSE)</f>
        <v>Gigastuff</v>
      </c>
      <c r="P1986" s="4">
        <f>OrganizedData[[#This Row],[Quantity]]*VLOOKUP(OrganizedData[[#This Row],[Product Code]],ProductData[],4,FALSE)</f>
        <v>1728</v>
      </c>
      <c r="Q1986" s="6">
        <f>OrganizedData[[#This Row],[Total Items Ordered]]*VLOOKUP(OrganizedData[[#This Row],[Product Code]],ProductData[],3,FALSE)</f>
        <v>3265.9199999999996</v>
      </c>
      <c r="R19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3102.6239999999993</v>
      </c>
    </row>
    <row r="1987" spans="1:18" x14ac:dyDescent="0.3">
      <c r="A1987" s="2">
        <v>1980</v>
      </c>
      <c r="B1987" s="2" t="s">
        <v>5018</v>
      </c>
      <c r="C1987" s="2" t="s">
        <v>5653</v>
      </c>
      <c r="D1987" s="2" t="s">
        <v>15</v>
      </c>
      <c r="E1987" s="2" t="s">
        <v>16</v>
      </c>
      <c r="F1987" s="2">
        <v>30</v>
      </c>
      <c r="G1987" s="2" t="s">
        <v>5654</v>
      </c>
      <c r="H1987" s="2" t="s">
        <v>928</v>
      </c>
      <c r="I1987" s="2" t="s">
        <v>38</v>
      </c>
      <c r="J1987" s="3">
        <v>44007</v>
      </c>
      <c r="K1987" s="5">
        <f>YEAR(OrganizedData[[#This Row],[Order Date]])</f>
        <v>2020</v>
      </c>
      <c r="L1987" s="7" t="str">
        <f>TEXT(OrganizedData[[#This Row],[Order Date]],"mmm")</f>
        <v>Jun</v>
      </c>
      <c r="M1987" s="2">
        <v>55</v>
      </c>
      <c r="N1987" s="2" t="s">
        <v>159</v>
      </c>
      <c r="O1987" s="2" t="str">
        <f>VLOOKUP(OrganizedData[[#This Row],[Product Code]],ProductData[[Code]:[Item]],2,FALSE)</f>
        <v>Ultrathing V3</v>
      </c>
      <c r="P1987" s="4">
        <f>OrganizedData[[#This Row],[Quantity]]*VLOOKUP(OrganizedData[[#This Row],[Product Code]],ProductData[],4,FALSE)</f>
        <v>1320</v>
      </c>
      <c r="Q1987" s="6">
        <f>OrganizedData[[#This Row],[Total Items Ordered]]*VLOOKUP(OrganizedData[[#This Row],[Product Code]],ProductData[],3,FALSE)</f>
        <v>4474.8</v>
      </c>
      <c r="R19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4251.0600000000004</v>
      </c>
    </row>
    <row r="1988" spans="1:18" x14ac:dyDescent="0.3">
      <c r="A1988" s="2">
        <v>1981</v>
      </c>
      <c r="B1988" s="2" t="s">
        <v>4596</v>
      </c>
      <c r="C1988" s="2" t="s">
        <v>5180</v>
      </c>
      <c r="D1988" s="2" t="s">
        <v>28</v>
      </c>
      <c r="E1988" s="2" t="s">
        <v>29</v>
      </c>
      <c r="F1988" s="2">
        <v>90</v>
      </c>
      <c r="G1988" s="2" t="s">
        <v>5655</v>
      </c>
      <c r="H1988" s="2" t="s">
        <v>2411</v>
      </c>
      <c r="I1988" s="2" t="s">
        <v>25</v>
      </c>
      <c r="J1988" s="3">
        <v>43886</v>
      </c>
      <c r="K1988" s="5">
        <f>YEAR(OrganizedData[[#This Row],[Order Date]])</f>
        <v>2020</v>
      </c>
      <c r="L1988" s="7" t="str">
        <f>TEXT(OrganizedData[[#This Row],[Order Date]],"mmm")</f>
        <v>Feb</v>
      </c>
      <c r="M1988" s="2">
        <v>3</v>
      </c>
      <c r="N1988" s="2" t="s">
        <v>159</v>
      </c>
      <c r="O1988" s="2" t="str">
        <f>VLOOKUP(OrganizedData[[#This Row],[Product Code]],ProductData[[Code]:[Item]],2,FALSE)</f>
        <v>Ultrathing V3</v>
      </c>
      <c r="P1988" s="4">
        <f>OrganizedData[[#This Row],[Quantity]]*VLOOKUP(OrganizedData[[#This Row],[Product Code]],ProductData[],4,FALSE)</f>
        <v>72</v>
      </c>
      <c r="Q1988" s="6">
        <f>OrganizedData[[#This Row],[Total Items Ordered]]*VLOOKUP(OrganizedData[[#This Row],[Product Code]],ProductData[],3,FALSE)</f>
        <v>244.08</v>
      </c>
      <c r="R19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1989" spans="1:18" x14ac:dyDescent="0.3">
      <c r="A1989" s="2">
        <v>1982</v>
      </c>
      <c r="B1989" s="2" t="s">
        <v>5656</v>
      </c>
      <c r="C1989" s="2" t="s">
        <v>1692</v>
      </c>
      <c r="D1989" s="2" t="s">
        <v>117</v>
      </c>
      <c r="E1989" s="2" t="s">
        <v>16</v>
      </c>
      <c r="F1989" s="2">
        <v>90</v>
      </c>
      <c r="G1989" s="2" t="s">
        <v>5657</v>
      </c>
      <c r="H1989" s="2" t="s">
        <v>474</v>
      </c>
      <c r="I1989" s="2" t="s">
        <v>475</v>
      </c>
      <c r="J1989" s="3">
        <v>44030</v>
      </c>
      <c r="K1989" s="5">
        <f>YEAR(OrganizedData[[#This Row],[Order Date]])</f>
        <v>2020</v>
      </c>
      <c r="L1989" s="7" t="str">
        <f>TEXT(OrganizedData[[#This Row],[Order Date]],"mmm")</f>
        <v>Jul</v>
      </c>
      <c r="M1989" s="2">
        <v>22</v>
      </c>
      <c r="N1989" s="2" t="s">
        <v>39</v>
      </c>
      <c r="O1989" s="2" t="str">
        <f>VLOOKUP(OrganizedData[[#This Row],[Product Code]],ProductData[[Code]:[Item]],2,FALSE)</f>
        <v>Ultrathing V1</v>
      </c>
      <c r="P1989" s="4">
        <f>OrganizedData[[#This Row],[Quantity]]*VLOOKUP(OrganizedData[[#This Row],[Product Code]],ProductData[],4,FALSE)</f>
        <v>374</v>
      </c>
      <c r="Q1989" s="6">
        <f>OrganizedData[[#This Row],[Total Items Ordered]]*VLOOKUP(OrganizedData[[#This Row],[Product Code]],ProductData[],3,FALSE)</f>
        <v>669.46</v>
      </c>
      <c r="R19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1990" spans="1:18" x14ac:dyDescent="0.3">
      <c r="A1990" s="2">
        <v>1983</v>
      </c>
      <c r="B1990" s="2" t="s">
        <v>5658</v>
      </c>
      <c r="C1990" s="2" t="s">
        <v>5659</v>
      </c>
      <c r="D1990" s="2" t="s">
        <v>51</v>
      </c>
      <c r="E1990" s="2" t="s">
        <v>16</v>
      </c>
      <c r="F1990" s="2">
        <v>30</v>
      </c>
      <c r="G1990" s="2" t="s">
        <v>5660</v>
      </c>
      <c r="H1990" s="2" t="s">
        <v>137</v>
      </c>
      <c r="I1990" s="2" t="s">
        <v>32</v>
      </c>
      <c r="J1990" s="3">
        <v>44739</v>
      </c>
      <c r="K1990" s="5">
        <f>YEAR(OrganizedData[[#This Row],[Order Date]])</f>
        <v>2022</v>
      </c>
      <c r="L1990" s="7" t="str">
        <f>TEXT(OrganizedData[[#This Row],[Order Date]],"mmm")</f>
        <v>Jun</v>
      </c>
      <c r="M1990" s="2">
        <v>50</v>
      </c>
      <c r="N1990" s="2" t="s">
        <v>54</v>
      </c>
      <c r="O1990" s="2" t="str">
        <f>VLOOKUP(OrganizedData[[#This Row],[Product Code]],ProductData[[Code]:[Item]],2,FALSE)</f>
        <v>Megawidget S</v>
      </c>
      <c r="P1990" s="4">
        <f>OrganizedData[[#This Row],[Quantity]]*VLOOKUP(OrganizedData[[#This Row],[Product Code]],ProductData[],4,FALSE)</f>
        <v>1200</v>
      </c>
      <c r="Q1990" s="6">
        <f>OrganizedData[[#This Row],[Total Items Ordered]]*VLOOKUP(OrganizedData[[#This Row],[Product Code]],ProductData[],3,FALSE)</f>
        <v>827.99999999999989</v>
      </c>
      <c r="R19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1991" spans="1:18" x14ac:dyDescent="0.3">
      <c r="A1991" s="2">
        <v>1984</v>
      </c>
      <c r="B1991" s="2" t="s">
        <v>5444</v>
      </c>
      <c r="C1991" s="2" t="s">
        <v>5328</v>
      </c>
      <c r="D1991" s="2" t="s">
        <v>51</v>
      </c>
      <c r="E1991" s="2" t="s">
        <v>16</v>
      </c>
      <c r="F1991" s="2">
        <v>90</v>
      </c>
      <c r="G1991" s="2" t="s">
        <v>5661</v>
      </c>
      <c r="H1991" s="2" t="s">
        <v>1206</v>
      </c>
      <c r="I1991" s="2" t="s">
        <v>294</v>
      </c>
      <c r="J1991" s="3">
        <v>43924</v>
      </c>
      <c r="K1991" s="5">
        <f>YEAR(OrganizedData[[#This Row],[Order Date]])</f>
        <v>2020</v>
      </c>
      <c r="L1991" s="7" t="str">
        <f>TEXT(OrganizedData[[#This Row],[Order Date]],"mmm")</f>
        <v>Apr</v>
      </c>
      <c r="M1991" s="2">
        <v>17</v>
      </c>
      <c r="N1991" s="2" t="s">
        <v>159</v>
      </c>
      <c r="O1991" s="2" t="str">
        <f>VLOOKUP(OrganizedData[[#This Row],[Product Code]],ProductData[[Code]:[Item]],2,FALSE)</f>
        <v>Ultrathing V3</v>
      </c>
      <c r="P1991" s="4">
        <f>OrganizedData[[#This Row],[Quantity]]*VLOOKUP(OrganizedData[[#This Row],[Product Code]],ProductData[],4,FALSE)</f>
        <v>408</v>
      </c>
      <c r="Q1991" s="6">
        <f>OrganizedData[[#This Row],[Total Items Ordered]]*VLOOKUP(OrganizedData[[#This Row],[Product Code]],ProductData[],3,FALSE)</f>
        <v>1383.1200000000001</v>
      </c>
      <c r="R19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1383.1200000000001</v>
      </c>
    </row>
    <row r="1992" spans="1:18" x14ac:dyDescent="0.3">
      <c r="A1992" s="2">
        <v>1985</v>
      </c>
      <c r="B1992" s="2" t="s">
        <v>5662</v>
      </c>
      <c r="C1992" s="2" t="s">
        <v>1032</v>
      </c>
      <c r="D1992" s="2" t="s">
        <v>28</v>
      </c>
      <c r="E1992" s="2" t="s">
        <v>29</v>
      </c>
      <c r="F1992" s="2">
        <v>30</v>
      </c>
      <c r="G1992" s="2" t="s">
        <v>5663</v>
      </c>
      <c r="H1992" s="2" t="s">
        <v>5664</v>
      </c>
      <c r="I1992" s="2" t="s">
        <v>187</v>
      </c>
      <c r="J1992" s="3">
        <v>44831</v>
      </c>
      <c r="K1992" s="5">
        <f>YEAR(OrganizedData[[#This Row],[Order Date]])</f>
        <v>2022</v>
      </c>
      <c r="L1992" s="7" t="str">
        <f>TEXT(OrganizedData[[#This Row],[Order Date]],"mmm")</f>
        <v>Sep</v>
      </c>
      <c r="M1992" s="2">
        <v>17</v>
      </c>
      <c r="N1992" s="2" t="s">
        <v>54</v>
      </c>
      <c r="O1992" s="2" t="str">
        <f>VLOOKUP(OrganizedData[[#This Row],[Product Code]],ProductData[[Code]:[Item]],2,FALSE)</f>
        <v>Megawidget S</v>
      </c>
      <c r="P1992" s="4">
        <f>OrganizedData[[#This Row],[Quantity]]*VLOOKUP(OrganizedData[[#This Row],[Product Code]],ProductData[],4,FALSE)</f>
        <v>408</v>
      </c>
      <c r="Q1992" s="6">
        <f>OrganizedData[[#This Row],[Total Items Ordered]]*VLOOKUP(OrganizedData[[#This Row],[Product Code]],ProductData[],3,FALSE)</f>
        <v>281.52</v>
      </c>
      <c r="R19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1993" spans="1:18" x14ac:dyDescent="0.3">
      <c r="A1993" s="2">
        <v>1986</v>
      </c>
      <c r="B1993" s="2" t="s">
        <v>3103</v>
      </c>
      <c r="C1993" s="2" t="s">
        <v>5665</v>
      </c>
      <c r="D1993" s="2" t="s">
        <v>51</v>
      </c>
      <c r="E1993" s="2" t="s">
        <v>16</v>
      </c>
      <c r="F1993" s="2">
        <v>90</v>
      </c>
      <c r="G1993" s="2" t="s">
        <v>5666</v>
      </c>
      <c r="H1993" s="2" t="s">
        <v>5667</v>
      </c>
      <c r="I1993" s="2" t="s">
        <v>32</v>
      </c>
      <c r="J1993" s="3">
        <v>43917</v>
      </c>
      <c r="K1993" s="5">
        <f>YEAR(OrganizedData[[#This Row],[Order Date]])</f>
        <v>2020</v>
      </c>
      <c r="L1993" s="7" t="str">
        <f>TEXT(OrganizedData[[#This Row],[Order Date]],"mmm")</f>
        <v>Mar</v>
      </c>
      <c r="M1993" s="2">
        <v>15</v>
      </c>
      <c r="N1993" s="2" t="s">
        <v>54</v>
      </c>
      <c r="O1993" s="2" t="str">
        <f>VLOOKUP(OrganizedData[[#This Row],[Product Code]],ProductData[[Code]:[Item]],2,FALSE)</f>
        <v>Megawidget S</v>
      </c>
      <c r="P1993" s="4">
        <f>OrganizedData[[#This Row],[Quantity]]*VLOOKUP(OrganizedData[[#This Row],[Product Code]],ProductData[],4,FALSE)</f>
        <v>360</v>
      </c>
      <c r="Q1993" s="6">
        <f>OrganizedData[[#This Row],[Total Items Ordered]]*VLOOKUP(OrganizedData[[#This Row],[Product Code]],ProductData[],3,FALSE)</f>
        <v>248.39999999999998</v>
      </c>
      <c r="R19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1994" spans="1:18" x14ac:dyDescent="0.3">
      <c r="A1994" s="2">
        <v>1987</v>
      </c>
      <c r="B1994" s="2" t="s">
        <v>2617</v>
      </c>
      <c r="C1994" s="2" t="s">
        <v>5668</v>
      </c>
      <c r="D1994" s="2" t="s">
        <v>28</v>
      </c>
      <c r="E1994" s="2" t="s">
        <v>29</v>
      </c>
      <c r="F1994" s="2">
        <v>60</v>
      </c>
      <c r="G1994" s="2" t="s">
        <v>5669</v>
      </c>
      <c r="H1994" s="2" t="s">
        <v>2183</v>
      </c>
      <c r="I1994" s="2" t="s">
        <v>124</v>
      </c>
      <c r="J1994" s="3">
        <v>44501</v>
      </c>
      <c r="K1994" s="5">
        <f>YEAR(OrganizedData[[#This Row],[Order Date]])</f>
        <v>2021</v>
      </c>
      <c r="L1994" s="7" t="str">
        <f>TEXT(OrganizedData[[#This Row],[Order Date]],"mmm")</f>
        <v>Nov</v>
      </c>
      <c r="M1994" s="2">
        <v>62</v>
      </c>
      <c r="N1994" s="2" t="s">
        <v>80</v>
      </c>
      <c r="O1994" s="2" t="str">
        <f>VLOOKUP(OrganizedData[[#This Row],[Product Code]],ProductData[[Code]:[Item]],2,FALSE)</f>
        <v>Ultrathing V2</v>
      </c>
      <c r="P1994" s="4">
        <f>OrganizedData[[#This Row],[Quantity]]*VLOOKUP(OrganizedData[[#This Row],[Product Code]],ProductData[],4,FALSE)</f>
        <v>1240</v>
      </c>
      <c r="Q1994" s="6">
        <f>OrganizedData[[#This Row],[Total Items Ordered]]*VLOOKUP(OrganizedData[[#This Row],[Product Code]],ProductData[],3,FALSE)</f>
        <v>3658</v>
      </c>
      <c r="R19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1995" spans="1:18" x14ac:dyDescent="0.3">
      <c r="A1995" s="2">
        <v>1988</v>
      </c>
      <c r="B1995" s="2" t="s">
        <v>5670</v>
      </c>
      <c r="C1995" s="2" t="s">
        <v>5671</v>
      </c>
      <c r="D1995" s="2" t="s">
        <v>28</v>
      </c>
      <c r="E1995" s="2" t="s">
        <v>29</v>
      </c>
      <c r="F1995" s="2">
        <v>30</v>
      </c>
      <c r="G1995" s="2" t="s">
        <v>5672</v>
      </c>
      <c r="H1995" s="2" t="s">
        <v>2608</v>
      </c>
      <c r="I1995" s="2" t="s">
        <v>38</v>
      </c>
      <c r="J1995" s="3">
        <v>44020</v>
      </c>
      <c r="K1995" s="5">
        <f>YEAR(OrganizedData[[#This Row],[Order Date]])</f>
        <v>2020</v>
      </c>
      <c r="L1995" s="7" t="str">
        <f>TEXT(OrganizedData[[#This Row],[Order Date]],"mmm")</f>
        <v>Jul</v>
      </c>
      <c r="M1995" s="2">
        <v>69</v>
      </c>
      <c r="N1995" s="2" t="s">
        <v>70</v>
      </c>
      <c r="O1995" s="2" t="str">
        <f>VLOOKUP(OrganizedData[[#This Row],[Product Code]],ProductData[[Code]:[Item]],2,FALSE)</f>
        <v>Megawidget M</v>
      </c>
      <c r="P1995" s="4">
        <f>OrganizedData[[#This Row],[Quantity]]*VLOOKUP(OrganizedData[[#This Row],[Product Code]],ProductData[],4,FALSE)</f>
        <v>1656</v>
      </c>
      <c r="Q1995" s="6">
        <f>OrganizedData[[#This Row],[Total Items Ordered]]*VLOOKUP(OrganizedData[[#This Row],[Product Code]],ProductData[],3,FALSE)</f>
        <v>2136.2400000000002</v>
      </c>
      <c r="R19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2029.4280000000001</v>
      </c>
    </row>
    <row r="1996" spans="1:18" x14ac:dyDescent="0.3">
      <c r="A1996" s="2">
        <v>1989</v>
      </c>
      <c r="B1996" s="2" t="s">
        <v>5673</v>
      </c>
      <c r="C1996" s="2" t="s">
        <v>5674</v>
      </c>
      <c r="D1996" s="2" t="s">
        <v>51</v>
      </c>
      <c r="E1996" s="2" t="s">
        <v>16</v>
      </c>
      <c r="F1996" s="2">
        <v>90</v>
      </c>
      <c r="G1996" s="2" t="s">
        <v>5675</v>
      </c>
      <c r="H1996" s="2" t="s">
        <v>970</v>
      </c>
      <c r="I1996" s="2" t="s">
        <v>187</v>
      </c>
      <c r="J1996" s="3">
        <v>44868</v>
      </c>
      <c r="K1996" s="5">
        <f>YEAR(OrganizedData[[#This Row],[Order Date]])</f>
        <v>2022</v>
      </c>
      <c r="L1996" s="7" t="str">
        <f>TEXT(OrganizedData[[#This Row],[Order Date]],"mmm")</f>
        <v>Nov</v>
      </c>
      <c r="M1996" s="2">
        <v>2</v>
      </c>
      <c r="N1996" s="2" t="s">
        <v>159</v>
      </c>
      <c r="O1996" s="2" t="str">
        <f>VLOOKUP(OrganizedData[[#This Row],[Product Code]],ProductData[[Code]:[Item]],2,FALSE)</f>
        <v>Ultrathing V3</v>
      </c>
      <c r="P1996" s="4">
        <f>OrganizedData[[#This Row],[Quantity]]*VLOOKUP(OrganizedData[[#This Row],[Product Code]],ProductData[],4,FALSE)</f>
        <v>48</v>
      </c>
      <c r="Q1996" s="6">
        <f>OrganizedData[[#This Row],[Total Items Ordered]]*VLOOKUP(OrganizedData[[#This Row],[Product Code]],ProductData[],3,FALSE)</f>
        <v>162.72</v>
      </c>
      <c r="R19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162.72</v>
      </c>
    </row>
    <row r="1997" spans="1:18" x14ac:dyDescent="0.3">
      <c r="A1997" s="2">
        <v>1990</v>
      </c>
      <c r="B1997" s="2" t="s">
        <v>5676</v>
      </c>
      <c r="C1997" s="2" t="s">
        <v>5677</v>
      </c>
      <c r="D1997" s="2" t="s">
        <v>51</v>
      </c>
      <c r="E1997" s="2" t="s">
        <v>16</v>
      </c>
      <c r="F1997" s="2">
        <v>60</v>
      </c>
      <c r="G1997" s="2" t="s">
        <v>5678</v>
      </c>
      <c r="H1997" s="2" t="s">
        <v>2305</v>
      </c>
      <c r="I1997" s="2" t="s">
        <v>25</v>
      </c>
      <c r="J1997" s="3">
        <v>44410</v>
      </c>
      <c r="K1997" s="5">
        <f>YEAR(OrganizedData[[#This Row],[Order Date]])</f>
        <v>2021</v>
      </c>
      <c r="L1997" s="7" t="str">
        <f>TEXT(OrganizedData[[#This Row],[Order Date]],"mmm")</f>
        <v>Aug</v>
      </c>
      <c r="M1997" s="2">
        <v>91</v>
      </c>
      <c r="N1997" s="2" t="s">
        <v>80</v>
      </c>
      <c r="O1997" s="2" t="str">
        <f>VLOOKUP(OrganizedData[[#This Row],[Product Code]],ProductData[[Code]:[Item]],2,FALSE)</f>
        <v>Ultrathing V2</v>
      </c>
      <c r="P1997" s="4">
        <f>OrganizedData[[#This Row],[Quantity]]*VLOOKUP(OrganizedData[[#This Row],[Product Code]],ProductData[],4,FALSE)</f>
        <v>1820</v>
      </c>
      <c r="Q1997" s="6">
        <f>OrganizedData[[#This Row],[Total Items Ordered]]*VLOOKUP(OrganizedData[[#This Row],[Product Code]],ProductData[],3,FALSE)</f>
        <v>5369</v>
      </c>
      <c r="R19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1998" spans="1:18" x14ac:dyDescent="0.3">
      <c r="A1998" s="2">
        <v>1991</v>
      </c>
      <c r="B1998" s="2" t="s">
        <v>155</v>
      </c>
      <c r="C1998" s="2" t="s">
        <v>3338</v>
      </c>
      <c r="D1998" s="2" t="s">
        <v>28</v>
      </c>
      <c r="E1998" s="2" t="s">
        <v>29</v>
      </c>
      <c r="F1998" s="2">
        <v>90</v>
      </c>
      <c r="G1998" s="2" t="s">
        <v>5679</v>
      </c>
      <c r="H1998" s="2" t="s">
        <v>957</v>
      </c>
      <c r="I1998" s="2" t="s">
        <v>95</v>
      </c>
      <c r="J1998" s="3">
        <v>44249</v>
      </c>
      <c r="K1998" s="5">
        <f>YEAR(OrganizedData[[#This Row],[Order Date]])</f>
        <v>2021</v>
      </c>
      <c r="L1998" s="7" t="str">
        <f>TEXT(OrganizedData[[#This Row],[Order Date]],"mmm")</f>
        <v>Feb</v>
      </c>
      <c r="M1998" s="2">
        <v>53</v>
      </c>
      <c r="N1998" s="2" t="s">
        <v>39</v>
      </c>
      <c r="O1998" s="2" t="str">
        <f>VLOOKUP(OrganizedData[[#This Row],[Product Code]],ProductData[[Code]:[Item]],2,FALSE)</f>
        <v>Ultrathing V1</v>
      </c>
      <c r="P1998" s="4">
        <f>OrganizedData[[#This Row],[Quantity]]*VLOOKUP(OrganizedData[[#This Row],[Product Code]],ProductData[],4,FALSE)</f>
        <v>901</v>
      </c>
      <c r="Q1998" s="6">
        <f>OrganizedData[[#This Row],[Total Items Ordered]]*VLOOKUP(OrganizedData[[#This Row],[Product Code]],ProductData[],3,FALSE)</f>
        <v>1612.79</v>
      </c>
      <c r="R19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1532.1505</v>
      </c>
    </row>
    <row r="1999" spans="1:18" x14ac:dyDescent="0.3">
      <c r="A1999" s="2">
        <v>1992</v>
      </c>
      <c r="B1999" s="2" t="s">
        <v>5680</v>
      </c>
      <c r="C1999" s="2" t="s">
        <v>921</v>
      </c>
      <c r="D1999" s="2" t="s">
        <v>621</v>
      </c>
      <c r="E1999" s="2" t="s">
        <v>29</v>
      </c>
      <c r="F1999" s="2">
        <v>30</v>
      </c>
      <c r="G1999" s="2" t="s">
        <v>10513</v>
      </c>
      <c r="H1999" s="2" t="s">
        <v>5682</v>
      </c>
      <c r="I1999" s="2" t="s">
        <v>173</v>
      </c>
      <c r="J1999" s="3">
        <v>43994</v>
      </c>
      <c r="K1999" s="5">
        <f>YEAR(OrganizedData[[#This Row],[Order Date]])</f>
        <v>2020</v>
      </c>
      <c r="L1999" s="7" t="str">
        <f>TEXT(OrganizedData[[#This Row],[Order Date]],"mmm")</f>
        <v>Jun</v>
      </c>
      <c r="M1999" s="2">
        <v>42</v>
      </c>
      <c r="N1999" s="2" t="s">
        <v>33</v>
      </c>
      <c r="O1999" s="2" t="str">
        <f>VLOOKUP(OrganizedData[[#This Row],[Product Code]],ProductData[[Code]:[Item]],2,FALSE)</f>
        <v>Megawidget L</v>
      </c>
      <c r="P1999" s="4">
        <f>OrganizedData[[#This Row],[Quantity]]*VLOOKUP(OrganizedData[[#This Row],[Product Code]],ProductData[],4,FALSE)</f>
        <v>1008</v>
      </c>
      <c r="Q1999" s="6">
        <f>OrganizedData[[#This Row],[Total Items Ordered]]*VLOOKUP(OrganizedData[[#This Row],[Product Code]],ProductData[],3,FALSE)</f>
        <v>1804.32</v>
      </c>
      <c r="R19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2000" spans="1:18" x14ac:dyDescent="0.3">
      <c r="A2000" s="2">
        <v>1993</v>
      </c>
      <c r="B2000" s="2" t="s">
        <v>5684</v>
      </c>
      <c r="C2000" s="2" t="s">
        <v>4469</v>
      </c>
      <c r="D2000" s="2" t="s">
        <v>41</v>
      </c>
      <c r="E2000" s="2" t="s">
        <v>16</v>
      </c>
      <c r="F2000" s="2">
        <v>60</v>
      </c>
      <c r="G2000" s="2" t="s">
        <v>5685</v>
      </c>
      <c r="H2000" s="2" t="s">
        <v>5686</v>
      </c>
      <c r="I2000" s="2" t="s">
        <v>32</v>
      </c>
      <c r="J2000" s="3">
        <v>44113</v>
      </c>
      <c r="K2000" s="5">
        <f>YEAR(OrganizedData[[#This Row],[Order Date]])</f>
        <v>2020</v>
      </c>
      <c r="L2000" s="7" t="str">
        <f>TEXT(OrganizedData[[#This Row],[Order Date]],"mmm")</f>
        <v>Oct</v>
      </c>
      <c r="M2000" s="2">
        <v>6</v>
      </c>
      <c r="N2000" s="2" t="s">
        <v>159</v>
      </c>
      <c r="O2000" s="2" t="str">
        <f>VLOOKUP(OrganizedData[[#This Row],[Product Code]],ProductData[[Code]:[Item]],2,FALSE)</f>
        <v>Ultrathing V3</v>
      </c>
      <c r="P2000" s="4">
        <f>OrganizedData[[#This Row],[Quantity]]*VLOOKUP(OrganizedData[[#This Row],[Product Code]],ProductData[],4,FALSE)</f>
        <v>144</v>
      </c>
      <c r="Q2000" s="6">
        <f>OrganizedData[[#This Row],[Total Items Ordered]]*VLOOKUP(OrganizedData[[#This Row],[Product Code]],ProductData[],3,FALSE)</f>
        <v>488.16</v>
      </c>
      <c r="R20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488.16</v>
      </c>
    </row>
    <row r="2001" spans="1:18" x14ac:dyDescent="0.3">
      <c r="A2001" s="2">
        <v>1994</v>
      </c>
      <c r="B2001" s="2" t="s">
        <v>5687</v>
      </c>
      <c r="C2001" s="2" t="s">
        <v>1840</v>
      </c>
      <c r="D2001" s="2" t="s">
        <v>51</v>
      </c>
      <c r="E2001" s="2" t="s">
        <v>16</v>
      </c>
      <c r="F2001" s="2">
        <v>30</v>
      </c>
      <c r="G2001" s="2" t="s">
        <v>5688</v>
      </c>
      <c r="H2001" s="2" t="s">
        <v>244</v>
      </c>
      <c r="I2001" s="2" t="s">
        <v>240</v>
      </c>
      <c r="J2001" s="3">
        <v>43886</v>
      </c>
      <c r="K2001" s="5">
        <f>YEAR(OrganizedData[[#This Row],[Order Date]])</f>
        <v>2020</v>
      </c>
      <c r="L2001" s="7" t="str">
        <f>TEXT(OrganizedData[[#This Row],[Order Date]],"mmm")</f>
        <v>Feb</v>
      </c>
      <c r="M2001" s="2">
        <v>79</v>
      </c>
      <c r="N2001" s="2" t="s">
        <v>39</v>
      </c>
      <c r="O2001" s="2" t="str">
        <f>VLOOKUP(OrganizedData[[#This Row],[Product Code]],ProductData[[Code]:[Item]],2,FALSE)</f>
        <v>Ultrathing V1</v>
      </c>
      <c r="P2001" s="4">
        <f>OrganizedData[[#This Row],[Quantity]]*VLOOKUP(OrganizedData[[#This Row],[Product Code]],ProductData[],4,FALSE)</f>
        <v>1343</v>
      </c>
      <c r="Q2001" s="6">
        <f>OrganizedData[[#This Row],[Total Items Ordered]]*VLOOKUP(OrganizedData[[#This Row],[Product Code]],ProductData[],3,FALSE)</f>
        <v>2403.9700000000003</v>
      </c>
      <c r="R20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2283.7715000000003</v>
      </c>
    </row>
    <row r="2002" spans="1:18" x14ac:dyDescent="0.3">
      <c r="A2002" s="2">
        <v>1995</v>
      </c>
      <c r="B2002" s="2" t="s">
        <v>2731</v>
      </c>
      <c r="C2002" s="2" t="s">
        <v>5689</v>
      </c>
      <c r="D2002" s="2" t="s">
        <v>28</v>
      </c>
      <c r="E2002" s="2" t="s">
        <v>29</v>
      </c>
      <c r="F2002" s="2">
        <v>30</v>
      </c>
      <c r="G2002" s="2" t="s">
        <v>5690</v>
      </c>
      <c r="H2002" s="2" t="s">
        <v>3387</v>
      </c>
      <c r="I2002" s="2" t="s">
        <v>2878</v>
      </c>
      <c r="J2002" s="3">
        <v>44817</v>
      </c>
      <c r="K2002" s="5">
        <f>YEAR(OrganizedData[[#This Row],[Order Date]])</f>
        <v>2022</v>
      </c>
      <c r="L2002" s="7" t="str">
        <f>TEXT(OrganizedData[[#This Row],[Order Date]],"mmm")</f>
        <v>Sep</v>
      </c>
      <c r="M2002" s="2">
        <v>71</v>
      </c>
      <c r="N2002" s="2" t="s">
        <v>33</v>
      </c>
      <c r="O2002" s="2" t="str">
        <f>VLOOKUP(OrganizedData[[#This Row],[Product Code]],ProductData[[Code]:[Item]],2,FALSE)</f>
        <v>Megawidget L</v>
      </c>
      <c r="P2002" s="4">
        <f>OrganizedData[[#This Row],[Quantity]]*VLOOKUP(OrganizedData[[#This Row],[Product Code]],ProductData[],4,FALSE)</f>
        <v>1704</v>
      </c>
      <c r="Q2002" s="6">
        <f>OrganizedData[[#This Row],[Total Items Ordered]]*VLOOKUP(OrganizedData[[#This Row],[Product Code]],ProductData[],3,FALSE)</f>
        <v>3050.16</v>
      </c>
      <c r="R20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2003" spans="1:18" x14ac:dyDescent="0.3">
      <c r="A2003" s="2">
        <v>1996</v>
      </c>
      <c r="B2003" s="2" t="s">
        <v>151</v>
      </c>
      <c r="C2003" s="2" t="s">
        <v>1806</v>
      </c>
      <c r="D2003" s="2" t="s">
        <v>15</v>
      </c>
      <c r="E2003" s="2" t="s">
        <v>16</v>
      </c>
      <c r="F2003" s="2">
        <v>30</v>
      </c>
      <c r="G2003" s="2" t="s">
        <v>5691</v>
      </c>
      <c r="H2003" s="2" t="s">
        <v>4899</v>
      </c>
      <c r="I2003" s="2" t="s">
        <v>100</v>
      </c>
      <c r="J2003" s="3">
        <v>44182</v>
      </c>
      <c r="K2003" s="5">
        <f>YEAR(OrganizedData[[#This Row],[Order Date]])</f>
        <v>2020</v>
      </c>
      <c r="L2003" s="7" t="str">
        <f>TEXT(OrganizedData[[#This Row],[Order Date]],"mmm")</f>
        <v>Dec</v>
      </c>
      <c r="M2003" s="2">
        <v>25</v>
      </c>
      <c r="N2003" s="2" t="s">
        <v>64</v>
      </c>
      <c r="O2003" s="2" t="str">
        <f>VLOOKUP(OrganizedData[[#This Row],[Product Code]],ProductData[[Code]:[Item]],2,FALSE)</f>
        <v>Ultrathing V4</v>
      </c>
      <c r="P2003" s="4">
        <f>OrganizedData[[#This Row],[Quantity]]*VLOOKUP(OrganizedData[[#This Row],[Product Code]],ProductData[],4,FALSE)</f>
        <v>600</v>
      </c>
      <c r="Q2003" s="6">
        <f>OrganizedData[[#This Row],[Total Items Ordered]]*VLOOKUP(OrganizedData[[#This Row],[Product Code]],ProductData[],3,FALSE)</f>
        <v>2394</v>
      </c>
      <c r="R20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2322.1799999999998</v>
      </c>
    </row>
    <row r="2004" spans="1:18" x14ac:dyDescent="0.3">
      <c r="A2004" s="2">
        <v>1997</v>
      </c>
      <c r="B2004" s="2" t="s">
        <v>5205</v>
      </c>
      <c r="C2004" s="2" t="s">
        <v>3513</v>
      </c>
      <c r="D2004" s="2" t="s">
        <v>15</v>
      </c>
      <c r="E2004" s="2" t="s">
        <v>16</v>
      </c>
      <c r="F2004" s="2">
        <v>60</v>
      </c>
      <c r="G2004" s="2" t="s">
        <v>5692</v>
      </c>
      <c r="H2004" s="2" t="s">
        <v>436</v>
      </c>
      <c r="I2004" s="2" t="s">
        <v>32</v>
      </c>
      <c r="J2004" s="3">
        <v>44375</v>
      </c>
      <c r="K2004" s="5">
        <f>YEAR(OrganizedData[[#This Row],[Order Date]])</f>
        <v>2021</v>
      </c>
      <c r="L2004" s="7" t="str">
        <f>TEXT(OrganizedData[[#This Row],[Order Date]],"mmm")</f>
        <v>Jun</v>
      </c>
      <c r="M2004" s="2">
        <v>59</v>
      </c>
      <c r="N2004" s="2" t="s">
        <v>101</v>
      </c>
      <c r="O2004" s="2" t="str">
        <f>VLOOKUP(OrganizedData[[#This Row],[Product Code]],ProductData[[Code]:[Item]],2,FALSE)</f>
        <v>Superwossname</v>
      </c>
      <c r="P2004" s="4">
        <f>OrganizedData[[#This Row],[Quantity]]*VLOOKUP(OrganizedData[[#This Row],[Product Code]],ProductData[],4,FALSE)</f>
        <v>1180</v>
      </c>
      <c r="Q2004" s="6">
        <f>OrganizedData[[#This Row],[Total Items Ordered]]*VLOOKUP(OrganizedData[[#This Row],[Product Code]],ProductData[],3,FALSE)</f>
        <v>4118.2</v>
      </c>
      <c r="R20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3912.2899999999995</v>
      </c>
    </row>
    <row r="2005" spans="1:18" x14ac:dyDescent="0.3">
      <c r="A2005" s="2">
        <v>1998</v>
      </c>
      <c r="B2005" s="2" t="s">
        <v>5693</v>
      </c>
      <c r="C2005" s="2" t="s">
        <v>1428</v>
      </c>
      <c r="D2005" s="2" t="s">
        <v>28</v>
      </c>
      <c r="E2005" s="2" t="s">
        <v>29</v>
      </c>
      <c r="F2005" s="2">
        <v>90</v>
      </c>
      <c r="G2005" s="2" t="s">
        <v>5694</v>
      </c>
      <c r="H2005" s="2" t="s">
        <v>2183</v>
      </c>
      <c r="I2005" s="2" t="s">
        <v>124</v>
      </c>
      <c r="J2005" s="3">
        <v>44211</v>
      </c>
      <c r="K2005" s="5">
        <f>YEAR(OrganizedData[[#This Row],[Order Date]])</f>
        <v>2021</v>
      </c>
      <c r="L2005" s="7" t="str">
        <f>TEXT(OrganizedData[[#This Row],[Order Date]],"mmm")</f>
        <v>Jan</v>
      </c>
      <c r="M2005" s="2">
        <v>93</v>
      </c>
      <c r="N2005" s="2" t="s">
        <v>64</v>
      </c>
      <c r="O2005" s="2" t="str">
        <f>VLOOKUP(OrganizedData[[#This Row],[Product Code]],ProductData[[Code]:[Item]],2,FALSE)</f>
        <v>Ultrathing V4</v>
      </c>
      <c r="P2005" s="4">
        <f>OrganizedData[[#This Row],[Quantity]]*VLOOKUP(OrganizedData[[#This Row],[Product Code]],ProductData[],4,FALSE)</f>
        <v>2232</v>
      </c>
      <c r="Q2005" s="6">
        <f>OrganizedData[[#This Row],[Total Items Ordered]]*VLOOKUP(OrganizedData[[#This Row],[Product Code]],ProductData[],3,FALSE)</f>
        <v>8905.68</v>
      </c>
      <c r="R20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8460.3960000000006</v>
      </c>
    </row>
    <row r="2006" spans="1:18" x14ac:dyDescent="0.3">
      <c r="A2006" s="2">
        <v>1999</v>
      </c>
      <c r="B2006" s="2" t="s">
        <v>5695</v>
      </c>
      <c r="C2006" s="2" t="s">
        <v>3913</v>
      </c>
      <c r="D2006" s="2" t="s">
        <v>28</v>
      </c>
      <c r="E2006" s="2" t="s">
        <v>29</v>
      </c>
      <c r="F2006" s="2">
        <v>60</v>
      </c>
      <c r="G2006" s="2" t="s">
        <v>5696</v>
      </c>
      <c r="H2006" s="2" t="s">
        <v>2190</v>
      </c>
      <c r="I2006" s="2" t="s">
        <v>32</v>
      </c>
      <c r="J2006" s="3">
        <v>44019</v>
      </c>
      <c r="K2006" s="5">
        <f>YEAR(OrganizedData[[#This Row],[Order Date]])</f>
        <v>2020</v>
      </c>
      <c r="L2006" s="7" t="str">
        <f>TEXT(OrganizedData[[#This Row],[Order Date]],"mmm")</f>
        <v>Jul</v>
      </c>
      <c r="M2006" s="2">
        <v>46</v>
      </c>
      <c r="N2006" s="2" t="s">
        <v>39</v>
      </c>
      <c r="O2006" s="2" t="str">
        <f>VLOOKUP(OrganizedData[[#This Row],[Product Code]],ProductData[[Code]:[Item]],2,FALSE)</f>
        <v>Ultrathing V1</v>
      </c>
      <c r="P2006" s="4">
        <f>OrganizedData[[#This Row],[Quantity]]*VLOOKUP(OrganizedData[[#This Row],[Product Code]],ProductData[],4,FALSE)</f>
        <v>782</v>
      </c>
      <c r="Q2006" s="6">
        <f>OrganizedData[[#This Row],[Total Items Ordered]]*VLOOKUP(OrganizedData[[#This Row],[Product Code]],ProductData[],3,FALSE)</f>
        <v>1399.78</v>
      </c>
      <c r="R20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2007" spans="1:18" x14ac:dyDescent="0.3">
      <c r="A2007" s="2">
        <v>2000</v>
      </c>
      <c r="B2007" s="2" t="s">
        <v>2665</v>
      </c>
      <c r="C2007" s="2" t="s">
        <v>3243</v>
      </c>
      <c r="D2007" s="2" t="s">
        <v>28</v>
      </c>
      <c r="E2007" s="2" t="s">
        <v>29</v>
      </c>
      <c r="F2007" s="2">
        <v>90</v>
      </c>
      <c r="G2007" s="2" t="s">
        <v>5697</v>
      </c>
      <c r="H2007" s="2" t="s">
        <v>993</v>
      </c>
      <c r="I2007" s="2" t="s">
        <v>32</v>
      </c>
      <c r="J2007" s="3">
        <v>44740</v>
      </c>
      <c r="K2007" s="5">
        <f>YEAR(OrganizedData[[#This Row],[Order Date]])</f>
        <v>2022</v>
      </c>
      <c r="L2007" s="7" t="str">
        <f>TEXT(OrganizedData[[#This Row],[Order Date]],"mmm")</f>
        <v>Jun</v>
      </c>
      <c r="M2007" s="2">
        <v>81</v>
      </c>
      <c r="N2007" s="2" t="s">
        <v>64</v>
      </c>
      <c r="O2007" s="2" t="str">
        <f>VLOOKUP(OrganizedData[[#This Row],[Product Code]],ProductData[[Code]:[Item]],2,FALSE)</f>
        <v>Ultrathing V4</v>
      </c>
      <c r="P2007" s="4">
        <f>OrganizedData[[#This Row],[Quantity]]*VLOOKUP(OrganizedData[[#This Row],[Product Code]],ProductData[],4,FALSE)</f>
        <v>1944</v>
      </c>
      <c r="Q2007" s="6">
        <f>OrganizedData[[#This Row],[Total Items Ordered]]*VLOOKUP(OrganizedData[[#This Row],[Product Code]],ProductData[],3,FALSE)</f>
        <v>7756.56</v>
      </c>
      <c r="R20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7368.732</v>
      </c>
    </row>
    <row r="2008" spans="1:18" x14ac:dyDescent="0.3">
      <c r="A2008" s="2">
        <v>2001</v>
      </c>
      <c r="B2008" s="2" t="s">
        <v>5698</v>
      </c>
      <c r="C2008" s="2" t="s">
        <v>5699</v>
      </c>
      <c r="D2008" s="2" t="s">
        <v>51</v>
      </c>
      <c r="E2008" s="2" t="s">
        <v>16</v>
      </c>
      <c r="F2008" s="2">
        <v>90</v>
      </c>
      <c r="G2008" s="2" t="s">
        <v>5700</v>
      </c>
      <c r="H2008" s="2" t="s">
        <v>4860</v>
      </c>
      <c r="I2008" s="2" t="s">
        <v>32</v>
      </c>
      <c r="J2008" s="3">
        <v>44355</v>
      </c>
      <c r="K2008" s="5">
        <f>YEAR(OrganizedData[[#This Row],[Order Date]])</f>
        <v>2021</v>
      </c>
      <c r="L2008" s="7" t="str">
        <f>TEXT(OrganizedData[[#This Row],[Order Date]],"mmm")</f>
        <v>Jun</v>
      </c>
      <c r="M2008" s="2">
        <v>69</v>
      </c>
      <c r="N2008" s="2" t="s">
        <v>39</v>
      </c>
      <c r="O2008" s="2" t="str">
        <f>VLOOKUP(OrganizedData[[#This Row],[Product Code]],ProductData[[Code]:[Item]],2,FALSE)</f>
        <v>Ultrathing V1</v>
      </c>
      <c r="P2008" s="4">
        <f>OrganizedData[[#This Row],[Quantity]]*VLOOKUP(OrganizedData[[#This Row],[Product Code]],ProductData[],4,FALSE)</f>
        <v>1173</v>
      </c>
      <c r="Q2008" s="6">
        <f>OrganizedData[[#This Row],[Total Items Ordered]]*VLOOKUP(OrganizedData[[#This Row],[Product Code]],ProductData[],3,FALSE)</f>
        <v>2099.67</v>
      </c>
      <c r="R20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2009" spans="1:18" x14ac:dyDescent="0.3">
      <c r="A2009" s="2">
        <v>2002</v>
      </c>
      <c r="B2009" s="2" t="s">
        <v>2866</v>
      </c>
      <c r="C2009" s="2" t="s">
        <v>601</v>
      </c>
      <c r="D2009" s="2" t="s">
        <v>28</v>
      </c>
      <c r="E2009" s="2" t="s">
        <v>29</v>
      </c>
      <c r="F2009" s="2">
        <v>90</v>
      </c>
      <c r="G2009" s="2" t="s">
        <v>10514</v>
      </c>
      <c r="H2009" s="2" t="s">
        <v>3206</v>
      </c>
      <c r="I2009" s="2" t="s">
        <v>1199</v>
      </c>
      <c r="J2009" s="3">
        <v>44212</v>
      </c>
      <c r="K2009" s="5">
        <f>YEAR(OrganizedData[[#This Row],[Order Date]])</f>
        <v>2021</v>
      </c>
      <c r="L2009" s="7" t="str">
        <f>TEXT(OrganizedData[[#This Row],[Order Date]],"mmm")</f>
        <v>Jan</v>
      </c>
      <c r="M2009" s="2">
        <v>34</v>
      </c>
      <c r="N2009" s="2" t="s">
        <v>64</v>
      </c>
      <c r="O2009" s="2" t="str">
        <f>VLOOKUP(OrganizedData[[#This Row],[Product Code]],ProductData[[Code]:[Item]],2,FALSE)</f>
        <v>Ultrathing V4</v>
      </c>
      <c r="P2009" s="4">
        <f>OrganizedData[[#This Row],[Quantity]]*VLOOKUP(OrganizedData[[#This Row],[Product Code]],ProductData[],4,FALSE)</f>
        <v>816</v>
      </c>
      <c r="Q2009" s="6">
        <f>OrganizedData[[#This Row],[Total Items Ordered]]*VLOOKUP(OrganizedData[[#This Row],[Product Code]],ProductData[],3,FALSE)</f>
        <v>3255.84</v>
      </c>
      <c r="R20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2010" spans="1:18" x14ac:dyDescent="0.3">
      <c r="A2010" s="2">
        <v>2003</v>
      </c>
      <c r="B2010" s="2" t="s">
        <v>5702</v>
      </c>
      <c r="C2010" s="2" t="s">
        <v>5703</v>
      </c>
      <c r="D2010" s="2" t="s">
        <v>28</v>
      </c>
      <c r="E2010" s="2" t="s">
        <v>29</v>
      </c>
      <c r="F2010" s="2">
        <v>60</v>
      </c>
      <c r="G2010" s="2" t="s">
        <v>5704</v>
      </c>
      <c r="H2010" s="2" t="s">
        <v>2236</v>
      </c>
      <c r="I2010" s="2" t="s">
        <v>2237</v>
      </c>
      <c r="J2010" s="3">
        <v>44743</v>
      </c>
      <c r="K2010" s="5">
        <f>YEAR(OrganizedData[[#This Row],[Order Date]])</f>
        <v>2022</v>
      </c>
      <c r="L2010" s="7" t="str">
        <f>TEXT(OrganizedData[[#This Row],[Order Date]],"mmm")</f>
        <v>Jul</v>
      </c>
      <c r="M2010" s="2">
        <v>21</v>
      </c>
      <c r="N2010" s="2" t="s">
        <v>20</v>
      </c>
      <c r="O2010" s="2" t="str">
        <f>VLOOKUP(OrganizedData[[#This Row],[Product Code]],ProductData[[Code]:[Item]],2,FALSE)</f>
        <v>Hyperwotsit</v>
      </c>
      <c r="P2010" s="4">
        <f>OrganizedData[[#This Row],[Quantity]]*VLOOKUP(OrganizedData[[#This Row],[Product Code]],ProductData[],4,FALSE)</f>
        <v>420</v>
      </c>
      <c r="Q2010" s="6">
        <f>OrganizedData[[#This Row],[Total Items Ordered]]*VLOOKUP(OrganizedData[[#This Row],[Product Code]],ProductData[],3,FALSE)</f>
        <v>844.19999999999993</v>
      </c>
      <c r="R20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818.87399999999991</v>
      </c>
    </row>
    <row r="2011" spans="1:18" x14ac:dyDescent="0.3">
      <c r="A2011" s="2">
        <v>2004</v>
      </c>
      <c r="B2011" s="2" t="s">
        <v>3374</v>
      </c>
      <c r="C2011" s="2" t="s">
        <v>3201</v>
      </c>
      <c r="D2011" s="2" t="s">
        <v>51</v>
      </c>
      <c r="E2011" s="2" t="s">
        <v>16</v>
      </c>
      <c r="F2011" s="2">
        <v>90</v>
      </c>
      <c r="G2011" s="2" t="s">
        <v>5705</v>
      </c>
      <c r="H2011" s="2" t="s">
        <v>5706</v>
      </c>
      <c r="I2011" s="2" t="s">
        <v>32</v>
      </c>
      <c r="J2011" s="3">
        <v>44636</v>
      </c>
      <c r="K2011" s="5">
        <f>YEAR(OrganizedData[[#This Row],[Order Date]])</f>
        <v>2022</v>
      </c>
      <c r="L2011" s="7" t="str">
        <f>TEXT(OrganizedData[[#This Row],[Order Date]],"mmm")</f>
        <v>Mar</v>
      </c>
      <c r="M2011" s="2">
        <v>22</v>
      </c>
      <c r="N2011" s="2" t="s">
        <v>54</v>
      </c>
      <c r="O2011" s="2" t="str">
        <f>VLOOKUP(OrganizedData[[#This Row],[Product Code]],ProductData[[Code]:[Item]],2,FALSE)</f>
        <v>Megawidget S</v>
      </c>
      <c r="P2011" s="4">
        <f>OrganizedData[[#This Row],[Quantity]]*VLOOKUP(OrganizedData[[#This Row],[Product Code]],ProductData[],4,FALSE)</f>
        <v>528</v>
      </c>
      <c r="Q2011" s="6">
        <f>OrganizedData[[#This Row],[Total Items Ordered]]*VLOOKUP(OrganizedData[[#This Row],[Product Code]],ProductData[],3,FALSE)</f>
        <v>364.32</v>
      </c>
      <c r="R20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353.3904</v>
      </c>
    </row>
    <row r="2012" spans="1:18" x14ac:dyDescent="0.3">
      <c r="A2012" s="2">
        <v>2005</v>
      </c>
      <c r="B2012" s="2" t="s">
        <v>624</v>
      </c>
      <c r="C2012" s="2" t="s">
        <v>485</v>
      </c>
      <c r="D2012" s="2" t="s">
        <v>28</v>
      </c>
      <c r="E2012" s="2" t="s">
        <v>29</v>
      </c>
      <c r="F2012" s="2">
        <v>30</v>
      </c>
      <c r="G2012" s="2" t="s">
        <v>5707</v>
      </c>
      <c r="H2012" s="2" t="s">
        <v>2230</v>
      </c>
      <c r="I2012" s="2" t="s">
        <v>32</v>
      </c>
      <c r="J2012" s="3">
        <v>43849</v>
      </c>
      <c r="K2012" s="5">
        <f>YEAR(OrganizedData[[#This Row],[Order Date]])</f>
        <v>2020</v>
      </c>
      <c r="L2012" s="7" t="str">
        <f>TEXT(OrganizedData[[#This Row],[Order Date]],"mmm")</f>
        <v>Jan</v>
      </c>
      <c r="M2012" s="2">
        <v>11</v>
      </c>
      <c r="N2012" s="2" t="s">
        <v>159</v>
      </c>
      <c r="O2012" s="2" t="str">
        <f>VLOOKUP(OrganizedData[[#This Row],[Product Code]],ProductData[[Code]:[Item]],2,FALSE)</f>
        <v>Ultrathing V3</v>
      </c>
      <c r="P2012" s="4">
        <f>OrganizedData[[#This Row],[Quantity]]*VLOOKUP(OrganizedData[[#This Row],[Product Code]],ProductData[],4,FALSE)</f>
        <v>264</v>
      </c>
      <c r="Q2012" s="6">
        <f>OrganizedData[[#This Row],[Total Items Ordered]]*VLOOKUP(OrganizedData[[#This Row],[Product Code]],ProductData[],3,FALSE)</f>
        <v>894.96</v>
      </c>
      <c r="R20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2013" spans="1:18" x14ac:dyDescent="0.3">
      <c r="A2013" s="2">
        <v>2006</v>
      </c>
      <c r="B2013" s="2" t="s">
        <v>5708</v>
      </c>
      <c r="C2013" s="2" t="s">
        <v>3186</v>
      </c>
      <c r="D2013" s="2" t="s">
        <v>15</v>
      </c>
      <c r="E2013" s="2" t="s">
        <v>16</v>
      </c>
      <c r="F2013" s="2">
        <v>60</v>
      </c>
      <c r="G2013" s="2" t="s">
        <v>5709</v>
      </c>
      <c r="H2013" s="2" t="s">
        <v>302</v>
      </c>
      <c r="I2013" s="2" t="s">
        <v>303</v>
      </c>
      <c r="J2013" s="3">
        <v>44428</v>
      </c>
      <c r="K2013" s="5">
        <f>YEAR(OrganizedData[[#This Row],[Order Date]])</f>
        <v>2021</v>
      </c>
      <c r="L2013" s="7" t="str">
        <f>TEXT(OrganizedData[[#This Row],[Order Date]],"mmm")</f>
        <v>Aug</v>
      </c>
      <c r="M2013" s="2">
        <v>77</v>
      </c>
      <c r="N2013" s="2" t="s">
        <v>80</v>
      </c>
      <c r="O2013" s="2" t="str">
        <f>VLOOKUP(OrganizedData[[#This Row],[Product Code]],ProductData[[Code]:[Item]],2,FALSE)</f>
        <v>Ultrathing V2</v>
      </c>
      <c r="P2013" s="4">
        <f>OrganizedData[[#This Row],[Quantity]]*VLOOKUP(OrganizedData[[#This Row],[Product Code]],ProductData[],4,FALSE)</f>
        <v>1540</v>
      </c>
      <c r="Q2013" s="6">
        <f>OrganizedData[[#This Row],[Total Items Ordered]]*VLOOKUP(OrganizedData[[#This Row],[Product Code]],ProductData[],3,FALSE)</f>
        <v>4543</v>
      </c>
      <c r="R20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4315.8499999999995</v>
      </c>
    </row>
    <row r="2014" spans="1:18" x14ac:dyDescent="0.3">
      <c r="A2014" s="2">
        <v>2007</v>
      </c>
      <c r="B2014" s="2" t="s">
        <v>2802</v>
      </c>
      <c r="C2014" s="2" t="s">
        <v>3738</v>
      </c>
      <c r="D2014" s="2" t="s">
        <v>51</v>
      </c>
      <c r="E2014" s="2" t="s">
        <v>16</v>
      </c>
      <c r="F2014" s="2">
        <v>30</v>
      </c>
      <c r="G2014" s="2" t="s">
        <v>5710</v>
      </c>
      <c r="H2014" s="2" t="s">
        <v>5711</v>
      </c>
      <c r="I2014" s="2" t="s">
        <v>25</v>
      </c>
      <c r="J2014" s="3">
        <v>44462</v>
      </c>
      <c r="K2014" s="5">
        <f>YEAR(OrganizedData[[#This Row],[Order Date]])</f>
        <v>2021</v>
      </c>
      <c r="L2014" s="7" t="str">
        <f>TEXT(OrganizedData[[#This Row],[Order Date]],"mmm")</f>
        <v>Sep</v>
      </c>
      <c r="M2014" s="2">
        <v>52</v>
      </c>
      <c r="N2014" s="2" t="s">
        <v>70</v>
      </c>
      <c r="O2014" s="2" t="str">
        <f>VLOOKUP(OrganizedData[[#This Row],[Product Code]],ProductData[[Code]:[Item]],2,FALSE)</f>
        <v>Megawidget M</v>
      </c>
      <c r="P2014" s="4">
        <f>OrganizedData[[#This Row],[Quantity]]*VLOOKUP(OrganizedData[[#This Row],[Product Code]],ProductData[],4,FALSE)</f>
        <v>1248</v>
      </c>
      <c r="Q2014" s="6">
        <f>OrganizedData[[#This Row],[Total Items Ordered]]*VLOOKUP(OrganizedData[[#This Row],[Product Code]],ProductData[],3,FALSE)</f>
        <v>1609.92</v>
      </c>
      <c r="R20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1529.424</v>
      </c>
    </row>
    <row r="2015" spans="1:18" x14ac:dyDescent="0.3">
      <c r="A2015" s="2">
        <v>2008</v>
      </c>
      <c r="B2015" s="2" t="s">
        <v>4686</v>
      </c>
      <c r="C2015" s="2" t="s">
        <v>5712</v>
      </c>
      <c r="D2015" s="2" t="s">
        <v>15</v>
      </c>
      <c r="E2015" s="2" t="s">
        <v>16</v>
      </c>
      <c r="F2015" s="2">
        <v>60</v>
      </c>
      <c r="G2015" s="2" t="s">
        <v>5713</v>
      </c>
      <c r="H2015" s="2" t="s">
        <v>5714</v>
      </c>
      <c r="I2015" s="2" t="s">
        <v>187</v>
      </c>
      <c r="J2015" s="3">
        <v>44229</v>
      </c>
      <c r="K2015" s="5">
        <f>YEAR(OrganizedData[[#This Row],[Order Date]])</f>
        <v>2021</v>
      </c>
      <c r="L2015" s="7" t="str">
        <f>TEXT(OrganizedData[[#This Row],[Order Date]],"mmm")</f>
        <v>Feb</v>
      </c>
      <c r="M2015" s="2">
        <v>25</v>
      </c>
      <c r="N2015" s="2" t="s">
        <v>20</v>
      </c>
      <c r="O2015" s="2" t="str">
        <f>VLOOKUP(OrganizedData[[#This Row],[Product Code]],ProductData[[Code]:[Item]],2,FALSE)</f>
        <v>Hyperwotsit</v>
      </c>
      <c r="P2015" s="4">
        <f>OrganizedData[[#This Row],[Quantity]]*VLOOKUP(OrganizedData[[#This Row],[Product Code]],ProductData[],4,FALSE)</f>
        <v>500</v>
      </c>
      <c r="Q2015" s="6">
        <f>OrganizedData[[#This Row],[Total Items Ordered]]*VLOOKUP(OrganizedData[[#This Row],[Product Code]],ProductData[],3,FALSE)</f>
        <v>1004.9999999999999</v>
      </c>
      <c r="R20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2016" spans="1:18" x14ac:dyDescent="0.3">
      <c r="A2016" s="2">
        <v>2009</v>
      </c>
      <c r="B2016" s="2" t="s">
        <v>5715</v>
      </c>
      <c r="C2016" s="2" t="s">
        <v>5716</v>
      </c>
      <c r="D2016" s="2" t="s">
        <v>28</v>
      </c>
      <c r="E2016" s="2" t="s">
        <v>29</v>
      </c>
      <c r="F2016" s="2">
        <v>30</v>
      </c>
      <c r="G2016" s="2" t="s">
        <v>5717</v>
      </c>
      <c r="H2016" s="2" t="s">
        <v>5718</v>
      </c>
      <c r="I2016" s="2" t="s">
        <v>294</v>
      </c>
      <c r="J2016" s="3">
        <v>44404</v>
      </c>
      <c r="K2016" s="5">
        <f>YEAR(OrganizedData[[#This Row],[Order Date]])</f>
        <v>2021</v>
      </c>
      <c r="L2016" s="7" t="str">
        <f>TEXT(OrganizedData[[#This Row],[Order Date]],"mmm")</f>
        <v>Jul</v>
      </c>
      <c r="M2016" s="2">
        <v>57</v>
      </c>
      <c r="N2016" s="2" t="s">
        <v>159</v>
      </c>
      <c r="O2016" s="2" t="str">
        <f>VLOOKUP(OrganizedData[[#This Row],[Product Code]],ProductData[[Code]:[Item]],2,FALSE)</f>
        <v>Ultrathing V3</v>
      </c>
      <c r="P2016" s="4">
        <f>OrganizedData[[#This Row],[Quantity]]*VLOOKUP(OrganizedData[[#This Row],[Product Code]],ProductData[],4,FALSE)</f>
        <v>1368</v>
      </c>
      <c r="Q2016" s="6">
        <f>OrganizedData[[#This Row],[Total Items Ordered]]*VLOOKUP(OrganizedData[[#This Row],[Product Code]],ProductData[],3,FALSE)</f>
        <v>4637.5200000000004</v>
      </c>
      <c r="R20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4405.6440000000002</v>
      </c>
    </row>
    <row r="2017" spans="1:18" x14ac:dyDescent="0.3">
      <c r="A2017" s="2">
        <v>2010</v>
      </c>
      <c r="B2017" s="2" t="s">
        <v>5719</v>
      </c>
      <c r="C2017" s="2" t="s">
        <v>1116</v>
      </c>
      <c r="D2017" s="2" t="s">
        <v>51</v>
      </c>
      <c r="E2017" s="2" t="s">
        <v>16</v>
      </c>
      <c r="F2017" s="2">
        <v>60</v>
      </c>
      <c r="G2017" s="2" t="s">
        <v>5720</v>
      </c>
      <c r="H2017" s="2" t="s">
        <v>2021</v>
      </c>
      <c r="I2017" s="2" t="s">
        <v>2022</v>
      </c>
      <c r="J2017" s="3">
        <v>44446</v>
      </c>
      <c r="K2017" s="5">
        <f>YEAR(OrganizedData[[#This Row],[Order Date]])</f>
        <v>2021</v>
      </c>
      <c r="L2017" s="7" t="str">
        <f>TEXT(OrganizedData[[#This Row],[Order Date]],"mmm")</f>
        <v>Sep</v>
      </c>
      <c r="M2017" s="2">
        <v>88</v>
      </c>
      <c r="N2017" s="2" t="s">
        <v>20</v>
      </c>
      <c r="O2017" s="2" t="str">
        <f>VLOOKUP(OrganizedData[[#This Row],[Product Code]],ProductData[[Code]:[Item]],2,FALSE)</f>
        <v>Hyperwotsit</v>
      </c>
      <c r="P2017" s="4">
        <f>OrganizedData[[#This Row],[Quantity]]*VLOOKUP(OrganizedData[[#This Row],[Product Code]],ProductData[],4,FALSE)</f>
        <v>1760</v>
      </c>
      <c r="Q2017" s="6">
        <f>OrganizedData[[#This Row],[Total Items Ordered]]*VLOOKUP(OrganizedData[[#This Row],[Product Code]],ProductData[],3,FALSE)</f>
        <v>3537.5999999999995</v>
      </c>
      <c r="R20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3360.7199999999993</v>
      </c>
    </row>
    <row r="2018" spans="1:18" x14ac:dyDescent="0.3">
      <c r="A2018" s="2">
        <v>2011</v>
      </c>
      <c r="B2018" s="2" t="s">
        <v>5721</v>
      </c>
      <c r="C2018" s="2" t="s">
        <v>5100</v>
      </c>
      <c r="D2018" s="2" t="s">
        <v>15</v>
      </c>
      <c r="E2018" s="2" t="s">
        <v>16</v>
      </c>
      <c r="F2018" s="2">
        <v>30</v>
      </c>
      <c r="G2018" s="2" t="s">
        <v>5722</v>
      </c>
      <c r="H2018" s="2" t="s">
        <v>5723</v>
      </c>
      <c r="I2018" s="2" t="s">
        <v>187</v>
      </c>
      <c r="J2018" s="3">
        <v>44923</v>
      </c>
      <c r="K2018" s="5">
        <f>YEAR(OrganizedData[[#This Row],[Order Date]])</f>
        <v>2022</v>
      </c>
      <c r="L2018" s="7" t="str">
        <f>TEXT(OrganizedData[[#This Row],[Order Date]],"mmm")</f>
        <v>Dec</v>
      </c>
      <c r="M2018" s="2">
        <v>90</v>
      </c>
      <c r="N2018" s="2" t="s">
        <v>70</v>
      </c>
      <c r="O2018" s="2" t="str">
        <f>VLOOKUP(OrganizedData[[#This Row],[Product Code]],ProductData[[Code]:[Item]],2,FALSE)</f>
        <v>Megawidget M</v>
      </c>
      <c r="P2018" s="4">
        <f>OrganizedData[[#This Row],[Quantity]]*VLOOKUP(OrganizedData[[#This Row],[Product Code]],ProductData[],4,FALSE)</f>
        <v>2160</v>
      </c>
      <c r="Q2018" s="6">
        <f>OrganizedData[[#This Row],[Total Items Ordered]]*VLOOKUP(OrganizedData[[#This Row],[Product Code]],ProductData[],3,FALSE)</f>
        <v>2786.4</v>
      </c>
      <c r="R20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2647.08</v>
      </c>
    </row>
    <row r="2019" spans="1:18" x14ac:dyDescent="0.3">
      <c r="A2019" s="2">
        <v>2012</v>
      </c>
      <c r="B2019" s="2" t="s">
        <v>3065</v>
      </c>
      <c r="C2019" s="2" t="s">
        <v>3389</v>
      </c>
      <c r="D2019" s="2" t="s">
        <v>28</v>
      </c>
      <c r="E2019" s="2" t="s">
        <v>29</v>
      </c>
      <c r="F2019" s="2">
        <v>90</v>
      </c>
      <c r="G2019" s="2" t="s">
        <v>5724</v>
      </c>
      <c r="H2019" s="2" t="s">
        <v>3437</v>
      </c>
      <c r="I2019" s="2" t="s">
        <v>100</v>
      </c>
      <c r="J2019" s="3">
        <v>44831</v>
      </c>
      <c r="K2019" s="5">
        <f>YEAR(OrganizedData[[#This Row],[Order Date]])</f>
        <v>2022</v>
      </c>
      <c r="L2019" s="7" t="str">
        <f>TEXT(OrganizedData[[#This Row],[Order Date]],"mmm")</f>
        <v>Sep</v>
      </c>
      <c r="M2019" s="2">
        <v>44</v>
      </c>
      <c r="N2019" s="2" t="s">
        <v>70</v>
      </c>
      <c r="O2019" s="2" t="str">
        <f>VLOOKUP(OrganizedData[[#This Row],[Product Code]],ProductData[[Code]:[Item]],2,FALSE)</f>
        <v>Megawidget M</v>
      </c>
      <c r="P2019" s="4">
        <f>OrganizedData[[#This Row],[Quantity]]*VLOOKUP(OrganizedData[[#This Row],[Product Code]],ProductData[],4,FALSE)</f>
        <v>1056</v>
      </c>
      <c r="Q2019" s="6">
        <f>OrganizedData[[#This Row],[Total Items Ordered]]*VLOOKUP(OrganizedData[[#This Row],[Product Code]],ProductData[],3,FALSE)</f>
        <v>1362.24</v>
      </c>
      <c r="R20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2020" spans="1:18" x14ac:dyDescent="0.3">
      <c r="A2020" s="2">
        <v>2013</v>
      </c>
      <c r="B2020" s="2" t="s">
        <v>5725</v>
      </c>
      <c r="C2020" s="2" t="s">
        <v>5668</v>
      </c>
      <c r="D2020" s="2" t="s">
        <v>28</v>
      </c>
      <c r="E2020" s="2" t="s">
        <v>29</v>
      </c>
      <c r="F2020" s="2">
        <v>90</v>
      </c>
      <c r="G2020" s="2" t="s">
        <v>5726</v>
      </c>
      <c r="H2020" s="2" t="s">
        <v>3421</v>
      </c>
      <c r="I2020" s="2" t="s">
        <v>25</v>
      </c>
      <c r="J2020" s="3">
        <v>44030</v>
      </c>
      <c r="K2020" s="5">
        <f>YEAR(OrganizedData[[#This Row],[Order Date]])</f>
        <v>2020</v>
      </c>
      <c r="L2020" s="7" t="str">
        <f>TEXT(OrganizedData[[#This Row],[Order Date]],"mmm")</f>
        <v>Jul</v>
      </c>
      <c r="M2020" s="2">
        <v>13</v>
      </c>
      <c r="N2020" s="2" t="s">
        <v>39</v>
      </c>
      <c r="O2020" s="2" t="str">
        <f>VLOOKUP(OrganizedData[[#This Row],[Product Code]],ProductData[[Code]:[Item]],2,FALSE)</f>
        <v>Ultrathing V1</v>
      </c>
      <c r="P2020" s="4">
        <f>OrganizedData[[#This Row],[Quantity]]*VLOOKUP(OrganizedData[[#This Row],[Product Code]],ProductData[],4,FALSE)</f>
        <v>221</v>
      </c>
      <c r="Q2020" s="6">
        <f>OrganizedData[[#This Row],[Total Items Ordered]]*VLOOKUP(OrganizedData[[#This Row],[Product Code]],ProductData[],3,FALSE)</f>
        <v>395.59000000000003</v>
      </c>
      <c r="R20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395.59000000000003</v>
      </c>
    </row>
    <row r="2021" spans="1:18" x14ac:dyDescent="0.3">
      <c r="A2021" s="2">
        <v>2014</v>
      </c>
      <c r="B2021" s="2" t="s">
        <v>2244</v>
      </c>
      <c r="C2021" s="2" t="s">
        <v>5727</v>
      </c>
      <c r="D2021" s="2" t="s">
        <v>28</v>
      </c>
      <c r="E2021" s="2" t="s">
        <v>29</v>
      </c>
      <c r="F2021" s="2">
        <v>60</v>
      </c>
      <c r="G2021" s="2" t="s">
        <v>5728</v>
      </c>
      <c r="H2021" s="2" t="s">
        <v>5729</v>
      </c>
      <c r="I2021" s="2" t="s">
        <v>32</v>
      </c>
      <c r="J2021" s="3">
        <v>43892</v>
      </c>
      <c r="K2021" s="5">
        <f>YEAR(OrganizedData[[#This Row],[Order Date]])</f>
        <v>2020</v>
      </c>
      <c r="L2021" s="7" t="str">
        <f>TEXT(OrganizedData[[#This Row],[Order Date]],"mmm")</f>
        <v>Mar</v>
      </c>
      <c r="M2021" s="2">
        <v>66</v>
      </c>
      <c r="N2021" s="2" t="s">
        <v>64</v>
      </c>
      <c r="O2021" s="2" t="str">
        <f>VLOOKUP(OrganizedData[[#This Row],[Product Code]],ProductData[[Code]:[Item]],2,FALSE)</f>
        <v>Ultrathing V4</v>
      </c>
      <c r="P2021" s="4">
        <f>OrganizedData[[#This Row],[Quantity]]*VLOOKUP(OrganizedData[[#This Row],[Product Code]],ProductData[],4,FALSE)</f>
        <v>1584</v>
      </c>
      <c r="Q2021" s="6">
        <f>OrganizedData[[#This Row],[Total Items Ordered]]*VLOOKUP(OrganizedData[[#This Row],[Product Code]],ProductData[],3,FALSE)</f>
        <v>6320.1600000000008</v>
      </c>
      <c r="R20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6004.152</v>
      </c>
    </row>
    <row r="2022" spans="1:18" x14ac:dyDescent="0.3">
      <c r="A2022" s="2">
        <v>2015</v>
      </c>
      <c r="B2022" s="2" t="s">
        <v>5730</v>
      </c>
      <c r="C2022" s="2" t="s">
        <v>4706</v>
      </c>
      <c r="D2022" s="2" t="s">
        <v>51</v>
      </c>
      <c r="E2022" s="2" t="s">
        <v>16</v>
      </c>
      <c r="F2022" s="2">
        <v>30</v>
      </c>
      <c r="G2022" s="2" t="s">
        <v>5731</v>
      </c>
      <c r="H2022" s="2" t="s">
        <v>5667</v>
      </c>
      <c r="I2022" s="2" t="s">
        <v>32</v>
      </c>
      <c r="J2022" s="3">
        <v>44685</v>
      </c>
      <c r="K2022" s="5">
        <f>YEAR(OrganizedData[[#This Row],[Order Date]])</f>
        <v>2022</v>
      </c>
      <c r="L2022" s="7" t="str">
        <f>TEXT(OrganizedData[[#This Row],[Order Date]],"mmm")</f>
        <v>May</v>
      </c>
      <c r="M2022" s="2">
        <v>75</v>
      </c>
      <c r="N2022" s="2" t="s">
        <v>33</v>
      </c>
      <c r="O2022" s="2" t="str">
        <f>VLOOKUP(OrganizedData[[#This Row],[Product Code]],ProductData[[Code]:[Item]],2,FALSE)</f>
        <v>Megawidget L</v>
      </c>
      <c r="P2022" s="4">
        <f>OrganizedData[[#This Row],[Quantity]]*VLOOKUP(OrganizedData[[#This Row],[Product Code]],ProductData[],4,FALSE)</f>
        <v>1800</v>
      </c>
      <c r="Q2022" s="6">
        <f>OrganizedData[[#This Row],[Total Items Ordered]]*VLOOKUP(OrganizedData[[#This Row],[Product Code]],ProductData[],3,FALSE)</f>
        <v>3222</v>
      </c>
      <c r="R20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2023" spans="1:18" x14ac:dyDescent="0.3">
      <c r="A2023" s="2">
        <v>2016</v>
      </c>
      <c r="B2023" s="2" t="s">
        <v>2191</v>
      </c>
      <c r="C2023" s="2" t="s">
        <v>4260</v>
      </c>
      <c r="D2023" s="2" t="s">
        <v>28</v>
      </c>
      <c r="E2023" s="2" t="s">
        <v>29</v>
      </c>
      <c r="F2023" s="2">
        <v>90</v>
      </c>
      <c r="G2023" s="2" t="s">
        <v>5732</v>
      </c>
      <c r="H2023" s="2" t="s">
        <v>1382</v>
      </c>
      <c r="I2023" s="2" t="s">
        <v>32</v>
      </c>
      <c r="J2023" s="3">
        <v>44388</v>
      </c>
      <c r="K2023" s="5">
        <f>YEAR(OrganizedData[[#This Row],[Order Date]])</f>
        <v>2021</v>
      </c>
      <c r="L2023" s="7" t="str">
        <f>TEXT(OrganizedData[[#This Row],[Order Date]],"mmm")</f>
        <v>Jul</v>
      </c>
      <c r="M2023" s="2">
        <v>95</v>
      </c>
      <c r="N2023" s="2" t="s">
        <v>64</v>
      </c>
      <c r="O2023" s="2" t="str">
        <f>VLOOKUP(OrganizedData[[#This Row],[Product Code]],ProductData[[Code]:[Item]],2,FALSE)</f>
        <v>Ultrathing V4</v>
      </c>
      <c r="P2023" s="4">
        <f>OrganizedData[[#This Row],[Quantity]]*VLOOKUP(OrganizedData[[#This Row],[Product Code]],ProductData[],4,FALSE)</f>
        <v>2280</v>
      </c>
      <c r="Q2023" s="6">
        <f>OrganizedData[[#This Row],[Total Items Ordered]]*VLOOKUP(OrganizedData[[#This Row],[Product Code]],ProductData[],3,FALSE)</f>
        <v>9097.2000000000007</v>
      </c>
      <c r="R20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8642.34</v>
      </c>
    </row>
    <row r="2024" spans="1:18" x14ac:dyDescent="0.3">
      <c r="A2024" s="2">
        <v>2017</v>
      </c>
      <c r="B2024" s="2" t="s">
        <v>4250</v>
      </c>
      <c r="C2024" s="2" t="s">
        <v>5734</v>
      </c>
      <c r="D2024" s="2" t="s">
        <v>28</v>
      </c>
      <c r="E2024" s="2" t="s">
        <v>29</v>
      </c>
      <c r="F2024" s="2">
        <v>60</v>
      </c>
      <c r="G2024" s="2" t="s">
        <v>5735</v>
      </c>
      <c r="H2024" s="2" t="s">
        <v>5736</v>
      </c>
      <c r="I2024" s="2" t="s">
        <v>95</v>
      </c>
      <c r="J2024" s="3">
        <v>44740</v>
      </c>
      <c r="K2024" s="5">
        <f>YEAR(OrganizedData[[#This Row],[Order Date]])</f>
        <v>2022</v>
      </c>
      <c r="L2024" s="7" t="str">
        <f>TEXT(OrganizedData[[#This Row],[Order Date]],"mmm")</f>
        <v>Jun</v>
      </c>
      <c r="M2024" s="2">
        <v>46</v>
      </c>
      <c r="N2024" s="2" t="s">
        <v>80</v>
      </c>
      <c r="O2024" s="2" t="str">
        <f>VLOOKUP(OrganizedData[[#This Row],[Product Code]],ProductData[[Code]:[Item]],2,FALSE)</f>
        <v>Ultrathing V2</v>
      </c>
      <c r="P2024" s="4">
        <f>OrganizedData[[#This Row],[Quantity]]*VLOOKUP(OrganizedData[[#This Row],[Product Code]],ProductData[],4,FALSE)</f>
        <v>920</v>
      </c>
      <c r="Q2024" s="6">
        <f>OrganizedData[[#This Row],[Total Items Ordered]]*VLOOKUP(OrganizedData[[#This Row],[Product Code]],ProductData[],3,FALSE)</f>
        <v>2714</v>
      </c>
      <c r="R20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2025" spans="1:18" x14ac:dyDescent="0.3">
      <c r="A2025" s="2">
        <v>2018</v>
      </c>
      <c r="B2025" s="2" t="s">
        <v>5737</v>
      </c>
      <c r="C2025" s="2" t="s">
        <v>1581</v>
      </c>
      <c r="D2025" s="2" t="s">
        <v>28</v>
      </c>
      <c r="E2025" s="2" t="s">
        <v>29</v>
      </c>
      <c r="F2025" s="2">
        <v>60</v>
      </c>
      <c r="G2025" s="2" t="s">
        <v>5738</v>
      </c>
      <c r="H2025" s="2" t="s">
        <v>2772</v>
      </c>
      <c r="I2025" s="2" t="s">
        <v>32</v>
      </c>
      <c r="J2025" s="3">
        <v>44037</v>
      </c>
      <c r="K2025" s="5">
        <f>YEAR(OrganizedData[[#This Row],[Order Date]])</f>
        <v>2020</v>
      </c>
      <c r="L2025" s="7" t="str">
        <f>TEXT(OrganizedData[[#This Row],[Order Date]],"mmm")</f>
        <v>Jul</v>
      </c>
      <c r="M2025" s="2">
        <v>44</v>
      </c>
      <c r="N2025" s="2" t="s">
        <v>39</v>
      </c>
      <c r="O2025" s="2" t="str">
        <f>VLOOKUP(OrganizedData[[#This Row],[Product Code]],ProductData[[Code]:[Item]],2,FALSE)</f>
        <v>Ultrathing V1</v>
      </c>
      <c r="P2025" s="4">
        <f>OrganizedData[[#This Row],[Quantity]]*VLOOKUP(OrganizedData[[#This Row],[Product Code]],ProductData[],4,FALSE)</f>
        <v>748</v>
      </c>
      <c r="Q2025" s="6">
        <f>OrganizedData[[#This Row],[Total Items Ordered]]*VLOOKUP(OrganizedData[[#This Row],[Product Code]],ProductData[],3,FALSE)</f>
        <v>1338.92</v>
      </c>
      <c r="R20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2026" spans="1:18" x14ac:dyDescent="0.3">
      <c r="A2026" s="2">
        <v>2019</v>
      </c>
      <c r="B2026" s="2" t="s">
        <v>5739</v>
      </c>
      <c r="C2026" s="2" t="s">
        <v>2515</v>
      </c>
      <c r="D2026" s="2" t="s">
        <v>51</v>
      </c>
      <c r="E2026" s="2" t="s">
        <v>16</v>
      </c>
      <c r="F2026" s="2">
        <v>90</v>
      </c>
      <c r="G2026" s="2" t="s">
        <v>5740</v>
      </c>
      <c r="H2026" s="2" t="s">
        <v>685</v>
      </c>
      <c r="I2026" s="2" t="s">
        <v>686</v>
      </c>
      <c r="J2026" s="3">
        <v>44079</v>
      </c>
      <c r="K2026" s="5">
        <f>YEAR(OrganizedData[[#This Row],[Order Date]])</f>
        <v>2020</v>
      </c>
      <c r="L2026" s="7" t="str">
        <f>TEXT(OrganizedData[[#This Row],[Order Date]],"mmm")</f>
        <v>Sep</v>
      </c>
      <c r="M2026" s="2">
        <v>72</v>
      </c>
      <c r="N2026" s="2" t="s">
        <v>70</v>
      </c>
      <c r="O2026" s="2" t="str">
        <f>VLOOKUP(OrganizedData[[#This Row],[Product Code]],ProductData[[Code]:[Item]],2,FALSE)</f>
        <v>Megawidget M</v>
      </c>
      <c r="P2026" s="4">
        <f>OrganizedData[[#This Row],[Quantity]]*VLOOKUP(OrganizedData[[#This Row],[Product Code]],ProductData[],4,FALSE)</f>
        <v>1728</v>
      </c>
      <c r="Q2026" s="6">
        <f>OrganizedData[[#This Row],[Total Items Ordered]]*VLOOKUP(OrganizedData[[#This Row],[Product Code]],ProductData[],3,FALSE)</f>
        <v>2229.12</v>
      </c>
      <c r="R20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2027" spans="1:18" x14ac:dyDescent="0.3">
      <c r="A2027" s="2">
        <v>2020</v>
      </c>
      <c r="B2027" s="2" t="s">
        <v>5741</v>
      </c>
      <c r="C2027" s="2" t="s">
        <v>5742</v>
      </c>
      <c r="D2027" s="2" t="s">
        <v>15</v>
      </c>
      <c r="E2027" s="2" t="s">
        <v>16</v>
      </c>
      <c r="F2027" s="2">
        <v>90</v>
      </c>
      <c r="G2027" s="2" t="s">
        <v>5743</v>
      </c>
      <c r="H2027" s="2" t="s">
        <v>591</v>
      </c>
      <c r="I2027" s="2" t="s">
        <v>32</v>
      </c>
      <c r="J2027" s="3">
        <v>44692</v>
      </c>
      <c r="K2027" s="5">
        <f>YEAR(OrganizedData[[#This Row],[Order Date]])</f>
        <v>2022</v>
      </c>
      <c r="L2027" s="7" t="str">
        <f>TEXT(OrganizedData[[#This Row],[Order Date]],"mmm")</f>
        <v>May</v>
      </c>
      <c r="M2027" s="2">
        <v>81</v>
      </c>
      <c r="N2027" s="2" t="s">
        <v>159</v>
      </c>
      <c r="O2027" s="2" t="str">
        <f>VLOOKUP(OrganizedData[[#This Row],[Product Code]],ProductData[[Code]:[Item]],2,FALSE)</f>
        <v>Ultrathing V3</v>
      </c>
      <c r="P2027" s="4">
        <f>OrganizedData[[#This Row],[Quantity]]*VLOOKUP(OrganizedData[[#This Row],[Product Code]],ProductData[],4,FALSE)</f>
        <v>1944</v>
      </c>
      <c r="Q2027" s="6">
        <f>OrganizedData[[#This Row],[Total Items Ordered]]*VLOOKUP(OrganizedData[[#This Row],[Product Code]],ProductData[],3,FALSE)</f>
        <v>6590.16</v>
      </c>
      <c r="R20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2028" spans="1:18" x14ac:dyDescent="0.3">
      <c r="A2028" s="2">
        <v>2021</v>
      </c>
      <c r="B2028" s="2" t="s">
        <v>5468</v>
      </c>
      <c r="C2028" s="2" t="s">
        <v>300</v>
      </c>
      <c r="D2028" s="2" t="s">
        <v>28</v>
      </c>
      <c r="E2028" s="2" t="s">
        <v>29</v>
      </c>
      <c r="F2028" s="2">
        <v>90</v>
      </c>
      <c r="G2028" s="2" t="s">
        <v>5744</v>
      </c>
      <c r="H2028" s="2" t="s">
        <v>1830</v>
      </c>
      <c r="I2028" s="2" t="s">
        <v>32</v>
      </c>
      <c r="J2028" s="3">
        <v>44353</v>
      </c>
      <c r="K2028" s="5">
        <f>YEAR(OrganizedData[[#This Row],[Order Date]])</f>
        <v>2021</v>
      </c>
      <c r="L2028" s="7" t="str">
        <f>TEXT(OrganizedData[[#This Row],[Order Date]],"mmm")</f>
        <v>Jun</v>
      </c>
      <c r="M2028" s="2">
        <v>28</v>
      </c>
      <c r="N2028" s="2" t="s">
        <v>54</v>
      </c>
      <c r="O2028" s="2" t="str">
        <f>VLOOKUP(OrganizedData[[#This Row],[Product Code]],ProductData[[Code]:[Item]],2,FALSE)</f>
        <v>Megawidget S</v>
      </c>
      <c r="P2028" s="4">
        <f>OrganizedData[[#This Row],[Quantity]]*VLOOKUP(OrganizedData[[#This Row],[Product Code]],ProductData[],4,FALSE)</f>
        <v>672</v>
      </c>
      <c r="Q2028" s="6">
        <f>OrganizedData[[#This Row],[Total Items Ordered]]*VLOOKUP(OrganizedData[[#This Row],[Product Code]],ProductData[],3,FALSE)</f>
        <v>463.67999999999995</v>
      </c>
      <c r="R20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449.76959999999991</v>
      </c>
    </row>
    <row r="2029" spans="1:18" x14ac:dyDescent="0.3">
      <c r="A2029" s="2">
        <v>2022</v>
      </c>
      <c r="B2029" s="2" t="s">
        <v>232</v>
      </c>
      <c r="C2029" s="2" t="s">
        <v>2135</v>
      </c>
      <c r="D2029" s="2" t="s">
        <v>28</v>
      </c>
      <c r="E2029" s="2" t="s">
        <v>29</v>
      </c>
      <c r="F2029" s="2">
        <v>30</v>
      </c>
      <c r="G2029" s="2" t="s">
        <v>5745</v>
      </c>
      <c r="H2029" s="2" t="s">
        <v>2577</v>
      </c>
      <c r="I2029" s="2" t="s">
        <v>645</v>
      </c>
      <c r="J2029" s="3">
        <v>44257</v>
      </c>
      <c r="K2029" s="5">
        <f>YEAR(OrganizedData[[#This Row],[Order Date]])</f>
        <v>2021</v>
      </c>
      <c r="L2029" s="7" t="str">
        <f>TEXT(OrganizedData[[#This Row],[Order Date]],"mmm")</f>
        <v>Mar</v>
      </c>
      <c r="M2029" s="2">
        <v>24</v>
      </c>
      <c r="N2029" s="2" t="s">
        <v>101</v>
      </c>
      <c r="O2029" s="2" t="str">
        <f>VLOOKUP(OrganizedData[[#This Row],[Product Code]],ProductData[[Code]:[Item]],2,FALSE)</f>
        <v>Superwossname</v>
      </c>
      <c r="P2029" s="4">
        <f>OrganizedData[[#This Row],[Quantity]]*VLOOKUP(OrganizedData[[#This Row],[Product Code]],ProductData[],4,FALSE)</f>
        <v>480</v>
      </c>
      <c r="Q2029" s="6">
        <f>OrganizedData[[#This Row],[Total Items Ordered]]*VLOOKUP(OrganizedData[[#This Row],[Product Code]],ProductData[],3,FALSE)</f>
        <v>1675.2</v>
      </c>
      <c r="R20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1624.944</v>
      </c>
    </row>
    <row r="2030" spans="1:18" x14ac:dyDescent="0.3">
      <c r="A2030" s="2">
        <v>2023</v>
      </c>
      <c r="B2030" s="2" t="s">
        <v>5746</v>
      </c>
      <c r="C2030" s="2" t="s">
        <v>528</v>
      </c>
      <c r="D2030" s="2" t="s">
        <v>41</v>
      </c>
      <c r="E2030" s="2" t="s">
        <v>16</v>
      </c>
      <c r="F2030" s="2">
        <v>60</v>
      </c>
      <c r="G2030" s="2" t="s">
        <v>5747</v>
      </c>
      <c r="H2030" s="2" t="s">
        <v>5748</v>
      </c>
      <c r="I2030" s="2" t="s">
        <v>124</v>
      </c>
      <c r="J2030" s="3">
        <v>44143</v>
      </c>
      <c r="K2030" s="5">
        <f>YEAR(OrganizedData[[#This Row],[Order Date]])</f>
        <v>2020</v>
      </c>
      <c r="L2030" s="7" t="str">
        <f>TEXT(OrganizedData[[#This Row],[Order Date]],"mmm")</f>
        <v>Nov</v>
      </c>
      <c r="M2030" s="2">
        <v>20</v>
      </c>
      <c r="N2030" s="2" t="s">
        <v>54</v>
      </c>
      <c r="O2030" s="2" t="str">
        <f>VLOOKUP(OrganizedData[[#This Row],[Product Code]],ProductData[[Code]:[Item]],2,FALSE)</f>
        <v>Megawidget S</v>
      </c>
      <c r="P2030" s="4">
        <f>OrganizedData[[#This Row],[Quantity]]*VLOOKUP(OrganizedData[[#This Row],[Product Code]],ProductData[],4,FALSE)</f>
        <v>480</v>
      </c>
      <c r="Q2030" s="6">
        <f>OrganizedData[[#This Row],[Total Items Ordered]]*VLOOKUP(OrganizedData[[#This Row],[Product Code]],ProductData[],3,FALSE)</f>
        <v>331.2</v>
      </c>
      <c r="R20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331.2</v>
      </c>
    </row>
    <row r="2031" spans="1:18" x14ac:dyDescent="0.3">
      <c r="A2031" s="2">
        <v>2024</v>
      </c>
      <c r="B2031" s="2" t="s">
        <v>5749</v>
      </c>
      <c r="C2031" s="2" t="s">
        <v>1503</v>
      </c>
      <c r="D2031" s="2" t="s">
        <v>28</v>
      </c>
      <c r="E2031" s="2" t="s">
        <v>29</v>
      </c>
      <c r="F2031" s="2">
        <v>90</v>
      </c>
      <c r="G2031" s="2" t="s">
        <v>5750</v>
      </c>
      <c r="H2031" s="2" t="s">
        <v>5751</v>
      </c>
      <c r="I2031" s="2" t="s">
        <v>178</v>
      </c>
      <c r="J2031" s="3">
        <v>44260</v>
      </c>
      <c r="K2031" s="5">
        <f>YEAR(OrganizedData[[#This Row],[Order Date]])</f>
        <v>2021</v>
      </c>
      <c r="L2031" s="7" t="str">
        <f>TEXT(OrganizedData[[#This Row],[Order Date]],"mmm")</f>
        <v>Mar</v>
      </c>
      <c r="M2031" s="2">
        <v>12</v>
      </c>
      <c r="N2031" s="2" t="s">
        <v>101</v>
      </c>
      <c r="O2031" s="2" t="str">
        <f>VLOOKUP(OrganizedData[[#This Row],[Product Code]],ProductData[[Code]:[Item]],2,FALSE)</f>
        <v>Superwossname</v>
      </c>
      <c r="P2031" s="4">
        <f>OrganizedData[[#This Row],[Quantity]]*VLOOKUP(OrganizedData[[#This Row],[Product Code]],ProductData[],4,FALSE)</f>
        <v>240</v>
      </c>
      <c r="Q2031" s="6">
        <f>OrganizedData[[#This Row],[Total Items Ordered]]*VLOOKUP(OrganizedData[[#This Row],[Product Code]],ProductData[],3,FALSE)</f>
        <v>837.6</v>
      </c>
      <c r="R20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2032" spans="1:18" x14ac:dyDescent="0.3">
      <c r="A2032" s="2">
        <v>2025</v>
      </c>
      <c r="B2032" s="2" t="s">
        <v>5752</v>
      </c>
      <c r="C2032" s="2" t="s">
        <v>2797</v>
      </c>
      <c r="D2032" s="2" t="s">
        <v>15</v>
      </c>
      <c r="E2032" s="2" t="s">
        <v>16</v>
      </c>
      <c r="F2032" s="2">
        <v>30</v>
      </c>
      <c r="G2032" s="2" t="s">
        <v>5753</v>
      </c>
      <c r="H2032" s="2" t="s">
        <v>814</v>
      </c>
      <c r="I2032" s="2" t="s">
        <v>124</v>
      </c>
      <c r="J2032" s="3">
        <v>43832</v>
      </c>
      <c r="K2032" s="5">
        <f>YEAR(OrganizedData[[#This Row],[Order Date]])</f>
        <v>2020</v>
      </c>
      <c r="L2032" s="7" t="str">
        <f>TEXT(OrganizedData[[#This Row],[Order Date]],"mmm")</f>
        <v>Jan</v>
      </c>
      <c r="M2032" s="2">
        <v>12</v>
      </c>
      <c r="N2032" s="2" t="s">
        <v>101</v>
      </c>
      <c r="O2032" s="2" t="str">
        <f>VLOOKUP(OrganizedData[[#This Row],[Product Code]],ProductData[[Code]:[Item]],2,FALSE)</f>
        <v>Superwossname</v>
      </c>
      <c r="P2032" s="4">
        <f>OrganizedData[[#This Row],[Quantity]]*VLOOKUP(OrganizedData[[#This Row],[Product Code]],ProductData[],4,FALSE)</f>
        <v>240</v>
      </c>
      <c r="Q2032" s="6">
        <f>OrganizedData[[#This Row],[Total Items Ordered]]*VLOOKUP(OrganizedData[[#This Row],[Product Code]],ProductData[],3,FALSE)</f>
        <v>837.6</v>
      </c>
      <c r="R20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2033" spans="1:18" x14ac:dyDescent="0.3">
      <c r="A2033" s="2">
        <v>2026</v>
      </c>
      <c r="B2033" s="2" t="s">
        <v>2300</v>
      </c>
      <c r="C2033" s="2" t="s">
        <v>2269</v>
      </c>
      <c r="D2033" s="2" t="s">
        <v>28</v>
      </c>
      <c r="E2033" s="2" t="s">
        <v>29</v>
      </c>
      <c r="F2033" s="2">
        <v>90</v>
      </c>
      <c r="G2033" s="2" t="s">
        <v>5754</v>
      </c>
      <c r="H2033" s="2" t="s">
        <v>3100</v>
      </c>
      <c r="I2033" s="2" t="s">
        <v>32</v>
      </c>
      <c r="J2033" s="3">
        <v>44488</v>
      </c>
      <c r="K2033" s="5">
        <f>YEAR(OrganizedData[[#This Row],[Order Date]])</f>
        <v>2021</v>
      </c>
      <c r="L2033" s="7" t="str">
        <f>TEXT(OrganizedData[[#This Row],[Order Date]],"mmm")</f>
        <v>Oct</v>
      </c>
      <c r="M2033" s="2">
        <v>30</v>
      </c>
      <c r="N2033" s="2" t="s">
        <v>64</v>
      </c>
      <c r="O2033" s="2" t="str">
        <f>VLOOKUP(OrganizedData[[#This Row],[Product Code]],ProductData[[Code]:[Item]],2,FALSE)</f>
        <v>Ultrathing V4</v>
      </c>
      <c r="P2033" s="4">
        <f>OrganizedData[[#This Row],[Quantity]]*VLOOKUP(OrganizedData[[#This Row],[Product Code]],ProductData[],4,FALSE)</f>
        <v>720</v>
      </c>
      <c r="Q2033" s="6">
        <f>OrganizedData[[#This Row],[Total Items Ordered]]*VLOOKUP(OrganizedData[[#This Row],[Product Code]],ProductData[],3,FALSE)</f>
        <v>2872.8</v>
      </c>
      <c r="R20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2786.616</v>
      </c>
    </row>
    <row r="2034" spans="1:18" x14ac:dyDescent="0.3">
      <c r="A2034" s="2">
        <v>2027</v>
      </c>
      <c r="B2034" s="2" t="s">
        <v>5755</v>
      </c>
      <c r="C2034" s="2" t="s">
        <v>5756</v>
      </c>
      <c r="D2034" s="2" t="s">
        <v>28</v>
      </c>
      <c r="E2034" s="2" t="s">
        <v>29</v>
      </c>
      <c r="F2034" s="2">
        <v>90</v>
      </c>
      <c r="G2034" s="2" t="s">
        <v>5757</v>
      </c>
      <c r="H2034" s="2" t="s">
        <v>5758</v>
      </c>
      <c r="I2034" s="2" t="s">
        <v>32</v>
      </c>
      <c r="J2034" s="3">
        <v>44733</v>
      </c>
      <c r="K2034" s="5">
        <f>YEAR(OrganizedData[[#This Row],[Order Date]])</f>
        <v>2022</v>
      </c>
      <c r="L2034" s="7" t="str">
        <f>TEXT(OrganizedData[[#This Row],[Order Date]],"mmm")</f>
        <v>Jun</v>
      </c>
      <c r="M2034" s="2">
        <v>65</v>
      </c>
      <c r="N2034" s="2" t="s">
        <v>33</v>
      </c>
      <c r="O2034" s="2" t="str">
        <f>VLOOKUP(OrganizedData[[#This Row],[Product Code]],ProductData[[Code]:[Item]],2,FALSE)</f>
        <v>Megawidget L</v>
      </c>
      <c r="P2034" s="4">
        <f>OrganizedData[[#This Row],[Quantity]]*VLOOKUP(OrganizedData[[#This Row],[Product Code]],ProductData[],4,FALSE)</f>
        <v>1560</v>
      </c>
      <c r="Q2034" s="6">
        <f>OrganizedData[[#This Row],[Total Items Ordered]]*VLOOKUP(OrganizedData[[#This Row],[Product Code]],ProductData[],3,FALSE)</f>
        <v>2792.4</v>
      </c>
      <c r="R20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2652.7799999999997</v>
      </c>
    </row>
    <row r="2035" spans="1:18" x14ac:dyDescent="0.3">
      <c r="A2035" s="2">
        <v>2028</v>
      </c>
      <c r="B2035" s="2" t="s">
        <v>5759</v>
      </c>
      <c r="C2035" s="2" t="s">
        <v>1776</v>
      </c>
      <c r="D2035" s="2" t="s">
        <v>51</v>
      </c>
      <c r="E2035" s="2" t="s">
        <v>16</v>
      </c>
      <c r="F2035" s="2">
        <v>90</v>
      </c>
      <c r="G2035" s="2" t="s">
        <v>5760</v>
      </c>
      <c r="H2035" s="2" t="s">
        <v>1336</v>
      </c>
      <c r="I2035" s="2" t="s">
        <v>129</v>
      </c>
      <c r="J2035" s="3">
        <v>44548</v>
      </c>
      <c r="K2035" s="5">
        <f>YEAR(OrganizedData[[#This Row],[Order Date]])</f>
        <v>2021</v>
      </c>
      <c r="L2035" s="7" t="str">
        <f>TEXT(OrganizedData[[#This Row],[Order Date]],"mmm")</f>
        <v>Dec</v>
      </c>
      <c r="M2035" s="2">
        <v>78</v>
      </c>
      <c r="N2035" s="2" t="s">
        <v>159</v>
      </c>
      <c r="O2035" s="2" t="str">
        <f>VLOOKUP(OrganizedData[[#This Row],[Product Code]],ProductData[[Code]:[Item]],2,FALSE)</f>
        <v>Ultrathing V3</v>
      </c>
      <c r="P2035" s="4">
        <f>OrganizedData[[#This Row],[Quantity]]*VLOOKUP(OrganizedData[[#This Row],[Product Code]],ProductData[],4,FALSE)</f>
        <v>1872</v>
      </c>
      <c r="Q2035" s="6">
        <f>OrganizedData[[#This Row],[Total Items Ordered]]*VLOOKUP(OrganizedData[[#This Row],[Product Code]],ProductData[],3,FALSE)</f>
        <v>6346.08</v>
      </c>
      <c r="R20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2036" spans="1:18" x14ac:dyDescent="0.3">
      <c r="A2036" s="2">
        <v>2029</v>
      </c>
      <c r="B2036" s="2" t="s">
        <v>4965</v>
      </c>
      <c r="C2036" s="2" t="s">
        <v>3884</v>
      </c>
      <c r="D2036" s="2" t="s">
        <v>28</v>
      </c>
      <c r="E2036" s="2" t="s">
        <v>29</v>
      </c>
      <c r="F2036" s="2">
        <v>60</v>
      </c>
      <c r="G2036" s="2" t="s">
        <v>5761</v>
      </c>
      <c r="H2036" s="2" t="s">
        <v>2240</v>
      </c>
      <c r="I2036" s="2" t="s">
        <v>32</v>
      </c>
      <c r="J2036" s="3">
        <v>44304</v>
      </c>
      <c r="K2036" s="5">
        <f>YEAR(OrganizedData[[#This Row],[Order Date]])</f>
        <v>2021</v>
      </c>
      <c r="L2036" s="7" t="str">
        <f>TEXT(OrganizedData[[#This Row],[Order Date]],"mmm")</f>
        <v>Apr</v>
      </c>
      <c r="M2036" s="2">
        <v>25</v>
      </c>
      <c r="N2036" s="2" t="s">
        <v>70</v>
      </c>
      <c r="O2036" s="2" t="str">
        <f>VLOOKUP(OrganizedData[[#This Row],[Product Code]],ProductData[[Code]:[Item]],2,FALSE)</f>
        <v>Megawidget M</v>
      </c>
      <c r="P2036" s="4">
        <f>OrganizedData[[#This Row],[Quantity]]*VLOOKUP(OrganizedData[[#This Row],[Product Code]],ProductData[],4,FALSE)</f>
        <v>600</v>
      </c>
      <c r="Q2036" s="6">
        <f>OrganizedData[[#This Row],[Total Items Ordered]]*VLOOKUP(OrganizedData[[#This Row],[Product Code]],ProductData[],3,FALSE)</f>
        <v>774</v>
      </c>
      <c r="R20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2037" spans="1:18" x14ac:dyDescent="0.3">
      <c r="A2037" s="2">
        <v>2030</v>
      </c>
      <c r="B2037" s="2" t="s">
        <v>5762</v>
      </c>
      <c r="C2037" s="2" t="s">
        <v>2575</v>
      </c>
      <c r="D2037" s="2" t="s">
        <v>41</v>
      </c>
      <c r="E2037" s="2" t="s">
        <v>16</v>
      </c>
      <c r="F2037" s="2">
        <v>30</v>
      </c>
      <c r="G2037" s="2" t="s">
        <v>10434</v>
      </c>
      <c r="H2037" s="2" t="s">
        <v>1284</v>
      </c>
      <c r="I2037" s="2" t="s">
        <v>32</v>
      </c>
      <c r="J2037" s="3">
        <v>44710</v>
      </c>
      <c r="K2037" s="5">
        <f>YEAR(OrganizedData[[#This Row],[Order Date]])</f>
        <v>2022</v>
      </c>
      <c r="L2037" s="7" t="str">
        <f>TEXT(OrganizedData[[#This Row],[Order Date]],"mmm")</f>
        <v>May</v>
      </c>
      <c r="M2037" s="2">
        <v>50</v>
      </c>
      <c r="N2037" s="2" t="s">
        <v>45</v>
      </c>
      <c r="O2037" s="2" t="str">
        <f>VLOOKUP(OrganizedData[[#This Row],[Product Code]],ProductData[[Code]:[Item]],2,FALSE)</f>
        <v>Gigastuff</v>
      </c>
      <c r="P2037" s="4">
        <f>OrganizedData[[#This Row],[Quantity]]*VLOOKUP(OrganizedData[[#This Row],[Product Code]],ProductData[],4,FALSE)</f>
        <v>900</v>
      </c>
      <c r="Q2037" s="6">
        <f>OrganizedData[[#This Row],[Total Items Ordered]]*VLOOKUP(OrganizedData[[#This Row],[Product Code]],ProductData[],3,FALSE)</f>
        <v>1701</v>
      </c>
      <c r="R20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1649.97</v>
      </c>
    </row>
    <row r="2038" spans="1:18" x14ac:dyDescent="0.3">
      <c r="A2038" s="2">
        <v>2031</v>
      </c>
      <c r="B2038" s="2" t="s">
        <v>488</v>
      </c>
      <c r="C2038" s="2" t="s">
        <v>5764</v>
      </c>
      <c r="D2038" s="2" t="s">
        <v>51</v>
      </c>
      <c r="E2038" s="2" t="s">
        <v>16</v>
      </c>
      <c r="F2038" s="2">
        <v>60</v>
      </c>
      <c r="G2038" s="2" t="s">
        <v>5765</v>
      </c>
      <c r="H2038" s="2" t="s">
        <v>619</v>
      </c>
      <c r="I2038" s="2" t="s">
        <v>187</v>
      </c>
      <c r="J2038" s="3">
        <v>43954</v>
      </c>
      <c r="K2038" s="5">
        <f>YEAR(OrganizedData[[#This Row],[Order Date]])</f>
        <v>2020</v>
      </c>
      <c r="L2038" s="7" t="str">
        <f>TEXT(OrganizedData[[#This Row],[Order Date]],"mmm")</f>
        <v>May</v>
      </c>
      <c r="M2038" s="2">
        <v>18</v>
      </c>
      <c r="N2038" s="2" t="s">
        <v>20</v>
      </c>
      <c r="O2038" s="2" t="str">
        <f>VLOOKUP(OrganizedData[[#This Row],[Product Code]],ProductData[[Code]:[Item]],2,FALSE)</f>
        <v>Hyperwotsit</v>
      </c>
      <c r="P2038" s="4">
        <f>OrganizedData[[#This Row],[Quantity]]*VLOOKUP(OrganizedData[[#This Row],[Product Code]],ProductData[],4,FALSE)</f>
        <v>360</v>
      </c>
      <c r="Q2038" s="6">
        <f>OrganizedData[[#This Row],[Total Items Ordered]]*VLOOKUP(OrganizedData[[#This Row],[Product Code]],ProductData[],3,FALSE)</f>
        <v>723.59999999999991</v>
      </c>
      <c r="R20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2039" spans="1:18" x14ac:dyDescent="0.3">
      <c r="A2039" s="2">
        <v>2032</v>
      </c>
      <c r="B2039" s="2" t="s">
        <v>5766</v>
      </c>
      <c r="C2039" s="2" t="s">
        <v>1630</v>
      </c>
      <c r="D2039" s="2" t="s">
        <v>28</v>
      </c>
      <c r="E2039" s="2" t="s">
        <v>29</v>
      </c>
      <c r="F2039" s="2">
        <v>90</v>
      </c>
      <c r="G2039" s="2" t="s">
        <v>5765</v>
      </c>
      <c r="H2039" s="2" t="s">
        <v>1206</v>
      </c>
      <c r="I2039" s="2" t="s">
        <v>294</v>
      </c>
      <c r="J2039" s="3">
        <v>44121</v>
      </c>
      <c r="K2039" s="5">
        <f>YEAR(OrganizedData[[#This Row],[Order Date]])</f>
        <v>2020</v>
      </c>
      <c r="L2039" s="7" t="str">
        <f>TEXT(OrganizedData[[#This Row],[Order Date]],"mmm")</f>
        <v>Oct</v>
      </c>
      <c r="M2039" s="2">
        <v>44</v>
      </c>
      <c r="N2039" s="2" t="s">
        <v>70</v>
      </c>
      <c r="O2039" s="2" t="str">
        <f>VLOOKUP(OrganizedData[[#This Row],[Product Code]],ProductData[[Code]:[Item]],2,FALSE)</f>
        <v>Megawidget M</v>
      </c>
      <c r="P2039" s="4">
        <f>OrganizedData[[#This Row],[Quantity]]*VLOOKUP(OrganizedData[[#This Row],[Product Code]],ProductData[],4,FALSE)</f>
        <v>1056</v>
      </c>
      <c r="Q2039" s="6">
        <f>OrganizedData[[#This Row],[Total Items Ordered]]*VLOOKUP(OrganizedData[[#This Row],[Product Code]],ProductData[],3,FALSE)</f>
        <v>1362.24</v>
      </c>
      <c r="R20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2040" spans="1:18" x14ac:dyDescent="0.3">
      <c r="A2040" s="2">
        <v>2033</v>
      </c>
      <c r="B2040" s="2" t="s">
        <v>1439</v>
      </c>
      <c r="C2040" s="2" t="s">
        <v>676</v>
      </c>
      <c r="D2040" s="2" t="s">
        <v>15</v>
      </c>
      <c r="E2040" s="2" t="s">
        <v>16</v>
      </c>
      <c r="F2040" s="2">
        <v>30</v>
      </c>
      <c r="G2040" s="2" t="s">
        <v>5767</v>
      </c>
      <c r="H2040" s="2" t="s">
        <v>3702</v>
      </c>
      <c r="I2040" s="2" t="s">
        <v>25</v>
      </c>
      <c r="J2040" s="3">
        <v>44680</v>
      </c>
      <c r="K2040" s="5">
        <f>YEAR(OrganizedData[[#This Row],[Order Date]])</f>
        <v>2022</v>
      </c>
      <c r="L2040" s="7" t="str">
        <f>TEXT(OrganizedData[[#This Row],[Order Date]],"mmm")</f>
        <v>Apr</v>
      </c>
      <c r="M2040" s="2">
        <v>11</v>
      </c>
      <c r="N2040" s="2" t="s">
        <v>33</v>
      </c>
      <c r="O2040" s="2" t="str">
        <f>VLOOKUP(OrganizedData[[#This Row],[Product Code]],ProductData[[Code]:[Item]],2,FALSE)</f>
        <v>Megawidget L</v>
      </c>
      <c r="P2040" s="4">
        <f>OrganizedData[[#This Row],[Quantity]]*VLOOKUP(OrganizedData[[#This Row],[Product Code]],ProductData[],4,FALSE)</f>
        <v>264</v>
      </c>
      <c r="Q2040" s="6">
        <f>OrganizedData[[#This Row],[Total Items Ordered]]*VLOOKUP(OrganizedData[[#This Row],[Product Code]],ProductData[],3,FALSE)</f>
        <v>472.56</v>
      </c>
      <c r="R20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472.56</v>
      </c>
    </row>
    <row r="2041" spans="1:18" x14ac:dyDescent="0.3">
      <c r="A2041" s="2">
        <v>2034</v>
      </c>
      <c r="B2041" s="2" t="s">
        <v>5768</v>
      </c>
      <c r="C2041" s="2" t="s">
        <v>5590</v>
      </c>
      <c r="D2041" s="2" t="s">
        <v>51</v>
      </c>
      <c r="E2041" s="2" t="s">
        <v>16</v>
      </c>
      <c r="F2041" s="2">
        <v>30</v>
      </c>
      <c r="G2041" s="2" t="s">
        <v>5769</v>
      </c>
      <c r="H2041" s="2" t="s">
        <v>3670</v>
      </c>
      <c r="I2041" s="2" t="s">
        <v>3671</v>
      </c>
      <c r="J2041" s="3">
        <v>44160</v>
      </c>
      <c r="K2041" s="5">
        <f>YEAR(OrganizedData[[#This Row],[Order Date]])</f>
        <v>2020</v>
      </c>
      <c r="L2041" s="7" t="str">
        <f>TEXT(OrganizedData[[#This Row],[Order Date]],"mmm")</f>
        <v>Nov</v>
      </c>
      <c r="M2041" s="2">
        <v>31</v>
      </c>
      <c r="N2041" s="2" t="s">
        <v>64</v>
      </c>
      <c r="O2041" s="2" t="str">
        <f>VLOOKUP(OrganizedData[[#This Row],[Product Code]],ProductData[[Code]:[Item]],2,FALSE)</f>
        <v>Ultrathing V4</v>
      </c>
      <c r="P2041" s="4">
        <f>OrganizedData[[#This Row],[Quantity]]*VLOOKUP(OrganizedData[[#This Row],[Product Code]],ProductData[],4,FALSE)</f>
        <v>744</v>
      </c>
      <c r="Q2041" s="6">
        <f>OrganizedData[[#This Row],[Total Items Ordered]]*VLOOKUP(OrganizedData[[#This Row],[Product Code]],ProductData[],3,FALSE)</f>
        <v>2968.56</v>
      </c>
      <c r="R20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2042" spans="1:18" x14ac:dyDescent="0.3">
      <c r="A2042" s="2">
        <v>2035</v>
      </c>
      <c r="B2042" s="2" t="s">
        <v>2823</v>
      </c>
      <c r="C2042" s="2" t="s">
        <v>2203</v>
      </c>
      <c r="D2042" s="2" t="s">
        <v>28</v>
      </c>
      <c r="E2042" s="2" t="s">
        <v>29</v>
      </c>
      <c r="F2042" s="2">
        <v>30</v>
      </c>
      <c r="G2042" s="2" t="s">
        <v>5770</v>
      </c>
      <c r="H2042" s="2" t="s">
        <v>690</v>
      </c>
      <c r="I2042" s="2" t="s">
        <v>32</v>
      </c>
      <c r="J2042" s="3">
        <v>44069</v>
      </c>
      <c r="K2042" s="5">
        <f>YEAR(OrganizedData[[#This Row],[Order Date]])</f>
        <v>2020</v>
      </c>
      <c r="L2042" s="7" t="str">
        <f>TEXT(OrganizedData[[#This Row],[Order Date]],"mmm")</f>
        <v>Aug</v>
      </c>
      <c r="M2042" s="2">
        <v>57</v>
      </c>
      <c r="N2042" s="2" t="s">
        <v>64</v>
      </c>
      <c r="O2042" s="2" t="str">
        <f>VLOOKUP(OrganizedData[[#This Row],[Product Code]],ProductData[[Code]:[Item]],2,FALSE)</f>
        <v>Ultrathing V4</v>
      </c>
      <c r="P2042" s="4">
        <f>OrganizedData[[#This Row],[Quantity]]*VLOOKUP(OrganizedData[[#This Row],[Product Code]],ProductData[],4,FALSE)</f>
        <v>1368</v>
      </c>
      <c r="Q2042" s="6">
        <f>OrganizedData[[#This Row],[Total Items Ordered]]*VLOOKUP(OrganizedData[[#This Row],[Product Code]],ProductData[],3,FALSE)</f>
        <v>5458.3200000000006</v>
      </c>
      <c r="R20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5185.4040000000005</v>
      </c>
    </row>
    <row r="2043" spans="1:18" x14ac:dyDescent="0.3">
      <c r="A2043" s="2">
        <v>2036</v>
      </c>
      <c r="B2043" s="2" t="s">
        <v>656</v>
      </c>
      <c r="C2043" s="2" t="s">
        <v>4287</v>
      </c>
      <c r="D2043" s="2" t="s">
        <v>15</v>
      </c>
      <c r="E2043" s="2" t="s">
        <v>16</v>
      </c>
      <c r="F2043" s="2">
        <v>30</v>
      </c>
      <c r="G2043" s="2" t="s">
        <v>5771</v>
      </c>
      <c r="H2043" s="2" t="s">
        <v>1125</v>
      </c>
      <c r="I2043" s="2" t="s">
        <v>1126</v>
      </c>
      <c r="J2043" s="3">
        <v>44409</v>
      </c>
      <c r="K2043" s="5">
        <f>YEAR(OrganizedData[[#This Row],[Order Date]])</f>
        <v>2021</v>
      </c>
      <c r="L2043" s="7" t="str">
        <f>TEXT(OrganizedData[[#This Row],[Order Date]],"mmm")</f>
        <v>Aug</v>
      </c>
      <c r="M2043" s="2">
        <v>16</v>
      </c>
      <c r="N2043" s="2" t="s">
        <v>33</v>
      </c>
      <c r="O2043" s="2" t="str">
        <f>VLOOKUP(OrganizedData[[#This Row],[Product Code]],ProductData[[Code]:[Item]],2,FALSE)</f>
        <v>Megawidget L</v>
      </c>
      <c r="P2043" s="4">
        <f>OrganizedData[[#This Row],[Quantity]]*VLOOKUP(OrganizedData[[#This Row],[Product Code]],ProductData[],4,FALSE)</f>
        <v>384</v>
      </c>
      <c r="Q2043" s="6">
        <f>OrganizedData[[#This Row],[Total Items Ordered]]*VLOOKUP(OrganizedData[[#This Row],[Product Code]],ProductData[],3,FALSE)</f>
        <v>687.36</v>
      </c>
      <c r="R20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2044" spans="1:18" x14ac:dyDescent="0.3">
      <c r="A2044" s="2">
        <v>2037</v>
      </c>
      <c r="B2044" s="2" t="s">
        <v>5772</v>
      </c>
      <c r="C2044" s="2" t="s">
        <v>2210</v>
      </c>
      <c r="D2044" s="2" t="s">
        <v>28</v>
      </c>
      <c r="E2044" s="2" t="s">
        <v>29</v>
      </c>
      <c r="F2044" s="2">
        <v>90</v>
      </c>
      <c r="G2044" s="2" t="s">
        <v>10435</v>
      </c>
      <c r="H2044" s="2" t="s">
        <v>138</v>
      </c>
      <c r="I2044" s="2" t="s">
        <v>294</v>
      </c>
      <c r="J2044" s="3">
        <v>44306</v>
      </c>
      <c r="K2044" s="5">
        <f>YEAR(OrganizedData[[#This Row],[Order Date]])</f>
        <v>2021</v>
      </c>
      <c r="L2044" s="7" t="str">
        <f>TEXT(OrganizedData[[#This Row],[Order Date]],"mmm")</f>
        <v>Apr</v>
      </c>
      <c r="M2044" s="2">
        <v>79</v>
      </c>
      <c r="N2044" s="2" t="s">
        <v>80</v>
      </c>
      <c r="O2044" s="2" t="str">
        <f>VLOOKUP(OrganizedData[[#This Row],[Product Code]],ProductData[[Code]:[Item]],2,FALSE)</f>
        <v>Ultrathing V2</v>
      </c>
      <c r="P2044" s="4">
        <f>OrganizedData[[#This Row],[Quantity]]*VLOOKUP(OrganizedData[[#This Row],[Product Code]],ProductData[],4,FALSE)</f>
        <v>1580</v>
      </c>
      <c r="Q2044" s="6">
        <f>OrganizedData[[#This Row],[Total Items Ordered]]*VLOOKUP(OrganizedData[[#This Row],[Product Code]],ProductData[],3,FALSE)</f>
        <v>4661</v>
      </c>
      <c r="R20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4427.95</v>
      </c>
    </row>
    <row r="2045" spans="1:18" x14ac:dyDescent="0.3">
      <c r="A2045" s="2">
        <v>2038</v>
      </c>
      <c r="B2045" s="2" t="s">
        <v>5774</v>
      </c>
      <c r="C2045" s="2" t="s">
        <v>5077</v>
      </c>
      <c r="D2045" s="2" t="s">
        <v>15</v>
      </c>
      <c r="E2045" s="2" t="s">
        <v>16</v>
      </c>
      <c r="F2045" s="2">
        <v>30</v>
      </c>
      <c r="G2045" s="2" t="s">
        <v>5775</v>
      </c>
      <c r="H2045" s="2" t="s">
        <v>386</v>
      </c>
      <c r="I2045" s="2" t="s">
        <v>294</v>
      </c>
      <c r="J2045" s="3">
        <v>44218</v>
      </c>
      <c r="K2045" s="5">
        <f>YEAR(OrganizedData[[#This Row],[Order Date]])</f>
        <v>2021</v>
      </c>
      <c r="L2045" s="7" t="str">
        <f>TEXT(OrganizedData[[#This Row],[Order Date]],"mmm")</f>
        <v>Jan</v>
      </c>
      <c r="M2045" s="2">
        <v>60</v>
      </c>
      <c r="N2045" s="2" t="s">
        <v>159</v>
      </c>
      <c r="O2045" s="2" t="str">
        <f>VLOOKUP(OrganizedData[[#This Row],[Product Code]],ProductData[[Code]:[Item]],2,FALSE)</f>
        <v>Ultrathing V3</v>
      </c>
      <c r="P2045" s="4">
        <f>OrganizedData[[#This Row],[Quantity]]*VLOOKUP(OrganizedData[[#This Row],[Product Code]],ProductData[],4,FALSE)</f>
        <v>1440</v>
      </c>
      <c r="Q2045" s="6">
        <f>OrganizedData[[#This Row],[Total Items Ordered]]*VLOOKUP(OrganizedData[[#This Row],[Product Code]],ProductData[],3,FALSE)</f>
        <v>4881.6000000000004</v>
      </c>
      <c r="R20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4637.5200000000004</v>
      </c>
    </row>
    <row r="2046" spans="1:18" x14ac:dyDescent="0.3">
      <c r="A2046" s="2">
        <v>2039</v>
      </c>
      <c r="B2046" s="2" t="s">
        <v>237</v>
      </c>
      <c r="C2046" s="2" t="s">
        <v>3286</v>
      </c>
      <c r="D2046" s="2" t="s">
        <v>28</v>
      </c>
      <c r="E2046" s="2" t="s">
        <v>29</v>
      </c>
      <c r="F2046" s="2">
        <v>60</v>
      </c>
      <c r="G2046" s="2" t="s">
        <v>5776</v>
      </c>
      <c r="H2046" s="2" t="s">
        <v>1530</v>
      </c>
      <c r="I2046" s="2" t="s">
        <v>32</v>
      </c>
      <c r="J2046" s="3">
        <v>44071</v>
      </c>
      <c r="K2046" s="5">
        <f>YEAR(OrganizedData[[#This Row],[Order Date]])</f>
        <v>2020</v>
      </c>
      <c r="L2046" s="7" t="str">
        <f>TEXT(OrganizedData[[#This Row],[Order Date]],"mmm")</f>
        <v>Aug</v>
      </c>
      <c r="M2046" s="2">
        <v>53</v>
      </c>
      <c r="N2046" s="2" t="s">
        <v>70</v>
      </c>
      <c r="O2046" s="2" t="str">
        <f>VLOOKUP(OrganizedData[[#This Row],[Product Code]],ProductData[[Code]:[Item]],2,FALSE)</f>
        <v>Megawidget M</v>
      </c>
      <c r="P2046" s="4">
        <f>OrganizedData[[#This Row],[Quantity]]*VLOOKUP(OrganizedData[[#This Row],[Product Code]],ProductData[],4,FALSE)</f>
        <v>1272</v>
      </c>
      <c r="Q2046" s="6">
        <f>OrganizedData[[#This Row],[Total Items Ordered]]*VLOOKUP(OrganizedData[[#This Row],[Product Code]],ProductData[],3,FALSE)</f>
        <v>1640.88</v>
      </c>
      <c r="R20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1558.836</v>
      </c>
    </row>
    <row r="2047" spans="1:18" x14ac:dyDescent="0.3">
      <c r="A2047" s="2">
        <v>2040</v>
      </c>
      <c r="B2047" s="2" t="s">
        <v>2063</v>
      </c>
      <c r="C2047" s="2" t="s">
        <v>4512</v>
      </c>
      <c r="D2047" s="2" t="s">
        <v>28</v>
      </c>
      <c r="E2047" s="2" t="s">
        <v>29</v>
      </c>
      <c r="F2047" s="2">
        <v>30</v>
      </c>
      <c r="G2047" s="2" t="s">
        <v>5777</v>
      </c>
      <c r="H2047" s="2" t="s">
        <v>5778</v>
      </c>
      <c r="I2047" s="2" t="s">
        <v>1311</v>
      </c>
      <c r="J2047" s="3">
        <v>44162</v>
      </c>
      <c r="K2047" s="5">
        <f>YEAR(OrganizedData[[#This Row],[Order Date]])</f>
        <v>2020</v>
      </c>
      <c r="L2047" s="7" t="str">
        <f>TEXT(OrganizedData[[#This Row],[Order Date]],"mmm")</f>
        <v>Nov</v>
      </c>
      <c r="M2047" s="2">
        <v>68</v>
      </c>
      <c r="N2047" s="2" t="s">
        <v>70</v>
      </c>
      <c r="O2047" s="2" t="str">
        <f>VLOOKUP(OrganizedData[[#This Row],[Product Code]],ProductData[[Code]:[Item]],2,FALSE)</f>
        <v>Megawidget M</v>
      </c>
      <c r="P2047" s="4">
        <f>OrganizedData[[#This Row],[Quantity]]*VLOOKUP(OrganizedData[[#This Row],[Product Code]],ProductData[],4,FALSE)</f>
        <v>1632</v>
      </c>
      <c r="Q2047" s="6">
        <f>OrganizedData[[#This Row],[Total Items Ordered]]*VLOOKUP(OrganizedData[[#This Row],[Product Code]],ProductData[],3,FALSE)</f>
        <v>2105.2800000000002</v>
      </c>
      <c r="R20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2000.0160000000001</v>
      </c>
    </row>
    <row r="2048" spans="1:18" x14ac:dyDescent="0.3">
      <c r="A2048" s="2">
        <v>2041</v>
      </c>
      <c r="B2048" s="2" t="s">
        <v>3787</v>
      </c>
      <c r="C2048" s="2" t="s">
        <v>4269</v>
      </c>
      <c r="D2048" s="2" t="s">
        <v>28</v>
      </c>
      <c r="E2048" s="2" t="s">
        <v>29</v>
      </c>
      <c r="F2048" s="2">
        <v>60</v>
      </c>
      <c r="G2048" s="2" t="s">
        <v>5777</v>
      </c>
      <c r="H2048" s="2" t="s">
        <v>3169</v>
      </c>
      <c r="I2048" s="2" t="s">
        <v>110</v>
      </c>
      <c r="J2048" s="3">
        <v>44106</v>
      </c>
      <c r="K2048" s="5">
        <f>YEAR(OrganizedData[[#This Row],[Order Date]])</f>
        <v>2020</v>
      </c>
      <c r="L2048" s="7" t="str">
        <f>TEXT(OrganizedData[[#This Row],[Order Date]],"mmm")</f>
        <v>Oct</v>
      </c>
      <c r="M2048" s="2">
        <v>41</v>
      </c>
      <c r="N2048" s="2" t="s">
        <v>64</v>
      </c>
      <c r="O2048" s="2" t="str">
        <f>VLOOKUP(OrganizedData[[#This Row],[Product Code]],ProductData[[Code]:[Item]],2,FALSE)</f>
        <v>Ultrathing V4</v>
      </c>
      <c r="P2048" s="4">
        <f>OrganizedData[[#This Row],[Quantity]]*VLOOKUP(OrganizedData[[#This Row],[Product Code]],ProductData[],4,FALSE)</f>
        <v>984</v>
      </c>
      <c r="Q2048" s="6">
        <f>OrganizedData[[#This Row],[Total Items Ordered]]*VLOOKUP(OrganizedData[[#This Row],[Product Code]],ProductData[],3,FALSE)</f>
        <v>3926.1600000000003</v>
      </c>
      <c r="R20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3808.3752000000004</v>
      </c>
    </row>
    <row r="2049" spans="1:18" x14ac:dyDescent="0.3">
      <c r="A2049" s="2">
        <v>2042</v>
      </c>
      <c r="B2049" s="2" t="s">
        <v>5612</v>
      </c>
      <c r="C2049" s="2" t="s">
        <v>1286</v>
      </c>
      <c r="D2049" s="2" t="s">
        <v>15</v>
      </c>
      <c r="E2049" s="2" t="s">
        <v>16</v>
      </c>
      <c r="F2049" s="2">
        <v>60</v>
      </c>
      <c r="G2049" s="2" t="s">
        <v>5779</v>
      </c>
      <c r="H2049" s="2" t="s">
        <v>1060</v>
      </c>
      <c r="I2049" s="2" t="s">
        <v>38</v>
      </c>
      <c r="J2049" s="3">
        <v>44143</v>
      </c>
      <c r="K2049" s="5">
        <f>YEAR(OrganizedData[[#This Row],[Order Date]])</f>
        <v>2020</v>
      </c>
      <c r="L2049" s="7" t="str">
        <f>TEXT(OrganizedData[[#This Row],[Order Date]],"mmm")</f>
        <v>Nov</v>
      </c>
      <c r="M2049" s="2">
        <v>2</v>
      </c>
      <c r="N2049" s="2" t="s">
        <v>45</v>
      </c>
      <c r="O2049" s="2" t="str">
        <f>VLOOKUP(OrganizedData[[#This Row],[Product Code]],ProductData[[Code]:[Item]],2,FALSE)</f>
        <v>Gigastuff</v>
      </c>
      <c r="P2049" s="4">
        <f>OrganizedData[[#This Row],[Quantity]]*VLOOKUP(OrganizedData[[#This Row],[Product Code]],ProductData[],4,FALSE)</f>
        <v>36</v>
      </c>
      <c r="Q2049" s="6">
        <f>OrganizedData[[#This Row],[Total Items Ordered]]*VLOOKUP(OrganizedData[[#This Row],[Product Code]],ProductData[],3,FALSE)</f>
        <v>68.039999999999992</v>
      </c>
      <c r="R20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68.039999999999992</v>
      </c>
    </row>
    <row r="2050" spans="1:18" x14ac:dyDescent="0.3">
      <c r="A2050" s="2">
        <v>2043</v>
      </c>
      <c r="B2050" s="2" t="s">
        <v>2788</v>
      </c>
      <c r="C2050" s="2" t="s">
        <v>3120</v>
      </c>
      <c r="D2050" s="2" t="s">
        <v>28</v>
      </c>
      <c r="E2050" s="2" t="s">
        <v>29</v>
      </c>
      <c r="F2050" s="2">
        <v>30</v>
      </c>
      <c r="G2050" s="2" t="s">
        <v>5780</v>
      </c>
      <c r="H2050" s="2" t="s">
        <v>5781</v>
      </c>
      <c r="I2050" s="2" t="s">
        <v>32</v>
      </c>
      <c r="J2050" s="3">
        <v>44579</v>
      </c>
      <c r="K2050" s="5">
        <f>YEAR(OrganizedData[[#This Row],[Order Date]])</f>
        <v>2022</v>
      </c>
      <c r="L2050" s="7" t="str">
        <f>TEXT(OrganizedData[[#This Row],[Order Date]],"mmm")</f>
        <v>Jan</v>
      </c>
      <c r="M2050" s="2">
        <v>24</v>
      </c>
      <c r="N2050" s="2" t="s">
        <v>54</v>
      </c>
      <c r="O2050" s="2" t="str">
        <f>VLOOKUP(OrganizedData[[#This Row],[Product Code]],ProductData[[Code]:[Item]],2,FALSE)</f>
        <v>Megawidget S</v>
      </c>
      <c r="P2050" s="4">
        <f>OrganizedData[[#This Row],[Quantity]]*VLOOKUP(OrganizedData[[#This Row],[Product Code]],ProductData[],4,FALSE)</f>
        <v>576</v>
      </c>
      <c r="Q2050" s="6">
        <f>OrganizedData[[#This Row],[Total Items Ordered]]*VLOOKUP(OrganizedData[[#This Row],[Product Code]],ProductData[],3,FALSE)</f>
        <v>397.43999999999994</v>
      </c>
      <c r="R20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385.51679999999993</v>
      </c>
    </row>
    <row r="2051" spans="1:18" x14ac:dyDescent="0.3">
      <c r="A2051" s="2">
        <v>2044</v>
      </c>
      <c r="B2051" s="2" t="s">
        <v>5782</v>
      </c>
      <c r="C2051" s="2" t="s">
        <v>991</v>
      </c>
      <c r="D2051" s="2" t="s">
        <v>51</v>
      </c>
      <c r="E2051" s="2" t="s">
        <v>16</v>
      </c>
      <c r="F2051" s="2">
        <v>90</v>
      </c>
      <c r="G2051" s="2" t="s">
        <v>5783</v>
      </c>
      <c r="H2051" s="2" t="s">
        <v>4527</v>
      </c>
      <c r="I2051" s="2" t="s">
        <v>32</v>
      </c>
      <c r="J2051" s="3">
        <v>44611</v>
      </c>
      <c r="K2051" s="5">
        <f>YEAR(OrganizedData[[#This Row],[Order Date]])</f>
        <v>2022</v>
      </c>
      <c r="L2051" s="7" t="str">
        <f>TEXT(OrganizedData[[#This Row],[Order Date]],"mmm")</f>
        <v>Feb</v>
      </c>
      <c r="M2051" s="2">
        <v>43</v>
      </c>
      <c r="N2051" s="2" t="s">
        <v>54</v>
      </c>
      <c r="O2051" s="2" t="str">
        <f>VLOOKUP(OrganizedData[[#This Row],[Product Code]],ProductData[[Code]:[Item]],2,FALSE)</f>
        <v>Megawidget S</v>
      </c>
      <c r="P2051" s="4">
        <f>OrganizedData[[#This Row],[Quantity]]*VLOOKUP(OrganizedData[[#This Row],[Product Code]],ProductData[],4,FALSE)</f>
        <v>1032</v>
      </c>
      <c r="Q2051" s="6">
        <f>OrganizedData[[#This Row],[Total Items Ordered]]*VLOOKUP(OrganizedData[[#This Row],[Product Code]],ProductData[],3,FALSE)</f>
        <v>712.07999999999993</v>
      </c>
      <c r="R20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690.71759999999995</v>
      </c>
    </row>
    <row r="2052" spans="1:18" x14ac:dyDescent="0.3">
      <c r="A2052" s="2">
        <v>2045</v>
      </c>
      <c r="B2052" s="2" t="s">
        <v>2319</v>
      </c>
      <c r="C2052" s="2" t="s">
        <v>152</v>
      </c>
      <c r="D2052" s="2" t="s">
        <v>28</v>
      </c>
      <c r="E2052" s="2" t="s">
        <v>29</v>
      </c>
      <c r="F2052" s="2">
        <v>60</v>
      </c>
      <c r="G2052" s="2" t="s">
        <v>5784</v>
      </c>
      <c r="H2052" s="2" t="s">
        <v>827</v>
      </c>
      <c r="I2052" s="2" t="s">
        <v>124</v>
      </c>
      <c r="J2052" s="3">
        <v>44348</v>
      </c>
      <c r="K2052" s="5">
        <f>YEAR(OrganizedData[[#This Row],[Order Date]])</f>
        <v>2021</v>
      </c>
      <c r="L2052" s="7" t="str">
        <f>TEXT(OrganizedData[[#This Row],[Order Date]],"mmm")</f>
        <v>Jun</v>
      </c>
      <c r="M2052" s="2">
        <v>70</v>
      </c>
      <c r="N2052" s="2" t="s">
        <v>159</v>
      </c>
      <c r="O2052" s="2" t="str">
        <f>VLOOKUP(OrganizedData[[#This Row],[Product Code]],ProductData[[Code]:[Item]],2,FALSE)</f>
        <v>Ultrathing V3</v>
      </c>
      <c r="P2052" s="4">
        <f>OrganizedData[[#This Row],[Quantity]]*VLOOKUP(OrganizedData[[#This Row],[Product Code]],ProductData[],4,FALSE)</f>
        <v>1680</v>
      </c>
      <c r="Q2052" s="6">
        <f>OrganizedData[[#This Row],[Total Items Ordered]]*VLOOKUP(OrganizedData[[#This Row],[Product Code]],ProductData[],3,FALSE)</f>
        <v>5695.2</v>
      </c>
      <c r="R20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2053" spans="1:18" x14ac:dyDescent="0.3">
      <c r="A2053" s="2">
        <v>2046</v>
      </c>
      <c r="B2053" s="2" t="s">
        <v>5785</v>
      </c>
      <c r="C2053" s="2" t="s">
        <v>5786</v>
      </c>
      <c r="D2053" s="2" t="s">
        <v>28</v>
      </c>
      <c r="E2053" s="2" t="s">
        <v>29</v>
      </c>
      <c r="F2053" s="2">
        <v>30</v>
      </c>
      <c r="G2053" s="2" t="s">
        <v>5787</v>
      </c>
      <c r="H2053" s="2" t="s">
        <v>2141</v>
      </c>
      <c r="I2053" s="2" t="s">
        <v>1078</v>
      </c>
      <c r="J2053" s="3">
        <v>44112</v>
      </c>
      <c r="K2053" s="5">
        <f>YEAR(OrganizedData[[#This Row],[Order Date]])</f>
        <v>2020</v>
      </c>
      <c r="L2053" s="7" t="str">
        <f>TEXT(OrganizedData[[#This Row],[Order Date]],"mmm")</f>
        <v>Oct</v>
      </c>
      <c r="M2053" s="2">
        <v>19</v>
      </c>
      <c r="N2053" s="2" t="s">
        <v>64</v>
      </c>
      <c r="O2053" s="2" t="str">
        <f>VLOOKUP(OrganizedData[[#This Row],[Product Code]],ProductData[[Code]:[Item]],2,FALSE)</f>
        <v>Ultrathing V4</v>
      </c>
      <c r="P2053" s="4">
        <f>OrganizedData[[#This Row],[Quantity]]*VLOOKUP(OrganizedData[[#This Row],[Product Code]],ProductData[],4,FALSE)</f>
        <v>456</v>
      </c>
      <c r="Q2053" s="6">
        <f>OrganizedData[[#This Row],[Total Items Ordered]]*VLOOKUP(OrganizedData[[#This Row],[Product Code]],ProductData[],3,FALSE)</f>
        <v>1819.44</v>
      </c>
      <c r="R20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2054" spans="1:18" x14ac:dyDescent="0.3">
      <c r="A2054" s="2">
        <v>2047</v>
      </c>
      <c r="B2054" s="2" t="s">
        <v>4452</v>
      </c>
      <c r="C2054" s="2" t="s">
        <v>5788</v>
      </c>
      <c r="D2054" s="2" t="s">
        <v>28</v>
      </c>
      <c r="E2054" s="2" t="s">
        <v>29</v>
      </c>
      <c r="F2054" s="2">
        <v>30</v>
      </c>
      <c r="G2054" s="2" t="s">
        <v>5787</v>
      </c>
      <c r="H2054" s="2" t="s">
        <v>2056</v>
      </c>
      <c r="I2054" s="2" t="s">
        <v>32</v>
      </c>
      <c r="J2054" s="3">
        <v>44307</v>
      </c>
      <c r="K2054" s="5">
        <f>YEAR(OrganizedData[[#This Row],[Order Date]])</f>
        <v>2021</v>
      </c>
      <c r="L2054" s="7" t="str">
        <f>TEXT(OrganizedData[[#This Row],[Order Date]],"mmm")</f>
        <v>Apr</v>
      </c>
      <c r="M2054" s="2">
        <v>87</v>
      </c>
      <c r="N2054" s="2" t="s">
        <v>101</v>
      </c>
      <c r="O2054" s="2" t="str">
        <f>VLOOKUP(OrganizedData[[#This Row],[Product Code]],ProductData[[Code]:[Item]],2,FALSE)</f>
        <v>Superwossname</v>
      </c>
      <c r="P2054" s="4">
        <f>OrganizedData[[#This Row],[Quantity]]*VLOOKUP(OrganizedData[[#This Row],[Product Code]],ProductData[],4,FALSE)</f>
        <v>1740</v>
      </c>
      <c r="Q2054" s="6">
        <f>OrganizedData[[#This Row],[Total Items Ordered]]*VLOOKUP(OrganizedData[[#This Row],[Product Code]],ProductData[],3,FALSE)</f>
        <v>6072.6</v>
      </c>
      <c r="R20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5768.97</v>
      </c>
    </row>
    <row r="2055" spans="1:18" x14ac:dyDescent="0.3">
      <c r="A2055" s="2">
        <v>2048</v>
      </c>
      <c r="B2055" s="2" t="s">
        <v>5789</v>
      </c>
      <c r="C2055" s="2" t="s">
        <v>4059</v>
      </c>
      <c r="D2055" s="2" t="s">
        <v>28</v>
      </c>
      <c r="E2055" s="2" t="s">
        <v>29</v>
      </c>
      <c r="F2055" s="2">
        <v>30</v>
      </c>
      <c r="G2055" s="2" t="s">
        <v>5790</v>
      </c>
      <c r="H2055" s="2" t="s">
        <v>4056</v>
      </c>
      <c r="I2055" s="2" t="s">
        <v>124</v>
      </c>
      <c r="J2055" s="3">
        <v>44755</v>
      </c>
      <c r="K2055" s="5">
        <f>YEAR(OrganizedData[[#This Row],[Order Date]])</f>
        <v>2022</v>
      </c>
      <c r="L2055" s="7" t="str">
        <f>TEXT(OrganizedData[[#This Row],[Order Date]],"mmm")</f>
        <v>Jul</v>
      </c>
      <c r="M2055" s="2">
        <v>48</v>
      </c>
      <c r="N2055" s="2" t="s">
        <v>20</v>
      </c>
      <c r="O2055" s="2" t="str">
        <f>VLOOKUP(OrganizedData[[#This Row],[Product Code]],ProductData[[Code]:[Item]],2,FALSE)</f>
        <v>Hyperwotsit</v>
      </c>
      <c r="P2055" s="4">
        <f>OrganizedData[[#This Row],[Quantity]]*VLOOKUP(OrganizedData[[#This Row],[Product Code]],ProductData[],4,FALSE)</f>
        <v>960</v>
      </c>
      <c r="Q2055" s="6">
        <f>OrganizedData[[#This Row],[Total Items Ordered]]*VLOOKUP(OrganizedData[[#This Row],[Product Code]],ProductData[],3,FALSE)</f>
        <v>1929.6</v>
      </c>
      <c r="R20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2056" spans="1:18" x14ac:dyDescent="0.3">
      <c r="A2056" s="2">
        <v>2049</v>
      </c>
      <c r="B2056" s="2" t="s">
        <v>3335</v>
      </c>
      <c r="C2056" s="2" t="s">
        <v>4558</v>
      </c>
      <c r="D2056" s="2" t="s">
        <v>28</v>
      </c>
      <c r="E2056" s="2" t="s">
        <v>29</v>
      </c>
      <c r="F2056" s="2">
        <v>60</v>
      </c>
      <c r="G2056" s="2" t="s">
        <v>5790</v>
      </c>
      <c r="H2056" s="2" t="s">
        <v>1391</v>
      </c>
      <c r="I2056" s="2" t="s">
        <v>32</v>
      </c>
      <c r="J2056" s="3">
        <v>44201</v>
      </c>
      <c r="K2056" s="5">
        <f>YEAR(OrganizedData[[#This Row],[Order Date]])</f>
        <v>2021</v>
      </c>
      <c r="L2056" s="7" t="str">
        <f>TEXT(OrganizedData[[#This Row],[Order Date]],"mmm")</f>
        <v>Jan</v>
      </c>
      <c r="M2056" s="2">
        <v>40</v>
      </c>
      <c r="N2056" s="2" t="s">
        <v>64</v>
      </c>
      <c r="O2056" s="2" t="str">
        <f>VLOOKUP(OrganizedData[[#This Row],[Product Code]],ProductData[[Code]:[Item]],2,FALSE)</f>
        <v>Ultrathing V4</v>
      </c>
      <c r="P2056" s="4">
        <f>OrganizedData[[#This Row],[Quantity]]*VLOOKUP(OrganizedData[[#This Row],[Product Code]],ProductData[],4,FALSE)</f>
        <v>960</v>
      </c>
      <c r="Q2056" s="6">
        <f>OrganizedData[[#This Row],[Total Items Ordered]]*VLOOKUP(OrganizedData[[#This Row],[Product Code]],ProductData[],3,FALSE)</f>
        <v>3830.4</v>
      </c>
      <c r="R20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3715.4879999999998</v>
      </c>
    </row>
    <row r="2057" spans="1:18" x14ac:dyDescent="0.3">
      <c r="A2057" s="2">
        <v>2050</v>
      </c>
      <c r="B2057" s="2" t="s">
        <v>2384</v>
      </c>
      <c r="C2057" s="2" t="s">
        <v>844</v>
      </c>
      <c r="D2057" s="2" t="s">
        <v>28</v>
      </c>
      <c r="E2057" s="2" t="s">
        <v>29</v>
      </c>
      <c r="F2057" s="2">
        <v>90</v>
      </c>
      <c r="G2057" s="2" t="s">
        <v>5791</v>
      </c>
      <c r="H2057" s="2" t="s">
        <v>904</v>
      </c>
      <c r="I2057" s="2" t="s">
        <v>32</v>
      </c>
      <c r="J2057" s="3">
        <v>43858</v>
      </c>
      <c r="K2057" s="5">
        <f>YEAR(OrganizedData[[#This Row],[Order Date]])</f>
        <v>2020</v>
      </c>
      <c r="L2057" s="7" t="str">
        <f>TEXT(OrganizedData[[#This Row],[Order Date]],"mmm")</f>
        <v>Jan</v>
      </c>
      <c r="M2057" s="2">
        <v>33</v>
      </c>
      <c r="N2057" s="2" t="s">
        <v>80</v>
      </c>
      <c r="O2057" s="2" t="str">
        <f>VLOOKUP(OrganizedData[[#This Row],[Product Code]],ProductData[[Code]:[Item]],2,FALSE)</f>
        <v>Ultrathing V2</v>
      </c>
      <c r="P2057" s="4">
        <f>OrganizedData[[#This Row],[Quantity]]*VLOOKUP(OrganizedData[[#This Row],[Product Code]],ProductData[],4,FALSE)</f>
        <v>660</v>
      </c>
      <c r="Q2057" s="6">
        <f>OrganizedData[[#This Row],[Total Items Ordered]]*VLOOKUP(OrganizedData[[#This Row],[Product Code]],ProductData[],3,FALSE)</f>
        <v>1947.0000000000002</v>
      </c>
      <c r="R20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1888.5900000000001</v>
      </c>
    </row>
    <row r="2058" spans="1:18" x14ac:dyDescent="0.3">
      <c r="A2058" s="2">
        <v>2051</v>
      </c>
      <c r="B2058" s="2" t="s">
        <v>3684</v>
      </c>
      <c r="C2058" s="2" t="s">
        <v>5792</v>
      </c>
      <c r="D2058" s="2" t="s">
        <v>51</v>
      </c>
      <c r="E2058" s="2" t="s">
        <v>16</v>
      </c>
      <c r="F2058" s="2">
        <v>30</v>
      </c>
      <c r="G2058" s="2" t="s">
        <v>5793</v>
      </c>
      <c r="H2058" s="2" t="s">
        <v>5794</v>
      </c>
      <c r="I2058" s="2" t="s">
        <v>294</v>
      </c>
      <c r="J2058" s="3">
        <v>44087</v>
      </c>
      <c r="K2058" s="5">
        <f>YEAR(OrganizedData[[#This Row],[Order Date]])</f>
        <v>2020</v>
      </c>
      <c r="L2058" s="7" t="str">
        <f>TEXT(OrganizedData[[#This Row],[Order Date]],"mmm")</f>
        <v>Sep</v>
      </c>
      <c r="M2058" s="2">
        <v>33</v>
      </c>
      <c r="N2058" s="2" t="s">
        <v>45</v>
      </c>
      <c r="O2058" s="2" t="str">
        <f>VLOOKUP(OrganizedData[[#This Row],[Product Code]],ProductData[[Code]:[Item]],2,FALSE)</f>
        <v>Gigastuff</v>
      </c>
      <c r="P2058" s="4">
        <f>OrganizedData[[#This Row],[Quantity]]*VLOOKUP(OrganizedData[[#This Row],[Product Code]],ProductData[],4,FALSE)</f>
        <v>594</v>
      </c>
      <c r="Q2058" s="6">
        <f>OrganizedData[[#This Row],[Total Items Ordered]]*VLOOKUP(OrganizedData[[#This Row],[Product Code]],ProductData[],3,FALSE)</f>
        <v>1122.6599999999999</v>
      </c>
      <c r="R20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2059" spans="1:18" x14ac:dyDescent="0.3">
      <c r="A2059" s="2">
        <v>2052</v>
      </c>
      <c r="B2059" s="2" t="s">
        <v>5795</v>
      </c>
      <c r="C2059" s="2" t="s">
        <v>879</v>
      </c>
      <c r="D2059" s="2" t="s">
        <v>41</v>
      </c>
      <c r="E2059" s="2" t="s">
        <v>16</v>
      </c>
      <c r="F2059" s="2">
        <v>60</v>
      </c>
      <c r="G2059" s="2" t="s">
        <v>5796</v>
      </c>
      <c r="H2059" s="2" t="s">
        <v>382</v>
      </c>
      <c r="I2059" s="2" t="s">
        <v>32</v>
      </c>
      <c r="J2059" s="3">
        <v>43869</v>
      </c>
      <c r="K2059" s="5">
        <f>YEAR(OrganizedData[[#This Row],[Order Date]])</f>
        <v>2020</v>
      </c>
      <c r="L2059" s="7" t="str">
        <f>TEXT(OrganizedData[[#This Row],[Order Date]],"mmm")</f>
        <v>Feb</v>
      </c>
      <c r="M2059" s="2">
        <v>72</v>
      </c>
      <c r="N2059" s="2" t="s">
        <v>64</v>
      </c>
      <c r="O2059" s="2" t="str">
        <f>VLOOKUP(OrganizedData[[#This Row],[Product Code]],ProductData[[Code]:[Item]],2,FALSE)</f>
        <v>Ultrathing V4</v>
      </c>
      <c r="P2059" s="4">
        <f>OrganizedData[[#This Row],[Quantity]]*VLOOKUP(OrganizedData[[#This Row],[Product Code]],ProductData[],4,FALSE)</f>
        <v>1728</v>
      </c>
      <c r="Q2059" s="6">
        <f>OrganizedData[[#This Row],[Total Items Ordered]]*VLOOKUP(OrganizedData[[#This Row],[Product Code]],ProductData[],3,FALSE)</f>
        <v>6894.72</v>
      </c>
      <c r="R20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6549.9840000000004</v>
      </c>
    </row>
    <row r="2060" spans="1:18" x14ac:dyDescent="0.3">
      <c r="A2060" s="2">
        <v>2053</v>
      </c>
      <c r="B2060" s="2" t="s">
        <v>5797</v>
      </c>
      <c r="C2060" s="2" t="s">
        <v>1211</v>
      </c>
      <c r="D2060" s="2" t="s">
        <v>28</v>
      </c>
      <c r="E2060" s="2" t="s">
        <v>29</v>
      </c>
      <c r="F2060" s="2">
        <v>90</v>
      </c>
      <c r="G2060" s="2" t="s">
        <v>5798</v>
      </c>
      <c r="H2060" s="2" t="s">
        <v>4098</v>
      </c>
      <c r="I2060" s="2" t="s">
        <v>1889</v>
      </c>
      <c r="J2060" s="3">
        <v>44234</v>
      </c>
      <c r="K2060" s="5">
        <f>YEAR(OrganizedData[[#This Row],[Order Date]])</f>
        <v>2021</v>
      </c>
      <c r="L2060" s="7" t="str">
        <f>TEXT(OrganizedData[[#This Row],[Order Date]],"mmm")</f>
        <v>Feb</v>
      </c>
      <c r="M2060" s="2">
        <v>4</v>
      </c>
      <c r="N2060" s="2" t="s">
        <v>70</v>
      </c>
      <c r="O2060" s="2" t="str">
        <f>VLOOKUP(OrganizedData[[#This Row],[Product Code]],ProductData[[Code]:[Item]],2,FALSE)</f>
        <v>Megawidget M</v>
      </c>
      <c r="P2060" s="4">
        <f>OrganizedData[[#This Row],[Quantity]]*VLOOKUP(OrganizedData[[#This Row],[Product Code]],ProductData[],4,FALSE)</f>
        <v>96</v>
      </c>
      <c r="Q2060" s="6">
        <f>OrganizedData[[#This Row],[Total Items Ordered]]*VLOOKUP(OrganizedData[[#This Row],[Product Code]],ProductData[],3,FALSE)</f>
        <v>123.84</v>
      </c>
      <c r="R20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123.84</v>
      </c>
    </row>
    <row r="2061" spans="1:18" x14ac:dyDescent="0.3">
      <c r="A2061" s="2">
        <v>2054</v>
      </c>
      <c r="B2061" s="2" t="s">
        <v>5799</v>
      </c>
      <c r="C2061" s="2" t="s">
        <v>3556</v>
      </c>
      <c r="D2061" s="2" t="s">
        <v>15</v>
      </c>
      <c r="E2061" s="2" t="s">
        <v>16</v>
      </c>
      <c r="F2061" s="2">
        <v>60</v>
      </c>
      <c r="G2061" s="2" t="s">
        <v>5800</v>
      </c>
      <c r="H2061" s="2" t="s">
        <v>4669</v>
      </c>
      <c r="I2061" s="2" t="s">
        <v>187</v>
      </c>
      <c r="J2061" s="3">
        <v>44001</v>
      </c>
      <c r="K2061" s="5">
        <f>YEAR(OrganizedData[[#This Row],[Order Date]])</f>
        <v>2020</v>
      </c>
      <c r="L2061" s="7" t="str">
        <f>TEXT(OrganizedData[[#This Row],[Order Date]],"mmm")</f>
        <v>Jun</v>
      </c>
      <c r="M2061" s="2">
        <v>17</v>
      </c>
      <c r="N2061" s="2" t="s">
        <v>45</v>
      </c>
      <c r="O2061" s="2" t="str">
        <f>VLOOKUP(OrganizedData[[#This Row],[Product Code]],ProductData[[Code]:[Item]],2,FALSE)</f>
        <v>Gigastuff</v>
      </c>
      <c r="P2061" s="4">
        <f>OrganizedData[[#This Row],[Quantity]]*VLOOKUP(OrganizedData[[#This Row],[Product Code]],ProductData[],4,FALSE)</f>
        <v>306</v>
      </c>
      <c r="Q2061" s="6">
        <f>OrganizedData[[#This Row],[Total Items Ordered]]*VLOOKUP(OrganizedData[[#This Row],[Product Code]],ProductData[],3,FALSE)</f>
        <v>578.33999999999992</v>
      </c>
      <c r="R20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2062" spans="1:18" x14ac:dyDescent="0.3">
      <c r="A2062" s="2">
        <v>2055</v>
      </c>
      <c r="B2062" s="2" t="s">
        <v>5801</v>
      </c>
      <c r="C2062" s="2" t="s">
        <v>4786</v>
      </c>
      <c r="D2062" s="2" t="s">
        <v>51</v>
      </c>
      <c r="E2062" s="2" t="s">
        <v>16</v>
      </c>
      <c r="F2062" s="2">
        <v>30</v>
      </c>
      <c r="G2062" s="2" t="s">
        <v>5802</v>
      </c>
      <c r="H2062" s="2" t="s">
        <v>5803</v>
      </c>
      <c r="I2062" s="2" t="s">
        <v>294</v>
      </c>
      <c r="J2062" s="3">
        <v>44385</v>
      </c>
      <c r="K2062" s="5">
        <f>YEAR(OrganizedData[[#This Row],[Order Date]])</f>
        <v>2021</v>
      </c>
      <c r="L2062" s="7" t="str">
        <f>TEXT(OrganizedData[[#This Row],[Order Date]],"mmm")</f>
        <v>Jul</v>
      </c>
      <c r="M2062" s="2">
        <v>93</v>
      </c>
      <c r="N2062" s="2" t="s">
        <v>70</v>
      </c>
      <c r="O2062" s="2" t="str">
        <f>VLOOKUP(OrganizedData[[#This Row],[Product Code]],ProductData[[Code]:[Item]],2,FALSE)</f>
        <v>Megawidget M</v>
      </c>
      <c r="P2062" s="4">
        <f>OrganizedData[[#This Row],[Quantity]]*VLOOKUP(OrganizedData[[#This Row],[Product Code]],ProductData[],4,FALSE)</f>
        <v>2232</v>
      </c>
      <c r="Q2062" s="6">
        <f>OrganizedData[[#This Row],[Total Items Ordered]]*VLOOKUP(OrganizedData[[#This Row],[Product Code]],ProductData[],3,FALSE)</f>
        <v>2879.28</v>
      </c>
      <c r="R20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2735.3160000000003</v>
      </c>
    </row>
    <row r="2063" spans="1:18" x14ac:dyDescent="0.3">
      <c r="A2063" s="2">
        <v>2056</v>
      </c>
      <c r="B2063" s="2" t="s">
        <v>5804</v>
      </c>
      <c r="C2063" s="2" t="s">
        <v>4376</v>
      </c>
      <c r="D2063" s="2" t="s">
        <v>51</v>
      </c>
      <c r="E2063" s="2" t="s">
        <v>16</v>
      </c>
      <c r="F2063" s="2">
        <v>30</v>
      </c>
      <c r="G2063" s="2" t="s">
        <v>10515</v>
      </c>
      <c r="H2063" s="2" t="s">
        <v>2230</v>
      </c>
      <c r="I2063" s="2" t="s">
        <v>32</v>
      </c>
      <c r="J2063" s="3">
        <v>43891</v>
      </c>
      <c r="K2063" s="5">
        <f>YEAR(OrganizedData[[#This Row],[Order Date]])</f>
        <v>2020</v>
      </c>
      <c r="L2063" s="7" t="str">
        <f>TEXT(OrganizedData[[#This Row],[Order Date]],"mmm")</f>
        <v>Mar</v>
      </c>
      <c r="M2063" s="2">
        <v>44</v>
      </c>
      <c r="N2063" s="2" t="s">
        <v>54</v>
      </c>
      <c r="O2063" s="2" t="str">
        <f>VLOOKUP(OrganizedData[[#This Row],[Product Code]],ProductData[[Code]:[Item]],2,FALSE)</f>
        <v>Megawidget S</v>
      </c>
      <c r="P2063" s="4">
        <f>OrganizedData[[#This Row],[Quantity]]*VLOOKUP(OrganizedData[[#This Row],[Product Code]],ProductData[],4,FALSE)</f>
        <v>1056</v>
      </c>
      <c r="Q2063" s="6">
        <f>OrganizedData[[#This Row],[Total Items Ordered]]*VLOOKUP(OrganizedData[[#This Row],[Product Code]],ProductData[],3,FALSE)</f>
        <v>728.64</v>
      </c>
      <c r="R20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2064" spans="1:18" x14ac:dyDescent="0.3">
      <c r="A2064" s="2">
        <v>2057</v>
      </c>
      <c r="B2064" s="2" t="s">
        <v>1376</v>
      </c>
      <c r="C2064" s="2" t="s">
        <v>2581</v>
      </c>
      <c r="D2064" s="2" t="s">
        <v>92</v>
      </c>
      <c r="E2064" s="2" t="s">
        <v>29</v>
      </c>
      <c r="F2064" s="2">
        <v>60</v>
      </c>
      <c r="G2064" s="2" t="s">
        <v>5806</v>
      </c>
      <c r="H2064" s="2" t="s">
        <v>4552</v>
      </c>
      <c r="I2064" s="2" t="s">
        <v>38</v>
      </c>
      <c r="J2064" s="3">
        <v>44548</v>
      </c>
      <c r="K2064" s="5">
        <f>YEAR(OrganizedData[[#This Row],[Order Date]])</f>
        <v>2021</v>
      </c>
      <c r="L2064" s="7" t="str">
        <f>TEXT(OrganizedData[[#This Row],[Order Date]],"mmm")</f>
        <v>Dec</v>
      </c>
      <c r="M2064" s="2">
        <v>43</v>
      </c>
      <c r="N2064" s="2" t="s">
        <v>45</v>
      </c>
      <c r="O2064" s="2" t="str">
        <f>VLOOKUP(OrganizedData[[#This Row],[Product Code]],ProductData[[Code]:[Item]],2,FALSE)</f>
        <v>Gigastuff</v>
      </c>
      <c r="P2064" s="4">
        <f>OrganizedData[[#This Row],[Quantity]]*VLOOKUP(OrganizedData[[#This Row],[Product Code]],ProductData[],4,FALSE)</f>
        <v>774</v>
      </c>
      <c r="Q2064" s="6">
        <f>OrganizedData[[#This Row],[Total Items Ordered]]*VLOOKUP(OrganizedData[[#This Row],[Product Code]],ProductData[],3,FALSE)</f>
        <v>1462.86</v>
      </c>
      <c r="R20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2065" spans="1:18" x14ac:dyDescent="0.3">
      <c r="A2065" s="2">
        <v>2058</v>
      </c>
      <c r="B2065" s="2" t="s">
        <v>3113</v>
      </c>
      <c r="C2065" s="2" t="s">
        <v>5807</v>
      </c>
      <c r="D2065" s="2" t="s">
        <v>41</v>
      </c>
      <c r="E2065" s="2" t="s">
        <v>16</v>
      </c>
      <c r="F2065" s="2">
        <v>30</v>
      </c>
      <c r="G2065" s="2" t="s">
        <v>5808</v>
      </c>
      <c r="H2065" s="2" t="s">
        <v>5214</v>
      </c>
      <c r="I2065" s="2" t="s">
        <v>95</v>
      </c>
      <c r="J2065" s="3">
        <v>44447</v>
      </c>
      <c r="K2065" s="5">
        <f>YEAR(OrganizedData[[#This Row],[Order Date]])</f>
        <v>2021</v>
      </c>
      <c r="L2065" s="7" t="str">
        <f>TEXT(OrganizedData[[#This Row],[Order Date]],"mmm")</f>
        <v>Sep</v>
      </c>
      <c r="M2065" s="2">
        <v>58</v>
      </c>
      <c r="N2065" s="2" t="s">
        <v>70</v>
      </c>
      <c r="O2065" s="2" t="str">
        <f>VLOOKUP(OrganizedData[[#This Row],[Product Code]],ProductData[[Code]:[Item]],2,FALSE)</f>
        <v>Megawidget M</v>
      </c>
      <c r="P2065" s="4">
        <f>OrganizedData[[#This Row],[Quantity]]*VLOOKUP(OrganizedData[[#This Row],[Product Code]],ProductData[],4,FALSE)</f>
        <v>1392</v>
      </c>
      <c r="Q2065" s="6">
        <f>OrganizedData[[#This Row],[Total Items Ordered]]*VLOOKUP(OrganizedData[[#This Row],[Product Code]],ProductData[],3,FALSE)</f>
        <v>1795.68</v>
      </c>
      <c r="R20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1705.896</v>
      </c>
    </row>
    <row r="2066" spans="1:18" x14ac:dyDescent="0.3">
      <c r="A2066" s="2">
        <v>2059</v>
      </c>
      <c r="B2066" s="2" t="s">
        <v>5809</v>
      </c>
      <c r="C2066" s="2" t="s">
        <v>5370</v>
      </c>
      <c r="D2066" s="2" t="s">
        <v>15</v>
      </c>
      <c r="E2066" s="2" t="s">
        <v>16</v>
      </c>
      <c r="F2066" s="2">
        <v>30</v>
      </c>
      <c r="G2066" s="2" t="s">
        <v>5810</v>
      </c>
      <c r="H2066" s="2" t="s">
        <v>5811</v>
      </c>
      <c r="I2066" s="2" t="s">
        <v>294</v>
      </c>
      <c r="J2066" s="3">
        <v>44850</v>
      </c>
      <c r="K2066" s="5">
        <f>YEAR(OrganizedData[[#This Row],[Order Date]])</f>
        <v>2022</v>
      </c>
      <c r="L2066" s="7" t="str">
        <f>TEXT(OrganizedData[[#This Row],[Order Date]],"mmm")</f>
        <v>Oct</v>
      </c>
      <c r="M2066" s="2">
        <v>42</v>
      </c>
      <c r="N2066" s="2" t="s">
        <v>33</v>
      </c>
      <c r="O2066" s="2" t="str">
        <f>VLOOKUP(OrganizedData[[#This Row],[Product Code]],ProductData[[Code]:[Item]],2,FALSE)</f>
        <v>Megawidget L</v>
      </c>
      <c r="P2066" s="4">
        <f>OrganizedData[[#This Row],[Quantity]]*VLOOKUP(OrganizedData[[#This Row],[Product Code]],ProductData[],4,FALSE)</f>
        <v>1008</v>
      </c>
      <c r="Q2066" s="6">
        <f>OrganizedData[[#This Row],[Total Items Ordered]]*VLOOKUP(OrganizedData[[#This Row],[Product Code]],ProductData[],3,FALSE)</f>
        <v>1804.32</v>
      </c>
      <c r="R20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2067" spans="1:18" x14ac:dyDescent="0.3">
      <c r="A2067" s="2">
        <v>2060</v>
      </c>
      <c r="B2067" s="2" t="s">
        <v>5812</v>
      </c>
      <c r="C2067" s="2" t="s">
        <v>3258</v>
      </c>
      <c r="D2067" s="2" t="s">
        <v>51</v>
      </c>
      <c r="E2067" s="2" t="s">
        <v>16</v>
      </c>
      <c r="F2067" s="2">
        <v>60</v>
      </c>
      <c r="G2067" s="2" t="s">
        <v>5813</v>
      </c>
      <c r="H2067" s="2" t="s">
        <v>957</v>
      </c>
      <c r="I2067" s="2" t="s">
        <v>95</v>
      </c>
      <c r="J2067" s="3">
        <v>44213</v>
      </c>
      <c r="K2067" s="5">
        <f>YEAR(OrganizedData[[#This Row],[Order Date]])</f>
        <v>2021</v>
      </c>
      <c r="L2067" s="7" t="str">
        <f>TEXT(OrganizedData[[#This Row],[Order Date]],"mmm")</f>
        <v>Jan</v>
      </c>
      <c r="M2067" s="2">
        <v>90</v>
      </c>
      <c r="N2067" s="2" t="s">
        <v>33</v>
      </c>
      <c r="O2067" s="2" t="str">
        <f>VLOOKUP(OrganizedData[[#This Row],[Product Code]],ProductData[[Code]:[Item]],2,FALSE)</f>
        <v>Megawidget L</v>
      </c>
      <c r="P2067" s="4">
        <f>OrganizedData[[#This Row],[Quantity]]*VLOOKUP(OrganizedData[[#This Row],[Product Code]],ProductData[],4,FALSE)</f>
        <v>2160</v>
      </c>
      <c r="Q2067" s="6">
        <f>OrganizedData[[#This Row],[Total Items Ordered]]*VLOOKUP(OrganizedData[[#This Row],[Product Code]],ProductData[],3,FALSE)</f>
        <v>3866.4</v>
      </c>
      <c r="R20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3673.08</v>
      </c>
    </row>
    <row r="2068" spans="1:18" x14ac:dyDescent="0.3">
      <c r="A2068" s="2">
        <v>2061</v>
      </c>
      <c r="B2068" s="2" t="s">
        <v>5814</v>
      </c>
      <c r="C2068" s="2" t="s">
        <v>4913</v>
      </c>
      <c r="D2068" s="2" t="s">
        <v>51</v>
      </c>
      <c r="E2068" s="2" t="s">
        <v>16</v>
      </c>
      <c r="F2068" s="2">
        <v>90</v>
      </c>
      <c r="G2068" s="2" t="s">
        <v>5815</v>
      </c>
      <c r="H2068" s="2" t="s">
        <v>1575</v>
      </c>
      <c r="I2068" s="2" t="s">
        <v>1576</v>
      </c>
      <c r="J2068" s="3">
        <v>44627</v>
      </c>
      <c r="K2068" s="5">
        <f>YEAR(OrganizedData[[#This Row],[Order Date]])</f>
        <v>2022</v>
      </c>
      <c r="L2068" s="7" t="str">
        <f>TEXT(OrganizedData[[#This Row],[Order Date]],"mmm")</f>
        <v>Mar</v>
      </c>
      <c r="M2068" s="2">
        <v>66</v>
      </c>
      <c r="N2068" s="2" t="s">
        <v>54</v>
      </c>
      <c r="O2068" s="2" t="str">
        <f>VLOOKUP(OrganizedData[[#This Row],[Product Code]],ProductData[[Code]:[Item]],2,FALSE)</f>
        <v>Megawidget S</v>
      </c>
      <c r="P2068" s="4">
        <f>OrganizedData[[#This Row],[Quantity]]*VLOOKUP(OrganizedData[[#This Row],[Product Code]],ProductData[],4,FALSE)</f>
        <v>1584</v>
      </c>
      <c r="Q2068" s="6">
        <f>OrganizedData[[#This Row],[Total Items Ordered]]*VLOOKUP(OrganizedData[[#This Row],[Product Code]],ProductData[],3,FALSE)</f>
        <v>1092.9599999999998</v>
      </c>
      <c r="R20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2069" spans="1:18" x14ac:dyDescent="0.3">
      <c r="A2069" s="2">
        <v>2062</v>
      </c>
      <c r="B2069" s="2" t="s">
        <v>5816</v>
      </c>
      <c r="C2069" s="2" t="s">
        <v>605</v>
      </c>
      <c r="D2069" s="2" t="s">
        <v>51</v>
      </c>
      <c r="E2069" s="2" t="s">
        <v>16</v>
      </c>
      <c r="F2069" s="2">
        <v>30</v>
      </c>
      <c r="G2069" s="2" t="s">
        <v>5817</v>
      </c>
      <c r="H2069" s="2" t="s">
        <v>1893</v>
      </c>
      <c r="I2069" s="2" t="s">
        <v>294</v>
      </c>
      <c r="J2069" s="3">
        <v>44923</v>
      </c>
      <c r="K2069" s="5">
        <f>YEAR(OrganizedData[[#This Row],[Order Date]])</f>
        <v>2022</v>
      </c>
      <c r="L2069" s="7" t="str">
        <f>TEXT(OrganizedData[[#This Row],[Order Date]],"mmm")</f>
        <v>Dec</v>
      </c>
      <c r="M2069" s="2">
        <v>50</v>
      </c>
      <c r="N2069" s="2" t="s">
        <v>39</v>
      </c>
      <c r="O2069" s="2" t="str">
        <f>VLOOKUP(OrganizedData[[#This Row],[Product Code]],ProductData[[Code]:[Item]],2,FALSE)</f>
        <v>Ultrathing V1</v>
      </c>
      <c r="P2069" s="4">
        <f>OrganizedData[[#This Row],[Quantity]]*VLOOKUP(OrganizedData[[#This Row],[Product Code]],ProductData[],4,FALSE)</f>
        <v>850</v>
      </c>
      <c r="Q2069" s="6">
        <f>OrganizedData[[#This Row],[Total Items Ordered]]*VLOOKUP(OrganizedData[[#This Row],[Product Code]],ProductData[],3,FALSE)</f>
        <v>1521.5</v>
      </c>
      <c r="R20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2070" spans="1:18" x14ac:dyDescent="0.3">
      <c r="A2070" s="2">
        <v>2063</v>
      </c>
      <c r="B2070" s="2" t="s">
        <v>2808</v>
      </c>
      <c r="C2070" s="2" t="s">
        <v>3413</v>
      </c>
      <c r="D2070" s="2" t="s">
        <v>15</v>
      </c>
      <c r="E2070" s="2" t="s">
        <v>16</v>
      </c>
      <c r="F2070" s="2">
        <v>30</v>
      </c>
      <c r="G2070" s="2" t="s">
        <v>5818</v>
      </c>
      <c r="H2070" s="2" t="s">
        <v>5819</v>
      </c>
      <c r="I2070" s="2" t="s">
        <v>5820</v>
      </c>
      <c r="J2070" s="3">
        <v>43834</v>
      </c>
      <c r="K2070" s="5">
        <f>YEAR(OrganizedData[[#This Row],[Order Date]])</f>
        <v>2020</v>
      </c>
      <c r="L2070" s="7" t="str">
        <f>TEXT(OrganizedData[[#This Row],[Order Date]],"mmm")</f>
        <v>Jan</v>
      </c>
      <c r="M2070" s="2">
        <v>13</v>
      </c>
      <c r="N2070" s="2" t="s">
        <v>101</v>
      </c>
      <c r="O2070" s="2" t="str">
        <f>VLOOKUP(OrganizedData[[#This Row],[Product Code]],ProductData[[Code]:[Item]],2,FALSE)</f>
        <v>Superwossname</v>
      </c>
      <c r="P2070" s="4">
        <f>OrganizedData[[#This Row],[Quantity]]*VLOOKUP(OrganizedData[[#This Row],[Product Code]],ProductData[],4,FALSE)</f>
        <v>260</v>
      </c>
      <c r="Q2070" s="6">
        <f>OrganizedData[[#This Row],[Total Items Ordered]]*VLOOKUP(OrganizedData[[#This Row],[Product Code]],ProductData[],3,FALSE)</f>
        <v>907.40000000000009</v>
      </c>
      <c r="R20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907.40000000000009</v>
      </c>
    </row>
    <row r="2071" spans="1:18" x14ac:dyDescent="0.3">
      <c r="A2071" s="2">
        <v>2064</v>
      </c>
      <c r="B2071" s="2" t="s">
        <v>3704</v>
      </c>
      <c r="C2071" s="2" t="s">
        <v>5764</v>
      </c>
      <c r="D2071" s="2" t="s">
        <v>51</v>
      </c>
      <c r="E2071" s="2" t="s">
        <v>16</v>
      </c>
      <c r="F2071" s="2">
        <v>30</v>
      </c>
      <c r="G2071" s="2" t="s">
        <v>5822</v>
      </c>
      <c r="H2071" s="2" t="s">
        <v>5823</v>
      </c>
      <c r="I2071" s="2" t="s">
        <v>110</v>
      </c>
      <c r="J2071" s="3">
        <v>44865</v>
      </c>
      <c r="K2071" s="5">
        <f>YEAR(OrganizedData[[#This Row],[Order Date]])</f>
        <v>2022</v>
      </c>
      <c r="L2071" s="7" t="str">
        <f>TEXT(OrganizedData[[#This Row],[Order Date]],"mmm")</f>
        <v>Oct</v>
      </c>
      <c r="M2071" s="2">
        <v>102</v>
      </c>
      <c r="N2071" s="2" t="s">
        <v>39</v>
      </c>
      <c r="O2071" s="2" t="str">
        <f>VLOOKUP(OrganizedData[[#This Row],[Product Code]],ProductData[[Code]:[Item]],2,FALSE)</f>
        <v>Ultrathing V1</v>
      </c>
      <c r="P2071" s="4">
        <f>OrganizedData[[#This Row],[Quantity]]*VLOOKUP(OrganizedData[[#This Row],[Product Code]],ProductData[],4,FALSE)</f>
        <v>1734</v>
      </c>
      <c r="Q2071" s="6">
        <f>OrganizedData[[#This Row],[Total Items Ordered]]*VLOOKUP(OrganizedData[[#This Row],[Product Code]],ProductData[],3,FALSE)</f>
        <v>3103.86</v>
      </c>
      <c r="R20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2886.5898000000002</v>
      </c>
    </row>
    <row r="2072" spans="1:18" x14ac:dyDescent="0.3">
      <c r="A2072" s="2">
        <v>2065</v>
      </c>
      <c r="B2072" s="2" t="s">
        <v>4218</v>
      </c>
      <c r="C2072" s="2" t="s">
        <v>5824</v>
      </c>
      <c r="D2072" s="2" t="s">
        <v>28</v>
      </c>
      <c r="E2072" s="2" t="s">
        <v>29</v>
      </c>
      <c r="F2072" s="2">
        <v>90</v>
      </c>
      <c r="G2072" s="2" t="s">
        <v>5825</v>
      </c>
      <c r="H2072" s="2" t="s">
        <v>5826</v>
      </c>
      <c r="I2072" s="2" t="s">
        <v>32</v>
      </c>
      <c r="J2072" s="3">
        <v>44801</v>
      </c>
      <c r="K2072" s="5">
        <f>YEAR(OrganizedData[[#This Row],[Order Date]])</f>
        <v>2022</v>
      </c>
      <c r="L2072" s="7" t="str">
        <f>TEXT(OrganizedData[[#This Row],[Order Date]],"mmm")</f>
        <v>Aug</v>
      </c>
      <c r="M2072" s="2">
        <v>38</v>
      </c>
      <c r="N2072" s="2" t="s">
        <v>20</v>
      </c>
      <c r="O2072" s="2" t="str">
        <f>VLOOKUP(OrganizedData[[#This Row],[Product Code]],ProductData[[Code]:[Item]],2,FALSE)</f>
        <v>Hyperwotsit</v>
      </c>
      <c r="P2072" s="4">
        <f>OrganizedData[[#This Row],[Quantity]]*VLOOKUP(OrganizedData[[#This Row],[Product Code]],ProductData[],4,FALSE)</f>
        <v>760</v>
      </c>
      <c r="Q2072" s="6">
        <f>OrganizedData[[#This Row],[Total Items Ordered]]*VLOOKUP(OrganizedData[[#This Row],[Product Code]],ProductData[],3,FALSE)</f>
        <v>1527.6</v>
      </c>
      <c r="R20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1481.7719999999999</v>
      </c>
    </row>
    <row r="2073" spans="1:18" x14ac:dyDescent="0.3">
      <c r="A2073" s="2">
        <v>2066</v>
      </c>
      <c r="B2073" s="2" t="s">
        <v>5827</v>
      </c>
      <c r="C2073" s="2" t="s">
        <v>4727</v>
      </c>
      <c r="D2073" s="2" t="s">
        <v>41</v>
      </c>
      <c r="E2073" s="2" t="s">
        <v>16</v>
      </c>
      <c r="F2073" s="2">
        <v>60</v>
      </c>
      <c r="G2073" s="2" t="s">
        <v>5828</v>
      </c>
      <c r="H2073" s="2" t="s">
        <v>607</v>
      </c>
      <c r="I2073" s="2" t="s">
        <v>32</v>
      </c>
      <c r="J2073" s="3">
        <v>44004</v>
      </c>
      <c r="K2073" s="5">
        <f>YEAR(OrganizedData[[#This Row],[Order Date]])</f>
        <v>2020</v>
      </c>
      <c r="L2073" s="7" t="str">
        <f>TEXT(OrganizedData[[#This Row],[Order Date]],"mmm")</f>
        <v>Jun</v>
      </c>
      <c r="M2073" s="2">
        <v>70</v>
      </c>
      <c r="N2073" s="2" t="s">
        <v>64</v>
      </c>
      <c r="O2073" s="2" t="str">
        <f>VLOOKUP(OrganizedData[[#This Row],[Product Code]],ProductData[[Code]:[Item]],2,FALSE)</f>
        <v>Ultrathing V4</v>
      </c>
      <c r="P2073" s="4">
        <f>OrganizedData[[#This Row],[Quantity]]*VLOOKUP(OrganizedData[[#This Row],[Product Code]],ProductData[],4,FALSE)</f>
        <v>1680</v>
      </c>
      <c r="Q2073" s="6">
        <f>OrganizedData[[#This Row],[Total Items Ordered]]*VLOOKUP(OrganizedData[[#This Row],[Product Code]],ProductData[],3,FALSE)</f>
        <v>6703.2000000000007</v>
      </c>
      <c r="R20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6368.04</v>
      </c>
    </row>
    <row r="2074" spans="1:18" x14ac:dyDescent="0.3">
      <c r="A2074" s="2">
        <v>2067</v>
      </c>
      <c r="B2074" s="2" t="s">
        <v>2412</v>
      </c>
      <c r="C2074" s="2" t="s">
        <v>1793</v>
      </c>
      <c r="D2074" s="2" t="s">
        <v>28</v>
      </c>
      <c r="E2074" s="2" t="s">
        <v>29</v>
      </c>
      <c r="F2074" s="2">
        <v>90</v>
      </c>
      <c r="G2074" s="2" t="s">
        <v>5829</v>
      </c>
      <c r="H2074" s="2" t="s">
        <v>2288</v>
      </c>
      <c r="I2074" s="2" t="s">
        <v>32</v>
      </c>
      <c r="J2074" s="3">
        <v>44357</v>
      </c>
      <c r="K2074" s="5">
        <f>YEAR(OrganizedData[[#This Row],[Order Date]])</f>
        <v>2021</v>
      </c>
      <c r="L2074" s="7" t="str">
        <f>TEXT(OrganizedData[[#This Row],[Order Date]],"mmm")</f>
        <v>Jun</v>
      </c>
      <c r="M2074" s="2">
        <v>95</v>
      </c>
      <c r="N2074" s="2" t="s">
        <v>80</v>
      </c>
      <c r="O2074" s="2" t="str">
        <f>VLOOKUP(OrganizedData[[#This Row],[Product Code]],ProductData[[Code]:[Item]],2,FALSE)</f>
        <v>Ultrathing V2</v>
      </c>
      <c r="P2074" s="4">
        <f>OrganizedData[[#This Row],[Quantity]]*VLOOKUP(OrganizedData[[#This Row],[Product Code]],ProductData[],4,FALSE)</f>
        <v>1900</v>
      </c>
      <c r="Q2074" s="6">
        <f>OrganizedData[[#This Row],[Total Items Ordered]]*VLOOKUP(OrganizedData[[#This Row],[Product Code]],ProductData[],3,FALSE)</f>
        <v>5605</v>
      </c>
      <c r="R20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5324.75</v>
      </c>
    </row>
    <row r="2075" spans="1:18" x14ac:dyDescent="0.3">
      <c r="A2075" s="2">
        <v>2068</v>
      </c>
      <c r="B2075" s="2" t="s">
        <v>1169</v>
      </c>
      <c r="C2075" s="2" t="s">
        <v>4722</v>
      </c>
      <c r="D2075" s="2" t="s">
        <v>28</v>
      </c>
      <c r="E2075" s="2" t="s">
        <v>29</v>
      </c>
      <c r="F2075" s="2">
        <v>30</v>
      </c>
      <c r="G2075" s="2" t="s">
        <v>5830</v>
      </c>
      <c r="H2075" s="2" t="s">
        <v>1643</v>
      </c>
      <c r="I2075" s="2" t="s">
        <v>124</v>
      </c>
      <c r="J2075" s="3">
        <v>44006</v>
      </c>
      <c r="K2075" s="5">
        <f>YEAR(OrganizedData[[#This Row],[Order Date]])</f>
        <v>2020</v>
      </c>
      <c r="L2075" s="7" t="str">
        <f>TEXT(OrganizedData[[#This Row],[Order Date]],"mmm")</f>
        <v>Jun</v>
      </c>
      <c r="M2075" s="2">
        <v>75</v>
      </c>
      <c r="N2075" s="2" t="s">
        <v>33</v>
      </c>
      <c r="O2075" s="2" t="str">
        <f>VLOOKUP(OrganizedData[[#This Row],[Product Code]],ProductData[[Code]:[Item]],2,FALSE)</f>
        <v>Megawidget L</v>
      </c>
      <c r="P2075" s="4">
        <f>OrganizedData[[#This Row],[Quantity]]*VLOOKUP(OrganizedData[[#This Row],[Product Code]],ProductData[],4,FALSE)</f>
        <v>1800</v>
      </c>
      <c r="Q2075" s="6">
        <f>OrganizedData[[#This Row],[Total Items Ordered]]*VLOOKUP(OrganizedData[[#This Row],[Product Code]],ProductData[],3,FALSE)</f>
        <v>3222</v>
      </c>
      <c r="R20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2076" spans="1:18" x14ac:dyDescent="0.3">
      <c r="A2076" s="2">
        <v>2069</v>
      </c>
      <c r="B2076" s="2" t="s">
        <v>5831</v>
      </c>
      <c r="C2076" s="2" t="s">
        <v>5832</v>
      </c>
      <c r="D2076" s="2" t="s">
        <v>15</v>
      </c>
      <c r="E2076" s="2" t="s">
        <v>16</v>
      </c>
      <c r="F2076" s="2">
        <v>60</v>
      </c>
      <c r="G2076" s="2" t="s">
        <v>5833</v>
      </c>
      <c r="H2076" s="2" t="s">
        <v>3238</v>
      </c>
      <c r="I2076" s="2" t="s">
        <v>173</v>
      </c>
      <c r="J2076" s="3">
        <v>44605</v>
      </c>
      <c r="K2076" s="5">
        <f>YEAR(OrganizedData[[#This Row],[Order Date]])</f>
        <v>2022</v>
      </c>
      <c r="L2076" s="7" t="str">
        <f>TEXT(OrganizedData[[#This Row],[Order Date]],"mmm")</f>
        <v>Feb</v>
      </c>
      <c r="M2076" s="2">
        <v>91</v>
      </c>
      <c r="N2076" s="2" t="s">
        <v>80</v>
      </c>
      <c r="O2076" s="2" t="str">
        <f>VLOOKUP(OrganizedData[[#This Row],[Product Code]],ProductData[[Code]:[Item]],2,FALSE)</f>
        <v>Ultrathing V2</v>
      </c>
      <c r="P2076" s="4">
        <f>OrganizedData[[#This Row],[Quantity]]*VLOOKUP(OrganizedData[[#This Row],[Product Code]],ProductData[],4,FALSE)</f>
        <v>1820</v>
      </c>
      <c r="Q2076" s="6">
        <f>OrganizedData[[#This Row],[Total Items Ordered]]*VLOOKUP(OrganizedData[[#This Row],[Product Code]],ProductData[],3,FALSE)</f>
        <v>5369</v>
      </c>
      <c r="R20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2077" spans="1:18" x14ac:dyDescent="0.3">
      <c r="A2077" s="2">
        <v>2070</v>
      </c>
      <c r="B2077" s="2" t="s">
        <v>5834</v>
      </c>
      <c r="C2077" s="2" t="s">
        <v>5835</v>
      </c>
      <c r="D2077" s="2" t="s">
        <v>51</v>
      </c>
      <c r="E2077" s="2" t="s">
        <v>16</v>
      </c>
      <c r="F2077" s="2">
        <v>90</v>
      </c>
      <c r="G2077" s="2" t="s">
        <v>5836</v>
      </c>
      <c r="H2077" s="2" t="s">
        <v>1378</v>
      </c>
      <c r="I2077" s="2" t="s">
        <v>32</v>
      </c>
      <c r="J2077" s="3">
        <v>44635</v>
      </c>
      <c r="K2077" s="5">
        <f>YEAR(OrganizedData[[#This Row],[Order Date]])</f>
        <v>2022</v>
      </c>
      <c r="L2077" s="7" t="str">
        <f>TEXT(OrganizedData[[#This Row],[Order Date]],"mmm")</f>
        <v>Mar</v>
      </c>
      <c r="M2077" s="2">
        <v>13</v>
      </c>
      <c r="N2077" s="2" t="s">
        <v>54</v>
      </c>
      <c r="O2077" s="2" t="str">
        <f>VLOOKUP(OrganizedData[[#This Row],[Product Code]],ProductData[[Code]:[Item]],2,FALSE)</f>
        <v>Megawidget S</v>
      </c>
      <c r="P2077" s="4">
        <f>OrganizedData[[#This Row],[Quantity]]*VLOOKUP(OrganizedData[[#This Row],[Product Code]],ProductData[],4,FALSE)</f>
        <v>312</v>
      </c>
      <c r="Q2077" s="6">
        <f>OrganizedData[[#This Row],[Total Items Ordered]]*VLOOKUP(OrganizedData[[#This Row],[Product Code]],ProductData[],3,FALSE)</f>
        <v>215.27999999999997</v>
      </c>
      <c r="R20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215.27999999999997</v>
      </c>
    </row>
    <row r="2078" spans="1:18" x14ac:dyDescent="0.3">
      <c r="A2078" s="2">
        <v>2071</v>
      </c>
      <c r="B2078" s="2" t="s">
        <v>5837</v>
      </c>
      <c r="C2078" s="2" t="s">
        <v>5838</v>
      </c>
      <c r="D2078" s="2" t="s">
        <v>28</v>
      </c>
      <c r="E2078" s="2" t="s">
        <v>29</v>
      </c>
      <c r="F2078" s="2">
        <v>60</v>
      </c>
      <c r="G2078" s="2" t="s">
        <v>5839</v>
      </c>
      <c r="H2078" s="2" t="s">
        <v>4111</v>
      </c>
      <c r="I2078" s="2" t="s">
        <v>95</v>
      </c>
      <c r="J2078" s="3">
        <v>43971</v>
      </c>
      <c r="K2078" s="5">
        <f>YEAR(OrganizedData[[#This Row],[Order Date]])</f>
        <v>2020</v>
      </c>
      <c r="L2078" s="7" t="str">
        <f>TEXT(OrganizedData[[#This Row],[Order Date]],"mmm")</f>
        <v>May</v>
      </c>
      <c r="M2078" s="2">
        <v>56</v>
      </c>
      <c r="N2078" s="2" t="s">
        <v>159</v>
      </c>
      <c r="O2078" s="2" t="str">
        <f>VLOOKUP(OrganizedData[[#This Row],[Product Code]],ProductData[[Code]:[Item]],2,FALSE)</f>
        <v>Ultrathing V3</v>
      </c>
      <c r="P2078" s="4">
        <f>OrganizedData[[#This Row],[Quantity]]*VLOOKUP(OrganizedData[[#This Row],[Product Code]],ProductData[],4,FALSE)</f>
        <v>1344</v>
      </c>
      <c r="Q2078" s="6">
        <f>OrganizedData[[#This Row],[Total Items Ordered]]*VLOOKUP(OrganizedData[[#This Row],[Product Code]],ProductData[],3,FALSE)</f>
        <v>4556.16</v>
      </c>
      <c r="R20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4328.3519999999999</v>
      </c>
    </row>
    <row r="2079" spans="1:18" x14ac:dyDescent="0.3">
      <c r="A2079" s="2">
        <v>2072</v>
      </c>
      <c r="B2079" s="2" t="s">
        <v>5840</v>
      </c>
      <c r="C2079" s="2" t="s">
        <v>4026</v>
      </c>
      <c r="D2079" s="2" t="s">
        <v>51</v>
      </c>
      <c r="E2079" s="2" t="s">
        <v>16</v>
      </c>
      <c r="F2079" s="2">
        <v>60</v>
      </c>
      <c r="G2079" s="2" t="s">
        <v>5841</v>
      </c>
      <c r="H2079" s="2" t="s">
        <v>4739</v>
      </c>
      <c r="I2079" s="2" t="s">
        <v>59</v>
      </c>
      <c r="J2079" s="3">
        <v>44826</v>
      </c>
      <c r="K2079" s="5">
        <f>YEAR(OrganizedData[[#This Row],[Order Date]])</f>
        <v>2022</v>
      </c>
      <c r="L2079" s="7" t="str">
        <f>TEXT(OrganizedData[[#This Row],[Order Date]],"mmm")</f>
        <v>Sep</v>
      </c>
      <c r="M2079" s="2">
        <v>17</v>
      </c>
      <c r="N2079" s="2" t="s">
        <v>80</v>
      </c>
      <c r="O2079" s="2" t="str">
        <f>VLOOKUP(OrganizedData[[#This Row],[Product Code]],ProductData[[Code]:[Item]],2,FALSE)</f>
        <v>Ultrathing V2</v>
      </c>
      <c r="P2079" s="4">
        <f>OrganizedData[[#This Row],[Quantity]]*VLOOKUP(OrganizedData[[#This Row],[Product Code]],ProductData[],4,FALSE)</f>
        <v>340</v>
      </c>
      <c r="Q2079" s="6">
        <f>OrganizedData[[#This Row],[Total Items Ordered]]*VLOOKUP(OrganizedData[[#This Row],[Product Code]],ProductData[],3,FALSE)</f>
        <v>1003.0000000000001</v>
      </c>
      <c r="R20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2080" spans="1:18" x14ac:dyDescent="0.3">
      <c r="A2080" s="2">
        <v>2073</v>
      </c>
      <c r="B2080" s="2" t="s">
        <v>1290</v>
      </c>
      <c r="C2080" s="2" t="s">
        <v>5417</v>
      </c>
      <c r="D2080" s="2" t="s">
        <v>15</v>
      </c>
      <c r="E2080" s="2" t="s">
        <v>16</v>
      </c>
      <c r="F2080" s="2">
        <v>60</v>
      </c>
      <c r="G2080" s="2" t="s">
        <v>5842</v>
      </c>
      <c r="H2080" s="2" t="s">
        <v>5843</v>
      </c>
      <c r="I2080" s="2" t="s">
        <v>25</v>
      </c>
      <c r="J2080" s="3">
        <v>43941</v>
      </c>
      <c r="K2080" s="5">
        <f>YEAR(OrganizedData[[#This Row],[Order Date]])</f>
        <v>2020</v>
      </c>
      <c r="L2080" s="7" t="str">
        <f>TEXT(OrganizedData[[#This Row],[Order Date]],"mmm")</f>
        <v>Apr</v>
      </c>
      <c r="M2080" s="2">
        <v>78</v>
      </c>
      <c r="N2080" s="2" t="s">
        <v>54</v>
      </c>
      <c r="O2080" s="2" t="str">
        <f>VLOOKUP(OrganizedData[[#This Row],[Product Code]],ProductData[[Code]:[Item]],2,FALSE)</f>
        <v>Megawidget S</v>
      </c>
      <c r="P2080" s="4">
        <f>OrganizedData[[#This Row],[Quantity]]*VLOOKUP(OrganizedData[[#This Row],[Product Code]],ProductData[],4,FALSE)</f>
        <v>1872</v>
      </c>
      <c r="Q2080" s="6">
        <f>OrganizedData[[#This Row],[Total Items Ordered]]*VLOOKUP(OrganizedData[[#This Row],[Product Code]],ProductData[],3,FALSE)</f>
        <v>1291.6799999999998</v>
      </c>
      <c r="R20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2081" spans="1:18" x14ac:dyDescent="0.3">
      <c r="A2081" s="2">
        <v>2074</v>
      </c>
      <c r="B2081" s="2" t="s">
        <v>5785</v>
      </c>
      <c r="C2081" s="2" t="s">
        <v>4135</v>
      </c>
      <c r="D2081" s="2" t="s">
        <v>28</v>
      </c>
      <c r="E2081" s="2" t="s">
        <v>29</v>
      </c>
      <c r="F2081" s="2">
        <v>90</v>
      </c>
      <c r="G2081" s="2" t="s">
        <v>5844</v>
      </c>
      <c r="H2081" s="2" t="s">
        <v>3495</v>
      </c>
      <c r="I2081" s="2" t="s">
        <v>1083</v>
      </c>
      <c r="J2081" s="3">
        <v>44253</v>
      </c>
      <c r="K2081" s="5">
        <f>YEAR(OrganizedData[[#This Row],[Order Date]])</f>
        <v>2021</v>
      </c>
      <c r="L2081" s="7" t="str">
        <f>TEXT(OrganizedData[[#This Row],[Order Date]],"mmm")</f>
        <v>Feb</v>
      </c>
      <c r="M2081" s="2">
        <v>21</v>
      </c>
      <c r="N2081" s="2" t="s">
        <v>159</v>
      </c>
      <c r="O2081" s="2" t="str">
        <f>VLOOKUP(OrganizedData[[#This Row],[Product Code]],ProductData[[Code]:[Item]],2,FALSE)</f>
        <v>Ultrathing V3</v>
      </c>
      <c r="P2081" s="4">
        <f>OrganizedData[[#This Row],[Quantity]]*VLOOKUP(OrganizedData[[#This Row],[Product Code]],ProductData[],4,FALSE)</f>
        <v>504</v>
      </c>
      <c r="Q2081" s="6">
        <f>OrganizedData[[#This Row],[Total Items Ordered]]*VLOOKUP(OrganizedData[[#This Row],[Product Code]],ProductData[],3,FALSE)</f>
        <v>1708.5600000000002</v>
      </c>
      <c r="R20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1657.3032000000001</v>
      </c>
    </row>
    <row r="2082" spans="1:18" x14ac:dyDescent="0.3">
      <c r="A2082" s="2">
        <v>2075</v>
      </c>
      <c r="B2082" s="2" t="s">
        <v>1375</v>
      </c>
      <c r="C2082" s="2" t="s">
        <v>485</v>
      </c>
      <c r="D2082" s="2" t="s">
        <v>28</v>
      </c>
      <c r="E2082" s="2" t="s">
        <v>29</v>
      </c>
      <c r="F2082" s="2">
        <v>60</v>
      </c>
      <c r="G2082" s="2" t="s">
        <v>5845</v>
      </c>
      <c r="H2082" s="2" t="s">
        <v>838</v>
      </c>
      <c r="I2082" s="2" t="s">
        <v>839</v>
      </c>
      <c r="J2082" s="3">
        <v>44829</v>
      </c>
      <c r="K2082" s="5">
        <f>YEAR(OrganizedData[[#This Row],[Order Date]])</f>
        <v>2022</v>
      </c>
      <c r="L2082" s="7" t="str">
        <f>TEXT(OrganizedData[[#This Row],[Order Date]],"mmm")</f>
        <v>Sep</v>
      </c>
      <c r="M2082" s="2">
        <v>70</v>
      </c>
      <c r="N2082" s="2" t="s">
        <v>80</v>
      </c>
      <c r="O2082" s="2" t="str">
        <f>VLOOKUP(OrganizedData[[#This Row],[Product Code]],ProductData[[Code]:[Item]],2,FALSE)</f>
        <v>Ultrathing V2</v>
      </c>
      <c r="P2082" s="4">
        <f>OrganizedData[[#This Row],[Quantity]]*VLOOKUP(OrganizedData[[#This Row],[Product Code]],ProductData[],4,FALSE)</f>
        <v>1400</v>
      </c>
      <c r="Q2082" s="6">
        <f>OrganizedData[[#This Row],[Total Items Ordered]]*VLOOKUP(OrganizedData[[#This Row],[Product Code]],ProductData[],3,FALSE)</f>
        <v>4130</v>
      </c>
      <c r="R20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2083" spans="1:18" x14ac:dyDescent="0.3">
      <c r="A2083" s="2">
        <v>2076</v>
      </c>
      <c r="B2083" s="2" t="s">
        <v>2477</v>
      </c>
      <c r="C2083" s="2" t="s">
        <v>4373</v>
      </c>
      <c r="D2083" s="2" t="s">
        <v>28</v>
      </c>
      <c r="E2083" s="2" t="s">
        <v>29</v>
      </c>
      <c r="F2083" s="2">
        <v>60</v>
      </c>
      <c r="G2083" s="2" t="s">
        <v>5846</v>
      </c>
      <c r="H2083" s="2" t="s">
        <v>2218</v>
      </c>
      <c r="I2083" s="2" t="s">
        <v>173</v>
      </c>
      <c r="J2083" s="3">
        <v>44175</v>
      </c>
      <c r="K2083" s="5">
        <f>YEAR(OrganizedData[[#This Row],[Order Date]])</f>
        <v>2020</v>
      </c>
      <c r="L2083" s="7" t="str">
        <f>TEXT(OrganizedData[[#This Row],[Order Date]],"mmm")</f>
        <v>Dec</v>
      </c>
      <c r="M2083" s="2">
        <v>30</v>
      </c>
      <c r="N2083" s="2" t="s">
        <v>45</v>
      </c>
      <c r="O2083" s="2" t="str">
        <f>VLOOKUP(OrganizedData[[#This Row],[Product Code]],ProductData[[Code]:[Item]],2,FALSE)</f>
        <v>Gigastuff</v>
      </c>
      <c r="P2083" s="4">
        <f>OrganizedData[[#This Row],[Quantity]]*VLOOKUP(OrganizedData[[#This Row],[Product Code]],ProductData[],4,FALSE)</f>
        <v>540</v>
      </c>
      <c r="Q2083" s="6">
        <f>OrganizedData[[#This Row],[Total Items Ordered]]*VLOOKUP(OrganizedData[[#This Row],[Product Code]],ProductData[],3,FALSE)</f>
        <v>1020.5999999999999</v>
      </c>
      <c r="R20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989.98199999999986</v>
      </c>
    </row>
    <row r="2084" spans="1:18" x14ac:dyDescent="0.3">
      <c r="A2084" s="2">
        <v>2077</v>
      </c>
      <c r="B2084" s="2" t="s">
        <v>5847</v>
      </c>
      <c r="C2084" s="2" t="s">
        <v>1226</v>
      </c>
      <c r="D2084" s="2" t="s">
        <v>15</v>
      </c>
      <c r="E2084" s="2" t="s">
        <v>16</v>
      </c>
      <c r="F2084" s="2">
        <v>90</v>
      </c>
      <c r="G2084" s="2" t="s">
        <v>5848</v>
      </c>
      <c r="H2084" s="2" t="s">
        <v>2997</v>
      </c>
      <c r="I2084" s="2" t="s">
        <v>32</v>
      </c>
      <c r="J2084" s="3">
        <v>44886</v>
      </c>
      <c r="K2084" s="5">
        <f>YEAR(OrganizedData[[#This Row],[Order Date]])</f>
        <v>2022</v>
      </c>
      <c r="L2084" s="7" t="str">
        <f>TEXT(OrganizedData[[#This Row],[Order Date]],"mmm")</f>
        <v>Nov</v>
      </c>
      <c r="M2084" s="2">
        <v>26</v>
      </c>
      <c r="N2084" s="2" t="s">
        <v>101</v>
      </c>
      <c r="O2084" s="2" t="str">
        <f>VLOOKUP(OrganizedData[[#This Row],[Product Code]],ProductData[[Code]:[Item]],2,FALSE)</f>
        <v>Superwossname</v>
      </c>
      <c r="P2084" s="4">
        <f>OrganizedData[[#This Row],[Quantity]]*VLOOKUP(OrganizedData[[#This Row],[Product Code]],ProductData[],4,FALSE)</f>
        <v>520</v>
      </c>
      <c r="Q2084" s="6">
        <f>OrganizedData[[#This Row],[Total Items Ordered]]*VLOOKUP(OrganizedData[[#This Row],[Product Code]],ProductData[],3,FALSE)</f>
        <v>1814.8000000000002</v>
      </c>
      <c r="R20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1760.3560000000002</v>
      </c>
    </row>
    <row r="2085" spans="1:18" x14ac:dyDescent="0.3">
      <c r="A2085" s="2">
        <v>2078</v>
      </c>
      <c r="B2085" s="2" t="s">
        <v>5849</v>
      </c>
      <c r="C2085" s="2" t="s">
        <v>5850</v>
      </c>
      <c r="D2085" s="2" t="s">
        <v>28</v>
      </c>
      <c r="E2085" s="2" t="s">
        <v>29</v>
      </c>
      <c r="F2085" s="2">
        <v>60</v>
      </c>
      <c r="G2085" s="2" t="s">
        <v>5851</v>
      </c>
      <c r="H2085" s="2" t="s">
        <v>440</v>
      </c>
      <c r="I2085" s="2" t="s">
        <v>25</v>
      </c>
      <c r="J2085" s="3">
        <v>44474</v>
      </c>
      <c r="K2085" s="5">
        <f>YEAR(OrganizedData[[#This Row],[Order Date]])</f>
        <v>2021</v>
      </c>
      <c r="L2085" s="7" t="str">
        <f>TEXT(OrganizedData[[#This Row],[Order Date]],"mmm")</f>
        <v>Oct</v>
      </c>
      <c r="M2085" s="2">
        <v>72</v>
      </c>
      <c r="N2085" s="2" t="s">
        <v>159</v>
      </c>
      <c r="O2085" s="2" t="str">
        <f>VLOOKUP(OrganizedData[[#This Row],[Product Code]],ProductData[[Code]:[Item]],2,FALSE)</f>
        <v>Ultrathing V3</v>
      </c>
      <c r="P2085" s="4">
        <f>OrganizedData[[#This Row],[Quantity]]*VLOOKUP(OrganizedData[[#This Row],[Product Code]],ProductData[],4,FALSE)</f>
        <v>1728</v>
      </c>
      <c r="Q2085" s="6">
        <f>OrganizedData[[#This Row],[Total Items Ordered]]*VLOOKUP(OrganizedData[[#This Row],[Product Code]],ProductData[],3,FALSE)</f>
        <v>5857.92</v>
      </c>
      <c r="R20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5565.0239999999994</v>
      </c>
    </row>
    <row r="2086" spans="1:18" x14ac:dyDescent="0.3">
      <c r="A2086" s="2">
        <v>2079</v>
      </c>
      <c r="B2086" s="2" t="s">
        <v>5852</v>
      </c>
      <c r="C2086" s="2" t="s">
        <v>5853</v>
      </c>
      <c r="D2086" s="2" t="s">
        <v>51</v>
      </c>
      <c r="E2086" s="2" t="s">
        <v>16</v>
      </c>
      <c r="F2086" s="2">
        <v>90</v>
      </c>
      <c r="G2086" s="2" t="s">
        <v>5854</v>
      </c>
      <c r="H2086" s="2" t="s">
        <v>4158</v>
      </c>
      <c r="I2086" s="2" t="s">
        <v>32</v>
      </c>
      <c r="J2086" s="3">
        <v>44615</v>
      </c>
      <c r="K2086" s="5">
        <f>YEAR(OrganizedData[[#This Row],[Order Date]])</f>
        <v>2022</v>
      </c>
      <c r="L2086" s="7" t="str">
        <f>TEXT(OrganizedData[[#This Row],[Order Date]],"mmm")</f>
        <v>Feb</v>
      </c>
      <c r="M2086" s="2">
        <v>84</v>
      </c>
      <c r="N2086" s="2" t="s">
        <v>101</v>
      </c>
      <c r="O2086" s="2" t="str">
        <f>VLOOKUP(OrganizedData[[#This Row],[Product Code]],ProductData[[Code]:[Item]],2,FALSE)</f>
        <v>Superwossname</v>
      </c>
      <c r="P2086" s="4">
        <f>OrganizedData[[#This Row],[Quantity]]*VLOOKUP(OrganizedData[[#This Row],[Product Code]],ProductData[],4,FALSE)</f>
        <v>1680</v>
      </c>
      <c r="Q2086" s="6">
        <f>OrganizedData[[#This Row],[Total Items Ordered]]*VLOOKUP(OrganizedData[[#This Row],[Product Code]],ProductData[],3,FALSE)</f>
        <v>5863.2000000000007</v>
      </c>
      <c r="R20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5570.0400000000009</v>
      </c>
    </row>
    <row r="2087" spans="1:18" x14ac:dyDescent="0.3">
      <c r="A2087" s="2">
        <v>2080</v>
      </c>
      <c r="B2087" s="2" t="s">
        <v>2647</v>
      </c>
      <c r="C2087" s="2" t="s">
        <v>680</v>
      </c>
      <c r="D2087" s="2" t="s">
        <v>51</v>
      </c>
      <c r="E2087" s="2" t="s">
        <v>16</v>
      </c>
      <c r="F2087" s="2">
        <v>60</v>
      </c>
      <c r="G2087" s="2" t="s">
        <v>5855</v>
      </c>
      <c r="H2087" s="2" t="s">
        <v>4451</v>
      </c>
      <c r="I2087" s="2" t="s">
        <v>32</v>
      </c>
      <c r="J2087" s="3">
        <v>44206</v>
      </c>
      <c r="K2087" s="5">
        <f>YEAR(OrganizedData[[#This Row],[Order Date]])</f>
        <v>2021</v>
      </c>
      <c r="L2087" s="7" t="str">
        <f>TEXT(OrganizedData[[#This Row],[Order Date]],"mmm")</f>
        <v>Jan</v>
      </c>
      <c r="M2087" s="2">
        <v>76</v>
      </c>
      <c r="N2087" s="2" t="s">
        <v>64</v>
      </c>
      <c r="O2087" s="2" t="str">
        <f>VLOOKUP(OrganizedData[[#This Row],[Product Code]],ProductData[[Code]:[Item]],2,FALSE)</f>
        <v>Ultrathing V4</v>
      </c>
      <c r="P2087" s="4">
        <f>OrganizedData[[#This Row],[Quantity]]*VLOOKUP(OrganizedData[[#This Row],[Product Code]],ProductData[],4,FALSE)</f>
        <v>1824</v>
      </c>
      <c r="Q2087" s="6">
        <f>OrganizedData[[#This Row],[Total Items Ordered]]*VLOOKUP(OrganizedData[[#This Row],[Product Code]],ProductData[],3,FALSE)</f>
        <v>7277.76</v>
      </c>
      <c r="R20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2088" spans="1:18" x14ac:dyDescent="0.3">
      <c r="A2088" s="2">
        <v>2081</v>
      </c>
      <c r="B2088" s="2" t="s">
        <v>5856</v>
      </c>
      <c r="C2088" s="2" t="s">
        <v>5389</v>
      </c>
      <c r="D2088" s="2" t="s">
        <v>117</v>
      </c>
      <c r="E2088" s="2" t="s">
        <v>29</v>
      </c>
      <c r="F2088" s="2">
        <v>30</v>
      </c>
      <c r="G2088" s="2" t="s">
        <v>5857</v>
      </c>
      <c r="H2088" s="2" t="s">
        <v>4889</v>
      </c>
      <c r="I2088" s="2" t="s">
        <v>110</v>
      </c>
      <c r="J2088" s="3">
        <v>44653</v>
      </c>
      <c r="K2088" s="5">
        <f>YEAR(OrganizedData[[#This Row],[Order Date]])</f>
        <v>2022</v>
      </c>
      <c r="L2088" s="7" t="str">
        <f>TEXT(OrganizedData[[#This Row],[Order Date]],"mmm")</f>
        <v>Apr</v>
      </c>
      <c r="M2088" s="2">
        <v>10</v>
      </c>
      <c r="N2088" s="2" t="s">
        <v>54</v>
      </c>
      <c r="O2088" s="2" t="str">
        <f>VLOOKUP(OrganizedData[[#This Row],[Product Code]],ProductData[[Code]:[Item]],2,FALSE)</f>
        <v>Megawidget S</v>
      </c>
      <c r="P2088" s="4">
        <f>OrganizedData[[#This Row],[Quantity]]*VLOOKUP(OrganizedData[[#This Row],[Product Code]],ProductData[],4,FALSE)</f>
        <v>240</v>
      </c>
      <c r="Q2088" s="6">
        <f>OrganizedData[[#This Row],[Total Items Ordered]]*VLOOKUP(OrganizedData[[#This Row],[Product Code]],ProductData[],3,FALSE)</f>
        <v>165.6</v>
      </c>
      <c r="R20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165.6</v>
      </c>
    </row>
    <row r="2089" spans="1:18" x14ac:dyDescent="0.3">
      <c r="A2089" s="2">
        <v>2082</v>
      </c>
      <c r="B2089" s="2" t="s">
        <v>4399</v>
      </c>
      <c r="C2089" s="2" t="s">
        <v>5858</v>
      </c>
      <c r="D2089" s="2" t="s">
        <v>15</v>
      </c>
      <c r="E2089" s="2" t="s">
        <v>16</v>
      </c>
      <c r="F2089" s="2">
        <v>90</v>
      </c>
      <c r="G2089" s="2" t="s">
        <v>5859</v>
      </c>
      <c r="H2089" s="2" t="s">
        <v>338</v>
      </c>
      <c r="I2089" s="2" t="s">
        <v>173</v>
      </c>
      <c r="J2089" s="3">
        <v>43908</v>
      </c>
      <c r="K2089" s="5">
        <f>YEAR(OrganizedData[[#This Row],[Order Date]])</f>
        <v>2020</v>
      </c>
      <c r="L2089" s="7" t="str">
        <f>TEXT(OrganizedData[[#This Row],[Order Date]],"mmm")</f>
        <v>Mar</v>
      </c>
      <c r="M2089" s="2">
        <v>45</v>
      </c>
      <c r="N2089" s="2" t="s">
        <v>45</v>
      </c>
      <c r="O2089" s="2" t="str">
        <f>VLOOKUP(OrganizedData[[#This Row],[Product Code]],ProductData[[Code]:[Item]],2,FALSE)</f>
        <v>Gigastuff</v>
      </c>
      <c r="P2089" s="4">
        <f>OrganizedData[[#This Row],[Quantity]]*VLOOKUP(OrganizedData[[#This Row],[Product Code]],ProductData[],4,FALSE)</f>
        <v>810</v>
      </c>
      <c r="Q2089" s="6">
        <f>OrganizedData[[#This Row],[Total Items Ordered]]*VLOOKUP(OrganizedData[[#This Row],[Product Code]],ProductData[],3,FALSE)</f>
        <v>1530.8999999999999</v>
      </c>
      <c r="R20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1484.9729999999997</v>
      </c>
    </row>
    <row r="2090" spans="1:18" x14ac:dyDescent="0.3">
      <c r="A2090" s="2">
        <v>2083</v>
      </c>
      <c r="B2090" s="2" t="s">
        <v>1068</v>
      </c>
      <c r="C2090" s="2" t="s">
        <v>3662</v>
      </c>
      <c r="D2090" s="2" t="s">
        <v>51</v>
      </c>
      <c r="E2090" s="2" t="s">
        <v>16</v>
      </c>
      <c r="F2090" s="2">
        <v>30</v>
      </c>
      <c r="G2090" s="2" t="s">
        <v>5860</v>
      </c>
      <c r="H2090" s="2" t="s">
        <v>1253</v>
      </c>
      <c r="I2090" s="2" t="s">
        <v>32</v>
      </c>
      <c r="J2090" s="3">
        <v>44234</v>
      </c>
      <c r="K2090" s="5">
        <f>YEAR(OrganizedData[[#This Row],[Order Date]])</f>
        <v>2021</v>
      </c>
      <c r="L2090" s="7" t="str">
        <f>TEXT(OrganizedData[[#This Row],[Order Date]],"mmm")</f>
        <v>Feb</v>
      </c>
      <c r="M2090" s="2">
        <v>83</v>
      </c>
      <c r="N2090" s="2" t="s">
        <v>159</v>
      </c>
      <c r="O2090" s="2" t="str">
        <f>VLOOKUP(OrganizedData[[#This Row],[Product Code]],ProductData[[Code]:[Item]],2,FALSE)</f>
        <v>Ultrathing V3</v>
      </c>
      <c r="P2090" s="4">
        <f>OrganizedData[[#This Row],[Quantity]]*VLOOKUP(OrganizedData[[#This Row],[Product Code]],ProductData[],4,FALSE)</f>
        <v>1992</v>
      </c>
      <c r="Q2090" s="6">
        <f>OrganizedData[[#This Row],[Total Items Ordered]]*VLOOKUP(OrganizedData[[#This Row],[Product Code]],ProductData[],3,FALSE)</f>
        <v>6752.88</v>
      </c>
      <c r="R20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6415.2359999999999</v>
      </c>
    </row>
    <row r="2091" spans="1:18" x14ac:dyDescent="0.3">
      <c r="A2091" s="2">
        <v>2084</v>
      </c>
      <c r="B2091" s="2" t="s">
        <v>5861</v>
      </c>
      <c r="C2091" s="2" t="s">
        <v>5862</v>
      </c>
      <c r="D2091" s="2" t="s">
        <v>51</v>
      </c>
      <c r="E2091" s="2" t="s">
        <v>16</v>
      </c>
      <c r="F2091" s="2">
        <v>30</v>
      </c>
      <c r="G2091" s="2" t="s">
        <v>5863</v>
      </c>
      <c r="H2091" s="2" t="s">
        <v>4389</v>
      </c>
      <c r="I2091" s="2" t="s">
        <v>32</v>
      </c>
      <c r="J2091" s="3">
        <v>43976</v>
      </c>
      <c r="K2091" s="5">
        <f>YEAR(OrganizedData[[#This Row],[Order Date]])</f>
        <v>2020</v>
      </c>
      <c r="L2091" s="7" t="str">
        <f>TEXT(OrganizedData[[#This Row],[Order Date]],"mmm")</f>
        <v>May</v>
      </c>
      <c r="M2091" s="2">
        <v>11</v>
      </c>
      <c r="N2091" s="2" t="s">
        <v>101</v>
      </c>
      <c r="O2091" s="2" t="str">
        <f>VLOOKUP(OrganizedData[[#This Row],[Product Code]],ProductData[[Code]:[Item]],2,FALSE)</f>
        <v>Superwossname</v>
      </c>
      <c r="P2091" s="4">
        <f>OrganizedData[[#This Row],[Quantity]]*VLOOKUP(OrganizedData[[#This Row],[Product Code]],ProductData[],4,FALSE)</f>
        <v>220</v>
      </c>
      <c r="Q2091" s="6">
        <f>OrganizedData[[#This Row],[Total Items Ordered]]*VLOOKUP(OrganizedData[[#This Row],[Product Code]],ProductData[],3,FALSE)</f>
        <v>767.80000000000007</v>
      </c>
      <c r="R20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2092" spans="1:18" x14ac:dyDescent="0.3">
      <c r="A2092" s="2">
        <v>2085</v>
      </c>
      <c r="B2092" s="2" t="s">
        <v>5864</v>
      </c>
      <c r="C2092" s="2" t="s">
        <v>3385</v>
      </c>
      <c r="D2092" s="2" t="s">
        <v>28</v>
      </c>
      <c r="E2092" s="2" t="s">
        <v>29</v>
      </c>
      <c r="F2092" s="2">
        <v>60</v>
      </c>
      <c r="G2092" s="2" t="s">
        <v>5865</v>
      </c>
      <c r="H2092" s="2" t="s">
        <v>224</v>
      </c>
      <c r="I2092" s="2" t="s">
        <v>124</v>
      </c>
      <c r="J2092" s="3">
        <v>44020</v>
      </c>
      <c r="K2092" s="5">
        <f>YEAR(OrganizedData[[#This Row],[Order Date]])</f>
        <v>2020</v>
      </c>
      <c r="L2092" s="7" t="str">
        <f>TEXT(OrganizedData[[#This Row],[Order Date]],"mmm")</f>
        <v>Jul</v>
      </c>
      <c r="M2092" s="2">
        <v>39</v>
      </c>
      <c r="N2092" s="2" t="s">
        <v>80</v>
      </c>
      <c r="O2092" s="2" t="str">
        <f>VLOOKUP(OrganizedData[[#This Row],[Product Code]],ProductData[[Code]:[Item]],2,FALSE)</f>
        <v>Ultrathing V2</v>
      </c>
      <c r="P2092" s="4">
        <f>OrganizedData[[#This Row],[Quantity]]*VLOOKUP(OrganizedData[[#This Row],[Product Code]],ProductData[],4,FALSE)</f>
        <v>780</v>
      </c>
      <c r="Q2092" s="6">
        <f>OrganizedData[[#This Row],[Total Items Ordered]]*VLOOKUP(OrganizedData[[#This Row],[Product Code]],ProductData[],3,FALSE)</f>
        <v>2301</v>
      </c>
      <c r="R20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2093" spans="1:18" x14ac:dyDescent="0.3">
      <c r="A2093" s="2">
        <v>2086</v>
      </c>
      <c r="B2093" s="2" t="s">
        <v>4023</v>
      </c>
      <c r="C2093" s="2" t="s">
        <v>2640</v>
      </c>
      <c r="D2093" s="2" t="s">
        <v>28</v>
      </c>
      <c r="E2093" s="2" t="s">
        <v>29</v>
      </c>
      <c r="F2093" s="2">
        <v>30</v>
      </c>
      <c r="G2093" s="2" t="s">
        <v>5866</v>
      </c>
      <c r="H2093" s="2" t="s">
        <v>5867</v>
      </c>
      <c r="I2093" s="2" t="s">
        <v>32</v>
      </c>
      <c r="J2093" s="3">
        <v>44261</v>
      </c>
      <c r="K2093" s="5">
        <f>YEAR(OrganizedData[[#This Row],[Order Date]])</f>
        <v>2021</v>
      </c>
      <c r="L2093" s="7" t="str">
        <f>TEXT(OrganizedData[[#This Row],[Order Date]],"mmm")</f>
        <v>Mar</v>
      </c>
      <c r="M2093" s="2">
        <v>27</v>
      </c>
      <c r="N2093" s="2" t="s">
        <v>54</v>
      </c>
      <c r="O2093" s="2" t="str">
        <f>VLOOKUP(OrganizedData[[#This Row],[Product Code]],ProductData[[Code]:[Item]],2,FALSE)</f>
        <v>Megawidget S</v>
      </c>
      <c r="P2093" s="4">
        <f>OrganizedData[[#This Row],[Quantity]]*VLOOKUP(OrganizedData[[#This Row],[Product Code]],ProductData[],4,FALSE)</f>
        <v>648</v>
      </c>
      <c r="Q2093" s="6">
        <f>OrganizedData[[#This Row],[Total Items Ordered]]*VLOOKUP(OrganizedData[[#This Row],[Product Code]],ProductData[],3,FALSE)</f>
        <v>447.11999999999995</v>
      </c>
      <c r="R20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433.70639999999992</v>
      </c>
    </row>
    <row r="2094" spans="1:18" x14ac:dyDescent="0.3">
      <c r="A2094" s="2">
        <v>2087</v>
      </c>
      <c r="B2094" s="2" t="s">
        <v>3740</v>
      </c>
      <c r="C2094" s="2" t="s">
        <v>5868</v>
      </c>
      <c r="D2094" s="2" t="s">
        <v>15</v>
      </c>
      <c r="E2094" s="2" t="s">
        <v>16</v>
      </c>
      <c r="F2094" s="2">
        <v>90</v>
      </c>
      <c r="G2094" s="2" t="s">
        <v>5869</v>
      </c>
      <c r="H2094" s="2" t="s">
        <v>5826</v>
      </c>
      <c r="I2094" s="2" t="s">
        <v>32</v>
      </c>
      <c r="J2094" s="3">
        <v>44329</v>
      </c>
      <c r="K2094" s="5">
        <f>YEAR(OrganizedData[[#This Row],[Order Date]])</f>
        <v>2021</v>
      </c>
      <c r="L2094" s="7" t="str">
        <f>TEXT(OrganizedData[[#This Row],[Order Date]],"mmm")</f>
        <v>May</v>
      </c>
      <c r="M2094" s="2">
        <v>7</v>
      </c>
      <c r="N2094" s="2" t="s">
        <v>159</v>
      </c>
      <c r="O2094" s="2" t="str">
        <f>VLOOKUP(OrganizedData[[#This Row],[Product Code]],ProductData[[Code]:[Item]],2,FALSE)</f>
        <v>Ultrathing V3</v>
      </c>
      <c r="P2094" s="4">
        <f>OrganizedData[[#This Row],[Quantity]]*VLOOKUP(OrganizedData[[#This Row],[Product Code]],ProductData[],4,FALSE)</f>
        <v>168</v>
      </c>
      <c r="Q2094" s="6">
        <f>OrganizedData[[#This Row],[Total Items Ordered]]*VLOOKUP(OrganizedData[[#This Row],[Product Code]],ProductData[],3,FALSE)</f>
        <v>569.52</v>
      </c>
      <c r="R20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2095" spans="1:18" x14ac:dyDescent="0.3">
      <c r="A2095" s="2">
        <v>2088</v>
      </c>
      <c r="B2095" s="2" t="s">
        <v>5785</v>
      </c>
      <c r="C2095" s="2" t="s">
        <v>5870</v>
      </c>
      <c r="D2095" s="2" t="s">
        <v>28</v>
      </c>
      <c r="E2095" s="2" t="s">
        <v>29</v>
      </c>
      <c r="F2095" s="2">
        <v>30</v>
      </c>
      <c r="G2095" s="2" t="s">
        <v>5871</v>
      </c>
      <c r="H2095" s="2" t="s">
        <v>2284</v>
      </c>
      <c r="I2095" s="2" t="s">
        <v>32</v>
      </c>
      <c r="J2095" s="3">
        <v>44297</v>
      </c>
      <c r="K2095" s="5">
        <f>YEAR(OrganizedData[[#This Row],[Order Date]])</f>
        <v>2021</v>
      </c>
      <c r="L2095" s="7" t="str">
        <f>TEXT(OrganizedData[[#This Row],[Order Date]],"mmm")</f>
        <v>Apr</v>
      </c>
      <c r="M2095" s="2">
        <v>78</v>
      </c>
      <c r="N2095" s="2" t="s">
        <v>54</v>
      </c>
      <c r="O2095" s="2" t="str">
        <f>VLOOKUP(OrganizedData[[#This Row],[Product Code]],ProductData[[Code]:[Item]],2,FALSE)</f>
        <v>Megawidget S</v>
      </c>
      <c r="P2095" s="4">
        <f>OrganizedData[[#This Row],[Quantity]]*VLOOKUP(OrganizedData[[#This Row],[Product Code]],ProductData[],4,FALSE)</f>
        <v>1872</v>
      </c>
      <c r="Q2095" s="6">
        <f>OrganizedData[[#This Row],[Total Items Ordered]]*VLOOKUP(OrganizedData[[#This Row],[Product Code]],ProductData[],3,FALSE)</f>
        <v>1291.6799999999998</v>
      </c>
      <c r="R20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2096" spans="1:18" x14ac:dyDescent="0.3">
      <c r="A2096" s="2">
        <v>2089</v>
      </c>
      <c r="B2096" s="2" t="s">
        <v>2251</v>
      </c>
      <c r="C2096" s="2" t="s">
        <v>870</v>
      </c>
      <c r="D2096" s="2" t="s">
        <v>28</v>
      </c>
      <c r="E2096" s="2" t="s">
        <v>29</v>
      </c>
      <c r="F2096" s="2">
        <v>60</v>
      </c>
      <c r="G2096" s="2" t="s">
        <v>5872</v>
      </c>
      <c r="H2096" s="2" t="s">
        <v>3724</v>
      </c>
      <c r="I2096" s="2" t="s">
        <v>1078</v>
      </c>
      <c r="J2096" s="3">
        <v>44752</v>
      </c>
      <c r="K2096" s="5">
        <f>YEAR(OrganizedData[[#This Row],[Order Date]])</f>
        <v>2022</v>
      </c>
      <c r="L2096" s="7" t="str">
        <f>TEXT(OrganizedData[[#This Row],[Order Date]],"mmm")</f>
        <v>Jul</v>
      </c>
      <c r="M2096" s="2">
        <v>36</v>
      </c>
      <c r="N2096" s="2" t="s">
        <v>80</v>
      </c>
      <c r="O2096" s="2" t="str">
        <f>VLOOKUP(OrganizedData[[#This Row],[Product Code]],ProductData[[Code]:[Item]],2,FALSE)</f>
        <v>Ultrathing V2</v>
      </c>
      <c r="P2096" s="4">
        <f>OrganizedData[[#This Row],[Quantity]]*VLOOKUP(OrganizedData[[#This Row],[Product Code]],ProductData[],4,FALSE)</f>
        <v>720</v>
      </c>
      <c r="Q2096" s="6">
        <f>OrganizedData[[#This Row],[Total Items Ordered]]*VLOOKUP(OrganizedData[[#This Row],[Product Code]],ProductData[],3,FALSE)</f>
        <v>2124</v>
      </c>
      <c r="R20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2097" spans="1:18" x14ac:dyDescent="0.3">
      <c r="A2097" s="2">
        <v>2090</v>
      </c>
      <c r="B2097" s="2" t="s">
        <v>1226</v>
      </c>
      <c r="C2097" s="2" t="s">
        <v>2207</v>
      </c>
      <c r="D2097" s="2" t="s">
        <v>51</v>
      </c>
      <c r="E2097" s="2" t="s">
        <v>16</v>
      </c>
      <c r="F2097" s="2">
        <v>60</v>
      </c>
      <c r="G2097" s="2" t="s">
        <v>5873</v>
      </c>
      <c r="H2097" s="2" t="s">
        <v>5874</v>
      </c>
      <c r="I2097" s="2" t="s">
        <v>839</v>
      </c>
      <c r="J2097" s="3">
        <v>43953</v>
      </c>
      <c r="K2097" s="5">
        <f>YEAR(OrganizedData[[#This Row],[Order Date]])</f>
        <v>2020</v>
      </c>
      <c r="L2097" s="7" t="str">
        <f>TEXT(OrganizedData[[#This Row],[Order Date]],"mmm")</f>
        <v>May</v>
      </c>
      <c r="M2097" s="2">
        <v>63</v>
      </c>
      <c r="N2097" s="2" t="s">
        <v>39</v>
      </c>
      <c r="O2097" s="2" t="str">
        <f>VLOOKUP(OrganizedData[[#This Row],[Product Code]],ProductData[[Code]:[Item]],2,FALSE)</f>
        <v>Ultrathing V1</v>
      </c>
      <c r="P2097" s="4">
        <f>OrganizedData[[#This Row],[Quantity]]*VLOOKUP(OrganizedData[[#This Row],[Product Code]],ProductData[],4,FALSE)</f>
        <v>1071</v>
      </c>
      <c r="Q2097" s="6">
        <f>OrganizedData[[#This Row],[Total Items Ordered]]*VLOOKUP(OrganizedData[[#This Row],[Product Code]],ProductData[],3,FALSE)</f>
        <v>1917.0900000000001</v>
      </c>
      <c r="R20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2098" spans="1:18" x14ac:dyDescent="0.3">
      <c r="A2098" s="2">
        <v>2091</v>
      </c>
      <c r="B2098" s="2" t="s">
        <v>5875</v>
      </c>
      <c r="C2098" s="2" t="s">
        <v>5876</v>
      </c>
      <c r="D2098" s="2" t="s">
        <v>51</v>
      </c>
      <c r="E2098" s="2" t="s">
        <v>16</v>
      </c>
      <c r="F2098" s="2">
        <v>60</v>
      </c>
      <c r="G2098" s="2" t="s">
        <v>5877</v>
      </c>
      <c r="H2098" s="2" t="s">
        <v>4508</v>
      </c>
      <c r="I2098" s="2" t="s">
        <v>32</v>
      </c>
      <c r="J2098" s="3">
        <v>44046</v>
      </c>
      <c r="K2098" s="5">
        <f>YEAR(OrganizedData[[#This Row],[Order Date]])</f>
        <v>2020</v>
      </c>
      <c r="L2098" s="7" t="str">
        <f>TEXT(OrganizedData[[#This Row],[Order Date]],"mmm")</f>
        <v>Aug</v>
      </c>
      <c r="M2098" s="2">
        <v>37</v>
      </c>
      <c r="N2098" s="2" t="s">
        <v>20</v>
      </c>
      <c r="O2098" s="2" t="str">
        <f>VLOOKUP(OrganizedData[[#This Row],[Product Code]],ProductData[[Code]:[Item]],2,FALSE)</f>
        <v>Hyperwotsit</v>
      </c>
      <c r="P2098" s="4">
        <f>OrganizedData[[#This Row],[Quantity]]*VLOOKUP(OrganizedData[[#This Row],[Product Code]],ProductData[],4,FALSE)</f>
        <v>740</v>
      </c>
      <c r="Q2098" s="6">
        <f>OrganizedData[[#This Row],[Total Items Ordered]]*VLOOKUP(OrganizedData[[#This Row],[Product Code]],ProductData[],3,FALSE)</f>
        <v>1487.3999999999999</v>
      </c>
      <c r="R20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1442.7779999999998</v>
      </c>
    </row>
    <row r="2099" spans="1:18" x14ac:dyDescent="0.3">
      <c r="A2099" s="2">
        <v>2092</v>
      </c>
      <c r="B2099" s="2" t="s">
        <v>5878</v>
      </c>
      <c r="C2099" s="2" t="s">
        <v>2071</v>
      </c>
      <c r="D2099" s="2" t="s">
        <v>28</v>
      </c>
      <c r="E2099" s="2" t="s">
        <v>29</v>
      </c>
      <c r="F2099" s="2">
        <v>90</v>
      </c>
      <c r="G2099" s="2" t="s">
        <v>5879</v>
      </c>
      <c r="H2099" s="2" t="s">
        <v>1845</v>
      </c>
      <c r="I2099" s="2" t="s">
        <v>294</v>
      </c>
      <c r="J2099" s="3">
        <v>44752</v>
      </c>
      <c r="K2099" s="5">
        <f>YEAR(OrganizedData[[#This Row],[Order Date]])</f>
        <v>2022</v>
      </c>
      <c r="L2099" s="7" t="str">
        <f>TEXT(OrganizedData[[#This Row],[Order Date]],"mmm")</f>
        <v>Jul</v>
      </c>
      <c r="M2099" s="2">
        <v>82</v>
      </c>
      <c r="N2099" s="2" t="s">
        <v>101</v>
      </c>
      <c r="O2099" s="2" t="str">
        <f>VLOOKUP(OrganizedData[[#This Row],[Product Code]],ProductData[[Code]:[Item]],2,FALSE)</f>
        <v>Superwossname</v>
      </c>
      <c r="P2099" s="4">
        <f>OrganizedData[[#This Row],[Quantity]]*VLOOKUP(OrganizedData[[#This Row],[Product Code]],ProductData[],4,FALSE)</f>
        <v>1640</v>
      </c>
      <c r="Q2099" s="6">
        <f>OrganizedData[[#This Row],[Total Items Ordered]]*VLOOKUP(OrganizedData[[#This Row],[Product Code]],ProductData[],3,FALSE)</f>
        <v>5723.6</v>
      </c>
      <c r="R20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5437.42</v>
      </c>
    </row>
    <row r="2100" spans="1:18" x14ac:dyDescent="0.3">
      <c r="A2100" s="2">
        <v>2093</v>
      </c>
      <c r="B2100" s="2" t="s">
        <v>2549</v>
      </c>
      <c r="C2100" s="2" t="s">
        <v>4399</v>
      </c>
      <c r="D2100" s="2" t="s">
        <v>51</v>
      </c>
      <c r="E2100" s="2" t="s">
        <v>16</v>
      </c>
      <c r="F2100" s="2">
        <v>30</v>
      </c>
      <c r="G2100" s="2" t="s">
        <v>5880</v>
      </c>
      <c r="H2100" s="2" t="s">
        <v>4807</v>
      </c>
      <c r="I2100" s="2" t="s">
        <v>32</v>
      </c>
      <c r="J2100" s="3">
        <v>44665</v>
      </c>
      <c r="K2100" s="5">
        <f>YEAR(OrganizedData[[#This Row],[Order Date]])</f>
        <v>2022</v>
      </c>
      <c r="L2100" s="7" t="str">
        <f>TEXT(OrganizedData[[#This Row],[Order Date]],"mmm")</f>
        <v>Apr</v>
      </c>
      <c r="M2100" s="2">
        <v>61</v>
      </c>
      <c r="N2100" s="2" t="s">
        <v>54</v>
      </c>
      <c r="O2100" s="2" t="str">
        <f>VLOOKUP(OrganizedData[[#This Row],[Product Code]],ProductData[[Code]:[Item]],2,FALSE)</f>
        <v>Megawidget S</v>
      </c>
      <c r="P2100" s="4">
        <f>OrganizedData[[#This Row],[Quantity]]*VLOOKUP(OrganizedData[[#This Row],[Product Code]],ProductData[],4,FALSE)</f>
        <v>1464</v>
      </c>
      <c r="Q2100" s="6">
        <f>OrganizedData[[#This Row],[Total Items Ordered]]*VLOOKUP(OrganizedData[[#This Row],[Product Code]],ProductData[],3,FALSE)</f>
        <v>1010.16</v>
      </c>
      <c r="R21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959.65199999999993</v>
      </c>
    </row>
    <row r="2101" spans="1:18" x14ac:dyDescent="0.3">
      <c r="A2101" s="2">
        <v>2094</v>
      </c>
      <c r="B2101" s="2" t="s">
        <v>1982</v>
      </c>
      <c r="C2101" s="2" t="s">
        <v>2434</v>
      </c>
      <c r="D2101" s="2" t="s">
        <v>28</v>
      </c>
      <c r="E2101" s="2" t="s">
        <v>29</v>
      </c>
      <c r="F2101" s="2">
        <v>90</v>
      </c>
      <c r="G2101" s="2" t="s">
        <v>5881</v>
      </c>
      <c r="H2101" s="2" t="s">
        <v>5882</v>
      </c>
      <c r="I2101" s="2" t="s">
        <v>32</v>
      </c>
      <c r="J2101" s="3">
        <v>44740</v>
      </c>
      <c r="K2101" s="5">
        <f>YEAR(OrganizedData[[#This Row],[Order Date]])</f>
        <v>2022</v>
      </c>
      <c r="L2101" s="7" t="str">
        <f>TEXT(OrganizedData[[#This Row],[Order Date]],"mmm")</f>
        <v>Jun</v>
      </c>
      <c r="M2101" s="2">
        <v>36</v>
      </c>
      <c r="N2101" s="2" t="s">
        <v>64</v>
      </c>
      <c r="O2101" s="2" t="str">
        <f>VLOOKUP(OrganizedData[[#This Row],[Product Code]],ProductData[[Code]:[Item]],2,FALSE)</f>
        <v>Ultrathing V4</v>
      </c>
      <c r="P2101" s="4">
        <f>OrganizedData[[#This Row],[Quantity]]*VLOOKUP(OrganizedData[[#This Row],[Product Code]],ProductData[],4,FALSE)</f>
        <v>864</v>
      </c>
      <c r="Q2101" s="6">
        <f>OrganizedData[[#This Row],[Total Items Ordered]]*VLOOKUP(OrganizedData[[#This Row],[Product Code]],ProductData[],3,FALSE)</f>
        <v>3447.36</v>
      </c>
      <c r="R21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3343.9392000000003</v>
      </c>
    </row>
    <row r="2102" spans="1:18" x14ac:dyDescent="0.3">
      <c r="A2102" s="2">
        <v>2095</v>
      </c>
      <c r="B2102" s="2" t="s">
        <v>3262</v>
      </c>
      <c r="C2102" s="2" t="s">
        <v>5883</v>
      </c>
      <c r="D2102" s="2" t="s">
        <v>15</v>
      </c>
      <c r="E2102" s="2" t="s">
        <v>16</v>
      </c>
      <c r="F2102" s="2">
        <v>90</v>
      </c>
      <c r="G2102" s="2" t="s">
        <v>5884</v>
      </c>
      <c r="H2102" s="2" t="s">
        <v>436</v>
      </c>
      <c r="I2102" s="2" t="s">
        <v>32</v>
      </c>
      <c r="J2102" s="3">
        <v>44855</v>
      </c>
      <c r="K2102" s="5">
        <f>YEAR(OrganizedData[[#This Row],[Order Date]])</f>
        <v>2022</v>
      </c>
      <c r="L2102" s="7" t="str">
        <f>TEXT(OrganizedData[[#This Row],[Order Date]],"mmm")</f>
        <v>Oct</v>
      </c>
      <c r="M2102" s="2">
        <v>13</v>
      </c>
      <c r="N2102" s="2" t="s">
        <v>159</v>
      </c>
      <c r="O2102" s="2" t="str">
        <f>VLOOKUP(OrganizedData[[#This Row],[Product Code]],ProductData[[Code]:[Item]],2,FALSE)</f>
        <v>Ultrathing V3</v>
      </c>
      <c r="P2102" s="4">
        <f>OrganizedData[[#This Row],[Quantity]]*VLOOKUP(OrganizedData[[#This Row],[Product Code]],ProductData[],4,FALSE)</f>
        <v>312</v>
      </c>
      <c r="Q2102" s="6">
        <f>OrganizedData[[#This Row],[Total Items Ordered]]*VLOOKUP(OrganizedData[[#This Row],[Product Code]],ProductData[],3,FALSE)</f>
        <v>1057.68</v>
      </c>
      <c r="R21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1057.68</v>
      </c>
    </row>
    <row r="2103" spans="1:18" x14ac:dyDescent="0.3">
      <c r="A2103" s="2">
        <v>2096</v>
      </c>
      <c r="B2103" s="2" t="s">
        <v>778</v>
      </c>
      <c r="C2103" s="2" t="s">
        <v>1607</v>
      </c>
      <c r="D2103" s="2" t="s">
        <v>28</v>
      </c>
      <c r="E2103" s="2" t="s">
        <v>29</v>
      </c>
      <c r="F2103" s="2">
        <v>90</v>
      </c>
      <c r="G2103" s="2" t="s">
        <v>5885</v>
      </c>
      <c r="H2103" s="2" t="s">
        <v>5886</v>
      </c>
      <c r="I2103" s="2" t="s">
        <v>187</v>
      </c>
      <c r="J2103" s="3">
        <v>44837</v>
      </c>
      <c r="K2103" s="5">
        <f>YEAR(OrganizedData[[#This Row],[Order Date]])</f>
        <v>2022</v>
      </c>
      <c r="L2103" s="7" t="str">
        <f>TEXT(OrganizedData[[#This Row],[Order Date]],"mmm")</f>
        <v>Oct</v>
      </c>
      <c r="M2103" s="2">
        <v>92</v>
      </c>
      <c r="N2103" s="2" t="s">
        <v>45</v>
      </c>
      <c r="O2103" s="2" t="str">
        <f>VLOOKUP(OrganizedData[[#This Row],[Product Code]],ProductData[[Code]:[Item]],2,FALSE)</f>
        <v>Gigastuff</v>
      </c>
      <c r="P2103" s="4">
        <f>OrganizedData[[#This Row],[Quantity]]*VLOOKUP(OrganizedData[[#This Row],[Product Code]],ProductData[],4,FALSE)</f>
        <v>1656</v>
      </c>
      <c r="Q2103" s="6">
        <f>OrganizedData[[#This Row],[Total Items Ordered]]*VLOOKUP(OrganizedData[[#This Row],[Product Code]],ProductData[],3,FALSE)</f>
        <v>3129.8399999999997</v>
      </c>
      <c r="R21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2973.3479999999995</v>
      </c>
    </row>
    <row r="2104" spans="1:18" x14ac:dyDescent="0.3">
      <c r="A2104" s="2">
        <v>2097</v>
      </c>
      <c r="B2104" s="2" t="s">
        <v>5421</v>
      </c>
      <c r="C2104" s="2" t="s">
        <v>1219</v>
      </c>
      <c r="D2104" s="2" t="s">
        <v>28</v>
      </c>
      <c r="E2104" s="2" t="s">
        <v>29</v>
      </c>
      <c r="F2104" s="2">
        <v>90</v>
      </c>
      <c r="G2104" s="2" t="s">
        <v>5885</v>
      </c>
      <c r="H2104" s="2" t="s">
        <v>3984</v>
      </c>
      <c r="I2104" s="2" t="s">
        <v>32</v>
      </c>
      <c r="J2104" s="3">
        <v>44394</v>
      </c>
      <c r="K2104" s="5">
        <f>YEAR(OrganizedData[[#This Row],[Order Date]])</f>
        <v>2021</v>
      </c>
      <c r="L2104" s="7" t="str">
        <f>TEXT(OrganizedData[[#This Row],[Order Date]],"mmm")</f>
        <v>Jul</v>
      </c>
      <c r="M2104" s="2">
        <v>78</v>
      </c>
      <c r="N2104" s="2" t="s">
        <v>80</v>
      </c>
      <c r="O2104" s="2" t="str">
        <f>VLOOKUP(OrganizedData[[#This Row],[Product Code]],ProductData[[Code]:[Item]],2,FALSE)</f>
        <v>Ultrathing V2</v>
      </c>
      <c r="P2104" s="4">
        <f>OrganizedData[[#This Row],[Quantity]]*VLOOKUP(OrganizedData[[#This Row],[Product Code]],ProductData[],4,FALSE)</f>
        <v>1560</v>
      </c>
      <c r="Q2104" s="6">
        <f>OrganizedData[[#This Row],[Total Items Ordered]]*VLOOKUP(OrganizedData[[#This Row],[Product Code]],ProductData[],3,FALSE)</f>
        <v>4602</v>
      </c>
      <c r="R21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2105" spans="1:18" x14ac:dyDescent="0.3">
      <c r="A2105" s="2">
        <v>2098</v>
      </c>
      <c r="B2105" s="2" t="s">
        <v>5887</v>
      </c>
      <c r="C2105" s="2" t="s">
        <v>4251</v>
      </c>
      <c r="D2105" s="2" t="s">
        <v>28</v>
      </c>
      <c r="E2105" s="2" t="s">
        <v>29</v>
      </c>
      <c r="F2105" s="2">
        <v>30</v>
      </c>
      <c r="G2105" s="2" t="s">
        <v>5888</v>
      </c>
      <c r="H2105" s="2" t="s">
        <v>1674</v>
      </c>
      <c r="I2105" s="2" t="s">
        <v>25</v>
      </c>
      <c r="J2105" s="3">
        <v>44319</v>
      </c>
      <c r="K2105" s="5">
        <f>YEAR(OrganizedData[[#This Row],[Order Date]])</f>
        <v>2021</v>
      </c>
      <c r="L2105" s="7" t="str">
        <f>TEXT(OrganizedData[[#This Row],[Order Date]],"mmm")</f>
        <v>May</v>
      </c>
      <c r="M2105" s="2">
        <v>20</v>
      </c>
      <c r="N2105" s="2" t="s">
        <v>64</v>
      </c>
      <c r="O2105" s="2" t="str">
        <f>VLOOKUP(OrganizedData[[#This Row],[Product Code]],ProductData[[Code]:[Item]],2,FALSE)</f>
        <v>Ultrathing V4</v>
      </c>
      <c r="P2105" s="4">
        <f>OrganizedData[[#This Row],[Quantity]]*VLOOKUP(OrganizedData[[#This Row],[Product Code]],ProductData[],4,FALSE)</f>
        <v>480</v>
      </c>
      <c r="Q2105" s="6">
        <f>OrganizedData[[#This Row],[Total Items Ordered]]*VLOOKUP(OrganizedData[[#This Row],[Product Code]],ProductData[],3,FALSE)</f>
        <v>1915.2</v>
      </c>
      <c r="R21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2106" spans="1:18" x14ac:dyDescent="0.3">
      <c r="A2106" s="2">
        <v>2099</v>
      </c>
      <c r="B2106" s="2" t="s">
        <v>5644</v>
      </c>
      <c r="C2106" s="2" t="s">
        <v>2524</v>
      </c>
      <c r="D2106" s="2" t="s">
        <v>28</v>
      </c>
      <c r="E2106" s="2" t="s">
        <v>29</v>
      </c>
      <c r="F2106" s="2">
        <v>60</v>
      </c>
      <c r="G2106" s="2" t="s">
        <v>5889</v>
      </c>
      <c r="H2106" s="2" t="s">
        <v>2267</v>
      </c>
      <c r="I2106" s="2" t="s">
        <v>124</v>
      </c>
      <c r="J2106" s="3">
        <v>44168</v>
      </c>
      <c r="K2106" s="5">
        <f>YEAR(OrganizedData[[#This Row],[Order Date]])</f>
        <v>2020</v>
      </c>
      <c r="L2106" s="7" t="str">
        <f>TEXT(OrganizedData[[#This Row],[Order Date]],"mmm")</f>
        <v>Dec</v>
      </c>
      <c r="M2106" s="2">
        <v>17</v>
      </c>
      <c r="N2106" s="2" t="s">
        <v>33</v>
      </c>
      <c r="O2106" s="2" t="str">
        <f>VLOOKUP(OrganizedData[[#This Row],[Product Code]],ProductData[[Code]:[Item]],2,FALSE)</f>
        <v>Megawidget L</v>
      </c>
      <c r="P2106" s="4">
        <f>OrganizedData[[#This Row],[Quantity]]*VLOOKUP(OrganizedData[[#This Row],[Product Code]],ProductData[],4,FALSE)</f>
        <v>408</v>
      </c>
      <c r="Q2106" s="6">
        <f>OrganizedData[[#This Row],[Total Items Ordered]]*VLOOKUP(OrganizedData[[#This Row],[Product Code]],ProductData[],3,FALSE)</f>
        <v>730.32</v>
      </c>
      <c r="R21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2107" spans="1:18" x14ac:dyDescent="0.3">
      <c r="A2107" s="2">
        <v>2100</v>
      </c>
      <c r="B2107" s="2" t="s">
        <v>5890</v>
      </c>
      <c r="C2107" s="2" t="s">
        <v>5891</v>
      </c>
      <c r="D2107" s="2" t="s">
        <v>15</v>
      </c>
      <c r="E2107" s="2" t="s">
        <v>16</v>
      </c>
      <c r="F2107" s="2">
        <v>60</v>
      </c>
      <c r="G2107" s="2" t="s">
        <v>5892</v>
      </c>
      <c r="H2107" s="2" t="s">
        <v>322</v>
      </c>
      <c r="I2107" s="2" t="s">
        <v>32</v>
      </c>
      <c r="J2107" s="3">
        <v>44724</v>
      </c>
      <c r="K2107" s="5">
        <f>YEAR(OrganizedData[[#This Row],[Order Date]])</f>
        <v>2022</v>
      </c>
      <c r="L2107" s="7" t="str">
        <f>TEXT(OrganizedData[[#This Row],[Order Date]],"mmm")</f>
        <v>Jun</v>
      </c>
      <c r="M2107" s="2">
        <v>31</v>
      </c>
      <c r="N2107" s="2" t="s">
        <v>20</v>
      </c>
      <c r="O2107" s="2" t="str">
        <f>VLOOKUP(OrganizedData[[#This Row],[Product Code]],ProductData[[Code]:[Item]],2,FALSE)</f>
        <v>Hyperwotsit</v>
      </c>
      <c r="P2107" s="4">
        <f>OrganizedData[[#This Row],[Quantity]]*VLOOKUP(OrganizedData[[#This Row],[Product Code]],ProductData[],4,FALSE)</f>
        <v>620</v>
      </c>
      <c r="Q2107" s="6">
        <f>OrganizedData[[#This Row],[Total Items Ordered]]*VLOOKUP(OrganizedData[[#This Row],[Product Code]],ProductData[],3,FALSE)</f>
        <v>1246.1999999999998</v>
      </c>
      <c r="R21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1208.8139999999999</v>
      </c>
    </row>
    <row r="2108" spans="1:18" x14ac:dyDescent="0.3">
      <c r="A2108" s="2">
        <v>2101</v>
      </c>
      <c r="B2108" s="2" t="s">
        <v>102</v>
      </c>
      <c r="C2108" s="2" t="s">
        <v>5893</v>
      </c>
      <c r="D2108" s="2" t="s">
        <v>51</v>
      </c>
      <c r="E2108" s="2" t="s">
        <v>16</v>
      </c>
      <c r="F2108" s="2">
        <v>30</v>
      </c>
      <c r="G2108" s="2" t="s">
        <v>5894</v>
      </c>
      <c r="H2108" s="2" t="s">
        <v>5895</v>
      </c>
      <c r="I2108" s="2" t="s">
        <v>32</v>
      </c>
      <c r="J2108" s="3">
        <v>44680</v>
      </c>
      <c r="K2108" s="5">
        <f>YEAR(OrganizedData[[#This Row],[Order Date]])</f>
        <v>2022</v>
      </c>
      <c r="L2108" s="7" t="str">
        <f>TEXT(OrganizedData[[#This Row],[Order Date]],"mmm")</f>
        <v>Apr</v>
      </c>
      <c r="M2108" s="2">
        <v>31</v>
      </c>
      <c r="N2108" s="2" t="s">
        <v>70</v>
      </c>
      <c r="O2108" s="2" t="str">
        <f>VLOOKUP(OrganizedData[[#This Row],[Product Code]],ProductData[[Code]:[Item]],2,FALSE)</f>
        <v>Megawidget M</v>
      </c>
      <c r="P2108" s="4">
        <f>OrganizedData[[#This Row],[Quantity]]*VLOOKUP(OrganizedData[[#This Row],[Product Code]],ProductData[],4,FALSE)</f>
        <v>744</v>
      </c>
      <c r="Q2108" s="6">
        <f>OrganizedData[[#This Row],[Total Items Ordered]]*VLOOKUP(OrganizedData[[#This Row],[Product Code]],ProductData[],3,FALSE)</f>
        <v>959.76</v>
      </c>
      <c r="R21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2109" spans="1:18" x14ac:dyDescent="0.3">
      <c r="A2109" s="2">
        <v>2102</v>
      </c>
      <c r="B2109" s="2" t="s">
        <v>986</v>
      </c>
      <c r="C2109" s="2" t="s">
        <v>4548</v>
      </c>
      <c r="D2109" s="2" t="s">
        <v>28</v>
      </c>
      <c r="E2109" s="2" t="s">
        <v>29</v>
      </c>
      <c r="F2109" s="2">
        <v>90</v>
      </c>
      <c r="G2109" s="2" t="s">
        <v>5896</v>
      </c>
      <c r="H2109" s="2" t="s">
        <v>4958</v>
      </c>
      <c r="I2109" s="2" t="s">
        <v>95</v>
      </c>
      <c r="J2109" s="3">
        <v>44060</v>
      </c>
      <c r="K2109" s="5">
        <f>YEAR(OrganizedData[[#This Row],[Order Date]])</f>
        <v>2020</v>
      </c>
      <c r="L2109" s="7" t="str">
        <f>TEXT(OrganizedData[[#This Row],[Order Date]],"mmm")</f>
        <v>Aug</v>
      </c>
      <c r="M2109" s="2">
        <v>45</v>
      </c>
      <c r="N2109" s="2" t="s">
        <v>39</v>
      </c>
      <c r="O2109" s="2" t="str">
        <f>VLOOKUP(OrganizedData[[#This Row],[Product Code]],ProductData[[Code]:[Item]],2,FALSE)</f>
        <v>Ultrathing V1</v>
      </c>
      <c r="P2109" s="4">
        <f>OrganizedData[[#This Row],[Quantity]]*VLOOKUP(OrganizedData[[#This Row],[Product Code]],ProductData[],4,FALSE)</f>
        <v>765</v>
      </c>
      <c r="Q2109" s="6">
        <f>OrganizedData[[#This Row],[Total Items Ordered]]*VLOOKUP(OrganizedData[[#This Row],[Product Code]],ProductData[],3,FALSE)</f>
        <v>1369.3500000000001</v>
      </c>
      <c r="R21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1328.2695000000001</v>
      </c>
    </row>
    <row r="2110" spans="1:18" x14ac:dyDescent="0.3">
      <c r="A2110" s="2">
        <v>2103</v>
      </c>
      <c r="B2110" s="2" t="s">
        <v>657</v>
      </c>
      <c r="C2110" s="2" t="s">
        <v>1023</v>
      </c>
      <c r="D2110" s="2" t="s">
        <v>28</v>
      </c>
      <c r="E2110" s="2" t="s">
        <v>29</v>
      </c>
      <c r="F2110" s="2">
        <v>60</v>
      </c>
      <c r="G2110" s="2" t="s">
        <v>5897</v>
      </c>
      <c r="H2110" s="2" t="s">
        <v>3987</v>
      </c>
      <c r="I2110" s="2" t="s">
        <v>554</v>
      </c>
      <c r="J2110" s="3">
        <v>44737</v>
      </c>
      <c r="K2110" s="5">
        <f>YEAR(OrganizedData[[#This Row],[Order Date]])</f>
        <v>2022</v>
      </c>
      <c r="L2110" s="7" t="str">
        <f>TEXT(OrganizedData[[#This Row],[Order Date]],"mmm")</f>
        <v>Jun</v>
      </c>
      <c r="M2110" s="2">
        <v>39</v>
      </c>
      <c r="N2110" s="2" t="s">
        <v>80</v>
      </c>
      <c r="O2110" s="2" t="str">
        <f>VLOOKUP(OrganizedData[[#This Row],[Product Code]],ProductData[[Code]:[Item]],2,FALSE)</f>
        <v>Ultrathing V2</v>
      </c>
      <c r="P2110" s="4">
        <f>OrganizedData[[#This Row],[Quantity]]*VLOOKUP(OrganizedData[[#This Row],[Product Code]],ProductData[],4,FALSE)</f>
        <v>780</v>
      </c>
      <c r="Q2110" s="6">
        <f>OrganizedData[[#This Row],[Total Items Ordered]]*VLOOKUP(OrganizedData[[#This Row],[Product Code]],ProductData[],3,FALSE)</f>
        <v>2301</v>
      </c>
      <c r="R21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2111" spans="1:18" x14ac:dyDescent="0.3">
      <c r="A2111" s="2">
        <v>2104</v>
      </c>
      <c r="B2111" s="2" t="s">
        <v>1058</v>
      </c>
      <c r="C2111" s="2" t="s">
        <v>4792</v>
      </c>
      <c r="D2111" s="2" t="s">
        <v>28</v>
      </c>
      <c r="E2111" s="2" t="s">
        <v>29</v>
      </c>
      <c r="F2111" s="2">
        <v>90</v>
      </c>
      <c r="G2111" s="2" t="s">
        <v>5898</v>
      </c>
      <c r="H2111" s="2" t="s">
        <v>1276</v>
      </c>
      <c r="I2111" s="2" t="s">
        <v>32</v>
      </c>
      <c r="J2111" s="3">
        <v>44461</v>
      </c>
      <c r="K2111" s="5">
        <f>YEAR(OrganizedData[[#This Row],[Order Date]])</f>
        <v>2021</v>
      </c>
      <c r="L2111" s="7" t="str">
        <f>TEXT(OrganizedData[[#This Row],[Order Date]],"mmm")</f>
        <v>Sep</v>
      </c>
      <c r="M2111" s="2">
        <v>2</v>
      </c>
      <c r="N2111" s="2" t="s">
        <v>101</v>
      </c>
      <c r="O2111" s="2" t="str">
        <f>VLOOKUP(OrganizedData[[#This Row],[Product Code]],ProductData[[Code]:[Item]],2,FALSE)</f>
        <v>Superwossname</v>
      </c>
      <c r="P2111" s="4">
        <f>OrganizedData[[#This Row],[Quantity]]*VLOOKUP(OrganizedData[[#This Row],[Product Code]],ProductData[],4,FALSE)</f>
        <v>40</v>
      </c>
      <c r="Q2111" s="6">
        <f>OrganizedData[[#This Row],[Total Items Ordered]]*VLOOKUP(OrganizedData[[#This Row],[Product Code]],ProductData[],3,FALSE)</f>
        <v>139.60000000000002</v>
      </c>
      <c r="R21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2112" spans="1:18" x14ac:dyDescent="0.3">
      <c r="A2112" s="2">
        <v>2105</v>
      </c>
      <c r="B2112" s="2" t="s">
        <v>979</v>
      </c>
      <c r="C2112" s="2" t="s">
        <v>1521</v>
      </c>
      <c r="D2112" s="2" t="s">
        <v>28</v>
      </c>
      <c r="E2112" s="2" t="s">
        <v>29</v>
      </c>
      <c r="F2112" s="2">
        <v>30</v>
      </c>
      <c r="G2112" s="2" t="s">
        <v>10516</v>
      </c>
      <c r="H2112" s="2" t="s">
        <v>3206</v>
      </c>
      <c r="I2112" s="2" t="s">
        <v>1199</v>
      </c>
      <c r="J2112" s="3">
        <v>44256</v>
      </c>
      <c r="K2112" s="5">
        <f>YEAR(OrganizedData[[#This Row],[Order Date]])</f>
        <v>2021</v>
      </c>
      <c r="L2112" s="7" t="str">
        <f>TEXT(OrganizedData[[#This Row],[Order Date]],"mmm")</f>
        <v>Mar</v>
      </c>
      <c r="M2112" s="2">
        <v>34</v>
      </c>
      <c r="N2112" s="2" t="s">
        <v>80</v>
      </c>
      <c r="O2112" s="2" t="str">
        <f>VLOOKUP(OrganizedData[[#This Row],[Product Code]],ProductData[[Code]:[Item]],2,FALSE)</f>
        <v>Ultrathing V2</v>
      </c>
      <c r="P2112" s="4">
        <f>OrganizedData[[#This Row],[Quantity]]*VLOOKUP(OrganizedData[[#This Row],[Product Code]],ProductData[],4,FALSE)</f>
        <v>680</v>
      </c>
      <c r="Q2112" s="6">
        <f>OrganizedData[[#This Row],[Total Items Ordered]]*VLOOKUP(OrganizedData[[#This Row],[Product Code]],ProductData[],3,FALSE)</f>
        <v>2006.0000000000002</v>
      </c>
      <c r="R21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1945.8200000000002</v>
      </c>
    </row>
    <row r="2113" spans="1:18" x14ac:dyDescent="0.3">
      <c r="A2113" s="2">
        <v>2106</v>
      </c>
      <c r="B2113" s="2" t="s">
        <v>5900</v>
      </c>
      <c r="C2113" s="2" t="s">
        <v>22</v>
      </c>
      <c r="D2113" s="2" t="s">
        <v>28</v>
      </c>
      <c r="E2113" s="2" t="s">
        <v>29</v>
      </c>
      <c r="F2113" s="2">
        <v>60</v>
      </c>
      <c r="G2113" s="2" t="s">
        <v>10516</v>
      </c>
      <c r="H2113" s="2" t="s">
        <v>1444</v>
      </c>
      <c r="I2113" s="2" t="s">
        <v>1199</v>
      </c>
      <c r="J2113" s="3">
        <v>44589</v>
      </c>
      <c r="K2113" s="5">
        <f>YEAR(OrganizedData[[#This Row],[Order Date]])</f>
        <v>2022</v>
      </c>
      <c r="L2113" s="7" t="str">
        <f>TEXT(OrganizedData[[#This Row],[Order Date]],"mmm")</f>
        <v>Jan</v>
      </c>
      <c r="M2113" s="2">
        <v>91</v>
      </c>
      <c r="N2113" s="2" t="s">
        <v>54</v>
      </c>
      <c r="O2113" s="2" t="str">
        <f>VLOOKUP(OrganizedData[[#This Row],[Product Code]],ProductData[[Code]:[Item]],2,FALSE)</f>
        <v>Megawidget S</v>
      </c>
      <c r="P2113" s="4">
        <f>OrganizedData[[#This Row],[Quantity]]*VLOOKUP(OrganizedData[[#This Row],[Product Code]],ProductData[],4,FALSE)</f>
        <v>2184</v>
      </c>
      <c r="Q2113" s="6">
        <f>OrganizedData[[#This Row],[Total Items Ordered]]*VLOOKUP(OrganizedData[[#This Row],[Product Code]],ProductData[],3,FALSE)</f>
        <v>1506.9599999999998</v>
      </c>
      <c r="R21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1431.6119999999999</v>
      </c>
    </row>
    <row r="2114" spans="1:18" x14ac:dyDescent="0.3">
      <c r="A2114" s="2">
        <v>2107</v>
      </c>
      <c r="B2114" s="2" t="s">
        <v>1695</v>
      </c>
      <c r="C2114" s="2" t="s">
        <v>987</v>
      </c>
      <c r="D2114" s="2" t="s">
        <v>15</v>
      </c>
      <c r="E2114" s="2" t="s">
        <v>16</v>
      </c>
      <c r="F2114" s="2">
        <v>60</v>
      </c>
      <c r="G2114" s="2" t="s">
        <v>5901</v>
      </c>
      <c r="H2114" s="2" t="s">
        <v>2655</v>
      </c>
      <c r="I2114" s="2" t="s">
        <v>1083</v>
      </c>
      <c r="J2114" s="3">
        <v>44866</v>
      </c>
      <c r="K2114" s="5">
        <f>YEAR(OrganizedData[[#This Row],[Order Date]])</f>
        <v>2022</v>
      </c>
      <c r="L2114" s="7" t="str">
        <f>TEXT(OrganizedData[[#This Row],[Order Date]],"mmm")</f>
        <v>Nov</v>
      </c>
      <c r="M2114" s="2">
        <v>38</v>
      </c>
      <c r="N2114" s="2" t="s">
        <v>80</v>
      </c>
      <c r="O2114" s="2" t="str">
        <f>VLOOKUP(OrganizedData[[#This Row],[Product Code]],ProductData[[Code]:[Item]],2,FALSE)</f>
        <v>Ultrathing V2</v>
      </c>
      <c r="P2114" s="4">
        <f>OrganizedData[[#This Row],[Quantity]]*VLOOKUP(OrganizedData[[#This Row],[Product Code]],ProductData[],4,FALSE)</f>
        <v>760</v>
      </c>
      <c r="Q2114" s="6">
        <f>OrganizedData[[#This Row],[Total Items Ordered]]*VLOOKUP(OrganizedData[[#This Row],[Product Code]],ProductData[],3,FALSE)</f>
        <v>2242</v>
      </c>
      <c r="R21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2115" spans="1:18" x14ac:dyDescent="0.3">
      <c r="A2115" s="2">
        <v>2108</v>
      </c>
      <c r="B2115" s="2" t="s">
        <v>3108</v>
      </c>
      <c r="C2115" s="2" t="s">
        <v>1023</v>
      </c>
      <c r="D2115" s="2" t="s">
        <v>51</v>
      </c>
      <c r="E2115" s="2" t="s">
        <v>16</v>
      </c>
      <c r="F2115" s="2">
        <v>30</v>
      </c>
      <c r="G2115" s="2" t="s">
        <v>5902</v>
      </c>
      <c r="H2115" s="2" t="s">
        <v>2397</v>
      </c>
      <c r="I2115" s="2" t="s">
        <v>187</v>
      </c>
      <c r="J2115" s="3">
        <v>44076</v>
      </c>
      <c r="K2115" s="5">
        <f>YEAR(OrganizedData[[#This Row],[Order Date]])</f>
        <v>2020</v>
      </c>
      <c r="L2115" s="7" t="str">
        <f>TEXT(OrganizedData[[#This Row],[Order Date]],"mmm")</f>
        <v>Sep</v>
      </c>
      <c r="M2115" s="2">
        <v>30</v>
      </c>
      <c r="N2115" s="2" t="s">
        <v>159</v>
      </c>
      <c r="O2115" s="2" t="str">
        <f>VLOOKUP(OrganizedData[[#This Row],[Product Code]],ProductData[[Code]:[Item]],2,FALSE)</f>
        <v>Ultrathing V3</v>
      </c>
      <c r="P2115" s="4">
        <f>OrganizedData[[#This Row],[Quantity]]*VLOOKUP(OrganizedData[[#This Row],[Product Code]],ProductData[],4,FALSE)</f>
        <v>720</v>
      </c>
      <c r="Q2115" s="6">
        <f>OrganizedData[[#This Row],[Total Items Ordered]]*VLOOKUP(OrganizedData[[#This Row],[Product Code]],ProductData[],3,FALSE)</f>
        <v>2440.8000000000002</v>
      </c>
      <c r="R21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2367.576</v>
      </c>
    </row>
    <row r="2116" spans="1:18" x14ac:dyDescent="0.3">
      <c r="A2116" s="2">
        <v>2109</v>
      </c>
      <c r="B2116" s="2" t="s">
        <v>5903</v>
      </c>
      <c r="C2116" s="2" t="s">
        <v>5193</v>
      </c>
      <c r="D2116" s="2" t="s">
        <v>15</v>
      </c>
      <c r="E2116" s="2" t="s">
        <v>16</v>
      </c>
      <c r="F2116" s="2">
        <v>30</v>
      </c>
      <c r="G2116" s="2" t="s">
        <v>5904</v>
      </c>
      <c r="H2116" s="2" t="s">
        <v>4944</v>
      </c>
      <c r="I2116" s="2" t="s">
        <v>839</v>
      </c>
      <c r="J2116" s="3">
        <v>44231</v>
      </c>
      <c r="K2116" s="5">
        <f>YEAR(OrganizedData[[#This Row],[Order Date]])</f>
        <v>2021</v>
      </c>
      <c r="L2116" s="7" t="str">
        <f>TEXT(OrganizedData[[#This Row],[Order Date]],"mmm")</f>
        <v>Feb</v>
      </c>
      <c r="M2116" s="2">
        <v>33</v>
      </c>
      <c r="N2116" s="2" t="s">
        <v>70</v>
      </c>
      <c r="O2116" s="2" t="str">
        <f>VLOOKUP(OrganizedData[[#This Row],[Product Code]],ProductData[[Code]:[Item]],2,FALSE)</f>
        <v>Megawidget M</v>
      </c>
      <c r="P2116" s="4">
        <f>OrganizedData[[#This Row],[Quantity]]*VLOOKUP(OrganizedData[[#This Row],[Product Code]],ProductData[],4,FALSE)</f>
        <v>792</v>
      </c>
      <c r="Q2116" s="6">
        <f>OrganizedData[[#This Row],[Total Items Ordered]]*VLOOKUP(OrganizedData[[#This Row],[Product Code]],ProductData[],3,FALSE)</f>
        <v>1021.6800000000001</v>
      </c>
      <c r="R21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991.02960000000007</v>
      </c>
    </row>
    <row r="2117" spans="1:18" x14ac:dyDescent="0.3">
      <c r="A2117" s="2">
        <v>2110</v>
      </c>
      <c r="B2117" s="2" t="s">
        <v>5905</v>
      </c>
      <c r="C2117" s="2" t="s">
        <v>1678</v>
      </c>
      <c r="D2117" s="2" t="s">
        <v>51</v>
      </c>
      <c r="E2117" s="2" t="s">
        <v>16</v>
      </c>
      <c r="F2117" s="2">
        <v>30</v>
      </c>
      <c r="G2117" s="2" t="s">
        <v>5906</v>
      </c>
      <c r="H2117" s="2" t="s">
        <v>5619</v>
      </c>
      <c r="I2117" s="2" t="s">
        <v>32</v>
      </c>
      <c r="J2117" s="3">
        <v>44908</v>
      </c>
      <c r="K2117" s="5">
        <f>YEAR(OrganizedData[[#This Row],[Order Date]])</f>
        <v>2022</v>
      </c>
      <c r="L2117" s="7" t="str">
        <f>TEXT(OrganizedData[[#This Row],[Order Date]],"mmm")</f>
        <v>Dec</v>
      </c>
      <c r="M2117" s="2">
        <v>14</v>
      </c>
      <c r="N2117" s="2" t="s">
        <v>64</v>
      </c>
      <c r="O2117" s="2" t="str">
        <f>VLOOKUP(OrganizedData[[#This Row],[Product Code]],ProductData[[Code]:[Item]],2,FALSE)</f>
        <v>Ultrathing V4</v>
      </c>
      <c r="P2117" s="4">
        <f>OrganizedData[[#This Row],[Quantity]]*VLOOKUP(OrganizedData[[#This Row],[Product Code]],ProductData[],4,FALSE)</f>
        <v>336</v>
      </c>
      <c r="Q2117" s="6">
        <f>OrganizedData[[#This Row],[Total Items Ordered]]*VLOOKUP(OrganizedData[[#This Row],[Product Code]],ProductData[],3,FALSE)</f>
        <v>1340.64</v>
      </c>
      <c r="R21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1340.64</v>
      </c>
    </row>
    <row r="2118" spans="1:18" x14ac:dyDescent="0.3">
      <c r="A2118" s="2">
        <v>2111</v>
      </c>
      <c r="B2118" s="2" t="s">
        <v>5907</v>
      </c>
      <c r="C2118" s="2" t="s">
        <v>2385</v>
      </c>
      <c r="D2118" s="2" t="s">
        <v>15</v>
      </c>
      <c r="E2118" s="2" t="s">
        <v>16</v>
      </c>
      <c r="F2118" s="2">
        <v>30</v>
      </c>
      <c r="G2118" s="2" t="s">
        <v>5908</v>
      </c>
      <c r="H2118" s="2" t="s">
        <v>3571</v>
      </c>
      <c r="I2118" s="2" t="s">
        <v>32</v>
      </c>
      <c r="J2118" s="3">
        <v>44077</v>
      </c>
      <c r="K2118" s="5">
        <f>YEAR(OrganizedData[[#This Row],[Order Date]])</f>
        <v>2020</v>
      </c>
      <c r="L2118" s="7" t="str">
        <f>TEXT(OrganizedData[[#This Row],[Order Date]],"mmm")</f>
        <v>Sep</v>
      </c>
      <c r="M2118" s="2">
        <v>47</v>
      </c>
      <c r="N2118" s="2" t="s">
        <v>54</v>
      </c>
      <c r="O2118" s="2" t="str">
        <f>VLOOKUP(OrganizedData[[#This Row],[Product Code]],ProductData[[Code]:[Item]],2,FALSE)</f>
        <v>Megawidget S</v>
      </c>
      <c r="P2118" s="4">
        <f>OrganizedData[[#This Row],[Quantity]]*VLOOKUP(OrganizedData[[#This Row],[Product Code]],ProductData[],4,FALSE)</f>
        <v>1128</v>
      </c>
      <c r="Q2118" s="6">
        <f>OrganizedData[[#This Row],[Total Items Ordered]]*VLOOKUP(OrganizedData[[#This Row],[Product Code]],ProductData[],3,FALSE)</f>
        <v>778.31999999999994</v>
      </c>
      <c r="R21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2119" spans="1:18" x14ac:dyDescent="0.3">
      <c r="A2119" s="2">
        <v>2112</v>
      </c>
      <c r="B2119" s="2" t="s">
        <v>646</v>
      </c>
      <c r="C2119" s="2" t="s">
        <v>256</v>
      </c>
      <c r="D2119" s="2" t="s">
        <v>28</v>
      </c>
      <c r="E2119" s="2" t="s">
        <v>29</v>
      </c>
      <c r="F2119" s="2">
        <v>30</v>
      </c>
      <c r="G2119" s="2" t="s">
        <v>5909</v>
      </c>
      <c r="H2119" s="2" t="s">
        <v>2579</v>
      </c>
      <c r="I2119" s="2" t="s">
        <v>425</v>
      </c>
      <c r="J2119" s="3">
        <v>44618</v>
      </c>
      <c r="K2119" s="5">
        <f>YEAR(OrganizedData[[#This Row],[Order Date]])</f>
        <v>2022</v>
      </c>
      <c r="L2119" s="7" t="str">
        <f>TEXT(OrganizedData[[#This Row],[Order Date]],"mmm")</f>
        <v>Feb</v>
      </c>
      <c r="M2119" s="2">
        <v>9</v>
      </c>
      <c r="N2119" s="2" t="s">
        <v>101</v>
      </c>
      <c r="O2119" s="2" t="str">
        <f>VLOOKUP(OrganizedData[[#This Row],[Product Code]],ProductData[[Code]:[Item]],2,FALSE)</f>
        <v>Superwossname</v>
      </c>
      <c r="P2119" s="4">
        <f>OrganizedData[[#This Row],[Quantity]]*VLOOKUP(OrganizedData[[#This Row],[Product Code]],ProductData[],4,FALSE)</f>
        <v>180</v>
      </c>
      <c r="Q2119" s="6">
        <f>OrganizedData[[#This Row],[Total Items Ordered]]*VLOOKUP(OrganizedData[[#This Row],[Product Code]],ProductData[],3,FALSE)</f>
        <v>628.20000000000005</v>
      </c>
      <c r="R21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628.20000000000005</v>
      </c>
    </row>
    <row r="2120" spans="1:18" x14ac:dyDescent="0.3">
      <c r="A2120" s="2">
        <v>2113</v>
      </c>
      <c r="B2120" s="2" t="s">
        <v>5141</v>
      </c>
      <c r="C2120" s="2" t="s">
        <v>5910</v>
      </c>
      <c r="D2120" s="2" t="s">
        <v>28</v>
      </c>
      <c r="E2120" s="2" t="s">
        <v>29</v>
      </c>
      <c r="F2120" s="2">
        <v>90</v>
      </c>
      <c r="G2120" s="2" t="s">
        <v>5911</v>
      </c>
      <c r="H2120" s="2" t="s">
        <v>685</v>
      </c>
      <c r="I2120" s="2" t="s">
        <v>686</v>
      </c>
      <c r="J2120" s="3">
        <v>44425</v>
      </c>
      <c r="K2120" s="5">
        <f>YEAR(OrganizedData[[#This Row],[Order Date]])</f>
        <v>2021</v>
      </c>
      <c r="L2120" s="7" t="str">
        <f>TEXT(OrganizedData[[#This Row],[Order Date]],"mmm")</f>
        <v>Aug</v>
      </c>
      <c r="M2120" s="2">
        <v>42</v>
      </c>
      <c r="N2120" s="2" t="s">
        <v>33</v>
      </c>
      <c r="O2120" s="2" t="str">
        <f>VLOOKUP(OrganizedData[[#This Row],[Product Code]],ProductData[[Code]:[Item]],2,FALSE)</f>
        <v>Megawidget L</v>
      </c>
      <c r="P2120" s="4">
        <f>OrganizedData[[#This Row],[Quantity]]*VLOOKUP(OrganizedData[[#This Row],[Product Code]],ProductData[],4,FALSE)</f>
        <v>1008</v>
      </c>
      <c r="Q2120" s="6">
        <f>OrganizedData[[#This Row],[Total Items Ordered]]*VLOOKUP(OrganizedData[[#This Row],[Product Code]],ProductData[],3,FALSE)</f>
        <v>1804.32</v>
      </c>
      <c r="R21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2121" spans="1:18" x14ac:dyDescent="0.3">
      <c r="A2121" s="2">
        <v>2114</v>
      </c>
      <c r="B2121" s="2" t="s">
        <v>2627</v>
      </c>
      <c r="C2121" s="2" t="s">
        <v>3591</v>
      </c>
      <c r="D2121" s="2" t="s">
        <v>15</v>
      </c>
      <c r="E2121" s="2" t="s">
        <v>16</v>
      </c>
      <c r="F2121" s="2">
        <v>30</v>
      </c>
      <c r="G2121" s="2" t="s">
        <v>5912</v>
      </c>
      <c r="H2121" s="2" t="s">
        <v>1453</v>
      </c>
      <c r="I2121" s="2" t="s">
        <v>1454</v>
      </c>
      <c r="J2121" s="3">
        <v>44627</v>
      </c>
      <c r="K2121" s="5">
        <f>YEAR(OrganizedData[[#This Row],[Order Date]])</f>
        <v>2022</v>
      </c>
      <c r="L2121" s="7" t="str">
        <f>TEXT(OrganizedData[[#This Row],[Order Date]],"mmm")</f>
        <v>Mar</v>
      </c>
      <c r="M2121" s="2">
        <v>12</v>
      </c>
      <c r="N2121" s="2" t="s">
        <v>80</v>
      </c>
      <c r="O2121" s="2" t="str">
        <f>VLOOKUP(OrganizedData[[#This Row],[Product Code]],ProductData[[Code]:[Item]],2,FALSE)</f>
        <v>Ultrathing V2</v>
      </c>
      <c r="P2121" s="4">
        <f>OrganizedData[[#This Row],[Quantity]]*VLOOKUP(OrganizedData[[#This Row],[Product Code]],ProductData[],4,FALSE)</f>
        <v>240</v>
      </c>
      <c r="Q2121" s="6">
        <f>OrganizedData[[#This Row],[Total Items Ordered]]*VLOOKUP(OrganizedData[[#This Row],[Product Code]],ProductData[],3,FALSE)</f>
        <v>708</v>
      </c>
      <c r="R21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v>
      </c>
    </row>
    <row r="2122" spans="1:18" x14ac:dyDescent="0.3">
      <c r="A2122" s="2">
        <v>2115</v>
      </c>
      <c r="B2122" s="2" t="s">
        <v>4489</v>
      </c>
      <c r="C2122" s="2" t="s">
        <v>5913</v>
      </c>
      <c r="D2122" s="2" t="s">
        <v>28</v>
      </c>
      <c r="E2122" s="2" t="s">
        <v>29</v>
      </c>
      <c r="F2122" s="2">
        <v>90</v>
      </c>
      <c r="G2122" s="2" t="s">
        <v>5914</v>
      </c>
      <c r="H2122" s="2" t="s">
        <v>5915</v>
      </c>
      <c r="I2122" s="2" t="s">
        <v>32</v>
      </c>
      <c r="J2122" s="3">
        <v>44597</v>
      </c>
      <c r="K2122" s="5">
        <f>YEAR(OrganizedData[[#This Row],[Order Date]])</f>
        <v>2022</v>
      </c>
      <c r="L2122" s="7" t="str">
        <f>TEXT(OrganizedData[[#This Row],[Order Date]],"mmm")</f>
        <v>Feb</v>
      </c>
      <c r="M2122" s="2">
        <v>104</v>
      </c>
      <c r="N2122" s="2" t="s">
        <v>101</v>
      </c>
      <c r="O2122" s="2" t="str">
        <f>VLOOKUP(OrganizedData[[#This Row],[Product Code]],ProductData[[Code]:[Item]],2,FALSE)</f>
        <v>Superwossname</v>
      </c>
      <c r="P2122" s="4">
        <f>OrganizedData[[#This Row],[Quantity]]*VLOOKUP(OrganizedData[[#This Row],[Product Code]],ProductData[],4,FALSE)</f>
        <v>2080</v>
      </c>
      <c r="Q2122" s="6">
        <f>OrganizedData[[#This Row],[Total Items Ordered]]*VLOOKUP(OrganizedData[[#This Row],[Product Code]],ProductData[],3,FALSE)</f>
        <v>7259.2000000000007</v>
      </c>
      <c r="R21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6751.0560000000014</v>
      </c>
    </row>
    <row r="2123" spans="1:18" x14ac:dyDescent="0.3">
      <c r="A2123" s="2">
        <v>2116</v>
      </c>
      <c r="B2123" s="2" t="s">
        <v>5916</v>
      </c>
      <c r="C2123" s="2" t="s">
        <v>3845</v>
      </c>
      <c r="D2123" s="2" t="s">
        <v>28</v>
      </c>
      <c r="E2123" s="2" t="s">
        <v>29</v>
      </c>
      <c r="F2123" s="2">
        <v>60</v>
      </c>
      <c r="G2123" s="2" t="s">
        <v>10517</v>
      </c>
      <c r="H2123" s="2" t="s">
        <v>793</v>
      </c>
      <c r="I2123" s="2" t="s">
        <v>178</v>
      </c>
      <c r="J2123" s="3">
        <v>44169</v>
      </c>
      <c r="K2123" s="5">
        <f>YEAR(OrganizedData[[#This Row],[Order Date]])</f>
        <v>2020</v>
      </c>
      <c r="L2123" s="7" t="str">
        <f>TEXT(OrganizedData[[#This Row],[Order Date]],"mmm")</f>
        <v>Dec</v>
      </c>
      <c r="M2123" s="2">
        <v>22</v>
      </c>
      <c r="N2123" s="2" t="s">
        <v>101</v>
      </c>
      <c r="O2123" s="2" t="str">
        <f>VLOOKUP(OrganizedData[[#This Row],[Product Code]],ProductData[[Code]:[Item]],2,FALSE)</f>
        <v>Superwossname</v>
      </c>
      <c r="P2123" s="4">
        <f>OrganizedData[[#This Row],[Quantity]]*VLOOKUP(OrganizedData[[#This Row],[Product Code]],ProductData[],4,FALSE)</f>
        <v>440</v>
      </c>
      <c r="Q2123" s="6">
        <f>OrganizedData[[#This Row],[Total Items Ordered]]*VLOOKUP(OrganizedData[[#This Row],[Product Code]],ProductData[],3,FALSE)</f>
        <v>1535.6000000000001</v>
      </c>
      <c r="R21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2124" spans="1:18" x14ac:dyDescent="0.3">
      <c r="A2124" s="2">
        <v>2117</v>
      </c>
      <c r="B2124" s="2" t="s">
        <v>5918</v>
      </c>
      <c r="C2124" s="2" t="s">
        <v>866</v>
      </c>
      <c r="D2124" s="2" t="s">
        <v>28</v>
      </c>
      <c r="E2124" s="2" t="s">
        <v>29</v>
      </c>
      <c r="F2124" s="2">
        <v>90</v>
      </c>
      <c r="G2124" s="2" t="s">
        <v>5919</v>
      </c>
      <c r="H2124" s="2" t="s">
        <v>4046</v>
      </c>
      <c r="I2124" s="2" t="s">
        <v>173</v>
      </c>
      <c r="J2124" s="3">
        <v>44200</v>
      </c>
      <c r="K2124" s="5">
        <f>YEAR(OrganizedData[[#This Row],[Order Date]])</f>
        <v>2021</v>
      </c>
      <c r="L2124" s="7" t="str">
        <f>TEXT(OrganizedData[[#This Row],[Order Date]],"mmm")</f>
        <v>Jan</v>
      </c>
      <c r="M2124" s="2">
        <v>83</v>
      </c>
      <c r="N2124" s="2" t="s">
        <v>39</v>
      </c>
      <c r="O2124" s="2" t="str">
        <f>VLOOKUP(OrganizedData[[#This Row],[Product Code]],ProductData[[Code]:[Item]],2,FALSE)</f>
        <v>Ultrathing V1</v>
      </c>
      <c r="P2124" s="4">
        <f>OrganizedData[[#This Row],[Quantity]]*VLOOKUP(OrganizedData[[#This Row],[Product Code]],ProductData[],4,FALSE)</f>
        <v>1411</v>
      </c>
      <c r="Q2124" s="6">
        <f>OrganizedData[[#This Row],[Total Items Ordered]]*VLOOKUP(OrganizedData[[#This Row],[Product Code]],ProductData[],3,FALSE)</f>
        <v>2525.69</v>
      </c>
      <c r="R21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2125" spans="1:18" x14ac:dyDescent="0.3">
      <c r="A2125" s="2">
        <v>2118</v>
      </c>
      <c r="B2125" s="2" t="s">
        <v>5920</v>
      </c>
      <c r="C2125" s="2" t="s">
        <v>5788</v>
      </c>
      <c r="D2125" s="2" t="s">
        <v>51</v>
      </c>
      <c r="E2125" s="2" t="s">
        <v>16</v>
      </c>
      <c r="F2125" s="2">
        <v>60</v>
      </c>
      <c r="G2125" s="2" t="s">
        <v>5921</v>
      </c>
      <c r="H2125" s="2" t="s">
        <v>3770</v>
      </c>
      <c r="I2125" s="2" t="s">
        <v>32</v>
      </c>
      <c r="J2125" s="3">
        <v>44274</v>
      </c>
      <c r="K2125" s="5">
        <f>YEAR(OrganizedData[[#This Row],[Order Date]])</f>
        <v>2021</v>
      </c>
      <c r="L2125" s="7" t="str">
        <f>TEXT(OrganizedData[[#This Row],[Order Date]],"mmm")</f>
        <v>Mar</v>
      </c>
      <c r="M2125" s="2">
        <v>44</v>
      </c>
      <c r="N2125" s="2" t="s">
        <v>159</v>
      </c>
      <c r="O2125" s="2" t="str">
        <f>VLOOKUP(OrganizedData[[#This Row],[Product Code]],ProductData[[Code]:[Item]],2,FALSE)</f>
        <v>Ultrathing V3</v>
      </c>
      <c r="P2125" s="4">
        <f>OrganizedData[[#This Row],[Quantity]]*VLOOKUP(OrganizedData[[#This Row],[Product Code]],ProductData[],4,FALSE)</f>
        <v>1056</v>
      </c>
      <c r="Q2125" s="6">
        <f>OrganizedData[[#This Row],[Total Items Ordered]]*VLOOKUP(OrganizedData[[#This Row],[Product Code]],ProductData[],3,FALSE)</f>
        <v>3579.84</v>
      </c>
      <c r="R21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2126" spans="1:18" x14ac:dyDescent="0.3">
      <c r="A2126" s="2">
        <v>2119</v>
      </c>
      <c r="B2126" s="2" t="s">
        <v>5922</v>
      </c>
      <c r="C2126" s="2" t="s">
        <v>5923</v>
      </c>
      <c r="D2126" s="2" t="s">
        <v>15</v>
      </c>
      <c r="E2126" s="2" t="s">
        <v>16</v>
      </c>
      <c r="F2126" s="2">
        <v>90</v>
      </c>
      <c r="G2126" s="2" t="s">
        <v>5921</v>
      </c>
      <c r="H2126" s="2" t="s">
        <v>1800</v>
      </c>
      <c r="I2126" s="2" t="s">
        <v>32</v>
      </c>
      <c r="J2126" s="3">
        <v>44648</v>
      </c>
      <c r="K2126" s="5">
        <f>YEAR(OrganizedData[[#This Row],[Order Date]])</f>
        <v>2022</v>
      </c>
      <c r="L2126" s="7" t="str">
        <f>TEXT(OrganizedData[[#This Row],[Order Date]],"mmm")</f>
        <v>Mar</v>
      </c>
      <c r="M2126" s="2">
        <v>57</v>
      </c>
      <c r="N2126" s="2" t="s">
        <v>64</v>
      </c>
      <c r="O2126" s="2" t="str">
        <f>VLOOKUP(OrganizedData[[#This Row],[Product Code]],ProductData[[Code]:[Item]],2,FALSE)</f>
        <v>Ultrathing V4</v>
      </c>
      <c r="P2126" s="4">
        <f>OrganizedData[[#This Row],[Quantity]]*VLOOKUP(OrganizedData[[#This Row],[Product Code]],ProductData[],4,FALSE)</f>
        <v>1368</v>
      </c>
      <c r="Q2126" s="6">
        <f>OrganizedData[[#This Row],[Total Items Ordered]]*VLOOKUP(OrganizedData[[#This Row],[Product Code]],ProductData[],3,FALSE)</f>
        <v>5458.3200000000006</v>
      </c>
      <c r="R21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5185.4040000000005</v>
      </c>
    </row>
    <row r="2127" spans="1:18" x14ac:dyDescent="0.3">
      <c r="A2127" s="2">
        <v>2120</v>
      </c>
      <c r="B2127" s="2" t="s">
        <v>986</v>
      </c>
      <c r="C2127" s="2" t="s">
        <v>2601</v>
      </c>
      <c r="D2127" s="2" t="s">
        <v>28</v>
      </c>
      <c r="E2127" s="2" t="s">
        <v>29</v>
      </c>
      <c r="F2127" s="2">
        <v>30</v>
      </c>
      <c r="G2127" s="2" t="s">
        <v>5924</v>
      </c>
      <c r="H2127" s="2" t="s">
        <v>5010</v>
      </c>
      <c r="I2127" s="2" t="s">
        <v>32</v>
      </c>
      <c r="J2127" s="3">
        <v>44695</v>
      </c>
      <c r="K2127" s="5">
        <f>YEAR(OrganizedData[[#This Row],[Order Date]])</f>
        <v>2022</v>
      </c>
      <c r="L2127" s="7" t="str">
        <f>TEXT(OrganizedData[[#This Row],[Order Date]],"mmm")</f>
        <v>May</v>
      </c>
      <c r="M2127" s="2">
        <v>96</v>
      </c>
      <c r="N2127" s="2" t="s">
        <v>54</v>
      </c>
      <c r="O2127" s="2" t="str">
        <f>VLOOKUP(OrganizedData[[#This Row],[Product Code]],ProductData[[Code]:[Item]],2,FALSE)</f>
        <v>Megawidget S</v>
      </c>
      <c r="P2127" s="4">
        <f>OrganizedData[[#This Row],[Quantity]]*VLOOKUP(OrganizedData[[#This Row],[Product Code]],ProductData[],4,FALSE)</f>
        <v>2304</v>
      </c>
      <c r="Q2127" s="6">
        <f>OrganizedData[[#This Row],[Total Items Ordered]]*VLOOKUP(OrganizedData[[#This Row],[Product Code]],ProductData[],3,FALSE)</f>
        <v>1589.7599999999998</v>
      </c>
      <c r="R21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1510.2719999999997</v>
      </c>
    </row>
    <row r="2128" spans="1:18" x14ac:dyDescent="0.3">
      <c r="A2128" s="2">
        <v>2121</v>
      </c>
      <c r="B2128" s="2" t="s">
        <v>5925</v>
      </c>
      <c r="C2128" s="2" t="s">
        <v>5926</v>
      </c>
      <c r="D2128" s="2" t="s">
        <v>15</v>
      </c>
      <c r="E2128" s="2" t="s">
        <v>16</v>
      </c>
      <c r="F2128" s="2">
        <v>30</v>
      </c>
      <c r="G2128" s="2" t="s">
        <v>5927</v>
      </c>
      <c r="H2128" s="2" t="s">
        <v>378</v>
      </c>
      <c r="I2128" s="2" t="s">
        <v>146</v>
      </c>
      <c r="J2128" s="3">
        <v>44230</v>
      </c>
      <c r="K2128" s="5">
        <f>YEAR(OrganizedData[[#This Row],[Order Date]])</f>
        <v>2021</v>
      </c>
      <c r="L2128" s="7" t="str">
        <f>TEXT(OrganizedData[[#This Row],[Order Date]],"mmm")</f>
        <v>Feb</v>
      </c>
      <c r="M2128" s="2">
        <v>90</v>
      </c>
      <c r="N2128" s="2" t="s">
        <v>20</v>
      </c>
      <c r="O2128" s="2" t="str">
        <f>VLOOKUP(OrganizedData[[#This Row],[Product Code]],ProductData[[Code]:[Item]],2,FALSE)</f>
        <v>Hyperwotsit</v>
      </c>
      <c r="P2128" s="4">
        <f>OrganizedData[[#This Row],[Quantity]]*VLOOKUP(OrganizedData[[#This Row],[Product Code]],ProductData[],4,FALSE)</f>
        <v>1800</v>
      </c>
      <c r="Q2128" s="6">
        <f>OrganizedData[[#This Row],[Total Items Ordered]]*VLOOKUP(OrganizedData[[#This Row],[Product Code]],ProductData[],3,FALSE)</f>
        <v>3617.9999999999995</v>
      </c>
      <c r="R21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3437.0999999999995</v>
      </c>
    </row>
    <row r="2129" spans="1:18" x14ac:dyDescent="0.3">
      <c r="A2129" s="2">
        <v>2122</v>
      </c>
      <c r="B2129" s="2" t="s">
        <v>5928</v>
      </c>
      <c r="C2129" s="2" t="s">
        <v>2125</v>
      </c>
      <c r="D2129" s="2" t="s">
        <v>28</v>
      </c>
      <c r="E2129" s="2" t="s">
        <v>29</v>
      </c>
      <c r="F2129" s="2">
        <v>60</v>
      </c>
      <c r="G2129" s="2" t="s">
        <v>5929</v>
      </c>
      <c r="H2129" s="2" t="s">
        <v>3632</v>
      </c>
      <c r="I2129" s="2" t="s">
        <v>32</v>
      </c>
      <c r="J2129" s="3">
        <v>44598</v>
      </c>
      <c r="K2129" s="5">
        <f>YEAR(OrganizedData[[#This Row],[Order Date]])</f>
        <v>2022</v>
      </c>
      <c r="L2129" s="7" t="str">
        <f>TEXT(OrganizedData[[#This Row],[Order Date]],"mmm")</f>
        <v>Feb</v>
      </c>
      <c r="M2129" s="2">
        <v>92</v>
      </c>
      <c r="N2129" s="2" t="s">
        <v>101</v>
      </c>
      <c r="O2129" s="2" t="str">
        <f>VLOOKUP(OrganizedData[[#This Row],[Product Code]],ProductData[[Code]:[Item]],2,FALSE)</f>
        <v>Superwossname</v>
      </c>
      <c r="P2129" s="4">
        <f>OrganizedData[[#This Row],[Quantity]]*VLOOKUP(OrganizedData[[#This Row],[Product Code]],ProductData[],4,FALSE)</f>
        <v>1840</v>
      </c>
      <c r="Q2129" s="6">
        <f>OrganizedData[[#This Row],[Total Items Ordered]]*VLOOKUP(OrganizedData[[#This Row],[Product Code]],ProductData[],3,FALSE)</f>
        <v>6421.6</v>
      </c>
      <c r="R21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6100.52</v>
      </c>
    </row>
    <row r="2130" spans="1:18" x14ac:dyDescent="0.3">
      <c r="A2130" s="2">
        <v>2123</v>
      </c>
      <c r="B2130" s="2" t="s">
        <v>567</v>
      </c>
      <c r="C2130" s="2" t="s">
        <v>5930</v>
      </c>
      <c r="D2130" s="2" t="s">
        <v>28</v>
      </c>
      <c r="E2130" s="2" t="s">
        <v>29</v>
      </c>
      <c r="F2130" s="2">
        <v>30</v>
      </c>
      <c r="G2130" s="2" t="s">
        <v>5931</v>
      </c>
      <c r="H2130" s="2" t="s">
        <v>1896</v>
      </c>
      <c r="I2130" s="2" t="s">
        <v>294</v>
      </c>
      <c r="J2130" s="3">
        <v>43959</v>
      </c>
      <c r="K2130" s="5">
        <f>YEAR(OrganizedData[[#This Row],[Order Date]])</f>
        <v>2020</v>
      </c>
      <c r="L2130" s="7" t="str">
        <f>TEXT(OrganizedData[[#This Row],[Order Date]],"mmm")</f>
        <v>May</v>
      </c>
      <c r="M2130" s="2">
        <v>27</v>
      </c>
      <c r="N2130" s="2" t="s">
        <v>101</v>
      </c>
      <c r="O2130" s="2" t="str">
        <f>VLOOKUP(OrganizedData[[#This Row],[Product Code]],ProductData[[Code]:[Item]],2,FALSE)</f>
        <v>Superwossname</v>
      </c>
      <c r="P2130" s="4">
        <f>OrganizedData[[#This Row],[Quantity]]*VLOOKUP(OrganizedData[[#This Row],[Product Code]],ProductData[],4,FALSE)</f>
        <v>540</v>
      </c>
      <c r="Q2130" s="6">
        <f>OrganizedData[[#This Row],[Total Items Ordered]]*VLOOKUP(OrganizedData[[#This Row],[Product Code]],ProductData[],3,FALSE)</f>
        <v>1884.6000000000001</v>
      </c>
      <c r="R21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1828.0620000000001</v>
      </c>
    </row>
    <row r="2131" spans="1:18" x14ac:dyDescent="0.3">
      <c r="A2131" s="2">
        <v>2124</v>
      </c>
      <c r="B2131" s="2" t="s">
        <v>4569</v>
      </c>
      <c r="C2131" s="2" t="s">
        <v>5932</v>
      </c>
      <c r="D2131" s="2" t="s">
        <v>28</v>
      </c>
      <c r="E2131" s="2" t="s">
        <v>29</v>
      </c>
      <c r="F2131" s="2">
        <v>90</v>
      </c>
      <c r="G2131" s="2" t="s">
        <v>5933</v>
      </c>
      <c r="H2131" s="2" t="s">
        <v>5934</v>
      </c>
      <c r="I2131" s="2" t="s">
        <v>173</v>
      </c>
      <c r="J2131" s="3">
        <v>44297</v>
      </c>
      <c r="K2131" s="5">
        <f>YEAR(OrganizedData[[#This Row],[Order Date]])</f>
        <v>2021</v>
      </c>
      <c r="L2131" s="7" t="str">
        <f>TEXT(OrganizedData[[#This Row],[Order Date]],"mmm")</f>
        <v>Apr</v>
      </c>
      <c r="M2131" s="2">
        <v>18</v>
      </c>
      <c r="N2131" s="2" t="s">
        <v>39</v>
      </c>
      <c r="O2131" s="2" t="str">
        <f>VLOOKUP(OrganizedData[[#This Row],[Product Code]],ProductData[[Code]:[Item]],2,FALSE)</f>
        <v>Ultrathing V1</v>
      </c>
      <c r="P2131" s="4">
        <f>OrganizedData[[#This Row],[Quantity]]*VLOOKUP(OrganizedData[[#This Row],[Product Code]],ProductData[],4,FALSE)</f>
        <v>306</v>
      </c>
      <c r="Q2131" s="6">
        <f>OrganizedData[[#This Row],[Total Items Ordered]]*VLOOKUP(OrganizedData[[#This Row],[Product Code]],ProductData[],3,FALSE)</f>
        <v>547.74</v>
      </c>
      <c r="R21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547.74</v>
      </c>
    </row>
    <row r="2132" spans="1:18" x14ac:dyDescent="0.3">
      <c r="A2132" s="2">
        <v>2125</v>
      </c>
      <c r="B2132" s="2" t="s">
        <v>5935</v>
      </c>
      <c r="C2132" s="2" t="s">
        <v>4258</v>
      </c>
      <c r="D2132" s="2" t="s">
        <v>15</v>
      </c>
      <c r="E2132" s="2" t="s">
        <v>16</v>
      </c>
      <c r="F2132" s="2">
        <v>60</v>
      </c>
      <c r="G2132" s="2" t="s">
        <v>5936</v>
      </c>
      <c r="H2132" s="2" t="s">
        <v>1940</v>
      </c>
      <c r="I2132" s="2" t="s">
        <v>294</v>
      </c>
      <c r="J2132" s="3">
        <v>44404</v>
      </c>
      <c r="K2132" s="5">
        <f>YEAR(OrganizedData[[#This Row],[Order Date]])</f>
        <v>2021</v>
      </c>
      <c r="L2132" s="7" t="str">
        <f>TEXT(OrganizedData[[#This Row],[Order Date]],"mmm")</f>
        <v>Jul</v>
      </c>
      <c r="M2132" s="2">
        <v>64</v>
      </c>
      <c r="N2132" s="2" t="s">
        <v>64</v>
      </c>
      <c r="O2132" s="2" t="str">
        <f>VLOOKUP(OrganizedData[[#This Row],[Product Code]],ProductData[[Code]:[Item]],2,FALSE)</f>
        <v>Ultrathing V4</v>
      </c>
      <c r="P2132" s="4">
        <f>OrganizedData[[#This Row],[Quantity]]*VLOOKUP(OrganizedData[[#This Row],[Product Code]],ProductData[],4,FALSE)</f>
        <v>1536</v>
      </c>
      <c r="Q2132" s="6">
        <f>OrganizedData[[#This Row],[Total Items Ordered]]*VLOOKUP(OrganizedData[[#This Row],[Product Code]],ProductData[],3,FALSE)</f>
        <v>6128.64</v>
      </c>
      <c r="R21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5822.2079999999996</v>
      </c>
    </row>
    <row r="2133" spans="1:18" x14ac:dyDescent="0.3">
      <c r="A2133" s="2">
        <v>2126</v>
      </c>
      <c r="B2133" s="2" t="s">
        <v>5937</v>
      </c>
      <c r="C2133" s="2" t="s">
        <v>3413</v>
      </c>
      <c r="D2133" s="2" t="s">
        <v>15</v>
      </c>
      <c r="E2133" s="2" t="s">
        <v>16</v>
      </c>
      <c r="F2133" s="2">
        <v>30</v>
      </c>
      <c r="G2133" s="2" t="s">
        <v>5938</v>
      </c>
      <c r="H2133" s="2" t="s">
        <v>5581</v>
      </c>
      <c r="I2133" s="2" t="s">
        <v>187</v>
      </c>
      <c r="J2133" s="3">
        <v>44427</v>
      </c>
      <c r="K2133" s="5">
        <f>YEAR(OrganizedData[[#This Row],[Order Date]])</f>
        <v>2021</v>
      </c>
      <c r="L2133" s="7" t="str">
        <f>TEXT(OrganizedData[[#This Row],[Order Date]],"mmm")</f>
        <v>Aug</v>
      </c>
      <c r="M2133" s="2">
        <v>62</v>
      </c>
      <c r="N2133" s="2" t="s">
        <v>80</v>
      </c>
      <c r="O2133" s="2" t="str">
        <f>VLOOKUP(OrganizedData[[#This Row],[Product Code]],ProductData[[Code]:[Item]],2,FALSE)</f>
        <v>Ultrathing V2</v>
      </c>
      <c r="P2133" s="4">
        <f>OrganizedData[[#This Row],[Quantity]]*VLOOKUP(OrganizedData[[#This Row],[Product Code]],ProductData[],4,FALSE)</f>
        <v>1240</v>
      </c>
      <c r="Q2133" s="6">
        <f>OrganizedData[[#This Row],[Total Items Ordered]]*VLOOKUP(OrganizedData[[#This Row],[Product Code]],ProductData[],3,FALSE)</f>
        <v>3658</v>
      </c>
      <c r="R21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2134" spans="1:18" x14ac:dyDescent="0.3">
      <c r="A2134" s="2">
        <v>2127</v>
      </c>
      <c r="B2134" s="2" t="s">
        <v>5334</v>
      </c>
      <c r="C2134" s="2" t="s">
        <v>5939</v>
      </c>
      <c r="D2134" s="2" t="s">
        <v>92</v>
      </c>
      <c r="E2134" s="2" t="s">
        <v>29</v>
      </c>
      <c r="F2134" s="2">
        <v>60</v>
      </c>
      <c r="G2134" s="2" t="s">
        <v>5940</v>
      </c>
      <c r="H2134" s="2" t="s">
        <v>288</v>
      </c>
      <c r="I2134" s="2" t="s">
        <v>32</v>
      </c>
      <c r="J2134" s="3">
        <v>44465</v>
      </c>
      <c r="K2134" s="5">
        <f>YEAR(OrganizedData[[#This Row],[Order Date]])</f>
        <v>2021</v>
      </c>
      <c r="L2134" s="7" t="str">
        <f>TEXT(OrganizedData[[#This Row],[Order Date]],"mmm")</f>
        <v>Sep</v>
      </c>
      <c r="M2134" s="2">
        <v>89</v>
      </c>
      <c r="N2134" s="2" t="s">
        <v>159</v>
      </c>
      <c r="O2134" s="2" t="str">
        <f>VLOOKUP(OrganizedData[[#This Row],[Product Code]],ProductData[[Code]:[Item]],2,FALSE)</f>
        <v>Ultrathing V3</v>
      </c>
      <c r="P2134" s="4">
        <f>OrganizedData[[#This Row],[Quantity]]*VLOOKUP(OrganizedData[[#This Row],[Product Code]],ProductData[],4,FALSE)</f>
        <v>2136</v>
      </c>
      <c r="Q2134" s="6">
        <f>OrganizedData[[#This Row],[Total Items Ordered]]*VLOOKUP(OrganizedData[[#This Row],[Product Code]],ProductData[],3,FALSE)</f>
        <v>7241.04</v>
      </c>
      <c r="R21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6878.9879999999994</v>
      </c>
    </row>
    <row r="2135" spans="1:18" x14ac:dyDescent="0.3">
      <c r="A2135" s="2">
        <v>2128</v>
      </c>
      <c r="B2135" s="2" t="s">
        <v>5259</v>
      </c>
      <c r="C2135" s="2" t="s">
        <v>4269</v>
      </c>
      <c r="D2135" s="2" t="s">
        <v>15</v>
      </c>
      <c r="E2135" s="2" t="s">
        <v>16</v>
      </c>
      <c r="F2135" s="2">
        <v>60</v>
      </c>
      <c r="G2135" s="2" t="s">
        <v>5941</v>
      </c>
      <c r="H2135" s="2" t="s">
        <v>1884</v>
      </c>
      <c r="I2135" s="2" t="s">
        <v>1885</v>
      </c>
      <c r="J2135" s="3">
        <v>44138</v>
      </c>
      <c r="K2135" s="5">
        <f>YEAR(OrganizedData[[#This Row],[Order Date]])</f>
        <v>2020</v>
      </c>
      <c r="L2135" s="7" t="str">
        <f>TEXT(OrganizedData[[#This Row],[Order Date]],"mmm")</f>
        <v>Nov</v>
      </c>
      <c r="M2135" s="2">
        <v>45</v>
      </c>
      <c r="N2135" s="2" t="s">
        <v>33</v>
      </c>
      <c r="O2135" s="2" t="str">
        <f>VLOOKUP(OrganizedData[[#This Row],[Product Code]],ProductData[[Code]:[Item]],2,FALSE)</f>
        <v>Megawidget L</v>
      </c>
      <c r="P2135" s="4">
        <f>OrganizedData[[#This Row],[Quantity]]*VLOOKUP(OrganizedData[[#This Row],[Product Code]],ProductData[],4,FALSE)</f>
        <v>1080</v>
      </c>
      <c r="Q2135" s="6">
        <f>OrganizedData[[#This Row],[Total Items Ordered]]*VLOOKUP(OrganizedData[[#This Row],[Product Code]],ProductData[],3,FALSE)</f>
        <v>1933.2</v>
      </c>
      <c r="R21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2136" spans="1:18" x14ac:dyDescent="0.3">
      <c r="A2136" s="2">
        <v>2129</v>
      </c>
      <c r="B2136" s="2" t="s">
        <v>5942</v>
      </c>
      <c r="C2136" s="2" t="s">
        <v>5203</v>
      </c>
      <c r="D2136" s="2" t="s">
        <v>28</v>
      </c>
      <c r="E2136" s="2" t="s">
        <v>29</v>
      </c>
      <c r="F2136" s="2">
        <v>60</v>
      </c>
      <c r="G2136" s="2" t="s">
        <v>5941</v>
      </c>
      <c r="H2136" s="2" t="s">
        <v>1457</v>
      </c>
      <c r="I2136" s="2" t="s">
        <v>187</v>
      </c>
      <c r="J2136" s="3">
        <v>44694</v>
      </c>
      <c r="K2136" s="5">
        <f>YEAR(OrganizedData[[#This Row],[Order Date]])</f>
        <v>2022</v>
      </c>
      <c r="L2136" s="7" t="str">
        <f>TEXT(OrganizedData[[#This Row],[Order Date]],"mmm")</f>
        <v>May</v>
      </c>
      <c r="M2136" s="2">
        <v>72</v>
      </c>
      <c r="N2136" s="2" t="s">
        <v>101</v>
      </c>
      <c r="O2136" s="2" t="str">
        <f>VLOOKUP(OrganizedData[[#This Row],[Product Code]],ProductData[[Code]:[Item]],2,FALSE)</f>
        <v>Superwossname</v>
      </c>
      <c r="P2136" s="4">
        <f>OrganizedData[[#This Row],[Quantity]]*VLOOKUP(OrganizedData[[#This Row],[Product Code]],ProductData[],4,FALSE)</f>
        <v>1440</v>
      </c>
      <c r="Q2136" s="6">
        <f>OrganizedData[[#This Row],[Total Items Ordered]]*VLOOKUP(OrganizedData[[#This Row],[Product Code]],ProductData[],3,FALSE)</f>
        <v>5025.6000000000004</v>
      </c>
      <c r="R21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2137" spans="1:18" x14ac:dyDescent="0.3">
      <c r="A2137" s="2">
        <v>2130</v>
      </c>
      <c r="B2137" s="2" t="s">
        <v>5943</v>
      </c>
      <c r="C2137" s="2" t="s">
        <v>5944</v>
      </c>
      <c r="D2137" s="2" t="s">
        <v>51</v>
      </c>
      <c r="E2137" s="2" t="s">
        <v>16</v>
      </c>
      <c r="F2137" s="2">
        <v>60</v>
      </c>
      <c r="G2137" s="2" t="s">
        <v>5945</v>
      </c>
      <c r="H2137" s="2" t="s">
        <v>2733</v>
      </c>
      <c r="I2137" s="2" t="s">
        <v>25</v>
      </c>
      <c r="J2137" s="3">
        <v>44782</v>
      </c>
      <c r="K2137" s="5">
        <f>YEAR(OrganizedData[[#This Row],[Order Date]])</f>
        <v>2022</v>
      </c>
      <c r="L2137" s="7" t="str">
        <f>TEXT(OrganizedData[[#This Row],[Order Date]],"mmm")</f>
        <v>Aug</v>
      </c>
      <c r="M2137" s="2">
        <v>67</v>
      </c>
      <c r="N2137" s="2" t="s">
        <v>45</v>
      </c>
      <c r="O2137" s="2" t="str">
        <f>VLOOKUP(OrganizedData[[#This Row],[Product Code]],ProductData[[Code]:[Item]],2,FALSE)</f>
        <v>Gigastuff</v>
      </c>
      <c r="P2137" s="4">
        <f>OrganizedData[[#This Row],[Quantity]]*VLOOKUP(OrganizedData[[#This Row],[Product Code]],ProductData[],4,FALSE)</f>
        <v>1206</v>
      </c>
      <c r="Q2137" s="6">
        <f>OrganizedData[[#This Row],[Total Items Ordered]]*VLOOKUP(OrganizedData[[#This Row],[Product Code]],ProductData[],3,FALSE)</f>
        <v>2279.3399999999997</v>
      </c>
      <c r="R21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2165.3729999999996</v>
      </c>
    </row>
    <row r="2138" spans="1:18" x14ac:dyDescent="0.3">
      <c r="A2138" s="2">
        <v>2131</v>
      </c>
      <c r="B2138" s="2" t="s">
        <v>5946</v>
      </c>
      <c r="C2138" s="2" t="s">
        <v>4393</v>
      </c>
      <c r="D2138" s="2" t="s">
        <v>51</v>
      </c>
      <c r="E2138" s="2" t="s">
        <v>16</v>
      </c>
      <c r="F2138" s="2">
        <v>60</v>
      </c>
      <c r="G2138" s="2" t="s">
        <v>5947</v>
      </c>
      <c r="H2138" s="2" t="s">
        <v>2671</v>
      </c>
      <c r="I2138" s="2" t="s">
        <v>1157</v>
      </c>
      <c r="J2138" s="3">
        <v>44885</v>
      </c>
      <c r="K2138" s="5">
        <f>YEAR(OrganizedData[[#This Row],[Order Date]])</f>
        <v>2022</v>
      </c>
      <c r="L2138" s="7" t="str">
        <f>TEXT(OrganizedData[[#This Row],[Order Date]],"mmm")</f>
        <v>Nov</v>
      </c>
      <c r="M2138" s="2">
        <v>36</v>
      </c>
      <c r="N2138" s="2" t="s">
        <v>80</v>
      </c>
      <c r="O2138" s="2" t="str">
        <f>VLOOKUP(OrganizedData[[#This Row],[Product Code]],ProductData[[Code]:[Item]],2,FALSE)</f>
        <v>Ultrathing V2</v>
      </c>
      <c r="P2138" s="4">
        <f>OrganizedData[[#This Row],[Quantity]]*VLOOKUP(OrganizedData[[#This Row],[Product Code]],ProductData[],4,FALSE)</f>
        <v>720</v>
      </c>
      <c r="Q2138" s="6">
        <f>OrganizedData[[#This Row],[Total Items Ordered]]*VLOOKUP(OrganizedData[[#This Row],[Product Code]],ProductData[],3,FALSE)</f>
        <v>2124</v>
      </c>
      <c r="R21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2139" spans="1:18" x14ac:dyDescent="0.3">
      <c r="A2139" s="2">
        <v>2132</v>
      </c>
      <c r="B2139" s="2" t="s">
        <v>5948</v>
      </c>
      <c r="C2139" s="2" t="s">
        <v>2362</v>
      </c>
      <c r="D2139" s="2" t="s">
        <v>15</v>
      </c>
      <c r="E2139" s="2" t="s">
        <v>16</v>
      </c>
      <c r="F2139" s="2">
        <v>30</v>
      </c>
      <c r="G2139" s="2" t="s">
        <v>5949</v>
      </c>
      <c r="H2139" s="2" t="s">
        <v>275</v>
      </c>
      <c r="I2139" s="2" t="s">
        <v>32</v>
      </c>
      <c r="J2139" s="3">
        <v>44341</v>
      </c>
      <c r="K2139" s="5">
        <f>YEAR(OrganizedData[[#This Row],[Order Date]])</f>
        <v>2021</v>
      </c>
      <c r="L2139" s="7" t="str">
        <f>TEXT(OrganizedData[[#This Row],[Order Date]],"mmm")</f>
        <v>May</v>
      </c>
      <c r="M2139" s="2">
        <v>20</v>
      </c>
      <c r="N2139" s="2" t="s">
        <v>80</v>
      </c>
      <c r="O2139" s="2" t="str">
        <f>VLOOKUP(OrganizedData[[#This Row],[Product Code]],ProductData[[Code]:[Item]],2,FALSE)</f>
        <v>Ultrathing V2</v>
      </c>
      <c r="P2139" s="4">
        <f>OrganizedData[[#This Row],[Quantity]]*VLOOKUP(OrganizedData[[#This Row],[Product Code]],ProductData[],4,FALSE)</f>
        <v>400</v>
      </c>
      <c r="Q2139" s="6">
        <f>OrganizedData[[#This Row],[Total Items Ordered]]*VLOOKUP(OrganizedData[[#This Row],[Product Code]],ProductData[],3,FALSE)</f>
        <v>1180</v>
      </c>
      <c r="R21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v>
      </c>
    </row>
    <row r="2140" spans="1:18" x14ac:dyDescent="0.3">
      <c r="A2140" s="2">
        <v>2133</v>
      </c>
      <c r="B2140" s="2" t="s">
        <v>5950</v>
      </c>
      <c r="C2140" s="2" t="s">
        <v>4402</v>
      </c>
      <c r="D2140" s="2" t="s">
        <v>15</v>
      </c>
      <c r="E2140" s="2" t="s">
        <v>16</v>
      </c>
      <c r="F2140" s="2">
        <v>90</v>
      </c>
      <c r="G2140" s="2" t="s">
        <v>5951</v>
      </c>
      <c r="H2140" s="2" t="s">
        <v>5952</v>
      </c>
      <c r="I2140" s="2" t="s">
        <v>32</v>
      </c>
      <c r="J2140" s="3">
        <v>44417</v>
      </c>
      <c r="K2140" s="5">
        <f>YEAR(OrganizedData[[#This Row],[Order Date]])</f>
        <v>2021</v>
      </c>
      <c r="L2140" s="7" t="str">
        <f>TEXT(OrganizedData[[#This Row],[Order Date]],"mmm")</f>
        <v>Aug</v>
      </c>
      <c r="M2140" s="2">
        <v>79</v>
      </c>
      <c r="N2140" s="2" t="s">
        <v>20</v>
      </c>
      <c r="O2140" s="2" t="str">
        <f>VLOOKUP(OrganizedData[[#This Row],[Product Code]],ProductData[[Code]:[Item]],2,FALSE)</f>
        <v>Hyperwotsit</v>
      </c>
      <c r="P2140" s="4">
        <f>OrganizedData[[#This Row],[Quantity]]*VLOOKUP(OrganizedData[[#This Row],[Product Code]],ProductData[],4,FALSE)</f>
        <v>1580</v>
      </c>
      <c r="Q2140" s="6">
        <f>OrganizedData[[#This Row],[Total Items Ordered]]*VLOOKUP(OrganizedData[[#This Row],[Product Code]],ProductData[],3,FALSE)</f>
        <v>3175.7999999999997</v>
      </c>
      <c r="R21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3017.0099999999998</v>
      </c>
    </row>
    <row r="2141" spans="1:18" x14ac:dyDescent="0.3">
      <c r="A2141" s="2">
        <v>2134</v>
      </c>
      <c r="B2141" s="2" t="s">
        <v>4706</v>
      </c>
      <c r="C2141" s="2" t="s">
        <v>332</v>
      </c>
      <c r="D2141" s="2" t="s">
        <v>51</v>
      </c>
      <c r="E2141" s="2" t="s">
        <v>16</v>
      </c>
      <c r="F2141" s="2">
        <v>60</v>
      </c>
      <c r="G2141" s="2" t="s">
        <v>5953</v>
      </c>
      <c r="H2141" s="2" t="s">
        <v>2902</v>
      </c>
      <c r="I2141" s="2" t="s">
        <v>32</v>
      </c>
      <c r="J2141" s="3">
        <v>44240</v>
      </c>
      <c r="K2141" s="5">
        <f>YEAR(OrganizedData[[#This Row],[Order Date]])</f>
        <v>2021</v>
      </c>
      <c r="L2141" s="7" t="str">
        <f>TEXT(OrganizedData[[#This Row],[Order Date]],"mmm")</f>
        <v>Feb</v>
      </c>
      <c r="M2141" s="2">
        <v>53</v>
      </c>
      <c r="N2141" s="2" t="s">
        <v>39</v>
      </c>
      <c r="O2141" s="2" t="str">
        <f>VLOOKUP(OrganizedData[[#This Row],[Product Code]],ProductData[[Code]:[Item]],2,FALSE)</f>
        <v>Ultrathing V1</v>
      </c>
      <c r="P2141" s="4">
        <f>OrganizedData[[#This Row],[Quantity]]*VLOOKUP(OrganizedData[[#This Row],[Product Code]],ProductData[],4,FALSE)</f>
        <v>901</v>
      </c>
      <c r="Q2141" s="6">
        <f>OrganizedData[[#This Row],[Total Items Ordered]]*VLOOKUP(OrganizedData[[#This Row],[Product Code]],ProductData[],3,FALSE)</f>
        <v>1612.79</v>
      </c>
      <c r="R21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1532.1505</v>
      </c>
    </row>
    <row r="2142" spans="1:18" x14ac:dyDescent="0.3">
      <c r="A2142" s="2">
        <v>2135</v>
      </c>
      <c r="B2142" s="2" t="s">
        <v>5954</v>
      </c>
      <c r="C2142" s="2" t="s">
        <v>5955</v>
      </c>
      <c r="D2142" s="2" t="s">
        <v>28</v>
      </c>
      <c r="E2142" s="2" t="s">
        <v>29</v>
      </c>
      <c r="F2142" s="2">
        <v>90</v>
      </c>
      <c r="G2142" s="2" t="s">
        <v>5956</v>
      </c>
      <c r="H2142" s="2" t="s">
        <v>5957</v>
      </c>
      <c r="I2142" s="2" t="s">
        <v>187</v>
      </c>
      <c r="J2142" s="3">
        <v>43972</v>
      </c>
      <c r="K2142" s="5">
        <f>YEAR(OrganizedData[[#This Row],[Order Date]])</f>
        <v>2020</v>
      </c>
      <c r="L2142" s="7" t="str">
        <f>TEXT(OrganizedData[[#This Row],[Order Date]],"mmm")</f>
        <v>May</v>
      </c>
      <c r="M2142" s="2">
        <v>35</v>
      </c>
      <c r="N2142" s="2" t="s">
        <v>54</v>
      </c>
      <c r="O2142" s="2" t="str">
        <f>VLOOKUP(OrganizedData[[#This Row],[Product Code]],ProductData[[Code]:[Item]],2,FALSE)</f>
        <v>Megawidget S</v>
      </c>
      <c r="P2142" s="4">
        <f>OrganizedData[[#This Row],[Quantity]]*VLOOKUP(OrganizedData[[#This Row],[Product Code]],ProductData[],4,FALSE)</f>
        <v>840</v>
      </c>
      <c r="Q2142" s="6">
        <f>OrganizedData[[#This Row],[Total Items Ordered]]*VLOOKUP(OrganizedData[[#This Row],[Product Code]],ProductData[],3,FALSE)</f>
        <v>579.59999999999991</v>
      </c>
      <c r="R21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2143" spans="1:18" x14ac:dyDescent="0.3">
      <c r="A2143" s="2">
        <v>2136</v>
      </c>
      <c r="B2143" s="2" t="s">
        <v>5958</v>
      </c>
      <c r="C2143" s="2" t="s">
        <v>2719</v>
      </c>
      <c r="D2143" s="2" t="s">
        <v>28</v>
      </c>
      <c r="E2143" s="2" t="s">
        <v>29</v>
      </c>
      <c r="F2143" s="2">
        <v>90</v>
      </c>
      <c r="G2143" s="2" t="s">
        <v>5959</v>
      </c>
      <c r="H2143" s="2" t="s">
        <v>1956</v>
      </c>
      <c r="I2143" s="2" t="s">
        <v>32</v>
      </c>
      <c r="J2143" s="3">
        <v>44063</v>
      </c>
      <c r="K2143" s="5">
        <f>YEAR(OrganizedData[[#This Row],[Order Date]])</f>
        <v>2020</v>
      </c>
      <c r="L2143" s="7" t="str">
        <f>TEXT(OrganizedData[[#This Row],[Order Date]],"mmm")</f>
        <v>Aug</v>
      </c>
      <c r="M2143" s="2">
        <v>20</v>
      </c>
      <c r="N2143" s="2" t="s">
        <v>101</v>
      </c>
      <c r="O2143" s="2" t="str">
        <f>VLOOKUP(OrganizedData[[#This Row],[Product Code]],ProductData[[Code]:[Item]],2,FALSE)</f>
        <v>Superwossname</v>
      </c>
      <c r="P2143" s="4">
        <f>OrganizedData[[#This Row],[Quantity]]*VLOOKUP(OrganizedData[[#This Row],[Product Code]],ProductData[],4,FALSE)</f>
        <v>400</v>
      </c>
      <c r="Q2143" s="6">
        <f>OrganizedData[[#This Row],[Total Items Ordered]]*VLOOKUP(OrganizedData[[#This Row],[Product Code]],ProductData[],3,FALSE)</f>
        <v>1396</v>
      </c>
      <c r="R21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v>
      </c>
    </row>
    <row r="2144" spans="1:18" x14ac:dyDescent="0.3">
      <c r="A2144" s="2">
        <v>2137</v>
      </c>
      <c r="B2144" s="2" t="s">
        <v>5960</v>
      </c>
      <c r="C2144" s="2" t="s">
        <v>3090</v>
      </c>
      <c r="D2144" s="2" t="s">
        <v>28</v>
      </c>
      <c r="E2144" s="2" t="s">
        <v>29</v>
      </c>
      <c r="F2144" s="2">
        <v>60</v>
      </c>
      <c r="G2144" s="2" t="s">
        <v>5961</v>
      </c>
      <c r="H2144" s="2" t="s">
        <v>5962</v>
      </c>
      <c r="I2144" s="2" t="s">
        <v>32</v>
      </c>
      <c r="J2144" s="3">
        <v>44166</v>
      </c>
      <c r="K2144" s="5">
        <f>YEAR(OrganizedData[[#This Row],[Order Date]])</f>
        <v>2020</v>
      </c>
      <c r="L2144" s="7" t="str">
        <f>TEXT(OrganizedData[[#This Row],[Order Date]],"mmm")</f>
        <v>Dec</v>
      </c>
      <c r="M2144" s="2">
        <v>42</v>
      </c>
      <c r="N2144" s="2" t="s">
        <v>70</v>
      </c>
      <c r="O2144" s="2" t="str">
        <f>VLOOKUP(OrganizedData[[#This Row],[Product Code]],ProductData[[Code]:[Item]],2,FALSE)</f>
        <v>Megawidget M</v>
      </c>
      <c r="P2144" s="4">
        <f>OrganizedData[[#This Row],[Quantity]]*VLOOKUP(OrganizedData[[#This Row],[Product Code]],ProductData[],4,FALSE)</f>
        <v>1008</v>
      </c>
      <c r="Q2144" s="6">
        <f>OrganizedData[[#This Row],[Total Items Ordered]]*VLOOKUP(OrganizedData[[#This Row],[Product Code]],ProductData[],3,FALSE)</f>
        <v>1300.32</v>
      </c>
      <c r="R21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2145" spans="1:18" x14ac:dyDescent="0.3">
      <c r="A2145" s="2">
        <v>2138</v>
      </c>
      <c r="B2145" s="2" t="s">
        <v>5963</v>
      </c>
      <c r="C2145" s="2" t="s">
        <v>4216</v>
      </c>
      <c r="D2145" s="2" t="s">
        <v>15</v>
      </c>
      <c r="E2145" s="2" t="s">
        <v>16</v>
      </c>
      <c r="F2145" s="2">
        <v>90</v>
      </c>
      <c r="G2145" s="2" t="s">
        <v>5964</v>
      </c>
      <c r="H2145" s="2" t="s">
        <v>3446</v>
      </c>
      <c r="I2145" s="2" t="s">
        <v>32</v>
      </c>
      <c r="J2145" s="3">
        <v>44157</v>
      </c>
      <c r="K2145" s="5">
        <f>YEAR(OrganizedData[[#This Row],[Order Date]])</f>
        <v>2020</v>
      </c>
      <c r="L2145" s="7" t="str">
        <f>TEXT(OrganizedData[[#This Row],[Order Date]],"mmm")</f>
        <v>Nov</v>
      </c>
      <c r="M2145" s="2">
        <v>9</v>
      </c>
      <c r="N2145" s="2" t="s">
        <v>80</v>
      </c>
      <c r="O2145" s="2" t="str">
        <f>VLOOKUP(OrganizedData[[#This Row],[Product Code]],ProductData[[Code]:[Item]],2,FALSE)</f>
        <v>Ultrathing V2</v>
      </c>
      <c r="P2145" s="4">
        <f>OrganizedData[[#This Row],[Quantity]]*VLOOKUP(OrganizedData[[#This Row],[Product Code]],ProductData[],4,FALSE)</f>
        <v>180</v>
      </c>
      <c r="Q2145" s="6">
        <f>OrganizedData[[#This Row],[Total Items Ordered]]*VLOOKUP(OrganizedData[[#This Row],[Product Code]],ProductData[],3,FALSE)</f>
        <v>531</v>
      </c>
      <c r="R21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531</v>
      </c>
    </row>
    <row r="2146" spans="1:18" x14ac:dyDescent="0.3">
      <c r="A2146" s="2">
        <v>2139</v>
      </c>
      <c r="B2146" s="2" t="s">
        <v>5965</v>
      </c>
      <c r="C2146" s="2" t="s">
        <v>5966</v>
      </c>
      <c r="D2146" s="2" t="s">
        <v>15</v>
      </c>
      <c r="E2146" s="2" t="s">
        <v>16</v>
      </c>
      <c r="F2146" s="2">
        <v>30</v>
      </c>
      <c r="G2146" s="2" t="s">
        <v>5967</v>
      </c>
      <c r="H2146" s="2" t="s">
        <v>4046</v>
      </c>
      <c r="I2146" s="2" t="s">
        <v>173</v>
      </c>
      <c r="J2146" s="3">
        <v>44856</v>
      </c>
      <c r="K2146" s="5">
        <f>YEAR(OrganizedData[[#This Row],[Order Date]])</f>
        <v>2022</v>
      </c>
      <c r="L2146" s="7" t="str">
        <f>TEXT(OrganizedData[[#This Row],[Order Date]],"mmm")</f>
        <v>Oct</v>
      </c>
      <c r="M2146" s="2">
        <v>44</v>
      </c>
      <c r="N2146" s="2" t="s">
        <v>39</v>
      </c>
      <c r="O2146" s="2" t="str">
        <f>VLOOKUP(OrganizedData[[#This Row],[Product Code]],ProductData[[Code]:[Item]],2,FALSE)</f>
        <v>Ultrathing V1</v>
      </c>
      <c r="P2146" s="4">
        <f>OrganizedData[[#This Row],[Quantity]]*VLOOKUP(OrganizedData[[#This Row],[Product Code]],ProductData[],4,FALSE)</f>
        <v>748</v>
      </c>
      <c r="Q2146" s="6">
        <f>OrganizedData[[#This Row],[Total Items Ordered]]*VLOOKUP(OrganizedData[[#This Row],[Product Code]],ProductData[],3,FALSE)</f>
        <v>1338.92</v>
      </c>
      <c r="R21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2147" spans="1:18" x14ac:dyDescent="0.3">
      <c r="A2147" s="2">
        <v>2140</v>
      </c>
      <c r="B2147" s="2" t="s">
        <v>4395</v>
      </c>
      <c r="C2147" s="2" t="s">
        <v>5968</v>
      </c>
      <c r="D2147" s="2" t="s">
        <v>28</v>
      </c>
      <c r="E2147" s="2" t="s">
        <v>29</v>
      </c>
      <c r="F2147" s="2">
        <v>90</v>
      </c>
      <c r="G2147" s="2" t="s">
        <v>5969</v>
      </c>
      <c r="H2147" s="2" t="s">
        <v>5473</v>
      </c>
      <c r="I2147" s="2" t="s">
        <v>240</v>
      </c>
      <c r="J2147" s="3">
        <v>44533</v>
      </c>
      <c r="K2147" s="5">
        <f>YEAR(OrganizedData[[#This Row],[Order Date]])</f>
        <v>2021</v>
      </c>
      <c r="L2147" s="7" t="str">
        <f>TEXT(OrganizedData[[#This Row],[Order Date]],"mmm")</f>
        <v>Dec</v>
      </c>
      <c r="M2147" s="2">
        <v>23</v>
      </c>
      <c r="N2147" s="2" t="s">
        <v>70</v>
      </c>
      <c r="O2147" s="2" t="str">
        <f>VLOOKUP(OrganizedData[[#This Row],[Product Code]],ProductData[[Code]:[Item]],2,FALSE)</f>
        <v>Megawidget M</v>
      </c>
      <c r="P2147" s="4">
        <f>OrganizedData[[#This Row],[Quantity]]*VLOOKUP(OrganizedData[[#This Row],[Product Code]],ProductData[],4,FALSE)</f>
        <v>552</v>
      </c>
      <c r="Q2147" s="6">
        <f>OrganizedData[[#This Row],[Total Items Ordered]]*VLOOKUP(OrganizedData[[#This Row],[Product Code]],ProductData[],3,FALSE)</f>
        <v>712.08</v>
      </c>
      <c r="R21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2148" spans="1:18" x14ac:dyDescent="0.3">
      <c r="A2148" s="2">
        <v>2141</v>
      </c>
      <c r="B2148" s="2" t="s">
        <v>192</v>
      </c>
      <c r="C2148" s="2" t="s">
        <v>5970</v>
      </c>
      <c r="D2148" s="2" t="s">
        <v>51</v>
      </c>
      <c r="E2148" s="2" t="s">
        <v>16</v>
      </c>
      <c r="F2148" s="2">
        <v>90</v>
      </c>
      <c r="G2148" s="2" t="s">
        <v>5971</v>
      </c>
      <c r="H2148" s="2" t="s">
        <v>1334</v>
      </c>
      <c r="I2148" s="2" t="s">
        <v>38</v>
      </c>
      <c r="J2148" s="3">
        <v>44066</v>
      </c>
      <c r="K2148" s="5">
        <f>YEAR(OrganizedData[[#This Row],[Order Date]])</f>
        <v>2020</v>
      </c>
      <c r="L2148" s="7" t="str">
        <f>TEXT(OrganizedData[[#This Row],[Order Date]],"mmm")</f>
        <v>Aug</v>
      </c>
      <c r="M2148" s="2">
        <v>51</v>
      </c>
      <c r="N2148" s="2" t="s">
        <v>101</v>
      </c>
      <c r="O2148" s="2" t="str">
        <f>VLOOKUP(OrganizedData[[#This Row],[Product Code]],ProductData[[Code]:[Item]],2,FALSE)</f>
        <v>Superwossname</v>
      </c>
      <c r="P2148" s="4">
        <f>OrganizedData[[#This Row],[Quantity]]*VLOOKUP(OrganizedData[[#This Row],[Product Code]],ProductData[],4,FALSE)</f>
        <v>1020</v>
      </c>
      <c r="Q2148" s="6">
        <f>OrganizedData[[#This Row],[Total Items Ordered]]*VLOOKUP(OrganizedData[[#This Row],[Product Code]],ProductData[],3,FALSE)</f>
        <v>3559.8</v>
      </c>
      <c r="R21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3381.81</v>
      </c>
    </row>
    <row r="2149" spans="1:18" x14ac:dyDescent="0.3">
      <c r="A2149" s="2">
        <v>2142</v>
      </c>
      <c r="B2149" s="2" t="s">
        <v>2731</v>
      </c>
      <c r="C2149" s="2" t="s">
        <v>5955</v>
      </c>
      <c r="D2149" s="2" t="s">
        <v>15</v>
      </c>
      <c r="E2149" s="2" t="s">
        <v>16</v>
      </c>
      <c r="F2149" s="2">
        <v>90</v>
      </c>
      <c r="G2149" s="2" t="s">
        <v>5971</v>
      </c>
      <c r="H2149" s="2" t="s">
        <v>2156</v>
      </c>
      <c r="I2149" s="2" t="s">
        <v>32</v>
      </c>
      <c r="J2149" s="3">
        <v>44675</v>
      </c>
      <c r="K2149" s="5">
        <f>YEAR(OrganizedData[[#This Row],[Order Date]])</f>
        <v>2022</v>
      </c>
      <c r="L2149" s="7" t="str">
        <f>TEXT(OrganizedData[[#This Row],[Order Date]],"mmm")</f>
        <v>Apr</v>
      </c>
      <c r="M2149" s="2">
        <v>89</v>
      </c>
      <c r="N2149" s="2" t="s">
        <v>101</v>
      </c>
      <c r="O2149" s="2" t="str">
        <f>VLOOKUP(OrganizedData[[#This Row],[Product Code]],ProductData[[Code]:[Item]],2,FALSE)</f>
        <v>Superwossname</v>
      </c>
      <c r="P2149" s="4">
        <f>OrganizedData[[#This Row],[Quantity]]*VLOOKUP(OrganizedData[[#This Row],[Product Code]],ProductData[],4,FALSE)</f>
        <v>1780</v>
      </c>
      <c r="Q2149" s="6">
        <f>OrganizedData[[#This Row],[Total Items Ordered]]*VLOOKUP(OrganizedData[[#This Row],[Product Code]],ProductData[],3,FALSE)</f>
        <v>6212.2000000000007</v>
      </c>
      <c r="R21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5901.59</v>
      </c>
    </row>
    <row r="2150" spans="1:18" x14ac:dyDescent="0.3">
      <c r="A2150" s="2">
        <v>2143</v>
      </c>
      <c r="B2150" s="2" t="s">
        <v>5972</v>
      </c>
      <c r="C2150" s="2" t="s">
        <v>5583</v>
      </c>
      <c r="D2150" s="2" t="s">
        <v>28</v>
      </c>
      <c r="E2150" s="2" t="s">
        <v>29</v>
      </c>
      <c r="F2150" s="2">
        <v>60</v>
      </c>
      <c r="G2150" s="2" t="s">
        <v>5973</v>
      </c>
      <c r="H2150" s="2" t="s">
        <v>5974</v>
      </c>
      <c r="I2150" s="2" t="s">
        <v>19</v>
      </c>
      <c r="J2150" s="3">
        <v>44505</v>
      </c>
      <c r="K2150" s="5">
        <f>YEAR(OrganizedData[[#This Row],[Order Date]])</f>
        <v>2021</v>
      </c>
      <c r="L2150" s="7" t="str">
        <f>TEXT(OrganizedData[[#This Row],[Order Date]],"mmm")</f>
        <v>Nov</v>
      </c>
      <c r="M2150" s="2">
        <v>76</v>
      </c>
      <c r="N2150" s="2" t="s">
        <v>70</v>
      </c>
      <c r="O2150" s="2" t="str">
        <f>VLOOKUP(OrganizedData[[#This Row],[Product Code]],ProductData[[Code]:[Item]],2,FALSE)</f>
        <v>Megawidget M</v>
      </c>
      <c r="P2150" s="4">
        <f>OrganizedData[[#This Row],[Quantity]]*VLOOKUP(OrganizedData[[#This Row],[Product Code]],ProductData[],4,FALSE)</f>
        <v>1824</v>
      </c>
      <c r="Q2150" s="6">
        <f>OrganizedData[[#This Row],[Total Items Ordered]]*VLOOKUP(OrganizedData[[#This Row],[Product Code]],ProductData[],3,FALSE)</f>
        <v>2352.96</v>
      </c>
      <c r="R21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2151" spans="1:18" x14ac:dyDescent="0.3">
      <c r="A2151" s="2">
        <v>2144</v>
      </c>
      <c r="B2151" s="2" t="s">
        <v>5975</v>
      </c>
      <c r="C2151" s="2" t="s">
        <v>4635</v>
      </c>
      <c r="D2151" s="2" t="s">
        <v>28</v>
      </c>
      <c r="E2151" s="2" t="s">
        <v>29</v>
      </c>
      <c r="F2151" s="2">
        <v>90</v>
      </c>
      <c r="G2151" s="2" t="s">
        <v>5976</v>
      </c>
      <c r="H2151" s="2" t="s">
        <v>4563</v>
      </c>
      <c r="I2151" s="2" t="s">
        <v>1824</v>
      </c>
      <c r="J2151" s="3">
        <v>44084</v>
      </c>
      <c r="K2151" s="5">
        <f>YEAR(OrganizedData[[#This Row],[Order Date]])</f>
        <v>2020</v>
      </c>
      <c r="L2151" s="7" t="str">
        <f>TEXT(OrganizedData[[#This Row],[Order Date]],"mmm")</f>
        <v>Sep</v>
      </c>
      <c r="M2151" s="2">
        <v>45</v>
      </c>
      <c r="N2151" s="2" t="s">
        <v>33</v>
      </c>
      <c r="O2151" s="2" t="str">
        <f>VLOOKUP(OrganizedData[[#This Row],[Product Code]],ProductData[[Code]:[Item]],2,FALSE)</f>
        <v>Megawidget L</v>
      </c>
      <c r="P2151" s="4">
        <f>OrganizedData[[#This Row],[Quantity]]*VLOOKUP(OrganizedData[[#This Row],[Product Code]],ProductData[],4,FALSE)</f>
        <v>1080</v>
      </c>
      <c r="Q2151" s="6">
        <f>OrganizedData[[#This Row],[Total Items Ordered]]*VLOOKUP(OrganizedData[[#This Row],[Product Code]],ProductData[],3,FALSE)</f>
        <v>1933.2</v>
      </c>
      <c r="R21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2152" spans="1:18" x14ac:dyDescent="0.3">
      <c r="A2152" s="2">
        <v>2145</v>
      </c>
      <c r="B2152" s="2" t="s">
        <v>5977</v>
      </c>
      <c r="C2152" s="2" t="s">
        <v>3680</v>
      </c>
      <c r="D2152" s="2" t="s">
        <v>15</v>
      </c>
      <c r="E2152" s="2" t="s">
        <v>16</v>
      </c>
      <c r="F2152" s="2">
        <v>30</v>
      </c>
      <c r="G2152" s="2" t="s">
        <v>5976</v>
      </c>
      <c r="H2152" s="2" t="s">
        <v>2008</v>
      </c>
      <c r="I2152" s="2" t="s">
        <v>129</v>
      </c>
      <c r="J2152" s="3">
        <v>44404</v>
      </c>
      <c r="K2152" s="5">
        <f>YEAR(OrganizedData[[#This Row],[Order Date]])</f>
        <v>2021</v>
      </c>
      <c r="L2152" s="7" t="str">
        <f>TEXT(OrganizedData[[#This Row],[Order Date]],"mmm")</f>
        <v>Jul</v>
      </c>
      <c r="M2152" s="2">
        <v>91</v>
      </c>
      <c r="N2152" s="2" t="s">
        <v>80</v>
      </c>
      <c r="O2152" s="2" t="str">
        <f>VLOOKUP(OrganizedData[[#This Row],[Product Code]],ProductData[[Code]:[Item]],2,FALSE)</f>
        <v>Ultrathing V2</v>
      </c>
      <c r="P2152" s="4">
        <f>OrganizedData[[#This Row],[Quantity]]*VLOOKUP(OrganizedData[[#This Row],[Product Code]],ProductData[],4,FALSE)</f>
        <v>1820</v>
      </c>
      <c r="Q2152" s="6">
        <f>OrganizedData[[#This Row],[Total Items Ordered]]*VLOOKUP(OrganizedData[[#This Row],[Product Code]],ProductData[],3,FALSE)</f>
        <v>5369</v>
      </c>
      <c r="R21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2153" spans="1:18" x14ac:dyDescent="0.3">
      <c r="A2153" s="2">
        <v>2146</v>
      </c>
      <c r="B2153" s="2" t="s">
        <v>5978</v>
      </c>
      <c r="C2153" s="2" t="s">
        <v>5979</v>
      </c>
      <c r="D2153" s="2" t="s">
        <v>15</v>
      </c>
      <c r="E2153" s="2" t="s">
        <v>16</v>
      </c>
      <c r="F2153" s="2">
        <v>30</v>
      </c>
      <c r="G2153" s="2" t="s">
        <v>5976</v>
      </c>
      <c r="H2153" s="2" t="s">
        <v>6</v>
      </c>
      <c r="I2153" s="2" t="s">
        <v>32</v>
      </c>
      <c r="J2153" s="3">
        <v>44890</v>
      </c>
      <c r="K2153" s="5">
        <f>YEAR(OrganizedData[[#This Row],[Order Date]])</f>
        <v>2022</v>
      </c>
      <c r="L2153" s="7" t="str">
        <f>TEXT(OrganizedData[[#This Row],[Order Date]],"mmm")</f>
        <v>Nov</v>
      </c>
      <c r="M2153" s="2">
        <v>62</v>
      </c>
      <c r="N2153" s="2" t="s">
        <v>39</v>
      </c>
      <c r="O2153" s="2" t="str">
        <f>VLOOKUP(OrganizedData[[#This Row],[Product Code]],ProductData[[Code]:[Item]],2,FALSE)</f>
        <v>Ultrathing V1</v>
      </c>
      <c r="P2153" s="4">
        <f>OrganizedData[[#This Row],[Quantity]]*VLOOKUP(OrganizedData[[#This Row],[Product Code]],ProductData[],4,FALSE)</f>
        <v>1054</v>
      </c>
      <c r="Q2153" s="6">
        <f>OrganizedData[[#This Row],[Total Items Ordered]]*VLOOKUP(OrganizedData[[#This Row],[Product Code]],ProductData[],3,FALSE)</f>
        <v>1886.66</v>
      </c>
      <c r="R21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1792.327</v>
      </c>
    </row>
    <row r="2154" spans="1:18" x14ac:dyDescent="0.3">
      <c r="A2154" s="2">
        <v>2147</v>
      </c>
      <c r="B2154" s="2" t="s">
        <v>1788</v>
      </c>
      <c r="C2154" s="2" t="s">
        <v>2813</v>
      </c>
      <c r="D2154" s="2" t="s">
        <v>28</v>
      </c>
      <c r="E2154" s="2" t="s">
        <v>29</v>
      </c>
      <c r="F2154" s="2">
        <v>90</v>
      </c>
      <c r="G2154" s="2" t="s">
        <v>10518</v>
      </c>
      <c r="H2154" s="2" t="s">
        <v>2336</v>
      </c>
      <c r="I2154" s="2" t="s">
        <v>32</v>
      </c>
      <c r="J2154" s="3">
        <v>44637</v>
      </c>
      <c r="K2154" s="5">
        <f>YEAR(OrganizedData[[#This Row],[Order Date]])</f>
        <v>2022</v>
      </c>
      <c r="L2154" s="7" t="str">
        <f>TEXT(OrganizedData[[#This Row],[Order Date]],"mmm")</f>
        <v>Mar</v>
      </c>
      <c r="M2154" s="2">
        <v>13</v>
      </c>
      <c r="N2154" s="2" t="s">
        <v>20</v>
      </c>
      <c r="O2154" s="2" t="str">
        <f>VLOOKUP(OrganizedData[[#This Row],[Product Code]],ProductData[[Code]:[Item]],2,FALSE)</f>
        <v>Hyperwotsit</v>
      </c>
      <c r="P2154" s="4">
        <f>OrganizedData[[#This Row],[Quantity]]*VLOOKUP(OrganizedData[[#This Row],[Product Code]],ProductData[],4,FALSE)</f>
        <v>260</v>
      </c>
      <c r="Q2154" s="6">
        <f>OrganizedData[[#This Row],[Total Items Ordered]]*VLOOKUP(OrganizedData[[#This Row],[Product Code]],ProductData[],3,FALSE)</f>
        <v>522.59999999999991</v>
      </c>
      <c r="R21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2155" spans="1:18" x14ac:dyDescent="0.3">
      <c r="A2155" s="2">
        <v>2148</v>
      </c>
      <c r="B2155" s="2" t="s">
        <v>5981</v>
      </c>
      <c r="C2155" s="2" t="s">
        <v>1929</v>
      </c>
      <c r="D2155" s="2" t="s">
        <v>15</v>
      </c>
      <c r="E2155" s="2" t="s">
        <v>16</v>
      </c>
      <c r="F2155" s="2">
        <v>90</v>
      </c>
      <c r="G2155" s="2" t="s">
        <v>5982</v>
      </c>
      <c r="H2155" s="2" t="s">
        <v>3418</v>
      </c>
      <c r="I2155" s="2" t="s">
        <v>32</v>
      </c>
      <c r="J2155" s="3">
        <v>44134</v>
      </c>
      <c r="K2155" s="5">
        <f>YEAR(OrganizedData[[#This Row],[Order Date]])</f>
        <v>2020</v>
      </c>
      <c r="L2155" s="7" t="str">
        <f>TEXT(OrganizedData[[#This Row],[Order Date]],"mmm")</f>
        <v>Oct</v>
      </c>
      <c r="M2155" s="2">
        <v>7</v>
      </c>
      <c r="N2155" s="2" t="s">
        <v>54</v>
      </c>
      <c r="O2155" s="2" t="str">
        <f>VLOOKUP(OrganizedData[[#This Row],[Product Code]],ProductData[[Code]:[Item]],2,FALSE)</f>
        <v>Megawidget S</v>
      </c>
      <c r="P2155" s="4">
        <f>OrganizedData[[#This Row],[Quantity]]*VLOOKUP(OrganizedData[[#This Row],[Product Code]],ProductData[],4,FALSE)</f>
        <v>168</v>
      </c>
      <c r="Q2155" s="6">
        <f>OrganizedData[[#This Row],[Total Items Ordered]]*VLOOKUP(OrganizedData[[#This Row],[Product Code]],ProductData[],3,FALSE)</f>
        <v>115.91999999999999</v>
      </c>
      <c r="R21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2156" spans="1:18" x14ac:dyDescent="0.3">
      <c r="A2156" s="2">
        <v>2149</v>
      </c>
      <c r="B2156" s="2" t="s">
        <v>653</v>
      </c>
      <c r="C2156" s="2" t="s">
        <v>4750</v>
      </c>
      <c r="D2156" s="2" t="s">
        <v>28</v>
      </c>
      <c r="E2156" s="2" t="s">
        <v>29</v>
      </c>
      <c r="F2156" s="2">
        <v>30</v>
      </c>
      <c r="G2156" s="2" t="s">
        <v>10436</v>
      </c>
      <c r="H2156" s="2" t="s">
        <v>2664</v>
      </c>
      <c r="I2156" s="2" t="s">
        <v>32</v>
      </c>
      <c r="J2156" s="3">
        <v>44545</v>
      </c>
      <c r="K2156" s="5">
        <f>YEAR(OrganizedData[[#This Row],[Order Date]])</f>
        <v>2021</v>
      </c>
      <c r="L2156" s="7" t="str">
        <f>TEXT(OrganizedData[[#This Row],[Order Date]],"mmm")</f>
        <v>Dec</v>
      </c>
      <c r="M2156" s="2">
        <v>85</v>
      </c>
      <c r="N2156" s="2" t="s">
        <v>64</v>
      </c>
      <c r="O2156" s="2" t="str">
        <f>VLOOKUP(OrganizedData[[#This Row],[Product Code]],ProductData[[Code]:[Item]],2,FALSE)</f>
        <v>Ultrathing V4</v>
      </c>
      <c r="P2156" s="4">
        <f>OrganizedData[[#This Row],[Quantity]]*VLOOKUP(OrganizedData[[#This Row],[Product Code]],ProductData[],4,FALSE)</f>
        <v>2040</v>
      </c>
      <c r="Q2156" s="6">
        <f>OrganizedData[[#This Row],[Total Items Ordered]]*VLOOKUP(OrganizedData[[#This Row],[Product Code]],ProductData[],3,FALSE)</f>
        <v>8139.6</v>
      </c>
      <c r="R21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7732.62</v>
      </c>
    </row>
    <row r="2157" spans="1:18" x14ac:dyDescent="0.3">
      <c r="A2157" s="2">
        <v>2150</v>
      </c>
      <c r="B2157" s="2" t="s">
        <v>5984</v>
      </c>
      <c r="C2157" s="2" t="s">
        <v>4153</v>
      </c>
      <c r="D2157" s="2" t="s">
        <v>51</v>
      </c>
      <c r="E2157" s="2" t="s">
        <v>16</v>
      </c>
      <c r="F2157" s="2">
        <v>30</v>
      </c>
      <c r="G2157" s="2" t="s">
        <v>10436</v>
      </c>
      <c r="H2157" s="2" t="s">
        <v>1318</v>
      </c>
      <c r="I2157" s="2" t="s">
        <v>32</v>
      </c>
      <c r="J2157" s="3">
        <v>44669</v>
      </c>
      <c r="K2157" s="5">
        <f>YEAR(OrganizedData[[#This Row],[Order Date]])</f>
        <v>2022</v>
      </c>
      <c r="L2157" s="7" t="str">
        <f>TEXT(OrganizedData[[#This Row],[Order Date]],"mmm")</f>
        <v>Apr</v>
      </c>
      <c r="M2157" s="2">
        <v>8</v>
      </c>
      <c r="N2157" s="2" t="s">
        <v>20</v>
      </c>
      <c r="O2157" s="2" t="str">
        <f>VLOOKUP(OrganizedData[[#This Row],[Product Code]],ProductData[[Code]:[Item]],2,FALSE)</f>
        <v>Hyperwotsit</v>
      </c>
      <c r="P2157" s="4">
        <f>OrganizedData[[#This Row],[Quantity]]*VLOOKUP(OrganizedData[[#This Row],[Product Code]],ProductData[],4,FALSE)</f>
        <v>160</v>
      </c>
      <c r="Q2157" s="6">
        <f>OrganizedData[[#This Row],[Total Items Ordered]]*VLOOKUP(OrganizedData[[#This Row],[Product Code]],ProductData[],3,FALSE)</f>
        <v>321.59999999999997</v>
      </c>
      <c r="R21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321.59999999999997</v>
      </c>
    </row>
    <row r="2158" spans="1:18" x14ac:dyDescent="0.3">
      <c r="A2158" s="2">
        <v>2151</v>
      </c>
      <c r="B2158" s="2" t="s">
        <v>5042</v>
      </c>
      <c r="C2158" s="2" t="s">
        <v>390</v>
      </c>
      <c r="D2158" s="2" t="s">
        <v>28</v>
      </c>
      <c r="E2158" s="2" t="s">
        <v>29</v>
      </c>
      <c r="F2158" s="2">
        <v>60</v>
      </c>
      <c r="G2158" s="2" t="s">
        <v>10437</v>
      </c>
      <c r="H2158" s="2" t="s">
        <v>31</v>
      </c>
      <c r="I2158" s="2" t="s">
        <v>32</v>
      </c>
      <c r="J2158" s="3">
        <v>43863</v>
      </c>
      <c r="K2158" s="5">
        <f>YEAR(OrganizedData[[#This Row],[Order Date]])</f>
        <v>2020</v>
      </c>
      <c r="L2158" s="7" t="str">
        <f>TEXT(OrganizedData[[#This Row],[Order Date]],"mmm")</f>
        <v>Feb</v>
      </c>
      <c r="M2158" s="2">
        <v>17</v>
      </c>
      <c r="N2158" s="2" t="s">
        <v>80</v>
      </c>
      <c r="O2158" s="2" t="str">
        <f>VLOOKUP(OrganizedData[[#This Row],[Product Code]],ProductData[[Code]:[Item]],2,FALSE)</f>
        <v>Ultrathing V2</v>
      </c>
      <c r="P2158" s="4">
        <f>OrganizedData[[#This Row],[Quantity]]*VLOOKUP(OrganizedData[[#This Row],[Product Code]],ProductData[],4,FALSE)</f>
        <v>340</v>
      </c>
      <c r="Q2158" s="6">
        <f>OrganizedData[[#This Row],[Total Items Ordered]]*VLOOKUP(OrganizedData[[#This Row],[Product Code]],ProductData[],3,FALSE)</f>
        <v>1003.0000000000001</v>
      </c>
      <c r="R21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2159" spans="1:18" x14ac:dyDescent="0.3">
      <c r="A2159" s="2">
        <v>2152</v>
      </c>
      <c r="B2159" s="2" t="s">
        <v>5986</v>
      </c>
      <c r="C2159" s="2" t="s">
        <v>1313</v>
      </c>
      <c r="D2159" s="2" t="s">
        <v>15</v>
      </c>
      <c r="E2159" s="2" t="s">
        <v>16</v>
      </c>
      <c r="F2159" s="2">
        <v>60</v>
      </c>
      <c r="G2159" s="2" t="s">
        <v>5987</v>
      </c>
      <c r="H2159" s="2" t="s">
        <v>1601</v>
      </c>
      <c r="I2159" s="2" t="s">
        <v>32</v>
      </c>
      <c r="J2159" s="3">
        <v>44383</v>
      </c>
      <c r="K2159" s="5">
        <f>YEAR(OrganizedData[[#This Row],[Order Date]])</f>
        <v>2021</v>
      </c>
      <c r="L2159" s="7" t="str">
        <f>TEXT(OrganizedData[[#This Row],[Order Date]],"mmm")</f>
        <v>Jul</v>
      </c>
      <c r="M2159" s="2">
        <v>12</v>
      </c>
      <c r="N2159" s="2" t="s">
        <v>80</v>
      </c>
      <c r="O2159" s="2" t="str">
        <f>VLOOKUP(OrganizedData[[#This Row],[Product Code]],ProductData[[Code]:[Item]],2,FALSE)</f>
        <v>Ultrathing V2</v>
      </c>
      <c r="P2159" s="4">
        <f>OrganizedData[[#This Row],[Quantity]]*VLOOKUP(OrganizedData[[#This Row],[Product Code]],ProductData[],4,FALSE)</f>
        <v>240</v>
      </c>
      <c r="Q2159" s="6">
        <f>OrganizedData[[#This Row],[Total Items Ordered]]*VLOOKUP(OrganizedData[[#This Row],[Product Code]],ProductData[],3,FALSE)</f>
        <v>708</v>
      </c>
      <c r="R21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v>
      </c>
    </row>
    <row r="2160" spans="1:18" x14ac:dyDescent="0.3">
      <c r="A2160" s="2">
        <v>2153</v>
      </c>
      <c r="B2160" s="2" t="s">
        <v>5988</v>
      </c>
      <c r="C2160" s="2" t="s">
        <v>5258</v>
      </c>
      <c r="D2160" s="2" t="s">
        <v>28</v>
      </c>
      <c r="E2160" s="2" t="s">
        <v>29</v>
      </c>
      <c r="F2160" s="2">
        <v>30</v>
      </c>
      <c r="G2160" s="2" t="s">
        <v>5989</v>
      </c>
      <c r="H2160" s="2" t="s">
        <v>2624</v>
      </c>
      <c r="I2160" s="2" t="s">
        <v>32</v>
      </c>
      <c r="J2160" s="3">
        <v>44689</v>
      </c>
      <c r="K2160" s="5">
        <f>YEAR(OrganizedData[[#This Row],[Order Date]])</f>
        <v>2022</v>
      </c>
      <c r="L2160" s="7" t="str">
        <f>TEXT(OrganizedData[[#This Row],[Order Date]],"mmm")</f>
        <v>May</v>
      </c>
      <c r="M2160" s="2">
        <v>33</v>
      </c>
      <c r="N2160" s="2" t="s">
        <v>54</v>
      </c>
      <c r="O2160" s="2" t="str">
        <f>VLOOKUP(OrganizedData[[#This Row],[Product Code]],ProductData[[Code]:[Item]],2,FALSE)</f>
        <v>Megawidget S</v>
      </c>
      <c r="P2160" s="4">
        <f>OrganizedData[[#This Row],[Quantity]]*VLOOKUP(OrganizedData[[#This Row],[Product Code]],ProductData[],4,FALSE)</f>
        <v>792</v>
      </c>
      <c r="Q2160" s="6">
        <f>OrganizedData[[#This Row],[Total Items Ordered]]*VLOOKUP(OrganizedData[[#This Row],[Product Code]],ProductData[],3,FALSE)</f>
        <v>546.4799999999999</v>
      </c>
      <c r="R21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2161" spans="1:18" x14ac:dyDescent="0.3">
      <c r="A2161" s="2">
        <v>2154</v>
      </c>
      <c r="B2161" s="2" t="s">
        <v>752</v>
      </c>
      <c r="C2161" s="2" t="s">
        <v>5990</v>
      </c>
      <c r="D2161" s="2" t="s">
        <v>28</v>
      </c>
      <c r="E2161" s="2" t="s">
        <v>29</v>
      </c>
      <c r="F2161" s="2">
        <v>30</v>
      </c>
      <c r="G2161" s="2" t="s">
        <v>5991</v>
      </c>
      <c r="H2161" s="2" t="s">
        <v>5664</v>
      </c>
      <c r="I2161" s="2" t="s">
        <v>187</v>
      </c>
      <c r="J2161" s="3">
        <v>43961</v>
      </c>
      <c r="K2161" s="5">
        <f>YEAR(OrganizedData[[#This Row],[Order Date]])</f>
        <v>2020</v>
      </c>
      <c r="L2161" s="7" t="str">
        <f>TEXT(OrganizedData[[#This Row],[Order Date]],"mmm")</f>
        <v>May</v>
      </c>
      <c r="M2161" s="2">
        <v>37</v>
      </c>
      <c r="N2161" s="2" t="s">
        <v>70</v>
      </c>
      <c r="O2161" s="2" t="str">
        <f>VLOOKUP(OrganizedData[[#This Row],[Product Code]],ProductData[[Code]:[Item]],2,FALSE)</f>
        <v>Megawidget M</v>
      </c>
      <c r="P2161" s="4">
        <f>OrganizedData[[#This Row],[Quantity]]*VLOOKUP(OrganizedData[[#This Row],[Product Code]],ProductData[],4,FALSE)</f>
        <v>888</v>
      </c>
      <c r="Q2161" s="6">
        <f>OrganizedData[[#This Row],[Total Items Ordered]]*VLOOKUP(OrganizedData[[#This Row],[Product Code]],ProductData[],3,FALSE)</f>
        <v>1145.52</v>
      </c>
      <c r="R21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2162" spans="1:18" x14ac:dyDescent="0.3">
      <c r="A2162" s="2">
        <v>2155</v>
      </c>
      <c r="B2162" s="2" t="s">
        <v>1668</v>
      </c>
      <c r="C2162" s="2" t="s">
        <v>2145</v>
      </c>
      <c r="D2162" s="2" t="s">
        <v>15</v>
      </c>
      <c r="E2162" s="2" t="s">
        <v>16</v>
      </c>
      <c r="F2162" s="2">
        <v>60</v>
      </c>
      <c r="G2162" s="2" t="s">
        <v>5991</v>
      </c>
      <c r="H2162" s="2" t="s">
        <v>5992</v>
      </c>
      <c r="I2162" s="2" t="s">
        <v>25</v>
      </c>
      <c r="J2162" s="3">
        <v>43862</v>
      </c>
      <c r="K2162" s="5">
        <f>YEAR(OrganizedData[[#This Row],[Order Date]])</f>
        <v>2020</v>
      </c>
      <c r="L2162" s="7" t="str">
        <f>TEXT(OrganizedData[[#This Row],[Order Date]],"mmm")</f>
        <v>Feb</v>
      </c>
      <c r="M2162" s="2">
        <v>44</v>
      </c>
      <c r="N2162" s="2" t="s">
        <v>54</v>
      </c>
      <c r="O2162" s="2" t="str">
        <f>VLOOKUP(OrganizedData[[#This Row],[Product Code]],ProductData[[Code]:[Item]],2,FALSE)</f>
        <v>Megawidget S</v>
      </c>
      <c r="P2162" s="4">
        <f>OrganizedData[[#This Row],[Quantity]]*VLOOKUP(OrganizedData[[#This Row],[Product Code]],ProductData[],4,FALSE)</f>
        <v>1056</v>
      </c>
      <c r="Q2162" s="6">
        <f>OrganizedData[[#This Row],[Total Items Ordered]]*VLOOKUP(OrganizedData[[#This Row],[Product Code]],ProductData[],3,FALSE)</f>
        <v>728.64</v>
      </c>
      <c r="R21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2163" spans="1:18" x14ac:dyDescent="0.3">
      <c r="A2163" s="2">
        <v>2156</v>
      </c>
      <c r="B2163" s="2" t="s">
        <v>774</v>
      </c>
      <c r="C2163" s="2" t="s">
        <v>5993</v>
      </c>
      <c r="D2163" s="2" t="s">
        <v>28</v>
      </c>
      <c r="E2163" s="2" t="s">
        <v>29</v>
      </c>
      <c r="F2163" s="2">
        <v>30</v>
      </c>
      <c r="G2163" s="2" t="s">
        <v>5994</v>
      </c>
      <c r="H2163" s="2" t="s">
        <v>5995</v>
      </c>
      <c r="I2163" s="2" t="s">
        <v>187</v>
      </c>
      <c r="J2163" s="3">
        <v>44269</v>
      </c>
      <c r="K2163" s="5">
        <f>YEAR(OrganizedData[[#This Row],[Order Date]])</f>
        <v>2021</v>
      </c>
      <c r="L2163" s="7" t="str">
        <f>TEXT(OrganizedData[[#This Row],[Order Date]],"mmm")</f>
        <v>Mar</v>
      </c>
      <c r="M2163" s="2">
        <v>69</v>
      </c>
      <c r="N2163" s="2" t="s">
        <v>159</v>
      </c>
      <c r="O2163" s="2" t="str">
        <f>VLOOKUP(OrganizedData[[#This Row],[Product Code]],ProductData[[Code]:[Item]],2,FALSE)</f>
        <v>Ultrathing V3</v>
      </c>
      <c r="P2163" s="4">
        <f>OrganizedData[[#This Row],[Quantity]]*VLOOKUP(OrganizedData[[#This Row],[Product Code]],ProductData[],4,FALSE)</f>
        <v>1656</v>
      </c>
      <c r="Q2163" s="6">
        <f>OrganizedData[[#This Row],[Total Items Ordered]]*VLOOKUP(OrganizedData[[#This Row],[Product Code]],ProductData[],3,FALSE)</f>
        <v>5613.84</v>
      </c>
      <c r="R21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5333.1480000000001</v>
      </c>
    </row>
    <row r="2164" spans="1:18" x14ac:dyDescent="0.3">
      <c r="A2164" s="2">
        <v>2157</v>
      </c>
      <c r="B2164" s="2" t="s">
        <v>1009</v>
      </c>
      <c r="C2164" s="2" t="s">
        <v>5996</v>
      </c>
      <c r="D2164" s="2" t="s">
        <v>28</v>
      </c>
      <c r="E2164" s="2" t="s">
        <v>29</v>
      </c>
      <c r="F2164" s="2">
        <v>30</v>
      </c>
      <c r="G2164" s="2" t="s">
        <v>5997</v>
      </c>
      <c r="H2164" s="2" t="s">
        <v>412</v>
      </c>
      <c r="I2164" s="2" t="s">
        <v>187</v>
      </c>
      <c r="J2164" s="3">
        <v>44347</v>
      </c>
      <c r="K2164" s="5">
        <f>YEAR(OrganizedData[[#This Row],[Order Date]])</f>
        <v>2021</v>
      </c>
      <c r="L2164" s="7" t="str">
        <f>TEXT(OrganizedData[[#This Row],[Order Date]],"mmm")</f>
        <v>May</v>
      </c>
      <c r="M2164" s="2">
        <v>27</v>
      </c>
      <c r="N2164" s="2" t="s">
        <v>101</v>
      </c>
      <c r="O2164" s="2" t="str">
        <f>VLOOKUP(OrganizedData[[#This Row],[Product Code]],ProductData[[Code]:[Item]],2,FALSE)</f>
        <v>Superwossname</v>
      </c>
      <c r="P2164" s="4">
        <f>OrganizedData[[#This Row],[Quantity]]*VLOOKUP(OrganizedData[[#This Row],[Product Code]],ProductData[],4,FALSE)</f>
        <v>540</v>
      </c>
      <c r="Q2164" s="6">
        <f>OrganizedData[[#This Row],[Total Items Ordered]]*VLOOKUP(OrganizedData[[#This Row],[Product Code]],ProductData[],3,FALSE)</f>
        <v>1884.6000000000001</v>
      </c>
      <c r="R21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1828.0620000000001</v>
      </c>
    </row>
    <row r="2165" spans="1:18" x14ac:dyDescent="0.3">
      <c r="A2165" s="2">
        <v>2158</v>
      </c>
      <c r="B2165" s="2" t="s">
        <v>96</v>
      </c>
      <c r="C2165" s="2" t="s">
        <v>5998</v>
      </c>
      <c r="D2165" s="2" t="s">
        <v>28</v>
      </c>
      <c r="E2165" s="2" t="s">
        <v>29</v>
      </c>
      <c r="F2165" s="2">
        <v>30</v>
      </c>
      <c r="G2165" s="2" t="s">
        <v>5999</v>
      </c>
      <c r="H2165" s="2" t="s">
        <v>6000</v>
      </c>
      <c r="I2165" s="2" t="s">
        <v>178</v>
      </c>
      <c r="J2165" s="3">
        <v>44731</v>
      </c>
      <c r="K2165" s="5">
        <f>YEAR(OrganizedData[[#This Row],[Order Date]])</f>
        <v>2022</v>
      </c>
      <c r="L2165" s="7" t="str">
        <f>TEXT(OrganizedData[[#This Row],[Order Date]],"mmm")</f>
        <v>Jun</v>
      </c>
      <c r="M2165" s="2">
        <v>55</v>
      </c>
      <c r="N2165" s="2" t="s">
        <v>64</v>
      </c>
      <c r="O2165" s="2" t="str">
        <f>VLOOKUP(OrganizedData[[#This Row],[Product Code]],ProductData[[Code]:[Item]],2,FALSE)</f>
        <v>Ultrathing V4</v>
      </c>
      <c r="P2165" s="4">
        <f>OrganizedData[[#This Row],[Quantity]]*VLOOKUP(OrganizedData[[#This Row],[Product Code]],ProductData[],4,FALSE)</f>
        <v>1320</v>
      </c>
      <c r="Q2165" s="6">
        <f>OrganizedData[[#This Row],[Total Items Ordered]]*VLOOKUP(OrganizedData[[#This Row],[Product Code]],ProductData[],3,FALSE)</f>
        <v>5266.8</v>
      </c>
      <c r="R21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2166" spans="1:18" x14ac:dyDescent="0.3">
      <c r="A2166" s="2">
        <v>2159</v>
      </c>
      <c r="B2166" s="2" t="s">
        <v>6001</v>
      </c>
      <c r="C2166" s="2" t="s">
        <v>3464</v>
      </c>
      <c r="D2166" s="2" t="s">
        <v>15</v>
      </c>
      <c r="E2166" s="2" t="s">
        <v>16</v>
      </c>
      <c r="F2166" s="2">
        <v>90</v>
      </c>
      <c r="G2166" s="2" t="s">
        <v>6002</v>
      </c>
      <c r="H2166" s="2" t="s">
        <v>2533</v>
      </c>
      <c r="I2166" s="2" t="s">
        <v>2534</v>
      </c>
      <c r="J2166" s="3">
        <v>44124</v>
      </c>
      <c r="K2166" s="5">
        <f>YEAR(OrganizedData[[#This Row],[Order Date]])</f>
        <v>2020</v>
      </c>
      <c r="L2166" s="7" t="str">
        <f>TEXT(OrganizedData[[#This Row],[Order Date]],"mmm")</f>
        <v>Oct</v>
      </c>
      <c r="M2166" s="2">
        <v>28</v>
      </c>
      <c r="N2166" s="2" t="s">
        <v>33</v>
      </c>
      <c r="O2166" s="2" t="str">
        <f>VLOOKUP(OrganizedData[[#This Row],[Product Code]],ProductData[[Code]:[Item]],2,FALSE)</f>
        <v>Megawidget L</v>
      </c>
      <c r="P2166" s="4">
        <f>OrganizedData[[#This Row],[Quantity]]*VLOOKUP(OrganizedData[[#This Row],[Product Code]],ProductData[],4,FALSE)</f>
        <v>672</v>
      </c>
      <c r="Q2166" s="6">
        <f>OrganizedData[[#This Row],[Total Items Ordered]]*VLOOKUP(OrganizedData[[#This Row],[Product Code]],ProductData[],3,FALSE)</f>
        <v>1202.8800000000001</v>
      </c>
      <c r="R21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1166.7936</v>
      </c>
    </row>
    <row r="2167" spans="1:18" x14ac:dyDescent="0.3">
      <c r="A2167" s="2">
        <v>2160</v>
      </c>
      <c r="B2167" s="2" t="s">
        <v>2556</v>
      </c>
      <c r="C2167" s="2" t="s">
        <v>5807</v>
      </c>
      <c r="D2167" s="2" t="s">
        <v>28</v>
      </c>
      <c r="E2167" s="2" t="s">
        <v>29</v>
      </c>
      <c r="F2167" s="2">
        <v>60</v>
      </c>
      <c r="G2167" s="2" t="s">
        <v>6002</v>
      </c>
      <c r="H2167" s="2" t="s">
        <v>382</v>
      </c>
      <c r="I2167" s="2" t="s">
        <v>32</v>
      </c>
      <c r="J2167" s="3">
        <v>44207</v>
      </c>
      <c r="K2167" s="5">
        <f>YEAR(OrganizedData[[#This Row],[Order Date]])</f>
        <v>2021</v>
      </c>
      <c r="L2167" s="7" t="str">
        <f>TEXT(OrganizedData[[#This Row],[Order Date]],"mmm")</f>
        <v>Jan</v>
      </c>
      <c r="M2167" s="2">
        <v>46</v>
      </c>
      <c r="N2167" s="2" t="s">
        <v>159</v>
      </c>
      <c r="O2167" s="2" t="str">
        <f>VLOOKUP(OrganizedData[[#This Row],[Product Code]],ProductData[[Code]:[Item]],2,FALSE)</f>
        <v>Ultrathing V3</v>
      </c>
      <c r="P2167" s="4">
        <f>OrganizedData[[#This Row],[Quantity]]*VLOOKUP(OrganizedData[[#This Row],[Product Code]],ProductData[],4,FALSE)</f>
        <v>1104</v>
      </c>
      <c r="Q2167" s="6">
        <f>OrganizedData[[#This Row],[Total Items Ordered]]*VLOOKUP(OrganizedData[[#This Row],[Product Code]],ProductData[],3,FALSE)</f>
        <v>3742.56</v>
      </c>
      <c r="R21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3630.2831999999999</v>
      </c>
    </row>
    <row r="2168" spans="1:18" x14ac:dyDescent="0.3">
      <c r="A2168" s="2">
        <v>2161</v>
      </c>
      <c r="B2168" s="2" t="s">
        <v>6003</v>
      </c>
      <c r="C2168" s="2" t="s">
        <v>6004</v>
      </c>
      <c r="D2168" s="2" t="s">
        <v>28</v>
      </c>
      <c r="E2168" s="2" t="s">
        <v>29</v>
      </c>
      <c r="F2168" s="2">
        <v>60</v>
      </c>
      <c r="G2168" s="2" t="s">
        <v>6005</v>
      </c>
      <c r="H2168" s="2" t="s">
        <v>942</v>
      </c>
      <c r="I2168" s="2" t="s">
        <v>32</v>
      </c>
      <c r="J2168" s="3">
        <v>44343</v>
      </c>
      <c r="K2168" s="5">
        <f>YEAR(OrganizedData[[#This Row],[Order Date]])</f>
        <v>2021</v>
      </c>
      <c r="L2168" s="7" t="str">
        <f>TEXT(OrganizedData[[#This Row],[Order Date]],"mmm")</f>
        <v>May</v>
      </c>
      <c r="M2168" s="2">
        <v>36</v>
      </c>
      <c r="N2168" s="2" t="s">
        <v>20</v>
      </c>
      <c r="O2168" s="2" t="str">
        <f>VLOOKUP(OrganizedData[[#This Row],[Product Code]],ProductData[[Code]:[Item]],2,FALSE)</f>
        <v>Hyperwotsit</v>
      </c>
      <c r="P2168" s="4">
        <f>OrganizedData[[#This Row],[Quantity]]*VLOOKUP(OrganizedData[[#This Row],[Product Code]],ProductData[],4,FALSE)</f>
        <v>720</v>
      </c>
      <c r="Q2168" s="6">
        <f>OrganizedData[[#This Row],[Total Items Ordered]]*VLOOKUP(OrganizedData[[#This Row],[Product Code]],ProductData[],3,FALSE)</f>
        <v>1447.1999999999998</v>
      </c>
      <c r="R21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1403.7839999999999</v>
      </c>
    </row>
    <row r="2169" spans="1:18" x14ac:dyDescent="0.3">
      <c r="A2169" s="2">
        <v>2162</v>
      </c>
      <c r="B2169" s="2" t="s">
        <v>624</v>
      </c>
      <c r="C2169" s="2" t="s">
        <v>348</v>
      </c>
      <c r="D2169" s="2" t="s">
        <v>28</v>
      </c>
      <c r="E2169" s="2" t="s">
        <v>29</v>
      </c>
      <c r="F2169" s="2">
        <v>60</v>
      </c>
      <c r="G2169" s="2" t="s">
        <v>6006</v>
      </c>
      <c r="H2169" s="2" t="s">
        <v>4979</v>
      </c>
      <c r="I2169" s="2" t="s">
        <v>294</v>
      </c>
      <c r="J2169" s="3">
        <v>44452</v>
      </c>
      <c r="K2169" s="5">
        <f>YEAR(OrganizedData[[#This Row],[Order Date]])</f>
        <v>2021</v>
      </c>
      <c r="L2169" s="7" t="str">
        <f>TEXT(OrganizedData[[#This Row],[Order Date]],"mmm")</f>
        <v>Sep</v>
      </c>
      <c r="M2169" s="2">
        <v>88</v>
      </c>
      <c r="N2169" s="2" t="s">
        <v>54</v>
      </c>
      <c r="O2169" s="2" t="str">
        <f>VLOOKUP(OrganizedData[[#This Row],[Product Code]],ProductData[[Code]:[Item]],2,FALSE)</f>
        <v>Megawidget S</v>
      </c>
      <c r="P2169" s="4">
        <f>OrganizedData[[#This Row],[Quantity]]*VLOOKUP(OrganizedData[[#This Row],[Product Code]],ProductData[],4,FALSE)</f>
        <v>2112</v>
      </c>
      <c r="Q2169" s="6">
        <f>OrganizedData[[#This Row],[Total Items Ordered]]*VLOOKUP(OrganizedData[[#This Row],[Product Code]],ProductData[],3,FALSE)</f>
        <v>1457.28</v>
      </c>
      <c r="R21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1384.4159999999999</v>
      </c>
    </row>
    <row r="2170" spans="1:18" x14ac:dyDescent="0.3">
      <c r="A2170" s="2">
        <v>2163</v>
      </c>
      <c r="B2170" s="2" t="s">
        <v>367</v>
      </c>
      <c r="C2170" s="2" t="s">
        <v>3084</v>
      </c>
      <c r="D2170" s="2" t="s">
        <v>28</v>
      </c>
      <c r="E2170" s="2" t="s">
        <v>29</v>
      </c>
      <c r="F2170" s="2">
        <v>60</v>
      </c>
      <c r="G2170" s="2" t="s">
        <v>6006</v>
      </c>
      <c r="H2170" s="2" t="s">
        <v>1568</v>
      </c>
      <c r="I2170" s="2" t="s">
        <v>32</v>
      </c>
      <c r="J2170" s="3">
        <v>43991</v>
      </c>
      <c r="K2170" s="5">
        <f>YEAR(OrganizedData[[#This Row],[Order Date]])</f>
        <v>2020</v>
      </c>
      <c r="L2170" s="7" t="str">
        <f>TEXT(OrganizedData[[#This Row],[Order Date]],"mmm")</f>
        <v>Jun</v>
      </c>
      <c r="M2170" s="2">
        <v>85</v>
      </c>
      <c r="N2170" s="2" t="s">
        <v>54</v>
      </c>
      <c r="O2170" s="2" t="str">
        <f>VLOOKUP(OrganizedData[[#This Row],[Product Code]],ProductData[[Code]:[Item]],2,FALSE)</f>
        <v>Megawidget S</v>
      </c>
      <c r="P2170" s="4">
        <f>OrganizedData[[#This Row],[Quantity]]*VLOOKUP(OrganizedData[[#This Row],[Product Code]],ProductData[],4,FALSE)</f>
        <v>2040</v>
      </c>
      <c r="Q2170" s="6">
        <f>OrganizedData[[#This Row],[Total Items Ordered]]*VLOOKUP(OrganizedData[[#This Row],[Product Code]],ProductData[],3,FALSE)</f>
        <v>1407.6</v>
      </c>
      <c r="R21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2171" spans="1:18" x14ac:dyDescent="0.3">
      <c r="A2171" s="2">
        <v>2164</v>
      </c>
      <c r="B2171" s="2" t="s">
        <v>751</v>
      </c>
      <c r="C2171" s="2" t="s">
        <v>3600</v>
      </c>
      <c r="D2171" s="2" t="s">
        <v>28</v>
      </c>
      <c r="E2171" s="2" t="s">
        <v>29</v>
      </c>
      <c r="F2171" s="2">
        <v>90</v>
      </c>
      <c r="G2171" s="2" t="s">
        <v>6007</v>
      </c>
      <c r="H2171" s="2" t="s">
        <v>3320</v>
      </c>
      <c r="I2171" s="2" t="s">
        <v>32</v>
      </c>
      <c r="J2171" s="3">
        <v>44138</v>
      </c>
      <c r="K2171" s="5">
        <f>YEAR(OrganizedData[[#This Row],[Order Date]])</f>
        <v>2020</v>
      </c>
      <c r="L2171" s="7" t="str">
        <f>TEXT(OrganizedData[[#This Row],[Order Date]],"mmm")</f>
        <v>Nov</v>
      </c>
      <c r="M2171" s="2">
        <v>35</v>
      </c>
      <c r="N2171" s="2" t="s">
        <v>39</v>
      </c>
      <c r="O2171" s="2" t="str">
        <f>VLOOKUP(OrganizedData[[#This Row],[Product Code]],ProductData[[Code]:[Item]],2,FALSE)</f>
        <v>Ultrathing V1</v>
      </c>
      <c r="P2171" s="4">
        <f>OrganizedData[[#This Row],[Quantity]]*VLOOKUP(OrganizedData[[#This Row],[Product Code]],ProductData[],4,FALSE)</f>
        <v>595</v>
      </c>
      <c r="Q2171" s="6">
        <f>OrganizedData[[#This Row],[Total Items Ordered]]*VLOOKUP(OrganizedData[[#This Row],[Product Code]],ProductData[],3,FALSE)</f>
        <v>1065.05</v>
      </c>
      <c r="R21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1033.0984999999998</v>
      </c>
    </row>
    <row r="2172" spans="1:18" x14ac:dyDescent="0.3">
      <c r="A2172" s="2">
        <v>2165</v>
      </c>
      <c r="B2172" s="2" t="s">
        <v>5977</v>
      </c>
      <c r="C2172" s="2" t="s">
        <v>5883</v>
      </c>
      <c r="D2172" s="2" t="s">
        <v>15</v>
      </c>
      <c r="E2172" s="2" t="s">
        <v>16</v>
      </c>
      <c r="F2172" s="2">
        <v>60</v>
      </c>
      <c r="G2172" s="2" t="s">
        <v>6008</v>
      </c>
      <c r="H2172" s="2" t="s">
        <v>5711</v>
      </c>
      <c r="I2172" s="2" t="s">
        <v>25</v>
      </c>
      <c r="J2172" s="3">
        <v>43886</v>
      </c>
      <c r="K2172" s="5">
        <f>YEAR(OrganizedData[[#This Row],[Order Date]])</f>
        <v>2020</v>
      </c>
      <c r="L2172" s="7" t="str">
        <f>TEXT(OrganizedData[[#This Row],[Order Date]],"mmm")</f>
        <v>Feb</v>
      </c>
      <c r="M2172" s="2">
        <v>39</v>
      </c>
      <c r="N2172" s="2" t="s">
        <v>33</v>
      </c>
      <c r="O2172" s="2" t="str">
        <f>VLOOKUP(OrganizedData[[#This Row],[Product Code]],ProductData[[Code]:[Item]],2,FALSE)</f>
        <v>Megawidget L</v>
      </c>
      <c r="P2172" s="4">
        <f>OrganizedData[[#This Row],[Quantity]]*VLOOKUP(OrganizedData[[#This Row],[Product Code]],ProductData[],4,FALSE)</f>
        <v>936</v>
      </c>
      <c r="Q2172" s="6">
        <f>OrganizedData[[#This Row],[Total Items Ordered]]*VLOOKUP(OrganizedData[[#This Row],[Product Code]],ProductData[],3,FALSE)</f>
        <v>1675.44</v>
      </c>
      <c r="R21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1625.1768</v>
      </c>
    </row>
    <row r="2173" spans="1:18" x14ac:dyDescent="0.3">
      <c r="A2173" s="2">
        <v>2166</v>
      </c>
      <c r="B2173" s="2" t="s">
        <v>6009</v>
      </c>
      <c r="C2173" s="2" t="s">
        <v>3843</v>
      </c>
      <c r="D2173" s="2" t="s">
        <v>51</v>
      </c>
      <c r="E2173" s="2" t="s">
        <v>16</v>
      </c>
      <c r="F2173" s="2">
        <v>30</v>
      </c>
      <c r="G2173" s="2" t="s">
        <v>6010</v>
      </c>
      <c r="H2173" s="2" t="s">
        <v>2516</v>
      </c>
      <c r="I2173" s="2" t="s">
        <v>32</v>
      </c>
      <c r="J2173" s="3">
        <v>44899</v>
      </c>
      <c r="K2173" s="5">
        <f>YEAR(OrganizedData[[#This Row],[Order Date]])</f>
        <v>2022</v>
      </c>
      <c r="L2173" s="7" t="str">
        <f>TEXT(OrganizedData[[#This Row],[Order Date]],"mmm")</f>
        <v>Dec</v>
      </c>
      <c r="M2173" s="2">
        <v>5</v>
      </c>
      <c r="N2173" s="2" t="s">
        <v>45</v>
      </c>
      <c r="O2173" s="2" t="str">
        <f>VLOOKUP(OrganizedData[[#This Row],[Product Code]],ProductData[[Code]:[Item]],2,FALSE)</f>
        <v>Gigastuff</v>
      </c>
      <c r="P2173" s="4">
        <f>OrganizedData[[#This Row],[Quantity]]*VLOOKUP(OrganizedData[[#This Row],[Product Code]],ProductData[],4,FALSE)</f>
        <v>90</v>
      </c>
      <c r="Q2173" s="6">
        <f>OrganizedData[[#This Row],[Total Items Ordered]]*VLOOKUP(OrganizedData[[#This Row],[Product Code]],ProductData[],3,FALSE)</f>
        <v>170.1</v>
      </c>
      <c r="R21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2174" spans="1:18" x14ac:dyDescent="0.3">
      <c r="A2174" s="2">
        <v>2167</v>
      </c>
      <c r="B2174" s="2" t="s">
        <v>4378</v>
      </c>
      <c r="C2174" s="2" t="s">
        <v>3014</v>
      </c>
      <c r="D2174" s="2" t="s">
        <v>28</v>
      </c>
      <c r="E2174" s="2" t="s">
        <v>29</v>
      </c>
      <c r="F2174" s="2">
        <v>30</v>
      </c>
      <c r="G2174" s="2" t="s">
        <v>6012</v>
      </c>
      <c r="H2174" s="2" t="s">
        <v>2441</v>
      </c>
      <c r="I2174" s="2" t="s">
        <v>1199</v>
      </c>
      <c r="J2174" s="3">
        <v>44393</v>
      </c>
      <c r="K2174" s="5">
        <f>YEAR(OrganizedData[[#This Row],[Order Date]])</f>
        <v>2021</v>
      </c>
      <c r="L2174" s="7" t="str">
        <f>TEXT(OrganizedData[[#This Row],[Order Date]],"mmm")</f>
        <v>Jul</v>
      </c>
      <c r="M2174" s="2">
        <v>18</v>
      </c>
      <c r="N2174" s="2" t="s">
        <v>101</v>
      </c>
      <c r="O2174" s="2" t="str">
        <f>VLOOKUP(OrganizedData[[#This Row],[Product Code]],ProductData[[Code]:[Item]],2,FALSE)</f>
        <v>Superwossname</v>
      </c>
      <c r="P2174" s="4">
        <f>OrganizedData[[#This Row],[Quantity]]*VLOOKUP(OrganizedData[[#This Row],[Product Code]],ProductData[],4,FALSE)</f>
        <v>360</v>
      </c>
      <c r="Q2174" s="6">
        <f>OrganizedData[[#This Row],[Total Items Ordered]]*VLOOKUP(OrganizedData[[#This Row],[Product Code]],ProductData[],3,FALSE)</f>
        <v>1256.4000000000001</v>
      </c>
      <c r="R21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2175" spans="1:18" x14ac:dyDescent="0.3">
      <c r="A2175" s="2">
        <v>2168</v>
      </c>
      <c r="B2175" s="2" t="s">
        <v>6013</v>
      </c>
      <c r="C2175" s="2" t="s">
        <v>219</v>
      </c>
      <c r="D2175" s="2" t="s">
        <v>41</v>
      </c>
      <c r="E2175" s="2" t="s">
        <v>16</v>
      </c>
      <c r="F2175" s="2">
        <v>30</v>
      </c>
      <c r="G2175" s="2" t="s">
        <v>6014</v>
      </c>
      <c r="H2175" s="2" t="s">
        <v>3405</v>
      </c>
      <c r="I2175" s="2" t="s">
        <v>32</v>
      </c>
      <c r="J2175" s="3">
        <v>44478</v>
      </c>
      <c r="K2175" s="5">
        <f>YEAR(OrganizedData[[#This Row],[Order Date]])</f>
        <v>2021</v>
      </c>
      <c r="L2175" s="7" t="str">
        <f>TEXT(OrganizedData[[#This Row],[Order Date]],"mmm")</f>
        <v>Oct</v>
      </c>
      <c r="M2175" s="2">
        <v>44</v>
      </c>
      <c r="N2175" s="2" t="s">
        <v>20</v>
      </c>
      <c r="O2175" s="2" t="str">
        <f>VLOOKUP(OrganizedData[[#This Row],[Product Code]],ProductData[[Code]:[Item]],2,FALSE)</f>
        <v>Hyperwotsit</v>
      </c>
      <c r="P2175" s="4">
        <f>OrganizedData[[#This Row],[Quantity]]*VLOOKUP(OrganizedData[[#This Row],[Product Code]],ProductData[],4,FALSE)</f>
        <v>880</v>
      </c>
      <c r="Q2175" s="6">
        <f>OrganizedData[[#This Row],[Total Items Ordered]]*VLOOKUP(OrganizedData[[#This Row],[Product Code]],ProductData[],3,FALSE)</f>
        <v>1768.7999999999997</v>
      </c>
      <c r="R21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1715.7359999999996</v>
      </c>
    </row>
    <row r="2176" spans="1:18" x14ac:dyDescent="0.3">
      <c r="A2176" s="2">
        <v>2169</v>
      </c>
      <c r="B2176" s="2" t="s">
        <v>6015</v>
      </c>
      <c r="C2176" s="2" t="s">
        <v>6016</v>
      </c>
      <c r="D2176" s="2" t="s">
        <v>51</v>
      </c>
      <c r="E2176" s="2" t="s">
        <v>16</v>
      </c>
      <c r="F2176" s="2">
        <v>60</v>
      </c>
      <c r="G2176" s="2" t="s">
        <v>6017</v>
      </c>
      <c r="H2176" s="2" t="s">
        <v>34</v>
      </c>
      <c r="I2176" s="2" t="s">
        <v>1454</v>
      </c>
      <c r="J2176" s="3">
        <v>44558</v>
      </c>
      <c r="K2176" s="5">
        <f>YEAR(OrganizedData[[#This Row],[Order Date]])</f>
        <v>2021</v>
      </c>
      <c r="L2176" s="7" t="str">
        <f>TEXT(OrganizedData[[#This Row],[Order Date]],"mmm")</f>
        <v>Dec</v>
      </c>
      <c r="M2176" s="2">
        <v>31</v>
      </c>
      <c r="N2176" s="2" t="s">
        <v>70</v>
      </c>
      <c r="O2176" s="2" t="str">
        <f>VLOOKUP(OrganizedData[[#This Row],[Product Code]],ProductData[[Code]:[Item]],2,FALSE)</f>
        <v>Megawidget M</v>
      </c>
      <c r="P2176" s="4">
        <f>OrganizedData[[#This Row],[Quantity]]*VLOOKUP(OrganizedData[[#This Row],[Product Code]],ProductData[],4,FALSE)</f>
        <v>744</v>
      </c>
      <c r="Q2176" s="6">
        <f>OrganizedData[[#This Row],[Total Items Ordered]]*VLOOKUP(OrganizedData[[#This Row],[Product Code]],ProductData[],3,FALSE)</f>
        <v>959.76</v>
      </c>
      <c r="R21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2177" spans="1:18" x14ac:dyDescent="0.3">
      <c r="A2177" s="2">
        <v>2170</v>
      </c>
      <c r="B2177" s="2" t="s">
        <v>75</v>
      </c>
      <c r="C2177" s="2" t="s">
        <v>873</v>
      </c>
      <c r="D2177" s="2" t="s">
        <v>28</v>
      </c>
      <c r="E2177" s="2" t="s">
        <v>29</v>
      </c>
      <c r="F2177" s="2">
        <v>30</v>
      </c>
      <c r="G2177" s="2" t="s">
        <v>6018</v>
      </c>
      <c r="H2177" s="2" t="s">
        <v>2039</v>
      </c>
      <c r="I2177" s="2" t="s">
        <v>1199</v>
      </c>
      <c r="J2177" s="3">
        <v>44310</v>
      </c>
      <c r="K2177" s="5">
        <f>YEAR(OrganizedData[[#This Row],[Order Date]])</f>
        <v>2021</v>
      </c>
      <c r="L2177" s="7" t="str">
        <f>TEXT(OrganizedData[[#This Row],[Order Date]],"mmm")</f>
        <v>Apr</v>
      </c>
      <c r="M2177" s="2">
        <v>51</v>
      </c>
      <c r="N2177" s="2" t="s">
        <v>159</v>
      </c>
      <c r="O2177" s="2" t="str">
        <f>VLOOKUP(OrganizedData[[#This Row],[Product Code]],ProductData[[Code]:[Item]],2,FALSE)</f>
        <v>Ultrathing V3</v>
      </c>
      <c r="P2177" s="4">
        <f>OrganizedData[[#This Row],[Quantity]]*VLOOKUP(OrganizedData[[#This Row],[Product Code]],ProductData[],4,FALSE)</f>
        <v>1224</v>
      </c>
      <c r="Q2177" s="6">
        <f>OrganizedData[[#This Row],[Total Items Ordered]]*VLOOKUP(OrganizedData[[#This Row],[Product Code]],ProductData[],3,FALSE)</f>
        <v>4149.3600000000006</v>
      </c>
      <c r="R21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3941.8920000000003</v>
      </c>
    </row>
    <row r="2178" spans="1:18" x14ac:dyDescent="0.3">
      <c r="A2178" s="2">
        <v>2171</v>
      </c>
      <c r="B2178" s="2" t="s">
        <v>6019</v>
      </c>
      <c r="C2178" s="2" t="s">
        <v>774</v>
      </c>
      <c r="D2178" s="2" t="s">
        <v>51</v>
      </c>
      <c r="E2178" s="2" t="s">
        <v>16</v>
      </c>
      <c r="F2178" s="2">
        <v>60</v>
      </c>
      <c r="G2178" s="2" t="s">
        <v>6020</v>
      </c>
      <c r="H2178" s="2" t="s">
        <v>2418</v>
      </c>
      <c r="I2178" s="2" t="s">
        <v>32</v>
      </c>
      <c r="J2178" s="3">
        <v>44870</v>
      </c>
      <c r="K2178" s="5">
        <f>YEAR(OrganizedData[[#This Row],[Order Date]])</f>
        <v>2022</v>
      </c>
      <c r="L2178" s="7" t="str">
        <f>TEXT(OrganizedData[[#This Row],[Order Date]],"mmm")</f>
        <v>Nov</v>
      </c>
      <c r="M2178" s="2">
        <v>65</v>
      </c>
      <c r="N2178" s="2" t="s">
        <v>64</v>
      </c>
      <c r="O2178" s="2" t="str">
        <f>VLOOKUP(OrganizedData[[#This Row],[Product Code]],ProductData[[Code]:[Item]],2,FALSE)</f>
        <v>Ultrathing V4</v>
      </c>
      <c r="P2178" s="4">
        <f>OrganizedData[[#This Row],[Quantity]]*VLOOKUP(OrganizedData[[#This Row],[Product Code]],ProductData[],4,FALSE)</f>
        <v>1560</v>
      </c>
      <c r="Q2178" s="6">
        <f>OrganizedData[[#This Row],[Total Items Ordered]]*VLOOKUP(OrganizedData[[#This Row],[Product Code]],ProductData[],3,FALSE)</f>
        <v>6224.4000000000005</v>
      </c>
      <c r="R21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5913.18</v>
      </c>
    </row>
    <row r="2179" spans="1:18" x14ac:dyDescent="0.3">
      <c r="A2179" s="2">
        <v>2172</v>
      </c>
      <c r="B2179" s="2" t="s">
        <v>4727</v>
      </c>
      <c r="C2179" s="2" t="s">
        <v>6021</v>
      </c>
      <c r="D2179" s="2" t="s">
        <v>28</v>
      </c>
      <c r="E2179" s="2" t="s">
        <v>29</v>
      </c>
      <c r="F2179" s="2">
        <v>30</v>
      </c>
      <c r="G2179" s="2" t="s">
        <v>6022</v>
      </c>
      <c r="H2179" s="2" t="s">
        <v>6023</v>
      </c>
      <c r="I2179" s="2" t="s">
        <v>32</v>
      </c>
      <c r="J2179" s="3">
        <v>44773</v>
      </c>
      <c r="K2179" s="5">
        <f>YEAR(OrganizedData[[#This Row],[Order Date]])</f>
        <v>2022</v>
      </c>
      <c r="L2179" s="7" t="str">
        <f>TEXT(OrganizedData[[#This Row],[Order Date]],"mmm")</f>
        <v>Jul</v>
      </c>
      <c r="M2179" s="2">
        <v>2</v>
      </c>
      <c r="N2179" s="2" t="s">
        <v>70</v>
      </c>
      <c r="O2179" s="2" t="str">
        <f>VLOOKUP(OrganizedData[[#This Row],[Product Code]],ProductData[[Code]:[Item]],2,FALSE)</f>
        <v>Megawidget M</v>
      </c>
      <c r="P2179" s="4">
        <f>OrganizedData[[#This Row],[Quantity]]*VLOOKUP(OrganizedData[[#This Row],[Product Code]],ProductData[],4,FALSE)</f>
        <v>48</v>
      </c>
      <c r="Q2179" s="6">
        <f>OrganizedData[[#This Row],[Total Items Ordered]]*VLOOKUP(OrganizedData[[#This Row],[Product Code]],ProductData[],3,FALSE)</f>
        <v>61.92</v>
      </c>
      <c r="R21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2180" spans="1:18" x14ac:dyDescent="0.3">
      <c r="A2180" s="2">
        <v>2173</v>
      </c>
      <c r="B2180" s="2" t="s">
        <v>6024</v>
      </c>
      <c r="C2180" s="2" t="s">
        <v>6025</v>
      </c>
      <c r="D2180" s="2" t="s">
        <v>51</v>
      </c>
      <c r="E2180" s="2" t="s">
        <v>16</v>
      </c>
      <c r="F2180" s="2">
        <v>60</v>
      </c>
      <c r="G2180" s="2" t="s">
        <v>6026</v>
      </c>
      <c r="H2180" s="2" t="s">
        <v>667</v>
      </c>
      <c r="I2180" s="2" t="s">
        <v>25</v>
      </c>
      <c r="J2180" s="3">
        <v>43884</v>
      </c>
      <c r="K2180" s="5">
        <f>YEAR(OrganizedData[[#This Row],[Order Date]])</f>
        <v>2020</v>
      </c>
      <c r="L2180" s="7" t="str">
        <f>TEXT(OrganizedData[[#This Row],[Order Date]],"mmm")</f>
        <v>Feb</v>
      </c>
      <c r="M2180" s="2">
        <v>46</v>
      </c>
      <c r="N2180" s="2" t="s">
        <v>80</v>
      </c>
      <c r="O2180" s="2" t="str">
        <f>VLOOKUP(OrganizedData[[#This Row],[Product Code]],ProductData[[Code]:[Item]],2,FALSE)</f>
        <v>Ultrathing V2</v>
      </c>
      <c r="P2180" s="4">
        <f>OrganizedData[[#This Row],[Quantity]]*VLOOKUP(OrganizedData[[#This Row],[Product Code]],ProductData[],4,FALSE)</f>
        <v>920</v>
      </c>
      <c r="Q2180" s="6">
        <f>OrganizedData[[#This Row],[Total Items Ordered]]*VLOOKUP(OrganizedData[[#This Row],[Product Code]],ProductData[],3,FALSE)</f>
        <v>2714</v>
      </c>
      <c r="R21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2181" spans="1:18" x14ac:dyDescent="0.3">
      <c r="A2181" s="2">
        <v>2174</v>
      </c>
      <c r="B2181" s="2" t="s">
        <v>1351</v>
      </c>
      <c r="C2181" s="2" t="s">
        <v>3439</v>
      </c>
      <c r="D2181" s="2" t="s">
        <v>28</v>
      </c>
      <c r="E2181" s="2" t="s">
        <v>29</v>
      </c>
      <c r="F2181" s="2">
        <v>90</v>
      </c>
      <c r="G2181" s="2" t="s">
        <v>6026</v>
      </c>
      <c r="H2181" s="2" t="s">
        <v>1417</v>
      </c>
      <c r="I2181" s="2" t="s">
        <v>32</v>
      </c>
      <c r="J2181" s="3">
        <v>44108</v>
      </c>
      <c r="K2181" s="5">
        <f>YEAR(OrganizedData[[#This Row],[Order Date]])</f>
        <v>2020</v>
      </c>
      <c r="L2181" s="7" t="str">
        <f>TEXT(OrganizedData[[#This Row],[Order Date]],"mmm")</f>
        <v>Oct</v>
      </c>
      <c r="M2181" s="2">
        <v>16</v>
      </c>
      <c r="N2181" s="2" t="s">
        <v>64</v>
      </c>
      <c r="O2181" s="2" t="str">
        <f>VLOOKUP(OrganizedData[[#This Row],[Product Code]],ProductData[[Code]:[Item]],2,FALSE)</f>
        <v>Ultrathing V4</v>
      </c>
      <c r="P2181" s="4">
        <f>OrganizedData[[#This Row],[Quantity]]*VLOOKUP(OrganizedData[[#This Row],[Product Code]],ProductData[],4,FALSE)</f>
        <v>384</v>
      </c>
      <c r="Q2181" s="6">
        <f>OrganizedData[[#This Row],[Total Items Ordered]]*VLOOKUP(OrganizedData[[#This Row],[Product Code]],ProductData[],3,FALSE)</f>
        <v>1532.16</v>
      </c>
      <c r="R21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2182" spans="1:18" x14ac:dyDescent="0.3">
      <c r="A2182" s="2">
        <v>2175</v>
      </c>
      <c r="B2182" s="2" t="s">
        <v>6027</v>
      </c>
      <c r="C2182" s="2" t="s">
        <v>1789</v>
      </c>
      <c r="D2182" s="2" t="s">
        <v>15</v>
      </c>
      <c r="E2182" s="2" t="s">
        <v>16</v>
      </c>
      <c r="F2182" s="2">
        <v>30</v>
      </c>
      <c r="G2182" s="2" t="s">
        <v>6028</v>
      </c>
      <c r="H2182" s="2" t="s">
        <v>5327</v>
      </c>
      <c r="I2182" s="2" t="s">
        <v>187</v>
      </c>
      <c r="J2182" s="3">
        <v>44901</v>
      </c>
      <c r="K2182" s="5">
        <f>YEAR(OrganizedData[[#This Row],[Order Date]])</f>
        <v>2022</v>
      </c>
      <c r="L2182" s="7" t="str">
        <f>TEXT(OrganizedData[[#This Row],[Order Date]],"mmm")</f>
        <v>Dec</v>
      </c>
      <c r="M2182" s="2">
        <v>19</v>
      </c>
      <c r="N2182" s="2" t="s">
        <v>64</v>
      </c>
      <c r="O2182" s="2" t="str">
        <f>VLOOKUP(OrganizedData[[#This Row],[Product Code]],ProductData[[Code]:[Item]],2,FALSE)</f>
        <v>Ultrathing V4</v>
      </c>
      <c r="P2182" s="4">
        <f>OrganizedData[[#This Row],[Quantity]]*VLOOKUP(OrganizedData[[#This Row],[Product Code]],ProductData[],4,FALSE)</f>
        <v>456</v>
      </c>
      <c r="Q2182" s="6">
        <f>OrganizedData[[#This Row],[Total Items Ordered]]*VLOOKUP(OrganizedData[[#This Row],[Product Code]],ProductData[],3,FALSE)</f>
        <v>1819.44</v>
      </c>
      <c r="R21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2183" spans="1:18" x14ac:dyDescent="0.3">
      <c r="A2183" s="2">
        <v>2176</v>
      </c>
      <c r="B2183" s="2" t="s">
        <v>5266</v>
      </c>
      <c r="C2183" s="2" t="s">
        <v>766</v>
      </c>
      <c r="D2183" s="2" t="s">
        <v>28</v>
      </c>
      <c r="E2183" s="2" t="s">
        <v>29</v>
      </c>
      <c r="F2183" s="2">
        <v>30</v>
      </c>
      <c r="G2183" s="2" t="s">
        <v>6029</v>
      </c>
      <c r="H2183" s="2" t="s">
        <v>462</v>
      </c>
      <c r="I2183" s="2" t="s">
        <v>32</v>
      </c>
      <c r="J2183" s="3">
        <v>44085</v>
      </c>
      <c r="K2183" s="5">
        <f>YEAR(OrganizedData[[#This Row],[Order Date]])</f>
        <v>2020</v>
      </c>
      <c r="L2183" s="7" t="str">
        <f>TEXT(OrganizedData[[#This Row],[Order Date]],"mmm")</f>
        <v>Sep</v>
      </c>
      <c r="M2183" s="2">
        <v>14</v>
      </c>
      <c r="N2183" s="2" t="s">
        <v>20</v>
      </c>
      <c r="O2183" s="2" t="str">
        <f>VLOOKUP(OrganizedData[[#This Row],[Product Code]],ProductData[[Code]:[Item]],2,FALSE)</f>
        <v>Hyperwotsit</v>
      </c>
      <c r="P2183" s="4">
        <f>OrganizedData[[#This Row],[Quantity]]*VLOOKUP(OrganizedData[[#This Row],[Product Code]],ProductData[],4,FALSE)</f>
        <v>280</v>
      </c>
      <c r="Q2183" s="6">
        <f>OrganizedData[[#This Row],[Total Items Ordered]]*VLOOKUP(OrganizedData[[#This Row],[Product Code]],ProductData[],3,FALSE)</f>
        <v>562.79999999999995</v>
      </c>
      <c r="R21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2184" spans="1:18" x14ac:dyDescent="0.3">
      <c r="A2184" s="2">
        <v>2177</v>
      </c>
      <c r="B2184" s="2" t="s">
        <v>6030</v>
      </c>
      <c r="C2184" s="2" t="s">
        <v>6031</v>
      </c>
      <c r="D2184" s="2" t="s">
        <v>51</v>
      </c>
      <c r="E2184" s="2" t="s">
        <v>16</v>
      </c>
      <c r="F2184" s="2">
        <v>90</v>
      </c>
      <c r="G2184" s="2" t="s">
        <v>6032</v>
      </c>
      <c r="H2184" s="2" t="s">
        <v>6033</v>
      </c>
      <c r="I2184" s="2" t="s">
        <v>32</v>
      </c>
      <c r="J2184" s="3">
        <v>43963</v>
      </c>
      <c r="K2184" s="5">
        <f>YEAR(OrganizedData[[#This Row],[Order Date]])</f>
        <v>2020</v>
      </c>
      <c r="L2184" s="7" t="str">
        <f>TEXT(OrganizedData[[#This Row],[Order Date]],"mmm")</f>
        <v>May</v>
      </c>
      <c r="M2184" s="2">
        <v>9</v>
      </c>
      <c r="N2184" s="2" t="s">
        <v>45</v>
      </c>
      <c r="O2184" s="2" t="str">
        <f>VLOOKUP(OrganizedData[[#This Row],[Product Code]],ProductData[[Code]:[Item]],2,FALSE)</f>
        <v>Gigastuff</v>
      </c>
      <c r="P2184" s="4">
        <f>OrganizedData[[#This Row],[Quantity]]*VLOOKUP(OrganizedData[[#This Row],[Product Code]],ProductData[],4,FALSE)</f>
        <v>162</v>
      </c>
      <c r="Q2184" s="6">
        <f>OrganizedData[[#This Row],[Total Items Ordered]]*VLOOKUP(OrganizedData[[#This Row],[Product Code]],ProductData[],3,FALSE)</f>
        <v>306.18</v>
      </c>
      <c r="R21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306.18</v>
      </c>
    </row>
    <row r="2185" spans="1:18" x14ac:dyDescent="0.3">
      <c r="A2185" s="2">
        <v>2178</v>
      </c>
      <c r="B2185" s="2" t="s">
        <v>6034</v>
      </c>
      <c r="C2185" s="2" t="s">
        <v>2047</v>
      </c>
      <c r="D2185" s="2" t="s">
        <v>15</v>
      </c>
      <c r="E2185" s="2" t="s">
        <v>16</v>
      </c>
      <c r="F2185" s="2">
        <v>30</v>
      </c>
      <c r="G2185" s="2" t="s">
        <v>6035</v>
      </c>
      <c r="H2185" s="2" t="s">
        <v>6036</v>
      </c>
      <c r="I2185" s="2" t="s">
        <v>32</v>
      </c>
      <c r="J2185" s="3">
        <v>44112</v>
      </c>
      <c r="K2185" s="5">
        <f>YEAR(OrganizedData[[#This Row],[Order Date]])</f>
        <v>2020</v>
      </c>
      <c r="L2185" s="7" t="str">
        <f>TEXT(OrganizedData[[#This Row],[Order Date]],"mmm")</f>
        <v>Oct</v>
      </c>
      <c r="M2185" s="2">
        <v>10</v>
      </c>
      <c r="N2185" s="2" t="s">
        <v>33</v>
      </c>
      <c r="O2185" s="2" t="str">
        <f>VLOOKUP(OrganizedData[[#This Row],[Product Code]],ProductData[[Code]:[Item]],2,FALSE)</f>
        <v>Megawidget L</v>
      </c>
      <c r="P2185" s="4">
        <f>OrganizedData[[#This Row],[Quantity]]*VLOOKUP(OrganizedData[[#This Row],[Product Code]],ProductData[],4,FALSE)</f>
        <v>240</v>
      </c>
      <c r="Q2185" s="6">
        <f>OrganizedData[[#This Row],[Total Items Ordered]]*VLOOKUP(OrganizedData[[#This Row],[Product Code]],ProductData[],3,FALSE)</f>
        <v>429.6</v>
      </c>
      <c r="R21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429.6</v>
      </c>
    </row>
    <row r="2186" spans="1:18" x14ac:dyDescent="0.3">
      <c r="A2186" s="2">
        <v>2179</v>
      </c>
      <c r="B2186" s="2" t="s">
        <v>4727</v>
      </c>
      <c r="C2186" s="2" t="s">
        <v>1710</v>
      </c>
      <c r="D2186" s="2" t="s">
        <v>28</v>
      </c>
      <c r="E2186" s="2" t="s">
        <v>29</v>
      </c>
      <c r="F2186" s="2">
        <v>90</v>
      </c>
      <c r="G2186" s="2" t="s">
        <v>6037</v>
      </c>
      <c r="H2186" s="2" t="s">
        <v>6038</v>
      </c>
      <c r="I2186" s="2" t="s">
        <v>19</v>
      </c>
      <c r="J2186" s="3">
        <v>44854</v>
      </c>
      <c r="K2186" s="5">
        <f>YEAR(OrganizedData[[#This Row],[Order Date]])</f>
        <v>2022</v>
      </c>
      <c r="L2186" s="7" t="str">
        <f>TEXT(OrganizedData[[#This Row],[Order Date]],"mmm")</f>
        <v>Oct</v>
      </c>
      <c r="M2186" s="2">
        <v>14</v>
      </c>
      <c r="N2186" s="2" t="s">
        <v>101</v>
      </c>
      <c r="O2186" s="2" t="str">
        <f>VLOOKUP(OrganizedData[[#This Row],[Product Code]],ProductData[[Code]:[Item]],2,FALSE)</f>
        <v>Superwossname</v>
      </c>
      <c r="P2186" s="4">
        <f>OrganizedData[[#This Row],[Quantity]]*VLOOKUP(OrganizedData[[#This Row],[Product Code]],ProductData[],4,FALSE)</f>
        <v>280</v>
      </c>
      <c r="Q2186" s="6">
        <f>OrganizedData[[#This Row],[Total Items Ordered]]*VLOOKUP(OrganizedData[[#This Row],[Product Code]],ProductData[],3,FALSE)</f>
        <v>977.2</v>
      </c>
      <c r="R21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977.2</v>
      </c>
    </row>
    <row r="2187" spans="1:18" x14ac:dyDescent="0.3">
      <c r="A2187" s="2">
        <v>2180</v>
      </c>
      <c r="B2187" s="2" t="s">
        <v>6039</v>
      </c>
      <c r="C2187" s="2" t="s">
        <v>6040</v>
      </c>
      <c r="D2187" s="2" t="s">
        <v>15</v>
      </c>
      <c r="E2187" s="2" t="s">
        <v>16</v>
      </c>
      <c r="F2187" s="2">
        <v>90</v>
      </c>
      <c r="G2187" s="2" t="s">
        <v>6041</v>
      </c>
      <c r="H2187" s="2" t="s">
        <v>4508</v>
      </c>
      <c r="I2187" s="2" t="s">
        <v>32</v>
      </c>
      <c r="J2187" s="3">
        <v>44304</v>
      </c>
      <c r="K2187" s="5">
        <f>YEAR(OrganizedData[[#This Row],[Order Date]])</f>
        <v>2021</v>
      </c>
      <c r="L2187" s="7" t="str">
        <f>TEXT(OrganizedData[[#This Row],[Order Date]],"mmm")</f>
        <v>Apr</v>
      </c>
      <c r="M2187" s="2">
        <v>84</v>
      </c>
      <c r="N2187" s="2" t="s">
        <v>101</v>
      </c>
      <c r="O2187" s="2" t="str">
        <f>VLOOKUP(OrganizedData[[#This Row],[Product Code]],ProductData[[Code]:[Item]],2,FALSE)</f>
        <v>Superwossname</v>
      </c>
      <c r="P2187" s="4">
        <f>OrganizedData[[#This Row],[Quantity]]*VLOOKUP(OrganizedData[[#This Row],[Product Code]],ProductData[],4,FALSE)</f>
        <v>1680</v>
      </c>
      <c r="Q2187" s="6">
        <f>OrganizedData[[#This Row],[Total Items Ordered]]*VLOOKUP(OrganizedData[[#This Row],[Product Code]],ProductData[],3,FALSE)</f>
        <v>5863.2000000000007</v>
      </c>
      <c r="R21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5570.0400000000009</v>
      </c>
    </row>
    <row r="2188" spans="1:18" x14ac:dyDescent="0.3">
      <c r="A2188" s="2">
        <v>2181</v>
      </c>
      <c r="B2188" s="2" t="s">
        <v>3706</v>
      </c>
      <c r="C2188" s="2" t="s">
        <v>6042</v>
      </c>
      <c r="D2188" s="2" t="s">
        <v>28</v>
      </c>
      <c r="E2188" s="2" t="s">
        <v>29</v>
      </c>
      <c r="F2188" s="2">
        <v>60</v>
      </c>
      <c r="G2188" s="2" t="s">
        <v>6043</v>
      </c>
      <c r="H2188" s="2" t="s">
        <v>3245</v>
      </c>
      <c r="I2188" s="2" t="s">
        <v>32</v>
      </c>
      <c r="J2188" s="3">
        <v>44067</v>
      </c>
      <c r="K2188" s="5">
        <f>YEAR(OrganizedData[[#This Row],[Order Date]])</f>
        <v>2020</v>
      </c>
      <c r="L2188" s="7" t="str">
        <f>TEXT(OrganizedData[[#This Row],[Order Date]],"mmm")</f>
        <v>Aug</v>
      </c>
      <c r="M2188" s="2">
        <v>84</v>
      </c>
      <c r="N2188" s="2" t="s">
        <v>101</v>
      </c>
      <c r="O2188" s="2" t="str">
        <f>VLOOKUP(OrganizedData[[#This Row],[Product Code]],ProductData[[Code]:[Item]],2,FALSE)</f>
        <v>Superwossname</v>
      </c>
      <c r="P2188" s="4">
        <f>OrganizedData[[#This Row],[Quantity]]*VLOOKUP(OrganizedData[[#This Row],[Product Code]],ProductData[],4,FALSE)</f>
        <v>1680</v>
      </c>
      <c r="Q2188" s="6">
        <f>OrganizedData[[#This Row],[Total Items Ordered]]*VLOOKUP(OrganizedData[[#This Row],[Product Code]],ProductData[],3,FALSE)</f>
        <v>5863.2000000000007</v>
      </c>
      <c r="R21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5570.0400000000009</v>
      </c>
    </row>
    <row r="2189" spans="1:18" x14ac:dyDescent="0.3">
      <c r="A2189" s="2">
        <v>2182</v>
      </c>
      <c r="B2189" s="2" t="s">
        <v>6044</v>
      </c>
      <c r="C2189" s="2" t="s">
        <v>1727</v>
      </c>
      <c r="D2189" s="2" t="s">
        <v>28</v>
      </c>
      <c r="E2189" s="2" t="s">
        <v>29</v>
      </c>
      <c r="F2189" s="2">
        <v>60</v>
      </c>
      <c r="G2189" s="2" t="s">
        <v>6045</v>
      </c>
      <c r="H2189" s="2" t="s">
        <v>2163</v>
      </c>
      <c r="I2189" s="2" t="s">
        <v>1824</v>
      </c>
      <c r="J2189" s="3">
        <v>44791</v>
      </c>
      <c r="K2189" s="5">
        <f>YEAR(OrganizedData[[#This Row],[Order Date]])</f>
        <v>2022</v>
      </c>
      <c r="L2189" s="7" t="str">
        <f>TEXT(OrganizedData[[#This Row],[Order Date]],"mmm")</f>
        <v>Aug</v>
      </c>
      <c r="M2189" s="2">
        <v>3</v>
      </c>
      <c r="N2189" s="2" t="s">
        <v>45</v>
      </c>
      <c r="O2189" s="2" t="str">
        <f>VLOOKUP(OrganizedData[[#This Row],[Product Code]],ProductData[[Code]:[Item]],2,FALSE)</f>
        <v>Gigastuff</v>
      </c>
      <c r="P2189" s="4">
        <f>OrganizedData[[#This Row],[Quantity]]*VLOOKUP(OrganizedData[[#This Row],[Product Code]],ProductData[],4,FALSE)</f>
        <v>54</v>
      </c>
      <c r="Q2189" s="6">
        <f>OrganizedData[[#This Row],[Total Items Ordered]]*VLOOKUP(OrganizedData[[#This Row],[Product Code]],ProductData[],3,FALSE)</f>
        <v>102.05999999999999</v>
      </c>
      <c r="R21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2190" spans="1:18" x14ac:dyDescent="0.3">
      <c r="A2190" s="2">
        <v>2183</v>
      </c>
      <c r="B2190" s="2" t="s">
        <v>6046</v>
      </c>
      <c r="C2190" s="2" t="s">
        <v>672</v>
      </c>
      <c r="D2190" s="2" t="s">
        <v>15</v>
      </c>
      <c r="E2190" s="2" t="s">
        <v>16</v>
      </c>
      <c r="F2190" s="2">
        <v>60</v>
      </c>
      <c r="G2190" s="2" t="s">
        <v>6047</v>
      </c>
      <c r="H2190" s="2" t="s">
        <v>3263</v>
      </c>
      <c r="I2190" s="2" t="s">
        <v>32</v>
      </c>
      <c r="J2190" s="3">
        <v>44474</v>
      </c>
      <c r="K2190" s="5">
        <f>YEAR(OrganizedData[[#This Row],[Order Date]])</f>
        <v>2021</v>
      </c>
      <c r="L2190" s="7" t="str">
        <f>TEXT(OrganizedData[[#This Row],[Order Date]],"mmm")</f>
        <v>Oct</v>
      </c>
      <c r="M2190" s="2">
        <v>78</v>
      </c>
      <c r="N2190" s="2" t="s">
        <v>159</v>
      </c>
      <c r="O2190" s="2" t="str">
        <f>VLOOKUP(OrganizedData[[#This Row],[Product Code]],ProductData[[Code]:[Item]],2,FALSE)</f>
        <v>Ultrathing V3</v>
      </c>
      <c r="P2190" s="4">
        <f>OrganizedData[[#This Row],[Quantity]]*VLOOKUP(OrganizedData[[#This Row],[Product Code]],ProductData[],4,FALSE)</f>
        <v>1872</v>
      </c>
      <c r="Q2190" s="6">
        <f>OrganizedData[[#This Row],[Total Items Ordered]]*VLOOKUP(OrganizedData[[#This Row],[Product Code]],ProductData[],3,FALSE)</f>
        <v>6346.08</v>
      </c>
      <c r="R21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2191" spans="1:18" x14ac:dyDescent="0.3">
      <c r="A2191" s="2">
        <v>2184</v>
      </c>
      <c r="B2191" s="2" t="s">
        <v>6048</v>
      </c>
      <c r="C2191" s="2" t="s">
        <v>1341</v>
      </c>
      <c r="D2191" s="2" t="s">
        <v>28</v>
      </c>
      <c r="E2191" s="2" t="s">
        <v>29</v>
      </c>
      <c r="F2191" s="2">
        <v>60</v>
      </c>
      <c r="G2191" s="2" t="s">
        <v>6049</v>
      </c>
      <c r="H2191" s="2" t="s">
        <v>6050</v>
      </c>
      <c r="I2191" s="2" t="s">
        <v>1199</v>
      </c>
      <c r="J2191" s="3">
        <v>44218</v>
      </c>
      <c r="K2191" s="5">
        <f>YEAR(OrganizedData[[#This Row],[Order Date]])</f>
        <v>2021</v>
      </c>
      <c r="L2191" s="7" t="str">
        <f>TEXT(OrganizedData[[#This Row],[Order Date]],"mmm")</f>
        <v>Jan</v>
      </c>
      <c r="M2191" s="2">
        <v>13</v>
      </c>
      <c r="N2191" s="2" t="s">
        <v>39</v>
      </c>
      <c r="O2191" s="2" t="str">
        <f>VLOOKUP(OrganizedData[[#This Row],[Product Code]],ProductData[[Code]:[Item]],2,FALSE)</f>
        <v>Ultrathing V1</v>
      </c>
      <c r="P2191" s="4">
        <f>OrganizedData[[#This Row],[Quantity]]*VLOOKUP(OrganizedData[[#This Row],[Product Code]],ProductData[],4,FALSE)</f>
        <v>221</v>
      </c>
      <c r="Q2191" s="6">
        <f>OrganizedData[[#This Row],[Total Items Ordered]]*VLOOKUP(OrganizedData[[#This Row],[Product Code]],ProductData[],3,FALSE)</f>
        <v>395.59000000000003</v>
      </c>
      <c r="R21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395.59000000000003</v>
      </c>
    </row>
    <row r="2192" spans="1:18" x14ac:dyDescent="0.3">
      <c r="A2192" s="2">
        <v>2185</v>
      </c>
      <c r="B2192" s="2" t="s">
        <v>6051</v>
      </c>
      <c r="C2192" s="2" t="s">
        <v>821</v>
      </c>
      <c r="D2192" s="2" t="s">
        <v>51</v>
      </c>
      <c r="E2192" s="2" t="s">
        <v>16</v>
      </c>
      <c r="F2192" s="2">
        <v>90</v>
      </c>
      <c r="G2192" s="2" t="s">
        <v>6049</v>
      </c>
      <c r="H2192" s="2" t="s">
        <v>389</v>
      </c>
      <c r="I2192" s="2" t="s">
        <v>32</v>
      </c>
      <c r="J2192" s="3">
        <v>44149</v>
      </c>
      <c r="K2192" s="5">
        <f>YEAR(OrganizedData[[#This Row],[Order Date]])</f>
        <v>2020</v>
      </c>
      <c r="L2192" s="7" t="str">
        <f>TEXT(OrganizedData[[#This Row],[Order Date]],"mmm")</f>
        <v>Nov</v>
      </c>
      <c r="M2192" s="2">
        <v>62</v>
      </c>
      <c r="N2192" s="2" t="s">
        <v>64</v>
      </c>
      <c r="O2192" s="2" t="str">
        <f>VLOOKUP(OrganizedData[[#This Row],[Product Code]],ProductData[[Code]:[Item]],2,FALSE)</f>
        <v>Ultrathing V4</v>
      </c>
      <c r="P2192" s="4">
        <f>OrganizedData[[#This Row],[Quantity]]*VLOOKUP(OrganizedData[[#This Row],[Product Code]],ProductData[],4,FALSE)</f>
        <v>1488</v>
      </c>
      <c r="Q2192" s="6">
        <f>OrganizedData[[#This Row],[Total Items Ordered]]*VLOOKUP(OrganizedData[[#This Row],[Product Code]],ProductData[],3,FALSE)</f>
        <v>5937.12</v>
      </c>
      <c r="R21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2193" spans="1:18" x14ac:dyDescent="0.3">
      <c r="A2193" s="2">
        <v>2186</v>
      </c>
      <c r="B2193" s="2" t="s">
        <v>1015</v>
      </c>
      <c r="C2193" s="2" t="s">
        <v>3173</v>
      </c>
      <c r="D2193" s="2" t="s">
        <v>28</v>
      </c>
      <c r="E2193" s="2" t="s">
        <v>29</v>
      </c>
      <c r="F2193" s="2">
        <v>30</v>
      </c>
      <c r="G2193" s="2" t="s">
        <v>6052</v>
      </c>
      <c r="H2193" s="2" t="s">
        <v>5283</v>
      </c>
      <c r="I2193" s="2" t="s">
        <v>32</v>
      </c>
      <c r="J2193" s="3">
        <v>44171</v>
      </c>
      <c r="K2193" s="5">
        <f>YEAR(OrganizedData[[#This Row],[Order Date]])</f>
        <v>2020</v>
      </c>
      <c r="L2193" s="7" t="str">
        <f>TEXT(OrganizedData[[#This Row],[Order Date]],"mmm")</f>
        <v>Dec</v>
      </c>
      <c r="M2193" s="2">
        <v>80</v>
      </c>
      <c r="N2193" s="2" t="s">
        <v>159</v>
      </c>
      <c r="O2193" s="2" t="str">
        <f>VLOOKUP(OrganizedData[[#This Row],[Product Code]],ProductData[[Code]:[Item]],2,FALSE)</f>
        <v>Ultrathing V3</v>
      </c>
      <c r="P2193" s="4">
        <f>OrganizedData[[#This Row],[Quantity]]*VLOOKUP(OrganizedData[[#This Row],[Product Code]],ProductData[],4,FALSE)</f>
        <v>1920</v>
      </c>
      <c r="Q2193" s="6">
        <f>OrganizedData[[#This Row],[Total Items Ordered]]*VLOOKUP(OrganizedData[[#This Row],[Product Code]],ProductData[],3,FALSE)</f>
        <v>6508.8</v>
      </c>
      <c r="R21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6183.36</v>
      </c>
    </row>
    <row r="2194" spans="1:18" x14ac:dyDescent="0.3">
      <c r="A2194" s="2">
        <v>2187</v>
      </c>
      <c r="B2194" s="2" t="s">
        <v>994</v>
      </c>
      <c r="C2194" s="2" t="s">
        <v>3581</v>
      </c>
      <c r="D2194" s="2" t="s">
        <v>28</v>
      </c>
      <c r="E2194" s="2" t="s">
        <v>29</v>
      </c>
      <c r="F2194" s="2">
        <v>60</v>
      </c>
      <c r="G2194" s="2" t="s">
        <v>6053</v>
      </c>
      <c r="H2194" s="2" t="s">
        <v>3041</v>
      </c>
      <c r="I2194" s="2" t="s">
        <v>124</v>
      </c>
      <c r="J2194" s="3">
        <v>43896</v>
      </c>
      <c r="K2194" s="5">
        <f>YEAR(OrganizedData[[#This Row],[Order Date]])</f>
        <v>2020</v>
      </c>
      <c r="L2194" s="7" t="str">
        <f>TEXT(OrganizedData[[#This Row],[Order Date]],"mmm")</f>
        <v>Mar</v>
      </c>
      <c r="M2194" s="2">
        <v>7</v>
      </c>
      <c r="N2194" s="2" t="s">
        <v>70</v>
      </c>
      <c r="O2194" s="2" t="str">
        <f>VLOOKUP(OrganizedData[[#This Row],[Product Code]],ProductData[[Code]:[Item]],2,FALSE)</f>
        <v>Megawidget M</v>
      </c>
      <c r="P2194" s="4">
        <f>OrganizedData[[#This Row],[Quantity]]*VLOOKUP(OrganizedData[[#This Row],[Product Code]],ProductData[],4,FALSE)</f>
        <v>168</v>
      </c>
      <c r="Q2194" s="6">
        <f>OrganizedData[[#This Row],[Total Items Ordered]]*VLOOKUP(OrganizedData[[#This Row],[Product Code]],ProductData[],3,FALSE)</f>
        <v>216.72</v>
      </c>
      <c r="R21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216.72</v>
      </c>
    </row>
    <row r="2195" spans="1:18" x14ac:dyDescent="0.3">
      <c r="A2195" s="2">
        <v>2188</v>
      </c>
      <c r="B2195" s="2" t="s">
        <v>6054</v>
      </c>
      <c r="C2195" s="2" t="s">
        <v>6055</v>
      </c>
      <c r="D2195" s="2" t="s">
        <v>15</v>
      </c>
      <c r="E2195" s="2" t="s">
        <v>16</v>
      </c>
      <c r="F2195" s="2">
        <v>90</v>
      </c>
      <c r="G2195" s="2" t="s">
        <v>6056</v>
      </c>
      <c r="H2195" s="2" t="s">
        <v>3384</v>
      </c>
      <c r="I2195" s="2" t="s">
        <v>32</v>
      </c>
      <c r="J2195" s="3">
        <v>44080</v>
      </c>
      <c r="K2195" s="5">
        <f>YEAR(OrganizedData[[#This Row],[Order Date]])</f>
        <v>2020</v>
      </c>
      <c r="L2195" s="7" t="str">
        <f>TEXT(OrganizedData[[#This Row],[Order Date]],"mmm")</f>
        <v>Sep</v>
      </c>
      <c r="M2195" s="2">
        <v>2</v>
      </c>
      <c r="N2195" s="2" t="s">
        <v>159</v>
      </c>
      <c r="O2195" s="2" t="str">
        <f>VLOOKUP(OrganizedData[[#This Row],[Product Code]],ProductData[[Code]:[Item]],2,FALSE)</f>
        <v>Ultrathing V3</v>
      </c>
      <c r="P2195" s="4">
        <f>OrganizedData[[#This Row],[Quantity]]*VLOOKUP(OrganizedData[[#This Row],[Product Code]],ProductData[],4,FALSE)</f>
        <v>48</v>
      </c>
      <c r="Q2195" s="6">
        <f>OrganizedData[[#This Row],[Total Items Ordered]]*VLOOKUP(OrganizedData[[#This Row],[Product Code]],ProductData[],3,FALSE)</f>
        <v>162.72</v>
      </c>
      <c r="R21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162.72</v>
      </c>
    </row>
    <row r="2196" spans="1:18" x14ac:dyDescent="0.3">
      <c r="A2196" s="2">
        <v>2189</v>
      </c>
      <c r="B2196" s="2" t="s">
        <v>6057</v>
      </c>
      <c r="C2196" s="2" t="s">
        <v>873</v>
      </c>
      <c r="D2196" s="2" t="s">
        <v>117</v>
      </c>
      <c r="E2196" s="2" t="s">
        <v>29</v>
      </c>
      <c r="F2196" s="2">
        <v>90</v>
      </c>
      <c r="G2196" s="2" t="s">
        <v>6058</v>
      </c>
      <c r="H2196" s="2" t="s">
        <v>6059</v>
      </c>
      <c r="I2196" s="2" t="s">
        <v>32</v>
      </c>
      <c r="J2196" s="3">
        <v>44451</v>
      </c>
      <c r="K2196" s="5">
        <f>YEAR(OrganizedData[[#This Row],[Order Date]])</f>
        <v>2021</v>
      </c>
      <c r="L2196" s="7" t="str">
        <f>TEXT(OrganizedData[[#This Row],[Order Date]],"mmm")</f>
        <v>Sep</v>
      </c>
      <c r="M2196" s="2">
        <v>76</v>
      </c>
      <c r="N2196" s="2" t="s">
        <v>70</v>
      </c>
      <c r="O2196" s="2" t="str">
        <f>VLOOKUP(OrganizedData[[#This Row],[Product Code]],ProductData[[Code]:[Item]],2,FALSE)</f>
        <v>Megawidget M</v>
      </c>
      <c r="P2196" s="4">
        <f>OrganizedData[[#This Row],[Quantity]]*VLOOKUP(OrganizedData[[#This Row],[Product Code]],ProductData[],4,FALSE)</f>
        <v>1824</v>
      </c>
      <c r="Q2196" s="6">
        <f>OrganizedData[[#This Row],[Total Items Ordered]]*VLOOKUP(OrganizedData[[#This Row],[Product Code]],ProductData[],3,FALSE)</f>
        <v>2352.96</v>
      </c>
      <c r="R21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2197" spans="1:18" x14ac:dyDescent="0.3">
      <c r="A2197" s="2">
        <v>2190</v>
      </c>
      <c r="B2197" s="2" t="s">
        <v>3699</v>
      </c>
      <c r="C2197" s="2" t="s">
        <v>841</v>
      </c>
      <c r="D2197" s="2" t="s">
        <v>28</v>
      </c>
      <c r="E2197" s="2" t="s">
        <v>29</v>
      </c>
      <c r="F2197" s="2">
        <v>60</v>
      </c>
      <c r="G2197" s="2" t="s">
        <v>6060</v>
      </c>
      <c r="H2197" s="2" t="s">
        <v>5207</v>
      </c>
      <c r="I2197" s="2" t="s">
        <v>38</v>
      </c>
      <c r="J2197" s="3">
        <v>44638</v>
      </c>
      <c r="K2197" s="5">
        <f>YEAR(OrganizedData[[#This Row],[Order Date]])</f>
        <v>2022</v>
      </c>
      <c r="L2197" s="7" t="str">
        <f>TEXT(OrganizedData[[#This Row],[Order Date]],"mmm")</f>
        <v>Mar</v>
      </c>
      <c r="M2197" s="2">
        <v>18</v>
      </c>
      <c r="N2197" s="2" t="s">
        <v>33</v>
      </c>
      <c r="O2197" s="2" t="str">
        <f>VLOOKUP(OrganizedData[[#This Row],[Product Code]],ProductData[[Code]:[Item]],2,FALSE)</f>
        <v>Megawidget L</v>
      </c>
      <c r="P2197" s="4">
        <f>OrganizedData[[#This Row],[Quantity]]*VLOOKUP(OrganizedData[[#This Row],[Product Code]],ProductData[],4,FALSE)</f>
        <v>432</v>
      </c>
      <c r="Q2197" s="6">
        <f>OrganizedData[[#This Row],[Total Items Ordered]]*VLOOKUP(OrganizedData[[#This Row],[Product Code]],ProductData[],3,FALSE)</f>
        <v>773.28</v>
      </c>
      <c r="R21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773.28</v>
      </c>
    </row>
    <row r="2198" spans="1:18" x14ac:dyDescent="0.3">
      <c r="A2198" s="2">
        <v>2191</v>
      </c>
      <c r="B2198" s="2" t="s">
        <v>3588</v>
      </c>
      <c r="C2198" s="2" t="s">
        <v>2883</v>
      </c>
      <c r="D2198" s="2" t="s">
        <v>28</v>
      </c>
      <c r="E2198" s="2" t="s">
        <v>29</v>
      </c>
      <c r="F2198" s="2">
        <v>60</v>
      </c>
      <c r="G2198" s="2" t="s">
        <v>6061</v>
      </c>
      <c r="H2198" s="2" t="s">
        <v>3263</v>
      </c>
      <c r="I2198" s="2" t="s">
        <v>32</v>
      </c>
      <c r="J2198" s="3">
        <v>44731</v>
      </c>
      <c r="K2198" s="5">
        <f>YEAR(OrganizedData[[#This Row],[Order Date]])</f>
        <v>2022</v>
      </c>
      <c r="L2198" s="7" t="str">
        <f>TEXT(OrganizedData[[#This Row],[Order Date]],"mmm")</f>
        <v>Jun</v>
      </c>
      <c r="M2198" s="2">
        <v>70</v>
      </c>
      <c r="N2198" s="2" t="s">
        <v>64</v>
      </c>
      <c r="O2198" s="2" t="str">
        <f>VLOOKUP(OrganizedData[[#This Row],[Product Code]],ProductData[[Code]:[Item]],2,FALSE)</f>
        <v>Ultrathing V4</v>
      </c>
      <c r="P2198" s="4">
        <f>OrganizedData[[#This Row],[Quantity]]*VLOOKUP(OrganizedData[[#This Row],[Product Code]],ProductData[],4,FALSE)</f>
        <v>1680</v>
      </c>
      <c r="Q2198" s="6">
        <f>OrganizedData[[#This Row],[Total Items Ordered]]*VLOOKUP(OrganizedData[[#This Row],[Product Code]],ProductData[],3,FALSE)</f>
        <v>6703.2000000000007</v>
      </c>
      <c r="R21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6368.04</v>
      </c>
    </row>
    <row r="2199" spans="1:18" x14ac:dyDescent="0.3">
      <c r="A2199" s="2">
        <v>2192</v>
      </c>
      <c r="B2199" s="2" t="s">
        <v>232</v>
      </c>
      <c r="C2199" s="2" t="s">
        <v>6062</v>
      </c>
      <c r="D2199" s="2" t="s">
        <v>28</v>
      </c>
      <c r="E2199" s="2" t="s">
        <v>29</v>
      </c>
      <c r="F2199" s="2">
        <v>60</v>
      </c>
      <c r="G2199" s="2" t="s">
        <v>6063</v>
      </c>
      <c r="H2199" s="2" t="s">
        <v>1594</v>
      </c>
      <c r="I2199" s="2" t="s">
        <v>178</v>
      </c>
      <c r="J2199" s="3">
        <v>44359</v>
      </c>
      <c r="K2199" s="5">
        <f>YEAR(OrganizedData[[#This Row],[Order Date]])</f>
        <v>2021</v>
      </c>
      <c r="L2199" s="7" t="str">
        <f>TEXT(OrganizedData[[#This Row],[Order Date]],"mmm")</f>
        <v>Jun</v>
      </c>
      <c r="M2199" s="2">
        <v>19</v>
      </c>
      <c r="N2199" s="2" t="s">
        <v>159</v>
      </c>
      <c r="O2199" s="2" t="str">
        <f>VLOOKUP(OrganizedData[[#This Row],[Product Code]],ProductData[[Code]:[Item]],2,FALSE)</f>
        <v>Ultrathing V3</v>
      </c>
      <c r="P2199" s="4">
        <f>OrganizedData[[#This Row],[Quantity]]*VLOOKUP(OrganizedData[[#This Row],[Product Code]],ProductData[],4,FALSE)</f>
        <v>456</v>
      </c>
      <c r="Q2199" s="6">
        <f>OrganizedData[[#This Row],[Total Items Ordered]]*VLOOKUP(OrganizedData[[#This Row],[Product Code]],ProductData[],3,FALSE)</f>
        <v>1545.8400000000001</v>
      </c>
      <c r="R21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1545.8400000000001</v>
      </c>
    </row>
    <row r="2200" spans="1:18" x14ac:dyDescent="0.3">
      <c r="A2200" s="2">
        <v>2193</v>
      </c>
      <c r="B2200" s="2" t="s">
        <v>6064</v>
      </c>
      <c r="C2200" s="2" t="s">
        <v>6065</v>
      </c>
      <c r="D2200" s="2" t="s">
        <v>15</v>
      </c>
      <c r="E2200" s="2" t="s">
        <v>16</v>
      </c>
      <c r="F2200" s="2">
        <v>30</v>
      </c>
      <c r="G2200" s="2" t="s">
        <v>6066</v>
      </c>
      <c r="H2200" s="2" t="s">
        <v>3870</v>
      </c>
      <c r="I2200" s="2" t="s">
        <v>124</v>
      </c>
      <c r="J2200" s="3">
        <v>43957</v>
      </c>
      <c r="K2200" s="5">
        <f>YEAR(OrganizedData[[#This Row],[Order Date]])</f>
        <v>2020</v>
      </c>
      <c r="L2200" s="7" t="str">
        <f>TEXT(OrganizedData[[#This Row],[Order Date]],"mmm")</f>
        <v>May</v>
      </c>
      <c r="M2200" s="2">
        <v>77</v>
      </c>
      <c r="N2200" s="2" t="s">
        <v>39</v>
      </c>
      <c r="O2200" s="2" t="str">
        <f>VLOOKUP(OrganizedData[[#This Row],[Product Code]],ProductData[[Code]:[Item]],2,FALSE)</f>
        <v>Ultrathing V1</v>
      </c>
      <c r="P2200" s="4">
        <f>OrganizedData[[#This Row],[Quantity]]*VLOOKUP(OrganizedData[[#This Row],[Product Code]],ProductData[],4,FALSE)</f>
        <v>1309</v>
      </c>
      <c r="Q2200" s="6">
        <f>OrganizedData[[#This Row],[Total Items Ordered]]*VLOOKUP(OrganizedData[[#This Row],[Product Code]],ProductData[],3,FALSE)</f>
        <v>2343.11</v>
      </c>
      <c r="R22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2201" spans="1:18" x14ac:dyDescent="0.3">
      <c r="A2201" s="2">
        <v>2194</v>
      </c>
      <c r="B2201" s="2" t="s">
        <v>6067</v>
      </c>
      <c r="C2201" s="2" t="s">
        <v>605</v>
      </c>
      <c r="D2201" s="2" t="s">
        <v>51</v>
      </c>
      <c r="E2201" s="2" t="s">
        <v>16</v>
      </c>
      <c r="F2201" s="2">
        <v>30</v>
      </c>
      <c r="G2201" s="2" t="s">
        <v>6068</v>
      </c>
      <c r="H2201" s="2" t="s">
        <v>6069</v>
      </c>
      <c r="I2201" s="2" t="s">
        <v>294</v>
      </c>
      <c r="J2201" s="3">
        <v>43915</v>
      </c>
      <c r="K2201" s="5">
        <f>YEAR(OrganizedData[[#This Row],[Order Date]])</f>
        <v>2020</v>
      </c>
      <c r="L2201" s="7" t="str">
        <f>TEXT(OrganizedData[[#This Row],[Order Date]],"mmm")</f>
        <v>Mar</v>
      </c>
      <c r="M2201" s="2">
        <v>45</v>
      </c>
      <c r="N2201" s="2" t="s">
        <v>33</v>
      </c>
      <c r="O2201" s="2" t="str">
        <f>VLOOKUP(OrganizedData[[#This Row],[Product Code]],ProductData[[Code]:[Item]],2,FALSE)</f>
        <v>Megawidget L</v>
      </c>
      <c r="P2201" s="4">
        <f>OrganizedData[[#This Row],[Quantity]]*VLOOKUP(OrganizedData[[#This Row],[Product Code]],ProductData[],4,FALSE)</f>
        <v>1080</v>
      </c>
      <c r="Q2201" s="6">
        <f>OrganizedData[[#This Row],[Total Items Ordered]]*VLOOKUP(OrganizedData[[#This Row],[Product Code]],ProductData[],3,FALSE)</f>
        <v>1933.2</v>
      </c>
      <c r="R22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2202" spans="1:18" x14ac:dyDescent="0.3">
      <c r="A2202" s="2">
        <v>2195</v>
      </c>
      <c r="B2202" s="2" t="s">
        <v>6070</v>
      </c>
      <c r="C2202" s="2" t="s">
        <v>4444</v>
      </c>
      <c r="D2202" s="2" t="s">
        <v>15</v>
      </c>
      <c r="E2202" s="2" t="s">
        <v>16</v>
      </c>
      <c r="F2202" s="2">
        <v>60</v>
      </c>
      <c r="G2202" s="2" t="s">
        <v>6071</v>
      </c>
      <c r="H2202" s="2" t="s">
        <v>2864</v>
      </c>
      <c r="I2202" s="2" t="s">
        <v>187</v>
      </c>
      <c r="J2202" s="3">
        <v>44749</v>
      </c>
      <c r="K2202" s="5">
        <f>YEAR(OrganizedData[[#This Row],[Order Date]])</f>
        <v>2022</v>
      </c>
      <c r="L2202" s="7" t="str">
        <f>TEXT(OrganizedData[[#This Row],[Order Date]],"mmm")</f>
        <v>Jul</v>
      </c>
      <c r="M2202" s="2">
        <v>76</v>
      </c>
      <c r="N2202" s="2" t="s">
        <v>101</v>
      </c>
      <c r="O2202" s="2" t="str">
        <f>VLOOKUP(OrganizedData[[#This Row],[Product Code]],ProductData[[Code]:[Item]],2,FALSE)</f>
        <v>Superwossname</v>
      </c>
      <c r="P2202" s="4">
        <f>OrganizedData[[#This Row],[Quantity]]*VLOOKUP(OrganizedData[[#This Row],[Product Code]],ProductData[],4,FALSE)</f>
        <v>1520</v>
      </c>
      <c r="Q2202" s="6">
        <f>OrganizedData[[#This Row],[Total Items Ordered]]*VLOOKUP(OrganizedData[[#This Row],[Product Code]],ProductData[],3,FALSE)</f>
        <v>5304.8</v>
      </c>
      <c r="R22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5039.5599999999995</v>
      </c>
    </row>
    <row r="2203" spans="1:18" x14ac:dyDescent="0.3">
      <c r="A2203" s="2">
        <v>2196</v>
      </c>
      <c r="B2203" s="2" t="s">
        <v>6072</v>
      </c>
      <c r="C2203" s="2" t="s">
        <v>6073</v>
      </c>
      <c r="D2203" s="2" t="s">
        <v>28</v>
      </c>
      <c r="E2203" s="2" t="s">
        <v>29</v>
      </c>
      <c r="F2203" s="2">
        <v>90</v>
      </c>
      <c r="G2203" s="2" t="s">
        <v>6074</v>
      </c>
      <c r="H2203" s="2" t="s">
        <v>224</v>
      </c>
      <c r="I2203" s="2" t="s">
        <v>124</v>
      </c>
      <c r="J2203" s="3">
        <v>44646</v>
      </c>
      <c r="K2203" s="5">
        <f>YEAR(OrganizedData[[#This Row],[Order Date]])</f>
        <v>2022</v>
      </c>
      <c r="L2203" s="7" t="str">
        <f>TEXT(OrganizedData[[#This Row],[Order Date]],"mmm")</f>
        <v>Mar</v>
      </c>
      <c r="M2203" s="2">
        <v>81</v>
      </c>
      <c r="N2203" s="2" t="s">
        <v>33</v>
      </c>
      <c r="O2203" s="2" t="str">
        <f>VLOOKUP(OrganizedData[[#This Row],[Product Code]],ProductData[[Code]:[Item]],2,FALSE)</f>
        <v>Megawidget L</v>
      </c>
      <c r="P2203" s="4">
        <f>OrganizedData[[#This Row],[Quantity]]*VLOOKUP(OrganizedData[[#This Row],[Product Code]],ProductData[],4,FALSE)</f>
        <v>1944</v>
      </c>
      <c r="Q2203" s="6">
        <f>OrganizedData[[#This Row],[Total Items Ordered]]*VLOOKUP(OrganizedData[[#This Row],[Product Code]],ProductData[],3,FALSE)</f>
        <v>3479.76</v>
      </c>
      <c r="R22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3305.7719999999999</v>
      </c>
    </row>
    <row r="2204" spans="1:18" x14ac:dyDescent="0.3">
      <c r="A2204" s="2">
        <v>2197</v>
      </c>
      <c r="B2204" s="2" t="s">
        <v>6075</v>
      </c>
      <c r="C2204" s="2" t="s">
        <v>6076</v>
      </c>
      <c r="D2204" s="2" t="s">
        <v>28</v>
      </c>
      <c r="E2204" s="2" t="s">
        <v>29</v>
      </c>
      <c r="F2204" s="2">
        <v>90</v>
      </c>
      <c r="G2204" s="2" t="s">
        <v>6077</v>
      </c>
      <c r="H2204" s="2" t="s">
        <v>1111</v>
      </c>
      <c r="I2204" s="2" t="s">
        <v>32</v>
      </c>
      <c r="J2204" s="3">
        <v>44532</v>
      </c>
      <c r="K2204" s="5">
        <f>YEAR(OrganizedData[[#This Row],[Order Date]])</f>
        <v>2021</v>
      </c>
      <c r="L2204" s="7" t="str">
        <f>TEXT(OrganizedData[[#This Row],[Order Date]],"mmm")</f>
        <v>Dec</v>
      </c>
      <c r="M2204" s="2">
        <v>47</v>
      </c>
      <c r="N2204" s="2" t="s">
        <v>20</v>
      </c>
      <c r="O2204" s="2" t="str">
        <f>VLOOKUP(OrganizedData[[#This Row],[Product Code]],ProductData[[Code]:[Item]],2,FALSE)</f>
        <v>Hyperwotsit</v>
      </c>
      <c r="P2204" s="4">
        <f>OrganizedData[[#This Row],[Quantity]]*VLOOKUP(OrganizedData[[#This Row],[Product Code]],ProductData[],4,FALSE)</f>
        <v>940</v>
      </c>
      <c r="Q2204" s="6">
        <f>OrganizedData[[#This Row],[Total Items Ordered]]*VLOOKUP(OrganizedData[[#This Row],[Product Code]],ProductData[],3,FALSE)</f>
        <v>1889.3999999999999</v>
      </c>
      <c r="R22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2205" spans="1:18" x14ac:dyDescent="0.3">
      <c r="A2205" s="2">
        <v>2198</v>
      </c>
      <c r="B2205" s="2" t="s">
        <v>4590</v>
      </c>
      <c r="C2205" s="2" t="s">
        <v>6078</v>
      </c>
      <c r="D2205" s="2" t="s">
        <v>51</v>
      </c>
      <c r="E2205" s="2" t="s">
        <v>16</v>
      </c>
      <c r="F2205" s="2">
        <v>90</v>
      </c>
      <c r="G2205" s="2" t="s">
        <v>6079</v>
      </c>
      <c r="H2205" s="2" t="s">
        <v>6080</v>
      </c>
      <c r="I2205" s="2" t="s">
        <v>32</v>
      </c>
      <c r="J2205" s="3">
        <v>44195</v>
      </c>
      <c r="K2205" s="5">
        <f>YEAR(OrganizedData[[#This Row],[Order Date]])</f>
        <v>2020</v>
      </c>
      <c r="L2205" s="7" t="str">
        <f>TEXT(OrganizedData[[#This Row],[Order Date]],"mmm")</f>
        <v>Dec</v>
      </c>
      <c r="M2205" s="2">
        <v>33</v>
      </c>
      <c r="N2205" s="2" t="s">
        <v>45</v>
      </c>
      <c r="O2205" s="2" t="str">
        <f>VLOOKUP(OrganizedData[[#This Row],[Product Code]],ProductData[[Code]:[Item]],2,FALSE)</f>
        <v>Gigastuff</v>
      </c>
      <c r="P2205" s="4">
        <f>OrganizedData[[#This Row],[Quantity]]*VLOOKUP(OrganizedData[[#This Row],[Product Code]],ProductData[],4,FALSE)</f>
        <v>594</v>
      </c>
      <c r="Q2205" s="6">
        <f>OrganizedData[[#This Row],[Total Items Ordered]]*VLOOKUP(OrganizedData[[#This Row],[Product Code]],ProductData[],3,FALSE)</f>
        <v>1122.6599999999999</v>
      </c>
      <c r="R22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2206" spans="1:18" x14ac:dyDescent="0.3">
      <c r="A2206" s="2">
        <v>2199</v>
      </c>
      <c r="B2206" s="2" t="s">
        <v>6081</v>
      </c>
      <c r="C2206" s="2" t="s">
        <v>6082</v>
      </c>
      <c r="D2206" s="2" t="s">
        <v>51</v>
      </c>
      <c r="E2206" s="2" t="s">
        <v>16</v>
      </c>
      <c r="F2206" s="2">
        <v>30</v>
      </c>
      <c r="G2206" s="2" t="s">
        <v>6083</v>
      </c>
      <c r="H2206" s="2" t="s">
        <v>370</v>
      </c>
      <c r="I2206" s="2" t="s">
        <v>32</v>
      </c>
      <c r="J2206" s="3">
        <v>44390</v>
      </c>
      <c r="K2206" s="5">
        <f>YEAR(OrganizedData[[#This Row],[Order Date]])</f>
        <v>2021</v>
      </c>
      <c r="L2206" s="7" t="str">
        <f>TEXT(OrganizedData[[#This Row],[Order Date]],"mmm")</f>
        <v>Jul</v>
      </c>
      <c r="M2206" s="2">
        <v>3</v>
      </c>
      <c r="N2206" s="2" t="s">
        <v>80</v>
      </c>
      <c r="O2206" s="2" t="str">
        <f>VLOOKUP(OrganizedData[[#This Row],[Product Code]],ProductData[[Code]:[Item]],2,FALSE)</f>
        <v>Ultrathing V2</v>
      </c>
      <c r="P2206" s="4">
        <f>OrganizedData[[#This Row],[Quantity]]*VLOOKUP(OrganizedData[[#This Row],[Product Code]],ProductData[],4,FALSE)</f>
        <v>60</v>
      </c>
      <c r="Q2206" s="6">
        <f>OrganizedData[[#This Row],[Total Items Ordered]]*VLOOKUP(OrganizedData[[#This Row],[Product Code]],ProductData[],3,FALSE)</f>
        <v>177</v>
      </c>
      <c r="R22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v>
      </c>
    </row>
    <row r="2207" spans="1:18" x14ac:dyDescent="0.3">
      <c r="A2207" s="2">
        <v>2200</v>
      </c>
      <c r="B2207" s="2" t="s">
        <v>6084</v>
      </c>
      <c r="C2207" s="2" t="s">
        <v>6085</v>
      </c>
      <c r="D2207" s="2" t="s">
        <v>51</v>
      </c>
      <c r="E2207" s="2" t="s">
        <v>16</v>
      </c>
      <c r="F2207" s="2">
        <v>30</v>
      </c>
      <c r="G2207" s="2" t="s">
        <v>6086</v>
      </c>
      <c r="H2207" s="2" t="s">
        <v>6087</v>
      </c>
      <c r="I2207" s="2" t="s">
        <v>124</v>
      </c>
      <c r="J2207" s="3">
        <v>44143</v>
      </c>
      <c r="K2207" s="5">
        <f>YEAR(OrganizedData[[#This Row],[Order Date]])</f>
        <v>2020</v>
      </c>
      <c r="L2207" s="7" t="str">
        <f>TEXT(OrganizedData[[#This Row],[Order Date]],"mmm")</f>
        <v>Nov</v>
      </c>
      <c r="M2207" s="2">
        <v>46</v>
      </c>
      <c r="N2207" s="2" t="s">
        <v>39</v>
      </c>
      <c r="O2207" s="2" t="str">
        <f>VLOOKUP(OrganizedData[[#This Row],[Product Code]],ProductData[[Code]:[Item]],2,FALSE)</f>
        <v>Ultrathing V1</v>
      </c>
      <c r="P2207" s="4">
        <f>OrganizedData[[#This Row],[Quantity]]*VLOOKUP(OrganizedData[[#This Row],[Product Code]],ProductData[],4,FALSE)</f>
        <v>782</v>
      </c>
      <c r="Q2207" s="6">
        <f>OrganizedData[[#This Row],[Total Items Ordered]]*VLOOKUP(OrganizedData[[#This Row],[Product Code]],ProductData[],3,FALSE)</f>
        <v>1399.78</v>
      </c>
      <c r="R22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2208" spans="1:18" x14ac:dyDescent="0.3">
      <c r="A2208" s="2">
        <v>2201</v>
      </c>
      <c r="B2208" s="2" t="s">
        <v>6088</v>
      </c>
      <c r="C2208" s="2" t="s">
        <v>6089</v>
      </c>
      <c r="D2208" s="2" t="s">
        <v>28</v>
      </c>
      <c r="E2208" s="2" t="s">
        <v>29</v>
      </c>
      <c r="F2208" s="2">
        <v>60</v>
      </c>
      <c r="G2208" s="2" t="s">
        <v>6090</v>
      </c>
      <c r="H2208" s="2" t="s">
        <v>3424</v>
      </c>
      <c r="I2208" s="2" t="s">
        <v>32</v>
      </c>
      <c r="J2208" s="3">
        <v>44603</v>
      </c>
      <c r="K2208" s="5">
        <f>YEAR(OrganizedData[[#This Row],[Order Date]])</f>
        <v>2022</v>
      </c>
      <c r="L2208" s="7" t="str">
        <f>TEXT(OrganizedData[[#This Row],[Order Date]],"mmm")</f>
        <v>Feb</v>
      </c>
      <c r="M2208" s="2">
        <v>62</v>
      </c>
      <c r="N2208" s="2" t="s">
        <v>39</v>
      </c>
      <c r="O2208" s="2" t="str">
        <f>VLOOKUP(OrganizedData[[#This Row],[Product Code]],ProductData[[Code]:[Item]],2,FALSE)</f>
        <v>Ultrathing V1</v>
      </c>
      <c r="P2208" s="4">
        <f>OrganizedData[[#This Row],[Quantity]]*VLOOKUP(OrganizedData[[#This Row],[Product Code]],ProductData[],4,FALSE)</f>
        <v>1054</v>
      </c>
      <c r="Q2208" s="6">
        <f>OrganizedData[[#This Row],[Total Items Ordered]]*VLOOKUP(OrganizedData[[#This Row],[Product Code]],ProductData[],3,FALSE)</f>
        <v>1886.66</v>
      </c>
      <c r="R22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1792.327</v>
      </c>
    </row>
    <row r="2209" spans="1:18" x14ac:dyDescent="0.3">
      <c r="A2209" s="2">
        <v>2202</v>
      </c>
      <c r="B2209" s="2" t="s">
        <v>6091</v>
      </c>
      <c r="C2209" s="2" t="s">
        <v>5214</v>
      </c>
      <c r="D2209" s="2" t="s">
        <v>15</v>
      </c>
      <c r="E2209" s="2" t="s">
        <v>16</v>
      </c>
      <c r="F2209" s="2">
        <v>30</v>
      </c>
      <c r="G2209" s="2" t="s">
        <v>10519</v>
      </c>
      <c r="H2209" s="2" t="s">
        <v>3134</v>
      </c>
      <c r="I2209" s="2" t="s">
        <v>294</v>
      </c>
      <c r="J2209" s="3">
        <v>44064</v>
      </c>
      <c r="K2209" s="5">
        <f>YEAR(OrganizedData[[#This Row],[Order Date]])</f>
        <v>2020</v>
      </c>
      <c r="L2209" s="7" t="str">
        <f>TEXT(OrganizedData[[#This Row],[Order Date]],"mmm")</f>
        <v>Aug</v>
      </c>
      <c r="M2209" s="2">
        <v>64</v>
      </c>
      <c r="N2209" s="2" t="s">
        <v>54</v>
      </c>
      <c r="O2209" s="2" t="str">
        <f>VLOOKUP(OrganizedData[[#This Row],[Product Code]],ProductData[[Code]:[Item]],2,FALSE)</f>
        <v>Megawidget S</v>
      </c>
      <c r="P2209" s="4">
        <f>OrganizedData[[#This Row],[Quantity]]*VLOOKUP(OrganizedData[[#This Row],[Product Code]],ProductData[],4,FALSE)</f>
        <v>1536</v>
      </c>
      <c r="Q2209" s="6">
        <f>OrganizedData[[#This Row],[Total Items Ordered]]*VLOOKUP(OrganizedData[[#This Row],[Product Code]],ProductData[],3,FALSE)</f>
        <v>1059.8399999999999</v>
      </c>
      <c r="R22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1006.8479999999998</v>
      </c>
    </row>
    <row r="2210" spans="1:18" x14ac:dyDescent="0.3">
      <c r="A2210" s="2">
        <v>2203</v>
      </c>
      <c r="B2210" s="2" t="s">
        <v>1661</v>
      </c>
      <c r="C2210" s="2" t="s">
        <v>6093</v>
      </c>
      <c r="D2210" s="2" t="s">
        <v>28</v>
      </c>
      <c r="E2210" s="2" t="s">
        <v>29</v>
      </c>
      <c r="F2210" s="2">
        <v>30</v>
      </c>
      <c r="G2210" s="2" t="s">
        <v>6094</v>
      </c>
      <c r="H2210" s="2" t="s">
        <v>43</v>
      </c>
      <c r="I2210" s="2" t="s">
        <v>44</v>
      </c>
      <c r="J2210" s="3">
        <v>44378</v>
      </c>
      <c r="K2210" s="5">
        <f>YEAR(OrganizedData[[#This Row],[Order Date]])</f>
        <v>2021</v>
      </c>
      <c r="L2210" s="7" t="str">
        <f>TEXT(OrganizedData[[#This Row],[Order Date]],"mmm")</f>
        <v>Jul</v>
      </c>
      <c r="M2210" s="2">
        <v>26</v>
      </c>
      <c r="N2210" s="2" t="s">
        <v>64</v>
      </c>
      <c r="O2210" s="2" t="str">
        <f>VLOOKUP(OrganizedData[[#This Row],[Product Code]],ProductData[[Code]:[Item]],2,FALSE)</f>
        <v>Ultrathing V4</v>
      </c>
      <c r="P2210" s="4">
        <f>OrganizedData[[#This Row],[Quantity]]*VLOOKUP(OrganizedData[[#This Row],[Product Code]],ProductData[],4,FALSE)</f>
        <v>624</v>
      </c>
      <c r="Q2210" s="6">
        <f>OrganizedData[[#This Row],[Total Items Ordered]]*VLOOKUP(OrganizedData[[#This Row],[Product Code]],ProductData[],3,FALSE)</f>
        <v>2489.7600000000002</v>
      </c>
      <c r="R22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2211" spans="1:18" x14ac:dyDescent="0.3">
      <c r="A2211" s="2">
        <v>2204</v>
      </c>
      <c r="B2211" s="2" t="s">
        <v>4469</v>
      </c>
      <c r="C2211" s="2" t="s">
        <v>3560</v>
      </c>
      <c r="D2211" s="2" t="s">
        <v>51</v>
      </c>
      <c r="E2211" s="2" t="s">
        <v>16</v>
      </c>
      <c r="F2211" s="2">
        <v>30</v>
      </c>
      <c r="G2211" s="2" t="s">
        <v>6095</v>
      </c>
      <c r="H2211" s="2" t="s">
        <v>2354</v>
      </c>
      <c r="I2211" s="2" t="s">
        <v>178</v>
      </c>
      <c r="J2211" s="3">
        <v>44282</v>
      </c>
      <c r="K2211" s="5">
        <f>YEAR(OrganizedData[[#This Row],[Order Date]])</f>
        <v>2021</v>
      </c>
      <c r="L2211" s="7" t="str">
        <f>TEXT(OrganizedData[[#This Row],[Order Date]],"mmm")</f>
        <v>Mar</v>
      </c>
      <c r="M2211" s="2">
        <v>23</v>
      </c>
      <c r="N2211" s="2" t="s">
        <v>159</v>
      </c>
      <c r="O2211" s="2" t="str">
        <f>VLOOKUP(OrganizedData[[#This Row],[Product Code]],ProductData[[Code]:[Item]],2,FALSE)</f>
        <v>Ultrathing V3</v>
      </c>
      <c r="P2211" s="4">
        <f>OrganizedData[[#This Row],[Quantity]]*VLOOKUP(OrganizedData[[#This Row],[Product Code]],ProductData[],4,FALSE)</f>
        <v>552</v>
      </c>
      <c r="Q2211" s="6">
        <f>OrganizedData[[#This Row],[Total Items Ordered]]*VLOOKUP(OrganizedData[[#This Row],[Product Code]],ProductData[],3,FALSE)</f>
        <v>1871.28</v>
      </c>
      <c r="R22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1815.1415999999999</v>
      </c>
    </row>
    <row r="2212" spans="1:18" x14ac:dyDescent="0.3">
      <c r="A2212" s="2">
        <v>2205</v>
      </c>
      <c r="B2212" s="2" t="s">
        <v>6096</v>
      </c>
      <c r="C2212" s="2" t="s">
        <v>1237</v>
      </c>
      <c r="D2212" s="2" t="s">
        <v>28</v>
      </c>
      <c r="E2212" s="2" t="s">
        <v>29</v>
      </c>
      <c r="F2212" s="2">
        <v>30</v>
      </c>
      <c r="G2212" s="2" t="s">
        <v>6095</v>
      </c>
      <c r="H2212" s="2" t="s">
        <v>637</v>
      </c>
      <c r="I2212" s="2" t="s">
        <v>32</v>
      </c>
      <c r="J2212" s="3">
        <v>43975</v>
      </c>
      <c r="K2212" s="5">
        <f>YEAR(OrganizedData[[#This Row],[Order Date]])</f>
        <v>2020</v>
      </c>
      <c r="L2212" s="7" t="str">
        <f>TEXT(OrganizedData[[#This Row],[Order Date]],"mmm")</f>
        <v>May</v>
      </c>
      <c r="M2212" s="2">
        <v>37</v>
      </c>
      <c r="N2212" s="2" t="s">
        <v>54</v>
      </c>
      <c r="O2212" s="2" t="str">
        <f>VLOOKUP(OrganizedData[[#This Row],[Product Code]],ProductData[[Code]:[Item]],2,FALSE)</f>
        <v>Megawidget S</v>
      </c>
      <c r="P2212" s="4">
        <f>OrganizedData[[#This Row],[Quantity]]*VLOOKUP(OrganizedData[[#This Row],[Product Code]],ProductData[],4,FALSE)</f>
        <v>888</v>
      </c>
      <c r="Q2212" s="6">
        <f>OrganizedData[[#This Row],[Total Items Ordered]]*VLOOKUP(OrganizedData[[#This Row],[Product Code]],ProductData[],3,FALSE)</f>
        <v>612.71999999999991</v>
      </c>
      <c r="R22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2213" spans="1:18" x14ac:dyDescent="0.3">
      <c r="A2213" s="2">
        <v>2206</v>
      </c>
      <c r="B2213" s="2" t="s">
        <v>824</v>
      </c>
      <c r="C2213" s="2" t="s">
        <v>3735</v>
      </c>
      <c r="D2213" s="2" t="s">
        <v>28</v>
      </c>
      <c r="E2213" s="2" t="s">
        <v>29</v>
      </c>
      <c r="F2213" s="2">
        <v>90</v>
      </c>
      <c r="G2213" s="2" t="s">
        <v>6097</v>
      </c>
      <c r="H2213" s="2" t="s">
        <v>3793</v>
      </c>
      <c r="I2213" s="2" t="s">
        <v>173</v>
      </c>
      <c r="J2213" s="3">
        <v>44246</v>
      </c>
      <c r="K2213" s="5">
        <f>YEAR(OrganizedData[[#This Row],[Order Date]])</f>
        <v>2021</v>
      </c>
      <c r="L2213" s="7" t="str">
        <f>TEXT(OrganizedData[[#This Row],[Order Date]],"mmm")</f>
        <v>Feb</v>
      </c>
      <c r="M2213" s="2">
        <v>72</v>
      </c>
      <c r="N2213" s="2" t="s">
        <v>54</v>
      </c>
      <c r="O2213" s="2" t="str">
        <f>VLOOKUP(OrganizedData[[#This Row],[Product Code]],ProductData[[Code]:[Item]],2,FALSE)</f>
        <v>Megawidget S</v>
      </c>
      <c r="P2213" s="4">
        <f>OrganizedData[[#This Row],[Quantity]]*VLOOKUP(OrganizedData[[#This Row],[Product Code]],ProductData[],4,FALSE)</f>
        <v>1728</v>
      </c>
      <c r="Q2213" s="6">
        <f>OrganizedData[[#This Row],[Total Items Ordered]]*VLOOKUP(OrganizedData[[#This Row],[Product Code]],ProductData[],3,FALSE)</f>
        <v>1192.32</v>
      </c>
      <c r="R22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2214" spans="1:18" x14ac:dyDescent="0.3">
      <c r="A2214" s="2">
        <v>2207</v>
      </c>
      <c r="B2214" s="2" t="s">
        <v>5712</v>
      </c>
      <c r="C2214" s="2" t="s">
        <v>2903</v>
      </c>
      <c r="D2214" s="2" t="s">
        <v>15</v>
      </c>
      <c r="E2214" s="2" t="s">
        <v>16</v>
      </c>
      <c r="F2214" s="2">
        <v>30</v>
      </c>
      <c r="G2214" s="2" t="s">
        <v>6098</v>
      </c>
      <c r="H2214" s="2" t="s">
        <v>307</v>
      </c>
      <c r="I2214" s="2" t="s">
        <v>32</v>
      </c>
      <c r="J2214" s="3">
        <v>43959</v>
      </c>
      <c r="K2214" s="5">
        <f>YEAR(OrganizedData[[#This Row],[Order Date]])</f>
        <v>2020</v>
      </c>
      <c r="L2214" s="7" t="str">
        <f>TEXT(OrganizedData[[#This Row],[Order Date]],"mmm")</f>
        <v>May</v>
      </c>
      <c r="M2214" s="2">
        <v>17</v>
      </c>
      <c r="N2214" s="2" t="s">
        <v>33</v>
      </c>
      <c r="O2214" s="2" t="str">
        <f>VLOOKUP(OrganizedData[[#This Row],[Product Code]],ProductData[[Code]:[Item]],2,FALSE)</f>
        <v>Megawidget L</v>
      </c>
      <c r="P2214" s="4">
        <f>OrganizedData[[#This Row],[Quantity]]*VLOOKUP(OrganizedData[[#This Row],[Product Code]],ProductData[],4,FALSE)</f>
        <v>408</v>
      </c>
      <c r="Q2214" s="6">
        <f>OrganizedData[[#This Row],[Total Items Ordered]]*VLOOKUP(OrganizedData[[#This Row],[Product Code]],ProductData[],3,FALSE)</f>
        <v>730.32</v>
      </c>
      <c r="R22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2215" spans="1:18" x14ac:dyDescent="0.3">
      <c r="A2215" s="2">
        <v>2208</v>
      </c>
      <c r="B2215" s="2" t="s">
        <v>484</v>
      </c>
      <c r="C2215" s="2" t="s">
        <v>6099</v>
      </c>
      <c r="D2215" s="2" t="s">
        <v>15</v>
      </c>
      <c r="E2215" s="2" t="s">
        <v>16</v>
      </c>
      <c r="F2215" s="2">
        <v>60</v>
      </c>
      <c r="G2215" s="2" t="s">
        <v>6100</v>
      </c>
      <c r="H2215" s="2" t="s">
        <v>6101</v>
      </c>
      <c r="I2215" s="2" t="s">
        <v>32</v>
      </c>
      <c r="J2215" s="3">
        <v>44153</v>
      </c>
      <c r="K2215" s="5">
        <f>YEAR(OrganizedData[[#This Row],[Order Date]])</f>
        <v>2020</v>
      </c>
      <c r="L2215" s="7" t="str">
        <f>TEXT(OrganizedData[[#This Row],[Order Date]],"mmm")</f>
        <v>Nov</v>
      </c>
      <c r="M2215" s="2">
        <v>71</v>
      </c>
      <c r="N2215" s="2" t="s">
        <v>101</v>
      </c>
      <c r="O2215" s="2" t="str">
        <f>VLOOKUP(OrganizedData[[#This Row],[Product Code]],ProductData[[Code]:[Item]],2,FALSE)</f>
        <v>Superwossname</v>
      </c>
      <c r="P2215" s="4">
        <f>OrganizedData[[#This Row],[Quantity]]*VLOOKUP(OrganizedData[[#This Row],[Product Code]],ProductData[],4,FALSE)</f>
        <v>1420</v>
      </c>
      <c r="Q2215" s="6">
        <f>OrganizedData[[#This Row],[Total Items Ordered]]*VLOOKUP(OrganizedData[[#This Row],[Product Code]],ProductData[],3,FALSE)</f>
        <v>4955.8</v>
      </c>
      <c r="R22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4708.01</v>
      </c>
    </row>
    <row r="2216" spans="1:18" x14ac:dyDescent="0.3">
      <c r="A2216" s="2">
        <v>2209</v>
      </c>
      <c r="B2216" s="2" t="s">
        <v>1427</v>
      </c>
      <c r="C2216" s="2" t="s">
        <v>1410</v>
      </c>
      <c r="D2216" s="2" t="s">
        <v>28</v>
      </c>
      <c r="E2216" s="2" t="s">
        <v>29</v>
      </c>
      <c r="F2216" s="2">
        <v>90</v>
      </c>
      <c r="G2216" s="2" t="s">
        <v>6102</v>
      </c>
      <c r="H2216" s="2" t="s">
        <v>5189</v>
      </c>
      <c r="I2216" s="2" t="s">
        <v>32</v>
      </c>
      <c r="J2216" s="3">
        <v>44305</v>
      </c>
      <c r="K2216" s="5">
        <f>YEAR(OrganizedData[[#This Row],[Order Date]])</f>
        <v>2021</v>
      </c>
      <c r="L2216" s="7" t="str">
        <f>TEXT(OrganizedData[[#This Row],[Order Date]],"mmm")</f>
        <v>Apr</v>
      </c>
      <c r="M2216" s="2">
        <v>69</v>
      </c>
      <c r="N2216" s="2" t="s">
        <v>20</v>
      </c>
      <c r="O2216" s="2" t="str">
        <f>VLOOKUP(OrganizedData[[#This Row],[Product Code]],ProductData[[Code]:[Item]],2,FALSE)</f>
        <v>Hyperwotsit</v>
      </c>
      <c r="P2216" s="4">
        <f>OrganizedData[[#This Row],[Quantity]]*VLOOKUP(OrganizedData[[#This Row],[Product Code]],ProductData[],4,FALSE)</f>
        <v>1380</v>
      </c>
      <c r="Q2216" s="6">
        <f>OrganizedData[[#This Row],[Total Items Ordered]]*VLOOKUP(OrganizedData[[#This Row],[Product Code]],ProductData[],3,FALSE)</f>
        <v>2773.7999999999997</v>
      </c>
      <c r="R22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2217" spans="1:18" x14ac:dyDescent="0.3">
      <c r="A2217" s="2">
        <v>2210</v>
      </c>
      <c r="B2217" s="2" t="s">
        <v>6103</v>
      </c>
      <c r="C2217" s="2" t="s">
        <v>4603</v>
      </c>
      <c r="D2217" s="2" t="s">
        <v>51</v>
      </c>
      <c r="E2217" s="2" t="s">
        <v>16</v>
      </c>
      <c r="F2217" s="2">
        <v>30</v>
      </c>
      <c r="G2217" s="2" t="s">
        <v>6104</v>
      </c>
      <c r="H2217" s="2" t="s">
        <v>6105</v>
      </c>
      <c r="I2217" s="2" t="s">
        <v>32</v>
      </c>
      <c r="J2217" s="3">
        <v>44610</v>
      </c>
      <c r="K2217" s="5">
        <f>YEAR(OrganizedData[[#This Row],[Order Date]])</f>
        <v>2022</v>
      </c>
      <c r="L2217" s="7" t="str">
        <f>TEXT(OrganizedData[[#This Row],[Order Date]],"mmm")</f>
        <v>Feb</v>
      </c>
      <c r="M2217" s="2">
        <v>17</v>
      </c>
      <c r="N2217" s="2" t="s">
        <v>45</v>
      </c>
      <c r="O2217" s="2" t="str">
        <f>VLOOKUP(OrganizedData[[#This Row],[Product Code]],ProductData[[Code]:[Item]],2,FALSE)</f>
        <v>Gigastuff</v>
      </c>
      <c r="P2217" s="4">
        <f>OrganizedData[[#This Row],[Quantity]]*VLOOKUP(OrganizedData[[#This Row],[Product Code]],ProductData[],4,FALSE)</f>
        <v>306</v>
      </c>
      <c r="Q2217" s="6">
        <f>OrganizedData[[#This Row],[Total Items Ordered]]*VLOOKUP(OrganizedData[[#This Row],[Product Code]],ProductData[],3,FALSE)</f>
        <v>578.33999999999992</v>
      </c>
      <c r="R22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2218" spans="1:18" x14ac:dyDescent="0.3">
      <c r="A2218" s="2">
        <v>2211</v>
      </c>
      <c r="B2218" s="2" t="s">
        <v>259</v>
      </c>
      <c r="C2218" s="2" t="s">
        <v>6042</v>
      </c>
      <c r="D2218" s="2" t="s">
        <v>28</v>
      </c>
      <c r="E2218" s="2" t="s">
        <v>29</v>
      </c>
      <c r="F2218" s="2">
        <v>60</v>
      </c>
      <c r="G2218" s="2" t="s">
        <v>6106</v>
      </c>
      <c r="H2218" s="2" t="s">
        <v>1643</v>
      </c>
      <c r="I2218" s="2" t="s">
        <v>124</v>
      </c>
      <c r="J2218" s="3">
        <v>43864</v>
      </c>
      <c r="K2218" s="5">
        <f>YEAR(OrganizedData[[#This Row],[Order Date]])</f>
        <v>2020</v>
      </c>
      <c r="L2218" s="7" t="str">
        <f>TEXT(OrganizedData[[#This Row],[Order Date]],"mmm")</f>
        <v>Feb</v>
      </c>
      <c r="M2218" s="2">
        <v>25</v>
      </c>
      <c r="N2218" s="2" t="s">
        <v>70</v>
      </c>
      <c r="O2218" s="2" t="str">
        <f>VLOOKUP(OrganizedData[[#This Row],[Product Code]],ProductData[[Code]:[Item]],2,FALSE)</f>
        <v>Megawidget M</v>
      </c>
      <c r="P2218" s="4">
        <f>OrganizedData[[#This Row],[Quantity]]*VLOOKUP(OrganizedData[[#This Row],[Product Code]],ProductData[],4,FALSE)</f>
        <v>600</v>
      </c>
      <c r="Q2218" s="6">
        <f>OrganizedData[[#This Row],[Total Items Ordered]]*VLOOKUP(OrganizedData[[#This Row],[Product Code]],ProductData[],3,FALSE)</f>
        <v>774</v>
      </c>
      <c r="R22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2219" spans="1:18" x14ac:dyDescent="0.3">
      <c r="A2219" s="2">
        <v>2212</v>
      </c>
      <c r="B2219" s="2" t="s">
        <v>1890</v>
      </c>
      <c r="C2219" s="2" t="s">
        <v>1669</v>
      </c>
      <c r="D2219" s="2" t="s">
        <v>51</v>
      </c>
      <c r="E2219" s="2" t="s">
        <v>16</v>
      </c>
      <c r="F2219" s="2">
        <v>90</v>
      </c>
      <c r="G2219" s="2" t="s">
        <v>6107</v>
      </c>
      <c r="H2219" s="2" t="s">
        <v>3206</v>
      </c>
      <c r="I2219" s="2" t="s">
        <v>1199</v>
      </c>
      <c r="J2219" s="3">
        <v>43834</v>
      </c>
      <c r="K2219" s="5">
        <f>YEAR(OrganizedData[[#This Row],[Order Date]])</f>
        <v>2020</v>
      </c>
      <c r="L2219" s="7" t="str">
        <f>TEXT(OrganizedData[[#This Row],[Order Date]],"mmm")</f>
        <v>Jan</v>
      </c>
      <c r="M2219" s="2">
        <v>62</v>
      </c>
      <c r="N2219" s="2" t="s">
        <v>70</v>
      </c>
      <c r="O2219" s="2" t="str">
        <f>VLOOKUP(OrganizedData[[#This Row],[Product Code]],ProductData[[Code]:[Item]],2,FALSE)</f>
        <v>Megawidget M</v>
      </c>
      <c r="P2219" s="4">
        <f>OrganizedData[[#This Row],[Quantity]]*VLOOKUP(OrganizedData[[#This Row],[Product Code]],ProductData[],4,FALSE)</f>
        <v>1488</v>
      </c>
      <c r="Q2219" s="6">
        <f>OrganizedData[[#This Row],[Total Items Ordered]]*VLOOKUP(OrganizedData[[#This Row],[Product Code]],ProductData[],3,FALSE)</f>
        <v>1919.52</v>
      </c>
      <c r="R22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2220" spans="1:18" x14ac:dyDescent="0.3">
      <c r="A2220" s="2">
        <v>2213</v>
      </c>
      <c r="B2220" s="2" t="s">
        <v>5156</v>
      </c>
      <c r="C2220" s="2" t="s">
        <v>3662</v>
      </c>
      <c r="D2220" s="2" t="s">
        <v>15</v>
      </c>
      <c r="E2220" s="2" t="s">
        <v>16</v>
      </c>
      <c r="F2220" s="2">
        <v>60</v>
      </c>
      <c r="G2220" s="2" t="s">
        <v>6108</v>
      </c>
      <c r="H2220" s="2" t="s">
        <v>455</v>
      </c>
      <c r="I2220" s="2" t="s">
        <v>187</v>
      </c>
      <c r="J2220" s="3">
        <v>44433</v>
      </c>
      <c r="K2220" s="5">
        <f>YEAR(OrganizedData[[#This Row],[Order Date]])</f>
        <v>2021</v>
      </c>
      <c r="L2220" s="7" t="str">
        <f>TEXT(OrganizedData[[#This Row],[Order Date]],"mmm")</f>
        <v>Aug</v>
      </c>
      <c r="M2220" s="2">
        <v>73</v>
      </c>
      <c r="N2220" s="2" t="s">
        <v>101</v>
      </c>
      <c r="O2220" s="2" t="str">
        <f>VLOOKUP(OrganizedData[[#This Row],[Product Code]],ProductData[[Code]:[Item]],2,FALSE)</f>
        <v>Superwossname</v>
      </c>
      <c r="P2220" s="4">
        <f>OrganizedData[[#This Row],[Quantity]]*VLOOKUP(OrganizedData[[#This Row],[Product Code]],ProductData[],4,FALSE)</f>
        <v>1460</v>
      </c>
      <c r="Q2220" s="6">
        <f>OrganizedData[[#This Row],[Total Items Ordered]]*VLOOKUP(OrganizedData[[#This Row],[Product Code]],ProductData[],3,FALSE)</f>
        <v>5095.4000000000005</v>
      </c>
      <c r="R22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4840.63</v>
      </c>
    </row>
    <row r="2221" spans="1:18" x14ac:dyDescent="0.3">
      <c r="A2221" s="2">
        <v>2214</v>
      </c>
      <c r="B2221" s="2" t="s">
        <v>6109</v>
      </c>
      <c r="C2221" s="2" t="s">
        <v>696</v>
      </c>
      <c r="D2221" s="2" t="s">
        <v>15</v>
      </c>
      <c r="E2221" s="2" t="s">
        <v>16</v>
      </c>
      <c r="F2221" s="2">
        <v>30</v>
      </c>
      <c r="G2221" s="2" t="s">
        <v>6110</v>
      </c>
      <c r="H2221" s="2" t="s">
        <v>4899</v>
      </c>
      <c r="I2221" s="2" t="s">
        <v>100</v>
      </c>
      <c r="J2221" s="3">
        <v>43898</v>
      </c>
      <c r="K2221" s="5">
        <f>YEAR(OrganizedData[[#This Row],[Order Date]])</f>
        <v>2020</v>
      </c>
      <c r="L2221" s="7" t="str">
        <f>TEXT(OrganizedData[[#This Row],[Order Date]],"mmm")</f>
        <v>Mar</v>
      </c>
      <c r="M2221" s="2">
        <v>40</v>
      </c>
      <c r="N2221" s="2" t="s">
        <v>70</v>
      </c>
      <c r="O2221" s="2" t="str">
        <f>VLOOKUP(OrganizedData[[#This Row],[Product Code]],ProductData[[Code]:[Item]],2,FALSE)</f>
        <v>Megawidget M</v>
      </c>
      <c r="P2221" s="4">
        <f>OrganizedData[[#This Row],[Quantity]]*VLOOKUP(OrganizedData[[#This Row],[Product Code]],ProductData[],4,FALSE)</f>
        <v>960</v>
      </c>
      <c r="Q2221" s="6">
        <f>OrganizedData[[#This Row],[Total Items Ordered]]*VLOOKUP(OrganizedData[[#This Row],[Product Code]],ProductData[],3,FALSE)</f>
        <v>1238.4000000000001</v>
      </c>
      <c r="R22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1201.248</v>
      </c>
    </row>
    <row r="2222" spans="1:18" x14ac:dyDescent="0.3">
      <c r="A2222" s="2">
        <v>2215</v>
      </c>
      <c r="B2222" s="2" t="s">
        <v>2415</v>
      </c>
      <c r="C2222" s="2" t="s">
        <v>3029</v>
      </c>
      <c r="D2222" s="2" t="s">
        <v>28</v>
      </c>
      <c r="E2222" s="2" t="s">
        <v>29</v>
      </c>
      <c r="F2222" s="2">
        <v>30</v>
      </c>
      <c r="G2222" s="2" t="s">
        <v>6113</v>
      </c>
      <c r="H2222" s="2" t="s">
        <v>4358</v>
      </c>
      <c r="I2222" s="2" t="s">
        <v>146</v>
      </c>
      <c r="J2222" s="3">
        <v>44535</v>
      </c>
      <c r="K2222" s="5">
        <f>YEAR(OrganizedData[[#This Row],[Order Date]])</f>
        <v>2021</v>
      </c>
      <c r="L2222" s="7" t="str">
        <f>TEXT(OrganizedData[[#This Row],[Order Date]],"mmm")</f>
        <v>Dec</v>
      </c>
      <c r="M2222" s="2">
        <v>34</v>
      </c>
      <c r="N2222" s="2" t="s">
        <v>80</v>
      </c>
      <c r="O2222" s="2" t="str">
        <f>VLOOKUP(OrganizedData[[#This Row],[Product Code]],ProductData[[Code]:[Item]],2,FALSE)</f>
        <v>Ultrathing V2</v>
      </c>
      <c r="P2222" s="4">
        <f>OrganizedData[[#This Row],[Quantity]]*VLOOKUP(OrganizedData[[#This Row],[Product Code]],ProductData[],4,FALSE)</f>
        <v>680</v>
      </c>
      <c r="Q2222" s="6">
        <f>OrganizedData[[#This Row],[Total Items Ordered]]*VLOOKUP(OrganizedData[[#This Row],[Product Code]],ProductData[],3,FALSE)</f>
        <v>2006.0000000000002</v>
      </c>
      <c r="R22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1945.8200000000002</v>
      </c>
    </row>
    <row r="2223" spans="1:18" x14ac:dyDescent="0.3">
      <c r="A2223" s="2">
        <v>2216</v>
      </c>
      <c r="B2223" s="2" t="s">
        <v>6114</v>
      </c>
      <c r="C2223" s="2" t="s">
        <v>2132</v>
      </c>
      <c r="D2223" s="2" t="s">
        <v>15</v>
      </c>
      <c r="E2223" s="2" t="s">
        <v>16</v>
      </c>
      <c r="F2223" s="2">
        <v>60</v>
      </c>
      <c r="G2223" s="2" t="s">
        <v>6115</v>
      </c>
      <c r="H2223" s="2" t="s">
        <v>1362</v>
      </c>
      <c r="I2223" s="2" t="s">
        <v>178</v>
      </c>
      <c r="J2223" s="3">
        <v>44428</v>
      </c>
      <c r="K2223" s="5">
        <f>YEAR(OrganizedData[[#This Row],[Order Date]])</f>
        <v>2021</v>
      </c>
      <c r="L2223" s="7" t="str">
        <f>TEXT(OrganizedData[[#This Row],[Order Date]],"mmm")</f>
        <v>Aug</v>
      </c>
      <c r="M2223" s="2">
        <v>52</v>
      </c>
      <c r="N2223" s="2" t="s">
        <v>64</v>
      </c>
      <c r="O2223" s="2" t="str">
        <f>VLOOKUP(OrganizedData[[#This Row],[Product Code]],ProductData[[Code]:[Item]],2,FALSE)</f>
        <v>Ultrathing V4</v>
      </c>
      <c r="P2223" s="4">
        <f>OrganizedData[[#This Row],[Quantity]]*VLOOKUP(OrganizedData[[#This Row],[Product Code]],ProductData[],4,FALSE)</f>
        <v>1248</v>
      </c>
      <c r="Q2223" s="6">
        <f>OrganizedData[[#This Row],[Total Items Ordered]]*VLOOKUP(OrganizedData[[#This Row],[Product Code]],ProductData[],3,FALSE)</f>
        <v>4979.5200000000004</v>
      </c>
      <c r="R22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4730.5439999999999</v>
      </c>
    </row>
    <row r="2224" spans="1:18" x14ac:dyDescent="0.3">
      <c r="A2224" s="2">
        <v>2217</v>
      </c>
      <c r="B2224" s="2" t="s">
        <v>6116</v>
      </c>
      <c r="C2224" s="2" t="s">
        <v>1341</v>
      </c>
      <c r="D2224" s="2" t="s">
        <v>51</v>
      </c>
      <c r="E2224" s="2" t="s">
        <v>16</v>
      </c>
      <c r="F2224" s="2">
        <v>30</v>
      </c>
      <c r="G2224" s="2" t="s">
        <v>6117</v>
      </c>
      <c r="H2224" s="2" t="s">
        <v>4085</v>
      </c>
      <c r="I2224" s="2" t="s">
        <v>240</v>
      </c>
      <c r="J2224" s="3">
        <v>44319</v>
      </c>
      <c r="K2224" s="5">
        <f>YEAR(OrganizedData[[#This Row],[Order Date]])</f>
        <v>2021</v>
      </c>
      <c r="L2224" s="7" t="str">
        <f>TEXT(OrganizedData[[#This Row],[Order Date]],"mmm")</f>
        <v>May</v>
      </c>
      <c r="M2224" s="2">
        <v>83</v>
      </c>
      <c r="N2224" s="2" t="s">
        <v>101</v>
      </c>
      <c r="O2224" s="2" t="str">
        <f>VLOOKUP(OrganizedData[[#This Row],[Product Code]],ProductData[[Code]:[Item]],2,FALSE)</f>
        <v>Superwossname</v>
      </c>
      <c r="P2224" s="4">
        <f>OrganizedData[[#This Row],[Quantity]]*VLOOKUP(OrganizedData[[#This Row],[Product Code]],ProductData[],4,FALSE)</f>
        <v>1660</v>
      </c>
      <c r="Q2224" s="6">
        <f>OrganizedData[[#This Row],[Total Items Ordered]]*VLOOKUP(OrganizedData[[#This Row],[Product Code]],ProductData[],3,FALSE)</f>
        <v>5793.4000000000005</v>
      </c>
      <c r="R22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2225" spans="1:18" x14ac:dyDescent="0.3">
      <c r="A2225" s="2">
        <v>2218</v>
      </c>
      <c r="B2225" s="2" t="s">
        <v>1096</v>
      </c>
      <c r="C2225" s="2" t="s">
        <v>2051</v>
      </c>
      <c r="D2225" s="2" t="s">
        <v>28</v>
      </c>
      <c r="E2225" s="2" t="s">
        <v>29</v>
      </c>
      <c r="F2225" s="2">
        <v>30</v>
      </c>
      <c r="G2225" s="2" t="s">
        <v>6118</v>
      </c>
      <c r="H2225" s="2" t="s">
        <v>2717</v>
      </c>
      <c r="I2225" s="2" t="s">
        <v>1889</v>
      </c>
      <c r="J2225" s="3">
        <v>44050</v>
      </c>
      <c r="K2225" s="5">
        <f>YEAR(OrganizedData[[#This Row],[Order Date]])</f>
        <v>2020</v>
      </c>
      <c r="L2225" s="7" t="str">
        <f>TEXT(OrganizedData[[#This Row],[Order Date]],"mmm")</f>
        <v>Aug</v>
      </c>
      <c r="M2225" s="2">
        <v>52</v>
      </c>
      <c r="N2225" s="2" t="s">
        <v>80</v>
      </c>
      <c r="O2225" s="2" t="str">
        <f>VLOOKUP(OrganizedData[[#This Row],[Product Code]],ProductData[[Code]:[Item]],2,FALSE)</f>
        <v>Ultrathing V2</v>
      </c>
      <c r="P2225" s="4">
        <f>OrganizedData[[#This Row],[Quantity]]*VLOOKUP(OrganizedData[[#This Row],[Product Code]],ProductData[],4,FALSE)</f>
        <v>1040</v>
      </c>
      <c r="Q2225" s="6">
        <f>OrganizedData[[#This Row],[Total Items Ordered]]*VLOOKUP(OrganizedData[[#This Row],[Product Code]],ProductData[],3,FALSE)</f>
        <v>3068</v>
      </c>
      <c r="R22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2914.6</v>
      </c>
    </row>
    <row r="2226" spans="1:18" x14ac:dyDescent="0.3">
      <c r="A2226" s="2">
        <v>2219</v>
      </c>
      <c r="B2226" s="2" t="s">
        <v>1293</v>
      </c>
      <c r="C2226" s="2" t="s">
        <v>5168</v>
      </c>
      <c r="D2226" s="2" t="s">
        <v>15</v>
      </c>
      <c r="E2226" s="2" t="s">
        <v>16</v>
      </c>
      <c r="F2226" s="2">
        <v>60</v>
      </c>
      <c r="G2226" s="2" t="s">
        <v>6119</v>
      </c>
      <c r="H2226" s="2" t="s">
        <v>483</v>
      </c>
      <c r="I2226" s="2" t="s">
        <v>32</v>
      </c>
      <c r="J2226" s="3">
        <v>44424</v>
      </c>
      <c r="K2226" s="5">
        <f>YEAR(OrganizedData[[#This Row],[Order Date]])</f>
        <v>2021</v>
      </c>
      <c r="L2226" s="7" t="str">
        <f>TEXT(OrganizedData[[#This Row],[Order Date]],"mmm")</f>
        <v>Aug</v>
      </c>
      <c r="M2226" s="2">
        <v>37</v>
      </c>
      <c r="N2226" s="2" t="s">
        <v>70</v>
      </c>
      <c r="O2226" s="2" t="str">
        <f>VLOOKUP(OrganizedData[[#This Row],[Product Code]],ProductData[[Code]:[Item]],2,FALSE)</f>
        <v>Megawidget M</v>
      </c>
      <c r="P2226" s="4">
        <f>OrganizedData[[#This Row],[Quantity]]*VLOOKUP(OrganizedData[[#This Row],[Product Code]],ProductData[],4,FALSE)</f>
        <v>888</v>
      </c>
      <c r="Q2226" s="6">
        <f>OrganizedData[[#This Row],[Total Items Ordered]]*VLOOKUP(OrganizedData[[#This Row],[Product Code]],ProductData[],3,FALSE)</f>
        <v>1145.52</v>
      </c>
      <c r="R22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2227" spans="1:18" x14ac:dyDescent="0.3">
      <c r="A2227" s="2">
        <v>2220</v>
      </c>
      <c r="B2227" s="2" t="s">
        <v>4430</v>
      </c>
      <c r="C2227" s="2" t="s">
        <v>3905</v>
      </c>
      <c r="D2227" s="2" t="s">
        <v>28</v>
      </c>
      <c r="E2227" s="2" t="s">
        <v>29</v>
      </c>
      <c r="F2227" s="2">
        <v>90</v>
      </c>
      <c r="G2227" s="2" t="s">
        <v>6120</v>
      </c>
      <c r="H2227" s="2" t="s">
        <v>1391</v>
      </c>
      <c r="I2227" s="2" t="s">
        <v>32</v>
      </c>
      <c r="J2227" s="3">
        <v>44685</v>
      </c>
      <c r="K2227" s="5">
        <f>YEAR(OrganizedData[[#This Row],[Order Date]])</f>
        <v>2022</v>
      </c>
      <c r="L2227" s="7" t="str">
        <f>TEXT(OrganizedData[[#This Row],[Order Date]],"mmm")</f>
        <v>May</v>
      </c>
      <c r="M2227" s="2">
        <v>54</v>
      </c>
      <c r="N2227" s="2" t="s">
        <v>101</v>
      </c>
      <c r="O2227" s="2" t="str">
        <f>VLOOKUP(OrganizedData[[#This Row],[Product Code]],ProductData[[Code]:[Item]],2,FALSE)</f>
        <v>Superwossname</v>
      </c>
      <c r="P2227" s="4">
        <f>OrganizedData[[#This Row],[Quantity]]*VLOOKUP(OrganizedData[[#This Row],[Product Code]],ProductData[],4,FALSE)</f>
        <v>1080</v>
      </c>
      <c r="Q2227" s="6">
        <f>OrganizedData[[#This Row],[Total Items Ordered]]*VLOOKUP(OrganizedData[[#This Row],[Product Code]],ProductData[],3,FALSE)</f>
        <v>3769.2000000000003</v>
      </c>
      <c r="R22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2228" spans="1:18" x14ac:dyDescent="0.3">
      <c r="A2228" s="2">
        <v>2221</v>
      </c>
      <c r="B2228" s="2" t="s">
        <v>1208</v>
      </c>
      <c r="C2228" s="2" t="s">
        <v>1997</v>
      </c>
      <c r="D2228" s="2" t="s">
        <v>28</v>
      </c>
      <c r="E2228" s="2" t="s">
        <v>29</v>
      </c>
      <c r="F2228" s="2">
        <v>30</v>
      </c>
      <c r="G2228" s="2" t="s">
        <v>6121</v>
      </c>
      <c r="H2228" s="2" t="s">
        <v>6122</v>
      </c>
      <c r="I2228" s="2" t="s">
        <v>25</v>
      </c>
      <c r="J2228" s="3">
        <v>44120</v>
      </c>
      <c r="K2228" s="5">
        <f>YEAR(OrganizedData[[#This Row],[Order Date]])</f>
        <v>2020</v>
      </c>
      <c r="L2228" s="7" t="str">
        <f>TEXT(OrganizedData[[#This Row],[Order Date]],"mmm")</f>
        <v>Oct</v>
      </c>
      <c r="M2228" s="2">
        <v>81</v>
      </c>
      <c r="N2228" s="2" t="s">
        <v>159</v>
      </c>
      <c r="O2228" s="2" t="str">
        <f>VLOOKUP(OrganizedData[[#This Row],[Product Code]],ProductData[[Code]:[Item]],2,FALSE)</f>
        <v>Ultrathing V3</v>
      </c>
      <c r="P2228" s="4">
        <f>OrganizedData[[#This Row],[Quantity]]*VLOOKUP(OrganizedData[[#This Row],[Product Code]],ProductData[],4,FALSE)</f>
        <v>1944</v>
      </c>
      <c r="Q2228" s="6">
        <f>OrganizedData[[#This Row],[Total Items Ordered]]*VLOOKUP(OrganizedData[[#This Row],[Product Code]],ProductData[],3,FALSE)</f>
        <v>6590.16</v>
      </c>
      <c r="R22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2229" spans="1:18" x14ac:dyDescent="0.3">
      <c r="A2229" s="2">
        <v>2222</v>
      </c>
      <c r="B2229" s="2" t="s">
        <v>5567</v>
      </c>
      <c r="C2229" s="2" t="s">
        <v>2167</v>
      </c>
      <c r="D2229" s="2" t="s">
        <v>28</v>
      </c>
      <c r="E2229" s="2" t="s">
        <v>29</v>
      </c>
      <c r="F2229" s="2">
        <v>30</v>
      </c>
      <c r="G2229" s="2" t="s">
        <v>6123</v>
      </c>
      <c r="H2229" s="2" t="s">
        <v>94</v>
      </c>
      <c r="I2229" s="2" t="s">
        <v>95</v>
      </c>
      <c r="J2229" s="3">
        <v>43901</v>
      </c>
      <c r="K2229" s="5">
        <f>YEAR(OrganizedData[[#This Row],[Order Date]])</f>
        <v>2020</v>
      </c>
      <c r="L2229" s="7" t="str">
        <f>TEXT(OrganizedData[[#This Row],[Order Date]],"mmm")</f>
        <v>Mar</v>
      </c>
      <c r="M2229" s="2">
        <v>26</v>
      </c>
      <c r="N2229" s="2" t="s">
        <v>80</v>
      </c>
      <c r="O2229" s="2" t="str">
        <f>VLOOKUP(OrganizedData[[#This Row],[Product Code]],ProductData[[Code]:[Item]],2,FALSE)</f>
        <v>Ultrathing V2</v>
      </c>
      <c r="P2229" s="4">
        <f>OrganizedData[[#This Row],[Quantity]]*VLOOKUP(OrganizedData[[#This Row],[Product Code]],ProductData[],4,FALSE)</f>
        <v>520</v>
      </c>
      <c r="Q2229" s="6">
        <f>OrganizedData[[#This Row],[Total Items Ordered]]*VLOOKUP(OrganizedData[[#This Row],[Product Code]],ProductData[],3,FALSE)</f>
        <v>1534</v>
      </c>
      <c r="R22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2230" spans="1:18" x14ac:dyDescent="0.3">
      <c r="A2230" s="2">
        <v>2223</v>
      </c>
      <c r="B2230" s="2" t="s">
        <v>3955</v>
      </c>
      <c r="C2230" s="2" t="s">
        <v>2770</v>
      </c>
      <c r="D2230" s="2" t="s">
        <v>15</v>
      </c>
      <c r="E2230" s="2" t="s">
        <v>16</v>
      </c>
      <c r="F2230" s="2">
        <v>30</v>
      </c>
      <c r="G2230" s="2" t="s">
        <v>6124</v>
      </c>
      <c r="H2230" s="2" t="s">
        <v>186</v>
      </c>
      <c r="I2230" s="2" t="s">
        <v>187</v>
      </c>
      <c r="J2230" s="3">
        <v>44339</v>
      </c>
      <c r="K2230" s="5">
        <f>YEAR(OrganizedData[[#This Row],[Order Date]])</f>
        <v>2021</v>
      </c>
      <c r="L2230" s="7" t="str">
        <f>TEXT(OrganizedData[[#This Row],[Order Date]],"mmm")</f>
        <v>May</v>
      </c>
      <c r="M2230" s="2">
        <v>89</v>
      </c>
      <c r="N2230" s="2" t="s">
        <v>70</v>
      </c>
      <c r="O2230" s="2" t="str">
        <f>VLOOKUP(OrganizedData[[#This Row],[Product Code]],ProductData[[Code]:[Item]],2,FALSE)</f>
        <v>Megawidget M</v>
      </c>
      <c r="P2230" s="4">
        <f>OrganizedData[[#This Row],[Quantity]]*VLOOKUP(OrganizedData[[#This Row],[Product Code]],ProductData[],4,FALSE)</f>
        <v>2136</v>
      </c>
      <c r="Q2230" s="6">
        <f>OrganizedData[[#This Row],[Total Items Ordered]]*VLOOKUP(OrganizedData[[#This Row],[Product Code]],ProductData[],3,FALSE)</f>
        <v>2755.44</v>
      </c>
      <c r="R22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2617.6680000000001</v>
      </c>
    </row>
    <row r="2231" spans="1:18" x14ac:dyDescent="0.3">
      <c r="A2231" s="2">
        <v>2224</v>
      </c>
      <c r="B2231" s="2" t="s">
        <v>843</v>
      </c>
      <c r="C2231" s="2" t="s">
        <v>3265</v>
      </c>
      <c r="D2231" s="2" t="s">
        <v>15</v>
      </c>
      <c r="E2231" s="2" t="s">
        <v>16</v>
      </c>
      <c r="F2231" s="2">
        <v>60</v>
      </c>
      <c r="G2231" s="2" t="s">
        <v>6125</v>
      </c>
      <c r="H2231" s="2" t="s">
        <v>4256</v>
      </c>
      <c r="I2231" s="2" t="s">
        <v>1454</v>
      </c>
      <c r="J2231" s="3">
        <v>44163</v>
      </c>
      <c r="K2231" s="5">
        <f>YEAR(OrganizedData[[#This Row],[Order Date]])</f>
        <v>2020</v>
      </c>
      <c r="L2231" s="7" t="str">
        <f>TEXT(OrganizedData[[#This Row],[Order Date]],"mmm")</f>
        <v>Nov</v>
      </c>
      <c r="M2231" s="2">
        <v>83</v>
      </c>
      <c r="N2231" s="2" t="s">
        <v>64</v>
      </c>
      <c r="O2231" s="2" t="str">
        <f>VLOOKUP(OrganizedData[[#This Row],[Product Code]],ProductData[[Code]:[Item]],2,FALSE)</f>
        <v>Ultrathing V4</v>
      </c>
      <c r="P2231" s="4">
        <f>OrganizedData[[#This Row],[Quantity]]*VLOOKUP(OrganizedData[[#This Row],[Product Code]],ProductData[],4,FALSE)</f>
        <v>1992</v>
      </c>
      <c r="Q2231" s="6">
        <f>OrganizedData[[#This Row],[Total Items Ordered]]*VLOOKUP(OrganizedData[[#This Row],[Product Code]],ProductData[],3,FALSE)</f>
        <v>7948.0800000000008</v>
      </c>
      <c r="R22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2232" spans="1:18" x14ac:dyDescent="0.3">
      <c r="A2232" s="2">
        <v>2225</v>
      </c>
      <c r="B2232" s="2" t="s">
        <v>6126</v>
      </c>
      <c r="C2232" s="2" t="s">
        <v>1714</v>
      </c>
      <c r="D2232" s="2" t="s">
        <v>28</v>
      </c>
      <c r="E2232" s="2" t="s">
        <v>29</v>
      </c>
      <c r="F2232" s="2">
        <v>60</v>
      </c>
      <c r="G2232" s="2" t="s">
        <v>6125</v>
      </c>
      <c r="H2232" s="2" t="s">
        <v>412</v>
      </c>
      <c r="I2232" s="2" t="s">
        <v>187</v>
      </c>
      <c r="J2232" s="3">
        <v>43956</v>
      </c>
      <c r="K2232" s="5">
        <f>YEAR(OrganizedData[[#This Row],[Order Date]])</f>
        <v>2020</v>
      </c>
      <c r="L2232" s="7" t="str">
        <f>TEXT(OrganizedData[[#This Row],[Order Date]],"mmm")</f>
        <v>May</v>
      </c>
      <c r="M2232" s="2">
        <v>18</v>
      </c>
      <c r="N2232" s="2" t="s">
        <v>20</v>
      </c>
      <c r="O2232" s="2" t="str">
        <f>VLOOKUP(OrganizedData[[#This Row],[Product Code]],ProductData[[Code]:[Item]],2,FALSE)</f>
        <v>Hyperwotsit</v>
      </c>
      <c r="P2232" s="4">
        <f>OrganizedData[[#This Row],[Quantity]]*VLOOKUP(OrganizedData[[#This Row],[Product Code]],ProductData[],4,FALSE)</f>
        <v>360</v>
      </c>
      <c r="Q2232" s="6">
        <f>OrganizedData[[#This Row],[Total Items Ordered]]*VLOOKUP(OrganizedData[[#This Row],[Product Code]],ProductData[],3,FALSE)</f>
        <v>723.59999999999991</v>
      </c>
      <c r="R22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2233" spans="1:18" x14ac:dyDescent="0.3">
      <c r="A2233" s="2">
        <v>2226</v>
      </c>
      <c r="B2233" s="2" t="s">
        <v>6127</v>
      </c>
      <c r="C2233" s="2" t="s">
        <v>6128</v>
      </c>
      <c r="D2233" s="2" t="s">
        <v>51</v>
      </c>
      <c r="E2233" s="2" t="s">
        <v>16</v>
      </c>
      <c r="F2233" s="2">
        <v>30</v>
      </c>
      <c r="G2233" s="2" t="s">
        <v>6129</v>
      </c>
      <c r="H2233" s="2" t="s">
        <v>1512</v>
      </c>
      <c r="I2233" s="2" t="s">
        <v>25</v>
      </c>
      <c r="J2233" s="3">
        <v>44092</v>
      </c>
      <c r="K2233" s="5">
        <f>YEAR(OrganizedData[[#This Row],[Order Date]])</f>
        <v>2020</v>
      </c>
      <c r="L2233" s="7" t="str">
        <f>TEXT(OrganizedData[[#This Row],[Order Date]],"mmm")</f>
        <v>Sep</v>
      </c>
      <c r="M2233" s="2">
        <v>55</v>
      </c>
      <c r="N2233" s="2" t="s">
        <v>80</v>
      </c>
      <c r="O2233" s="2" t="str">
        <f>VLOOKUP(OrganizedData[[#This Row],[Product Code]],ProductData[[Code]:[Item]],2,FALSE)</f>
        <v>Ultrathing V2</v>
      </c>
      <c r="P2233" s="4">
        <f>OrganizedData[[#This Row],[Quantity]]*VLOOKUP(OrganizedData[[#This Row],[Product Code]],ProductData[],4,FALSE)</f>
        <v>1100</v>
      </c>
      <c r="Q2233" s="6">
        <f>OrganizedData[[#This Row],[Total Items Ordered]]*VLOOKUP(OrganizedData[[#This Row],[Product Code]],ProductData[],3,FALSE)</f>
        <v>3245</v>
      </c>
      <c r="R22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3082.75</v>
      </c>
    </row>
    <row r="2234" spans="1:18" x14ac:dyDescent="0.3">
      <c r="A2234" s="2">
        <v>2227</v>
      </c>
      <c r="B2234" s="2" t="s">
        <v>6130</v>
      </c>
      <c r="C2234" s="2" t="s">
        <v>6131</v>
      </c>
      <c r="D2234" s="2" t="s">
        <v>51</v>
      </c>
      <c r="E2234" s="2" t="s">
        <v>16</v>
      </c>
      <c r="F2234" s="2">
        <v>90</v>
      </c>
      <c r="G2234" s="2" t="s">
        <v>6132</v>
      </c>
      <c r="H2234" s="2" t="s">
        <v>6023</v>
      </c>
      <c r="I2234" s="2" t="s">
        <v>32</v>
      </c>
      <c r="J2234" s="3">
        <v>43976</v>
      </c>
      <c r="K2234" s="5">
        <f>YEAR(OrganizedData[[#This Row],[Order Date]])</f>
        <v>2020</v>
      </c>
      <c r="L2234" s="7" t="str">
        <f>TEXT(OrganizedData[[#This Row],[Order Date]],"mmm")</f>
        <v>May</v>
      </c>
      <c r="M2234" s="2">
        <v>22</v>
      </c>
      <c r="N2234" s="2" t="s">
        <v>159</v>
      </c>
      <c r="O2234" s="2" t="str">
        <f>VLOOKUP(OrganizedData[[#This Row],[Product Code]],ProductData[[Code]:[Item]],2,FALSE)</f>
        <v>Ultrathing V3</v>
      </c>
      <c r="P2234" s="4">
        <f>OrganizedData[[#This Row],[Quantity]]*VLOOKUP(OrganizedData[[#This Row],[Product Code]],ProductData[],4,FALSE)</f>
        <v>528</v>
      </c>
      <c r="Q2234" s="6">
        <f>OrganizedData[[#This Row],[Total Items Ordered]]*VLOOKUP(OrganizedData[[#This Row],[Product Code]],ProductData[],3,FALSE)</f>
        <v>1789.92</v>
      </c>
      <c r="R22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1736.2224000000001</v>
      </c>
    </row>
    <row r="2235" spans="1:18" x14ac:dyDescent="0.3">
      <c r="A2235" s="2">
        <v>2228</v>
      </c>
      <c r="B2235" s="2" t="s">
        <v>6133</v>
      </c>
      <c r="C2235" s="2" t="s">
        <v>6134</v>
      </c>
      <c r="D2235" s="2" t="s">
        <v>117</v>
      </c>
      <c r="E2235" s="2" t="s">
        <v>29</v>
      </c>
      <c r="F2235" s="2">
        <v>30</v>
      </c>
      <c r="G2235" s="2" t="s">
        <v>6135</v>
      </c>
      <c r="H2235" s="2" t="s">
        <v>655</v>
      </c>
      <c r="I2235" s="2" t="s">
        <v>32</v>
      </c>
      <c r="J2235" s="3">
        <v>44650</v>
      </c>
      <c r="K2235" s="5">
        <f>YEAR(OrganizedData[[#This Row],[Order Date]])</f>
        <v>2022</v>
      </c>
      <c r="L2235" s="7" t="str">
        <f>TEXT(OrganizedData[[#This Row],[Order Date]],"mmm")</f>
        <v>Mar</v>
      </c>
      <c r="M2235" s="2">
        <v>44</v>
      </c>
      <c r="N2235" s="2" t="s">
        <v>33</v>
      </c>
      <c r="O2235" s="2" t="str">
        <f>VLOOKUP(OrganizedData[[#This Row],[Product Code]],ProductData[[Code]:[Item]],2,FALSE)</f>
        <v>Megawidget L</v>
      </c>
      <c r="P2235" s="4">
        <f>OrganizedData[[#This Row],[Quantity]]*VLOOKUP(OrganizedData[[#This Row],[Product Code]],ProductData[],4,FALSE)</f>
        <v>1056</v>
      </c>
      <c r="Q2235" s="6">
        <f>OrganizedData[[#This Row],[Total Items Ordered]]*VLOOKUP(OrganizedData[[#This Row],[Product Code]],ProductData[],3,FALSE)</f>
        <v>1890.24</v>
      </c>
      <c r="R22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1833.5328</v>
      </c>
    </row>
    <row r="2236" spans="1:18" x14ac:dyDescent="0.3">
      <c r="A2236" s="2">
        <v>2229</v>
      </c>
      <c r="B2236" s="2" t="s">
        <v>6136</v>
      </c>
      <c r="C2236" s="2" t="s">
        <v>2485</v>
      </c>
      <c r="D2236" s="2" t="s">
        <v>51</v>
      </c>
      <c r="E2236" s="2" t="s">
        <v>16</v>
      </c>
      <c r="F2236" s="2">
        <v>60</v>
      </c>
      <c r="G2236" s="2" t="s">
        <v>6137</v>
      </c>
      <c r="H2236" s="2" t="s">
        <v>3774</v>
      </c>
      <c r="I2236" s="2" t="s">
        <v>187</v>
      </c>
      <c r="J2236" s="3">
        <v>44764</v>
      </c>
      <c r="K2236" s="5">
        <f>YEAR(OrganizedData[[#This Row],[Order Date]])</f>
        <v>2022</v>
      </c>
      <c r="L2236" s="7" t="str">
        <f>TEXT(OrganizedData[[#This Row],[Order Date]],"mmm")</f>
        <v>Jul</v>
      </c>
      <c r="M2236" s="2">
        <v>87</v>
      </c>
      <c r="N2236" s="2" t="s">
        <v>54</v>
      </c>
      <c r="O2236" s="2" t="str">
        <f>VLOOKUP(OrganizedData[[#This Row],[Product Code]],ProductData[[Code]:[Item]],2,FALSE)</f>
        <v>Megawidget S</v>
      </c>
      <c r="P2236" s="4">
        <f>OrganizedData[[#This Row],[Quantity]]*VLOOKUP(OrganizedData[[#This Row],[Product Code]],ProductData[],4,FALSE)</f>
        <v>2088</v>
      </c>
      <c r="Q2236" s="6">
        <f>OrganizedData[[#This Row],[Total Items Ordered]]*VLOOKUP(OrganizedData[[#This Row],[Product Code]],ProductData[],3,FALSE)</f>
        <v>1440.7199999999998</v>
      </c>
      <c r="R22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1368.6839999999997</v>
      </c>
    </row>
    <row r="2237" spans="1:18" x14ac:dyDescent="0.3">
      <c r="A2237" s="2">
        <v>2230</v>
      </c>
      <c r="B2237" s="2" t="s">
        <v>6138</v>
      </c>
      <c r="C2237" s="2" t="s">
        <v>6139</v>
      </c>
      <c r="D2237" s="2" t="s">
        <v>41</v>
      </c>
      <c r="E2237" s="2" t="s">
        <v>16</v>
      </c>
      <c r="F2237" s="2">
        <v>90</v>
      </c>
      <c r="G2237" s="2" t="s">
        <v>6140</v>
      </c>
      <c r="H2237" s="2" t="s">
        <v>4030</v>
      </c>
      <c r="I2237" s="2" t="s">
        <v>32</v>
      </c>
      <c r="J2237" s="3">
        <v>44918</v>
      </c>
      <c r="K2237" s="5">
        <f>YEAR(OrganizedData[[#This Row],[Order Date]])</f>
        <v>2022</v>
      </c>
      <c r="L2237" s="7" t="str">
        <f>TEXT(OrganizedData[[#This Row],[Order Date]],"mmm")</f>
        <v>Dec</v>
      </c>
      <c r="M2237" s="2">
        <v>22</v>
      </c>
      <c r="N2237" s="2" t="s">
        <v>80</v>
      </c>
      <c r="O2237" s="2" t="str">
        <f>VLOOKUP(OrganizedData[[#This Row],[Product Code]],ProductData[[Code]:[Item]],2,FALSE)</f>
        <v>Ultrathing V2</v>
      </c>
      <c r="P2237" s="4">
        <f>OrganizedData[[#This Row],[Quantity]]*VLOOKUP(OrganizedData[[#This Row],[Product Code]],ProductData[],4,FALSE)</f>
        <v>440</v>
      </c>
      <c r="Q2237" s="6">
        <f>OrganizedData[[#This Row],[Total Items Ordered]]*VLOOKUP(OrganizedData[[#This Row],[Product Code]],ProductData[],3,FALSE)</f>
        <v>1298</v>
      </c>
      <c r="R22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2238" spans="1:18" x14ac:dyDescent="0.3">
      <c r="A2238" s="2">
        <v>2231</v>
      </c>
      <c r="B2238" s="2" t="s">
        <v>6141</v>
      </c>
      <c r="C2238" s="2" t="s">
        <v>6142</v>
      </c>
      <c r="D2238" s="2" t="s">
        <v>41</v>
      </c>
      <c r="E2238" s="2" t="s">
        <v>16</v>
      </c>
      <c r="F2238" s="2">
        <v>60</v>
      </c>
      <c r="G2238" s="2" t="s">
        <v>6143</v>
      </c>
      <c r="H2238" s="2" t="s">
        <v>1131</v>
      </c>
      <c r="I2238" s="2" t="s">
        <v>32</v>
      </c>
      <c r="J2238" s="3">
        <v>44360</v>
      </c>
      <c r="K2238" s="5">
        <f>YEAR(OrganizedData[[#This Row],[Order Date]])</f>
        <v>2021</v>
      </c>
      <c r="L2238" s="7" t="str">
        <f>TEXT(OrganizedData[[#This Row],[Order Date]],"mmm")</f>
        <v>Jun</v>
      </c>
      <c r="M2238" s="2">
        <v>12</v>
      </c>
      <c r="N2238" s="2" t="s">
        <v>39</v>
      </c>
      <c r="O2238" s="2" t="str">
        <f>VLOOKUP(OrganizedData[[#This Row],[Product Code]],ProductData[[Code]:[Item]],2,FALSE)</f>
        <v>Ultrathing V1</v>
      </c>
      <c r="P2238" s="4">
        <f>OrganizedData[[#This Row],[Quantity]]*VLOOKUP(OrganizedData[[#This Row],[Product Code]],ProductData[],4,FALSE)</f>
        <v>204</v>
      </c>
      <c r="Q2238" s="6">
        <f>OrganizedData[[#This Row],[Total Items Ordered]]*VLOOKUP(OrganizedData[[#This Row],[Product Code]],ProductData[],3,FALSE)</f>
        <v>365.16</v>
      </c>
      <c r="R22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2239" spans="1:18" x14ac:dyDescent="0.3">
      <c r="A2239" s="2">
        <v>2232</v>
      </c>
      <c r="B2239" s="2" t="s">
        <v>6144</v>
      </c>
      <c r="C2239" s="2" t="s">
        <v>2951</v>
      </c>
      <c r="D2239" s="2" t="s">
        <v>28</v>
      </c>
      <c r="E2239" s="2" t="s">
        <v>29</v>
      </c>
      <c r="F2239" s="2">
        <v>30</v>
      </c>
      <c r="G2239" s="2" t="s">
        <v>6145</v>
      </c>
      <c r="H2239" s="2" t="s">
        <v>4713</v>
      </c>
      <c r="I2239" s="2" t="s">
        <v>294</v>
      </c>
      <c r="J2239" s="3">
        <v>44616</v>
      </c>
      <c r="K2239" s="5">
        <f>YEAR(OrganizedData[[#This Row],[Order Date]])</f>
        <v>2022</v>
      </c>
      <c r="L2239" s="7" t="str">
        <f>TEXT(OrganizedData[[#This Row],[Order Date]],"mmm")</f>
        <v>Feb</v>
      </c>
      <c r="M2239" s="2">
        <v>73</v>
      </c>
      <c r="N2239" s="2" t="s">
        <v>159</v>
      </c>
      <c r="O2239" s="2" t="str">
        <f>VLOOKUP(OrganizedData[[#This Row],[Product Code]],ProductData[[Code]:[Item]],2,FALSE)</f>
        <v>Ultrathing V3</v>
      </c>
      <c r="P2239" s="4">
        <f>OrganizedData[[#This Row],[Quantity]]*VLOOKUP(OrganizedData[[#This Row],[Product Code]],ProductData[],4,FALSE)</f>
        <v>1752</v>
      </c>
      <c r="Q2239" s="6">
        <f>OrganizedData[[#This Row],[Total Items Ordered]]*VLOOKUP(OrganizedData[[#This Row],[Product Code]],ProductData[],3,FALSE)</f>
        <v>5939.2800000000007</v>
      </c>
      <c r="R22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2240" spans="1:18" x14ac:dyDescent="0.3">
      <c r="A2240" s="2">
        <v>2233</v>
      </c>
      <c r="B2240" s="2" t="s">
        <v>127</v>
      </c>
      <c r="C2240" s="2" t="s">
        <v>6146</v>
      </c>
      <c r="D2240" s="2" t="s">
        <v>28</v>
      </c>
      <c r="E2240" s="2" t="s">
        <v>29</v>
      </c>
      <c r="F2240" s="2">
        <v>30</v>
      </c>
      <c r="G2240" s="2" t="s">
        <v>6147</v>
      </c>
      <c r="H2240" s="2" t="s">
        <v>6148</v>
      </c>
      <c r="I2240" s="2" t="s">
        <v>110</v>
      </c>
      <c r="J2240" s="3">
        <v>44011</v>
      </c>
      <c r="K2240" s="5">
        <f>YEAR(OrganizedData[[#This Row],[Order Date]])</f>
        <v>2020</v>
      </c>
      <c r="L2240" s="7" t="str">
        <f>TEXT(OrganizedData[[#This Row],[Order Date]],"mmm")</f>
        <v>Jun</v>
      </c>
      <c r="M2240" s="2">
        <v>58</v>
      </c>
      <c r="N2240" s="2" t="s">
        <v>159</v>
      </c>
      <c r="O2240" s="2" t="str">
        <f>VLOOKUP(OrganizedData[[#This Row],[Product Code]],ProductData[[Code]:[Item]],2,FALSE)</f>
        <v>Ultrathing V3</v>
      </c>
      <c r="P2240" s="4">
        <f>OrganizedData[[#This Row],[Quantity]]*VLOOKUP(OrganizedData[[#This Row],[Product Code]],ProductData[],4,FALSE)</f>
        <v>1392</v>
      </c>
      <c r="Q2240" s="6">
        <f>OrganizedData[[#This Row],[Total Items Ordered]]*VLOOKUP(OrganizedData[[#This Row],[Product Code]],ProductData[],3,FALSE)</f>
        <v>4718.88</v>
      </c>
      <c r="R22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2241" spans="1:18" x14ac:dyDescent="0.3">
      <c r="A2241" s="2">
        <v>2234</v>
      </c>
      <c r="B2241" s="2" t="s">
        <v>6149</v>
      </c>
      <c r="C2241" s="2" t="s">
        <v>5428</v>
      </c>
      <c r="D2241" s="2" t="s">
        <v>28</v>
      </c>
      <c r="E2241" s="2" t="s">
        <v>29</v>
      </c>
      <c r="F2241" s="2">
        <v>30</v>
      </c>
      <c r="G2241" s="2" t="s">
        <v>10520</v>
      </c>
      <c r="H2241" s="2" t="s">
        <v>655</v>
      </c>
      <c r="I2241" s="2" t="s">
        <v>32</v>
      </c>
      <c r="J2241" s="3">
        <v>44014</v>
      </c>
      <c r="K2241" s="5">
        <f>YEAR(OrganizedData[[#This Row],[Order Date]])</f>
        <v>2020</v>
      </c>
      <c r="L2241" s="7" t="str">
        <f>TEXT(OrganizedData[[#This Row],[Order Date]],"mmm")</f>
        <v>Jul</v>
      </c>
      <c r="M2241" s="2">
        <v>31</v>
      </c>
      <c r="N2241" s="2" t="s">
        <v>33</v>
      </c>
      <c r="O2241" s="2" t="str">
        <f>VLOOKUP(OrganizedData[[#This Row],[Product Code]],ProductData[[Code]:[Item]],2,FALSE)</f>
        <v>Megawidget L</v>
      </c>
      <c r="P2241" s="4">
        <f>OrganizedData[[#This Row],[Quantity]]*VLOOKUP(OrganizedData[[#This Row],[Product Code]],ProductData[],4,FALSE)</f>
        <v>744</v>
      </c>
      <c r="Q2241" s="6">
        <f>OrganizedData[[#This Row],[Total Items Ordered]]*VLOOKUP(OrganizedData[[#This Row],[Product Code]],ProductData[],3,FALSE)</f>
        <v>1331.76</v>
      </c>
      <c r="R22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1291.8072</v>
      </c>
    </row>
    <row r="2242" spans="1:18" x14ac:dyDescent="0.3">
      <c r="A2242" s="2">
        <v>2235</v>
      </c>
      <c r="B2242" s="2" t="s">
        <v>6151</v>
      </c>
      <c r="C2242" s="2" t="s">
        <v>4561</v>
      </c>
      <c r="D2242" s="2" t="s">
        <v>28</v>
      </c>
      <c r="E2242" s="2" t="s">
        <v>29</v>
      </c>
      <c r="F2242" s="2">
        <v>30</v>
      </c>
      <c r="G2242" s="2" t="s">
        <v>6152</v>
      </c>
      <c r="H2242" s="2" t="s">
        <v>1948</v>
      </c>
      <c r="I2242" s="2" t="s">
        <v>25</v>
      </c>
      <c r="J2242" s="3">
        <v>44583</v>
      </c>
      <c r="K2242" s="5">
        <f>YEAR(OrganizedData[[#This Row],[Order Date]])</f>
        <v>2022</v>
      </c>
      <c r="L2242" s="7" t="str">
        <f>TEXT(OrganizedData[[#This Row],[Order Date]],"mmm")</f>
        <v>Jan</v>
      </c>
      <c r="M2242" s="2">
        <v>74</v>
      </c>
      <c r="N2242" s="2" t="s">
        <v>54</v>
      </c>
      <c r="O2242" s="2" t="str">
        <f>VLOOKUP(OrganizedData[[#This Row],[Product Code]],ProductData[[Code]:[Item]],2,FALSE)</f>
        <v>Megawidget S</v>
      </c>
      <c r="P2242" s="4">
        <f>OrganizedData[[#This Row],[Quantity]]*VLOOKUP(OrganizedData[[#This Row],[Product Code]],ProductData[],4,FALSE)</f>
        <v>1776</v>
      </c>
      <c r="Q2242" s="6">
        <f>OrganizedData[[#This Row],[Total Items Ordered]]*VLOOKUP(OrganizedData[[#This Row],[Product Code]],ProductData[],3,FALSE)</f>
        <v>1225.4399999999998</v>
      </c>
      <c r="R22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1164.1679999999999</v>
      </c>
    </row>
    <row r="2243" spans="1:18" x14ac:dyDescent="0.3">
      <c r="A2243" s="2">
        <v>2236</v>
      </c>
      <c r="B2243" s="2" t="s">
        <v>5834</v>
      </c>
      <c r="C2243" s="2" t="s">
        <v>2806</v>
      </c>
      <c r="D2243" s="2" t="s">
        <v>15</v>
      </c>
      <c r="E2243" s="2" t="s">
        <v>16</v>
      </c>
      <c r="F2243" s="2">
        <v>30</v>
      </c>
      <c r="G2243" s="2" t="s">
        <v>10521</v>
      </c>
      <c r="H2243" s="2" t="s">
        <v>6154</v>
      </c>
      <c r="I2243" s="2" t="s">
        <v>38</v>
      </c>
      <c r="J2243" s="3">
        <v>44253</v>
      </c>
      <c r="K2243" s="5">
        <f>YEAR(OrganizedData[[#This Row],[Order Date]])</f>
        <v>2021</v>
      </c>
      <c r="L2243" s="7" t="str">
        <f>TEXT(OrganizedData[[#This Row],[Order Date]],"mmm")</f>
        <v>Feb</v>
      </c>
      <c r="M2243" s="2">
        <v>30</v>
      </c>
      <c r="N2243" s="2" t="s">
        <v>159</v>
      </c>
      <c r="O2243" s="2" t="str">
        <f>VLOOKUP(OrganizedData[[#This Row],[Product Code]],ProductData[[Code]:[Item]],2,FALSE)</f>
        <v>Ultrathing V3</v>
      </c>
      <c r="P2243" s="4">
        <f>OrganizedData[[#This Row],[Quantity]]*VLOOKUP(OrganizedData[[#This Row],[Product Code]],ProductData[],4,FALSE)</f>
        <v>720</v>
      </c>
      <c r="Q2243" s="6">
        <f>OrganizedData[[#This Row],[Total Items Ordered]]*VLOOKUP(OrganizedData[[#This Row],[Product Code]],ProductData[],3,FALSE)</f>
        <v>2440.8000000000002</v>
      </c>
      <c r="R22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2367.576</v>
      </c>
    </row>
    <row r="2244" spans="1:18" x14ac:dyDescent="0.3">
      <c r="A2244" s="2">
        <v>2237</v>
      </c>
      <c r="B2244" s="2" t="s">
        <v>4599</v>
      </c>
      <c r="C2244" s="2" t="s">
        <v>3935</v>
      </c>
      <c r="D2244" s="2" t="s">
        <v>28</v>
      </c>
      <c r="E2244" s="2" t="s">
        <v>29</v>
      </c>
      <c r="F2244" s="2">
        <v>90</v>
      </c>
      <c r="G2244" s="2" t="s">
        <v>6155</v>
      </c>
      <c r="H2244" s="2" t="s">
        <v>1548</v>
      </c>
      <c r="I2244" s="2" t="s">
        <v>1549</v>
      </c>
      <c r="J2244" s="3">
        <v>44166</v>
      </c>
      <c r="K2244" s="5">
        <f>YEAR(OrganizedData[[#This Row],[Order Date]])</f>
        <v>2020</v>
      </c>
      <c r="L2244" s="7" t="str">
        <f>TEXT(OrganizedData[[#This Row],[Order Date]],"mmm")</f>
        <v>Dec</v>
      </c>
      <c r="M2244" s="2">
        <v>73</v>
      </c>
      <c r="N2244" s="2" t="s">
        <v>159</v>
      </c>
      <c r="O2244" s="2" t="str">
        <f>VLOOKUP(OrganizedData[[#This Row],[Product Code]],ProductData[[Code]:[Item]],2,FALSE)</f>
        <v>Ultrathing V3</v>
      </c>
      <c r="P2244" s="4">
        <f>OrganizedData[[#This Row],[Quantity]]*VLOOKUP(OrganizedData[[#This Row],[Product Code]],ProductData[],4,FALSE)</f>
        <v>1752</v>
      </c>
      <c r="Q2244" s="6">
        <f>OrganizedData[[#This Row],[Total Items Ordered]]*VLOOKUP(OrganizedData[[#This Row],[Product Code]],ProductData[],3,FALSE)</f>
        <v>5939.2800000000007</v>
      </c>
      <c r="R22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2245" spans="1:18" x14ac:dyDescent="0.3">
      <c r="A2245" s="2">
        <v>2238</v>
      </c>
      <c r="B2245" s="2" t="s">
        <v>3548</v>
      </c>
      <c r="C2245" s="2" t="s">
        <v>3997</v>
      </c>
      <c r="D2245" s="2" t="s">
        <v>28</v>
      </c>
      <c r="E2245" s="2" t="s">
        <v>29</v>
      </c>
      <c r="F2245" s="2">
        <v>30</v>
      </c>
      <c r="G2245" s="2" t="s">
        <v>6156</v>
      </c>
      <c r="H2245" s="2" t="s">
        <v>1896</v>
      </c>
      <c r="I2245" s="2" t="s">
        <v>294</v>
      </c>
      <c r="J2245" s="3">
        <v>44442</v>
      </c>
      <c r="K2245" s="5">
        <f>YEAR(OrganizedData[[#This Row],[Order Date]])</f>
        <v>2021</v>
      </c>
      <c r="L2245" s="7" t="str">
        <f>TEXT(OrganizedData[[#This Row],[Order Date]],"mmm")</f>
        <v>Sep</v>
      </c>
      <c r="M2245" s="2">
        <v>75</v>
      </c>
      <c r="N2245" s="2" t="s">
        <v>64</v>
      </c>
      <c r="O2245" s="2" t="str">
        <f>VLOOKUP(OrganizedData[[#This Row],[Product Code]],ProductData[[Code]:[Item]],2,FALSE)</f>
        <v>Ultrathing V4</v>
      </c>
      <c r="P2245" s="4">
        <f>OrganizedData[[#This Row],[Quantity]]*VLOOKUP(OrganizedData[[#This Row],[Product Code]],ProductData[],4,FALSE)</f>
        <v>1800</v>
      </c>
      <c r="Q2245" s="6">
        <f>OrganizedData[[#This Row],[Total Items Ordered]]*VLOOKUP(OrganizedData[[#This Row],[Product Code]],ProductData[],3,FALSE)</f>
        <v>7182</v>
      </c>
      <c r="R22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6822.9</v>
      </c>
    </row>
    <row r="2246" spans="1:18" x14ac:dyDescent="0.3">
      <c r="A2246" s="2">
        <v>2239</v>
      </c>
      <c r="B2246" s="2" t="s">
        <v>899</v>
      </c>
      <c r="C2246" s="2" t="s">
        <v>3509</v>
      </c>
      <c r="D2246" s="2" t="s">
        <v>28</v>
      </c>
      <c r="E2246" s="2" t="s">
        <v>29</v>
      </c>
      <c r="F2246" s="2">
        <v>90</v>
      </c>
      <c r="G2246" s="2" t="s">
        <v>6157</v>
      </c>
      <c r="H2246" s="2" t="s">
        <v>946</v>
      </c>
      <c r="I2246" s="2" t="s">
        <v>947</v>
      </c>
      <c r="J2246" s="3">
        <v>43860</v>
      </c>
      <c r="K2246" s="5">
        <f>YEAR(OrganizedData[[#This Row],[Order Date]])</f>
        <v>2020</v>
      </c>
      <c r="L2246" s="7" t="str">
        <f>TEXT(OrganizedData[[#This Row],[Order Date]],"mmm")</f>
        <v>Jan</v>
      </c>
      <c r="M2246" s="2">
        <v>48</v>
      </c>
      <c r="N2246" s="2" t="s">
        <v>70</v>
      </c>
      <c r="O2246" s="2" t="str">
        <f>VLOOKUP(OrganizedData[[#This Row],[Product Code]],ProductData[[Code]:[Item]],2,FALSE)</f>
        <v>Megawidget M</v>
      </c>
      <c r="P2246" s="4">
        <f>OrganizedData[[#This Row],[Quantity]]*VLOOKUP(OrganizedData[[#This Row],[Product Code]],ProductData[],4,FALSE)</f>
        <v>1152</v>
      </c>
      <c r="Q2246" s="6">
        <f>OrganizedData[[#This Row],[Total Items Ordered]]*VLOOKUP(OrganizedData[[#This Row],[Product Code]],ProductData[],3,FALSE)</f>
        <v>1486.08</v>
      </c>
      <c r="R22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2247" spans="1:18" x14ac:dyDescent="0.3">
      <c r="A2247" s="2">
        <v>2240</v>
      </c>
      <c r="B2247" s="2" t="s">
        <v>6158</v>
      </c>
      <c r="C2247" s="2" t="s">
        <v>1682</v>
      </c>
      <c r="D2247" s="2" t="s">
        <v>51</v>
      </c>
      <c r="E2247" s="2" t="s">
        <v>16</v>
      </c>
      <c r="F2247" s="2">
        <v>90</v>
      </c>
      <c r="G2247" s="2" t="s">
        <v>6159</v>
      </c>
      <c r="H2247" s="2" t="s">
        <v>3365</v>
      </c>
      <c r="I2247" s="2" t="s">
        <v>146</v>
      </c>
      <c r="J2247" s="3">
        <v>44012</v>
      </c>
      <c r="K2247" s="5">
        <f>YEAR(OrganizedData[[#This Row],[Order Date]])</f>
        <v>2020</v>
      </c>
      <c r="L2247" s="7" t="str">
        <f>TEXT(OrganizedData[[#This Row],[Order Date]],"mmm")</f>
        <v>Jun</v>
      </c>
      <c r="M2247" s="2">
        <v>6</v>
      </c>
      <c r="N2247" s="2" t="s">
        <v>159</v>
      </c>
      <c r="O2247" s="2" t="str">
        <f>VLOOKUP(OrganizedData[[#This Row],[Product Code]],ProductData[[Code]:[Item]],2,FALSE)</f>
        <v>Ultrathing V3</v>
      </c>
      <c r="P2247" s="4">
        <f>OrganizedData[[#This Row],[Quantity]]*VLOOKUP(OrganizedData[[#This Row],[Product Code]],ProductData[],4,FALSE)</f>
        <v>144</v>
      </c>
      <c r="Q2247" s="6">
        <f>OrganizedData[[#This Row],[Total Items Ordered]]*VLOOKUP(OrganizedData[[#This Row],[Product Code]],ProductData[],3,FALSE)</f>
        <v>488.16</v>
      </c>
      <c r="R22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488.16</v>
      </c>
    </row>
    <row r="2248" spans="1:18" x14ac:dyDescent="0.3">
      <c r="A2248" s="2">
        <v>2241</v>
      </c>
      <c r="B2248" s="2" t="s">
        <v>2480</v>
      </c>
      <c r="C2248" s="2" t="s">
        <v>2922</v>
      </c>
      <c r="D2248" s="2" t="s">
        <v>15</v>
      </c>
      <c r="E2248" s="2" t="s">
        <v>16</v>
      </c>
      <c r="F2248" s="2">
        <v>30</v>
      </c>
      <c r="G2248" s="2" t="s">
        <v>6160</v>
      </c>
      <c r="H2248" s="2" t="s">
        <v>1333</v>
      </c>
      <c r="I2248" s="2" t="s">
        <v>294</v>
      </c>
      <c r="J2248" s="3">
        <v>44877</v>
      </c>
      <c r="K2248" s="5">
        <f>YEAR(OrganizedData[[#This Row],[Order Date]])</f>
        <v>2022</v>
      </c>
      <c r="L2248" s="7" t="str">
        <f>TEXT(OrganizedData[[#This Row],[Order Date]],"mmm")</f>
        <v>Nov</v>
      </c>
      <c r="M2248" s="2">
        <v>93</v>
      </c>
      <c r="N2248" s="2" t="s">
        <v>64</v>
      </c>
      <c r="O2248" s="2" t="str">
        <f>VLOOKUP(OrganizedData[[#This Row],[Product Code]],ProductData[[Code]:[Item]],2,FALSE)</f>
        <v>Ultrathing V4</v>
      </c>
      <c r="P2248" s="4">
        <f>OrganizedData[[#This Row],[Quantity]]*VLOOKUP(OrganizedData[[#This Row],[Product Code]],ProductData[],4,FALSE)</f>
        <v>2232</v>
      </c>
      <c r="Q2248" s="6">
        <f>OrganizedData[[#This Row],[Total Items Ordered]]*VLOOKUP(OrganizedData[[#This Row],[Product Code]],ProductData[],3,FALSE)</f>
        <v>8905.68</v>
      </c>
      <c r="R22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8460.3960000000006</v>
      </c>
    </row>
    <row r="2249" spans="1:18" x14ac:dyDescent="0.3">
      <c r="A2249" s="2">
        <v>2242</v>
      </c>
      <c r="B2249" s="2" t="s">
        <v>6161</v>
      </c>
      <c r="C2249" s="2" t="s">
        <v>588</v>
      </c>
      <c r="D2249" s="2" t="s">
        <v>51</v>
      </c>
      <c r="E2249" s="2" t="s">
        <v>16</v>
      </c>
      <c r="F2249" s="2">
        <v>60</v>
      </c>
      <c r="G2249" s="2" t="s">
        <v>6162</v>
      </c>
      <c r="H2249" s="2" t="s">
        <v>1095</v>
      </c>
      <c r="I2249" s="2" t="s">
        <v>178</v>
      </c>
      <c r="J2249" s="3">
        <v>43889</v>
      </c>
      <c r="K2249" s="5">
        <f>YEAR(OrganizedData[[#This Row],[Order Date]])</f>
        <v>2020</v>
      </c>
      <c r="L2249" s="7" t="str">
        <f>TEXT(OrganizedData[[#This Row],[Order Date]],"mmm")</f>
        <v>Feb</v>
      </c>
      <c r="M2249" s="2">
        <v>23</v>
      </c>
      <c r="N2249" s="2" t="s">
        <v>54</v>
      </c>
      <c r="O2249" s="2" t="str">
        <f>VLOOKUP(OrganizedData[[#This Row],[Product Code]],ProductData[[Code]:[Item]],2,FALSE)</f>
        <v>Megawidget S</v>
      </c>
      <c r="P2249" s="4">
        <f>OrganizedData[[#This Row],[Quantity]]*VLOOKUP(OrganizedData[[#This Row],[Product Code]],ProductData[],4,FALSE)</f>
        <v>552</v>
      </c>
      <c r="Q2249" s="6">
        <f>OrganizedData[[#This Row],[Total Items Ordered]]*VLOOKUP(OrganizedData[[#This Row],[Product Code]],ProductData[],3,FALSE)</f>
        <v>380.88</v>
      </c>
      <c r="R22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369.45359999999999</v>
      </c>
    </row>
    <row r="2250" spans="1:18" x14ac:dyDescent="0.3">
      <c r="A2250" s="2">
        <v>2243</v>
      </c>
      <c r="B2250" s="2" t="s">
        <v>2263</v>
      </c>
      <c r="C2250" s="2" t="s">
        <v>4481</v>
      </c>
      <c r="D2250" s="2" t="s">
        <v>15</v>
      </c>
      <c r="E2250" s="2" t="s">
        <v>16</v>
      </c>
      <c r="F2250" s="2">
        <v>30</v>
      </c>
      <c r="G2250" s="2" t="s">
        <v>6163</v>
      </c>
      <c r="H2250" s="2" t="s">
        <v>2875</v>
      </c>
      <c r="I2250" s="2" t="s">
        <v>32</v>
      </c>
      <c r="J2250" s="3">
        <v>44777</v>
      </c>
      <c r="K2250" s="5">
        <f>YEAR(OrganizedData[[#This Row],[Order Date]])</f>
        <v>2022</v>
      </c>
      <c r="L2250" s="7" t="str">
        <f>TEXT(OrganizedData[[#This Row],[Order Date]],"mmm")</f>
        <v>Aug</v>
      </c>
      <c r="M2250" s="2">
        <v>59</v>
      </c>
      <c r="N2250" s="2" t="s">
        <v>70</v>
      </c>
      <c r="O2250" s="2" t="str">
        <f>VLOOKUP(OrganizedData[[#This Row],[Product Code]],ProductData[[Code]:[Item]],2,FALSE)</f>
        <v>Megawidget M</v>
      </c>
      <c r="P2250" s="4">
        <f>OrganizedData[[#This Row],[Quantity]]*VLOOKUP(OrganizedData[[#This Row],[Product Code]],ProductData[],4,FALSE)</f>
        <v>1416</v>
      </c>
      <c r="Q2250" s="6">
        <f>OrganizedData[[#This Row],[Total Items Ordered]]*VLOOKUP(OrganizedData[[#This Row],[Product Code]],ProductData[],3,FALSE)</f>
        <v>1826.64</v>
      </c>
      <c r="R22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2251" spans="1:18" x14ac:dyDescent="0.3">
      <c r="A2251" s="2">
        <v>2244</v>
      </c>
      <c r="B2251" s="2" t="s">
        <v>1998</v>
      </c>
      <c r="C2251" s="2" t="s">
        <v>1779</v>
      </c>
      <c r="D2251" s="2" t="s">
        <v>28</v>
      </c>
      <c r="E2251" s="2" t="s">
        <v>29</v>
      </c>
      <c r="F2251" s="2">
        <v>30</v>
      </c>
      <c r="G2251" s="2" t="s">
        <v>10438</v>
      </c>
      <c r="H2251" s="2" t="s">
        <v>908</v>
      </c>
      <c r="I2251" s="2" t="s">
        <v>575</v>
      </c>
      <c r="J2251" s="3">
        <v>44800</v>
      </c>
      <c r="K2251" s="5">
        <f>YEAR(OrganizedData[[#This Row],[Order Date]])</f>
        <v>2022</v>
      </c>
      <c r="L2251" s="7" t="str">
        <f>TEXT(OrganizedData[[#This Row],[Order Date]],"mmm")</f>
        <v>Aug</v>
      </c>
      <c r="M2251" s="2">
        <v>36</v>
      </c>
      <c r="N2251" s="2" t="s">
        <v>39</v>
      </c>
      <c r="O2251" s="2" t="str">
        <f>VLOOKUP(OrganizedData[[#This Row],[Product Code]],ProductData[[Code]:[Item]],2,FALSE)</f>
        <v>Ultrathing V1</v>
      </c>
      <c r="P2251" s="4">
        <f>OrganizedData[[#This Row],[Quantity]]*VLOOKUP(OrganizedData[[#This Row],[Product Code]],ProductData[],4,FALSE)</f>
        <v>612</v>
      </c>
      <c r="Q2251" s="6">
        <f>OrganizedData[[#This Row],[Total Items Ordered]]*VLOOKUP(OrganizedData[[#This Row],[Product Code]],ProductData[],3,FALSE)</f>
        <v>1095.48</v>
      </c>
      <c r="R22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2252" spans="1:18" x14ac:dyDescent="0.3">
      <c r="A2252" s="2">
        <v>2245</v>
      </c>
      <c r="B2252" s="2" t="s">
        <v>6165</v>
      </c>
      <c r="C2252" s="2" t="s">
        <v>2690</v>
      </c>
      <c r="D2252" s="2" t="s">
        <v>51</v>
      </c>
      <c r="E2252" s="2" t="s">
        <v>16</v>
      </c>
      <c r="F2252" s="2">
        <v>60</v>
      </c>
      <c r="G2252" s="2" t="s">
        <v>10438</v>
      </c>
      <c r="H2252" s="2" t="s">
        <v>5340</v>
      </c>
      <c r="I2252" s="2" t="s">
        <v>32</v>
      </c>
      <c r="J2252" s="3">
        <v>43925</v>
      </c>
      <c r="K2252" s="5">
        <f>YEAR(OrganizedData[[#This Row],[Order Date]])</f>
        <v>2020</v>
      </c>
      <c r="L2252" s="7" t="str">
        <f>TEXT(OrganizedData[[#This Row],[Order Date]],"mmm")</f>
        <v>Apr</v>
      </c>
      <c r="M2252" s="2">
        <v>27</v>
      </c>
      <c r="N2252" s="2" t="s">
        <v>70</v>
      </c>
      <c r="O2252" s="2" t="str">
        <f>VLOOKUP(OrganizedData[[#This Row],[Product Code]],ProductData[[Code]:[Item]],2,FALSE)</f>
        <v>Megawidget M</v>
      </c>
      <c r="P2252" s="4">
        <f>OrganizedData[[#This Row],[Quantity]]*VLOOKUP(OrganizedData[[#This Row],[Product Code]],ProductData[],4,FALSE)</f>
        <v>648</v>
      </c>
      <c r="Q2252" s="6">
        <f>OrganizedData[[#This Row],[Total Items Ordered]]*VLOOKUP(OrganizedData[[#This Row],[Product Code]],ProductData[],3,FALSE)</f>
        <v>835.92000000000007</v>
      </c>
      <c r="R22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810.8424</v>
      </c>
    </row>
    <row r="2253" spans="1:18" x14ac:dyDescent="0.3">
      <c r="A2253" s="2">
        <v>2246</v>
      </c>
      <c r="B2253" s="2" t="s">
        <v>6166</v>
      </c>
      <c r="C2253" s="2" t="s">
        <v>2422</v>
      </c>
      <c r="D2253" s="2" t="s">
        <v>28</v>
      </c>
      <c r="E2253" s="2" t="s">
        <v>29</v>
      </c>
      <c r="F2253" s="2">
        <v>60</v>
      </c>
      <c r="G2253" s="2" t="s">
        <v>6167</v>
      </c>
      <c r="H2253" s="2" t="s">
        <v>6168</v>
      </c>
      <c r="I2253" s="2" t="s">
        <v>294</v>
      </c>
      <c r="J2253" s="3">
        <v>43963</v>
      </c>
      <c r="K2253" s="5">
        <f>YEAR(OrganizedData[[#This Row],[Order Date]])</f>
        <v>2020</v>
      </c>
      <c r="L2253" s="7" t="str">
        <f>TEXT(OrganizedData[[#This Row],[Order Date]],"mmm")</f>
        <v>May</v>
      </c>
      <c r="M2253" s="2">
        <v>25</v>
      </c>
      <c r="N2253" s="2" t="s">
        <v>159</v>
      </c>
      <c r="O2253" s="2" t="str">
        <f>VLOOKUP(OrganizedData[[#This Row],[Product Code]],ProductData[[Code]:[Item]],2,FALSE)</f>
        <v>Ultrathing V3</v>
      </c>
      <c r="P2253" s="4">
        <f>OrganizedData[[#This Row],[Quantity]]*VLOOKUP(OrganizedData[[#This Row],[Product Code]],ProductData[],4,FALSE)</f>
        <v>600</v>
      </c>
      <c r="Q2253" s="6">
        <f>OrganizedData[[#This Row],[Total Items Ordered]]*VLOOKUP(OrganizedData[[#This Row],[Product Code]],ProductData[],3,FALSE)</f>
        <v>2034</v>
      </c>
      <c r="R22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1972.98</v>
      </c>
    </row>
    <row r="2254" spans="1:18" x14ac:dyDescent="0.3">
      <c r="A2254" s="2">
        <v>2247</v>
      </c>
      <c r="B2254" s="2" t="s">
        <v>1065</v>
      </c>
      <c r="C2254" s="2" t="s">
        <v>6169</v>
      </c>
      <c r="D2254" s="2" t="s">
        <v>28</v>
      </c>
      <c r="E2254" s="2" t="s">
        <v>29</v>
      </c>
      <c r="F2254" s="2">
        <v>90</v>
      </c>
      <c r="G2254" s="2" t="s">
        <v>6167</v>
      </c>
      <c r="H2254" s="2" t="s">
        <v>5069</v>
      </c>
      <c r="I2254" s="2" t="s">
        <v>32</v>
      </c>
      <c r="J2254" s="3">
        <v>44769</v>
      </c>
      <c r="K2254" s="5">
        <f>YEAR(OrganizedData[[#This Row],[Order Date]])</f>
        <v>2022</v>
      </c>
      <c r="L2254" s="7" t="str">
        <f>TEXT(OrganizedData[[#This Row],[Order Date]],"mmm")</f>
        <v>Jul</v>
      </c>
      <c r="M2254" s="2">
        <v>37</v>
      </c>
      <c r="N2254" s="2" t="s">
        <v>101</v>
      </c>
      <c r="O2254" s="2" t="str">
        <f>VLOOKUP(OrganizedData[[#This Row],[Product Code]],ProductData[[Code]:[Item]],2,FALSE)</f>
        <v>Superwossname</v>
      </c>
      <c r="P2254" s="4">
        <f>OrganizedData[[#This Row],[Quantity]]*VLOOKUP(OrganizedData[[#This Row],[Product Code]],ProductData[],4,FALSE)</f>
        <v>740</v>
      </c>
      <c r="Q2254" s="6">
        <f>OrganizedData[[#This Row],[Total Items Ordered]]*VLOOKUP(OrganizedData[[#This Row],[Product Code]],ProductData[],3,FALSE)</f>
        <v>2582.6000000000004</v>
      </c>
      <c r="R22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2255" spans="1:18" x14ac:dyDescent="0.3">
      <c r="A2255" s="2">
        <v>2248</v>
      </c>
      <c r="B2255" s="2" t="s">
        <v>6170</v>
      </c>
      <c r="C2255" s="2" t="s">
        <v>5541</v>
      </c>
      <c r="D2255" s="2" t="s">
        <v>28</v>
      </c>
      <c r="E2255" s="2" t="s">
        <v>29</v>
      </c>
      <c r="F2255" s="2">
        <v>30</v>
      </c>
      <c r="G2255" s="2" t="s">
        <v>6171</v>
      </c>
      <c r="H2255" s="2" t="s">
        <v>1190</v>
      </c>
      <c r="I2255" s="2" t="s">
        <v>173</v>
      </c>
      <c r="J2255" s="3">
        <v>43988</v>
      </c>
      <c r="K2255" s="5">
        <f>YEAR(OrganizedData[[#This Row],[Order Date]])</f>
        <v>2020</v>
      </c>
      <c r="L2255" s="7" t="str">
        <f>TEXT(OrganizedData[[#This Row],[Order Date]],"mmm")</f>
        <v>Jun</v>
      </c>
      <c r="M2255" s="2">
        <v>16</v>
      </c>
      <c r="N2255" s="2" t="s">
        <v>54</v>
      </c>
      <c r="O2255" s="2" t="str">
        <f>VLOOKUP(OrganizedData[[#This Row],[Product Code]],ProductData[[Code]:[Item]],2,FALSE)</f>
        <v>Megawidget S</v>
      </c>
      <c r="P2255" s="4">
        <f>OrganizedData[[#This Row],[Quantity]]*VLOOKUP(OrganizedData[[#This Row],[Product Code]],ProductData[],4,FALSE)</f>
        <v>384</v>
      </c>
      <c r="Q2255" s="6">
        <f>OrganizedData[[#This Row],[Total Items Ordered]]*VLOOKUP(OrganizedData[[#This Row],[Product Code]],ProductData[],3,FALSE)</f>
        <v>264.95999999999998</v>
      </c>
      <c r="R22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2256" spans="1:18" x14ac:dyDescent="0.3">
      <c r="A2256" s="2">
        <v>2249</v>
      </c>
      <c r="B2256" s="2" t="s">
        <v>6172</v>
      </c>
      <c r="C2256" s="2" t="s">
        <v>354</v>
      </c>
      <c r="D2256" s="2" t="s">
        <v>28</v>
      </c>
      <c r="E2256" s="2" t="s">
        <v>29</v>
      </c>
      <c r="F2256" s="2">
        <v>90</v>
      </c>
      <c r="G2256" s="2" t="s">
        <v>6173</v>
      </c>
      <c r="H2256" s="2" t="s">
        <v>1103</v>
      </c>
      <c r="I2256" s="2" t="s">
        <v>25</v>
      </c>
      <c r="J2256" s="3">
        <v>44230</v>
      </c>
      <c r="K2256" s="5">
        <f>YEAR(OrganizedData[[#This Row],[Order Date]])</f>
        <v>2021</v>
      </c>
      <c r="L2256" s="7" t="str">
        <f>TEXT(OrganizedData[[#This Row],[Order Date]],"mmm")</f>
        <v>Feb</v>
      </c>
      <c r="M2256" s="2">
        <v>49</v>
      </c>
      <c r="N2256" s="2" t="s">
        <v>80</v>
      </c>
      <c r="O2256" s="2" t="str">
        <f>VLOOKUP(OrganizedData[[#This Row],[Product Code]],ProductData[[Code]:[Item]],2,FALSE)</f>
        <v>Ultrathing V2</v>
      </c>
      <c r="P2256" s="4">
        <f>OrganizedData[[#This Row],[Quantity]]*VLOOKUP(OrganizedData[[#This Row],[Product Code]],ProductData[],4,FALSE)</f>
        <v>980</v>
      </c>
      <c r="Q2256" s="6">
        <f>OrganizedData[[#This Row],[Total Items Ordered]]*VLOOKUP(OrganizedData[[#This Row],[Product Code]],ProductData[],3,FALSE)</f>
        <v>2891</v>
      </c>
      <c r="R22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2804.27</v>
      </c>
    </row>
    <row r="2257" spans="1:18" x14ac:dyDescent="0.3">
      <c r="A2257" s="2">
        <v>2250</v>
      </c>
      <c r="B2257" s="2" t="s">
        <v>3256</v>
      </c>
      <c r="C2257" s="2" t="s">
        <v>5519</v>
      </c>
      <c r="D2257" s="2" t="s">
        <v>28</v>
      </c>
      <c r="E2257" s="2" t="s">
        <v>29</v>
      </c>
      <c r="F2257" s="2">
        <v>60</v>
      </c>
      <c r="G2257" s="2" t="s">
        <v>6174</v>
      </c>
      <c r="H2257" s="2" t="s">
        <v>4867</v>
      </c>
      <c r="I2257" s="2" t="s">
        <v>294</v>
      </c>
      <c r="J2257" s="3">
        <v>44534</v>
      </c>
      <c r="K2257" s="5">
        <f>YEAR(OrganizedData[[#This Row],[Order Date]])</f>
        <v>2021</v>
      </c>
      <c r="L2257" s="7" t="str">
        <f>TEXT(OrganizedData[[#This Row],[Order Date]],"mmm")</f>
        <v>Dec</v>
      </c>
      <c r="M2257" s="2">
        <v>2</v>
      </c>
      <c r="N2257" s="2" t="s">
        <v>39</v>
      </c>
      <c r="O2257" s="2" t="str">
        <f>VLOOKUP(OrganizedData[[#This Row],[Product Code]],ProductData[[Code]:[Item]],2,FALSE)</f>
        <v>Ultrathing V1</v>
      </c>
      <c r="P2257" s="4">
        <f>OrganizedData[[#This Row],[Quantity]]*VLOOKUP(OrganizedData[[#This Row],[Product Code]],ProductData[],4,FALSE)</f>
        <v>34</v>
      </c>
      <c r="Q2257" s="6">
        <f>OrganizedData[[#This Row],[Total Items Ordered]]*VLOOKUP(OrganizedData[[#This Row],[Product Code]],ProductData[],3,FALSE)</f>
        <v>60.86</v>
      </c>
      <c r="R22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2258" spans="1:18" x14ac:dyDescent="0.3">
      <c r="A2258" s="2">
        <v>2251</v>
      </c>
      <c r="B2258" s="2" t="s">
        <v>2734</v>
      </c>
      <c r="C2258" s="2" t="s">
        <v>4042</v>
      </c>
      <c r="D2258" s="2" t="s">
        <v>41</v>
      </c>
      <c r="E2258" s="2" t="s">
        <v>16</v>
      </c>
      <c r="F2258" s="2">
        <v>30</v>
      </c>
      <c r="G2258" s="2" t="s">
        <v>6175</v>
      </c>
      <c r="H2258" s="2" t="s">
        <v>3169</v>
      </c>
      <c r="I2258" s="2" t="s">
        <v>110</v>
      </c>
      <c r="J2258" s="3">
        <v>44114</v>
      </c>
      <c r="K2258" s="5">
        <f>YEAR(OrganizedData[[#This Row],[Order Date]])</f>
        <v>2020</v>
      </c>
      <c r="L2258" s="7" t="str">
        <f>TEXT(OrganizedData[[#This Row],[Order Date]],"mmm")</f>
        <v>Oct</v>
      </c>
      <c r="M2258" s="2">
        <v>26</v>
      </c>
      <c r="N2258" s="2" t="s">
        <v>54</v>
      </c>
      <c r="O2258" s="2" t="str">
        <f>VLOOKUP(OrganizedData[[#This Row],[Product Code]],ProductData[[Code]:[Item]],2,FALSE)</f>
        <v>Megawidget S</v>
      </c>
      <c r="P2258" s="4">
        <f>OrganizedData[[#This Row],[Quantity]]*VLOOKUP(OrganizedData[[#This Row],[Product Code]],ProductData[],4,FALSE)</f>
        <v>624</v>
      </c>
      <c r="Q2258" s="6">
        <f>OrganizedData[[#This Row],[Total Items Ordered]]*VLOOKUP(OrganizedData[[#This Row],[Product Code]],ProductData[],3,FALSE)</f>
        <v>430.55999999999995</v>
      </c>
      <c r="R22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417.64319999999992</v>
      </c>
    </row>
    <row r="2259" spans="1:18" x14ac:dyDescent="0.3">
      <c r="A2259" s="2">
        <v>2252</v>
      </c>
      <c r="B2259" s="2" t="s">
        <v>6176</v>
      </c>
      <c r="C2259" s="2" t="s">
        <v>4766</v>
      </c>
      <c r="D2259" s="2" t="s">
        <v>28</v>
      </c>
      <c r="E2259" s="2" t="s">
        <v>29</v>
      </c>
      <c r="F2259" s="2">
        <v>90</v>
      </c>
      <c r="G2259" s="2" t="s">
        <v>6177</v>
      </c>
      <c r="H2259" s="2" t="s">
        <v>2069</v>
      </c>
      <c r="I2259" s="2" t="s">
        <v>1035</v>
      </c>
      <c r="J2259" s="3">
        <v>44255</v>
      </c>
      <c r="K2259" s="5">
        <f>YEAR(OrganizedData[[#This Row],[Order Date]])</f>
        <v>2021</v>
      </c>
      <c r="L2259" s="7" t="str">
        <f>TEXT(OrganizedData[[#This Row],[Order Date]],"mmm")</f>
        <v>Feb</v>
      </c>
      <c r="M2259" s="2">
        <v>10</v>
      </c>
      <c r="N2259" s="2" t="s">
        <v>20</v>
      </c>
      <c r="O2259" s="2" t="str">
        <f>VLOOKUP(OrganizedData[[#This Row],[Product Code]],ProductData[[Code]:[Item]],2,FALSE)</f>
        <v>Hyperwotsit</v>
      </c>
      <c r="P2259" s="4">
        <f>OrganizedData[[#This Row],[Quantity]]*VLOOKUP(OrganizedData[[#This Row],[Product Code]],ProductData[],4,FALSE)</f>
        <v>200</v>
      </c>
      <c r="Q2259" s="6">
        <f>OrganizedData[[#This Row],[Total Items Ordered]]*VLOOKUP(OrganizedData[[#This Row],[Product Code]],ProductData[],3,FALSE)</f>
        <v>401.99999999999994</v>
      </c>
      <c r="R22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401.99999999999994</v>
      </c>
    </row>
    <row r="2260" spans="1:18" x14ac:dyDescent="0.3">
      <c r="A2260" s="2">
        <v>2253</v>
      </c>
      <c r="B2260" s="2" t="s">
        <v>2520</v>
      </c>
      <c r="C2260" s="2" t="s">
        <v>1376</v>
      </c>
      <c r="D2260" s="2" t="s">
        <v>28</v>
      </c>
      <c r="E2260" s="2" t="s">
        <v>29</v>
      </c>
      <c r="F2260" s="2">
        <v>90</v>
      </c>
      <c r="G2260" s="2" t="s">
        <v>6178</v>
      </c>
      <c r="H2260" s="2" t="s">
        <v>1206</v>
      </c>
      <c r="I2260" s="2" t="s">
        <v>294</v>
      </c>
      <c r="J2260" s="3">
        <v>44205</v>
      </c>
      <c r="K2260" s="5">
        <f>YEAR(OrganizedData[[#This Row],[Order Date]])</f>
        <v>2021</v>
      </c>
      <c r="L2260" s="7" t="str">
        <f>TEXT(OrganizedData[[#This Row],[Order Date]],"mmm")</f>
        <v>Jan</v>
      </c>
      <c r="M2260" s="2">
        <v>65</v>
      </c>
      <c r="N2260" s="2" t="s">
        <v>80</v>
      </c>
      <c r="O2260" s="2" t="str">
        <f>VLOOKUP(OrganizedData[[#This Row],[Product Code]],ProductData[[Code]:[Item]],2,FALSE)</f>
        <v>Ultrathing V2</v>
      </c>
      <c r="P2260" s="4">
        <f>OrganizedData[[#This Row],[Quantity]]*VLOOKUP(OrganizedData[[#This Row],[Product Code]],ProductData[],4,FALSE)</f>
        <v>1300</v>
      </c>
      <c r="Q2260" s="6">
        <f>OrganizedData[[#This Row],[Total Items Ordered]]*VLOOKUP(OrganizedData[[#This Row],[Product Code]],ProductData[],3,FALSE)</f>
        <v>3835.0000000000005</v>
      </c>
      <c r="R22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3643.2500000000005</v>
      </c>
    </row>
    <row r="2261" spans="1:18" x14ac:dyDescent="0.3">
      <c r="A2261" s="2">
        <v>2254</v>
      </c>
      <c r="B2261" s="2" t="s">
        <v>2760</v>
      </c>
      <c r="C2261" s="2" t="s">
        <v>512</v>
      </c>
      <c r="D2261" s="2" t="s">
        <v>15</v>
      </c>
      <c r="E2261" s="2" t="s">
        <v>16</v>
      </c>
      <c r="F2261" s="2">
        <v>60</v>
      </c>
      <c r="G2261" s="2" t="s">
        <v>6179</v>
      </c>
      <c r="H2261" s="2" t="s">
        <v>5603</v>
      </c>
      <c r="I2261" s="2" t="s">
        <v>32</v>
      </c>
      <c r="J2261" s="3">
        <v>44267</v>
      </c>
      <c r="K2261" s="5">
        <f>YEAR(OrganizedData[[#This Row],[Order Date]])</f>
        <v>2021</v>
      </c>
      <c r="L2261" s="7" t="str">
        <f>TEXT(OrganizedData[[#This Row],[Order Date]],"mmm")</f>
        <v>Mar</v>
      </c>
      <c r="M2261" s="2">
        <v>35</v>
      </c>
      <c r="N2261" s="2" t="s">
        <v>54</v>
      </c>
      <c r="O2261" s="2" t="str">
        <f>VLOOKUP(OrganizedData[[#This Row],[Product Code]],ProductData[[Code]:[Item]],2,FALSE)</f>
        <v>Megawidget S</v>
      </c>
      <c r="P2261" s="4">
        <f>OrganizedData[[#This Row],[Quantity]]*VLOOKUP(OrganizedData[[#This Row],[Product Code]],ProductData[],4,FALSE)</f>
        <v>840</v>
      </c>
      <c r="Q2261" s="6">
        <f>OrganizedData[[#This Row],[Total Items Ordered]]*VLOOKUP(OrganizedData[[#This Row],[Product Code]],ProductData[],3,FALSE)</f>
        <v>579.59999999999991</v>
      </c>
      <c r="R22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2262" spans="1:18" x14ac:dyDescent="0.3">
      <c r="A2262" s="2">
        <v>2255</v>
      </c>
      <c r="B2262" s="2" t="s">
        <v>4018</v>
      </c>
      <c r="C2262" s="2" t="s">
        <v>4322</v>
      </c>
      <c r="D2262" s="2" t="s">
        <v>28</v>
      </c>
      <c r="E2262" s="2" t="s">
        <v>29</v>
      </c>
      <c r="F2262" s="2">
        <v>90</v>
      </c>
      <c r="G2262" s="2" t="s">
        <v>6180</v>
      </c>
      <c r="H2262" s="2" t="s">
        <v>6181</v>
      </c>
      <c r="I2262" s="2" t="s">
        <v>32</v>
      </c>
      <c r="J2262" s="3">
        <v>44803</v>
      </c>
      <c r="K2262" s="5">
        <f>YEAR(OrganizedData[[#This Row],[Order Date]])</f>
        <v>2022</v>
      </c>
      <c r="L2262" s="7" t="str">
        <f>TEXT(OrganizedData[[#This Row],[Order Date]],"mmm")</f>
        <v>Aug</v>
      </c>
      <c r="M2262" s="2">
        <v>18</v>
      </c>
      <c r="N2262" s="2" t="s">
        <v>45</v>
      </c>
      <c r="O2262" s="2" t="str">
        <f>VLOOKUP(OrganizedData[[#This Row],[Product Code]],ProductData[[Code]:[Item]],2,FALSE)</f>
        <v>Gigastuff</v>
      </c>
      <c r="P2262" s="4">
        <f>OrganizedData[[#This Row],[Quantity]]*VLOOKUP(OrganizedData[[#This Row],[Product Code]],ProductData[],4,FALSE)</f>
        <v>324</v>
      </c>
      <c r="Q2262" s="6">
        <f>OrganizedData[[#This Row],[Total Items Ordered]]*VLOOKUP(OrganizedData[[#This Row],[Product Code]],ProductData[],3,FALSE)</f>
        <v>612.36</v>
      </c>
      <c r="R22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612.36</v>
      </c>
    </row>
    <row r="2263" spans="1:18" x14ac:dyDescent="0.3">
      <c r="A2263" s="2">
        <v>2256</v>
      </c>
      <c r="B2263" s="2" t="s">
        <v>2634</v>
      </c>
      <c r="C2263" s="2" t="s">
        <v>4116</v>
      </c>
      <c r="D2263" s="2" t="s">
        <v>15</v>
      </c>
      <c r="E2263" s="2" t="s">
        <v>16</v>
      </c>
      <c r="F2263" s="2">
        <v>60</v>
      </c>
      <c r="G2263" s="2" t="s">
        <v>6182</v>
      </c>
      <c r="H2263" s="2" t="s">
        <v>5637</v>
      </c>
      <c r="I2263" s="2" t="s">
        <v>32</v>
      </c>
      <c r="J2263" s="3">
        <v>43938</v>
      </c>
      <c r="K2263" s="5">
        <f>YEAR(OrganizedData[[#This Row],[Order Date]])</f>
        <v>2020</v>
      </c>
      <c r="L2263" s="7" t="str">
        <f>TEXT(OrganizedData[[#This Row],[Order Date]],"mmm")</f>
        <v>Apr</v>
      </c>
      <c r="M2263" s="2">
        <v>25</v>
      </c>
      <c r="N2263" s="2" t="s">
        <v>70</v>
      </c>
      <c r="O2263" s="2" t="str">
        <f>VLOOKUP(OrganizedData[[#This Row],[Product Code]],ProductData[[Code]:[Item]],2,FALSE)</f>
        <v>Megawidget M</v>
      </c>
      <c r="P2263" s="4">
        <f>OrganizedData[[#This Row],[Quantity]]*VLOOKUP(OrganizedData[[#This Row],[Product Code]],ProductData[],4,FALSE)</f>
        <v>600</v>
      </c>
      <c r="Q2263" s="6">
        <f>OrganizedData[[#This Row],[Total Items Ordered]]*VLOOKUP(OrganizedData[[#This Row],[Product Code]],ProductData[],3,FALSE)</f>
        <v>774</v>
      </c>
      <c r="R22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2264" spans="1:18" x14ac:dyDescent="0.3">
      <c r="A2264" s="2">
        <v>2257</v>
      </c>
      <c r="B2264" s="2" t="s">
        <v>6183</v>
      </c>
      <c r="C2264" s="2" t="s">
        <v>3071</v>
      </c>
      <c r="D2264" s="2" t="s">
        <v>51</v>
      </c>
      <c r="E2264" s="2" t="s">
        <v>16</v>
      </c>
      <c r="F2264" s="2">
        <v>90</v>
      </c>
      <c r="G2264" s="2" t="s">
        <v>10439</v>
      </c>
      <c r="H2264" s="2" t="s">
        <v>1477</v>
      </c>
      <c r="I2264" s="2" t="s">
        <v>1478</v>
      </c>
      <c r="J2264" s="3">
        <v>44336</v>
      </c>
      <c r="K2264" s="5">
        <f>YEAR(OrganizedData[[#This Row],[Order Date]])</f>
        <v>2021</v>
      </c>
      <c r="L2264" s="7" t="str">
        <f>TEXT(OrganizedData[[#This Row],[Order Date]],"mmm")</f>
        <v>May</v>
      </c>
      <c r="M2264" s="2">
        <v>68</v>
      </c>
      <c r="N2264" s="2" t="s">
        <v>70</v>
      </c>
      <c r="O2264" s="2" t="str">
        <f>VLOOKUP(OrganizedData[[#This Row],[Product Code]],ProductData[[Code]:[Item]],2,FALSE)</f>
        <v>Megawidget M</v>
      </c>
      <c r="P2264" s="4">
        <f>OrganizedData[[#This Row],[Quantity]]*VLOOKUP(OrganizedData[[#This Row],[Product Code]],ProductData[],4,FALSE)</f>
        <v>1632</v>
      </c>
      <c r="Q2264" s="6">
        <f>OrganizedData[[#This Row],[Total Items Ordered]]*VLOOKUP(OrganizedData[[#This Row],[Product Code]],ProductData[],3,FALSE)</f>
        <v>2105.2800000000002</v>
      </c>
      <c r="R22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2000.0160000000001</v>
      </c>
    </row>
    <row r="2265" spans="1:18" x14ac:dyDescent="0.3">
      <c r="A2265" s="2">
        <v>2258</v>
      </c>
      <c r="B2265" s="2" t="s">
        <v>3325</v>
      </c>
      <c r="C2265" s="2" t="s">
        <v>651</v>
      </c>
      <c r="D2265" s="2" t="s">
        <v>28</v>
      </c>
      <c r="E2265" s="2" t="s">
        <v>29</v>
      </c>
      <c r="F2265" s="2">
        <v>60</v>
      </c>
      <c r="G2265" s="2" t="s">
        <v>10522</v>
      </c>
      <c r="H2265" s="2" t="s">
        <v>5631</v>
      </c>
      <c r="I2265" s="2" t="s">
        <v>129</v>
      </c>
      <c r="J2265" s="3">
        <v>44484</v>
      </c>
      <c r="K2265" s="5">
        <f>YEAR(OrganizedData[[#This Row],[Order Date]])</f>
        <v>2021</v>
      </c>
      <c r="L2265" s="7" t="str">
        <f>TEXT(OrganizedData[[#This Row],[Order Date]],"mmm")</f>
        <v>Oct</v>
      </c>
      <c r="M2265" s="2">
        <v>17</v>
      </c>
      <c r="N2265" s="2" t="s">
        <v>54</v>
      </c>
      <c r="O2265" s="2" t="str">
        <f>VLOOKUP(OrganizedData[[#This Row],[Product Code]],ProductData[[Code]:[Item]],2,FALSE)</f>
        <v>Megawidget S</v>
      </c>
      <c r="P2265" s="4">
        <f>OrganizedData[[#This Row],[Quantity]]*VLOOKUP(OrganizedData[[#This Row],[Product Code]],ProductData[],4,FALSE)</f>
        <v>408</v>
      </c>
      <c r="Q2265" s="6">
        <f>OrganizedData[[#This Row],[Total Items Ordered]]*VLOOKUP(OrganizedData[[#This Row],[Product Code]],ProductData[],3,FALSE)</f>
        <v>281.52</v>
      </c>
      <c r="R22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2266" spans="1:18" x14ac:dyDescent="0.3">
      <c r="A2266" s="2">
        <v>2259</v>
      </c>
      <c r="B2266" s="2" t="s">
        <v>6186</v>
      </c>
      <c r="C2266" s="2" t="s">
        <v>4490</v>
      </c>
      <c r="D2266" s="2" t="s">
        <v>28</v>
      </c>
      <c r="E2266" s="2" t="s">
        <v>29</v>
      </c>
      <c r="F2266" s="2">
        <v>90</v>
      </c>
      <c r="G2266" s="2" t="s">
        <v>10523</v>
      </c>
      <c r="H2266" s="2" t="s">
        <v>698</v>
      </c>
      <c r="I2266" s="2" t="s">
        <v>213</v>
      </c>
      <c r="J2266" s="3">
        <v>44648</v>
      </c>
      <c r="K2266" s="5">
        <f>YEAR(OrganizedData[[#This Row],[Order Date]])</f>
        <v>2022</v>
      </c>
      <c r="L2266" s="7" t="str">
        <f>TEXT(OrganizedData[[#This Row],[Order Date]],"mmm")</f>
        <v>Mar</v>
      </c>
      <c r="M2266" s="2">
        <v>105</v>
      </c>
      <c r="N2266" s="2" t="s">
        <v>64</v>
      </c>
      <c r="O2266" s="2" t="str">
        <f>VLOOKUP(OrganizedData[[#This Row],[Product Code]],ProductData[[Code]:[Item]],2,FALSE)</f>
        <v>Ultrathing V4</v>
      </c>
      <c r="P2266" s="4">
        <f>OrganizedData[[#This Row],[Quantity]]*VLOOKUP(OrganizedData[[#This Row],[Product Code]],ProductData[],4,FALSE)</f>
        <v>2520</v>
      </c>
      <c r="Q2266" s="6">
        <f>OrganizedData[[#This Row],[Total Items Ordered]]*VLOOKUP(OrganizedData[[#This Row],[Product Code]],ProductData[],3,FALSE)</f>
        <v>10054.800000000001</v>
      </c>
      <c r="R22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9350.9640000000018</v>
      </c>
    </row>
    <row r="2267" spans="1:18" x14ac:dyDescent="0.3">
      <c r="A2267" s="2">
        <v>2260</v>
      </c>
      <c r="B2267" s="2" t="s">
        <v>6188</v>
      </c>
      <c r="C2267" s="2" t="s">
        <v>5554</v>
      </c>
      <c r="D2267" s="2" t="s">
        <v>51</v>
      </c>
      <c r="E2267" s="2" t="s">
        <v>16</v>
      </c>
      <c r="F2267" s="2">
        <v>90</v>
      </c>
      <c r="G2267" s="2" t="s">
        <v>6189</v>
      </c>
      <c r="H2267" s="2" t="s">
        <v>4598</v>
      </c>
      <c r="I2267" s="2" t="s">
        <v>187</v>
      </c>
      <c r="J2267" s="3">
        <v>44718</v>
      </c>
      <c r="K2267" s="5">
        <f>YEAR(OrganizedData[[#This Row],[Order Date]])</f>
        <v>2022</v>
      </c>
      <c r="L2267" s="7" t="str">
        <f>TEXT(OrganizedData[[#This Row],[Order Date]],"mmm")</f>
        <v>Jun</v>
      </c>
      <c r="M2267" s="2">
        <v>75</v>
      </c>
      <c r="N2267" s="2" t="s">
        <v>101</v>
      </c>
      <c r="O2267" s="2" t="str">
        <f>VLOOKUP(OrganizedData[[#This Row],[Product Code]],ProductData[[Code]:[Item]],2,FALSE)</f>
        <v>Superwossname</v>
      </c>
      <c r="P2267" s="4">
        <f>OrganizedData[[#This Row],[Quantity]]*VLOOKUP(OrganizedData[[#This Row],[Product Code]],ProductData[],4,FALSE)</f>
        <v>1500</v>
      </c>
      <c r="Q2267" s="6">
        <f>OrganizedData[[#This Row],[Total Items Ordered]]*VLOOKUP(OrganizedData[[#This Row],[Product Code]],ProductData[],3,FALSE)</f>
        <v>5235</v>
      </c>
      <c r="R22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2268" spans="1:18" x14ac:dyDescent="0.3">
      <c r="A2268" s="2">
        <v>2261</v>
      </c>
      <c r="B2268" s="2" t="s">
        <v>751</v>
      </c>
      <c r="C2268" s="2" t="s">
        <v>6190</v>
      </c>
      <c r="D2268" s="2" t="s">
        <v>28</v>
      </c>
      <c r="E2268" s="2" t="s">
        <v>29</v>
      </c>
      <c r="F2268" s="2">
        <v>60</v>
      </c>
      <c r="G2268" s="2" t="s">
        <v>6191</v>
      </c>
      <c r="H2268" s="2" t="s">
        <v>5667</v>
      </c>
      <c r="I2268" s="2" t="s">
        <v>32</v>
      </c>
      <c r="J2268" s="3">
        <v>44625</v>
      </c>
      <c r="K2268" s="5">
        <f>YEAR(OrganizedData[[#This Row],[Order Date]])</f>
        <v>2022</v>
      </c>
      <c r="L2268" s="7" t="str">
        <f>TEXT(OrganizedData[[#This Row],[Order Date]],"mmm")</f>
        <v>Mar</v>
      </c>
      <c r="M2268" s="2">
        <v>96</v>
      </c>
      <c r="N2268" s="2" t="s">
        <v>45</v>
      </c>
      <c r="O2268" s="2" t="str">
        <f>VLOOKUP(OrganizedData[[#This Row],[Product Code]],ProductData[[Code]:[Item]],2,FALSE)</f>
        <v>Gigastuff</v>
      </c>
      <c r="P2268" s="4">
        <f>OrganizedData[[#This Row],[Quantity]]*VLOOKUP(OrganizedData[[#This Row],[Product Code]],ProductData[],4,FALSE)</f>
        <v>1728</v>
      </c>
      <c r="Q2268" s="6">
        <f>OrganizedData[[#This Row],[Total Items Ordered]]*VLOOKUP(OrganizedData[[#This Row],[Product Code]],ProductData[],3,FALSE)</f>
        <v>3265.9199999999996</v>
      </c>
      <c r="R22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3102.6239999999993</v>
      </c>
    </row>
    <row r="2269" spans="1:18" x14ac:dyDescent="0.3">
      <c r="A2269" s="2">
        <v>2262</v>
      </c>
      <c r="B2269" s="2" t="s">
        <v>6192</v>
      </c>
      <c r="C2269" s="2" t="s">
        <v>2145</v>
      </c>
      <c r="D2269" s="2" t="s">
        <v>51</v>
      </c>
      <c r="E2269" s="2" t="s">
        <v>16</v>
      </c>
      <c r="F2269" s="2">
        <v>90</v>
      </c>
      <c r="G2269" s="2" t="s">
        <v>6193</v>
      </c>
      <c r="H2269" s="2" t="s">
        <v>5025</v>
      </c>
      <c r="I2269" s="2" t="s">
        <v>32</v>
      </c>
      <c r="J2269" s="3">
        <v>44734</v>
      </c>
      <c r="K2269" s="5">
        <f>YEAR(OrganizedData[[#This Row],[Order Date]])</f>
        <v>2022</v>
      </c>
      <c r="L2269" s="7" t="str">
        <f>TEXT(OrganizedData[[#This Row],[Order Date]],"mmm")</f>
        <v>Jun</v>
      </c>
      <c r="M2269" s="2">
        <v>50</v>
      </c>
      <c r="N2269" s="2" t="s">
        <v>159</v>
      </c>
      <c r="O2269" s="2" t="str">
        <f>VLOOKUP(OrganizedData[[#This Row],[Product Code]],ProductData[[Code]:[Item]],2,FALSE)</f>
        <v>Ultrathing V3</v>
      </c>
      <c r="P2269" s="4">
        <f>OrganizedData[[#This Row],[Quantity]]*VLOOKUP(OrganizedData[[#This Row],[Product Code]],ProductData[],4,FALSE)</f>
        <v>1200</v>
      </c>
      <c r="Q2269" s="6">
        <f>OrganizedData[[#This Row],[Total Items Ordered]]*VLOOKUP(OrganizedData[[#This Row],[Product Code]],ProductData[],3,FALSE)</f>
        <v>4068</v>
      </c>
      <c r="R22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2270" spans="1:18" x14ac:dyDescent="0.3">
      <c r="A2270" s="2">
        <v>2263</v>
      </c>
      <c r="B2270" s="2" t="s">
        <v>6194</v>
      </c>
      <c r="C2270" s="2" t="s">
        <v>3341</v>
      </c>
      <c r="D2270" s="2" t="s">
        <v>51</v>
      </c>
      <c r="E2270" s="2" t="s">
        <v>16</v>
      </c>
      <c r="F2270" s="2">
        <v>30</v>
      </c>
      <c r="G2270" s="2" t="s">
        <v>6195</v>
      </c>
      <c r="H2270" s="2" t="s">
        <v>168</v>
      </c>
      <c r="I2270" s="2" t="s">
        <v>32</v>
      </c>
      <c r="J2270" s="3">
        <v>44351</v>
      </c>
      <c r="K2270" s="5">
        <f>YEAR(OrganizedData[[#This Row],[Order Date]])</f>
        <v>2021</v>
      </c>
      <c r="L2270" s="7" t="str">
        <f>TEXT(OrganizedData[[#This Row],[Order Date]],"mmm")</f>
        <v>Jun</v>
      </c>
      <c r="M2270" s="2">
        <v>52</v>
      </c>
      <c r="N2270" s="2" t="s">
        <v>20</v>
      </c>
      <c r="O2270" s="2" t="str">
        <f>VLOOKUP(OrganizedData[[#This Row],[Product Code]],ProductData[[Code]:[Item]],2,FALSE)</f>
        <v>Hyperwotsit</v>
      </c>
      <c r="P2270" s="4">
        <f>OrganizedData[[#This Row],[Quantity]]*VLOOKUP(OrganizedData[[#This Row],[Product Code]],ProductData[],4,FALSE)</f>
        <v>1040</v>
      </c>
      <c r="Q2270" s="6">
        <f>OrganizedData[[#This Row],[Total Items Ordered]]*VLOOKUP(OrganizedData[[#This Row],[Product Code]],ProductData[],3,FALSE)</f>
        <v>2090.3999999999996</v>
      </c>
      <c r="R22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1985.8799999999997</v>
      </c>
    </row>
    <row r="2271" spans="1:18" x14ac:dyDescent="0.3">
      <c r="A2271" s="2">
        <v>2264</v>
      </c>
      <c r="B2271" s="2" t="s">
        <v>6196</v>
      </c>
      <c r="C2271" s="2" t="s">
        <v>3614</v>
      </c>
      <c r="D2271" s="2" t="s">
        <v>51</v>
      </c>
      <c r="E2271" s="2" t="s">
        <v>16</v>
      </c>
      <c r="F2271" s="2">
        <v>60</v>
      </c>
      <c r="G2271" s="2" t="s">
        <v>10524</v>
      </c>
      <c r="H2271" s="2" t="s">
        <v>1412</v>
      </c>
      <c r="I2271" s="2" t="s">
        <v>1413</v>
      </c>
      <c r="J2271" s="3">
        <v>44022</v>
      </c>
      <c r="K2271" s="5">
        <f>YEAR(OrganizedData[[#This Row],[Order Date]])</f>
        <v>2020</v>
      </c>
      <c r="L2271" s="7" t="str">
        <f>TEXT(OrganizedData[[#This Row],[Order Date]],"mmm")</f>
        <v>Jul</v>
      </c>
      <c r="M2271" s="2">
        <v>60</v>
      </c>
      <c r="N2271" s="2" t="s">
        <v>39</v>
      </c>
      <c r="O2271" s="2" t="str">
        <f>VLOOKUP(OrganizedData[[#This Row],[Product Code]],ProductData[[Code]:[Item]],2,FALSE)</f>
        <v>Ultrathing V1</v>
      </c>
      <c r="P2271" s="4">
        <f>OrganizedData[[#This Row],[Quantity]]*VLOOKUP(OrganizedData[[#This Row],[Product Code]],ProductData[],4,FALSE)</f>
        <v>1020</v>
      </c>
      <c r="Q2271" s="6">
        <f>OrganizedData[[#This Row],[Total Items Ordered]]*VLOOKUP(OrganizedData[[#This Row],[Product Code]],ProductData[],3,FALSE)</f>
        <v>1825.8</v>
      </c>
      <c r="R22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1734.5099999999998</v>
      </c>
    </row>
    <row r="2272" spans="1:18" x14ac:dyDescent="0.3">
      <c r="A2272" s="2">
        <v>2265</v>
      </c>
      <c r="B2272" s="2" t="s">
        <v>6198</v>
      </c>
      <c r="C2272" s="2" t="s">
        <v>3011</v>
      </c>
      <c r="D2272" s="2" t="s">
        <v>28</v>
      </c>
      <c r="E2272" s="2" t="s">
        <v>29</v>
      </c>
      <c r="F2272" s="2">
        <v>60</v>
      </c>
      <c r="G2272" s="2" t="s">
        <v>6199</v>
      </c>
      <c r="H2272" s="2" t="s">
        <v>5711</v>
      </c>
      <c r="I2272" s="2" t="s">
        <v>25</v>
      </c>
      <c r="J2272" s="3">
        <v>44656</v>
      </c>
      <c r="K2272" s="5">
        <f>YEAR(OrganizedData[[#This Row],[Order Date]])</f>
        <v>2022</v>
      </c>
      <c r="L2272" s="7" t="str">
        <f>TEXT(OrganizedData[[#This Row],[Order Date]],"mmm")</f>
        <v>Apr</v>
      </c>
      <c r="M2272" s="2">
        <v>64</v>
      </c>
      <c r="N2272" s="2" t="s">
        <v>45</v>
      </c>
      <c r="O2272" s="2" t="str">
        <f>VLOOKUP(OrganizedData[[#This Row],[Product Code]],ProductData[[Code]:[Item]],2,FALSE)</f>
        <v>Gigastuff</v>
      </c>
      <c r="P2272" s="4">
        <f>OrganizedData[[#This Row],[Quantity]]*VLOOKUP(OrganizedData[[#This Row],[Product Code]],ProductData[],4,FALSE)</f>
        <v>1152</v>
      </c>
      <c r="Q2272" s="6">
        <f>OrganizedData[[#This Row],[Total Items Ordered]]*VLOOKUP(OrganizedData[[#This Row],[Product Code]],ProductData[],3,FALSE)</f>
        <v>2177.2799999999997</v>
      </c>
      <c r="R22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2068.4159999999997</v>
      </c>
    </row>
    <row r="2273" spans="1:18" x14ac:dyDescent="0.3">
      <c r="A2273" s="2">
        <v>2266</v>
      </c>
      <c r="B2273" s="2" t="s">
        <v>4401</v>
      </c>
      <c r="C2273" s="2" t="s">
        <v>6200</v>
      </c>
      <c r="D2273" s="2" t="s">
        <v>28</v>
      </c>
      <c r="E2273" s="2" t="s">
        <v>29</v>
      </c>
      <c r="F2273" s="2">
        <v>90</v>
      </c>
      <c r="G2273" s="2" t="s">
        <v>6201</v>
      </c>
      <c r="H2273" s="2" t="s">
        <v>6202</v>
      </c>
      <c r="I2273" s="2" t="s">
        <v>294</v>
      </c>
      <c r="J2273" s="3">
        <v>44402</v>
      </c>
      <c r="K2273" s="5">
        <f>YEAR(OrganizedData[[#This Row],[Order Date]])</f>
        <v>2021</v>
      </c>
      <c r="L2273" s="7" t="str">
        <f>TEXT(OrganizedData[[#This Row],[Order Date]],"mmm")</f>
        <v>Jul</v>
      </c>
      <c r="M2273" s="2">
        <v>62</v>
      </c>
      <c r="N2273" s="2" t="s">
        <v>159</v>
      </c>
      <c r="O2273" s="2" t="str">
        <f>VLOOKUP(OrganizedData[[#This Row],[Product Code]],ProductData[[Code]:[Item]],2,FALSE)</f>
        <v>Ultrathing V3</v>
      </c>
      <c r="P2273" s="4">
        <f>OrganizedData[[#This Row],[Quantity]]*VLOOKUP(OrganizedData[[#This Row],[Product Code]],ProductData[],4,FALSE)</f>
        <v>1488</v>
      </c>
      <c r="Q2273" s="6">
        <f>OrganizedData[[#This Row],[Total Items Ordered]]*VLOOKUP(OrganizedData[[#This Row],[Product Code]],ProductData[],3,FALSE)</f>
        <v>5044.3200000000006</v>
      </c>
      <c r="R22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4792.1040000000003</v>
      </c>
    </row>
    <row r="2274" spans="1:18" x14ac:dyDescent="0.3">
      <c r="A2274" s="2">
        <v>2267</v>
      </c>
      <c r="B2274" s="2" t="s">
        <v>6203</v>
      </c>
      <c r="C2274" s="2" t="s">
        <v>6204</v>
      </c>
      <c r="D2274" s="2" t="s">
        <v>28</v>
      </c>
      <c r="E2274" s="2" t="s">
        <v>29</v>
      </c>
      <c r="F2274" s="2">
        <v>90</v>
      </c>
      <c r="G2274" s="2" t="s">
        <v>6205</v>
      </c>
      <c r="H2274" s="2" t="s">
        <v>3909</v>
      </c>
      <c r="I2274" s="2" t="s">
        <v>32</v>
      </c>
      <c r="J2274" s="3">
        <v>43949</v>
      </c>
      <c r="K2274" s="5">
        <f>YEAR(OrganizedData[[#This Row],[Order Date]])</f>
        <v>2020</v>
      </c>
      <c r="L2274" s="7" t="str">
        <f>TEXT(OrganizedData[[#This Row],[Order Date]],"mmm")</f>
        <v>Apr</v>
      </c>
      <c r="M2274" s="2">
        <v>81</v>
      </c>
      <c r="N2274" s="2" t="s">
        <v>159</v>
      </c>
      <c r="O2274" s="2" t="str">
        <f>VLOOKUP(OrganizedData[[#This Row],[Product Code]],ProductData[[Code]:[Item]],2,FALSE)</f>
        <v>Ultrathing V3</v>
      </c>
      <c r="P2274" s="4">
        <f>OrganizedData[[#This Row],[Quantity]]*VLOOKUP(OrganizedData[[#This Row],[Product Code]],ProductData[],4,FALSE)</f>
        <v>1944</v>
      </c>
      <c r="Q2274" s="6">
        <f>OrganizedData[[#This Row],[Total Items Ordered]]*VLOOKUP(OrganizedData[[#This Row],[Product Code]],ProductData[],3,FALSE)</f>
        <v>6590.16</v>
      </c>
      <c r="R22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2275" spans="1:18" x14ac:dyDescent="0.3">
      <c r="A2275" s="2">
        <v>2268</v>
      </c>
      <c r="B2275" s="2" t="s">
        <v>5702</v>
      </c>
      <c r="C2275" s="2" t="s">
        <v>5993</v>
      </c>
      <c r="D2275" s="2" t="s">
        <v>51</v>
      </c>
      <c r="E2275" s="2" t="s">
        <v>16</v>
      </c>
      <c r="F2275" s="2">
        <v>30</v>
      </c>
      <c r="G2275" s="2" t="s">
        <v>6206</v>
      </c>
      <c r="H2275" s="2" t="s">
        <v>3682</v>
      </c>
      <c r="I2275" s="2" t="s">
        <v>178</v>
      </c>
      <c r="J2275" s="3">
        <v>44804</v>
      </c>
      <c r="K2275" s="5">
        <f>YEAR(OrganizedData[[#This Row],[Order Date]])</f>
        <v>2022</v>
      </c>
      <c r="L2275" s="7" t="str">
        <f>TEXT(OrganizedData[[#This Row],[Order Date]],"mmm")</f>
        <v>Aug</v>
      </c>
      <c r="M2275" s="2">
        <v>8</v>
      </c>
      <c r="N2275" s="2" t="s">
        <v>64</v>
      </c>
      <c r="O2275" s="2" t="str">
        <f>VLOOKUP(OrganizedData[[#This Row],[Product Code]],ProductData[[Code]:[Item]],2,FALSE)</f>
        <v>Ultrathing V4</v>
      </c>
      <c r="P2275" s="4">
        <f>OrganizedData[[#This Row],[Quantity]]*VLOOKUP(OrganizedData[[#This Row],[Product Code]],ProductData[],4,FALSE)</f>
        <v>192</v>
      </c>
      <c r="Q2275" s="6">
        <f>OrganizedData[[#This Row],[Total Items Ordered]]*VLOOKUP(OrganizedData[[#This Row],[Product Code]],ProductData[],3,FALSE)</f>
        <v>766.08</v>
      </c>
      <c r="R22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2276" spans="1:18" x14ac:dyDescent="0.3">
      <c r="A2276" s="2">
        <v>2269</v>
      </c>
      <c r="B2276" s="2" t="s">
        <v>6207</v>
      </c>
      <c r="C2276" s="2" t="s">
        <v>5853</v>
      </c>
      <c r="D2276" s="2" t="s">
        <v>51</v>
      </c>
      <c r="E2276" s="2" t="s">
        <v>16</v>
      </c>
      <c r="F2276" s="2">
        <v>60</v>
      </c>
      <c r="G2276" s="2" t="s">
        <v>6208</v>
      </c>
      <c r="H2276" s="2" t="s">
        <v>3200</v>
      </c>
      <c r="I2276" s="2" t="s">
        <v>32</v>
      </c>
      <c r="J2276" s="3">
        <v>43885</v>
      </c>
      <c r="K2276" s="5">
        <f>YEAR(OrganizedData[[#This Row],[Order Date]])</f>
        <v>2020</v>
      </c>
      <c r="L2276" s="7" t="str">
        <f>TEXT(OrganizedData[[#This Row],[Order Date]],"mmm")</f>
        <v>Feb</v>
      </c>
      <c r="M2276" s="2">
        <v>41</v>
      </c>
      <c r="N2276" s="2" t="s">
        <v>80</v>
      </c>
      <c r="O2276" s="2" t="str">
        <f>VLOOKUP(OrganizedData[[#This Row],[Product Code]],ProductData[[Code]:[Item]],2,FALSE)</f>
        <v>Ultrathing V2</v>
      </c>
      <c r="P2276" s="4">
        <f>OrganizedData[[#This Row],[Quantity]]*VLOOKUP(OrganizedData[[#This Row],[Product Code]],ProductData[],4,FALSE)</f>
        <v>820</v>
      </c>
      <c r="Q2276" s="6">
        <f>OrganizedData[[#This Row],[Total Items Ordered]]*VLOOKUP(OrganizedData[[#This Row],[Product Code]],ProductData[],3,FALSE)</f>
        <v>2419</v>
      </c>
      <c r="R22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2346.4299999999998</v>
      </c>
    </row>
    <row r="2277" spans="1:18" x14ac:dyDescent="0.3">
      <c r="A2277" s="2">
        <v>2270</v>
      </c>
      <c r="B2277" s="2" t="s">
        <v>6209</v>
      </c>
      <c r="C2277" s="2" t="s">
        <v>321</v>
      </c>
      <c r="D2277" s="2" t="s">
        <v>15</v>
      </c>
      <c r="E2277" s="2" t="s">
        <v>16</v>
      </c>
      <c r="F2277" s="2">
        <v>30</v>
      </c>
      <c r="G2277" s="2" t="s">
        <v>6210</v>
      </c>
      <c r="H2277" s="2" t="s">
        <v>5336</v>
      </c>
      <c r="I2277" s="2" t="s">
        <v>32</v>
      </c>
      <c r="J2277" s="3">
        <v>44685</v>
      </c>
      <c r="K2277" s="5">
        <f>YEAR(OrganizedData[[#This Row],[Order Date]])</f>
        <v>2022</v>
      </c>
      <c r="L2277" s="7" t="str">
        <f>TEXT(OrganizedData[[#This Row],[Order Date]],"mmm")</f>
        <v>May</v>
      </c>
      <c r="M2277" s="2">
        <v>98</v>
      </c>
      <c r="N2277" s="2" t="s">
        <v>64</v>
      </c>
      <c r="O2277" s="2" t="str">
        <f>VLOOKUP(OrganizedData[[#This Row],[Product Code]],ProductData[[Code]:[Item]],2,FALSE)</f>
        <v>Ultrathing V4</v>
      </c>
      <c r="P2277" s="4">
        <f>OrganizedData[[#This Row],[Quantity]]*VLOOKUP(OrganizedData[[#This Row],[Product Code]],ProductData[],4,FALSE)</f>
        <v>2352</v>
      </c>
      <c r="Q2277" s="6">
        <f>OrganizedData[[#This Row],[Total Items Ordered]]*VLOOKUP(OrganizedData[[#This Row],[Product Code]],ProductData[],3,FALSE)</f>
        <v>9384.4800000000014</v>
      </c>
      <c r="R22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8915.2560000000012</v>
      </c>
    </row>
    <row r="2278" spans="1:18" x14ac:dyDescent="0.3">
      <c r="A2278" s="2">
        <v>2271</v>
      </c>
      <c r="B2278" s="2" t="s">
        <v>6211</v>
      </c>
      <c r="C2278" s="2" t="s">
        <v>6212</v>
      </c>
      <c r="D2278" s="2" t="s">
        <v>15</v>
      </c>
      <c r="E2278" s="2" t="s">
        <v>16</v>
      </c>
      <c r="F2278" s="2">
        <v>90</v>
      </c>
      <c r="G2278" s="2" t="s">
        <v>6213</v>
      </c>
      <c r="H2278" s="2" t="s">
        <v>4256</v>
      </c>
      <c r="I2278" s="2" t="s">
        <v>1454</v>
      </c>
      <c r="J2278" s="3">
        <v>44349</v>
      </c>
      <c r="K2278" s="5">
        <f>YEAR(OrganizedData[[#This Row],[Order Date]])</f>
        <v>2021</v>
      </c>
      <c r="L2278" s="7" t="str">
        <f>TEXT(OrganizedData[[#This Row],[Order Date]],"mmm")</f>
        <v>Jun</v>
      </c>
      <c r="M2278" s="2">
        <v>20</v>
      </c>
      <c r="N2278" s="2" t="s">
        <v>70</v>
      </c>
      <c r="O2278" s="2" t="str">
        <f>VLOOKUP(OrganizedData[[#This Row],[Product Code]],ProductData[[Code]:[Item]],2,FALSE)</f>
        <v>Megawidget M</v>
      </c>
      <c r="P2278" s="4">
        <f>OrganizedData[[#This Row],[Quantity]]*VLOOKUP(OrganizedData[[#This Row],[Product Code]],ProductData[],4,FALSE)</f>
        <v>480</v>
      </c>
      <c r="Q2278" s="6">
        <f>OrganizedData[[#This Row],[Total Items Ordered]]*VLOOKUP(OrganizedData[[#This Row],[Product Code]],ProductData[],3,FALSE)</f>
        <v>619.20000000000005</v>
      </c>
      <c r="R22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619.20000000000005</v>
      </c>
    </row>
    <row r="2279" spans="1:18" x14ac:dyDescent="0.3">
      <c r="A2279" s="2">
        <v>2272</v>
      </c>
      <c r="B2279" s="2" t="s">
        <v>4647</v>
      </c>
      <c r="C2279" s="2" t="s">
        <v>3382</v>
      </c>
      <c r="D2279" s="2" t="s">
        <v>28</v>
      </c>
      <c r="E2279" s="2" t="s">
        <v>29</v>
      </c>
      <c r="F2279" s="2">
        <v>90</v>
      </c>
      <c r="G2279" s="2" t="s">
        <v>6214</v>
      </c>
      <c r="H2279" s="2" t="s">
        <v>3449</v>
      </c>
      <c r="I2279" s="2" t="s">
        <v>187</v>
      </c>
      <c r="J2279" s="3">
        <v>44223</v>
      </c>
      <c r="K2279" s="5">
        <f>YEAR(OrganizedData[[#This Row],[Order Date]])</f>
        <v>2021</v>
      </c>
      <c r="L2279" s="7" t="str">
        <f>TEXT(OrganizedData[[#This Row],[Order Date]],"mmm")</f>
        <v>Jan</v>
      </c>
      <c r="M2279" s="2">
        <v>63</v>
      </c>
      <c r="N2279" s="2" t="s">
        <v>80</v>
      </c>
      <c r="O2279" s="2" t="str">
        <f>VLOOKUP(OrganizedData[[#This Row],[Product Code]],ProductData[[Code]:[Item]],2,FALSE)</f>
        <v>Ultrathing V2</v>
      </c>
      <c r="P2279" s="4">
        <f>OrganizedData[[#This Row],[Quantity]]*VLOOKUP(OrganizedData[[#This Row],[Product Code]],ProductData[],4,FALSE)</f>
        <v>1260</v>
      </c>
      <c r="Q2279" s="6">
        <f>OrganizedData[[#This Row],[Total Items Ordered]]*VLOOKUP(OrganizedData[[#This Row],[Product Code]],ProductData[],3,FALSE)</f>
        <v>3717</v>
      </c>
      <c r="R22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3531.1499999999996</v>
      </c>
    </row>
    <row r="2280" spans="1:18" x14ac:dyDescent="0.3">
      <c r="A2280" s="2">
        <v>2273</v>
      </c>
      <c r="B2280" s="2" t="s">
        <v>6215</v>
      </c>
      <c r="C2280" s="2" t="s">
        <v>6216</v>
      </c>
      <c r="D2280" s="2" t="s">
        <v>15</v>
      </c>
      <c r="E2280" s="2" t="s">
        <v>16</v>
      </c>
      <c r="F2280" s="2">
        <v>60</v>
      </c>
      <c r="G2280" s="2" t="s">
        <v>6217</v>
      </c>
      <c r="H2280" s="2" t="s">
        <v>2441</v>
      </c>
      <c r="I2280" s="2" t="s">
        <v>1199</v>
      </c>
      <c r="J2280" s="3">
        <v>44465</v>
      </c>
      <c r="K2280" s="5">
        <f>YEAR(OrganizedData[[#This Row],[Order Date]])</f>
        <v>2021</v>
      </c>
      <c r="L2280" s="7" t="str">
        <f>TEXT(OrganizedData[[#This Row],[Order Date]],"mmm")</f>
        <v>Sep</v>
      </c>
      <c r="M2280" s="2">
        <v>5</v>
      </c>
      <c r="N2280" s="2" t="s">
        <v>39</v>
      </c>
      <c r="O2280" s="2" t="str">
        <f>VLOOKUP(OrganizedData[[#This Row],[Product Code]],ProductData[[Code]:[Item]],2,FALSE)</f>
        <v>Ultrathing V1</v>
      </c>
      <c r="P2280" s="4">
        <f>OrganizedData[[#This Row],[Quantity]]*VLOOKUP(OrganizedData[[#This Row],[Product Code]],ProductData[],4,FALSE)</f>
        <v>85</v>
      </c>
      <c r="Q2280" s="6">
        <f>OrganizedData[[#This Row],[Total Items Ordered]]*VLOOKUP(OrganizedData[[#This Row],[Product Code]],ProductData[],3,FALSE)</f>
        <v>152.15</v>
      </c>
      <c r="R22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152.15</v>
      </c>
    </row>
    <row r="2281" spans="1:18" x14ac:dyDescent="0.3">
      <c r="A2281" s="2">
        <v>2274</v>
      </c>
      <c r="B2281" s="2" t="s">
        <v>6218</v>
      </c>
      <c r="C2281" s="2" t="s">
        <v>5838</v>
      </c>
      <c r="D2281" s="2" t="s">
        <v>41</v>
      </c>
      <c r="E2281" s="2" t="s">
        <v>16</v>
      </c>
      <c r="F2281" s="2">
        <v>90</v>
      </c>
      <c r="G2281" s="2" t="s">
        <v>6219</v>
      </c>
      <c r="H2281" s="2" t="s">
        <v>978</v>
      </c>
      <c r="I2281" s="2" t="s">
        <v>294</v>
      </c>
      <c r="J2281" s="3">
        <v>44550</v>
      </c>
      <c r="K2281" s="5">
        <f>YEAR(OrganizedData[[#This Row],[Order Date]])</f>
        <v>2021</v>
      </c>
      <c r="L2281" s="7" t="str">
        <f>TEXT(OrganizedData[[#This Row],[Order Date]],"mmm")</f>
        <v>Dec</v>
      </c>
      <c r="M2281" s="2">
        <v>72</v>
      </c>
      <c r="N2281" s="2" t="s">
        <v>20</v>
      </c>
      <c r="O2281" s="2" t="str">
        <f>VLOOKUP(OrganizedData[[#This Row],[Product Code]],ProductData[[Code]:[Item]],2,FALSE)</f>
        <v>Hyperwotsit</v>
      </c>
      <c r="P2281" s="4">
        <f>OrganizedData[[#This Row],[Quantity]]*VLOOKUP(OrganizedData[[#This Row],[Product Code]],ProductData[],4,FALSE)</f>
        <v>1440</v>
      </c>
      <c r="Q2281" s="6">
        <f>OrganizedData[[#This Row],[Total Items Ordered]]*VLOOKUP(OrganizedData[[#This Row],[Product Code]],ProductData[],3,FALSE)</f>
        <v>2894.3999999999996</v>
      </c>
      <c r="R22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2282" spans="1:18" x14ac:dyDescent="0.3">
      <c r="A2282" s="2">
        <v>2275</v>
      </c>
      <c r="B2282" s="2" t="s">
        <v>6220</v>
      </c>
      <c r="C2282" s="2" t="s">
        <v>6221</v>
      </c>
      <c r="D2282" s="2" t="s">
        <v>15</v>
      </c>
      <c r="E2282" s="2" t="s">
        <v>16</v>
      </c>
      <c r="F2282" s="2">
        <v>90</v>
      </c>
      <c r="G2282" s="2" t="s">
        <v>6222</v>
      </c>
      <c r="H2282" s="2" t="s">
        <v>3437</v>
      </c>
      <c r="I2282" s="2" t="s">
        <v>100</v>
      </c>
      <c r="J2282" s="3">
        <v>44877</v>
      </c>
      <c r="K2282" s="5">
        <f>YEAR(OrganizedData[[#This Row],[Order Date]])</f>
        <v>2022</v>
      </c>
      <c r="L2282" s="7" t="str">
        <f>TEXT(OrganizedData[[#This Row],[Order Date]],"mmm")</f>
        <v>Nov</v>
      </c>
      <c r="M2282" s="2">
        <v>70</v>
      </c>
      <c r="N2282" s="2" t="s">
        <v>64</v>
      </c>
      <c r="O2282" s="2" t="str">
        <f>VLOOKUP(OrganizedData[[#This Row],[Product Code]],ProductData[[Code]:[Item]],2,FALSE)</f>
        <v>Ultrathing V4</v>
      </c>
      <c r="P2282" s="4">
        <f>OrganizedData[[#This Row],[Quantity]]*VLOOKUP(OrganizedData[[#This Row],[Product Code]],ProductData[],4,FALSE)</f>
        <v>1680</v>
      </c>
      <c r="Q2282" s="6">
        <f>OrganizedData[[#This Row],[Total Items Ordered]]*VLOOKUP(OrganizedData[[#This Row],[Product Code]],ProductData[],3,FALSE)</f>
        <v>6703.2000000000007</v>
      </c>
      <c r="R22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6368.04</v>
      </c>
    </row>
    <row r="2283" spans="1:18" x14ac:dyDescent="0.3">
      <c r="A2283" s="2">
        <v>2276</v>
      </c>
      <c r="B2283" s="2" t="s">
        <v>6223</v>
      </c>
      <c r="C2283" s="2" t="s">
        <v>1208</v>
      </c>
      <c r="D2283" s="2" t="s">
        <v>51</v>
      </c>
      <c r="E2283" s="2" t="s">
        <v>16</v>
      </c>
      <c r="F2283" s="2">
        <v>90</v>
      </c>
      <c r="G2283" s="2" t="s">
        <v>6222</v>
      </c>
      <c r="H2283" s="2" t="s">
        <v>6224</v>
      </c>
      <c r="I2283" s="2" t="s">
        <v>294</v>
      </c>
      <c r="J2283" s="3">
        <v>44419</v>
      </c>
      <c r="K2283" s="5">
        <f>YEAR(OrganizedData[[#This Row],[Order Date]])</f>
        <v>2021</v>
      </c>
      <c r="L2283" s="7" t="str">
        <f>TEXT(OrganizedData[[#This Row],[Order Date]],"mmm")</f>
        <v>Aug</v>
      </c>
      <c r="M2283" s="2">
        <v>82</v>
      </c>
      <c r="N2283" s="2" t="s">
        <v>64</v>
      </c>
      <c r="O2283" s="2" t="str">
        <f>VLOOKUP(OrganizedData[[#This Row],[Product Code]],ProductData[[Code]:[Item]],2,FALSE)</f>
        <v>Ultrathing V4</v>
      </c>
      <c r="P2283" s="4">
        <f>OrganizedData[[#This Row],[Quantity]]*VLOOKUP(OrganizedData[[#This Row],[Product Code]],ProductData[],4,FALSE)</f>
        <v>1968</v>
      </c>
      <c r="Q2283" s="6">
        <f>OrganizedData[[#This Row],[Total Items Ordered]]*VLOOKUP(OrganizedData[[#This Row],[Product Code]],ProductData[],3,FALSE)</f>
        <v>7852.3200000000006</v>
      </c>
      <c r="R22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7459.7040000000006</v>
      </c>
    </row>
    <row r="2284" spans="1:18" x14ac:dyDescent="0.3">
      <c r="A2284" s="2">
        <v>2277</v>
      </c>
      <c r="B2284" s="2" t="s">
        <v>671</v>
      </c>
      <c r="C2284" s="2" t="s">
        <v>1853</v>
      </c>
      <c r="D2284" s="2" t="s">
        <v>15</v>
      </c>
      <c r="E2284" s="2" t="s">
        <v>16</v>
      </c>
      <c r="F2284" s="2">
        <v>30</v>
      </c>
      <c r="G2284" s="2" t="s">
        <v>6225</v>
      </c>
      <c r="H2284" s="2" t="s">
        <v>3056</v>
      </c>
      <c r="I2284" s="2" t="s">
        <v>187</v>
      </c>
      <c r="J2284" s="3">
        <v>44340</v>
      </c>
      <c r="K2284" s="5">
        <f>YEAR(OrganizedData[[#This Row],[Order Date]])</f>
        <v>2021</v>
      </c>
      <c r="L2284" s="7" t="str">
        <f>TEXT(OrganizedData[[#This Row],[Order Date]],"mmm")</f>
        <v>May</v>
      </c>
      <c r="M2284" s="2">
        <v>24</v>
      </c>
      <c r="N2284" s="2" t="s">
        <v>101</v>
      </c>
      <c r="O2284" s="2" t="str">
        <f>VLOOKUP(OrganizedData[[#This Row],[Product Code]],ProductData[[Code]:[Item]],2,FALSE)</f>
        <v>Superwossname</v>
      </c>
      <c r="P2284" s="4">
        <f>OrganizedData[[#This Row],[Quantity]]*VLOOKUP(OrganizedData[[#This Row],[Product Code]],ProductData[],4,FALSE)</f>
        <v>480</v>
      </c>
      <c r="Q2284" s="6">
        <f>OrganizedData[[#This Row],[Total Items Ordered]]*VLOOKUP(OrganizedData[[#This Row],[Product Code]],ProductData[],3,FALSE)</f>
        <v>1675.2</v>
      </c>
      <c r="R22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1624.944</v>
      </c>
    </row>
    <row r="2285" spans="1:18" x14ac:dyDescent="0.3">
      <c r="A2285" s="2">
        <v>2278</v>
      </c>
      <c r="B2285" s="2" t="s">
        <v>727</v>
      </c>
      <c r="C2285" s="2" t="s">
        <v>6226</v>
      </c>
      <c r="D2285" s="2" t="s">
        <v>28</v>
      </c>
      <c r="E2285" s="2" t="s">
        <v>29</v>
      </c>
      <c r="F2285" s="2">
        <v>90</v>
      </c>
      <c r="G2285" s="2" t="s">
        <v>6227</v>
      </c>
      <c r="H2285" s="2" t="s">
        <v>6228</v>
      </c>
      <c r="I2285" s="2" t="s">
        <v>187</v>
      </c>
      <c r="J2285" s="3">
        <v>44349</v>
      </c>
      <c r="K2285" s="5">
        <f>YEAR(OrganizedData[[#This Row],[Order Date]])</f>
        <v>2021</v>
      </c>
      <c r="L2285" s="7" t="str">
        <f>TEXT(OrganizedData[[#This Row],[Order Date]],"mmm")</f>
        <v>Jun</v>
      </c>
      <c r="M2285" s="2">
        <v>80</v>
      </c>
      <c r="N2285" s="2" t="s">
        <v>54</v>
      </c>
      <c r="O2285" s="2" t="str">
        <f>VLOOKUP(OrganizedData[[#This Row],[Product Code]],ProductData[[Code]:[Item]],2,FALSE)</f>
        <v>Megawidget S</v>
      </c>
      <c r="P2285" s="4">
        <f>OrganizedData[[#This Row],[Quantity]]*VLOOKUP(OrganizedData[[#This Row],[Product Code]],ProductData[],4,FALSE)</f>
        <v>1920</v>
      </c>
      <c r="Q2285" s="6">
        <f>OrganizedData[[#This Row],[Total Items Ordered]]*VLOOKUP(OrganizedData[[#This Row],[Product Code]],ProductData[],3,FALSE)</f>
        <v>1324.8</v>
      </c>
      <c r="R22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1258.56</v>
      </c>
    </row>
    <row r="2286" spans="1:18" x14ac:dyDescent="0.3">
      <c r="A2286" s="2">
        <v>2279</v>
      </c>
      <c r="B2286" s="2" t="s">
        <v>6229</v>
      </c>
      <c r="C2286" s="2" t="s">
        <v>1654</v>
      </c>
      <c r="D2286" s="2" t="s">
        <v>51</v>
      </c>
      <c r="E2286" s="2" t="s">
        <v>16</v>
      </c>
      <c r="F2286" s="2">
        <v>60</v>
      </c>
      <c r="G2286" s="2" t="s">
        <v>6230</v>
      </c>
      <c r="H2286" s="2" t="s">
        <v>3459</v>
      </c>
      <c r="I2286" s="2" t="s">
        <v>178</v>
      </c>
      <c r="J2286" s="3">
        <v>44472</v>
      </c>
      <c r="K2286" s="5">
        <f>YEAR(OrganizedData[[#This Row],[Order Date]])</f>
        <v>2021</v>
      </c>
      <c r="L2286" s="7" t="str">
        <f>TEXT(OrganizedData[[#This Row],[Order Date]],"mmm")</f>
        <v>Oct</v>
      </c>
      <c r="M2286" s="2">
        <v>38</v>
      </c>
      <c r="N2286" s="2" t="s">
        <v>80</v>
      </c>
      <c r="O2286" s="2" t="str">
        <f>VLOOKUP(OrganizedData[[#This Row],[Product Code]],ProductData[[Code]:[Item]],2,FALSE)</f>
        <v>Ultrathing V2</v>
      </c>
      <c r="P2286" s="4">
        <f>OrganizedData[[#This Row],[Quantity]]*VLOOKUP(OrganizedData[[#This Row],[Product Code]],ProductData[],4,FALSE)</f>
        <v>760</v>
      </c>
      <c r="Q2286" s="6">
        <f>OrganizedData[[#This Row],[Total Items Ordered]]*VLOOKUP(OrganizedData[[#This Row],[Product Code]],ProductData[],3,FALSE)</f>
        <v>2242</v>
      </c>
      <c r="R22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2287" spans="1:18" x14ac:dyDescent="0.3">
      <c r="A2287" s="2">
        <v>2280</v>
      </c>
      <c r="B2287" s="2" t="s">
        <v>6231</v>
      </c>
      <c r="C2287" s="2" t="s">
        <v>6232</v>
      </c>
      <c r="D2287" s="2" t="s">
        <v>51</v>
      </c>
      <c r="E2287" s="2" t="s">
        <v>16</v>
      </c>
      <c r="F2287" s="2">
        <v>90</v>
      </c>
      <c r="G2287" s="2" t="s">
        <v>6233</v>
      </c>
      <c r="H2287" s="2" t="s">
        <v>6234</v>
      </c>
      <c r="I2287" s="2" t="s">
        <v>32</v>
      </c>
      <c r="J2287" s="3">
        <v>44313</v>
      </c>
      <c r="K2287" s="5">
        <f>YEAR(OrganizedData[[#This Row],[Order Date]])</f>
        <v>2021</v>
      </c>
      <c r="L2287" s="7" t="str">
        <f>TEXT(OrganizedData[[#This Row],[Order Date]],"mmm")</f>
        <v>Apr</v>
      </c>
      <c r="M2287" s="2">
        <v>12</v>
      </c>
      <c r="N2287" s="2" t="s">
        <v>39</v>
      </c>
      <c r="O2287" s="2" t="str">
        <f>VLOOKUP(OrganizedData[[#This Row],[Product Code]],ProductData[[Code]:[Item]],2,FALSE)</f>
        <v>Ultrathing V1</v>
      </c>
      <c r="P2287" s="4">
        <f>OrganizedData[[#This Row],[Quantity]]*VLOOKUP(OrganizedData[[#This Row],[Product Code]],ProductData[],4,FALSE)</f>
        <v>204</v>
      </c>
      <c r="Q2287" s="6">
        <f>OrganizedData[[#This Row],[Total Items Ordered]]*VLOOKUP(OrganizedData[[#This Row],[Product Code]],ProductData[],3,FALSE)</f>
        <v>365.16</v>
      </c>
      <c r="R22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2288" spans="1:18" x14ac:dyDescent="0.3">
      <c r="A2288" s="2">
        <v>2281</v>
      </c>
      <c r="B2288" s="2" t="s">
        <v>6235</v>
      </c>
      <c r="C2288" s="2" t="s">
        <v>5254</v>
      </c>
      <c r="D2288" s="2" t="s">
        <v>51</v>
      </c>
      <c r="E2288" s="2" t="s">
        <v>16</v>
      </c>
      <c r="F2288" s="2">
        <v>60</v>
      </c>
      <c r="G2288" s="2" t="s">
        <v>6236</v>
      </c>
      <c r="H2288" s="2" t="s">
        <v>1138</v>
      </c>
      <c r="I2288" s="2" t="s">
        <v>124</v>
      </c>
      <c r="J2288" s="3">
        <v>44843</v>
      </c>
      <c r="K2288" s="5">
        <f>YEAR(OrganizedData[[#This Row],[Order Date]])</f>
        <v>2022</v>
      </c>
      <c r="L2288" s="7" t="str">
        <f>TEXT(OrganizedData[[#This Row],[Order Date]],"mmm")</f>
        <v>Oct</v>
      </c>
      <c r="M2288" s="2">
        <v>21</v>
      </c>
      <c r="N2288" s="2" t="s">
        <v>70</v>
      </c>
      <c r="O2288" s="2" t="str">
        <f>VLOOKUP(OrganizedData[[#This Row],[Product Code]],ProductData[[Code]:[Item]],2,FALSE)</f>
        <v>Megawidget M</v>
      </c>
      <c r="P2288" s="4">
        <f>OrganizedData[[#This Row],[Quantity]]*VLOOKUP(OrganizedData[[#This Row],[Product Code]],ProductData[],4,FALSE)</f>
        <v>504</v>
      </c>
      <c r="Q2288" s="6">
        <f>OrganizedData[[#This Row],[Total Items Ordered]]*VLOOKUP(OrganizedData[[#This Row],[Product Code]],ProductData[],3,FALSE)</f>
        <v>650.16</v>
      </c>
      <c r="R22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630.65519999999992</v>
      </c>
    </row>
    <row r="2289" spans="1:18" x14ac:dyDescent="0.3">
      <c r="A2289" s="2">
        <v>2282</v>
      </c>
      <c r="B2289" s="2" t="s">
        <v>1009</v>
      </c>
      <c r="C2289" s="2" t="s">
        <v>6237</v>
      </c>
      <c r="D2289" s="2" t="s">
        <v>51</v>
      </c>
      <c r="E2289" s="2" t="s">
        <v>16</v>
      </c>
      <c r="F2289" s="2">
        <v>60</v>
      </c>
      <c r="G2289" s="2" t="s">
        <v>6238</v>
      </c>
      <c r="H2289" s="2" t="s">
        <v>2727</v>
      </c>
      <c r="I2289" s="2" t="s">
        <v>2330</v>
      </c>
      <c r="J2289" s="3">
        <v>44437</v>
      </c>
      <c r="K2289" s="5">
        <f>YEAR(OrganizedData[[#This Row],[Order Date]])</f>
        <v>2021</v>
      </c>
      <c r="L2289" s="7" t="str">
        <f>TEXT(OrganizedData[[#This Row],[Order Date]],"mmm")</f>
        <v>Aug</v>
      </c>
      <c r="M2289" s="2">
        <v>64</v>
      </c>
      <c r="N2289" s="2" t="s">
        <v>101</v>
      </c>
      <c r="O2289" s="2" t="str">
        <f>VLOOKUP(OrganizedData[[#This Row],[Product Code]],ProductData[[Code]:[Item]],2,FALSE)</f>
        <v>Superwossname</v>
      </c>
      <c r="P2289" s="4">
        <f>OrganizedData[[#This Row],[Quantity]]*VLOOKUP(OrganizedData[[#This Row],[Product Code]],ProductData[],4,FALSE)</f>
        <v>1280</v>
      </c>
      <c r="Q2289" s="6">
        <f>OrganizedData[[#This Row],[Total Items Ordered]]*VLOOKUP(OrganizedData[[#This Row],[Product Code]],ProductData[],3,FALSE)</f>
        <v>4467.2000000000007</v>
      </c>
      <c r="R22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2290" spans="1:18" x14ac:dyDescent="0.3">
      <c r="A2290" s="2">
        <v>2283</v>
      </c>
      <c r="B2290" s="2" t="s">
        <v>1128</v>
      </c>
      <c r="C2290" s="2" t="s">
        <v>6076</v>
      </c>
      <c r="D2290" s="2" t="s">
        <v>28</v>
      </c>
      <c r="E2290" s="2" t="s">
        <v>29</v>
      </c>
      <c r="F2290" s="2">
        <v>30</v>
      </c>
      <c r="G2290" s="2" t="s">
        <v>6239</v>
      </c>
      <c r="H2290" s="2" t="s">
        <v>5243</v>
      </c>
      <c r="I2290" s="2" t="s">
        <v>25</v>
      </c>
      <c r="J2290" s="3">
        <v>44061</v>
      </c>
      <c r="K2290" s="5">
        <f>YEAR(OrganizedData[[#This Row],[Order Date]])</f>
        <v>2020</v>
      </c>
      <c r="L2290" s="7" t="str">
        <f>TEXT(OrganizedData[[#This Row],[Order Date]],"mmm")</f>
        <v>Aug</v>
      </c>
      <c r="M2290" s="2">
        <v>19</v>
      </c>
      <c r="N2290" s="2" t="s">
        <v>64</v>
      </c>
      <c r="O2290" s="2" t="str">
        <f>VLOOKUP(OrganizedData[[#This Row],[Product Code]],ProductData[[Code]:[Item]],2,FALSE)</f>
        <v>Ultrathing V4</v>
      </c>
      <c r="P2290" s="4">
        <f>OrganizedData[[#This Row],[Quantity]]*VLOOKUP(OrganizedData[[#This Row],[Product Code]],ProductData[],4,FALSE)</f>
        <v>456</v>
      </c>
      <c r="Q2290" s="6">
        <f>OrganizedData[[#This Row],[Total Items Ordered]]*VLOOKUP(OrganizedData[[#This Row],[Product Code]],ProductData[],3,FALSE)</f>
        <v>1819.44</v>
      </c>
      <c r="R22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2291" spans="1:18" x14ac:dyDescent="0.3">
      <c r="A2291" s="2">
        <v>2284</v>
      </c>
      <c r="B2291" s="2" t="s">
        <v>6240</v>
      </c>
      <c r="C2291" s="2" t="s">
        <v>5310</v>
      </c>
      <c r="D2291" s="2" t="s">
        <v>51</v>
      </c>
      <c r="E2291" s="2" t="s">
        <v>16</v>
      </c>
      <c r="F2291" s="2">
        <v>60</v>
      </c>
      <c r="G2291" s="2" t="s">
        <v>6241</v>
      </c>
      <c r="H2291" s="2" t="s">
        <v>5420</v>
      </c>
      <c r="I2291" s="2" t="s">
        <v>32</v>
      </c>
      <c r="J2291" s="3">
        <v>44882</v>
      </c>
      <c r="K2291" s="5">
        <f>YEAR(OrganizedData[[#This Row],[Order Date]])</f>
        <v>2022</v>
      </c>
      <c r="L2291" s="7" t="str">
        <f>TEXT(OrganizedData[[#This Row],[Order Date]],"mmm")</f>
        <v>Nov</v>
      </c>
      <c r="M2291" s="2">
        <v>5</v>
      </c>
      <c r="N2291" s="2" t="s">
        <v>64</v>
      </c>
      <c r="O2291" s="2" t="str">
        <f>VLOOKUP(OrganizedData[[#This Row],[Product Code]],ProductData[[Code]:[Item]],2,FALSE)</f>
        <v>Ultrathing V4</v>
      </c>
      <c r="P2291" s="4">
        <f>OrganizedData[[#This Row],[Quantity]]*VLOOKUP(OrganizedData[[#This Row],[Product Code]],ProductData[],4,FALSE)</f>
        <v>120</v>
      </c>
      <c r="Q2291" s="6">
        <f>OrganizedData[[#This Row],[Total Items Ordered]]*VLOOKUP(OrganizedData[[#This Row],[Product Code]],ProductData[],3,FALSE)</f>
        <v>478.8</v>
      </c>
      <c r="R22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2292" spans="1:18" x14ac:dyDescent="0.3">
      <c r="A2292" s="2">
        <v>2285</v>
      </c>
      <c r="B2292" s="2" t="s">
        <v>6242</v>
      </c>
      <c r="C2292" s="2" t="s">
        <v>1746</v>
      </c>
      <c r="D2292" s="2" t="s">
        <v>15</v>
      </c>
      <c r="E2292" s="2" t="s">
        <v>16</v>
      </c>
      <c r="F2292" s="2">
        <v>90</v>
      </c>
      <c r="G2292" s="2" t="s">
        <v>6243</v>
      </c>
      <c r="H2292" s="2" t="s">
        <v>1232</v>
      </c>
      <c r="I2292" s="2" t="s">
        <v>1233</v>
      </c>
      <c r="J2292" s="3">
        <v>44545</v>
      </c>
      <c r="K2292" s="5">
        <f>YEAR(OrganizedData[[#This Row],[Order Date]])</f>
        <v>2021</v>
      </c>
      <c r="L2292" s="7" t="str">
        <f>TEXT(OrganizedData[[#This Row],[Order Date]],"mmm")</f>
        <v>Dec</v>
      </c>
      <c r="M2292" s="2">
        <v>64</v>
      </c>
      <c r="N2292" s="2" t="s">
        <v>70</v>
      </c>
      <c r="O2292" s="2" t="str">
        <f>VLOOKUP(OrganizedData[[#This Row],[Product Code]],ProductData[[Code]:[Item]],2,FALSE)</f>
        <v>Megawidget M</v>
      </c>
      <c r="P2292" s="4">
        <f>OrganizedData[[#This Row],[Quantity]]*VLOOKUP(OrganizedData[[#This Row],[Product Code]],ProductData[],4,FALSE)</f>
        <v>1536</v>
      </c>
      <c r="Q2292" s="6">
        <f>OrganizedData[[#This Row],[Total Items Ordered]]*VLOOKUP(OrganizedData[[#This Row],[Product Code]],ProductData[],3,FALSE)</f>
        <v>1981.44</v>
      </c>
      <c r="R22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1882.3679999999999</v>
      </c>
    </row>
    <row r="2293" spans="1:18" x14ac:dyDescent="0.3">
      <c r="A2293" s="2">
        <v>2286</v>
      </c>
      <c r="B2293" s="2" t="s">
        <v>5920</v>
      </c>
      <c r="C2293" s="2" t="s">
        <v>4974</v>
      </c>
      <c r="D2293" s="2" t="s">
        <v>28</v>
      </c>
      <c r="E2293" s="2" t="s">
        <v>29</v>
      </c>
      <c r="F2293" s="2">
        <v>30</v>
      </c>
      <c r="G2293" s="2" t="s">
        <v>6244</v>
      </c>
      <c r="H2293" s="2" t="s">
        <v>1214</v>
      </c>
      <c r="I2293" s="2" t="s">
        <v>32</v>
      </c>
      <c r="J2293" s="3">
        <v>44025</v>
      </c>
      <c r="K2293" s="5">
        <f>YEAR(OrganizedData[[#This Row],[Order Date]])</f>
        <v>2020</v>
      </c>
      <c r="L2293" s="7" t="str">
        <f>TEXT(OrganizedData[[#This Row],[Order Date]],"mmm")</f>
        <v>Jul</v>
      </c>
      <c r="M2293" s="2">
        <v>59</v>
      </c>
      <c r="N2293" s="2" t="s">
        <v>159</v>
      </c>
      <c r="O2293" s="2" t="str">
        <f>VLOOKUP(OrganizedData[[#This Row],[Product Code]],ProductData[[Code]:[Item]],2,FALSE)</f>
        <v>Ultrathing V3</v>
      </c>
      <c r="P2293" s="4">
        <f>OrganizedData[[#This Row],[Quantity]]*VLOOKUP(OrganizedData[[#This Row],[Product Code]],ProductData[],4,FALSE)</f>
        <v>1416</v>
      </c>
      <c r="Q2293" s="6">
        <f>OrganizedData[[#This Row],[Total Items Ordered]]*VLOOKUP(OrganizedData[[#This Row],[Product Code]],ProductData[],3,FALSE)</f>
        <v>4800.24</v>
      </c>
      <c r="R22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2294" spans="1:18" x14ac:dyDescent="0.3">
      <c r="A2294" s="2">
        <v>2287</v>
      </c>
      <c r="B2294" s="2" t="s">
        <v>6245</v>
      </c>
      <c r="C2294" s="2" t="s">
        <v>6212</v>
      </c>
      <c r="D2294" s="2" t="s">
        <v>51</v>
      </c>
      <c r="E2294" s="2" t="s">
        <v>16</v>
      </c>
      <c r="F2294" s="2">
        <v>60</v>
      </c>
      <c r="G2294" s="2" t="s">
        <v>6246</v>
      </c>
      <c r="H2294" s="2" t="s">
        <v>1284</v>
      </c>
      <c r="I2294" s="2" t="s">
        <v>32</v>
      </c>
      <c r="J2294" s="3">
        <v>44096</v>
      </c>
      <c r="K2294" s="5">
        <f>YEAR(OrganizedData[[#This Row],[Order Date]])</f>
        <v>2020</v>
      </c>
      <c r="L2294" s="7" t="str">
        <f>TEXT(OrganizedData[[#This Row],[Order Date]],"mmm")</f>
        <v>Sep</v>
      </c>
      <c r="M2294" s="2">
        <v>19</v>
      </c>
      <c r="N2294" s="2" t="s">
        <v>33</v>
      </c>
      <c r="O2294" s="2" t="str">
        <f>VLOOKUP(OrganizedData[[#This Row],[Product Code]],ProductData[[Code]:[Item]],2,FALSE)</f>
        <v>Megawidget L</v>
      </c>
      <c r="P2294" s="4">
        <f>OrganizedData[[#This Row],[Quantity]]*VLOOKUP(OrganizedData[[#This Row],[Product Code]],ProductData[],4,FALSE)</f>
        <v>456</v>
      </c>
      <c r="Q2294" s="6">
        <f>OrganizedData[[#This Row],[Total Items Ordered]]*VLOOKUP(OrganizedData[[#This Row],[Product Code]],ProductData[],3,FALSE)</f>
        <v>816.24</v>
      </c>
      <c r="R22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2295" spans="1:18" x14ac:dyDescent="0.3">
      <c r="A2295" s="2">
        <v>2288</v>
      </c>
      <c r="B2295" s="2" t="s">
        <v>5695</v>
      </c>
      <c r="C2295" s="2" t="s">
        <v>6247</v>
      </c>
      <c r="D2295" s="2" t="s">
        <v>28</v>
      </c>
      <c r="E2295" s="2" t="s">
        <v>29</v>
      </c>
      <c r="F2295" s="2">
        <v>90</v>
      </c>
      <c r="G2295" s="2" t="s">
        <v>6248</v>
      </c>
      <c r="H2295" s="2" t="s">
        <v>1168</v>
      </c>
      <c r="I2295" s="2" t="s">
        <v>32</v>
      </c>
      <c r="J2295" s="3">
        <v>44646</v>
      </c>
      <c r="K2295" s="5">
        <f>YEAR(OrganizedData[[#This Row],[Order Date]])</f>
        <v>2022</v>
      </c>
      <c r="L2295" s="7" t="str">
        <f>TEXT(OrganizedData[[#This Row],[Order Date]],"mmm")</f>
        <v>Mar</v>
      </c>
      <c r="M2295" s="2">
        <v>22</v>
      </c>
      <c r="N2295" s="2" t="s">
        <v>20</v>
      </c>
      <c r="O2295" s="2" t="str">
        <f>VLOOKUP(OrganizedData[[#This Row],[Product Code]],ProductData[[Code]:[Item]],2,FALSE)</f>
        <v>Hyperwotsit</v>
      </c>
      <c r="P2295" s="4">
        <f>OrganizedData[[#This Row],[Quantity]]*VLOOKUP(OrganizedData[[#This Row],[Product Code]],ProductData[],4,FALSE)</f>
        <v>440</v>
      </c>
      <c r="Q2295" s="6">
        <f>OrganizedData[[#This Row],[Total Items Ordered]]*VLOOKUP(OrganizedData[[#This Row],[Product Code]],ProductData[],3,FALSE)</f>
        <v>884.39999999999986</v>
      </c>
      <c r="R22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857.86799999999982</v>
      </c>
    </row>
    <row r="2296" spans="1:18" x14ac:dyDescent="0.3">
      <c r="A2296" s="2">
        <v>2289</v>
      </c>
      <c r="B2296" s="2" t="s">
        <v>6249</v>
      </c>
      <c r="C2296" s="2" t="s">
        <v>4489</v>
      </c>
      <c r="D2296" s="2" t="s">
        <v>28</v>
      </c>
      <c r="E2296" s="2" t="s">
        <v>29</v>
      </c>
      <c r="F2296" s="2">
        <v>60</v>
      </c>
      <c r="G2296" s="2" t="s">
        <v>6250</v>
      </c>
      <c r="H2296" s="2" t="s">
        <v>985</v>
      </c>
      <c r="I2296" s="2" t="s">
        <v>38</v>
      </c>
      <c r="J2296" s="3">
        <v>44021</v>
      </c>
      <c r="K2296" s="5">
        <f>YEAR(OrganizedData[[#This Row],[Order Date]])</f>
        <v>2020</v>
      </c>
      <c r="L2296" s="7" t="str">
        <f>TEXT(OrganizedData[[#This Row],[Order Date]],"mmm")</f>
        <v>Jul</v>
      </c>
      <c r="M2296" s="2">
        <v>50</v>
      </c>
      <c r="N2296" s="2" t="s">
        <v>80</v>
      </c>
      <c r="O2296" s="2" t="str">
        <f>VLOOKUP(OrganizedData[[#This Row],[Product Code]],ProductData[[Code]:[Item]],2,FALSE)</f>
        <v>Ultrathing V2</v>
      </c>
      <c r="P2296" s="4">
        <f>OrganizedData[[#This Row],[Quantity]]*VLOOKUP(OrganizedData[[#This Row],[Product Code]],ProductData[],4,FALSE)</f>
        <v>1000</v>
      </c>
      <c r="Q2296" s="6">
        <f>OrganizedData[[#This Row],[Total Items Ordered]]*VLOOKUP(OrganizedData[[#This Row],[Product Code]],ProductData[],3,FALSE)</f>
        <v>2950</v>
      </c>
      <c r="R22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2861.5</v>
      </c>
    </row>
    <row r="2297" spans="1:18" x14ac:dyDescent="0.3">
      <c r="A2297" s="2">
        <v>2290</v>
      </c>
      <c r="B2297" s="2" t="s">
        <v>6251</v>
      </c>
      <c r="C2297" s="2" t="s">
        <v>1041</v>
      </c>
      <c r="D2297" s="2" t="s">
        <v>15</v>
      </c>
      <c r="E2297" s="2" t="s">
        <v>16</v>
      </c>
      <c r="F2297" s="2">
        <v>60</v>
      </c>
      <c r="G2297" s="2" t="s">
        <v>6252</v>
      </c>
      <c r="H2297" s="2" t="s">
        <v>917</v>
      </c>
      <c r="I2297" s="2" t="s">
        <v>32</v>
      </c>
      <c r="J2297" s="3">
        <v>44662</v>
      </c>
      <c r="K2297" s="5">
        <f>YEAR(OrganizedData[[#This Row],[Order Date]])</f>
        <v>2022</v>
      </c>
      <c r="L2297" s="7" t="str">
        <f>TEXT(OrganizedData[[#This Row],[Order Date]],"mmm")</f>
        <v>Apr</v>
      </c>
      <c r="M2297" s="2">
        <v>22</v>
      </c>
      <c r="N2297" s="2" t="s">
        <v>54</v>
      </c>
      <c r="O2297" s="2" t="str">
        <f>VLOOKUP(OrganizedData[[#This Row],[Product Code]],ProductData[[Code]:[Item]],2,FALSE)</f>
        <v>Megawidget S</v>
      </c>
      <c r="P2297" s="4">
        <f>OrganizedData[[#This Row],[Quantity]]*VLOOKUP(OrganizedData[[#This Row],[Product Code]],ProductData[],4,FALSE)</f>
        <v>528</v>
      </c>
      <c r="Q2297" s="6">
        <f>OrganizedData[[#This Row],[Total Items Ordered]]*VLOOKUP(OrganizedData[[#This Row],[Product Code]],ProductData[],3,FALSE)</f>
        <v>364.32</v>
      </c>
      <c r="R22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353.3904</v>
      </c>
    </row>
    <row r="2298" spans="1:18" x14ac:dyDescent="0.3">
      <c r="A2298" s="2">
        <v>2291</v>
      </c>
      <c r="B2298" s="2" t="s">
        <v>6253</v>
      </c>
      <c r="C2298" s="2" t="s">
        <v>2853</v>
      </c>
      <c r="D2298" s="2" t="s">
        <v>28</v>
      </c>
      <c r="E2298" s="2" t="s">
        <v>29</v>
      </c>
      <c r="F2298" s="2">
        <v>30</v>
      </c>
      <c r="G2298" s="2" t="s">
        <v>6254</v>
      </c>
      <c r="H2298" s="2" t="s">
        <v>2348</v>
      </c>
      <c r="I2298" s="2" t="s">
        <v>32</v>
      </c>
      <c r="J2298" s="3">
        <v>44751</v>
      </c>
      <c r="K2298" s="5">
        <f>YEAR(OrganizedData[[#This Row],[Order Date]])</f>
        <v>2022</v>
      </c>
      <c r="L2298" s="7" t="str">
        <f>TEXT(OrganizedData[[#This Row],[Order Date]],"mmm")</f>
        <v>Jul</v>
      </c>
      <c r="M2298" s="2">
        <v>75</v>
      </c>
      <c r="N2298" s="2" t="s">
        <v>80</v>
      </c>
      <c r="O2298" s="2" t="str">
        <f>VLOOKUP(OrganizedData[[#This Row],[Product Code]],ProductData[[Code]:[Item]],2,FALSE)</f>
        <v>Ultrathing V2</v>
      </c>
      <c r="P2298" s="4">
        <f>OrganizedData[[#This Row],[Quantity]]*VLOOKUP(OrganizedData[[#This Row],[Product Code]],ProductData[],4,FALSE)</f>
        <v>1500</v>
      </c>
      <c r="Q2298" s="6">
        <f>OrganizedData[[#This Row],[Total Items Ordered]]*VLOOKUP(OrganizedData[[#This Row],[Product Code]],ProductData[],3,FALSE)</f>
        <v>4425</v>
      </c>
      <c r="R22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4203.75</v>
      </c>
    </row>
    <row r="2299" spans="1:18" x14ac:dyDescent="0.3">
      <c r="A2299" s="2">
        <v>2292</v>
      </c>
      <c r="B2299" s="2" t="s">
        <v>3857</v>
      </c>
      <c r="C2299" s="2" t="s">
        <v>6255</v>
      </c>
      <c r="D2299" s="2" t="s">
        <v>51</v>
      </c>
      <c r="E2299" s="2" t="s">
        <v>16</v>
      </c>
      <c r="F2299" s="2">
        <v>90</v>
      </c>
      <c r="G2299" s="2" t="s">
        <v>6256</v>
      </c>
      <c r="H2299" s="2" t="s">
        <v>2613</v>
      </c>
      <c r="I2299" s="2" t="s">
        <v>32</v>
      </c>
      <c r="J2299" s="3">
        <v>44413</v>
      </c>
      <c r="K2299" s="5">
        <f>YEAR(OrganizedData[[#This Row],[Order Date]])</f>
        <v>2021</v>
      </c>
      <c r="L2299" s="7" t="str">
        <f>TEXT(OrganizedData[[#This Row],[Order Date]],"mmm")</f>
        <v>Aug</v>
      </c>
      <c r="M2299" s="2">
        <v>75</v>
      </c>
      <c r="N2299" s="2" t="s">
        <v>39</v>
      </c>
      <c r="O2299" s="2" t="str">
        <f>VLOOKUP(OrganizedData[[#This Row],[Product Code]],ProductData[[Code]:[Item]],2,FALSE)</f>
        <v>Ultrathing V1</v>
      </c>
      <c r="P2299" s="4">
        <f>OrganizedData[[#This Row],[Quantity]]*VLOOKUP(OrganizedData[[#This Row],[Product Code]],ProductData[],4,FALSE)</f>
        <v>1275</v>
      </c>
      <c r="Q2299" s="6">
        <f>OrganizedData[[#This Row],[Total Items Ordered]]*VLOOKUP(OrganizedData[[#This Row],[Product Code]],ProductData[],3,FALSE)</f>
        <v>2282.25</v>
      </c>
      <c r="R22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2168.1374999999998</v>
      </c>
    </row>
    <row r="2300" spans="1:18" x14ac:dyDescent="0.3">
      <c r="A2300" s="2">
        <v>2293</v>
      </c>
      <c r="B2300" s="2" t="s">
        <v>4596</v>
      </c>
      <c r="C2300" s="2" t="s">
        <v>5891</v>
      </c>
      <c r="D2300" s="2" t="s">
        <v>28</v>
      </c>
      <c r="E2300" s="2" t="s">
        <v>29</v>
      </c>
      <c r="F2300" s="2">
        <v>30</v>
      </c>
      <c r="G2300" s="2" t="s">
        <v>6257</v>
      </c>
      <c r="H2300" s="2" t="s">
        <v>4541</v>
      </c>
      <c r="I2300" s="2" t="s">
        <v>89</v>
      </c>
      <c r="J2300" s="3">
        <v>44133</v>
      </c>
      <c r="K2300" s="5">
        <f>YEAR(OrganizedData[[#This Row],[Order Date]])</f>
        <v>2020</v>
      </c>
      <c r="L2300" s="7" t="str">
        <f>TEXT(OrganizedData[[#This Row],[Order Date]],"mmm")</f>
        <v>Oct</v>
      </c>
      <c r="M2300" s="2">
        <v>49</v>
      </c>
      <c r="N2300" s="2" t="s">
        <v>45</v>
      </c>
      <c r="O2300" s="2" t="str">
        <f>VLOOKUP(OrganizedData[[#This Row],[Product Code]],ProductData[[Code]:[Item]],2,FALSE)</f>
        <v>Gigastuff</v>
      </c>
      <c r="P2300" s="4">
        <f>OrganizedData[[#This Row],[Quantity]]*VLOOKUP(OrganizedData[[#This Row],[Product Code]],ProductData[],4,FALSE)</f>
        <v>882</v>
      </c>
      <c r="Q2300" s="6">
        <f>OrganizedData[[#This Row],[Total Items Ordered]]*VLOOKUP(OrganizedData[[#This Row],[Product Code]],ProductData[],3,FALSE)</f>
        <v>1666.98</v>
      </c>
      <c r="R23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1616.9705999999999</v>
      </c>
    </row>
    <row r="2301" spans="1:18" x14ac:dyDescent="0.3">
      <c r="A2301" s="2">
        <v>2294</v>
      </c>
      <c r="B2301" s="2" t="s">
        <v>747</v>
      </c>
      <c r="C2301" s="2" t="s">
        <v>5786</v>
      </c>
      <c r="D2301" s="2" t="s">
        <v>51</v>
      </c>
      <c r="E2301" s="2" t="s">
        <v>16</v>
      </c>
      <c r="F2301" s="2">
        <v>30</v>
      </c>
      <c r="G2301" s="2" t="s">
        <v>6258</v>
      </c>
      <c r="H2301" s="2" t="s">
        <v>6259</v>
      </c>
      <c r="I2301" s="2" t="s">
        <v>6260</v>
      </c>
      <c r="J2301" s="3">
        <v>43945</v>
      </c>
      <c r="K2301" s="5">
        <f>YEAR(OrganizedData[[#This Row],[Order Date]])</f>
        <v>2020</v>
      </c>
      <c r="L2301" s="7" t="str">
        <f>TEXT(OrganizedData[[#This Row],[Order Date]],"mmm")</f>
        <v>Apr</v>
      </c>
      <c r="M2301" s="2">
        <v>36</v>
      </c>
      <c r="N2301" s="2" t="s">
        <v>70</v>
      </c>
      <c r="O2301" s="2" t="str">
        <f>VLOOKUP(OrganizedData[[#This Row],[Product Code]],ProductData[[Code]:[Item]],2,FALSE)</f>
        <v>Megawidget M</v>
      </c>
      <c r="P2301" s="4">
        <f>OrganizedData[[#This Row],[Quantity]]*VLOOKUP(OrganizedData[[#This Row],[Product Code]],ProductData[],4,FALSE)</f>
        <v>864</v>
      </c>
      <c r="Q2301" s="6">
        <f>OrganizedData[[#This Row],[Total Items Ordered]]*VLOOKUP(OrganizedData[[#This Row],[Product Code]],ProductData[],3,FALSE)</f>
        <v>1114.56</v>
      </c>
      <c r="R23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1081.1232</v>
      </c>
    </row>
    <row r="2302" spans="1:18" x14ac:dyDescent="0.3">
      <c r="A2302" s="2">
        <v>2295</v>
      </c>
      <c r="B2302" s="2" t="s">
        <v>2203</v>
      </c>
      <c r="C2302" s="2" t="s">
        <v>6261</v>
      </c>
      <c r="D2302" s="2" t="s">
        <v>28</v>
      </c>
      <c r="E2302" s="2" t="s">
        <v>29</v>
      </c>
      <c r="F2302" s="2">
        <v>60</v>
      </c>
      <c r="G2302" s="2" t="s">
        <v>6262</v>
      </c>
      <c r="H2302" s="2" t="s">
        <v>2552</v>
      </c>
      <c r="I2302" s="2" t="s">
        <v>32</v>
      </c>
      <c r="J2302" s="3">
        <v>44099</v>
      </c>
      <c r="K2302" s="5">
        <f>YEAR(OrganizedData[[#This Row],[Order Date]])</f>
        <v>2020</v>
      </c>
      <c r="L2302" s="7" t="str">
        <f>TEXT(OrganizedData[[#This Row],[Order Date]],"mmm")</f>
        <v>Sep</v>
      </c>
      <c r="M2302" s="2">
        <v>72</v>
      </c>
      <c r="N2302" s="2" t="s">
        <v>70</v>
      </c>
      <c r="O2302" s="2" t="str">
        <f>VLOOKUP(OrganizedData[[#This Row],[Product Code]],ProductData[[Code]:[Item]],2,FALSE)</f>
        <v>Megawidget M</v>
      </c>
      <c r="P2302" s="4">
        <f>OrganizedData[[#This Row],[Quantity]]*VLOOKUP(OrganizedData[[#This Row],[Product Code]],ProductData[],4,FALSE)</f>
        <v>1728</v>
      </c>
      <c r="Q2302" s="6">
        <f>OrganizedData[[#This Row],[Total Items Ordered]]*VLOOKUP(OrganizedData[[#This Row],[Product Code]],ProductData[],3,FALSE)</f>
        <v>2229.12</v>
      </c>
      <c r="R23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2303" spans="1:18" x14ac:dyDescent="0.3">
      <c r="A2303" s="2">
        <v>2296</v>
      </c>
      <c r="B2303" s="2" t="s">
        <v>4099</v>
      </c>
      <c r="C2303" s="2" t="s">
        <v>748</v>
      </c>
      <c r="D2303" s="2" t="s">
        <v>15</v>
      </c>
      <c r="E2303" s="2" t="s">
        <v>16</v>
      </c>
      <c r="F2303" s="2">
        <v>90</v>
      </c>
      <c r="G2303" s="2" t="s">
        <v>6263</v>
      </c>
      <c r="H2303" s="2" t="s">
        <v>4098</v>
      </c>
      <c r="I2303" s="2" t="s">
        <v>1889</v>
      </c>
      <c r="J2303" s="3">
        <v>44317</v>
      </c>
      <c r="K2303" s="5">
        <f>YEAR(OrganizedData[[#This Row],[Order Date]])</f>
        <v>2021</v>
      </c>
      <c r="L2303" s="7" t="str">
        <f>TEXT(OrganizedData[[#This Row],[Order Date]],"mmm")</f>
        <v>May</v>
      </c>
      <c r="M2303" s="2">
        <v>8</v>
      </c>
      <c r="N2303" s="2" t="s">
        <v>64</v>
      </c>
      <c r="O2303" s="2" t="str">
        <f>VLOOKUP(OrganizedData[[#This Row],[Product Code]],ProductData[[Code]:[Item]],2,FALSE)</f>
        <v>Ultrathing V4</v>
      </c>
      <c r="P2303" s="4">
        <f>OrganizedData[[#This Row],[Quantity]]*VLOOKUP(OrganizedData[[#This Row],[Product Code]],ProductData[],4,FALSE)</f>
        <v>192</v>
      </c>
      <c r="Q2303" s="6">
        <f>OrganizedData[[#This Row],[Total Items Ordered]]*VLOOKUP(OrganizedData[[#This Row],[Product Code]],ProductData[],3,FALSE)</f>
        <v>766.08</v>
      </c>
      <c r="R23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2304" spans="1:18" x14ac:dyDescent="0.3">
      <c r="A2304" s="2">
        <v>2297</v>
      </c>
      <c r="B2304" s="2" t="s">
        <v>6264</v>
      </c>
      <c r="C2304" s="2" t="s">
        <v>376</v>
      </c>
      <c r="D2304" s="2" t="s">
        <v>28</v>
      </c>
      <c r="E2304" s="2" t="s">
        <v>29</v>
      </c>
      <c r="F2304" s="2">
        <v>30</v>
      </c>
      <c r="G2304" s="2" t="s">
        <v>6265</v>
      </c>
      <c r="H2304" s="2" t="s">
        <v>221</v>
      </c>
      <c r="I2304" s="2" t="s">
        <v>32</v>
      </c>
      <c r="J2304" s="3">
        <v>44393</v>
      </c>
      <c r="K2304" s="5">
        <f>YEAR(OrganizedData[[#This Row],[Order Date]])</f>
        <v>2021</v>
      </c>
      <c r="L2304" s="7" t="str">
        <f>TEXT(OrganizedData[[#This Row],[Order Date]],"mmm")</f>
        <v>Jul</v>
      </c>
      <c r="M2304" s="2">
        <v>91</v>
      </c>
      <c r="N2304" s="2" t="s">
        <v>80</v>
      </c>
      <c r="O2304" s="2" t="str">
        <f>VLOOKUP(OrganizedData[[#This Row],[Product Code]],ProductData[[Code]:[Item]],2,FALSE)</f>
        <v>Ultrathing V2</v>
      </c>
      <c r="P2304" s="4">
        <f>OrganizedData[[#This Row],[Quantity]]*VLOOKUP(OrganizedData[[#This Row],[Product Code]],ProductData[],4,FALSE)</f>
        <v>1820</v>
      </c>
      <c r="Q2304" s="6">
        <f>OrganizedData[[#This Row],[Total Items Ordered]]*VLOOKUP(OrganizedData[[#This Row],[Product Code]],ProductData[],3,FALSE)</f>
        <v>5369</v>
      </c>
      <c r="R23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2305" spans="1:18" x14ac:dyDescent="0.3">
      <c r="A2305" s="2">
        <v>2298</v>
      </c>
      <c r="B2305" s="2" t="s">
        <v>3811</v>
      </c>
      <c r="C2305" s="2" t="s">
        <v>4626</v>
      </c>
      <c r="D2305" s="2" t="s">
        <v>28</v>
      </c>
      <c r="E2305" s="2" t="s">
        <v>29</v>
      </c>
      <c r="F2305" s="2">
        <v>90</v>
      </c>
      <c r="G2305" s="2" t="s">
        <v>6266</v>
      </c>
      <c r="H2305" s="2" t="s">
        <v>2154</v>
      </c>
      <c r="I2305" s="2" t="s">
        <v>124</v>
      </c>
      <c r="J2305" s="3">
        <v>43873</v>
      </c>
      <c r="K2305" s="5">
        <f>YEAR(OrganizedData[[#This Row],[Order Date]])</f>
        <v>2020</v>
      </c>
      <c r="L2305" s="7" t="str">
        <f>TEXT(OrganizedData[[#This Row],[Order Date]],"mmm")</f>
        <v>Feb</v>
      </c>
      <c r="M2305" s="2">
        <v>19</v>
      </c>
      <c r="N2305" s="2" t="s">
        <v>101</v>
      </c>
      <c r="O2305" s="2" t="str">
        <f>VLOOKUP(OrganizedData[[#This Row],[Product Code]],ProductData[[Code]:[Item]],2,FALSE)</f>
        <v>Superwossname</v>
      </c>
      <c r="P2305" s="4">
        <f>OrganizedData[[#This Row],[Quantity]]*VLOOKUP(OrganizedData[[#This Row],[Product Code]],ProductData[],4,FALSE)</f>
        <v>380</v>
      </c>
      <c r="Q2305" s="6">
        <f>OrganizedData[[#This Row],[Total Items Ordered]]*VLOOKUP(OrganizedData[[#This Row],[Product Code]],ProductData[],3,FALSE)</f>
        <v>1326.2</v>
      </c>
      <c r="R23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1326.2</v>
      </c>
    </row>
    <row r="2306" spans="1:18" x14ac:dyDescent="0.3">
      <c r="A2306" s="2">
        <v>2299</v>
      </c>
      <c r="B2306" s="2" t="s">
        <v>6267</v>
      </c>
      <c r="C2306" s="2" t="s">
        <v>3938</v>
      </c>
      <c r="D2306" s="2" t="s">
        <v>51</v>
      </c>
      <c r="E2306" s="2" t="s">
        <v>16</v>
      </c>
      <c r="F2306" s="2">
        <v>90</v>
      </c>
      <c r="G2306" s="2" t="s">
        <v>6268</v>
      </c>
      <c r="H2306" s="2" t="s">
        <v>1374</v>
      </c>
      <c r="I2306" s="2" t="s">
        <v>294</v>
      </c>
      <c r="J2306" s="3">
        <v>44861</v>
      </c>
      <c r="K2306" s="5">
        <f>YEAR(OrganizedData[[#This Row],[Order Date]])</f>
        <v>2022</v>
      </c>
      <c r="L2306" s="7" t="str">
        <f>TEXT(OrganizedData[[#This Row],[Order Date]],"mmm")</f>
        <v>Oct</v>
      </c>
      <c r="M2306" s="2">
        <v>103</v>
      </c>
      <c r="N2306" s="2" t="s">
        <v>159</v>
      </c>
      <c r="O2306" s="2" t="str">
        <f>VLOOKUP(OrganizedData[[#This Row],[Product Code]],ProductData[[Code]:[Item]],2,FALSE)</f>
        <v>Ultrathing V3</v>
      </c>
      <c r="P2306" s="4">
        <f>OrganizedData[[#This Row],[Quantity]]*VLOOKUP(OrganizedData[[#This Row],[Product Code]],ProductData[],4,FALSE)</f>
        <v>2472</v>
      </c>
      <c r="Q2306" s="6">
        <f>OrganizedData[[#This Row],[Total Items Ordered]]*VLOOKUP(OrganizedData[[#This Row],[Product Code]],ProductData[],3,FALSE)</f>
        <v>8380.08</v>
      </c>
      <c r="R23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7793.4744000000001</v>
      </c>
    </row>
    <row r="2307" spans="1:18" x14ac:dyDescent="0.3">
      <c r="A2307" s="2">
        <v>2300</v>
      </c>
      <c r="B2307" s="2" t="s">
        <v>2682</v>
      </c>
      <c r="C2307" s="2" t="s">
        <v>2856</v>
      </c>
      <c r="D2307" s="2" t="s">
        <v>28</v>
      </c>
      <c r="E2307" s="2" t="s">
        <v>29</v>
      </c>
      <c r="F2307" s="2">
        <v>60</v>
      </c>
      <c r="G2307" s="2" t="s">
        <v>6269</v>
      </c>
      <c r="H2307" s="2" t="s">
        <v>1747</v>
      </c>
      <c r="I2307" s="2" t="s">
        <v>294</v>
      </c>
      <c r="J2307" s="3">
        <v>44520</v>
      </c>
      <c r="K2307" s="5">
        <f>YEAR(OrganizedData[[#This Row],[Order Date]])</f>
        <v>2021</v>
      </c>
      <c r="L2307" s="7" t="str">
        <f>TEXT(OrganizedData[[#This Row],[Order Date]],"mmm")</f>
        <v>Nov</v>
      </c>
      <c r="M2307" s="2">
        <v>50</v>
      </c>
      <c r="N2307" s="2" t="s">
        <v>101</v>
      </c>
      <c r="O2307" s="2" t="str">
        <f>VLOOKUP(OrganizedData[[#This Row],[Product Code]],ProductData[[Code]:[Item]],2,FALSE)</f>
        <v>Superwossname</v>
      </c>
      <c r="P2307" s="4">
        <f>OrganizedData[[#This Row],[Quantity]]*VLOOKUP(OrganizedData[[#This Row],[Product Code]],ProductData[],4,FALSE)</f>
        <v>1000</v>
      </c>
      <c r="Q2307" s="6">
        <f>OrganizedData[[#This Row],[Total Items Ordered]]*VLOOKUP(OrganizedData[[#This Row],[Product Code]],ProductData[],3,FALSE)</f>
        <v>3490</v>
      </c>
      <c r="R23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3385.2999999999997</v>
      </c>
    </row>
    <row r="2308" spans="1:18" x14ac:dyDescent="0.3">
      <c r="A2308" s="2">
        <v>2301</v>
      </c>
      <c r="B2308" s="2" t="s">
        <v>2805</v>
      </c>
      <c r="C2308" s="2" t="s">
        <v>836</v>
      </c>
      <c r="D2308" s="2" t="s">
        <v>28</v>
      </c>
      <c r="E2308" s="2" t="s">
        <v>29</v>
      </c>
      <c r="F2308" s="2">
        <v>30</v>
      </c>
      <c r="G2308" s="2" t="s">
        <v>6270</v>
      </c>
      <c r="H2308" s="2" t="s">
        <v>1598</v>
      </c>
      <c r="I2308" s="2" t="s">
        <v>32</v>
      </c>
      <c r="J2308" s="3">
        <v>44189</v>
      </c>
      <c r="K2308" s="5">
        <f>YEAR(OrganizedData[[#This Row],[Order Date]])</f>
        <v>2020</v>
      </c>
      <c r="L2308" s="7" t="str">
        <f>TEXT(OrganizedData[[#This Row],[Order Date]],"mmm")</f>
        <v>Dec</v>
      </c>
      <c r="M2308" s="2">
        <v>28</v>
      </c>
      <c r="N2308" s="2" t="s">
        <v>54</v>
      </c>
      <c r="O2308" s="2" t="str">
        <f>VLOOKUP(OrganizedData[[#This Row],[Product Code]],ProductData[[Code]:[Item]],2,FALSE)</f>
        <v>Megawidget S</v>
      </c>
      <c r="P2308" s="4">
        <f>OrganizedData[[#This Row],[Quantity]]*VLOOKUP(OrganizedData[[#This Row],[Product Code]],ProductData[],4,FALSE)</f>
        <v>672</v>
      </c>
      <c r="Q2308" s="6">
        <f>OrganizedData[[#This Row],[Total Items Ordered]]*VLOOKUP(OrganizedData[[#This Row],[Product Code]],ProductData[],3,FALSE)</f>
        <v>463.67999999999995</v>
      </c>
      <c r="R23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449.76959999999991</v>
      </c>
    </row>
    <row r="2309" spans="1:18" x14ac:dyDescent="0.3">
      <c r="A2309" s="2">
        <v>2302</v>
      </c>
      <c r="B2309" s="2" t="s">
        <v>6271</v>
      </c>
      <c r="C2309" s="2" t="s">
        <v>6272</v>
      </c>
      <c r="D2309" s="2" t="s">
        <v>15</v>
      </c>
      <c r="E2309" s="2" t="s">
        <v>16</v>
      </c>
      <c r="F2309" s="2">
        <v>90</v>
      </c>
      <c r="G2309" s="2" t="s">
        <v>6273</v>
      </c>
      <c r="H2309" s="2" t="s">
        <v>137</v>
      </c>
      <c r="I2309" s="2" t="s">
        <v>32</v>
      </c>
      <c r="J2309" s="3">
        <v>43985</v>
      </c>
      <c r="K2309" s="5">
        <f>YEAR(OrganizedData[[#This Row],[Order Date]])</f>
        <v>2020</v>
      </c>
      <c r="L2309" s="7" t="str">
        <f>TEXT(OrganizedData[[#This Row],[Order Date]],"mmm")</f>
        <v>Jun</v>
      </c>
      <c r="M2309" s="2">
        <v>82</v>
      </c>
      <c r="N2309" s="2" t="s">
        <v>70</v>
      </c>
      <c r="O2309" s="2" t="str">
        <f>VLOOKUP(OrganizedData[[#This Row],[Product Code]],ProductData[[Code]:[Item]],2,FALSE)</f>
        <v>Megawidget M</v>
      </c>
      <c r="P2309" s="4">
        <f>OrganizedData[[#This Row],[Quantity]]*VLOOKUP(OrganizedData[[#This Row],[Product Code]],ProductData[],4,FALSE)</f>
        <v>1968</v>
      </c>
      <c r="Q2309" s="6">
        <f>OrganizedData[[#This Row],[Total Items Ordered]]*VLOOKUP(OrganizedData[[#This Row],[Product Code]],ProductData[],3,FALSE)</f>
        <v>2538.7200000000003</v>
      </c>
      <c r="R23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2411.7840000000001</v>
      </c>
    </row>
    <row r="2310" spans="1:18" x14ac:dyDescent="0.3">
      <c r="A2310" s="2">
        <v>2303</v>
      </c>
      <c r="B2310" s="2" t="s">
        <v>6274</v>
      </c>
      <c r="C2310" s="2" t="s">
        <v>6275</v>
      </c>
      <c r="D2310" s="2" t="s">
        <v>28</v>
      </c>
      <c r="E2310" s="2" t="s">
        <v>29</v>
      </c>
      <c r="F2310" s="2">
        <v>30</v>
      </c>
      <c r="G2310" s="2" t="s">
        <v>6276</v>
      </c>
      <c r="H2310" s="2" t="s">
        <v>195</v>
      </c>
      <c r="I2310" s="2" t="s">
        <v>187</v>
      </c>
      <c r="J2310" s="3">
        <v>44754</v>
      </c>
      <c r="K2310" s="5">
        <f>YEAR(OrganizedData[[#This Row],[Order Date]])</f>
        <v>2022</v>
      </c>
      <c r="L2310" s="7" t="str">
        <f>TEXT(OrganizedData[[#This Row],[Order Date]],"mmm")</f>
        <v>Jul</v>
      </c>
      <c r="M2310" s="2">
        <v>105</v>
      </c>
      <c r="N2310" s="2" t="s">
        <v>33</v>
      </c>
      <c r="O2310" s="2" t="str">
        <f>VLOOKUP(OrganizedData[[#This Row],[Product Code]],ProductData[[Code]:[Item]],2,FALSE)</f>
        <v>Megawidget L</v>
      </c>
      <c r="P2310" s="4">
        <f>OrganizedData[[#This Row],[Quantity]]*VLOOKUP(OrganizedData[[#This Row],[Product Code]],ProductData[],4,FALSE)</f>
        <v>2520</v>
      </c>
      <c r="Q2310" s="6">
        <f>OrganizedData[[#This Row],[Total Items Ordered]]*VLOOKUP(OrganizedData[[#This Row],[Product Code]],ProductData[],3,FALSE)</f>
        <v>4510.8</v>
      </c>
      <c r="R23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4195.0440000000008</v>
      </c>
    </row>
    <row r="2311" spans="1:18" x14ac:dyDescent="0.3">
      <c r="A2311" s="2">
        <v>2304</v>
      </c>
      <c r="B2311" s="2" t="s">
        <v>1849</v>
      </c>
      <c r="C2311" s="2" t="s">
        <v>3927</v>
      </c>
      <c r="D2311" s="2" t="s">
        <v>28</v>
      </c>
      <c r="E2311" s="2" t="s">
        <v>29</v>
      </c>
      <c r="F2311" s="2">
        <v>90</v>
      </c>
      <c r="G2311" s="2" t="s">
        <v>6277</v>
      </c>
      <c r="H2311" s="2" t="s">
        <v>3571</v>
      </c>
      <c r="I2311" s="2" t="s">
        <v>32</v>
      </c>
      <c r="J2311" s="3">
        <v>44409</v>
      </c>
      <c r="K2311" s="5">
        <f>YEAR(OrganizedData[[#This Row],[Order Date]])</f>
        <v>2021</v>
      </c>
      <c r="L2311" s="7" t="str">
        <f>TEXT(OrganizedData[[#This Row],[Order Date]],"mmm")</f>
        <v>Aug</v>
      </c>
      <c r="M2311" s="2">
        <v>82</v>
      </c>
      <c r="N2311" s="2" t="s">
        <v>54</v>
      </c>
      <c r="O2311" s="2" t="str">
        <f>VLOOKUP(OrganizedData[[#This Row],[Product Code]],ProductData[[Code]:[Item]],2,FALSE)</f>
        <v>Megawidget S</v>
      </c>
      <c r="P2311" s="4">
        <f>OrganizedData[[#This Row],[Quantity]]*VLOOKUP(OrganizedData[[#This Row],[Product Code]],ProductData[],4,FALSE)</f>
        <v>1968</v>
      </c>
      <c r="Q2311" s="6">
        <f>OrganizedData[[#This Row],[Total Items Ordered]]*VLOOKUP(OrganizedData[[#This Row],[Product Code]],ProductData[],3,FALSE)</f>
        <v>1357.9199999999998</v>
      </c>
      <c r="R23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2312" spans="1:18" x14ac:dyDescent="0.3">
      <c r="A2312" s="2">
        <v>2305</v>
      </c>
      <c r="B2312" s="2" t="s">
        <v>679</v>
      </c>
      <c r="C2312" s="2" t="s">
        <v>2139</v>
      </c>
      <c r="D2312" s="2" t="s">
        <v>15</v>
      </c>
      <c r="E2312" s="2" t="s">
        <v>16</v>
      </c>
      <c r="F2312" s="2">
        <v>60</v>
      </c>
      <c r="G2312" s="2" t="s">
        <v>6278</v>
      </c>
      <c r="H2312" s="2" t="s">
        <v>3263</v>
      </c>
      <c r="I2312" s="2" t="s">
        <v>32</v>
      </c>
      <c r="J2312" s="3">
        <v>44367</v>
      </c>
      <c r="K2312" s="5">
        <f>YEAR(OrganizedData[[#This Row],[Order Date]])</f>
        <v>2021</v>
      </c>
      <c r="L2312" s="7" t="str">
        <f>TEXT(OrganizedData[[#This Row],[Order Date]],"mmm")</f>
        <v>Jun</v>
      </c>
      <c r="M2312" s="2">
        <v>4</v>
      </c>
      <c r="N2312" s="2" t="s">
        <v>20</v>
      </c>
      <c r="O2312" s="2" t="str">
        <f>VLOOKUP(OrganizedData[[#This Row],[Product Code]],ProductData[[Code]:[Item]],2,FALSE)</f>
        <v>Hyperwotsit</v>
      </c>
      <c r="P2312" s="4">
        <f>OrganizedData[[#This Row],[Quantity]]*VLOOKUP(OrganizedData[[#This Row],[Product Code]],ProductData[],4,FALSE)</f>
        <v>80</v>
      </c>
      <c r="Q2312" s="6">
        <f>OrganizedData[[#This Row],[Total Items Ordered]]*VLOOKUP(OrganizedData[[#This Row],[Product Code]],ProductData[],3,FALSE)</f>
        <v>160.79999999999998</v>
      </c>
      <c r="R23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160.79999999999998</v>
      </c>
    </row>
    <row r="2313" spans="1:18" x14ac:dyDescent="0.3">
      <c r="A2313" s="2">
        <v>2306</v>
      </c>
      <c r="B2313" s="2" t="s">
        <v>5928</v>
      </c>
      <c r="C2313" s="2" t="s">
        <v>6279</v>
      </c>
      <c r="D2313" s="2" t="s">
        <v>28</v>
      </c>
      <c r="E2313" s="2" t="s">
        <v>29</v>
      </c>
      <c r="F2313" s="2">
        <v>30</v>
      </c>
      <c r="G2313" s="2" t="s">
        <v>6280</v>
      </c>
      <c r="H2313" s="2" t="s">
        <v>1864</v>
      </c>
      <c r="I2313" s="2" t="s">
        <v>294</v>
      </c>
      <c r="J2313" s="3">
        <v>44126</v>
      </c>
      <c r="K2313" s="5">
        <f>YEAR(OrganizedData[[#This Row],[Order Date]])</f>
        <v>2020</v>
      </c>
      <c r="L2313" s="7" t="str">
        <f>TEXT(OrganizedData[[#This Row],[Order Date]],"mmm")</f>
        <v>Oct</v>
      </c>
      <c r="M2313" s="2">
        <v>55</v>
      </c>
      <c r="N2313" s="2" t="s">
        <v>39</v>
      </c>
      <c r="O2313" s="2" t="str">
        <f>VLOOKUP(OrganizedData[[#This Row],[Product Code]],ProductData[[Code]:[Item]],2,FALSE)</f>
        <v>Ultrathing V1</v>
      </c>
      <c r="P2313" s="4">
        <f>OrganizedData[[#This Row],[Quantity]]*VLOOKUP(OrganizedData[[#This Row],[Product Code]],ProductData[],4,FALSE)</f>
        <v>935</v>
      </c>
      <c r="Q2313" s="6">
        <f>OrganizedData[[#This Row],[Total Items Ordered]]*VLOOKUP(OrganizedData[[#This Row],[Product Code]],ProductData[],3,FALSE)</f>
        <v>1673.65</v>
      </c>
      <c r="R23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2314" spans="1:18" x14ac:dyDescent="0.3">
      <c r="A2314" s="2">
        <v>2307</v>
      </c>
      <c r="B2314" s="2" t="s">
        <v>6281</v>
      </c>
      <c r="C2314" s="2" t="s">
        <v>2010</v>
      </c>
      <c r="D2314" s="2" t="s">
        <v>51</v>
      </c>
      <c r="E2314" s="2" t="s">
        <v>16</v>
      </c>
      <c r="F2314" s="2">
        <v>90</v>
      </c>
      <c r="G2314" s="2" t="s">
        <v>6282</v>
      </c>
      <c r="H2314" s="2" t="s">
        <v>6283</v>
      </c>
      <c r="I2314" s="2" t="s">
        <v>32</v>
      </c>
      <c r="J2314" s="3">
        <v>44232</v>
      </c>
      <c r="K2314" s="5">
        <f>YEAR(OrganizedData[[#This Row],[Order Date]])</f>
        <v>2021</v>
      </c>
      <c r="L2314" s="7" t="str">
        <f>TEXT(OrganizedData[[#This Row],[Order Date]],"mmm")</f>
        <v>Feb</v>
      </c>
      <c r="M2314" s="2">
        <v>9</v>
      </c>
      <c r="N2314" s="2" t="s">
        <v>70</v>
      </c>
      <c r="O2314" s="2" t="str">
        <f>VLOOKUP(OrganizedData[[#This Row],[Product Code]],ProductData[[Code]:[Item]],2,FALSE)</f>
        <v>Megawidget M</v>
      </c>
      <c r="P2314" s="4">
        <f>OrganizedData[[#This Row],[Quantity]]*VLOOKUP(OrganizedData[[#This Row],[Product Code]],ProductData[],4,FALSE)</f>
        <v>216</v>
      </c>
      <c r="Q2314" s="6">
        <f>OrganizedData[[#This Row],[Total Items Ordered]]*VLOOKUP(OrganizedData[[#This Row],[Product Code]],ProductData[],3,FALSE)</f>
        <v>278.64</v>
      </c>
      <c r="R23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278.64</v>
      </c>
    </row>
    <row r="2315" spans="1:18" x14ac:dyDescent="0.3">
      <c r="A2315" s="2">
        <v>2308</v>
      </c>
      <c r="B2315" s="2" t="s">
        <v>1856</v>
      </c>
      <c r="C2315" s="2" t="s">
        <v>5332</v>
      </c>
      <c r="D2315" s="2" t="s">
        <v>51</v>
      </c>
      <c r="E2315" s="2" t="s">
        <v>16</v>
      </c>
      <c r="F2315" s="2">
        <v>90</v>
      </c>
      <c r="G2315" s="2" t="s">
        <v>6284</v>
      </c>
      <c r="H2315" s="2" t="s">
        <v>1325</v>
      </c>
      <c r="I2315" s="2" t="s">
        <v>187</v>
      </c>
      <c r="J2315" s="3">
        <v>44754</v>
      </c>
      <c r="K2315" s="5">
        <f>YEAR(OrganizedData[[#This Row],[Order Date]])</f>
        <v>2022</v>
      </c>
      <c r="L2315" s="7" t="str">
        <f>TEXT(OrganizedData[[#This Row],[Order Date]],"mmm")</f>
        <v>Jul</v>
      </c>
      <c r="M2315" s="2">
        <v>73</v>
      </c>
      <c r="N2315" s="2" t="s">
        <v>64</v>
      </c>
      <c r="O2315" s="2" t="str">
        <f>VLOOKUP(OrganizedData[[#This Row],[Product Code]],ProductData[[Code]:[Item]],2,FALSE)</f>
        <v>Ultrathing V4</v>
      </c>
      <c r="P2315" s="4">
        <f>OrganizedData[[#This Row],[Quantity]]*VLOOKUP(OrganizedData[[#This Row],[Product Code]],ProductData[],4,FALSE)</f>
        <v>1752</v>
      </c>
      <c r="Q2315" s="6">
        <f>OrganizedData[[#This Row],[Total Items Ordered]]*VLOOKUP(OrganizedData[[#This Row],[Product Code]],ProductData[],3,FALSE)</f>
        <v>6990.4800000000005</v>
      </c>
      <c r="R23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6640.9560000000001</v>
      </c>
    </row>
    <row r="2316" spans="1:18" x14ac:dyDescent="0.3">
      <c r="A2316" s="2">
        <v>2309</v>
      </c>
      <c r="B2316" s="2" t="s">
        <v>765</v>
      </c>
      <c r="C2316" s="2" t="s">
        <v>1304</v>
      </c>
      <c r="D2316" s="2" t="s">
        <v>15</v>
      </c>
      <c r="E2316" s="2" t="s">
        <v>16</v>
      </c>
      <c r="F2316" s="2">
        <v>60</v>
      </c>
      <c r="G2316" s="2" t="s">
        <v>6285</v>
      </c>
      <c r="H2316" s="2" t="s">
        <v>6080</v>
      </c>
      <c r="I2316" s="2" t="s">
        <v>32</v>
      </c>
      <c r="J2316" s="3">
        <v>43836</v>
      </c>
      <c r="K2316" s="5">
        <f>YEAR(OrganizedData[[#This Row],[Order Date]])</f>
        <v>2020</v>
      </c>
      <c r="L2316" s="7" t="str">
        <f>TEXT(OrganizedData[[#This Row],[Order Date]],"mmm")</f>
        <v>Jan</v>
      </c>
      <c r="M2316" s="2">
        <v>61</v>
      </c>
      <c r="N2316" s="2" t="s">
        <v>159</v>
      </c>
      <c r="O2316" s="2" t="str">
        <f>VLOOKUP(OrganizedData[[#This Row],[Product Code]],ProductData[[Code]:[Item]],2,FALSE)</f>
        <v>Ultrathing V3</v>
      </c>
      <c r="P2316" s="4">
        <f>OrganizedData[[#This Row],[Quantity]]*VLOOKUP(OrganizedData[[#This Row],[Product Code]],ProductData[],4,FALSE)</f>
        <v>1464</v>
      </c>
      <c r="Q2316" s="6">
        <f>OrganizedData[[#This Row],[Total Items Ordered]]*VLOOKUP(OrganizedData[[#This Row],[Product Code]],ProductData[],3,FALSE)</f>
        <v>4962.96</v>
      </c>
      <c r="R23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2317" spans="1:18" x14ac:dyDescent="0.3">
      <c r="A2317" s="2">
        <v>2310</v>
      </c>
      <c r="B2317" s="2" t="s">
        <v>6286</v>
      </c>
      <c r="C2317" s="2" t="s">
        <v>4281</v>
      </c>
      <c r="D2317" s="2" t="s">
        <v>15</v>
      </c>
      <c r="E2317" s="2" t="s">
        <v>16</v>
      </c>
      <c r="F2317" s="2">
        <v>90</v>
      </c>
      <c r="G2317" s="2" t="s">
        <v>6287</v>
      </c>
      <c r="H2317" s="2" t="s">
        <v>1210</v>
      </c>
      <c r="I2317" s="2" t="s">
        <v>294</v>
      </c>
      <c r="J2317" s="3">
        <v>44667</v>
      </c>
      <c r="K2317" s="5">
        <f>YEAR(OrganizedData[[#This Row],[Order Date]])</f>
        <v>2022</v>
      </c>
      <c r="L2317" s="7" t="str">
        <f>TEXT(OrganizedData[[#This Row],[Order Date]],"mmm")</f>
        <v>Apr</v>
      </c>
      <c r="M2317" s="2">
        <v>26</v>
      </c>
      <c r="N2317" s="2" t="s">
        <v>64</v>
      </c>
      <c r="O2317" s="2" t="str">
        <f>VLOOKUP(OrganizedData[[#This Row],[Product Code]],ProductData[[Code]:[Item]],2,FALSE)</f>
        <v>Ultrathing V4</v>
      </c>
      <c r="P2317" s="4">
        <f>OrganizedData[[#This Row],[Quantity]]*VLOOKUP(OrganizedData[[#This Row],[Product Code]],ProductData[],4,FALSE)</f>
        <v>624</v>
      </c>
      <c r="Q2317" s="6">
        <f>OrganizedData[[#This Row],[Total Items Ordered]]*VLOOKUP(OrganizedData[[#This Row],[Product Code]],ProductData[],3,FALSE)</f>
        <v>2489.7600000000002</v>
      </c>
      <c r="R23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2318" spans="1:18" x14ac:dyDescent="0.3">
      <c r="A2318" s="2">
        <v>2311</v>
      </c>
      <c r="B2318" s="2" t="s">
        <v>6288</v>
      </c>
      <c r="C2318" s="2" t="s">
        <v>2448</v>
      </c>
      <c r="D2318" s="2" t="s">
        <v>51</v>
      </c>
      <c r="E2318" s="2" t="s">
        <v>16</v>
      </c>
      <c r="F2318" s="2">
        <v>30</v>
      </c>
      <c r="G2318" s="2" t="s">
        <v>6289</v>
      </c>
      <c r="H2318" s="2" t="s">
        <v>1206</v>
      </c>
      <c r="I2318" s="2" t="s">
        <v>294</v>
      </c>
      <c r="J2318" s="3">
        <v>44795</v>
      </c>
      <c r="K2318" s="5">
        <f>YEAR(OrganizedData[[#This Row],[Order Date]])</f>
        <v>2022</v>
      </c>
      <c r="L2318" s="7" t="str">
        <f>TEXT(OrganizedData[[#This Row],[Order Date]],"mmm")</f>
        <v>Aug</v>
      </c>
      <c r="M2318" s="2">
        <v>69</v>
      </c>
      <c r="N2318" s="2" t="s">
        <v>20</v>
      </c>
      <c r="O2318" s="2" t="str">
        <f>VLOOKUP(OrganizedData[[#This Row],[Product Code]],ProductData[[Code]:[Item]],2,FALSE)</f>
        <v>Hyperwotsit</v>
      </c>
      <c r="P2318" s="4">
        <f>OrganizedData[[#This Row],[Quantity]]*VLOOKUP(OrganizedData[[#This Row],[Product Code]],ProductData[],4,FALSE)</f>
        <v>1380</v>
      </c>
      <c r="Q2318" s="6">
        <f>OrganizedData[[#This Row],[Total Items Ordered]]*VLOOKUP(OrganizedData[[#This Row],[Product Code]],ProductData[],3,FALSE)</f>
        <v>2773.7999999999997</v>
      </c>
      <c r="R23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2319" spans="1:18" x14ac:dyDescent="0.3">
      <c r="A2319" s="2">
        <v>2312</v>
      </c>
      <c r="B2319" s="2" t="s">
        <v>6290</v>
      </c>
      <c r="C2319" s="2" t="s">
        <v>6291</v>
      </c>
      <c r="D2319" s="2" t="s">
        <v>15</v>
      </c>
      <c r="E2319" s="2" t="s">
        <v>16</v>
      </c>
      <c r="F2319" s="2">
        <v>60</v>
      </c>
      <c r="G2319" s="2" t="s">
        <v>10525</v>
      </c>
      <c r="H2319" s="2" t="s">
        <v>6293</v>
      </c>
      <c r="I2319" s="2" t="s">
        <v>32</v>
      </c>
      <c r="J2319" s="3">
        <v>43831</v>
      </c>
      <c r="K2319" s="5">
        <f>YEAR(OrganizedData[[#This Row],[Order Date]])</f>
        <v>2020</v>
      </c>
      <c r="L2319" s="7" t="str">
        <f>TEXT(OrganizedData[[#This Row],[Order Date]],"mmm")</f>
        <v>Jan</v>
      </c>
      <c r="M2319" s="2">
        <v>69</v>
      </c>
      <c r="N2319" s="2" t="s">
        <v>54</v>
      </c>
      <c r="O2319" s="2" t="str">
        <f>VLOOKUP(OrganizedData[[#This Row],[Product Code]],ProductData[[Code]:[Item]],2,FALSE)</f>
        <v>Megawidget S</v>
      </c>
      <c r="P2319" s="4">
        <f>OrganizedData[[#This Row],[Quantity]]*VLOOKUP(OrganizedData[[#This Row],[Product Code]],ProductData[],4,FALSE)</f>
        <v>1656</v>
      </c>
      <c r="Q2319" s="6">
        <f>OrganizedData[[#This Row],[Total Items Ordered]]*VLOOKUP(OrganizedData[[#This Row],[Product Code]],ProductData[],3,FALSE)</f>
        <v>1142.6399999999999</v>
      </c>
      <c r="R23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2320" spans="1:18" x14ac:dyDescent="0.3">
      <c r="A2320" s="2">
        <v>2313</v>
      </c>
      <c r="B2320" s="2" t="s">
        <v>1657</v>
      </c>
      <c r="C2320" s="2" t="s">
        <v>4632</v>
      </c>
      <c r="D2320" s="2" t="s">
        <v>28</v>
      </c>
      <c r="E2320" s="2" t="s">
        <v>29</v>
      </c>
      <c r="F2320" s="2">
        <v>90</v>
      </c>
      <c r="G2320" s="2" t="s">
        <v>6294</v>
      </c>
      <c r="H2320" s="2" t="s">
        <v>4699</v>
      </c>
      <c r="I2320" s="2" t="s">
        <v>32</v>
      </c>
      <c r="J2320" s="3">
        <v>44382</v>
      </c>
      <c r="K2320" s="5">
        <f>YEAR(OrganizedData[[#This Row],[Order Date]])</f>
        <v>2021</v>
      </c>
      <c r="L2320" s="7" t="str">
        <f>TEXT(OrganizedData[[#This Row],[Order Date]],"mmm")</f>
        <v>Jul</v>
      </c>
      <c r="M2320" s="2">
        <v>47</v>
      </c>
      <c r="N2320" s="2" t="s">
        <v>80</v>
      </c>
      <c r="O2320" s="2" t="str">
        <f>VLOOKUP(OrganizedData[[#This Row],[Product Code]],ProductData[[Code]:[Item]],2,FALSE)</f>
        <v>Ultrathing V2</v>
      </c>
      <c r="P2320" s="4">
        <f>OrganizedData[[#This Row],[Quantity]]*VLOOKUP(OrganizedData[[#This Row],[Product Code]],ProductData[],4,FALSE)</f>
        <v>940</v>
      </c>
      <c r="Q2320" s="6">
        <f>OrganizedData[[#This Row],[Total Items Ordered]]*VLOOKUP(OrganizedData[[#This Row],[Product Code]],ProductData[],3,FALSE)</f>
        <v>2773</v>
      </c>
      <c r="R23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2689.81</v>
      </c>
    </row>
    <row r="2321" spans="1:18" x14ac:dyDescent="0.3">
      <c r="A2321" s="2">
        <v>2314</v>
      </c>
      <c r="B2321" s="2" t="s">
        <v>6295</v>
      </c>
      <c r="C2321" s="2" t="s">
        <v>6296</v>
      </c>
      <c r="D2321" s="2" t="s">
        <v>28</v>
      </c>
      <c r="E2321" s="2" t="s">
        <v>29</v>
      </c>
      <c r="F2321" s="2">
        <v>30</v>
      </c>
      <c r="G2321" s="2" t="s">
        <v>6297</v>
      </c>
      <c r="H2321" s="2" t="s">
        <v>2745</v>
      </c>
      <c r="I2321" s="2" t="s">
        <v>32</v>
      </c>
      <c r="J2321" s="3">
        <v>44900</v>
      </c>
      <c r="K2321" s="5">
        <f>YEAR(OrganizedData[[#This Row],[Order Date]])</f>
        <v>2022</v>
      </c>
      <c r="L2321" s="7" t="str">
        <f>TEXT(OrganizedData[[#This Row],[Order Date]],"mmm")</f>
        <v>Dec</v>
      </c>
      <c r="M2321" s="2">
        <v>90</v>
      </c>
      <c r="N2321" s="2" t="s">
        <v>54</v>
      </c>
      <c r="O2321" s="2" t="str">
        <f>VLOOKUP(OrganizedData[[#This Row],[Product Code]],ProductData[[Code]:[Item]],2,FALSE)</f>
        <v>Megawidget S</v>
      </c>
      <c r="P2321" s="4">
        <f>OrganizedData[[#This Row],[Quantity]]*VLOOKUP(OrganizedData[[#This Row],[Product Code]],ProductData[],4,FALSE)</f>
        <v>2160</v>
      </c>
      <c r="Q2321" s="6">
        <f>OrganizedData[[#This Row],[Total Items Ordered]]*VLOOKUP(OrganizedData[[#This Row],[Product Code]],ProductData[],3,FALSE)</f>
        <v>1490.3999999999999</v>
      </c>
      <c r="R23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1415.8799999999999</v>
      </c>
    </row>
    <row r="2322" spans="1:18" x14ac:dyDescent="0.3">
      <c r="A2322" s="2">
        <v>2315</v>
      </c>
      <c r="B2322" s="2" t="s">
        <v>4703</v>
      </c>
      <c r="C2322" s="2" t="s">
        <v>6298</v>
      </c>
      <c r="D2322" s="2" t="s">
        <v>28</v>
      </c>
      <c r="E2322" s="2" t="s">
        <v>29</v>
      </c>
      <c r="F2322" s="2">
        <v>30</v>
      </c>
      <c r="G2322" s="2" t="s">
        <v>6299</v>
      </c>
      <c r="H2322" s="2" t="s">
        <v>1362</v>
      </c>
      <c r="I2322" s="2" t="s">
        <v>178</v>
      </c>
      <c r="J2322" s="3">
        <v>44246</v>
      </c>
      <c r="K2322" s="5">
        <f>YEAR(OrganizedData[[#This Row],[Order Date]])</f>
        <v>2021</v>
      </c>
      <c r="L2322" s="7" t="str">
        <f>TEXT(OrganizedData[[#This Row],[Order Date]],"mmm")</f>
        <v>Feb</v>
      </c>
      <c r="M2322" s="2">
        <v>52</v>
      </c>
      <c r="N2322" s="2" t="s">
        <v>33</v>
      </c>
      <c r="O2322" s="2" t="str">
        <f>VLOOKUP(OrganizedData[[#This Row],[Product Code]],ProductData[[Code]:[Item]],2,FALSE)</f>
        <v>Megawidget L</v>
      </c>
      <c r="P2322" s="4">
        <f>OrganizedData[[#This Row],[Quantity]]*VLOOKUP(OrganizedData[[#This Row],[Product Code]],ProductData[],4,FALSE)</f>
        <v>1248</v>
      </c>
      <c r="Q2322" s="6">
        <f>OrganizedData[[#This Row],[Total Items Ordered]]*VLOOKUP(OrganizedData[[#This Row],[Product Code]],ProductData[],3,FALSE)</f>
        <v>2233.92</v>
      </c>
      <c r="R23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2122.2240000000002</v>
      </c>
    </row>
    <row r="2323" spans="1:18" x14ac:dyDescent="0.3">
      <c r="A2323" s="2">
        <v>2316</v>
      </c>
      <c r="B2323" s="2" t="s">
        <v>6300</v>
      </c>
      <c r="C2323" s="2" t="s">
        <v>35</v>
      </c>
      <c r="D2323" s="2" t="s">
        <v>51</v>
      </c>
      <c r="E2323" s="2" t="s">
        <v>16</v>
      </c>
      <c r="F2323" s="2">
        <v>90</v>
      </c>
      <c r="G2323" s="2" t="s">
        <v>6301</v>
      </c>
      <c r="H2323" s="2" t="s">
        <v>742</v>
      </c>
      <c r="I2323" s="2" t="s">
        <v>124</v>
      </c>
      <c r="J2323" s="3">
        <v>43883</v>
      </c>
      <c r="K2323" s="5">
        <f>YEAR(OrganizedData[[#This Row],[Order Date]])</f>
        <v>2020</v>
      </c>
      <c r="L2323" s="7" t="str">
        <f>TEXT(OrganizedData[[#This Row],[Order Date]],"mmm")</f>
        <v>Feb</v>
      </c>
      <c r="M2323" s="2">
        <v>31</v>
      </c>
      <c r="N2323" s="2" t="s">
        <v>64</v>
      </c>
      <c r="O2323" s="2" t="str">
        <f>VLOOKUP(OrganizedData[[#This Row],[Product Code]],ProductData[[Code]:[Item]],2,FALSE)</f>
        <v>Ultrathing V4</v>
      </c>
      <c r="P2323" s="4">
        <f>OrganizedData[[#This Row],[Quantity]]*VLOOKUP(OrganizedData[[#This Row],[Product Code]],ProductData[],4,FALSE)</f>
        <v>744</v>
      </c>
      <c r="Q2323" s="6">
        <f>OrganizedData[[#This Row],[Total Items Ordered]]*VLOOKUP(OrganizedData[[#This Row],[Product Code]],ProductData[],3,FALSE)</f>
        <v>2968.56</v>
      </c>
      <c r="R23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2324" spans="1:18" x14ac:dyDescent="0.3">
      <c r="A2324" s="2">
        <v>2317</v>
      </c>
      <c r="B2324" s="2" t="s">
        <v>3959</v>
      </c>
      <c r="C2324" s="2" t="s">
        <v>2779</v>
      </c>
      <c r="D2324" s="2" t="s">
        <v>28</v>
      </c>
      <c r="E2324" s="2" t="s">
        <v>29</v>
      </c>
      <c r="F2324" s="2">
        <v>90</v>
      </c>
      <c r="G2324" s="2" t="s">
        <v>6302</v>
      </c>
      <c r="H2324" s="2" t="s">
        <v>5451</v>
      </c>
      <c r="I2324" s="2" t="s">
        <v>32</v>
      </c>
      <c r="J2324" s="3">
        <v>44440</v>
      </c>
      <c r="K2324" s="5">
        <f>YEAR(OrganizedData[[#This Row],[Order Date]])</f>
        <v>2021</v>
      </c>
      <c r="L2324" s="7" t="str">
        <f>TEXT(OrganizedData[[#This Row],[Order Date]],"mmm")</f>
        <v>Sep</v>
      </c>
      <c r="M2324" s="2">
        <v>78</v>
      </c>
      <c r="N2324" s="2" t="s">
        <v>101</v>
      </c>
      <c r="O2324" s="2" t="str">
        <f>VLOOKUP(OrganizedData[[#This Row],[Product Code]],ProductData[[Code]:[Item]],2,FALSE)</f>
        <v>Superwossname</v>
      </c>
      <c r="P2324" s="4">
        <f>OrganizedData[[#This Row],[Quantity]]*VLOOKUP(OrganizedData[[#This Row],[Product Code]],ProductData[],4,FALSE)</f>
        <v>1560</v>
      </c>
      <c r="Q2324" s="6">
        <f>OrganizedData[[#This Row],[Total Items Ordered]]*VLOOKUP(OrganizedData[[#This Row],[Product Code]],ProductData[],3,FALSE)</f>
        <v>5444.4000000000005</v>
      </c>
      <c r="R23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2325" spans="1:18" x14ac:dyDescent="0.3">
      <c r="A2325" s="2">
        <v>2318</v>
      </c>
      <c r="B2325" s="2" t="s">
        <v>6303</v>
      </c>
      <c r="C2325" s="2" t="s">
        <v>1304</v>
      </c>
      <c r="D2325" s="2" t="s">
        <v>51</v>
      </c>
      <c r="E2325" s="2" t="s">
        <v>16</v>
      </c>
      <c r="F2325" s="2">
        <v>60</v>
      </c>
      <c r="G2325" s="2" t="s">
        <v>6304</v>
      </c>
      <c r="H2325" s="2" t="s">
        <v>6305</v>
      </c>
      <c r="I2325" s="2" t="s">
        <v>32</v>
      </c>
      <c r="J2325" s="3">
        <v>44775</v>
      </c>
      <c r="K2325" s="5">
        <f>YEAR(OrganizedData[[#This Row],[Order Date]])</f>
        <v>2022</v>
      </c>
      <c r="L2325" s="7" t="str">
        <f>TEXT(OrganizedData[[#This Row],[Order Date]],"mmm")</f>
        <v>Aug</v>
      </c>
      <c r="M2325" s="2">
        <v>86</v>
      </c>
      <c r="N2325" s="2" t="s">
        <v>39</v>
      </c>
      <c r="O2325" s="2" t="str">
        <f>VLOOKUP(OrganizedData[[#This Row],[Product Code]],ProductData[[Code]:[Item]],2,FALSE)</f>
        <v>Ultrathing V1</v>
      </c>
      <c r="P2325" s="4">
        <f>OrganizedData[[#This Row],[Quantity]]*VLOOKUP(OrganizedData[[#This Row],[Product Code]],ProductData[],4,FALSE)</f>
        <v>1462</v>
      </c>
      <c r="Q2325" s="6">
        <f>OrganizedData[[#This Row],[Total Items Ordered]]*VLOOKUP(OrganizedData[[#This Row],[Product Code]],ProductData[],3,FALSE)</f>
        <v>2616.98</v>
      </c>
      <c r="R23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2486.1309999999999</v>
      </c>
    </row>
    <row r="2326" spans="1:18" x14ac:dyDescent="0.3">
      <c r="A2326" s="2">
        <v>2319</v>
      </c>
      <c r="B2326" s="2" t="s">
        <v>6306</v>
      </c>
      <c r="C2326" s="2" t="s">
        <v>6307</v>
      </c>
      <c r="D2326" s="2" t="s">
        <v>28</v>
      </c>
      <c r="E2326" s="2" t="s">
        <v>29</v>
      </c>
      <c r="F2326" s="2">
        <v>30</v>
      </c>
      <c r="G2326" s="2" t="s">
        <v>6308</v>
      </c>
      <c r="H2326" s="2" t="s">
        <v>2749</v>
      </c>
      <c r="I2326" s="2" t="s">
        <v>187</v>
      </c>
      <c r="J2326" s="3">
        <v>44146</v>
      </c>
      <c r="K2326" s="5">
        <f>YEAR(OrganizedData[[#This Row],[Order Date]])</f>
        <v>2020</v>
      </c>
      <c r="L2326" s="7" t="str">
        <f>TEXT(OrganizedData[[#This Row],[Order Date]],"mmm")</f>
        <v>Nov</v>
      </c>
      <c r="M2326" s="2">
        <v>46</v>
      </c>
      <c r="N2326" s="2" t="s">
        <v>54</v>
      </c>
      <c r="O2326" s="2" t="str">
        <f>VLOOKUP(OrganizedData[[#This Row],[Product Code]],ProductData[[Code]:[Item]],2,FALSE)</f>
        <v>Megawidget S</v>
      </c>
      <c r="P2326" s="4">
        <f>OrganizedData[[#This Row],[Quantity]]*VLOOKUP(OrganizedData[[#This Row],[Product Code]],ProductData[],4,FALSE)</f>
        <v>1104</v>
      </c>
      <c r="Q2326" s="6">
        <f>OrganizedData[[#This Row],[Total Items Ordered]]*VLOOKUP(OrganizedData[[#This Row],[Product Code]],ProductData[],3,FALSE)</f>
        <v>761.76</v>
      </c>
      <c r="R23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2327" spans="1:18" x14ac:dyDescent="0.3">
      <c r="A2327" s="2">
        <v>2320</v>
      </c>
      <c r="B2327" s="2" t="s">
        <v>5031</v>
      </c>
      <c r="C2327" s="2" t="s">
        <v>4234</v>
      </c>
      <c r="D2327" s="2" t="s">
        <v>28</v>
      </c>
      <c r="E2327" s="2" t="s">
        <v>29</v>
      </c>
      <c r="F2327" s="2">
        <v>60</v>
      </c>
      <c r="G2327" s="2" t="s">
        <v>6308</v>
      </c>
      <c r="H2327" s="2" t="s">
        <v>4100</v>
      </c>
      <c r="I2327" s="2" t="s">
        <v>294</v>
      </c>
      <c r="J2327" s="3">
        <v>44422</v>
      </c>
      <c r="K2327" s="5">
        <f>YEAR(OrganizedData[[#This Row],[Order Date]])</f>
        <v>2021</v>
      </c>
      <c r="L2327" s="7" t="str">
        <f>TEXT(OrganizedData[[#This Row],[Order Date]],"mmm")</f>
        <v>Aug</v>
      </c>
      <c r="M2327" s="2">
        <v>27</v>
      </c>
      <c r="N2327" s="2" t="s">
        <v>80</v>
      </c>
      <c r="O2327" s="2" t="str">
        <f>VLOOKUP(OrganizedData[[#This Row],[Product Code]],ProductData[[Code]:[Item]],2,FALSE)</f>
        <v>Ultrathing V2</v>
      </c>
      <c r="P2327" s="4">
        <f>OrganizedData[[#This Row],[Quantity]]*VLOOKUP(OrganizedData[[#This Row],[Product Code]],ProductData[],4,FALSE)</f>
        <v>540</v>
      </c>
      <c r="Q2327" s="6">
        <f>OrganizedData[[#This Row],[Total Items Ordered]]*VLOOKUP(OrganizedData[[#This Row],[Product Code]],ProductData[],3,FALSE)</f>
        <v>1593</v>
      </c>
      <c r="R23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1545.21</v>
      </c>
    </row>
    <row r="2328" spans="1:18" x14ac:dyDescent="0.3">
      <c r="A2328" s="2">
        <v>2321</v>
      </c>
      <c r="B2328" s="2" t="s">
        <v>2517</v>
      </c>
      <c r="C2328" s="2" t="s">
        <v>3089</v>
      </c>
      <c r="D2328" s="2" t="s">
        <v>41</v>
      </c>
      <c r="E2328" s="2" t="s">
        <v>16</v>
      </c>
      <c r="F2328" s="2">
        <v>30</v>
      </c>
      <c r="G2328" s="2" t="s">
        <v>6309</v>
      </c>
      <c r="H2328" s="2" t="s">
        <v>1888</v>
      </c>
      <c r="I2328" s="2" t="s">
        <v>1889</v>
      </c>
      <c r="J2328" s="3">
        <v>44837</v>
      </c>
      <c r="K2328" s="5">
        <f>YEAR(OrganizedData[[#This Row],[Order Date]])</f>
        <v>2022</v>
      </c>
      <c r="L2328" s="7" t="str">
        <f>TEXT(OrganizedData[[#This Row],[Order Date]],"mmm")</f>
        <v>Oct</v>
      </c>
      <c r="M2328" s="2">
        <v>55</v>
      </c>
      <c r="N2328" s="2" t="s">
        <v>45</v>
      </c>
      <c r="O2328" s="2" t="str">
        <f>VLOOKUP(OrganizedData[[#This Row],[Product Code]],ProductData[[Code]:[Item]],2,FALSE)</f>
        <v>Gigastuff</v>
      </c>
      <c r="P2328" s="4">
        <f>OrganizedData[[#This Row],[Quantity]]*VLOOKUP(OrganizedData[[#This Row],[Product Code]],ProductData[],4,FALSE)</f>
        <v>990</v>
      </c>
      <c r="Q2328" s="6">
        <f>OrganizedData[[#This Row],[Total Items Ordered]]*VLOOKUP(OrganizedData[[#This Row],[Product Code]],ProductData[],3,FALSE)</f>
        <v>1871.1</v>
      </c>
      <c r="R23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2329" spans="1:18" x14ac:dyDescent="0.3">
      <c r="A2329" s="2">
        <v>2322</v>
      </c>
      <c r="B2329" s="2" t="s">
        <v>6310</v>
      </c>
      <c r="C2329" s="2" t="s">
        <v>6311</v>
      </c>
      <c r="D2329" s="2" t="s">
        <v>28</v>
      </c>
      <c r="E2329" s="2" t="s">
        <v>29</v>
      </c>
      <c r="F2329" s="2">
        <v>90</v>
      </c>
      <c r="G2329" s="2" t="s">
        <v>6309</v>
      </c>
      <c r="H2329" s="2" t="s">
        <v>6312</v>
      </c>
      <c r="I2329" s="2" t="s">
        <v>173</v>
      </c>
      <c r="J2329" s="3">
        <v>44214</v>
      </c>
      <c r="K2329" s="5">
        <f>YEAR(OrganizedData[[#This Row],[Order Date]])</f>
        <v>2021</v>
      </c>
      <c r="L2329" s="7" t="str">
        <f>TEXT(OrganizedData[[#This Row],[Order Date]],"mmm")</f>
        <v>Jan</v>
      </c>
      <c r="M2329" s="2">
        <v>8</v>
      </c>
      <c r="N2329" s="2" t="s">
        <v>159</v>
      </c>
      <c r="O2329" s="2" t="str">
        <f>VLOOKUP(OrganizedData[[#This Row],[Product Code]],ProductData[[Code]:[Item]],2,FALSE)</f>
        <v>Ultrathing V3</v>
      </c>
      <c r="P2329" s="4">
        <f>OrganizedData[[#This Row],[Quantity]]*VLOOKUP(OrganizedData[[#This Row],[Product Code]],ProductData[],4,FALSE)</f>
        <v>192</v>
      </c>
      <c r="Q2329" s="6">
        <f>OrganizedData[[#This Row],[Total Items Ordered]]*VLOOKUP(OrganizedData[[#This Row],[Product Code]],ProductData[],3,FALSE)</f>
        <v>650.88</v>
      </c>
      <c r="R23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650.88</v>
      </c>
    </row>
    <row r="2330" spans="1:18" x14ac:dyDescent="0.3">
      <c r="A2330" s="2">
        <v>2323</v>
      </c>
      <c r="B2330" s="2" t="s">
        <v>797</v>
      </c>
      <c r="C2330" s="2" t="s">
        <v>6255</v>
      </c>
      <c r="D2330" s="2" t="s">
        <v>15</v>
      </c>
      <c r="E2330" s="2" t="s">
        <v>16</v>
      </c>
      <c r="F2330" s="2">
        <v>60</v>
      </c>
      <c r="G2330" s="2" t="s">
        <v>6313</v>
      </c>
      <c r="H2330" s="2" t="s">
        <v>5581</v>
      </c>
      <c r="I2330" s="2" t="s">
        <v>187</v>
      </c>
      <c r="J2330" s="3">
        <v>44209</v>
      </c>
      <c r="K2330" s="5">
        <f>YEAR(OrganizedData[[#This Row],[Order Date]])</f>
        <v>2021</v>
      </c>
      <c r="L2330" s="7" t="str">
        <f>TEXT(OrganizedData[[#This Row],[Order Date]],"mmm")</f>
        <v>Jan</v>
      </c>
      <c r="M2330" s="2">
        <v>45</v>
      </c>
      <c r="N2330" s="2" t="s">
        <v>80</v>
      </c>
      <c r="O2330" s="2" t="str">
        <f>VLOOKUP(OrganizedData[[#This Row],[Product Code]],ProductData[[Code]:[Item]],2,FALSE)</f>
        <v>Ultrathing V2</v>
      </c>
      <c r="P2330" s="4">
        <f>OrganizedData[[#This Row],[Quantity]]*VLOOKUP(OrganizedData[[#This Row],[Product Code]],ProductData[],4,FALSE)</f>
        <v>900</v>
      </c>
      <c r="Q2330" s="6">
        <f>OrganizedData[[#This Row],[Total Items Ordered]]*VLOOKUP(OrganizedData[[#This Row],[Product Code]],ProductData[],3,FALSE)</f>
        <v>2655</v>
      </c>
      <c r="R23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2331" spans="1:18" x14ac:dyDescent="0.3">
      <c r="A2331" s="2">
        <v>2324</v>
      </c>
      <c r="B2331" s="2" t="s">
        <v>1801</v>
      </c>
      <c r="C2331" s="2" t="s">
        <v>6314</v>
      </c>
      <c r="D2331" s="2" t="s">
        <v>15</v>
      </c>
      <c r="E2331" s="2" t="s">
        <v>16</v>
      </c>
      <c r="F2331" s="2">
        <v>60</v>
      </c>
      <c r="G2331" s="2" t="s">
        <v>6315</v>
      </c>
      <c r="H2331" s="2" t="s">
        <v>412</v>
      </c>
      <c r="I2331" s="2" t="s">
        <v>187</v>
      </c>
      <c r="J2331" s="3">
        <v>44323</v>
      </c>
      <c r="K2331" s="5">
        <f>YEAR(OrganizedData[[#This Row],[Order Date]])</f>
        <v>2021</v>
      </c>
      <c r="L2331" s="7" t="str">
        <f>TEXT(OrganizedData[[#This Row],[Order Date]],"mmm")</f>
        <v>May</v>
      </c>
      <c r="M2331" s="2">
        <v>66</v>
      </c>
      <c r="N2331" s="2" t="s">
        <v>101</v>
      </c>
      <c r="O2331" s="2" t="str">
        <f>VLOOKUP(OrganizedData[[#This Row],[Product Code]],ProductData[[Code]:[Item]],2,FALSE)</f>
        <v>Superwossname</v>
      </c>
      <c r="P2331" s="4">
        <f>OrganizedData[[#This Row],[Quantity]]*VLOOKUP(OrganizedData[[#This Row],[Product Code]],ProductData[],4,FALSE)</f>
        <v>1320</v>
      </c>
      <c r="Q2331" s="6">
        <f>OrganizedData[[#This Row],[Total Items Ordered]]*VLOOKUP(OrganizedData[[#This Row],[Product Code]],ProductData[],3,FALSE)</f>
        <v>4606.8</v>
      </c>
      <c r="R23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2332" spans="1:18" x14ac:dyDescent="0.3">
      <c r="A2332" s="2">
        <v>2325</v>
      </c>
      <c r="B2332" s="2" t="s">
        <v>6316</v>
      </c>
      <c r="C2332" s="2" t="s">
        <v>3084</v>
      </c>
      <c r="D2332" s="2" t="s">
        <v>15</v>
      </c>
      <c r="E2332" s="2" t="s">
        <v>16</v>
      </c>
      <c r="F2332" s="2">
        <v>30</v>
      </c>
      <c r="G2332" s="2" t="s">
        <v>6315</v>
      </c>
      <c r="H2332" s="2" t="s">
        <v>772</v>
      </c>
      <c r="I2332" s="2" t="s">
        <v>32</v>
      </c>
      <c r="J2332" s="3">
        <v>44753</v>
      </c>
      <c r="K2332" s="5">
        <f>YEAR(OrganizedData[[#This Row],[Order Date]])</f>
        <v>2022</v>
      </c>
      <c r="L2332" s="7" t="str">
        <f>TEXT(OrganizedData[[#This Row],[Order Date]],"mmm")</f>
        <v>Jul</v>
      </c>
      <c r="M2332" s="2">
        <v>58</v>
      </c>
      <c r="N2332" s="2" t="s">
        <v>101</v>
      </c>
      <c r="O2332" s="2" t="str">
        <f>VLOOKUP(OrganizedData[[#This Row],[Product Code]],ProductData[[Code]:[Item]],2,FALSE)</f>
        <v>Superwossname</v>
      </c>
      <c r="P2332" s="4">
        <f>OrganizedData[[#This Row],[Quantity]]*VLOOKUP(OrganizedData[[#This Row],[Product Code]],ProductData[],4,FALSE)</f>
        <v>1160</v>
      </c>
      <c r="Q2332" s="6">
        <f>OrganizedData[[#This Row],[Total Items Ordered]]*VLOOKUP(OrganizedData[[#This Row],[Product Code]],ProductData[],3,FALSE)</f>
        <v>4048.4</v>
      </c>
      <c r="R23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2333" spans="1:18" x14ac:dyDescent="0.3">
      <c r="A2333" s="2">
        <v>2326</v>
      </c>
      <c r="B2333" s="2" t="s">
        <v>6317</v>
      </c>
      <c r="C2333" s="2" t="s">
        <v>5541</v>
      </c>
      <c r="D2333" s="2" t="s">
        <v>15</v>
      </c>
      <c r="E2333" s="2" t="s">
        <v>16</v>
      </c>
      <c r="F2333" s="2">
        <v>60</v>
      </c>
      <c r="G2333" s="2" t="s">
        <v>6318</v>
      </c>
      <c r="H2333" s="2" t="s">
        <v>6319</v>
      </c>
      <c r="I2333" s="2" t="s">
        <v>32</v>
      </c>
      <c r="J2333" s="3">
        <v>44205</v>
      </c>
      <c r="K2333" s="5">
        <f>YEAR(OrganizedData[[#This Row],[Order Date]])</f>
        <v>2021</v>
      </c>
      <c r="L2333" s="7" t="str">
        <f>TEXT(OrganizedData[[#This Row],[Order Date]],"mmm")</f>
        <v>Jan</v>
      </c>
      <c r="M2333" s="2">
        <v>41</v>
      </c>
      <c r="N2333" s="2" t="s">
        <v>101</v>
      </c>
      <c r="O2333" s="2" t="str">
        <f>VLOOKUP(OrganizedData[[#This Row],[Product Code]],ProductData[[Code]:[Item]],2,FALSE)</f>
        <v>Superwossname</v>
      </c>
      <c r="P2333" s="4">
        <f>OrganizedData[[#This Row],[Quantity]]*VLOOKUP(OrganizedData[[#This Row],[Product Code]],ProductData[],4,FALSE)</f>
        <v>820</v>
      </c>
      <c r="Q2333" s="6">
        <f>OrganizedData[[#This Row],[Total Items Ordered]]*VLOOKUP(OrganizedData[[#This Row],[Product Code]],ProductData[],3,FALSE)</f>
        <v>2861.8</v>
      </c>
      <c r="R23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2334" spans="1:18" x14ac:dyDescent="0.3">
      <c r="A2334" s="2">
        <v>2327</v>
      </c>
      <c r="B2334" s="2" t="s">
        <v>3232</v>
      </c>
      <c r="C2334" s="2" t="s">
        <v>5215</v>
      </c>
      <c r="D2334" s="2" t="s">
        <v>28</v>
      </c>
      <c r="E2334" s="2" t="s">
        <v>29</v>
      </c>
      <c r="F2334" s="2">
        <v>30</v>
      </c>
      <c r="G2334" s="2" t="s">
        <v>6320</v>
      </c>
      <c r="H2334" s="2" t="s">
        <v>2993</v>
      </c>
      <c r="I2334" s="2" t="s">
        <v>32</v>
      </c>
      <c r="J2334" s="3">
        <v>44418</v>
      </c>
      <c r="K2334" s="5">
        <f>YEAR(OrganizedData[[#This Row],[Order Date]])</f>
        <v>2021</v>
      </c>
      <c r="L2334" s="7" t="str">
        <f>TEXT(OrganizedData[[#This Row],[Order Date]],"mmm")</f>
        <v>Aug</v>
      </c>
      <c r="M2334" s="2">
        <v>12</v>
      </c>
      <c r="N2334" s="2" t="s">
        <v>101</v>
      </c>
      <c r="O2334" s="2" t="str">
        <f>VLOOKUP(OrganizedData[[#This Row],[Product Code]],ProductData[[Code]:[Item]],2,FALSE)</f>
        <v>Superwossname</v>
      </c>
      <c r="P2334" s="4">
        <f>OrganizedData[[#This Row],[Quantity]]*VLOOKUP(OrganizedData[[#This Row],[Product Code]],ProductData[],4,FALSE)</f>
        <v>240</v>
      </c>
      <c r="Q2334" s="6">
        <f>OrganizedData[[#This Row],[Total Items Ordered]]*VLOOKUP(OrganizedData[[#This Row],[Product Code]],ProductData[],3,FALSE)</f>
        <v>837.6</v>
      </c>
      <c r="R23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2335" spans="1:18" x14ac:dyDescent="0.3">
      <c r="A2335" s="2">
        <v>2328</v>
      </c>
      <c r="B2335" s="2" t="s">
        <v>1327</v>
      </c>
      <c r="C2335" s="2" t="s">
        <v>931</v>
      </c>
      <c r="D2335" s="2" t="s">
        <v>28</v>
      </c>
      <c r="E2335" s="2" t="s">
        <v>29</v>
      </c>
      <c r="F2335" s="2">
        <v>90</v>
      </c>
      <c r="G2335" s="2" t="s">
        <v>6321</v>
      </c>
      <c r="H2335" s="2" t="s">
        <v>2305</v>
      </c>
      <c r="I2335" s="2" t="s">
        <v>25</v>
      </c>
      <c r="J2335" s="3">
        <v>44455</v>
      </c>
      <c r="K2335" s="5">
        <f>YEAR(OrganizedData[[#This Row],[Order Date]])</f>
        <v>2021</v>
      </c>
      <c r="L2335" s="7" t="str">
        <f>TEXT(OrganizedData[[#This Row],[Order Date]],"mmm")</f>
        <v>Sep</v>
      </c>
      <c r="M2335" s="2">
        <v>80</v>
      </c>
      <c r="N2335" s="2" t="s">
        <v>80</v>
      </c>
      <c r="O2335" s="2" t="str">
        <f>VLOOKUP(OrganizedData[[#This Row],[Product Code]],ProductData[[Code]:[Item]],2,FALSE)</f>
        <v>Ultrathing V2</v>
      </c>
      <c r="P2335" s="4">
        <f>OrganizedData[[#This Row],[Quantity]]*VLOOKUP(OrganizedData[[#This Row],[Product Code]],ProductData[],4,FALSE)</f>
        <v>1600</v>
      </c>
      <c r="Q2335" s="6">
        <f>OrganizedData[[#This Row],[Total Items Ordered]]*VLOOKUP(OrganizedData[[#This Row],[Product Code]],ProductData[],3,FALSE)</f>
        <v>4720</v>
      </c>
      <c r="R23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4484</v>
      </c>
    </row>
    <row r="2336" spans="1:18" x14ac:dyDescent="0.3">
      <c r="A2336" s="2">
        <v>2329</v>
      </c>
      <c r="B2336" s="2" t="s">
        <v>580</v>
      </c>
      <c r="C2336" s="2" t="s">
        <v>6322</v>
      </c>
      <c r="D2336" s="2" t="s">
        <v>28</v>
      </c>
      <c r="E2336" s="2" t="s">
        <v>29</v>
      </c>
      <c r="F2336" s="2">
        <v>90</v>
      </c>
      <c r="G2336" s="2" t="s">
        <v>6323</v>
      </c>
      <c r="H2336" s="2" t="s">
        <v>3854</v>
      </c>
      <c r="I2336" s="2" t="s">
        <v>38</v>
      </c>
      <c r="J2336" s="3">
        <v>44687</v>
      </c>
      <c r="K2336" s="5">
        <f>YEAR(OrganizedData[[#This Row],[Order Date]])</f>
        <v>2022</v>
      </c>
      <c r="L2336" s="7" t="str">
        <f>TEXT(OrganizedData[[#This Row],[Order Date]],"mmm")</f>
        <v>May</v>
      </c>
      <c r="M2336" s="2">
        <v>29</v>
      </c>
      <c r="N2336" s="2" t="s">
        <v>20</v>
      </c>
      <c r="O2336" s="2" t="str">
        <f>VLOOKUP(OrganizedData[[#This Row],[Product Code]],ProductData[[Code]:[Item]],2,FALSE)</f>
        <v>Hyperwotsit</v>
      </c>
      <c r="P2336" s="4">
        <f>OrganizedData[[#This Row],[Quantity]]*VLOOKUP(OrganizedData[[#This Row],[Product Code]],ProductData[],4,FALSE)</f>
        <v>580</v>
      </c>
      <c r="Q2336" s="6">
        <f>OrganizedData[[#This Row],[Total Items Ordered]]*VLOOKUP(OrganizedData[[#This Row],[Product Code]],ProductData[],3,FALSE)</f>
        <v>1165.8</v>
      </c>
      <c r="R23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1130.826</v>
      </c>
    </row>
    <row r="2337" spans="1:18" x14ac:dyDescent="0.3">
      <c r="A2337" s="2">
        <v>2330</v>
      </c>
      <c r="B2337" s="2" t="s">
        <v>6324</v>
      </c>
      <c r="C2337" s="2" t="s">
        <v>1345</v>
      </c>
      <c r="D2337" s="2" t="s">
        <v>51</v>
      </c>
      <c r="E2337" s="2" t="s">
        <v>16</v>
      </c>
      <c r="F2337" s="2">
        <v>30</v>
      </c>
      <c r="G2337" s="2" t="s">
        <v>6325</v>
      </c>
      <c r="H2337" s="2" t="s">
        <v>168</v>
      </c>
      <c r="I2337" s="2" t="s">
        <v>32</v>
      </c>
      <c r="J2337" s="3">
        <v>44903</v>
      </c>
      <c r="K2337" s="5">
        <f>YEAR(OrganizedData[[#This Row],[Order Date]])</f>
        <v>2022</v>
      </c>
      <c r="L2337" s="7" t="str">
        <f>TEXT(OrganizedData[[#This Row],[Order Date]],"mmm")</f>
        <v>Dec</v>
      </c>
      <c r="M2337" s="2">
        <v>68</v>
      </c>
      <c r="N2337" s="2" t="s">
        <v>64</v>
      </c>
      <c r="O2337" s="2" t="str">
        <f>VLOOKUP(OrganizedData[[#This Row],[Product Code]],ProductData[[Code]:[Item]],2,FALSE)</f>
        <v>Ultrathing V4</v>
      </c>
      <c r="P2337" s="4">
        <f>OrganizedData[[#This Row],[Quantity]]*VLOOKUP(OrganizedData[[#This Row],[Product Code]],ProductData[],4,FALSE)</f>
        <v>1632</v>
      </c>
      <c r="Q2337" s="6">
        <f>OrganizedData[[#This Row],[Total Items Ordered]]*VLOOKUP(OrganizedData[[#This Row],[Product Code]],ProductData[],3,FALSE)</f>
        <v>6511.68</v>
      </c>
      <c r="R23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2338" spans="1:18" x14ac:dyDescent="0.3">
      <c r="A2338" s="2">
        <v>2331</v>
      </c>
      <c r="B2338" s="2" t="s">
        <v>6326</v>
      </c>
      <c r="C2338" s="2" t="s">
        <v>832</v>
      </c>
      <c r="D2338" s="2" t="s">
        <v>51</v>
      </c>
      <c r="E2338" s="2" t="s">
        <v>16</v>
      </c>
      <c r="F2338" s="2">
        <v>90</v>
      </c>
      <c r="G2338" s="2" t="s">
        <v>6327</v>
      </c>
      <c r="H2338" s="2" t="s">
        <v>2056</v>
      </c>
      <c r="I2338" s="2" t="s">
        <v>32</v>
      </c>
      <c r="J2338" s="3">
        <v>44717</v>
      </c>
      <c r="K2338" s="5">
        <f>YEAR(OrganizedData[[#This Row],[Order Date]])</f>
        <v>2022</v>
      </c>
      <c r="L2338" s="7" t="str">
        <f>TEXT(OrganizedData[[#This Row],[Order Date]],"mmm")</f>
        <v>Jun</v>
      </c>
      <c r="M2338" s="2">
        <v>5</v>
      </c>
      <c r="N2338" s="2" t="s">
        <v>64</v>
      </c>
      <c r="O2338" s="2" t="str">
        <f>VLOOKUP(OrganizedData[[#This Row],[Product Code]],ProductData[[Code]:[Item]],2,FALSE)</f>
        <v>Ultrathing V4</v>
      </c>
      <c r="P2338" s="4">
        <f>OrganizedData[[#This Row],[Quantity]]*VLOOKUP(OrganizedData[[#This Row],[Product Code]],ProductData[],4,FALSE)</f>
        <v>120</v>
      </c>
      <c r="Q2338" s="6">
        <f>OrganizedData[[#This Row],[Total Items Ordered]]*VLOOKUP(OrganizedData[[#This Row],[Product Code]],ProductData[],3,FALSE)</f>
        <v>478.8</v>
      </c>
      <c r="R23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2339" spans="1:18" x14ac:dyDescent="0.3">
      <c r="A2339" s="2">
        <v>2332</v>
      </c>
      <c r="B2339" s="2" t="s">
        <v>6328</v>
      </c>
      <c r="C2339" s="2" t="s">
        <v>2922</v>
      </c>
      <c r="D2339" s="2" t="s">
        <v>28</v>
      </c>
      <c r="E2339" s="2" t="s">
        <v>29</v>
      </c>
      <c r="F2339" s="2">
        <v>60</v>
      </c>
      <c r="G2339" s="2" t="s">
        <v>6329</v>
      </c>
      <c r="H2339" s="2" t="s">
        <v>1583</v>
      </c>
      <c r="I2339" s="2" t="s">
        <v>178</v>
      </c>
      <c r="J2339" s="3">
        <v>44856</v>
      </c>
      <c r="K2339" s="5">
        <f>YEAR(OrganizedData[[#This Row],[Order Date]])</f>
        <v>2022</v>
      </c>
      <c r="L2339" s="7" t="str">
        <f>TEXT(OrganizedData[[#This Row],[Order Date]],"mmm")</f>
        <v>Oct</v>
      </c>
      <c r="M2339" s="2">
        <v>37</v>
      </c>
      <c r="N2339" s="2" t="s">
        <v>101</v>
      </c>
      <c r="O2339" s="2" t="str">
        <f>VLOOKUP(OrganizedData[[#This Row],[Product Code]],ProductData[[Code]:[Item]],2,FALSE)</f>
        <v>Superwossname</v>
      </c>
      <c r="P2339" s="4">
        <f>OrganizedData[[#This Row],[Quantity]]*VLOOKUP(OrganizedData[[#This Row],[Product Code]],ProductData[],4,FALSE)</f>
        <v>740</v>
      </c>
      <c r="Q2339" s="6">
        <f>OrganizedData[[#This Row],[Total Items Ordered]]*VLOOKUP(OrganizedData[[#This Row],[Product Code]],ProductData[],3,FALSE)</f>
        <v>2582.6000000000004</v>
      </c>
      <c r="R23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2340" spans="1:18" x14ac:dyDescent="0.3">
      <c r="A2340" s="2">
        <v>2333</v>
      </c>
      <c r="B2340" s="2" t="s">
        <v>6330</v>
      </c>
      <c r="C2340" s="2" t="s">
        <v>6331</v>
      </c>
      <c r="D2340" s="2" t="s">
        <v>28</v>
      </c>
      <c r="E2340" s="2" t="s">
        <v>29</v>
      </c>
      <c r="F2340" s="2">
        <v>60</v>
      </c>
      <c r="G2340" s="2" t="s">
        <v>6332</v>
      </c>
      <c r="H2340" s="2" t="s">
        <v>412</v>
      </c>
      <c r="I2340" s="2" t="s">
        <v>187</v>
      </c>
      <c r="J2340" s="3">
        <v>44426</v>
      </c>
      <c r="K2340" s="5">
        <f>YEAR(OrganizedData[[#This Row],[Order Date]])</f>
        <v>2021</v>
      </c>
      <c r="L2340" s="7" t="str">
        <f>TEXT(OrganizedData[[#This Row],[Order Date]],"mmm")</f>
        <v>Aug</v>
      </c>
      <c r="M2340" s="2">
        <v>18</v>
      </c>
      <c r="N2340" s="2" t="s">
        <v>20</v>
      </c>
      <c r="O2340" s="2" t="str">
        <f>VLOOKUP(OrganizedData[[#This Row],[Product Code]],ProductData[[Code]:[Item]],2,FALSE)</f>
        <v>Hyperwotsit</v>
      </c>
      <c r="P2340" s="4">
        <f>OrganizedData[[#This Row],[Quantity]]*VLOOKUP(OrganizedData[[#This Row],[Product Code]],ProductData[],4,FALSE)</f>
        <v>360</v>
      </c>
      <c r="Q2340" s="6">
        <f>OrganizedData[[#This Row],[Total Items Ordered]]*VLOOKUP(OrganizedData[[#This Row],[Product Code]],ProductData[],3,FALSE)</f>
        <v>723.59999999999991</v>
      </c>
      <c r="R23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2341" spans="1:18" x14ac:dyDescent="0.3">
      <c r="A2341" s="2">
        <v>2334</v>
      </c>
      <c r="B2341" s="2" t="s">
        <v>6333</v>
      </c>
      <c r="C2341" s="2" t="s">
        <v>1592</v>
      </c>
      <c r="D2341" s="2" t="s">
        <v>51</v>
      </c>
      <c r="E2341" s="2" t="s">
        <v>16</v>
      </c>
      <c r="F2341" s="2">
        <v>90</v>
      </c>
      <c r="G2341" s="2" t="s">
        <v>6334</v>
      </c>
      <c r="H2341" s="2" t="s">
        <v>4085</v>
      </c>
      <c r="I2341" s="2" t="s">
        <v>240</v>
      </c>
      <c r="J2341" s="3">
        <v>44505</v>
      </c>
      <c r="K2341" s="5">
        <f>YEAR(OrganizedData[[#This Row],[Order Date]])</f>
        <v>2021</v>
      </c>
      <c r="L2341" s="7" t="str">
        <f>TEXT(OrganizedData[[#This Row],[Order Date]],"mmm")</f>
        <v>Nov</v>
      </c>
      <c r="M2341" s="2">
        <v>70</v>
      </c>
      <c r="N2341" s="2" t="s">
        <v>159</v>
      </c>
      <c r="O2341" s="2" t="str">
        <f>VLOOKUP(OrganizedData[[#This Row],[Product Code]],ProductData[[Code]:[Item]],2,FALSE)</f>
        <v>Ultrathing V3</v>
      </c>
      <c r="P2341" s="4">
        <f>OrganizedData[[#This Row],[Quantity]]*VLOOKUP(OrganizedData[[#This Row],[Product Code]],ProductData[],4,FALSE)</f>
        <v>1680</v>
      </c>
      <c r="Q2341" s="6">
        <f>OrganizedData[[#This Row],[Total Items Ordered]]*VLOOKUP(OrganizedData[[#This Row],[Product Code]],ProductData[],3,FALSE)</f>
        <v>5695.2</v>
      </c>
      <c r="R23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2342" spans="1:18" x14ac:dyDescent="0.3">
      <c r="A2342" s="2">
        <v>2335</v>
      </c>
      <c r="B2342" s="2" t="s">
        <v>2495</v>
      </c>
      <c r="C2342" s="2" t="s">
        <v>5998</v>
      </c>
      <c r="D2342" s="2" t="s">
        <v>28</v>
      </c>
      <c r="E2342" s="2" t="s">
        <v>29</v>
      </c>
      <c r="F2342" s="2">
        <v>60</v>
      </c>
      <c r="G2342" s="2" t="s">
        <v>6335</v>
      </c>
      <c r="H2342" s="2" t="s">
        <v>4039</v>
      </c>
      <c r="I2342" s="2" t="s">
        <v>32</v>
      </c>
      <c r="J2342" s="3">
        <v>44829</v>
      </c>
      <c r="K2342" s="5">
        <f>YEAR(OrganizedData[[#This Row],[Order Date]])</f>
        <v>2022</v>
      </c>
      <c r="L2342" s="7" t="str">
        <f>TEXT(OrganizedData[[#This Row],[Order Date]],"mmm")</f>
        <v>Sep</v>
      </c>
      <c r="M2342" s="2">
        <v>17</v>
      </c>
      <c r="N2342" s="2" t="s">
        <v>101</v>
      </c>
      <c r="O2342" s="2" t="str">
        <f>VLOOKUP(OrganizedData[[#This Row],[Product Code]],ProductData[[Code]:[Item]],2,FALSE)</f>
        <v>Superwossname</v>
      </c>
      <c r="P2342" s="4">
        <f>OrganizedData[[#This Row],[Quantity]]*VLOOKUP(OrganizedData[[#This Row],[Product Code]],ProductData[],4,FALSE)</f>
        <v>340</v>
      </c>
      <c r="Q2342" s="6">
        <f>OrganizedData[[#This Row],[Total Items Ordered]]*VLOOKUP(OrganizedData[[#This Row],[Product Code]],ProductData[],3,FALSE)</f>
        <v>1186.6000000000001</v>
      </c>
      <c r="R23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1186.6000000000001</v>
      </c>
    </row>
    <row r="2343" spans="1:18" x14ac:dyDescent="0.3">
      <c r="A2343" s="2">
        <v>2336</v>
      </c>
      <c r="B2343" s="2" t="s">
        <v>6336</v>
      </c>
      <c r="C2343" s="2" t="s">
        <v>5452</v>
      </c>
      <c r="D2343" s="2" t="s">
        <v>51</v>
      </c>
      <c r="E2343" s="2" t="s">
        <v>16</v>
      </c>
      <c r="F2343" s="2">
        <v>60</v>
      </c>
      <c r="G2343" s="2" t="s">
        <v>6337</v>
      </c>
      <c r="H2343" s="2" t="s">
        <v>1168</v>
      </c>
      <c r="I2343" s="2" t="s">
        <v>32</v>
      </c>
      <c r="J2343" s="3">
        <v>44539</v>
      </c>
      <c r="K2343" s="5">
        <f>YEAR(OrganizedData[[#This Row],[Order Date]])</f>
        <v>2021</v>
      </c>
      <c r="L2343" s="7" t="str">
        <f>TEXT(OrganizedData[[#This Row],[Order Date]],"mmm")</f>
        <v>Dec</v>
      </c>
      <c r="M2343" s="2">
        <v>75</v>
      </c>
      <c r="N2343" s="2" t="s">
        <v>64</v>
      </c>
      <c r="O2343" s="2" t="str">
        <f>VLOOKUP(OrganizedData[[#This Row],[Product Code]],ProductData[[Code]:[Item]],2,FALSE)</f>
        <v>Ultrathing V4</v>
      </c>
      <c r="P2343" s="4">
        <f>OrganizedData[[#This Row],[Quantity]]*VLOOKUP(OrganizedData[[#This Row],[Product Code]],ProductData[],4,FALSE)</f>
        <v>1800</v>
      </c>
      <c r="Q2343" s="6">
        <f>OrganizedData[[#This Row],[Total Items Ordered]]*VLOOKUP(OrganizedData[[#This Row],[Product Code]],ProductData[],3,FALSE)</f>
        <v>7182</v>
      </c>
      <c r="R23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6822.9</v>
      </c>
    </row>
    <row r="2344" spans="1:18" x14ac:dyDescent="0.3">
      <c r="A2344" s="2">
        <v>2337</v>
      </c>
      <c r="B2344" s="2" t="s">
        <v>6338</v>
      </c>
      <c r="C2344" s="2" t="s">
        <v>5824</v>
      </c>
      <c r="D2344" s="2" t="s">
        <v>51</v>
      </c>
      <c r="E2344" s="2" t="s">
        <v>16</v>
      </c>
      <c r="F2344" s="2">
        <v>90</v>
      </c>
      <c r="G2344" s="2" t="s">
        <v>6339</v>
      </c>
      <c r="H2344" s="2" t="s">
        <v>634</v>
      </c>
      <c r="I2344" s="2" t="s">
        <v>32</v>
      </c>
      <c r="J2344" s="3">
        <v>44462</v>
      </c>
      <c r="K2344" s="5">
        <f>YEAR(OrganizedData[[#This Row],[Order Date]])</f>
        <v>2021</v>
      </c>
      <c r="L2344" s="7" t="str">
        <f>TEXT(OrganizedData[[#This Row],[Order Date]],"mmm")</f>
        <v>Sep</v>
      </c>
      <c r="M2344" s="2">
        <v>46</v>
      </c>
      <c r="N2344" s="2" t="s">
        <v>39</v>
      </c>
      <c r="O2344" s="2" t="str">
        <f>VLOOKUP(OrganizedData[[#This Row],[Product Code]],ProductData[[Code]:[Item]],2,FALSE)</f>
        <v>Ultrathing V1</v>
      </c>
      <c r="P2344" s="4">
        <f>OrganizedData[[#This Row],[Quantity]]*VLOOKUP(OrganizedData[[#This Row],[Product Code]],ProductData[],4,FALSE)</f>
        <v>782</v>
      </c>
      <c r="Q2344" s="6">
        <f>OrganizedData[[#This Row],[Total Items Ordered]]*VLOOKUP(OrganizedData[[#This Row],[Product Code]],ProductData[],3,FALSE)</f>
        <v>1399.78</v>
      </c>
      <c r="R23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2345" spans="1:18" x14ac:dyDescent="0.3">
      <c r="A2345" s="2">
        <v>2338</v>
      </c>
      <c r="B2345" s="2" t="s">
        <v>5644</v>
      </c>
      <c r="C2345" s="2" t="s">
        <v>5893</v>
      </c>
      <c r="D2345" s="2" t="s">
        <v>28</v>
      </c>
      <c r="E2345" s="2" t="s">
        <v>29</v>
      </c>
      <c r="F2345" s="2">
        <v>90</v>
      </c>
      <c r="G2345" s="2" t="s">
        <v>6340</v>
      </c>
      <c r="H2345" s="2" t="s">
        <v>4337</v>
      </c>
      <c r="I2345" s="2" t="s">
        <v>25</v>
      </c>
      <c r="J2345" s="3">
        <v>44409</v>
      </c>
      <c r="K2345" s="5">
        <f>YEAR(OrganizedData[[#This Row],[Order Date]])</f>
        <v>2021</v>
      </c>
      <c r="L2345" s="7" t="str">
        <f>TEXT(OrganizedData[[#This Row],[Order Date]],"mmm")</f>
        <v>Aug</v>
      </c>
      <c r="M2345" s="2">
        <v>37</v>
      </c>
      <c r="N2345" s="2" t="s">
        <v>54</v>
      </c>
      <c r="O2345" s="2" t="str">
        <f>VLOOKUP(OrganizedData[[#This Row],[Product Code]],ProductData[[Code]:[Item]],2,FALSE)</f>
        <v>Megawidget S</v>
      </c>
      <c r="P2345" s="4">
        <f>OrganizedData[[#This Row],[Quantity]]*VLOOKUP(OrganizedData[[#This Row],[Product Code]],ProductData[],4,FALSE)</f>
        <v>888</v>
      </c>
      <c r="Q2345" s="6">
        <f>OrganizedData[[#This Row],[Total Items Ordered]]*VLOOKUP(OrganizedData[[#This Row],[Product Code]],ProductData[],3,FALSE)</f>
        <v>612.71999999999991</v>
      </c>
      <c r="R23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2346" spans="1:18" x14ac:dyDescent="0.3">
      <c r="A2346" s="2">
        <v>2339</v>
      </c>
      <c r="B2346" s="2" t="s">
        <v>711</v>
      </c>
      <c r="C2346" s="2" t="s">
        <v>536</v>
      </c>
      <c r="D2346" s="2" t="s">
        <v>28</v>
      </c>
      <c r="E2346" s="2" t="s">
        <v>29</v>
      </c>
      <c r="F2346" s="2">
        <v>90</v>
      </c>
      <c r="G2346" s="2" t="s">
        <v>6341</v>
      </c>
      <c r="H2346" s="2" t="s">
        <v>1142</v>
      </c>
      <c r="I2346" s="2" t="s">
        <v>38</v>
      </c>
      <c r="J2346" s="3">
        <v>44098</v>
      </c>
      <c r="K2346" s="5">
        <f>YEAR(OrganizedData[[#This Row],[Order Date]])</f>
        <v>2020</v>
      </c>
      <c r="L2346" s="7" t="str">
        <f>TEXT(OrganizedData[[#This Row],[Order Date]],"mmm")</f>
        <v>Sep</v>
      </c>
      <c r="M2346" s="2">
        <v>46</v>
      </c>
      <c r="N2346" s="2" t="s">
        <v>101</v>
      </c>
      <c r="O2346" s="2" t="str">
        <f>VLOOKUP(OrganizedData[[#This Row],[Product Code]],ProductData[[Code]:[Item]],2,FALSE)</f>
        <v>Superwossname</v>
      </c>
      <c r="P2346" s="4">
        <f>OrganizedData[[#This Row],[Quantity]]*VLOOKUP(OrganizedData[[#This Row],[Product Code]],ProductData[],4,FALSE)</f>
        <v>920</v>
      </c>
      <c r="Q2346" s="6">
        <f>OrganizedData[[#This Row],[Total Items Ordered]]*VLOOKUP(OrganizedData[[#This Row],[Product Code]],ProductData[],3,FALSE)</f>
        <v>3210.8</v>
      </c>
      <c r="R23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2347" spans="1:18" x14ac:dyDescent="0.3">
      <c r="A2347" s="2">
        <v>2340</v>
      </c>
      <c r="B2347" s="2" t="s">
        <v>485</v>
      </c>
      <c r="C2347" s="2" t="s">
        <v>2043</v>
      </c>
      <c r="D2347" s="2" t="s">
        <v>28</v>
      </c>
      <c r="E2347" s="2" t="s">
        <v>29</v>
      </c>
      <c r="F2347" s="2">
        <v>90</v>
      </c>
      <c r="G2347" s="2" t="s">
        <v>6342</v>
      </c>
      <c r="H2347" s="2" t="s">
        <v>6343</v>
      </c>
      <c r="I2347" s="2" t="s">
        <v>32</v>
      </c>
      <c r="J2347" s="3">
        <v>44405</v>
      </c>
      <c r="K2347" s="5">
        <f>YEAR(OrganizedData[[#This Row],[Order Date]])</f>
        <v>2021</v>
      </c>
      <c r="L2347" s="7" t="str">
        <f>TEXT(OrganizedData[[#This Row],[Order Date]],"mmm")</f>
        <v>Jul</v>
      </c>
      <c r="M2347" s="2">
        <v>33</v>
      </c>
      <c r="N2347" s="2" t="s">
        <v>39</v>
      </c>
      <c r="O2347" s="2" t="str">
        <f>VLOOKUP(OrganizedData[[#This Row],[Product Code]],ProductData[[Code]:[Item]],2,FALSE)</f>
        <v>Ultrathing V1</v>
      </c>
      <c r="P2347" s="4">
        <f>OrganizedData[[#This Row],[Quantity]]*VLOOKUP(OrganizedData[[#This Row],[Product Code]],ProductData[],4,FALSE)</f>
        <v>561</v>
      </c>
      <c r="Q2347" s="6">
        <f>OrganizedData[[#This Row],[Total Items Ordered]]*VLOOKUP(OrganizedData[[#This Row],[Product Code]],ProductData[],3,FALSE)</f>
        <v>1004.19</v>
      </c>
      <c r="R23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2348" spans="1:18" x14ac:dyDescent="0.3">
      <c r="A2348" s="2">
        <v>2341</v>
      </c>
      <c r="B2348" s="2" t="s">
        <v>6344</v>
      </c>
      <c r="C2348" s="2" t="s">
        <v>6345</v>
      </c>
      <c r="D2348" s="2" t="s">
        <v>15</v>
      </c>
      <c r="E2348" s="2" t="s">
        <v>16</v>
      </c>
      <c r="F2348" s="2">
        <v>90</v>
      </c>
      <c r="G2348" s="2" t="s">
        <v>6346</v>
      </c>
      <c r="H2348" s="2" t="s">
        <v>2021</v>
      </c>
      <c r="I2348" s="2" t="s">
        <v>2022</v>
      </c>
      <c r="J2348" s="3">
        <v>44088</v>
      </c>
      <c r="K2348" s="5">
        <f>YEAR(OrganizedData[[#This Row],[Order Date]])</f>
        <v>2020</v>
      </c>
      <c r="L2348" s="7" t="str">
        <f>TEXT(OrganizedData[[#This Row],[Order Date]],"mmm")</f>
        <v>Sep</v>
      </c>
      <c r="M2348" s="2">
        <v>13</v>
      </c>
      <c r="N2348" s="2" t="s">
        <v>33</v>
      </c>
      <c r="O2348" s="2" t="str">
        <f>VLOOKUP(OrganizedData[[#This Row],[Product Code]],ProductData[[Code]:[Item]],2,FALSE)</f>
        <v>Megawidget L</v>
      </c>
      <c r="P2348" s="4">
        <f>OrganizedData[[#This Row],[Quantity]]*VLOOKUP(OrganizedData[[#This Row],[Product Code]],ProductData[],4,FALSE)</f>
        <v>312</v>
      </c>
      <c r="Q2348" s="6">
        <f>OrganizedData[[#This Row],[Total Items Ordered]]*VLOOKUP(OrganizedData[[#This Row],[Product Code]],ProductData[],3,FALSE)</f>
        <v>558.48</v>
      </c>
      <c r="R23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2349" spans="1:18" x14ac:dyDescent="0.3">
      <c r="A2349" s="2">
        <v>2342</v>
      </c>
      <c r="B2349" s="2" t="s">
        <v>1553</v>
      </c>
      <c r="C2349" s="2" t="s">
        <v>3426</v>
      </c>
      <c r="D2349" s="2" t="s">
        <v>28</v>
      </c>
      <c r="E2349" s="2" t="s">
        <v>29</v>
      </c>
      <c r="F2349" s="2">
        <v>60</v>
      </c>
      <c r="G2349" s="2" t="s">
        <v>10440</v>
      </c>
      <c r="H2349" s="2" t="s">
        <v>6348</v>
      </c>
      <c r="I2349" s="2" t="s">
        <v>32</v>
      </c>
      <c r="J2349" s="3">
        <v>44681</v>
      </c>
      <c r="K2349" s="5">
        <f>YEAR(OrganizedData[[#This Row],[Order Date]])</f>
        <v>2022</v>
      </c>
      <c r="L2349" s="7" t="str">
        <f>TEXT(OrganizedData[[#This Row],[Order Date]],"mmm")</f>
        <v>Apr</v>
      </c>
      <c r="M2349" s="2">
        <v>23</v>
      </c>
      <c r="N2349" s="2" t="s">
        <v>101</v>
      </c>
      <c r="O2349" s="2" t="str">
        <f>VLOOKUP(OrganizedData[[#This Row],[Product Code]],ProductData[[Code]:[Item]],2,FALSE)</f>
        <v>Superwossname</v>
      </c>
      <c r="P2349" s="4">
        <f>OrganizedData[[#This Row],[Quantity]]*VLOOKUP(OrganizedData[[#This Row],[Product Code]],ProductData[],4,FALSE)</f>
        <v>460</v>
      </c>
      <c r="Q2349" s="6">
        <f>OrganizedData[[#This Row],[Total Items Ordered]]*VLOOKUP(OrganizedData[[#This Row],[Product Code]],ProductData[],3,FALSE)</f>
        <v>1605.4</v>
      </c>
      <c r="R23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1557.2380000000001</v>
      </c>
    </row>
    <row r="2350" spans="1:18" x14ac:dyDescent="0.3">
      <c r="A2350" s="2">
        <v>2343</v>
      </c>
      <c r="B2350" s="2" t="s">
        <v>4953</v>
      </c>
      <c r="C2350" s="2" t="s">
        <v>6349</v>
      </c>
      <c r="D2350" s="2" t="s">
        <v>51</v>
      </c>
      <c r="E2350" s="2" t="s">
        <v>16</v>
      </c>
      <c r="F2350" s="2">
        <v>90</v>
      </c>
      <c r="G2350" s="2" t="s">
        <v>6350</v>
      </c>
      <c r="H2350" s="2" t="s">
        <v>1206</v>
      </c>
      <c r="I2350" s="2" t="s">
        <v>294</v>
      </c>
      <c r="J2350" s="3">
        <v>44724</v>
      </c>
      <c r="K2350" s="5">
        <f>YEAR(OrganizedData[[#This Row],[Order Date]])</f>
        <v>2022</v>
      </c>
      <c r="L2350" s="7" t="str">
        <f>TEXT(OrganizedData[[#This Row],[Order Date]],"mmm")</f>
        <v>Jun</v>
      </c>
      <c r="M2350" s="2">
        <v>5</v>
      </c>
      <c r="N2350" s="2" t="s">
        <v>159</v>
      </c>
      <c r="O2350" s="2" t="str">
        <f>VLOOKUP(OrganizedData[[#This Row],[Product Code]],ProductData[[Code]:[Item]],2,FALSE)</f>
        <v>Ultrathing V3</v>
      </c>
      <c r="P2350" s="4">
        <f>OrganizedData[[#This Row],[Quantity]]*VLOOKUP(OrganizedData[[#This Row],[Product Code]],ProductData[],4,FALSE)</f>
        <v>120</v>
      </c>
      <c r="Q2350" s="6">
        <f>OrganizedData[[#This Row],[Total Items Ordered]]*VLOOKUP(OrganizedData[[#This Row],[Product Code]],ProductData[],3,FALSE)</f>
        <v>406.8</v>
      </c>
      <c r="R23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406.8</v>
      </c>
    </row>
    <row r="2351" spans="1:18" x14ac:dyDescent="0.3">
      <c r="A2351" s="2">
        <v>2344</v>
      </c>
      <c r="B2351" s="2" t="s">
        <v>2639</v>
      </c>
      <c r="C2351" s="2" t="s">
        <v>6351</v>
      </c>
      <c r="D2351" s="2" t="s">
        <v>28</v>
      </c>
      <c r="E2351" s="2" t="s">
        <v>29</v>
      </c>
      <c r="F2351" s="2">
        <v>60</v>
      </c>
      <c r="G2351" s="2" t="s">
        <v>6352</v>
      </c>
      <c r="H2351" s="2" t="s">
        <v>6353</v>
      </c>
      <c r="I2351" s="2" t="s">
        <v>32</v>
      </c>
      <c r="J2351" s="3">
        <v>44775</v>
      </c>
      <c r="K2351" s="5">
        <f>YEAR(OrganizedData[[#This Row],[Order Date]])</f>
        <v>2022</v>
      </c>
      <c r="L2351" s="7" t="str">
        <f>TEXT(OrganizedData[[#This Row],[Order Date]],"mmm")</f>
        <v>Aug</v>
      </c>
      <c r="M2351" s="2">
        <v>23</v>
      </c>
      <c r="N2351" s="2" t="s">
        <v>39</v>
      </c>
      <c r="O2351" s="2" t="str">
        <f>VLOOKUP(OrganizedData[[#This Row],[Product Code]],ProductData[[Code]:[Item]],2,FALSE)</f>
        <v>Ultrathing V1</v>
      </c>
      <c r="P2351" s="4">
        <f>OrganizedData[[#This Row],[Quantity]]*VLOOKUP(OrganizedData[[#This Row],[Product Code]],ProductData[],4,FALSE)</f>
        <v>391</v>
      </c>
      <c r="Q2351" s="6">
        <f>OrganizedData[[#This Row],[Total Items Ordered]]*VLOOKUP(OrganizedData[[#This Row],[Product Code]],ProductData[],3,FALSE)</f>
        <v>699.89</v>
      </c>
      <c r="R23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2352" spans="1:18" x14ac:dyDescent="0.3">
      <c r="A2352" s="2">
        <v>2345</v>
      </c>
      <c r="B2352" s="2" t="s">
        <v>1058</v>
      </c>
      <c r="C2352" s="2" t="s">
        <v>384</v>
      </c>
      <c r="D2352" s="2" t="s">
        <v>28</v>
      </c>
      <c r="E2352" s="2" t="s">
        <v>29</v>
      </c>
      <c r="F2352" s="2">
        <v>30</v>
      </c>
      <c r="G2352" s="2" t="s">
        <v>10526</v>
      </c>
      <c r="H2352" s="2" t="s">
        <v>2516</v>
      </c>
      <c r="I2352" s="2" t="s">
        <v>32</v>
      </c>
      <c r="J2352" s="3">
        <v>44829</v>
      </c>
      <c r="K2352" s="5">
        <f>YEAR(OrganizedData[[#This Row],[Order Date]])</f>
        <v>2022</v>
      </c>
      <c r="L2352" s="7" t="str">
        <f>TEXT(OrganizedData[[#This Row],[Order Date]],"mmm")</f>
        <v>Sep</v>
      </c>
      <c r="M2352" s="2">
        <v>71</v>
      </c>
      <c r="N2352" s="2" t="s">
        <v>45</v>
      </c>
      <c r="O2352" s="2" t="str">
        <f>VLOOKUP(OrganizedData[[#This Row],[Product Code]],ProductData[[Code]:[Item]],2,FALSE)</f>
        <v>Gigastuff</v>
      </c>
      <c r="P2352" s="4">
        <f>OrganizedData[[#This Row],[Quantity]]*VLOOKUP(OrganizedData[[#This Row],[Product Code]],ProductData[],4,FALSE)</f>
        <v>1278</v>
      </c>
      <c r="Q2352" s="6">
        <f>OrganizedData[[#This Row],[Total Items Ordered]]*VLOOKUP(OrganizedData[[#This Row],[Product Code]],ProductData[],3,FALSE)</f>
        <v>2415.42</v>
      </c>
      <c r="R23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2353" spans="1:18" x14ac:dyDescent="0.3">
      <c r="A2353" s="2">
        <v>2346</v>
      </c>
      <c r="B2353" s="2" t="s">
        <v>183</v>
      </c>
      <c r="C2353" s="2" t="s">
        <v>6355</v>
      </c>
      <c r="D2353" s="2" t="s">
        <v>28</v>
      </c>
      <c r="E2353" s="2" t="s">
        <v>29</v>
      </c>
      <c r="F2353" s="2">
        <v>90</v>
      </c>
      <c r="G2353" s="2" t="s">
        <v>6356</v>
      </c>
      <c r="H2353" s="2" t="s">
        <v>2972</v>
      </c>
      <c r="I2353" s="2" t="s">
        <v>32</v>
      </c>
      <c r="J2353" s="3">
        <v>44252</v>
      </c>
      <c r="K2353" s="5">
        <f>YEAR(OrganizedData[[#This Row],[Order Date]])</f>
        <v>2021</v>
      </c>
      <c r="L2353" s="7" t="str">
        <f>TEXT(OrganizedData[[#This Row],[Order Date]],"mmm")</f>
        <v>Feb</v>
      </c>
      <c r="M2353" s="2">
        <v>94</v>
      </c>
      <c r="N2353" s="2" t="s">
        <v>45</v>
      </c>
      <c r="O2353" s="2" t="str">
        <f>VLOOKUP(OrganizedData[[#This Row],[Product Code]],ProductData[[Code]:[Item]],2,FALSE)</f>
        <v>Gigastuff</v>
      </c>
      <c r="P2353" s="4">
        <f>OrganizedData[[#This Row],[Quantity]]*VLOOKUP(OrganizedData[[#This Row],[Product Code]],ProductData[],4,FALSE)</f>
        <v>1692</v>
      </c>
      <c r="Q2353" s="6">
        <f>OrganizedData[[#This Row],[Total Items Ordered]]*VLOOKUP(OrganizedData[[#This Row],[Product Code]],ProductData[],3,FALSE)</f>
        <v>3197.8799999999997</v>
      </c>
      <c r="R23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3037.9859999999994</v>
      </c>
    </row>
    <row r="2354" spans="1:18" x14ac:dyDescent="0.3">
      <c r="A2354" s="2">
        <v>2347</v>
      </c>
      <c r="B2354" s="2" t="s">
        <v>4875</v>
      </c>
      <c r="C2354" s="2" t="s">
        <v>4828</v>
      </c>
      <c r="D2354" s="2" t="s">
        <v>28</v>
      </c>
      <c r="E2354" s="2" t="s">
        <v>29</v>
      </c>
      <c r="F2354" s="2">
        <v>90</v>
      </c>
      <c r="G2354" s="2" t="s">
        <v>6357</v>
      </c>
      <c r="H2354" s="2" t="s">
        <v>1690</v>
      </c>
      <c r="I2354" s="2" t="s">
        <v>208</v>
      </c>
      <c r="J2354" s="3">
        <v>44240</v>
      </c>
      <c r="K2354" s="5">
        <f>YEAR(OrganizedData[[#This Row],[Order Date]])</f>
        <v>2021</v>
      </c>
      <c r="L2354" s="7" t="str">
        <f>TEXT(OrganizedData[[#This Row],[Order Date]],"mmm")</f>
        <v>Feb</v>
      </c>
      <c r="M2354" s="2">
        <v>45</v>
      </c>
      <c r="N2354" s="2" t="s">
        <v>70</v>
      </c>
      <c r="O2354" s="2" t="str">
        <f>VLOOKUP(OrganizedData[[#This Row],[Product Code]],ProductData[[Code]:[Item]],2,FALSE)</f>
        <v>Megawidget M</v>
      </c>
      <c r="P2354" s="4">
        <f>OrganizedData[[#This Row],[Quantity]]*VLOOKUP(OrganizedData[[#This Row],[Product Code]],ProductData[],4,FALSE)</f>
        <v>1080</v>
      </c>
      <c r="Q2354" s="6">
        <f>OrganizedData[[#This Row],[Total Items Ordered]]*VLOOKUP(OrganizedData[[#This Row],[Product Code]],ProductData[],3,FALSE)</f>
        <v>1393.2</v>
      </c>
      <c r="R23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2355" spans="1:18" x14ac:dyDescent="0.3">
      <c r="A2355" s="2">
        <v>2348</v>
      </c>
      <c r="B2355" s="2" t="s">
        <v>6358</v>
      </c>
      <c r="C2355" s="2" t="s">
        <v>2738</v>
      </c>
      <c r="D2355" s="2" t="s">
        <v>15</v>
      </c>
      <c r="E2355" s="2" t="s">
        <v>16</v>
      </c>
      <c r="F2355" s="2">
        <v>30</v>
      </c>
      <c r="G2355" s="2" t="s">
        <v>6357</v>
      </c>
      <c r="H2355" s="2" t="s">
        <v>4807</v>
      </c>
      <c r="I2355" s="2" t="s">
        <v>32</v>
      </c>
      <c r="J2355" s="3">
        <v>44600</v>
      </c>
      <c r="K2355" s="5">
        <f>YEAR(OrganizedData[[#This Row],[Order Date]])</f>
        <v>2022</v>
      </c>
      <c r="L2355" s="7" t="str">
        <f>TEXT(OrganizedData[[#This Row],[Order Date]],"mmm")</f>
        <v>Feb</v>
      </c>
      <c r="M2355" s="2">
        <v>85</v>
      </c>
      <c r="N2355" s="2" t="s">
        <v>80</v>
      </c>
      <c r="O2355" s="2" t="str">
        <f>VLOOKUP(OrganizedData[[#This Row],[Product Code]],ProductData[[Code]:[Item]],2,FALSE)</f>
        <v>Ultrathing V2</v>
      </c>
      <c r="P2355" s="4">
        <f>OrganizedData[[#This Row],[Quantity]]*VLOOKUP(OrganizedData[[#This Row],[Product Code]],ProductData[],4,FALSE)</f>
        <v>1700</v>
      </c>
      <c r="Q2355" s="6">
        <f>OrganizedData[[#This Row],[Total Items Ordered]]*VLOOKUP(OrganizedData[[#This Row],[Product Code]],ProductData[],3,FALSE)</f>
        <v>5015</v>
      </c>
      <c r="R23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4764.25</v>
      </c>
    </row>
    <row r="2356" spans="1:18" x14ac:dyDescent="0.3">
      <c r="A2356" s="2">
        <v>2349</v>
      </c>
      <c r="B2356" s="2" t="s">
        <v>6359</v>
      </c>
      <c r="C2356" s="2" t="s">
        <v>6360</v>
      </c>
      <c r="D2356" s="2" t="s">
        <v>15</v>
      </c>
      <c r="E2356" s="2" t="s">
        <v>16</v>
      </c>
      <c r="F2356" s="2">
        <v>60</v>
      </c>
      <c r="G2356" s="2" t="s">
        <v>6361</v>
      </c>
      <c r="H2356" s="2" t="s">
        <v>6362</v>
      </c>
      <c r="I2356" s="2" t="s">
        <v>425</v>
      </c>
      <c r="J2356" s="3">
        <v>43935</v>
      </c>
      <c r="K2356" s="5">
        <f>YEAR(OrganizedData[[#This Row],[Order Date]])</f>
        <v>2020</v>
      </c>
      <c r="L2356" s="7" t="str">
        <f>TEXT(OrganizedData[[#This Row],[Order Date]],"mmm")</f>
        <v>Apr</v>
      </c>
      <c r="M2356" s="2">
        <v>62</v>
      </c>
      <c r="N2356" s="2" t="s">
        <v>70</v>
      </c>
      <c r="O2356" s="2" t="str">
        <f>VLOOKUP(OrganizedData[[#This Row],[Product Code]],ProductData[[Code]:[Item]],2,FALSE)</f>
        <v>Megawidget M</v>
      </c>
      <c r="P2356" s="4">
        <f>OrganizedData[[#This Row],[Quantity]]*VLOOKUP(OrganizedData[[#This Row],[Product Code]],ProductData[],4,FALSE)</f>
        <v>1488</v>
      </c>
      <c r="Q2356" s="6">
        <f>OrganizedData[[#This Row],[Total Items Ordered]]*VLOOKUP(OrganizedData[[#This Row],[Product Code]],ProductData[],3,FALSE)</f>
        <v>1919.52</v>
      </c>
      <c r="R23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2357" spans="1:18" x14ac:dyDescent="0.3">
      <c r="A2357" s="2">
        <v>2350</v>
      </c>
      <c r="B2357" s="2" t="s">
        <v>5095</v>
      </c>
      <c r="C2357" s="2" t="s">
        <v>2923</v>
      </c>
      <c r="D2357" s="2" t="s">
        <v>15</v>
      </c>
      <c r="E2357" s="2" t="s">
        <v>16</v>
      </c>
      <c r="F2357" s="2">
        <v>30</v>
      </c>
      <c r="G2357" s="2" t="s">
        <v>6361</v>
      </c>
      <c r="H2357" s="2" t="s">
        <v>3854</v>
      </c>
      <c r="I2357" s="2" t="s">
        <v>38</v>
      </c>
      <c r="J2357" s="3">
        <v>44506</v>
      </c>
      <c r="K2357" s="5">
        <f>YEAR(OrganizedData[[#This Row],[Order Date]])</f>
        <v>2021</v>
      </c>
      <c r="L2357" s="7" t="str">
        <f>TEXT(OrganizedData[[#This Row],[Order Date]],"mmm")</f>
        <v>Nov</v>
      </c>
      <c r="M2357" s="2">
        <v>61</v>
      </c>
      <c r="N2357" s="2" t="s">
        <v>39</v>
      </c>
      <c r="O2357" s="2" t="str">
        <f>VLOOKUP(OrganizedData[[#This Row],[Product Code]],ProductData[[Code]:[Item]],2,FALSE)</f>
        <v>Ultrathing V1</v>
      </c>
      <c r="P2357" s="4">
        <f>OrganizedData[[#This Row],[Quantity]]*VLOOKUP(OrganizedData[[#This Row],[Product Code]],ProductData[],4,FALSE)</f>
        <v>1037</v>
      </c>
      <c r="Q2357" s="6">
        <f>OrganizedData[[#This Row],[Total Items Ordered]]*VLOOKUP(OrganizedData[[#This Row],[Product Code]],ProductData[],3,FALSE)</f>
        <v>1856.23</v>
      </c>
      <c r="R23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1763.4185</v>
      </c>
    </row>
    <row r="2358" spans="1:18" x14ac:dyDescent="0.3">
      <c r="A2358" s="2">
        <v>2351</v>
      </c>
      <c r="B2358" s="2" t="s">
        <v>2682</v>
      </c>
      <c r="C2358" s="2" t="s">
        <v>6363</v>
      </c>
      <c r="D2358" s="2" t="s">
        <v>28</v>
      </c>
      <c r="E2358" s="2" t="s">
        <v>29</v>
      </c>
      <c r="F2358" s="2">
        <v>30</v>
      </c>
      <c r="G2358" s="2" t="s">
        <v>6364</v>
      </c>
      <c r="H2358" s="2" t="s">
        <v>474</v>
      </c>
      <c r="I2358" s="2" t="s">
        <v>475</v>
      </c>
      <c r="J2358" s="3">
        <v>44009</v>
      </c>
      <c r="K2358" s="5">
        <f>YEAR(OrganizedData[[#This Row],[Order Date]])</f>
        <v>2020</v>
      </c>
      <c r="L2358" s="7" t="str">
        <f>TEXT(OrganizedData[[#This Row],[Order Date]],"mmm")</f>
        <v>Jun</v>
      </c>
      <c r="M2358" s="2">
        <v>42</v>
      </c>
      <c r="N2358" s="2" t="s">
        <v>45</v>
      </c>
      <c r="O2358" s="2" t="str">
        <f>VLOOKUP(OrganizedData[[#This Row],[Product Code]],ProductData[[Code]:[Item]],2,FALSE)</f>
        <v>Gigastuff</v>
      </c>
      <c r="P2358" s="4">
        <f>OrganizedData[[#This Row],[Quantity]]*VLOOKUP(OrganizedData[[#This Row],[Product Code]],ProductData[],4,FALSE)</f>
        <v>756</v>
      </c>
      <c r="Q2358" s="6">
        <f>OrganizedData[[#This Row],[Total Items Ordered]]*VLOOKUP(OrganizedData[[#This Row],[Product Code]],ProductData[],3,FALSE)</f>
        <v>1428.84</v>
      </c>
      <c r="R23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2359" spans="1:18" x14ac:dyDescent="0.3">
      <c r="A2359" s="2">
        <v>2352</v>
      </c>
      <c r="B2359" s="2" t="s">
        <v>6365</v>
      </c>
      <c r="C2359" s="2" t="s">
        <v>116</v>
      </c>
      <c r="D2359" s="2" t="s">
        <v>28</v>
      </c>
      <c r="E2359" s="2" t="s">
        <v>29</v>
      </c>
      <c r="F2359" s="2">
        <v>30</v>
      </c>
      <c r="G2359" s="2" t="s">
        <v>6366</v>
      </c>
      <c r="H2359" s="2" t="s">
        <v>3070</v>
      </c>
      <c r="I2359" s="2" t="s">
        <v>575</v>
      </c>
      <c r="J2359" s="3">
        <v>43910</v>
      </c>
      <c r="K2359" s="5">
        <f>YEAR(OrganizedData[[#This Row],[Order Date]])</f>
        <v>2020</v>
      </c>
      <c r="L2359" s="7" t="str">
        <f>TEXT(OrganizedData[[#This Row],[Order Date]],"mmm")</f>
        <v>Mar</v>
      </c>
      <c r="M2359" s="2">
        <v>66</v>
      </c>
      <c r="N2359" s="2" t="s">
        <v>33</v>
      </c>
      <c r="O2359" s="2" t="str">
        <f>VLOOKUP(OrganizedData[[#This Row],[Product Code]],ProductData[[Code]:[Item]],2,FALSE)</f>
        <v>Megawidget L</v>
      </c>
      <c r="P2359" s="4">
        <f>OrganizedData[[#This Row],[Quantity]]*VLOOKUP(OrganizedData[[#This Row],[Product Code]],ProductData[],4,FALSE)</f>
        <v>1584</v>
      </c>
      <c r="Q2359" s="6">
        <f>OrganizedData[[#This Row],[Total Items Ordered]]*VLOOKUP(OrganizedData[[#This Row],[Product Code]],ProductData[],3,FALSE)</f>
        <v>2835.36</v>
      </c>
      <c r="R23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2693.5920000000001</v>
      </c>
    </row>
    <row r="2360" spans="1:18" x14ac:dyDescent="0.3">
      <c r="A2360" s="2">
        <v>2353</v>
      </c>
      <c r="B2360" s="2" t="s">
        <v>6367</v>
      </c>
      <c r="C2360" s="2" t="s">
        <v>4829</v>
      </c>
      <c r="D2360" s="2" t="s">
        <v>51</v>
      </c>
      <c r="E2360" s="2" t="s">
        <v>16</v>
      </c>
      <c r="F2360" s="2">
        <v>60</v>
      </c>
      <c r="G2360" s="2" t="s">
        <v>6366</v>
      </c>
      <c r="H2360" s="2" t="s">
        <v>203</v>
      </c>
      <c r="I2360" s="2" t="s">
        <v>32</v>
      </c>
      <c r="J2360" s="3">
        <v>44338</v>
      </c>
      <c r="K2360" s="5">
        <f>YEAR(OrganizedData[[#This Row],[Order Date]])</f>
        <v>2021</v>
      </c>
      <c r="L2360" s="7" t="str">
        <f>TEXT(OrganizedData[[#This Row],[Order Date]],"mmm")</f>
        <v>May</v>
      </c>
      <c r="M2360" s="2">
        <v>49</v>
      </c>
      <c r="N2360" s="2" t="s">
        <v>33</v>
      </c>
      <c r="O2360" s="2" t="str">
        <f>VLOOKUP(OrganizedData[[#This Row],[Product Code]],ProductData[[Code]:[Item]],2,FALSE)</f>
        <v>Megawidget L</v>
      </c>
      <c r="P2360" s="4">
        <f>OrganizedData[[#This Row],[Quantity]]*VLOOKUP(OrganizedData[[#This Row],[Product Code]],ProductData[],4,FALSE)</f>
        <v>1176</v>
      </c>
      <c r="Q2360" s="6">
        <f>OrganizedData[[#This Row],[Total Items Ordered]]*VLOOKUP(OrganizedData[[#This Row],[Product Code]],ProductData[],3,FALSE)</f>
        <v>2105.04</v>
      </c>
      <c r="R23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2041.8887999999999</v>
      </c>
    </row>
    <row r="2361" spans="1:18" x14ac:dyDescent="0.3">
      <c r="A2361" s="2">
        <v>2354</v>
      </c>
      <c r="B2361" s="2" t="s">
        <v>6368</v>
      </c>
      <c r="C2361" s="2" t="s">
        <v>2757</v>
      </c>
      <c r="D2361" s="2" t="s">
        <v>51</v>
      </c>
      <c r="E2361" s="2" t="s">
        <v>16</v>
      </c>
      <c r="F2361" s="2">
        <v>90</v>
      </c>
      <c r="G2361" s="2" t="s">
        <v>6369</v>
      </c>
      <c r="H2361" s="2" t="s">
        <v>4675</v>
      </c>
      <c r="I2361" s="2" t="s">
        <v>178</v>
      </c>
      <c r="J2361" s="3">
        <v>44022</v>
      </c>
      <c r="K2361" s="5">
        <f>YEAR(OrganizedData[[#This Row],[Order Date]])</f>
        <v>2020</v>
      </c>
      <c r="L2361" s="7" t="str">
        <f>TEXT(OrganizedData[[#This Row],[Order Date]],"mmm")</f>
        <v>Jul</v>
      </c>
      <c r="M2361" s="2">
        <v>22</v>
      </c>
      <c r="N2361" s="2" t="s">
        <v>80</v>
      </c>
      <c r="O2361" s="2" t="str">
        <f>VLOOKUP(OrganizedData[[#This Row],[Product Code]],ProductData[[Code]:[Item]],2,FALSE)</f>
        <v>Ultrathing V2</v>
      </c>
      <c r="P2361" s="4">
        <f>OrganizedData[[#This Row],[Quantity]]*VLOOKUP(OrganizedData[[#This Row],[Product Code]],ProductData[],4,FALSE)</f>
        <v>440</v>
      </c>
      <c r="Q2361" s="6">
        <f>OrganizedData[[#This Row],[Total Items Ordered]]*VLOOKUP(OrganizedData[[#This Row],[Product Code]],ProductData[],3,FALSE)</f>
        <v>1298</v>
      </c>
      <c r="R23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2362" spans="1:18" x14ac:dyDescent="0.3">
      <c r="A2362" s="2">
        <v>2355</v>
      </c>
      <c r="B2362" s="2" t="s">
        <v>4375</v>
      </c>
      <c r="C2362" s="2" t="s">
        <v>3884</v>
      </c>
      <c r="D2362" s="2" t="s">
        <v>28</v>
      </c>
      <c r="E2362" s="2" t="s">
        <v>29</v>
      </c>
      <c r="F2362" s="2">
        <v>30</v>
      </c>
      <c r="G2362" s="2" t="s">
        <v>6370</v>
      </c>
      <c r="H2362" s="2" t="s">
        <v>2156</v>
      </c>
      <c r="I2362" s="2" t="s">
        <v>32</v>
      </c>
      <c r="J2362" s="3">
        <v>44138</v>
      </c>
      <c r="K2362" s="5">
        <f>YEAR(OrganizedData[[#This Row],[Order Date]])</f>
        <v>2020</v>
      </c>
      <c r="L2362" s="7" t="str">
        <f>TEXT(OrganizedData[[#This Row],[Order Date]],"mmm")</f>
        <v>Nov</v>
      </c>
      <c r="M2362" s="2">
        <v>14</v>
      </c>
      <c r="N2362" s="2" t="s">
        <v>39</v>
      </c>
      <c r="O2362" s="2" t="str">
        <f>VLOOKUP(OrganizedData[[#This Row],[Product Code]],ProductData[[Code]:[Item]],2,FALSE)</f>
        <v>Ultrathing V1</v>
      </c>
      <c r="P2362" s="4">
        <f>OrganizedData[[#This Row],[Quantity]]*VLOOKUP(OrganizedData[[#This Row],[Product Code]],ProductData[],4,FALSE)</f>
        <v>238</v>
      </c>
      <c r="Q2362" s="6">
        <f>OrganizedData[[#This Row],[Total Items Ordered]]*VLOOKUP(OrganizedData[[#This Row],[Product Code]],ProductData[],3,FALSE)</f>
        <v>426.02</v>
      </c>
      <c r="R23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2363" spans="1:18" x14ac:dyDescent="0.3">
      <c r="A2363" s="2">
        <v>2356</v>
      </c>
      <c r="B2363" s="2" t="s">
        <v>6371</v>
      </c>
      <c r="C2363" s="2" t="s">
        <v>2841</v>
      </c>
      <c r="D2363" s="2" t="s">
        <v>15</v>
      </c>
      <c r="E2363" s="2" t="s">
        <v>16</v>
      </c>
      <c r="F2363" s="2">
        <v>30</v>
      </c>
      <c r="G2363" s="2" t="s">
        <v>10527</v>
      </c>
      <c r="H2363" s="2" t="s">
        <v>2127</v>
      </c>
      <c r="I2363" s="2" t="s">
        <v>32</v>
      </c>
      <c r="J2363" s="3">
        <v>44517</v>
      </c>
      <c r="K2363" s="5">
        <f>YEAR(OrganizedData[[#This Row],[Order Date]])</f>
        <v>2021</v>
      </c>
      <c r="L2363" s="7" t="str">
        <f>TEXT(OrganizedData[[#This Row],[Order Date]],"mmm")</f>
        <v>Nov</v>
      </c>
      <c r="M2363" s="2">
        <v>4</v>
      </c>
      <c r="N2363" s="2" t="s">
        <v>70</v>
      </c>
      <c r="O2363" s="2" t="str">
        <f>VLOOKUP(OrganizedData[[#This Row],[Product Code]],ProductData[[Code]:[Item]],2,FALSE)</f>
        <v>Megawidget M</v>
      </c>
      <c r="P2363" s="4">
        <f>OrganizedData[[#This Row],[Quantity]]*VLOOKUP(OrganizedData[[#This Row],[Product Code]],ProductData[],4,FALSE)</f>
        <v>96</v>
      </c>
      <c r="Q2363" s="6">
        <f>OrganizedData[[#This Row],[Total Items Ordered]]*VLOOKUP(OrganizedData[[#This Row],[Product Code]],ProductData[],3,FALSE)</f>
        <v>123.84</v>
      </c>
      <c r="R23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123.84</v>
      </c>
    </row>
    <row r="2364" spans="1:18" x14ac:dyDescent="0.3">
      <c r="A2364" s="2">
        <v>2357</v>
      </c>
      <c r="B2364" s="2" t="s">
        <v>3013</v>
      </c>
      <c r="C2364" s="2" t="s">
        <v>2856</v>
      </c>
      <c r="D2364" s="2" t="s">
        <v>51</v>
      </c>
      <c r="E2364" s="2" t="s">
        <v>16</v>
      </c>
      <c r="F2364" s="2">
        <v>60</v>
      </c>
      <c r="G2364" s="2" t="s">
        <v>6373</v>
      </c>
      <c r="H2364" s="2" t="s">
        <v>920</v>
      </c>
      <c r="I2364" s="2" t="s">
        <v>178</v>
      </c>
      <c r="J2364" s="3">
        <v>44003</v>
      </c>
      <c r="K2364" s="5">
        <f>YEAR(OrganizedData[[#This Row],[Order Date]])</f>
        <v>2020</v>
      </c>
      <c r="L2364" s="7" t="str">
        <f>TEXT(OrganizedData[[#This Row],[Order Date]],"mmm")</f>
        <v>Jun</v>
      </c>
      <c r="M2364" s="2">
        <v>35</v>
      </c>
      <c r="N2364" s="2" t="s">
        <v>159</v>
      </c>
      <c r="O2364" s="2" t="str">
        <f>VLOOKUP(OrganizedData[[#This Row],[Product Code]],ProductData[[Code]:[Item]],2,FALSE)</f>
        <v>Ultrathing V3</v>
      </c>
      <c r="P2364" s="4">
        <f>OrganizedData[[#This Row],[Quantity]]*VLOOKUP(OrganizedData[[#This Row],[Product Code]],ProductData[],4,FALSE)</f>
        <v>840</v>
      </c>
      <c r="Q2364" s="6">
        <f>OrganizedData[[#This Row],[Total Items Ordered]]*VLOOKUP(OrganizedData[[#This Row],[Product Code]],ProductData[],3,FALSE)</f>
        <v>2847.6</v>
      </c>
      <c r="R23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2762.172</v>
      </c>
    </row>
    <row r="2365" spans="1:18" x14ac:dyDescent="0.3">
      <c r="A2365" s="2">
        <v>2358</v>
      </c>
      <c r="B2365" s="2" t="s">
        <v>6374</v>
      </c>
      <c r="C2365" s="2" t="s">
        <v>4865</v>
      </c>
      <c r="D2365" s="2" t="s">
        <v>41</v>
      </c>
      <c r="E2365" s="2" t="s">
        <v>16</v>
      </c>
      <c r="F2365" s="2">
        <v>60</v>
      </c>
      <c r="G2365" s="2" t="s">
        <v>6373</v>
      </c>
      <c r="H2365" s="2" t="s">
        <v>2250</v>
      </c>
      <c r="I2365" s="2" t="s">
        <v>187</v>
      </c>
      <c r="J2365" s="3">
        <v>44433</v>
      </c>
      <c r="K2365" s="5">
        <f>YEAR(OrganizedData[[#This Row],[Order Date]])</f>
        <v>2021</v>
      </c>
      <c r="L2365" s="7" t="str">
        <f>TEXT(OrganizedData[[#This Row],[Order Date]],"mmm")</f>
        <v>Aug</v>
      </c>
      <c r="M2365" s="2">
        <v>78</v>
      </c>
      <c r="N2365" s="2" t="s">
        <v>33</v>
      </c>
      <c r="O2365" s="2" t="str">
        <f>VLOOKUP(OrganizedData[[#This Row],[Product Code]],ProductData[[Code]:[Item]],2,FALSE)</f>
        <v>Megawidget L</v>
      </c>
      <c r="P2365" s="4">
        <f>OrganizedData[[#This Row],[Quantity]]*VLOOKUP(OrganizedData[[#This Row],[Product Code]],ProductData[],4,FALSE)</f>
        <v>1872</v>
      </c>
      <c r="Q2365" s="6">
        <f>OrganizedData[[#This Row],[Total Items Ordered]]*VLOOKUP(OrganizedData[[#This Row],[Product Code]],ProductData[],3,FALSE)</f>
        <v>3350.88</v>
      </c>
      <c r="R23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3183.3359999999998</v>
      </c>
    </row>
    <row r="2366" spans="1:18" x14ac:dyDescent="0.3">
      <c r="A2366" s="2">
        <v>2359</v>
      </c>
      <c r="B2366" s="2" t="s">
        <v>1030</v>
      </c>
      <c r="C2366" s="2" t="s">
        <v>2033</v>
      </c>
      <c r="D2366" s="2" t="s">
        <v>28</v>
      </c>
      <c r="E2366" s="2" t="s">
        <v>29</v>
      </c>
      <c r="F2366" s="2">
        <v>30</v>
      </c>
      <c r="G2366" s="2" t="s">
        <v>6375</v>
      </c>
      <c r="H2366" s="2" t="s">
        <v>1490</v>
      </c>
      <c r="I2366" s="2" t="s">
        <v>294</v>
      </c>
      <c r="J2366" s="3">
        <v>44001</v>
      </c>
      <c r="K2366" s="5">
        <f>YEAR(OrganizedData[[#This Row],[Order Date]])</f>
        <v>2020</v>
      </c>
      <c r="L2366" s="7" t="str">
        <f>TEXT(OrganizedData[[#This Row],[Order Date]],"mmm")</f>
        <v>Jun</v>
      </c>
      <c r="M2366" s="2">
        <v>20</v>
      </c>
      <c r="N2366" s="2" t="s">
        <v>70</v>
      </c>
      <c r="O2366" s="2" t="str">
        <f>VLOOKUP(OrganizedData[[#This Row],[Product Code]],ProductData[[Code]:[Item]],2,FALSE)</f>
        <v>Megawidget M</v>
      </c>
      <c r="P2366" s="4">
        <f>OrganizedData[[#This Row],[Quantity]]*VLOOKUP(OrganizedData[[#This Row],[Product Code]],ProductData[],4,FALSE)</f>
        <v>480</v>
      </c>
      <c r="Q2366" s="6">
        <f>OrganizedData[[#This Row],[Total Items Ordered]]*VLOOKUP(OrganizedData[[#This Row],[Product Code]],ProductData[],3,FALSE)</f>
        <v>619.20000000000005</v>
      </c>
      <c r="R23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619.20000000000005</v>
      </c>
    </row>
    <row r="2367" spans="1:18" x14ac:dyDescent="0.3">
      <c r="A2367" s="2">
        <v>2360</v>
      </c>
      <c r="B2367" s="2" t="s">
        <v>2285</v>
      </c>
      <c r="C2367" s="2" t="s">
        <v>2735</v>
      </c>
      <c r="D2367" s="2" t="s">
        <v>15</v>
      </c>
      <c r="E2367" s="2" t="s">
        <v>16</v>
      </c>
      <c r="F2367" s="2">
        <v>90</v>
      </c>
      <c r="G2367" s="2" t="s">
        <v>6376</v>
      </c>
      <c r="H2367" s="2" t="s">
        <v>6377</v>
      </c>
      <c r="I2367" s="2" t="s">
        <v>164</v>
      </c>
      <c r="J2367" s="3">
        <v>44729</v>
      </c>
      <c r="K2367" s="5">
        <f>YEAR(OrganizedData[[#This Row],[Order Date]])</f>
        <v>2022</v>
      </c>
      <c r="L2367" s="7" t="str">
        <f>TEXT(OrganizedData[[#This Row],[Order Date]],"mmm")</f>
        <v>Jun</v>
      </c>
      <c r="M2367" s="2">
        <v>104</v>
      </c>
      <c r="N2367" s="2" t="s">
        <v>54</v>
      </c>
      <c r="O2367" s="2" t="str">
        <f>VLOOKUP(OrganizedData[[#This Row],[Product Code]],ProductData[[Code]:[Item]],2,FALSE)</f>
        <v>Megawidget S</v>
      </c>
      <c r="P2367" s="4">
        <f>OrganizedData[[#This Row],[Quantity]]*VLOOKUP(OrganizedData[[#This Row],[Product Code]],ProductData[],4,FALSE)</f>
        <v>2496</v>
      </c>
      <c r="Q2367" s="6">
        <f>OrganizedData[[#This Row],[Total Items Ordered]]*VLOOKUP(OrganizedData[[#This Row],[Product Code]],ProductData[],3,FALSE)</f>
        <v>1722.2399999999998</v>
      </c>
      <c r="R23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1601.6831999999999</v>
      </c>
    </row>
    <row r="2368" spans="1:18" x14ac:dyDescent="0.3">
      <c r="A2368" s="2">
        <v>2361</v>
      </c>
      <c r="B2368" s="2" t="s">
        <v>6378</v>
      </c>
      <c r="C2368" s="2" t="s">
        <v>388</v>
      </c>
      <c r="D2368" s="2" t="s">
        <v>28</v>
      </c>
      <c r="E2368" s="2" t="s">
        <v>29</v>
      </c>
      <c r="F2368" s="2">
        <v>30</v>
      </c>
      <c r="G2368" s="2" t="s">
        <v>6379</v>
      </c>
      <c r="H2368" s="2" t="s">
        <v>288</v>
      </c>
      <c r="I2368" s="2" t="s">
        <v>32</v>
      </c>
      <c r="J2368" s="3">
        <v>44039</v>
      </c>
      <c r="K2368" s="5">
        <f>YEAR(OrganizedData[[#This Row],[Order Date]])</f>
        <v>2020</v>
      </c>
      <c r="L2368" s="7" t="str">
        <f>TEXT(OrganizedData[[#This Row],[Order Date]],"mmm")</f>
        <v>Jul</v>
      </c>
      <c r="M2368" s="2">
        <v>23</v>
      </c>
      <c r="N2368" s="2" t="s">
        <v>33</v>
      </c>
      <c r="O2368" s="2" t="str">
        <f>VLOOKUP(OrganizedData[[#This Row],[Product Code]],ProductData[[Code]:[Item]],2,FALSE)</f>
        <v>Megawidget L</v>
      </c>
      <c r="P2368" s="4">
        <f>OrganizedData[[#This Row],[Quantity]]*VLOOKUP(OrganizedData[[#This Row],[Product Code]],ProductData[],4,FALSE)</f>
        <v>552</v>
      </c>
      <c r="Q2368" s="6">
        <f>OrganizedData[[#This Row],[Total Items Ordered]]*VLOOKUP(OrganizedData[[#This Row],[Product Code]],ProductData[],3,FALSE)</f>
        <v>988.08</v>
      </c>
      <c r="R23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958.43759999999997</v>
      </c>
    </row>
    <row r="2369" spans="1:18" x14ac:dyDescent="0.3">
      <c r="A2369" s="2">
        <v>2362</v>
      </c>
      <c r="B2369" s="2" t="s">
        <v>6380</v>
      </c>
      <c r="C2369" s="2" t="s">
        <v>991</v>
      </c>
      <c r="D2369" s="2" t="s">
        <v>15</v>
      </c>
      <c r="E2369" s="2" t="s">
        <v>16</v>
      </c>
      <c r="F2369" s="2">
        <v>90</v>
      </c>
      <c r="G2369" s="2" t="s">
        <v>6381</v>
      </c>
      <c r="H2369" s="2" t="s">
        <v>655</v>
      </c>
      <c r="I2369" s="2" t="s">
        <v>32</v>
      </c>
      <c r="J2369" s="3">
        <v>44147</v>
      </c>
      <c r="K2369" s="5">
        <f>YEAR(OrganizedData[[#This Row],[Order Date]])</f>
        <v>2020</v>
      </c>
      <c r="L2369" s="7" t="str">
        <f>TEXT(OrganizedData[[#This Row],[Order Date]],"mmm")</f>
        <v>Nov</v>
      </c>
      <c r="M2369" s="2">
        <v>23</v>
      </c>
      <c r="N2369" s="2" t="s">
        <v>39</v>
      </c>
      <c r="O2369" s="2" t="str">
        <f>VLOOKUP(OrganizedData[[#This Row],[Product Code]],ProductData[[Code]:[Item]],2,FALSE)</f>
        <v>Ultrathing V1</v>
      </c>
      <c r="P2369" s="4">
        <f>OrganizedData[[#This Row],[Quantity]]*VLOOKUP(OrganizedData[[#This Row],[Product Code]],ProductData[],4,FALSE)</f>
        <v>391</v>
      </c>
      <c r="Q2369" s="6">
        <f>OrganizedData[[#This Row],[Total Items Ordered]]*VLOOKUP(OrganizedData[[#This Row],[Product Code]],ProductData[],3,FALSE)</f>
        <v>699.89</v>
      </c>
      <c r="R23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2370" spans="1:18" x14ac:dyDescent="0.3">
      <c r="A2370" s="2">
        <v>2363</v>
      </c>
      <c r="B2370" s="2" t="s">
        <v>1610</v>
      </c>
      <c r="C2370" s="2" t="s">
        <v>5164</v>
      </c>
      <c r="D2370" s="2" t="s">
        <v>28</v>
      </c>
      <c r="E2370" s="2" t="s">
        <v>29</v>
      </c>
      <c r="F2370" s="2">
        <v>30</v>
      </c>
      <c r="G2370" s="2" t="s">
        <v>6382</v>
      </c>
      <c r="H2370" s="2" t="s">
        <v>4889</v>
      </c>
      <c r="I2370" s="2" t="s">
        <v>110</v>
      </c>
      <c r="J2370" s="3">
        <v>44119</v>
      </c>
      <c r="K2370" s="5">
        <f>YEAR(OrganizedData[[#This Row],[Order Date]])</f>
        <v>2020</v>
      </c>
      <c r="L2370" s="7" t="str">
        <f>TEXT(OrganizedData[[#This Row],[Order Date]],"mmm")</f>
        <v>Oct</v>
      </c>
      <c r="M2370" s="2">
        <v>85</v>
      </c>
      <c r="N2370" s="2" t="s">
        <v>101</v>
      </c>
      <c r="O2370" s="2" t="str">
        <f>VLOOKUP(OrganizedData[[#This Row],[Product Code]],ProductData[[Code]:[Item]],2,FALSE)</f>
        <v>Superwossname</v>
      </c>
      <c r="P2370" s="4">
        <f>OrganizedData[[#This Row],[Quantity]]*VLOOKUP(OrganizedData[[#This Row],[Product Code]],ProductData[],4,FALSE)</f>
        <v>1700</v>
      </c>
      <c r="Q2370" s="6">
        <f>OrganizedData[[#This Row],[Total Items Ordered]]*VLOOKUP(OrganizedData[[#This Row],[Product Code]],ProductData[],3,FALSE)</f>
        <v>5933</v>
      </c>
      <c r="R23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5636.3499999999995</v>
      </c>
    </row>
    <row r="2371" spans="1:18" x14ac:dyDescent="0.3">
      <c r="A2371" s="2">
        <v>2364</v>
      </c>
      <c r="B2371" s="2" t="s">
        <v>433</v>
      </c>
      <c r="C2371" s="2" t="s">
        <v>6021</v>
      </c>
      <c r="D2371" s="2" t="s">
        <v>41</v>
      </c>
      <c r="E2371" s="2" t="s">
        <v>16</v>
      </c>
      <c r="F2371" s="2">
        <v>30</v>
      </c>
      <c r="G2371" s="2" t="s">
        <v>6382</v>
      </c>
      <c r="H2371" s="2" t="s">
        <v>924</v>
      </c>
      <c r="I2371" s="2" t="s">
        <v>32</v>
      </c>
      <c r="J2371" s="3">
        <v>44675</v>
      </c>
      <c r="K2371" s="5">
        <f>YEAR(OrganizedData[[#This Row],[Order Date]])</f>
        <v>2022</v>
      </c>
      <c r="L2371" s="7" t="str">
        <f>TEXT(OrganizedData[[#This Row],[Order Date]],"mmm")</f>
        <v>Apr</v>
      </c>
      <c r="M2371" s="2">
        <v>18</v>
      </c>
      <c r="N2371" s="2" t="s">
        <v>80</v>
      </c>
      <c r="O2371" s="2" t="str">
        <f>VLOOKUP(OrganizedData[[#This Row],[Product Code]],ProductData[[Code]:[Item]],2,FALSE)</f>
        <v>Ultrathing V2</v>
      </c>
      <c r="P2371" s="4">
        <f>OrganizedData[[#This Row],[Quantity]]*VLOOKUP(OrganizedData[[#This Row],[Product Code]],ProductData[],4,FALSE)</f>
        <v>360</v>
      </c>
      <c r="Q2371" s="6">
        <f>OrganizedData[[#This Row],[Total Items Ordered]]*VLOOKUP(OrganizedData[[#This Row],[Product Code]],ProductData[],3,FALSE)</f>
        <v>1062</v>
      </c>
      <c r="R23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v>
      </c>
    </row>
    <row r="2372" spans="1:18" x14ac:dyDescent="0.3">
      <c r="A2372" s="2">
        <v>2365</v>
      </c>
      <c r="B2372" s="2" t="s">
        <v>6383</v>
      </c>
      <c r="C2372" s="2" t="s">
        <v>2912</v>
      </c>
      <c r="D2372" s="2" t="s">
        <v>51</v>
      </c>
      <c r="E2372" s="2" t="s">
        <v>16</v>
      </c>
      <c r="F2372" s="2">
        <v>60</v>
      </c>
      <c r="G2372" s="2" t="s">
        <v>6384</v>
      </c>
      <c r="H2372" s="2" t="s">
        <v>641</v>
      </c>
      <c r="I2372" s="2" t="s">
        <v>294</v>
      </c>
      <c r="J2372" s="3">
        <v>43905</v>
      </c>
      <c r="K2372" s="5">
        <f>YEAR(OrganizedData[[#This Row],[Order Date]])</f>
        <v>2020</v>
      </c>
      <c r="L2372" s="7" t="str">
        <f>TEXT(OrganizedData[[#This Row],[Order Date]],"mmm")</f>
        <v>Mar</v>
      </c>
      <c r="M2372" s="2">
        <v>44</v>
      </c>
      <c r="N2372" s="2" t="s">
        <v>39</v>
      </c>
      <c r="O2372" s="2" t="str">
        <f>VLOOKUP(OrganizedData[[#This Row],[Product Code]],ProductData[[Code]:[Item]],2,FALSE)</f>
        <v>Ultrathing V1</v>
      </c>
      <c r="P2372" s="4">
        <f>OrganizedData[[#This Row],[Quantity]]*VLOOKUP(OrganizedData[[#This Row],[Product Code]],ProductData[],4,FALSE)</f>
        <v>748</v>
      </c>
      <c r="Q2372" s="6">
        <f>OrganizedData[[#This Row],[Total Items Ordered]]*VLOOKUP(OrganizedData[[#This Row],[Product Code]],ProductData[],3,FALSE)</f>
        <v>1338.92</v>
      </c>
      <c r="R23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2373" spans="1:18" x14ac:dyDescent="0.3">
      <c r="A2373" s="2">
        <v>2366</v>
      </c>
      <c r="B2373" s="2" t="s">
        <v>6385</v>
      </c>
      <c r="C2373" s="2" t="s">
        <v>2197</v>
      </c>
      <c r="D2373" s="2" t="s">
        <v>51</v>
      </c>
      <c r="E2373" s="2" t="s">
        <v>16</v>
      </c>
      <c r="F2373" s="2">
        <v>60</v>
      </c>
      <c r="G2373" s="2" t="s">
        <v>6386</v>
      </c>
      <c r="H2373" s="2" t="s">
        <v>6387</v>
      </c>
      <c r="I2373" s="2" t="s">
        <v>32</v>
      </c>
      <c r="J2373" s="3">
        <v>44164</v>
      </c>
      <c r="K2373" s="5">
        <f>YEAR(OrganizedData[[#This Row],[Order Date]])</f>
        <v>2020</v>
      </c>
      <c r="L2373" s="7" t="str">
        <f>TEXT(OrganizedData[[#This Row],[Order Date]],"mmm")</f>
        <v>Nov</v>
      </c>
      <c r="M2373" s="2">
        <v>2</v>
      </c>
      <c r="N2373" s="2" t="s">
        <v>70</v>
      </c>
      <c r="O2373" s="2" t="str">
        <f>VLOOKUP(OrganizedData[[#This Row],[Product Code]],ProductData[[Code]:[Item]],2,FALSE)</f>
        <v>Megawidget M</v>
      </c>
      <c r="P2373" s="4">
        <f>OrganizedData[[#This Row],[Quantity]]*VLOOKUP(OrganizedData[[#This Row],[Product Code]],ProductData[],4,FALSE)</f>
        <v>48</v>
      </c>
      <c r="Q2373" s="6">
        <f>OrganizedData[[#This Row],[Total Items Ordered]]*VLOOKUP(OrganizedData[[#This Row],[Product Code]],ProductData[],3,FALSE)</f>
        <v>61.92</v>
      </c>
      <c r="R23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2374" spans="1:18" x14ac:dyDescent="0.3">
      <c r="A2374" s="2">
        <v>2367</v>
      </c>
      <c r="B2374" s="2" t="s">
        <v>3706</v>
      </c>
      <c r="C2374" s="2" t="s">
        <v>197</v>
      </c>
      <c r="D2374" s="2" t="s">
        <v>28</v>
      </c>
      <c r="E2374" s="2" t="s">
        <v>29</v>
      </c>
      <c r="F2374" s="2">
        <v>90</v>
      </c>
      <c r="G2374" s="2" t="s">
        <v>6388</v>
      </c>
      <c r="H2374" s="2" t="s">
        <v>1426</v>
      </c>
      <c r="I2374" s="2" t="s">
        <v>32</v>
      </c>
      <c r="J2374" s="3">
        <v>44041</v>
      </c>
      <c r="K2374" s="5">
        <f>YEAR(OrganizedData[[#This Row],[Order Date]])</f>
        <v>2020</v>
      </c>
      <c r="L2374" s="7" t="str">
        <f>TEXT(OrganizedData[[#This Row],[Order Date]],"mmm")</f>
        <v>Jul</v>
      </c>
      <c r="M2374" s="2">
        <v>13</v>
      </c>
      <c r="N2374" s="2" t="s">
        <v>70</v>
      </c>
      <c r="O2374" s="2" t="str">
        <f>VLOOKUP(OrganizedData[[#This Row],[Product Code]],ProductData[[Code]:[Item]],2,FALSE)</f>
        <v>Megawidget M</v>
      </c>
      <c r="P2374" s="4">
        <f>OrganizedData[[#This Row],[Quantity]]*VLOOKUP(OrganizedData[[#This Row],[Product Code]],ProductData[],4,FALSE)</f>
        <v>312</v>
      </c>
      <c r="Q2374" s="6">
        <f>OrganizedData[[#This Row],[Total Items Ordered]]*VLOOKUP(OrganizedData[[#This Row],[Product Code]],ProductData[],3,FALSE)</f>
        <v>402.48</v>
      </c>
      <c r="R23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402.48</v>
      </c>
    </row>
    <row r="2375" spans="1:18" x14ac:dyDescent="0.3">
      <c r="A2375" s="2">
        <v>2368</v>
      </c>
      <c r="B2375" s="2" t="s">
        <v>5317</v>
      </c>
      <c r="C2375" s="2" t="s">
        <v>1928</v>
      </c>
      <c r="D2375" s="2" t="s">
        <v>15</v>
      </c>
      <c r="E2375" s="2" t="s">
        <v>16</v>
      </c>
      <c r="F2375" s="2">
        <v>60</v>
      </c>
      <c r="G2375" s="2" t="s">
        <v>6389</v>
      </c>
      <c r="H2375" s="2" t="s">
        <v>1336</v>
      </c>
      <c r="I2375" s="2" t="s">
        <v>129</v>
      </c>
      <c r="J2375" s="3">
        <v>44190</v>
      </c>
      <c r="K2375" s="5">
        <f>YEAR(OrganizedData[[#This Row],[Order Date]])</f>
        <v>2020</v>
      </c>
      <c r="L2375" s="7" t="str">
        <f>TEXT(OrganizedData[[#This Row],[Order Date]],"mmm")</f>
        <v>Dec</v>
      </c>
      <c r="M2375" s="2">
        <v>3</v>
      </c>
      <c r="N2375" s="2" t="s">
        <v>80</v>
      </c>
      <c r="O2375" s="2" t="str">
        <f>VLOOKUP(OrganizedData[[#This Row],[Product Code]],ProductData[[Code]:[Item]],2,FALSE)</f>
        <v>Ultrathing V2</v>
      </c>
      <c r="P2375" s="4">
        <f>OrganizedData[[#This Row],[Quantity]]*VLOOKUP(OrganizedData[[#This Row],[Product Code]],ProductData[],4,FALSE)</f>
        <v>60</v>
      </c>
      <c r="Q2375" s="6">
        <f>OrganizedData[[#This Row],[Total Items Ordered]]*VLOOKUP(OrganizedData[[#This Row],[Product Code]],ProductData[],3,FALSE)</f>
        <v>177</v>
      </c>
      <c r="R23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v>
      </c>
    </row>
    <row r="2376" spans="1:18" x14ac:dyDescent="0.3">
      <c r="A2376" s="2">
        <v>2369</v>
      </c>
      <c r="B2376" s="2" t="s">
        <v>5942</v>
      </c>
      <c r="C2376" s="2" t="s">
        <v>6390</v>
      </c>
      <c r="D2376" s="2" t="s">
        <v>28</v>
      </c>
      <c r="E2376" s="2" t="s">
        <v>29</v>
      </c>
      <c r="F2376" s="2">
        <v>90</v>
      </c>
      <c r="G2376" s="2" t="s">
        <v>6391</v>
      </c>
      <c r="H2376" s="2" t="s">
        <v>1537</v>
      </c>
      <c r="I2376" s="2" t="s">
        <v>294</v>
      </c>
      <c r="J2376" s="3">
        <v>44091</v>
      </c>
      <c r="K2376" s="5">
        <f>YEAR(OrganizedData[[#This Row],[Order Date]])</f>
        <v>2020</v>
      </c>
      <c r="L2376" s="7" t="str">
        <f>TEXT(OrganizedData[[#This Row],[Order Date]],"mmm")</f>
        <v>Sep</v>
      </c>
      <c r="M2376" s="2">
        <v>64</v>
      </c>
      <c r="N2376" s="2" t="s">
        <v>39</v>
      </c>
      <c r="O2376" s="2" t="str">
        <f>VLOOKUP(OrganizedData[[#This Row],[Product Code]],ProductData[[Code]:[Item]],2,FALSE)</f>
        <v>Ultrathing V1</v>
      </c>
      <c r="P2376" s="4">
        <f>OrganizedData[[#This Row],[Quantity]]*VLOOKUP(OrganizedData[[#This Row],[Product Code]],ProductData[],4,FALSE)</f>
        <v>1088</v>
      </c>
      <c r="Q2376" s="6">
        <f>OrganizedData[[#This Row],[Total Items Ordered]]*VLOOKUP(OrganizedData[[#This Row],[Product Code]],ProductData[],3,FALSE)</f>
        <v>1947.52</v>
      </c>
      <c r="R23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1850.144</v>
      </c>
    </row>
    <row r="2377" spans="1:18" x14ac:dyDescent="0.3">
      <c r="A2377" s="2">
        <v>2370</v>
      </c>
      <c r="B2377" s="2" t="s">
        <v>6392</v>
      </c>
      <c r="C2377" s="2" t="s">
        <v>3016</v>
      </c>
      <c r="D2377" s="2" t="s">
        <v>15</v>
      </c>
      <c r="E2377" s="2" t="s">
        <v>16</v>
      </c>
      <c r="F2377" s="2">
        <v>90</v>
      </c>
      <c r="G2377" s="2" t="s">
        <v>6393</v>
      </c>
      <c r="H2377" s="2" t="s">
        <v>4901</v>
      </c>
      <c r="I2377" s="2" t="s">
        <v>32</v>
      </c>
      <c r="J2377" s="3">
        <v>44438</v>
      </c>
      <c r="K2377" s="5">
        <f>YEAR(OrganizedData[[#This Row],[Order Date]])</f>
        <v>2021</v>
      </c>
      <c r="L2377" s="7" t="str">
        <f>TEXT(OrganizedData[[#This Row],[Order Date]],"mmm")</f>
        <v>Aug</v>
      </c>
      <c r="M2377" s="2">
        <v>73</v>
      </c>
      <c r="N2377" s="2" t="s">
        <v>159</v>
      </c>
      <c r="O2377" s="2" t="str">
        <f>VLOOKUP(OrganizedData[[#This Row],[Product Code]],ProductData[[Code]:[Item]],2,FALSE)</f>
        <v>Ultrathing V3</v>
      </c>
      <c r="P2377" s="4">
        <f>OrganizedData[[#This Row],[Quantity]]*VLOOKUP(OrganizedData[[#This Row],[Product Code]],ProductData[],4,FALSE)</f>
        <v>1752</v>
      </c>
      <c r="Q2377" s="6">
        <f>OrganizedData[[#This Row],[Total Items Ordered]]*VLOOKUP(OrganizedData[[#This Row],[Product Code]],ProductData[],3,FALSE)</f>
        <v>5939.2800000000007</v>
      </c>
      <c r="R23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2378" spans="1:18" x14ac:dyDescent="0.3">
      <c r="A2378" s="2">
        <v>2371</v>
      </c>
      <c r="B2378" s="2" t="s">
        <v>6394</v>
      </c>
      <c r="C2378" s="2" t="s">
        <v>5214</v>
      </c>
      <c r="D2378" s="2" t="s">
        <v>15</v>
      </c>
      <c r="E2378" s="2" t="s">
        <v>16</v>
      </c>
      <c r="F2378" s="2">
        <v>30</v>
      </c>
      <c r="G2378" s="2" t="s">
        <v>6395</v>
      </c>
      <c r="H2378" s="2" t="s">
        <v>4317</v>
      </c>
      <c r="I2378" s="2" t="s">
        <v>32</v>
      </c>
      <c r="J2378" s="3">
        <v>44460</v>
      </c>
      <c r="K2378" s="5">
        <f>YEAR(OrganizedData[[#This Row],[Order Date]])</f>
        <v>2021</v>
      </c>
      <c r="L2378" s="7" t="str">
        <f>TEXT(OrganizedData[[#This Row],[Order Date]],"mmm")</f>
        <v>Sep</v>
      </c>
      <c r="M2378" s="2">
        <v>94</v>
      </c>
      <c r="N2378" s="2" t="s">
        <v>39</v>
      </c>
      <c r="O2378" s="2" t="str">
        <f>VLOOKUP(OrganizedData[[#This Row],[Product Code]],ProductData[[Code]:[Item]],2,FALSE)</f>
        <v>Ultrathing V1</v>
      </c>
      <c r="P2378" s="4">
        <f>OrganizedData[[#This Row],[Quantity]]*VLOOKUP(OrganizedData[[#This Row],[Product Code]],ProductData[],4,FALSE)</f>
        <v>1598</v>
      </c>
      <c r="Q2378" s="6">
        <f>OrganizedData[[#This Row],[Total Items Ordered]]*VLOOKUP(OrganizedData[[#This Row],[Product Code]],ProductData[],3,FALSE)</f>
        <v>2860.42</v>
      </c>
      <c r="R23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2379" spans="1:18" x14ac:dyDescent="0.3">
      <c r="A2379" s="2">
        <v>2372</v>
      </c>
      <c r="B2379" s="2" t="s">
        <v>6396</v>
      </c>
      <c r="C2379" s="2" t="s">
        <v>2719</v>
      </c>
      <c r="D2379" s="2" t="s">
        <v>41</v>
      </c>
      <c r="E2379" s="2" t="s">
        <v>16</v>
      </c>
      <c r="F2379" s="2">
        <v>30</v>
      </c>
      <c r="G2379" s="2" t="s">
        <v>6397</v>
      </c>
      <c r="H2379" s="2" t="s">
        <v>5449</v>
      </c>
      <c r="I2379" s="2" t="s">
        <v>32</v>
      </c>
      <c r="J2379" s="3">
        <v>44373</v>
      </c>
      <c r="K2379" s="5">
        <f>YEAR(OrganizedData[[#This Row],[Order Date]])</f>
        <v>2021</v>
      </c>
      <c r="L2379" s="7" t="str">
        <f>TEXT(OrganizedData[[#This Row],[Order Date]],"mmm")</f>
        <v>Jun</v>
      </c>
      <c r="M2379" s="2">
        <v>34</v>
      </c>
      <c r="N2379" s="2" t="s">
        <v>54</v>
      </c>
      <c r="O2379" s="2" t="str">
        <f>VLOOKUP(OrganizedData[[#This Row],[Product Code]],ProductData[[Code]:[Item]],2,FALSE)</f>
        <v>Megawidget S</v>
      </c>
      <c r="P2379" s="4">
        <f>OrganizedData[[#This Row],[Quantity]]*VLOOKUP(OrganizedData[[#This Row],[Product Code]],ProductData[],4,FALSE)</f>
        <v>816</v>
      </c>
      <c r="Q2379" s="6">
        <f>OrganizedData[[#This Row],[Total Items Ordered]]*VLOOKUP(OrganizedData[[#This Row],[Product Code]],ProductData[],3,FALSE)</f>
        <v>563.04</v>
      </c>
      <c r="R23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546.14879999999994</v>
      </c>
    </row>
    <row r="2380" spans="1:18" x14ac:dyDescent="0.3">
      <c r="A2380" s="2">
        <v>2373</v>
      </c>
      <c r="B2380" s="2" t="s">
        <v>55</v>
      </c>
      <c r="C2380" s="2" t="s">
        <v>1623</v>
      </c>
      <c r="D2380" s="2" t="s">
        <v>28</v>
      </c>
      <c r="E2380" s="2" t="s">
        <v>29</v>
      </c>
      <c r="F2380" s="2">
        <v>30</v>
      </c>
      <c r="G2380" s="2" t="s">
        <v>6398</v>
      </c>
      <c r="H2380" s="2" t="s">
        <v>405</v>
      </c>
      <c r="I2380" s="2" t="s">
        <v>32</v>
      </c>
      <c r="J2380" s="3">
        <v>44556</v>
      </c>
      <c r="K2380" s="5">
        <f>YEAR(OrganizedData[[#This Row],[Order Date]])</f>
        <v>2021</v>
      </c>
      <c r="L2380" s="7" t="str">
        <f>TEXT(OrganizedData[[#This Row],[Order Date]],"mmm")</f>
        <v>Dec</v>
      </c>
      <c r="M2380" s="2">
        <v>92</v>
      </c>
      <c r="N2380" s="2" t="s">
        <v>54</v>
      </c>
      <c r="O2380" s="2" t="str">
        <f>VLOOKUP(OrganizedData[[#This Row],[Product Code]],ProductData[[Code]:[Item]],2,FALSE)</f>
        <v>Megawidget S</v>
      </c>
      <c r="P2380" s="4">
        <f>OrganizedData[[#This Row],[Quantity]]*VLOOKUP(OrganizedData[[#This Row],[Product Code]],ProductData[],4,FALSE)</f>
        <v>2208</v>
      </c>
      <c r="Q2380" s="6">
        <f>OrganizedData[[#This Row],[Total Items Ordered]]*VLOOKUP(OrganizedData[[#This Row],[Product Code]],ProductData[],3,FALSE)</f>
        <v>1523.52</v>
      </c>
      <c r="R23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1447.3439999999998</v>
      </c>
    </row>
    <row r="2381" spans="1:18" x14ac:dyDescent="0.3">
      <c r="A2381" s="2">
        <v>2374</v>
      </c>
      <c r="B2381" s="2" t="s">
        <v>3410</v>
      </c>
      <c r="C2381" s="2" t="s">
        <v>4600</v>
      </c>
      <c r="D2381" s="2" t="s">
        <v>28</v>
      </c>
      <c r="E2381" s="2" t="s">
        <v>29</v>
      </c>
      <c r="F2381" s="2">
        <v>30</v>
      </c>
      <c r="G2381" s="2" t="s">
        <v>6399</v>
      </c>
      <c r="H2381" s="2" t="s">
        <v>4678</v>
      </c>
      <c r="I2381" s="2" t="s">
        <v>886</v>
      </c>
      <c r="J2381" s="3">
        <v>43906</v>
      </c>
      <c r="K2381" s="5">
        <f>YEAR(OrganizedData[[#This Row],[Order Date]])</f>
        <v>2020</v>
      </c>
      <c r="L2381" s="7" t="str">
        <f>TEXT(OrganizedData[[#This Row],[Order Date]],"mmm")</f>
        <v>Mar</v>
      </c>
      <c r="M2381" s="2">
        <v>60</v>
      </c>
      <c r="N2381" s="2" t="s">
        <v>45</v>
      </c>
      <c r="O2381" s="2" t="str">
        <f>VLOOKUP(OrganizedData[[#This Row],[Product Code]],ProductData[[Code]:[Item]],2,FALSE)</f>
        <v>Gigastuff</v>
      </c>
      <c r="P2381" s="4">
        <f>OrganizedData[[#This Row],[Quantity]]*VLOOKUP(OrganizedData[[#This Row],[Product Code]],ProductData[],4,FALSE)</f>
        <v>1080</v>
      </c>
      <c r="Q2381" s="6">
        <f>OrganizedData[[#This Row],[Total Items Ordered]]*VLOOKUP(OrganizedData[[#This Row],[Product Code]],ProductData[],3,FALSE)</f>
        <v>2041.1999999999998</v>
      </c>
      <c r="R23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1939.1399999999996</v>
      </c>
    </row>
    <row r="2382" spans="1:18" x14ac:dyDescent="0.3">
      <c r="A2382" s="2">
        <v>2375</v>
      </c>
      <c r="B2382" s="2" t="s">
        <v>1982</v>
      </c>
      <c r="C2382" s="2" t="s">
        <v>635</v>
      </c>
      <c r="D2382" s="2" t="s">
        <v>28</v>
      </c>
      <c r="E2382" s="2" t="s">
        <v>29</v>
      </c>
      <c r="F2382" s="2">
        <v>60</v>
      </c>
      <c r="G2382" s="2" t="s">
        <v>6400</v>
      </c>
      <c r="H2382" s="2" t="s">
        <v>5874</v>
      </c>
      <c r="I2382" s="2" t="s">
        <v>839</v>
      </c>
      <c r="J2382" s="3">
        <v>44256</v>
      </c>
      <c r="K2382" s="5">
        <f>YEAR(OrganizedData[[#This Row],[Order Date]])</f>
        <v>2021</v>
      </c>
      <c r="L2382" s="7" t="str">
        <f>TEXT(OrganizedData[[#This Row],[Order Date]],"mmm")</f>
        <v>Mar</v>
      </c>
      <c r="M2382" s="2">
        <v>79</v>
      </c>
      <c r="N2382" s="2" t="s">
        <v>70</v>
      </c>
      <c r="O2382" s="2" t="str">
        <f>VLOOKUP(OrganizedData[[#This Row],[Product Code]],ProductData[[Code]:[Item]],2,FALSE)</f>
        <v>Megawidget M</v>
      </c>
      <c r="P2382" s="4">
        <f>OrganizedData[[#This Row],[Quantity]]*VLOOKUP(OrganizedData[[#This Row],[Product Code]],ProductData[],4,FALSE)</f>
        <v>1896</v>
      </c>
      <c r="Q2382" s="6">
        <f>OrganizedData[[#This Row],[Total Items Ordered]]*VLOOKUP(OrganizedData[[#This Row],[Product Code]],ProductData[],3,FALSE)</f>
        <v>2445.84</v>
      </c>
      <c r="R23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2323.5480000000002</v>
      </c>
    </row>
    <row r="2383" spans="1:18" x14ac:dyDescent="0.3">
      <c r="A2383" s="2">
        <v>2376</v>
      </c>
      <c r="B2383" s="2" t="s">
        <v>1226</v>
      </c>
      <c r="C2383" s="2" t="s">
        <v>6401</v>
      </c>
      <c r="D2383" s="2" t="s">
        <v>28</v>
      </c>
      <c r="E2383" s="2" t="s">
        <v>29</v>
      </c>
      <c r="F2383" s="2">
        <v>60</v>
      </c>
      <c r="G2383" s="2" t="s">
        <v>6402</v>
      </c>
      <c r="H2383" s="2" t="s">
        <v>6069</v>
      </c>
      <c r="I2383" s="2" t="s">
        <v>294</v>
      </c>
      <c r="J2383" s="3">
        <v>43848</v>
      </c>
      <c r="K2383" s="5">
        <f>YEAR(OrganizedData[[#This Row],[Order Date]])</f>
        <v>2020</v>
      </c>
      <c r="L2383" s="7" t="str">
        <f>TEXT(OrganizedData[[#This Row],[Order Date]],"mmm")</f>
        <v>Jan</v>
      </c>
      <c r="M2383" s="2">
        <v>13</v>
      </c>
      <c r="N2383" s="2" t="s">
        <v>20</v>
      </c>
      <c r="O2383" s="2" t="str">
        <f>VLOOKUP(OrganizedData[[#This Row],[Product Code]],ProductData[[Code]:[Item]],2,FALSE)</f>
        <v>Hyperwotsit</v>
      </c>
      <c r="P2383" s="4">
        <f>OrganizedData[[#This Row],[Quantity]]*VLOOKUP(OrganizedData[[#This Row],[Product Code]],ProductData[],4,FALSE)</f>
        <v>260</v>
      </c>
      <c r="Q2383" s="6">
        <f>OrganizedData[[#This Row],[Total Items Ordered]]*VLOOKUP(OrganizedData[[#This Row],[Product Code]],ProductData[],3,FALSE)</f>
        <v>522.59999999999991</v>
      </c>
      <c r="R23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2384" spans="1:18" x14ac:dyDescent="0.3">
      <c r="A2384" s="2">
        <v>2377</v>
      </c>
      <c r="B2384" s="2" t="s">
        <v>2267</v>
      </c>
      <c r="C2384" s="2" t="s">
        <v>3314</v>
      </c>
      <c r="D2384" s="2" t="s">
        <v>28</v>
      </c>
      <c r="E2384" s="2" t="s">
        <v>29</v>
      </c>
      <c r="F2384" s="2">
        <v>60</v>
      </c>
      <c r="G2384" s="2" t="s">
        <v>6403</v>
      </c>
      <c r="H2384" s="2" t="s">
        <v>53</v>
      </c>
      <c r="I2384" s="2" t="s">
        <v>32</v>
      </c>
      <c r="J2384" s="3">
        <v>44834</v>
      </c>
      <c r="K2384" s="5">
        <f>YEAR(OrganizedData[[#This Row],[Order Date]])</f>
        <v>2022</v>
      </c>
      <c r="L2384" s="7" t="str">
        <f>TEXT(OrganizedData[[#This Row],[Order Date]],"mmm")</f>
        <v>Sep</v>
      </c>
      <c r="M2384" s="2">
        <v>95</v>
      </c>
      <c r="N2384" s="2" t="s">
        <v>54</v>
      </c>
      <c r="O2384" s="2" t="str">
        <f>VLOOKUP(OrganizedData[[#This Row],[Product Code]],ProductData[[Code]:[Item]],2,FALSE)</f>
        <v>Megawidget S</v>
      </c>
      <c r="P2384" s="4">
        <f>OrganizedData[[#This Row],[Quantity]]*VLOOKUP(OrganizedData[[#This Row],[Product Code]],ProductData[],4,FALSE)</f>
        <v>2280</v>
      </c>
      <c r="Q2384" s="6">
        <f>OrganizedData[[#This Row],[Total Items Ordered]]*VLOOKUP(OrganizedData[[#This Row],[Product Code]],ProductData[],3,FALSE)</f>
        <v>1573.1999999999998</v>
      </c>
      <c r="R23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1494.5399999999997</v>
      </c>
    </row>
    <row r="2385" spans="1:18" x14ac:dyDescent="0.3">
      <c r="A2385" s="2">
        <v>2378</v>
      </c>
      <c r="B2385" s="2" t="s">
        <v>3940</v>
      </c>
      <c r="C2385" s="2" t="s">
        <v>2143</v>
      </c>
      <c r="D2385" s="2" t="s">
        <v>28</v>
      </c>
      <c r="E2385" s="2" t="s">
        <v>29</v>
      </c>
      <c r="F2385" s="2">
        <v>30</v>
      </c>
      <c r="G2385" s="2" t="s">
        <v>6404</v>
      </c>
      <c r="H2385" s="2" t="s">
        <v>1082</v>
      </c>
      <c r="I2385" s="2" t="s">
        <v>1083</v>
      </c>
      <c r="J2385" s="3">
        <v>44876</v>
      </c>
      <c r="K2385" s="5">
        <f>YEAR(OrganizedData[[#This Row],[Order Date]])</f>
        <v>2022</v>
      </c>
      <c r="L2385" s="7" t="str">
        <f>TEXT(OrganizedData[[#This Row],[Order Date]],"mmm")</f>
        <v>Nov</v>
      </c>
      <c r="M2385" s="2">
        <v>19</v>
      </c>
      <c r="N2385" s="2" t="s">
        <v>33</v>
      </c>
      <c r="O2385" s="2" t="str">
        <f>VLOOKUP(OrganizedData[[#This Row],[Product Code]],ProductData[[Code]:[Item]],2,FALSE)</f>
        <v>Megawidget L</v>
      </c>
      <c r="P2385" s="4">
        <f>OrganizedData[[#This Row],[Quantity]]*VLOOKUP(OrganizedData[[#This Row],[Product Code]],ProductData[],4,FALSE)</f>
        <v>456</v>
      </c>
      <c r="Q2385" s="6">
        <f>OrganizedData[[#This Row],[Total Items Ordered]]*VLOOKUP(OrganizedData[[#This Row],[Product Code]],ProductData[],3,FALSE)</f>
        <v>816.24</v>
      </c>
      <c r="R23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2386" spans="1:18" x14ac:dyDescent="0.3">
      <c r="A2386" s="2">
        <v>2379</v>
      </c>
      <c r="B2386" s="2" t="s">
        <v>5246</v>
      </c>
      <c r="C2386" s="2" t="s">
        <v>499</v>
      </c>
      <c r="D2386" s="2" t="s">
        <v>51</v>
      </c>
      <c r="E2386" s="2" t="s">
        <v>16</v>
      </c>
      <c r="F2386" s="2">
        <v>30</v>
      </c>
      <c r="G2386" s="2" t="s">
        <v>6405</v>
      </c>
      <c r="H2386" s="2" t="s">
        <v>1494</v>
      </c>
      <c r="I2386" s="2" t="s">
        <v>32</v>
      </c>
      <c r="J2386" s="3">
        <v>44202</v>
      </c>
      <c r="K2386" s="5">
        <f>YEAR(OrganizedData[[#This Row],[Order Date]])</f>
        <v>2021</v>
      </c>
      <c r="L2386" s="7" t="str">
        <f>TEXT(OrganizedData[[#This Row],[Order Date]],"mmm")</f>
        <v>Jan</v>
      </c>
      <c r="M2386" s="2">
        <v>72</v>
      </c>
      <c r="N2386" s="2" t="s">
        <v>159</v>
      </c>
      <c r="O2386" s="2" t="str">
        <f>VLOOKUP(OrganizedData[[#This Row],[Product Code]],ProductData[[Code]:[Item]],2,FALSE)</f>
        <v>Ultrathing V3</v>
      </c>
      <c r="P2386" s="4">
        <f>OrganizedData[[#This Row],[Quantity]]*VLOOKUP(OrganizedData[[#This Row],[Product Code]],ProductData[],4,FALSE)</f>
        <v>1728</v>
      </c>
      <c r="Q2386" s="6">
        <f>OrganizedData[[#This Row],[Total Items Ordered]]*VLOOKUP(OrganizedData[[#This Row],[Product Code]],ProductData[],3,FALSE)</f>
        <v>5857.92</v>
      </c>
      <c r="R23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5565.0239999999994</v>
      </c>
    </row>
    <row r="2387" spans="1:18" x14ac:dyDescent="0.3">
      <c r="A2387" s="2">
        <v>2380</v>
      </c>
      <c r="B2387" s="2" t="s">
        <v>5954</v>
      </c>
      <c r="C2387" s="2" t="s">
        <v>3258</v>
      </c>
      <c r="D2387" s="2" t="s">
        <v>28</v>
      </c>
      <c r="E2387" s="2" t="s">
        <v>29</v>
      </c>
      <c r="F2387" s="2">
        <v>90</v>
      </c>
      <c r="G2387" s="2" t="s">
        <v>6406</v>
      </c>
      <c r="H2387" s="2" t="s">
        <v>720</v>
      </c>
      <c r="I2387" s="2" t="s">
        <v>686</v>
      </c>
      <c r="J2387" s="3">
        <v>44179</v>
      </c>
      <c r="K2387" s="5">
        <f>YEAR(OrganizedData[[#This Row],[Order Date]])</f>
        <v>2020</v>
      </c>
      <c r="L2387" s="7" t="str">
        <f>TEXT(OrganizedData[[#This Row],[Order Date]],"mmm")</f>
        <v>Dec</v>
      </c>
      <c r="M2387" s="2">
        <v>15</v>
      </c>
      <c r="N2387" s="2" t="s">
        <v>64</v>
      </c>
      <c r="O2387" s="2" t="str">
        <f>VLOOKUP(OrganizedData[[#This Row],[Product Code]],ProductData[[Code]:[Item]],2,FALSE)</f>
        <v>Ultrathing V4</v>
      </c>
      <c r="P2387" s="4">
        <f>OrganizedData[[#This Row],[Quantity]]*VLOOKUP(OrganizedData[[#This Row],[Product Code]],ProductData[],4,FALSE)</f>
        <v>360</v>
      </c>
      <c r="Q2387" s="6">
        <f>OrganizedData[[#This Row],[Total Items Ordered]]*VLOOKUP(OrganizedData[[#This Row],[Product Code]],ProductData[],3,FALSE)</f>
        <v>1436.4</v>
      </c>
      <c r="R23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1436.4</v>
      </c>
    </row>
    <row r="2388" spans="1:18" x14ac:dyDescent="0.3">
      <c r="A2388" s="2">
        <v>2381</v>
      </c>
      <c r="B2388" s="2" t="s">
        <v>6407</v>
      </c>
      <c r="C2388" s="2" t="s">
        <v>35</v>
      </c>
      <c r="D2388" s="2" t="s">
        <v>51</v>
      </c>
      <c r="E2388" s="2" t="s">
        <v>16</v>
      </c>
      <c r="F2388" s="2">
        <v>30</v>
      </c>
      <c r="G2388" s="2" t="s">
        <v>6408</v>
      </c>
      <c r="H2388" s="2" t="s">
        <v>4358</v>
      </c>
      <c r="I2388" s="2" t="s">
        <v>146</v>
      </c>
      <c r="J2388" s="3">
        <v>43957</v>
      </c>
      <c r="K2388" s="5">
        <f>YEAR(OrganizedData[[#This Row],[Order Date]])</f>
        <v>2020</v>
      </c>
      <c r="L2388" s="7" t="str">
        <f>TEXT(OrganizedData[[#This Row],[Order Date]],"mmm")</f>
        <v>May</v>
      </c>
      <c r="M2388" s="2">
        <v>24</v>
      </c>
      <c r="N2388" s="2" t="s">
        <v>80</v>
      </c>
      <c r="O2388" s="2" t="str">
        <f>VLOOKUP(OrganizedData[[#This Row],[Product Code]],ProductData[[Code]:[Item]],2,FALSE)</f>
        <v>Ultrathing V2</v>
      </c>
      <c r="P2388" s="4">
        <f>OrganizedData[[#This Row],[Quantity]]*VLOOKUP(OrganizedData[[#This Row],[Product Code]],ProductData[],4,FALSE)</f>
        <v>480</v>
      </c>
      <c r="Q2388" s="6">
        <f>OrganizedData[[#This Row],[Total Items Ordered]]*VLOOKUP(OrganizedData[[#This Row],[Product Code]],ProductData[],3,FALSE)</f>
        <v>1416</v>
      </c>
      <c r="R23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1373.52</v>
      </c>
    </row>
    <row r="2389" spans="1:18" x14ac:dyDescent="0.3">
      <c r="A2389" s="2">
        <v>2382</v>
      </c>
      <c r="B2389" s="2" t="s">
        <v>5768</v>
      </c>
      <c r="C2389" s="2" t="s">
        <v>1326</v>
      </c>
      <c r="D2389" s="2" t="s">
        <v>51</v>
      </c>
      <c r="E2389" s="2" t="s">
        <v>16</v>
      </c>
      <c r="F2389" s="2">
        <v>30</v>
      </c>
      <c r="G2389" s="2" t="s">
        <v>10528</v>
      </c>
      <c r="H2389" s="2" t="s">
        <v>6410</v>
      </c>
      <c r="I2389" s="2" t="s">
        <v>32</v>
      </c>
      <c r="J2389" s="3">
        <v>43977</v>
      </c>
      <c r="K2389" s="5">
        <f>YEAR(OrganizedData[[#This Row],[Order Date]])</f>
        <v>2020</v>
      </c>
      <c r="L2389" s="7" t="str">
        <f>TEXT(OrganizedData[[#This Row],[Order Date]],"mmm")</f>
        <v>May</v>
      </c>
      <c r="M2389" s="2">
        <v>33</v>
      </c>
      <c r="N2389" s="2" t="s">
        <v>20</v>
      </c>
      <c r="O2389" s="2" t="str">
        <f>VLOOKUP(OrganizedData[[#This Row],[Product Code]],ProductData[[Code]:[Item]],2,FALSE)</f>
        <v>Hyperwotsit</v>
      </c>
      <c r="P2389" s="4">
        <f>OrganizedData[[#This Row],[Quantity]]*VLOOKUP(OrganizedData[[#This Row],[Product Code]],ProductData[],4,FALSE)</f>
        <v>660</v>
      </c>
      <c r="Q2389" s="6">
        <f>OrganizedData[[#This Row],[Total Items Ordered]]*VLOOKUP(OrganizedData[[#This Row],[Product Code]],ProductData[],3,FALSE)</f>
        <v>1326.6</v>
      </c>
      <c r="R23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1286.8019999999999</v>
      </c>
    </row>
    <row r="2390" spans="1:18" x14ac:dyDescent="0.3">
      <c r="A2390" s="2">
        <v>2383</v>
      </c>
      <c r="B2390" s="2" t="s">
        <v>6411</v>
      </c>
      <c r="C2390" s="2" t="s">
        <v>5413</v>
      </c>
      <c r="D2390" s="2" t="s">
        <v>28</v>
      </c>
      <c r="E2390" s="2" t="s">
        <v>29</v>
      </c>
      <c r="F2390" s="2">
        <v>90</v>
      </c>
      <c r="G2390" s="2" t="s">
        <v>6412</v>
      </c>
      <c r="H2390" s="2" t="s">
        <v>1258</v>
      </c>
      <c r="I2390" s="2" t="s">
        <v>32</v>
      </c>
      <c r="J2390" s="3">
        <v>44196</v>
      </c>
      <c r="K2390" s="5">
        <f>YEAR(OrganizedData[[#This Row],[Order Date]])</f>
        <v>2020</v>
      </c>
      <c r="L2390" s="7" t="str">
        <f>TEXT(OrganizedData[[#This Row],[Order Date]],"mmm")</f>
        <v>Dec</v>
      </c>
      <c r="M2390" s="2">
        <v>36</v>
      </c>
      <c r="N2390" s="2" t="s">
        <v>39</v>
      </c>
      <c r="O2390" s="2" t="str">
        <f>VLOOKUP(OrganizedData[[#This Row],[Product Code]],ProductData[[Code]:[Item]],2,FALSE)</f>
        <v>Ultrathing V1</v>
      </c>
      <c r="P2390" s="4">
        <f>OrganizedData[[#This Row],[Quantity]]*VLOOKUP(OrganizedData[[#This Row],[Product Code]],ProductData[],4,FALSE)</f>
        <v>612</v>
      </c>
      <c r="Q2390" s="6">
        <f>OrganizedData[[#This Row],[Total Items Ordered]]*VLOOKUP(OrganizedData[[#This Row],[Product Code]],ProductData[],3,FALSE)</f>
        <v>1095.48</v>
      </c>
      <c r="R23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2391" spans="1:18" x14ac:dyDescent="0.3">
      <c r="A2391" s="2">
        <v>2384</v>
      </c>
      <c r="B2391" s="2" t="s">
        <v>6413</v>
      </c>
      <c r="C2391" s="2" t="s">
        <v>1832</v>
      </c>
      <c r="D2391" s="2" t="s">
        <v>28</v>
      </c>
      <c r="E2391" s="2" t="s">
        <v>29</v>
      </c>
      <c r="F2391" s="2">
        <v>90</v>
      </c>
      <c r="G2391" s="2" t="s">
        <v>6414</v>
      </c>
      <c r="H2391" s="2" t="s">
        <v>2336</v>
      </c>
      <c r="I2391" s="2" t="s">
        <v>32</v>
      </c>
      <c r="J2391" s="3">
        <v>44464</v>
      </c>
      <c r="K2391" s="5">
        <f>YEAR(OrganizedData[[#This Row],[Order Date]])</f>
        <v>2021</v>
      </c>
      <c r="L2391" s="7" t="str">
        <f>TEXT(OrganizedData[[#This Row],[Order Date]],"mmm")</f>
        <v>Sep</v>
      </c>
      <c r="M2391" s="2">
        <v>31</v>
      </c>
      <c r="N2391" s="2" t="s">
        <v>45</v>
      </c>
      <c r="O2391" s="2" t="str">
        <f>VLOOKUP(OrganizedData[[#This Row],[Product Code]],ProductData[[Code]:[Item]],2,FALSE)</f>
        <v>Gigastuff</v>
      </c>
      <c r="P2391" s="4">
        <f>OrganizedData[[#This Row],[Quantity]]*VLOOKUP(OrganizedData[[#This Row],[Product Code]],ProductData[],4,FALSE)</f>
        <v>558</v>
      </c>
      <c r="Q2391" s="6">
        <f>OrganizedData[[#This Row],[Total Items Ordered]]*VLOOKUP(OrganizedData[[#This Row],[Product Code]],ProductData[],3,FALSE)</f>
        <v>1054.6199999999999</v>
      </c>
      <c r="R23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1022.9813999999999</v>
      </c>
    </row>
    <row r="2392" spans="1:18" x14ac:dyDescent="0.3">
      <c r="A2392" s="2">
        <v>2385</v>
      </c>
      <c r="B2392" s="2" t="s">
        <v>6415</v>
      </c>
      <c r="C2392" s="2" t="s">
        <v>6416</v>
      </c>
      <c r="D2392" s="2" t="s">
        <v>51</v>
      </c>
      <c r="E2392" s="2" t="s">
        <v>16</v>
      </c>
      <c r="F2392" s="2">
        <v>90</v>
      </c>
      <c r="G2392" s="2" t="s">
        <v>6417</v>
      </c>
      <c r="H2392" s="2" t="s">
        <v>6418</v>
      </c>
      <c r="I2392" s="2" t="s">
        <v>240</v>
      </c>
      <c r="J2392" s="3">
        <v>44525</v>
      </c>
      <c r="K2392" s="5">
        <f>YEAR(OrganizedData[[#This Row],[Order Date]])</f>
        <v>2021</v>
      </c>
      <c r="L2392" s="7" t="str">
        <f>TEXT(OrganizedData[[#This Row],[Order Date]],"mmm")</f>
        <v>Nov</v>
      </c>
      <c r="M2392" s="2">
        <v>14</v>
      </c>
      <c r="N2392" s="2" t="s">
        <v>20</v>
      </c>
      <c r="O2392" s="2" t="str">
        <f>VLOOKUP(OrganizedData[[#This Row],[Product Code]],ProductData[[Code]:[Item]],2,FALSE)</f>
        <v>Hyperwotsit</v>
      </c>
      <c r="P2392" s="4">
        <f>OrganizedData[[#This Row],[Quantity]]*VLOOKUP(OrganizedData[[#This Row],[Product Code]],ProductData[],4,FALSE)</f>
        <v>280</v>
      </c>
      <c r="Q2392" s="6">
        <f>OrganizedData[[#This Row],[Total Items Ordered]]*VLOOKUP(OrganizedData[[#This Row],[Product Code]],ProductData[],3,FALSE)</f>
        <v>562.79999999999995</v>
      </c>
      <c r="R23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2393" spans="1:18" x14ac:dyDescent="0.3">
      <c r="A2393" s="2">
        <v>2386</v>
      </c>
      <c r="B2393" s="2" t="s">
        <v>6419</v>
      </c>
      <c r="C2393" s="2" t="s">
        <v>6420</v>
      </c>
      <c r="D2393" s="2" t="s">
        <v>28</v>
      </c>
      <c r="E2393" s="2" t="s">
        <v>29</v>
      </c>
      <c r="F2393" s="2">
        <v>30</v>
      </c>
      <c r="G2393" s="2" t="s">
        <v>6421</v>
      </c>
      <c r="H2393" s="2" t="s">
        <v>1729</v>
      </c>
      <c r="I2393" s="2" t="s">
        <v>32</v>
      </c>
      <c r="J2393" s="3">
        <v>44496</v>
      </c>
      <c r="K2393" s="5">
        <f>YEAR(OrganizedData[[#This Row],[Order Date]])</f>
        <v>2021</v>
      </c>
      <c r="L2393" s="7" t="str">
        <f>TEXT(OrganizedData[[#This Row],[Order Date]],"mmm")</f>
        <v>Oct</v>
      </c>
      <c r="M2393" s="2">
        <v>13</v>
      </c>
      <c r="N2393" s="2" t="s">
        <v>45</v>
      </c>
      <c r="O2393" s="2" t="str">
        <f>VLOOKUP(OrganizedData[[#This Row],[Product Code]],ProductData[[Code]:[Item]],2,FALSE)</f>
        <v>Gigastuff</v>
      </c>
      <c r="P2393" s="4">
        <f>OrganizedData[[#This Row],[Quantity]]*VLOOKUP(OrganizedData[[#This Row],[Product Code]],ProductData[],4,FALSE)</f>
        <v>234</v>
      </c>
      <c r="Q2393" s="6">
        <f>OrganizedData[[#This Row],[Total Items Ordered]]*VLOOKUP(OrganizedData[[#This Row],[Product Code]],ProductData[],3,FALSE)</f>
        <v>442.26</v>
      </c>
      <c r="R23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2394" spans="1:18" x14ac:dyDescent="0.3">
      <c r="A2394" s="2">
        <v>2387</v>
      </c>
      <c r="B2394" s="2" t="s">
        <v>683</v>
      </c>
      <c r="C2394" s="2" t="s">
        <v>1802</v>
      </c>
      <c r="D2394" s="2" t="s">
        <v>28</v>
      </c>
      <c r="E2394" s="2" t="s">
        <v>29</v>
      </c>
      <c r="F2394" s="2">
        <v>30</v>
      </c>
      <c r="G2394" s="2" t="s">
        <v>6422</v>
      </c>
      <c r="H2394" s="2" t="s">
        <v>1350</v>
      </c>
      <c r="I2394" s="2" t="s">
        <v>32</v>
      </c>
      <c r="J2394" s="3">
        <v>44591</v>
      </c>
      <c r="K2394" s="5">
        <f>YEAR(OrganizedData[[#This Row],[Order Date]])</f>
        <v>2022</v>
      </c>
      <c r="L2394" s="7" t="str">
        <f>TEXT(OrganizedData[[#This Row],[Order Date]],"mmm")</f>
        <v>Jan</v>
      </c>
      <c r="M2394" s="2">
        <v>79</v>
      </c>
      <c r="N2394" s="2" t="s">
        <v>20</v>
      </c>
      <c r="O2394" s="2" t="str">
        <f>VLOOKUP(OrganizedData[[#This Row],[Product Code]],ProductData[[Code]:[Item]],2,FALSE)</f>
        <v>Hyperwotsit</v>
      </c>
      <c r="P2394" s="4">
        <f>OrganizedData[[#This Row],[Quantity]]*VLOOKUP(OrganizedData[[#This Row],[Product Code]],ProductData[],4,FALSE)</f>
        <v>1580</v>
      </c>
      <c r="Q2394" s="6">
        <f>OrganizedData[[#This Row],[Total Items Ordered]]*VLOOKUP(OrganizedData[[#This Row],[Product Code]],ProductData[],3,FALSE)</f>
        <v>3175.7999999999997</v>
      </c>
      <c r="R23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3017.0099999999998</v>
      </c>
    </row>
    <row r="2395" spans="1:18" x14ac:dyDescent="0.3">
      <c r="A2395" s="2">
        <v>2388</v>
      </c>
      <c r="B2395" s="2" t="s">
        <v>4414</v>
      </c>
      <c r="C2395" s="2" t="s">
        <v>6425</v>
      </c>
      <c r="D2395" s="2" t="s">
        <v>28</v>
      </c>
      <c r="E2395" s="2" t="s">
        <v>29</v>
      </c>
      <c r="F2395" s="2">
        <v>90</v>
      </c>
      <c r="G2395" s="2" t="s">
        <v>6426</v>
      </c>
      <c r="H2395" s="2" t="s">
        <v>1605</v>
      </c>
      <c r="I2395" s="2" t="s">
        <v>32</v>
      </c>
      <c r="J2395" s="3">
        <v>44864</v>
      </c>
      <c r="K2395" s="5">
        <f>YEAR(OrganizedData[[#This Row],[Order Date]])</f>
        <v>2022</v>
      </c>
      <c r="L2395" s="7" t="str">
        <f>TEXT(OrganizedData[[#This Row],[Order Date]],"mmm")</f>
        <v>Oct</v>
      </c>
      <c r="M2395" s="2">
        <v>47</v>
      </c>
      <c r="N2395" s="2" t="s">
        <v>20</v>
      </c>
      <c r="O2395" s="2" t="str">
        <f>VLOOKUP(OrganizedData[[#This Row],[Product Code]],ProductData[[Code]:[Item]],2,FALSE)</f>
        <v>Hyperwotsit</v>
      </c>
      <c r="P2395" s="4">
        <f>OrganizedData[[#This Row],[Quantity]]*VLOOKUP(OrganizedData[[#This Row],[Product Code]],ProductData[],4,FALSE)</f>
        <v>940</v>
      </c>
      <c r="Q2395" s="6">
        <f>OrganizedData[[#This Row],[Total Items Ordered]]*VLOOKUP(OrganizedData[[#This Row],[Product Code]],ProductData[],3,FALSE)</f>
        <v>1889.3999999999999</v>
      </c>
      <c r="R23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2396" spans="1:18" x14ac:dyDescent="0.3">
      <c r="A2396" s="2">
        <v>2389</v>
      </c>
      <c r="B2396" s="2" t="s">
        <v>4986</v>
      </c>
      <c r="C2396" s="2" t="s">
        <v>281</v>
      </c>
      <c r="D2396" s="2" t="s">
        <v>28</v>
      </c>
      <c r="E2396" s="2" t="s">
        <v>29</v>
      </c>
      <c r="F2396" s="2">
        <v>30</v>
      </c>
      <c r="G2396" s="2" t="s">
        <v>6427</v>
      </c>
      <c r="H2396" s="2" t="s">
        <v>3274</v>
      </c>
      <c r="I2396" s="2" t="s">
        <v>32</v>
      </c>
      <c r="J2396" s="3">
        <v>44801</v>
      </c>
      <c r="K2396" s="5">
        <f>YEAR(OrganizedData[[#This Row],[Order Date]])</f>
        <v>2022</v>
      </c>
      <c r="L2396" s="7" t="str">
        <f>TEXT(OrganizedData[[#This Row],[Order Date]],"mmm")</f>
        <v>Aug</v>
      </c>
      <c r="M2396" s="2">
        <v>94</v>
      </c>
      <c r="N2396" s="2" t="s">
        <v>64</v>
      </c>
      <c r="O2396" s="2" t="str">
        <f>VLOOKUP(OrganizedData[[#This Row],[Product Code]],ProductData[[Code]:[Item]],2,FALSE)</f>
        <v>Ultrathing V4</v>
      </c>
      <c r="P2396" s="4">
        <f>OrganizedData[[#This Row],[Quantity]]*VLOOKUP(OrganizedData[[#This Row],[Product Code]],ProductData[],4,FALSE)</f>
        <v>2256</v>
      </c>
      <c r="Q2396" s="6">
        <f>OrganizedData[[#This Row],[Total Items Ordered]]*VLOOKUP(OrganizedData[[#This Row],[Product Code]],ProductData[],3,FALSE)</f>
        <v>9001.44</v>
      </c>
      <c r="R23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8551.3680000000004</v>
      </c>
    </row>
    <row r="2397" spans="1:18" x14ac:dyDescent="0.3">
      <c r="A2397" s="2">
        <v>2390</v>
      </c>
      <c r="B2397" s="2" t="s">
        <v>6428</v>
      </c>
      <c r="C2397" s="2" t="s">
        <v>1216</v>
      </c>
      <c r="D2397" s="2" t="s">
        <v>51</v>
      </c>
      <c r="E2397" s="2" t="s">
        <v>16</v>
      </c>
      <c r="F2397" s="2">
        <v>90</v>
      </c>
      <c r="G2397" s="2" t="s">
        <v>6429</v>
      </c>
      <c r="H2397" s="2" t="s">
        <v>6430</v>
      </c>
      <c r="I2397" s="2" t="s">
        <v>32</v>
      </c>
      <c r="J2397" s="3">
        <v>43998</v>
      </c>
      <c r="K2397" s="5">
        <f>YEAR(OrganizedData[[#This Row],[Order Date]])</f>
        <v>2020</v>
      </c>
      <c r="L2397" s="7" t="str">
        <f>TEXT(OrganizedData[[#This Row],[Order Date]],"mmm")</f>
        <v>Jun</v>
      </c>
      <c r="M2397" s="2">
        <v>43</v>
      </c>
      <c r="N2397" s="2" t="s">
        <v>70</v>
      </c>
      <c r="O2397" s="2" t="str">
        <f>VLOOKUP(OrganizedData[[#This Row],[Product Code]],ProductData[[Code]:[Item]],2,FALSE)</f>
        <v>Megawidget M</v>
      </c>
      <c r="P2397" s="4">
        <f>OrganizedData[[#This Row],[Quantity]]*VLOOKUP(OrganizedData[[#This Row],[Product Code]],ProductData[],4,FALSE)</f>
        <v>1032</v>
      </c>
      <c r="Q2397" s="6">
        <f>OrganizedData[[#This Row],[Total Items Ordered]]*VLOOKUP(OrganizedData[[#This Row],[Product Code]],ProductData[],3,FALSE)</f>
        <v>1331.28</v>
      </c>
      <c r="R23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2398" spans="1:18" x14ac:dyDescent="0.3">
      <c r="A2398" s="2">
        <v>2391</v>
      </c>
      <c r="B2398" s="2" t="s">
        <v>5617</v>
      </c>
      <c r="C2398" s="2" t="s">
        <v>929</v>
      </c>
      <c r="D2398" s="2" t="s">
        <v>51</v>
      </c>
      <c r="E2398" s="2" t="s">
        <v>16</v>
      </c>
      <c r="F2398" s="2">
        <v>90</v>
      </c>
      <c r="G2398" s="2" t="s">
        <v>6431</v>
      </c>
      <c r="H2398" s="2" t="s">
        <v>2243</v>
      </c>
      <c r="I2398" s="2" t="s">
        <v>32</v>
      </c>
      <c r="J2398" s="3">
        <v>44403</v>
      </c>
      <c r="K2398" s="5">
        <f>YEAR(OrganizedData[[#This Row],[Order Date]])</f>
        <v>2021</v>
      </c>
      <c r="L2398" s="7" t="str">
        <f>TEXT(OrganizedData[[#This Row],[Order Date]],"mmm")</f>
        <v>Jul</v>
      </c>
      <c r="M2398" s="2">
        <v>62</v>
      </c>
      <c r="N2398" s="2" t="s">
        <v>33</v>
      </c>
      <c r="O2398" s="2" t="str">
        <f>VLOOKUP(OrganizedData[[#This Row],[Product Code]],ProductData[[Code]:[Item]],2,FALSE)</f>
        <v>Megawidget L</v>
      </c>
      <c r="P2398" s="4">
        <f>OrganizedData[[#This Row],[Quantity]]*VLOOKUP(OrganizedData[[#This Row],[Product Code]],ProductData[],4,FALSE)</f>
        <v>1488</v>
      </c>
      <c r="Q2398" s="6">
        <f>OrganizedData[[#This Row],[Total Items Ordered]]*VLOOKUP(OrganizedData[[#This Row],[Product Code]],ProductData[],3,FALSE)</f>
        <v>2663.52</v>
      </c>
      <c r="R23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2399" spans="1:18" x14ac:dyDescent="0.3">
      <c r="A2399" s="2">
        <v>2392</v>
      </c>
      <c r="B2399" s="2" t="s">
        <v>6432</v>
      </c>
      <c r="C2399" s="2" t="s">
        <v>2051</v>
      </c>
      <c r="D2399" s="2" t="s">
        <v>15</v>
      </c>
      <c r="E2399" s="2" t="s">
        <v>16</v>
      </c>
      <c r="F2399" s="2">
        <v>60</v>
      </c>
      <c r="G2399" s="2" t="s">
        <v>6433</v>
      </c>
      <c r="H2399" s="2" t="s">
        <v>2130</v>
      </c>
      <c r="I2399" s="2" t="s">
        <v>32</v>
      </c>
      <c r="J2399" s="3">
        <v>44045</v>
      </c>
      <c r="K2399" s="5">
        <f>YEAR(OrganizedData[[#This Row],[Order Date]])</f>
        <v>2020</v>
      </c>
      <c r="L2399" s="7" t="str">
        <f>TEXT(OrganizedData[[#This Row],[Order Date]],"mmm")</f>
        <v>Aug</v>
      </c>
      <c r="M2399" s="2">
        <v>69</v>
      </c>
      <c r="N2399" s="2" t="s">
        <v>45</v>
      </c>
      <c r="O2399" s="2" t="str">
        <f>VLOOKUP(OrganizedData[[#This Row],[Product Code]],ProductData[[Code]:[Item]],2,FALSE)</f>
        <v>Gigastuff</v>
      </c>
      <c r="P2399" s="4">
        <f>OrganizedData[[#This Row],[Quantity]]*VLOOKUP(OrganizedData[[#This Row],[Product Code]],ProductData[],4,FALSE)</f>
        <v>1242</v>
      </c>
      <c r="Q2399" s="6">
        <f>OrganizedData[[#This Row],[Total Items Ordered]]*VLOOKUP(OrganizedData[[#This Row],[Product Code]],ProductData[],3,FALSE)</f>
        <v>2347.3799999999997</v>
      </c>
      <c r="R23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2230.0109999999995</v>
      </c>
    </row>
    <row r="2400" spans="1:18" x14ac:dyDescent="0.3">
      <c r="A2400" s="2">
        <v>2393</v>
      </c>
      <c r="B2400" s="2" t="s">
        <v>6434</v>
      </c>
      <c r="C2400" s="2" t="s">
        <v>1539</v>
      </c>
      <c r="D2400" s="2" t="s">
        <v>51</v>
      </c>
      <c r="E2400" s="2" t="s">
        <v>16</v>
      </c>
      <c r="F2400" s="2">
        <v>30</v>
      </c>
      <c r="G2400" s="2" t="s">
        <v>6435</v>
      </c>
      <c r="H2400" s="2" t="s">
        <v>2097</v>
      </c>
      <c r="I2400" s="2" t="s">
        <v>178</v>
      </c>
      <c r="J2400" s="3">
        <v>44813</v>
      </c>
      <c r="K2400" s="5">
        <f>YEAR(OrganizedData[[#This Row],[Order Date]])</f>
        <v>2022</v>
      </c>
      <c r="L2400" s="7" t="str">
        <f>TEXT(OrganizedData[[#This Row],[Order Date]],"mmm")</f>
        <v>Sep</v>
      </c>
      <c r="M2400" s="2">
        <v>11</v>
      </c>
      <c r="N2400" s="2" t="s">
        <v>101</v>
      </c>
      <c r="O2400" s="2" t="str">
        <f>VLOOKUP(OrganizedData[[#This Row],[Product Code]],ProductData[[Code]:[Item]],2,FALSE)</f>
        <v>Superwossname</v>
      </c>
      <c r="P2400" s="4">
        <f>OrganizedData[[#This Row],[Quantity]]*VLOOKUP(OrganizedData[[#This Row],[Product Code]],ProductData[],4,FALSE)</f>
        <v>220</v>
      </c>
      <c r="Q2400" s="6">
        <f>OrganizedData[[#This Row],[Total Items Ordered]]*VLOOKUP(OrganizedData[[#This Row],[Product Code]],ProductData[],3,FALSE)</f>
        <v>767.80000000000007</v>
      </c>
      <c r="R24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2401" spans="1:18" x14ac:dyDescent="0.3">
      <c r="A2401" s="2">
        <v>2394</v>
      </c>
      <c r="B2401" s="2" t="s">
        <v>4693</v>
      </c>
      <c r="C2401" s="2" t="s">
        <v>783</v>
      </c>
      <c r="D2401" s="2" t="s">
        <v>51</v>
      </c>
      <c r="E2401" s="2" t="s">
        <v>16</v>
      </c>
      <c r="F2401" s="2">
        <v>60</v>
      </c>
      <c r="G2401" s="2" t="s">
        <v>6435</v>
      </c>
      <c r="H2401" s="2" t="s">
        <v>412</v>
      </c>
      <c r="I2401" s="2" t="s">
        <v>187</v>
      </c>
      <c r="J2401" s="3">
        <v>43896</v>
      </c>
      <c r="K2401" s="5">
        <f>YEAR(OrganizedData[[#This Row],[Order Date]])</f>
        <v>2020</v>
      </c>
      <c r="L2401" s="7" t="str">
        <f>TEXT(OrganizedData[[#This Row],[Order Date]],"mmm")</f>
        <v>Mar</v>
      </c>
      <c r="M2401" s="2">
        <v>42</v>
      </c>
      <c r="N2401" s="2" t="s">
        <v>45</v>
      </c>
      <c r="O2401" s="2" t="str">
        <f>VLOOKUP(OrganizedData[[#This Row],[Product Code]],ProductData[[Code]:[Item]],2,FALSE)</f>
        <v>Gigastuff</v>
      </c>
      <c r="P2401" s="4">
        <f>OrganizedData[[#This Row],[Quantity]]*VLOOKUP(OrganizedData[[#This Row],[Product Code]],ProductData[],4,FALSE)</f>
        <v>756</v>
      </c>
      <c r="Q2401" s="6">
        <f>OrganizedData[[#This Row],[Total Items Ordered]]*VLOOKUP(OrganizedData[[#This Row],[Product Code]],ProductData[],3,FALSE)</f>
        <v>1428.84</v>
      </c>
      <c r="R24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2402" spans="1:18" x14ac:dyDescent="0.3">
      <c r="A2402" s="2">
        <v>2395</v>
      </c>
      <c r="B2402" s="2" t="s">
        <v>773</v>
      </c>
      <c r="C2402" s="2" t="s">
        <v>6436</v>
      </c>
      <c r="D2402" s="2" t="s">
        <v>28</v>
      </c>
      <c r="E2402" s="2" t="s">
        <v>29</v>
      </c>
      <c r="F2402" s="2">
        <v>60</v>
      </c>
      <c r="G2402" s="2" t="s">
        <v>6437</v>
      </c>
      <c r="H2402" s="2" t="s">
        <v>5316</v>
      </c>
      <c r="I2402" s="2" t="s">
        <v>25</v>
      </c>
      <c r="J2402" s="3">
        <v>44471</v>
      </c>
      <c r="K2402" s="5">
        <f>YEAR(OrganizedData[[#This Row],[Order Date]])</f>
        <v>2021</v>
      </c>
      <c r="L2402" s="7" t="str">
        <f>TEXT(OrganizedData[[#This Row],[Order Date]],"mmm")</f>
        <v>Oct</v>
      </c>
      <c r="M2402" s="2">
        <v>37</v>
      </c>
      <c r="N2402" s="2" t="s">
        <v>20</v>
      </c>
      <c r="O2402" s="2" t="str">
        <f>VLOOKUP(OrganizedData[[#This Row],[Product Code]],ProductData[[Code]:[Item]],2,FALSE)</f>
        <v>Hyperwotsit</v>
      </c>
      <c r="P2402" s="4">
        <f>OrganizedData[[#This Row],[Quantity]]*VLOOKUP(OrganizedData[[#This Row],[Product Code]],ProductData[],4,FALSE)</f>
        <v>740</v>
      </c>
      <c r="Q2402" s="6">
        <f>OrganizedData[[#This Row],[Total Items Ordered]]*VLOOKUP(OrganizedData[[#This Row],[Product Code]],ProductData[],3,FALSE)</f>
        <v>1487.3999999999999</v>
      </c>
      <c r="R24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1442.7779999999998</v>
      </c>
    </row>
    <row r="2403" spans="1:18" x14ac:dyDescent="0.3">
      <c r="A2403" s="2">
        <v>2396</v>
      </c>
      <c r="B2403" s="2" t="s">
        <v>6438</v>
      </c>
      <c r="C2403" s="2" t="s">
        <v>6439</v>
      </c>
      <c r="D2403" s="2" t="s">
        <v>15</v>
      </c>
      <c r="E2403" s="2" t="s">
        <v>16</v>
      </c>
      <c r="F2403" s="2">
        <v>90</v>
      </c>
      <c r="G2403" s="2" t="s">
        <v>6440</v>
      </c>
      <c r="H2403" s="2" t="s">
        <v>3169</v>
      </c>
      <c r="I2403" s="2" t="s">
        <v>110</v>
      </c>
      <c r="J2403" s="3">
        <v>44504</v>
      </c>
      <c r="K2403" s="5">
        <f>YEAR(OrganizedData[[#This Row],[Order Date]])</f>
        <v>2021</v>
      </c>
      <c r="L2403" s="7" t="str">
        <f>TEXT(OrganizedData[[#This Row],[Order Date]],"mmm")</f>
        <v>Nov</v>
      </c>
      <c r="M2403" s="2">
        <v>95</v>
      </c>
      <c r="N2403" s="2" t="s">
        <v>45</v>
      </c>
      <c r="O2403" s="2" t="str">
        <f>VLOOKUP(OrganizedData[[#This Row],[Product Code]],ProductData[[Code]:[Item]],2,FALSE)</f>
        <v>Gigastuff</v>
      </c>
      <c r="P2403" s="4">
        <f>OrganizedData[[#This Row],[Quantity]]*VLOOKUP(OrganizedData[[#This Row],[Product Code]],ProductData[],4,FALSE)</f>
        <v>1710</v>
      </c>
      <c r="Q2403" s="6">
        <f>OrganizedData[[#This Row],[Total Items Ordered]]*VLOOKUP(OrganizedData[[#This Row],[Product Code]],ProductData[],3,FALSE)</f>
        <v>3231.8999999999996</v>
      </c>
      <c r="R24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3070.3049999999994</v>
      </c>
    </row>
    <row r="2404" spans="1:18" x14ac:dyDescent="0.3">
      <c r="A2404" s="2">
        <v>2397</v>
      </c>
      <c r="B2404" s="2" t="s">
        <v>2115</v>
      </c>
      <c r="C2404" s="2" t="s">
        <v>2856</v>
      </c>
      <c r="D2404" s="2" t="s">
        <v>28</v>
      </c>
      <c r="E2404" s="2" t="s">
        <v>29</v>
      </c>
      <c r="F2404" s="2">
        <v>90</v>
      </c>
      <c r="G2404" s="2" t="s">
        <v>6441</v>
      </c>
      <c r="H2404" s="2" t="s">
        <v>6442</v>
      </c>
      <c r="I2404" s="2" t="s">
        <v>294</v>
      </c>
      <c r="J2404" s="3">
        <v>43926</v>
      </c>
      <c r="K2404" s="5">
        <f>YEAR(OrganizedData[[#This Row],[Order Date]])</f>
        <v>2020</v>
      </c>
      <c r="L2404" s="7" t="str">
        <f>TEXT(OrganizedData[[#This Row],[Order Date]],"mmm")</f>
        <v>Apr</v>
      </c>
      <c r="M2404" s="2">
        <v>49</v>
      </c>
      <c r="N2404" s="2" t="s">
        <v>64</v>
      </c>
      <c r="O2404" s="2" t="str">
        <f>VLOOKUP(OrganizedData[[#This Row],[Product Code]],ProductData[[Code]:[Item]],2,FALSE)</f>
        <v>Ultrathing V4</v>
      </c>
      <c r="P2404" s="4">
        <f>OrganizedData[[#This Row],[Quantity]]*VLOOKUP(OrganizedData[[#This Row],[Product Code]],ProductData[],4,FALSE)</f>
        <v>1176</v>
      </c>
      <c r="Q2404" s="6">
        <f>OrganizedData[[#This Row],[Total Items Ordered]]*VLOOKUP(OrganizedData[[#This Row],[Product Code]],ProductData[],3,FALSE)</f>
        <v>4692.2400000000007</v>
      </c>
      <c r="R24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4551.4728000000005</v>
      </c>
    </row>
    <row r="2405" spans="1:18" x14ac:dyDescent="0.3">
      <c r="A2405" s="2">
        <v>2398</v>
      </c>
      <c r="B2405" s="2" t="s">
        <v>811</v>
      </c>
      <c r="C2405" s="2" t="s">
        <v>1050</v>
      </c>
      <c r="D2405" s="2" t="s">
        <v>28</v>
      </c>
      <c r="E2405" s="2" t="s">
        <v>29</v>
      </c>
      <c r="F2405" s="2">
        <v>60</v>
      </c>
      <c r="G2405" s="2" t="s">
        <v>6443</v>
      </c>
      <c r="H2405" s="2" t="s">
        <v>3482</v>
      </c>
      <c r="I2405" s="2" t="s">
        <v>25</v>
      </c>
      <c r="J2405" s="3">
        <v>44421</v>
      </c>
      <c r="K2405" s="5">
        <f>YEAR(OrganizedData[[#This Row],[Order Date]])</f>
        <v>2021</v>
      </c>
      <c r="L2405" s="7" t="str">
        <f>TEXT(OrganizedData[[#This Row],[Order Date]],"mmm")</f>
        <v>Aug</v>
      </c>
      <c r="M2405" s="2">
        <v>10</v>
      </c>
      <c r="N2405" s="2" t="s">
        <v>39</v>
      </c>
      <c r="O2405" s="2" t="str">
        <f>VLOOKUP(OrganizedData[[#This Row],[Product Code]],ProductData[[Code]:[Item]],2,FALSE)</f>
        <v>Ultrathing V1</v>
      </c>
      <c r="P2405" s="4">
        <f>OrganizedData[[#This Row],[Quantity]]*VLOOKUP(OrganizedData[[#This Row],[Product Code]],ProductData[],4,FALSE)</f>
        <v>170</v>
      </c>
      <c r="Q2405" s="6">
        <f>OrganizedData[[#This Row],[Total Items Ordered]]*VLOOKUP(OrganizedData[[#This Row],[Product Code]],ProductData[],3,FALSE)</f>
        <v>304.3</v>
      </c>
      <c r="R24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2406" spans="1:18" x14ac:dyDescent="0.3">
      <c r="A2406" s="2">
        <v>2399</v>
      </c>
      <c r="B2406" s="2" t="s">
        <v>6444</v>
      </c>
      <c r="C2406" s="2" t="s">
        <v>1109</v>
      </c>
      <c r="D2406" s="2" t="s">
        <v>15</v>
      </c>
      <c r="E2406" s="2" t="s">
        <v>16</v>
      </c>
      <c r="F2406" s="2">
        <v>90</v>
      </c>
      <c r="G2406" s="2" t="s">
        <v>6445</v>
      </c>
      <c r="H2406" s="2" t="s">
        <v>2066</v>
      </c>
      <c r="I2406" s="2" t="s">
        <v>294</v>
      </c>
      <c r="J2406" s="3">
        <v>44806</v>
      </c>
      <c r="K2406" s="5">
        <f>YEAR(OrganizedData[[#This Row],[Order Date]])</f>
        <v>2022</v>
      </c>
      <c r="L2406" s="7" t="str">
        <f>TEXT(OrganizedData[[#This Row],[Order Date]],"mmm")</f>
        <v>Sep</v>
      </c>
      <c r="M2406" s="2">
        <v>94</v>
      </c>
      <c r="N2406" s="2" t="s">
        <v>64</v>
      </c>
      <c r="O2406" s="2" t="str">
        <f>VLOOKUP(OrganizedData[[#This Row],[Product Code]],ProductData[[Code]:[Item]],2,FALSE)</f>
        <v>Ultrathing V4</v>
      </c>
      <c r="P2406" s="4">
        <f>OrganizedData[[#This Row],[Quantity]]*VLOOKUP(OrganizedData[[#This Row],[Product Code]],ProductData[],4,FALSE)</f>
        <v>2256</v>
      </c>
      <c r="Q2406" s="6">
        <f>OrganizedData[[#This Row],[Total Items Ordered]]*VLOOKUP(OrganizedData[[#This Row],[Product Code]],ProductData[],3,FALSE)</f>
        <v>9001.44</v>
      </c>
      <c r="R24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8551.3680000000004</v>
      </c>
    </row>
    <row r="2407" spans="1:18" x14ac:dyDescent="0.3">
      <c r="A2407" s="2">
        <v>2400</v>
      </c>
      <c r="B2407" s="2" t="s">
        <v>6446</v>
      </c>
      <c r="C2407" s="2" t="s">
        <v>6447</v>
      </c>
      <c r="D2407" s="2" t="s">
        <v>28</v>
      </c>
      <c r="E2407" s="2" t="s">
        <v>29</v>
      </c>
      <c r="F2407" s="2">
        <v>30</v>
      </c>
      <c r="G2407" s="2" t="s">
        <v>6448</v>
      </c>
      <c r="H2407" s="2" t="s">
        <v>182</v>
      </c>
      <c r="I2407" s="2" t="s">
        <v>32</v>
      </c>
      <c r="J2407" s="3">
        <v>44555</v>
      </c>
      <c r="K2407" s="5">
        <f>YEAR(OrganizedData[[#This Row],[Order Date]])</f>
        <v>2021</v>
      </c>
      <c r="L2407" s="7" t="str">
        <f>TEXT(OrganizedData[[#This Row],[Order Date]],"mmm")</f>
        <v>Dec</v>
      </c>
      <c r="M2407" s="2">
        <v>35</v>
      </c>
      <c r="N2407" s="2" t="s">
        <v>54</v>
      </c>
      <c r="O2407" s="2" t="str">
        <f>VLOOKUP(OrganizedData[[#This Row],[Product Code]],ProductData[[Code]:[Item]],2,FALSE)</f>
        <v>Megawidget S</v>
      </c>
      <c r="P2407" s="4">
        <f>OrganizedData[[#This Row],[Quantity]]*VLOOKUP(OrganizedData[[#This Row],[Product Code]],ProductData[],4,FALSE)</f>
        <v>840</v>
      </c>
      <c r="Q2407" s="6">
        <f>OrganizedData[[#This Row],[Total Items Ordered]]*VLOOKUP(OrganizedData[[#This Row],[Product Code]],ProductData[],3,FALSE)</f>
        <v>579.59999999999991</v>
      </c>
      <c r="R24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2408" spans="1:18" x14ac:dyDescent="0.3">
      <c r="A2408" s="2">
        <v>2401</v>
      </c>
      <c r="B2408" s="2" t="s">
        <v>4489</v>
      </c>
      <c r="C2408" s="2" t="s">
        <v>6449</v>
      </c>
      <c r="D2408" s="2" t="s">
        <v>28</v>
      </c>
      <c r="E2408" s="2" t="s">
        <v>29</v>
      </c>
      <c r="F2408" s="2">
        <v>60</v>
      </c>
      <c r="G2408" s="2" t="s">
        <v>6450</v>
      </c>
      <c r="H2408" s="2" t="s">
        <v>3637</v>
      </c>
      <c r="I2408" s="2" t="s">
        <v>38</v>
      </c>
      <c r="J2408" s="3">
        <v>43908</v>
      </c>
      <c r="K2408" s="5">
        <f>YEAR(OrganizedData[[#This Row],[Order Date]])</f>
        <v>2020</v>
      </c>
      <c r="L2408" s="7" t="str">
        <f>TEXT(OrganizedData[[#This Row],[Order Date]],"mmm")</f>
        <v>Mar</v>
      </c>
      <c r="M2408" s="2">
        <v>19</v>
      </c>
      <c r="N2408" s="2" t="s">
        <v>101</v>
      </c>
      <c r="O2408" s="2" t="str">
        <f>VLOOKUP(OrganizedData[[#This Row],[Product Code]],ProductData[[Code]:[Item]],2,FALSE)</f>
        <v>Superwossname</v>
      </c>
      <c r="P2408" s="4">
        <f>OrganizedData[[#This Row],[Quantity]]*VLOOKUP(OrganizedData[[#This Row],[Product Code]],ProductData[],4,FALSE)</f>
        <v>380</v>
      </c>
      <c r="Q2408" s="6">
        <f>OrganizedData[[#This Row],[Total Items Ordered]]*VLOOKUP(OrganizedData[[#This Row],[Product Code]],ProductData[],3,FALSE)</f>
        <v>1326.2</v>
      </c>
      <c r="R24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1326.2</v>
      </c>
    </row>
    <row r="2409" spans="1:18" x14ac:dyDescent="0.3">
      <c r="A2409" s="2">
        <v>2402</v>
      </c>
      <c r="B2409" s="2" t="s">
        <v>6451</v>
      </c>
      <c r="C2409" s="2" t="s">
        <v>6452</v>
      </c>
      <c r="D2409" s="2" t="s">
        <v>15</v>
      </c>
      <c r="E2409" s="2" t="s">
        <v>16</v>
      </c>
      <c r="F2409" s="2">
        <v>90</v>
      </c>
      <c r="G2409" s="2" t="s">
        <v>6453</v>
      </c>
      <c r="H2409" s="2" t="s">
        <v>1087</v>
      </c>
      <c r="I2409" s="2" t="s">
        <v>554</v>
      </c>
      <c r="J2409" s="3">
        <v>44145</v>
      </c>
      <c r="K2409" s="5">
        <f>YEAR(OrganizedData[[#This Row],[Order Date]])</f>
        <v>2020</v>
      </c>
      <c r="L2409" s="7" t="str">
        <f>TEXT(OrganizedData[[#This Row],[Order Date]],"mmm")</f>
        <v>Nov</v>
      </c>
      <c r="M2409" s="2">
        <v>5</v>
      </c>
      <c r="N2409" s="2" t="s">
        <v>20</v>
      </c>
      <c r="O2409" s="2" t="str">
        <f>VLOOKUP(OrganizedData[[#This Row],[Product Code]],ProductData[[Code]:[Item]],2,FALSE)</f>
        <v>Hyperwotsit</v>
      </c>
      <c r="P2409" s="4">
        <f>OrganizedData[[#This Row],[Quantity]]*VLOOKUP(OrganizedData[[#This Row],[Product Code]],ProductData[],4,FALSE)</f>
        <v>100</v>
      </c>
      <c r="Q2409" s="6">
        <f>OrganizedData[[#This Row],[Total Items Ordered]]*VLOOKUP(OrganizedData[[#This Row],[Product Code]],ProductData[],3,FALSE)</f>
        <v>200.99999999999997</v>
      </c>
      <c r="R24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2410" spans="1:18" x14ac:dyDescent="0.3">
      <c r="A2410" s="2">
        <v>2403</v>
      </c>
      <c r="B2410" s="2" t="s">
        <v>4775</v>
      </c>
      <c r="C2410" s="2" t="s">
        <v>6454</v>
      </c>
      <c r="D2410" s="2" t="s">
        <v>28</v>
      </c>
      <c r="E2410" s="2" t="s">
        <v>29</v>
      </c>
      <c r="F2410" s="2">
        <v>30</v>
      </c>
      <c r="G2410" s="2" t="s">
        <v>6455</v>
      </c>
      <c r="H2410" s="2" t="s">
        <v>141</v>
      </c>
      <c r="I2410" s="2" t="s">
        <v>32</v>
      </c>
      <c r="J2410" s="3">
        <v>44034</v>
      </c>
      <c r="K2410" s="5">
        <f>YEAR(OrganizedData[[#This Row],[Order Date]])</f>
        <v>2020</v>
      </c>
      <c r="L2410" s="7" t="str">
        <f>TEXT(OrganizedData[[#This Row],[Order Date]],"mmm")</f>
        <v>Jul</v>
      </c>
      <c r="M2410" s="2">
        <v>23</v>
      </c>
      <c r="N2410" s="2" t="s">
        <v>80</v>
      </c>
      <c r="O2410" s="2" t="str">
        <f>VLOOKUP(OrganizedData[[#This Row],[Product Code]],ProductData[[Code]:[Item]],2,FALSE)</f>
        <v>Ultrathing V2</v>
      </c>
      <c r="P2410" s="4">
        <f>OrganizedData[[#This Row],[Quantity]]*VLOOKUP(OrganizedData[[#This Row],[Product Code]],ProductData[],4,FALSE)</f>
        <v>460</v>
      </c>
      <c r="Q2410" s="6">
        <f>OrganizedData[[#This Row],[Total Items Ordered]]*VLOOKUP(OrganizedData[[#This Row],[Product Code]],ProductData[],3,FALSE)</f>
        <v>1357</v>
      </c>
      <c r="R24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1316.29</v>
      </c>
    </row>
    <row r="2411" spans="1:18" x14ac:dyDescent="0.3">
      <c r="A2411" s="2">
        <v>2404</v>
      </c>
      <c r="B2411" s="2" t="s">
        <v>1096</v>
      </c>
      <c r="C2411" s="2" t="s">
        <v>547</v>
      </c>
      <c r="D2411" s="2" t="s">
        <v>28</v>
      </c>
      <c r="E2411" s="2" t="s">
        <v>29</v>
      </c>
      <c r="F2411" s="2">
        <v>90</v>
      </c>
      <c r="G2411" s="2" t="s">
        <v>6456</v>
      </c>
      <c r="H2411" s="2" t="s">
        <v>3951</v>
      </c>
      <c r="I2411" s="2" t="s">
        <v>1576</v>
      </c>
      <c r="J2411" s="3">
        <v>44915</v>
      </c>
      <c r="K2411" s="5">
        <f>YEAR(OrganizedData[[#This Row],[Order Date]])</f>
        <v>2022</v>
      </c>
      <c r="L2411" s="7" t="str">
        <f>TEXT(OrganizedData[[#This Row],[Order Date]],"mmm")</f>
        <v>Dec</v>
      </c>
      <c r="M2411" s="2">
        <v>36</v>
      </c>
      <c r="N2411" s="2" t="s">
        <v>39</v>
      </c>
      <c r="O2411" s="2" t="str">
        <f>VLOOKUP(OrganizedData[[#This Row],[Product Code]],ProductData[[Code]:[Item]],2,FALSE)</f>
        <v>Ultrathing V1</v>
      </c>
      <c r="P2411" s="4">
        <f>OrganizedData[[#This Row],[Quantity]]*VLOOKUP(OrganizedData[[#This Row],[Product Code]],ProductData[],4,FALSE)</f>
        <v>612</v>
      </c>
      <c r="Q2411" s="6">
        <f>OrganizedData[[#This Row],[Total Items Ordered]]*VLOOKUP(OrganizedData[[#This Row],[Product Code]],ProductData[],3,FALSE)</f>
        <v>1095.48</v>
      </c>
      <c r="R24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2412" spans="1:18" x14ac:dyDescent="0.3">
      <c r="A2412" s="2">
        <v>2405</v>
      </c>
      <c r="B2412" s="2" t="s">
        <v>1900</v>
      </c>
      <c r="C2412" s="2" t="s">
        <v>336</v>
      </c>
      <c r="D2412" s="2" t="s">
        <v>51</v>
      </c>
      <c r="E2412" s="2" t="s">
        <v>16</v>
      </c>
      <c r="F2412" s="2">
        <v>90</v>
      </c>
      <c r="G2412" s="2" t="s">
        <v>6458</v>
      </c>
      <c r="H2412" s="2" t="s">
        <v>1791</v>
      </c>
      <c r="I2412" s="2" t="s">
        <v>32</v>
      </c>
      <c r="J2412" s="3">
        <v>44485</v>
      </c>
      <c r="K2412" s="5">
        <f>YEAR(OrganizedData[[#This Row],[Order Date]])</f>
        <v>2021</v>
      </c>
      <c r="L2412" s="7" t="str">
        <f>TEXT(OrganizedData[[#This Row],[Order Date]],"mmm")</f>
        <v>Oct</v>
      </c>
      <c r="M2412" s="2">
        <v>47</v>
      </c>
      <c r="N2412" s="2" t="s">
        <v>33</v>
      </c>
      <c r="O2412" s="2" t="str">
        <f>VLOOKUP(OrganizedData[[#This Row],[Product Code]],ProductData[[Code]:[Item]],2,FALSE)</f>
        <v>Megawidget L</v>
      </c>
      <c r="P2412" s="4">
        <f>OrganizedData[[#This Row],[Quantity]]*VLOOKUP(OrganizedData[[#This Row],[Product Code]],ProductData[],4,FALSE)</f>
        <v>1128</v>
      </c>
      <c r="Q2412" s="6">
        <f>OrganizedData[[#This Row],[Total Items Ordered]]*VLOOKUP(OrganizedData[[#This Row],[Product Code]],ProductData[],3,FALSE)</f>
        <v>2019.1200000000001</v>
      </c>
      <c r="R24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2413" spans="1:18" x14ac:dyDescent="0.3">
      <c r="A2413" s="2">
        <v>2406</v>
      </c>
      <c r="B2413" s="2" t="s">
        <v>259</v>
      </c>
      <c r="C2413" s="2" t="s">
        <v>6459</v>
      </c>
      <c r="D2413" s="2" t="s">
        <v>28</v>
      </c>
      <c r="E2413" s="2" t="s">
        <v>29</v>
      </c>
      <c r="F2413" s="2">
        <v>30</v>
      </c>
      <c r="G2413" s="2" t="s">
        <v>6460</v>
      </c>
      <c r="H2413" s="2" t="s">
        <v>1107</v>
      </c>
      <c r="I2413" s="2" t="s">
        <v>32</v>
      </c>
      <c r="J2413" s="3">
        <v>44089</v>
      </c>
      <c r="K2413" s="5">
        <f>YEAR(OrganizedData[[#This Row],[Order Date]])</f>
        <v>2020</v>
      </c>
      <c r="L2413" s="7" t="str">
        <f>TEXT(OrganizedData[[#This Row],[Order Date]],"mmm")</f>
        <v>Sep</v>
      </c>
      <c r="M2413" s="2">
        <v>58</v>
      </c>
      <c r="N2413" s="2" t="s">
        <v>33</v>
      </c>
      <c r="O2413" s="2" t="str">
        <f>VLOOKUP(OrganizedData[[#This Row],[Product Code]],ProductData[[Code]:[Item]],2,FALSE)</f>
        <v>Megawidget L</v>
      </c>
      <c r="P2413" s="4">
        <f>OrganizedData[[#This Row],[Quantity]]*VLOOKUP(OrganizedData[[#This Row],[Product Code]],ProductData[],4,FALSE)</f>
        <v>1392</v>
      </c>
      <c r="Q2413" s="6">
        <f>OrganizedData[[#This Row],[Total Items Ordered]]*VLOOKUP(OrganizedData[[#This Row],[Product Code]],ProductData[],3,FALSE)</f>
        <v>2491.6799999999998</v>
      </c>
      <c r="R24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2414" spans="1:18" x14ac:dyDescent="0.3">
      <c r="A2414" s="2">
        <v>2407</v>
      </c>
      <c r="B2414" s="2" t="s">
        <v>6461</v>
      </c>
      <c r="C2414" s="2" t="s">
        <v>4637</v>
      </c>
      <c r="D2414" s="2" t="s">
        <v>15</v>
      </c>
      <c r="E2414" s="2" t="s">
        <v>16</v>
      </c>
      <c r="F2414" s="2">
        <v>90</v>
      </c>
      <c r="G2414" s="2" t="s">
        <v>6462</v>
      </c>
      <c r="H2414" s="2" t="s">
        <v>2539</v>
      </c>
      <c r="I2414" s="2" t="s">
        <v>178</v>
      </c>
      <c r="J2414" s="3">
        <v>44687</v>
      </c>
      <c r="K2414" s="5">
        <f>YEAR(OrganizedData[[#This Row],[Order Date]])</f>
        <v>2022</v>
      </c>
      <c r="L2414" s="7" t="str">
        <f>TEXT(OrganizedData[[#This Row],[Order Date]],"mmm")</f>
        <v>May</v>
      </c>
      <c r="M2414" s="2">
        <v>44</v>
      </c>
      <c r="N2414" s="2" t="s">
        <v>80</v>
      </c>
      <c r="O2414" s="2" t="str">
        <f>VLOOKUP(OrganizedData[[#This Row],[Product Code]],ProductData[[Code]:[Item]],2,FALSE)</f>
        <v>Ultrathing V2</v>
      </c>
      <c r="P2414" s="4">
        <f>OrganizedData[[#This Row],[Quantity]]*VLOOKUP(OrganizedData[[#This Row],[Product Code]],ProductData[],4,FALSE)</f>
        <v>880</v>
      </c>
      <c r="Q2414" s="6">
        <f>OrganizedData[[#This Row],[Total Items Ordered]]*VLOOKUP(OrganizedData[[#This Row],[Product Code]],ProductData[],3,FALSE)</f>
        <v>2596</v>
      </c>
      <c r="R24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2518.12</v>
      </c>
    </row>
    <row r="2415" spans="1:18" x14ac:dyDescent="0.3">
      <c r="A2415" s="2">
        <v>2408</v>
      </c>
      <c r="B2415" s="2" t="s">
        <v>695</v>
      </c>
      <c r="C2415" s="2" t="s">
        <v>2920</v>
      </c>
      <c r="D2415" s="2" t="s">
        <v>15</v>
      </c>
      <c r="E2415" s="2" t="s">
        <v>16</v>
      </c>
      <c r="F2415" s="2">
        <v>30</v>
      </c>
      <c r="G2415" s="2" t="s">
        <v>6463</v>
      </c>
      <c r="H2415" s="2" t="s">
        <v>1333</v>
      </c>
      <c r="I2415" s="2" t="s">
        <v>294</v>
      </c>
      <c r="J2415" s="3">
        <v>44558</v>
      </c>
      <c r="K2415" s="5">
        <f>YEAR(OrganizedData[[#This Row],[Order Date]])</f>
        <v>2021</v>
      </c>
      <c r="L2415" s="7" t="str">
        <f>TEXT(OrganizedData[[#This Row],[Order Date]],"mmm")</f>
        <v>Dec</v>
      </c>
      <c r="M2415" s="2">
        <v>61</v>
      </c>
      <c r="N2415" s="2" t="s">
        <v>101</v>
      </c>
      <c r="O2415" s="2" t="str">
        <f>VLOOKUP(OrganizedData[[#This Row],[Product Code]],ProductData[[Code]:[Item]],2,FALSE)</f>
        <v>Superwossname</v>
      </c>
      <c r="P2415" s="4">
        <f>OrganizedData[[#This Row],[Quantity]]*VLOOKUP(OrganizedData[[#This Row],[Product Code]],ProductData[],4,FALSE)</f>
        <v>1220</v>
      </c>
      <c r="Q2415" s="6">
        <f>OrganizedData[[#This Row],[Total Items Ordered]]*VLOOKUP(OrganizedData[[#This Row],[Product Code]],ProductData[],3,FALSE)</f>
        <v>4257.8</v>
      </c>
      <c r="R24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4044.91</v>
      </c>
    </row>
    <row r="2416" spans="1:18" x14ac:dyDescent="0.3">
      <c r="A2416" s="2">
        <v>2409</v>
      </c>
      <c r="B2416" s="2" t="s">
        <v>596</v>
      </c>
      <c r="C2416" s="2" t="s">
        <v>2572</v>
      </c>
      <c r="D2416" s="2" t="s">
        <v>117</v>
      </c>
      <c r="E2416" s="2" t="s">
        <v>29</v>
      </c>
      <c r="F2416" s="2">
        <v>60</v>
      </c>
      <c r="G2416" s="2" t="s">
        <v>6464</v>
      </c>
      <c r="H2416" s="2" t="s">
        <v>4358</v>
      </c>
      <c r="I2416" s="2" t="s">
        <v>146</v>
      </c>
      <c r="J2416" s="3">
        <v>44032</v>
      </c>
      <c r="K2416" s="5">
        <f>YEAR(OrganizedData[[#This Row],[Order Date]])</f>
        <v>2020</v>
      </c>
      <c r="L2416" s="7" t="str">
        <f>TEXT(OrganizedData[[#This Row],[Order Date]],"mmm")</f>
        <v>Jul</v>
      </c>
      <c r="M2416" s="2">
        <v>42</v>
      </c>
      <c r="N2416" s="2" t="s">
        <v>64</v>
      </c>
      <c r="O2416" s="2" t="str">
        <f>VLOOKUP(OrganizedData[[#This Row],[Product Code]],ProductData[[Code]:[Item]],2,FALSE)</f>
        <v>Ultrathing V4</v>
      </c>
      <c r="P2416" s="4">
        <f>OrganizedData[[#This Row],[Quantity]]*VLOOKUP(OrganizedData[[#This Row],[Product Code]],ProductData[],4,FALSE)</f>
        <v>1008</v>
      </c>
      <c r="Q2416" s="6">
        <f>OrganizedData[[#This Row],[Total Items Ordered]]*VLOOKUP(OrganizedData[[#This Row],[Product Code]],ProductData[],3,FALSE)</f>
        <v>4021.92</v>
      </c>
      <c r="R24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2417" spans="1:18" x14ac:dyDescent="0.3">
      <c r="A2417" s="2">
        <v>2410</v>
      </c>
      <c r="B2417" s="2" t="s">
        <v>6465</v>
      </c>
      <c r="C2417" s="2" t="s">
        <v>5546</v>
      </c>
      <c r="D2417" s="2" t="s">
        <v>15</v>
      </c>
      <c r="E2417" s="2" t="s">
        <v>16</v>
      </c>
      <c r="F2417" s="2">
        <v>60</v>
      </c>
      <c r="G2417" s="2" t="s">
        <v>6466</v>
      </c>
      <c r="H2417" s="2" t="s">
        <v>655</v>
      </c>
      <c r="I2417" s="2" t="s">
        <v>32</v>
      </c>
      <c r="J2417" s="3">
        <v>44581</v>
      </c>
      <c r="K2417" s="5">
        <f>YEAR(OrganizedData[[#This Row],[Order Date]])</f>
        <v>2022</v>
      </c>
      <c r="L2417" s="7" t="str">
        <f>TEXT(OrganizedData[[#This Row],[Order Date]],"mmm")</f>
        <v>Jan</v>
      </c>
      <c r="M2417" s="2">
        <v>6</v>
      </c>
      <c r="N2417" s="2" t="s">
        <v>33</v>
      </c>
      <c r="O2417" s="2" t="str">
        <f>VLOOKUP(OrganizedData[[#This Row],[Product Code]],ProductData[[Code]:[Item]],2,FALSE)</f>
        <v>Megawidget L</v>
      </c>
      <c r="P2417" s="4">
        <f>OrganizedData[[#This Row],[Quantity]]*VLOOKUP(OrganizedData[[#This Row],[Product Code]],ProductData[],4,FALSE)</f>
        <v>144</v>
      </c>
      <c r="Q2417" s="6">
        <f>OrganizedData[[#This Row],[Total Items Ordered]]*VLOOKUP(OrganizedData[[#This Row],[Product Code]],ProductData[],3,FALSE)</f>
        <v>257.76</v>
      </c>
      <c r="R24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257.76</v>
      </c>
    </row>
    <row r="2418" spans="1:18" x14ac:dyDescent="0.3">
      <c r="A2418" s="2">
        <v>2411</v>
      </c>
      <c r="B2418" s="2" t="s">
        <v>6144</v>
      </c>
      <c r="C2418" s="2" t="s">
        <v>972</v>
      </c>
      <c r="D2418" s="2" t="s">
        <v>28</v>
      </c>
      <c r="E2418" s="2" t="s">
        <v>29</v>
      </c>
      <c r="F2418" s="2">
        <v>30</v>
      </c>
      <c r="G2418" s="2" t="s">
        <v>6467</v>
      </c>
      <c r="H2418" s="2" t="s">
        <v>6168</v>
      </c>
      <c r="I2418" s="2" t="s">
        <v>294</v>
      </c>
      <c r="J2418" s="3">
        <v>44882</v>
      </c>
      <c r="K2418" s="5">
        <f>YEAR(OrganizedData[[#This Row],[Order Date]])</f>
        <v>2022</v>
      </c>
      <c r="L2418" s="7" t="str">
        <f>TEXT(OrganizedData[[#This Row],[Order Date]],"mmm")</f>
        <v>Nov</v>
      </c>
      <c r="M2418" s="2">
        <v>93</v>
      </c>
      <c r="N2418" s="2" t="s">
        <v>159</v>
      </c>
      <c r="O2418" s="2" t="str">
        <f>VLOOKUP(OrganizedData[[#This Row],[Product Code]],ProductData[[Code]:[Item]],2,FALSE)</f>
        <v>Ultrathing V3</v>
      </c>
      <c r="P2418" s="4">
        <f>OrganizedData[[#This Row],[Quantity]]*VLOOKUP(OrganizedData[[#This Row],[Product Code]],ProductData[],4,FALSE)</f>
        <v>2232</v>
      </c>
      <c r="Q2418" s="6">
        <f>OrganizedData[[#This Row],[Total Items Ordered]]*VLOOKUP(OrganizedData[[#This Row],[Product Code]],ProductData[],3,FALSE)</f>
        <v>7566.4800000000005</v>
      </c>
      <c r="R24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7188.1559999999999</v>
      </c>
    </row>
    <row r="2419" spans="1:18" x14ac:dyDescent="0.3">
      <c r="A2419" s="2">
        <v>2412</v>
      </c>
      <c r="B2419" s="2" t="s">
        <v>6468</v>
      </c>
      <c r="C2419" s="2" t="s">
        <v>6469</v>
      </c>
      <c r="D2419" s="2" t="s">
        <v>51</v>
      </c>
      <c r="E2419" s="2" t="s">
        <v>16</v>
      </c>
      <c r="F2419" s="2">
        <v>60</v>
      </c>
      <c r="G2419" s="2" t="s">
        <v>6470</v>
      </c>
      <c r="H2419" s="2" t="s">
        <v>5915</v>
      </c>
      <c r="I2419" s="2" t="s">
        <v>32</v>
      </c>
      <c r="J2419" s="3">
        <v>43912</v>
      </c>
      <c r="K2419" s="5">
        <f>YEAR(OrganizedData[[#This Row],[Order Date]])</f>
        <v>2020</v>
      </c>
      <c r="L2419" s="7" t="str">
        <f>TEXT(OrganizedData[[#This Row],[Order Date]],"mmm")</f>
        <v>Mar</v>
      </c>
      <c r="M2419" s="2">
        <v>11</v>
      </c>
      <c r="N2419" s="2" t="s">
        <v>64</v>
      </c>
      <c r="O2419" s="2" t="str">
        <f>VLOOKUP(OrganizedData[[#This Row],[Product Code]],ProductData[[Code]:[Item]],2,FALSE)</f>
        <v>Ultrathing V4</v>
      </c>
      <c r="P2419" s="4">
        <f>OrganizedData[[#This Row],[Quantity]]*VLOOKUP(OrganizedData[[#This Row],[Product Code]],ProductData[],4,FALSE)</f>
        <v>264</v>
      </c>
      <c r="Q2419" s="6">
        <f>OrganizedData[[#This Row],[Total Items Ordered]]*VLOOKUP(OrganizedData[[#This Row],[Product Code]],ProductData[],3,FALSE)</f>
        <v>1053.3600000000001</v>
      </c>
      <c r="R24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1053.3600000000001</v>
      </c>
    </row>
    <row r="2420" spans="1:18" x14ac:dyDescent="0.3">
      <c r="A2420" s="2">
        <v>2413</v>
      </c>
      <c r="B2420" s="2" t="s">
        <v>4602</v>
      </c>
      <c r="C2420" s="2" t="s">
        <v>2359</v>
      </c>
      <c r="D2420" s="2" t="s">
        <v>51</v>
      </c>
      <c r="E2420" s="2" t="s">
        <v>16</v>
      </c>
      <c r="F2420" s="2">
        <v>30</v>
      </c>
      <c r="G2420" s="2" t="s">
        <v>6471</v>
      </c>
      <c r="H2420" s="2" t="s">
        <v>2483</v>
      </c>
      <c r="I2420" s="2" t="s">
        <v>1199</v>
      </c>
      <c r="J2420" s="3">
        <v>44225</v>
      </c>
      <c r="K2420" s="5">
        <f>YEAR(OrganizedData[[#This Row],[Order Date]])</f>
        <v>2021</v>
      </c>
      <c r="L2420" s="7" t="str">
        <f>TEXT(OrganizedData[[#This Row],[Order Date]],"mmm")</f>
        <v>Jan</v>
      </c>
      <c r="M2420" s="2">
        <v>79</v>
      </c>
      <c r="N2420" s="2" t="s">
        <v>45</v>
      </c>
      <c r="O2420" s="2" t="str">
        <f>VLOOKUP(OrganizedData[[#This Row],[Product Code]],ProductData[[Code]:[Item]],2,FALSE)</f>
        <v>Gigastuff</v>
      </c>
      <c r="P2420" s="4">
        <f>OrganizedData[[#This Row],[Quantity]]*VLOOKUP(OrganizedData[[#This Row],[Product Code]],ProductData[],4,FALSE)</f>
        <v>1422</v>
      </c>
      <c r="Q2420" s="6">
        <f>OrganizedData[[#This Row],[Total Items Ordered]]*VLOOKUP(OrganizedData[[#This Row],[Product Code]],ProductData[],3,FALSE)</f>
        <v>2687.58</v>
      </c>
      <c r="R24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2421" spans="1:18" x14ac:dyDescent="0.3">
      <c r="A2421" s="2">
        <v>2414</v>
      </c>
      <c r="B2421" s="2" t="s">
        <v>6472</v>
      </c>
      <c r="C2421" s="2" t="s">
        <v>5862</v>
      </c>
      <c r="D2421" s="2" t="s">
        <v>15</v>
      </c>
      <c r="E2421" s="2" t="s">
        <v>16</v>
      </c>
      <c r="F2421" s="2">
        <v>30</v>
      </c>
      <c r="G2421" s="2" t="s">
        <v>6473</v>
      </c>
      <c r="H2421" s="2" t="s">
        <v>363</v>
      </c>
      <c r="I2421" s="2" t="s">
        <v>110</v>
      </c>
      <c r="J2421" s="3">
        <v>44022</v>
      </c>
      <c r="K2421" s="5">
        <f>YEAR(OrganizedData[[#This Row],[Order Date]])</f>
        <v>2020</v>
      </c>
      <c r="L2421" s="7" t="str">
        <f>TEXT(OrganizedData[[#This Row],[Order Date]],"mmm")</f>
        <v>Jul</v>
      </c>
      <c r="M2421" s="2">
        <v>26</v>
      </c>
      <c r="N2421" s="2" t="s">
        <v>80</v>
      </c>
      <c r="O2421" s="2" t="str">
        <f>VLOOKUP(OrganizedData[[#This Row],[Product Code]],ProductData[[Code]:[Item]],2,FALSE)</f>
        <v>Ultrathing V2</v>
      </c>
      <c r="P2421" s="4">
        <f>OrganizedData[[#This Row],[Quantity]]*VLOOKUP(OrganizedData[[#This Row],[Product Code]],ProductData[],4,FALSE)</f>
        <v>520</v>
      </c>
      <c r="Q2421" s="6">
        <f>OrganizedData[[#This Row],[Total Items Ordered]]*VLOOKUP(OrganizedData[[#This Row],[Product Code]],ProductData[],3,FALSE)</f>
        <v>1534</v>
      </c>
      <c r="R24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2422" spans="1:18" x14ac:dyDescent="0.3">
      <c r="A2422" s="2">
        <v>2415</v>
      </c>
      <c r="B2422" s="2" t="s">
        <v>1464</v>
      </c>
      <c r="C2422" s="2" t="s">
        <v>2785</v>
      </c>
      <c r="D2422" s="2" t="s">
        <v>28</v>
      </c>
      <c r="E2422" s="2" t="s">
        <v>29</v>
      </c>
      <c r="F2422" s="2">
        <v>90</v>
      </c>
      <c r="G2422" s="2" t="s">
        <v>6474</v>
      </c>
      <c r="H2422" s="2" t="s">
        <v>2972</v>
      </c>
      <c r="I2422" s="2" t="s">
        <v>32</v>
      </c>
      <c r="J2422" s="3">
        <v>43851</v>
      </c>
      <c r="K2422" s="5">
        <f>YEAR(OrganizedData[[#This Row],[Order Date]])</f>
        <v>2020</v>
      </c>
      <c r="L2422" s="7" t="str">
        <f>TEXT(OrganizedData[[#This Row],[Order Date]],"mmm")</f>
        <v>Jan</v>
      </c>
      <c r="M2422" s="2">
        <v>79</v>
      </c>
      <c r="N2422" s="2" t="s">
        <v>33</v>
      </c>
      <c r="O2422" s="2" t="str">
        <f>VLOOKUP(OrganizedData[[#This Row],[Product Code]],ProductData[[Code]:[Item]],2,FALSE)</f>
        <v>Megawidget L</v>
      </c>
      <c r="P2422" s="4">
        <f>OrganizedData[[#This Row],[Quantity]]*VLOOKUP(OrganizedData[[#This Row],[Product Code]],ProductData[],4,FALSE)</f>
        <v>1896</v>
      </c>
      <c r="Q2422" s="6">
        <f>OrganizedData[[#This Row],[Total Items Ordered]]*VLOOKUP(OrganizedData[[#This Row],[Product Code]],ProductData[],3,FALSE)</f>
        <v>3393.84</v>
      </c>
      <c r="R24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3224.1480000000001</v>
      </c>
    </row>
    <row r="2423" spans="1:18" x14ac:dyDescent="0.3">
      <c r="A2423" s="2">
        <v>2416</v>
      </c>
      <c r="B2423" s="2" t="s">
        <v>4068</v>
      </c>
      <c r="C2423" s="2" t="s">
        <v>1535</v>
      </c>
      <c r="D2423" s="2" t="s">
        <v>28</v>
      </c>
      <c r="E2423" s="2" t="s">
        <v>29</v>
      </c>
      <c r="F2423" s="2">
        <v>60</v>
      </c>
      <c r="G2423" s="2" t="s">
        <v>6475</v>
      </c>
      <c r="H2423" s="2" t="s">
        <v>1256</v>
      </c>
      <c r="I2423" s="2" t="s">
        <v>32</v>
      </c>
      <c r="J2423" s="3">
        <v>44821</v>
      </c>
      <c r="K2423" s="5">
        <f>YEAR(OrganizedData[[#This Row],[Order Date]])</f>
        <v>2022</v>
      </c>
      <c r="L2423" s="7" t="str">
        <f>TEXT(OrganizedData[[#This Row],[Order Date]],"mmm")</f>
        <v>Sep</v>
      </c>
      <c r="M2423" s="2">
        <v>15</v>
      </c>
      <c r="N2423" s="2" t="s">
        <v>159</v>
      </c>
      <c r="O2423" s="2" t="str">
        <f>VLOOKUP(OrganizedData[[#This Row],[Product Code]],ProductData[[Code]:[Item]],2,FALSE)</f>
        <v>Ultrathing V3</v>
      </c>
      <c r="P2423" s="4">
        <f>OrganizedData[[#This Row],[Quantity]]*VLOOKUP(OrganizedData[[#This Row],[Product Code]],ProductData[],4,FALSE)</f>
        <v>360</v>
      </c>
      <c r="Q2423" s="6">
        <f>OrganizedData[[#This Row],[Total Items Ordered]]*VLOOKUP(OrganizedData[[#This Row],[Product Code]],ProductData[],3,FALSE)</f>
        <v>1220.4000000000001</v>
      </c>
      <c r="R24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1220.4000000000001</v>
      </c>
    </row>
    <row r="2424" spans="1:18" x14ac:dyDescent="0.3">
      <c r="A2424" s="2">
        <v>2417</v>
      </c>
      <c r="B2424" s="2" t="s">
        <v>6476</v>
      </c>
      <c r="C2424" s="2" t="s">
        <v>6477</v>
      </c>
      <c r="D2424" s="2" t="s">
        <v>28</v>
      </c>
      <c r="E2424" s="2" t="s">
        <v>29</v>
      </c>
      <c r="F2424" s="2">
        <v>60</v>
      </c>
      <c r="G2424" s="2" t="s">
        <v>6478</v>
      </c>
      <c r="H2424" s="2" t="s">
        <v>6479</v>
      </c>
      <c r="I2424" s="2" t="s">
        <v>187</v>
      </c>
      <c r="J2424" s="3">
        <v>44330</v>
      </c>
      <c r="K2424" s="5">
        <f>YEAR(OrganizedData[[#This Row],[Order Date]])</f>
        <v>2021</v>
      </c>
      <c r="L2424" s="7" t="str">
        <f>TEXT(OrganizedData[[#This Row],[Order Date]],"mmm")</f>
        <v>May</v>
      </c>
      <c r="M2424" s="2">
        <v>33</v>
      </c>
      <c r="N2424" s="2" t="s">
        <v>54</v>
      </c>
      <c r="O2424" s="2" t="str">
        <f>VLOOKUP(OrganizedData[[#This Row],[Product Code]],ProductData[[Code]:[Item]],2,FALSE)</f>
        <v>Megawidget S</v>
      </c>
      <c r="P2424" s="4">
        <f>OrganizedData[[#This Row],[Quantity]]*VLOOKUP(OrganizedData[[#This Row],[Product Code]],ProductData[],4,FALSE)</f>
        <v>792</v>
      </c>
      <c r="Q2424" s="6">
        <f>OrganizedData[[#This Row],[Total Items Ordered]]*VLOOKUP(OrganizedData[[#This Row],[Product Code]],ProductData[],3,FALSE)</f>
        <v>546.4799999999999</v>
      </c>
      <c r="R24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2425" spans="1:18" x14ac:dyDescent="0.3">
      <c r="A2425" s="2">
        <v>2418</v>
      </c>
      <c r="B2425" s="2" t="s">
        <v>6480</v>
      </c>
      <c r="C2425" s="2" t="s">
        <v>1410</v>
      </c>
      <c r="D2425" s="2" t="s">
        <v>15</v>
      </c>
      <c r="E2425" s="2" t="s">
        <v>16</v>
      </c>
      <c r="F2425" s="2">
        <v>90</v>
      </c>
      <c r="G2425" s="2" t="s">
        <v>6481</v>
      </c>
      <c r="H2425" s="2" t="s">
        <v>2137</v>
      </c>
      <c r="I2425" s="2" t="s">
        <v>187</v>
      </c>
      <c r="J2425" s="3">
        <v>44269</v>
      </c>
      <c r="K2425" s="5">
        <f>YEAR(OrganizedData[[#This Row],[Order Date]])</f>
        <v>2021</v>
      </c>
      <c r="L2425" s="7" t="str">
        <f>TEXT(OrganizedData[[#This Row],[Order Date]],"mmm")</f>
        <v>Mar</v>
      </c>
      <c r="M2425" s="2">
        <v>92</v>
      </c>
      <c r="N2425" s="2" t="s">
        <v>54</v>
      </c>
      <c r="O2425" s="2" t="str">
        <f>VLOOKUP(OrganizedData[[#This Row],[Product Code]],ProductData[[Code]:[Item]],2,FALSE)</f>
        <v>Megawidget S</v>
      </c>
      <c r="P2425" s="4">
        <f>OrganizedData[[#This Row],[Quantity]]*VLOOKUP(OrganizedData[[#This Row],[Product Code]],ProductData[],4,FALSE)</f>
        <v>2208</v>
      </c>
      <c r="Q2425" s="6">
        <f>OrganizedData[[#This Row],[Total Items Ordered]]*VLOOKUP(OrganizedData[[#This Row],[Product Code]],ProductData[],3,FALSE)</f>
        <v>1523.52</v>
      </c>
      <c r="R24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1447.3439999999998</v>
      </c>
    </row>
    <row r="2426" spans="1:18" x14ac:dyDescent="0.3">
      <c r="A2426" s="2">
        <v>2419</v>
      </c>
      <c r="B2426" s="2" t="s">
        <v>4438</v>
      </c>
      <c r="C2426" s="2" t="s">
        <v>4356</v>
      </c>
      <c r="D2426" s="2" t="s">
        <v>28</v>
      </c>
      <c r="E2426" s="2" t="s">
        <v>29</v>
      </c>
      <c r="F2426" s="2">
        <v>60</v>
      </c>
      <c r="G2426" s="2" t="s">
        <v>6482</v>
      </c>
      <c r="H2426" s="2" t="s">
        <v>1996</v>
      </c>
      <c r="I2426" s="2" t="s">
        <v>208</v>
      </c>
      <c r="J2426" s="3">
        <v>43956</v>
      </c>
      <c r="K2426" s="5">
        <f>YEAR(OrganizedData[[#This Row],[Order Date]])</f>
        <v>2020</v>
      </c>
      <c r="L2426" s="7" t="str">
        <f>TEXT(OrganizedData[[#This Row],[Order Date]],"mmm")</f>
        <v>May</v>
      </c>
      <c r="M2426" s="2">
        <v>2</v>
      </c>
      <c r="N2426" s="2" t="s">
        <v>101</v>
      </c>
      <c r="O2426" s="2" t="str">
        <f>VLOOKUP(OrganizedData[[#This Row],[Product Code]],ProductData[[Code]:[Item]],2,FALSE)</f>
        <v>Superwossname</v>
      </c>
      <c r="P2426" s="4">
        <f>OrganizedData[[#This Row],[Quantity]]*VLOOKUP(OrganizedData[[#This Row],[Product Code]],ProductData[],4,FALSE)</f>
        <v>40</v>
      </c>
      <c r="Q2426" s="6">
        <f>OrganizedData[[#This Row],[Total Items Ordered]]*VLOOKUP(OrganizedData[[#This Row],[Product Code]],ProductData[],3,FALSE)</f>
        <v>139.60000000000002</v>
      </c>
      <c r="R24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2427" spans="1:18" x14ac:dyDescent="0.3">
      <c r="A2427" s="2">
        <v>2420</v>
      </c>
      <c r="B2427" s="2" t="s">
        <v>3791</v>
      </c>
      <c r="C2427" s="2" t="s">
        <v>2422</v>
      </c>
      <c r="D2427" s="2" t="s">
        <v>28</v>
      </c>
      <c r="E2427" s="2" t="s">
        <v>29</v>
      </c>
      <c r="F2427" s="2">
        <v>60</v>
      </c>
      <c r="G2427" s="2" t="s">
        <v>6483</v>
      </c>
      <c r="H2427" s="2" t="s">
        <v>627</v>
      </c>
      <c r="I2427" s="2" t="s">
        <v>294</v>
      </c>
      <c r="J2427" s="3">
        <v>43959</v>
      </c>
      <c r="K2427" s="5">
        <f>YEAR(OrganizedData[[#This Row],[Order Date]])</f>
        <v>2020</v>
      </c>
      <c r="L2427" s="7" t="str">
        <f>TEXT(OrganizedData[[#This Row],[Order Date]],"mmm")</f>
        <v>May</v>
      </c>
      <c r="M2427" s="2">
        <v>58</v>
      </c>
      <c r="N2427" s="2" t="s">
        <v>39</v>
      </c>
      <c r="O2427" s="2" t="str">
        <f>VLOOKUP(OrganizedData[[#This Row],[Product Code]],ProductData[[Code]:[Item]],2,FALSE)</f>
        <v>Ultrathing V1</v>
      </c>
      <c r="P2427" s="4">
        <f>OrganizedData[[#This Row],[Quantity]]*VLOOKUP(OrganizedData[[#This Row],[Product Code]],ProductData[],4,FALSE)</f>
        <v>986</v>
      </c>
      <c r="Q2427" s="6">
        <f>OrganizedData[[#This Row],[Total Items Ordered]]*VLOOKUP(OrganizedData[[#This Row],[Product Code]],ProductData[],3,FALSE)</f>
        <v>1764.94</v>
      </c>
      <c r="R24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1676.693</v>
      </c>
    </row>
    <row r="2428" spans="1:18" x14ac:dyDescent="0.3">
      <c r="A2428" s="2">
        <v>2421</v>
      </c>
      <c r="B2428" s="2" t="s">
        <v>6484</v>
      </c>
      <c r="C2428" s="2" t="s">
        <v>3464</v>
      </c>
      <c r="D2428" s="2" t="s">
        <v>28</v>
      </c>
      <c r="E2428" s="2" t="s">
        <v>29</v>
      </c>
      <c r="F2428" s="2">
        <v>30</v>
      </c>
      <c r="G2428" s="2" t="s">
        <v>6485</v>
      </c>
      <c r="H2428" s="2" t="s">
        <v>6486</v>
      </c>
      <c r="I2428" s="2" t="s">
        <v>173</v>
      </c>
      <c r="J2428" s="3">
        <v>44111</v>
      </c>
      <c r="K2428" s="5">
        <f>YEAR(OrganizedData[[#This Row],[Order Date]])</f>
        <v>2020</v>
      </c>
      <c r="L2428" s="7" t="str">
        <f>TEXT(OrganizedData[[#This Row],[Order Date]],"mmm")</f>
        <v>Oct</v>
      </c>
      <c r="M2428" s="2">
        <v>7</v>
      </c>
      <c r="N2428" s="2" t="s">
        <v>45</v>
      </c>
      <c r="O2428" s="2" t="str">
        <f>VLOOKUP(OrganizedData[[#This Row],[Product Code]],ProductData[[Code]:[Item]],2,FALSE)</f>
        <v>Gigastuff</v>
      </c>
      <c r="P2428" s="4">
        <f>OrganizedData[[#This Row],[Quantity]]*VLOOKUP(OrganizedData[[#This Row],[Product Code]],ProductData[],4,FALSE)</f>
        <v>126</v>
      </c>
      <c r="Q2428" s="6">
        <f>OrganizedData[[#This Row],[Total Items Ordered]]*VLOOKUP(OrganizedData[[#This Row],[Product Code]],ProductData[],3,FALSE)</f>
        <v>238.14</v>
      </c>
      <c r="R24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2429" spans="1:18" x14ac:dyDescent="0.3">
      <c r="A2429" s="2">
        <v>2422</v>
      </c>
      <c r="B2429" s="2" t="s">
        <v>6487</v>
      </c>
      <c r="C2429" s="2" t="s">
        <v>6447</v>
      </c>
      <c r="D2429" s="2" t="s">
        <v>15</v>
      </c>
      <c r="E2429" s="2" t="s">
        <v>16</v>
      </c>
      <c r="F2429" s="2">
        <v>60</v>
      </c>
      <c r="G2429" s="2" t="s">
        <v>6488</v>
      </c>
      <c r="H2429" s="2" t="s">
        <v>1530</v>
      </c>
      <c r="I2429" s="2" t="s">
        <v>32</v>
      </c>
      <c r="J2429" s="3">
        <v>44710</v>
      </c>
      <c r="K2429" s="5">
        <f>YEAR(OrganizedData[[#This Row],[Order Date]])</f>
        <v>2022</v>
      </c>
      <c r="L2429" s="7" t="str">
        <f>TEXT(OrganizedData[[#This Row],[Order Date]],"mmm")</f>
        <v>May</v>
      </c>
      <c r="M2429" s="2">
        <v>39</v>
      </c>
      <c r="N2429" s="2" t="s">
        <v>64</v>
      </c>
      <c r="O2429" s="2" t="str">
        <f>VLOOKUP(OrganizedData[[#This Row],[Product Code]],ProductData[[Code]:[Item]],2,FALSE)</f>
        <v>Ultrathing V4</v>
      </c>
      <c r="P2429" s="4">
        <f>OrganizedData[[#This Row],[Quantity]]*VLOOKUP(OrganizedData[[#This Row],[Product Code]],ProductData[],4,FALSE)</f>
        <v>936</v>
      </c>
      <c r="Q2429" s="6">
        <f>OrganizedData[[#This Row],[Total Items Ordered]]*VLOOKUP(OrganizedData[[#This Row],[Product Code]],ProductData[],3,FALSE)</f>
        <v>3734.6400000000003</v>
      </c>
      <c r="R24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3622.6008000000002</v>
      </c>
    </row>
    <row r="2430" spans="1:18" x14ac:dyDescent="0.3">
      <c r="A2430" s="2">
        <v>2423</v>
      </c>
      <c r="B2430" s="2" t="s">
        <v>6489</v>
      </c>
      <c r="C2430" s="2" t="s">
        <v>759</v>
      </c>
      <c r="D2430" s="2" t="s">
        <v>51</v>
      </c>
      <c r="E2430" s="2" t="s">
        <v>16</v>
      </c>
      <c r="F2430" s="2">
        <v>30</v>
      </c>
      <c r="G2430" s="2" t="s">
        <v>6490</v>
      </c>
      <c r="H2430" s="2" t="s">
        <v>2745</v>
      </c>
      <c r="I2430" s="2" t="s">
        <v>32</v>
      </c>
      <c r="J2430" s="3">
        <v>44829</v>
      </c>
      <c r="K2430" s="5">
        <f>YEAR(OrganizedData[[#This Row],[Order Date]])</f>
        <v>2022</v>
      </c>
      <c r="L2430" s="7" t="str">
        <f>TEXT(OrganizedData[[#This Row],[Order Date]],"mmm")</f>
        <v>Sep</v>
      </c>
      <c r="M2430" s="2">
        <v>92</v>
      </c>
      <c r="N2430" s="2" t="s">
        <v>159</v>
      </c>
      <c r="O2430" s="2" t="str">
        <f>VLOOKUP(OrganizedData[[#This Row],[Product Code]],ProductData[[Code]:[Item]],2,FALSE)</f>
        <v>Ultrathing V3</v>
      </c>
      <c r="P2430" s="4">
        <f>OrganizedData[[#This Row],[Quantity]]*VLOOKUP(OrganizedData[[#This Row],[Product Code]],ProductData[],4,FALSE)</f>
        <v>2208</v>
      </c>
      <c r="Q2430" s="6">
        <f>OrganizedData[[#This Row],[Total Items Ordered]]*VLOOKUP(OrganizedData[[#This Row],[Product Code]],ProductData[],3,FALSE)</f>
        <v>7485.12</v>
      </c>
      <c r="R24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7110.8639999999996</v>
      </c>
    </row>
    <row r="2431" spans="1:18" x14ac:dyDescent="0.3">
      <c r="A2431" s="2">
        <v>2424</v>
      </c>
      <c r="B2431" s="2" t="s">
        <v>4727</v>
      </c>
      <c r="C2431" s="2" t="s">
        <v>4143</v>
      </c>
      <c r="D2431" s="2" t="s">
        <v>28</v>
      </c>
      <c r="E2431" s="2" t="s">
        <v>29</v>
      </c>
      <c r="F2431" s="2">
        <v>90</v>
      </c>
      <c r="G2431" s="2" t="s">
        <v>6491</v>
      </c>
      <c r="H2431" s="2" t="s">
        <v>4049</v>
      </c>
      <c r="I2431" s="2" t="s">
        <v>32</v>
      </c>
      <c r="J2431" s="3">
        <v>44262</v>
      </c>
      <c r="K2431" s="5">
        <f>YEAR(OrganizedData[[#This Row],[Order Date]])</f>
        <v>2021</v>
      </c>
      <c r="L2431" s="7" t="str">
        <f>TEXT(OrganizedData[[#This Row],[Order Date]],"mmm")</f>
        <v>Mar</v>
      </c>
      <c r="M2431" s="2">
        <v>20</v>
      </c>
      <c r="N2431" s="2" t="s">
        <v>20</v>
      </c>
      <c r="O2431" s="2" t="str">
        <f>VLOOKUP(OrganizedData[[#This Row],[Product Code]],ProductData[[Code]:[Item]],2,FALSE)</f>
        <v>Hyperwotsit</v>
      </c>
      <c r="P2431" s="4">
        <f>OrganizedData[[#This Row],[Quantity]]*VLOOKUP(OrganizedData[[#This Row],[Product Code]],ProductData[],4,FALSE)</f>
        <v>400</v>
      </c>
      <c r="Q2431" s="6">
        <f>OrganizedData[[#This Row],[Total Items Ordered]]*VLOOKUP(OrganizedData[[#This Row],[Product Code]],ProductData[],3,FALSE)</f>
        <v>803.99999999999989</v>
      </c>
      <c r="R24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2432" spans="1:18" x14ac:dyDescent="0.3">
      <c r="A2432" s="2">
        <v>2425</v>
      </c>
      <c r="B2432" s="2" t="s">
        <v>6492</v>
      </c>
      <c r="C2432" s="2" t="s">
        <v>2145</v>
      </c>
      <c r="D2432" s="2" t="s">
        <v>28</v>
      </c>
      <c r="E2432" s="2" t="s">
        <v>29</v>
      </c>
      <c r="F2432" s="2">
        <v>60</v>
      </c>
      <c r="G2432" s="2" t="s">
        <v>6493</v>
      </c>
      <c r="H2432" s="2" t="s">
        <v>405</v>
      </c>
      <c r="I2432" s="2" t="s">
        <v>32</v>
      </c>
      <c r="J2432" s="3">
        <v>44445</v>
      </c>
      <c r="K2432" s="5">
        <f>YEAR(OrganizedData[[#This Row],[Order Date]])</f>
        <v>2021</v>
      </c>
      <c r="L2432" s="7" t="str">
        <f>TEXT(OrganizedData[[#This Row],[Order Date]],"mmm")</f>
        <v>Sep</v>
      </c>
      <c r="M2432" s="2">
        <v>56</v>
      </c>
      <c r="N2432" s="2" t="s">
        <v>20</v>
      </c>
      <c r="O2432" s="2" t="str">
        <f>VLOOKUP(OrganizedData[[#This Row],[Product Code]],ProductData[[Code]:[Item]],2,FALSE)</f>
        <v>Hyperwotsit</v>
      </c>
      <c r="P2432" s="4">
        <f>OrganizedData[[#This Row],[Quantity]]*VLOOKUP(OrganizedData[[#This Row],[Product Code]],ProductData[],4,FALSE)</f>
        <v>1120</v>
      </c>
      <c r="Q2432" s="6">
        <f>OrganizedData[[#This Row],[Total Items Ordered]]*VLOOKUP(OrganizedData[[#This Row],[Product Code]],ProductData[],3,FALSE)</f>
        <v>2251.1999999999998</v>
      </c>
      <c r="R24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2433" spans="1:18" x14ac:dyDescent="0.3">
      <c r="A2433" s="2">
        <v>2426</v>
      </c>
      <c r="B2433" s="2" t="s">
        <v>2303</v>
      </c>
      <c r="C2433" s="2" t="s">
        <v>3375</v>
      </c>
      <c r="D2433" s="2" t="s">
        <v>28</v>
      </c>
      <c r="E2433" s="2" t="s">
        <v>29</v>
      </c>
      <c r="F2433" s="2">
        <v>60</v>
      </c>
      <c r="G2433" s="2" t="s">
        <v>6494</v>
      </c>
      <c r="H2433" s="2" t="s">
        <v>2975</v>
      </c>
      <c r="I2433" s="2" t="s">
        <v>146</v>
      </c>
      <c r="J2433" s="3">
        <v>44121</v>
      </c>
      <c r="K2433" s="5">
        <f>YEAR(OrganizedData[[#This Row],[Order Date]])</f>
        <v>2020</v>
      </c>
      <c r="L2433" s="7" t="str">
        <f>TEXT(OrganizedData[[#This Row],[Order Date]],"mmm")</f>
        <v>Oct</v>
      </c>
      <c r="M2433" s="2">
        <v>73</v>
      </c>
      <c r="N2433" s="2" t="s">
        <v>39</v>
      </c>
      <c r="O2433" s="2" t="str">
        <f>VLOOKUP(OrganizedData[[#This Row],[Product Code]],ProductData[[Code]:[Item]],2,FALSE)</f>
        <v>Ultrathing V1</v>
      </c>
      <c r="P2433" s="4">
        <f>OrganizedData[[#This Row],[Quantity]]*VLOOKUP(OrganizedData[[#This Row],[Product Code]],ProductData[],4,FALSE)</f>
        <v>1241</v>
      </c>
      <c r="Q2433" s="6">
        <f>OrganizedData[[#This Row],[Total Items Ordered]]*VLOOKUP(OrganizedData[[#This Row],[Product Code]],ProductData[],3,FALSE)</f>
        <v>2221.39</v>
      </c>
      <c r="R24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2434" spans="1:18" x14ac:dyDescent="0.3">
      <c r="A2434" s="2">
        <v>2427</v>
      </c>
      <c r="B2434" s="2" t="s">
        <v>1236</v>
      </c>
      <c r="C2434" s="2" t="s">
        <v>3016</v>
      </c>
      <c r="D2434" s="2" t="s">
        <v>41</v>
      </c>
      <c r="E2434" s="2" t="s">
        <v>16</v>
      </c>
      <c r="F2434" s="2">
        <v>30</v>
      </c>
      <c r="G2434" s="2" t="s">
        <v>6495</v>
      </c>
      <c r="H2434" s="2" t="s">
        <v>526</v>
      </c>
      <c r="I2434" s="2" t="s">
        <v>32</v>
      </c>
      <c r="J2434" s="3">
        <v>44857</v>
      </c>
      <c r="K2434" s="5">
        <f>YEAR(OrganizedData[[#This Row],[Order Date]])</f>
        <v>2022</v>
      </c>
      <c r="L2434" s="7" t="str">
        <f>TEXT(OrganizedData[[#This Row],[Order Date]],"mmm")</f>
        <v>Oct</v>
      </c>
      <c r="M2434" s="2">
        <v>68</v>
      </c>
      <c r="N2434" s="2" t="s">
        <v>54</v>
      </c>
      <c r="O2434" s="2" t="str">
        <f>VLOOKUP(OrganizedData[[#This Row],[Product Code]],ProductData[[Code]:[Item]],2,FALSE)</f>
        <v>Megawidget S</v>
      </c>
      <c r="P2434" s="4">
        <f>OrganizedData[[#This Row],[Quantity]]*VLOOKUP(OrganizedData[[#This Row],[Product Code]],ProductData[],4,FALSE)</f>
        <v>1632</v>
      </c>
      <c r="Q2434" s="6">
        <f>OrganizedData[[#This Row],[Total Items Ordered]]*VLOOKUP(OrganizedData[[#This Row],[Product Code]],ProductData[],3,FALSE)</f>
        <v>1126.08</v>
      </c>
      <c r="R24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1069.7759999999998</v>
      </c>
    </row>
    <row r="2435" spans="1:18" x14ac:dyDescent="0.3">
      <c r="A2435" s="2">
        <v>2428</v>
      </c>
      <c r="B2435" s="2" t="s">
        <v>5348</v>
      </c>
      <c r="C2435" s="2" t="s">
        <v>2281</v>
      </c>
      <c r="D2435" s="2" t="s">
        <v>28</v>
      </c>
      <c r="E2435" s="2" t="s">
        <v>29</v>
      </c>
      <c r="F2435" s="2">
        <v>90</v>
      </c>
      <c r="G2435" s="2" t="s">
        <v>6496</v>
      </c>
      <c r="H2435" s="2" t="s">
        <v>1401</v>
      </c>
      <c r="I2435" s="2" t="s">
        <v>1402</v>
      </c>
      <c r="J2435" s="3">
        <v>44631</v>
      </c>
      <c r="K2435" s="5">
        <f>YEAR(OrganizedData[[#This Row],[Order Date]])</f>
        <v>2022</v>
      </c>
      <c r="L2435" s="7" t="str">
        <f>TEXT(OrganizedData[[#This Row],[Order Date]],"mmm")</f>
        <v>Mar</v>
      </c>
      <c r="M2435" s="2">
        <v>55</v>
      </c>
      <c r="N2435" s="2" t="s">
        <v>64</v>
      </c>
      <c r="O2435" s="2" t="str">
        <f>VLOOKUP(OrganizedData[[#This Row],[Product Code]],ProductData[[Code]:[Item]],2,FALSE)</f>
        <v>Ultrathing V4</v>
      </c>
      <c r="P2435" s="4">
        <f>OrganizedData[[#This Row],[Quantity]]*VLOOKUP(OrganizedData[[#This Row],[Product Code]],ProductData[],4,FALSE)</f>
        <v>1320</v>
      </c>
      <c r="Q2435" s="6">
        <f>OrganizedData[[#This Row],[Total Items Ordered]]*VLOOKUP(OrganizedData[[#This Row],[Product Code]],ProductData[],3,FALSE)</f>
        <v>5266.8</v>
      </c>
      <c r="R24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2436" spans="1:18" x14ac:dyDescent="0.3">
      <c r="A2436" s="2">
        <v>2429</v>
      </c>
      <c r="B2436" s="2" t="s">
        <v>6330</v>
      </c>
      <c r="C2436" s="2" t="s">
        <v>705</v>
      </c>
      <c r="D2436" s="2" t="s">
        <v>28</v>
      </c>
      <c r="E2436" s="2" t="s">
        <v>29</v>
      </c>
      <c r="F2436" s="2">
        <v>30</v>
      </c>
      <c r="G2436" s="2" t="s">
        <v>6497</v>
      </c>
      <c r="H2436" s="2" t="s">
        <v>6498</v>
      </c>
      <c r="I2436" s="2" t="s">
        <v>124</v>
      </c>
      <c r="J2436" s="3">
        <v>44673</v>
      </c>
      <c r="K2436" s="5">
        <f>YEAR(OrganizedData[[#This Row],[Order Date]])</f>
        <v>2022</v>
      </c>
      <c r="L2436" s="7" t="str">
        <f>TEXT(OrganizedData[[#This Row],[Order Date]],"mmm")</f>
        <v>Apr</v>
      </c>
      <c r="M2436" s="2">
        <v>89</v>
      </c>
      <c r="N2436" s="2" t="s">
        <v>39</v>
      </c>
      <c r="O2436" s="2" t="str">
        <f>VLOOKUP(OrganizedData[[#This Row],[Product Code]],ProductData[[Code]:[Item]],2,FALSE)</f>
        <v>Ultrathing V1</v>
      </c>
      <c r="P2436" s="4">
        <f>OrganizedData[[#This Row],[Quantity]]*VLOOKUP(OrganizedData[[#This Row],[Product Code]],ProductData[],4,FALSE)</f>
        <v>1513</v>
      </c>
      <c r="Q2436" s="6">
        <f>OrganizedData[[#This Row],[Total Items Ordered]]*VLOOKUP(OrganizedData[[#This Row],[Product Code]],ProductData[],3,FALSE)</f>
        <v>2708.27</v>
      </c>
      <c r="R24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2572.8564999999999</v>
      </c>
    </row>
    <row r="2437" spans="1:18" x14ac:dyDescent="0.3">
      <c r="A2437" s="2">
        <v>2430</v>
      </c>
      <c r="B2437" s="2" t="s">
        <v>2805</v>
      </c>
      <c r="C2437" s="2" t="s">
        <v>2995</v>
      </c>
      <c r="D2437" s="2" t="s">
        <v>28</v>
      </c>
      <c r="E2437" s="2" t="s">
        <v>29</v>
      </c>
      <c r="F2437" s="2">
        <v>60</v>
      </c>
      <c r="G2437" s="2" t="s">
        <v>6499</v>
      </c>
      <c r="H2437" s="2" t="s">
        <v>1422</v>
      </c>
      <c r="I2437" s="2" t="s">
        <v>575</v>
      </c>
      <c r="J2437" s="3">
        <v>44482</v>
      </c>
      <c r="K2437" s="5">
        <f>YEAR(OrganizedData[[#This Row],[Order Date]])</f>
        <v>2021</v>
      </c>
      <c r="L2437" s="7" t="str">
        <f>TEXT(OrganizedData[[#This Row],[Order Date]],"mmm")</f>
        <v>Oct</v>
      </c>
      <c r="M2437" s="2">
        <v>90</v>
      </c>
      <c r="N2437" s="2" t="s">
        <v>45</v>
      </c>
      <c r="O2437" s="2" t="str">
        <f>VLOOKUP(OrganizedData[[#This Row],[Product Code]],ProductData[[Code]:[Item]],2,FALSE)</f>
        <v>Gigastuff</v>
      </c>
      <c r="P2437" s="4">
        <f>OrganizedData[[#This Row],[Quantity]]*VLOOKUP(OrganizedData[[#This Row],[Product Code]],ProductData[],4,FALSE)</f>
        <v>1620</v>
      </c>
      <c r="Q2437" s="6">
        <f>OrganizedData[[#This Row],[Total Items Ordered]]*VLOOKUP(OrganizedData[[#This Row],[Product Code]],ProductData[],3,FALSE)</f>
        <v>3061.7999999999997</v>
      </c>
      <c r="R24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2908.7099999999996</v>
      </c>
    </row>
    <row r="2438" spans="1:18" x14ac:dyDescent="0.3">
      <c r="A2438" s="2">
        <v>2431</v>
      </c>
      <c r="B2438" s="2" t="s">
        <v>6500</v>
      </c>
      <c r="C2438" s="2" t="s">
        <v>2326</v>
      </c>
      <c r="D2438" s="2" t="s">
        <v>51</v>
      </c>
      <c r="E2438" s="2" t="s">
        <v>16</v>
      </c>
      <c r="F2438" s="2">
        <v>60</v>
      </c>
      <c r="G2438" s="2" t="s">
        <v>6501</v>
      </c>
      <c r="H2438" s="2" t="s">
        <v>4111</v>
      </c>
      <c r="I2438" s="2" t="s">
        <v>95</v>
      </c>
      <c r="J2438" s="3">
        <v>44096</v>
      </c>
      <c r="K2438" s="5">
        <f>YEAR(OrganizedData[[#This Row],[Order Date]])</f>
        <v>2020</v>
      </c>
      <c r="L2438" s="7" t="str">
        <f>TEXT(OrganizedData[[#This Row],[Order Date]],"mmm")</f>
        <v>Sep</v>
      </c>
      <c r="M2438" s="2">
        <v>61</v>
      </c>
      <c r="N2438" s="2" t="s">
        <v>101</v>
      </c>
      <c r="O2438" s="2" t="str">
        <f>VLOOKUP(OrganizedData[[#This Row],[Product Code]],ProductData[[Code]:[Item]],2,FALSE)</f>
        <v>Superwossname</v>
      </c>
      <c r="P2438" s="4">
        <f>OrganizedData[[#This Row],[Quantity]]*VLOOKUP(OrganizedData[[#This Row],[Product Code]],ProductData[],4,FALSE)</f>
        <v>1220</v>
      </c>
      <c r="Q2438" s="6">
        <f>OrganizedData[[#This Row],[Total Items Ordered]]*VLOOKUP(OrganizedData[[#This Row],[Product Code]],ProductData[],3,FALSE)</f>
        <v>4257.8</v>
      </c>
      <c r="R24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4044.91</v>
      </c>
    </row>
    <row r="2439" spans="1:18" x14ac:dyDescent="0.3">
      <c r="A2439" s="2">
        <v>2432</v>
      </c>
      <c r="B2439" s="2" t="s">
        <v>1860</v>
      </c>
      <c r="C2439" s="2" t="s">
        <v>1832</v>
      </c>
      <c r="D2439" s="2" t="s">
        <v>28</v>
      </c>
      <c r="E2439" s="2" t="s">
        <v>29</v>
      </c>
      <c r="F2439" s="2">
        <v>30</v>
      </c>
      <c r="G2439" s="2" t="s">
        <v>6502</v>
      </c>
      <c r="H2439" s="2" t="s">
        <v>1412</v>
      </c>
      <c r="I2439" s="2" t="s">
        <v>1413</v>
      </c>
      <c r="J2439" s="3">
        <v>44103</v>
      </c>
      <c r="K2439" s="5">
        <f>YEAR(OrganizedData[[#This Row],[Order Date]])</f>
        <v>2020</v>
      </c>
      <c r="L2439" s="7" t="str">
        <f>TEXT(OrganizedData[[#This Row],[Order Date]],"mmm")</f>
        <v>Sep</v>
      </c>
      <c r="M2439" s="2">
        <v>12</v>
      </c>
      <c r="N2439" s="2" t="s">
        <v>80</v>
      </c>
      <c r="O2439" s="2" t="str">
        <f>VLOOKUP(OrganizedData[[#This Row],[Product Code]],ProductData[[Code]:[Item]],2,FALSE)</f>
        <v>Ultrathing V2</v>
      </c>
      <c r="P2439" s="4">
        <f>OrganizedData[[#This Row],[Quantity]]*VLOOKUP(OrganizedData[[#This Row],[Product Code]],ProductData[],4,FALSE)</f>
        <v>240</v>
      </c>
      <c r="Q2439" s="6">
        <f>OrganizedData[[#This Row],[Total Items Ordered]]*VLOOKUP(OrganizedData[[#This Row],[Product Code]],ProductData[],3,FALSE)</f>
        <v>708</v>
      </c>
      <c r="R24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v>
      </c>
    </row>
    <row r="2440" spans="1:18" x14ac:dyDescent="0.3">
      <c r="A2440" s="2">
        <v>2433</v>
      </c>
      <c r="B2440" s="2" t="s">
        <v>6503</v>
      </c>
      <c r="C2440" s="2" t="s">
        <v>4029</v>
      </c>
      <c r="D2440" s="2" t="s">
        <v>28</v>
      </c>
      <c r="E2440" s="2" t="s">
        <v>29</v>
      </c>
      <c r="F2440" s="2">
        <v>30</v>
      </c>
      <c r="G2440" s="2" t="s">
        <v>6504</v>
      </c>
      <c r="H2440" s="2" t="s">
        <v>2348</v>
      </c>
      <c r="I2440" s="2" t="s">
        <v>32</v>
      </c>
      <c r="J2440" s="3">
        <v>43918</v>
      </c>
      <c r="K2440" s="5">
        <f>YEAR(OrganizedData[[#This Row],[Order Date]])</f>
        <v>2020</v>
      </c>
      <c r="L2440" s="7" t="str">
        <f>TEXT(OrganizedData[[#This Row],[Order Date]],"mmm")</f>
        <v>Mar</v>
      </c>
      <c r="M2440" s="2">
        <v>66</v>
      </c>
      <c r="N2440" s="2" t="s">
        <v>39</v>
      </c>
      <c r="O2440" s="2" t="str">
        <f>VLOOKUP(OrganizedData[[#This Row],[Product Code]],ProductData[[Code]:[Item]],2,FALSE)</f>
        <v>Ultrathing V1</v>
      </c>
      <c r="P2440" s="4">
        <f>OrganizedData[[#This Row],[Quantity]]*VLOOKUP(OrganizedData[[#This Row],[Product Code]],ProductData[],4,FALSE)</f>
        <v>1122</v>
      </c>
      <c r="Q2440" s="6">
        <f>OrganizedData[[#This Row],[Total Items Ordered]]*VLOOKUP(OrganizedData[[#This Row],[Product Code]],ProductData[],3,FALSE)</f>
        <v>2008.38</v>
      </c>
      <c r="R24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2441" spans="1:18" x14ac:dyDescent="0.3">
      <c r="A2441" s="2">
        <v>2434</v>
      </c>
      <c r="B2441" s="2" t="s">
        <v>6505</v>
      </c>
      <c r="C2441" s="2" t="s">
        <v>1132</v>
      </c>
      <c r="D2441" s="2" t="s">
        <v>51</v>
      </c>
      <c r="E2441" s="2" t="s">
        <v>16</v>
      </c>
      <c r="F2441" s="2">
        <v>90</v>
      </c>
      <c r="G2441" s="2" t="s">
        <v>6506</v>
      </c>
      <c r="H2441" s="2" t="s">
        <v>6507</v>
      </c>
      <c r="I2441" s="2" t="s">
        <v>187</v>
      </c>
      <c r="J2441" s="3">
        <v>44911</v>
      </c>
      <c r="K2441" s="5">
        <f>YEAR(OrganizedData[[#This Row],[Order Date]])</f>
        <v>2022</v>
      </c>
      <c r="L2441" s="7" t="str">
        <f>TEXT(OrganizedData[[#This Row],[Order Date]],"mmm")</f>
        <v>Dec</v>
      </c>
      <c r="M2441" s="2">
        <v>86</v>
      </c>
      <c r="N2441" s="2" t="s">
        <v>45</v>
      </c>
      <c r="O2441" s="2" t="str">
        <f>VLOOKUP(OrganizedData[[#This Row],[Product Code]],ProductData[[Code]:[Item]],2,FALSE)</f>
        <v>Gigastuff</v>
      </c>
      <c r="P2441" s="4">
        <f>OrganizedData[[#This Row],[Quantity]]*VLOOKUP(OrganizedData[[#This Row],[Product Code]],ProductData[],4,FALSE)</f>
        <v>1548</v>
      </c>
      <c r="Q2441" s="6">
        <f>OrganizedData[[#This Row],[Total Items Ordered]]*VLOOKUP(OrganizedData[[#This Row],[Product Code]],ProductData[],3,FALSE)</f>
        <v>2925.72</v>
      </c>
      <c r="R24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2779.4339999999997</v>
      </c>
    </row>
    <row r="2442" spans="1:18" x14ac:dyDescent="0.3">
      <c r="A2442" s="2">
        <v>2435</v>
      </c>
      <c r="B2442" s="2" t="s">
        <v>6511</v>
      </c>
      <c r="C2442" s="2" t="s">
        <v>4018</v>
      </c>
      <c r="D2442" s="2" t="s">
        <v>28</v>
      </c>
      <c r="E2442" s="2" t="s">
        <v>29</v>
      </c>
      <c r="F2442" s="2">
        <v>60</v>
      </c>
      <c r="G2442" s="2" t="s">
        <v>6512</v>
      </c>
      <c r="H2442" s="2" t="s">
        <v>2982</v>
      </c>
      <c r="I2442" s="2" t="s">
        <v>2983</v>
      </c>
      <c r="J2442" s="3">
        <v>43923</v>
      </c>
      <c r="K2442" s="5">
        <f>YEAR(OrganizedData[[#This Row],[Order Date]])</f>
        <v>2020</v>
      </c>
      <c r="L2442" s="7" t="str">
        <f>TEXT(OrganizedData[[#This Row],[Order Date]],"mmm")</f>
        <v>Apr</v>
      </c>
      <c r="M2442" s="2">
        <v>7</v>
      </c>
      <c r="N2442" s="2" t="s">
        <v>54</v>
      </c>
      <c r="O2442" s="2" t="str">
        <f>VLOOKUP(OrganizedData[[#This Row],[Product Code]],ProductData[[Code]:[Item]],2,FALSE)</f>
        <v>Megawidget S</v>
      </c>
      <c r="P2442" s="4">
        <f>OrganizedData[[#This Row],[Quantity]]*VLOOKUP(OrganizedData[[#This Row],[Product Code]],ProductData[],4,FALSE)</f>
        <v>168</v>
      </c>
      <c r="Q2442" s="6">
        <f>OrganizedData[[#This Row],[Total Items Ordered]]*VLOOKUP(OrganizedData[[#This Row],[Product Code]],ProductData[],3,FALSE)</f>
        <v>115.91999999999999</v>
      </c>
      <c r="R24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2443" spans="1:18" x14ac:dyDescent="0.3">
      <c r="A2443" s="2">
        <v>2436</v>
      </c>
      <c r="B2443" s="2" t="s">
        <v>3149</v>
      </c>
      <c r="C2443" s="2" t="s">
        <v>6513</v>
      </c>
      <c r="D2443" s="2" t="s">
        <v>28</v>
      </c>
      <c r="E2443" s="2" t="s">
        <v>29</v>
      </c>
      <c r="F2443" s="2">
        <v>60</v>
      </c>
      <c r="G2443" s="2" t="s">
        <v>6514</v>
      </c>
      <c r="H2443" s="2" t="s">
        <v>1077</v>
      </c>
      <c r="I2443" s="2" t="s">
        <v>1078</v>
      </c>
      <c r="J2443" s="3">
        <v>44564</v>
      </c>
      <c r="K2443" s="5">
        <f>YEAR(OrganizedData[[#This Row],[Order Date]])</f>
        <v>2022</v>
      </c>
      <c r="L2443" s="7" t="str">
        <f>TEXT(OrganizedData[[#This Row],[Order Date]],"mmm")</f>
        <v>Jan</v>
      </c>
      <c r="M2443" s="2">
        <v>73</v>
      </c>
      <c r="N2443" s="2" t="s">
        <v>80</v>
      </c>
      <c r="O2443" s="2" t="str">
        <f>VLOOKUP(OrganizedData[[#This Row],[Product Code]],ProductData[[Code]:[Item]],2,FALSE)</f>
        <v>Ultrathing V2</v>
      </c>
      <c r="P2443" s="4">
        <f>OrganizedData[[#This Row],[Quantity]]*VLOOKUP(OrganizedData[[#This Row],[Product Code]],ProductData[],4,FALSE)</f>
        <v>1460</v>
      </c>
      <c r="Q2443" s="6">
        <f>OrganizedData[[#This Row],[Total Items Ordered]]*VLOOKUP(OrganizedData[[#This Row],[Product Code]],ProductData[],3,FALSE)</f>
        <v>4307</v>
      </c>
      <c r="R24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2444" spans="1:18" x14ac:dyDescent="0.3">
      <c r="A2444" s="2">
        <v>2437</v>
      </c>
      <c r="B2444" s="2" t="s">
        <v>6515</v>
      </c>
      <c r="C2444" s="2" t="s">
        <v>5797</v>
      </c>
      <c r="D2444" s="2" t="s">
        <v>51</v>
      </c>
      <c r="E2444" s="2" t="s">
        <v>16</v>
      </c>
      <c r="F2444" s="2">
        <v>60</v>
      </c>
      <c r="G2444" s="2" t="s">
        <v>6514</v>
      </c>
      <c r="H2444" s="2" t="s">
        <v>6516</v>
      </c>
      <c r="I2444" s="2" t="s">
        <v>32</v>
      </c>
      <c r="J2444" s="3">
        <v>43858</v>
      </c>
      <c r="K2444" s="5">
        <f>YEAR(OrganizedData[[#This Row],[Order Date]])</f>
        <v>2020</v>
      </c>
      <c r="L2444" s="7" t="str">
        <f>TEXT(OrganizedData[[#This Row],[Order Date]],"mmm")</f>
        <v>Jan</v>
      </c>
      <c r="M2444" s="2">
        <v>9</v>
      </c>
      <c r="N2444" s="2" t="s">
        <v>101</v>
      </c>
      <c r="O2444" s="2" t="str">
        <f>VLOOKUP(OrganizedData[[#This Row],[Product Code]],ProductData[[Code]:[Item]],2,FALSE)</f>
        <v>Superwossname</v>
      </c>
      <c r="P2444" s="4">
        <f>OrganizedData[[#This Row],[Quantity]]*VLOOKUP(OrganizedData[[#This Row],[Product Code]],ProductData[],4,FALSE)</f>
        <v>180</v>
      </c>
      <c r="Q2444" s="6">
        <f>OrganizedData[[#This Row],[Total Items Ordered]]*VLOOKUP(OrganizedData[[#This Row],[Product Code]],ProductData[],3,FALSE)</f>
        <v>628.20000000000005</v>
      </c>
      <c r="R24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628.20000000000005</v>
      </c>
    </row>
    <row r="2445" spans="1:18" x14ac:dyDescent="0.3">
      <c r="A2445" s="2">
        <v>2438</v>
      </c>
      <c r="B2445" s="2" t="s">
        <v>6517</v>
      </c>
      <c r="C2445" s="2" t="s">
        <v>6275</v>
      </c>
      <c r="D2445" s="2" t="s">
        <v>51</v>
      </c>
      <c r="E2445" s="2" t="s">
        <v>16</v>
      </c>
      <c r="F2445" s="2">
        <v>30</v>
      </c>
      <c r="G2445" s="2" t="s">
        <v>6518</v>
      </c>
      <c r="H2445" s="2" t="s">
        <v>2401</v>
      </c>
      <c r="I2445" s="2" t="s">
        <v>178</v>
      </c>
      <c r="J2445" s="3">
        <v>44055</v>
      </c>
      <c r="K2445" s="5">
        <f>YEAR(OrganizedData[[#This Row],[Order Date]])</f>
        <v>2020</v>
      </c>
      <c r="L2445" s="7" t="str">
        <f>TEXT(OrganizedData[[#This Row],[Order Date]],"mmm")</f>
        <v>Aug</v>
      </c>
      <c r="M2445" s="2">
        <v>56</v>
      </c>
      <c r="N2445" s="2" t="s">
        <v>70</v>
      </c>
      <c r="O2445" s="2" t="str">
        <f>VLOOKUP(OrganizedData[[#This Row],[Product Code]],ProductData[[Code]:[Item]],2,FALSE)</f>
        <v>Megawidget M</v>
      </c>
      <c r="P2445" s="4">
        <f>OrganizedData[[#This Row],[Quantity]]*VLOOKUP(OrganizedData[[#This Row],[Product Code]],ProductData[],4,FALSE)</f>
        <v>1344</v>
      </c>
      <c r="Q2445" s="6">
        <f>OrganizedData[[#This Row],[Total Items Ordered]]*VLOOKUP(OrganizedData[[#This Row],[Product Code]],ProductData[],3,FALSE)</f>
        <v>1733.76</v>
      </c>
      <c r="R24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1647.0719999999999</v>
      </c>
    </row>
    <row r="2446" spans="1:18" x14ac:dyDescent="0.3">
      <c r="A2446" s="2">
        <v>2439</v>
      </c>
      <c r="B2446" s="2" t="s">
        <v>6519</v>
      </c>
      <c r="C2446" s="2" t="s">
        <v>4137</v>
      </c>
      <c r="D2446" s="2" t="s">
        <v>51</v>
      </c>
      <c r="E2446" s="2" t="s">
        <v>16</v>
      </c>
      <c r="F2446" s="2">
        <v>90</v>
      </c>
      <c r="G2446" s="2" t="s">
        <v>6520</v>
      </c>
      <c r="H2446" s="2" t="s">
        <v>4180</v>
      </c>
      <c r="I2446" s="2" t="s">
        <v>187</v>
      </c>
      <c r="J2446" s="3">
        <v>44794</v>
      </c>
      <c r="K2446" s="5">
        <f>YEAR(OrganizedData[[#This Row],[Order Date]])</f>
        <v>2022</v>
      </c>
      <c r="L2446" s="7" t="str">
        <f>TEXT(OrganizedData[[#This Row],[Order Date]],"mmm")</f>
        <v>Aug</v>
      </c>
      <c r="M2446" s="2">
        <v>105</v>
      </c>
      <c r="N2446" s="2" t="s">
        <v>20</v>
      </c>
      <c r="O2446" s="2" t="str">
        <f>VLOOKUP(OrganizedData[[#This Row],[Product Code]],ProductData[[Code]:[Item]],2,FALSE)</f>
        <v>Hyperwotsit</v>
      </c>
      <c r="P2446" s="4">
        <f>OrganizedData[[#This Row],[Quantity]]*VLOOKUP(OrganizedData[[#This Row],[Product Code]],ProductData[],4,FALSE)</f>
        <v>2100</v>
      </c>
      <c r="Q2446" s="6">
        <f>OrganizedData[[#This Row],[Total Items Ordered]]*VLOOKUP(OrganizedData[[#This Row],[Product Code]],ProductData[],3,FALSE)</f>
        <v>4221</v>
      </c>
      <c r="R24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3925.53</v>
      </c>
    </row>
    <row r="2447" spans="1:18" x14ac:dyDescent="0.3">
      <c r="A2447" s="2">
        <v>2440</v>
      </c>
      <c r="B2447" s="2" t="s">
        <v>4068</v>
      </c>
      <c r="C2447" s="2" t="s">
        <v>4075</v>
      </c>
      <c r="D2447" s="2" t="s">
        <v>28</v>
      </c>
      <c r="E2447" s="2" t="s">
        <v>29</v>
      </c>
      <c r="F2447" s="2">
        <v>90</v>
      </c>
      <c r="G2447" s="2" t="s">
        <v>6521</v>
      </c>
      <c r="H2447" s="2" t="s">
        <v>5736</v>
      </c>
      <c r="I2447" s="2" t="s">
        <v>95</v>
      </c>
      <c r="J2447" s="3">
        <v>44351</v>
      </c>
      <c r="K2447" s="5">
        <f>YEAR(OrganizedData[[#This Row],[Order Date]])</f>
        <v>2021</v>
      </c>
      <c r="L2447" s="7" t="str">
        <f>TEXT(OrganizedData[[#This Row],[Order Date]],"mmm")</f>
        <v>Jun</v>
      </c>
      <c r="M2447" s="2">
        <v>43</v>
      </c>
      <c r="N2447" s="2" t="s">
        <v>54</v>
      </c>
      <c r="O2447" s="2" t="str">
        <f>VLOOKUP(OrganizedData[[#This Row],[Product Code]],ProductData[[Code]:[Item]],2,FALSE)</f>
        <v>Megawidget S</v>
      </c>
      <c r="P2447" s="4">
        <f>OrganizedData[[#This Row],[Quantity]]*VLOOKUP(OrganizedData[[#This Row],[Product Code]],ProductData[],4,FALSE)</f>
        <v>1032</v>
      </c>
      <c r="Q2447" s="6">
        <f>OrganizedData[[#This Row],[Total Items Ordered]]*VLOOKUP(OrganizedData[[#This Row],[Product Code]],ProductData[],3,FALSE)</f>
        <v>712.07999999999993</v>
      </c>
      <c r="R24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690.71759999999995</v>
      </c>
    </row>
    <row r="2448" spans="1:18" x14ac:dyDescent="0.3">
      <c r="A2448" s="2">
        <v>2441</v>
      </c>
      <c r="B2448" s="2" t="s">
        <v>6522</v>
      </c>
      <c r="C2448" s="2" t="s">
        <v>6523</v>
      </c>
      <c r="D2448" s="2" t="s">
        <v>28</v>
      </c>
      <c r="E2448" s="2" t="s">
        <v>29</v>
      </c>
      <c r="F2448" s="2">
        <v>30</v>
      </c>
      <c r="G2448" s="2" t="s">
        <v>6524</v>
      </c>
      <c r="H2448" s="2" t="s">
        <v>3234</v>
      </c>
      <c r="I2448" s="2" t="s">
        <v>25</v>
      </c>
      <c r="J2448" s="3">
        <v>44045</v>
      </c>
      <c r="K2448" s="5">
        <f>YEAR(OrganizedData[[#This Row],[Order Date]])</f>
        <v>2020</v>
      </c>
      <c r="L2448" s="7" t="str">
        <f>TEXT(OrganizedData[[#This Row],[Order Date]],"mmm")</f>
        <v>Aug</v>
      </c>
      <c r="M2448" s="2">
        <v>81</v>
      </c>
      <c r="N2448" s="2" t="s">
        <v>101</v>
      </c>
      <c r="O2448" s="2" t="str">
        <f>VLOOKUP(OrganizedData[[#This Row],[Product Code]],ProductData[[Code]:[Item]],2,FALSE)</f>
        <v>Superwossname</v>
      </c>
      <c r="P2448" s="4">
        <f>OrganizedData[[#This Row],[Quantity]]*VLOOKUP(OrganizedData[[#This Row],[Product Code]],ProductData[],4,FALSE)</f>
        <v>1620</v>
      </c>
      <c r="Q2448" s="6">
        <f>OrganizedData[[#This Row],[Total Items Ordered]]*VLOOKUP(OrganizedData[[#This Row],[Product Code]],ProductData[],3,FALSE)</f>
        <v>5653.8</v>
      </c>
      <c r="R24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5371.11</v>
      </c>
    </row>
    <row r="2449" spans="1:18" x14ac:dyDescent="0.3">
      <c r="A2449" s="2">
        <v>2442</v>
      </c>
      <c r="B2449" s="2" t="s">
        <v>1116</v>
      </c>
      <c r="C2449" s="2" t="s">
        <v>1137</v>
      </c>
      <c r="D2449" s="2" t="s">
        <v>28</v>
      </c>
      <c r="E2449" s="2" t="s">
        <v>29</v>
      </c>
      <c r="F2449" s="2">
        <v>90</v>
      </c>
      <c r="G2449" s="2" t="s">
        <v>6525</v>
      </c>
      <c r="H2449" s="2" t="s">
        <v>2021</v>
      </c>
      <c r="I2449" s="2" t="s">
        <v>2022</v>
      </c>
      <c r="J2449" s="3">
        <v>44168</v>
      </c>
      <c r="K2449" s="5">
        <f>YEAR(OrganizedData[[#This Row],[Order Date]])</f>
        <v>2020</v>
      </c>
      <c r="L2449" s="7" t="str">
        <f>TEXT(OrganizedData[[#This Row],[Order Date]],"mmm")</f>
        <v>Dec</v>
      </c>
      <c r="M2449" s="2">
        <v>81</v>
      </c>
      <c r="N2449" s="2" t="s">
        <v>101</v>
      </c>
      <c r="O2449" s="2" t="str">
        <f>VLOOKUP(OrganizedData[[#This Row],[Product Code]],ProductData[[Code]:[Item]],2,FALSE)</f>
        <v>Superwossname</v>
      </c>
      <c r="P2449" s="4">
        <f>OrganizedData[[#This Row],[Quantity]]*VLOOKUP(OrganizedData[[#This Row],[Product Code]],ProductData[],4,FALSE)</f>
        <v>1620</v>
      </c>
      <c r="Q2449" s="6">
        <f>OrganizedData[[#This Row],[Total Items Ordered]]*VLOOKUP(OrganizedData[[#This Row],[Product Code]],ProductData[],3,FALSE)</f>
        <v>5653.8</v>
      </c>
      <c r="R24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5371.11</v>
      </c>
    </row>
    <row r="2450" spans="1:18" x14ac:dyDescent="0.3">
      <c r="A2450" s="2">
        <v>2443</v>
      </c>
      <c r="B2450" s="2" t="s">
        <v>6526</v>
      </c>
      <c r="C2450" s="2" t="s">
        <v>6527</v>
      </c>
      <c r="D2450" s="2" t="s">
        <v>51</v>
      </c>
      <c r="E2450" s="2" t="s">
        <v>16</v>
      </c>
      <c r="F2450" s="2">
        <v>60</v>
      </c>
      <c r="G2450" s="2" t="s">
        <v>6525</v>
      </c>
      <c r="H2450" s="2" t="s">
        <v>6516</v>
      </c>
      <c r="I2450" s="2" t="s">
        <v>32</v>
      </c>
      <c r="J2450" s="3">
        <v>44807</v>
      </c>
      <c r="K2450" s="5">
        <f>YEAR(OrganizedData[[#This Row],[Order Date]])</f>
        <v>2022</v>
      </c>
      <c r="L2450" s="7" t="str">
        <f>TEXT(OrganizedData[[#This Row],[Order Date]],"mmm")</f>
        <v>Sep</v>
      </c>
      <c r="M2450" s="2">
        <v>29</v>
      </c>
      <c r="N2450" s="2" t="s">
        <v>101</v>
      </c>
      <c r="O2450" s="2" t="str">
        <f>VLOOKUP(OrganizedData[[#This Row],[Product Code]],ProductData[[Code]:[Item]],2,FALSE)</f>
        <v>Superwossname</v>
      </c>
      <c r="P2450" s="4">
        <f>OrganizedData[[#This Row],[Quantity]]*VLOOKUP(OrganizedData[[#This Row],[Product Code]],ProductData[],4,FALSE)</f>
        <v>580</v>
      </c>
      <c r="Q2450" s="6">
        <f>OrganizedData[[#This Row],[Total Items Ordered]]*VLOOKUP(OrganizedData[[#This Row],[Product Code]],ProductData[],3,FALSE)</f>
        <v>2024.2</v>
      </c>
      <c r="R24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2451" spans="1:18" x14ac:dyDescent="0.3">
      <c r="A2451" s="2">
        <v>2444</v>
      </c>
      <c r="B2451" s="2" t="s">
        <v>6528</v>
      </c>
      <c r="C2451" s="2" t="s">
        <v>3930</v>
      </c>
      <c r="D2451" s="2" t="s">
        <v>28</v>
      </c>
      <c r="E2451" s="2" t="s">
        <v>29</v>
      </c>
      <c r="F2451" s="2">
        <v>60</v>
      </c>
      <c r="G2451" s="2" t="s">
        <v>6529</v>
      </c>
      <c r="H2451" s="2" t="s">
        <v>5962</v>
      </c>
      <c r="I2451" s="2" t="s">
        <v>32</v>
      </c>
      <c r="J2451" s="3">
        <v>44688</v>
      </c>
      <c r="K2451" s="5">
        <f>YEAR(OrganizedData[[#This Row],[Order Date]])</f>
        <v>2022</v>
      </c>
      <c r="L2451" s="7" t="str">
        <f>TEXT(OrganizedData[[#This Row],[Order Date]],"mmm")</f>
        <v>May</v>
      </c>
      <c r="M2451" s="2">
        <v>67</v>
      </c>
      <c r="N2451" s="2" t="s">
        <v>54</v>
      </c>
      <c r="O2451" s="2" t="str">
        <f>VLOOKUP(OrganizedData[[#This Row],[Product Code]],ProductData[[Code]:[Item]],2,FALSE)</f>
        <v>Megawidget S</v>
      </c>
      <c r="P2451" s="4">
        <f>OrganizedData[[#This Row],[Quantity]]*VLOOKUP(OrganizedData[[#This Row],[Product Code]],ProductData[],4,FALSE)</f>
        <v>1608</v>
      </c>
      <c r="Q2451" s="6">
        <f>OrganizedData[[#This Row],[Total Items Ordered]]*VLOOKUP(OrganizedData[[#This Row],[Product Code]],ProductData[],3,FALSE)</f>
        <v>1109.52</v>
      </c>
      <c r="R24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2452" spans="1:18" x14ac:dyDescent="0.3">
      <c r="A2452" s="2">
        <v>2445</v>
      </c>
      <c r="B2452" s="2" t="s">
        <v>4025</v>
      </c>
      <c r="C2452" s="2" t="s">
        <v>3824</v>
      </c>
      <c r="D2452" s="2" t="s">
        <v>15</v>
      </c>
      <c r="E2452" s="2" t="s">
        <v>16</v>
      </c>
      <c r="F2452" s="2">
        <v>60</v>
      </c>
      <c r="G2452" s="2" t="s">
        <v>6530</v>
      </c>
      <c r="H2452" s="2" t="s">
        <v>3531</v>
      </c>
      <c r="I2452" s="2" t="s">
        <v>32</v>
      </c>
      <c r="J2452" s="3">
        <v>44241</v>
      </c>
      <c r="K2452" s="5">
        <f>YEAR(OrganizedData[[#This Row],[Order Date]])</f>
        <v>2021</v>
      </c>
      <c r="L2452" s="7" t="str">
        <f>TEXT(OrganizedData[[#This Row],[Order Date]],"mmm")</f>
        <v>Feb</v>
      </c>
      <c r="M2452" s="2">
        <v>10</v>
      </c>
      <c r="N2452" s="2" t="s">
        <v>159</v>
      </c>
      <c r="O2452" s="2" t="str">
        <f>VLOOKUP(OrganizedData[[#This Row],[Product Code]],ProductData[[Code]:[Item]],2,FALSE)</f>
        <v>Ultrathing V3</v>
      </c>
      <c r="P2452" s="4">
        <f>OrganizedData[[#This Row],[Quantity]]*VLOOKUP(OrganizedData[[#This Row],[Product Code]],ProductData[],4,FALSE)</f>
        <v>240</v>
      </c>
      <c r="Q2452" s="6">
        <f>OrganizedData[[#This Row],[Total Items Ordered]]*VLOOKUP(OrganizedData[[#This Row],[Product Code]],ProductData[],3,FALSE)</f>
        <v>813.6</v>
      </c>
      <c r="R24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2453" spans="1:18" x14ac:dyDescent="0.3">
      <c r="A2453" s="2">
        <v>2446</v>
      </c>
      <c r="B2453" s="2" t="s">
        <v>820</v>
      </c>
      <c r="C2453" s="2" t="s">
        <v>5541</v>
      </c>
      <c r="D2453" s="2" t="s">
        <v>28</v>
      </c>
      <c r="E2453" s="2" t="s">
        <v>29</v>
      </c>
      <c r="F2453" s="2">
        <v>90</v>
      </c>
      <c r="G2453" s="2" t="s">
        <v>6531</v>
      </c>
      <c r="H2453" s="2" t="s">
        <v>6036</v>
      </c>
      <c r="I2453" s="2" t="s">
        <v>32</v>
      </c>
      <c r="J2453" s="3">
        <v>44558</v>
      </c>
      <c r="K2453" s="5">
        <f>YEAR(OrganizedData[[#This Row],[Order Date]])</f>
        <v>2021</v>
      </c>
      <c r="L2453" s="7" t="str">
        <f>TEXT(OrganizedData[[#This Row],[Order Date]],"mmm")</f>
        <v>Dec</v>
      </c>
      <c r="M2453" s="2">
        <v>5</v>
      </c>
      <c r="N2453" s="2" t="s">
        <v>45</v>
      </c>
      <c r="O2453" s="2" t="str">
        <f>VLOOKUP(OrganizedData[[#This Row],[Product Code]],ProductData[[Code]:[Item]],2,FALSE)</f>
        <v>Gigastuff</v>
      </c>
      <c r="P2453" s="4">
        <f>OrganizedData[[#This Row],[Quantity]]*VLOOKUP(OrganizedData[[#This Row],[Product Code]],ProductData[],4,FALSE)</f>
        <v>90</v>
      </c>
      <c r="Q2453" s="6">
        <f>OrganizedData[[#This Row],[Total Items Ordered]]*VLOOKUP(OrganizedData[[#This Row],[Product Code]],ProductData[],3,FALSE)</f>
        <v>170.1</v>
      </c>
      <c r="R24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2454" spans="1:18" x14ac:dyDescent="0.3">
      <c r="A2454" s="2">
        <v>2447</v>
      </c>
      <c r="B2454" s="2" t="s">
        <v>6532</v>
      </c>
      <c r="C2454" s="2" t="s">
        <v>4009</v>
      </c>
      <c r="D2454" s="2" t="s">
        <v>28</v>
      </c>
      <c r="E2454" s="2" t="s">
        <v>29</v>
      </c>
      <c r="F2454" s="2">
        <v>90</v>
      </c>
      <c r="G2454" s="2" t="s">
        <v>6533</v>
      </c>
      <c r="H2454" s="2" t="s">
        <v>4958</v>
      </c>
      <c r="I2454" s="2" t="s">
        <v>95</v>
      </c>
      <c r="J2454" s="3">
        <v>43964</v>
      </c>
      <c r="K2454" s="5">
        <f>YEAR(OrganizedData[[#This Row],[Order Date]])</f>
        <v>2020</v>
      </c>
      <c r="L2454" s="7" t="str">
        <f>TEXT(OrganizedData[[#This Row],[Order Date]],"mmm")</f>
        <v>May</v>
      </c>
      <c r="M2454" s="2">
        <v>47</v>
      </c>
      <c r="N2454" s="2" t="s">
        <v>80</v>
      </c>
      <c r="O2454" s="2" t="str">
        <f>VLOOKUP(OrganizedData[[#This Row],[Product Code]],ProductData[[Code]:[Item]],2,FALSE)</f>
        <v>Ultrathing V2</v>
      </c>
      <c r="P2454" s="4">
        <f>OrganizedData[[#This Row],[Quantity]]*VLOOKUP(OrganizedData[[#This Row],[Product Code]],ProductData[],4,FALSE)</f>
        <v>940</v>
      </c>
      <c r="Q2454" s="6">
        <f>OrganizedData[[#This Row],[Total Items Ordered]]*VLOOKUP(OrganizedData[[#This Row],[Product Code]],ProductData[],3,FALSE)</f>
        <v>2773</v>
      </c>
      <c r="R24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2689.81</v>
      </c>
    </row>
    <row r="2455" spans="1:18" x14ac:dyDescent="0.3">
      <c r="A2455" s="2">
        <v>2448</v>
      </c>
      <c r="B2455" s="2" t="s">
        <v>2647</v>
      </c>
      <c r="C2455" s="2" t="s">
        <v>6534</v>
      </c>
      <c r="D2455" s="2" t="s">
        <v>28</v>
      </c>
      <c r="E2455" s="2" t="s">
        <v>29</v>
      </c>
      <c r="F2455" s="2">
        <v>90</v>
      </c>
      <c r="G2455" s="2" t="s">
        <v>6535</v>
      </c>
      <c r="H2455" s="2" t="s">
        <v>5667</v>
      </c>
      <c r="I2455" s="2" t="s">
        <v>32</v>
      </c>
      <c r="J2455" s="3">
        <v>44407</v>
      </c>
      <c r="K2455" s="5">
        <f>YEAR(OrganizedData[[#This Row],[Order Date]])</f>
        <v>2021</v>
      </c>
      <c r="L2455" s="7" t="str">
        <f>TEXT(OrganizedData[[#This Row],[Order Date]],"mmm")</f>
        <v>Jul</v>
      </c>
      <c r="M2455" s="2">
        <v>70</v>
      </c>
      <c r="N2455" s="2" t="s">
        <v>45</v>
      </c>
      <c r="O2455" s="2" t="str">
        <f>VLOOKUP(OrganizedData[[#This Row],[Product Code]],ProductData[[Code]:[Item]],2,FALSE)</f>
        <v>Gigastuff</v>
      </c>
      <c r="P2455" s="4">
        <f>OrganizedData[[#This Row],[Quantity]]*VLOOKUP(OrganizedData[[#This Row],[Product Code]],ProductData[],4,FALSE)</f>
        <v>1260</v>
      </c>
      <c r="Q2455" s="6">
        <f>OrganizedData[[#This Row],[Total Items Ordered]]*VLOOKUP(OrganizedData[[#This Row],[Product Code]],ProductData[],3,FALSE)</f>
        <v>2381.4</v>
      </c>
      <c r="R24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2262.33</v>
      </c>
    </row>
    <row r="2456" spans="1:18" x14ac:dyDescent="0.3">
      <c r="A2456" s="2">
        <v>2449</v>
      </c>
      <c r="B2456" s="2" t="s">
        <v>5702</v>
      </c>
      <c r="C2456" s="2" t="s">
        <v>3522</v>
      </c>
      <c r="D2456" s="2" t="s">
        <v>28</v>
      </c>
      <c r="E2456" s="2" t="s">
        <v>29</v>
      </c>
      <c r="F2456" s="2">
        <v>90</v>
      </c>
      <c r="G2456" s="2" t="s">
        <v>6536</v>
      </c>
      <c r="H2456" s="2" t="s">
        <v>2334</v>
      </c>
      <c r="I2456" s="2" t="s">
        <v>32</v>
      </c>
      <c r="J2456" s="3">
        <v>44837</v>
      </c>
      <c r="K2456" s="5">
        <f>YEAR(OrganizedData[[#This Row],[Order Date]])</f>
        <v>2022</v>
      </c>
      <c r="L2456" s="7" t="str">
        <f>TEXT(OrganizedData[[#This Row],[Order Date]],"mmm")</f>
        <v>Oct</v>
      </c>
      <c r="M2456" s="2">
        <v>37</v>
      </c>
      <c r="N2456" s="2" t="s">
        <v>45</v>
      </c>
      <c r="O2456" s="2" t="str">
        <f>VLOOKUP(OrganizedData[[#This Row],[Product Code]],ProductData[[Code]:[Item]],2,FALSE)</f>
        <v>Gigastuff</v>
      </c>
      <c r="P2456" s="4">
        <f>OrganizedData[[#This Row],[Quantity]]*VLOOKUP(OrganizedData[[#This Row],[Product Code]],ProductData[],4,FALSE)</f>
        <v>666</v>
      </c>
      <c r="Q2456" s="6">
        <f>OrganizedData[[#This Row],[Total Items Ordered]]*VLOOKUP(OrganizedData[[#This Row],[Product Code]],ProductData[],3,FALSE)</f>
        <v>1258.74</v>
      </c>
      <c r="R24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1220.9777999999999</v>
      </c>
    </row>
    <row r="2457" spans="1:18" x14ac:dyDescent="0.3">
      <c r="A2457" s="2">
        <v>2450</v>
      </c>
      <c r="B2457" s="2" t="s">
        <v>6537</v>
      </c>
      <c r="C2457" s="2" t="s">
        <v>6538</v>
      </c>
      <c r="D2457" s="2" t="s">
        <v>15</v>
      </c>
      <c r="E2457" s="2" t="s">
        <v>16</v>
      </c>
      <c r="F2457" s="2">
        <v>90</v>
      </c>
      <c r="G2457" s="2" t="s">
        <v>6539</v>
      </c>
      <c r="H2457" s="2" t="s">
        <v>3206</v>
      </c>
      <c r="I2457" s="2" t="s">
        <v>1199</v>
      </c>
      <c r="J2457" s="3">
        <v>44851</v>
      </c>
      <c r="K2457" s="5">
        <f>YEAR(OrganizedData[[#This Row],[Order Date]])</f>
        <v>2022</v>
      </c>
      <c r="L2457" s="7" t="str">
        <f>TEXT(OrganizedData[[#This Row],[Order Date]],"mmm")</f>
        <v>Oct</v>
      </c>
      <c r="M2457" s="2">
        <v>77</v>
      </c>
      <c r="N2457" s="2" t="s">
        <v>159</v>
      </c>
      <c r="O2457" s="2" t="str">
        <f>VLOOKUP(OrganizedData[[#This Row],[Product Code]],ProductData[[Code]:[Item]],2,FALSE)</f>
        <v>Ultrathing V3</v>
      </c>
      <c r="P2457" s="4">
        <f>OrganizedData[[#This Row],[Quantity]]*VLOOKUP(OrganizedData[[#This Row],[Product Code]],ProductData[],4,FALSE)</f>
        <v>1848</v>
      </c>
      <c r="Q2457" s="6">
        <f>OrganizedData[[#This Row],[Total Items Ordered]]*VLOOKUP(OrganizedData[[#This Row],[Product Code]],ProductData[],3,FALSE)</f>
        <v>6264.72</v>
      </c>
      <c r="R24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5951.4840000000004</v>
      </c>
    </row>
    <row r="2458" spans="1:18" x14ac:dyDescent="0.3">
      <c r="A2458" s="2">
        <v>2451</v>
      </c>
      <c r="B2458" s="2" t="s">
        <v>6540</v>
      </c>
      <c r="C2458" s="2" t="s">
        <v>6541</v>
      </c>
      <c r="D2458" s="2" t="s">
        <v>28</v>
      </c>
      <c r="E2458" s="2" t="s">
        <v>29</v>
      </c>
      <c r="F2458" s="2">
        <v>90</v>
      </c>
      <c r="G2458" s="2" t="s">
        <v>10529</v>
      </c>
      <c r="H2458" s="2" t="s">
        <v>5934</v>
      </c>
      <c r="I2458" s="2" t="s">
        <v>173</v>
      </c>
      <c r="J2458" s="3">
        <v>44239</v>
      </c>
      <c r="K2458" s="5">
        <f>YEAR(OrganizedData[[#This Row],[Order Date]])</f>
        <v>2021</v>
      </c>
      <c r="L2458" s="7" t="str">
        <f>TEXT(OrganizedData[[#This Row],[Order Date]],"mmm")</f>
        <v>Feb</v>
      </c>
      <c r="M2458" s="2">
        <v>94</v>
      </c>
      <c r="N2458" s="2" t="s">
        <v>80</v>
      </c>
      <c r="O2458" s="2" t="str">
        <f>VLOOKUP(OrganizedData[[#This Row],[Product Code]],ProductData[[Code]:[Item]],2,FALSE)</f>
        <v>Ultrathing V2</v>
      </c>
      <c r="P2458" s="4">
        <f>OrganizedData[[#This Row],[Quantity]]*VLOOKUP(OrganizedData[[#This Row],[Product Code]],ProductData[],4,FALSE)</f>
        <v>1880</v>
      </c>
      <c r="Q2458" s="6">
        <f>OrganizedData[[#This Row],[Total Items Ordered]]*VLOOKUP(OrganizedData[[#This Row],[Product Code]],ProductData[],3,FALSE)</f>
        <v>5546</v>
      </c>
      <c r="R24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5268.7</v>
      </c>
    </row>
    <row r="2459" spans="1:18" x14ac:dyDescent="0.3">
      <c r="A2459" s="2">
        <v>2452</v>
      </c>
      <c r="B2459" s="2" t="s">
        <v>588</v>
      </c>
      <c r="C2459" s="2" t="s">
        <v>1546</v>
      </c>
      <c r="D2459" s="2" t="s">
        <v>51</v>
      </c>
      <c r="E2459" s="2" t="s">
        <v>16</v>
      </c>
      <c r="F2459" s="2">
        <v>90</v>
      </c>
      <c r="G2459" s="2" t="s">
        <v>6543</v>
      </c>
      <c r="H2459" s="2" t="s">
        <v>3224</v>
      </c>
      <c r="I2459" s="2" t="s">
        <v>2022</v>
      </c>
      <c r="J2459" s="3">
        <v>44806</v>
      </c>
      <c r="K2459" s="5">
        <f>YEAR(OrganizedData[[#This Row],[Order Date]])</f>
        <v>2022</v>
      </c>
      <c r="L2459" s="7" t="str">
        <f>TEXT(OrganizedData[[#This Row],[Order Date]],"mmm")</f>
        <v>Sep</v>
      </c>
      <c r="M2459" s="2">
        <v>18</v>
      </c>
      <c r="N2459" s="2" t="s">
        <v>45</v>
      </c>
      <c r="O2459" s="2" t="str">
        <f>VLOOKUP(OrganizedData[[#This Row],[Product Code]],ProductData[[Code]:[Item]],2,FALSE)</f>
        <v>Gigastuff</v>
      </c>
      <c r="P2459" s="4">
        <f>OrganizedData[[#This Row],[Quantity]]*VLOOKUP(OrganizedData[[#This Row],[Product Code]],ProductData[],4,FALSE)</f>
        <v>324</v>
      </c>
      <c r="Q2459" s="6">
        <f>OrganizedData[[#This Row],[Total Items Ordered]]*VLOOKUP(OrganizedData[[#This Row],[Product Code]],ProductData[],3,FALSE)</f>
        <v>612.36</v>
      </c>
      <c r="R24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612.36</v>
      </c>
    </row>
    <row r="2460" spans="1:18" x14ac:dyDescent="0.3">
      <c r="A2460" s="2">
        <v>2453</v>
      </c>
      <c r="B2460" s="2" t="s">
        <v>323</v>
      </c>
      <c r="C2460" s="2" t="s">
        <v>1488</v>
      </c>
      <c r="D2460" s="2" t="s">
        <v>28</v>
      </c>
      <c r="E2460" s="2" t="s">
        <v>29</v>
      </c>
      <c r="F2460" s="2">
        <v>60</v>
      </c>
      <c r="G2460" s="2" t="s">
        <v>6543</v>
      </c>
      <c r="H2460" s="2" t="s">
        <v>6544</v>
      </c>
      <c r="I2460" s="2" t="s">
        <v>32</v>
      </c>
      <c r="J2460" s="3">
        <v>44043</v>
      </c>
      <c r="K2460" s="5">
        <f>YEAR(OrganizedData[[#This Row],[Order Date]])</f>
        <v>2020</v>
      </c>
      <c r="L2460" s="7" t="str">
        <f>TEXT(OrganizedData[[#This Row],[Order Date]],"mmm")</f>
        <v>Jul</v>
      </c>
      <c r="M2460" s="2">
        <v>58</v>
      </c>
      <c r="N2460" s="2" t="s">
        <v>20</v>
      </c>
      <c r="O2460" s="2" t="str">
        <f>VLOOKUP(OrganizedData[[#This Row],[Product Code]],ProductData[[Code]:[Item]],2,FALSE)</f>
        <v>Hyperwotsit</v>
      </c>
      <c r="P2460" s="4">
        <f>OrganizedData[[#This Row],[Quantity]]*VLOOKUP(OrganizedData[[#This Row],[Product Code]],ProductData[],4,FALSE)</f>
        <v>1160</v>
      </c>
      <c r="Q2460" s="6">
        <f>OrganizedData[[#This Row],[Total Items Ordered]]*VLOOKUP(OrganizedData[[#This Row],[Product Code]],ProductData[],3,FALSE)</f>
        <v>2331.6</v>
      </c>
      <c r="R24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2215.02</v>
      </c>
    </row>
    <row r="2461" spans="1:18" x14ac:dyDescent="0.3">
      <c r="A2461" s="2">
        <v>2454</v>
      </c>
      <c r="B2461" s="2" t="s">
        <v>4401</v>
      </c>
      <c r="C2461" s="2" t="s">
        <v>1776</v>
      </c>
      <c r="D2461" s="2" t="s">
        <v>28</v>
      </c>
      <c r="E2461" s="2" t="s">
        <v>29</v>
      </c>
      <c r="F2461" s="2">
        <v>90</v>
      </c>
      <c r="G2461" s="2" t="s">
        <v>6545</v>
      </c>
      <c r="H2461" s="2" t="s">
        <v>6546</v>
      </c>
      <c r="I2461" s="2" t="s">
        <v>2543</v>
      </c>
      <c r="J2461" s="3">
        <v>43860</v>
      </c>
      <c r="K2461" s="5">
        <f>YEAR(OrganizedData[[#This Row],[Order Date]])</f>
        <v>2020</v>
      </c>
      <c r="L2461" s="7" t="str">
        <f>TEXT(OrganizedData[[#This Row],[Order Date]],"mmm")</f>
        <v>Jan</v>
      </c>
      <c r="M2461" s="2">
        <v>68</v>
      </c>
      <c r="N2461" s="2" t="s">
        <v>33</v>
      </c>
      <c r="O2461" s="2" t="str">
        <f>VLOOKUP(OrganizedData[[#This Row],[Product Code]],ProductData[[Code]:[Item]],2,FALSE)</f>
        <v>Megawidget L</v>
      </c>
      <c r="P2461" s="4">
        <f>OrganizedData[[#This Row],[Quantity]]*VLOOKUP(OrganizedData[[#This Row],[Product Code]],ProductData[],4,FALSE)</f>
        <v>1632</v>
      </c>
      <c r="Q2461" s="6">
        <f>OrganizedData[[#This Row],[Total Items Ordered]]*VLOOKUP(OrganizedData[[#This Row],[Product Code]],ProductData[],3,FALSE)</f>
        <v>2921.28</v>
      </c>
      <c r="R24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2462" spans="1:18" x14ac:dyDescent="0.3">
      <c r="A2462" s="2">
        <v>2455</v>
      </c>
      <c r="B2462" s="2" t="s">
        <v>6547</v>
      </c>
      <c r="C2462" s="2" t="s">
        <v>2757</v>
      </c>
      <c r="D2462" s="2" t="s">
        <v>28</v>
      </c>
      <c r="E2462" s="2" t="s">
        <v>29</v>
      </c>
      <c r="F2462" s="2">
        <v>90</v>
      </c>
      <c r="G2462" s="2" t="s">
        <v>6548</v>
      </c>
      <c r="H2462" s="2" t="s">
        <v>1808</v>
      </c>
      <c r="I2462" s="2" t="s">
        <v>124</v>
      </c>
      <c r="J2462" s="3">
        <v>43983</v>
      </c>
      <c r="K2462" s="5">
        <f>YEAR(OrganizedData[[#This Row],[Order Date]])</f>
        <v>2020</v>
      </c>
      <c r="L2462" s="7" t="str">
        <f>TEXT(OrganizedData[[#This Row],[Order Date]],"mmm")</f>
        <v>Jun</v>
      </c>
      <c r="M2462" s="2">
        <v>52</v>
      </c>
      <c r="N2462" s="2" t="s">
        <v>45</v>
      </c>
      <c r="O2462" s="2" t="str">
        <f>VLOOKUP(OrganizedData[[#This Row],[Product Code]],ProductData[[Code]:[Item]],2,FALSE)</f>
        <v>Gigastuff</v>
      </c>
      <c r="P2462" s="4">
        <f>OrganizedData[[#This Row],[Quantity]]*VLOOKUP(OrganizedData[[#This Row],[Product Code]],ProductData[],4,FALSE)</f>
        <v>936</v>
      </c>
      <c r="Q2462" s="6">
        <f>OrganizedData[[#This Row],[Total Items Ordered]]*VLOOKUP(OrganizedData[[#This Row],[Product Code]],ProductData[],3,FALSE)</f>
        <v>1769.04</v>
      </c>
      <c r="R24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1680.588</v>
      </c>
    </row>
    <row r="2463" spans="1:18" x14ac:dyDescent="0.3">
      <c r="A2463" s="2">
        <v>2456</v>
      </c>
      <c r="B2463" s="2" t="s">
        <v>6549</v>
      </c>
      <c r="C2463" s="2" t="s">
        <v>692</v>
      </c>
      <c r="D2463" s="2" t="s">
        <v>15</v>
      </c>
      <c r="E2463" s="2" t="s">
        <v>16</v>
      </c>
      <c r="F2463" s="2">
        <v>90</v>
      </c>
      <c r="G2463" s="2" t="s">
        <v>6550</v>
      </c>
      <c r="H2463" s="2" t="s">
        <v>6551</v>
      </c>
      <c r="I2463" s="2" t="s">
        <v>178</v>
      </c>
      <c r="J2463" s="3">
        <v>44557</v>
      </c>
      <c r="K2463" s="5">
        <f>YEAR(OrganizedData[[#This Row],[Order Date]])</f>
        <v>2021</v>
      </c>
      <c r="L2463" s="7" t="str">
        <f>TEXT(OrganizedData[[#This Row],[Order Date]],"mmm")</f>
        <v>Dec</v>
      </c>
      <c r="M2463" s="2">
        <v>19</v>
      </c>
      <c r="N2463" s="2" t="s">
        <v>64</v>
      </c>
      <c r="O2463" s="2" t="str">
        <f>VLOOKUP(OrganizedData[[#This Row],[Product Code]],ProductData[[Code]:[Item]],2,FALSE)</f>
        <v>Ultrathing V4</v>
      </c>
      <c r="P2463" s="4">
        <f>OrganizedData[[#This Row],[Quantity]]*VLOOKUP(OrganizedData[[#This Row],[Product Code]],ProductData[],4,FALSE)</f>
        <v>456</v>
      </c>
      <c r="Q2463" s="6">
        <f>OrganizedData[[#This Row],[Total Items Ordered]]*VLOOKUP(OrganizedData[[#This Row],[Product Code]],ProductData[],3,FALSE)</f>
        <v>1819.44</v>
      </c>
      <c r="R24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2464" spans="1:18" x14ac:dyDescent="0.3">
      <c r="A2464" s="2">
        <v>2457</v>
      </c>
      <c r="B2464" s="2" t="s">
        <v>6552</v>
      </c>
      <c r="C2464" s="2" t="s">
        <v>107</v>
      </c>
      <c r="D2464" s="2" t="s">
        <v>15</v>
      </c>
      <c r="E2464" s="2" t="s">
        <v>16</v>
      </c>
      <c r="F2464" s="2">
        <v>90</v>
      </c>
      <c r="G2464" s="2" t="s">
        <v>6553</v>
      </c>
      <c r="H2464" s="2" t="s">
        <v>545</v>
      </c>
      <c r="I2464" s="2" t="s">
        <v>173</v>
      </c>
      <c r="J2464" s="3">
        <v>44488</v>
      </c>
      <c r="K2464" s="5">
        <f>YEAR(OrganizedData[[#This Row],[Order Date]])</f>
        <v>2021</v>
      </c>
      <c r="L2464" s="7" t="str">
        <f>TEXT(OrganizedData[[#This Row],[Order Date]],"mmm")</f>
        <v>Oct</v>
      </c>
      <c r="M2464" s="2">
        <v>93</v>
      </c>
      <c r="N2464" s="2" t="s">
        <v>80</v>
      </c>
      <c r="O2464" s="2" t="str">
        <f>VLOOKUP(OrganizedData[[#This Row],[Product Code]],ProductData[[Code]:[Item]],2,FALSE)</f>
        <v>Ultrathing V2</v>
      </c>
      <c r="P2464" s="4">
        <f>OrganizedData[[#This Row],[Quantity]]*VLOOKUP(OrganizedData[[#This Row],[Product Code]],ProductData[],4,FALSE)</f>
        <v>1860</v>
      </c>
      <c r="Q2464" s="6">
        <f>OrganizedData[[#This Row],[Total Items Ordered]]*VLOOKUP(OrganizedData[[#This Row],[Product Code]],ProductData[],3,FALSE)</f>
        <v>5487</v>
      </c>
      <c r="R24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5212.6499999999996</v>
      </c>
    </row>
    <row r="2465" spans="1:18" x14ac:dyDescent="0.3">
      <c r="A2465" s="2">
        <v>2458</v>
      </c>
      <c r="B2465" s="2" t="s">
        <v>3403</v>
      </c>
      <c r="C2465" s="2" t="s">
        <v>4393</v>
      </c>
      <c r="D2465" s="2" t="s">
        <v>51</v>
      </c>
      <c r="E2465" s="2" t="s">
        <v>16</v>
      </c>
      <c r="F2465" s="2">
        <v>90</v>
      </c>
      <c r="G2465" s="2" t="s">
        <v>6554</v>
      </c>
      <c r="H2465" s="2" t="s">
        <v>1056</v>
      </c>
      <c r="I2465" s="2" t="s">
        <v>129</v>
      </c>
      <c r="J2465" s="3">
        <v>44023</v>
      </c>
      <c r="K2465" s="5">
        <f>YEAR(OrganizedData[[#This Row],[Order Date]])</f>
        <v>2020</v>
      </c>
      <c r="L2465" s="7" t="str">
        <f>TEXT(OrganizedData[[#This Row],[Order Date]],"mmm")</f>
        <v>Jul</v>
      </c>
      <c r="M2465" s="2">
        <v>2</v>
      </c>
      <c r="N2465" s="2" t="s">
        <v>101</v>
      </c>
      <c r="O2465" s="2" t="str">
        <f>VLOOKUP(OrganizedData[[#This Row],[Product Code]],ProductData[[Code]:[Item]],2,FALSE)</f>
        <v>Superwossname</v>
      </c>
      <c r="P2465" s="4">
        <f>OrganizedData[[#This Row],[Quantity]]*VLOOKUP(OrganizedData[[#This Row],[Product Code]],ProductData[],4,FALSE)</f>
        <v>40</v>
      </c>
      <c r="Q2465" s="6">
        <f>OrganizedData[[#This Row],[Total Items Ordered]]*VLOOKUP(OrganizedData[[#This Row],[Product Code]],ProductData[],3,FALSE)</f>
        <v>139.60000000000002</v>
      </c>
      <c r="R24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2466" spans="1:18" x14ac:dyDescent="0.3">
      <c r="A2466" s="2">
        <v>2459</v>
      </c>
      <c r="B2466" s="2" t="s">
        <v>765</v>
      </c>
      <c r="C2466" s="2" t="s">
        <v>6555</v>
      </c>
      <c r="D2466" s="2" t="s">
        <v>28</v>
      </c>
      <c r="E2466" s="2" t="s">
        <v>29</v>
      </c>
      <c r="F2466" s="2">
        <v>60</v>
      </c>
      <c r="G2466" s="2" t="s">
        <v>6556</v>
      </c>
      <c r="H2466" s="2" t="s">
        <v>239</v>
      </c>
      <c r="I2466" s="2" t="s">
        <v>240</v>
      </c>
      <c r="J2466" s="3">
        <v>44100</v>
      </c>
      <c r="K2466" s="5">
        <f>YEAR(OrganizedData[[#This Row],[Order Date]])</f>
        <v>2020</v>
      </c>
      <c r="L2466" s="7" t="str">
        <f>TEXT(OrganizedData[[#This Row],[Order Date]],"mmm")</f>
        <v>Sep</v>
      </c>
      <c r="M2466" s="2">
        <v>13</v>
      </c>
      <c r="N2466" s="2" t="s">
        <v>159</v>
      </c>
      <c r="O2466" s="2" t="str">
        <f>VLOOKUP(OrganizedData[[#This Row],[Product Code]],ProductData[[Code]:[Item]],2,FALSE)</f>
        <v>Ultrathing V3</v>
      </c>
      <c r="P2466" s="4">
        <f>OrganizedData[[#This Row],[Quantity]]*VLOOKUP(OrganizedData[[#This Row],[Product Code]],ProductData[],4,FALSE)</f>
        <v>312</v>
      </c>
      <c r="Q2466" s="6">
        <f>OrganizedData[[#This Row],[Total Items Ordered]]*VLOOKUP(OrganizedData[[#This Row],[Product Code]],ProductData[],3,FALSE)</f>
        <v>1057.68</v>
      </c>
      <c r="R24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1057.68</v>
      </c>
    </row>
    <row r="2467" spans="1:18" x14ac:dyDescent="0.3">
      <c r="A2467" s="2">
        <v>2460</v>
      </c>
      <c r="B2467" s="2" t="s">
        <v>6557</v>
      </c>
      <c r="C2467" s="2" t="s">
        <v>3940</v>
      </c>
      <c r="D2467" s="2" t="s">
        <v>28</v>
      </c>
      <c r="E2467" s="2" t="s">
        <v>29</v>
      </c>
      <c r="F2467" s="2">
        <v>30</v>
      </c>
      <c r="G2467" s="2" t="s">
        <v>6558</v>
      </c>
      <c r="H2467" s="2" t="s">
        <v>2787</v>
      </c>
      <c r="I2467" s="2" t="s">
        <v>32</v>
      </c>
      <c r="J2467" s="3">
        <v>43933</v>
      </c>
      <c r="K2467" s="5">
        <f>YEAR(OrganizedData[[#This Row],[Order Date]])</f>
        <v>2020</v>
      </c>
      <c r="L2467" s="7" t="str">
        <f>TEXT(OrganizedData[[#This Row],[Order Date]],"mmm")</f>
        <v>Apr</v>
      </c>
      <c r="M2467" s="2">
        <v>66</v>
      </c>
      <c r="N2467" s="2" t="s">
        <v>20</v>
      </c>
      <c r="O2467" s="2" t="str">
        <f>VLOOKUP(OrganizedData[[#This Row],[Product Code]],ProductData[[Code]:[Item]],2,FALSE)</f>
        <v>Hyperwotsit</v>
      </c>
      <c r="P2467" s="4">
        <f>OrganizedData[[#This Row],[Quantity]]*VLOOKUP(OrganizedData[[#This Row],[Product Code]],ProductData[],4,FALSE)</f>
        <v>1320</v>
      </c>
      <c r="Q2467" s="6">
        <f>OrganizedData[[#This Row],[Total Items Ordered]]*VLOOKUP(OrganizedData[[#This Row],[Product Code]],ProductData[],3,FALSE)</f>
        <v>2653.2</v>
      </c>
      <c r="R24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2520.5399999999995</v>
      </c>
    </row>
    <row r="2468" spans="1:18" x14ac:dyDescent="0.3">
      <c r="A2468" s="2">
        <v>2461</v>
      </c>
      <c r="B2468" s="2" t="s">
        <v>6559</v>
      </c>
      <c r="C2468" s="2" t="s">
        <v>295</v>
      </c>
      <c r="D2468" s="2" t="s">
        <v>51</v>
      </c>
      <c r="E2468" s="2" t="s">
        <v>16</v>
      </c>
      <c r="F2468" s="2">
        <v>60</v>
      </c>
      <c r="G2468" s="2" t="s">
        <v>6560</v>
      </c>
      <c r="H2468" s="2" t="s">
        <v>6561</v>
      </c>
      <c r="I2468" s="2" t="s">
        <v>32</v>
      </c>
      <c r="J2468" s="3">
        <v>43920</v>
      </c>
      <c r="K2468" s="5">
        <f>YEAR(OrganizedData[[#This Row],[Order Date]])</f>
        <v>2020</v>
      </c>
      <c r="L2468" s="7" t="str">
        <f>TEXT(OrganizedData[[#This Row],[Order Date]],"mmm")</f>
        <v>Mar</v>
      </c>
      <c r="M2468" s="2">
        <v>28</v>
      </c>
      <c r="N2468" s="2" t="s">
        <v>70</v>
      </c>
      <c r="O2468" s="2" t="str">
        <f>VLOOKUP(OrganizedData[[#This Row],[Product Code]],ProductData[[Code]:[Item]],2,FALSE)</f>
        <v>Megawidget M</v>
      </c>
      <c r="P2468" s="4">
        <f>OrganizedData[[#This Row],[Quantity]]*VLOOKUP(OrganizedData[[#This Row],[Product Code]],ProductData[],4,FALSE)</f>
        <v>672</v>
      </c>
      <c r="Q2468" s="6">
        <f>OrganizedData[[#This Row],[Total Items Ordered]]*VLOOKUP(OrganizedData[[#This Row],[Product Code]],ProductData[],3,FALSE)</f>
        <v>866.88</v>
      </c>
      <c r="R24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840.87360000000001</v>
      </c>
    </row>
    <row r="2469" spans="1:18" x14ac:dyDescent="0.3">
      <c r="A2469" s="2">
        <v>2462</v>
      </c>
      <c r="B2469" s="2" t="s">
        <v>3124</v>
      </c>
      <c r="C2469" s="2" t="s">
        <v>6562</v>
      </c>
      <c r="D2469" s="2" t="s">
        <v>28</v>
      </c>
      <c r="E2469" s="2" t="s">
        <v>29</v>
      </c>
      <c r="F2469" s="2">
        <v>30</v>
      </c>
      <c r="G2469" s="2" t="s">
        <v>6563</v>
      </c>
      <c r="H2469" s="2" t="s">
        <v>1619</v>
      </c>
      <c r="I2469" s="2" t="s">
        <v>44</v>
      </c>
      <c r="J2469" s="3">
        <v>44355</v>
      </c>
      <c r="K2469" s="5">
        <f>YEAR(OrganizedData[[#This Row],[Order Date]])</f>
        <v>2021</v>
      </c>
      <c r="L2469" s="7" t="str">
        <f>TEXT(OrganizedData[[#This Row],[Order Date]],"mmm")</f>
        <v>Jun</v>
      </c>
      <c r="M2469" s="2">
        <v>52</v>
      </c>
      <c r="N2469" s="2" t="s">
        <v>20</v>
      </c>
      <c r="O2469" s="2" t="str">
        <f>VLOOKUP(OrganizedData[[#This Row],[Product Code]],ProductData[[Code]:[Item]],2,FALSE)</f>
        <v>Hyperwotsit</v>
      </c>
      <c r="P2469" s="4">
        <f>OrganizedData[[#This Row],[Quantity]]*VLOOKUP(OrganizedData[[#This Row],[Product Code]],ProductData[],4,FALSE)</f>
        <v>1040</v>
      </c>
      <c r="Q2469" s="6">
        <f>OrganizedData[[#This Row],[Total Items Ordered]]*VLOOKUP(OrganizedData[[#This Row],[Product Code]],ProductData[],3,FALSE)</f>
        <v>2090.3999999999996</v>
      </c>
      <c r="R24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1985.8799999999997</v>
      </c>
    </row>
    <row r="2470" spans="1:18" x14ac:dyDescent="0.3">
      <c r="A2470" s="2">
        <v>2463</v>
      </c>
      <c r="B2470" s="2" t="s">
        <v>6564</v>
      </c>
      <c r="C2470" s="2" t="s">
        <v>6073</v>
      </c>
      <c r="D2470" s="2" t="s">
        <v>92</v>
      </c>
      <c r="E2470" s="2" t="s">
        <v>16</v>
      </c>
      <c r="F2470" s="2">
        <v>60</v>
      </c>
      <c r="G2470" s="2" t="s">
        <v>6565</v>
      </c>
      <c r="H2470" s="2" t="s">
        <v>1168</v>
      </c>
      <c r="I2470" s="2" t="s">
        <v>32</v>
      </c>
      <c r="J2470" s="3">
        <v>44685</v>
      </c>
      <c r="K2470" s="5">
        <f>YEAR(OrganizedData[[#This Row],[Order Date]])</f>
        <v>2022</v>
      </c>
      <c r="L2470" s="7" t="str">
        <f>TEXT(OrganizedData[[#This Row],[Order Date]],"mmm")</f>
        <v>May</v>
      </c>
      <c r="M2470" s="2">
        <v>92</v>
      </c>
      <c r="N2470" s="2" t="s">
        <v>33</v>
      </c>
      <c r="O2470" s="2" t="str">
        <f>VLOOKUP(OrganizedData[[#This Row],[Product Code]],ProductData[[Code]:[Item]],2,FALSE)</f>
        <v>Megawidget L</v>
      </c>
      <c r="P2470" s="4">
        <f>OrganizedData[[#This Row],[Quantity]]*VLOOKUP(OrganizedData[[#This Row],[Product Code]],ProductData[],4,FALSE)</f>
        <v>2208</v>
      </c>
      <c r="Q2470" s="6">
        <f>OrganizedData[[#This Row],[Total Items Ordered]]*VLOOKUP(OrganizedData[[#This Row],[Product Code]],ProductData[],3,FALSE)</f>
        <v>3952.32</v>
      </c>
      <c r="R24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3754.7040000000002</v>
      </c>
    </row>
    <row r="2471" spans="1:18" x14ac:dyDescent="0.3">
      <c r="A2471" s="2">
        <v>2464</v>
      </c>
      <c r="B2471" s="2" t="s">
        <v>6566</v>
      </c>
      <c r="C2471" s="2" t="s">
        <v>2191</v>
      </c>
      <c r="D2471" s="2" t="s">
        <v>15</v>
      </c>
      <c r="E2471" s="2" t="s">
        <v>16</v>
      </c>
      <c r="F2471" s="2">
        <v>60</v>
      </c>
      <c r="G2471" s="2" t="s">
        <v>6567</v>
      </c>
      <c r="H2471" s="2" t="s">
        <v>4874</v>
      </c>
      <c r="I2471" s="2" t="s">
        <v>32</v>
      </c>
      <c r="J2471" s="3">
        <v>43968</v>
      </c>
      <c r="K2471" s="5">
        <f>YEAR(OrganizedData[[#This Row],[Order Date]])</f>
        <v>2020</v>
      </c>
      <c r="L2471" s="7" t="str">
        <f>TEXT(OrganizedData[[#This Row],[Order Date]],"mmm")</f>
        <v>May</v>
      </c>
      <c r="M2471" s="2">
        <v>60</v>
      </c>
      <c r="N2471" s="2" t="s">
        <v>20</v>
      </c>
      <c r="O2471" s="2" t="str">
        <f>VLOOKUP(OrganizedData[[#This Row],[Product Code]],ProductData[[Code]:[Item]],2,FALSE)</f>
        <v>Hyperwotsit</v>
      </c>
      <c r="P2471" s="4">
        <f>OrganizedData[[#This Row],[Quantity]]*VLOOKUP(OrganizedData[[#This Row],[Product Code]],ProductData[],4,FALSE)</f>
        <v>1200</v>
      </c>
      <c r="Q2471" s="6">
        <f>OrganizedData[[#This Row],[Total Items Ordered]]*VLOOKUP(OrganizedData[[#This Row],[Product Code]],ProductData[],3,FALSE)</f>
        <v>2411.9999999999995</v>
      </c>
      <c r="R24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2472" spans="1:18" x14ac:dyDescent="0.3">
      <c r="A2472" s="2">
        <v>2465</v>
      </c>
      <c r="B2472" s="2" t="s">
        <v>4257</v>
      </c>
      <c r="C2472" s="2" t="s">
        <v>2761</v>
      </c>
      <c r="D2472" s="2" t="s">
        <v>28</v>
      </c>
      <c r="E2472" s="2" t="s">
        <v>29</v>
      </c>
      <c r="F2472" s="2">
        <v>30</v>
      </c>
      <c r="G2472" s="2" t="s">
        <v>6567</v>
      </c>
      <c r="H2472" s="2" t="s">
        <v>3036</v>
      </c>
      <c r="I2472" s="2" t="s">
        <v>32</v>
      </c>
      <c r="J2472" s="3">
        <v>44190</v>
      </c>
      <c r="K2472" s="5">
        <f>YEAR(OrganizedData[[#This Row],[Order Date]])</f>
        <v>2020</v>
      </c>
      <c r="L2472" s="7" t="str">
        <f>TEXT(OrganizedData[[#This Row],[Order Date]],"mmm")</f>
        <v>Dec</v>
      </c>
      <c r="M2472" s="2">
        <v>67</v>
      </c>
      <c r="N2472" s="2" t="s">
        <v>54</v>
      </c>
      <c r="O2472" s="2" t="str">
        <f>VLOOKUP(OrganizedData[[#This Row],[Product Code]],ProductData[[Code]:[Item]],2,FALSE)</f>
        <v>Megawidget S</v>
      </c>
      <c r="P2472" s="4">
        <f>OrganizedData[[#This Row],[Quantity]]*VLOOKUP(OrganizedData[[#This Row],[Product Code]],ProductData[],4,FALSE)</f>
        <v>1608</v>
      </c>
      <c r="Q2472" s="6">
        <f>OrganizedData[[#This Row],[Total Items Ordered]]*VLOOKUP(OrganizedData[[#This Row],[Product Code]],ProductData[],3,FALSE)</f>
        <v>1109.52</v>
      </c>
      <c r="R24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2473" spans="1:18" x14ac:dyDescent="0.3">
      <c r="A2473" s="2">
        <v>2466</v>
      </c>
      <c r="B2473" s="2" t="s">
        <v>6568</v>
      </c>
      <c r="C2473" s="2" t="s">
        <v>4254</v>
      </c>
      <c r="D2473" s="2" t="s">
        <v>15</v>
      </c>
      <c r="E2473" s="2" t="s">
        <v>16</v>
      </c>
      <c r="F2473" s="2">
        <v>30</v>
      </c>
      <c r="G2473" s="2" t="s">
        <v>6569</v>
      </c>
      <c r="H2473" s="2" t="s">
        <v>4337</v>
      </c>
      <c r="I2473" s="2" t="s">
        <v>25</v>
      </c>
      <c r="J2473" s="3">
        <v>43902</v>
      </c>
      <c r="K2473" s="5">
        <f>YEAR(OrganizedData[[#This Row],[Order Date]])</f>
        <v>2020</v>
      </c>
      <c r="L2473" s="7" t="str">
        <f>TEXT(OrganizedData[[#This Row],[Order Date]],"mmm")</f>
        <v>Mar</v>
      </c>
      <c r="M2473" s="2">
        <v>78</v>
      </c>
      <c r="N2473" s="2" t="s">
        <v>64</v>
      </c>
      <c r="O2473" s="2" t="str">
        <f>VLOOKUP(OrganizedData[[#This Row],[Product Code]],ProductData[[Code]:[Item]],2,FALSE)</f>
        <v>Ultrathing V4</v>
      </c>
      <c r="P2473" s="4">
        <f>OrganizedData[[#This Row],[Quantity]]*VLOOKUP(OrganizedData[[#This Row],[Product Code]],ProductData[],4,FALSE)</f>
        <v>1872</v>
      </c>
      <c r="Q2473" s="6">
        <f>OrganizedData[[#This Row],[Total Items Ordered]]*VLOOKUP(OrganizedData[[#This Row],[Product Code]],ProductData[],3,FALSE)</f>
        <v>7469.2800000000007</v>
      </c>
      <c r="R24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2474" spans="1:18" x14ac:dyDescent="0.3">
      <c r="A2474" s="2">
        <v>2467</v>
      </c>
      <c r="B2474" s="2" t="s">
        <v>4094</v>
      </c>
      <c r="C2474" s="2" t="s">
        <v>1853</v>
      </c>
      <c r="D2474" s="2" t="s">
        <v>28</v>
      </c>
      <c r="E2474" s="2" t="s">
        <v>29</v>
      </c>
      <c r="F2474" s="2">
        <v>90</v>
      </c>
      <c r="G2474" s="2" t="s">
        <v>6569</v>
      </c>
      <c r="H2474" s="2" t="s">
        <v>637</v>
      </c>
      <c r="I2474" s="2" t="s">
        <v>32</v>
      </c>
      <c r="J2474" s="3">
        <v>44570</v>
      </c>
      <c r="K2474" s="5">
        <f>YEAR(OrganizedData[[#This Row],[Order Date]])</f>
        <v>2022</v>
      </c>
      <c r="L2474" s="7" t="str">
        <f>TEXT(OrganizedData[[#This Row],[Order Date]],"mmm")</f>
        <v>Jan</v>
      </c>
      <c r="M2474" s="2">
        <v>19</v>
      </c>
      <c r="N2474" s="2" t="s">
        <v>64</v>
      </c>
      <c r="O2474" s="2" t="str">
        <f>VLOOKUP(OrganizedData[[#This Row],[Product Code]],ProductData[[Code]:[Item]],2,FALSE)</f>
        <v>Ultrathing V4</v>
      </c>
      <c r="P2474" s="4">
        <f>OrganizedData[[#This Row],[Quantity]]*VLOOKUP(OrganizedData[[#This Row],[Product Code]],ProductData[],4,FALSE)</f>
        <v>456</v>
      </c>
      <c r="Q2474" s="6">
        <f>OrganizedData[[#This Row],[Total Items Ordered]]*VLOOKUP(OrganizedData[[#This Row],[Product Code]],ProductData[],3,FALSE)</f>
        <v>1819.44</v>
      </c>
      <c r="R24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2475" spans="1:18" x14ac:dyDescent="0.3">
      <c r="A2475" s="2">
        <v>2468</v>
      </c>
      <c r="B2475" s="2" t="s">
        <v>6570</v>
      </c>
      <c r="C2475" s="2" t="s">
        <v>6416</v>
      </c>
      <c r="D2475" s="2" t="s">
        <v>51</v>
      </c>
      <c r="E2475" s="2" t="s">
        <v>16</v>
      </c>
      <c r="F2475" s="2">
        <v>30</v>
      </c>
      <c r="G2475" s="2" t="s">
        <v>6571</v>
      </c>
      <c r="H2475" s="2" t="s">
        <v>4911</v>
      </c>
      <c r="I2475" s="2" t="s">
        <v>95</v>
      </c>
      <c r="J2475" s="3">
        <v>44238</v>
      </c>
      <c r="K2475" s="5">
        <f>YEAR(OrganizedData[[#This Row],[Order Date]])</f>
        <v>2021</v>
      </c>
      <c r="L2475" s="7" t="str">
        <f>TEXT(OrganizedData[[#This Row],[Order Date]],"mmm")</f>
        <v>Feb</v>
      </c>
      <c r="M2475" s="2">
        <v>34</v>
      </c>
      <c r="N2475" s="2" t="s">
        <v>64</v>
      </c>
      <c r="O2475" s="2" t="str">
        <f>VLOOKUP(OrganizedData[[#This Row],[Product Code]],ProductData[[Code]:[Item]],2,FALSE)</f>
        <v>Ultrathing V4</v>
      </c>
      <c r="P2475" s="4">
        <f>OrganizedData[[#This Row],[Quantity]]*VLOOKUP(OrganizedData[[#This Row],[Product Code]],ProductData[],4,FALSE)</f>
        <v>816</v>
      </c>
      <c r="Q2475" s="6">
        <f>OrganizedData[[#This Row],[Total Items Ordered]]*VLOOKUP(OrganizedData[[#This Row],[Product Code]],ProductData[],3,FALSE)</f>
        <v>3255.84</v>
      </c>
      <c r="R24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2476" spans="1:18" x14ac:dyDescent="0.3">
      <c r="A2476" s="2">
        <v>2469</v>
      </c>
      <c r="B2476" s="2" t="s">
        <v>3108</v>
      </c>
      <c r="C2476" s="2" t="s">
        <v>1989</v>
      </c>
      <c r="D2476" s="2" t="s">
        <v>15</v>
      </c>
      <c r="E2476" s="2" t="s">
        <v>16</v>
      </c>
      <c r="F2476" s="2">
        <v>60</v>
      </c>
      <c r="G2476" s="2" t="s">
        <v>6572</v>
      </c>
      <c r="H2476" s="2" t="s">
        <v>4208</v>
      </c>
      <c r="I2476" s="2" t="s">
        <v>44</v>
      </c>
      <c r="J2476" s="3">
        <v>43882</v>
      </c>
      <c r="K2476" s="5">
        <f>YEAR(OrganizedData[[#This Row],[Order Date]])</f>
        <v>2020</v>
      </c>
      <c r="L2476" s="7" t="str">
        <f>TEXT(OrganizedData[[#This Row],[Order Date]],"mmm")</f>
        <v>Feb</v>
      </c>
      <c r="M2476" s="2">
        <v>22</v>
      </c>
      <c r="N2476" s="2" t="s">
        <v>39</v>
      </c>
      <c r="O2476" s="2" t="str">
        <f>VLOOKUP(OrganizedData[[#This Row],[Product Code]],ProductData[[Code]:[Item]],2,FALSE)</f>
        <v>Ultrathing V1</v>
      </c>
      <c r="P2476" s="4">
        <f>OrganizedData[[#This Row],[Quantity]]*VLOOKUP(OrganizedData[[#This Row],[Product Code]],ProductData[],4,FALSE)</f>
        <v>374</v>
      </c>
      <c r="Q2476" s="6">
        <f>OrganizedData[[#This Row],[Total Items Ordered]]*VLOOKUP(OrganizedData[[#This Row],[Product Code]],ProductData[],3,FALSE)</f>
        <v>669.46</v>
      </c>
      <c r="R24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2477" spans="1:18" x14ac:dyDescent="0.3">
      <c r="A2477" s="2">
        <v>2470</v>
      </c>
      <c r="B2477" s="2" t="s">
        <v>6573</v>
      </c>
      <c r="C2477" s="2" t="s">
        <v>6574</v>
      </c>
      <c r="D2477" s="2" t="s">
        <v>15</v>
      </c>
      <c r="E2477" s="2" t="s">
        <v>16</v>
      </c>
      <c r="F2477" s="2">
        <v>60</v>
      </c>
      <c r="G2477" s="2" t="s">
        <v>6575</v>
      </c>
      <c r="H2477" s="2" t="s">
        <v>1210</v>
      </c>
      <c r="I2477" s="2" t="s">
        <v>294</v>
      </c>
      <c r="J2477" s="3">
        <v>44779</v>
      </c>
      <c r="K2477" s="5">
        <f>YEAR(OrganizedData[[#This Row],[Order Date]])</f>
        <v>2022</v>
      </c>
      <c r="L2477" s="7" t="str">
        <f>TEXT(OrganizedData[[#This Row],[Order Date]],"mmm")</f>
        <v>Aug</v>
      </c>
      <c r="M2477" s="2">
        <v>54</v>
      </c>
      <c r="N2477" s="2" t="s">
        <v>159</v>
      </c>
      <c r="O2477" s="2" t="str">
        <f>VLOOKUP(OrganizedData[[#This Row],[Product Code]],ProductData[[Code]:[Item]],2,FALSE)</f>
        <v>Ultrathing V3</v>
      </c>
      <c r="P2477" s="4">
        <f>OrganizedData[[#This Row],[Quantity]]*VLOOKUP(OrganizedData[[#This Row],[Product Code]],ProductData[],4,FALSE)</f>
        <v>1296</v>
      </c>
      <c r="Q2477" s="6">
        <f>OrganizedData[[#This Row],[Total Items Ordered]]*VLOOKUP(OrganizedData[[#This Row],[Product Code]],ProductData[],3,FALSE)</f>
        <v>4393.4400000000005</v>
      </c>
      <c r="R24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4173.768</v>
      </c>
    </row>
    <row r="2478" spans="1:18" x14ac:dyDescent="0.3">
      <c r="A2478" s="2">
        <v>2471</v>
      </c>
      <c r="B2478" s="2" t="s">
        <v>6576</v>
      </c>
      <c r="C2478" s="2" t="s">
        <v>1485</v>
      </c>
      <c r="D2478" s="2" t="s">
        <v>51</v>
      </c>
      <c r="E2478" s="2" t="s">
        <v>16</v>
      </c>
      <c r="F2478" s="2">
        <v>90</v>
      </c>
      <c r="G2478" s="2" t="s">
        <v>6577</v>
      </c>
      <c r="H2478" s="2" t="s">
        <v>2093</v>
      </c>
      <c r="I2478" s="2" t="s">
        <v>32</v>
      </c>
      <c r="J2478" s="3">
        <v>44115</v>
      </c>
      <c r="K2478" s="5">
        <f>YEAR(OrganizedData[[#This Row],[Order Date]])</f>
        <v>2020</v>
      </c>
      <c r="L2478" s="7" t="str">
        <f>TEXT(OrganizedData[[#This Row],[Order Date]],"mmm")</f>
        <v>Oct</v>
      </c>
      <c r="M2478" s="2">
        <v>37</v>
      </c>
      <c r="N2478" s="2" t="s">
        <v>33</v>
      </c>
      <c r="O2478" s="2" t="str">
        <f>VLOOKUP(OrganizedData[[#This Row],[Product Code]],ProductData[[Code]:[Item]],2,FALSE)</f>
        <v>Megawidget L</v>
      </c>
      <c r="P2478" s="4">
        <f>OrganizedData[[#This Row],[Quantity]]*VLOOKUP(OrganizedData[[#This Row],[Product Code]],ProductData[],4,FALSE)</f>
        <v>888</v>
      </c>
      <c r="Q2478" s="6">
        <f>OrganizedData[[#This Row],[Total Items Ordered]]*VLOOKUP(OrganizedData[[#This Row],[Product Code]],ProductData[],3,FALSE)</f>
        <v>1589.52</v>
      </c>
      <c r="R24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1541.8344</v>
      </c>
    </row>
    <row r="2479" spans="1:18" x14ac:dyDescent="0.3">
      <c r="A2479" s="2">
        <v>2472</v>
      </c>
      <c r="B2479" s="2" t="s">
        <v>6578</v>
      </c>
      <c r="C2479" s="2" t="s">
        <v>948</v>
      </c>
      <c r="D2479" s="2" t="s">
        <v>28</v>
      </c>
      <c r="E2479" s="2" t="s">
        <v>29</v>
      </c>
      <c r="F2479" s="2">
        <v>30</v>
      </c>
      <c r="G2479" s="2" t="s">
        <v>6579</v>
      </c>
      <c r="H2479" s="2" t="s">
        <v>4517</v>
      </c>
      <c r="I2479" s="2" t="s">
        <v>173</v>
      </c>
      <c r="J2479" s="3">
        <v>44652</v>
      </c>
      <c r="K2479" s="5">
        <f>YEAR(OrganizedData[[#This Row],[Order Date]])</f>
        <v>2022</v>
      </c>
      <c r="L2479" s="7" t="str">
        <f>TEXT(OrganizedData[[#This Row],[Order Date]],"mmm")</f>
        <v>Apr</v>
      </c>
      <c r="M2479" s="2">
        <v>77</v>
      </c>
      <c r="N2479" s="2" t="s">
        <v>101</v>
      </c>
      <c r="O2479" s="2" t="str">
        <f>VLOOKUP(OrganizedData[[#This Row],[Product Code]],ProductData[[Code]:[Item]],2,FALSE)</f>
        <v>Superwossname</v>
      </c>
      <c r="P2479" s="4">
        <f>OrganizedData[[#This Row],[Quantity]]*VLOOKUP(OrganizedData[[#This Row],[Product Code]],ProductData[],4,FALSE)</f>
        <v>1540</v>
      </c>
      <c r="Q2479" s="6">
        <f>OrganizedData[[#This Row],[Total Items Ordered]]*VLOOKUP(OrganizedData[[#This Row],[Product Code]],ProductData[],3,FALSE)</f>
        <v>5374.6</v>
      </c>
      <c r="R24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5105.87</v>
      </c>
    </row>
    <row r="2480" spans="1:18" x14ac:dyDescent="0.3">
      <c r="A2480" s="2">
        <v>2473</v>
      </c>
      <c r="B2480" s="2" t="s">
        <v>6580</v>
      </c>
      <c r="C2480" s="2" t="s">
        <v>1756</v>
      </c>
      <c r="D2480" s="2" t="s">
        <v>28</v>
      </c>
      <c r="E2480" s="2" t="s">
        <v>29</v>
      </c>
      <c r="F2480" s="2">
        <v>90</v>
      </c>
      <c r="G2480" s="2" t="s">
        <v>6581</v>
      </c>
      <c r="H2480" s="2" t="s">
        <v>2724</v>
      </c>
      <c r="I2480" s="2" t="s">
        <v>32</v>
      </c>
      <c r="J2480" s="3">
        <v>44362</v>
      </c>
      <c r="K2480" s="5">
        <f>YEAR(OrganizedData[[#This Row],[Order Date]])</f>
        <v>2021</v>
      </c>
      <c r="L2480" s="7" t="str">
        <f>TEXT(OrganizedData[[#This Row],[Order Date]],"mmm")</f>
        <v>Jun</v>
      </c>
      <c r="M2480" s="2">
        <v>5</v>
      </c>
      <c r="N2480" s="2" t="s">
        <v>33</v>
      </c>
      <c r="O2480" s="2" t="str">
        <f>VLOOKUP(OrganizedData[[#This Row],[Product Code]],ProductData[[Code]:[Item]],2,FALSE)</f>
        <v>Megawidget L</v>
      </c>
      <c r="P2480" s="4">
        <f>OrganizedData[[#This Row],[Quantity]]*VLOOKUP(OrganizedData[[#This Row],[Product Code]],ProductData[],4,FALSE)</f>
        <v>120</v>
      </c>
      <c r="Q2480" s="6">
        <f>OrganizedData[[#This Row],[Total Items Ordered]]*VLOOKUP(OrganizedData[[#This Row],[Product Code]],ProductData[],3,FALSE)</f>
        <v>214.8</v>
      </c>
      <c r="R24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214.8</v>
      </c>
    </row>
    <row r="2481" spans="1:18" x14ac:dyDescent="0.3">
      <c r="A2481" s="2">
        <v>2474</v>
      </c>
      <c r="B2481" s="2" t="s">
        <v>335</v>
      </c>
      <c r="C2481" s="2" t="s">
        <v>1030</v>
      </c>
      <c r="D2481" s="2" t="s">
        <v>28</v>
      </c>
      <c r="E2481" s="2" t="s">
        <v>29</v>
      </c>
      <c r="F2481" s="2">
        <v>30</v>
      </c>
      <c r="G2481" s="2" t="s">
        <v>6582</v>
      </c>
      <c r="H2481" s="2" t="s">
        <v>1712</v>
      </c>
      <c r="I2481" s="2" t="s">
        <v>187</v>
      </c>
      <c r="J2481" s="3">
        <v>44837</v>
      </c>
      <c r="K2481" s="5">
        <f>YEAR(OrganizedData[[#This Row],[Order Date]])</f>
        <v>2022</v>
      </c>
      <c r="L2481" s="7" t="str">
        <f>TEXT(OrganizedData[[#This Row],[Order Date]],"mmm")</f>
        <v>Oct</v>
      </c>
      <c r="M2481" s="2">
        <v>90</v>
      </c>
      <c r="N2481" s="2" t="s">
        <v>101</v>
      </c>
      <c r="O2481" s="2" t="str">
        <f>VLOOKUP(OrganizedData[[#This Row],[Product Code]],ProductData[[Code]:[Item]],2,FALSE)</f>
        <v>Superwossname</v>
      </c>
      <c r="P2481" s="4">
        <f>OrganizedData[[#This Row],[Quantity]]*VLOOKUP(OrganizedData[[#This Row],[Product Code]],ProductData[],4,FALSE)</f>
        <v>1800</v>
      </c>
      <c r="Q2481" s="6">
        <f>OrganizedData[[#This Row],[Total Items Ordered]]*VLOOKUP(OrganizedData[[#This Row],[Product Code]],ProductData[],3,FALSE)</f>
        <v>6282</v>
      </c>
      <c r="R24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5967.9</v>
      </c>
    </row>
    <row r="2482" spans="1:18" x14ac:dyDescent="0.3">
      <c r="A2482" s="2">
        <v>2475</v>
      </c>
      <c r="B2482" s="2" t="s">
        <v>183</v>
      </c>
      <c r="C2482" s="2" t="s">
        <v>2406</v>
      </c>
      <c r="D2482" s="2" t="s">
        <v>15</v>
      </c>
      <c r="E2482" s="2" t="s">
        <v>16</v>
      </c>
      <c r="F2482" s="2">
        <v>60</v>
      </c>
      <c r="G2482" s="2" t="s">
        <v>6583</v>
      </c>
      <c r="H2482" s="2" t="s">
        <v>928</v>
      </c>
      <c r="I2482" s="2" t="s">
        <v>38</v>
      </c>
      <c r="J2482" s="3">
        <v>44832</v>
      </c>
      <c r="K2482" s="5">
        <f>YEAR(OrganizedData[[#This Row],[Order Date]])</f>
        <v>2022</v>
      </c>
      <c r="L2482" s="7" t="str">
        <f>TEXT(OrganizedData[[#This Row],[Order Date]],"mmm")</f>
        <v>Sep</v>
      </c>
      <c r="M2482" s="2">
        <v>27</v>
      </c>
      <c r="N2482" s="2" t="s">
        <v>45</v>
      </c>
      <c r="O2482" s="2" t="str">
        <f>VLOOKUP(OrganizedData[[#This Row],[Product Code]],ProductData[[Code]:[Item]],2,FALSE)</f>
        <v>Gigastuff</v>
      </c>
      <c r="P2482" s="4">
        <f>OrganizedData[[#This Row],[Quantity]]*VLOOKUP(OrganizedData[[#This Row],[Product Code]],ProductData[],4,FALSE)</f>
        <v>486</v>
      </c>
      <c r="Q2482" s="6">
        <f>OrganizedData[[#This Row],[Total Items Ordered]]*VLOOKUP(OrganizedData[[#This Row],[Product Code]],ProductData[],3,FALSE)</f>
        <v>918.54</v>
      </c>
      <c r="R24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890.98379999999997</v>
      </c>
    </row>
    <row r="2483" spans="1:18" x14ac:dyDescent="0.3">
      <c r="A2483" s="2">
        <v>2476</v>
      </c>
      <c r="B2483" s="2" t="s">
        <v>4926</v>
      </c>
      <c r="C2483" s="2" t="s">
        <v>5001</v>
      </c>
      <c r="D2483" s="2" t="s">
        <v>15</v>
      </c>
      <c r="E2483" s="2" t="s">
        <v>16</v>
      </c>
      <c r="F2483" s="2">
        <v>30</v>
      </c>
      <c r="G2483" s="2" t="s">
        <v>6584</v>
      </c>
      <c r="H2483" s="2" t="s">
        <v>3682</v>
      </c>
      <c r="I2483" s="2" t="s">
        <v>178</v>
      </c>
      <c r="J2483" s="3">
        <v>44812</v>
      </c>
      <c r="K2483" s="5">
        <f>YEAR(OrganizedData[[#This Row],[Order Date]])</f>
        <v>2022</v>
      </c>
      <c r="L2483" s="7" t="str">
        <f>TEXT(OrganizedData[[#This Row],[Order Date]],"mmm")</f>
        <v>Sep</v>
      </c>
      <c r="M2483" s="2">
        <v>94</v>
      </c>
      <c r="N2483" s="2" t="s">
        <v>54</v>
      </c>
      <c r="O2483" s="2" t="str">
        <f>VLOOKUP(OrganizedData[[#This Row],[Product Code]],ProductData[[Code]:[Item]],2,FALSE)</f>
        <v>Megawidget S</v>
      </c>
      <c r="P2483" s="4">
        <f>OrganizedData[[#This Row],[Quantity]]*VLOOKUP(OrganizedData[[#This Row],[Product Code]],ProductData[],4,FALSE)</f>
        <v>2256</v>
      </c>
      <c r="Q2483" s="6">
        <f>OrganizedData[[#This Row],[Total Items Ordered]]*VLOOKUP(OrganizedData[[#This Row],[Product Code]],ProductData[],3,FALSE)</f>
        <v>1556.6399999999999</v>
      </c>
      <c r="R24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1478.8079999999998</v>
      </c>
    </row>
    <row r="2484" spans="1:18" x14ac:dyDescent="0.3">
      <c r="A2484" s="2">
        <v>2477</v>
      </c>
      <c r="B2484" s="2" t="s">
        <v>1850</v>
      </c>
      <c r="C2484" s="2" t="s">
        <v>4828</v>
      </c>
      <c r="D2484" s="2" t="s">
        <v>28</v>
      </c>
      <c r="E2484" s="2" t="s">
        <v>29</v>
      </c>
      <c r="F2484" s="2">
        <v>90</v>
      </c>
      <c r="G2484" s="2" t="s">
        <v>6585</v>
      </c>
      <c r="H2484" s="2" t="s">
        <v>1905</v>
      </c>
      <c r="I2484" s="2" t="s">
        <v>187</v>
      </c>
      <c r="J2484" s="3">
        <v>44436</v>
      </c>
      <c r="K2484" s="5">
        <f>YEAR(OrganizedData[[#This Row],[Order Date]])</f>
        <v>2021</v>
      </c>
      <c r="L2484" s="7" t="str">
        <f>TEXT(OrganizedData[[#This Row],[Order Date]],"mmm")</f>
        <v>Aug</v>
      </c>
      <c r="M2484" s="2">
        <v>73</v>
      </c>
      <c r="N2484" s="2" t="s">
        <v>33</v>
      </c>
      <c r="O2484" s="2" t="str">
        <f>VLOOKUP(OrganizedData[[#This Row],[Product Code]],ProductData[[Code]:[Item]],2,FALSE)</f>
        <v>Megawidget L</v>
      </c>
      <c r="P2484" s="4">
        <f>OrganizedData[[#This Row],[Quantity]]*VLOOKUP(OrganizedData[[#This Row],[Product Code]],ProductData[],4,FALSE)</f>
        <v>1752</v>
      </c>
      <c r="Q2484" s="6">
        <f>OrganizedData[[#This Row],[Total Items Ordered]]*VLOOKUP(OrganizedData[[#This Row],[Product Code]],ProductData[],3,FALSE)</f>
        <v>3136.08</v>
      </c>
      <c r="R24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2979.2759999999998</v>
      </c>
    </row>
    <row r="2485" spans="1:18" x14ac:dyDescent="0.3">
      <c r="A2485" s="2">
        <v>2478</v>
      </c>
      <c r="B2485" s="2" t="s">
        <v>6586</v>
      </c>
      <c r="C2485" s="2" t="s">
        <v>6587</v>
      </c>
      <c r="D2485" s="2" t="s">
        <v>51</v>
      </c>
      <c r="E2485" s="2" t="s">
        <v>16</v>
      </c>
      <c r="F2485" s="2">
        <v>90</v>
      </c>
      <c r="G2485" s="2" t="s">
        <v>6588</v>
      </c>
      <c r="H2485" s="2" t="s">
        <v>2848</v>
      </c>
      <c r="I2485" s="2" t="s">
        <v>129</v>
      </c>
      <c r="J2485" s="3">
        <v>44801</v>
      </c>
      <c r="K2485" s="5">
        <f>YEAR(OrganizedData[[#This Row],[Order Date]])</f>
        <v>2022</v>
      </c>
      <c r="L2485" s="7" t="str">
        <f>TEXT(OrganizedData[[#This Row],[Order Date]],"mmm")</f>
        <v>Aug</v>
      </c>
      <c r="M2485" s="2">
        <v>2</v>
      </c>
      <c r="N2485" s="2" t="s">
        <v>33</v>
      </c>
      <c r="O2485" s="2" t="str">
        <f>VLOOKUP(OrganizedData[[#This Row],[Product Code]],ProductData[[Code]:[Item]],2,FALSE)</f>
        <v>Megawidget L</v>
      </c>
      <c r="P2485" s="4">
        <f>OrganizedData[[#This Row],[Quantity]]*VLOOKUP(OrganizedData[[#This Row],[Product Code]],ProductData[],4,FALSE)</f>
        <v>48</v>
      </c>
      <c r="Q2485" s="6">
        <f>OrganizedData[[#This Row],[Total Items Ordered]]*VLOOKUP(OrganizedData[[#This Row],[Product Code]],ProductData[],3,FALSE)</f>
        <v>85.92</v>
      </c>
      <c r="R24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2486" spans="1:18" x14ac:dyDescent="0.3">
      <c r="A2486" s="2">
        <v>2479</v>
      </c>
      <c r="B2486" s="2" t="s">
        <v>3704</v>
      </c>
      <c r="C2486" s="2" t="s">
        <v>2597</v>
      </c>
      <c r="D2486" s="2" t="s">
        <v>51</v>
      </c>
      <c r="E2486" s="2" t="s">
        <v>16</v>
      </c>
      <c r="F2486" s="2">
        <v>60</v>
      </c>
      <c r="G2486" s="2" t="s">
        <v>6589</v>
      </c>
      <c r="H2486" s="2" t="s">
        <v>6590</v>
      </c>
      <c r="I2486" s="2" t="s">
        <v>124</v>
      </c>
      <c r="J2486" s="3">
        <v>44580</v>
      </c>
      <c r="K2486" s="5">
        <f>YEAR(OrganizedData[[#This Row],[Order Date]])</f>
        <v>2022</v>
      </c>
      <c r="L2486" s="7" t="str">
        <f>TEXT(OrganizedData[[#This Row],[Order Date]],"mmm")</f>
        <v>Jan</v>
      </c>
      <c r="M2486" s="2">
        <v>26</v>
      </c>
      <c r="N2486" s="2" t="s">
        <v>70</v>
      </c>
      <c r="O2486" s="2" t="str">
        <f>VLOOKUP(OrganizedData[[#This Row],[Product Code]],ProductData[[Code]:[Item]],2,FALSE)</f>
        <v>Megawidget M</v>
      </c>
      <c r="P2486" s="4">
        <f>OrganizedData[[#This Row],[Quantity]]*VLOOKUP(OrganizedData[[#This Row],[Product Code]],ProductData[],4,FALSE)</f>
        <v>624</v>
      </c>
      <c r="Q2486" s="6">
        <f>OrganizedData[[#This Row],[Total Items Ordered]]*VLOOKUP(OrganizedData[[#This Row],[Product Code]],ProductData[],3,FALSE)</f>
        <v>804.96</v>
      </c>
      <c r="R24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780.81119999999999</v>
      </c>
    </row>
    <row r="2487" spans="1:18" x14ac:dyDescent="0.3">
      <c r="A2487" s="2">
        <v>2480</v>
      </c>
      <c r="B2487" s="2" t="s">
        <v>6591</v>
      </c>
      <c r="C2487" s="2" t="s">
        <v>5993</v>
      </c>
      <c r="D2487" s="2" t="s">
        <v>28</v>
      </c>
      <c r="E2487" s="2" t="s">
        <v>29</v>
      </c>
      <c r="F2487" s="2">
        <v>90</v>
      </c>
      <c r="G2487" s="2" t="s">
        <v>6592</v>
      </c>
      <c r="H2487" s="2" t="s">
        <v>1005</v>
      </c>
      <c r="I2487" s="2" t="s">
        <v>178</v>
      </c>
      <c r="J2487" s="3">
        <v>43881</v>
      </c>
      <c r="K2487" s="5">
        <f>YEAR(OrganizedData[[#This Row],[Order Date]])</f>
        <v>2020</v>
      </c>
      <c r="L2487" s="7" t="str">
        <f>TEXT(OrganizedData[[#This Row],[Order Date]],"mmm")</f>
        <v>Feb</v>
      </c>
      <c r="M2487" s="2">
        <v>52</v>
      </c>
      <c r="N2487" s="2" t="s">
        <v>159</v>
      </c>
      <c r="O2487" s="2" t="str">
        <f>VLOOKUP(OrganizedData[[#This Row],[Product Code]],ProductData[[Code]:[Item]],2,FALSE)</f>
        <v>Ultrathing V3</v>
      </c>
      <c r="P2487" s="4">
        <f>OrganizedData[[#This Row],[Quantity]]*VLOOKUP(OrganizedData[[#This Row],[Product Code]],ProductData[],4,FALSE)</f>
        <v>1248</v>
      </c>
      <c r="Q2487" s="6">
        <f>OrganizedData[[#This Row],[Total Items Ordered]]*VLOOKUP(OrganizedData[[#This Row],[Product Code]],ProductData[],3,FALSE)</f>
        <v>4230.72</v>
      </c>
      <c r="R24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4019.1840000000002</v>
      </c>
    </row>
    <row r="2488" spans="1:18" x14ac:dyDescent="0.3">
      <c r="A2488" s="2">
        <v>2481</v>
      </c>
      <c r="B2488" s="2" t="s">
        <v>6593</v>
      </c>
      <c r="C2488" s="2" t="s">
        <v>6594</v>
      </c>
      <c r="D2488" s="2" t="s">
        <v>117</v>
      </c>
      <c r="E2488" s="2" t="s">
        <v>16</v>
      </c>
      <c r="F2488" s="2">
        <v>90</v>
      </c>
      <c r="G2488" s="2" t="s">
        <v>6595</v>
      </c>
      <c r="H2488" s="2" t="s">
        <v>4669</v>
      </c>
      <c r="I2488" s="2" t="s">
        <v>187</v>
      </c>
      <c r="J2488" s="3">
        <v>44274</v>
      </c>
      <c r="K2488" s="5">
        <f>YEAR(OrganizedData[[#This Row],[Order Date]])</f>
        <v>2021</v>
      </c>
      <c r="L2488" s="7" t="str">
        <f>TEXT(OrganizedData[[#This Row],[Order Date]],"mmm")</f>
        <v>Mar</v>
      </c>
      <c r="M2488" s="2">
        <v>66</v>
      </c>
      <c r="N2488" s="2" t="s">
        <v>80</v>
      </c>
      <c r="O2488" s="2" t="str">
        <f>VLOOKUP(OrganizedData[[#This Row],[Product Code]],ProductData[[Code]:[Item]],2,FALSE)</f>
        <v>Ultrathing V2</v>
      </c>
      <c r="P2488" s="4">
        <f>OrganizedData[[#This Row],[Quantity]]*VLOOKUP(OrganizedData[[#This Row],[Product Code]],ProductData[],4,FALSE)</f>
        <v>1320</v>
      </c>
      <c r="Q2488" s="6">
        <f>OrganizedData[[#This Row],[Total Items Ordered]]*VLOOKUP(OrganizedData[[#This Row],[Product Code]],ProductData[],3,FALSE)</f>
        <v>3894.0000000000005</v>
      </c>
      <c r="R24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3699.3</v>
      </c>
    </row>
    <row r="2489" spans="1:18" x14ac:dyDescent="0.3">
      <c r="A2489" s="2">
        <v>2482</v>
      </c>
      <c r="B2489" s="2" t="s">
        <v>6596</v>
      </c>
      <c r="C2489" s="2" t="s">
        <v>564</v>
      </c>
      <c r="D2489" s="2" t="s">
        <v>51</v>
      </c>
      <c r="E2489" s="2" t="s">
        <v>16</v>
      </c>
      <c r="F2489" s="2">
        <v>30</v>
      </c>
      <c r="G2489" s="2" t="s">
        <v>6597</v>
      </c>
      <c r="H2489" s="2" t="s">
        <v>420</v>
      </c>
      <c r="I2489" s="2" t="s">
        <v>32</v>
      </c>
      <c r="J2489" s="3">
        <v>44069</v>
      </c>
      <c r="K2489" s="5">
        <f>YEAR(OrganizedData[[#This Row],[Order Date]])</f>
        <v>2020</v>
      </c>
      <c r="L2489" s="7" t="str">
        <f>TEXT(OrganizedData[[#This Row],[Order Date]],"mmm")</f>
        <v>Aug</v>
      </c>
      <c r="M2489" s="2">
        <v>4</v>
      </c>
      <c r="N2489" s="2" t="s">
        <v>33</v>
      </c>
      <c r="O2489" s="2" t="str">
        <f>VLOOKUP(OrganizedData[[#This Row],[Product Code]],ProductData[[Code]:[Item]],2,FALSE)</f>
        <v>Megawidget L</v>
      </c>
      <c r="P2489" s="4">
        <f>OrganizedData[[#This Row],[Quantity]]*VLOOKUP(OrganizedData[[#This Row],[Product Code]],ProductData[],4,FALSE)</f>
        <v>96</v>
      </c>
      <c r="Q2489" s="6">
        <f>OrganizedData[[#This Row],[Total Items Ordered]]*VLOOKUP(OrganizedData[[#This Row],[Product Code]],ProductData[],3,FALSE)</f>
        <v>171.84</v>
      </c>
      <c r="R24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171.84</v>
      </c>
    </row>
    <row r="2490" spans="1:18" x14ac:dyDescent="0.3">
      <c r="A2490" s="2">
        <v>2483</v>
      </c>
      <c r="B2490" s="2" t="s">
        <v>2932</v>
      </c>
      <c r="C2490" s="2" t="s">
        <v>6598</v>
      </c>
      <c r="D2490" s="2" t="s">
        <v>28</v>
      </c>
      <c r="E2490" s="2" t="s">
        <v>29</v>
      </c>
      <c r="F2490" s="2">
        <v>30</v>
      </c>
      <c r="G2490" s="2" t="s">
        <v>6599</v>
      </c>
      <c r="H2490" s="2" t="s">
        <v>1757</v>
      </c>
      <c r="I2490" s="2" t="s">
        <v>294</v>
      </c>
      <c r="J2490" s="3">
        <v>44201</v>
      </c>
      <c r="K2490" s="5">
        <f>YEAR(OrganizedData[[#This Row],[Order Date]])</f>
        <v>2021</v>
      </c>
      <c r="L2490" s="7" t="str">
        <f>TEXT(OrganizedData[[#This Row],[Order Date]],"mmm")</f>
        <v>Jan</v>
      </c>
      <c r="M2490" s="2">
        <v>23</v>
      </c>
      <c r="N2490" s="2" t="s">
        <v>20</v>
      </c>
      <c r="O2490" s="2" t="str">
        <f>VLOOKUP(OrganizedData[[#This Row],[Product Code]],ProductData[[Code]:[Item]],2,FALSE)</f>
        <v>Hyperwotsit</v>
      </c>
      <c r="P2490" s="4">
        <f>OrganizedData[[#This Row],[Quantity]]*VLOOKUP(OrganizedData[[#This Row],[Product Code]],ProductData[],4,FALSE)</f>
        <v>460</v>
      </c>
      <c r="Q2490" s="6">
        <f>OrganizedData[[#This Row],[Total Items Ordered]]*VLOOKUP(OrganizedData[[#This Row],[Product Code]],ProductData[],3,FALSE)</f>
        <v>924.59999999999991</v>
      </c>
      <c r="R24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896.86199999999985</v>
      </c>
    </row>
    <row r="2491" spans="1:18" x14ac:dyDescent="0.3">
      <c r="A2491" s="2">
        <v>2484</v>
      </c>
      <c r="B2491" s="2" t="s">
        <v>6600</v>
      </c>
      <c r="C2491" s="2" t="s">
        <v>1117</v>
      </c>
      <c r="D2491" s="2" t="s">
        <v>28</v>
      </c>
      <c r="E2491" s="2" t="s">
        <v>29</v>
      </c>
      <c r="F2491" s="2">
        <v>30</v>
      </c>
      <c r="G2491" s="2" t="s">
        <v>10530</v>
      </c>
      <c r="H2491" s="2" t="s">
        <v>6602</v>
      </c>
      <c r="I2491" s="2" t="s">
        <v>32</v>
      </c>
      <c r="J2491" s="3">
        <v>44331</v>
      </c>
      <c r="K2491" s="5">
        <f>YEAR(OrganizedData[[#This Row],[Order Date]])</f>
        <v>2021</v>
      </c>
      <c r="L2491" s="7" t="str">
        <f>TEXT(OrganizedData[[#This Row],[Order Date]],"mmm")</f>
        <v>May</v>
      </c>
      <c r="M2491" s="2">
        <v>73</v>
      </c>
      <c r="N2491" s="2" t="s">
        <v>54</v>
      </c>
      <c r="O2491" s="2" t="str">
        <f>VLOOKUP(OrganizedData[[#This Row],[Product Code]],ProductData[[Code]:[Item]],2,FALSE)</f>
        <v>Megawidget S</v>
      </c>
      <c r="P2491" s="4">
        <f>OrganizedData[[#This Row],[Quantity]]*VLOOKUP(OrganizedData[[#This Row],[Product Code]],ProductData[],4,FALSE)</f>
        <v>1752</v>
      </c>
      <c r="Q2491" s="6">
        <f>OrganizedData[[#This Row],[Total Items Ordered]]*VLOOKUP(OrganizedData[[#This Row],[Product Code]],ProductData[],3,FALSE)</f>
        <v>1208.8799999999999</v>
      </c>
      <c r="R24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1148.4359999999999</v>
      </c>
    </row>
    <row r="2492" spans="1:18" x14ac:dyDescent="0.3">
      <c r="A2492" s="2">
        <v>2485</v>
      </c>
      <c r="B2492" s="2" t="s">
        <v>6603</v>
      </c>
      <c r="C2492" s="2" t="s">
        <v>1361</v>
      </c>
      <c r="D2492" s="2" t="s">
        <v>15</v>
      </c>
      <c r="E2492" s="2" t="s">
        <v>16</v>
      </c>
      <c r="F2492" s="2">
        <v>30</v>
      </c>
      <c r="G2492" s="2" t="s">
        <v>6604</v>
      </c>
      <c r="H2492" s="2" t="s">
        <v>1214</v>
      </c>
      <c r="I2492" s="2" t="s">
        <v>32</v>
      </c>
      <c r="J2492" s="3">
        <v>44873</v>
      </c>
      <c r="K2492" s="5">
        <f>YEAR(OrganizedData[[#This Row],[Order Date]])</f>
        <v>2022</v>
      </c>
      <c r="L2492" s="7" t="str">
        <f>TEXT(OrganizedData[[#This Row],[Order Date]],"mmm")</f>
        <v>Nov</v>
      </c>
      <c r="M2492" s="2">
        <v>71</v>
      </c>
      <c r="N2492" s="2" t="s">
        <v>45</v>
      </c>
      <c r="O2492" s="2" t="str">
        <f>VLOOKUP(OrganizedData[[#This Row],[Product Code]],ProductData[[Code]:[Item]],2,FALSE)</f>
        <v>Gigastuff</v>
      </c>
      <c r="P2492" s="4">
        <f>OrganizedData[[#This Row],[Quantity]]*VLOOKUP(OrganizedData[[#This Row],[Product Code]],ProductData[],4,FALSE)</f>
        <v>1278</v>
      </c>
      <c r="Q2492" s="6">
        <f>OrganizedData[[#This Row],[Total Items Ordered]]*VLOOKUP(OrganizedData[[#This Row],[Product Code]],ProductData[],3,FALSE)</f>
        <v>2415.42</v>
      </c>
      <c r="R24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2493" spans="1:18" x14ac:dyDescent="0.3">
      <c r="A2493" s="2">
        <v>2486</v>
      </c>
      <c r="B2493" s="2" t="s">
        <v>6605</v>
      </c>
      <c r="C2493" s="2" t="s">
        <v>1211</v>
      </c>
      <c r="D2493" s="2" t="s">
        <v>92</v>
      </c>
      <c r="E2493" s="2" t="s">
        <v>29</v>
      </c>
      <c r="F2493" s="2">
        <v>30</v>
      </c>
      <c r="G2493" s="2" t="s">
        <v>6606</v>
      </c>
      <c r="H2493" s="2" t="s">
        <v>6607</v>
      </c>
      <c r="I2493" s="2" t="s">
        <v>32</v>
      </c>
      <c r="J2493" s="3">
        <v>44100</v>
      </c>
      <c r="K2493" s="5">
        <f>YEAR(OrganizedData[[#This Row],[Order Date]])</f>
        <v>2020</v>
      </c>
      <c r="L2493" s="7" t="str">
        <f>TEXT(OrganizedData[[#This Row],[Order Date]],"mmm")</f>
        <v>Sep</v>
      </c>
      <c r="M2493" s="2">
        <v>46</v>
      </c>
      <c r="N2493" s="2" t="s">
        <v>159</v>
      </c>
      <c r="O2493" s="2" t="str">
        <f>VLOOKUP(OrganizedData[[#This Row],[Product Code]],ProductData[[Code]:[Item]],2,FALSE)</f>
        <v>Ultrathing V3</v>
      </c>
      <c r="P2493" s="4">
        <f>OrganizedData[[#This Row],[Quantity]]*VLOOKUP(OrganizedData[[#This Row],[Product Code]],ProductData[],4,FALSE)</f>
        <v>1104</v>
      </c>
      <c r="Q2493" s="6">
        <f>OrganizedData[[#This Row],[Total Items Ordered]]*VLOOKUP(OrganizedData[[#This Row],[Product Code]],ProductData[],3,FALSE)</f>
        <v>3742.56</v>
      </c>
      <c r="R24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3630.2831999999999</v>
      </c>
    </row>
    <row r="2494" spans="1:18" x14ac:dyDescent="0.3">
      <c r="A2494" s="2">
        <v>2487</v>
      </c>
      <c r="B2494" s="2" t="s">
        <v>6608</v>
      </c>
      <c r="C2494" s="2" t="s">
        <v>2024</v>
      </c>
      <c r="D2494" s="2" t="s">
        <v>51</v>
      </c>
      <c r="E2494" s="2" t="s">
        <v>16</v>
      </c>
      <c r="F2494" s="2">
        <v>90</v>
      </c>
      <c r="G2494" s="2" t="s">
        <v>6609</v>
      </c>
      <c r="H2494" s="2" t="s">
        <v>5843</v>
      </c>
      <c r="I2494" s="2" t="s">
        <v>25</v>
      </c>
      <c r="J2494" s="3">
        <v>44794</v>
      </c>
      <c r="K2494" s="5">
        <f>YEAR(OrganizedData[[#This Row],[Order Date]])</f>
        <v>2022</v>
      </c>
      <c r="L2494" s="7" t="str">
        <f>TEXT(OrganizedData[[#This Row],[Order Date]],"mmm")</f>
        <v>Aug</v>
      </c>
      <c r="M2494" s="2">
        <v>79</v>
      </c>
      <c r="N2494" s="2" t="s">
        <v>80</v>
      </c>
      <c r="O2494" s="2" t="str">
        <f>VLOOKUP(OrganizedData[[#This Row],[Product Code]],ProductData[[Code]:[Item]],2,FALSE)</f>
        <v>Ultrathing V2</v>
      </c>
      <c r="P2494" s="4">
        <f>OrganizedData[[#This Row],[Quantity]]*VLOOKUP(OrganizedData[[#This Row],[Product Code]],ProductData[],4,FALSE)</f>
        <v>1580</v>
      </c>
      <c r="Q2494" s="6">
        <f>OrganizedData[[#This Row],[Total Items Ordered]]*VLOOKUP(OrganizedData[[#This Row],[Product Code]],ProductData[],3,FALSE)</f>
        <v>4661</v>
      </c>
      <c r="R24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4427.95</v>
      </c>
    </row>
    <row r="2495" spans="1:18" x14ac:dyDescent="0.3">
      <c r="A2495" s="2">
        <v>2488</v>
      </c>
      <c r="B2495" s="2" t="s">
        <v>6610</v>
      </c>
      <c r="C2495" s="2" t="s">
        <v>493</v>
      </c>
      <c r="D2495" s="2" t="s">
        <v>92</v>
      </c>
      <c r="E2495" s="2" t="s">
        <v>16</v>
      </c>
      <c r="F2495" s="2">
        <v>60</v>
      </c>
      <c r="G2495" s="2" t="s">
        <v>6611</v>
      </c>
      <c r="H2495" s="2" t="s">
        <v>6612</v>
      </c>
      <c r="I2495" s="2" t="s">
        <v>25</v>
      </c>
      <c r="J2495" s="3">
        <v>44171</v>
      </c>
      <c r="K2495" s="5">
        <f>YEAR(OrganizedData[[#This Row],[Order Date]])</f>
        <v>2020</v>
      </c>
      <c r="L2495" s="7" t="str">
        <f>TEXT(OrganizedData[[#This Row],[Order Date]],"mmm")</f>
        <v>Dec</v>
      </c>
      <c r="M2495" s="2">
        <v>43</v>
      </c>
      <c r="N2495" s="2" t="s">
        <v>45</v>
      </c>
      <c r="O2495" s="2" t="str">
        <f>VLOOKUP(OrganizedData[[#This Row],[Product Code]],ProductData[[Code]:[Item]],2,FALSE)</f>
        <v>Gigastuff</v>
      </c>
      <c r="P2495" s="4">
        <f>OrganizedData[[#This Row],[Quantity]]*VLOOKUP(OrganizedData[[#This Row],[Product Code]],ProductData[],4,FALSE)</f>
        <v>774</v>
      </c>
      <c r="Q2495" s="6">
        <f>OrganizedData[[#This Row],[Total Items Ordered]]*VLOOKUP(OrganizedData[[#This Row],[Product Code]],ProductData[],3,FALSE)</f>
        <v>1462.86</v>
      </c>
      <c r="R24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2496" spans="1:18" x14ac:dyDescent="0.3">
      <c r="A2496" s="2">
        <v>2489</v>
      </c>
      <c r="B2496" s="2" t="s">
        <v>761</v>
      </c>
      <c r="C2496" s="2" t="s">
        <v>6452</v>
      </c>
      <c r="D2496" s="2" t="s">
        <v>51</v>
      </c>
      <c r="E2496" s="2" t="s">
        <v>16</v>
      </c>
      <c r="F2496" s="2">
        <v>90</v>
      </c>
      <c r="G2496" s="2" t="s">
        <v>6613</v>
      </c>
      <c r="H2496" s="2" t="s">
        <v>1732</v>
      </c>
      <c r="I2496" s="2" t="s">
        <v>1733</v>
      </c>
      <c r="J2496" s="3">
        <v>44232</v>
      </c>
      <c r="K2496" s="5">
        <f>YEAR(OrganizedData[[#This Row],[Order Date]])</f>
        <v>2021</v>
      </c>
      <c r="L2496" s="7" t="str">
        <f>TEXT(OrganizedData[[#This Row],[Order Date]],"mmm")</f>
        <v>Feb</v>
      </c>
      <c r="M2496" s="2">
        <v>60</v>
      </c>
      <c r="N2496" s="2" t="s">
        <v>45</v>
      </c>
      <c r="O2496" s="2" t="str">
        <f>VLOOKUP(OrganizedData[[#This Row],[Product Code]],ProductData[[Code]:[Item]],2,FALSE)</f>
        <v>Gigastuff</v>
      </c>
      <c r="P2496" s="4">
        <f>OrganizedData[[#This Row],[Quantity]]*VLOOKUP(OrganizedData[[#This Row],[Product Code]],ProductData[],4,FALSE)</f>
        <v>1080</v>
      </c>
      <c r="Q2496" s="6">
        <f>OrganizedData[[#This Row],[Total Items Ordered]]*VLOOKUP(OrganizedData[[#This Row],[Product Code]],ProductData[],3,FALSE)</f>
        <v>2041.1999999999998</v>
      </c>
      <c r="R24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1939.1399999999996</v>
      </c>
    </row>
    <row r="2497" spans="1:18" x14ac:dyDescent="0.3">
      <c r="A2497" s="2">
        <v>2490</v>
      </c>
      <c r="B2497" s="2" t="s">
        <v>6614</v>
      </c>
      <c r="C2497" s="2" t="s">
        <v>2427</v>
      </c>
      <c r="D2497" s="2" t="s">
        <v>15</v>
      </c>
      <c r="E2497" s="2" t="s">
        <v>16</v>
      </c>
      <c r="F2497" s="2">
        <v>60</v>
      </c>
      <c r="G2497" s="2" t="s">
        <v>6615</v>
      </c>
      <c r="H2497" s="2" t="s">
        <v>1005</v>
      </c>
      <c r="I2497" s="2" t="s">
        <v>178</v>
      </c>
      <c r="J2497" s="3">
        <v>43997</v>
      </c>
      <c r="K2497" s="5">
        <f>YEAR(OrganizedData[[#This Row],[Order Date]])</f>
        <v>2020</v>
      </c>
      <c r="L2497" s="7" t="str">
        <f>TEXT(OrganizedData[[#This Row],[Order Date]],"mmm")</f>
        <v>Jun</v>
      </c>
      <c r="M2497" s="2">
        <v>51</v>
      </c>
      <c r="N2497" s="2" t="s">
        <v>45</v>
      </c>
      <c r="O2497" s="2" t="str">
        <f>VLOOKUP(OrganizedData[[#This Row],[Product Code]],ProductData[[Code]:[Item]],2,FALSE)</f>
        <v>Gigastuff</v>
      </c>
      <c r="P2497" s="4">
        <f>OrganizedData[[#This Row],[Quantity]]*VLOOKUP(OrganizedData[[#This Row],[Product Code]],ProductData[],4,FALSE)</f>
        <v>918</v>
      </c>
      <c r="Q2497" s="6">
        <f>OrganizedData[[#This Row],[Total Items Ordered]]*VLOOKUP(OrganizedData[[#This Row],[Product Code]],ProductData[],3,FALSE)</f>
        <v>1735.02</v>
      </c>
      <c r="R24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1648.269</v>
      </c>
    </row>
    <row r="2498" spans="1:18" x14ac:dyDescent="0.3">
      <c r="A2498" s="2">
        <v>2491</v>
      </c>
      <c r="B2498" s="2" t="s">
        <v>6616</v>
      </c>
      <c r="C2498" s="2" t="s">
        <v>3279</v>
      </c>
      <c r="D2498" s="2" t="s">
        <v>15</v>
      </c>
      <c r="E2498" s="2" t="s">
        <v>16</v>
      </c>
      <c r="F2498" s="2">
        <v>90</v>
      </c>
      <c r="G2498" s="2" t="s">
        <v>6615</v>
      </c>
      <c r="H2498" s="2" t="s">
        <v>5132</v>
      </c>
      <c r="I2498" s="2" t="s">
        <v>32</v>
      </c>
      <c r="J2498" s="3">
        <v>43845</v>
      </c>
      <c r="K2498" s="5">
        <f>YEAR(OrganizedData[[#This Row],[Order Date]])</f>
        <v>2020</v>
      </c>
      <c r="L2498" s="7" t="str">
        <f>TEXT(OrganizedData[[#This Row],[Order Date]],"mmm")</f>
        <v>Jan</v>
      </c>
      <c r="M2498" s="2">
        <v>4</v>
      </c>
      <c r="N2498" s="2" t="s">
        <v>45</v>
      </c>
      <c r="O2498" s="2" t="str">
        <f>VLOOKUP(OrganizedData[[#This Row],[Product Code]],ProductData[[Code]:[Item]],2,FALSE)</f>
        <v>Gigastuff</v>
      </c>
      <c r="P2498" s="4">
        <f>OrganizedData[[#This Row],[Quantity]]*VLOOKUP(OrganizedData[[#This Row],[Product Code]],ProductData[],4,FALSE)</f>
        <v>72</v>
      </c>
      <c r="Q2498" s="6">
        <f>OrganizedData[[#This Row],[Total Items Ordered]]*VLOOKUP(OrganizedData[[#This Row],[Product Code]],ProductData[],3,FALSE)</f>
        <v>136.07999999999998</v>
      </c>
      <c r="R24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2499" spans="1:18" x14ac:dyDescent="0.3">
      <c r="A2499" s="2">
        <v>2492</v>
      </c>
      <c r="B2499" s="2" t="s">
        <v>4257</v>
      </c>
      <c r="C2499" s="2" t="s">
        <v>1089</v>
      </c>
      <c r="D2499" s="2" t="s">
        <v>28</v>
      </c>
      <c r="E2499" s="2" t="s">
        <v>29</v>
      </c>
      <c r="F2499" s="2">
        <v>30</v>
      </c>
      <c r="G2499" s="2" t="s">
        <v>10441</v>
      </c>
      <c r="H2499" s="2" t="s">
        <v>6618</v>
      </c>
      <c r="I2499" s="2" t="s">
        <v>32</v>
      </c>
      <c r="J2499" s="3">
        <v>44283</v>
      </c>
      <c r="K2499" s="5">
        <f>YEAR(OrganizedData[[#This Row],[Order Date]])</f>
        <v>2021</v>
      </c>
      <c r="L2499" s="7" t="str">
        <f>TEXT(OrganizedData[[#This Row],[Order Date]],"mmm")</f>
        <v>Mar</v>
      </c>
      <c r="M2499" s="2">
        <v>47</v>
      </c>
      <c r="N2499" s="2" t="s">
        <v>54</v>
      </c>
      <c r="O2499" s="2" t="str">
        <f>VLOOKUP(OrganizedData[[#This Row],[Product Code]],ProductData[[Code]:[Item]],2,FALSE)</f>
        <v>Megawidget S</v>
      </c>
      <c r="P2499" s="4">
        <f>OrganizedData[[#This Row],[Quantity]]*VLOOKUP(OrganizedData[[#This Row],[Product Code]],ProductData[],4,FALSE)</f>
        <v>1128</v>
      </c>
      <c r="Q2499" s="6">
        <f>OrganizedData[[#This Row],[Total Items Ordered]]*VLOOKUP(OrganizedData[[#This Row],[Product Code]],ProductData[],3,FALSE)</f>
        <v>778.31999999999994</v>
      </c>
      <c r="R24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2500" spans="1:18" x14ac:dyDescent="0.3">
      <c r="A2500" s="2">
        <v>2493</v>
      </c>
      <c r="B2500" s="2" t="s">
        <v>6619</v>
      </c>
      <c r="C2500" s="2" t="s">
        <v>4512</v>
      </c>
      <c r="D2500" s="2" t="s">
        <v>92</v>
      </c>
      <c r="E2500" s="2" t="s">
        <v>16</v>
      </c>
      <c r="F2500" s="2">
        <v>30</v>
      </c>
      <c r="G2500" s="2" t="s">
        <v>6620</v>
      </c>
      <c r="H2500" s="2" t="s">
        <v>279</v>
      </c>
      <c r="I2500" s="2" t="s">
        <v>213</v>
      </c>
      <c r="J2500" s="3">
        <v>44590</v>
      </c>
      <c r="K2500" s="5">
        <f>YEAR(OrganizedData[[#This Row],[Order Date]])</f>
        <v>2022</v>
      </c>
      <c r="L2500" s="7" t="str">
        <f>TEXT(OrganizedData[[#This Row],[Order Date]],"mmm")</f>
        <v>Jan</v>
      </c>
      <c r="M2500" s="2">
        <v>31</v>
      </c>
      <c r="N2500" s="2" t="s">
        <v>159</v>
      </c>
      <c r="O2500" s="2" t="str">
        <f>VLOOKUP(OrganizedData[[#This Row],[Product Code]],ProductData[[Code]:[Item]],2,FALSE)</f>
        <v>Ultrathing V3</v>
      </c>
      <c r="P2500" s="4">
        <f>OrganizedData[[#This Row],[Quantity]]*VLOOKUP(OrganizedData[[#This Row],[Product Code]],ProductData[],4,FALSE)</f>
        <v>744</v>
      </c>
      <c r="Q2500" s="6">
        <f>OrganizedData[[#This Row],[Total Items Ordered]]*VLOOKUP(OrganizedData[[#This Row],[Product Code]],ProductData[],3,FALSE)</f>
        <v>2522.1600000000003</v>
      </c>
      <c r="R25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2446.4952000000003</v>
      </c>
    </row>
    <row r="2501" spans="1:18" x14ac:dyDescent="0.3">
      <c r="A2501" s="2">
        <v>2494</v>
      </c>
      <c r="B2501" s="2" t="s">
        <v>2887</v>
      </c>
      <c r="C2501" s="2" t="s">
        <v>5671</v>
      </c>
      <c r="D2501" s="2" t="s">
        <v>28</v>
      </c>
      <c r="E2501" s="2" t="s">
        <v>29</v>
      </c>
      <c r="F2501" s="2">
        <v>30</v>
      </c>
      <c r="G2501" s="2" t="s">
        <v>6620</v>
      </c>
      <c r="H2501" s="2" t="s">
        <v>6621</v>
      </c>
      <c r="I2501" s="2" t="s">
        <v>38</v>
      </c>
      <c r="J2501" s="3">
        <v>44342</v>
      </c>
      <c r="K2501" s="5">
        <f>YEAR(OrganizedData[[#This Row],[Order Date]])</f>
        <v>2021</v>
      </c>
      <c r="L2501" s="7" t="str">
        <f>TEXT(OrganizedData[[#This Row],[Order Date]],"mmm")</f>
        <v>May</v>
      </c>
      <c r="M2501" s="2">
        <v>89</v>
      </c>
      <c r="N2501" s="2" t="s">
        <v>80</v>
      </c>
      <c r="O2501" s="2" t="str">
        <f>VLOOKUP(OrganizedData[[#This Row],[Product Code]],ProductData[[Code]:[Item]],2,FALSE)</f>
        <v>Ultrathing V2</v>
      </c>
      <c r="P2501" s="4">
        <f>OrganizedData[[#This Row],[Quantity]]*VLOOKUP(OrganizedData[[#This Row],[Product Code]],ProductData[],4,FALSE)</f>
        <v>1780</v>
      </c>
      <c r="Q2501" s="6">
        <f>OrganizedData[[#This Row],[Total Items Ordered]]*VLOOKUP(OrganizedData[[#This Row],[Product Code]],ProductData[],3,FALSE)</f>
        <v>5251</v>
      </c>
      <c r="R25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4988.45</v>
      </c>
    </row>
    <row r="2502" spans="1:18" x14ac:dyDescent="0.3">
      <c r="A2502" s="2">
        <v>2495</v>
      </c>
      <c r="B2502" s="2" t="s">
        <v>2932</v>
      </c>
      <c r="C2502" s="2" t="s">
        <v>1024</v>
      </c>
      <c r="D2502" s="2" t="s">
        <v>28</v>
      </c>
      <c r="E2502" s="2" t="s">
        <v>29</v>
      </c>
      <c r="F2502" s="2">
        <v>30</v>
      </c>
      <c r="G2502" s="2" t="s">
        <v>6622</v>
      </c>
      <c r="H2502" s="2" t="s">
        <v>3053</v>
      </c>
      <c r="I2502" s="2" t="s">
        <v>32</v>
      </c>
      <c r="J2502" s="3">
        <v>44398</v>
      </c>
      <c r="K2502" s="5">
        <f>YEAR(OrganizedData[[#This Row],[Order Date]])</f>
        <v>2021</v>
      </c>
      <c r="L2502" s="7" t="str">
        <f>TEXT(OrganizedData[[#This Row],[Order Date]],"mmm")</f>
        <v>Jul</v>
      </c>
      <c r="M2502" s="2">
        <v>26</v>
      </c>
      <c r="N2502" s="2" t="s">
        <v>101</v>
      </c>
      <c r="O2502" s="2" t="str">
        <f>VLOOKUP(OrganizedData[[#This Row],[Product Code]],ProductData[[Code]:[Item]],2,FALSE)</f>
        <v>Superwossname</v>
      </c>
      <c r="P2502" s="4">
        <f>OrganizedData[[#This Row],[Quantity]]*VLOOKUP(OrganizedData[[#This Row],[Product Code]],ProductData[],4,FALSE)</f>
        <v>520</v>
      </c>
      <c r="Q2502" s="6">
        <f>OrganizedData[[#This Row],[Total Items Ordered]]*VLOOKUP(OrganizedData[[#This Row],[Product Code]],ProductData[],3,FALSE)</f>
        <v>1814.8000000000002</v>
      </c>
      <c r="R25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1760.3560000000002</v>
      </c>
    </row>
    <row r="2503" spans="1:18" x14ac:dyDescent="0.3">
      <c r="A2503" s="2">
        <v>2496</v>
      </c>
      <c r="B2503" s="2" t="s">
        <v>4052</v>
      </c>
      <c r="C2503" s="2" t="s">
        <v>4528</v>
      </c>
      <c r="D2503" s="2" t="s">
        <v>28</v>
      </c>
      <c r="E2503" s="2" t="s">
        <v>29</v>
      </c>
      <c r="F2503" s="2">
        <v>30</v>
      </c>
      <c r="G2503" s="2" t="s">
        <v>6623</v>
      </c>
      <c r="H2503" s="2" t="s">
        <v>5036</v>
      </c>
      <c r="I2503" s="2" t="s">
        <v>32</v>
      </c>
      <c r="J2503" s="3">
        <v>44555</v>
      </c>
      <c r="K2503" s="5">
        <f>YEAR(OrganizedData[[#This Row],[Order Date]])</f>
        <v>2021</v>
      </c>
      <c r="L2503" s="7" t="str">
        <f>TEXT(OrganizedData[[#This Row],[Order Date]],"mmm")</f>
        <v>Dec</v>
      </c>
      <c r="M2503" s="2">
        <v>59</v>
      </c>
      <c r="N2503" s="2" t="s">
        <v>80</v>
      </c>
      <c r="O2503" s="2" t="str">
        <f>VLOOKUP(OrganizedData[[#This Row],[Product Code]],ProductData[[Code]:[Item]],2,FALSE)</f>
        <v>Ultrathing V2</v>
      </c>
      <c r="P2503" s="4">
        <f>OrganizedData[[#This Row],[Quantity]]*VLOOKUP(OrganizedData[[#This Row],[Product Code]],ProductData[],4,FALSE)</f>
        <v>1180</v>
      </c>
      <c r="Q2503" s="6">
        <f>OrganizedData[[#This Row],[Total Items Ordered]]*VLOOKUP(OrganizedData[[#This Row],[Product Code]],ProductData[],3,FALSE)</f>
        <v>3481</v>
      </c>
      <c r="R25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3306.95</v>
      </c>
    </row>
    <row r="2504" spans="1:18" x14ac:dyDescent="0.3">
      <c r="A2504" s="2">
        <v>2497</v>
      </c>
      <c r="B2504" s="2" t="s">
        <v>6624</v>
      </c>
      <c r="C2504" s="2" t="s">
        <v>2779</v>
      </c>
      <c r="D2504" s="2" t="s">
        <v>15</v>
      </c>
      <c r="E2504" s="2" t="s">
        <v>16</v>
      </c>
      <c r="F2504" s="2">
        <v>60</v>
      </c>
      <c r="G2504" s="2" t="s">
        <v>6625</v>
      </c>
      <c r="H2504" s="2" t="s">
        <v>2872</v>
      </c>
      <c r="I2504" s="2" t="s">
        <v>294</v>
      </c>
      <c r="J2504" s="3">
        <v>43871</v>
      </c>
      <c r="K2504" s="5">
        <f>YEAR(OrganizedData[[#This Row],[Order Date]])</f>
        <v>2020</v>
      </c>
      <c r="L2504" s="7" t="str">
        <f>TEXT(OrganizedData[[#This Row],[Order Date]],"mmm")</f>
        <v>Feb</v>
      </c>
      <c r="M2504" s="2">
        <v>22</v>
      </c>
      <c r="N2504" s="2" t="s">
        <v>45</v>
      </c>
      <c r="O2504" s="2" t="str">
        <f>VLOOKUP(OrganizedData[[#This Row],[Product Code]],ProductData[[Code]:[Item]],2,FALSE)</f>
        <v>Gigastuff</v>
      </c>
      <c r="P2504" s="4">
        <f>OrganizedData[[#This Row],[Quantity]]*VLOOKUP(OrganizedData[[#This Row],[Product Code]],ProductData[],4,FALSE)</f>
        <v>396</v>
      </c>
      <c r="Q2504" s="6">
        <f>OrganizedData[[#This Row],[Total Items Ordered]]*VLOOKUP(OrganizedData[[#This Row],[Product Code]],ProductData[],3,FALSE)</f>
        <v>748.43999999999994</v>
      </c>
      <c r="R25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725.9867999999999</v>
      </c>
    </row>
    <row r="2505" spans="1:18" x14ac:dyDescent="0.3">
      <c r="A2505" s="2">
        <v>2498</v>
      </c>
      <c r="B2505" s="2" t="s">
        <v>6626</v>
      </c>
      <c r="C2505" s="2" t="s">
        <v>1175</v>
      </c>
      <c r="D2505" s="2" t="s">
        <v>51</v>
      </c>
      <c r="E2505" s="2" t="s">
        <v>16</v>
      </c>
      <c r="F2505" s="2">
        <v>30</v>
      </c>
      <c r="G2505" s="2" t="s">
        <v>6627</v>
      </c>
      <c r="H2505" s="2" t="s">
        <v>4123</v>
      </c>
      <c r="I2505" s="2" t="s">
        <v>187</v>
      </c>
      <c r="J2505" s="3">
        <v>44873</v>
      </c>
      <c r="K2505" s="5">
        <f>YEAR(OrganizedData[[#This Row],[Order Date]])</f>
        <v>2022</v>
      </c>
      <c r="L2505" s="7" t="str">
        <f>TEXT(OrganizedData[[#This Row],[Order Date]],"mmm")</f>
        <v>Nov</v>
      </c>
      <c r="M2505" s="2">
        <v>15</v>
      </c>
      <c r="N2505" s="2" t="s">
        <v>33</v>
      </c>
      <c r="O2505" s="2" t="str">
        <f>VLOOKUP(OrganizedData[[#This Row],[Product Code]],ProductData[[Code]:[Item]],2,FALSE)</f>
        <v>Megawidget L</v>
      </c>
      <c r="P2505" s="4">
        <f>OrganizedData[[#This Row],[Quantity]]*VLOOKUP(OrganizedData[[#This Row],[Product Code]],ProductData[],4,FALSE)</f>
        <v>360</v>
      </c>
      <c r="Q2505" s="6">
        <f>OrganizedData[[#This Row],[Total Items Ordered]]*VLOOKUP(OrganizedData[[#This Row],[Product Code]],ProductData[],3,FALSE)</f>
        <v>644.4</v>
      </c>
      <c r="R25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644.4</v>
      </c>
    </row>
    <row r="2506" spans="1:18" x14ac:dyDescent="0.3">
      <c r="A2506" s="2">
        <v>2499</v>
      </c>
      <c r="B2506" s="2" t="s">
        <v>6628</v>
      </c>
      <c r="C2506" s="2" t="s">
        <v>2561</v>
      </c>
      <c r="D2506" s="2" t="s">
        <v>15</v>
      </c>
      <c r="E2506" s="2" t="s">
        <v>16</v>
      </c>
      <c r="F2506" s="2">
        <v>30</v>
      </c>
      <c r="G2506" s="2" t="s">
        <v>6629</v>
      </c>
      <c r="H2506" s="2" t="s">
        <v>4272</v>
      </c>
      <c r="I2506" s="2" t="s">
        <v>1652</v>
      </c>
      <c r="J2506" s="3">
        <v>43940</v>
      </c>
      <c r="K2506" s="5">
        <f>YEAR(OrganizedData[[#This Row],[Order Date]])</f>
        <v>2020</v>
      </c>
      <c r="L2506" s="7" t="str">
        <f>TEXT(OrganizedData[[#This Row],[Order Date]],"mmm")</f>
        <v>Apr</v>
      </c>
      <c r="M2506" s="2">
        <v>14</v>
      </c>
      <c r="N2506" s="2" t="s">
        <v>39</v>
      </c>
      <c r="O2506" s="2" t="str">
        <f>VLOOKUP(OrganizedData[[#This Row],[Product Code]],ProductData[[Code]:[Item]],2,FALSE)</f>
        <v>Ultrathing V1</v>
      </c>
      <c r="P2506" s="4">
        <f>OrganizedData[[#This Row],[Quantity]]*VLOOKUP(OrganizedData[[#This Row],[Product Code]],ProductData[],4,FALSE)</f>
        <v>238</v>
      </c>
      <c r="Q2506" s="6">
        <f>OrganizedData[[#This Row],[Total Items Ordered]]*VLOOKUP(OrganizedData[[#This Row],[Product Code]],ProductData[],3,FALSE)</f>
        <v>426.02</v>
      </c>
      <c r="R25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2507" spans="1:18" x14ac:dyDescent="0.3">
      <c r="A2507" s="2">
        <v>2500</v>
      </c>
      <c r="B2507" s="2" t="s">
        <v>6630</v>
      </c>
      <c r="C2507" s="2" t="s">
        <v>1700</v>
      </c>
      <c r="D2507" s="2" t="s">
        <v>117</v>
      </c>
      <c r="E2507" s="2" t="s">
        <v>16</v>
      </c>
      <c r="F2507" s="2">
        <v>30</v>
      </c>
      <c r="G2507" s="2" t="s">
        <v>6631</v>
      </c>
      <c r="H2507" s="2" t="s">
        <v>4266</v>
      </c>
      <c r="I2507" s="2" t="s">
        <v>25</v>
      </c>
      <c r="J2507" s="3">
        <v>44917</v>
      </c>
      <c r="K2507" s="5">
        <f>YEAR(OrganizedData[[#This Row],[Order Date]])</f>
        <v>2022</v>
      </c>
      <c r="L2507" s="7" t="str">
        <f>TEXT(OrganizedData[[#This Row],[Order Date]],"mmm")</f>
        <v>Dec</v>
      </c>
      <c r="M2507" s="2">
        <v>35</v>
      </c>
      <c r="N2507" s="2" t="s">
        <v>101</v>
      </c>
      <c r="O2507" s="2" t="str">
        <f>VLOOKUP(OrganizedData[[#This Row],[Product Code]],ProductData[[Code]:[Item]],2,FALSE)</f>
        <v>Superwossname</v>
      </c>
      <c r="P2507" s="4">
        <f>OrganizedData[[#This Row],[Quantity]]*VLOOKUP(OrganizedData[[#This Row],[Product Code]],ProductData[],4,FALSE)</f>
        <v>700</v>
      </c>
      <c r="Q2507" s="6">
        <f>OrganizedData[[#This Row],[Total Items Ordered]]*VLOOKUP(OrganizedData[[#This Row],[Product Code]],ProductData[],3,FALSE)</f>
        <v>2443</v>
      </c>
      <c r="R25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2369.71</v>
      </c>
    </row>
    <row r="2508" spans="1:18" x14ac:dyDescent="0.3">
      <c r="A2508" s="2">
        <v>2501</v>
      </c>
      <c r="B2508" s="2" t="s">
        <v>6632</v>
      </c>
      <c r="C2508" s="2" t="s">
        <v>6594</v>
      </c>
      <c r="D2508" s="2" t="s">
        <v>15</v>
      </c>
      <c r="E2508" s="2" t="s">
        <v>16</v>
      </c>
      <c r="F2508" s="2">
        <v>30</v>
      </c>
      <c r="G2508" s="2" t="s">
        <v>6631</v>
      </c>
      <c r="H2508" s="2" t="s">
        <v>655</v>
      </c>
      <c r="I2508" s="2" t="s">
        <v>32</v>
      </c>
      <c r="J2508" s="3">
        <v>44847</v>
      </c>
      <c r="K2508" s="5">
        <f>YEAR(OrganizedData[[#This Row],[Order Date]])</f>
        <v>2022</v>
      </c>
      <c r="L2508" s="7" t="str">
        <f>TEXT(OrganizedData[[#This Row],[Order Date]],"mmm")</f>
        <v>Oct</v>
      </c>
      <c r="M2508" s="2">
        <v>85</v>
      </c>
      <c r="N2508" s="2" t="s">
        <v>20</v>
      </c>
      <c r="O2508" s="2" t="str">
        <f>VLOOKUP(OrganizedData[[#This Row],[Product Code]],ProductData[[Code]:[Item]],2,FALSE)</f>
        <v>Hyperwotsit</v>
      </c>
      <c r="P2508" s="4">
        <f>OrganizedData[[#This Row],[Quantity]]*VLOOKUP(OrganizedData[[#This Row],[Product Code]],ProductData[],4,FALSE)</f>
        <v>1700</v>
      </c>
      <c r="Q2508" s="6">
        <f>OrganizedData[[#This Row],[Total Items Ordered]]*VLOOKUP(OrganizedData[[#This Row],[Product Code]],ProductData[],3,FALSE)</f>
        <v>3416.9999999999995</v>
      </c>
      <c r="R25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3246.1499999999996</v>
      </c>
    </row>
    <row r="2509" spans="1:18" x14ac:dyDescent="0.3">
      <c r="A2509" s="2">
        <v>2502</v>
      </c>
      <c r="B2509" s="2" t="s">
        <v>6633</v>
      </c>
      <c r="C2509" s="2" t="s">
        <v>2413</v>
      </c>
      <c r="D2509" s="2" t="s">
        <v>51</v>
      </c>
      <c r="E2509" s="2" t="s">
        <v>16</v>
      </c>
      <c r="F2509" s="2">
        <v>30</v>
      </c>
      <c r="G2509" s="2" t="s">
        <v>6634</v>
      </c>
      <c r="H2509" s="2" t="s">
        <v>5729</v>
      </c>
      <c r="I2509" s="2" t="s">
        <v>32</v>
      </c>
      <c r="J2509" s="3">
        <v>44608</v>
      </c>
      <c r="K2509" s="5">
        <f>YEAR(OrganizedData[[#This Row],[Order Date]])</f>
        <v>2022</v>
      </c>
      <c r="L2509" s="7" t="str">
        <f>TEXT(OrganizedData[[#This Row],[Order Date]],"mmm")</f>
        <v>Feb</v>
      </c>
      <c r="M2509" s="2">
        <v>37</v>
      </c>
      <c r="N2509" s="2" t="s">
        <v>45</v>
      </c>
      <c r="O2509" s="2" t="str">
        <f>VLOOKUP(OrganizedData[[#This Row],[Product Code]],ProductData[[Code]:[Item]],2,FALSE)</f>
        <v>Gigastuff</v>
      </c>
      <c r="P2509" s="4">
        <f>OrganizedData[[#This Row],[Quantity]]*VLOOKUP(OrganizedData[[#This Row],[Product Code]],ProductData[],4,FALSE)</f>
        <v>666</v>
      </c>
      <c r="Q2509" s="6">
        <f>OrganizedData[[#This Row],[Total Items Ordered]]*VLOOKUP(OrganizedData[[#This Row],[Product Code]],ProductData[],3,FALSE)</f>
        <v>1258.74</v>
      </c>
      <c r="R25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1220.9777999999999</v>
      </c>
    </row>
    <row r="2510" spans="1:18" x14ac:dyDescent="0.3">
      <c r="A2510" s="2">
        <v>2503</v>
      </c>
      <c r="B2510" s="2" t="s">
        <v>2520</v>
      </c>
      <c r="C2510" s="2" t="s">
        <v>6635</v>
      </c>
      <c r="D2510" s="2" t="s">
        <v>28</v>
      </c>
      <c r="E2510" s="2" t="s">
        <v>29</v>
      </c>
      <c r="F2510" s="2">
        <v>90</v>
      </c>
      <c r="G2510" s="2" t="s">
        <v>6636</v>
      </c>
      <c r="H2510" s="2" t="s">
        <v>2066</v>
      </c>
      <c r="I2510" s="2" t="s">
        <v>294</v>
      </c>
      <c r="J2510" s="3">
        <v>44883</v>
      </c>
      <c r="K2510" s="5">
        <f>YEAR(OrganizedData[[#This Row],[Order Date]])</f>
        <v>2022</v>
      </c>
      <c r="L2510" s="7" t="str">
        <f>TEXT(OrganizedData[[#This Row],[Order Date]],"mmm")</f>
        <v>Nov</v>
      </c>
      <c r="M2510" s="2">
        <v>76</v>
      </c>
      <c r="N2510" s="2" t="s">
        <v>20</v>
      </c>
      <c r="O2510" s="2" t="str">
        <f>VLOOKUP(OrganizedData[[#This Row],[Product Code]],ProductData[[Code]:[Item]],2,FALSE)</f>
        <v>Hyperwotsit</v>
      </c>
      <c r="P2510" s="4">
        <f>OrganizedData[[#This Row],[Quantity]]*VLOOKUP(OrganizedData[[#This Row],[Product Code]],ProductData[],4,FALSE)</f>
        <v>1520</v>
      </c>
      <c r="Q2510" s="6">
        <f>OrganizedData[[#This Row],[Total Items Ordered]]*VLOOKUP(OrganizedData[[#This Row],[Product Code]],ProductData[],3,FALSE)</f>
        <v>3055.2</v>
      </c>
      <c r="R25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2902.4399999999996</v>
      </c>
    </row>
    <row r="2511" spans="1:18" x14ac:dyDescent="0.3">
      <c r="A2511" s="2">
        <v>2504</v>
      </c>
      <c r="B2511" s="2" t="s">
        <v>6637</v>
      </c>
      <c r="C2511" s="2" t="s">
        <v>6638</v>
      </c>
      <c r="D2511" s="2" t="s">
        <v>51</v>
      </c>
      <c r="E2511" s="2" t="s">
        <v>16</v>
      </c>
      <c r="F2511" s="2">
        <v>30</v>
      </c>
      <c r="G2511" s="2" t="s">
        <v>6639</v>
      </c>
      <c r="H2511" s="2" t="s">
        <v>6640</v>
      </c>
      <c r="I2511" s="2" t="s">
        <v>32</v>
      </c>
      <c r="J2511" s="3">
        <v>44890</v>
      </c>
      <c r="K2511" s="5">
        <f>YEAR(OrganizedData[[#This Row],[Order Date]])</f>
        <v>2022</v>
      </c>
      <c r="L2511" s="7" t="str">
        <f>TEXT(OrganizedData[[#This Row],[Order Date]],"mmm")</f>
        <v>Nov</v>
      </c>
      <c r="M2511" s="2">
        <v>21</v>
      </c>
      <c r="N2511" s="2" t="s">
        <v>39</v>
      </c>
      <c r="O2511" s="2" t="str">
        <f>VLOOKUP(OrganizedData[[#This Row],[Product Code]],ProductData[[Code]:[Item]],2,FALSE)</f>
        <v>Ultrathing V1</v>
      </c>
      <c r="P2511" s="4">
        <f>OrganizedData[[#This Row],[Quantity]]*VLOOKUP(OrganizedData[[#This Row],[Product Code]],ProductData[],4,FALSE)</f>
        <v>357</v>
      </c>
      <c r="Q2511" s="6">
        <f>OrganizedData[[#This Row],[Total Items Ordered]]*VLOOKUP(OrganizedData[[#This Row],[Product Code]],ProductData[],3,FALSE)</f>
        <v>639.03</v>
      </c>
      <c r="R25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619.85910000000001</v>
      </c>
    </row>
    <row r="2512" spans="1:18" x14ac:dyDescent="0.3">
      <c r="A2512" s="2">
        <v>2505</v>
      </c>
      <c r="B2512" s="2" t="s">
        <v>256</v>
      </c>
      <c r="C2512" s="2" t="s">
        <v>6641</v>
      </c>
      <c r="D2512" s="2" t="s">
        <v>51</v>
      </c>
      <c r="E2512" s="2" t="s">
        <v>16</v>
      </c>
      <c r="F2512" s="2">
        <v>60</v>
      </c>
      <c r="G2512" s="2" t="s">
        <v>6642</v>
      </c>
      <c r="H2512" s="2" t="s">
        <v>1996</v>
      </c>
      <c r="I2512" s="2" t="s">
        <v>208</v>
      </c>
      <c r="J2512" s="3">
        <v>44074</v>
      </c>
      <c r="K2512" s="5">
        <f>YEAR(OrganizedData[[#This Row],[Order Date]])</f>
        <v>2020</v>
      </c>
      <c r="L2512" s="7" t="str">
        <f>TEXT(OrganizedData[[#This Row],[Order Date]],"mmm")</f>
        <v>Aug</v>
      </c>
      <c r="M2512" s="2">
        <v>52</v>
      </c>
      <c r="N2512" s="2" t="s">
        <v>80</v>
      </c>
      <c r="O2512" s="2" t="str">
        <f>VLOOKUP(OrganizedData[[#This Row],[Product Code]],ProductData[[Code]:[Item]],2,FALSE)</f>
        <v>Ultrathing V2</v>
      </c>
      <c r="P2512" s="4">
        <f>OrganizedData[[#This Row],[Quantity]]*VLOOKUP(OrganizedData[[#This Row],[Product Code]],ProductData[],4,FALSE)</f>
        <v>1040</v>
      </c>
      <c r="Q2512" s="6">
        <f>OrganizedData[[#This Row],[Total Items Ordered]]*VLOOKUP(OrganizedData[[#This Row],[Product Code]],ProductData[],3,FALSE)</f>
        <v>3068</v>
      </c>
      <c r="R25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2914.6</v>
      </c>
    </row>
    <row r="2513" spans="1:18" x14ac:dyDescent="0.3">
      <c r="A2513" s="2">
        <v>2506</v>
      </c>
      <c r="B2513" s="2" t="s">
        <v>6643</v>
      </c>
      <c r="C2513" s="2" t="s">
        <v>715</v>
      </c>
      <c r="D2513" s="2" t="s">
        <v>15</v>
      </c>
      <c r="E2513" s="2" t="s">
        <v>16</v>
      </c>
      <c r="F2513" s="2">
        <v>30</v>
      </c>
      <c r="G2513" s="2" t="s">
        <v>6644</v>
      </c>
      <c r="H2513" s="2" t="s">
        <v>901</v>
      </c>
      <c r="I2513" s="2" t="s">
        <v>146</v>
      </c>
      <c r="J2513" s="3">
        <v>44848</v>
      </c>
      <c r="K2513" s="5">
        <f>YEAR(OrganizedData[[#This Row],[Order Date]])</f>
        <v>2022</v>
      </c>
      <c r="L2513" s="7" t="str">
        <f>TEXT(OrganizedData[[#This Row],[Order Date]],"mmm")</f>
        <v>Oct</v>
      </c>
      <c r="M2513" s="2">
        <v>85</v>
      </c>
      <c r="N2513" s="2" t="s">
        <v>33</v>
      </c>
      <c r="O2513" s="2" t="str">
        <f>VLOOKUP(OrganizedData[[#This Row],[Product Code]],ProductData[[Code]:[Item]],2,FALSE)</f>
        <v>Megawidget L</v>
      </c>
      <c r="P2513" s="4">
        <f>OrganizedData[[#This Row],[Quantity]]*VLOOKUP(OrganizedData[[#This Row],[Product Code]],ProductData[],4,FALSE)</f>
        <v>2040</v>
      </c>
      <c r="Q2513" s="6">
        <f>OrganizedData[[#This Row],[Total Items Ordered]]*VLOOKUP(OrganizedData[[#This Row],[Product Code]],ProductData[],3,FALSE)</f>
        <v>3651.6</v>
      </c>
      <c r="R25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3469.0199999999995</v>
      </c>
    </row>
    <row r="2514" spans="1:18" x14ac:dyDescent="0.3">
      <c r="A2514" s="2">
        <v>2507</v>
      </c>
      <c r="B2514" s="2" t="s">
        <v>2760</v>
      </c>
      <c r="C2514" s="2" t="s">
        <v>3430</v>
      </c>
      <c r="D2514" s="2" t="s">
        <v>51</v>
      </c>
      <c r="E2514" s="2" t="s">
        <v>16</v>
      </c>
      <c r="F2514" s="2">
        <v>30</v>
      </c>
      <c r="G2514" s="2" t="s">
        <v>6645</v>
      </c>
      <c r="H2514" s="2" t="s">
        <v>526</v>
      </c>
      <c r="I2514" s="2" t="s">
        <v>32</v>
      </c>
      <c r="J2514" s="3">
        <v>44893</v>
      </c>
      <c r="K2514" s="5">
        <f>YEAR(OrganizedData[[#This Row],[Order Date]])</f>
        <v>2022</v>
      </c>
      <c r="L2514" s="7" t="str">
        <f>TEXT(OrganizedData[[#This Row],[Order Date]],"mmm")</f>
        <v>Nov</v>
      </c>
      <c r="M2514" s="2">
        <v>105</v>
      </c>
      <c r="N2514" s="2" t="s">
        <v>101</v>
      </c>
      <c r="O2514" s="2" t="str">
        <f>VLOOKUP(OrganizedData[[#This Row],[Product Code]],ProductData[[Code]:[Item]],2,FALSE)</f>
        <v>Superwossname</v>
      </c>
      <c r="P2514" s="4">
        <f>OrganizedData[[#This Row],[Quantity]]*VLOOKUP(OrganizedData[[#This Row],[Product Code]],ProductData[],4,FALSE)</f>
        <v>2100</v>
      </c>
      <c r="Q2514" s="6">
        <f>OrganizedData[[#This Row],[Total Items Ordered]]*VLOOKUP(OrganizedData[[#This Row],[Product Code]],ProductData[],3,FALSE)</f>
        <v>7329</v>
      </c>
      <c r="R25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6815.97</v>
      </c>
    </row>
    <row r="2515" spans="1:18" x14ac:dyDescent="0.3">
      <c r="A2515" s="2">
        <v>2508</v>
      </c>
      <c r="B2515" s="2" t="s">
        <v>6646</v>
      </c>
      <c r="C2515" s="2" t="s">
        <v>4226</v>
      </c>
      <c r="D2515" s="2" t="s">
        <v>15</v>
      </c>
      <c r="E2515" s="2" t="s">
        <v>16</v>
      </c>
      <c r="F2515" s="2">
        <v>90</v>
      </c>
      <c r="G2515" s="2" t="s">
        <v>6647</v>
      </c>
      <c r="H2515" s="2" t="s">
        <v>5995</v>
      </c>
      <c r="I2515" s="2" t="s">
        <v>187</v>
      </c>
      <c r="J2515" s="3">
        <v>44429</v>
      </c>
      <c r="K2515" s="5">
        <f>YEAR(OrganizedData[[#This Row],[Order Date]])</f>
        <v>2021</v>
      </c>
      <c r="L2515" s="7" t="str">
        <f>TEXT(OrganizedData[[#This Row],[Order Date]],"mmm")</f>
        <v>Aug</v>
      </c>
      <c r="M2515" s="2">
        <v>57</v>
      </c>
      <c r="N2515" s="2" t="s">
        <v>45</v>
      </c>
      <c r="O2515" s="2" t="str">
        <f>VLOOKUP(OrganizedData[[#This Row],[Product Code]],ProductData[[Code]:[Item]],2,FALSE)</f>
        <v>Gigastuff</v>
      </c>
      <c r="P2515" s="4">
        <f>OrganizedData[[#This Row],[Quantity]]*VLOOKUP(OrganizedData[[#This Row],[Product Code]],ProductData[],4,FALSE)</f>
        <v>1026</v>
      </c>
      <c r="Q2515" s="6">
        <f>OrganizedData[[#This Row],[Total Items Ordered]]*VLOOKUP(OrganizedData[[#This Row],[Product Code]],ProductData[],3,FALSE)</f>
        <v>1939.1399999999999</v>
      </c>
      <c r="R25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1842.1829999999998</v>
      </c>
    </row>
    <row r="2516" spans="1:18" x14ac:dyDescent="0.3">
      <c r="A2516" s="2">
        <v>2509</v>
      </c>
      <c r="B2516" s="2" t="s">
        <v>6648</v>
      </c>
      <c r="C2516" s="2" t="s">
        <v>4079</v>
      </c>
      <c r="D2516" s="2" t="s">
        <v>51</v>
      </c>
      <c r="E2516" s="2" t="s">
        <v>16</v>
      </c>
      <c r="F2516" s="2">
        <v>30</v>
      </c>
      <c r="G2516" s="2" t="s">
        <v>6649</v>
      </c>
      <c r="H2516" s="2" t="s">
        <v>3480</v>
      </c>
      <c r="I2516" s="2" t="s">
        <v>187</v>
      </c>
      <c r="J2516" s="3">
        <v>44907</v>
      </c>
      <c r="K2516" s="5">
        <f>YEAR(OrganizedData[[#This Row],[Order Date]])</f>
        <v>2022</v>
      </c>
      <c r="L2516" s="7" t="str">
        <f>TEXT(OrganizedData[[#This Row],[Order Date]],"mmm")</f>
        <v>Dec</v>
      </c>
      <c r="M2516" s="2">
        <v>99</v>
      </c>
      <c r="N2516" s="2" t="s">
        <v>33</v>
      </c>
      <c r="O2516" s="2" t="str">
        <f>VLOOKUP(OrganizedData[[#This Row],[Product Code]],ProductData[[Code]:[Item]],2,FALSE)</f>
        <v>Megawidget L</v>
      </c>
      <c r="P2516" s="4">
        <f>OrganizedData[[#This Row],[Quantity]]*VLOOKUP(OrganizedData[[#This Row],[Product Code]],ProductData[],4,FALSE)</f>
        <v>2376</v>
      </c>
      <c r="Q2516" s="6">
        <f>OrganizedData[[#This Row],[Total Items Ordered]]*VLOOKUP(OrganizedData[[#This Row],[Product Code]],ProductData[],3,FALSE)</f>
        <v>4253.04</v>
      </c>
      <c r="R25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4040.3879999999999</v>
      </c>
    </row>
    <row r="2517" spans="1:18" x14ac:dyDescent="0.3">
      <c r="A2517" s="2">
        <v>2510</v>
      </c>
      <c r="B2517" s="2" t="s">
        <v>6650</v>
      </c>
      <c r="C2517" s="2" t="s">
        <v>6651</v>
      </c>
      <c r="D2517" s="2" t="s">
        <v>15</v>
      </c>
      <c r="E2517" s="2" t="s">
        <v>16</v>
      </c>
      <c r="F2517" s="2">
        <v>60</v>
      </c>
      <c r="G2517" s="2" t="s">
        <v>6652</v>
      </c>
      <c r="H2517" s="2" t="s">
        <v>3754</v>
      </c>
      <c r="I2517" s="2" t="s">
        <v>124</v>
      </c>
      <c r="J2517" s="3">
        <v>44681</v>
      </c>
      <c r="K2517" s="5">
        <f>YEAR(OrganizedData[[#This Row],[Order Date]])</f>
        <v>2022</v>
      </c>
      <c r="L2517" s="7" t="str">
        <f>TEXT(OrganizedData[[#This Row],[Order Date]],"mmm")</f>
        <v>Apr</v>
      </c>
      <c r="M2517" s="2">
        <v>34</v>
      </c>
      <c r="N2517" s="2" t="s">
        <v>101</v>
      </c>
      <c r="O2517" s="2" t="str">
        <f>VLOOKUP(OrganizedData[[#This Row],[Product Code]],ProductData[[Code]:[Item]],2,FALSE)</f>
        <v>Superwossname</v>
      </c>
      <c r="P2517" s="4">
        <f>OrganizedData[[#This Row],[Quantity]]*VLOOKUP(OrganizedData[[#This Row],[Product Code]],ProductData[],4,FALSE)</f>
        <v>680</v>
      </c>
      <c r="Q2517" s="6">
        <f>OrganizedData[[#This Row],[Total Items Ordered]]*VLOOKUP(OrganizedData[[#This Row],[Product Code]],ProductData[],3,FALSE)</f>
        <v>2373.2000000000003</v>
      </c>
      <c r="R25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2518" spans="1:18" x14ac:dyDescent="0.3">
      <c r="A2518" s="2">
        <v>2511</v>
      </c>
      <c r="B2518" s="2" t="s">
        <v>6653</v>
      </c>
      <c r="C2518" s="2" t="s">
        <v>1717</v>
      </c>
      <c r="D2518" s="2" t="s">
        <v>15</v>
      </c>
      <c r="E2518" s="2" t="s">
        <v>16</v>
      </c>
      <c r="F2518" s="2">
        <v>30</v>
      </c>
      <c r="G2518" s="2" t="s">
        <v>6654</v>
      </c>
      <c r="H2518" s="2" t="s">
        <v>2212</v>
      </c>
      <c r="I2518" s="2" t="s">
        <v>32</v>
      </c>
      <c r="J2518" s="3">
        <v>44674</v>
      </c>
      <c r="K2518" s="5">
        <f>YEAR(OrganizedData[[#This Row],[Order Date]])</f>
        <v>2022</v>
      </c>
      <c r="L2518" s="7" t="str">
        <f>TEXT(OrganizedData[[#This Row],[Order Date]],"mmm")</f>
        <v>Apr</v>
      </c>
      <c r="M2518" s="2">
        <v>57</v>
      </c>
      <c r="N2518" s="2" t="s">
        <v>20</v>
      </c>
      <c r="O2518" s="2" t="str">
        <f>VLOOKUP(OrganizedData[[#This Row],[Product Code]],ProductData[[Code]:[Item]],2,FALSE)</f>
        <v>Hyperwotsit</v>
      </c>
      <c r="P2518" s="4">
        <f>OrganizedData[[#This Row],[Quantity]]*VLOOKUP(OrganizedData[[#This Row],[Product Code]],ProductData[],4,FALSE)</f>
        <v>1140</v>
      </c>
      <c r="Q2518" s="6">
        <f>OrganizedData[[#This Row],[Total Items Ordered]]*VLOOKUP(OrganizedData[[#This Row],[Product Code]],ProductData[],3,FALSE)</f>
        <v>2291.3999999999996</v>
      </c>
      <c r="R25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2176.8299999999995</v>
      </c>
    </row>
    <row r="2519" spans="1:18" x14ac:dyDescent="0.3">
      <c r="A2519" s="2">
        <v>2512</v>
      </c>
      <c r="B2519" s="2" t="s">
        <v>6655</v>
      </c>
      <c r="C2519" s="2" t="s">
        <v>4504</v>
      </c>
      <c r="D2519" s="2" t="s">
        <v>51</v>
      </c>
      <c r="E2519" s="2" t="s">
        <v>16</v>
      </c>
      <c r="F2519" s="2">
        <v>30</v>
      </c>
      <c r="G2519" s="2" t="s">
        <v>6656</v>
      </c>
      <c r="H2519" s="2" t="s">
        <v>3240</v>
      </c>
      <c r="I2519" s="2" t="s">
        <v>187</v>
      </c>
      <c r="J2519" s="3">
        <v>44924</v>
      </c>
      <c r="K2519" s="5">
        <f>YEAR(OrganizedData[[#This Row],[Order Date]])</f>
        <v>2022</v>
      </c>
      <c r="L2519" s="7" t="str">
        <f>TEXT(OrganizedData[[#This Row],[Order Date]],"mmm")</f>
        <v>Dec</v>
      </c>
      <c r="M2519" s="2">
        <v>22</v>
      </c>
      <c r="N2519" s="2" t="s">
        <v>101</v>
      </c>
      <c r="O2519" s="2" t="str">
        <f>VLOOKUP(OrganizedData[[#This Row],[Product Code]],ProductData[[Code]:[Item]],2,FALSE)</f>
        <v>Superwossname</v>
      </c>
      <c r="P2519" s="4">
        <f>OrganizedData[[#This Row],[Quantity]]*VLOOKUP(OrganizedData[[#This Row],[Product Code]],ProductData[],4,FALSE)</f>
        <v>440</v>
      </c>
      <c r="Q2519" s="6">
        <f>OrganizedData[[#This Row],[Total Items Ordered]]*VLOOKUP(OrganizedData[[#This Row],[Product Code]],ProductData[],3,FALSE)</f>
        <v>1535.6000000000001</v>
      </c>
      <c r="R25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2520" spans="1:18" x14ac:dyDescent="0.3">
      <c r="A2520" s="2">
        <v>2513</v>
      </c>
      <c r="B2520" s="2" t="s">
        <v>6371</v>
      </c>
      <c r="C2520" s="2" t="s">
        <v>6657</v>
      </c>
      <c r="D2520" s="2" t="s">
        <v>15</v>
      </c>
      <c r="E2520" s="2" t="s">
        <v>16</v>
      </c>
      <c r="F2520" s="2">
        <v>30</v>
      </c>
      <c r="G2520" s="2" t="s">
        <v>6658</v>
      </c>
      <c r="H2520" s="2" t="s">
        <v>6659</v>
      </c>
      <c r="I2520" s="2" t="s">
        <v>208</v>
      </c>
      <c r="J2520" s="3">
        <v>44310</v>
      </c>
      <c r="K2520" s="5">
        <f>YEAR(OrganizedData[[#This Row],[Order Date]])</f>
        <v>2021</v>
      </c>
      <c r="L2520" s="7" t="str">
        <f>TEXT(OrganizedData[[#This Row],[Order Date]],"mmm")</f>
        <v>Apr</v>
      </c>
      <c r="M2520" s="2">
        <v>23</v>
      </c>
      <c r="N2520" s="2" t="s">
        <v>64</v>
      </c>
      <c r="O2520" s="2" t="str">
        <f>VLOOKUP(OrganizedData[[#This Row],[Product Code]],ProductData[[Code]:[Item]],2,FALSE)</f>
        <v>Ultrathing V4</v>
      </c>
      <c r="P2520" s="4">
        <f>OrganizedData[[#This Row],[Quantity]]*VLOOKUP(OrganizedData[[#This Row],[Product Code]],ProductData[],4,FALSE)</f>
        <v>552</v>
      </c>
      <c r="Q2520" s="6">
        <f>OrganizedData[[#This Row],[Total Items Ordered]]*VLOOKUP(OrganizedData[[#This Row],[Product Code]],ProductData[],3,FALSE)</f>
        <v>2202.48</v>
      </c>
      <c r="R25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2136.4056</v>
      </c>
    </row>
    <row r="2521" spans="1:18" x14ac:dyDescent="0.3">
      <c r="A2521" s="2">
        <v>2514</v>
      </c>
      <c r="B2521" s="2" t="s">
        <v>6660</v>
      </c>
      <c r="C2521" s="2" t="s">
        <v>6661</v>
      </c>
      <c r="D2521" s="2" t="s">
        <v>28</v>
      </c>
      <c r="E2521" s="2" t="s">
        <v>29</v>
      </c>
      <c r="F2521" s="2">
        <v>90</v>
      </c>
      <c r="G2521" s="2" t="s">
        <v>6662</v>
      </c>
      <c r="H2521" s="2" t="s">
        <v>702</v>
      </c>
      <c r="I2521" s="2" t="s">
        <v>703</v>
      </c>
      <c r="J2521" s="3">
        <v>44349</v>
      </c>
      <c r="K2521" s="5">
        <f>YEAR(OrganizedData[[#This Row],[Order Date]])</f>
        <v>2021</v>
      </c>
      <c r="L2521" s="7" t="str">
        <f>TEXT(OrganizedData[[#This Row],[Order Date]],"mmm")</f>
        <v>Jun</v>
      </c>
      <c r="M2521" s="2">
        <v>31</v>
      </c>
      <c r="N2521" s="2" t="s">
        <v>39</v>
      </c>
      <c r="O2521" s="2" t="str">
        <f>VLOOKUP(OrganizedData[[#This Row],[Product Code]],ProductData[[Code]:[Item]],2,FALSE)</f>
        <v>Ultrathing V1</v>
      </c>
      <c r="P2521" s="4">
        <f>OrganizedData[[#This Row],[Quantity]]*VLOOKUP(OrganizedData[[#This Row],[Product Code]],ProductData[],4,FALSE)</f>
        <v>527</v>
      </c>
      <c r="Q2521" s="6">
        <f>OrganizedData[[#This Row],[Total Items Ordered]]*VLOOKUP(OrganizedData[[#This Row],[Product Code]],ProductData[],3,FALSE)</f>
        <v>943.33</v>
      </c>
      <c r="R25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2522" spans="1:18" x14ac:dyDescent="0.3">
      <c r="A2522" s="2">
        <v>2515</v>
      </c>
      <c r="B2522" s="2" t="s">
        <v>1656</v>
      </c>
      <c r="C2522" s="2" t="s">
        <v>6663</v>
      </c>
      <c r="D2522" s="2" t="s">
        <v>28</v>
      </c>
      <c r="E2522" s="2" t="s">
        <v>29</v>
      </c>
      <c r="F2522" s="2">
        <v>60</v>
      </c>
      <c r="G2522" s="2" t="s">
        <v>6662</v>
      </c>
      <c r="H2522" s="2" t="s">
        <v>534</v>
      </c>
      <c r="I2522" s="2" t="s">
        <v>32</v>
      </c>
      <c r="J2522" s="3">
        <v>44795</v>
      </c>
      <c r="K2522" s="5">
        <f>YEAR(OrganizedData[[#This Row],[Order Date]])</f>
        <v>2022</v>
      </c>
      <c r="L2522" s="7" t="str">
        <f>TEXT(OrganizedData[[#This Row],[Order Date]],"mmm")</f>
        <v>Aug</v>
      </c>
      <c r="M2522" s="2">
        <v>7</v>
      </c>
      <c r="N2522" s="2" t="s">
        <v>33</v>
      </c>
      <c r="O2522" s="2" t="str">
        <f>VLOOKUP(OrganizedData[[#This Row],[Product Code]],ProductData[[Code]:[Item]],2,FALSE)</f>
        <v>Megawidget L</v>
      </c>
      <c r="P2522" s="4">
        <f>OrganizedData[[#This Row],[Quantity]]*VLOOKUP(OrganizedData[[#This Row],[Product Code]],ProductData[],4,FALSE)</f>
        <v>168</v>
      </c>
      <c r="Q2522" s="6">
        <f>OrganizedData[[#This Row],[Total Items Ordered]]*VLOOKUP(OrganizedData[[#This Row],[Product Code]],ProductData[],3,FALSE)</f>
        <v>300.72000000000003</v>
      </c>
      <c r="R25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2523" spans="1:18" x14ac:dyDescent="0.3">
      <c r="A2523" s="2">
        <v>2516</v>
      </c>
      <c r="B2523" s="2" t="s">
        <v>6664</v>
      </c>
      <c r="C2523" s="2" t="s">
        <v>76</v>
      </c>
      <c r="D2523" s="2" t="s">
        <v>92</v>
      </c>
      <c r="E2523" s="2" t="s">
        <v>16</v>
      </c>
      <c r="F2523" s="2">
        <v>60</v>
      </c>
      <c r="G2523" s="2" t="s">
        <v>6662</v>
      </c>
      <c r="H2523" s="2" t="s">
        <v>1306</v>
      </c>
      <c r="I2523" s="2" t="s">
        <v>32</v>
      </c>
      <c r="J2523" s="3">
        <v>44642</v>
      </c>
      <c r="K2523" s="5">
        <f>YEAR(OrganizedData[[#This Row],[Order Date]])</f>
        <v>2022</v>
      </c>
      <c r="L2523" s="7" t="str">
        <f>TEXT(OrganizedData[[#This Row],[Order Date]],"mmm")</f>
        <v>Mar</v>
      </c>
      <c r="M2523" s="2">
        <v>98</v>
      </c>
      <c r="N2523" s="2" t="s">
        <v>64</v>
      </c>
      <c r="O2523" s="2" t="str">
        <f>VLOOKUP(OrganizedData[[#This Row],[Product Code]],ProductData[[Code]:[Item]],2,FALSE)</f>
        <v>Ultrathing V4</v>
      </c>
      <c r="P2523" s="4">
        <f>OrganizedData[[#This Row],[Quantity]]*VLOOKUP(OrganizedData[[#This Row],[Product Code]],ProductData[],4,FALSE)</f>
        <v>2352</v>
      </c>
      <c r="Q2523" s="6">
        <f>OrganizedData[[#This Row],[Total Items Ordered]]*VLOOKUP(OrganizedData[[#This Row],[Product Code]],ProductData[],3,FALSE)</f>
        <v>9384.4800000000014</v>
      </c>
      <c r="R25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8915.2560000000012</v>
      </c>
    </row>
    <row r="2524" spans="1:18" x14ac:dyDescent="0.3">
      <c r="A2524" s="2">
        <v>2517</v>
      </c>
      <c r="B2524" s="2" t="s">
        <v>6665</v>
      </c>
      <c r="C2524" s="2" t="s">
        <v>2747</v>
      </c>
      <c r="D2524" s="2" t="s">
        <v>51</v>
      </c>
      <c r="E2524" s="2" t="s">
        <v>16</v>
      </c>
      <c r="F2524" s="2">
        <v>30</v>
      </c>
      <c r="G2524" s="2" t="s">
        <v>6666</v>
      </c>
      <c r="H2524" s="2" t="s">
        <v>3299</v>
      </c>
      <c r="I2524" s="2" t="s">
        <v>32</v>
      </c>
      <c r="J2524" s="3">
        <v>44434</v>
      </c>
      <c r="K2524" s="5">
        <f>YEAR(OrganizedData[[#This Row],[Order Date]])</f>
        <v>2021</v>
      </c>
      <c r="L2524" s="7" t="str">
        <f>TEXT(OrganizedData[[#This Row],[Order Date]],"mmm")</f>
        <v>Aug</v>
      </c>
      <c r="M2524" s="2">
        <v>52</v>
      </c>
      <c r="N2524" s="2" t="s">
        <v>33</v>
      </c>
      <c r="O2524" s="2" t="str">
        <f>VLOOKUP(OrganizedData[[#This Row],[Product Code]],ProductData[[Code]:[Item]],2,FALSE)</f>
        <v>Megawidget L</v>
      </c>
      <c r="P2524" s="4">
        <f>OrganizedData[[#This Row],[Quantity]]*VLOOKUP(OrganizedData[[#This Row],[Product Code]],ProductData[],4,FALSE)</f>
        <v>1248</v>
      </c>
      <c r="Q2524" s="6">
        <f>OrganizedData[[#This Row],[Total Items Ordered]]*VLOOKUP(OrganizedData[[#This Row],[Product Code]],ProductData[],3,FALSE)</f>
        <v>2233.92</v>
      </c>
      <c r="R25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2122.2240000000002</v>
      </c>
    </row>
    <row r="2525" spans="1:18" x14ac:dyDescent="0.3">
      <c r="A2525" s="2">
        <v>2518</v>
      </c>
      <c r="B2525" s="2" t="s">
        <v>2409</v>
      </c>
      <c r="C2525" s="2" t="s">
        <v>4558</v>
      </c>
      <c r="D2525" s="2" t="s">
        <v>28</v>
      </c>
      <c r="E2525" s="2" t="s">
        <v>29</v>
      </c>
      <c r="F2525" s="2">
        <v>60</v>
      </c>
      <c r="G2525" s="2" t="s">
        <v>6667</v>
      </c>
      <c r="H2525" s="2" t="s">
        <v>1336</v>
      </c>
      <c r="I2525" s="2" t="s">
        <v>129</v>
      </c>
      <c r="J2525" s="3">
        <v>44307</v>
      </c>
      <c r="K2525" s="5">
        <f>YEAR(OrganizedData[[#This Row],[Order Date]])</f>
        <v>2021</v>
      </c>
      <c r="L2525" s="7" t="str">
        <f>TEXT(OrganizedData[[#This Row],[Order Date]],"mmm")</f>
        <v>Apr</v>
      </c>
      <c r="M2525" s="2">
        <v>26</v>
      </c>
      <c r="N2525" s="2" t="s">
        <v>159</v>
      </c>
      <c r="O2525" s="2" t="str">
        <f>VLOOKUP(OrganizedData[[#This Row],[Product Code]],ProductData[[Code]:[Item]],2,FALSE)</f>
        <v>Ultrathing V3</v>
      </c>
      <c r="P2525" s="4">
        <f>OrganizedData[[#This Row],[Quantity]]*VLOOKUP(OrganizedData[[#This Row],[Product Code]],ProductData[],4,FALSE)</f>
        <v>624</v>
      </c>
      <c r="Q2525" s="6">
        <f>OrganizedData[[#This Row],[Total Items Ordered]]*VLOOKUP(OrganizedData[[#This Row],[Product Code]],ProductData[],3,FALSE)</f>
        <v>2115.36</v>
      </c>
      <c r="R25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2051.8992000000003</v>
      </c>
    </row>
    <row r="2526" spans="1:18" x14ac:dyDescent="0.3">
      <c r="A2526" s="2">
        <v>2519</v>
      </c>
      <c r="B2526" s="2" t="s">
        <v>6668</v>
      </c>
      <c r="C2526" s="2" t="s">
        <v>6669</v>
      </c>
      <c r="D2526" s="2" t="s">
        <v>28</v>
      </c>
      <c r="E2526" s="2" t="s">
        <v>29</v>
      </c>
      <c r="F2526" s="2">
        <v>60</v>
      </c>
      <c r="G2526" s="2" t="s">
        <v>6667</v>
      </c>
      <c r="H2526" s="2" t="s">
        <v>3428</v>
      </c>
      <c r="I2526" s="2" t="s">
        <v>38</v>
      </c>
      <c r="J2526" s="3">
        <v>44251</v>
      </c>
      <c r="K2526" s="5">
        <f>YEAR(OrganizedData[[#This Row],[Order Date]])</f>
        <v>2021</v>
      </c>
      <c r="L2526" s="7" t="str">
        <f>TEXT(OrganizedData[[#This Row],[Order Date]],"mmm")</f>
        <v>Feb</v>
      </c>
      <c r="M2526" s="2">
        <v>47</v>
      </c>
      <c r="N2526" s="2" t="s">
        <v>64</v>
      </c>
      <c r="O2526" s="2" t="str">
        <f>VLOOKUP(OrganizedData[[#This Row],[Product Code]],ProductData[[Code]:[Item]],2,FALSE)</f>
        <v>Ultrathing V4</v>
      </c>
      <c r="P2526" s="4">
        <f>OrganizedData[[#This Row],[Quantity]]*VLOOKUP(OrganizedData[[#This Row],[Product Code]],ProductData[],4,FALSE)</f>
        <v>1128</v>
      </c>
      <c r="Q2526" s="6">
        <f>OrganizedData[[#This Row],[Total Items Ordered]]*VLOOKUP(OrganizedData[[#This Row],[Product Code]],ProductData[],3,FALSE)</f>
        <v>4500.72</v>
      </c>
      <c r="R25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4365.6984000000002</v>
      </c>
    </row>
    <row r="2527" spans="1:18" x14ac:dyDescent="0.3">
      <c r="A2527" s="2">
        <v>2520</v>
      </c>
      <c r="B2527" s="2" t="s">
        <v>6670</v>
      </c>
      <c r="C2527" s="2" t="s">
        <v>6439</v>
      </c>
      <c r="D2527" s="2" t="s">
        <v>15</v>
      </c>
      <c r="E2527" s="2" t="s">
        <v>16</v>
      </c>
      <c r="F2527" s="2">
        <v>90</v>
      </c>
      <c r="G2527" s="2" t="s">
        <v>6671</v>
      </c>
      <c r="H2527" s="2" t="s">
        <v>338</v>
      </c>
      <c r="I2527" s="2" t="s">
        <v>173</v>
      </c>
      <c r="J2527" s="3">
        <v>44584</v>
      </c>
      <c r="K2527" s="5">
        <f>YEAR(OrganizedData[[#This Row],[Order Date]])</f>
        <v>2022</v>
      </c>
      <c r="L2527" s="7" t="str">
        <f>TEXT(OrganizedData[[#This Row],[Order Date]],"mmm")</f>
        <v>Jan</v>
      </c>
      <c r="M2527" s="2">
        <v>73</v>
      </c>
      <c r="N2527" s="2" t="s">
        <v>159</v>
      </c>
      <c r="O2527" s="2" t="str">
        <f>VLOOKUP(OrganizedData[[#This Row],[Product Code]],ProductData[[Code]:[Item]],2,FALSE)</f>
        <v>Ultrathing V3</v>
      </c>
      <c r="P2527" s="4">
        <f>OrganizedData[[#This Row],[Quantity]]*VLOOKUP(OrganizedData[[#This Row],[Product Code]],ProductData[],4,FALSE)</f>
        <v>1752</v>
      </c>
      <c r="Q2527" s="6">
        <f>OrganizedData[[#This Row],[Total Items Ordered]]*VLOOKUP(OrganizedData[[#This Row],[Product Code]],ProductData[],3,FALSE)</f>
        <v>5939.2800000000007</v>
      </c>
      <c r="R25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2528" spans="1:18" x14ac:dyDescent="0.3">
      <c r="A2528" s="2">
        <v>2521</v>
      </c>
      <c r="B2528" s="2" t="s">
        <v>4315</v>
      </c>
      <c r="C2528" s="2" t="s">
        <v>2033</v>
      </c>
      <c r="D2528" s="2" t="s">
        <v>28</v>
      </c>
      <c r="E2528" s="2" t="s">
        <v>29</v>
      </c>
      <c r="F2528" s="2">
        <v>30</v>
      </c>
      <c r="G2528" s="2" t="s">
        <v>6672</v>
      </c>
      <c r="H2528" s="2" t="s">
        <v>4066</v>
      </c>
      <c r="I2528" s="2" t="s">
        <v>4067</v>
      </c>
      <c r="J2528" s="3">
        <v>43937</v>
      </c>
      <c r="K2528" s="5">
        <f>YEAR(OrganizedData[[#This Row],[Order Date]])</f>
        <v>2020</v>
      </c>
      <c r="L2528" s="7" t="str">
        <f>TEXT(OrganizedData[[#This Row],[Order Date]],"mmm")</f>
        <v>Apr</v>
      </c>
      <c r="M2528" s="2">
        <v>73</v>
      </c>
      <c r="N2528" s="2" t="s">
        <v>101</v>
      </c>
      <c r="O2528" s="2" t="str">
        <f>VLOOKUP(OrganizedData[[#This Row],[Product Code]],ProductData[[Code]:[Item]],2,FALSE)</f>
        <v>Superwossname</v>
      </c>
      <c r="P2528" s="4">
        <f>OrganizedData[[#This Row],[Quantity]]*VLOOKUP(OrganizedData[[#This Row],[Product Code]],ProductData[],4,FALSE)</f>
        <v>1460</v>
      </c>
      <c r="Q2528" s="6">
        <f>OrganizedData[[#This Row],[Total Items Ordered]]*VLOOKUP(OrganizedData[[#This Row],[Product Code]],ProductData[],3,FALSE)</f>
        <v>5095.4000000000005</v>
      </c>
      <c r="R25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4840.63</v>
      </c>
    </row>
    <row r="2529" spans="1:18" x14ac:dyDescent="0.3">
      <c r="A2529" s="2">
        <v>2522</v>
      </c>
      <c r="B2529" s="2" t="s">
        <v>1352</v>
      </c>
      <c r="C2529" s="2" t="s">
        <v>4858</v>
      </c>
      <c r="D2529" s="2" t="s">
        <v>117</v>
      </c>
      <c r="E2529" s="2" t="s">
        <v>16</v>
      </c>
      <c r="F2529" s="2">
        <v>90</v>
      </c>
      <c r="G2529" s="2" t="s">
        <v>6673</v>
      </c>
      <c r="H2529" s="2" t="s">
        <v>3579</v>
      </c>
      <c r="I2529" s="2" t="s">
        <v>1576</v>
      </c>
      <c r="J2529" s="3">
        <v>44842</v>
      </c>
      <c r="K2529" s="5">
        <f>YEAR(OrganizedData[[#This Row],[Order Date]])</f>
        <v>2022</v>
      </c>
      <c r="L2529" s="7" t="str">
        <f>TEXT(OrganizedData[[#This Row],[Order Date]],"mmm")</f>
        <v>Oct</v>
      </c>
      <c r="M2529" s="2">
        <v>41</v>
      </c>
      <c r="N2529" s="2" t="s">
        <v>45</v>
      </c>
      <c r="O2529" s="2" t="str">
        <f>VLOOKUP(OrganizedData[[#This Row],[Product Code]],ProductData[[Code]:[Item]],2,FALSE)</f>
        <v>Gigastuff</v>
      </c>
      <c r="P2529" s="4">
        <f>OrganizedData[[#This Row],[Quantity]]*VLOOKUP(OrganizedData[[#This Row],[Product Code]],ProductData[],4,FALSE)</f>
        <v>738</v>
      </c>
      <c r="Q2529" s="6">
        <f>OrganizedData[[#This Row],[Total Items Ordered]]*VLOOKUP(OrganizedData[[#This Row],[Product Code]],ProductData[],3,FALSE)</f>
        <v>1394.82</v>
      </c>
      <c r="R25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2530" spans="1:18" x14ac:dyDescent="0.3">
      <c r="A2530" s="2">
        <v>2523</v>
      </c>
      <c r="B2530" s="2" t="s">
        <v>1792</v>
      </c>
      <c r="C2530" s="2" t="s">
        <v>3167</v>
      </c>
      <c r="D2530" s="2" t="s">
        <v>28</v>
      </c>
      <c r="E2530" s="2" t="s">
        <v>29</v>
      </c>
      <c r="F2530" s="2">
        <v>90</v>
      </c>
      <c r="G2530" s="2" t="s">
        <v>6674</v>
      </c>
      <c r="H2530" s="2" t="s">
        <v>6675</v>
      </c>
      <c r="I2530" s="2" t="s">
        <v>32</v>
      </c>
      <c r="J2530" s="3">
        <v>44068</v>
      </c>
      <c r="K2530" s="5">
        <f>YEAR(OrganizedData[[#This Row],[Order Date]])</f>
        <v>2020</v>
      </c>
      <c r="L2530" s="7" t="str">
        <f>TEXT(OrganizedData[[#This Row],[Order Date]],"mmm")</f>
        <v>Aug</v>
      </c>
      <c r="M2530" s="2">
        <v>80</v>
      </c>
      <c r="N2530" s="2" t="s">
        <v>70</v>
      </c>
      <c r="O2530" s="2" t="str">
        <f>VLOOKUP(OrganizedData[[#This Row],[Product Code]],ProductData[[Code]:[Item]],2,FALSE)</f>
        <v>Megawidget M</v>
      </c>
      <c r="P2530" s="4">
        <f>OrganizedData[[#This Row],[Quantity]]*VLOOKUP(OrganizedData[[#This Row],[Product Code]],ProductData[],4,FALSE)</f>
        <v>1920</v>
      </c>
      <c r="Q2530" s="6">
        <f>OrganizedData[[#This Row],[Total Items Ordered]]*VLOOKUP(OrganizedData[[#This Row],[Product Code]],ProductData[],3,FALSE)</f>
        <v>2476.8000000000002</v>
      </c>
      <c r="R25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2352.96</v>
      </c>
    </row>
    <row r="2531" spans="1:18" x14ac:dyDescent="0.3">
      <c r="A2531" s="2">
        <v>2524</v>
      </c>
      <c r="B2531" s="2" t="s">
        <v>6676</v>
      </c>
      <c r="C2531" s="2" t="s">
        <v>2181</v>
      </c>
      <c r="D2531" s="2" t="s">
        <v>51</v>
      </c>
      <c r="E2531" s="2" t="s">
        <v>16</v>
      </c>
      <c r="F2531" s="2">
        <v>90</v>
      </c>
      <c r="G2531" s="2" t="s">
        <v>6677</v>
      </c>
      <c r="H2531" s="2" t="s">
        <v>1310</v>
      </c>
      <c r="I2531" s="2" t="s">
        <v>1311</v>
      </c>
      <c r="J2531" s="3">
        <v>44088</v>
      </c>
      <c r="K2531" s="5">
        <f>YEAR(OrganizedData[[#This Row],[Order Date]])</f>
        <v>2020</v>
      </c>
      <c r="L2531" s="7" t="str">
        <f>TEXT(OrganizedData[[#This Row],[Order Date]],"mmm")</f>
        <v>Sep</v>
      </c>
      <c r="M2531" s="2">
        <v>5</v>
      </c>
      <c r="N2531" s="2" t="s">
        <v>101</v>
      </c>
      <c r="O2531" s="2" t="str">
        <f>VLOOKUP(OrganizedData[[#This Row],[Product Code]],ProductData[[Code]:[Item]],2,FALSE)</f>
        <v>Superwossname</v>
      </c>
      <c r="P2531" s="4">
        <f>OrganizedData[[#This Row],[Quantity]]*VLOOKUP(OrganizedData[[#This Row],[Product Code]],ProductData[],4,FALSE)</f>
        <v>100</v>
      </c>
      <c r="Q2531" s="6">
        <f>OrganizedData[[#This Row],[Total Items Ordered]]*VLOOKUP(OrganizedData[[#This Row],[Product Code]],ProductData[],3,FALSE)</f>
        <v>349</v>
      </c>
      <c r="R25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2532" spans="1:18" x14ac:dyDescent="0.3">
      <c r="A2532" s="2">
        <v>2525</v>
      </c>
      <c r="B2532" s="2" t="s">
        <v>6676</v>
      </c>
      <c r="C2532" s="2" t="s">
        <v>1596</v>
      </c>
      <c r="D2532" s="2" t="s">
        <v>41</v>
      </c>
      <c r="E2532" s="2" t="s">
        <v>16</v>
      </c>
      <c r="F2532" s="2">
        <v>30</v>
      </c>
      <c r="G2532" s="2" t="s">
        <v>6677</v>
      </c>
      <c r="H2532" s="2" t="s">
        <v>182</v>
      </c>
      <c r="I2532" s="2" t="s">
        <v>32</v>
      </c>
      <c r="J2532" s="3">
        <v>44046</v>
      </c>
      <c r="K2532" s="5">
        <f>YEAR(OrganizedData[[#This Row],[Order Date]])</f>
        <v>2020</v>
      </c>
      <c r="L2532" s="7" t="str">
        <f>TEXT(OrganizedData[[#This Row],[Order Date]],"mmm")</f>
        <v>Aug</v>
      </c>
      <c r="M2532" s="2">
        <v>77</v>
      </c>
      <c r="N2532" s="2" t="s">
        <v>64</v>
      </c>
      <c r="O2532" s="2" t="str">
        <f>VLOOKUP(OrganizedData[[#This Row],[Product Code]],ProductData[[Code]:[Item]],2,FALSE)</f>
        <v>Ultrathing V4</v>
      </c>
      <c r="P2532" s="4">
        <f>OrganizedData[[#This Row],[Quantity]]*VLOOKUP(OrganizedData[[#This Row],[Product Code]],ProductData[],4,FALSE)</f>
        <v>1848</v>
      </c>
      <c r="Q2532" s="6">
        <f>OrganizedData[[#This Row],[Total Items Ordered]]*VLOOKUP(OrganizedData[[#This Row],[Product Code]],ProductData[],3,FALSE)</f>
        <v>7373.52</v>
      </c>
      <c r="R25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7004.8440000000001</v>
      </c>
    </row>
    <row r="2533" spans="1:18" x14ac:dyDescent="0.3">
      <c r="A2533" s="2">
        <v>2526</v>
      </c>
      <c r="B2533" s="2" t="s">
        <v>2556</v>
      </c>
      <c r="C2533" s="2" t="s">
        <v>1773</v>
      </c>
      <c r="D2533" s="2" t="s">
        <v>28</v>
      </c>
      <c r="E2533" s="2" t="s">
        <v>29</v>
      </c>
      <c r="F2533" s="2">
        <v>30</v>
      </c>
      <c r="G2533" s="2" t="s">
        <v>6678</v>
      </c>
      <c r="H2533" s="2" t="s">
        <v>4683</v>
      </c>
      <c r="I2533" s="2" t="s">
        <v>178</v>
      </c>
      <c r="J2533" s="3">
        <v>43909</v>
      </c>
      <c r="K2533" s="5">
        <f>YEAR(OrganizedData[[#This Row],[Order Date]])</f>
        <v>2020</v>
      </c>
      <c r="L2533" s="7" t="str">
        <f>TEXT(OrganizedData[[#This Row],[Order Date]],"mmm")</f>
        <v>Mar</v>
      </c>
      <c r="M2533" s="2">
        <v>30</v>
      </c>
      <c r="N2533" s="2" t="s">
        <v>39</v>
      </c>
      <c r="O2533" s="2" t="str">
        <f>VLOOKUP(OrganizedData[[#This Row],[Product Code]],ProductData[[Code]:[Item]],2,FALSE)</f>
        <v>Ultrathing V1</v>
      </c>
      <c r="P2533" s="4">
        <f>OrganizedData[[#This Row],[Quantity]]*VLOOKUP(OrganizedData[[#This Row],[Product Code]],ProductData[],4,FALSE)</f>
        <v>510</v>
      </c>
      <c r="Q2533" s="6">
        <f>OrganizedData[[#This Row],[Total Items Ordered]]*VLOOKUP(OrganizedData[[#This Row],[Product Code]],ProductData[],3,FALSE)</f>
        <v>912.9</v>
      </c>
      <c r="R25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2534" spans="1:18" x14ac:dyDescent="0.3">
      <c r="A2534" s="2">
        <v>2527</v>
      </c>
      <c r="B2534" s="2" t="s">
        <v>55</v>
      </c>
      <c r="C2534" s="2" t="s">
        <v>4121</v>
      </c>
      <c r="D2534" s="2" t="s">
        <v>28</v>
      </c>
      <c r="E2534" s="2" t="s">
        <v>29</v>
      </c>
      <c r="F2534" s="2">
        <v>60</v>
      </c>
      <c r="G2534" s="2" t="s">
        <v>6679</v>
      </c>
      <c r="H2534" s="2" t="s">
        <v>4432</v>
      </c>
      <c r="I2534" s="2" t="s">
        <v>32</v>
      </c>
      <c r="J2534" s="3">
        <v>44815</v>
      </c>
      <c r="K2534" s="5">
        <f>YEAR(OrganizedData[[#This Row],[Order Date]])</f>
        <v>2022</v>
      </c>
      <c r="L2534" s="7" t="str">
        <f>TEXT(OrganizedData[[#This Row],[Order Date]],"mmm")</f>
        <v>Sep</v>
      </c>
      <c r="M2534" s="2">
        <v>47</v>
      </c>
      <c r="N2534" s="2" t="s">
        <v>45</v>
      </c>
      <c r="O2534" s="2" t="str">
        <f>VLOOKUP(OrganizedData[[#This Row],[Product Code]],ProductData[[Code]:[Item]],2,FALSE)</f>
        <v>Gigastuff</v>
      </c>
      <c r="P2534" s="4">
        <f>OrganizedData[[#This Row],[Quantity]]*VLOOKUP(OrganizedData[[#This Row],[Product Code]],ProductData[],4,FALSE)</f>
        <v>846</v>
      </c>
      <c r="Q2534" s="6">
        <f>OrganizedData[[#This Row],[Total Items Ordered]]*VLOOKUP(OrganizedData[[#This Row],[Product Code]],ProductData[],3,FALSE)</f>
        <v>1598.9399999999998</v>
      </c>
      <c r="R25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2535" spans="1:18" x14ac:dyDescent="0.3">
      <c r="A2535" s="2">
        <v>2528</v>
      </c>
      <c r="B2535" s="2" t="s">
        <v>657</v>
      </c>
      <c r="C2535" s="2" t="s">
        <v>795</v>
      </c>
      <c r="D2535" s="2" t="s">
        <v>28</v>
      </c>
      <c r="E2535" s="2" t="s">
        <v>29</v>
      </c>
      <c r="F2535" s="2">
        <v>30</v>
      </c>
      <c r="G2535" s="2" t="s">
        <v>6680</v>
      </c>
      <c r="H2535" s="2" t="s">
        <v>2667</v>
      </c>
      <c r="I2535" s="2" t="s">
        <v>187</v>
      </c>
      <c r="J2535" s="3">
        <v>44391</v>
      </c>
      <c r="K2535" s="5">
        <f>YEAR(OrganizedData[[#This Row],[Order Date]])</f>
        <v>2021</v>
      </c>
      <c r="L2535" s="7" t="str">
        <f>TEXT(OrganizedData[[#This Row],[Order Date]],"mmm")</f>
        <v>Jul</v>
      </c>
      <c r="M2535" s="2">
        <v>89</v>
      </c>
      <c r="N2535" s="2" t="s">
        <v>45</v>
      </c>
      <c r="O2535" s="2" t="str">
        <f>VLOOKUP(OrganizedData[[#This Row],[Product Code]],ProductData[[Code]:[Item]],2,FALSE)</f>
        <v>Gigastuff</v>
      </c>
      <c r="P2535" s="4">
        <f>OrganizedData[[#This Row],[Quantity]]*VLOOKUP(OrganizedData[[#This Row],[Product Code]],ProductData[],4,FALSE)</f>
        <v>1602</v>
      </c>
      <c r="Q2535" s="6">
        <f>OrganizedData[[#This Row],[Total Items Ordered]]*VLOOKUP(OrganizedData[[#This Row],[Product Code]],ProductData[],3,FALSE)</f>
        <v>3027.7799999999997</v>
      </c>
      <c r="R25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2876.3909999999996</v>
      </c>
    </row>
    <row r="2536" spans="1:18" x14ac:dyDescent="0.3">
      <c r="A2536" s="2">
        <v>2529</v>
      </c>
      <c r="B2536" s="2" t="s">
        <v>2177</v>
      </c>
      <c r="C2536" s="2" t="s">
        <v>3130</v>
      </c>
      <c r="D2536" s="2" t="s">
        <v>15</v>
      </c>
      <c r="E2536" s="2" t="s">
        <v>16</v>
      </c>
      <c r="F2536" s="2">
        <v>90</v>
      </c>
      <c r="G2536" s="2" t="s">
        <v>6681</v>
      </c>
      <c r="H2536" s="2" t="s">
        <v>3224</v>
      </c>
      <c r="I2536" s="2" t="s">
        <v>2022</v>
      </c>
      <c r="J2536" s="3">
        <v>44665</v>
      </c>
      <c r="K2536" s="5">
        <f>YEAR(OrganizedData[[#This Row],[Order Date]])</f>
        <v>2022</v>
      </c>
      <c r="L2536" s="7" t="str">
        <f>TEXT(OrganizedData[[#This Row],[Order Date]],"mmm")</f>
        <v>Apr</v>
      </c>
      <c r="M2536" s="2">
        <v>99</v>
      </c>
      <c r="N2536" s="2" t="s">
        <v>20</v>
      </c>
      <c r="O2536" s="2" t="str">
        <f>VLOOKUP(OrganizedData[[#This Row],[Product Code]],ProductData[[Code]:[Item]],2,FALSE)</f>
        <v>Hyperwotsit</v>
      </c>
      <c r="P2536" s="4">
        <f>OrganizedData[[#This Row],[Quantity]]*VLOOKUP(OrganizedData[[#This Row],[Product Code]],ProductData[],4,FALSE)</f>
        <v>1980</v>
      </c>
      <c r="Q2536" s="6">
        <f>OrganizedData[[#This Row],[Total Items Ordered]]*VLOOKUP(OrganizedData[[#This Row],[Product Code]],ProductData[],3,FALSE)</f>
        <v>3979.7999999999997</v>
      </c>
      <c r="R25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3780.8099999999995</v>
      </c>
    </row>
    <row r="2537" spans="1:18" x14ac:dyDescent="0.3">
      <c r="A2537" s="2">
        <v>2530</v>
      </c>
      <c r="B2537" s="2" t="s">
        <v>6682</v>
      </c>
      <c r="C2537" s="2" t="s">
        <v>6683</v>
      </c>
      <c r="D2537" s="2" t="s">
        <v>51</v>
      </c>
      <c r="E2537" s="2" t="s">
        <v>16</v>
      </c>
      <c r="F2537" s="2">
        <v>90</v>
      </c>
      <c r="G2537" s="2" t="s">
        <v>6684</v>
      </c>
      <c r="H2537" s="2" t="s">
        <v>4889</v>
      </c>
      <c r="I2537" s="2" t="s">
        <v>110</v>
      </c>
      <c r="J2537" s="3">
        <v>43944</v>
      </c>
      <c r="K2537" s="5">
        <f>YEAR(OrganizedData[[#This Row],[Order Date]])</f>
        <v>2020</v>
      </c>
      <c r="L2537" s="7" t="str">
        <f>TEXT(OrganizedData[[#This Row],[Order Date]],"mmm")</f>
        <v>Apr</v>
      </c>
      <c r="M2537" s="2">
        <v>50</v>
      </c>
      <c r="N2537" s="2" t="s">
        <v>54</v>
      </c>
      <c r="O2537" s="2" t="str">
        <f>VLOOKUP(OrganizedData[[#This Row],[Product Code]],ProductData[[Code]:[Item]],2,FALSE)</f>
        <v>Megawidget S</v>
      </c>
      <c r="P2537" s="4">
        <f>OrganizedData[[#This Row],[Quantity]]*VLOOKUP(OrganizedData[[#This Row],[Product Code]],ProductData[],4,FALSE)</f>
        <v>1200</v>
      </c>
      <c r="Q2537" s="6">
        <f>OrganizedData[[#This Row],[Total Items Ordered]]*VLOOKUP(OrganizedData[[#This Row],[Product Code]],ProductData[],3,FALSE)</f>
        <v>827.99999999999989</v>
      </c>
      <c r="R25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2538" spans="1:18" x14ac:dyDescent="0.3">
      <c r="A2538" s="2">
        <v>2531</v>
      </c>
      <c r="B2538" s="2" t="s">
        <v>1392</v>
      </c>
      <c r="C2538" s="2" t="s">
        <v>6685</v>
      </c>
      <c r="D2538" s="2" t="s">
        <v>28</v>
      </c>
      <c r="E2538" s="2" t="s">
        <v>29</v>
      </c>
      <c r="F2538" s="2">
        <v>60</v>
      </c>
      <c r="G2538" s="2" t="s">
        <v>6686</v>
      </c>
      <c r="H2538" s="2" t="s">
        <v>6687</v>
      </c>
      <c r="I2538" s="2" t="s">
        <v>32</v>
      </c>
      <c r="J2538" s="3">
        <v>44377</v>
      </c>
      <c r="K2538" s="5">
        <f>YEAR(OrganizedData[[#This Row],[Order Date]])</f>
        <v>2021</v>
      </c>
      <c r="L2538" s="7" t="str">
        <f>TEXT(OrganizedData[[#This Row],[Order Date]],"mmm")</f>
        <v>Jun</v>
      </c>
      <c r="M2538" s="2">
        <v>60</v>
      </c>
      <c r="N2538" s="2" t="s">
        <v>159</v>
      </c>
      <c r="O2538" s="2" t="str">
        <f>VLOOKUP(OrganizedData[[#This Row],[Product Code]],ProductData[[Code]:[Item]],2,FALSE)</f>
        <v>Ultrathing V3</v>
      </c>
      <c r="P2538" s="4">
        <f>OrganizedData[[#This Row],[Quantity]]*VLOOKUP(OrganizedData[[#This Row],[Product Code]],ProductData[],4,FALSE)</f>
        <v>1440</v>
      </c>
      <c r="Q2538" s="6">
        <f>OrganizedData[[#This Row],[Total Items Ordered]]*VLOOKUP(OrganizedData[[#This Row],[Product Code]],ProductData[],3,FALSE)</f>
        <v>4881.6000000000004</v>
      </c>
      <c r="R25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4637.5200000000004</v>
      </c>
    </row>
    <row r="2539" spans="1:18" x14ac:dyDescent="0.3">
      <c r="A2539" s="2">
        <v>2532</v>
      </c>
      <c r="B2539" s="2" t="s">
        <v>5878</v>
      </c>
      <c r="C2539" s="2" t="s">
        <v>4962</v>
      </c>
      <c r="D2539" s="2" t="s">
        <v>28</v>
      </c>
      <c r="E2539" s="2" t="s">
        <v>29</v>
      </c>
      <c r="F2539" s="2">
        <v>60</v>
      </c>
      <c r="G2539" s="2" t="s">
        <v>6688</v>
      </c>
      <c r="H2539" s="2" t="s">
        <v>1601</v>
      </c>
      <c r="I2539" s="2" t="s">
        <v>32</v>
      </c>
      <c r="J2539" s="3">
        <v>44213</v>
      </c>
      <c r="K2539" s="5">
        <f>YEAR(OrganizedData[[#This Row],[Order Date]])</f>
        <v>2021</v>
      </c>
      <c r="L2539" s="7" t="str">
        <f>TEXT(OrganizedData[[#This Row],[Order Date]],"mmm")</f>
        <v>Jan</v>
      </c>
      <c r="M2539" s="2">
        <v>53</v>
      </c>
      <c r="N2539" s="2" t="s">
        <v>101</v>
      </c>
      <c r="O2539" s="2" t="str">
        <f>VLOOKUP(OrganizedData[[#This Row],[Product Code]],ProductData[[Code]:[Item]],2,FALSE)</f>
        <v>Superwossname</v>
      </c>
      <c r="P2539" s="4">
        <f>OrganizedData[[#This Row],[Quantity]]*VLOOKUP(OrganizedData[[#This Row],[Product Code]],ProductData[],4,FALSE)</f>
        <v>1060</v>
      </c>
      <c r="Q2539" s="6">
        <f>OrganizedData[[#This Row],[Total Items Ordered]]*VLOOKUP(OrganizedData[[#This Row],[Product Code]],ProductData[],3,FALSE)</f>
        <v>3699.4</v>
      </c>
      <c r="R25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2540" spans="1:18" x14ac:dyDescent="0.3">
      <c r="A2540" s="2">
        <v>2533</v>
      </c>
      <c r="B2540" s="2" t="s">
        <v>3483</v>
      </c>
      <c r="C2540" s="2" t="s">
        <v>2019</v>
      </c>
      <c r="D2540" s="2" t="s">
        <v>28</v>
      </c>
      <c r="E2540" s="2" t="s">
        <v>29</v>
      </c>
      <c r="F2540" s="2">
        <v>90</v>
      </c>
      <c r="G2540" s="2" t="s">
        <v>10442</v>
      </c>
      <c r="H2540" s="2" t="s">
        <v>6690</v>
      </c>
      <c r="I2540" s="2" t="s">
        <v>294</v>
      </c>
      <c r="J2540" s="3">
        <v>44839</v>
      </c>
      <c r="K2540" s="5">
        <f>YEAR(OrganizedData[[#This Row],[Order Date]])</f>
        <v>2022</v>
      </c>
      <c r="L2540" s="7" t="str">
        <f>TEXT(OrganizedData[[#This Row],[Order Date]],"mmm")</f>
        <v>Oct</v>
      </c>
      <c r="M2540" s="2">
        <v>70</v>
      </c>
      <c r="N2540" s="2" t="s">
        <v>159</v>
      </c>
      <c r="O2540" s="2" t="str">
        <f>VLOOKUP(OrganizedData[[#This Row],[Product Code]],ProductData[[Code]:[Item]],2,FALSE)</f>
        <v>Ultrathing V3</v>
      </c>
      <c r="P2540" s="4">
        <f>OrganizedData[[#This Row],[Quantity]]*VLOOKUP(OrganizedData[[#This Row],[Product Code]],ProductData[],4,FALSE)</f>
        <v>1680</v>
      </c>
      <c r="Q2540" s="6">
        <f>OrganizedData[[#This Row],[Total Items Ordered]]*VLOOKUP(OrganizedData[[#This Row],[Product Code]],ProductData[],3,FALSE)</f>
        <v>5695.2</v>
      </c>
      <c r="R25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2541" spans="1:18" x14ac:dyDescent="0.3">
      <c r="A2541" s="2">
        <v>2534</v>
      </c>
      <c r="B2541" s="2" t="s">
        <v>2367</v>
      </c>
      <c r="C2541" s="2" t="s">
        <v>457</v>
      </c>
      <c r="D2541" s="2" t="s">
        <v>28</v>
      </c>
      <c r="E2541" s="2" t="s">
        <v>29</v>
      </c>
      <c r="F2541" s="2">
        <v>60</v>
      </c>
      <c r="G2541" s="2" t="s">
        <v>6691</v>
      </c>
      <c r="H2541" s="2" t="s">
        <v>1299</v>
      </c>
      <c r="I2541" s="2" t="s">
        <v>1199</v>
      </c>
      <c r="J2541" s="3">
        <v>44107</v>
      </c>
      <c r="K2541" s="5">
        <f>YEAR(OrganizedData[[#This Row],[Order Date]])</f>
        <v>2020</v>
      </c>
      <c r="L2541" s="7" t="str">
        <f>TEXT(OrganizedData[[#This Row],[Order Date]],"mmm")</f>
        <v>Oct</v>
      </c>
      <c r="M2541" s="2">
        <v>31</v>
      </c>
      <c r="N2541" s="2" t="s">
        <v>70</v>
      </c>
      <c r="O2541" s="2" t="str">
        <f>VLOOKUP(OrganizedData[[#This Row],[Product Code]],ProductData[[Code]:[Item]],2,FALSE)</f>
        <v>Megawidget M</v>
      </c>
      <c r="P2541" s="4">
        <f>OrganizedData[[#This Row],[Quantity]]*VLOOKUP(OrganizedData[[#This Row],[Product Code]],ProductData[],4,FALSE)</f>
        <v>744</v>
      </c>
      <c r="Q2541" s="6">
        <f>OrganizedData[[#This Row],[Total Items Ordered]]*VLOOKUP(OrganizedData[[#This Row],[Product Code]],ProductData[],3,FALSE)</f>
        <v>959.76</v>
      </c>
      <c r="R25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2542" spans="1:18" x14ac:dyDescent="0.3">
      <c r="A2542" s="2">
        <v>2535</v>
      </c>
      <c r="B2542" s="2" t="s">
        <v>1563</v>
      </c>
      <c r="C2542" s="2" t="s">
        <v>1323</v>
      </c>
      <c r="D2542" s="2" t="s">
        <v>28</v>
      </c>
      <c r="E2542" s="2" t="s">
        <v>29</v>
      </c>
      <c r="F2542" s="2">
        <v>30</v>
      </c>
      <c r="G2542" s="2" t="s">
        <v>6692</v>
      </c>
      <c r="H2542" s="2" t="s">
        <v>6693</v>
      </c>
      <c r="I2542" s="2" t="s">
        <v>25</v>
      </c>
      <c r="J2542" s="3">
        <v>44264</v>
      </c>
      <c r="K2542" s="5">
        <f>YEAR(OrganizedData[[#This Row],[Order Date]])</f>
        <v>2021</v>
      </c>
      <c r="L2542" s="7" t="str">
        <f>TEXT(OrganizedData[[#This Row],[Order Date]],"mmm")</f>
        <v>Mar</v>
      </c>
      <c r="M2542" s="2">
        <v>68</v>
      </c>
      <c r="N2542" s="2" t="s">
        <v>64</v>
      </c>
      <c r="O2542" s="2" t="str">
        <f>VLOOKUP(OrganizedData[[#This Row],[Product Code]],ProductData[[Code]:[Item]],2,FALSE)</f>
        <v>Ultrathing V4</v>
      </c>
      <c r="P2542" s="4">
        <f>OrganizedData[[#This Row],[Quantity]]*VLOOKUP(OrganizedData[[#This Row],[Product Code]],ProductData[],4,FALSE)</f>
        <v>1632</v>
      </c>
      <c r="Q2542" s="6">
        <f>OrganizedData[[#This Row],[Total Items Ordered]]*VLOOKUP(OrganizedData[[#This Row],[Product Code]],ProductData[],3,FALSE)</f>
        <v>6511.68</v>
      </c>
      <c r="R25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2543" spans="1:18" x14ac:dyDescent="0.3">
      <c r="A2543" s="2">
        <v>2536</v>
      </c>
      <c r="B2543" s="2" t="s">
        <v>3005</v>
      </c>
      <c r="C2543" s="2" t="s">
        <v>1326</v>
      </c>
      <c r="D2543" s="2" t="s">
        <v>28</v>
      </c>
      <c r="E2543" s="2" t="s">
        <v>29</v>
      </c>
      <c r="F2543" s="2">
        <v>60</v>
      </c>
      <c r="G2543" s="2" t="s">
        <v>6694</v>
      </c>
      <c r="H2543" s="2" t="s">
        <v>3746</v>
      </c>
      <c r="I2543" s="2" t="s">
        <v>32</v>
      </c>
      <c r="J2543" s="3">
        <v>44918</v>
      </c>
      <c r="K2543" s="5">
        <f>YEAR(OrganizedData[[#This Row],[Order Date]])</f>
        <v>2022</v>
      </c>
      <c r="L2543" s="7" t="str">
        <f>TEXT(OrganizedData[[#This Row],[Order Date]],"mmm")</f>
        <v>Dec</v>
      </c>
      <c r="M2543" s="2">
        <v>70</v>
      </c>
      <c r="N2543" s="2" t="s">
        <v>39</v>
      </c>
      <c r="O2543" s="2" t="str">
        <f>VLOOKUP(OrganizedData[[#This Row],[Product Code]],ProductData[[Code]:[Item]],2,FALSE)</f>
        <v>Ultrathing V1</v>
      </c>
      <c r="P2543" s="4">
        <f>OrganizedData[[#This Row],[Quantity]]*VLOOKUP(OrganizedData[[#This Row],[Product Code]],ProductData[],4,FALSE)</f>
        <v>1190</v>
      </c>
      <c r="Q2543" s="6">
        <f>OrganizedData[[#This Row],[Total Items Ordered]]*VLOOKUP(OrganizedData[[#This Row],[Product Code]],ProductData[],3,FALSE)</f>
        <v>2130.1</v>
      </c>
      <c r="R25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2023.5949999999998</v>
      </c>
    </row>
    <row r="2544" spans="1:18" x14ac:dyDescent="0.3">
      <c r="A2544" s="2">
        <v>2537</v>
      </c>
      <c r="B2544" s="2" t="s">
        <v>6695</v>
      </c>
      <c r="C2544" s="2" t="s">
        <v>5452</v>
      </c>
      <c r="D2544" s="2" t="s">
        <v>51</v>
      </c>
      <c r="E2544" s="2" t="s">
        <v>16</v>
      </c>
      <c r="F2544" s="2">
        <v>30</v>
      </c>
      <c r="G2544" s="2" t="s">
        <v>6696</v>
      </c>
      <c r="H2544" s="2" t="s">
        <v>3746</v>
      </c>
      <c r="I2544" s="2" t="s">
        <v>32</v>
      </c>
      <c r="J2544" s="3">
        <v>43966</v>
      </c>
      <c r="K2544" s="5">
        <f>YEAR(OrganizedData[[#This Row],[Order Date]])</f>
        <v>2020</v>
      </c>
      <c r="L2544" s="7" t="str">
        <f>TEXT(OrganizedData[[#This Row],[Order Date]],"mmm")</f>
        <v>May</v>
      </c>
      <c r="M2544" s="2">
        <v>43</v>
      </c>
      <c r="N2544" s="2" t="s">
        <v>20</v>
      </c>
      <c r="O2544" s="2" t="str">
        <f>VLOOKUP(OrganizedData[[#This Row],[Product Code]],ProductData[[Code]:[Item]],2,FALSE)</f>
        <v>Hyperwotsit</v>
      </c>
      <c r="P2544" s="4">
        <f>OrganizedData[[#This Row],[Quantity]]*VLOOKUP(OrganizedData[[#This Row],[Product Code]],ProductData[],4,FALSE)</f>
        <v>860</v>
      </c>
      <c r="Q2544" s="6">
        <f>OrganizedData[[#This Row],[Total Items Ordered]]*VLOOKUP(OrganizedData[[#This Row],[Product Code]],ProductData[],3,FALSE)</f>
        <v>1728.6</v>
      </c>
      <c r="R25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1676.742</v>
      </c>
    </row>
    <row r="2545" spans="1:18" x14ac:dyDescent="0.3">
      <c r="A2545" s="2">
        <v>2538</v>
      </c>
      <c r="B2545" s="2" t="s">
        <v>3429</v>
      </c>
      <c r="C2545" s="2" t="s">
        <v>5225</v>
      </c>
      <c r="D2545" s="2" t="s">
        <v>28</v>
      </c>
      <c r="E2545" s="2" t="s">
        <v>29</v>
      </c>
      <c r="F2545" s="2">
        <v>90</v>
      </c>
      <c r="G2545" s="2" t="s">
        <v>6697</v>
      </c>
      <c r="H2545" s="2" t="s">
        <v>2530</v>
      </c>
      <c r="I2545" s="2" t="s">
        <v>32</v>
      </c>
      <c r="J2545" s="3">
        <v>43901</v>
      </c>
      <c r="K2545" s="5">
        <f>YEAR(OrganizedData[[#This Row],[Order Date]])</f>
        <v>2020</v>
      </c>
      <c r="L2545" s="7" t="str">
        <f>TEXT(OrganizedData[[#This Row],[Order Date]],"mmm")</f>
        <v>Mar</v>
      </c>
      <c r="M2545" s="2">
        <v>14</v>
      </c>
      <c r="N2545" s="2" t="s">
        <v>70</v>
      </c>
      <c r="O2545" s="2" t="str">
        <f>VLOOKUP(OrganizedData[[#This Row],[Product Code]],ProductData[[Code]:[Item]],2,FALSE)</f>
        <v>Megawidget M</v>
      </c>
      <c r="P2545" s="4">
        <f>OrganizedData[[#This Row],[Quantity]]*VLOOKUP(OrganizedData[[#This Row],[Product Code]],ProductData[],4,FALSE)</f>
        <v>336</v>
      </c>
      <c r="Q2545" s="6">
        <f>OrganizedData[[#This Row],[Total Items Ordered]]*VLOOKUP(OrganizedData[[#This Row],[Product Code]],ProductData[],3,FALSE)</f>
        <v>433.44</v>
      </c>
      <c r="R25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2546" spans="1:18" x14ac:dyDescent="0.3">
      <c r="A2546" s="2">
        <v>2539</v>
      </c>
      <c r="B2546" s="2" t="s">
        <v>2815</v>
      </c>
      <c r="C2546" s="2" t="s">
        <v>2010</v>
      </c>
      <c r="D2546" s="2" t="s">
        <v>28</v>
      </c>
      <c r="E2546" s="2" t="s">
        <v>29</v>
      </c>
      <c r="F2546" s="2">
        <v>90</v>
      </c>
      <c r="G2546" s="2" t="s">
        <v>6698</v>
      </c>
      <c r="H2546" s="2" t="s">
        <v>1448</v>
      </c>
      <c r="I2546" s="2" t="s">
        <v>1449</v>
      </c>
      <c r="J2546" s="3">
        <v>44038</v>
      </c>
      <c r="K2546" s="5">
        <f>YEAR(OrganizedData[[#This Row],[Order Date]])</f>
        <v>2020</v>
      </c>
      <c r="L2546" s="7" t="str">
        <f>TEXT(OrganizedData[[#This Row],[Order Date]],"mmm")</f>
        <v>Jul</v>
      </c>
      <c r="M2546" s="2">
        <v>62</v>
      </c>
      <c r="N2546" s="2" t="s">
        <v>39</v>
      </c>
      <c r="O2546" s="2" t="str">
        <f>VLOOKUP(OrganizedData[[#This Row],[Product Code]],ProductData[[Code]:[Item]],2,FALSE)</f>
        <v>Ultrathing V1</v>
      </c>
      <c r="P2546" s="4">
        <f>OrganizedData[[#This Row],[Quantity]]*VLOOKUP(OrganizedData[[#This Row],[Product Code]],ProductData[],4,FALSE)</f>
        <v>1054</v>
      </c>
      <c r="Q2546" s="6">
        <f>OrganizedData[[#This Row],[Total Items Ordered]]*VLOOKUP(OrganizedData[[#This Row],[Product Code]],ProductData[],3,FALSE)</f>
        <v>1886.66</v>
      </c>
      <c r="R25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1792.327</v>
      </c>
    </row>
    <row r="2547" spans="1:18" x14ac:dyDescent="0.3">
      <c r="A2547" s="2">
        <v>2540</v>
      </c>
      <c r="B2547" s="2" t="s">
        <v>6699</v>
      </c>
      <c r="C2547" s="2" t="s">
        <v>3911</v>
      </c>
      <c r="D2547" s="2" t="s">
        <v>28</v>
      </c>
      <c r="E2547" s="2" t="s">
        <v>29</v>
      </c>
      <c r="F2547" s="2">
        <v>30</v>
      </c>
      <c r="G2547" s="2" t="s">
        <v>6700</v>
      </c>
      <c r="H2547" s="2" t="s">
        <v>2380</v>
      </c>
      <c r="I2547" s="2" t="s">
        <v>173</v>
      </c>
      <c r="J2547" s="3">
        <v>44802</v>
      </c>
      <c r="K2547" s="5">
        <f>YEAR(OrganizedData[[#This Row],[Order Date]])</f>
        <v>2022</v>
      </c>
      <c r="L2547" s="7" t="str">
        <f>TEXT(OrganizedData[[#This Row],[Order Date]],"mmm")</f>
        <v>Aug</v>
      </c>
      <c r="M2547" s="2">
        <v>95</v>
      </c>
      <c r="N2547" s="2" t="s">
        <v>39</v>
      </c>
      <c r="O2547" s="2" t="str">
        <f>VLOOKUP(OrganizedData[[#This Row],[Product Code]],ProductData[[Code]:[Item]],2,FALSE)</f>
        <v>Ultrathing V1</v>
      </c>
      <c r="P2547" s="4">
        <f>OrganizedData[[#This Row],[Quantity]]*VLOOKUP(OrganizedData[[#This Row],[Product Code]],ProductData[],4,FALSE)</f>
        <v>1615</v>
      </c>
      <c r="Q2547" s="6">
        <f>OrganizedData[[#This Row],[Total Items Ordered]]*VLOOKUP(OrganizedData[[#This Row],[Product Code]],ProductData[],3,FALSE)</f>
        <v>2890.85</v>
      </c>
      <c r="R25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2746.3074999999999</v>
      </c>
    </row>
    <row r="2548" spans="1:18" x14ac:dyDescent="0.3">
      <c r="A2548" s="2">
        <v>2541</v>
      </c>
      <c r="B2548" s="2" t="s">
        <v>2051</v>
      </c>
      <c r="C2548" s="2" t="s">
        <v>6701</v>
      </c>
      <c r="D2548" s="2" t="s">
        <v>28</v>
      </c>
      <c r="E2548" s="2" t="s">
        <v>29</v>
      </c>
      <c r="F2548" s="2">
        <v>90</v>
      </c>
      <c r="G2548" s="2" t="s">
        <v>6700</v>
      </c>
      <c r="H2548" s="2" t="s">
        <v>4878</v>
      </c>
      <c r="I2548" s="2" t="s">
        <v>187</v>
      </c>
      <c r="J2548" s="3">
        <v>44747</v>
      </c>
      <c r="K2548" s="5">
        <f>YEAR(OrganizedData[[#This Row],[Order Date]])</f>
        <v>2022</v>
      </c>
      <c r="L2548" s="7" t="str">
        <f>TEXT(OrganizedData[[#This Row],[Order Date]],"mmm")</f>
        <v>Jul</v>
      </c>
      <c r="M2548" s="2">
        <v>15</v>
      </c>
      <c r="N2548" s="2" t="s">
        <v>80</v>
      </c>
      <c r="O2548" s="2" t="str">
        <f>VLOOKUP(OrganizedData[[#This Row],[Product Code]],ProductData[[Code]:[Item]],2,FALSE)</f>
        <v>Ultrathing V2</v>
      </c>
      <c r="P2548" s="4">
        <f>OrganizedData[[#This Row],[Quantity]]*VLOOKUP(OrganizedData[[#This Row],[Product Code]],ProductData[],4,FALSE)</f>
        <v>300</v>
      </c>
      <c r="Q2548" s="6">
        <f>OrganizedData[[#This Row],[Total Items Ordered]]*VLOOKUP(OrganizedData[[#This Row],[Product Code]],ProductData[],3,FALSE)</f>
        <v>885</v>
      </c>
      <c r="R25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2549" spans="1:18" x14ac:dyDescent="0.3">
      <c r="A2549" s="2">
        <v>2542</v>
      </c>
      <c r="B2549" s="2" t="s">
        <v>4094</v>
      </c>
      <c r="C2549" s="2" t="s">
        <v>955</v>
      </c>
      <c r="D2549" s="2" t="s">
        <v>28</v>
      </c>
      <c r="E2549" s="2" t="s">
        <v>29</v>
      </c>
      <c r="F2549" s="2">
        <v>30</v>
      </c>
      <c r="G2549" s="2" t="s">
        <v>6700</v>
      </c>
      <c r="H2549" s="2" t="s">
        <v>4311</v>
      </c>
      <c r="I2549" s="2" t="s">
        <v>32</v>
      </c>
      <c r="J2549" s="3">
        <v>44344</v>
      </c>
      <c r="K2549" s="5">
        <f>YEAR(OrganizedData[[#This Row],[Order Date]])</f>
        <v>2021</v>
      </c>
      <c r="L2549" s="7" t="str">
        <f>TEXT(OrganizedData[[#This Row],[Order Date]],"mmm")</f>
        <v>May</v>
      </c>
      <c r="M2549" s="2">
        <v>10</v>
      </c>
      <c r="N2549" s="2" t="s">
        <v>39</v>
      </c>
      <c r="O2549" s="2" t="str">
        <f>VLOOKUP(OrganizedData[[#This Row],[Product Code]],ProductData[[Code]:[Item]],2,FALSE)</f>
        <v>Ultrathing V1</v>
      </c>
      <c r="P2549" s="4">
        <f>OrganizedData[[#This Row],[Quantity]]*VLOOKUP(OrganizedData[[#This Row],[Product Code]],ProductData[],4,FALSE)</f>
        <v>170</v>
      </c>
      <c r="Q2549" s="6">
        <f>OrganizedData[[#This Row],[Total Items Ordered]]*VLOOKUP(OrganizedData[[#This Row],[Product Code]],ProductData[],3,FALSE)</f>
        <v>304.3</v>
      </c>
      <c r="R25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2550" spans="1:18" x14ac:dyDescent="0.3">
      <c r="A2550" s="2">
        <v>2543</v>
      </c>
      <c r="B2550" s="2" t="s">
        <v>5502</v>
      </c>
      <c r="C2550" s="2" t="s">
        <v>3927</v>
      </c>
      <c r="D2550" s="2" t="s">
        <v>28</v>
      </c>
      <c r="E2550" s="2" t="s">
        <v>29</v>
      </c>
      <c r="F2550" s="2">
        <v>90</v>
      </c>
      <c r="G2550" s="2" t="s">
        <v>6702</v>
      </c>
      <c r="H2550" s="2" t="s">
        <v>538</v>
      </c>
      <c r="I2550" s="2" t="s">
        <v>32</v>
      </c>
      <c r="J2550" s="3">
        <v>44764</v>
      </c>
      <c r="K2550" s="5">
        <f>YEAR(OrganizedData[[#This Row],[Order Date]])</f>
        <v>2022</v>
      </c>
      <c r="L2550" s="7" t="str">
        <f>TEXT(OrganizedData[[#This Row],[Order Date]],"mmm")</f>
        <v>Jul</v>
      </c>
      <c r="M2550" s="2">
        <v>79</v>
      </c>
      <c r="N2550" s="2" t="s">
        <v>20</v>
      </c>
      <c r="O2550" s="2" t="str">
        <f>VLOOKUP(OrganizedData[[#This Row],[Product Code]],ProductData[[Code]:[Item]],2,FALSE)</f>
        <v>Hyperwotsit</v>
      </c>
      <c r="P2550" s="4">
        <f>OrganizedData[[#This Row],[Quantity]]*VLOOKUP(OrganizedData[[#This Row],[Product Code]],ProductData[],4,FALSE)</f>
        <v>1580</v>
      </c>
      <c r="Q2550" s="6">
        <f>OrganizedData[[#This Row],[Total Items Ordered]]*VLOOKUP(OrganizedData[[#This Row],[Product Code]],ProductData[],3,FALSE)</f>
        <v>3175.7999999999997</v>
      </c>
      <c r="R25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3017.0099999999998</v>
      </c>
    </row>
    <row r="2551" spans="1:18" x14ac:dyDescent="0.3">
      <c r="A2551" s="2">
        <v>2544</v>
      </c>
      <c r="B2551" s="2" t="s">
        <v>6703</v>
      </c>
      <c r="C2551" s="2" t="s">
        <v>6704</v>
      </c>
      <c r="D2551" s="2" t="s">
        <v>51</v>
      </c>
      <c r="E2551" s="2" t="s">
        <v>16</v>
      </c>
      <c r="F2551" s="2">
        <v>90</v>
      </c>
      <c r="G2551" s="2" t="s">
        <v>6705</v>
      </c>
      <c r="H2551" s="2" t="s">
        <v>6312</v>
      </c>
      <c r="I2551" s="2" t="s">
        <v>173</v>
      </c>
      <c r="J2551" s="3">
        <v>44076</v>
      </c>
      <c r="K2551" s="5">
        <f>YEAR(OrganizedData[[#This Row],[Order Date]])</f>
        <v>2020</v>
      </c>
      <c r="L2551" s="7" t="str">
        <f>TEXT(OrganizedData[[#This Row],[Order Date]],"mmm")</f>
        <v>Sep</v>
      </c>
      <c r="M2551" s="2">
        <v>8</v>
      </c>
      <c r="N2551" s="2" t="s">
        <v>101</v>
      </c>
      <c r="O2551" s="2" t="str">
        <f>VLOOKUP(OrganizedData[[#This Row],[Product Code]],ProductData[[Code]:[Item]],2,FALSE)</f>
        <v>Superwossname</v>
      </c>
      <c r="P2551" s="4">
        <f>OrganizedData[[#This Row],[Quantity]]*VLOOKUP(OrganizedData[[#This Row],[Product Code]],ProductData[],4,FALSE)</f>
        <v>160</v>
      </c>
      <c r="Q2551" s="6">
        <f>OrganizedData[[#This Row],[Total Items Ordered]]*VLOOKUP(OrganizedData[[#This Row],[Product Code]],ProductData[],3,FALSE)</f>
        <v>558.40000000000009</v>
      </c>
      <c r="R25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558.40000000000009</v>
      </c>
    </row>
    <row r="2552" spans="1:18" x14ac:dyDescent="0.3">
      <c r="A2552" s="2">
        <v>2545</v>
      </c>
      <c r="B2552" s="2" t="s">
        <v>4176</v>
      </c>
      <c r="C2552" s="2" t="s">
        <v>1072</v>
      </c>
      <c r="D2552" s="2" t="s">
        <v>117</v>
      </c>
      <c r="E2552" s="2" t="s">
        <v>16</v>
      </c>
      <c r="F2552" s="2">
        <v>60</v>
      </c>
      <c r="G2552" s="2" t="s">
        <v>6706</v>
      </c>
      <c r="H2552" s="2" t="s">
        <v>607</v>
      </c>
      <c r="I2552" s="2" t="s">
        <v>32</v>
      </c>
      <c r="J2552" s="3">
        <v>44602</v>
      </c>
      <c r="K2552" s="5">
        <f>YEAR(OrganizedData[[#This Row],[Order Date]])</f>
        <v>2022</v>
      </c>
      <c r="L2552" s="7" t="str">
        <f>TEXT(OrganizedData[[#This Row],[Order Date]],"mmm")</f>
        <v>Feb</v>
      </c>
      <c r="M2552" s="2">
        <v>45</v>
      </c>
      <c r="N2552" s="2" t="s">
        <v>80</v>
      </c>
      <c r="O2552" s="2" t="str">
        <f>VLOOKUP(OrganizedData[[#This Row],[Product Code]],ProductData[[Code]:[Item]],2,FALSE)</f>
        <v>Ultrathing V2</v>
      </c>
      <c r="P2552" s="4">
        <f>OrganizedData[[#This Row],[Quantity]]*VLOOKUP(OrganizedData[[#This Row],[Product Code]],ProductData[],4,FALSE)</f>
        <v>900</v>
      </c>
      <c r="Q2552" s="6">
        <f>OrganizedData[[#This Row],[Total Items Ordered]]*VLOOKUP(OrganizedData[[#This Row],[Product Code]],ProductData[],3,FALSE)</f>
        <v>2655</v>
      </c>
      <c r="R25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2553" spans="1:18" x14ac:dyDescent="0.3">
      <c r="A2553" s="2">
        <v>2546</v>
      </c>
      <c r="B2553" s="2" t="s">
        <v>3176</v>
      </c>
      <c r="C2553" s="2" t="s">
        <v>2024</v>
      </c>
      <c r="D2553" s="2" t="s">
        <v>28</v>
      </c>
      <c r="E2553" s="2" t="s">
        <v>29</v>
      </c>
      <c r="F2553" s="2">
        <v>90</v>
      </c>
      <c r="G2553" s="2" t="s">
        <v>6707</v>
      </c>
      <c r="H2553" s="2" t="s">
        <v>641</v>
      </c>
      <c r="I2553" s="2" t="s">
        <v>294</v>
      </c>
      <c r="J2553" s="3">
        <v>44454</v>
      </c>
      <c r="K2553" s="5">
        <f>YEAR(OrganizedData[[#This Row],[Order Date]])</f>
        <v>2021</v>
      </c>
      <c r="L2553" s="7" t="str">
        <f>TEXT(OrganizedData[[#This Row],[Order Date]],"mmm")</f>
        <v>Sep</v>
      </c>
      <c r="M2553" s="2">
        <v>10</v>
      </c>
      <c r="N2553" s="2" t="s">
        <v>159</v>
      </c>
      <c r="O2553" s="2" t="str">
        <f>VLOOKUP(OrganizedData[[#This Row],[Product Code]],ProductData[[Code]:[Item]],2,FALSE)</f>
        <v>Ultrathing V3</v>
      </c>
      <c r="P2553" s="4">
        <f>OrganizedData[[#This Row],[Quantity]]*VLOOKUP(OrganizedData[[#This Row],[Product Code]],ProductData[],4,FALSE)</f>
        <v>240</v>
      </c>
      <c r="Q2553" s="6">
        <f>OrganizedData[[#This Row],[Total Items Ordered]]*VLOOKUP(OrganizedData[[#This Row],[Product Code]],ProductData[],3,FALSE)</f>
        <v>813.6</v>
      </c>
      <c r="R25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2554" spans="1:18" x14ac:dyDescent="0.3">
      <c r="A2554" s="2">
        <v>2547</v>
      </c>
      <c r="B2554" s="2" t="s">
        <v>567</v>
      </c>
      <c r="C2554" s="2" t="s">
        <v>6708</v>
      </c>
      <c r="D2554" s="2" t="s">
        <v>28</v>
      </c>
      <c r="E2554" s="2" t="s">
        <v>29</v>
      </c>
      <c r="F2554" s="2">
        <v>90</v>
      </c>
      <c r="G2554" s="2" t="s">
        <v>6709</v>
      </c>
      <c r="H2554" s="2" t="s">
        <v>6710</v>
      </c>
      <c r="I2554" s="2" t="s">
        <v>32</v>
      </c>
      <c r="J2554" s="3">
        <v>44116</v>
      </c>
      <c r="K2554" s="5">
        <f>YEAR(OrganizedData[[#This Row],[Order Date]])</f>
        <v>2020</v>
      </c>
      <c r="L2554" s="7" t="str">
        <f>TEXT(OrganizedData[[#This Row],[Order Date]],"mmm")</f>
        <v>Oct</v>
      </c>
      <c r="M2554" s="2">
        <v>37</v>
      </c>
      <c r="N2554" s="2" t="s">
        <v>80</v>
      </c>
      <c r="O2554" s="2" t="str">
        <f>VLOOKUP(OrganizedData[[#This Row],[Product Code]],ProductData[[Code]:[Item]],2,FALSE)</f>
        <v>Ultrathing V2</v>
      </c>
      <c r="P2554" s="4">
        <f>OrganizedData[[#This Row],[Quantity]]*VLOOKUP(OrganizedData[[#This Row],[Product Code]],ProductData[],4,FALSE)</f>
        <v>740</v>
      </c>
      <c r="Q2554" s="6">
        <f>OrganizedData[[#This Row],[Total Items Ordered]]*VLOOKUP(OrganizedData[[#This Row],[Product Code]],ProductData[],3,FALSE)</f>
        <v>2183</v>
      </c>
      <c r="R25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2555" spans="1:18" x14ac:dyDescent="0.3">
      <c r="A2555" s="2">
        <v>2548</v>
      </c>
      <c r="B2555" s="2" t="s">
        <v>6711</v>
      </c>
      <c r="C2555" s="2" t="s">
        <v>6712</v>
      </c>
      <c r="D2555" s="2" t="s">
        <v>51</v>
      </c>
      <c r="E2555" s="2" t="s">
        <v>16</v>
      </c>
      <c r="F2555" s="2">
        <v>90</v>
      </c>
      <c r="G2555" s="2" t="s">
        <v>6713</v>
      </c>
      <c r="H2555" s="2" t="s">
        <v>6714</v>
      </c>
      <c r="I2555" s="2" t="s">
        <v>129</v>
      </c>
      <c r="J2555" s="3">
        <v>44368</v>
      </c>
      <c r="K2555" s="5">
        <f>YEAR(OrganizedData[[#This Row],[Order Date]])</f>
        <v>2021</v>
      </c>
      <c r="L2555" s="7" t="str">
        <f>TEXT(OrganizedData[[#This Row],[Order Date]],"mmm")</f>
        <v>Jun</v>
      </c>
      <c r="M2555" s="2">
        <v>91</v>
      </c>
      <c r="N2555" s="2" t="s">
        <v>33</v>
      </c>
      <c r="O2555" s="2" t="str">
        <f>VLOOKUP(OrganizedData[[#This Row],[Product Code]],ProductData[[Code]:[Item]],2,FALSE)</f>
        <v>Megawidget L</v>
      </c>
      <c r="P2555" s="4">
        <f>OrganizedData[[#This Row],[Quantity]]*VLOOKUP(OrganizedData[[#This Row],[Product Code]],ProductData[],4,FALSE)</f>
        <v>2184</v>
      </c>
      <c r="Q2555" s="6">
        <f>OrganizedData[[#This Row],[Total Items Ordered]]*VLOOKUP(OrganizedData[[#This Row],[Product Code]],ProductData[],3,FALSE)</f>
        <v>3909.36</v>
      </c>
      <c r="R25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3713.8919999999998</v>
      </c>
    </row>
    <row r="2556" spans="1:18" x14ac:dyDescent="0.3">
      <c r="A2556" s="2">
        <v>2549</v>
      </c>
      <c r="B2556" s="2" t="s">
        <v>2295</v>
      </c>
      <c r="C2556" s="2" t="s">
        <v>5756</v>
      </c>
      <c r="D2556" s="2" t="s">
        <v>51</v>
      </c>
      <c r="E2556" s="2" t="s">
        <v>16</v>
      </c>
      <c r="F2556" s="2">
        <v>30</v>
      </c>
      <c r="G2556" s="2" t="s">
        <v>6713</v>
      </c>
      <c r="H2556" s="2" t="s">
        <v>1519</v>
      </c>
      <c r="I2556" s="2" t="s">
        <v>32</v>
      </c>
      <c r="J2556" s="3">
        <v>44355</v>
      </c>
      <c r="K2556" s="5">
        <f>YEAR(OrganizedData[[#This Row],[Order Date]])</f>
        <v>2021</v>
      </c>
      <c r="L2556" s="7" t="str">
        <f>TEXT(OrganizedData[[#This Row],[Order Date]],"mmm")</f>
        <v>Jun</v>
      </c>
      <c r="M2556" s="2">
        <v>31</v>
      </c>
      <c r="N2556" s="2" t="s">
        <v>39</v>
      </c>
      <c r="O2556" s="2" t="str">
        <f>VLOOKUP(OrganizedData[[#This Row],[Product Code]],ProductData[[Code]:[Item]],2,FALSE)</f>
        <v>Ultrathing V1</v>
      </c>
      <c r="P2556" s="4">
        <f>OrganizedData[[#This Row],[Quantity]]*VLOOKUP(OrganizedData[[#This Row],[Product Code]],ProductData[],4,FALSE)</f>
        <v>527</v>
      </c>
      <c r="Q2556" s="6">
        <f>OrganizedData[[#This Row],[Total Items Ordered]]*VLOOKUP(OrganizedData[[#This Row],[Product Code]],ProductData[],3,FALSE)</f>
        <v>943.33</v>
      </c>
      <c r="R25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2557" spans="1:18" x14ac:dyDescent="0.3">
      <c r="A2557" s="2">
        <v>2550</v>
      </c>
      <c r="B2557" s="2" t="s">
        <v>6715</v>
      </c>
      <c r="C2557" s="2" t="s">
        <v>5193</v>
      </c>
      <c r="D2557" s="2" t="s">
        <v>28</v>
      </c>
      <c r="E2557" s="2" t="s">
        <v>29</v>
      </c>
      <c r="F2557" s="2">
        <v>60</v>
      </c>
      <c r="G2557" s="2" t="s">
        <v>6716</v>
      </c>
      <c r="H2557" s="2" t="s">
        <v>3007</v>
      </c>
      <c r="I2557" s="2" t="s">
        <v>554</v>
      </c>
      <c r="J2557" s="3">
        <v>44483</v>
      </c>
      <c r="K2557" s="5">
        <f>YEAR(OrganizedData[[#This Row],[Order Date]])</f>
        <v>2021</v>
      </c>
      <c r="L2557" s="7" t="str">
        <f>TEXT(OrganizedData[[#This Row],[Order Date]],"mmm")</f>
        <v>Oct</v>
      </c>
      <c r="M2557" s="2">
        <v>41</v>
      </c>
      <c r="N2557" s="2" t="s">
        <v>80</v>
      </c>
      <c r="O2557" s="2" t="str">
        <f>VLOOKUP(OrganizedData[[#This Row],[Product Code]],ProductData[[Code]:[Item]],2,FALSE)</f>
        <v>Ultrathing V2</v>
      </c>
      <c r="P2557" s="4">
        <f>OrganizedData[[#This Row],[Quantity]]*VLOOKUP(OrganizedData[[#This Row],[Product Code]],ProductData[],4,FALSE)</f>
        <v>820</v>
      </c>
      <c r="Q2557" s="6">
        <f>OrganizedData[[#This Row],[Total Items Ordered]]*VLOOKUP(OrganizedData[[#This Row],[Product Code]],ProductData[],3,FALSE)</f>
        <v>2419</v>
      </c>
      <c r="R25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2346.4299999999998</v>
      </c>
    </row>
    <row r="2558" spans="1:18" x14ac:dyDescent="0.3">
      <c r="A2558" s="2">
        <v>2551</v>
      </c>
      <c r="B2558" s="2" t="s">
        <v>6717</v>
      </c>
      <c r="C2558" s="2" t="s">
        <v>1627</v>
      </c>
      <c r="D2558" s="2" t="s">
        <v>41</v>
      </c>
      <c r="E2558" s="2" t="s">
        <v>16</v>
      </c>
      <c r="F2558" s="2">
        <v>90</v>
      </c>
      <c r="G2558" s="2" t="s">
        <v>6718</v>
      </c>
      <c r="H2558" s="2" t="s">
        <v>2366</v>
      </c>
      <c r="I2558" s="2" t="s">
        <v>1367</v>
      </c>
      <c r="J2558" s="3">
        <v>44181</v>
      </c>
      <c r="K2558" s="5">
        <f>YEAR(OrganizedData[[#This Row],[Order Date]])</f>
        <v>2020</v>
      </c>
      <c r="L2558" s="7" t="str">
        <f>TEXT(OrganizedData[[#This Row],[Order Date]],"mmm")</f>
        <v>Dec</v>
      </c>
      <c r="M2558" s="2">
        <v>36</v>
      </c>
      <c r="N2558" s="2" t="s">
        <v>80</v>
      </c>
      <c r="O2558" s="2" t="str">
        <f>VLOOKUP(OrganizedData[[#This Row],[Product Code]],ProductData[[Code]:[Item]],2,FALSE)</f>
        <v>Ultrathing V2</v>
      </c>
      <c r="P2558" s="4">
        <f>OrganizedData[[#This Row],[Quantity]]*VLOOKUP(OrganizedData[[#This Row],[Product Code]],ProductData[],4,FALSE)</f>
        <v>720</v>
      </c>
      <c r="Q2558" s="6">
        <f>OrganizedData[[#This Row],[Total Items Ordered]]*VLOOKUP(OrganizedData[[#This Row],[Product Code]],ProductData[],3,FALSE)</f>
        <v>2124</v>
      </c>
      <c r="R25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2559" spans="1:18" x14ac:dyDescent="0.3">
      <c r="A2559" s="2">
        <v>2552</v>
      </c>
      <c r="B2559" s="2" t="s">
        <v>1654</v>
      </c>
      <c r="C2559" s="2" t="s">
        <v>6719</v>
      </c>
      <c r="D2559" s="2" t="s">
        <v>51</v>
      </c>
      <c r="E2559" s="2" t="s">
        <v>16</v>
      </c>
      <c r="F2559" s="2">
        <v>90</v>
      </c>
      <c r="G2559" s="2" t="s">
        <v>6720</v>
      </c>
      <c r="H2559" s="2" t="s">
        <v>1690</v>
      </c>
      <c r="I2559" s="2" t="s">
        <v>208</v>
      </c>
      <c r="J2559" s="3">
        <v>43996</v>
      </c>
      <c r="K2559" s="5">
        <f>YEAR(OrganizedData[[#This Row],[Order Date]])</f>
        <v>2020</v>
      </c>
      <c r="L2559" s="7" t="str">
        <f>TEXT(OrganizedData[[#This Row],[Order Date]],"mmm")</f>
        <v>Jun</v>
      </c>
      <c r="M2559" s="2">
        <v>37</v>
      </c>
      <c r="N2559" s="2" t="s">
        <v>80</v>
      </c>
      <c r="O2559" s="2" t="str">
        <f>VLOOKUP(OrganizedData[[#This Row],[Product Code]],ProductData[[Code]:[Item]],2,FALSE)</f>
        <v>Ultrathing V2</v>
      </c>
      <c r="P2559" s="4">
        <f>OrganizedData[[#This Row],[Quantity]]*VLOOKUP(OrganizedData[[#This Row],[Product Code]],ProductData[],4,FALSE)</f>
        <v>740</v>
      </c>
      <c r="Q2559" s="6">
        <f>OrganizedData[[#This Row],[Total Items Ordered]]*VLOOKUP(OrganizedData[[#This Row],[Product Code]],ProductData[],3,FALSE)</f>
        <v>2183</v>
      </c>
      <c r="R25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2560" spans="1:18" x14ac:dyDescent="0.3">
      <c r="A2560" s="2">
        <v>2553</v>
      </c>
      <c r="B2560" s="2" t="s">
        <v>6721</v>
      </c>
      <c r="C2560" s="2" t="s">
        <v>6722</v>
      </c>
      <c r="D2560" s="2" t="s">
        <v>51</v>
      </c>
      <c r="E2560" s="2" t="s">
        <v>16</v>
      </c>
      <c r="F2560" s="2">
        <v>30</v>
      </c>
      <c r="G2560" s="2" t="s">
        <v>6723</v>
      </c>
      <c r="H2560" s="2" t="s">
        <v>5079</v>
      </c>
      <c r="I2560" s="2" t="s">
        <v>294</v>
      </c>
      <c r="J2560" s="3">
        <v>44220</v>
      </c>
      <c r="K2560" s="5">
        <f>YEAR(OrganizedData[[#This Row],[Order Date]])</f>
        <v>2021</v>
      </c>
      <c r="L2560" s="7" t="str">
        <f>TEXT(OrganizedData[[#This Row],[Order Date]],"mmm")</f>
        <v>Jan</v>
      </c>
      <c r="M2560" s="2">
        <v>26</v>
      </c>
      <c r="N2560" s="2" t="s">
        <v>33</v>
      </c>
      <c r="O2560" s="2" t="str">
        <f>VLOOKUP(OrganizedData[[#This Row],[Product Code]],ProductData[[Code]:[Item]],2,FALSE)</f>
        <v>Megawidget L</v>
      </c>
      <c r="P2560" s="4">
        <f>OrganizedData[[#This Row],[Quantity]]*VLOOKUP(OrganizedData[[#This Row],[Product Code]],ProductData[],4,FALSE)</f>
        <v>624</v>
      </c>
      <c r="Q2560" s="6">
        <f>OrganizedData[[#This Row],[Total Items Ordered]]*VLOOKUP(OrganizedData[[#This Row],[Product Code]],ProductData[],3,FALSE)</f>
        <v>1116.96</v>
      </c>
      <c r="R25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1083.4512</v>
      </c>
    </row>
    <row r="2561" spans="1:18" x14ac:dyDescent="0.3">
      <c r="A2561" s="2">
        <v>2554</v>
      </c>
      <c r="B2561" s="2" t="s">
        <v>61</v>
      </c>
      <c r="C2561" s="2" t="s">
        <v>4913</v>
      </c>
      <c r="D2561" s="2" t="s">
        <v>28</v>
      </c>
      <c r="E2561" s="2" t="s">
        <v>29</v>
      </c>
      <c r="F2561" s="2">
        <v>90</v>
      </c>
      <c r="G2561" s="2" t="s">
        <v>6724</v>
      </c>
      <c r="H2561" s="2" t="s">
        <v>5079</v>
      </c>
      <c r="I2561" s="2" t="s">
        <v>294</v>
      </c>
      <c r="J2561" s="3">
        <v>44217</v>
      </c>
      <c r="K2561" s="5">
        <f>YEAR(OrganizedData[[#This Row],[Order Date]])</f>
        <v>2021</v>
      </c>
      <c r="L2561" s="7" t="str">
        <f>TEXT(OrganizedData[[#This Row],[Order Date]],"mmm")</f>
        <v>Jan</v>
      </c>
      <c r="M2561" s="2">
        <v>27</v>
      </c>
      <c r="N2561" s="2" t="s">
        <v>70</v>
      </c>
      <c r="O2561" s="2" t="str">
        <f>VLOOKUP(OrganizedData[[#This Row],[Product Code]],ProductData[[Code]:[Item]],2,FALSE)</f>
        <v>Megawidget M</v>
      </c>
      <c r="P2561" s="4">
        <f>OrganizedData[[#This Row],[Quantity]]*VLOOKUP(OrganizedData[[#This Row],[Product Code]],ProductData[],4,FALSE)</f>
        <v>648</v>
      </c>
      <c r="Q2561" s="6">
        <f>OrganizedData[[#This Row],[Total Items Ordered]]*VLOOKUP(OrganizedData[[#This Row],[Product Code]],ProductData[],3,FALSE)</f>
        <v>835.92000000000007</v>
      </c>
      <c r="R25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810.8424</v>
      </c>
    </row>
    <row r="2562" spans="1:18" x14ac:dyDescent="0.3">
      <c r="A2562" s="2">
        <v>2555</v>
      </c>
      <c r="B2562" s="2" t="s">
        <v>188</v>
      </c>
      <c r="C2562" s="2" t="s">
        <v>722</v>
      </c>
      <c r="D2562" s="2" t="s">
        <v>28</v>
      </c>
      <c r="E2562" s="2" t="s">
        <v>29</v>
      </c>
      <c r="F2562" s="2">
        <v>90</v>
      </c>
      <c r="G2562" s="2" t="s">
        <v>6725</v>
      </c>
      <c r="H2562" s="2" t="s">
        <v>2072</v>
      </c>
      <c r="I2562" s="2" t="s">
        <v>32</v>
      </c>
      <c r="J2562" s="3">
        <v>44702</v>
      </c>
      <c r="K2562" s="5">
        <f>YEAR(OrganizedData[[#This Row],[Order Date]])</f>
        <v>2022</v>
      </c>
      <c r="L2562" s="7" t="str">
        <f>TEXT(OrganizedData[[#This Row],[Order Date]],"mmm")</f>
        <v>May</v>
      </c>
      <c r="M2562" s="2">
        <v>103</v>
      </c>
      <c r="N2562" s="2" t="s">
        <v>80</v>
      </c>
      <c r="O2562" s="2" t="str">
        <f>VLOOKUP(OrganizedData[[#This Row],[Product Code]],ProductData[[Code]:[Item]],2,FALSE)</f>
        <v>Ultrathing V2</v>
      </c>
      <c r="P2562" s="4">
        <f>OrganizedData[[#This Row],[Quantity]]*VLOOKUP(OrganizedData[[#This Row],[Product Code]],ProductData[],4,FALSE)</f>
        <v>2060</v>
      </c>
      <c r="Q2562" s="6">
        <f>OrganizedData[[#This Row],[Total Items Ordered]]*VLOOKUP(OrganizedData[[#This Row],[Product Code]],ProductData[],3,FALSE)</f>
        <v>6077</v>
      </c>
      <c r="R25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5651.6100000000006</v>
      </c>
    </row>
    <row r="2563" spans="1:18" x14ac:dyDescent="0.3">
      <c r="A2563" s="2">
        <v>2556</v>
      </c>
      <c r="B2563" s="2" t="s">
        <v>4844</v>
      </c>
      <c r="C2563" s="2" t="s">
        <v>5979</v>
      </c>
      <c r="D2563" s="2" t="s">
        <v>28</v>
      </c>
      <c r="E2563" s="2" t="s">
        <v>29</v>
      </c>
      <c r="F2563" s="2">
        <v>90</v>
      </c>
      <c r="G2563" s="2" t="s">
        <v>6726</v>
      </c>
      <c r="H2563" s="2" t="s">
        <v>420</v>
      </c>
      <c r="I2563" s="2" t="s">
        <v>32</v>
      </c>
      <c r="J2563" s="3">
        <v>44071</v>
      </c>
      <c r="K2563" s="5">
        <f>YEAR(OrganizedData[[#This Row],[Order Date]])</f>
        <v>2020</v>
      </c>
      <c r="L2563" s="7" t="str">
        <f>TEXT(OrganizedData[[#This Row],[Order Date]],"mmm")</f>
        <v>Aug</v>
      </c>
      <c r="M2563" s="2">
        <v>55</v>
      </c>
      <c r="N2563" s="2" t="s">
        <v>159</v>
      </c>
      <c r="O2563" s="2" t="str">
        <f>VLOOKUP(OrganizedData[[#This Row],[Product Code]],ProductData[[Code]:[Item]],2,FALSE)</f>
        <v>Ultrathing V3</v>
      </c>
      <c r="P2563" s="4">
        <f>OrganizedData[[#This Row],[Quantity]]*VLOOKUP(OrganizedData[[#This Row],[Product Code]],ProductData[],4,FALSE)</f>
        <v>1320</v>
      </c>
      <c r="Q2563" s="6">
        <f>OrganizedData[[#This Row],[Total Items Ordered]]*VLOOKUP(OrganizedData[[#This Row],[Product Code]],ProductData[],3,FALSE)</f>
        <v>4474.8</v>
      </c>
      <c r="R25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4251.0600000000004</v>
      </c>
    </row>
    <row r="2564" spans="1:18" x14ac:dyDescent="0.3">
      <c r="A2564" s="2">
        <v>2557</v>
      </c>
      <c r="B2564" s="2" t="s">
        <v>2399</v>
      </c>
      <c r="C2564" s="2" t="s">
        <v>6727</v>
      </c>
      <c r="D2564" s="2" t="s">
        <v>15</v>
      </c>
      <c r="E2564" s="2" t="s">
        <v>16</v>
      </c>
      <c r="F2564" s="2">
        <v>60</v>
      </c>
      <c r="G2564" s="2" t="s">
        <v>10531</v>
      </c>
      <c r="H2564" s="2" t="s">
        <v>4996</v>
      </c>
      <c r="I2564" s="2" t="s">
        <v>32</v>
      </c>
      <c r="J2564" s="3">
        <v>43972</v>
      </c>
      <c r="K2564" s="5">
        <f>YEAR(OrganizedData[[#This Row],[Order Date]])</f>
        <v>2020</v>
      </c>
      <c r="L2564" s="7" t="str">
        <f>TEXT(OrganizedData[[#This Row],[Order Date]],"mmm")</f>
        <v>May</v>
      </c>
      <c r="M2564" s="2">
        <v>58</v>
      </c>
      <c r="N2564" s="2" t="s">
        <v>101</v>
      </c>
      <c r="O2564" s="2" t="str">
        <f>VLOOKUP(OrganizedData[[#This Row],[Product Code]],ProductData[[Code]:[Item]],2,FALSE)</f>
        <v>Superwossname</v>
      </c>
      <c r="P2564" s="4">
        <f>OrganizedData[[#This Row],[Quantity]]*VLOOKUP(OrganizedData[[#This Row],[Product Code]],ProductData[],4,FALSE)</f>
        <v>1160</v>
      </c>
      <c r="Q2564" s="6">
        <f>OrganizedData[[#This Row],[Total Items Ordered]]*VLOOKUP(OrganizedData[[#This Row],[Product Code]],ProductData[],3,FALSE)</f>
        <v>4048.4</v>
      </c>
      <c r="R25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2565" spans="1:18" x14ac:dyDescent="0.3">
      <c r="A2565" s="2">
        <v>2558</v>
      </c>
      <c r="B2565" s="2" t="s">
        <v>6729</v>
      </c>
      <c r="C2565" s="2" t="s">
        <v>6730</v>
      </c>
      <c r="D2565" s="2" t="s">
        <v>15</v>
      </c>
      <c r="E2565" s="2" t="s">
        <v>16</v>
      </c>
      <c r="F2565" s="2">
        <v>60</v>
      </c>
      <c r="G2565" s="2" t="s">
        <v>6731</v>
      </c>
      <c r="H2565" s="2" t="s">
        <v>6732</v>
      </c>
      <c r="I2565" s="2" t="s">
        <v>32</v>
      </c>
      <c r="J2565" s="3">
        <v>44471</v>
      </c>
      <c r="K2565" s="5">
        <f>YEAR(OrganizedData[[#This Row],[Order Date]])</f>
        <v>2021</v>
      </c>
      <c r="L2565" s="7" t="str">
        <f>TEXT(OrganizedData[[#This Row],[Order Date]],"mmm")</f>
        <v>Oct</v>
      </c>
      <c r="M2565" s="2">
        <v>48</v>
      </c>
      <c r="N2565" s="2" t="s">
        <v>70</v>
      </c>
      <c r="O2565" s="2" t="str">
        <f>VLOOKUP(OrganizedData[[#This Row],[Product Code]],ProductData[[Code]:[Item]],2,FALSE)</f>
        <v>Megawidget M</v>
      </c>
      <c r="P2565" s="4">
        <f>OrganizedData[[#This Row],[Quantity]]*VLOOKUP(OrganizedData[[#This Row],[Product Code]],ProductData[],4,FALSE)</f>
        <v>1152</v>
      </c>
      <c r="Q2565" s="6">
        <f>OrganizedData[[#This Row],[Total Items Ordered]]*VLOOKUP(OrganizedData[[#This Row],[Product Code]],ProductData[],3,FALSE)</f>
        <v>1486.08</v>
      </c>
      <c r="R25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2566" spans="1:18" x14ac:dyDescent="0.3">
      <c r="A2566" s="2">
        <v>2559</v>
      </c>
      <c r="B2566" s="2" t="s">
        <v>2437</v>
      </c>
      <c r="C2566" s="2" t="s">
        <v>4149</v>
      </c>
      <c r="D2566" s="2" t="s">
        <v>28</v>
      </c>
      <c r="E2566" s="2" t="s">
        <v>29</v>
      </c>
      <c r="F2566" s="2">
        <v>90</v>
      </c>
      <c r="G2566" s="2" t="s">
        <v>6733</v>
      </c>
      <c r="H2566" s="2" t="s">
        <v>3169</v>
      </c>
      <c r="I2566" s="2" t="s">
        <v>110</v>
      </c>
      <c r="J2566" s="3">
        <v>43942</v>
      </c>
      <c r="K2566" s="5">
        <f>YEAR(OrganizedData[[#This Row],[Order Date]])</f>
        <v>2020</v>
      </c>
      <c r="L2566" s="7" t="str">
        <f>TEXT(OrganizedData[[#This Row],[Order Date]],"mmm")</f>
        <v>Apr</v>
      </c>
      <c r="M2566" s="2">
        <v>11</v>
      </c>
      <c r="N2566" s="2" t="s">
        <v>101</v>
      </c>
      <c r="O2566" s="2" t="str">
        <f>VLOOKUP(OrganizedData[[#This Row],[Product Code]],ProductData[[Code]:[Item]],2,FALSE)</f>
        <v>Superwossname</v>
      </c>
      <c r="P2566" s="4">
        <f>OrganizedData[[#This Row],[Quantity]]*VLOOKUP(OrganizedData[[#This Row],[Product Code]],ProductData[],4,FALSE)</f>
        <v>220</v>
      </c>
      <c r="Q2566" s="6">
        <f>OrganizedData[[#This Row],[Total Items Ordered]]*VLOOKUP(OrganizedData[[#This Row],[Product Code]],ProductData[],3,FALSE)</f>
        <v>767.80000000000007</v>
      </c>
      <c r="R25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2567" spans="1:18" x14ac:dyDescent="0.3">
      <c r="A2567" s="2">
        <v>2560</v>
      </c>
      <c r="B2567" s="2" t="s">
        <v>6734</v>
      </c>
      <c r="C2567" s="2" t="s">
        <v>6436</v>
      </c>
      <c r="D2567" s="2" t="s">
        <v>51</v>
      </c>
      <c r="E2567" s="2" t="s">
        <v>16</v>
      </c>
      <c r="F2567" s="2">
        <v>30</v>
      </c>
      <c r="G2567" s="2" t="s">
        <v>10532</v>
      </c>
      <c r="H2567" s="2" t="s">
        <v>6736</v>
      </c>
      <c r="I2567" s="2" t="s">
        <v>32</v>
      </c>
      <c r="J2567" s="3">
        <v>44435</v>
      </c>
      <c r="K2567" s="5">
        <f>YEAR(OrganizedData[[#This Row],[Order Date]])</f>
        <v>2021</v>
      </c>
      <c r="L2567" s="7" t="str">
        <f>TEXT(OrganizedData[[#This Row],[Order Date]],"mmm")</f>
        <v>Aug</v>
      </c>
      <c r="M2567" s="2">
        <v>16</v>
      </c>
      <c r="N2567" s="2" t="s">
        <v>80</v>
      </c>
      <c r="O2567" s="2" t="str">
        <f>VLOOKUP(OrganizedData[[#This Row],[Product Code]],ProductData[[Code]:[Item]],2,FALSE)</f>
        <v>Ultrathing V2</v>
      </c>
      <c r="P2567" s="4">
        <f>OrganizedData[[#This Row],[Quantity]]*VLOOKUP(OrganizedData[[#This Row],[Product Code]],ProductData[],4,FALSE)</f>
        <v>320</v>
      </c>
      <c r="Q2567" s="6">
        <f>OrganizedData[[#This Row],[Total Items Ordered]]*VLOOKUP(OrganizedData[[#This Row],[Product Code]],ProductData[],3,FALSE)</f>
        <v>944</v>
      </c>
      <c r="R25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v>
      </c>
    </row>
    <row r="2568" spans="1:18" x14ac:dyDescent="0.3">
      <c r="A2568" s="2">
        <v>2561</v>
      </c>
      <c r="B2568" s="2" t="s">
        <v>6737</v>
      </c>
      <c r="C2568" s="2" t="s">
        <v>2677</v>
      </c>
      <c r="D2568" s="2" t="s">
        <v>51</v>
      </c>
      <c r="E2568" s="2" t="s">
        <v>16</v>
      </c>
      <c r="F2568" s="2">
        <v>60</v>
      </c>
      <c r="G2568" s="2" t="s">
        <v>6738</v>
      </c>
      <c r="H2568" s="2" t="s">
        <v>319</v>
      </c>
      <c r="I2568" s="2" t="s">
        <v>208</v>
      </c>
      <c r="J2568" s="3">
        <v>44672</v>
      </c>
      <c r="K2568" s="5">
        <f>YEAR(OrganizedData[[#This Row],[Order Date]])</f>
        <v>2022</v>
      </c>
      <c r="L2568" s="7" t="str">
        <f>TEXT(OrganizedData[[#This Row],[Order Date]],"mmm")</f>
        <v>Apr</v>
      </c>
      <c r="M2568" s="2">
        <v>21</v>
      </c>
      <c r="N2568" s="2" t="s">
        <v>39</v>
      </c>
      <c r="O2568" s="2" t="str">
        <f>VLOOKUP(OrganizedData[[#This Row],[Product Code]],ProductData[[Code]:[Item]],2,FALSE)</f>
        <v>Ultrathing V1</v>
      </c>
      <c r="P2568" s="4">
        <f>OrganizedData[[#This Row],[Quantity]]*VLOOKUP(OrganizedData[[#This Row],[Product Code]],ProductData[],4,FALSE)</f>
        <v>357</v>
      </c>
      <c r="Q2568" s="6">
        <f>OrganizedData[[#This Row],[Total Items Ordered]]*VLOOKUP(OrganizedData[[#This Row],[Product Code]],ProductData[],3,FALSE)</f>
        <v>639.03</v>
      </c>
      <c r="R25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619.85910000000001</v>
      </c>
    </row>
    <row r="2569" spans="1:18" x14ac:dyDescent="0.3">
      <c r="A2569" s="2">
        <v>2562</v>
      </c>
      <c r="B2569" s="2" t="s">
        <v>6739</v>
      </c>
      <c r="C2569" s="2" t="s">
        <v>5702</v>
      </c>
      <c r="D2569" s="2" t="s">
        <v>15</v>
      </c>
      <c r="E2569" s="2" t="s">
        <v>16</v>
      </c>
      <c r="F2569" s="2">
        <v>30</v>
      </c>
      <c r="G2569" s="2" t="s">
        <v>6740</v>
      </c>
      <c r="H2569" s="2" t="s">
        <v>2804</v>
      </c>
      <c r="I2569" s="2" t="s">
        <v>124</v>
      </c>
      <c r="J2569" s="3">
        <v>43963</v>
      </c>
      <c r="K2569" s="5">
        <f>YEAR(OrganizedData[[#This Row],[Order Date]])</f>
        <v>2020</v>
      </c>
      <c r="L2569" s="7" t="str">
        <f>TEXT(OrganizedData[[#This Row],[Order Date]],"mmm")</f>
        <v>May</v>
      </c>
      <c r="M2569" s="2">
        <v>57</v>
      </c>
      <c r="N2569" s="2" t="s">
        <v>33</v>
      </c>
      <c r="O2569" s="2" t="str">
        <f>VLOOKUP(OrganizedData[[#This Row],[Product Code]],ProductData[[Code]:[Item]],2,FALSE)</f>
        <v>Megawidget L</v>
      </c>
      <c r="P2569" s="4">
        <f>OrganizedData[[#This Row],[Quantity]]*VLOOKUP(OrganizedData[[#This Row],[Product Code]],ProductData[],4,FALSE)</f>
        <v>1368</v>
      </c>
      <c r="Q2569" s="6">
        <f>OrganizedData[[#This Row],[Total Items Ordered]]*VLOOKUP(OrganizedData[[#This Row],[Product Code]],ProductData[],3,FALSE)</f>
        <v>2448.7200000000003</v>
      </c>
      <c r="R25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2326.2840000000001</v>
      </c>
    </row>
    <row r="2570" spans="1:18" x14ac:dyDescent="0.3">
      <c r="A2570" s="2">
        <v>2563</v>
      </c>
      <c r="B2570" s="2" t="s">
        <v>6286</v>
      </c>
      <c r="C2570" s="2" t="s">
        <v>6741</v>
      </c>
      <c r="D2570" s="2" t="s">
        <v>51</v>
      </c>
      <c r="E2570" s="2" t="s">
        <v>16</v>
      </c>
      <c r="F2570" s="2">
        <v>90</v>
      </c>
      <c r="G2570" s="2" t="s">
        <v>6742</v>
      </c>
      <c r="H2570" s="2" t="s">
        <v>1011</v>
      </c>
      <c r="I2570" s="2" t="s">
        <v>32</v>
      </c>
      <c r="J2570" s="3">
        <v>44398</v>
      </c>
      <c r="K2570" s="5">
        <f>YEAR(OrganizedData[[#This Row],[Order Date]])</f>
        <v>2021</v>
      </c>
      <c r="L2570" s="7" t="str">
        <f>TEXT(OrganizedData[[#This Row],[Order Date]],"mmm")</f>
        <v>Jul</v>
      </c>
      <c r="M2570" s="2">
        <v>83</v>
      </c>
      <c r="N2570" s="2" t="s">
        <v>39</v>
      </c>
      <c r="O2570" s="2" t="str">
        <f>VLOOKUP(OrganizedData[[#This Row],[Product Code]],ProductData[[Code]:[Item]],2,FALSE)</f>
        <v>Ultrathing V1</v>
      </c>
      <c r="P2570" s="4">
        <f>OrganizedData[[#This Row],[Quantity]]*VLOOKUP(OrganizedData[[#This Row],[Product Code]],ProductData[],4,FALSE)</f>
        <v>1411</v>
      </c>
      <c r="Q2570" s="6">
        <f>OrganizedData[[#This Row],[Total Items Ordered]]*VLOOKUP(OrganizedData[[#This Row],[Product Code]],ProductData[],3,FALSE)</f>
        <v>2525.69</v>
      </c>
      <c r="R25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2571" spans="1:18" x14ac:dyDescent="0.3">
      <c r="A2571" s="2">
        <v>2564</v>
      </c>
      <c r="B2571" s="2" t="s">
        <v>6743</v>
      </c>
      <c r="C2571" s="2" t="s">
        <v>4960</v>
      </c>
      <c r="D2571" s="2" t="s">
        <v>15</v>
      </c>
      <c r="E2571" s="2" t="s">
        <v>16</v>
      </c>
      <c r="F2571" s="2">
        <v>30</v>
      </c>
      <c r="G2571" s="2" t="s">
        <v>6744</v>
      </c>
      <c r="H2571" s="2" t="s">
        <v>6675</v>
      </c>
      <c r="I2571" s="2" t="s">
        <v>32</v>
      </c>
      <c r="J2571" s="3">
        <v>44400</v>
      </c>
      <c r="K2571" s="5">
        <f>YEAR(OrganizedData[[#This Row],[Order Date]])</f>
        <v>2021</v>
      </c>
      <c r="L2571" s="7" t="str">
        <f>TEXT(OrganizedData[[#This Row],[Order Date]],"mmm")</f>
        <v>Jul</v>
      </c>
      <c r="M2571" s="2">
        <v>95</v>
      </c>
      <c r="N2571" s="2" t="s">
        <v>39</v>
      </c>
      <c r="O2571" s="2" t="str">
        <f>VLOOKUP(OrganizedData[[#This Row],[Product Code]],ProductData[[Code]:[Item]],2,FALSE)</f>
        <v>Ultrathing V1</v>
      </c>
      <c r="P2571" s="4">
        <f>OrganizedData[[#This Row],[Quantity]]*VLOOKUP(OrganizedData[[#This Row],[Product Code]],ProductData[],4,FALSE)</f>
        <v>1615</v>
      </c>
      <c r="Q2571" s="6">
        <f>OrganizedData[[#This Row],[Total Items Ordered]]*VLOOKUP(OrganizedData[[#This Row],[Product Code]],ProductData[],3,FALSE)</f>
        <v>2890.85</v>
      </c>
      <c r="R25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2746.3074999999999</v>
      </c>
    </row>
    <row r="2572" spans="1:18" x14ac:dyDescent="0.3">
      <c r="A2572" s="2">
        <v>2565</v>
      </c>
      <c r="B2572" s="2" t="s">
        <v>6745</v>
      </c>
      <c r="C2572" s="2" t="s">
        <v>5067</v>
      </c>
      <c r="D2572" s="2" t="s">
        <v>15</v>
      </c>
      <c r="E2572" s="2" t="s">
        <v>16</v>
      </c>
      <c r="F2572" s="2">
        <v>90</v>
      </c>
      <c r="G2572" s="2" t="s">
        <v>6746</v>
      </c>
      <c r="H2572" s="2" t="s">
        <v>2772</v>
      </c>
      <c r="I2572" s="2" t="s">
        <v>32</v>
      </c>
      <c r="J2572" s="3">
        <v>44092</v>
      </c>
      <c r="K2572" s="5">
        <f>YEAR(OrganizedData[[#This Row],[Order Date]])</f>
        <v>2020</v>
      </c>
      <c r="L2572" s="7" t="str">
        <f>TEXT(OrganizedData[[#This Row],[Order Date]],"mmm")</f>
        <v>Sep</v>
      </c>
      <c r="M2572" s="2">
        <v>19</v>
      </c>
      <c r="N2572" s="2" t="s">
        <v>45</v>
      </c>
      <c r="O2572" s="2" t="str">
        <f>VLOOKUP(OrganizedData[[#This Row],[Product Code]],ProductData[[Code]:[Item]],2,FALSE)</f>
        <v>Gigastuff</v>
      </c>
      <c r="P2572" s="4">
        <f>OrganizedData[[#This Row],[Quantity]]*VLOOKUP(OrganizedData[[#This Row],[Product Code]],ProductData[],4,FALSE)</f>
        <v>342</v>
      </c>
      <c r="Q2572" s="6">
        <f>OrganizedData[[#This Row],[Total Items Ordered]]*VLOOKUP(OrganizedData[[#This Row],[Product Code]],ProductData[],3,FALSE)</f>
        <v>646.38</v>
      </c>
      <c r="R25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646.38</v>
      </c>
    </row>
    <row r="2573" spans="1:18" x14ac:dyDescent="0.3">
      <c r="A2573" s="2">
        <v>2566</v>
      </c>
      <c r="B2573" s="2" t="s">
        <v>6747</v>
      </c>
      <c r="C2573" s="2" t="s">
        <v>6748</v>
      </c>
      <c r="D2573" s="2" t="s">
        <v>28</v>
      </c>
      <c r="E2573" s="2" t="s">
        <v>29</v>
      </c>
      <c r="F2573" s="2">
        <v>90</v>
      </c>
      <c r="G2573" s="2" t="s">
        <v>6749</v>
      </c>
      <c r="H2573" s="2" t="s">
        <v>1556</v>
      </c>
      <c r="I2573" s="2" t="s">
        <v>1311</v>
      </c>
      <c r="J2573" s="3">
        <v>44787</v>
      </c>
      <c r="K2573" s="5">
        <f>YEAR(OrganizedData[[#This Row],[Order Date]])</f>
        <v>2022</v>
      </c>
      <c r="L2573" s="7" t="str">
        <f>TEXT(OrganizedData[[#This Row],[Order Date]],"mmm")</f>
        <v>Aug</v>
      </c>
      <c r="M2573" s="2">
        <v>96</v>
      </c>
      <c r="N2573" s="2" t="s">
        <v>64</v>
      </c>
      <c r="O2573" s="2" t="str">
        <f>VLOOKUP(OrganizedData[[#This Row],[Product Code]],ProductData[[Code]:[Item]],2,FALSE)</f>
        <v>Ultrathing V4</v>
      </c>
      <c r="P2573" s="4">
        <f>OrganizedData[[#This Row],[Quantity]]*VLOOKUP(OrganizedData[[#This Row],[Product Code]],ProductData[],4,FALSE)</f>
        <v>2304</v>
      </c>
      <c r="Q2573" s="6">
        <f>OrganizedData[[#This Row],[Total Items Ordered]]*VLOOKUP(OrganizedData[[#This Row],[Product Code]],ProductData[],3,FALSE)</f>
        <v>9192.9600000000009</v>
      </c>
      <c r="R25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8733.3119999999999</v>
      </c>
    </row>
    <row r="2574" spans="1:18" x14ac:dyDescent="0.3">
      <c r="A2574" s="2">
        <v>2567</v>
      </c>
      <c r="B2574" s="2" t="s">
        <v>3111</v>
      </c>
      <c r="C2574" s="2" t="s">
        <v>1121</v>
      </c>
      <c r="D2574" s="2" t="s">
        <v>28</v>
      </c>
      <c r="E2574" s="2" t="s">
        <v>29</v>
      </c>
      <c r="F2574" s="2">
        <v>30</v>
      </c>
      <c r="G2574" s="2" t="s">
        <v>6750</v>
      </c>
      <c r="H2574" s="2" t="s">
        <v>4849</v>
      </c>
      <c r="I2574" s="2" t="s">
        <v>294</v>
      </c>
      <c r="J2574" s="3">
        <v>44188</v>
      </c>
      <c r="K2574" s="5">
        <f>YEAR(OrganizedData[[#This Row],[Order Date]])</f>
        <v>2020</v>
      </c>
      <c r="L2574" s="7" t="str">
        <f>TEXT(OrganizedData[[#This Row],[Order Date]],"mmm")</f>
        <v>Dec</v>
      </c>
      <c r="M2574" s="2">
        <v>54</v>
      </c>
      <c r="N2574" s="2" t="s">
        <v>45</v>
      </c>
      <c r="O2574" s="2" t="str">
        <f>VLOOKUP(OrganizedData[[#This Row],[Product Code]],ProductData[[Code]:[Item]],2,FALSE)</f>
        <v>Gigastuff</v>
      </c>
      <c r="P2574" s="4">
        <f>OrganizedData[[#This Row],[Quantity]]*VLOOKUP(OrganizedData[[#This Row],[Product Code]],ProductData[],4,FALSE)</f>
        <v>972</v>
      </c>
      <c r="Q2574" s="6">
        <f>OrganizedData[[#This Row],[Total Items Ordered]]*VLOOKUP(OrganizedData[[#This Row],[Product Code]],ProductData[],3,FALSE)</f>
        <v>1837.08</v>
      </c>
      <c r="R25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1745.2259999999999</v>
      </c>
    </row>
    <row r="2575" spans="1:18" x14ac:dyDescent="0.3">
      <c r="A2575" s="2">
        <v>2568</v>
      </c>
      <c r="B2575" s="2" t="s">
        <v>5303</v>
      </c>
      <c r="C2575" s="2" t="s">
        <v>1297</v>
      </c>
      <c r="D2575" s="2" t="s">
        <v>41</v>
      </c>
      <c r="E2575" s="2" t="s">
        <v>16</v>
      </c>
      <c r="F2575" s="2">
        <v>90</v>
      </c>
      <c r="G2575" s="2" t="s">
        <v>6751</v>
      </c>
      <c r="H2575" s="2" t="s">
        <v>2026</v>
      </c>
      <c r="I2575" s="2" t="s">
        <v>1078</v>
      </c>
      <c r="J2575" s="3">
        <v>44513</v>
      </c>
      <c r="K2575" s="5">
        <f>YEAR(OrganizedData[[#This Row],[Order Date]])</f>
        <v>2021</v>
      </c>
      <c r="L2575" s="7" t="str">
        <f>TEXT(OrganizedData[[#This Row],[Order Date]],"mmm")</f>
        <v>Nov</v>
      </c>
      <c r="M2575" s="2">
        <v>12</v>
      </c>
      <c r="N2575" s="2" t="s">
        <v>159</v>
      </c>
      <c r="O2575" s="2" t="str">
        <f>VLOOKUP(OrganizedData[[#This Row],[Product Code]],ProductData[[Code]:[Item]],2,FALSE)</f>
        <v>Ultrathing V3</v>
      </c>
      <c r="P2575" s="4">
        <f>OrganizedData[[#This Row],[Quantity]]*VLOOKUP(OrganizedData[[#This Row],[Product Code]],ProductData[],4,FALSE)</f>
        <v>288</v>
      </c>
      <c r="Q2575" s="6">
        <f>OrganizedData[[#This Row],[Total Items Ordered]]*VLOOKUP(OrganizedData[[#This Row],[Product Code]],ProductData[],3,FALSE)</f>
        <v>976.32</v>
      </c>
      <c r="R25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976.32</v>
      </c>
    </row>
    <row r="2576" spans="1:18" x14ac:dyDescent="0.3">
      <c r="A2576" s="2">
        <v>2569</v>
      </c>
      <c r="B2576" s="2" t="s">
        <v>1788</v>
      </c>
      <c r="C2576" s="2" t="s">
        <v>6752</v>
      </c>
      <c r="D2576" s="2" t="s">
        <v>28</v>
      </c>
      <c r="E2576" s="2" t="s">
        <v>29</v>
      </c>
      <c r="F2576" s="2">
        <v>90</v>
      </c>
      <c r="G2576" s="2" t="s">
        <v>6753</v>
      </c>
      <c r="H2576" s="2" t="s">
        <v>6754</v>
      </c>
      <c r="I2576" s="2" t="s">
        <v>32</v>
      </c>
      <c r="J2576" s="3">
        <v>44017</v>
      </c>
      <c r="K2576" s="5">
        <f>YEAR(OrganizedData[[#This Row],[Order Date]])</f>
        <v>2020</v>
      </c>
      <c r="L2576" s="7" t="str">
        <f>TEXT(OrganizedData[[#This Row],[Order Date]],"mmm")</f>
        <v>Jul</v>
      </c>
      <c r="M2576" s="2">
        <v>82</v>
      </c>
      <c r="N2576" s="2" t="s">
        <v>54</v>
      </c>
      <c r="O2576" s="2" t="str">
        <f>VLOOKUP(OrganizedData[[#This Row],[Product Code]],ProductData[[Code]:[Item]],2,FALSE)</f>
        <v>Megawidget S</v>
      </c>
      <c r="P2576" s="4">
        <f>OrganizedData[[#This Row],[Quantity]]*VLOOKUP(OrganizedData[[#This Row],[Product Code]],ProductData[],4,FALSE)</f>
        <v>1968</v>
      </c>
      <c r="Q2576" s="6">
        <f>OrganizedData[[#This Row],[Total Items Ordered]]*VLOOKUP(OrganizedData[[#This Row],[Product Code]],ProductData[],3,FALSE)</f>
        <v>1357.9199999999998</v>
      </c>
      <c r="R25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2577" spans="1:18" x14ac:dyDescent="0.3">
      <c r="A2577" s="2">
        <v>2570</v>
      </c>
      <c r="B2577" s="2" t="s">
        <v>6755</v>
      </c>
      <c r="C2577" s="2" t="s">
        <v>5090</v>
      </c>
      <c r="D2577" s="2" t="s">
        <v>51</v>
      </c>
      <c r="E2577" s="2" t="s">
        <v>16</v>
      </c>
      <c r="F2577" s="2">
        <v>90</v>
      </c>
      <c r="G2577" s="2" t="s">
        <v>6756</v>
      </c>
      <c r="H2577" s="2" t="s">
        <v>655</v>
      </c>
      <c r="I2577" s="2" t="s">
        <v>32</v>
      </c>
      <c r="J2577" s="3">
        <v>44707</v>
      </c>
      <c r="K2577" s="5">
        <f>YEAR(OrganizedData[[#This Row],[Order Date]])</f>
        <v>2022</v>
      </c>
      <c r="L2577" s="7" t="str">
        <f>TEXT(OrganizedData[[#This Row],[Order Date]],"mmm")</f>
        <v>May</v>
      </c>
      <c r="M2577" s="2">
        <v>47</v>
      </c>
      <c r="N2577" s="2" t="s">
        <v>45</v>
      </c>
      <c r="O2577" s="2" t="str">
        <f>VLOOKUP(OrganizedData[[#This Row],[Product Code]],ProductData[[Code]:[Item]],2,FALSE)</f>
        <v>Gigastuff</v>
      </c>
      <c r="P2577" s="4">
        <f>OrganizedData[[#This Row],[Quantity]]*VLOOKUP(OrganizedData[[#This Row],[Product Code]],ProductData[],4,FALSE)</f>
        <v>846</v>
      </c>
      <c r="Q2577" s="6">
        <f>OrganizedData[[#This Row],[Total Items Ordered]]*VLOOKUP(OrganizedData[[#This Row],[Product Code]],ProductData[],3,FALSE)</f>
        <v>1598.9399999999998</v>
      </c>
      <c r="R25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2578" spans="1:18" x14ac:dyDescent="0.3">
      <c r="A2578" s="2">
        <v>2571</v>
      </c>
      <c r="B2578" s="2" t="s">
        <v>1792</v>
      </c>
      <c r="C2578" s="2" t="s">
        <v>580</v>
      </c>
      <c r="D2578" s="2" t="s">
        <v>28</v>
      </c>
      <c r="E2578" s="2" t="s">
        <v>29</v>
      </c>
      <c r="F2578" s="2">
        <v>60</v>
      </c>
      <c r="G2578" s="2" t="s">
        <v>6757</v>
      </c>
      <c r="H2578" s="2" t="s">
        <v>5652</v>
      </c>
      <c r="I2578" s="2" t="s">
        <v>32</v>
      </c>
      <c r="J2578" s="3">
        <v>44894</v>
      </c>
      <c r="K2578" s="5">
        <f>YEAR(OrganizedData[[#This Row],[Order Date]])</f>
        <v>2022</v>
      </c>
      <c r="L2578" s="7" t="str">
        <f>TEXT(OrganizedData[[#This Row],[Order Date]],"mmm")</f>
        <v>Nov</v>
      </c>
      <c r="M2578" s="2">
        <v>91</v>
      </c>
      <c r="N2578" s="2" t="s">
        <v>39</v>
      </c>
      <c r="O2578" s="2" t="str">
        <f>VLOOKUP(OrganizedData[[#This Row],[Product Code]],ProductData[[Code]:[Item]],2,FALSE)</f>
        <v>Ultrathing V1</v>
      </c>
      <c r="P2578" s="4">
        <f>OrganizedData[[#This Row],[Quantity]]*VLOOKUP(OrganizedData[[#This Row],[Product Code]],ProductData[],4,FALSE)</f>
        <v>1547</v>
      </c>
      <c r="Q2578" s="6">
        <f>OrganizedData[[#This Row],[Total Items Ordered]]*VLOOKUP(OrganizedData[[#This Row],[Product Code]],ProductData[],3,FALSE)</f>
        <v>2769.13</v>
      </c>
      <c r="R25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2630.6734999999999</v>
      </c>
    </row>
    <row r="2579" spans="1:18" x14ac:dyDescent="0.3">
      <c r="A2579" s="2">
        <v>2572</v>
      </c>
      <c r="B2579" s="2" t="s">
        <v>4599</v>
      </c>
      <c r="C2579" s="2" t="s">
        <v>3467</v>
      </c>
      <c r="D2579" s="2" t="s">
        <v>51</v>
      </c>
      <c r="E2579" s="2" t="s">
        <v>16</v>
      </c>
      <c r="F2579" s="2">
        <v>60</v>
      </c>
      <c r="G2579" s="2" t="s">
        <v>6758</v>
      </c>
      <c r="H2579" s="2" t="s">
        <v>868</v>
      </c>
      <c r="I2579" s="2" t="s">
        <v>32</v>
      </c>
      <c r="J2579" s="3">
        <v>44697</v>
      </c>
      <c r="K2579" s="5">
        <f>YEAR(OrganizedData[[#This Row],[Order Date]])</f>
        <v>2022</v>
      </c>
      <c r="L2579" s="7" t="str">
        <f>TEXT(OrganizedData[[#This Row],[Order Date]],"mmm")</f>
        <v>May</v>
      </c>
      <c r="M2579" s="2">
        <v>14</v>
      </c>
      <c r="N2579" s="2" t="s">
        <v>159</v>
      </c>
      <c r="O2579" s="2" t="str">
        <f>VLOOKUP(OrganizedData[[#This Row],[Product Code]],ProductData[[Code]:[Item]],2,FALSE)</f>
        <v>Ultrathing V3</v>
      </c>
      <c r="P2579" s="4">
        <f>OrganizedData[[#This Row],[Quantity]]*VLOOKUP(OrganizedData[[#This Row],[Product Code]],ProductData[],4,FALSE)</f>
        <v>336</v>
      </c>
      <c r="Q2579" s="6">
        <f>OrganizedData[[#This Row],[Total Items Ordered]]*VLOOKUP(OrganizedData[[#This Row],[Product Code]],ProductData[],3,FALSE)</f>
        <v>1139.04</v>
      </c>
      <c r="R25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1139.04</v>
      </c>
    </row>
    <row r="2580" spans="1:18" x14ac:dyDescent="0.3">
      <c r="A2580" s="2">
        <v>2573</v>
      </c>
      <c r="B2580" s="2" t="s">
        <v>6759</v>
      </c>
      <c r="C2580" s="2" t="s">
        <v>3171</v>
      </c>
      <c r="D2580" s="2" t="s">
        <v>51</v>
      </c>
      <c r="E2580" s="2" t="s">
        <v>16</v>
      </c>
      <c r="F2580" s="2">
        <v>30</v>
      </c>
      <c r="G2580" s="2" t="s">
        <v>6760</v>
      </c>
      <c r="H2580" s="2" t="s">
        <v>235</v>
      </c>
      <c r="I2580" s="2" t="s">
        <v>146</v>
      </c>
      <c r="J2580" s="3">
        <v>44910</v>
      </c>
      <c r="K2580" s="5">
        <f>YEAR(OrganizedData[[#This Row],[Order Date]])</f>
        <v>2022</v>
      </c>
      <c r="L2580" s="7" t="str">
        <f>TEXT(OrganizedData[[#This Row],[Order Date]],"mmm")</f>
        <v>Dec</v>
      </c>
      <c r="M2580" s="2">
        <v>85</v>
      </c>
      <c r="N2580" s="2" t="s">
        <v>159</v>
      </c>
      <c r="O2580" s="2" t="str">
        <f>VLOOKUP(OrganizedData[[#This Row],[Product Code]],ProductData[[Code]:[Item]],2,FALSE)</f>
        <v>Ultrathing V3</v>
      </c>
      <c r="P2580" s="4">
        <f>OrganizedData[[#This Row],[Quantity]]*VLOOKUP(OrganizedData[[#This Row],[Product Code]],ProductData[],4,FALSE)</f>
        <v>2040</v>
      </c>
      <c r="Q2580" s="6">
        <f>OrganizedData[[#This Row],[Total Items Ordered]]*VLOOKUP(OrganizedData[[#This Row],[Product Code]],ProductData[],3,FALSE)</f>
        <v>6915.6</v>
      </c>
      <c r="R25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2581" spans="1:18" x14ac:dyDescent="0.3">
      <c r="A2581" s="2">
        <v>2574</v>
      </c>
      <c r="B2581" s="2" t="s">
        <v>6761</v>
      </c>
      <c r="C2581" s="2" t="s">
        <v>6762</v>
      </c>
      <c r="D2581" s="2" t="s">
        <v>15</v>
      </c>
      <c r="E2581" s="2" t="s">
        <v>16</v>
      </c>
      <c r="F2581" s="2">
        <v>60</v>
      </c>
      <c r="G2581" s="2" t="s">
        <v>6760</v>
      </c>
      <c r="H2581" s="2" t="s">
        <v>5248</v>
      </c>
      <c r="I2581" s="2" t="s">
        <v>32</v>
      </c>
      <c r="J2581" s="3">
        <v>44286</v>
      </c>
      <c r="K2581" s="5">
        <f>YEAR(OrganizedData[[#This Row],[Order Date]])</f>
        <v>2021</v>
      </c>
      <c r="L2581" s="7" t="str">
        <f>TEXT(OrganizedData[[#This Row],[Order Date]],"mmm")</f>
        <v>Mar</v>
      </c>
      <c r="M2581" s="2">
        <v>25</v>
      </c>
      <c r="N2581" s="2" t="s">
        <v>20</v>
      </c>
      <c r="O2581" s="2" t="str">
        <f>VLOOKUP(OrganizedData[[#This Row],[Product Code]],ProductData[[Code]:[Item]],2,FALSE)</f>
        <v>Hyperwotsit</v>
      </c>
      <c r="P2581" s="4">
        <f>OrganizedData[[#This Row],[Quantity]]*VLOOKUP(OrganizedData[[#This Row],[Product Code]],ProductData[],4,FALSE)</f>
        <v>500</v>
      </c>
      <c r="Q2581" s="6">
        <f>OrganizedData[[#This Row],[Total Items Ordered]]*VLOOKUP(OrganizedData[[#This Row],[Product Code]],ProductData[],3,FALSE)</f>
        <v>1004.9999999999999</v>
      </c>
      <c r="R25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2582" spans="1:18" x14ac:dyDescent="0.3">
      <c r="A2582" s="2">
        <v>2575</v>
      </c>
      <c r="B2582" s="2" t="s">
        <v>5954</v>
      </c>
      <c r="C2582" s="2" t="s">
        <v>6635</v>
      </c>
      <c r="D2582" s="2" t="s">
        <v>28</v>
      </c>
      <c r="E2582" s="2" t="s">
        <v>29</v>
      </c>
      <c r="F2582" s="2">
        <v>90</v>
      </c>
      <c r="G2582" s="2" t="s">
        <v>6763</v>
      </c>
      <c r="H2582" s="2" t="s">
        <v>6249</v>
      </c>
      <c r="I2582" s="2" t="s">
        <v>38</v>
      </c>
      <c r="J2582" s="3">
        <v>44237</v>
      </c>
      <c r="K2582" s="5">
        <f>YEAR(OrganizedData[[#This Row],[Order Date]])</f>
        <v>2021</v>
      </c>
      <c r="L2582" s="7" t="str">
        <f>TEXT(OrganizedData[[#This Row],[Order Date]],"mmm")</f>
        <v>Feb</v>
      </c>
      <c r="M2582" s="2">
        <v>90</v>
      </c>
      <c r="N2582" s="2" t="s">
        <v>80</v>
      </c>
      <c r="O2582" s="2" t="str">
        <f>VLOOKUP(OrganizedData[[#This Row],[Product Code]],ProductData[[Code]:[Item]],2,FALSE)</f>
        <v>Ultrathing V2</v>
      </c>
      <c r="P2582" s="4">
        <f>OrganizedData[[#This Row],[Quantity]]*VLOOKUP(OrganizedData[[#This Row],[Product Code]],ProductData[],4,FALSE)</f>
        <v>1800</v>
      </c>
      <c r="Q2582" s="6">
        <f>OrganizedData[[#This Row],[Total Items Ordered]]*VLOOKUP(OrganizedData[[#This Row],[Product Code]],ProductData[],3,FALSE)</f>
        <v>5310</v>
      </c>
      <c r="R25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5044.5</v>
      </c>
    </row>
    <row r="2583" spans="1:18" x14ac:dyDescent="0.3">
      <c r="A2583" s="2">
        <v>2576</v>
      </c>
      <c r="B2583" s="2" t="s">
        <v>6764</v>
      </c>
      <c r="C2583" s="2" t="s">
        <v>3253</v>
      </c>
      <c r="D2583" s="2" t="s">
        <v>28</v>
      </c>
      <c r="E2583" s="2" t="s">
        <v>29</v>
      </c>
      <c r="F2583" s="2">
        <v>30</v>
      </c>
      <c r="G2583" s="2" t="s">
        <v>6765</v>
      </c>
      <c r="H2583" s="2" t="s">
        <v>221</v>
      </c>
      <c r="I2583" s="2" t="s">
        <v>32</v>
      </c>
      <c r="J2583" s="3">
        <v>44403</v>
      </c>
      <c r="K2583" s="5">
        <f>YEAR(OrganizedData[[#This Row],[Order Date]])</f>
        <v>2021</v>
      </c>
      <c r="L2583" s="7" t="str">
        <f>TEXT(OrganizedData[[#This Row],[Order Date]],"mmm")</f>
        <v>Jul</v>
      </c>
      <c r="M2583" s="2">
        <v>38</v>
      </c>
      <c r="N2583" s="2" t="s">
        <v>33</v>
      </c>
      <c r="O2583" s="2" t="str">
        <f>VLOOKUP(OrganizedData[[#This Row],[Product Code]],ProductData[[Code]:[Item]],2,FALSE)</f>
        <v>Megawidget L</v>
      </c>
      <c r="P2583" s="4">
        <f>OrganizedData[[#This Row],[Quantity]]*VLOOKUP(OrganizedData[[#This Row],[Product Code]],ProductData[],4,FALSE)</f>
        <v>912</v>
      </c>
      <c r="Q2583" s="6">
        <f>OrganizedData[[#This Row],[Total Items Ordered]]*VLOOKUP(OrganizedData[[#This Row],[Product Code]],ProductData[],3,FALSE)</f>
        <v>1632.48</v>
      </c>
      <c r="R25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2584" spans="1:18" x14ac:dyDescent="0.3">
      <c r="A2584" s="2">
        <v>2577</v>
      </c>
      <c r="B2584" s="2" t="s">
        <v>2556</v>
      </c>
      <c r="C2584" s="2" t="s">
        <v>540</v>
      </c>
      <c r="D2584" s="2" t="s">
        <v>28</v>
      </c>
      <c r="E2584" s="2" t="s">
        <v>29</v>
      </c>
      <c r="F2584" s="2">
        <v>30</v>
      </c>
      <c r="G2584" s="2" t="s">
        <v>6766</v>
      </c>
      <c r="H2584" s="2" t="s">
        <v>1621</v>
      </c>
      <c r="I2584" s="2" t="s">
        <v>146</v>
      </c>
      <c r="J2584" s="3">
        <v>44170</v>
      </c>
      <c r="K2584" s="5">
        <f>YEAR(OrganizedData[[#This Row],[Order Date]])</f>
        <v>2020</v>
      </c>
      <c r="L2584" s="7" t="str">
        <f>TEXT(OrganizedData[[#This Row],[Order Date]],"mmm")</f>
        <v>Dec</v>
      </c>
      <c r="M2584" s="2">
        <v>31</v>
      </c>
      <c r="N2584" s="2" t="s">
        <v>39</v>
      </c>
      <c r="O2584" s="2" t="str">
        <f>VLOOKUP(OrganizedData[[#This Row],[Product Code]],ProductData[[Code]:[Item]],2,FALSE)</f>
        <v>Ultrathing V1</v>
      </c>
      <c r="P2584" s="4">
        <f>OrganizedData[[#This Row],[Quantity]]*VLOOKUP(OrganizedData[[#This Row],[Product Code]],ProductData[],4,FALSE)</f>
        <v>527</v>
      </c>
      <c r="Q2584" s="6">
        <f>OrganizedData[[#This Row],[Total Items Ordered]]*VLOOKUP(OrganizedData[[#This Row],[Product Code]],ProductData[],3,FALSE)</f>
        <v>943.33</v>
      </c>
      <c r="R25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2585" spans="1:18" x14ac:dyDescent="0.3">
      <c r="A2585" s="2">
        <v>2578</v>
      </c>
      <c r="B2585" s="2" t="s">
        <v>5400</v>
      </c>
      <c r="C2585" s="2" t="s">
        <v>1237</v>
      </c>
      <c r="D2585" s="2" t="s">
        <v>15</v>
      </c>
      <c r="E2585" s="2" t="s">
        <v>16</v>
      </c>
      <c r="F2585" s="2">
        <v>30</v>
      </c>
      <c r="G2585" s="2" t="s">
        <v>6767</v>
      </c>
      <c r="H2585" s="2" t="s">
        <v>4585</v>
      </c>
      <c r="I2585" s="2" t="s">
        <v>25</v>
      </c>
      <c r="J2585" s="3">
        <v>44394</v>
      </c>
      <c r="K2585" s="5">
        <f>YEAR(OrganizedData[[#This Row],[Order Date]])</f>
        <v>2021</v>
      </c>
      <c r="L2585" s="7" t="str">
        <f>TEXT(OrganizedData[[#This Row],[Order Date]],"mmm")</f>
        <v>Jul</v>
      </c>
      <c r="M2585" s="2">
        <v>19</v>
      </c>
      <c r="N2585" s="2" t="s">
        <v>54</v>
      </c>
      <c r="O2585" s="2" t="str">
        <f>VLOOKUP(OrganizedData[[#This Row],[Product Code]],ProductData[[Code]:[Item]],2,FALSE)</f>
        <v>Megawidget S</v>
      </c>
      <c r="P2585" s="4">
        <f>OrganizedData[[#This Row],[Quantity]]*VLOOKUP(OrganizedData[[#This Row],[Product Code]],ProductData[],4,FALSE)</f>
        <v>456</v>
      </c>
      <c r="Q2585" s="6">
        <f>OrganizedData[[#This Row],[Total Items Ordered]]*VLOOKUP(OrganizedData[[#This Row],[Product Code]],ProductData[],3,FALSE)</f>
        <v>314.64</v>
      </c>
      <c r="R25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314.64</v>
      </c>
    </row>
    <row r="2586" spans="1:18" x14ac:dyDescent="0.3">
      <c r="A2586" s="2">
        <v>2579</v>
      </c>
      <c r="B2586" s="2" t="s">
        <v>1572</v>
      </c>
      <c r="C2586" s="2" t="s">
        <v>267</v>
      </c>
      <c r="D2586" s="2" t="s">
        <v>28</v>
      </c>
      <c r="E2586" s="2" t="s">
        <v>29</v>
      </c>
      <c r="F2586" s="2">
        <v>30</v>
      </c>
      <c r="G2586" s="2" t="s">
        <v>6768</v>
      </c>
      <c r="H2586" s="2" t="s">
        <v>5778</v>
      </c>
      <c r="I2586" s="2" t="s">
        <v>1311</v>
      </c>
      <c r="J2586" s="3">
        <v>44508</v>
      </c>
      <c r="K2586" s="5">
        <f>YEAR(OrganizedData[[#This Row],[Order Date]])</f>
        <v>2021</v>
      </c>
      <c r="L2586" s="7" t="str">
        <f>TEXT(OrganizedData[[#This Row],[Order Date]],"mmm")</f>
        <v>Nov</v>
      </c>
      <c r="M2586" s="2">
        <v>16</v>
      </c>
      <c r="N2586" s="2" t="s">
        <v>39</v>
      </c>
      <c r="O2586" s="2" t="str">
        <f>VLOOKUP(OrganizedData[[#This Row],[Product Code]],ProductData[[Code]:[Item]],2,FALSE)</f>
        <v>Ultrathing V1</v>
      </c>
      <c r="P2586" s="4">
        <f>OrganizedData[[#This Row],[Quantity]]*VLOOKUP(OrganizedData[[#This Row],[Product Code]],ProductData[],4,FALSE)</f>
        <v>272</v>
      </c>
      <c r="Q2586" s="6">
        <f>OrganizedData[[#This Row],[Total Items Ordered]]*VLOOKUP(OrganizedData[[#This Row],[Product Code]],ProductData[],3,FALSE)</f>
        <v>486.88</v>
      </c>
      <c r="R25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486.88</v>
      </c>
    </row>
    <row r="2587" spans="1:18" x14ac:dyDescent="0.3">
      <c r="A2587" s="2">
        <v>2580</v>
      </c>
      <c r="B2587" s="2" t="s">
        <v>111</v>
      </c>
      <c r="C2587" s="2" t="s">
        <v>3965</v>
      </c>
      <c r="D2587" s="2" t="s">
        <v>28</v>
      </c>
      <c r="E2587" s="2" t="s">
        <v>29</v>
      </c>
      <c r="F2587" s="2">
        <v>30</v>
      </c>
      <c r="G2587" s="2" t="s">
        <v>6769</v>
      </c>
      <c r="H2587" s="2" t="s">
        <v>6770</v>
      </c>
      <c r="I2587" s="2" t="s">
        <v>124</v>
      </c>
      <c r="J2587" s="3">
        <v>44741</v>
      </c>
      <c r="K2587" s="5">
        <f>YEAR(OrganizedData[[#This Row],[Order Date]])</f>
        <v>2022</v>
      </c>
      <c r="L2587" s="7" t="str">
        <f>TEXT(OrganizedData[[#This Row],[Order Date]],"mmm")</f>
        <v>Jun</v>
      </c>
      <c r="M2587" s="2">
        <v>42</v>
      </c>
      <c r="N2587" s="2" t="s">
        <v>64</v>
      </c>
      <c r="O2587" s="2" t="str">
        <f>VLOOKUP(OrganizedData[[#This Row],[Product Code]],ProductData[[Code]:[Item]],2,FALSE)</f>
        <v>Ultrathing V4</v>
      </c>
      <c r="P2587" s="4">
        <f>OrganizedData[[#This Row],[Quantity]]*VLOOKUP(OrganizedData[[#This Row],[Product Code]],ProductData[],4,FALSE)</f>
        <v>1008</v>
      </c>
      <c r="Q2587" s="6">
        <f>OrganizedData[[#This Row],[Total Items Ordered]]*VLOOKUP(OrganizedData[[#This Row],[Product Code]],ProductData[],3,FALSE)</f>
        <v>4021.92</v>
      </c>
      <c r="R25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3901.2624000000001</v>
      </c>
    </row>
    <row r="2588" spans="1:18" x14ac:dyDescent="0.3">
      <c r="A2588" s="2">
        <v>2581</v>
      </c>
      <c r="B2588" s="2" t="s">
        <v>4742</v>
      </c>
      <c r="C2588" s="2" t="s">
        <v>1304</v>
      </c>
      <c r="D2588" s="2" t="s">
        <v>51</v>
      </c>
      <c r="E2588" s="2" t="s">
        <v>16</v>
      </c>
      <c r="F2588" s="2">
        <v>30</v>
      </c>
      <c r="G2588" s="2" t="s">
        <v>6771</v>
      </c>
      <c r="H2588" s="2" t="s">
        <v>6772</v>
      </c>
      <c r="I2588" s="2" t="s">
        <v>32</v>
      </c>
      <c r="J2588" s="3">
        <v>44217</v>
      </c>
      <c r="K2588" s="5">
        <f>YEAR(OrganizedData[[#This Row],[Order Date]])</f>
        <v>2021</v>
      </c>
      <c r="L2588" s="7" t="str">
        <f>TEXT(OrganizedData[[#This Row],[Order Date]],"mmm")</f>
        <v>Jan</v>
      </c>
      <c r="M2588" s="2">
        <v>41</v>
      </c>
      <c r="N2588" s="2" t="s">
        <v>70</v>
      </c>
      <c r="O2588" s="2" t="str">
        <f>VLOOKUP(OrganizedData[[#This Row],[Product Code]],ProductData[[Code]:[Item]],2,FALSE)</f>
        <v>Megawidget M</v>
      </c>
      <c r="P2588" s="4">
        <f>OrganizedData[[#This Row],[Quantity]]*VLOOKUP(OrganizedData[[#This Row],[Product Code]],ProductData[],4,FALSE)</f>
        <v>984</v>
      </c>
      <c r="Q2588" s="6">
        <f>OrganizedData[[#This Row],[Total Items Ordered]]*VLOOKUP(OrganizedData[[#This Row],[Product Code]],ProductData[],3,FALSE)</f>
        <v>1269.3600000000001</v>
      </c>
      <c r="R25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1231.2792000000002</v>
      </c>
    </row>
    <row r="2589" spans="1:18" x14ac:dyDescent="0.3">
      <c r="A2589" s="2">
        <v>2582</v>
      </c>
      <c r="B2589" s="2" t="s">
        <v>6773</v>
      </c>
      <c r="C2589" s="2" t="s">
        <v>2449</v>
      </c>
      <c r="D2589" s="2" t="s">
        <v>41</v>
      </c>
      <c r="E2589" s="2" t="s">
        <v>16</v>
      </c>
      <c r="F2589" s="2">
        <v>30</v>
      </c>
      <c r="G2589" s="2" t="s">
        <v>6774</v>
      </c>
      <c r="H2589" s="2" t="s">
        <v>6775</v>
      </c>
      <c r="I2589" s="2" t="s">
        <v>25</v>
      </c>
      <c r="J2589" s="3">
        <v>44577</v>
      </c>
      <c r="K2589" s="5">
        <f>YEAR(OrganizedData[[#This Row],[Order Date]])</f>
        <v>2022</v>
      </c>
      <c r="L2589" s="7" t="str">
        <f>TEXT(OrganizedData[[#This Row],[Order Date]],"mmm")</f>
        <v>Jan</v>
      </c>
      <c r="M2589" s="2">
        <v>54</v>
      </c>
      <c r="N2589" s="2" t="s">
        <v>80</v>
      </c>
      <c r="O2589" s="2" t="str">
        <f>VLOOKUP(OrganizedData[[#This Row],[Product Code]],ProductData[[Code]:[Item]],2,FALSE)</f>
        <v>Ultrathing V2</v>
      </c>
      <c r="P2589" s="4">
        <f>OrganizedData[[#This Row],[Quantity]]*VLOOKUP(OrganizedData[[#This Row],[Product Code]],ProductData[],4,FALSE)</f>
        <v>1080</v>
      </c>
      <c r="Q2589" s="6">
        <f>OrganizedData[[#This Row],[Total Items Ordered]]*VLOOKUP(OrganizedData[[#This Row],[Product Code]],ProductData[],3,FALSE)</f>
        <v>3186</v>
      </c>
      <c r="R25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3026.7</v>
      </c>
    </row>
    <row r="2590" spans="1:18" x14ac:dyDescent="0.3">
      <c r="A2590" s="2">
        <v>2583</v>
      </c>
      <c r="B2590" s="2" t="s">
        <v>4372</v>
      </c>
      <c r="C2590" s="2" t="s">
        <v>6776</v>
      </c>
      <c r="D2590" s="2" t="s">
        <v>28</v>
      </c>
      <c r="E2590" s="2" t="s">
        <v>29</v>
      </c>
      <c r="F2590" s="2">
        <v>90</v>
      </c>
      <c r="G2590" s="2" t="s">
        <v>6777</v>
      </c>
      <c r="H2590" s="2" t="s">
        <v>6778</v>
      </c>
      <c r="I2590" s="2" t="s">
        <v>38</v>
      </c>
      <c r="J2590" s="3">
        <v>44262</v>
      </c>
      <c r="K2590" s="5">
        <f>YEAR(OrganizedData[[#This Row],[Order Date]])</f>
        <v>2021</v>
      </c>
      <c r="L2590" s="7" t="str">
        <f>TEXT(OrganizedData[[#This Row],[Order Date]],"mmm")</f>
        <v>Mar</v>
      </c>
      <c r="M2590" s="2">
        <v>36</v>
      </c>
      <c r="N2590" s="2" t="s">
        <v>45</v>
      </c>
      <c r="O2590" s="2" t="str">
        <f>VLOOKUP(OrganizedData[[#This Row],[Product Code]],ProductData[[Code]:[Item]],2,FALSE)</f>
        <v>Gigastuff</v>
      </c>
      <c r="P2590" s="4">
        <f>OrganizedData[[#This Row],[Quantity]]*VLOOKUP(OrganizedData[[#This Row],[Product Code]],ProductData[],4,FALSE)</f>
        <v>648</v>
      </c>
      <c r="Q2590" s="6">
        <f>OrganizedData[[#This Row],[Total Items Ordered]]*VLOOKUP(OrganizedData[[#This Row],[Product Code]],ProductData[],3,FALSE)</f>
        <v>1224.72</v>
      </c>
      <c r="R25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1187.9784</v>
      </c>
    </row>
    <row r="2591" spans="1:18" x14ac:dyDescent="0.3">
      <c r="A2591" s="2">
        <v>2584</v>
      </c>
      <c r="B2591" s="2" t="s">
        <v>6779</v>
      </c>
      <c r="C2591" s="2" t="s">
        <v>6780</v>
      </c>
      <c r="D2591" s="2" t="s">
        <v>51</v>
      </c>
      <c r="E2591" s="2" t="s">
        <v>16</v>
      </c>
      <c r="F2591" s="2">
        <v>60</v>
      </c>
      <c r="G2591" s="2" t="s">
        <v>6781</v>
      </c>
      <c r="H2591" s="2" t="s">
        <v>6782</v>
      </c>
      <c r="I2591" s="2" t="s">
        <v>32</v>
      </c>
      <c r="J2591" s="3">
        <v>43839</v>
      </c>
      <c r="K2591" s="5">
        <f>YEAR(OrganizedData[[#This Row],[Order Date]])</f>
        <v>2020</v>
      </c>
      <c r="L2591" s="7" t="str">
        <f>TEXT(OrganizedData[[#This Row],[Order Date]],"mmm")</f>
        <v>Jan</v>
      </c>
      <c r="M2591" s="2">
        <v>15</v>
      </c>
      <c r="N2591" s="2" t="s">
        <v>20</v>
      </c>
      <c r="O2591" s="2" t="str">
        <f>VLOOKUP(OrganizedData[[#This Row],[Product Code]],ProductData[[Code]:[Item]],2,FALSE)</f>
        <v>Hyperwotsit</v>
      </c>
      <c r="P2591" s="4">
        <f>OrganizedData[[#This Row],[Quantity]]*VLOOKUP(OrganizedData[[#This Row],[Product Code]],ProductData[],4,FALSE)</f>
        <v>300</v>
      </c>
      <c r="Q2591" s="6">
        <f>OrganizedData[[#This Row],[Total Items Ordered]]*VLOOKUP(OrganizedData[[#This Row],[Product Code]],ProductData[],3,FALSE)</f>
        <v>602.99999999999989</v>
      </c>
      <c r="R25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602.99999999999989</v>
      </c>
    </row>
    <row r="2592" spans="1:18" x14ac:dyDescent="0.3">
      <c r="A2592" s="2">
        <v>2585</v>
      </c>
      <c r="B2592" s="2" t="s">
        <v>1622</v>
      </c>
      <c r="C2592" s="2" t="s">
        <v>6783</v>
      </c>
      <c r="D2592" s="2" t="s">
        <v>28</v>
      </c>
      <c r="E2592" s="2" t="s">
        <v>29</v>
      </c>
      <c r="F2592" s="2">
        <v>90</v>
      </c>
      <c r="G2592" s="2" t="s">
        <v>6784</v>
      </c>
      <c r="H2592" s="2" t="s">
        <v>2354</v>
      </c>
      <c r="I2592" s="2" t="s">
        <v>178</v>
      </c>
      <c r="J2592" s="3">
        <v>44919</v>
      </c>
      <c r="K2592" s="5">
        <f>YEAR(OrganizedData[[#This Row],[Order Date]])</f>
        <v>2022</v>
      </c>
      <c r="L2592" s="7" t="str">
        <f>TEXT(OrganizedData[[#This Row],[Order Date]],"mmm")</f>
        <v>Dec</v>
      </c>
      <c r="M2592" s="2">
        <v>104</v>
      </c>
      <c r="N2592" s="2" t="s">
        <v>54</v>
      </c>
      <c r="O2592" s="2" t="str">
        <f>VLOOKUP(OrganizedData[[#This Row],[Product Code]],ProductData[[Code]:[Item]],2,FALSE)</f>
        <v>Megawidget S</v>
      </c>
      <c r="P2592" s="4">
        <f>OrganizedData[[#This Row],[Quantity]]*VLOOKUP(OrganizedData[[#This Row],[Product Code]],ProductData[],4,FALSE)</f>
        <v>2496</v>
      </c>
      <c r="Q2592" s="6">
        <f>OrganizedData[[#This Row],[Total Items Ordered]]*VLOOKUP(OrganizedData[[#This Row],[Product Code]],ProductData[],3,FALSE)</f>
        <v>1722.2399999999998</v>
      </c>
      <c r="R25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1601.6831999999999</v>
      </c>
    </row>
    <row r="2593" spans="1:18" x14ac:dyDescent="0.3">
      <c r="A2593" s="2">
        <v>2586</v>
      </c>
      <c r="B2593" s="2" t="s">
        <v>4452</v>
      </c>
      <c r="C2593" s="2" t="s">
        <v>6785</v>
      </c>
      <c r="D2593" s="2" t="s">
        <v>28</v>
      </c>
      <c r="E2593" s="2" t="s">
        <v>29</v>
      </c>
      <c r="F2593" s="2">
        <v>30</v>
      </c>
      <c r="G2593" s="2" t="s">
        <v>6786</v>
      </c>
      <c r="H2593" s="2" t="s">
        <v>6787</v>
      </c>
      <c r="I2593" s="2" t="s">
        <v>1035</v>
      </c>
      <c r="J2593" s="3">
        <v>44605</v>
      </c>
      <c r="K2593" s="5">
        <f>YEAR(OrganizedData[[#This Row],[Order Date]])</f>
        <v>2022</v>
      </c>
      <c r="L2593" s="7" t="str">
        <f>TEXT(OrganizedData[[#This Row],[Order Date]],"mmm")</f>
        <v>Feb</v>
      </c>
      <c r="M2593" s="2">
        <v>102</v>
      </c>
      <c r="N2593" s="2" t="s">
        <v>39</v>
      </c>
      <c r="O2593" s="2" t="str">
        <f>VLOOKUP(OrganizedData[[#This Row],[Product Code]],ProductData[[Code]:[Item]],2,FALSE)</f>
        <v>Ultrathing V1</v>
      </c>
      <c r="P2593" s="4">
        <f>OrganizedData[[#This Row],[Quantity]]*VLOOKUP(OrganizedData[[#This Row],[Product Code]],ProductData[],4,FALSE)</f>
        <v>1734</v>
      </c>
      <c r="Q2593" s="6">
        <f>OrganizedData[[#This Row],[Total Items Ordered]]*VLOOKUP(OrganizedData[[#This Row],[Product Code]],ProductData[],3,FALSE)</f>
        <v>3103.86</v>
      </c>
      <c r="R25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2886.5898000000002</v>
      </c>
    </row>
    <row r="2594" spans="1:18" x14ac:dyDescent="0.3">
      <c r="A2594" s="2">
        <v>2587</v>
      </c>
      <c r="B2594" s="2" t="s">
        <v>6788</v>
      </c>
      <c r="C2594" s="2" t="s">
        <v>547</v>
      </c>
      <c r="D2594" s="2" t="s">
        <v>15</v>
      </c>
      <c r="E2594" s="2" t="s">
        <v>16</v>
      </c>
      <c r="F2594" s="2">
        <v>60</v>
      </c>
      <c r="G2594" s="2" t="s">
        <v>6786</v>
      </c>
      <c r="H2594" s="2" t="s">
        <v>4621</v>
      </c>
      <c r="I2594" s="2" t="s">
        <v>178</v>
      </c>
      <c r="J2594" s="3">
        <v>44149</v>
      </c>
      <c r="K2594" s="5">
        <f>YEAR(OrganizedData[[#This Row],[Order Date]])</f>
        <v>2020</v>
      </c>
      <c r="L2594" s="7" t="str">
        <f>TEXT(OrganizedData[[#This Row],[Order Date]],"mmm")</f>
        <v>Nov</v>
      </c>
      <c r="M2594" s="2">
        <v>25</v>
      </c>
      <c r="N2594" s="2" t="s">
        <v>39</v>
      </c>
      <c r="O2594" s="2" t="str">
        <f>VLOOKUP(OrganizedData[[#This Row],[Product Code]],ProductData[[Code]:[Item]],2,FALSE)</f>
        <v>Ultrathing V1</v>
      </c>
      <c r="P2594" s="4">
        <f>OrganizedData[[#This Row],[Quantity]]*VLOOKUP(OrganizedData[[#This Row],[Product Code]],ProductData[],4,FALSE)</f>
        <v>425</v>
      </c>
      <c r="Q2594" s="6">
        <f>OrganizedData[[#This Row],[Total Items Ordered]]*VLOOKUP(OrganizedData[[#This Row],[Product Code]],ProductData[],3,FALSE)</f>
        <v>760.75</v>
      </c>
      <c r="R25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737.92750000000001</v>
      </c>
    </row>
    <row r="2595" spans="1:18" x14ac:dyDescent="0.3">
      <c r="A2595" s="2">
        <v>2588</v>
      </c>
      <c r="B2595" s="2" t="s">
        <v>2898</v>
      </c>
      <c r="C2595" s="2" t="s">
        <v>6789</v>
      </c>
      <c r="D2595" s="2" t="s">
        <v>28</v>
      </c>
      <c r="E2595" s="2" t="s">
        <v>29</v>
      </c>
      <c r="F2595" s="2">
        <v>90</v>
      </c>
      <c r="G2595" s="2" t="s">
        <v>6786</v>
      </c>
      <c r="H2595" s="2" t="s">
        <v>1001</v>
      </c>
      <c r="I2595" s="2" t="s">
        <v>32</v>
      </c>
      <c r="J2595" s="3">
        <v>44358</v>
      </c>
      <c r="K2595" s="5">
        <f>YEAR(OrganizedData[[#This Row],[Order Date]])</f>
        <v>2021</v>
      </c>
      <c r="L2595" s="7" t="str">
        <f>TEXT(OrganizedData[[#This Row],[Order Date]],"mmm")</f>
        <v>Jun</v>
      </c>
      <c r="M2595" s="2">
        <v>18</v>
      </c>
      <c r="N2595" s="2" t="s">
        <v>45</v>
      </c>
      <c r="O2595" s="2" t="str">
        <f>VLOOKUP(OrganizedData[[#This Row],[Product Code]],ProductData[[Code]:[Item]],2,FALSE)</f>
        <v>Gigastuff</v>
      </c>
      <c r="P2595" s="4">
        <f>OrganizedData[[#This Row],[Quantity]]*VLOOKUP(OrganizedData[[#This Row],[Product Code]],ProductData[],4,FALSE)</f>
        <v>324</v>
      </c>
      <c r="Q2595" s="6">
        <f>OrganizedData[[#This Row],[Total Items Ordered]]*VLOOKUP(OrganizedData[[#This Row],[Product Code]],ProductData[],3,FALSE)</f>
        <v>612.36</v>
      </c>
      <c r="R25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612.36</v>
      </c>
    </row>
    <row r="2596" spans="1:18" x14ac:dyDescent="0.3">
      <c r="A2596" s="2">
        <v>2589</v>
      </c>
      <c r="B2596" s="2" t="s">
        <v>6790</v>
      </c>
      <c r="C2596" s="2" t="s">
        <v>3803</v>
      </c>
      <c r="D2596" s="2" t="s">
        <v>28</v>
      </c>
      <c r="E2596" s="2" t="s">
        <v>29</v>
      </c>
      <c r="F2596" s="2">
        <v>30</v>
      </c>
      <c r="G2596" s="2" t="s">
        <v>6791</v>
      </c>
      <c r="H2596" s="2" t="s">
        <v>3100</v>
      </c>
      <c r="I2596" s="2" t="s">
        <v>32</v>
      </c>
      <c r="J2596" s="3">
        <v>44654</v>
      </c>
      <c r="K2596" s="5">
        <f>YEAR(OrganizedData[[#This Row],[Order Date]])</f>
        <v>2022</v>
      </c>
      <c r="L2596" s="7" t="str">
        <f>TEXT(OrganizedData[[#This Row],[Order Date]],"mmm")</f>
        <v>Apr</v>
      </c>
      <c r="M2596" s="2">
        <v>3</v>
      </c>
      <c r="N2596" s="2" t="s">
        <v>33</v>
      </c>
      <c r="O2596" s="2" t="str">
        <f>VLOOKUP(OrganizedData[[#This Row],[Product Code]],ProductData[[Code]:[Item]],2,FALSE)</f>
        <v>Megawidget L</v>
      </c>
      <c r="P2596" s="4">
        <f>OrganizedData[[#This Row],[Quantity]]*VLOOKUP(OrganizedData[[#This Row],[Product Code]],ProductData[],4,FALSE)</f>
        <v>72</v>
      </c>
      <c r="Q2596" s="6">
        <f>OrganizedData[[#This Row],[Total Items Ordered]]*VLOOKUP(OrganizedData[[#This Row],[Product Code]],ProductData[],3,FALSE)</f>
        <v>128.88</v>
      </c>
      <c r="R25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128.88</v>
      </c>
    </row>
    <row r="2597" spans="1:18" x14ac:dyDescent="0.3">
      <c r="A2597" s="2">
        <v>2590</v>
      </c>
      <c r="B2597" s="2" t="s">
        <v>6792</v>
      </c>
      <c r="C2597" s="2" t="s">
        <v>6793</v>
      </c>
      <c r="D2597" s="2" t="s">
        <v>51</v>
      </c>
      <c r="E2597" s="2" t="s">
        <v>16</v>
      </c>
      <c r="F2597" s="2">
        <v>90</v>
      </c>
      <c r="G2597" s="2" t="s">
        <v>6794</v>
      </c>
      <c r="H2597" s="2" t="s">
        <v>6795</v>
      </c>
      <c r="I2597" s="2" t="s">
        <v>146</v>
      </c>
      <c r="J2597" s="3">
        <v>44449</v>
      </c>
      <c r="K2597" s="5">
        <f>YEAR(OrganizedData[[#This Row],[Order Date]])</f>
        <v>2021</v>
      </c>
      <c r="L2597" s="7" t="str">
        <f>TEXT(OrganizedData[[#This Row],[Order Date]],"mmm")</f>
        <v>Sep</v>
      </c>
      <c r="M2597" s="2">
        <v>35</v>
      </c>
      <c r="N2597" s="2" t="s">
        <v>45</v>
      </c>
      <c r="O2597" s="2" t="str">
        <f>VLOOKUP(OrganizedData[[#This Row],[Product Code]],ProductData[[Code]:[Item]],2,FALSE)</f>
        <v>Gigastuff</v>
      </c>
      <c r="P2597" s="4">
        <f>OrganizedData[[#This Row],[Quantity]]*VLOOKUP(OrganizedData[[#This Row],[Product Code]],ProductData[],4,FALSE)</f>
        <v>630</v>
      </c>
      <c r="Q2597" s="6">
        <f>OrganizedData[[#This Row],[Total Items Ordered]]*VLOOKUP(OrganizedData[[#This Row],[Product Code]],ProductData[],3,FALSE)</f>
        <v>1190.7</v>
      </c>
      <c r="R25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1154.979</v>
      </c>
    </row>
    <row r="2598" spans="1:18" x14ac:dyDescent="0.3">
      <c r="A2598" s="2">
        <v>2591</v>
      </c>
      <c r="B2598" s="2" t="s">
        <v>6796</v>
      </c>
      <c r="C2598" s="2" t="s">
        <v>4079</v>
      </c>
      <c r="D2598" s="2" t="s">
        <v>28</v>
      </c>
      <c r="E2598" s="2" t="s">
        <v>29</v>
      </c>
      <c r="F2598" s="2">
        <v>90</v>
      </c>
      <c r="G2598" s="2" t="s">
        <v>6797</v>
      </c>
      <c r="H2598" s="2" t="s">
        <v>3059</v>
      </c>
      <c r="I2598" s="2" t="s">
        <v>187</v>
      </c>
      <c r="J2598" s="3">
        <v>44630</v>
      </c>
      <c r="K2598" s="5">
        <f>YEAR(OrganizedData[[#This Row],[Order Date]])</f>
        <v>2022</v>
      </c>
      <c r="L2598" s="7" t="str">
        <f>TEXT(OrganizedData[[#This Row],[Order Date]],"mmm")</f>
        <v>Mar</v>
      </c>
      <c r="M2598" s="2">
        <v>86</v>
      </c>
      <c r="N2598" s="2" t="s">
        <v>33</v>
      </c>
      <c r="O2598" s="2" t="str">
        <f>VLOOKUP(OrganizedData[[#This Row],[Product Code]],ProductData[[Code]:[Item]],2,FALSE)</f>
        <v>Megawidget L</v>
      </c>
      <c r="P2598" s="4">
        <f>OrganizedData[[#This Row],[Quantity]]*VLOOKUP(OrganizedData[[#This Row],[Product Code]],ProductData[],4,FALSE)</f>
        <v>2064</v>
      </c>
      <c r="Q2598" s="6">
        <f>OrganizedData[[#This Row],[Total Items Ordered]]*VLOOKUP(OrganizedData[[#This Row],[Product Code]],ProductData[],3,FALSE)</f>
        <v>3694.56</v>
      </c>
      <c r="R25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3509.8319999999999</v>
      </c>
    </row>
    <row r="2599" spans="1:18" x14ac:dyDescent="0.3">
      <c r="A2599" s="2">
        <v>2592</v>
      </c>
      <c r="B2599" s="2" t="s">
        <v>1002</v>
      </c>
      <c r="C2599" s="2" t="s">
        <v>6798</v>
      </c>
      <c r="D2599" s="2" t="s">
        <v>28</v>
      </c>
      <c r="E2599" s="2" t="s">
        <v>29</v>
      </c>
      <c r="F2599" s="2">
        <v>60</v>
      </c>
      <c r="G2599" s="2" t="s">
        <v>6799</v>
      </c>
      <c r="H2599" s="2" t="s">
        <v>3248</v>
      </c>
      <c r="I2599" s="2" t="s">
        <v>38</v>
      </c>
      <c r="J2599" s="3">
        <v>44027</v>
      </c>
      <c r="K2599" s="5">
        <f>YEAR(OrganizedData[[#This Row],[Order Date]])</f>
        <v>2020</v>
      </c>
      <c r="L2599" s="7" t="str">
        <f>TEXT(OrganizedData[[#This Row],[Order Date]],"mmm")</f>
        <v>Jul</v>
      </c>
      <c r="M2599" s="2">
        <v>41</v>
      </c>
      <c r="N2599" s="2" t="s">
        <v>45</v>
      </c>
      <c r="O2599" s="2" t="str">
        <f>VLOOKUP(OrganizedData[[#This Row],[Product Code]],ProductData[[Code]:[Item]],2,FALSE)</f>
        <v>Gigastuff</v>
      </c>
      <c r="P2599" s="4">
        <f>OrganizedData[[#This Row],[Quantity]]*VLOOKUP(OrganizedData[[#This Row],[Product Code]],ProductData[],4,FALSE)</f>
        <v>738</v>
      </c>
      <c r="Q2599" s="6">
        <f>OrganizedData[[#This Row],[Total Items Ordered]]*VLOOKUP(OrganizedData[[#This Row],[Product Code]],ProductData[],3,FALSE)</f>
        <v>1394.82</v>
      </c>
      <c r="R25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2600" spans="1:18" x14ac:dyDescent="0.3">
      <c r="A2600" s="2">
        <v>2593</v>
      </c>
      <c r="B2600" s="2" t="s">
        <v>6800</v>
      </c>
      <c r="C2600" s="2" t="s">
        <v>3647</v>
      </c>
      <c r="D2600" s="2" t="s">
        <v>15</v>
      </c>
      <c r="E2600" s="2" t="s">
        <v>16</v>
      </c>
      <c r="F2600" s="2">
        <v>90</v>
      </c>
      <c r="G2600" s="2" t="s">
        <v>6801</v>
      </c>
      <c r="H2600" s="2" t="s">
        <v>802</v>
      </c>
      <c r="I2600" s="2" t="s">
        <v>294</v>
      </c>
      <c r="J2600" s="3">
        <v>44261</v>
      </c>
      <c r="K2600" s="5">
        <f>YEAR(OrganizedData[[#This Row],[Order Date]])</f>
        <v>2021</v>
      </c>
      <c r="L2600" s="7" t="str">
        <f>TEXT(OrganizedData[[#This Row],[Order Date]],"mmm")</f>
        <v>Mar</v>
      </c>
      <c r="M2600" s="2">
        <v>3</v>
      </c>
      <c r="N2600" s="2" t="s">
        <v>159</v>
      </c>
      <c r="O2600" s="2" t="str">
        <f>VLOOKUP(OrganizedData[[#This Row],[Product Code]],ProductData[[Code]:[Item]],2,FALSE)</f>
        <v>Ultrathing V3</v>
      </c>
      <c r="P2600" s="4">
        <f>OrganizedData[[#This Row],[Quantity]]*VLOOKUP(OrganizedData[[#This Row],[Product Code]],ProductData[],4,FALSE)</f>
        <v>72</v>
      </c>
      <c r="Q2600" s="6">
        <f>OrganizedData[[#This Row],[Total Items Ordered]]*VLOOKUP(OrganizedData[[#This Row],[Product Code]],ProductData[],3,FALSE)</f>
        <v>244.08</v>
      </c>
      <c r="R26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2601" spans="1:18" x14ac:dyDescent="0.3">
      <c r="A2601" s="2">
        <v>2594</v>
      </c>
      <c r="B2601" s="2" t="s">
        <v>735</v>
      </c>
      <c r="C2601" s="2" t="s">
        <v>6802</v>
      </c>
      <c r="D2601" s="2" t="s">
        <v>28</v>
      </c>
      <c r="E2601" s="2" t="s">
        <v>29</v>
      </c>
      <c r="F2601" s="2">
        <v>30</v>
      </c>
      <c r="G2601" s="2" t="s">
        <v>6803</v>
      </c>
      <c r="H2601" s="2" t="s">
        <v>5427</v>
      </c>
      <c r="I2601" s="2" t="s">
        <v>32</v>
      </c>
      <c r="J2601" s="3">
        <v>44155</v>
      </c>
      <c r="K2601" s="5">
        <f>YEAR(OrganizedData[[#This Row],[Order Date]])</f>
        <v>2020</v>
      </c>
      <c r="L2601" s="7" t="str">
        <f>TEXT(OrganizedData[[#This Row],[Order Date]],"mmm")</f>
        <v>Nov</v>
      </c>
      <c r="M2601" s="2">
        <v>3</v>
      </c>
      <c r="N2601" s="2" t="s">
        <v>39</v>
      </c>
      <c r="O2601" s="2" t="str">
        <f>VLOOKUP(OrganizedData[[#This Row],[Product Code]],ProductData[[Code]:[Item]],2,FALSE)</f>
        <v>Ultrathing V1</v>
      </c>
      <c r="P2601" s="4">
        <f>OrganizedData[[#This Row],[Quantity]]*VLOOKUP(OrganizedData[[#This Row],[Product Code]],ProductData[],4,FALSE)</f>
        <v>51</v>
      </c>
      <c r="Q2601" s="6">
        <f>OrganizedData[[#This Row],[Total Items Ordered]]*VLOOKUP(OrganizedData[[#This Row],[Product Code]],ProductData[],3,FALSE)</f>
        <v>91.29</v>
      </c>
      <c r="R26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91.29</v>
      </c>
    </row>
    <row r="2602" spans="1:18" x14ac:dyDescent="0.3">
      <c r="A2602" s="2">
        <v>2595</v>
      </c>
      <c r="B2602" s="2" t="s">
        <v>1856</v>
      </c>
      <c r="C2602" s="2" t="s">
        <v>6804</v>
      </c>
      <c r="D2602" s="2" t="s">
        <v>51</v>
      </c>
      <c r="E2602" s="2" t="s">
        <v>16</v>
      </c>
      <c r="F2602" s="2">
        <v>30</v>
      </c>
      <c r="G2602" s="2" t="s">
        <v>6805</v>
      </c>
      <c r="H2602" s="2" t="s">
        <v>810</v>
      </c>
      <c r="I2602" s="2" t="s">
        <v>32</v>
      </c>
      <c r="J2602" s="3">
        <v>44470</v>
      </c>
      <c r="K2602" s="5">
        <f>YEAR(OrganizedData[[#This Row],[Order Date]])</f>
        <v>2021</v>
      </c>
      <c r="L2602" s="7" t="str">
        <f>TEXT(OrganizedData[[#This Row],[Order Date]],"mmm")</f>
        <v>Oct</v>
      </c>
      <c r="M2602" s="2">
        <v>81</v>
      </c>
      <c r="N2602" s="2" t="s">
        <v>80</v>
      </c>
      <c r="O2602" s="2" t="str">
        <f>VLOOKUP(OrganizedData[[#This Row],[Product Code]],ProductData[[Code]:[Item]],2,FALSE)</f>
        <v>Ultrathing V2</v>
      </c>
      <c r="P2602" s="4">
        <f>OrganizedData[[#This Row],[Quantity]]*VLOOKUP(OrganizedData[[#This Row],[Product Code]],ProductData[],4,FALSE)</f>
        <v>1620</v>
      </c>
      <c r="Q2602" s="6">
        <f>OrganizedData[[#This Row],[Total Items Ordered]]*VLOOKUP(OrganizedData[[#This Row],[Product Code]],ProductData[],3,FALSE)</f>
        <v>4779</v>
      </c>
      <c r="R26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4540.05</v>
      </c>
    </row>
    <row r="2603" spans="1:18" x14ac:dyDescent="0.3">
      <c r="A2603" s="2">
        <v>2596</v>
      </c>
      <c r="B2603" s="2" t="s">
        <v>600</v>
      </c>
      <c r="C2603" s="2" t="s">
        <v>468</v>
      </c>
      <c r="D2603" s="2" t="s">
        <v>15</v>
      </c>
      <c r="E2603" s="2" t="s">
        <v>16</v>
      </c>
      <c r="F2603" s="2">
        <v>30</v>
      </c>
      <c r="G2603" s="2" t="s">
        <v>6806</v>
      </c>
      <c r="H2603" s="2" t="s">
        <v>685</v>
      </c>
      <c r="I2603" s="2" t="s">
        <v>686</v>
      </c>
      <c r="J2603" s="3">
        <v>44774</v>
      </c>
      <c r="K2603" s="5">
        <f>YEAR(OrganizedData[[#This Row],[Order Date]])</f>
        <v>2022</v>
      </c>
      <c r="L2603" s="7" t="str">
        <f>TEXT(OrganizedData[[#This Row],[Order Date]],"mmm")</f>
        <v>Aug</v>
      </c>
      <c r="M2603" s="2">
        <v>98</v>
      </c>
      <c r="N2603" s="2" t="s">
        <v>101</v>
      </c>
      <c r="O2603" s="2" t="str">
        <f>VLOOKUP(OrganizedData[[#This Row],[Product Code]],ProductData[[Code]:[Item]],2,FALSE)</f>
        <v>Superwossname</v>
      </c>
      <c r="P2603" s="4">
        <f>OrganizedData[[#This Row],[Quantity]]*VLOOKUP(OrganizedData[[#This Row],[Product Code]],ProductData[],4,FALSE)</f>
        <v>1960</v>
      </c>
      <c r="Q2603" s="6">
        <f>OrganizedData[[#This Row],[Total Items Ordered]]*VLOOKUP(OrganizedData[[#This Row],[Product Code]],ProductData[],3,FALSE)</f>
        <v>6840.4000000000005</v>
      </c>
      <c r="R26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6498.38</v>
      </c>
    </row>
    <row r="2604" spans="1:18" x14ac:dyDescent="0.3">
      <c r="A2604" s="2">
        <v>2597</v>
      </c>
      <c r="B2604" s="2" t="s">
        <v>6807</v>
      </c>
      <c r="C2604" s="2" t="s">
        <v>547</v>
      </c>
      <c r="D2604" s="2" t="s">
        <v>15</v>
      </c>
      <c r="E2604" s="2" t="s">
        <v>16</v>
      </c>
      <c r="F2604" s="2">
        <v>30</v>
      </c>
      <c r="G2604" s="2" t="s">
        <v>6808</v>
      </c>
      <c r="H2604" s="2" t="s">
        <v>3175</v>
      </c>
      <c r="I2604" s="2" t="s">
        <v>1233</v>
      </c>
      <c r="J2604" s="3">
        <v>44543</v>
      </c>
      <c r="K2604" s="5">
        <f>YEAR(OrganizedData[[#This Row],[Order Date]])</f>
        <v>2021</v>
      </c>
      <c r="L2604" s="7" t="str">
        <f>TEXT(OrganizedData[[#This Row],[Order Date]],"mmm")</f>
        <v>Dec</v>
      </c>
      <c r="M2604" s="2">
        <v>67</v>
      </c>
      <c r="N2604" s="2" t="s">
        <v>159</v>
      </c>
      <c r="O2604" s="2" t="str">
        <f>VLOOKUP(OrganizedData[[#This Row],[Product Code]],ProductData[[Code]:[Item]],2,FALSE)</f>
        <v>Ultrathing V3</v>
      </c>
      <c r="P2604" s="4">
        <f>OrganizedData[[#This Row],[Quantity]]*VLOOKUP(OrganizedData[[#This Row],[Product Code]],ProductData[],4,FALSE)</f>
        <v>1608</v>
      </c>
      <c r="Q2604" s="6">
        <f>OrganizedData[[#This Row],[Total Items Ordered]]*VLOOKUP(OrganizedData[[#This Row],[Product Code]],ProductData[],3,FALSE)</f>
        <v>5451.12</v>
      </c>
      <c r="R26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5178.5639999999994</v>
      </c>
    </row>
    <row r="2605" spans="1:18" x14ac:dyDescent="0.3">
      <c r="A2605" s="2">
        <v>2598</v>
      </c>
      <c r="B2605" s="2" t="s">
        <v>6809</v>
      </c>
      <c r="C2605" s="2" t="s">
        <v>6810</v>
      </c>
      <c r="D2605" s="2" t="s">
        <v>51</v>
      </c>
      <c r="E2605" s="2" t="s">
        <v>16</v>
      </c>
      <c r="F2605" s="2">
        <v>90</v>
      </c>
      <c r="G2605" s="2" t="s">
        <v>6811</v>
      </c>
      <c r="H2605" s="2" t="s">
        <v>4020</v>
      </c>
      <c r="I2605" s="2" t="s">
        <v>173</v>
      </c>
      <c r="J2605" s="3">
        <v>44914</v>
      </c>
      <c r="K2605" s="5">
        <f>YEAR(OrganizedData[[#This Row],[Order Date]])</f>
        <v>2022</v>
      </c>
      <c r="L2605" s="7" t="str">
        <f>TEXT(OrganizedData[[#This Row],[Order Date]],"mmm")</f>
        <v>Dec</v>
      </c>
      <c r="M2605" s="2">
        <v>7</v>
      </c>
      <c r="N2605" s="2" t="s">
        <v>64</v>
      </c>
      <c r="O2605" s="2" t="str">
        <f>VLOOKUP(OrganizedData[[#This Row],[Product Code]],ProductData[[Code]:[Item]],2,FALSE)</f>
        <v>Ultrathing V4</v>
      </c>
      <c r="P2605" s="4">
        <f>OrganizedData[[#This Row],[Quantity]]*VLOOKUP(OrganizedData[[#This Row],[Product Code]],ProductData[],4,FALSE)</f>
        <v>168</v>
      </c>
      <c r="Q2605" s="6">
        <f>OrganizedData[[#This Row],[Total Items Ordered]]*VLOOKUP(OrganizedData[[#This Row],[Product Code]],ProductData[],3,FALSE)</f>
        <v>670.32</v>
      </c>
      <c r="R26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670.32</v>
      </c>
    </row>
    <row r="2606" spans="1:18" x14ac:dyDescent="0.3">
      <c r="A2606" s="2">
        <v>2599</v>
      </c>
      <c r="B2606" s="2" t="s">
        <v>2647</v>
      </c>
      <c r="C2606" s="2" t="s">
        <v>6812</v>
      </c>
      <c r="D2606" s="2" t="s">
        <v>51</v>
      </c>
      <c r="E2606" s="2" t="s">
        <v>16</v>
      </c>
      <c r="F2606" s="2">
        <v>30</v>
      </c>
      <c r="G2606" s="2" t="s">
        <v>6813</v>
      </c>
      <c r="H2606" s="2" t="s">
        <v>4853</v>
      </c>
      <c r="I2606" s="2" t="s">
        <v>178</v>
      </c>
      <c r="J2606" s="3">
        <v>44214</v>
      </c>
      <c r="K2606" s="5">
        <f>YEAR(OrganizedData[[#This Row],[Order Date]])</f>
        <v>2021</v>
      </c>
      <c r="L2606" s="7" t="str">
        <f>TEXT(OrganizedData[[#This Row],[Order Date]],"mmm")</f>
        <v>Jan</v>
      </c>
      <c r="M2606" s="2">
        <v>12</v>
      </c>
      <c r="N2606" s="2" t="s">
        <v>64</v>
      </c>
      <c r="O2606" s="2" t="str">
        <f>VLOOKUP(OrganizedData[[#This Row],[Product Code]],ProductData[[Code]:[Item]],2,FALSE)</f>
        <v>Ultrathing V4</v>
      </c>
      <c r="P2606" s="4">
        <f>OrganizedData[[#This Row],[Quantity]]*VLOOKUP(OrganizedData[[#This Row],[Product Code]],ProductData[],4,FALSE)</f>
        <v>288</v>
      </c>
      <c r="Q2606" s="6">
        <f>OrganizedData[[#This Row],[Total Items Ordered]]*VLOOKUP(OrganizedData[[#This Row],[Product Code]],ProductData[],3,FALSE)</f>
        <v>1149.1200000000001</v>
      </c>
      <c r="R26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1149.1200000000001</v>
      </c>
    </row>
    <row r="2607" spans="1:18" x14ac:dyDescent="0.3">
      <c r="A2607" s="2">
        <v>2600</v>
      </c>
      <c r="B2607" s="2" t="s">
        <v>441</v>
      </c>
      <c r="C2607" s="2" t="s">
        <v>6814</v>
      </c>
      <c r="D2607" s="2" t="s">
        <v>28</v>
      </c>
      <c r="E2607" s="2" t="s">
        <v>29</v>
      </c>
      <c r="F2607" s="2">
        <v>60</v>
      </c>
      <c r="G2607" s="2" t="s">
        <v>6815</v>
      </c>
      <c r="H2607" s="2" t="s">
        <v>2045</v>
      </c>
      <c r="I2607" s="2" t="s">
        <v>38</v>
      </c>
      <c r="J2607" s="3">
        <v>44235</v>
      </c>
      <c r="K2607" s="5">
        <f>YEAR(OrganizedData[[#This Row],[Order Date]])</f>
        <v>2021</v>
      </c>
      <c r="L2607" s="7" t="str">
        <f>TEXT(OrganizedData[[#This Row],[Order Date]],"mmm")</f>
        <v>Feb</v>
      </c>
      <c r="M2607" s="2">
        <v>64</v>
      </c>
      <c r="N2607" s="2" t="s">
        <v>54</v>
      </c>
      <c r="O2607" s="2" t="str">
        <f>VLOOKUP(OrganizedData[[#This Row],[Product Code]],ProductData[[Code]:[Item]],2,FALSE)</f>
        <v>Megawidget S</v>
      </c>
      <c r="P2607" s="4">
        <f>OrganizedData[[#This Row],[Quantity]]*VLOOKUP(OrganizedData[[#This Row],[Product Code]],ProductData[],4,FALSE)</f>
        <v>1536</v>
      </c>
      <c r="Q2607" s="6">
        <f>OrganizedData[[#This Row],[Total Items Ordered]]*VLOOKUP(OrganizedData[[#This Row],[Product Code]],ProductData[],3,FALSE)</f>
        <v>1059.8399999999999</v>
      </c>
      <c r="R26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1006.8479999999998</v>
      </c>
    </row>
    <row r="2608" spans="1:18" x14ac:dyDescent="0.3">
      <c r="A2608" s="2">
        <v>2601</v>
      </c>
      <c r="B2608" s="2" t="s">
        <v>5125</v>
      </c>
      <c r="C2608" s="2" t="s">
        <v>1175</v>
      </c>
      <c r="D2608" s="2" t="s">
        <v>28</v>
      </c>
      <c r="E2608" s="2" t="s">
        <v>29</v>
      </c>
      <c r="F2608" s="2">
        <v>30</v>
      </c>
      <c r="G2608" s="2" t="s">
        <v>6816</v>
      </c>
      <c r="H2608" s="2" t="s">
        <v>917</v>
      </c>
      <c r="I2608" s="2" t="s">
        <v>32</v>
      </c>
      <c r="J2608" s="3">
        <v>44551</v>
      </c>
      <c r="K2608" s="5">
        <f>YEAR(OrganizedData[[#This Row],[Order Date]])</f>
        <v>2021</v>
      </c>
      <c r="L2608" s="7" t="str">
        <f>TEXT(OrganizedData[[#This Row],[Order Date]],"mmm")</f>
        <v>Dec</v>
      </c>
      <c r="M2608" s="2">
        <v>7</v>
      </c>
      <c r="N2608" s="2" t="s">
        <v>159</v>
      </c>
      <c r="O2608" s="2" t="str">
        <f>VLOOKUP(OrganizedData[[#This Row],[Product Code]],ProductData[[Code]:[Item]],2,FALSE)</f>
        <v>Ultrathing V3</v>
      </c>
      <c r="P2608" s="4">
        <f>OrganizedData[[#This Row],[Quantity]]*VLOOKUP(OrganizedData[[#This Row],[Product Code]],ProductData[],4,FALSE)</f>
        <v>168</v>
      </c>
      <c r="Q2608" s="6">
        <f>OrganizedData[[#This Row],[Total Items Ordered]]*VLOOKUP(OrganizedData[[#This Row],[Product Code]],ProductData[],3,FALSE)</f>
        <v>569.52</v>
      </c>
      <c r="R26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2609" spans="1:18" x14ac:dyDescent="0.3">
      <c r="A2609" s="2">
        <v>2602</v>
      </c>
      <c r="B2609" s="2" t="s">
        <v>3716</v>
      </c>
      <c r="C2609" s="2" t="s">
        <v>6817</v>
      </c>
      <c r="D2609" s="2" t="s">
        <v>51</v>
      </c>
      <c r="E2609" s="2" t="s">
        <v>16</v>
      </c>
      <c r="F2609" s="2">
        <v>90</v>
      </c>
      <c r="G2609" s="2" t="s">
        <v>6818</v>
      </c>
      <c r="H2609" s="2" t="s">
        <v>2490</v>
      </c>
      <c r="I2609" s="2" t="s">
        <v>32</v>
      </c>
      <c r="J2609" s="3">
        <v>44345</v>
      </c>
      <c r="K2609" s="5">
        <f>YEAR(OrganizedData[[#This Row],[Order Date]])</f>
        <v>2021</v>
      </c>
      <c r="L2609" s="7" t="str">
        <f>TEXT(OrganizedData[[#This Row],[Order Date]],"mmm")</f>
        <v>May</v>
      </c>
      <c r="M2609" s="2">
        <v>4</v>
      </c>
      <c r="N2609" s="2" t="s">
        <v>33</v>
      </c>
      <c r="O2609" s="2" t="str">
        <f>VLOOKUP(OrganizedData[[#This Row],[Product Code]],ProductData[[Code]:[Item]],2,FALSE)</f>
        <v>Megawidget L</v>
      </c>
      <c r="P2609" s="4">
        <f>OrganizedData[[#This Row],[Quantity]]*VLOOKUP(OrganizedData[[#This Row],[Product Code]],ProductData[],4,FALSE)</f>
        <v>96</v>
      </c>
      <c r="Q2609" s="6">
        <f>OrganizedData[[#This Row],[Total Items Ordered]]*VLOOKUP(OrganizedData[[#This Row],[Product Code]],ProductData[],3,FALSE)</f>
        <v>171.84</v>
      </c>
      <c r="R26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171.84</v>
      </c>
    </row>
    <row r="2610" spans="1:18" x14ac:dyDescent="0.3">
      <c r="A2610" s="2">
        <v>2603</v>
      </c>
      <c r="B2610" s="2" t="s">
        <v>515</v>
      </c>
      <c r="C2610" s="2" t="s">
        <v>2561</v>
      </c>
      <c r="D2610" s="2" t="s">
        <v>51</v>
      </c>
      <c r="E2610" s="2" t="s">
        <v>16</v>
      </c>
      <c r="F2610" s="2">
        <v>60</v>
      </c>
      <c r="G2610" s="2" t="s">
        <v>6819</v>
      </c>
      <c r="H2610" s="2" t="s">
        <v>6820</v>
      </c>
      <c r="I2610" s="2" t="s">
        <v>294</v>
      </c>
      <c r="J2610" s="3">
        <v>43976</v>
      </c>
      <c r="K2610" s="5">
        <f>YEAR(OrganizedData[[#This Row],[Order Date]])</f>
        <v>2020</v>
      </c>
      <c r="L2610" s="7" t="str">
        <f>TEXT(OrganizedData[[#This Row],[Order Date]],"mmm")</f>
        <v>May</v>
      </c>
      <c r="M2610" s="2">
        <v>26</v>
      </c>
      <c r="N2610" s="2" t="s">
        <v>33</v>
      </c>
      <c r="O2610" s="2" t="str">
        <f>VLOOKUP(OrganizedData[[#This Row],[Product Code]],ProductData[[Code]:[Item]],2,FALSE)</f>
        <v>Megawidget L</v>
      </c>
      <c r="P2610" s="4">
        <f>OrganizedData[[#This Row],[Quantity]]*VLOOKUP(OrganizedData[[#This Row],[Product Code]],ProductData[],4,FALSE)</f>
        <v>624</v>
      </c>
      <c r="Q2610" s="6">
        <f>OrganizedData[[#This Row],[Total Items Ordered]]*VLOOKUP(OrganizedData[[#This Row],[Product Code]],ProductData[],3,FALSE)</f>
        <v>1116.96</v>
      </c>
      <c r="R26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1083.4512</v>
      </c>
    </row>
    <row r="2611" spans="1:18" x14ac:dyDescent="0.3">
      <c r="A2611" s="2">
        <v>2604</v>
      </c>
      <c r="B2611" s="2" t="s">
        <v>3512</v>
      </c>
      <c r="C2611" s="2" t="s">
        <v>6821</v>
      </c>
      <c r="D2611" s="2" t="s">
        <v>15</v>
      </c>
      <c r="E2611" s="2" t="s">
        <v>16</v>
      </c>
      <c r="F2611" s="2">
        <v>90</v>
      </c>
      <c r="G2611" s="2" t="s">
        <v>6822</v>
      </c>
      <c r="H2611" s="2" t="s">
        <v>2717</v>
      </c>
      <c r="I2611" s="2" t="s">
        <v>1889</v>
      </c>
      <c r="J2611" s="3">
        <v>44538</v>
      </c>
      <c r="K2611" s="5">
        <f>YEAR(OrganizedData[[#This Row],[Order Date]])</f>
        <v>2021</v>
      </c>
      <c r="L2611" s="7" t="str">
        <f>TEXT(OrganizedData[[#This Row],[Order Date]],"mmm")</f>
        <v>Dec</v>
      </c>
      <c r="M2611" s="2">
        <v>54</v>
      </c>
      <c r="N2611" s="2" t="s">
        <v>101</v>
      </c>
      <c r="O2611" s="2" t="str">
        <f>VLOOKUP(OrganizedData[[#This Row],[Product Code]],ProductData[[Code]:[Item]],2,FALSE)</f>
        <v>Superwossname</v>
      </c>
      <c r="P2611" s="4">
        <f>OrganizedData[[#This Row],[Quantity]]*VLOOKUP(OrganizedData[[#This Row],[Product Code]],ProductData[],4,FALSE)</f>
        <v>1080</v>
      </c>
      <c r="Q2611" s="6">
        <f>OrganizedData[[#This Row],[Total Items Ordered]]*VLOOKUP(OrganizedData[[#This Row],[Product Code]],ProductData[],3,FALSE)</f>
        <v>3769.2000000000003</v>
      </c>
      <c r="R26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2612" spans="1:18" x14ac:dyDescent="0.3">
      <c r="A2612" s="2">
        <v>2605</v>
      </c>
      <c r="B2612" s="2" t="s">
        <v>6823</v>
      </c>
      <c r="C2612" s="2" t="s">
        <v>6824</v>
      </c>
      <c r="D2612" s="2" t="s">
        <v>51</v>
      </c>
      <c r="E2612" s="2" t="s">
        <v>16</v>
      </c>
      <c r="F2612" s="2">
        <v>90</v>
      </c>
      <c r="G2612" s="2" t="s">
        <v>6825</v>
      </c>
      <c r="H2612" s="2" t="s">
        <v>6826</v>
      </c>
      <c r="I2612" s="2" t="s">
        <v>32</v>
      </c>
      <c r="J2612" s="3">
        <v>44794</v>
      </c>
      <c r="K2612" s="5">
        <f>YEAR(OrganizedData[[#This Row],[Order Date]])</f>
        <v>2022</v>
      </c>
      <c r="L2612" s="7" t="str">
        <f>TEXT(OrganizedData[[#This Row],[Order Date]],"mmm")</f>
        <v>Aug</v>
      </c>
      <c r="M2612" s="2">
        <v>41</v>
      </c>
      <c r="N2612" s="2" t="s">
        <v>70</v>
      </c>
      <c r="O2612" s="2" t="str">
        <f>VLOOKUP(OrganizedData[[#This Row],[Product Code]],ProductData[[Code]:[Item]],2,FALSE)</f>
        <v>Megawidget M</v>
      </c>
      <c r="P2612" s="4">
        <f>OrganizedData[[#This Row],[Quantity]]*VLOOKUP(OrganizedData[[#This Row],[Product Code]],ProductData[],4,FALSE)</f>
        <v>984</v>
      </c>
      <c r="Q2612" s="6">
        <f>OrganizedData[[#This Row],[Total Items Ordered]]*VLOOKUP(OrganizedData[[#This Row],[Product Code]],ProductData[],3,FALSE)</f>
        <v>1269.3600000000001</v>
      </c>
      <c r="R26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1231.2792000000002</v>
      </c>
    </row>
    <row r="2613" spans="1:18" x14ac:dyDescent="0.3">
      <c r="A2613" s="2">
        <v>2606</v>
      </c>
      <c r="B2613" s="2" t="s">
        <v>828</v>
      </c>
      <c r="C2613" s="2" t="s">
        <v>928</v>
      </c>
      <c r="D2613" s="2" t="s">
        <v>15</v>
      </c>
      <c r="E2613" s="2" t="s">
        <v>16</v>
      </c>
      <c r="F2613" s="2">
        <v>60</v>
      </c>
      <c r="G2613" s="2" t="s">
        <v>6827</v>
      </c>
      <c r="H2613" s="2" t="s">
        <v>224</v>
      </c>
      <c r="I2613" s="2" t="s">
        <v>124</v>
      </c>
      <c r="J2613" s="3">
        <v>44663</v>
      </c>
      <c r="K2613" s="5">
        <f>YEAR(OrganizedData[[#This Row],[Order Date]])</f>
        <v>2022</v>
      </c>
      <c r="L2613" s="7" t="str">
        <f>TEXT(OrganizedData[[#This Row],[Order Date]],"mmm")</f>
        <v>Apr</v>
      </c>
      <c r="M2613" s="2">
        <v>46</v>
      </c>
      <c r="N2613" s="2" t="s">
        <v>101</v>
      </c>
      <c r="O2613" s="2" t="str">
        <f>VLOOKUP(OrganizedData[[#This Row],[Product Code]],ProductData[[Code]:[Item]],2,FALSE)</f>
        <v>Superwossname</v>
      </c>
      <c r="P2613" s="4">
        <f>OrganizedData[[#This Row],[Quantity]]*VLOOKUP(OrganizedData[[#This Row],[Product Code]],ProductData[],4,FALSE)</f>
        <v>920</v>
      </c>
      <c r="Q2613" s="6">
        <f>OrganizedData[[#This Row],[Total Items Ordered]]*VLOOKUP(OrganizedData[[#This Row],[Product Code]],ProductData[],3,FALSE)</f>
        <v>3210.8</v>
      </c>
      <c r="R26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2614" spans="1:18" x14ac:dyDescent="0.3">
      <c r="A2614" s="2">
        <v>2607</v>
      </c>
      <c r="B2614" s="2" t="s">
        <v>3532</v>
      </c>
      <c r="C2614" s="2" t="s">
        <v>6828</v>
      </c>
      <c r="D2614" s="2" t="s">
        <v>28</v>
      </c>
      <c r="E2614" s="2" t="s">
        <v>29</v>
      </c>
      <c r="F2614" s="2">
        <v>90</v>
      </c>
      <c r="G2614" s="2" t="s">
        <v>6829</v>
      </c>
      <c r="H2614" s="2" t="s">
        <v>2354</v>
      </c>
      <c r="I2614" s="2" t="s">
        <v>178</v>
      </c>
      <c r="J2614" s="3">
        <v>44560</v>
      </c>
      <c r="K2614" s="5">
        <f>YEAR(OrganizedData[[#This Row],[Order Date]])</f>
        <v>2021</v>
      </c>
      <c r="L2614" s="7" t="str">
        <f>TEXT(OrganizedData[[#This Row],[Order Date]],"mmm")</f>
        <v>Dec</v>
      </c>
      <c r="M2614" s="2">
        <v>64</v>
      </c>
      <c r="N2614" s="2" t="s">
        <v>64</v>
      </c>
      <c r="O2614" s="2" t="str">
        <f>VLOOKUP(OrganizedData[[#This Row],[Product Code]],ProductData[[Code]:[Item]],2,FALSE)</f>
        <v>Ultrathing V4</v>
      </c>
      <c r="P2614" s="4">
        <f>OrganizedData[[#This Row],[Quantity]]*VLOOKUP(OrganizedData[[#This Row],[Product Code]],ProductData[],4,FALSE)</f>
        <v>1536</v>
      </c>
      <c r="Q2614" s="6">
        <f>OrganizedData[[#This Row],[Total Items Ordered]]*VLOOKUP(OrganizedData[[#This Row],[Product Code]],ProductData[],3,FALSE)</f>
        <v>6128.64</v>
      </c>
      <c r="R26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5822.2079999999996</v>
      </c>
    </row>
    <row r="2615" spans="1:18" x14ac:dyDescent="0.3">
      <c r="A2615" s="2">
        <v>2608</v>
      </c>
      <c r="B2615" s="2" t="s">
        <v>4984</v>
      </c>
      <c r="C2615" s="2" t="s">
        <v>5850</v>
      </c>
      <c r="D2615" s="2" t="s">
        <v>28</v>
      </c>
      <c r="E2615" s="2" t="s">
        <v>29</v>
      </c>
      <c r="F2615" s="2">
        <v>60</v>
      </c>
      <c r="G2615" s="2" t="s">
        <v>6830</v>
      </c>
      <c r="H2615" s="2" t="s">
        <v>2498</v>
      </c>
      <c r="I2615" s="2" t="s">
        <v>913</v>
      </c>
      <c r="J2615" s="3">
        <v>44676</v>
      </c>
      <c r="K2615" s="5">
        <f>YEAR(OrganizedData[[#This Row],[Order Date]])</f>
        <v>2022</v>
      </c>
      <c r="L2615" s="7" t="str">
        <f>TEXT(OrganizedData[[#This Row],[Order Date]],"mmm")</f>
        <v>Apr</v>
      </c>
      <c r="M2615" s="2">
        <v>105</v>
      </c>
      <c r="N2615" s="2" t="s">
        <v>70</v>
      </c>
      <c r="O2615" s="2" t="str">
        <f>VLOOKUP(OrganizedData[[#This Row],[Product Code]],ProductData[[Code]:[Item]],2,FALSE)</f>
        <v>Megawidget M</v>
      </c>
      <c r="P2615" s="4">
        <f>OrganizedData[[#This Row],[Quantity]]*VLOOKUP(OrganizedData[[#This Row],[Product Code]],ProductData[],4,FALSE)</f>
        <v>2520</v>
      </c>
      <c r="Q2615" s="6">
        <f>OrganizedData[[#This Row],[Total Items Ordered]]*VLOOKUP(OrganizedData[[#This Row],[Product Code]],ProductData[],3,FALSE)</f>
        <v>3250.8</v>
      </c>
      <c r="R26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3023.2440000000001</v>
      </c>
    </row>
    <row r="2616" spans="1:18" x14ac:dyDescent="0.3">
      <c r="A2616" s="2">
        <v>2609</v>
      </c>
      <c r="B2616" s="2" t="s">
        <v>3443</v>
      </c>
      <c r="C2616" s="2" t="s">
        <v>35</v>
      </c>
      <c r="D2616" s="2" t="s">
        <v>28</v>
      </c>
      <c r="E2616" s="2" t="s">
        <v>29</v>
      </c>
      <c r="F2616" s="2">
        <v>90</v>
      </c>
      <c r="G2616" s="2" t="s">
        <v>6831</v>
      </c>
      <c r="H2616" s="2" t="s">
        <v>1785</v>
      </c>
      <c r="I2616" s="2" t="s">
        <v>32</v>
      </c>
      <c r="J2616" s="3">
        <v>44748</v>
      </c>
      <c r="K2616" s="5">
        <f>YEAR(OrganizedData[[#This Row],[Order Date]])</f>
        <v>2022</v>
      </c>
      <c r="L2616" s="7" t="str">
        <f>TEXT(OrganizedData[[#This Row],[Order Date]],"mmm")</f>
        <v>Jul</v>
      </c>
      <c r="M2616" s="2">
        <v>68</v>
      </c>
      <c r="N2616" s="2" t="s">
        <v>45</v>
      </c>
      <c r="O2616" s="2" t="str">
        <f>VLOOKUP(OrganizedData[[#This Row],[Product Code]],ProductData[[Code]:[Item]],2,FALSE)</f>
        <v>Gigastuff</v>
      </c>
      <c r="P2616" s="4">
        <f>OrganizedData[[#This Row],[Quantity]]*VLOOKUP(OrganizedData[[#This Row],[Product Code]],ProductData[],4,FALSE)</f>
        <v>1224</v>
      </c>
      <c r="Q2616" s="6">
        <f>OrganizedData[[#This Row],[Total Items Ordered]]*VLOOKUP(OrganizedData[[#This Row],[Product Code]],ProductData[],3,FALSE)</f>
        <v>2313.3599999999997</v>
      </c>
      <c r="R26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2197.6919999999996</v>
      </c>
    </row>
    <row r="2617" spans="1:18" x14ac:dyDescent="0.3">
      <c r="A2617" s="2">
        <v>2610</v>
      </c>
      <c r="B2617" s="2" t="s">
        <v>2750</v>
      </c>
      <c r="C2617" s="2" t="s">
        <v>4473</v>
      </c>
      <c r="D2617" s="2" t="s">
        <v>28</v>
      </c>
      <c r="E2617" s="2" t="s">
        <v>29</v>
      </c>
      <c r="F2617" s="2">
        <v>60</v>
      </c>
      <c r="G2617" s="2" t="s">
        <v>6832</v>
      </c>
      <c r="H2617" s="2" t="s">
        <v>2831</v>
      </c>
      <c r="I2617" s="2" t="s">
        <v>32</v>
      </c>
      <c r="J2617" s="3">
        <v>44293</v>
      </c>
      <c r="K2617" s="5">
        <f>YEAR(OrganizedData[[#This Row],[Order Date]])</f>
        <v>2021</v>
      </c>
      <c r="L2617" s="7" t="str">
        <f>TEXT(OrganizedData[[#This Row],[Order Date]],"mmm")</f>
        <v>Apr</v>
      </c>
      <c r="M2617" s="2">
        <v>73</v>
      </c>
      <c r="N2617" s="2" t="s">
        <v>20</v>
      </c>
      <c r="O2617" s="2" t="str">
        <f>VLOOKUP(OrganizedData[[#This Row],[Product Code]],ProductData[[Code]:[Item]],2,FALSE)</f>
        <v>Hyperwotsit</v>
      </c>
      <c r="P2617" s="4">
        <f>OrganizedData[[#This Row],[Quantity]]*VLOOKUP(OrganizedData[[#This Row],[Product Code]],ProductData[],4,FALSE)</f>
        <v>1460</v>
      </c>
      <c r="Q2617" s="6">
        <f>OrganizedData[[#This Row],[Total Items Ordered]]*VLOOKUP(OrganizedData[[#This Row],[Product Code]],ProductData[],3,FALSE)</f>
        <v>2934.6</v>
      </c>
      <c r="R26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2618" spans="1:18" x14ac:dyDescent="0.3">
      <c r="A2618" s="2">
        <v>2611</v>
      </c>
      <c r="B2618" s="2" t="s">
        <v>6833</v>
      </c>
      <c r="C2618" s="2" t="s">
        <v>3719</v>
      </c>
      <c r="D2618" s="2" t="s">
        <v>15</v>
      </c>
      <c r="E2618" s="2" t="s">
        <v>16</v>
      </c>
      <c r="F2618" s="2">
        <v>90</v>
      </c>
      <c r="G2618" s="2" t="s">
        <v>6832</v>
      </c>
      <c r="H2618" s="2" t="s">
        <v>1107</v>
      </c>
      <c r="I2618" s="2" t="s">
        <v>32</v>
      </c>
      <c r="J2618" s="3">
        <v>44098</v>
      </c>
      <c r="K2618" s="5">
        <f>YEAR(OrganizedData[[#This Row],[Order Date]])</f>
        <v>2020</v>
      </c>
      <c r="L2618" s="7" t="str">
        <f>TEXT(OrganizedData[[#This Row],[Order Date]],"mmm")</f>
        <v>Sep</v>
      </c>
      <c r="M2618" s="2">
        <v>44</v>
      </c>
      <c r="N2618" s="2" t="s">
        <v>159</v>
      </c>
      <c r="O2618" s="2" t="str">
        <f>VLOOKUP(OrganizedData[[#This Row],[Product Code]],ProductData[[Code]:[Item]],2,FALSE)</f>
        <v>Ultrathing V3</v>
      </c>
      <c r="P2618" s="4">
        <f>OrganizedData[[#This Row],[Quantity]]*VLOOKUP(OrganizedData[[#This Row],[Product Code]],ProductData[],4,FALSE)</f>
        <v>1056</v>
      </c>
      <c r="Q2618" s="6">
        <f>OrganizedData[[#This Row],[Total Items Ordered]]*VLOOKUP(OrganizedData[[#This Row],[Product Code]],ProductData[],3,FALSE)</f>
        <v>3579.84</v>
      </c>
      <c r="R26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2619" spans="1:18" x14ac:dyDescent="0.3">
      <c r="A2619" s="2">
        <v>2612</v>
      </c>
      <c r="B2619" s="2" t="s">
        <v>1312</v>
      </c>
      <c r="C2619" s="2" t="s">
        <v>4396</v>
      </c>
      <c r="D2619" s="2" t="s">
        <v>28</v>
      </c>
      <c r="E2619" s="2" t="s">
        <v>29</v>
      </c>
      <c r="F2619" s="2">
        <v>60</v>
      </c>
      <c r="G2619" s="2" t="s">
        <v>6834</v>
      </c>
      <c r="H2619" s="2" t="s">
        <v>4451</v>
      </c>
      <c r="I2619" s="2" t="s">
        <v>32</v>
      </c>
      <c r="J2619" s="3">
        <v>44554</v>
      </c>
      <c r="K2619" s="5">
        <f>YEAR(OrganizedData[[#This Row],[Order Date]])</f>
        <v>2021</v>
      </c>
      <c r="L2619" s="7" t="str">
        <f>TEXT(OrganizedData[[#This Row],[Order Date]],"mmm")</f>
        <v>Dec</v>
      </c>
      <c r="M2619" s="2">
        <v>14</v>
      </c>
      <c r="N2619" s="2" t="s">
        <v>54</v>
      </c>
      <c r="O2619" s="2" t="str">
        <f>VLOOKUP(OrganizedData[[#This Row],[Product Code]],ProductData[[Code]:[Item]],2,FALSE)</f>
        <v>Megawidget S</v>
      </c>
      <c r="P2619" s="4">
        <f>OrganizedData[[#This Row],[Quantity]]*VLOOKUP(OrganizedData[[#This Row],[Product Code]],ProductData[],4,FALSE)</f>
        <v>336</v>
      </c>
      <c r="Q2619" s="6">
        <f>OrganizedData[[#This Row],[Total Items Ordered]]*VLOOKUP(OrganizedData[[#This Row],[Product Code]],ProductData[],3,FALSE)</f>
        <v>231.83999999999997</v>
      </c>
      <c r="R26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231.83999999999997</v>
      </c>
    </row>
    <row r="2620" spans="1:18" x14ac:dyDescent="0.3">
      <c r="A2620" s="2">
        <v>2613</v>
      </c>
      <c r="B2620" s="2" t="s">
        <v>6835</v>
      </c>
      <c r="C2620" s="2" t="s">
        <v>6247</v>
      </c>
      <c r="D2620" s="2" t="s">
        <v>28</v>
      </c>
      <c r="E2620" s="2" t="s">
        <v>29</v>
      </c>
      <c r="F2620" s="2">
        <v>60</v>
      </c>
      <c r="G2620" s="2" t="s">
        <v>6836</v>
      </c>
      <c r="H2620" s="2" t="s">
        <v>746</v>
      </c>
      <c r="I2620" s="2" t="s">
        <v>32</v>
      </c>
      <c r="J2620" s="3">
        <v>44367</v>
      </c>
      <c r="K2620" s="5">
        <f>YEAR(OrganizedData[[#This Row],[Order Date]])</f>
        <v>2021</v>
      </c>
      <c r="L2620" s="7" t="str">
        <f>TEXT(OrganizedData[[#This Row],[Order Date]],"mmm")</f>
        <v>Jun</v>
      </c>
      <c r="M2620" s="2">
        <v>45</v>
      </c>
      <c r="N2620" s="2" t="s">
        <v>80</v>
      </c>
      <c r="O2620" s="2" t="str">
        <f>VLOOKUP(OrganizedData[[#This Row],[Product Code]],ProductData[[Code]:[Item]],2,FALSE)</f>
        <v>Ultrathing V2</v>
      </c>
      <c r="P2620" s="4">
        <f>OrganizedData[[#This Row],[Quantity]]*VLOOKUP(OrganizedData[[#This Row],[Product Code]],ProductData[],4,FALSE)</f>
        <v>900</v>
      </c>
      <c r="Q2620" s="6">
        <f>OrganizedData[[#This Row],[Total Items Ordered]]*VLOOKUP(OrganizedData[[#This Row],[Product Code]],ProductData[],3,FALSE)</f>
        <v>2655</v>
      </c>
      <c r="R26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2575.35</v>
      </c>
    </row>
    <row r="2621" spans="1:18" x14ac:dyDescent="0.3">
      <c r="A2621" s="2">
        <v>2614</v>
      </c>
      <c r="B2621" s="2" t="s">
        <v>6837</v>
      </c>
      <c r="C2621" s="2" t="s">
        <v>3808</v>
      </c>
      <c r="D2621" s="2" t="s">
        <v>28</v>
      </c>
      <c r="E2621" s="2" t="s">
        <v>29</v>
      </c>
      <c r="F2621" s="2">
        <v>90</v>
      </c>
      <c r="G2621" s="2" t="s">
        <v>6838</v>
      </c>
      <c r="H2621" s="2" t="s">
        <v>6839</v>
      </c>
      <c r="I2621" s="2" t="s">
        <v>187</v>
      </c>
      <c r="J2621" s="3">
        <v>44885</v>
      </c>
      <c r="K2621" s="5">
        <f>YEAR(OrganizedData[[#This Row],[Order Date]])</f>
        <v>2022</v>
      </c>
      <c r="L2621" s="7" t="str">
        <f>TEXT(OrganizedData[[#This Row],[Order Date]],"mmm")</f>
        <v>Nov</v>
      </c>
      <c r="M2621" s="2">
        <v>18</v>
      </c>
      <c r="N2621" s="2" t="s">
        <v>39</v>
      </c>
      <c r="O2621" s="2" t="str">
        <f>VLOOKUP(OrganizedData[[#This Row],[Product Code]],ProductData[[Code]:[Item]],2,FALSE)</f>
        <v>Ultrathing V1</v>
      </c>
      <c r="P2621" s="4">
        <f>OrganizedData[[#This Row],[Quantity]]*VLOOKUP(OrganizedData[[#This Row],[Product Code]],ProductData[],4,FALSE)</f>
        <v>306</v>
      </c>
      <c r="Q2621" s="6">
        <f>OrganizedData[[#This Row],[Total Items Ordered]]*VLOOKUP(OrganizedData[[#This Row],[Product Code]],ProductData[],3,FALSE)</f>
        <v>547.74</v>
      </c>
      <c r="R26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547.74</v>
      </c>
    </row>
    <row r="2622" spans="1:18" x14ac:dyDescent="0.3">
      <c r="A2622" s="2">
        <v>2615</v>
      </c>
      <c r="B2622" s="2" t="s">
        <v>6532</v>
      </c>
      <c r="C2622" s="2" t="s">
        <v>4960</v>
      </c>
      <c r="D2622" s="2" t="s">
        <v>28</v>
      </c>
      <c r="E2622" s="2" t="s">
        <v>29</v>
      </c>
      <c r="F2622" s="2">
        <v>30</v>
      </c>
      <c r="G2622" s="2" t="s">
        <v>6840</v>
      </c>
      <c r="H2622" s="2" t="s">
        <v>5794</v>
      </c>
      <c r="I2622" s="2" t="s">
        <v>294</v>
      </c>
      <c r="J2622" s="3">
        <v>44767</v>
      </c>
      <c r="K2622" s="5">
        <f>YEAR(OrganizedData[[#This Row],[Order Date]])</f>
        <v>2022</v>
      </c>
      <c r="L2622" s="7" t="str">
        <f>TEXT(OrganizedData[[#This Row],[Order Date]],"mmm")</f>
        <v>Jul</v>
      </c>
      <c r="M2622" s="2">
        <v>83</v>
      </c>
      <c r="N2622" s="2" t="s">
        <v>39</v>
      </c>
      <c r="O2622" s="2" t="str">
        <f>VLOOKUP(OrganizedData[[#This Row],[Product Code]],ProductData[[Code]:[Item]],2,FALSE)</f>
        <v>Ultrathing V1</v>
      </c>
      <c r="P2622" s="4">
        <f>OrganizedData[[#This Row],[Quantity]]*VLOOKUP(OrganizedData[[#This Row],[Product Code]],ProductData[],4,FALSE)</f>
        <v>1411</v>
      </c>
      <c r="Q2622" s="6">
        <f>OrganizedData[[#This Row],[Total Items Ordered]]*VLOOKUP(OrganizedData[[#This Row],[Product Code]],ProductData[],3,FALSE)</f>
        <v>2525.69</v>
      </c>
      <c r="R26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2623" spans="1:18" x14ac:dyDescent="0.3">
      <c r="A2623" s="2">
        <v>2616</v>
      </c>
      <c r="B2623" s="2" t="s">
        <v>6841</v>
      </c>
      <c r="C2623" s="2" t="s">
        <v>6651</v>
      </c>
      <c r="D2623" s="2" t="s">
        <v>28</v>
      </c>
      <c r="E2623" s="2" t="s">
        <v>29</v>
      </c>
      <c r="F2623" s="2">
        <v>30</v>
      </c>
      <c r="G2623" s="2" t="s">
        <v>6842</v>
      </c>
      <c r="H2623" s="2" t="s">
        <v>266</v>
      </c>
      <c r="I2623" s="2" t="s">
        <v>32</v>
      </c>
      <c r="J2623" s="3">
        <v>44444</v>
      </c>
      <c r="K2623" s="5">
        <f>YEAR(OrganizedData[[#This Row],[Order Date]])</f>
        <v>2021</v>
      </c>
      <c r="L2623" s="7" t="str">
        <f>TEXT(OrganizedData[[#This Row],[Order Date]],"mmm")</f>
        <v>Sep</v>
      </c>
      <c r="M2623" s="2">
        <v>41</v>
      </c>
      <c r="N2623" s="2" t="s">
        <v>159</v>
      </c>
      <c r="O2623" s="2" t="str">
        <f>VLOOKUP(OrganizedData[[#This Row],[Product Code]],ProductData[[Code]:[Item]],2,FALSE)</f>
        <v>Ultrathing V3</v>
      </c>
      <c r="P2623" s="4">
        <f>OrganizedData[[#This Row],[Quantity]]*VLOOKUP(OrganizedData[[#This Row],[Product Code]],ProductData[],4,FALSE)</f>
        <v>984</v>
      </c>
      <c r="Q2623" s="6">
        <f>OrganizedData[[#This Row],[Total Items Ordered]]*VLOOKUP(OrganizedData[[#This Row],[Product Code]],ProductData[],3,FALSE)</f>
        <v>3335.76</v>
      </c>
      <c r="R26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3235.6872000000003</v>
      </c>
    </row>
    <row r="2624" spans="1:18" x14ac:dyDescent="0.3">
      <c r="A2624" s="2">
        <v>2617</v>
      </c>
      <c r="B2624" s="2" t="s">
        <v>6843</v>
      </c>
      <c r="C2624" s="2" t="s">
        <v>3956</v>
      </c>
      <c r="D2624" s="2" t="s">
        <v>51</v>
      </c>
      <c r="E2624" s="2" t="s">
        <v>16</v>
      </c>
      <c r="F2624" s="2">
        <v>90</v>
      </c>
      <c r="G2624" s="2" t="s">
        <v>6844</v>
      </c>
      <c r="H2624" s="2" t="s">
        <v>2667</v>
      </c>
      <c r="I2624" s="2" t="s">
        <v>187</v>
      </c>
      <c r="J2624" s="3">
        <v>44468</v>
      </c>
      <c r="K2624" s="5">
        <f>YEAR(OrganizedData[[#This Row],[Order Date]])</f>
        <v>2021</v>
      </c>
      <c r="L2624" s="7" t="str">
        <f>TEXT(OrganizedData[[#This Row],[Order Date]],"mmm")</f>
        <v>Sep</v>
      </c>
      <c r="M2624" s="2">
        <v>73</v>
      </c>
      <c r="N2624" s="2" t="s">
        <v>80</v>
      </c>
      <c r="O2624" s="2" t="str">
        <f>VLOOKUP(OrganizedData[[#This Row],[Product Code]],ProductData[[Code]:[Item]],2,FALSE)</f>
        <v>Ultrathing V2</v>
      </c>
      <c r="P2624" s="4">
        <f>OrganizedData[[#This Row],[Quantity]]*VLOOKUP(OrganizedData[[#This Row],[Product Code]],ProductData[],4,FALSE)</f>
        <v>1460</v>
      </c>
      <c r="Q2624" s="6">
        <f>OrganizedData[[#This Row],[Total Items Ordered]]*VLOOKUP(OrganizedData[[#This Row],[Product Code]],ProductData[],3,FALSE)</f>
        <v>4307</v>
      </c>
      <c r="R26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2625" spans="1:18" x14ac:dyDescent="0.3">
      <c r="A2625" s="2">
        <v>2618</v>
      </c>
      <c r="B2625" s="2" t="s">
        <v>6845</v>
      </c>
      <c r="C2625" s="2" t="s">
        <v>1459</v>
      </c>
      <c r="D2625" s="2" t="s">
        <v>15</v>
      </c>
      <c r="E2625" s="2" t="s">
        <v>16</v>
      </c>
      <c r="F2625" s="2">
        <v>90</v>
      </c>
      <c r="G2625" s="2" t="s">
        <v>6846</v>
      </c>
      <c r="H2625" s="2" t="s">
        <v>685</v>
      </c>
      <c r="I2625" s="2" t="s">
        <v>686</v>
      </c>
      <c r="J2625" s="3">
        <v>44024</v>
      </c>
      <c r="K2625" s="5">
        <f>YEAR(OrganizedData[[#This Row],[Order Date]])</f>
        <v>2020</v>
      </c>
      <c r="L2625" s="7" t="str">
        <f>TEXT(OrganizedData[[#This Row],[Order Date]],"mmm")</f>
        <v>Jul</v>
      </c>
      <c r="M2625" s="2">
        <v>77</v>
      </c>
      <c r="N2625" s="2" t="s">
        <v>64</v>
      </c>
      <c r="O2625" s="2" t="str">
        <f>VLOOKUP(OrganizedData[[#This Row],[Product Code]],ProductData[[Code]:[Item]],2,FALSE)</f>
        <v>Ultrathing V4</v>
      </c>
      <c r="P2625" s="4">
        <f>OrganizedData[[#This Row],[Quantity]]*VLOOKUP(OrganizedData[[#This Row],[Product Code]],ProductData[],4,FALSE)</f>
        <v>1848</v>
      </c>
      <c r="Q2625" s="6">
        <f>OrganizedData[[#This Row],[Total Items Ordered]]*VLOOKUP(OrganizedData[[#This Row],[Product Code]],ProductData[],3,FALSE)</f>
        <v>7373.52</v>
      </c>
      <c r="R26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7004.8440000000001</v>
      </c>
    </row>
    <row r="2626" spans="1:18" x14ac:dyDescent="0.3">
      <c r="A2626" s="2">
        <v>2619</v>
      </c>
      <c r="B2626" s="2" t="s">
        <v>6847</v>
      </c>
      <c r="C2626" s="2" t="s">
        <v>1428</v>
      </c>
      <c r="D2626" s="2" t="s">
        <v>51</v>
      </c>
      <c r="E2626" s="2" t="s">
        <v>16</v>
      </c>
      <c r="F2626" s="2">
        <v>30</v>
      </c>
      <c r="G2626" s="2" t="s">
        <v>6848</v>
      </c>
      <c r="H2626" s="2" t="s">
        <v>6849</v>
      </c>
      <c r="I2626" s="2" t="s">
        <v>32</v>
      </c>
      <c r="J2626" s="3">
        <v>44823</v>
      </c>
      <c r="K2626" s="5">
        <f>YEAR(OrganizedData[[#This Row],[Order Date]])</f>
        <v>2022</v>
      </c>
      <c r="L2626" s="7" t="str">
        <f>TEXT(OrganizedData[[#This Row],[Order Date]],"mmm")</f>
        <v>Sep</v>
      </c>
      <c r="M2626" s="2">
        <v>27</v>
      </c>
      <c r="N2626" s="2" t="s">
        <v>45</v>
      </c>
      <c r="O2626" s="2" t="str">
        <f>VLOOKUP(OrganizedData[[#This Row],[Product Code]],ProductData[[Code]:[Item]],2,FALSE)</f>
        <v>Gigastuff</v>
      </c>
      <c r="P2626" s="4">
        <f>OrganizedData[[#This Row],[Quantity]]*VLOOKUP(OrganizedData[[#This Row],[Product Code]],ProductData[],4,FALSE)</f>
        <v>486</v>
      </c>
      <c r="Q2626" s="6">
        <f>OrganizedData[[#This Row],[Total Items Ordered]]*VLOOKUP(OrganizedData[[#This Row],[Product Code]],ProductData[],3,FALSE)</f>
        <v>918.54</v>
      </c>
      <c r="R26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890.98379999999997</v>
      </c>
    </row>
    <row r="2627" spans="1:18" x14ac:dyDescent="0.3">
      <c r="A2627" s="2">
        <v>2620</v>
      </c>
      <c r="B2627" s="2" t="s">
        <v>127</v>
      </c>
      <c r="C2627" s="2" t="s">
        <v>3712</v>
      </c>
      <c r="D2627" s="2" t="s">
        <v>28</v>
      </c>
      <c r="E2627" s="2" t="s">
        <v>29</v>
      </c>
      <c r="F2627" s="2">
        <v>60</v>
      </c>
      <c r="G2627" s="2" t="s">
        <v>6850</v>
      </c>
      <c r="H2627" s="2" t="s">
        <v>3713</v>
      </c>
      <c r="I2627" s="2" t="s">
        <v>32</v>
      </c>
      <c r="J2627" s="3">
        <v>43965</v>
      </c>
      <c r="K2627" s="5">
        <f>YEAR(OrganizedData[[#This Row],[Order Date]])</f>
        <v>2020</v>
      </c>
      <c r="L2627" s="7" t="str">
        <f>TEXT(OrganizedData[[#This Row],[Order Date]],"mmm")</f>
        <v>May</v>
      </c>
      <c r="M2627" s="2">
        <v>55</v>
      </c>
      <c r="N2627" s="2" t="s">
        <v>64</v>
      </c>
      <c r="O2627" s="2" t="str">
        <f>VLOOKUP(OrganizedData[[#This Row],[Product Code]],ProductData[[Code]:[Item]],2,FALSE)</f>
        <v>Ultrathing V4</v>
      </c>
      <c r="P2627" s="4">
        <f>OrganizedData[[#This Row],[Quantity]]*VLOOKUP(OrganizedData[[#This Row],[Product Code]],ProductData[],4,FALSE)</f>
        <v>1320</v>
      </c>
      <c r="Q2627" s="6">
        <f>OrganizedData[[#This Row],[Total Items Ordered]]*VLOOKUP(OrganizedData[[#This Row],[Product Code]],ProductData[],3,FALSE)</f>
        <v>5266.8</v>
      </c>
      <c r="R26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2628" spans="1:18" x14ac:dyDescent="0.3">
      <c r="A2628" s="2">
        <v>2621</v>
      </c>
      <c r="B2628" s="2" t="s">
        <v>6492</v>
      </c>
      <c r="C2628" s="2" t="s">
        <v>4420</v>
      </c>
      <c r="D2628" s="2" t="s">
        <v>28</v>
      </c>
      <c r="E2628" s="2" t="s">
        <v>29</v>
      </c>
      <c r="F2628" s="2">
        <v>90</v>
      </c>
      <c r="G2628" s="2" t="s">
        <v>6851</v>
      </c>
      <c r="H2628" s="2" t="s">
        <v>4849</v>
      </c>
      <c r="I2628" s="2" t="s">
        <v>294</v>
      </c>
      <c r="J2628" s="3">
        <v>43933</v>
      </c>
      <c r="K2628" s="5">
        <f>YEAR(OrganizedData[[#This Row],[Order Date]])</f>
        <v>2020</v>
      </c>
      <c r="L2628" s="7" t="str">
        <f>TEXT(OrganizedData[[#This Row],[Order Date]],"mmm")</f>
        <v>Apr</v>
      </c>
      <c r="M2628" s="2">
        <v>35</v>
      </c>
      <c r="N2628" s="2" t="s">
        <v>33</v>
      </c>
      <c r="O2628" s="2" t="str">
        <f>VLOOKUP(OrganizedData[[#This Row],[Product Code]],ProductData[[Code]:[Item]],2,FALSE)</f>
        <v>Megawidget L</v>
      </c>
      <c r="P2628" s="4">
        <f>OrganizedData[[#This Row],[Quantity]]*VLOOKUP(OrganizedData[[#This Row],[Product Code]],ProductData[],4,FALSE)</f>
        <v>840</v>
      </c>
      <c r="Q2628" s="6">
        <f>OrganizedData[[#This Row],[Total Items Ordered]]*VLOOKUP(OrganizedData[[#This Row],[Product Code]],ProductData[],3,FALSE)</f>
        <v>1503.6000000000001</v>
      </c>
      <c r="R26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1458.4920000000002</v>
      </c>
    </row>
    <row r="2629" spans="1:18" x14ac:dyDescent="0.3">
      <c r="A2629" s="2">
        <v>2622</v>
      </c>
      <c r="B2629" s="2" t="s">
        <v>3366</v>
      </c>
      <c r="C2629" s="2" t="s">
        <v>6852</v>
      </c>
      <c r="D2629" s="2" t="s">
        <v>28</v>
      </c>
      <c r="E2629" s="2" t="s">
        <v>29</v>
      </c>
      <c r="F2629" s="2">
        <v>30</v>
      </c>
      <c r="G2629" s="2" t="s">
        <v>6853</v>
      </c>
      <c r="H2629" s="2" t="s">
        <v>5803</v>
      </c>
      <c r="I2629" s="2" t="s">
        <v>294</v>
      </c>
      <c r="J2629" s="3">
        <v>43969</v>
      </c>
      <c r="K2629" s="5">
        <f>YEAR(OrganizedData[[#This Row],[Order Date]])</f>
        <v>2020</v>
      </c>
      <c r="L2629" s="7" t="str">
        <f>TEXT(OrganizedData[[#This Row],[Order Date]],"mmm")</f>
        <v>May</v>
      </c>
      <c r="M2629" s="2">
        <v>33</v>
      </c>
      <c r="N2629" s="2" t="s">
        <v>64</v>
      </c>
      <c r="O2629" s="2" t="str">
        <f>VLOOKUP(OrganizedData[[#This Row],[Product Code]],ProductData[[Code]:[Item]],2,FALSE)</f>
        <v>Ultrathing V4</v>
      </c>
      <c r="P2629" s="4">
        <f>OrganizedData[[#This Row],[Quantity]]*VLOOKUP(OrganizedData[[#This Row],[Product Code]],ProductData[],4,FALSE)</f>
        <v>792</v>
      </c>
      <c r="Q2629" s="6">
        <f>OrganizedData[[#This Row],[Total Items Ordered]]*VLOOKUP(OrganizedData[[#This Row],[Product Code]],ProductData[],3,FALSE)</f>
        <v>3160.0800000000004</v>
      </c>
      <c r="R26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3065.2776000000003</v>
      </c>
    </row>
    <row r="2630" spans="1:18" x14ac:dyDescent="0.3">
      <c r="A2630" s="2">
        <v>2623</v>
      </c>
      <c r="B2630" s="2" t="s">
        <v>276</v>
      </c>
      <c r="C2630" s="2" t="s">
        <v>6190</v>
      </c>
      <c r="D2630" s="2" t="s">
        <v>51</v>
      </c>
      <c r="E2630" s="2" t="s">
        <v>16</v>
      </c>
      <c r="F2630" s="2">
        <v>30</v>
      </c>
      <c r="G2630" s="2" t="s">
        <v>6854</v>
      </c>
      <c r="H2630" s="2" t="s">
        <v>4277</v>
      </c>
      <c r="I2630" s="2" t="s">
        <v>32</v>
      </c>
      <c r="J2630" s="3">
        <v>44386</v>
      </c>
      <c r="K2630" s="5">
        <f>YEAR(OrganizedData[[#This Row],[Order Date]])</f>
        <v>2021</v>
      </c>
      <c r="L2630" s="7" t="str">
        <f>TEXT(OrganizedData[[#This Row],[Order Date]],"mmm")</f>
        <v>Jul</v>
      </c>
      <c r="M2630" s="2">
        <v>58</v>
      </c>
      <c r="N2630" s="2" t="s">
        <v>70</v>
      </c>
      <c r="O2630" s="2" t="str">
        <f>VLOOKUP(OrganizedData[[#This Row],[Product Code]],ProductData[[Code]:[Item]],2,FALSE)</f>
        <v>Megawidget M</v>
      </c>
      <c r="P2630" s="4">
        <f>OrganizedData[[#This Row],[Quantity]]*VLOOKUP(OrganizedData[[#This Row],[Product Code]],ProductData[],4,FALSE)</f>
        <v>1392</v>
      </c>
      <c r="Q2630" s="6">
        <f>OrganizedData[[#This Row],[Total Items Ordered]]*VLOOKUP(OrganizedData[[#This Row],[Product Code]],ProductData[],3,FALSE)</f>
        <v>1795.68</v>
      </c>
      <c r="R26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1705.896</v>
      </c>
    </row>
    <row r="2631" spans="1:18" x14ac:dyDescent="0.3">
      <c r="A2631" s="2">
        <v>2624</v>
      </c>
      <c r="B2631" s="2" t="s">
        <v>1316</v>
      </c>
      <c r="C2631" s="2" t="s">
        <v>1278</v>
      </c>
      <c r="D2631" s="2" t="s">
        <v>28</v>
      </c>
      <c r="E2631" s="2" t="s">
        <v>29</v>
      </c>
      <c r="F2631" s="2">
        <v>60</v>
      </c>
      <c r="G2631" s="2" t="s">
        <v>6855</v>
      </c>
      <c r="H2631" s="2" t="s">
        <v>389</v>
      </c>
      <c r="I2631" s="2" t="s">
        <v>32</v>
      </c>
      <c r="J2631" s="3">
        <v>44778</v>
      </c>
      <c r="K2631" s="5">
        <f>YEAR(OrganizedData[[#This Row],[Order Date]])</f>
        <v>2022</v>
      </c>
      <c r="L2631" s="7" t="str">
        <f>TEXT(OrganizedData[[#This Row],[Order Date]],"mmm")</f>
        <v>Aug</v>
      </c>
      <c r="M2631" s="2">
        <v>14</v>
      </c>
      <c r="N2631" s="2" t="s">
        <v>80</v>
      </c>
      <c r="O2631" s="2" t="str">
        <f>VLOOKUP(OrganizedData[[#This Row],[Product Code]],ProductData[[Code]:[Item]],2,FALSE)</f>
        <v>Ultrathing V2</v>
      </c>
      <c r="P2631" s="4">
        <f>OrganizedData[[#This Row],[Quantity]]*VLOOKUP(OrganizedData[[#This Row],[Product Code]],ProductData[],4,FALSE)</f>
        <v>280</v>
      </c>
      <c r="Q2631" s="6">
        <f>OrganizedData[[#This Row],[Total Items Ordered]]*VLOOKUP(OrganizedData[[#This Row],[Product Code]],ProductData[],3,FALSE)</f>
        <v>826</v>
      </c>
      <c r="R26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v>
      </c>
    </row>
    <row r="2632" spans="1:18" x14ac:dyDescent="0.3">
      <c r="A2632" s="2">
        <v>2625</v>
      </c>
      <c r="B2632" s="2" t="s">
        <v>5659</v>
      </c>
      <c r="C2632" s="2" t="s">
        <v>2448</v>
      </c>
      <c r="D2632" s="2" t="s">
        <v>41</v>
      </c>
      <c r="E2632" s="2" t="s">
        <v>16</v>
      </c>
      <c r="F2632" s="2">
        <v>60</v>
      </c>
      <c r="G2632" s="2" t="s">
        <v>6856</v>
      </c>
      <c r="H2632" s="2" t="s">
        <v>1956</v>
      </c>
      <c r="I2632" s="2" t="s">
        <v>32</v>
      </c>
      <c r="J2632" s="3">
        <v>44915</v>
      </c>
      <c r="K2632" s="5">
        <f>YEAR(OrganizedData[[#This Row],[Order Date]])</f>
        <v>2022</v>
      </c>
      <c r="L2632" s="7" t="str">
        <f>TEXT(OrganizedData[[#This Row],[Order Date]],"mmm")</f>
        <v>Dec</v>
      </c>
      <c r="M2632" s="2">
        <v>72</v>
      </c>
      <c r="N2632" s="2" t="s">
        <v>45</v>
      </c>
      <c r="O2632" s="2" t="str">
        <f>VLOOKUP(OrganizedData[[#This Row],[Product Code]],ProductData[[Code]:[Item]],2,FALSE)</f>
        <v>Gigastuff</v>
      </c>
      <c r="P2632" s="4">
        <f>OrganizedData[[#This Row],[Quantity]]*VLOOKUP(OrganizedData[[#This Row],[Product Code]],ProductData[],4,FALSE)</f>
        <v>1296</v>
      </c>
      <c r="Q2632" s="6">
        <f>OrganizedData[[#This Row],[Total Items Ordered]]*VLOOKUP(OrganizedData[[#This Row],[Product Code]],ProductData[],3,FALSE)</f>
        <v>2449.44</v>
      </c>
      <c r="R26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2326.9679999999998</v>
      </c>
    </row>
    <row r="2633" spans="1:18" x14ac:dyDescent="0.3">
      <c r="A2633" s="2">
        <v>2626</v>
      </c>
      <c r="B2633" s="2" t="s">
        <v>523</v>
      </c>
      <c r="C2633" s="2" t="s">
        <v>1746</v>
      </c>
      <c r="D2633" s="2" t="s">
        <v>51</v>
      </c>
      <c r="E2633" s="2" t="s">
        <v>16</v>
      </c>
      <c r="F2633" s="2">
        <v>30</v>
      </c>
      <c r="G2633" s="2" t="s">
        <v>6857</v>
      </c>
      <c r="H2633" s="2" t="s">
        <v>641</v>
      </c>
      <c r="I2633" s="2" t="s">
        <v>294</v>
      </c>
      <c r="J2633" s="3">
        <v>44435</v>
      </c>
      <c r="K2633" s="5">
        <f>YEAR(OrganizedData[[#This Row],[Order Date]])</f>
        <v>2021</v>
      </c>
      <c r="L2633" s="7" t="str">
        <f>TEXT(OrganizedData[[#This Row],[Order Date]],"mmm")</f>
        <v>Aug</v>
      </c>
      <c r="M2633" s="2">
        <v>81</v>
      </c>
      <c r="N2633" s="2" t="s">
        <v>39</v>
      </c>
      <c r="O2633" s="2" t="str">
        <f>VLOOKUP(OrganizedData[[#This Row],[Product Code]],ProductData[[Code]:[Item]],2,FALSE)</f>
        <v>Ultrathing V1</v>
      </c>
      <c r="P2633" s="4">
        <f>OrganizedData[[#This Row],[Quantity]]*VLOOKUP(OrganizedData[[#This Row],[Product Code]],ProductData[],4,FALSE)</f>
        <v>1377</v>
      </c>
      <c r="Q2633" s="6">
        <f>OrganizedData[[#This Row],[Total Items Ordered]]*VLOOKUP(OrganizedData[[#This Row],[Product Code]],ProductData[],3,FALSE)</f>
        <v>2464.83</v>
      </c>
      <c r="R26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2341.5884999999998</v>
      </c>
    </row>
    <row r="2634" spans="1:18" x14ac:dyDescent="0.3">
      <c r="A2634" s="2">
        <v>2627</v>
      </c>
      <c r="B2634" s="2" t="s">
        <v>6858</v>
      </c>
      <c r="C2634" s="2" t="s">
        <v>1392</v>
      </c>
      <c r="D2634" s="2" t="s">
        <v>28</v>
      </c>
      <c r="E2634" s="2" t="s">
        <v>29</v>
      </c>
      <c r="F2634" s="2">
        <v>90</v>
      </c>
      <c r="G2634" s="2" t="s">
        <v>6859</v>
      </c>
      <c r="H2634" s="2" t="s">
        <v>2890</v>
      </c>
      <c r="I2634" s="2" t="s">
        <v>32</v>
      </c>
      <c r="J2634" s="3">
        <v>44718</v>
      </c>
      <c r="K2634" s="5">
        <f>YEAR(OrganizedData[[#This Row],[Order Date]])</f>
        <v>2022</v>
      </c>
      <c r="L2634" s="7" t="str">
        <f>TEXT(OrganizedData[[#This Row],[Order Date]],"mmm")</f>
        <v>Jun</v>
      </c>
      <c r="M2634" s="2">
        <v>27</v>
      </c>
      <c r="N2634" s="2" t="s">
        <v>80</v>
      </c>
      <c r="O2634" s="2" t="str">
        <f>VLOOKUP(OrganizedData[[#This Row],[Product Code]],ProductData[[Code]:[Item]],2,FALSE)</f>
        <v>Ultrathing V2</v>
      </c>
      <c r="P2634" s="4">
        <f>OrganizedData[[#This Row],[Quantity]]*VLOOKUP(OrganizedData[[#This Row],[Product Code]],ProductData[],4,FALSE)</f>
        <v>540</v>
      </c>
      <c r="Q2634" s="6">
        <f>OrganizedData[[#This Row],[Total Items Ordered]]*VLOOKUP(OrganizedData[[#This Row],[Product Code]],ProductData[],3,FALSE)</f>
        <v>1593</v>
      </c>
      <c r="R26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1545.21</v>
      </c>
    </row>
    <row r="2635" spans="1:18" x14ac:dyDescent="0.3">
      <c r="A2635" s="2">
        <v>2628</v>
      </c>
      <c r="B2635" s="2" t="s">
        <v>6860</v>
      </c>
      <c r="C2635" s="2" t="s">
        <v>2795</v>
      </c>
      <c r="D2635" s="2" t="s">
        <v>15</v>
      </c>
      <c r="E2635" s="2" t="s">
        <v>16</v>
      </c>
      <c r="F2635" s="2">
        <v>90</v>
      </c>
      <c r="G2635" s="2" t="s">
        <v>6861</v>
      </c>
      <c r="H2635" s="2" t="s">
        <v>5736</v>
      </c>
      <c r="I2635" s="2" t="s">
        <v>95</v>
      </c>
      <c r="J2635" s="3">
        <v>44803</v>
      </c>
      <c r="K2635" s="5">
        <f>YEAR(OrganizedData[[#This Row],[Order Date]])</f>
        <v>2022</v>
      </c>
      <c r="L2635" s="7" t="str">
        <f>TEXT(OrganizedData[[#This Row],[Order Date]],"mmm")</f>
        <v>Aug</v>
      </c>
      <c r="M2635" s="2">
        <v>76</v>
      </c>
      <c r="N2635" s="2" t="s">
        <v>39</v>
      </c>
      <c r="O2635" s="2" t="str">
        <f>VLOOKUP(OrganizedData[[#This Row],[Product Code]],ProductData[[Code]:[Item]],2,FALSE)</f>
        <v>Ultrathing V1</v>
      </c>
      <c r="P2635" s="4">
        <f>OrganizedData[[#This Row],[Quantity]]*VLOOKUP(OrganizedData[[#This Row],[Product Code]],ProductData[],4,FALSE)</f>
        <v>1292</v>
      </c>
      <c r="Q2635" s="6">
        <f>OrganizedData[[#This Row],[Total Items Ordered]]*VLOOKUP(OrganizedData[[#This Row],[Product Code]],ProductData[],3,FALSE)</f>
        <v>2312.6799999999998</v>
      </c>
      <c r="R26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2636" spans="1:18" x14ac:dyDescent="0.3">
      <c r="A2636" s="2">
        <v>2629</v>
      </c>
      <c r="B2636" s="2" t="s">
        <v>6862</v>
      </c>
      <c r="C2636" s="2" t="s">
        <v>2928</v>
      </c>
      <c r="D2636" s="2" t="s">
        <v>51</v>
      </c>
      <c r="E2636" s="2" t="s">
        <v>16</v>
      </c>
      <c r="F2636" s="2">
        <v>30</v>
      </c>
      <c r="G2636" s="2" t="s">
        <v>6863</v>
      </c>
      <c r="H2636" s="2" t="s">
        <v>881</v>
      </c>
      <c r="I2636" s="2" t="s">
        <v>178</v>
      </c>
      <c r="J2636" s="3">
        <v>44509</v>
      </c>
      <c r="K2636" s="5">
        <f>YEAR(OrganizedData[[#This Row],[Order Date]])</f>
        <v>2021</v>
      </c>
      <c r="L2636" s="7" t="str">
        <f>TEXT(OrganizedData[[#This Row],[Order Date]],"mmm")</f>
        <v>Nov</v>
      </c>
      <c r="M2636" s="2">
        <v>24</v>
      </c>
      <c r="N2636" s="2" t="s">
        <v>54</v>
      </c>
      <c r="O2636" s="2" t="str">
        <f>VLOOKUP(OrganizedData[[#This Row],[Product Code]],ProductData[[Code]:[Item]],2,FALSE)</f>
        <v>Megawidget S</v>
      </c>
      <c r="P2636" s="4">
        <f>OrganizedData[[#This Row],[Quantity]]*VLOOKUP(OrganizedData[[#This Row],[Product Code]],ProductData[],4,FALSE)</f>
        <v>576</v>
      </c>
      <c r="Q2636" s="6">
        <f>OrganizedData[[#This Row],[Total Items Ordered]]*VLOOKUP(OrganizedData[[#This Row],[Product Code]],ProductData[],3,FALSE)</f>
        <v>397.43999999999994</v>
      </c>
      <c r="R26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385.51679999999993</v>
      </c>
    </row>
    <row r="2637" spans="1:18" x14ac:dyDescent="0.3">
      <c r="A2637" s="2">
        <v>2630</v>
      </c>
      <c r="B2637" s="2" t="s">
        <v>6864</v>
      </c>
      <c r="C2637" s="2" t="s">
        <v>6865</v>
      </c>
      <c r="D2637" s="2" t="s">
        <v>51</v>
      </c>
      <c r="E2637" s="2" t="s">
        <v>16</v>
      </c>
      <c r="F2637" s="2">
        <v>60</v>
      </c>
      <c r="G2637" s="2" t="s">
        <v>6863</v>
      </c>
      <c r="H2637" s="2" t="s">
        <v>6050</v>
      </c>
      <c r="I2637" s="2" t="s">
        <v>1199</v>
      </c>
      <c r="J2637" s="3">
        <v>44856</v>
      </c>
      <c r="K2637" s="5">
        <f>YEAR(OrganizedData[[#This Row],[Order Date]])</f>
        <v>2022</v>
      </c>
      <c r="L2637" s="7" t="str">
        <f>TEXT(OrganizedData[[#This Row],[Order Date]],"mmm")</f>
        <v>Oct</v>
      </c>
      <c r="M2637" s="2">
        <v>53</v>
      </c>
      <c r="N2637" s="2" t="s">
        <v>33</v>
      </c>
      <c r="O2637" s="2" t="str">
        <f>VLOOKUP(OrganizedData[[#This Row],[Product Code]],ProductData[[Code]:[Item]],2,FALSE)</f>
        <v>Megawidget L</v>
      </c>
      <c r="P2637" s="4">
        <f>OrganizedData[[#This Row],[Quantity]]*VLOOKUP(OrganizedData[[#This Row],[Product Code]],ProductData[],4,FALSE)</f>
        <v>1272</v>
      </c>
      <c r="Q2637" s="6">
        <f>OrganizedData[[#This Row],[Total Items Ordered]]*VLOOKUP(OrganizedData[[#This Row],[Product Code]],ProductData[],3,FALSE)</f>
        <v>2276.88</v>
      </c>
      <c r="R26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2163.0360000000001</v>
      </c>
    </row>
    <row r="2638" spans="1:18" x14ac:dyDescent="0.3">
      <c r="A2638" s="2">
        <v>2631</v>
      </c>
      <c r="B2638" s="2" t="s">
        <v>3902</v>
      </c>
      <c r="C2638" s="2" t="s">
        <v>14</v>
      </c>
      <c r="D2638" s="2" t="s">
        <v>28</v>
      </c>
      <c r="E2638" s="2" t="s">
        <v>29</v>
      </c>
      <c r="F2638" s="2">
        <v>30</v>
      </c>
      <c r="G2638" s="2" t="s">
        <v>6866</v>
      </c>
      <c r="H2638" s="2" t="s">
        <v>1494</v>
      </c>
      <c r="I2638" s="2" t="s">
        <v>32</v>
      </c>
      <c r="J2638" s="3">
        <v>44248</v>
      </c>
      <c r="K2638" s="5">
        <f>YEAR(OrganizedData[[#This Row],[Order Date]])</f>
        <v>2021</v>
      </c>
      <c r="L2638" s="7" t="str">
        <f>TEXT(OrganizedData[[#This Row],[Order Date]],"mmm")</f>
        <v>Feb</v>
      </c>
      <c r="M2638" s="2">
        <v>95</v>
      </c>
      <c r="N2638" s="2" t="s">
        <v>33</v>
      </c>
      <c r="O2638" s="2" t="str">
        <f>VLOOKUP(OrganizedData[[#This Row],[Product Code]],ProductData[[Code]:[Item]],2,FALSE)</f>
        <v>Megawidget L</v>
      </c>
      <c r="P2638" s="4">
        <f>OrganizedData[[#This Row],[Quantity]]*VLOOKUP(OrganizedData[[#This Row],[Product Code]],ProductData[],4,FALSE)</f>
        <v>2280</v>
      </c>
      <c r="Q2638" s="6">
        <f>OrganizedData[[#This Row],[Total Items Ordered]]*VLOOKUP(OrganizedData[[#This Row],[Product Code]],ProductData[],3,FALSE)</f>
        <v>4081.2000000000003</v>
      </c>
      <c r="R26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3877.14</v>
      </c>
    </row>
    <row r="2639" spans="1:18" x14ac:dyDescent="0.3">
      <c r="A2639" s="2">
        <v>2632</v>
      </c>
      <c r="B2639" s="2" t="s">
        <v>5856</v>
      </c>
      <c r="C2639" s="2" t="s">
        <v>3938</v>
      </c>
      <c r="D2639" s="2" t="s">
        <v>28</v>
      </c>
      <c r="E2639" s="2" t="s">
        <v>29</v>
      </c>
      <c r="F2639" s="2">
        <v>90</v>
      </c>
      <c r="G2639" s="2" t="s">
        <v>6867</v>
      </c>
      <c r="H2639" s="2" t="s">
        <v>6659</v>
      </c>
      <c r="I2639" s="2" t="s">
        <v>208</v>
      </c>
      <c r="J2639" s="3">
        <v>44064</v>
      </c>
      <c r="K2639" s="5">
        <f>YEAR(OrganizedData[[#This Row],[Order Date]])</f>
        <v>2020</v>
      </c>
      <c r="L2639" s="7" t="str">
        <f>TEXT(OrganizedData[[#This Row],[Order Date]],"mmm")</f>
        <v>Aug</v>
      </c>
      <c r="M2639" s="2">
        <v>49</v>
      </c>
      <c r="N2639" s="2" t="s">
        <v>64</v>
      </c>
      <c r="O2639" s="2" t="str">
        <f>VLOOKUP(OrganizedData[[#This Row],[Product Code]],ProductData[[Code]:[Item]],2,FALSE)</f>
        <v>Ultrathing V4</v>
      </c>
      <c r="P2639" s="4">
        <f>OrganizedData[[#This Row],[Quantity]]*VLOOKUP(OrganizedData[[#This Row],[Product Code]],ProductData[],4,FALSE)</f>
        <v>1176</v>
      </c>
      <c r="Q2639" s="6">
        <f>OrganizedData[[#This Row],[Total Items Ordered]]*VLOOKUP(OrganizedData[[#This Row],[Product Code]],ProductData[],3,FALSE)</f>
        <v>4692.2400000000007</v>
      </c>
      <c r="R26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4551.4728000000005</v>
      </c>
    </row>
    <row r="2640" spans="1:18" x14ac:dyDescent="0.3">
      <c r="A2640" s="2">
        <v>2633</v>
      </c>
      <c r="B2640" s="2" t="s">
        <v>5960</v>
      </c>
      <c r="C2640" s="2" t="s">
        <v>1721</v>
      </c>
      <c r="D2640" s="2" t="s">
        <v>28</v>
      </c>
      <c r="E2640" s="2" t="s">
        <v>29</v>
      </c>
      <c r="F2640" s="2">
        <v>90</v>
      </c>
      <c r="G2640" s="2" t="s">
        <v>6868</v>
      </c>
      <c r="H2640" s="2" t="s">
        <v>2851</v>
      </c>
      <c r="I2640" s="2" t="s">
        <v>32</v>
      </c>
      <c r="J2640" s="3">
        <v>44099</v>
      </c>
      <c r="K2640" s="5">
        <f>YEAR(OrganizedData[[#This Row],[Order Date]])</f>
        <v>2020</v>
      </c>
      <c r="L2640" s="7" t="str">
        <f>TEXT(OrganizedData[[#This Row],[Order Date]],"mmm")</f>
        <v>Sep</v>
      </c>
      <c r="M2640" s="2">
        <v>37</v>
      </c>
      <c r="N2640" s="2" t="s">
        <v>20</v>
      </c>
      <c r="O2640" s="2" t="str">
        <f>VLOOKUP(OrganizedData[[#This Row],[Product Code]],ProductData[[Code]:[Item]],2,FALSE)</f>
        <v>Hyperwotsit</v>
      </c>
      <c r="P2640" s="4">
        <f>OrganizedData[[#This Row],[Quantity]]*VLOOKUP(OrganizedData[[#This Row],[Product Code]],ProductData[],4,FALSE)</f>
        <v>740</v>
      </c>
      <c r="Q2640" s="6">
        <f>OrganizedData[[#This Row],[Total Items Ordered]]*VLOOKUP(OrganizedData[[#This Row],[Product Code]],ProductData[],3,FALSE)</f>
        <v>1487.3999999999999</v>
      </c>
      <c r="R26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1442.7779999999998</v>
      </c>
    </row>
    <row r="2641" spans="1:18" x14ac:dyDescent="0.3">
      <c r="A2641" s="2">
        <v>2634</v>
      </c>
      <c r="B2641" s="2" t="s">
        <v>6869</v>
      </c>
      <c r="C2641" s="2" t="s">
        <v>5645</v>
      </c>
      <c r="D2641" s="2" t="s">
        <v>51</v>
      </c>
      <c r="E2641" s="2" t="s">
        <v>16</v>
      </c>
      <c r="F2641" s="2">
        <v>60</v>
      </c>
      <c r="G2641" s="2" t="s">
        <v>6868</v>
      </c>
      <c r="H2641" s="2" t="s">
        <v>432</v>
      </c>
      <c r="I2641" s="2" t="s">
        <v>32</v>
      </c>
      <c r="J2641" s="3">
        <v>44124</v>
      </c>
      <c r="K2641" s="5">
        <f>YEAR(OrganizedData[[#This Row],[Order Date]])</f>
        <v>2020</v>
      </c>
      <c r="L2641" s="7" t="str">
        <f>TEXT(OrganizedData[[#This Row],[Order Date]],"mmm")</f>
        <v>Oct</v>
      </c>
      <c r="M2641" s="2">
        <v>13</v>
      </c>
      <c r="N2641" s="2" t="s">
        <v>33</v>
      </c>
      <c r="O2641" s="2" t="str">
        <f>VLOOKUP(OrganizedData[[#This Row],[Product Code]],ProductData[[Code]:[Item]],2,FALSE)</f>
        <v>Megawidget L</v>
      </c>
      <c r="P2641" s="4">
        <f>OrganizedData[[#This Row],[Quantity]]*VLOOKUP(OrganizedData[[#This Row],[Product Code]],ProductData[],4,FALSE)</f>
        <v>312</v>
      </c>
      <c r="Q2641" s="6">
        <f>OrganizedData[[#This Row],[Total Items Ordered]]*VLOOKUP(OrganizedData[[#This Row],[Product Code]],ProductData[],3,FALSE)</f>
        <v>558.48</v>
      </c>
      <c r="R26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2642" spans="1:18" x14ac:dyDescent="0.3">
      <c r="A2642" s="2">
        <v>2635</v>
      </c>
      <c r="B2642" s="2" t="s">
        <v>6870</v>
      </c>
      <c r="C2642" s="2" t="s">
        <v>1717</v>
      </c>
      <c r="D2642" s="2" t="s">
        <v>15</v>
      </c>
      <c r="E2642" s="2" t="s">
        <v>16</v>
      </c>
      <c r="F2642" s="2">
        <v>30</v>
      </c>
      <c r="G2642" s="2" t="s">
        <v>6871</v>
      </c>
      <c r="H2642" s="2" t="s">
        <v>1598</v>
      </c>
      <c r="I2642" s="2" t="s">
        <v>32</v>
      </c>
      <c r="J2642" s="3">
        <v>44786</v>
      </c>
      <c r="K2642" s="5">
        <f>YEAR(OrganizedData[[#This Row],[Order Date]])</f>
        <v>2022</v>
      </c>
      <c r="L2642" s="7" t="str">
        <f>TEXT(OrganizedData[[#This Row],[Order Date]],"mmm")</f>
        <v>Aug</v>
      </c>
      <c r="M2642" s="2">
        <v>71</v>
      </c>
      <c r="N2642" s="2" t="s">
        <v>54</v>
      </c>
      <c r="O2642" s="2" t="str">
        <f>VLOOKUP(OrganizedData[[#This Row],[Product Code]],ProductData[[Code]:[Item]],2,FALSE)</f>
        <v>Megawidget S</v>
      </c>
      <c r="P2642" s="4">
        <f>OrganizedData[[#This Row],[Quantity]]*VLOOKUP(OrganizedData[[#This Row],[Product Code]],ProductData[],4,FALSE)</f>
        <v>1704</v>
      </c>
      <c r="Q2642" s="6">
        <f>OrganizedData[[#This Row],[Total Items Ordered]]*VLOOKUP(OrganizedData[[#This Row],[Product Code]],ProductData[],3,FALSE)</f>
        <v>1175.76</v>
      </c>
      <c r="R26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1116.972</v>
      </c>
    </row>
    <row r="2643" spans="1:18" x14ac:dyDescent="0.3">
      <c r="A2643" s="2">
        <v>2636</v>
      </c>
      <c r="B2643" s="2" t="s">
        <v>580</v>
      </c>
      <c r="C2643" s="2" t="s">
        <v>5138</v>
      </c>
      <c r="D2643" s="2" t="s">
        <v>28</v>
      </c>
      <c r="E2643" s="2" t="s">
        <v>29</v>
      </c>
      <c r="F2643" s="2">
        <v>30</v>
      </c>
      <c r="G2643" s="2" t="s">
        <v>6872</v>
      </c>
      <c r="H2643" s="2" t="s">
        <v>3248</v>
      </c>
      <c r="I2643" s="2" t="s">
        <v>38</v>
      </c>
      <c r="J2643" s="3">
        <v>44067</v>
      </c>
      <c r="K2643" s="5">
        <f>YEAR(OrganizedData[[#This Row],[Order Date]])</f>
        <v>2020</v>
      </c>
      <c r="L2643" s="7" t="str">
        <f>TEXT(OrganizedData[[#This Row],[Order Date]],"mmm")</f>
        <v>Aug</v>
      </c>
      <c r="M2643" s="2">
        <v>75</v>
      </c>
      <c r="N2643" s="2" t="s">
        <v>33</v>
      </c>
      <c r="O2643" s="2" t="str">
        <f>VLOOKUP(OrganizedData[[#This Row],[Product Code]],ProductData[[Code]:[Item]],2,FALSE)</f>
        <v>Megawidget L</v>
      </c>
      <c r="P2643" s="4">
        <f>OrganizedData[[#This Row],[Quantity]]*VLOOKUP(OrganizedData[[#This Row],[Product Code]],ProductData[],4,FALSE)</f>
        <v>1800</v>
      </c>
      <c r="Q2643" s="6">
        <f>OrganizedData[[#This Row],[Total Items Ordered]]*VLOOKUP(OrganizedData[[#This Row],[Product Code]],ProductData[],3,FALSE)</f>
        <v>3222</v>
      </c>
      <c r="R26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3060.8999999999996</v>
      </c>
    </row>
    <row r="2644" spans="1:18" x14ac:dyDescent="0.3">
      <c r="A2644" s="2">
        <v>2637</v>
      </c>
      <c r="B2644" s="2" t="s">
        <v>714</v>
      </c>
      <c r="C2644" s="2" t="s">
        <v>929</v>
      </c>
      <c r="D2644" s="2" t="s">
        <v>28</v>
      </c>
      <c r="E2644" s="2" t="s">
        <v>29</v>
      </c>
      <c r="F2644" s="2">
        <v>60</v>
      </c>
      <c r="G2644" s="2" t="s">
        <v>6873</v>
      </c>
      <c r="H2644" s="2" t="s">
        <v>199</v>
      </c>
      <c r="I2644" s="2" t="s">
        <v>32</v>
      </c>
      <c r="J2644" s="3">
        <v>44801</v>
      </c>
      <c r="K2644" s="5">
        <f>YEAR(OrganizedData[[#This Row],[Order Date]])</f>
        <v>2022</v>
      </c>
      <c r="L2644" s="7" t="str">
        <f>TEXT(OrganizedData[[#This Row],[Order Date]],"mmm")</f>
        <v>Aug</v>
      </c>
      <c r="M2644" s="2">
        <v>7</v>
      </c>
      <c r="N2644" s="2" t="s">
        <v>64</v>
      </c>
      <c r="O2644" s="2" t="str">
        <f>VLOOKUP(OrganizedData[[#This Row],[Product Code]],ProductData[[Code]:[Item]],2,FALSE)</f>
        <v>Ultrathing V4</v>
      </c>
      <c r="P2644" s="4">
        <f>OrganizedData[[#This Row],[Quantity]]*VLOOKUP(OrganizedData[[#This Row],[Product Code]],ProductData[],4,FALSE)</f>
        <v>168</v>
      </c>
      <c r="Q2644" s="6">
        <f>OrganizedData[[#This Row],[Total Items Ordered]]*VLOOKUP(OrganizedData[[#This Row],[Product Code]],ProductData[],3,FALSE)</f>
        <v>670.32</v>
      </c>
      <c r="R26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670.32</v>
      </c>
    </row>
    <row r="2645" spans="1:18" x14ac:dyDescent="0.3">
      <c r="A2645" s="2">
        <v>2638</v>
      </c>
      <c r="B2645" s="2" t="s">
        <v>6874</v>
      </c>
      <c r="C2645" s="2" t="s">
        <v>1121</v>
      </c>
      <c r="D2645" s="2" t="s">
        <v>15</v>
      </c>
      <c r="E2645" s="2" t="s">
        <v>16</v>
      </c>
      <c r="F2645" s="2">
        <v>60</v>
      </c>
      <c r="G2645" s="2" t="s">
        <v>6875</v>
      </c>
      <c r="H2645" s="2" t="s">
        <v>1306</v>
      </c>
      <c r="I2645" s="2" t="s">
        <v>32</v>
      </c>
      <c r="J2645" s="3">
        <v>43984</v>
      </c>
      <c r="K2645" s="5">
        <f>YEAR(OrganizedData[[#This Row],[Order Date]])</f>
        <v>2020</v>
      </c>
      <c r="L2645" s="7" t="str">
        <f>TEXT(OrganizedData[[#This Row],[Order Date]],"mmm")</f>
        <v>Jun</v>
      </c>
      <c r="M2645" s="2">
        <v>57</v>
      </c>
      <c r="N2645" s="2" t="s">
        <v>20</v>
      </c>
      <c r="O2645" s="2" t="str">
        <f>VLOOKUP(OrganizedData[[#This Row],[Product Code]],ProductData[[Code]:[Item]],2,FALSE)</f>
        <v>Hyperwotsit</v>
      </c>
      <c r="P2645" s="4">
        <f>OrganizedData[[#This Row],[Quantity]]*VLOOKUP(OrganizedData[[#This Row],[Product Code]],ProductData[],4,FALSE)</f>
        <v>1140</v>
      </c>
      <c r="Q2645" s="6">
        <f>OrganizedData[[#This Row],[Total Items Ordered]]*VLOOKUP(OrganizedData[[#This Row],[Product Code]],ProductData[],3,FALSE)</f>
        <v>2291.3999999999996</v>
      </c>
      <c r="R26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2176.8299999999995</v>
      </c>
    </row>
    <row r="2646" spans="1:18" x14ac:dyDescent="0.3">
      <c r="A2646" s="2">
        <v>2639</v>
      </c>
      <c r="B2646" s="2" t="s">
        <v>4241</v>
      </c>
      <c r="C2646" s="2" t="s">
        <v>808</v>
      </c>
      <c r="D2646" s="2" t="s">
        <v>51</v>
      </c>
      <c r="E2646" s="2" t="s">
        <v>16</v>
      </c>
      <c r="F2646" s="2">
        <v>60</v>
      </c>
      <c r="G2646" s="2" t="s">
        <v>6876</v>
      </c>
      <c r="H2646" s="2" t="s">
        <v>5025</v>
      </c>
      <c r="I2646" s="2" t="s">
        <v>32</v>
      </c>
      <c r="J2646" s="3">
        <v>44277</v>
      </c>
      <c r="K2646" s="5">
        <f>YEAR(OrganizedData[[#This Row],[Order Date]])</f>
        <v>2021</v>
      </c>
      <c r="L2646" s="7" t="str">
        <f>TEXT(OrganizedData[[#This Row],[Order Date]],"mmm")</f>
        <v>Mar</v>
      </c>
      <c r="M2646" s="2">
        <v>21</v>
      </c>
      <c r="N2646" s="2" t="s">
        <v>70</v>
      </c>
      <c r="O2646" s="2" t="str">
        <f>VLOOKUP(OrganizedData[[#This Row],[Product Code]],ProductData[[Code]:[Item]],2,FALSE)</f>
        <v>Megawidget M</v>
      </c>
      <c r="P2646" s="4">
        <f>OrganizedData[[#This Row],[Quantity]]*VLOOKUP(OrganizedData[[#This Row],[Product Code]],ProductData[],4,FALSE)</f>
        <v>504</v>
      </c>
      <c r="Q2646" s="6">
        <f>OrganizedData[[#This Row],[Total Items Ordered]]*VLOOKUP(OrganizedData[[#This Row],[Product Code]],ProductData[],3,FALSE)</f>
        <v>650.16</v>
      </c>
      <c r="R26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630.65519999999992</v>
      </c>
    </row>
    <row r="2647" spans="1:18" x14ac:dyDescent="0.3">
      <c r="A2647" s="2">
        <v>2640</v>
      </c>
      <c r="B2647" s="2" t="s">
        <v>6877</v>
      </c>
      <c r="C2647" s="2" t="s">
        <v>762</v>
      </c>
      <c r="D2647" s="2" t="s">
        <v>15</v>
      </c>
      <c r="E2647" s="2" t="s">
        <v>16</v>
      </c>
      <c r="F2647" s="2">
        <v>90</v>
      </c>
      <c r="G2647" s="2" t="s">
        <v>6878</v>
      </c>
      <c r="H2647" s="2" t="s">
        <v>1598</v>
      </c>
      <c r="I2647" s="2" t="s">
        <v>32</v>
      </c>
      <c r="J2647" s="3">
        <v>44496</v>
      </c>
      <c r="K2647" s="5">
        <f>YEAR(OrganizedData[[#This Row],[Order Date]])</f>
        <v>2021</v>
      </c>
      <c r="L2647" s="7" t="str">
        <f>TEXT(OrganizedData[[#This Row],[Order Date]],"mmm")</f>
        <v>Oct</v>
      </c>
      <c r="M2647" s="2">
        <v>2</v>
      </c>
      <c r="N2647" s="2" t="s">
        <v>33</v>
      </c>
      <c r="O2647" s="2" t="str">
        <f>VLOOKUP(OrganizedData[[#This Row],[Product Code]],ProductData[[Code]:[Item]],2,FALSE)</f>
        <v>Megawidget L</v>
      </c>
      <c r="P2647" s="4">
        <f>OrganizedData[[#This Row],[Quantity]]*VLOOKUP(OrganizedData[[#This Row],[Product Code]],ProductData[],4,FALSE)</f>
        <v>48</v>
      </c>
      <c r="Q2647" s="6">
        <f>OrganizedData[[#This Row],[Total Items Ordered]]*VLOOKUP(OrganizedData[[#This Row],[Product Code]],ProductData[],3,FALSE)</f>
        <v>85.92</v>
      </c>
      <c r="R26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2648" spans="1:18" x14ac:dyDescent="0.3">
      <c r="A2648" s="2">
        <v>2641</v>
      </c>
      <c r="B2648" s="2" t="s">
        <v>1816</v>
      </c>
      <c r="C2648" s="2" t="s">
        <v>1222</v>
      </c>
      <c r="D2648" s="2" t="s">
        <v>51</v>
      </c>
      <c r="E2648" s="2" t="s">
        <v>16</v>
      </c>
      <c r="F2648" s="2">
        <v>90</v>
      </c>
      <c r="G2648" s="2" t="s">
        <v>6879</v>
      </c>
      <c r="H2648" s="2" t="s">
        <v>6880</v>
      </c>
      <c r="I2648" s="2" t="s">
        <v>32</v>
      </c>
      <c r="J2648" s="3">
        <v>44087</v>
      </c>
      <c r="K2648" s="5">
        <f>YEAR(OrganizedData[[#This Row],[Order Date]])</f>
        <v>2020</v>
      </c>
      <c r="L2648" s="7" t="str">
        <f>TEXT(OrganizedData[[#This Row],[Order Date]],"mmm")</f>
        <v>Sep</v>
      </c>
      <c r="M2648" s="2">
        <v>69</v>
      </c>
      <c r="N2648" s="2" t="s">
        <v>39</v>
      </c>
      <c r="O2648" s="2" t="str">
        <f>VLOOKUP(OrganizedData[[#This Row],[Product Code]],ProductData[[Code]:[Item]],2,FALSE)</f>
        <v>Ultrathing V1</v>
      </c>
      <c r="P2648" s="4">
        <f>OrganizedData[[#This Row],[Quantity]]*VLOOKUP(OrganizedData[[#This Row],[Product Code]],ProductData[],4,FALSE)</f>
        <v>1173</v>
      </c>
      <c r="Q2648" s="6">
        <f>OrganizedData[[#This Row],[Total Items Ordered]]*VLOOKUP(OrganizedData[[#This Row],[Product Code]],ProductData[],3,FALSE)</f>
        <v>2099.67</v>
      </c>
      <c r="R26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2649" spans="1:18" x14ac:dyDescent="0.3">
      <c r="A2649" s="2">
        <v>2642</v>
      </c>
      <c r="B2649" s="2" t="s">
        <v>5015</v>
      </c>
      <c r="C2649" s="2" t="s">
        <v>61</v>
      </c>
      <c r="D2649" s="2" t="s">
        <v>28</v>
      </c>
      <c r="E2649" s="2" t="s">
        <v>29</v>
      </c>
      <c r="F2649" s="2">
        <v>30</v>
      </c>
      <c r="G2649" s="2" t="s">
        <v>6881</v>
      </c>
      <c r="H2649" s="2" t="s">
        <v>2069</v>
      </c>
      <c r="I2649" s="2" t="s">
        <v>1035</v>
      </c>
      <c r="J2649" s="3">
        <v>44050</v>
      </c>
      <c r="K2649" s="5">
        <f>YEAR(OrganizedData[[#This Row],[Order Date]])</f>
        <v>2020</v>
      </c>
      <c r="L2649" s="7" t="str">
        <f>TEXT(OrganizedData[[#This Row],[Order Date]],"mmm")</f>
        <v>Aug</v>
      </c>
      <c r="M2649" s="2">
        <v>62</v>
      </c>
      <c r="N2649" s="2" t="s">
        <v>45</v>
      </c>
      <c r="O2649" s="2" t="str">
        <f>VLOOKUP(OrganizedData[[#This Row],[Product Code]],ProductData[[Code]:[Item]],2,FALSE)</f>
        <v>Gigastuff</v>
      </c>
      <c r="P2649" s="4">
        <f>OrganizedData[[#This Row],[Quantity]]*VLOOKUP(OrganizedData[[#This Row],[Product Code]],ProductData[],4,FALSE)</f>
        <v>1116</v>
      </c>
      <c r="Q2649" s="6">
        <f>OrganizedData[[#This Row],[Total Items Ordered]]*VLOOKUP(OrganizedData[[#This Row],[Product Code]],ProductData[],3,FALSE)</f>
        <v>2109.2399999999998</v>
      </c>
      <c r="R26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2650" spans="1:18" x14ac:dyDescent="0.3">
      <c r="A2650" s="2">
        <v>2643</v>
      </c>
      <c r="B2650" s="2" t="s">
        <v>6882</v>
      </c>
      <c r="C2650" s="2" t="s">
        <v>1101</v>
      </c>
      <c r="D2650" s="2" t="s">
        <v>28</v>
      </c>
      <c r="E2650" s="2" t="s">
        <v>29</v>
      </c>
      <c r="F2650" s="2">
        <v>90</v>
      </c>
      <c r="G2650" s="2" t="s">
        <v>6883</v>
      </c>
      <c r="H2650" s="2" t="s">
        <v>738</v>
      </c>
      <c r="I2650" s="2" t="s">
        <v>38</v>
      </c>
      <c r="J2650" s="3">
        <v>44673</v>
      </c>
      <c r="K2650" s="5">
        <f>YEAR(OrganizedData[[#This Row],[Order Date]])</f>
        <v>2022</v>
      </c>
      <c r="L2650" s="7" t="str">
        <f>TEXT(OrganizedData[[#This Row],[Order Date]],"mmm")</f>
        <v>Apr</v>
      </c>
      <c r="M2650" s="2">
        <v>96</v>
      </c>
      <c r="N2650" s="2" t="s">
        <v>54</v>
      </c>
      <c r="O2650" s="2" t="str">
        <f>VLOOKUP(OrganizedData[[#This Row],[Product Code]],ProductData[[Code]:[Item]],2,FALSE)</f>
        <v>Megawidget S</v>
      </c>
      <c r="P2650" s="4">
        <f>OrganizedData[[#This Row],[Quantity]]*VLOOKUP(OrganizedData[[#This Row],[Product Code]],ProductData[],4,FALSE)</f>
        <v>2304</v>
      </c>
      <c r="Q2650" s="6">
        <f>OrganizedData[[#This Row],[Total Items Ordered]]*VLOOKUP(OrganizedData[[#This Row],[Product Code]],ProductData[],3,FALSE)</f>
        <v>1589.7599999999998</v>
      </c>
      <c r="R26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1510.2719999999997</v>
      </c>
    </row>
    <row r="2651" spans="1:18" x14ac:dyDescent="0.3">
      <c r="A2651" s="2">
        <v>2644</v>
      </c>
      <c r="B2651" s="2" t="s">
        <v>6884</v>
      </c>
      <c r="C2651" s="2" t="s">
        <v>5215</v>
      </c>
      <c r="D2651" s="2" t="s">
        <v>51</v>
      </c>
      <c r="E2651" s="2" t="s">
        <v>16</v>
      </c>
      <c r="F2651" s="2">
        <v>30</v>
      </c>
      <c r="G2651" s="2" t="s">
        <v>6885</v>
      </c>
      <c r="H2651" s="2" t="s">
        <v>3558</v>
      </c>
      <c r="I2651" s="2" t="s">
        <v>32</v>
      </c>
      <c r="J2651" s="3">
        <v>44119</v>
      </c>
      <c r="K2651" s="5">
        <f>YEAR(OrganizedData[[#This Row],[Order Date]])</f>
        <v>2020</v>
      </c>
      <c r="L2651" s="7" t="str">
        <f>TEXT(OrganizedData[[#This Row],[Order Date]],"mmm")</f>
        <v>Oct</v>
      </c>
      <c r="M2651" s="2">
        <v>7</v>
      </c>
      <c r="N2651" s="2" t="s">
        <v>101</v>
      </c>
      <c r="O2651" s="2" t="str">
        <f>VLOOKUP(OrganizedData[[#This Row],[Product Code]],ProductData[[Code]:[Item]],2,FALSE)</f>
        <v>Superwossname</v>
      </c>
      <c r="P2651" s="4">
        <f>OrganizedData[[#This Row],[Quantity]]*VLOOKUP(OrganizedData[[#This Row],[Product Code]],ProductData[],4,FALSE)</f>
        <v>140</v>
      </c>
      <c r="Q2651" s="6">
        <f>OrganizedData[[#This Row],[Total Items Ordered]]*VLOOKUP(OrganizedData[[#This Row],[Product Code]],ProductData[],3,FALSE)</f>
        <v>488.6</v>
      </c>
      <c r="R26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488.6</v>
      </c>
    </row>
    <row r="2652" spans="1:18" x14ac:dyDescent="0.3">
      <c r="A2652" s="2">
        <v>2645</v>
      </c>
      <c r="B2652" s="2" t="s">
        <v>471</v>
      </c>
      <c r="C2652" s="2" t="s">
        <v>1756</v>
      </c>
      <c r="D2652" s="2" t="s">
        <v>28</v>
      </c>
      <c r="E2652" s="2" t="s">
        <v>29</v>
      </c>
      <c r="F2652" s="2">
        <v>60</v>
      </c>
      <c r="G2652" s="2" t="s">
        <v>6886</v>
      </c>
      <c r="H2652" s="2" t="s">
        <v>4203</v>
      </c>
      <c r="I2652" s="2" t="s">
        <v>208</v>
      </c>
      <c r="J2652" s="3">
        <v>44680</v>
      </c>
      <c r="K2652" s="5">
        <f>YEAR(OrganizedData[[#This Row],[Order Date]])</f>
        <v>2022</v>
      </c>
      <c r="L2652" s="7" t="str">
        <f>TEXT(OrganizedData[[#This Row],[Order Date]],"mmm")</f>
        <v>Apr</v>
      </c>
      <c r="M2652" s="2">
        <v>55</v>
      </c>
      <c r="N2652" s="2" t="s">
        <v>70</v>
      </c>
      <c r="O2652" s="2" t="str">
        <f>VLOOKUP(OrganizedData[[#This Row],[Product Code]],ProductData[[Code]:[Item]],2,FALSE)</f>
        <v>Megawidget M</v>
      </c>
      <c r="P2652" s="4">
        <f>OrganizedData[[#This Row],[Quantity]]*VLOOKUP(OrganizedData[[#This Row],[Product Code]],ProductData[],4,FALSE)</f>
        <v>1320</v>
      </c>
      <c r="Q2652" s="6">
        <f>OrganizedData[[#This Row],[Total Items Ordered]]*VLOOKUP(OrganizedData[[#This Row],[Product Code]],ProductData[],3,FALSE)</f>
        <v>1702.8</v>
      </c>
      <c r="R26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1617.6599999999999</v>
      </c>
    </row>
    <row r="2653" spans="1:18" x14ac:dyDescent="0.3">
      <c r="A2653" s="2">
        <v>2646</v>
      </c>
      <c r="B2653" s="2" t="s">
        <v>5607</v>
      </c>
      <c r="C2653" s="2" t="s">
        <v>653</v>
      </c>
      <c r="D2653" s="2" t="s">
        <v>15</v>
      </c>
      <c r="E2653" s="2" t="s">
        <v>16</v>
      </c>
      <c r="F2653" s="2">
        <v>60</v>
      </c>
      <c r="G2653" s="2" t="s">
        <v>6887</v>
      </c>
      <c r="H2653" s="2" t="s">
        <v>1911</v>
      </c>
      <c r="I2653" s="2" t="s">
        <v>32</v>
      </c>
      <c r="J2653" s="3">
        <v>44818</v>
      </c>
      <c r="K2653" s="5">
        <f>YEAR(OrganizedData[[#This Row],[Order Date]])</f>
        <v>2022</v>
      </c>
      <c r="L2653" s="7" t="str">
        <f>TEXT(OrganizedData[[#This Row],[Order Date]],"mmm")</f>
        <v>Sep</v>
      </c>
      <c r="M2653" s="2">
        <v>9</v>
      </c>
      <c r="N2653" s="2" t="s">
        <v>20</v>
      </c>
      <c r="O2653" s="2" t="str">
        <f>VLOOKUP(OrganizedData[[#This Row],[Product Code]],ProductData[[Code]:[Item]],2,FALSE)</f>
        <v>Hyperwotsit</v>
      </c>
      <c r="P2653" s="4">
        <f>OrganizedData[[#This Row],[Quantity]]*VLOOKUP(OrganizedData[[#This Row],[Product Code]],ProductData[],4,FALSE)</f>
        <v>180</v>
      </c>
      <c r="Q2653" s="6">
        <f>OrganizedData[[#This Row],[Total Items Ordered]]*VLOOKUP(OrganizedData[[#This Row],[Product Code]],ProductData[],3,FALSE)</f>
        <v>361.79999999999995</v>
      </c>
      <c r="R26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361.79999999999995</v>
      </c>
    </row>
    <row r="2654" spans="1:18" x14ac:dyDescent="0.3">
      <c r="A2654" s="2">
        <v>2647</v>
      </c>
      <c r="B2654" s="2" t="s">
        <v>6075</v>
      </c>
      <c r="C2654" s="2" t="s">
        <v>6888</v>
      </c>
      <c r="D2654" s="2" t="s">
        <v>28</v>
      </c>
      <c r="E2654" s="2" t="s">
        <v>29</v>
      </c>
      <c r="F2654" s="2">
        <v>90</v>
      </c>
      <c r="G2654" s="2" t="s">
        <v>4811</v>
      </c>
      <c r="H2654" s="2" t="s">
        <v>1276</v>
      </c>
      <c r="I2654" s="2" t="s">
        <v>32</v>
      </c>
      <c r="J2654" s="3">
        <v>44663</v>
      </c>
      <c r="K2654" s="5">
        <f>YEAR(OrganizedData[[#This Row],[Order Date]])</f>
        <v>2022</v>
      </c>
      <c r="L2654" s="7" t="str">
        <f>TEXT(OrganizedData[[#This Row],[Order Date]],"mmm")</f>
        <v>Apr</v>
      </c>
      <c r="M2654" s="2">
        <v>56</v>
      </c>
      <c r="N2654" s="2" t="s">
        <v>20</v>
      </c>
      <c r="O2654" s="2" t="str">
        <f>VLOOKUP(OrganizedData[[#This Row],[Product Code]],ProductData[[Code]:[Item]],2,FALSE)</f>
        <v>Hyperwotsit</v>
      </c>
      <c r="P2654" s="4">
        <f>OrganizedData[[#This Row],[Quantity]]*VLOOKUP(OrganizedData[[#This Row],[Product Code]],ProductData[],4,FALSE)</f>
        <v>1120</v>
      </c>
      <c r="Q2654" s="6">
        <f>OrganizedData[[#This Row],[Total Items Ordered]]*VLOOKUP(OrganizedData[[#This Row],[Product Code]],ProductData[],3,FALSE)</f>
        <v>2251.1999999999998</v>
      </c>
      <c r="R26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2655" spans="1:18" x14ac:dyDescent="0.3">
      <c r="A2655" s="2">
        <v>2648</v>
      </c>
      <c r="B2655" s="2" t="s">
        <v>6889</v>
      </c>
      <c r="C2655" s="2" t="s">
        <v>6890</v>
      </c>
      <c r="D2655" s="2" t="s">
        <v>51</v>
      </c>
      <c r="E2655" s="2" t="s">
        <v>16</v>
      </c>
      <c r="F2655" s="2">
        <v>90</v>
      </c>
      <c r="G2655" s="2" t="s">
        <v>6891</v>
      </c>
      <c r="H2655" s="2" t="s">
        <v>2265</v>
      </c>
      <c r="I2655" s="2" t="s">
        <v>1083</v>
      </c>
      <c r="J2655" s="3">
        <v>44446</v>
      </c>
      <c r="K2655" s="5">
        <f>YEAR(OrganizedData[[#This Row],[Order Date]])</f>
        <v>2021</v>
      </c>
      <c r="L2655" s="7" t="str">
        <f>TEXT(OrganizedData[[#This Row],[Order Date]],"mmm")</f>
        <v>Sep</v>
      </c>
      <c r="M2655" s="2">
        <v>6</v>
      </c>
      <c r="N2655" s="2" t="s">
        <v>64</v>
      </c>
      <c r="O2655" s="2" t="str">
        <f>VLOOKUP(OrganizedData[[#This Row],[Product Code]],ProductData[[Code]:[Item]],2,FALSE)</f>
        <v>Ultrathing V4</v>
      </c>
      <c r="P2655" s="4">
        <f>OrganizedData[[#This Row],[Quantity]]*VLOOKUP(OrganizedData[[#This Row],[Product Code]],ProductData[],4,FALSE)</f>
        <v>144</v>
      </c>
      <c r="Q2655" s="6">
        <f>OrganizedData[[#This Row],[Total Items Ordered]]*VLOOKUP(OrganizedData[[#This Row],[Product Code]],ProductData[],3,FALSE)</f>
        <v>574.56000000000006</v>
      </c>
      <c r="R26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574.56000000000006</v>
      </c>
    </row>
    <row r="2656" spans="1:18" x14ac:dyDescent="0.3">
      <c r="A2656" s="2">
        <v>2649</v>
      </c>
      <c r="B2656" s="2" t="s">
        <v>6892</v>
      </c>
      <c r="C2656" s="2" t="s">
        <v>4047</v>
      </c>
      <c r="D2656" s="2" t="s">
        <v>15</v>
      </c>
      <c r="E2656" s="2" t="s">
        <v>16</v>
      </c>
      <c r="F2656" s="2">
        <v>60</v>
      </c>
      <c r="G2656" s="2" t="s">
        <v>6893</v>
      </c>
      <c r="H2656" s="2" t="s">
        <v>615</v>
      </c>
      <c r="I2656" s="2" t="s">
        <v>32</v>
      </c>
      <c r="J2656" s="3">
        <v>44259</v>
      </c>
      <c r="K2656" s="5">
        <f>YEAR(OrganizedData[[#This Row],[Order Date]])</f>
        <v>2021</v>
      </c>
      <c r="L2656" s="7" t="str">
        <f>TEXT(OrganizedData[[#This Row],[Order Date]],"mmm")</f>
        <v>Mar</v>
      </c>
      <c r="M2656" s="2">
        <v>8</v>
      </c>
      <c r="N2656" s="2" t="s">
        <v>159</v>
      </c>
      <c r="O2656" s="2" t="str">
        <f>VLOOKUP(OrganizedData[[#This Row],[Product Code]],ProductData[[Code]:[Item]],2,FALSE)</f>
        <v>Ultrathing V3</v>
      </c>
      <c r="P2656" s="4">
        <f>OrganizedData[[#This Row],[Quantity]]*VLOOKUP(OrganizedData[[#This Row],[Product Code]],ProductData[],4,FALSE)</f>
        <v>192</v>
      </c>
      <c r="Q2656" s="6">
        <f>OrganizedData[[#This Row],[Total Items Ordered]]*VLOOKUP(OrganizedData[[#This Row],[Product Code]],ProductData[],3,FALSE)</f>
        <v>650.88</v>
      </c>
      <c r="R26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650.88</v>
      </c>
    </row>
    <row r="2657" spans="1:18" x14ac:dyDescent="0.3">
      <c r="A2657" s="2">
        <v>2650</v>
      </c>
      <c r="B2657" s="2" t="s">
        <v>6894</v>
      </c>
      <c r="C2657" s="2" t="s">
        <v>4755</v>
      </c>
      <c r="D2657" s="2" t="s">
        <v>15</v>
      </c>
      <c r="E2657" s="2" t="s">
        <v>16</v>
      </c>
      <c r="F2657" s="2">
        <v>60</v>
      </c>
      <c r="G2657" s="2" t="s">
        <v>6895</v>
      </c>
      <c r="H2657" s="2" t="s">
        <v>1001</v>
      </c>
      <c r="I2657" s="2" t="s">
        <v>32</v>
      </c>
      <c r="J2657" s="3">
        <v>43954</v>
      </c>
      <c r="K2657" s="5">
        <f>YEAR(OrganizedData[[#This Row],[Order Date]])</f>
        <v>2020</v>
      </c>
      <c r="L2657" s="7" t="str">
        <f>TEXT(OrganizedData[[#This Row],[Order Date]],"mmm")</f>
        <v>May</v>
      </c>
      <c r="M2657" s="2">
        <v>13</v>
      </c>
      <c r="N2657" s="2" t="s">
        <v>70</v>
      </c>
      <c r="O2657" s="2" t="str">
        <f>VLOOKUP(OrganizedData[[#This Row],[Product Code]],ProductData[[Code]:[Item]],2,FALSE)</f>
        <v>Megawidget M</v>
      </c>
      <c r="P2657" s="4">
        <f>OrganizedData[[#This Row],[Quantity]]*VLOOKUP(OrganizedData[[#This Row],[Product Code]],ProductData[],4,FALSE)</f>
        <v>312</v>
      </c>
      <c r="Q2657" s="6">
        <f>OrganizedData[[#This Row],[Total Items Ordered]]*VLOOKUP(OrganizedData[[#This Row],[Product Code]],ProductData[],3,FALSE)</f>
        <v>402.48</v>
      </c>
      <c r="R26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402.48</v>
      </c>
    </row>
    <row r="2658" spans="1:18" x14ac:dyDescent="0.3">
      <c r="A2658" s="2">
        <v>2651</v>
      </c>
      <c r="B2658" s="2" t="s">
        <v>6896</v>
      </c>
      <c r="C2658" s="2" t="s">
        <v>3201</v>
      </c>
      <c r="D2658" s="2" t="s">
        <v>41</v>
      </c>
      <c r="E2658" s="2" t="s">
        <v>16</v>
      </c>
      <c r="F2658" s="2">
        <v>30</v>
      </c>
      <c r="G2658" s="2" t="s">
        <v>6897</v>
      </c>
      <c r="H2658" s="2" t="s">
        <v>6551</v>
      </c>
      <c r="I2658" s="2" t="s">
        <v>178</v>
      </c>
      <c r="J2658" s="3">
        <v>44711</v>
      </c>
      <c r="K2658" s="5">
        <f>YEAR(OrganizedData[[#This Row],[Order Date]])</f>
        <v>2022</v>
      </c>
      <c r="L2658" s="7" t="str">
        <f>TEXT(OrganizedData[[#This Row],[Order Date]],"mmm")</f>
        <v>May</v>
      </c>
      <c r="M2658" s="2">
        <v>89</v>
      </c>
      <c r="N2658" s="2" t="s">
        <v>54</v>
      </c>
      <c r="O2658" s="2" t="str">
        <f>VLOOKUP(OrganizedData[[#This Row],[Product Code]],ProductData[[Code]:[Item]],2,FALSE)</f>
        <v>Megawidget S</v>
      </c>
      <c r="P2658" s="4">
        <f>OrganizedData[[#This Row],[Quantity]]*VLOOKUP(OrganizedData[[#This Row],[Product Code]],ProductData[],4,FALSE)</f>
        <v>2136</v>
      </c>
      <c r="Q2658" s="6">
        <f>OrganizedData[[#This Row],[Total Items Ordered]]*VLOOKUP(OrganizedData[[#This Row],[Product Code]],ProductData[],3,FALSE)</f>
        <v>1473.84</v>
      </c>
      <c r="R26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1400.1479999999999</v>
      </c>
    </row>
    <row r="2659" spans="1:18" x14ac:dyDescent="0.3">
      <c r="A2659" s="2">
        <v>2652</v>
      </c>
      <c r="B2659" s="2" t="s">
        <v>1982</v>
      </c>
      <c r="C2659" s="2" t="s">
        <v>1301</v>
      </c>
      <c r="D2659" s="2" t="s">
        <v>28</v>
      </c>
      <c r="E2659" s="2" t="s">
        <v>29</v>
      </c>
      <c r="F2659" s="2">
        <v>60</v>
      </c>
      <c r="G2659" s="2" t="s">
        <v>6898</v>
      </c>
      <c r="H2659" s="2" t="s">
        <v>4853</v>
      </c>
      <c r="I2659" s="2" t="s">
        <v>178</v>
      </c>
      <c r="J2659" s="3">
        <v>44657</v>
      </c>
      <c r="K2659" s="5">
        <f>YEAR(OrganizedData[[#This Row],[Order Date]])</f>
        <v>2022</v>
      </c>
      <c r="L2659" s="7" t="str">
        <f>TEXT(OrganizedData[[#This Row],[Order Date]],"mmm")</f>
        <v>Apr</v>
      </c>
      <c r="M2659" s="2">
        <v>21</v>
      </c>
      <c r="N2659" s="2" t="s">
        <v>70</v>
      </c>
      <c r="O2659" s="2" t="str">
        <f>VLOOKUP(OrganizedData[[#This Row],[Product Code]],ProductData[[Code]:[Item]],2,FALSE)</f>
        <v>Megawidget M</v>
      </c>
      <c r="P2659" s="4">
        <f>OrganizedData[[#This Row],[Quantity]]*VLOOKUP(OrganizedData[[#This Row],[Product Code]],ProductData[],4,FALSE)</f>
        <v>504</v>
      </c>
      <c r="Q2659" s="6">
        <f>OrganizedData[[#This Row],[Total Items Ordered]]*VLOOKUP(OrganizedData[[#This Row],[Product Code]],ProductData[],3,FALSE)</f>
        <v>650.16</v>
      </c>
      <c r="R26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630.65519999999992</v>
      </c>
    </row>
    <row r="2660" spans="1:18" x14ac:dyDescent="0.3">
      <c r="A2660" s="2">
        <v>2653</v>
      </c>
      <c r="B2660" s="2" t="s">
        <v>6899</v>
      </c>
      <c r="C2660" s="2" t="s">
        <v>5156</v>
      </c>
      <c r="D2660" s="2" t="s">
        <v>28</v>
      </c>
      <c r="E2660" s="2" t="s">
        <v>29</v>
      </c>
      <c r="F2660" s="2">
        <v>30</v>
      </c>
      <c r="G2660" s="2" t="s">
        <v>6900</v>
      </c>
      <c r="H2660" s="2" t="s">
        <v>1005</v>
      </c>
      <c r="I2660" s="2" t="s">
        <v>178</v>
      </c>
      <c r="J2660" s="3">
        <v>44301</v>
      </c>
      <c r="K2660" s="5">
        <f>YEAR(OrganizedData[[#This Row],[Order Date]])</f>
        <v>2021</v>
      </c>
      <c r="L2660" s="7" t="str">
        <f>TEXT(OrganizedData[[#This Row],[Order Date]],"mmm")</f>
        <v>Apr</v>
      </c>
      <c r="M2660" s="2">
        <v>51</v>
      </c>
      <c r="N2660" s="2" t="s">
        <v>33</v>
      </c>
      <c r="O2660" s="2" t="str">
        <f>VLOOKUP(OrganizedData[[#This Row],[Product Code]],ProductData[[Code]:[Item]],2,FALSE)</f>
        <v>Megawidget L</v>
      </c>
      <c r="P2660" s="4">
        <f>OrganizedData[[#This Row],[Quantity]]*VLOOKUP(OrganizedData[[#This Row],[Product Code]],ProductData[],4,FALSE)</f>
        <v>1224</v>
      </c>
      <c r="Q2660" s="6">
        <f>OrganizedData[[#This Row],[Total Items Ordered]]*VLOOKUP(OrganizedData[[#This Row],[Product Code]],ProductData[],3,FALSE)</f>
        <v>2190.96</v>
      </c>
      <c r="R26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2661" spans="1:18" x14ac:dyDescent="0.3">
      <c r="A2661" s="2">
        <v>2654</v>
      </c>
      <c r="B2661" s="2" t="s">
        <v>1043</v>
      </c>
      <c r="C2661" s="2" t="s">
        <v>1182</v>
      </c>
      <c r="D2661" s="2" t="s">
        <v>51</v>
      </c>
      <c r="E2661" s="2" t="s">
        <v>16</v>
      </c>
      <c r="F2661" s="2">
        <v>30</v>
      </c>
      <c r="G2661" s="2" t="s">
        <v>6901</v>
      </c>
      <c r="H2661" s="2" t="s">
        <v>4100</v>
      </c>
      <c r="I2661" s="2" t="s">
        <v>294</v>
      </c>
      <c r="J2661" s="3">
        <v>44729</v>
      </c>
      <c r="K2661" s="5">
        <f>YEAR(OrganizedData[[#This Row],[Order Date]])</f>
        <v>2022</v>
      </c>
      <c r="L2661" s="7" t="str">
        <f>TEXT(OrganizedData[[#This Row],[Order Date]],"mmm")</f>
        <v>Jun</v>
      </c>
      <c r="M2661" s="2">
        <v>102</v>
      </c>
      <c r="N2661" s="2" t="s">
        <v>64</v>
      </c>
      <c r="O2661" s="2" t="str">
        <f>VLOOKUP(OrganizedData[[#This Row],[Product Code]],ProductData[[Code]:[Item]],2,FALSE)</f>
        <v>Ultrathing V4</v>
      </c>
      <c r="P2661" s="4">
        <f>OrganizedData[[#This Row],[Quantity]]*VLOOKUP(OrganizedData[[#This Row],[Product Code]],ProductData[],4,FALSE)</f>
        <v>2448</v>
      </c>
      <c r="Q2661" s="6">
        <f>OrganizedData[[#This Row],[Total Items Ordered]]*VLOOKUP(OrganizedData[[#This Row],[Product Code]],ProductData[],3,FALSE)</f>
        <v>9767.52</v>
      </c>
      <c r="R26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9083.7936000000009</v>
      </c>
    </row>
    <row r="2662" spans="1:18" x14ac:dyDescent="0.3">
      <c r="A2662" s="2">
        <v>2655</v>
      </c>
      <c r="B2662" s="2" t="s">
        <v>6902</v>
      </c>
      <c r="C2662" s="2" t="s">
        <v>2945</v>
      </c>
      <c r="D2662" s="2" t="s">
        <v>15</v>
      </c>
      <c r="E2662" s="2" t="s">
        <v>16</v>
      </c>
      <c r="F2662" s="2">
        <v>90</v>
      </c>
      <c r="G2662" s="2" t="s">
        <v>6903</v>
      </c>
      <c r="H2662" s="2" t="s">
        <v>2133</v>
      </c>
      <c r="I2662" s="2" t="s">
        <v>32</v>
      </c>
      <c r="J2662" s="3">
        <v>44108</v>
      </c>
      <c r="K2662" s="5">
        <f>YEAR(OrganizedData[[#This Row],[Order Date]])</f>
        <v>2020</v>
      </c>
      <c r="L2662" s="7" t="str">
        <f>TEXT(OrganizedData[[#This Row],[Order Date]],"mmm")</f>
        <v>Oct</v>
      </c>
      <c r="M2662" s="2">
        <v>29</v>
      </c>
      <c r="N2662" s="2" t="s">
        <v>54</v>
      </c>
      <c r="O2662" s="2" t="str">
        <f>VLOOKUP(OrganizedData[[#This Row],[Product Code]],ProductData[[Code]:[Item]],2,FALSE)</f>
        <v>Megawidget S</v>
      </c>
      <c r="P2662" s="4">
        <f>OrganizedData[[#This Row],[Quantity]]*VLOOKUP(OrganizedData[[#This Row],[Product Code]],ProductData[],4,FALSE)</f>
        <v>696</v>
      </c>
      <c r="Q2662" s="6">
        <f>OrganizedData[[#This Row],[Total Items Ordered]]*VLOOKUP(OrganizedData[[#This Row],[Product Code]],ProductData[],3,FALSE)</f>
        <v>480.23999999999995</v>
      </c>
      <c r="R26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2663" spans="1:18" x14ac:dyDescent="0.3">
      <c r="A2663" s="2">
        <v>2656</v>
      </c>
      <c r="B2663" s="2" t="s">
        <v>2969</v>
      </c>
      <c r="C2663" s="2" t="s">
        <v>2309</v>
      </c>
      <c r="D2663" s="2" t="s">
        <v>15</v>
      </c>
      <c r="E2663" s="2" t="s">
        <v>16</v>
      </c>
      <c r="F2663" s="2">
        <v>90</v>
      </c>
      <c r="G2663" s="2" t="s">
        <v>6904</v>
      </c>
      <c r="H2663" s="2" t="s">
        <v>1206</v>
      </c>
      <c r="I2663" s="2" t="s">
        <v>294</v>
      </c>
      <c r="J2663" s="3">
        <v>43990</v>
      </c>
      <c r="K2663" s="5">
        <f>YEAR(OrganizedData[[#This Row],[Order Date]])</f>
        <v>2020</v>
      </c>
      <c r="L2663" s="7" t="str">
        <f>TEXT(OrganizedData[[#This Row],[Order Date]],"mmm")</f>
        <v>Jun</v>
      </c>
      <c r="M2663" s="2">
        <v>7</v>
      </c>
      <c r="N2663" s="2" t="s">
        <v>70</v>
      </c>
      <c r="O2663" s="2" t="str">
        <f>VLOOKUP(OrganizedData[[#This Row],[Product Code]],ProductData[[Code]:[Item]],2,FALSE)</f>
        <v>Megawidget M</v>
      </c>
      <c r="P2663" s="4">
        <f>OrganizedData[[#This Row],[Quantity]]*VLOOKUP(OrganizedData[[#This Row],[Product Code]],ProductData[],4,FALSE)</f>
        <v>168</v>
      </c>
      <c r="Q2663" s="6">
        <f>OrganizedData[[#This Row],[Total Items Ordered]]*VLOOKUP(OrganizedData[[#This Row],[Product Code]],ProductData[],3,FALSE)</f>
        <v>216.72</v>
      </c>
      <c r="R26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216.72</v>
      </c>
    </row>
    <row r="2664" spans="1:18" x14ac:dyDescent="0.3">
      <c r="A2664" s="2">
        <v>2657</v>
      </c>
      <c r="B2664" s="2" t="s">
        <v>2312</v>
      </c>
      <c r="C2664" s="2" t="s">
        <v>5907</v>
      </c>
      <c r="D2664" s="2" t="s">
        <v>28</v>
      </c>
      <c r="E2664" s="2" t="s">
        <v>29</v>
      </c>
      <c r="F2664" s="2">
        <v>30</v>
      </c>
      <c r="G2664" s="2" t="s">
        <v>6905</v>
      </c>
      <c r="H2664" s="2" t="s">
        <v>2376</v>
      </c>
      <c r="I2664" s="2" t="s">
        <v>32</v>
      </c>
      <c r="J2664" s="3">
        <v>44923</v>
      </c>
      <c r="K2664" s="5">
        <f>YEAR(OrganizedData[[#This Row],[Order Date]])</f>
        <v>2022</v>
      </c>
      <c r="L2664" s="7" t="str">
        <f>TEXT(OrganizedData[[#This Row],[Order Date]],"mmm")</f>
        <v>Dec</v>
      </c>
      <c r="M2664" s="2">
        <v>104</v>
      </c>
      <c r="N2664" s="2" t="s">
        <v>39</v>
      </c>
      <c r="O2664" s="2" t="str">
        <f>VLOOKUP(OrganizedData[[#This Row],[Product Code]],ProductData[[Code]:[Item]],2,FALSE)</f>
        <v>Ultrathing V1</v>
      </c>
      <c r="P2664" s="4">
        <f>OrganizedData[[#This Row],[Quantity]]*VLOOKUP(OrganizedData[[#This Row],[Product Code]],ProductData[],4,FALSE)</f>
        <v>1768</v>
      </c>
      <c r="Q2664" s="6">
        <f>OrganizedData[[#This Row],[Total Items Ordered]]*VLOOKUP(OrganizedData[[#This Row],[Product Code]],ProductData[],3,FALSE)</f>
        <v>3164.7200000000003</v>
      </c>
      <c r="R26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2943.1896000000006</v>
      </c>
    </row>
    <row r="2665" spans="1:18" x14ac:dyDescent="0.3">
      <c r="A2665" s="2">
        <v>2658</v>
      </c>
      <c r="B2665" s="2" t="s">
        <v>6906</v>
      </c>
      <c r="C2665" s="2" t="s">
        <v>1148</v>
      </c>
      <c r="D2665" s="2" t="s">
        <v>28</v>
      </c>
      <c r="E2665" s="2" t="s">
        <v>29</v>
      </c>
      <c r="F2665" s="2">
        <v>60</v>
      </c>
      <c r="G2665" s="2" t="s">
        <v>6905</v>
      </c>
      <c r="H2665" s="2" t="s">
        <v>6907</v>
      </c>
      <c r="I2665" s="2" t="s">
        <v>32</v>
      </c>
      <c r="J2665" s="3">
        <v>44534</v>
      </c>
      <c r="K2665" s="5">
        <f>YEAR(OrganizedData[[#This Row],[Order Date]])</f>
        <v>2021</v>
      </c>
      <c r="L2665" s="7" t="str">
        <f>TEXT(OrganizedData[[#This Row],[Order Date]],"mmm")</f>
        <v>Dec</v>
      </c>
      <c r="M2665" s="2">
        <v>15</v>
      </c>
      <c r="N2665" s="2" t="s">
        <v>80</v>
      </c>
      <c r="O2665" s="2" t="str">
        <f>VLOOKUP(OrganizedData[[#This Row],[Product Code]],ProductData[[Code]:[Item]],2,FALSE)</f>
        <v>Ultrathing V2</v>
      </c>
      <c r="P2665" s="4">
        <f>OrganizedData[[#This Row],[Quantity]]*VLOOKUP(OrganizedData[[#This Row],[Product Code]],ProductData[],4,FALSE)</f>
        <v>300</v>
      </c>
      <c r="Q2665" s="6">
        <f>OrganizedData[[#This Row],[Total Items Ordered]]*VLOOKUP(OrganizedData[[#This Row],[Product Code]],ProductData[],3,FALSE)</f>
        <v>885</v>
      </c>
      <c r="R26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2666" spans="1:18" x14ac:dyDescent="0.3">
      <c r="A2666" s="2">
        <v>2659</v>
      </c>
      <c r="B2666" s="2" t="s">
        <v>6908</v>
      </c>
      <c r="C2666" s="2" t="s">
        <v>97</v>
      </c>
      <c r="D2666" s="2" t="s">
        <v>15</v>
      </c>
      <c r="E2666" s="2" t="s">
        <v>16</v>
      </c>
      <c r="F2666" s="2">
        <v>90</v>
      </c>
      <c r="G2666" s="2" t="s">
        <v>6909</v>
      </c>
      <c r="H2666" s="2" t="s">
        <v>6181</v>
      </c>
      <c r="I2666" s="2" t="s">
        <v>32</v>
      </c>
      <c r="J2666" s="3">
        <v>44565</v>
      </c>
      <c r="K2666" s="5">
        <f>YEAR(OrganizedData[[#This Row],[Order Date]])</f>
        <v>2022</v>
      </c>
      <c r="L2666" s="7" t="str">
        <f>TEXT(OrganizedData[[#This Row],[Order Date]],"mmm")</f>
        <v>Jan</v>
      </c>
      <c r="M2666" s="2">
        <v>101</v>
      </c>
      <c r="N2666" s="2" t="s">
        <v>80</v>
      </c>
      <c r="O2666" s="2" t="str">
        <f>VLOOKUP(OrganizedData[[#This Row],[Product Code]],ProductData[[Code]:[Item]],2,FALSE)</f>
        <v>Ultrathing V2</v>
      </c>
      <c r="P2666" s="4">
        <f>OrganizedData[[#This Row],[Quantity]]*VLOOKUP(OrganizedData[[#This Row],[Product Code]],ProductData[],4,FALSE)</f>
        <v>2020</v>
      </c>
      <c r="Q2666" s="6">
        <f>OrganizedData[[#This Row],[Total Items Ordered]]*VLOOKUP(OrganizedData[[#This Row],[Product Code]],ProductData[],3,FALSE)</f>
        <v>5959</v>
      </c>
      <c r="R26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5541.87</v>
      </c>
    </row>
    <row r="2667" spans="1:18" x14ac:dyDescent="0.3">
      <c r="A2667" s="2">
        <v>2660</v>
      </c>
      <c r="B2667" s="2" t="s">
        <v>6910</v>
      </c>
      <c r="C2667" s="2" t="s">
        <v>6730</v>
      </c>
      <c r="D2667" s="2" t="s">
        <v>15</v>
      </c>
      <c r="E2667" s="2" t="s">
        <v>16</v>
      </c>
      <c r="F2667" s="2">
        <v>30</v>
      </c>
      <c r="G2667" s="2" t="s">
        <v>6911</v>
      </c>
      <c r="H2667" s="2" t="s">
        <v>6154</v>
      </c>
      <c r="I2667" s="2" t="s">
        <v>38</v>
      </c>
      <c r="J2667" s="3">
        <v>44119</v>
      </c>
      <c r="K2667" s="5">
        <f>YEAR(OrganizedData[[#This Row],[Order Date]])</f>
        <v>2020</v>
      </c>
      <c r="L2667" s="7" t="str">
        <f>TEXT(OrganizedData[[#This Row],[Order Date]],"mmm")</f>
        <v>Oct</v>
      </c>
      <c r="M2667" s="2">
        <v>16</v>
      </c>
      <c r="N2667" s="2" t="s">
        <v>70</v>
      </c>
      <c r="O2667" s="2" t="str">
        <f>VLOOKUP(OrganizedData[[#This Row],[Product Code]],ProductData[[Code]:[Item]],2,FALSE)</f>
        <v>Megawidget M</v>
      </c>
      <c r="P2667" s="4">
        <f>OrganizedData[[#This Row],[Quantity]]*VLOOKUP(OrganizedData[[#This Row],[Product Code]],ProductData[],4,FALSE)</f>
        <v>384</v>
      </c>
      <c r="Q2667" s="6">
        <f>OrganizedData[[#This Row],[Total Items Ordered]]*VLOOKUP(OrganizedData[[#This Row],[Product Code]],ProductData[],3,FALSE)</f>
        <v>495.36</v>
      </c>
      <c r="R26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495.36</v>
      </c>
    </row>
    <row r="2668" spans="1:18" x14ac:dyDescent="0.3">
      <c r="A2668" s="2">
        <v>2661</v>
      </c>
      <c r="B2668" s="2" t="s">
        <v>6912</v>
      </c>
      <c r="C2668" s="2" t="s">
        <v>4416</v>
      </c>
      <c r="D2668" s="2" t="s">
        <v>41</v>
      </c>
      <c r="E2668" s="2" t="s">
        <v>16</v>
      </c>
      <c r="F2668" s="2">
        <v>60</v>
      </c>
      <c r="G2668" s="2" t="s">
        <v>6913</v>
      </c>
      <c r="H2668" s="2" t="s">
        <v>3033</v>
      </c>
      <c r="I2668" s="2" t="s">
        <v>32</v>
      </c>
      <c r="J2668" s="3">
        <v>44496</v>
      </c>
      <c r="K2668" s="5">
        <f>YEAR(OrganizedData[[#This Row],[Order Date]])</f>
        <v>2021</v>
      </c>
      <c r="L2668" s="7" t="str">
        <f>TEXT(OrganizedData[[#This Row],[Order Date]],"mmm")</f>
        <v>Oct</v>
      </c>
      <c r="M2668" s="2">
        <v>43</v>
      </c>
      <c r="N2668" s="2" t="s">
        <v>45</v>
      </c>
      <c r="O2668" s="2" t="str">
        <f>VLOOKUP(OrganizedData[[#This Row],[Product Code]],ProductData[[Code]:[Item]],2,FALSE)</f>
        <v>Gigastuff</v>
      </c>
      <c r="P2668" s="4">
        <f>OrganizedData[[#This Row],[Quantity]]*VLOOKUP(OrganizedData[[#This Row],[Product Code]],ProductData[],4,FALSE)</f>
        <v>774</v>
      </c>
      <c r="Q2668" s="6">
        <f>OrganizedData[[#This Row],[Total Items Ordered]]*VLOOKUP(OrganizedData[[#This Row],[Product Code]],ProductData[],3,FALSE)</f>
        <v>1462.86</v>
      </c>
      <c r="R26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2669" spans="1:18" x14ac:dyDescent="0.3">
      <c r="A2669" s="2">
        <v>2662</v>
      </c>
      <c r="B2669" s="2" t="s">
        <v>6091</v>
      </c>
      <c r="C2669" s="2" t="s">
        <v>6793</v>
      </c>
      <c r="D2669" s="2" t="s">
        <v>41</v>
      </c>
      <c r="E2669" s="2" t="s">
        <v>16</v>
      </c>
      <c r="F2669" s="2">
        <v>60</v>
      </c>
      <c r="G2669" s="2" t="s">
        <v>6914</v>
      </c>
      <c r="H2669" s="2" t="s">
        <v>2831</v>
      </c>
      <c r="I2669" s="2" t="s">
        <v>32</v>
      </c>
      <c r="J2669" s="3">
        <v>44880</v>
      </c>
      <c r="K2669" s="5">
        <f>YEAR(OrganizedData[[#This Row],[Order Date]])</f>
        <v>2022</v>
      </c>
      <c r="L2669" s="7" t="str">
        <f>TEXT(OrganizedData[[#This Row],[Order Date]],"mmm")</f>
        <v>Nov</v>
      </c>
      <c r="M2669" s="2">
        <v>72</v>
      </c>
      <c r="N2669" s="2" t="s">
        <v>159</v>
      </c>
      <c r="O2669" s="2" t="str">
        <f>VLOOKUP(OrganizedData[[#This Row],[Product Code]],ProductData[[Code]:[Item]],2,FALSE)</f>
        <v>Ultrathing V3</v>
      </c>
      <c r="P2669" s="4">
        <f>OrganizedData[[#This Row],[Quantity]]*VLOOKUP(OrganizedData[[#This Row],[Product Code]],ProductData[],4,FALSE)</f>
        <v>1728</v>
      </c>
      <c r="Q2669" s="6">
        <f>OrganizedData[[#This Row],[Total Items Ordered]]*VLOOKUP(OrganizedData[[#This Row],[Product Code]],ProductData[],3,FALSE)</f>
        <v>5857.92</v>
      </c>
      <c r="R26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5565.0239999999994</v>
      </c>
    </row>
    <row r="2670" spans="1:18" x14ac:dyDescent="0.3">
      <c r="A2670" s="2">
        <v>2663</v>
      </c>
      <c r="B2670" s="2" t="s">
        <v>6915</v>
      </c>
      <c r="C2670" s="2" t="s">
        <v>3848</v>
      </c>
      <c r="D2670" s="2" t="s">
        <v>28</v>
      </c>
      <c r="E2670" s="2" t="s">
        <v>29</v>
      </c>
      <c r="F2670" s="2">
        <v>30</v>
      </c>
      <c r="G2670" s="2" t="s">
        <v>6916</v>
      </c>
      <c r="H2670" s="2" t="s">
        <v>6259</v>
      </c>
      <c r="I2670" s="2" t="s">
        <v>6260</v>
      </c>
      <c r="J2670" s="3">
        <v>44181</v>
      </c>
      <c r="K2670" s="5">
        <f>YEAR(OrganizedData[[#This Row],[Order Date]])</f>
        <v>2020</v>
      </c>
      <c r="L2670" s="7" t="str">
        <f>TEXT(OrganizedData[[#This Row],[Order Date]],"mmm")</f>
        <v>Dec</v>
      </c>
      <c r="M2670" s="2">
        <v>43</v>
      </c>
      <c r="N2670" s="2" t="s">
        <v>159</v>
      </c>
      <c r="O2670" s="2" t="str">
        <f>VLOOKUP(OrganizedData[[#This Row],[Product Code]],ProductData[[Code]:[Item]],2,FALSE)</f>
        <v>Ultrathing V3</v>
      </c>
      <c r="P2670" s="4">
        <f>OrganizedData[[#This Row],[Quantity]]*VLOOKUP(OrganizedData[[#This Row],[Product Code]],ProductData[],4,FALSE)</f>
        <v>1032</v>
      </c>
      <c r="Q2670" s="6">
        <f>OrganizedData[[#This Row],[Total Items Ordered]]*VLOOKUP(OrganizedData[[#This Row],[Product Code]],ProductData[],3,FALSE)</f>
        <v>3498.48</v>
      </c>
      <c r="R26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2671" spans="1:18" x14ac:dyDescent="0.3">
      <c r="A2671" s="2">
        <v>2664</v>
      </c>
      <c r="B2671" s="2" t="s">
        <v>4596</v>
      </c>
      <c r="C2671" s="2" t="s">
        <v>6917</v>
      </c>
      <c r="D2671" s="2" t="s">
        <v>28</v>
      </c>
      <c r="E2671" s="2" t="s">
        <v>29</v>
      </c>
      <c r="F2671" s="2">
        <v>90</v>
      </c>
      <c r="G2671" s="2" t="s">
        <v>6918</v>
      </c>
      <c r="H2671" s="2" t="s">
        <v>3682</v>
      </c>
      <c r="I2671" s="2" t="s">
        <v>178</v>
      </c>
      <c r="J2671" s="3">
        <v>44712</v>
      </c>
      <c r="K2671" s="5">
        <f>YEAR(OrganizedData[[#This Row],[Order Date]])</f>
        <v>2022</v>
      </c>
      <c r="L2671" s="7" t="str">
        <f>TEXT(OrganizedData[[#This Row],[Order Date]],"mmm")</f>
        <v>May</v>
      </c>
      <c r="M2671" s="2">
        <v>73</v>
      </c>
      <c r="N2671" s="2" t="s">
        <v>20</v>
      </c>
      <c r="O2671" s="2" t="str">
        <f>VLOOKUP(OrganizedData[[#This Row],[Product Code]],ProductData[[Code]:[Item]],2,FALSE)</f>
        <v>Hyperwotsit</v>
      </c>
      <c r="P2671" s="4">
        <f>OrganizedData[[#This Row],[Quantity]]*VLOOKUP(OrganizedData[[#This Row],[Product Code]],ProductData[],4,FALSE)</f>
        <v>1460</v>
      </c>
      <c r="Q2671" s="6">
        <f>OrganizedData[[#This Row],[Total Items Ordered]]*VLOOKUP(OrganizedData[[#This Row],[Product Code]],ProductData[],3,FALSE)</f>
        <v>2934.6</v>
      </c>
      <c r="R26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2672" spans="1:18" x14ac:dyDescent="0.3">
      <c r="A2672" s="2">
        <v>2665</v>
      </c>
      <c r="B2672" s="2" t="s">
        <v>3463</v>
      </c>
      <c r="C2672" s="2" t="s">
        <v>6890</v>
      </c>
      <c r="D2672" s="2" t="s">
        <v>28</v>
      </c>
      <c r="E2672" s="2" t="s">
        <v>29</v>
      </c>
      <c r="F2672" s="2">
        <v>60</v>
      </c>
      <c r="G2672" s="2" t="s">
        <v>6918</v>
      </c>
      <c r="H2672" s="2" t="s">
        <v>595</v>
      </c>
      <c r="I2672" s="2" t="s">
        <v>124</v>
      </c>
      <c r="J2672" s="3">
        <v>43894</v>
      </c>
      <c r="K2672" s="5">
        <f>YEAR(OrganizedData[[#This Row],[Order Date]])</f>
        <v>2020</v>
      </c>
      <c r="L2672" s="7" t="str">
        <f>TEXT(OrganizedData[[#This Row],[Order Date]],"mmm")</f>
        <v>Mar</v>
      </c>
      <c r="M2672" s="2">
        <v>47</v>
      </c>
      <c r="N2672" s="2" t="s">
        <v>101</v>
      </c>
      <c r="O2672" s="2" t="str">
        <f>VLOOKUP(OrganizedData[[#This Row],[Product Code]],ProductData[[Code]:[Item]],2,FALSE)</f>
        <v>Superwossname</v>
      </c>
      <c r="P2672" s="4">
        <f>OrganizedData[[#This Row],[Quantity]]*VLOOKUP(OrganizedData[[#This Row],[Product Code]],ProductData[],4,FALSE)</f>
        <v>940</v>
      </c>
      <c r="Q2672" s="6">
        <f>OrganizedData[[#This Row],[Total Items Ordered]]*VLOOKUP(OrganizedData[[#This Row],[Product Code]],ProductData[],3,FALSE)</f>
        <v>3280.6000000000004</v>
      </c>
      <c r="R26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3182.1820000000002</v>
      </c>
    </row>
    <row r="2673" spans="1:18" x14ac:dyDescent="0.3">
      <c r="A2673" s="2">
        <v>2666</v>
      </c>
      <c r="B2673" s="2" t="s">
        <v>503</v>
      </c>
      <c r="C2673" s="2" t="s">
        <v>304</v>
      </c>
      <c r="D2673" s="2" t="s">
        <v>51</v>
      </c>
      <c r="E2673" s="2" t="s">
        <v>16</v>
      </c>
      <c r="F2673" s="2">
        <v>90</v>
      </c>
      <c r="G2673" s="2" t="s">
        <v>6919</v>
      </c>
      <c r="H2673" s="2" t="s">
        <v>1915</v>
      </c>
      <c r="I2673" s="2" t="s">
        <v>19</v>
      </c>
      <c r="J2673" s="3">
        <v>44839</v>
      </c>
      <c r="K2673" s="5">
        <f>YEAR(OrganizedData[[#This Row],[Order Date]])</f>
        <v>2022</v>
      </c>
      <c r="L2673" s="7" t="str">
        <f>TEXT(OrganizedData[[#This Row],[Order Date]],"mmm")</f>
        <v>Oct</v>
      </c>
      <c r="M2673" s="2">
        <v>58</v>
      </c>
      <c r="N2673" s="2" t="s">
        <v>39</v>
      </c>
      <c r="O2673" s="2" t="str">
        <f>VLOOKUP(OrganizedData[[#This Row],[Product Code]],ProductData[[Code]:[Item]],2,FALSE)</f>
        <v>Ultrathing V1</v>
      </c>
      <c r="P2673" s="4">
        <f>OrganizedData[[#This Row],[Quantity]]*VLOOKUP(OrganizedData[[#This Row],[Product Code]],ProductData[],4,FALSE)</f>
        <v>986</v>
      </c>
      <c r="Q2673" s="6">
        <f>OrganizedData[[#This Row],[Total Items Ordered]]*VLOOKUP(OrganizedData[[#This Row],[Product Code]],ProductData[],3,FALSE)</f>
        <v>1764.94</v>
      </c>
      <c r="R26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1676.693</v>
      </c>
    </row>
    <row r="2674" spans="1:18" x14ac:dyDescent="0.3">
      <c r="A2674" s="2">
        <v>2667</v>
      </c>
      <c r="B2674" s="2" t="s">
        <v>714</v>
      </c>
      <c r="C2674" s="2" t="s">
        <v>2995</v>
      </c>
      <c r="D2674" s="2" t="s">
        <v>28</v>
      </c>
      <c r="E2674" s="2" t="s">
        <v>29</v>
      </c>
      <c r="F2674" s="2">
        <v>60</v>
      </c>
      <c r="G2674" s="2" t="s">
        <v>6920</v>
      </c>
      <c r="H2674" s="2" t="s">
        <v>2559</v>
      </c>
      <c r="I2674" s="2" t="s">
        <v>124</v>
      </c>
      <c r="J2674" s="3">
        <v>43850</v>
      </c>
      <c r="K2674" s="5">
        <f>YEAR(OrganizedData[[#This Row],[Order Date]])</f>
        <v>2020</v>
      </c>
      <c r="L2674" s="7" t="str">
        <f>TEXT(OrganizedData[[#This Row],[Order Date]],"mmm")</f>
        <v>Jan</v>
      </c>
      <c r="M2674" s="2">
        <v>16</v>
      </c>
      <c r="N2674" s="2" t="s">
        <v>159</v>
      </c>
      <c r="O2674" s="2" t="str">
        <f>VLOOKUP(OrganizedData[[#This Row],[Product Code]],ProductData[[Code]:[Item]],2,FALSE)</f>
        <v>Ultrathing V3</v>
      </c>
      <c r="P2674" s="4">
        <f>OrganizedData[[#This Row],[Quantity]]*VLOOKUP(OrganizedData[[#This Row],[Product Code]],ProductData[],4,FALSE)</f>
        <v>384</v>
      </c>
      <c r="Q2674" s="6">
        <f>OrganizedData[[#This Row],[Total Items Ordered]]*VLOOKUP(OrganizedData[[#This Row],[Product Code]],ProductData[],3,FALSE)</f>
        <v>1301.76</v>
      </c>
      <c r="R26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1301.76</v>
      </c>
    </row>
    <row r="2675" spans="1:18" x14ac:dyDescent="0.3">
      <c r="A2675" s="2">
        <v>2668</v>
      </c>
      <c r="B2675" s="2" t="s">
        <v>6921</v>
      </c>
      <c r="C2675" s="2" t="s">
        <v>6922</v>
      </c>
      <c r="D2675" s="2" t="s">
        <v>41</v>
      </c>
      <c r="E2675" s="2" t="s">
        <v>16</v>
      </c>
      <c r="F2675" s="2">
        <v>90</v>
      </c>
      <c r="G2675" s="2" t="s">
        <v>6923</v>
      </c>
      <c r="H2675" s="2" t="s">
        <v>1299</v>
      </c>
      <c r="I2675" s="2" t="s">
        <v>1199</v>
      </c>
      <c r="J2675" s="3">
        <v>44917</v>
      </c>
      <c r="K2675" s="5">
        <f>YEAR(OrganizedData[[#This Row],[Order Date]])</f>
        <v>2022</v>
      </c>
      <c r="L2675" s="7" t="str">
        <f>TEXT(OrganizedData[[#This Row],[Order Date]],"mmm")</f>
        <v>Dec</v>
      </c>
      <c r="M2675" s="2">
        <v>97</v>
      </c>
      <c r="N2675" s="2" t="s">
        <v>70</v>
      </c>
      <c r="O2675" s="2" t="str">
        <f>VLOOKUP(OrganizedData[[#This Row],[Product Code]],ProductData[[Code]:[Item]],2,FALSE)</f>
        <v>Megawidget M</v>
      </c>
      <c r="P2675" s="4">
        <f>OrganizedData[[#This Row],[Quantity]]*VLOOKUP(OrganizedData[[#This Row],[Product Code]],ProductData[],4,FALSE)</f>
        <v>2328</v>
      </c>
      <c r="Q2675" s="6">
        <f>OrganizedData[[#This Row],[Total Items Ordered]]*VLOOKUP(OrganizedData[[#This Row],[Product Code]],ProductData[],3,FALSE)</f>
        <v>3003.12</v>
      </c>
      <c r="R26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2852.9639999999999</v>
      </c>
    </row>
    <row r="2676" spans="1:18" x14ac:dyDescent="0.3">
      <c r="A2676" s="2">
        <v>2669</v>
      </c>
      <c r="B2676" s="2" t="s">
        <v>2445</v>
      </c>
      <c r="C2676" s="2" t="s">
        <v>6924</v>
      </c>
      <c r="D2676" s="2" t="s">
        <v>28</v>
      </c>
      <c r="E2676" s="2" t="s">
        <v>29</v>
      </c>
      <c r="F2676" s="2">
        <v>30</v>
      </c>
      <c r="G2676" s="2" t="s">
        <v>6925</v>
      </c>
      <c r="H2676" s="2" t="s">
        <v>495</v>
      </c>
      <c r="I2676" s="2" t="s">
        <v>173</v>
      </c>
      <c r="J2676" s="3">
        <v>44832</v>
      </c>
      <c r="K2676" s="5">
        <f>YEAR(OrganizedData[[#This Row],[Order Date]])</f>
        <v>2022</v>
      </c>
      <c r="L2676" s="7" t="str">
        <f>TEXT(OrganizedData[[#This Row],[Order Date]],"mmm")</f>
        <v>Sep</v>
      </c>
      <c r="M2676" s="2">
        <v>62</v>
      </c>
      <c r="N2676" s="2" t="s">
        <v>33</v>
      </c>
      <c r="O2676" s="2" t="str">
        <f>VLOOKUP(OrganizedData[[#This Row],[Product Code]],ProductData[[Code]:[Item]],2,FALSE)</f>
        <v>Megawidget L</v>
      </c>
      <c r="P2676" s="4">
        <f>OrganizedData[[#This Row],[Quantity]]*VLOOKUP(OrganizedData[[#This Row],[Product Code]],ProductData[],4,FALSE)</f>
        <v>1488</v>
      </c>
      <c r="Q2676" s="6">
        <f>OrganizedData[[#This Row],[Total Items Ordered]]*VLOOKUP(OrganizedData[[#This Row],[Product Code]],ProductData[],3,FALSE)</f>
        <v>2663.52</v>
      </c>
      <c r="R26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2677" spans="1:18" x14ac:dyDescent="0.3">
      <c r="A2677" s="2">
        <v>2670</v>
      </c>
      <c r="B2677" s="2" t="s">
        <v>3537</v>
      </c>
      <c r="C2677" s="2" t="s">
        <v>116</v>
      </c>
      <c r="D2677" s="2" t="s">
        <v>15</v>
      </c>
      <c r="E2677" s="2" t="s">
        <v>16</v>
      </c>
      <c r="F2677" s="2">
        <v>30</v>
      </c>
      <c r="G2677" s="2" t="s">
        <v>6926</v>
      </c>
      <c r="H2677" s="2" t="s">
        <v>2305</v>
      </c>
      <c r="I2677" s="2" t="s">
        <v>25</v>
      </c>
      <c r="J2677" s="3">
        <v>44326</v>
      </c>
      <c r="K2677" s="5">
        <f>YEAR(OrganizedData[[#This Row],[Order Date]])</f>
        <v>2021</v>
      </c>
      <c r="L2677" s="7" t="str">
        <f>TEXT(OrganizedData[[#This Row],[Order Date]],"mmm")</f>
        <v>May</v>
      </c>
      <c r="M2677" s="2">
        <v>5</v>
      </c>
      <c r="N2677" s="2" t="s">
        <v>45</v>
      </c>
      <c r="O2677" s="2" t="str">
        <f>VLOOKUP(OrganizedData[[#This Row],[Product Code]],ProductData[[Code]:[Item]],2,FALSE)</f>
        <v>Gigastuff</v>
      </c>
      <c r="P2677" s="4">
        <f>OrganizedData[[#This Row],[Quantity]]*VLOOKUP(OrganizedData[[#This Row],[Product Code]],ProductData[],4,FALSE)</f>
        <v>90</v>
      </c>
      <c r="Q2677" s="6">
        <f>OrganizedData[[#This Row],[Total Items Ordered]]*VLOOKUP(OrganizedData[[#This Row],[Product Code]],ProductData[],3,FALSE)</f>
        <v>170.1</v>
      </c>
      <c r="R26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2678" spans="1:18" x14ac:dyDescent="0.3">
      <c r="A2678" s="2">
        <v>2671</v>
      </c>
      <c r="B2678" s="2" t="s">
        <v>865</v>
      </c>
      <c r="C2678" s="2" t="s">
        <v>6927</v>
      </c>
      <c r="D2678" s="2" t="s">
        <v>28</v>
      </c>
      <c r="E2678" s="2" t="s">
        <v>29</v>
      </c>
      <c r="F2678" s="2">
        <v>90</v>
      </c>
      <c r="G2678" s="2" t="s">
        <v>6928</v>
      </c>
      <c r="H2678" s="2" t="s">
        <v>2411</v>
      </c>
      <c r="I2678" s="2" t="s">
        <v>25</v>
      </c>
      <c r="J2678" s="3">
        <v>44605</v>
      </c>
      <c r="K2678" s="5">
        <f>YEAR(OrganizedData[[#This Row],[Order Date]])</f>
        <v>2022</v>
      </c>
      <c r="L2678" s="7" t="str">
        <f>TEXT(OrganizedData[[#This Row],[Order Date]],"mmm")</f>
        <v>Feb</v>
      </c>
      <c r="M2678" s="2">
        <v>49</v>
      </c>
      <c r="N2678" s="2" t="s">
        <v>101</v>
      </c>
      <c r="O2678" s="2" t="str">
        <f>VLOOKUP(OrganizedData[[#This Row],[Product Code]],ProductData[[Code]:[Item]],2,FALSE)</f>
        <v>Superwossname</v>
      </c>
      <c r="P2678" s="4">
        <f>OrganizedData[[#This Row],[Quantity]]*VLOOKUP(OrganizedData[[#This Row],[Product Code]],ProductData[],4,FALSE)</f>
        <v>980</v>
      </c>
      <c r="Q2678" s="6">
        <f>OrganizedData[[#This Row],[Total Items Ordered]]*VLOOKUP(OrganizedData[[#This Row],[Product Code]],ProductData[],3,FALSE)</f>
        <v>3420.2000000000003</v>
      </c>
      <c r="R26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3317.5940000000001</v>
      </c>
    </row>
    <row r="2679" spans="1:18" x14ac:dyDescent="0.3">
      <c r="A2679" s="2">
        <v>2672</v>
      </c>
      <c r="B2679" s="2" t="s">
        <v>4193</v>
      </c>
      <c r="C2679" s="2" t="s">
        <v>1219</v>
      </c>
      <c r="D2679" s="2" t="s">
        <v>28</v>
      </c>
      <c r="E2679" s="2" t="s">
        <v>29</v>
      </c>
      <c r="F2679" s="2">
        <v>60</v>
      </c>
      <c r="G2679" s="2" t="s">
        <v>6929</v>
      </c>
      <c r="H2679" s="2" t="s">
        <v>957</v>
      </c>
      <c r="I2679" s="2" t="s">
        <v>95</v>
      </c>
      <c r="J2679" s="3">
        <v>44165</v>
      </c>
      <c r="K2679" s="5">
        <f>YEAR(OrganizedData[[#This Row],[Order Date]])</f>
        <v>2020</v>
      </c>
      <c r="L2679" s="7" t="str">
        <f>TEXT(OrganizedData[[#This Row],[Order Date]],"mmm")</f>
        <v>Nov</v>
      </c>
      <c r="M2679" s="2">
        <v>55</v>
      </c>
      <c r="N2679" s="2" t="s">
        <v>64</v>
      </c>
      <c r="O2679" s="2" t="str">
        <f>VLOOKUP(OrganizedData[[#This Row],[Product Code]],ProductData[[Code]:[Item]],2,FALSE)</f>
        <v>Ultrathing V4</v>
      </c>
      <c r="P2679" s="4">
        <f>OrganizedData[[#This Row],[Quantity]]*VLOOKUP(OrganizedData[[#This Row],[Product Code]],ProductData[],4,FALSE)</f>
        <v>1320</v>
      </c>
      <c r="Q2679" s="6">
        <f>OrganizedData[[#This Row],[Total Items Ordered]]*VLOOKUP(OrganizedData[[#This Row],[Product Code]],ProductData[],3,FALSE)</f>
        <v>5266.8</v>
      </c>
      <c r="R26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2680" spans="1:18" x14ac:dyDescent="0.3">
      <c r="A2680" s="2">
        <v>2673</v>
      </c>
      <c r="B2680" s="2" t="s">
        <v>4652</v>
      </c>
      <c r="C2680" s="2" t="s">
        <v>3074</v>
      </c>
      <c r="D2680" s="2" t="s">
        <v>28</v>
      </c>
      <c r="E2680" s="2" t="s">
        <v>29</v>
      </c>
      <c r="F2680" s="2">
        <v>30</v>
      </c>
      <c r="G2680" s="2" t="s">
        <v>6930</v>
      </c>
      <c r="H2680" s="2" t="s">
        <v>1537</v>
      </c>
      <c r="I2680" s="2" t="s">
        <v>294</v>
      </c>
      <c r="J2680" s="3">
        <v>44581</v>
      </c>
      <c r="K2680" s="5">
        <f>YEAR(OrganizedData[[#This Row],[Order Date]])</f>
        <v>2022</v>
      </c>
      <c r="L2680" s="7" t="str">
        <f>TEXT(OrganizedData[[#This Row],[Order Date]],"mmm")</f>
        <v>Jan</v>
      </c>
      <c r="M2680" s="2">
        <v>7</v>
      </c>
      <c r="N2680" s="2" t="s">
        <v>80</v>
      </c>
      <c r="O2680" s="2" t="str">
        <f>VLOOKUP(OrganizedData[[#This Row],[Product Code]],ProductData[[Code]:[Item]],2,FALSE)</f>
        <v>Ultrathing V2</v>
      </c>
      <c r="P2680" s="4">
        <f>OrganizedData[[#This Row],[Quantity]]*VLOOKUP(OrganizedData[[#This Row],[Product Code]],ProductData[],4,FALSE)</f>
        <v>140</v>
      </c>
      <c r="Q2680" s="6">
        <f>OrganizedData[[#This Row],[Total Items Ordered]]*VLOOKUP(OrganizedData[[#This Row],[Product Code]],ProductData[],3,FALSE)</f>
        <v>413</v>
      </c>
      <c r="R26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413</v>
      </c>
    </row>
    <row r="2681" spans="1:18" x14ac:dyDescent="0.3">
      <c r="A2681" s="2">
        <v>2674</v>
      </c>
      <c r="B2681" s="2" t="s">
        <v>1191</v>
      </c>
      <c r="C2681" s="2" t="s">
        <v>1853</v>
      </c>
      <c r="D2681" s="2" t="s">
        <v>28</v>
      </c>
      <c r="E2681" s="2" t="s">
        <v>29</v>
      </c>
      <c r="F2681" s="2">
        <v>30</v>
      </c>
      <c r="G2681" s="2" t="s">
        <v>6931</v>
      </c>
      <c r="H2681" s="2" t="s">
        <v>1378</v>
      </c>
      <c r="I2681" s="2" t="s">
        <v>32</v>
      </c>
      <c r="J2681" s="3">
        <v>44836</v>
      </c>
      <c r="K2681" s="5">
        <f>YEAR(OrganizedData[[#This Row],[Order Date]])</f>
        <v>2022</v>
      </c>
      <c r="L2681" s="7" t="str">
        <f>TEXT(OrganizedData[[#This Row],[Order Date]],"mmm")</f>
        <v>Oct</v>
      </c>
      <c r="M2681" s="2">
        <v>29</v>
      </c>
      <c r="N2681" s="2" t="s">
        <v>64</v>
      </c>
      <c r="O2681" s="2" t="str">
        <f>VLOOKUP(OrganizedData[[#This Row],[Product Code]],ProductData[[Code]:[Item]],2,FALSE)</f>
        <v>Ultrathing V4</v>
      </c>
      <c r="P2681" s="4">
        <f>OrganizedData[[#This Row],[Quantity]]*VLOOKUP(OrganizedData[[#This Row],[Product Code]],ProductData[],4,FALSE)</f>
        <v>696</v>
      </c>
      <c r="Q2681" s="6">
        <f>OrganizedData[[#This Row],[Total Items Ordered]]*VLOOKUP(OrganizedData[[#This Row],[Product Code]],ProductData[],3,FALSE)</f>
        <v>2777.04</v>
      </c>
      <c r="R26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2693.7287999999999</v>
      </c>
    </row>
    <row r="2682" spans="1:18" x14ac:dyDescent="0.3">
      <c r="A2682" s="2">
        <v>2675</v>
      </c>
      <c r="B2682" s="2" t="s">
        <v>6932</v>
      </c>
      <c r="C2682" s="2" t="s">
        <v>6933</v>
      </c>
      <c r="D2682" s="2" t="s">
        <v>28</v>
      </c>
      <c r="E2682" s="2" t="s">
        <v>29</v>
      </c>
      <c r="F2682" s="2">
        <v>30</v>
      </c>
      <c r="G2682" s="2" t="s">
        <v>6934</v>
      </c>
      <c r="H2682" s="2" t="s">
        <v>1911</v>
      </c>
      <c r="I2682" s="2" t="s">
        <v>32</v>
      </c>
      <c r="J2682" s="3">
        <v>44895</v>
      </c>
      <c r="K2682" s="5">
        <f>YEAR(OrganizedData[[#This Row],[Order Date]])</f>
        <v>2022</v>
      </c>
      <c r="L2682" s="7" t="str">
        <f>TEXT(OrganizedData[[#This Row],[Order Date]],"mmm")</f>
        <v>Nov</v>
      </c>
      <c r="M2682" s="2">
        <v>30</v>
      </c>
      <c r="N2682" s="2" t="s">
        <v>159</v>
      </c>
      <c r="O2682" s="2" t="str">
        <f>VLOOKUP(OrganizedData[[#This Row],[Product Code]],ProductData[[Code]:[Item]],2,FALSE)</f>
        <v>Ultrathing V3</v>
      </c>
      <c r="P2682" s="4">
        <f>OrganizedData[[#This Row],[Quantity]]*VLOOKUP(OrganizedData[[#This Row],[Product Code]],ProductData[],4,FALSE)</f>
        <v>720</v>
      </c>
      <c r="Q2682" s="6">
        <f>OrganizedData[[#This Row],[Total Items Ordered]]*VLOOKUP(OrganizedData[[#This Row],[Product Code]],ProductData[],3,FALSE)</f>
        <v>2440.8000000000002</v>
      </c>
      <c r="R26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2367.576</v>
      </c>
    </row>
    <row r="2683" spans="1:18" x14ac:dyDescent="0.3">
      <c r="A2683" s="2">
        <v>2676</v>
      </c>
      <c r="B2683" s="2" t="s">
        <v>6935</v>
      </c>
      <c r="C2683" s="2" t="s">
        <v>5199</v>
      </c>
      <c r="D2683" s="2" t="s">
        <v>28</v>
      </c>
      <c r="E2683" s="2" t="s">
        <v>29</v>
      </c>
      <c r="F2683" s="2">
        <v>90</v>
      </c>
      <c r="G2683" s="2" t="s">
        <v>6936</v>
      </c>
      <c r="H2683" s="2" t="s">
        <v>3387</v>
      </c>
      <c r="I2683" s="2" t="s">
        <v>2878</v>
      </c>
      <c r="J2683" s="3">
        <v>44733</v>
      </c>
      <c r="K2683" s="5">
        <f>YEAR(OrganizedData[[#This Row],[Order Date]])</f>
        <v>2022</v>
      </c>
      <c r="L2683" s="7" t="str">
        <f>TEXT(OrganizedData[[#This Row],[Order Date]],"mmm")</f>
        <v>Jun</v>
      </c>
      <c r="M2683" s="2">
        <v>80</v>
      </c>
      <c r="N2683" s="2" t="s">
        <v>80</v>
      </c>
      <c r="O2683" s="2" t="str">
        <f>VLOOKUP(OrganizedData[[#This Row],[Product Code]],ProductData[[Code]:[Item]],2,FALSE)</f>
        <v>Ultrathing V2</v>
      </c>
      <c r="P2683" s="4">
        <f>OrganizedData[[#This Row],[Quantity]]*VLOOKUP(OrganizedData[[#This Row],[Product Code]],ProductData[],4,FALSE)</f>
        <v>1600</v>
      </c>
      <c r="Q2683" s="6">
        <f>OrganizedData[[#This Row],[Total Items Ordered]]*VLOOKUP(OrganizedData[[#This Row],[Product Code]],ProductData[],3,FALSE)</f>
        <v>4720</v>
      </c>
      <c r="R26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4484</v>
      </c>
    </row>
    <row r="2684" spans="1:18" x14ac:dyDescent="0.3">
      <c r="A2684" s="2">
        <v>2677</v>
      </c>
      <c r="B2684" s="2" t="s">
        <v>5495</v>
      </c>
      <c r="C2684" s="2" t="s">
        <v>5362</v>
      </c>
      <c r="D2684" s="2" t="s">
        <v>41</v>
      </c>
      <c r="E2684" s="2" t="s">
        <v>16</v>
      </c>
      <c r="F2684" s="2">
        <v>90</v>
      </c>
      <c r="G2684" s="2" t="s">
        <v>6937</v>
      </c>
      <c r="H2684" s="2" t="s">
        <v>2908</v>
      </c>
      <c r="I2684" s="2" t="s">
        <v>25</v>
      </c>
      <c r="J2684" s="3">
        <v>44500</v>
      </c>
      <c r="K2684" s="5">
        <f>YEAR(OrganizedData[[#This Row],[Order Date]])</f>
        <v>2021</v>
      </c>
      <c r="L2684" s="7" t="str">
        <f>TEXT(OrganizedData[[#This Row],[Order Date]],"mmm")</f>
        <v>Oct</v>
      </c>
      <c r="M2684" s="2">
        <v>68</v>
      </c>
      <c r="N2684" s="2" t="s">
        <v>159</v>
      </c>
      <c r="O2684" s="2" t="str">
        <f>VLOOKUP(OrganizedData[[#This Row],[Product Code]],ProductData[[Code]:[Item]],2,FALSE)</f>
        <v>Ultrathing V3</v>
      </c>
      <c r="P2684" s="4">
        <f>OrganizedData[[#This Row],[Quantity]]*VLOOKUP(OrganizedData[[#This Row],[Product Code]],ProductData[],4,FALSE)</f>
        <v>1632</v>
      </c>
      <c r="Q2684" s="6">
        <f>OrganizedData[[#This Row],[Total Items Ordered]]*VLOOKUP(OrganizedData[[#This Row],[Product Code]],ProductData[],3,FALSE)</f>
        <v>5532.4800000000005</v>
      </c>
      <c r="R26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5255.8559999999998</v>
      </c>
    </row>
    <row r="2685" spans="1:18" x14ac:dyDescent="0.3">
      <c r="A2685" s="2">
        <v>2678</v>
      </c>
      <c r="B2685" s="2" t="s">
        <v>2898</v>
      </c>
      <c r="C2685" s="2" t="s">
        <v>3504</v>
      </c>
      <c r="D2685" s="2" t="s">
        <v>28</v>
      </c>
      <c r="E2685" s="2" t="s">
        <v>29</v>
      </c>
      <c r="F2685" s="2">
        <v>90</v>
      </c>
      <c r="G2685" s="2" t="s">
        <v>6938</v>
      </c>
      <c r="H2685" s="2" t="s">
        <v>3670</v>
      </c>
      <c r="I2685" s="2" t="s">
        <v>3671</v>
      </c>
      <c r="J2685" s="3">
        <v>44842</v>
      </c>
      <c r="K2685" s="5">
        <f>YEAR(OrganizedData[[#This Row],[Order Date]])</f>
        <v>2022</v>
      </c>
      <c r="L2685" s="7" t="str">
        <f>TEXT(OrganizedData[[#This Row],[Order Date]],"mmm")</f>
        <v>Oct</v>
      </c>
      <c r="M2685" s="2">
        <v>40</v>
      </c>
      <c r="N2685" s="2" t="s">
        <v>45</v>
      </c>
      <c r="O2685" s="2" t="str">
        <f>VLOOKUP(OrganizedData[[#This Row],[Product Code]],ProductData[[Code]:[Item]],2,FALSE)</f>
        <v>Gigastuff</v>
      </c>
      <c r="P2685" s="4">
        <f>OrganizedData[[#This Row],[Quantity]]*VLOOKUP(OrganizedData[[#This Row],[Product Code]],ProductData[],4,FALSE)</f>
        <v>720</v>
      </c>
      <c r="Q2685" s="6">
        <f>OrganizedData[[#This Row],[Total Items Ordered]]*VLOOKUP(OrganizedData[[#This Row],[Product Code]],ProductData[],3,FALSE)</f>
        <v>1360.8</v>
      </c>
      <c r="R26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1319.9759999999999</v>
      </c>
    </row>
    <row r="2686" spans="1:18" x14ac:dyDescent="0.3">
      <c r="A2686" s="2">
        <v>2679</v>
      </c>
      <c r="B2686" s="2" t="s">
        <v>6939</v>
      </c>
      <c r="C2686" s="2" t="s">
        <v>304</v>
      </c>
      <c r="D2686" s="2" t="s">
        <v>15</v>
      </c>
      <c r="E2686" s="2" t="s">
        <v>16</v>
      </c>
      <c r="F2686" s="2">
        <v>60</v>
      </c>
      <c r="G2686" s="2" t="s">
        <v>6940</v>
      </c>
      <c r="H2686" s="2" t="s">
        <v>6714</v>
      </c>
      <c r="I2686" s="2" t="s">
        <v>129</v>
      </c>
      <c r="J2686" s="3">
        <v>44921</v>
      </c>
      <c r="K2686" s="5">
        <f>YEAR(OrganizedData[[#This Row],[Order Date]])</f>
        <v>2022</v>
      </c>
      <c r="L2686" s="7" t="str">
        <f>TEXT(OrganizedData[[#This Row],[Order Date]],"mmm")</f>
        <v>Dec</v>
      </c>
      <c r="M2686" s="2">
        <v>71</v>
      </c>
      <c r="N2686" s="2" t="s">
        <v>54</v>
      </c>
      <c r="O2686" s="2" t="str">
        <f>VLOOKUP(OrganizedData[[#This Row],[Product Code]],ProductData[[Code]:[Item]],2,FALSE)</f>
        <v>Megawidget S</v>
      </c>
      <c r="P2686" s="4">
        <f>OrganizedData[[#This Row],[Quantity]]*VLOOKUP(OrganizedData[[#This Row],[Product Code]],ProductData[],4,FALSE)</f>
        <v>1704</v>
      </c>
      <c r="Q2686" s="6">
        <f>OrganizedData[[#This Row],[Total Items Ordered]]*VLOOKUP(OrganizedData[[#This Row],[Product Code]],ProductData[],3,FALSE)</f>
        <v>1175.76</v>
      </c>
      <c r="R26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1116.972</v>
      </c>
    </row>
    <row r="2687" spans="1:18" x14ac:dyDescent="0.3">
      <c r="A2687" s="2">
        <v>2680</v>
      </c>
      <c r="B2687" s="2" t="s">
        <v>2246</v>
      </c>
      <c r="C2687" s="2" t="s">
        <v>3727</v>
      </c>
      <c r="D2687" s="2" t="s">
        <v>28</v>
      </c>
      <c r="E2687" s="2" t="s">
        <v>29</v>
      </c>
      <c r="F2687" s="2">
        <v>60</v>
      </c>
      <c r="G2687" s="2" t="s">
        <v>6941</v>
      </c>
      <c r="H2687" s="2" t="s">
        <v>1583</v>
      </c>
      <c r="I2687" s="2" t="s">
        <v>178</v>
      </c>
      <c r="J2687" s="3">
        <v>44872</v>
      </c>
      <c r="K2687" s="5">
        <f>YEAR(OrganizedData[[#This Row],[Order Date]])</f>
        <v>2022</v>
      </c>
      <c r="L2687" s="7" t="str">
        <f>TEXT(OrganizedData[[#This Row],[Order Date]],"mmm")</f>
        <v>Nov</v>
      </c>
      <c r="M2687" s="2">
        <v>40</v>
      </c>
      <c r="N2687" s="2" t="s">
        <v>33</v>
      </c>
      <c r="O2687" s="2" t="str">
        <f>VLOOKUP(OrganizedData[[#This Row],[Product Code]],ProductData[[Code]:[Item]],2,FALSE)</f>
        <v>Megawidget L</v>
      </c>
      <c r="P2687" s="4">
        <f>OrganizedData[[#This Row],[Quantity]]*VLOOKUP(OrganizedData[[#This Row],[Product Code]],ProductData[],4,FALSE)</f>
        <v>960</v>
      </c>
      <c r="Q2687" s="6">
        <f>OrganizedData[[#This Row],[Total Items Ordered]]*VLOOKUP(OrganizedData[[#This Row],[Product Code]],ProductData[],3,FALSE)</f>
        <v>1718.4</v>
      </c>
      <c r="R26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1666.848</v>
      </c>
    </row>
    <row r="2688" spans="1:18" x14ac:dyDescent="0.3">
      <c r="A2688" s="2">
        <v>2681</v>
      </c>
      <c r="B2688" s="2" t="s">
        <v>1613</v>
      </c>
      <c r="C2688" s="2" t="s">
        <v>6942</v>
      </c>
      <c r="D2688" s="2" t="s">
        <v>28</v>
      </c>
      <c r="E2688" s="2" t="s">
        <v>29</v>
      </c>
      <c r="F2688" s="2">
        <v>60</v>
      </c>
      <c r="G2688" s="2" t="s">
        <v>6943</v>
      </c>
      <c r="H2688" s="2" t="s">
        <v>221</v>
      </c>
      <c r="I2688" s="2" t="s">
        <v>32</v>
      </c>
      <c r="J2688" s="3">
        <v>44476</v>
      </c>
      <c r="K2688" s="5">
        <f>YEAR(OrganizedData[[#This Row],[Order Date]])</f>
        <v>2021</v>
      </c>
      <c r="L2688" s="7" t="str">
        <f>TEXT(OrganizedData[[#This Row],[Order Date]],"mmm")</f>
        <v>Oct</v>
      </c>
      <c r="M2688" s="2">
        <v>25</v>
      </c>
      <c r="N2688" s="2" t="s">
        <v>64</v>
      </c>
      <c r="O2688" s="2" t="str">
        <f>VLOOKUP(OrganizedData[[#This Row],[Product Code]],ProductData[[Code]:[Item]],2,FALSE)</f>
        <v>Ultrathing V4</v>
      </c>
      <c r="P2688" s="4">
        <f>OrganizedData[[#This Row],[Quantity]]*VLOOKUP(OrganizedData[[#This Row],[Product Code]],ProductData[],4,FALSE)</f>
        <v>600</v>
      </c>
      <c r="Q2688" s="6">
        <f>OrganizedData[[#This Row],[Total Items Ordered]]*VLOOKUP(OrganizedData[[#This Row],[Product Code]],ProductData[],3,FALSE)</f>
        <v>2394</v>
      </c>
      <c r="R26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2322.1799999999998</v>
      </c>
    </row>
    <row r="2689" spans="1:18" x14ac:dyDescent="0.3">
      <c r="A2689" s="2">
        <v>2682</v>
      </c>
      <c r="B2689" s="2" t="s">
        <v>2823</v>
      </c>
      <c r="C2689" s="2" t="s">
        <v>5168</v>
      </c>
      <c r="D2689" s="2" t="s">
        <v>28</v>
      </c>
      <c r="E2689" s="2" t="s">
        <v>29</v>
      </c>
      <c r="F2689" s="2">
        <v>30</v>
      </c>
      <c r="G2689" s="2" t="s">
        <v>6944</v>
      </c>
      <c r="H2689" s="2" t="s">
        <v>4463</v>
      </c>
      <c r="I2689" s="2" t="s">
        <v>32</v>
      </c>
      <c r="J2689" s="3">
        <v>43927</v>
      </c>
      <c r="K2689" s="5">
        <f>YEAR(OrganizedData[[#This Row],[Order Date]])</f>
        <v>2020</v>
      </c>
      <c r="L2689" s="7" t="str">
        <f>TEXT(OrganizedData[[#This Row],[Order Date]],"mmm")</f>
        <v>Apr</v>
      </c>
      <c r="M2689" s="2">
        <v>49</v>
      </c>
      <c r="N2689" s="2" t="s">
        <v>33</v>
      </c>
      <c r="O2689" s="2" t="str">
        <f>VLOOKUP(OrganizedData[[#This Row],[Product Code]],ProductData[[Code]:[Item]],2,FALSE)</f>
        <v>Megawidget L</v>
      </c>
      <c r="P2689" s="4">
        <f>OrganizedData[[#This Row],[Quantity]]*VLOOKUP(OrganizedData[[#This Row],[Product Code]],ProductData[],4,FALSE)</f>
        <v>1176</v>
      </c>
      <c r="Q2689" s="6">
        <f>OrganizedData[[#This Row],[Total Items Ordered]]*VLOOKUP(OrganizedData[[#This Row],[Product Code]],ProductData[],3,FALSE)</f>
        <v>2105.04</v>
      </c>
      <c r="R26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2041.8887999999999</v>
      </c>
    </row>
    <row r="2690" spans="1:18" x14ac:dyDescent="0.3">
      <c r="A2690" s="2">
        <v>2683</v>
      </c>
      <c r="B2690" s="2" t="s">
        <v>6945</v>
      </c>
      <c r="C2690" s="2" t="s">
        <v>1503</v>
      </c>
      <c r="D2690" s="2" t="s">
        <v>15</v>
      </c>
      <c r="E2690" s="2" t="s">
        <v>16</v>
      </c>
      <c r="F2690" s="2">
        <v>30</v>
      </c>
      <c r="G2690" s="2" t="s">
        <v>6946</v>
      </c>
      <c r="H2690" s="2" t="s">
        <v>3480</v>
      </c>
      <c r="I2690" s="2" t="s">
        <v>187</v>
      </c>
      <c r="J2690" s="3">
        <v>44552</v>
      </c>
      <c r="K2690" s="5">
        <f>YEAR(OrganizedData[[#This Row],[Order Date]])</f>
        <v>2021</v>
      </c>
      <c r="L2690" s="7" t="str">
        <f>TEXT(OrganizedData[[#This Row],[Order Date]],"mmm")</f>
        <v>Dec</v>
      </c>
      <c r="M2690" s="2">
        <v>84</v>
      </c>
      <c r="N2690" s="2" t="s">
        <v>39</v>
      </c>
      <c r="O2690" s="2" t="str">
        <f>VLOOKUP(OrganizedData[[#This Row],[Product Code]],ProductData[[Code]:[Item]],2,FALSE)</f>
        <v>Ultrathing V1</v>
      </c>
      <c r="P2690" s="4">
        <f>OrganizedData[[#This Row],[Quantity]]*VLOOKUP(OrganizedData[[#This Row],[Product Code]],ProductData[],4,FALSE)</f>
        <v>1428</v>
      </c>
      <c r="Q2690" s="6">
        <f>OrganizedData[[#This Row],[Total Items Ordered]]*VLOOKUP(OrganizedData[[#This Row],[Product Code]],ProductData[],3,FALSE)</f>
        <v>2556.12</v>
      </c>
      <c r="R26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2691" spans="1:18" x14ac:dyDescent="0.3">
      <c r="A2691" s="2">
        <v>2684</v>
      </c>
      <c r="B2691" s="2" t="s">
        <v>6947</v>
      </c>
      <c r="C2691" s="2" t="s">
        <v>759</v>
      </c>
      <c r="D2691" s="2" t="s">
        <v>15</v>
      </c>
      <c r="E2691" s="2" t="s">
        <v>16</v>
      </c>
      <c r="F2691" s="2">
        <v>90</v>
      </c>
      <c r="G2691" s="2" t="s">
        <v>6948</v>
      </c>
      <c r="H2691" s="2" t="s">
        <v>885</v>
      </c>
      <c r="I2691" s="2" t="s">
        <v>886</v>
      </c>
      <c r="J2691" s="3">
        <v>44889</v>
      </c>
      <c r="K2691" s="5">
        <f>YEAR(OrganizedData[[#This Row],[Order Date]])</f>
        <v>2022</v>
      </c>
      <c r="L2691" s="7" t="str">
        <f>TEXT(OrganizedData[[#This Row],[Order Date]],"mmm")</f>
        <v>Nov</v>
      </c>
      <c r="M2691" s="2">
        <v>99</v>
      </c>
      <c r="N2691" s="2" t="s">
        <v>80</v>
      </c>
      <c r="O2691" s="2" t="str">
        <f>VLOOKUP(OrganizedData[[#This Row],[Product Code]],ProductData[[Code]:[Item]],2,FALSE)</f>
        <v>Ultrathing V2</v>
      </c>
      <c r="P2691" s="4">
        <f>OrganizedData[[#This Row],[Quantity]]*VLOOKUP(OrganizedData[[#This Row],[Product Code]],ProductData[],4,FALSE)</f>
        <v>1980</v>
      </c>
      <c r="Q2691" s="6">
        <f>OrganizedData[[#This Row],[Total Items Ordered]]*VLOOKUP(OrganizedData[[#This Row],[Product Code]],ProductData[],3,FALSE)</f>
        <v>5841</v>
      </c>
      <c r="R26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5548.95</v>
      </c>
    </row>
    <row r="2692" spans="1:18" x14ac:dyDescent="0.3">
      <c r="A2692" s="2">
        <v>2685</v>
      </c>
      <c r="B2692" s="2" t="s">
        <v>6949</v>
      </c>
      <c r="C2692" s="2" t="s">
        <v>272</v>
      </c>
      <c r="D2692" s="2" t="s">
        <v>15</v>
      </c>
      <c r="E2692" s="2" t="s">
        <v>16</v>
      </c>
      <c r="F2692" s="2">
        <v>60</v>
      </c>
      <c r="G2692" s="2" t="s">
        <v>6950</v>
      </c>
      <c r="H2692" s="2" t="s">
        <v>6951</v>
      </c>
      <c r="I2692" s="2" t="s">
        <v>38</v>
      </c>
      <c r="J2692" s="3">
        <v>44660</v>
      </c>
      <c r="K2692" s="5">
        <f>YEAR(OrganizedData[[#This Row],[Order Date]])</f>
        <v>2022</v>
      </c>
      <c r="L2692" s="7" t="str">
        <f>TEXT(OrganizedData[[#This Row],[Order Date]],"mmm")</f>
        <v>Apr</v>
      </c>
      <c r="M2692" s="2">
        <v>9</v>
      </c>
      <c r="N2692" s="2" t="s">
        <v>33</v>
      </c>
      <c r="O2692" s="2" t="str">
        <f>VLOOKUP(OrganizedData[[#This Row],[Product Code]],ProductData[[Code]:[Item]],2,FALSE)</f>
        <v>Megawidget L</v>
      </c>
      <c r="P2692" s="4">
        <f>OrganizedData[[#This Row],[Quantity]]*VLOOKUP(OrganizedData[[#This Row],[Product Code]],ProductData[],4,FALSE)</f>
        <v>216</v>
      </c>
      <c r="Q2692" s="6">
        <f>OrganizedData[[#This Row],[Total Items Ordered]]*VLOOKUP(OrganizedData[[#This Row],[Product Code]],ProductData[],3,FALSE)</f>
        <v>386.64</v>
      </c>
      <c r="R26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386.64</v>
      </c>
    </row>
    <row r="2693" spans="1:18" x14ac:dyDescent="0.3">
      <c r="A2693" s="2">
        <v>2686</v>
      </c>
      <c r="B2693" s="2" t="s">
        <v>271</v>
      </c>
      <c r="C2693" s="2" t="s">
        <v>4847</v>
      </c>
      <c r="D2693" s="2" t="s">
        <v>15</v>
      </c>
      <c r="E2693" s="2" t="s">
        <v>16</v>
      </c>
      <c r="F2693" s="2">
        <v>60</v>
      </c>
      <c r="G2693" s="2" t="s">
        <v>6950</v>
      </c>
      <c r="H2693" s="2" t="s">
        <v>5025</v>
      </c>
      <c r="I2693" s="2" t="s">
        <v>32</v>
      </c>
      <c r="J2693" s="3">
        <v>44604</v>
      </c>
      <c r="K2693" s="5">
        <f>YEAR(OrganizedData[[#This Row],[Order Date]])</f>
        <v>2022</v>
      </c>
      <c r="L2693" s="7" t="str">
        <f>TEXT(OrganizedData[[#This Row],[Order Date]],"mmm")</f>
        <v>Feb</v>
      </c>
      <c r="M2693" s="2">
        <v>32</v>
      </c>
      <c r="N2693" s="2" t="s">
        <v>20</v>
      </c>
      <c r="O2693" s="2" t="str">
        <f>VLOOKUP(OrganizedData[[#This Row],[Product Code]],ProductData[[Code]:[Item]],2,FALSE)</f>
        <v>Hyperwotsit</v>
      </c>
      <c r="P2693" s="4">
        <f>OrganizedData[[#This Row],[Quantity]]*VLOOKUP(OrganizedData[[#This Row],[Product Code]],ProductData[],4,FALSE)</f>
        <v>640</v>
      </c>
      <c r="Q2693" s="6">
        <f>OrganizedData[[#This Row],[Total Items Ordered]]*VLOOKUP(OrganizedData[[#This Row],[Product Code]],ProductData[],3,FALSE)</f>
        <v>1286.3999999999999</v>
      </c>
      <c r="R26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2694" spans="1:18" x14ac:dyDescent="0.3">
      <c r="A2694" s="2">
        <v>2687</v>
      </c>
      <c r="B2694" s="2" t="s">
        <v>6952</v>
      </c>
      <c r="C2694" s="2" t="s">
        <v>1765</v>
      </c>
      <c r="D2694" s="2" t="s">
        <v>41</v>
      </c>
      <c r="E2694" s="2" t="s">
        <v>16</v>
      </c>
      <c r="F2694" s="2">
        <v>60</v>
      </c>
      <c r="G2694" s="2" t="s">
        <v>6953</v>
      </c>
      <c r="H2694" s="2" t="s">
        <v>5643</v>
      </c>
      <c r="I2694" s="2" t="s">
        <v>886</v>
      </c>
      <c r="J2694" s="3">
        <v>44478</v>
      </c>
      <c r="K2694" s="5">
        <f>YEAR(OrganizedData[[#This Row],[Order Date]])</f>
        <v>2021</v>
      </c>
      <c r="L2694" s="7" t="str">
        <f>TEXT(OrganizedData[[#This Row],[Order Date]],"mmm")</f>
        <v>Oct</v>
      </c>
      <c r="M2694" s="2">
        <v>25</v>
      </c>
      <c r="N2694" s="2" t="s">
        <v>64</v>
      </c>
      <c r="O2694" s="2" t="str">
        <f>VLOOKUP(OrganizedData[[#This Row],[Product Code]],ProductData[[Code]:[Item]],2,FALSE)</f>
        <v>Ultrathing V4</v>
      </c>
      <c r="P2694" s="4">
        <f>OrganizedData[[#This Row],[Quantity]]*VLOOKUP(OrganizedData[[#This Row],[Product Code]],ProductData[],4,FALSE)</f>
        <v>600</v>
      </c>
      <c r="Q2694" s="6">
        <f>OrganizedData[[#This Row],[Total Items Ordered]]*VLOOKUP(OrganizedData[[#This Row],[Product Code]],ProductData[],3,FALSE)</f>
        <v>2394</v>
      </c>
      <c r="R26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2322.1799999999998</v>
      </c>
    </row>
    <row r="2695" spans="1:18" x14ac:dyDescent="0.3">
      <c r="A2695" s="2">
        <v>2688</v>
      </c>
      <c r="B2695" s="2" t="s">
        <v>5916</v>
      </c>
      <c r="C2695" s="2" t="s">
        <v>639</v>
      </c>
      <c r="D2695" s="2" t="s">
        <v>28</v>
      </c>
      <c r="E2695" s="2" t="s">
        <v>29</v>
      </c>
      <c r="F2695" s="2">
        <v>30</v>
      </c>
      <c r="G2695" s="2" t="s">
        <v>6954</v>
      </c>
      <c r="H2695" s="2" t="s">
        <v>1168</v>
      </c>
      <c r="I2695" s="2" t="s">
        <v>32</v>
      </c>
      <c r="J2695" s="3">
        <v>44686</v>
      </c>
      <c r="K2695" s="5">
        <f>YEAR(OrganizedData[[#This Row],[Order Date]])</f>
        <v>2022</v>
      </c>
      <c r="L2695" s="7" t="str">
        <f>TEXT(OrganizedData[[#This Row],[Order Date]],"mmm")</f>
        <v>May</v>
      </c>
      <c r="M2695" s="2">
        <v>11</v>
      </c>
      <c r="N2695" s="2" t="s">
        <v>159</v>
      </c>
      <c r="O2695" s="2" t="str">
        <f>VLOOKUP(OrganizedData[[#This Row],[Product Code]],ProductData[[Code]:[Item]],2,FALSE)</f>
        <v>Ultrathing V3</v>
      </c>
      <c r="P2695" s="4">
        <f>OrganizedData[[#This Row],[Quantity]]*VLOOKUP(OrganizedData[[#This Row],[Product Code]],ProductData[],4,FALSE)</f>
        <v>264</v>
      </c>
      <c r="Q2695" s="6">
        <f>OrganizedData[[#This Row],[Total Items Ordered]]*VLOOKUP(OrganizedData[[#This Row],[Product Code]],ProductData[],3,FALSE)</f>
        <v>894.96</v>
      </c>
      <c r="R26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2696" spans="1:18" x14ac:dyDescent="0.3">
      <c r="A2696" s="2">
        <v>2689</v>
      </c>
      <c r="B2696" s="2" t="s">
        <v>6955</v>
      </c>
      <c r="C2696" s="2" t="s">
        <v>4342</v>
      </c>
      <c r="D2696" s="2" t="s">
        <v>51</v>
      </c>
      <c r="E2696" s="2" t="s">
        <v>16</v>
      </c>
      <c r="F2696" s="2">
        <v>90</v>
      </c>
      <c r="G2696" s="2" t="s">
        <v>6956</v>
      </c>
      <c r="H2696" s="2" t="s">
        <v>591</v>
      </c>
      <c r="I2696" s="2" t="s">
        <v>32</v>
      </c>
      <c r="J2696" s="3">
        <v>44243</v>
      </c>
      <c r="K2696" s="5">
        <f>YEAR(OrganizedData[[#This Row],[Order Date]])</f>
        <v>2021</v>
      </c>
      <c r="L2696" s="7" t="str">
        <f>TEXT(OrganizedData[[#This Row],[Order Date]],"mmm")</f>
        <v>Feb</v>
      </c>
      <c r="M2696" s="2">
        <v>93</v>
      </c>
      <c r="N2696" s="2" t="s">
        <v>45</v>
      </c>
      <c r="O2696" s="2" t="str">
        <f>VLOOKUP(OrganizedData[[#This Row],[Product Code]],ProductData[[Code]:[Item]],2,FALSE)</f>
        <v>Gigastuff</v>
      </c>
      <c r="P2696" s="4">
        <f>OrganizedData[[#This Row],[Quantity]]*VLOOKUP(OrganizedData[[#This Row],[Product Code]],ProductData[],4,FALSE)</f>
        <v>1674</v>
      </c>
      <c r="Q2696" s="6">
        <f>OrganizedData[[#This Row],[Total Items Ordered]]*VLOOKUP(OrganizedData[[#This Row],[Product Code]],ProductData[],3,FALSE)</f>
        <v>3163.8599999999997</v>
      </c>
      <c r="R26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3005.6669999999995</v>
      </c>
    </row>
    <row r="2697" spans="1:18" x14ac:dyDescent="0.3">
      <c r="A2697" s="2">
        <v>2690</v>
      </c>
      <c r="B2697" s="2" t="s">
        <v>6957</v>
      </c>
      <c r="C2697" s="2" t="s">
        <v>188</v>
      </c>
      <c r="D2697" s="2" t="s">
        <v>41</v>
      </c>
      <c r="E2697" s="2" t="s">
        <v>16</v>
      </c>
      <c r="F2697" s="2">
        <v>90</v>
      </c>
      <c r="G2697" s="2" t="s">
        <v>6958</v>
      </c>
      <c r="H2697" s="2" t="s">
        <v>1490</v>
      </c>
      <c r="I2697" s="2" t="s">
        <v>294</v>
      </c>
      <c r="J2697" s="3">
        <v>44307</v>
      </c>
      <c r="K2697" s="5">
        <f>YEAR(OrganizedData[[#This Row],[Order Date]])</f>
        <v>2021</v>
      </c>
      <c r="L2697" s="7" t="str">
        <f>TEXT(OrganizedData[[#This Row],[Order Date]],"mmm")</f>
        <v>Apr</v>
      </c>
      <c r="M2697" s="2">
        <v>87</v>
      </c>
      <c r="N2697" s="2" t="s">
        <v>20</v>
      </c>
      <c r="O2697" s="2" t="str">
        <f>VLOOKUP(OrganizedData[[#This Row],[Product Code]],ProductData[[Code]:[Item]],2,FALSE)</f>
        <v>Hyperwotsit</v>
      </c>
      <c r="P2697" s="4">
        <f>OrganizedData[[#This Row],[Quantity]]*VLOOKUP(OrganizedData[[#This Row],[Product Code]],ProductData[],4,FALSE)</f>
        <v>1740</v>
      </c>
      <c r="Q2697" s="6">
        <f>OrganizedData[[#This Row],[Total Items Ordered]]*VLOOKUP(OrganizedData[[#This Row],[Product Code]],ProductData[],3,FALSE)</f>
        <v>3497.3999999999996</v>
      </c>
      <c r="R26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3322.5299999999993</v>
      </c>
    </row>
    <row r="2698" spans="1:18" x14ac:dyDescent="0.3">
      <c r="A2698" s="2">
        <v>2691</v>
      </c>
      <c r="B2698" s="2" t="s">
        <v>3325</v>
      </c>
      <c r="C2698" s="2" t="s">
        <v>193</v>
      </c>
      <c r="D2698" s="2" t="s">
        <v>28</v>
      </c>
      <c r="E2698" s="2" t="s">
        <v>29</v>
      </c>
      <c r="F2698" s="2">
        <v>30</v>
      </c>
      <c r="G2698" s="2" t="s">
        <v>6959</v>
      </c>
      <c r="H2698" s="2" t="s">
        <v>2354</v>
      </c>
      <c r="I2698" s="2" t="s">
        <v>178</v>
      </c>
      <c r="J2698" s="3">
        <v>44298</v>
      </c>
      <c r="K2698" s="5">
        <f>YEAR(OrganizedData[[#This Row],[Order Date]])</f>
        <v>2021</v>
      </c>
      <c r="L2698" s="7" t="str">
        <f>TEXT(OrganizedData[[#This Row],[Order Date]],"mmm")</f>
        <v>Apr</v>
      </c>
      <c r="M2698" s="2">
        <v>50</v>
      </c>
      <c r="N2698" s="2" t="s">
        <v>159</v>
      </c>
      <c r="O2698" s="2" t="str">
        <f>VLOOKUP(OrganizedData[[#This Row],[Product Code]],ProductData[[Code]:[Item]],2,FALSE)</f>
        <v>Ultrathing V3</v>
      </c>
      <c r="P2698" s="4">
        <f>OrganizedData[[#This Row],[Quantity]]*VLOOKUP(OrganizedData[[#This Row],[Product Code]],ProductData[],4,FALSE)</f>
        <v>1200</v>
      </c>
      <c r="Q2698" s="6">
        <f>OrganizedData[[#This Row],[Total Items Ordered]]*VLOOKUP(OrganizedData[[#This Row],[Product Code]],ProductData[],3,FALSE)</f>
        <v>4068</v>
      </c>
      <c r="R26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2699" spans="1:18" x14ac:dyDescent="0.3">
      <c r="A2699" s="2">
        <v>2692</v>
      </c>
      <c r="B2699" s="2" t="s">
        <v>256</v>
      </c>
      <c r="C2699" s="2" t="s">
        <v>3673</v>
      </c>
      <c r="D2699" s="2" t="s">
        <v>28</v>
      </c>
      <c r="E2699" s="2" t="s">
        <v>29</v>
      </c>
      <c r="F2699" s="2">
        <v>90</v>
      </c>
      <c r="G2699" s="2" t="s">
        <v>6960</v>
      </c>
      <c r="H2699" s="2" t="s">
        <v>5441</v>
      </c>
      <c r="I2699" s="2" t="s">
        <v>178</v>
      </c>
      <c r="J2699" s="3">
        <v>43843</v>
      </c>
      <c r="K2699" s="5">
        <f>YEAR(OrganizedData[[#This Row],[Order Date]])</f>
        <v>2020</v>
      </c>
      <c r="L2699" s="7" t="str">
        <f>TEXT(OrganizedData[[#This Row],[Order Date]],"mmm")</f>
        <v>Jan</v>
      </c>
      <c r="M2699" s="2">
        <v>81</v>
      </c>
      <c r="N2699" s="2" t="s">
        <v>159</v>
      </c>
      <c r="O2699" s="2" t="str">
        <f>VLOOKUP(OrganizedData[[#This Row],[Product Code]],ProductData[[Code]:[Item]],2,FALSE)</f>
        <v>Ultrathing V3</v>
      </c>
      <c r="P2699" s="4">
        <f>OrganizedData[[#This Row],[Quantity]]*VLOOKUP(OrganizedData[[#This Row],[Product Code]],ProductData[],4,FALSE)</f>
        <v>1944</v>
      </c>
      <c r="Q2699" s="6">
        <f>OrganizedData[[#This Row],[Total Items Ordered]]*VLOOKUP(OrganizedData[[#This Row],[Product Code]],ProductData[],3,FALSE)</f>
        <v>6590.16</v>
      </c>
      <c r="R26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2700" spans="1:18" x14ac:dyDescent="0.3">
      <c r="A2700" s="2">
        <v>2693</v>
      </c>
      <c r="B2700" s="2" t="s">
        <v>1527</v>
      </c>
      <c r="C2700" s="2" t="s">
        <v>5161</v>
      </c>
      <c r="D2700" s="2" t="s">
        <v>15</v>
      </c>
      <c r="E2700" s="2" t="s">
        <v>16</v>
      </c>
      <c r="F2700" s="2">
        <v>60</v>
      </c>
      <c r="G2700" s="2" t="s">
        <v>6961</v>
      </c>
      <c r="H2700" s="2" t="s">
        <v>4283</v>
      </c>
      <c r="I2700" s="2" t="s">
        <v>178</v>
      </c>
      <c r="J2700" s="3">
        <v>44580</v>
      </c>
      <c r="K2700" s="5">
        <f>YEAR(OrganizedData[[#This Row],[Order Date]])</f>
        <v>2022</v>
      </c>
      <c r="L2700" s="7" t="str">
        <f>TEXT(OrganizedData[[#This Row],[Order Date]],"mmm")</f>
        <v>Jan</v>
      </c>
      <c r="M2700" s="2">
        <v>65</v>
      </c>
      <c r="N2700" s="2" t="s">
        <v>33</v>
      </c>
      <c r="O2700" s="2" t="str">
        <f>VLOOKUP(OrganizedData[[#This Row],[Product Code]],ProductData[[Code]:[Item]],2,FALSE)</f>
        <v>Megawidget L</v>
      </c>
      <c r="P2700" s="4">
        <f>OrganizedData[[#This Row],[Quantity]]*VLOOKUP(OrganizedData[[#This Row],[Product Code]],ProductData[],4,FALSE)</f>
        <v>1560</v>
      </c>
      <c r="Q2700" s="6">
        <f>OrganizedData[[#This Row],[Total Items Ordered]]*VLOOKUP(OrganizedData[[#This Row],[Product Code]],ProductData[],3,FALSE)</f>
        <v>2792.4</v>
      </c>
      <c r="R27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2652.7799999999997</v>
      </c>
    </row>
    <row r="2701" spans="1:18" x14ac:dyDescent="0.3">
      <c r="A2701" s="2">
        <v>2694</v>
      </c>
      <c r="B2701" s="2" t="s">
        <v>5500</v>
      </c>
      <c r="C2701" s="2" t="s">
        <v>3738</v>
      </c>
      <c r="D2701" s="2" t="s">
        <v>28</v>
      </c>
      <c r="E2701" s="2" t="s">
        <v>29</v>
      </c>
      <c r="F2701" s="2">
        <v>60</v>
      </c>
      <c r="G2701" s="2" t="s">
        <v>6962</v>
      </c>
      <c r="H2701" s="2" t="s">
        <v>4046</v>
      </c>
      <c r="I2701" s="2" t="s">
        <v>173</v>
      </c>
      <c r="J2701" s="3">
        <v>44619</v>
      </c>
      <c r="K2701" s="5">
        <f>YEAR(OrganizedData[[#This Row],[Order Date]])</f>
        <v>2022</v>
      </c>
      <c r="L2701" s="7" t="str">
        <f>TEXT(OrganizedData[[#This Row],[Order Date]],"mmm")</f>
        <v>Feb</v>
      </c>
      <c r="M2701" s="2">
        <v>48</v>
      </c>
      <c r="N2701" s="2" t="s">
        <v>45</v>
      </c>
      <c r="O2701" s="2" t="str">
        <f>VLOOKUP(OrganizedData[[#This Row],[Product Code]],ProductData[[Code]:[Item]],2,FALSE)</f>
        <v>Gigastuff</v>
      </c>
      <c r="P2701" s="4">
        <f>OrganizedData[[#This Row],[Quantity]]*VLOOKUP(OrganizedData[[#This Row],[Product Code]],ProductData[],4,FALSE)</f>
        <v>864</v>
      </c>
      <c r="Q2701" s="6">
        <f>OrganizedData[[#This Row],[Total Items Ordered]]*VLOOKUP(OrganizedData[[#This Row],[Product Code]],ProductData[],3,FALSE)</f>
        <v>1632.9599999999998</v>
      </c>
      <c r="R27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1583.9711999999997</v>
      </c>
    </row>
    <row r="2702" spans="1:18" x14ac:dyDescent="0.3">
      <c r="A2702" s="2">
        <v>2695</v>
      </c>
      <c r="B2702" s="2" t="s">
        <v>2565</v>
      </c>
      <c r="C2702" s="2" t="s">
        <v>3051</v>
      </c>
      <c r="D2702" s="2" t="s">
        <v>92</v>
      </c>
      <c r="E2702" s="2" t="s">
        <v>29</v>
      </c>
      <c r="F2702" s="2">
        <v>90</v>
      </c>
      <c r="G2702" s="2" t="s">
        <v>6963</v>
      </c>
      <c r="H2702" s="2" t="s">
        <v>2667</v>
      </c>
      <c r="I2702" s="2" t="s">
        <v>187</v>
      </c>
      <c r="J2702" s="3">
        <v>43921</v>
      </c>
      <c r="K2702" s="5">
        <f>YEAR(OrganizedData[[#This Row],[Order Date]])</f>
        <v>2020</v>
      </c>
      <c r="L2702" s="7" t="str">
        <f>TEXT(OrganizedData[[#This Row],[Order Date]],"mmm")</f>
        <v>Mar</v>
      </c>
      <c r="M2702" s="2">
        <v>75</v>
      </c>
      <c r="N2702" s="2" t="s">
        <v>101</v>
      </c>
      <c r="O2702" s="2" t="str">
        <f>VLOOKUP(OrganizedData[[#This Row],[Product Code]],ProductData[[Code]:[Item]],2,FALSE)</f>
        <v>Superwossname</v>
      </c>
      <c r="P2702" s="4">
        <f>OrganizedData[[#This Row],[Quantity]]*VLOOKUP(OrganizedData[[#This Row],[Product Code]],ProductData[],4,FALSE)</f>
        <v>1500</v>
      </c>
      <c r="Q2702" s="6">
        <f>OrganizedData[[#This Row],[Total Items Ordered]]*VLOOKUP(OrganizedData[[#This Row],[Product Code]],ProductData[],3,FALSE)</f>
        <v>5235</v>
      </c>
      <c r="R27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2703" spans="1:18" x14ac:dyDescent="0.3">
      <c r="A2703" s="2">
        <v>2696</v>
      </c>
      <c r="B2703" s="2" t="s">
        <v>6964</v>
      </c>
      <c r="C2703" s="2" t="s">
        <v>5370</v>
      </c>
      <c r="D2703" s="2" t="s">
        <v>51</v>
      </c>
      <c r="E2703" s="2" t="s">
        <v>16</v>
      </c>
      <c r="F2703" s="2">
        <v>90</v>
      </c>
      <c r="G2703" s="2" t="s">
        <v>6963</v>
      </c>
      <c r="H2703" s="2" t="s">
        <v>3770</v>
      </c>
      <c r="I2703" s="2" t="s">
        <v>32</v>
      </c>
      <c r="J2703" s="3">
        <v>44697</v>
      </c>
      <c r="K2703" s="5">
        <f>YEAR(OrganizedData[[#This Row],[Order Date]])</f>
        <v>2022</v>
      </c>
      <c r="L2703" s="7" t="str">
        <f>TEXT(OrganizedData[[#This Row],[Order Date]],"mmm")</f>
        <v>May</v>
      </c>
      <c r="M2703" s="2">
        <v>2</v>
      </c>
      <c r="N2703" s="2" t="s">
        <v>70</v>
      </c>
      <c r="O2703" s="2" t="str">
        <f>VLOOKUP(OrganizedData[[#This Row],[Product Code]],ProductData[[Code]:[Item]],2,FALSE)</f>
        <v>Megawidget M</v>
      </c>
      <c r="P2703" s="4">
        <f>OrganizedData[[#This Row],[Quantity]]*VLOOKUP(OrganizedData[[#This Row],[Product Code]],ProductData[],4,FALSE)</f>
        <v>48</v>
      </c>
      <c r="Q2703" s="6">
        <f>OrganizedData[[#This Row],[Total Items Ordered]]*VLOOKUP(OrganizedData[[#This Row],[Product Code]],ProductData[],3,FALSE)</f>
        <v>61.92</v>
      </c>
      <c r="R27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2704" spans="1:18" x14ac:dyDescent="0.3">
      <c r="A2704" s="2">
        <v>2697</v>
      </c>
      <c r="B2704" s="2" t="s">
        <v>1998</v>
      </c>
      <c r="C2704" s="2" t="s">
        <v>6965</v>
      </c>
      <c r="D2704" s="2" t="s">
        <v>28</v>
      </c>
      <c r="E2704" s="2" t="s">
        <v>29</v>
      </c>
      <c r="F2704" s="2">
        <v>30</v>
      </c>
      <c r="G2704" s="2" t="s">
        <v>6966</v>
      </c>
      <c r="H2704" s="2" t="s">
        <v>1920</v>
      </c>
      <c r="I2704" s="2" t="s">
        <v>1921</v>
      </c>
      <c r="J2704" s="3">
        <v>43944</v>
      </c>
      <c r="K2704" s="5">
        <f>YEAR(OrganizedData[[#This Row],[Order Date]])</f>
        <v>2020</v>
      </c>
      <c r="L2704" s="7" t="str">
        <f>TEXT(OrganizedData[[#This Row],[Order Date]],"mmm")</f>
        <v>Apr</v>
      </c>
      <c r="M2704" s="2">
        <v>36</v>
      </c>
      <c r="N2704" s="2" t="s">
        <v>33</v>
      </c>
      <c r="O2704" s="2" t="str">
        <f>VLOOKUP(OrganizedData[[#This Row],[Product Code]],ProductData[[Code]:[Item]],2,FALSE)</f>
        <v>Megawidget L</v>
      </c>
      <c r="P2704" s="4">
        <f>OrganizedData[[#This Row],[Quantity]]*VLOOKUP(OrganizedData[[#This Row],[Product Code]],ProductData[],4,FALSE)</f>
        <v>864</v>
      </c>
      <c r="Q2704" s="6">
        <f>OrganizedData[[#This Row],[Total Items Ordered]]*VLOOKUP(OrganizedData[[#This Row],[Product Code]],ProductData[],3,FALSE)</f>
        <v>1546.56</v>
      </c>
      <c r="R27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1500.1632</v>
      </c>
    </row>
    <row r="2705" spans="1:18" x14ac:dyDescent="0.3">
      <c r="A2705" s="2">
        <v>2698</v>
      </c>
      <c r="B2705" s="2" t="s">
        <v>6967</v>
      </c>
      <c r="C2705" s="2" t="s">
        <v>2177</v>
      </c>
      <c r="D2705" s="2" t="s">
        <v>15</v>
      </c>
      <c r="E2705" s="2" t="s">
        <v>16</v>
      </c>
      <c r="F2705" s="2">
        <v>90</v>
      </c>
      <c r="G2705" s="2" t="s">
        <v>6968</v>
      </c>
      <c r="H2705" s="2" t="s">
        <v>793</v>
      </c>
      <c r="I2705" s="2" t="s">
        <v>178</v>
      </c>
      <c r="J2705" s="3">
        <v>44444</v>
      </c>
      <c r="K2705" s="5">
        <f>YEAR(OrganizedData[[#This Row],[Order Date]])</f>
        <v>2021</v>
      </c>
      <c r="L2705" s="7" t="str">
        <f>TEXT(OrganizedData[[#This Row],[Order Date]],"mmm")</f>
        <v>Sep</v>
      </c>
      <c r="M2705" s="2">
        <v>94</v>
      </c>
      <c r="N2705" s="2" t="s">
        <v>39</v>
      </c>
      <c r="O2705" s="2" t="str">
        <f>VLOOKUP(OrganizedData[[#This Row],[Product Code]],ProductData[[Code]:[Item]],2,FALSE)</f>
        <v>Ultrathing V1</v>
      </c>
      <c r="P2705" s="4">
        <f>OrganizedData[[#This Row],[Quantity]]*VLOOKUP(OrganizedData[[#This Row],[Product Code]],ProductData[],4,FALSE)</f>
        <v>1598</v>
      </c>
      <c r="Q2705" s="6">
        <f>OrganizedData[[#This Row],[Total Items Ordered]]*VLOOKUP(OrganizedData[[#This Row],[Product Code]],ProductData[],3,FALSE)</f>
        <v>2860.42</v>
      </c>
      <c r="R27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2706" spans="1:18" x14ac:dyDescent="0.3">
      <c r="A2706" s="2">
        <v>2699</v>
      </c>
      <c r="B2706" s="2" t="s">
        <v>4489</v>
      </c>
      <c r="C2706" s="2" t="s">
        <v>5029</v>
      </c>
      <c r="D2706" s="2" t="s">
        <v>28</v>
      </c>
      <c r="E2706" s="2" t="s">
        <v>29</v>
      </c>
      <c r="F2706" s="2">
        <v>90</v>
      </c>
      <c r="G2706" s="2" t="s">
        <v>6969</v>
      </c>
      <c r="H2706" s="2" t="s">
        <v>1888</v>
      </c>
      <c r="I2706" s="2" t="s">
        <v>1889</v>
      </c>
      <c r="J2706" s="3">
        <v>43972</v>
      </c>
      <c r="K2706" s="5">
        <f>YEAR(OrganizedData[[#This Row],[Order Date]])</f>
        <v>2020</v>
      </c>
      <c r="L2706" s="7" t="str">
        <f>TEXT(OrganizedData[[#This Row],[Order Date]],"mmm")</f>
        <v>May</v>
      </c>
      <c r="M2706" s="2">
        <v>54</v>
      </c>
      <c r="N2706" s="2" t="s">
        <v>70</v>
      </c>
      <c r="O2706" s="2" t="str">
        <f>VLOOKUP(OrganizedData[[#This Row],[Product Code]],ProductData[[Code]:[Item]],2,FALSE)</f>
        <v>Megawidget M</v>
      </c>
      <c r="P2706" s="4">
        <f>OrganizedData[[#This Row],[Quantity]]*VLOOKUP(OrganizedData[[#This Row],[Product Code]],ProductData[],4,FALSE)</f>
        <v>1296</v>
      </c>
      <c r="Q2706" s="6">
        <f>OrganizedData[[#This Row],[Total Items Ordered]]*VLOOKUP(OrganizedData[[#This Row],[Product Code]],ProductData[],3,FALSE)</f>
        <v>1671.8400000000001</v>
      </c>
      <c r="R27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1588.248</v>
      </c>
    </row>
    <row r="2707" spans="1:18" x14ac:dyDescent="0.3">
      <c r="A2707" s="2">
        <v>2700</v>
      </c>
      <c r="B2707" s="2" t="s">
        <v>6970</v>
      </c>
      <c r="C2707" s="2" t="s">
        <v>6971</v>
      </c>
      <c r="D2707" s="2" t="s">
        <v>15</v>
      </c>
      <c r="E2707" s="2" t="s">
        <v>16</v>
      </c>
      <c r="F2707" s="2">
        <v>90</v>
      </c>
      <c r="G2707" s="2" t="s">
        <v>6972</v>
      </c>
      <c r="H2707" s="2" t="s">
        <v>1272</v>
      </c>
      <c r="I2707" s="2" t="s">
        <v>59</v>
      </c>
      <c r="J2707" s="3">
        <v>44132</v>
      </c>
      <c r="K2707" s="5">
        <f>YEAR(OrganizedData[[#This Row],[Order Date]])</f>
        <v>2020</v>
      </c>
      <c r="L2707" s="7" t="str">
        <f>TEXT(OrganizedData[[#This Row],[Order Date]],"mmm")</f>
        <v>Oct</v>
      </c>
      <c r="M2707" s="2">
        <v>83</v>
      </c>
      <c r="N2707" s="2" t="s">
        <v>64</v>
      </c>
      <c r="O2707" s="2" t="str">
        <f>VLOOKUP(OrganizedData[[#This Row],[Product Code]],ProductData[[Code]:[Item]],2,FALSE)</f>
        <v>Ultrathing V4</v>
      </c>
      <c r="P2707" s="4">
        <f>OrganizedData[[#This Row],[Quantity]]*VLOOKUP(OrganizedData[[#This Row],[Product Code]],ProductData[],4,FALSE)</f>
        <v>1992</v>
      </c>
      <c r="Q2707" s="6">
        <f>OrganizedData[[#This Row],[Total Items Ordered]]*VLOOKUP(OrganizedData[[#This Row],[Product Code]],ProductData[],3,FALSE)</f>
        <v>7948.0800000000008</v>
      </c>
      <c r="R27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2708" spans="1:18" x14ac:dyDescent="0.3">
      <c r="A2708" s="2">
        <v>2701</v>
      </c>
      <c r="B2708" s="2" t="s">
        <v>6973</v>
      </c>
      <c r="C2708" s="2" t="s">
        <v>2453</v>
      </c>
      <c r="D2708" s="2" t="s">
        <v>15</v>
      </c>
      <c r="E2708" s="2" t="s">
        <v>16</v>
      </c>
      <c r="F2708" s="2">
        <v>90</v>
      </c>
      <c r="G2708" s="2" t="s">
        <v>6974</v>
      </c>
      <c r="H2708" s="2" t="s">
        <v>4334</v>
      </c>
      <c r="I2708" s="2" t="s">
        <v>1199</v>
      </c>
      <c r="J2708" s="3">
        <v>44427</v>
      </c>
      <c r="K2708" s="5">
        <f>YEAR(OrganizedData[[#This Row],[Order Date]])</f>
        <v>2021</v>
      </c>
      <c r="L2708" s="7" t="str">
        <f>TEXT(OrganizedData[[#This Row],[Order Date]],"mmm")</f>
        <v>Aug</v>
      </c>
      <c r="M2708" s="2">
        <v>85</v>
      </c>
      <c r="N2708" s="2" t="s">
        <v>159</v>
      </c>
      <c r="O2708" s="2" t="str">
        <f>VLOOKUP(OrganizedData[[#This Row],[Product Code]],ProductData[[Code]:[Item]],2,FALSE)</f>
        <v>Ultrathing V3</v>
      </c>
      <c r="P2708" s="4">
        <f>OrganizedData[[#This Row],[Quantity]]*VLOOKUP(OrganizedData[[#This Row],[Product Code]],ProductData[],4,FALSE)</f>
        <v>2040</v>
      </c>
      <c r="Q2708" s="6">
        <f>OrganizedData[[#This Row],[Total Items Ordered]]*VLOOKUP(OrganizedData[[#This Row],[Product Code]],ProductData[],3,FALSE)</f>
        <v>6915.6</v>
      </c>
      <c r="R27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2709" spans="1:18" x14ac:dyDescent="0.3">
      <c r="A2709" s="2">
        <v>2702</v>
      </c>
      <c r="B2709" s="2" t="s">
        <v>6975</v>
      </c>
      <c r="C2709" s="2" t="s">
        <v>2528</v>
      </c>
      <c r="D2709" s="2" t="s">
        <v>51</v>
      </c>
      <c r="E2709" s="2" t="s">
        <v>16</v>
      </c>
      <c r="F2709" s="2">
        <v>30</v>
      </c>
      <c r="G2709" s="2" t="s">
        <v>6976</v>
      </c>
      <c r="H2709" s="2" t="s">
        <v>2393</v>
      </c>
      <c r="I2709" s="2" t="s">
        <v>1449</v>
      </c>
      <c r="J2709" s="3">
        <v>43910</v>
      </c>
      <c r="K2709" s="5">
        <f>YEAR(OrganizedData[[#This Row],[Order Date]])</f>
        <v>2020</v>
      </c>
      <c r="L2709" s="7" t="str">
        <f>TEXT(OrganizedData[[#This Row],[Order Date]],"mmm")</f>
        <v>Mar</v>
      </c>
      <c r="M2709" s="2">
        <v>50</v>
      </c>
      <c r="N2709" s="2" t="s">
        <v>80</v>
      </c>
      <c r="O2709" s="2" t="str">
        <f>VLOOKUP(OrganizedData[[#This Row],[Product Code]],ProductData[[Code]:[Item]],2,FALSE)</f>
        <v>Ultrathing V2</v>
      </c>
      <c r="P2709" s="4">
        <f>OrganizedData[[#This Row],[Quantity]]*VLOOKUP(OrganizedData[[#This Row],[Product Code]],ProductData[],4,FALSE)</f>
        <v>1000</v>
      </c>
      <c r="Q2709" s="6">
        <f>OrganizedData[[#This Row],[Total Items Ordered]]*VLOOKUP(OrganizedData[[#This Row],[Product Code]],ProductData[],3,FALSE)</f>
        <v>2950</v>
      </c>
      <c r="R27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2861.5</v>
      </c>
    </row>
    <row r="2710" spans="1:18" x14ac:dyDescent="0.3">
      <c r="A2710" s="2">
        <v>2703</v>
      </c>
      <c r="B2710" s="2" t="s">
        <v>6977</v>
      </c>
      <c r="C2710" s="2" t="s">
        <v>4803</v>
      </c>
      <c r="D2710" s="2" t="s">
        <v>15</v>
      </c>
      <c r="E2710" s="2" t="s">
        <v>16</v>
      </c>
      <c r="F2710" s="2">
        <v>60</v>
      </c>
      <c r="G2710" s="2" t="s">
        <v>6976</v>
      </c>
      <c r="H2710" s="2" t="s">
        <v>637</v>
      </c>
      <c r="I2710" s="2" t="s">
        <v>32</v>
      </c>
      <c r="J2710" s="3">
        <v>44104</v>
      </c>
      <c r="K2710" s="5">
        <f>YEAR(OrganizedData[[#This Row],[Order Date]])</f>
        <v>2020</v>
      </c>
      <c r="L2710" s="7" t="str">
        <f>TEXT(OrganizedData[[#This Row],[Order Date]],"mmm")</f>
        <v>Sep</v>
      </c>
      <c r="M2710" s="2">
        <v>62</v>
      </c>
      <c r="N2710" s="2" t="s">
        <v>33</v>
      </c>
      <c r="O2710" s="2" t="str">
        <f>VLOOKUP(OrganizedData[[#This Row],[Product Code]],ProductData[[Code]:[Item]],2,FALSE)</f>
        <v>Megawidget L</v>
      </c>
      <c r="P2710" s="4">
        <f>OrganizedData[[#This Row],[Quantity]]*VLOOKUP(OrganizedData[[#This Row],[Product Code]],ProductData[],4,FALSE)</f>
        <v>1488</v>
      </c>
      <c r="Q2710" s="6">
        <f>OrganizedData[[#This Row],[Total Items Ordered]]*VLOOKUP(OrganizedData[[#This Row],[Product Code]],ProductData[],3,FALSE)</f>
        <v>2663.52</v>
      </c>
      <c r="R27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2711" spans="1:18" x14ac:dyDescent="0.3">
      <c r="A2711" s="2">
        <v>2704</v>
      </c>
      <c r="B2711" s="2" t="s">
        <v>3039</v>
      </c>
      <c r="C2711" s="2" t="s">
        <v>6978</v>
      </c>
      <c r="D2711" s="2" t="s">
        <v>51</v>
      </c>
      <c r="E2711" s="2" t="s">
        <v>16</v>
      </c>
      <c r="F2711" s="2">
        <v>30</v>
      </c>
      <c r="G2711" s="2" t="s">
        <v>6979</v>
      </c>
      <c r="H2711" s="2" t="s">
        <v>1453</v>
      </c>
      <c r="I2711" s="2" t="s">
        <v>1454</v>
      </c>
      <c r="J2711" s="3">
        <v>44063</v>
      </c>
      <c r="K2711" s="5">
        <f>YEAR(OrganizedData[[#This Row],[Order Date]])</f>
        <v>2020</v>
      </c>
      <c r="L2711" s="7" t="str">
        <f>TEXT(OrganizedData[[#This Row],[Order Date]],"mmm")</f>
        <v>Aug</v>
      </c>
      <c r="M2711" s="2">
        <v>60</v>
      </c>
      <c r="N2711" s="2" t="s">
        <v>70</v>
      </c>
      <c r="O2711" s="2" t="str">
        <f>VLOOKUP(OrganizedData[[#This Row],[Product Code]],ProductData[[Code]:[Item]],2,FALSE)</f>
        <v>Megawidget M</v>
      </c>
      <c r="P2711" s="4">
        <f>OrganizedData[[#This Row],[Quantity]]*VLOOKUP(OrganizedData[[#This Row],[Product Code]],ProductData[],4,FALSE)</f>
        <v>1440</v>
      </c>
      <c r="Q2711" s="6">
        <f>OrganizedData[[#This Row],[Total Items Ordered]]*VLOOKUP(OrganizedData[[#This Row],[Product Code]],ProductData[],3,FALSE)</f>
        <v>1857.6000000000001</v>
      </c>
      <c r="R27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1764.72</v>
      </c>
    </row>
    <row r="2712" spans="1:18" x14ac:dyDescent="0.3">
      <c r="A2712" s="2">
        <v>2705</v>
      </c>
      <c r="B2712" s="2" t="s">
        <v>6980</v>
      </c>
      <c r="C2712" s="2" t="s">
        <v>5174</v>
      </c>
      <c r="D2712" s="2" t="s">
        <v>28</v>
      </c>
      <c r="E2712" s="2" t="s">
        <v>29</v>
      </c>
      <c r="F2712" s="2">
        <v>30</v>
      </c>
      <c r="G2712" s="2" t="s">
        <v>6981</v>
      </c>
      <c r="H2712" s="2" t="s">
        <v>3200</v>
      </c>
      <c r="I2712" s="2" t="s">
        <v>32</v>
      </c>
      <c r="J2712" s="3">
        <v>44271</v>
      </c>
      <c r="K2712" s="5">
        <f>YEAR(OrganizedData[[#This Row],[Order Date]])</f>
        <v>2021</v>
      </c>
      <c r="L2712" s="7" t="str">
        <f>TEXT(OrganizedData[[#This Row],[Order Date]],"mmm")</f>
        <v>Mar</v>
      </c>
      <c r="M2712" s="2">
        <v>93</v>
      </c>
      <c r="N2712" s="2" t="s">
        <v>80</v>
      </c>
      <c r="O2712" s="2" t="str">
        <f>VLOOKUP(OrganizedData[[#This Row],[Product Code]],ProductData[[Code]:[Item]],2,FALSE)</f>
        <v>Ultrathing V2</v>
      </c>
      <c r="P2712" s="4">
        <f>OrganizedData[[#This Row],[Quantity]]*VLOOKUP(OrganizedData[[#This Row],[Product Code]],ProductData[],4,FALSE)</f>
        <v>1860</v>
      </c>
      <c r="Q2712" s="6">
        <f>OrganizedData[[#This Row],[Total Items Ordered]]*VLOOKUP(OrganizedData[[#This Row],[Product Code]],ProductData[],3,FALSE)</f>
        <v>5487</v>
      </c>
      <c r="R27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5212.6499999999996</v>
      </c>
    </row>
    <row r="2713" spans="1:18" x14ac:dyDescent="0.3">
      <c r="A2713" s="2">
        <v>2706</v>
      </c>
      <c r="B2713" s="2" t="s">
        <v>2009</v>
      </c>
      <c r="C2713" s="2" t="s">
        <v>6982</v>
      </c>
      <c r="D2713" s="2" t="s">
        <v>28</v>
      </c>
      <c r="E2713" s="2" t="s">
        <v>29</v>
      </c>
      <c r="F2713" s="2">
        <v>90</v>
      </c>
      <c r="G2713" s="2" t="s">
        <v>6983</v>
      </c>
      <c r="H2713" s="2" t="s">
        <v>5170</v>
      </c>
      <c r="I2713" s="2" t="s">
        <v>294</v>
      </c>
      <c r="J2713" s="3">
        <v>44764</v>
      </c>
      <c r="K2713" s="5">
        <f>YEAR(OrganizedData[[#This Row],[Order Date]])</f>
        <v>2022</v>
      </c>
      <c r="L2713" s="7" t="str">
        <f>TEXT(OrganizedData[[#This Row],[Order Date]],"mmm")</f>
        <v>Jul</v>
      </c>
      <c r="M2713" s="2">
        <v>67</v>
      </c>
      <c r="N2713" s="2" t="s">
        <v>54</v>
      </c>
      <c r="O2713" s="2" t="str">
        <f>VLOOKUP(OrganizedData[[#This Row],[Product Code]],ProductData[[Code]:[Item]],2,FALSE)</f>
        <v>Megawidget S</v>
      </c>
      <c r="P2713" s="4">
        <f>OrganizedData[[#This Row],[Quantity]]*VLOOKUP(OrganizedData[[#This Row],[Product Code]],ProductData[],4,FALSE)</f>
        <v>1608</v>
      </c>
      <c r="Q2713" s="6">
        <f>OrganizedData[[#This Row],[Total Items Ordered]]*VLOOKUP(OrganizedData[[#This Row],[Product Code]],ProductData[],3,FALSE)</f>
        <v>1109.52</v>
      </c>
      <c r="R27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2714" spans="1:18" x14ac:dyDescent="0.3">
      <c r="A2714" s="2">
        <v>2707</v>
      </c>
      <c r="B2714" s="2" t="s">
        <v>6984</v>
      </c>
      <c r="C2714" s="2" t="s">
        <v>5653</v>
      </c>
      <c r="D2714" s="2" t="s">
        <v>28</v>
      </c>
      <c r="E2714" s="2" t="s">
        <v>29</v>
      </c>
      <c r="F2714" s="2">
        <v>30</v>
      </c>
      <c r="G2714" s="2" t="s">
        <v>6985</v>
      </c>
      <c r="H2714" s="2" t="s">
        <v>5477</v>
      </c>
      <c r="I2714" s="2" t="s">
        <v>187</v>
      </c>
      <c r="J2714" s="3">
        <v>44462</v>
      </c>
      <c r="K2714" s="5">
        <f>YEAR(OrganizedData[[#This Row],[Order Date]])</f>
        <v>2021</v>
      </c>
      <c r="L2714" s="7" t="str">
        <f>TEXT(OrganizedData[[#This Row],[Order Date]],"mmm")</f>
        <v>Sep</v>
      </c>
      <c r="M2714" s="2">
        <v>60</v>
      </c>
      <c r="N2714" s="2" t="s">
        <v>70</v>
      </c>
      <c r="O2714" s="2" t="str">
        <f>VLOOKUP(OrganizedData[[#This Row],[Product Code]],ProductData[[Code]:[Item]],2,FALSE)</f>
        <v>Megawidget M</v>
      </c>
      <c r="P2714" s="4">
        <f>OrganizedData[[#This Row],[Quantity]]*VLOOKUP(OrganizedData[[#This Row],[Product Code]],ProductData[],4,FALSE)</f>
        <v>1440</v>
      </c>
      <c r="Q2714" s="6">
        <f>OrganizedData[[#This Row],[Total Items Ordered]]*VLOOKUP(OrganizedData[[#This Row],[Product Code]],ProductData[],3,FALSE)</f>
        <v>1857.6000000000001</v>
      </c>
      <c r="R27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1764.72</v>
      </c>
    </row>
    <row r="2715" spans="1:18" x14ac:dyDescent="0.3">
      <c r="A2715" s="2">
        <v>2708</v>
      </c>
      <c r="B2715" s="2" t="s">
        <v>1140</v>
      </c>
      <c r="C2715" s="2" t="s">
        <v>3884</v>
      </c>
      <c r="D2715" s="2" t="s">
        <v>28</v>
      </c>
      <c r="E2715" s="2" t="s">
        <v>29</v>
      </c>
      <c r="F2715" s="2">
        <v>30</v>
      </c>
      <c r="G2715" s="2" t="s">
        <v>6986</v>
      </c>
      <c r="H2715" s="2" t="s">
        <v>3790</v>
      </c>
      <c r="I2715" s="2" t="s">
        <v>32</v>
      </c>
      <c r="J2715" s="3">
        <v>44083</v>
      </c>
      <c r="K2715" s="5">
        <f>YEAR(OrganizedData[[#This Row],[Order Date]])</f>
        <v>2020</v>
      </c>
      <c r="L2715" s="7" t="str">
        <f>TEXT(OrganizedData[[#This Row],[Order Date]],"mmm")</f>
        <v>Sep</v>
      </c>
      <c r="M2715" s="2">
        <v>80</v>
      </c>
      <c r="N2715" s="2" t="s">
        <v>45</v>
      </c>
      <c r="O2715" s="2" t="str">
        <f>VLOOKUP(OrganizedData[[#This Row],[Product Code]],ProductData[[Code]:[Item]],2,FALSE)</f>
        <v>Gigastuff</v>
      </c>
      <c r="P2715" s="4">
        <f>OrganizedData[[#This Row],[Quantity]]*VLOOKUP(OrganizedData[[#This Row],[Product Code]],ProductData[],4,FALSE)</f>
        <v>1440</v>
      </c>
      <c r="Q2715" s="6">
        <f>OrganizedData[[#This Row],[Total Items Ordered]]*VLOOKUP(OrganizedData[[#This Row],[Product Code]],ProductData[],3,FALSE)</f>
        <v>2721.6</v>
      </c>
      <c r="R27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2585.52</v>
      </c>
    </row>
    <row r="2716" spans="1:18" x14ac:dyDescent="0.3">
      <c r="A2716" s="2">
        <v>2709</v>
      </c>
      <c r="B2716" s="2" t="s">
        <v>6987</v>
      </c>
      <c r="C2716" s="2" t="s">
        <v>961</v>
      </c>
      <c r="D2716" s="2" t="s">
        <v>15</v>
      </c>
      <c r="E2716" s="2" t="s">
        <v>16</v>
      </c>
      <c r="F2716" s="2">
        <v>30</v>
      </c>
      <c r="G2716" s="2" t="s">
        <v>6988</v>
      </c>
      <c r="H2716" s="2" t="s">
        <v>356</v>
      </c>
      <c r="I2716" s="2" t="s">
        <v>178</v>
      </c>
      <c r="J2716" s="3">
        <v>44579</v>
      </c>
      <c r="K2716" s="5">
        <f>YEAR(OrganizedData[[#This Row],[Order Date]])</f>
        <v>2022</v>
      </c>
      <c r="L2716" s="7" t="str">
        <f>TEXT(OrganizedData[[#This Row],[Order Date]],"mmm")</f>
        <v>Jan</v>
      </c>
      <c r="M2716" s="2">
        <v>30</v>
      </c>
      <c r="N2716" s="2" t="s">
        <v>54</v>
      </c>
      <c r="O2716" s="2" t="str">
        <f>VLOOKUP(OrganizedData[[#This Row],[Product Code]],ProductData[[Code]:[Item]],2,FALSE)</f>
        <v>Megawidget S</v>
      </c>
      <c r="P2716" s="4">
        <f>OrganizedData[[#This Row],[Quantity]]*VLOOKUP(OrganizedData[[#This Row],[Product Code]],ProductData[],4,FALSE)</f>
        <v>720</v>
      </c>
      <c r="Q2716" s="6">
        <f>OrganizedData[[#This Row],[Total Items Ordered]]*VLOOKUP(OrganizedData[[#This Row],[Product Code]],ProductData[],3,FALSE)</f>
        <v>496.79999999999995</v>
      </c>
      <c r="R27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481.89599999999996</v>
      </c>
    </row>
    <row r="2717" spans="1:18" x14ac:dyDescent="0.3">
      <c r="A2717" s="2">
        <v>2710</v>
      </c>
      <c r="B2717" s="2" t="s">
        <v>1554</v>
      </c>
      <c r="C2717" s="2" t="s">
        <v>6390</v>
      </c>
      <c r="D2717" s="2" t="s">
        <v>28</v>
      </c>
      <c r="E2717" s="2" t="s">
        <v>29</v>
      </c>
      <c r="F2717" s="2">
        <v>30</v>
      </c>
      <c r="G2717" s="2" t="s">
        <v>6989</v>
      </c>
      <c r="H2717" s="2" t="s">
        <v>1333</v>
      </c>
      <c r="I2717" s="2" t="s">
        <v>294</v>
      </c>
      <c r="J2717" s="3">
        <v>44528</v>
      </c>
      <c r="K2717" s="5">
        <f>YEAR(OrganizedData[[#This Row],[Order Date]])</f>
        <v>2021</v>
      </c>
      <c r="L2717" s="7" t="str">
        <f>TEXT(OrganizedData[[#This Row],[Order Date]],"mmm")</f>
        <v>Nov</v>
      </c>
      <c r="M2717" s="2">
        <v>29</v>
      </c>
      <c r="N2717" s="2" t="s">
        <v>159</v>
      </c>
      <c r="O2717" s="2" t="str">
        <f>VLOOKUP(OrganizedData[[#This Row],[Product Code]],ProductData[[Code]:[Item]],2,FALSE)</f>
        <v>Ultrathing V3</v>
      </c>
      <c r="P2717" s="4">
        <f>OrganizedData[[#This Row],[Quantity]]*VLOOKUP(OrganizedData[[#This Row],[Product Code]],ProductData[],4,FALSE)</f>
        <v>696</v>
      </c>
      <c r="Q2717" s="6">
        <f>OrganizedData[[#This Row],[Total Items Ordered]]*VLOOKUP(OrganizedData[[#This Row],[Product Code]],ProductData[],3,FALSE)</f>
        <v>2359.44</v>
      </c>
      <c r="R27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2288.6568000000002</v>
      </c>
    </row>
    <row r="2718" spans="1:18" x14ac:dyDescent="0.3">
      <c r="A2718" s="2">
        <v>2711</v>
      </c>
      <c r="B2718" s="2" t="s">
        <v>6990</v>
      </c>
      <c r="C2718" s="2" t="s">
        <v>4009</v>
      </c>
      <c r="D2718" s="2" t="s">
        <v>41</v>
      </c>
      <c r="E2718" s="2" t="s">
        <v>16</v>
      </c>
      <c r="F2718" s="2">
        <v>90</v>
      </c>
      <c r="G2718" s="2" t="s">
        <v>6991</v>
      </c>
      <c r="H2718" s="2" t="s">
        <v>2893</v>
      </c>
      <c r="I2718" s="2" t="s">
        <v>32</v>
      </c>
      <c r="J2718" s="3">
        <v>44414</v>
      </c>
      <c r="K2718" s="5">
        <f>YEAR(OrganizedData[[#This Row],[Order Date]])</f>
        <v>2021</v>
      </c>
      <c r="L2718" s="7" t="str">
        <f>TEXT(OrganizedData[[#This Row],[Order Date]],"mmm")</f>
        <v>Aug</v>
      </c>
      <c r="M2718" s="2">
        <v>56</v>
      </c>
      <c r="N2718" s="2" t="s">
        <v>20</v>
      </c>
      <c r="O2718" s="2" t="str">
        <f>VLOOKUP(OrganizedData[[#This Row],[Product Code]],ProductData[[Code]:[Item]],2,FALSE)</f>
        <v>Hyperwotsit</v>
      </c>
      <c r="P2718" s="4">
        <f>OrganizedData[[#This Row],[Quantity]]*VLOOKUP(OrganizedData[[#This Row],[Product Code]],ProductData[],4,FALSE)</f>
        <v>1120</v>
      </c>
      <c r="Q2718" s="6">
        <f>OrganizedData[[#This Row],[Total Items Ordered]]*VLOOKUP(OrganizedData[[#This Row],[Product Code]],ProductData[],3,FALSE)</f>
        <v>2251.1999999999998</v>
      </c>
      <c r="R27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2719" spans="1:18" x14ac:dyDescent="0.3">
      <c r="A2719" s="2">
        <v>2712</v>
      </c>
      <c r="B2719" s="2" t="s">
        <v>2603</v>
      </c>
      <c r="C2719" s="2" t="s">
        <v>2198</v>
      </c>
      <c r="D2719" s="2" t="s">
        <v>28</v>
      </c>
      <c r="E2719" s="2" t="s">
        <v>29</v>
      </c>
      <c r="F2719" s="2">
        <v>30</v>
      </c>
      <c r="G2719" s="2" t="s">
        <v>6992</v>
      </c>
      <c r="H2719" s="2" t="s">
        <v>2834</v>
      </c>
      <c r="I2719" s="2" t="s">
        <v>19</v>
      </c>
      <c r="J2719" s="3">
        <v>44061</v>
      </c>
      <c r="K2719" s="5">
        <f>YEAR(OrganizedData[[#This Row],[Order Date]])</f>
        <v>2020</v>
      </c>
      <c r="L2719" s="7" t="str">
        <f>TEXT(OrganizedData[[#This Row],[Order Date]],"mmm")</f>
        <v>Aug</v>
      </c>
      <c r="M2719" s="2">
        <v>14</v>
      </c>
      <c r="N2719" s="2" t="s">
        <v>80</v>
      </c>
      <c r="O2719" s="2" t="str">
        <f>VLOOKUP(OrganizedData[[#This Row],[Product Code]],ProductData[[Code]:[Item]],2,FALSE)</f>
        <v>Ultrathing V2</v>
      </c>
      <c r="P2719" s="4">
        <f>OrganizedData[[#This Row],[Quantity]]*VLOOKUP(OrganizedData[[#This Row],[Product Code]],ProductData[],4,FALSE)</f>
        <v>280</v>
      </c>
      <c r="Q2719" s="6">
        <f>OrganizedData[[#This Row],[Total Items Ordered]]*VLOOKUP(OrganizedData[[#This Row],[Product Code]],ProductData[],3,FALSE)</f>
        <v>826</v>
      </c>
      <c r="R27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v>
      </c>
    </row>
    <row r="2720" spans="1:18" x14ac:dyDescent="0.3">
      <c r="A2720" s="2">
        <v>2713</v>
      </c>
      <c r="B2720" s="2" t="s">
        <v>6111</v>
      </c>
      <c r="C2720" s="2" t="s">
        <v>135</v>
      </c>
      <c r="D2720" s="2" t="s">
        <v>51</v>
      </c>
      <c r="E2720" s="2" t="s">
        <v>16</v>
      </c>
      <c r="F2720" s="2">
        <v>90</v>
      </c>
      <c r="G2720" s="2" t="s">
        <v>6993</v>
      </c>
      <c r="H2720" s="2" t="s">
        <v>3384</v>
      </c>
      <c r="I2720" s="2" t="s">
        <v>32</v>
      </c>
      <c r="J2720" s="3">
        <v>44431</v>
      </c>
      <c r="K2720" s="5">
        <f>YEAR(OrganizedData[[#This Row],[Order Date]])</f>
        <v>2021</v>
      </c>
      <c r="L2720" s="7" t="str">
        <f>TEXT(OrganizedData[[#This Row],[Order Date]],"mmm")</f>
        <v>Aug</v>
      </c>
      <c r="M2720" s="2">
        <v>33</v>
      </c>
      <c r="N2720" s="2" t="s">
        <v>54</v>
      </c>
      <c r="O2720" s="2" t="str">
        <f>VLOOKUP(OrganizedData[[#This Row],[Product Code]],ProductData[[Code]:[Item]],2,FALSE)</f>
        <v>Megawidget S</v>
      </c>
      <c r="P2720" s="4">
        <f>OrganizedData[[#This Row],[Quantity]]*VLOOKUP(OrganizedData[[#This Row],[Product Code]],ProductData[],4,FALSE)</f>
        <v>792</v>
      </c>
      <c r="Q2720" s="6">
        <f>OrganizedData[[#This Row],[Total Items Ordered]]*VLOOKUP(OrganizedData[[#This Row],[Product Code]],ProductData[],3,FALSE)</f>
        <v>546.4799999999999</v>
      </c>
      <c r="R27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2721" spans="1:18" x14ac:dyDescent="0.3">
      <c r="A2721" s="2">
        <v>2714</v>
      </c>
      <c r="B2721" s="2" t="s">
        <v>6994</v>
      </c>
      <c r="C2721" s="2" t="s">
        <v>4949</v>
      </c>
      <c r="D2721" s="2" t="s">
        <v>51</v>
      </c>
      <c r="E2721" s="2" t="s">
        <v>16</v>
      </c>
      <c r="F2721" s="2">
        <v>90</v>
      </c>
      <c r="G2721" s="2" t="s">
        <v>6995</v>
      </c>
      <c r="H2721" s="2" t="s">
        <v>1915</v>
      </c>
      <c r="I2721" s="2" t="s">
        <v>19</v>
      </c>
      <c r="J2721" s="3">
        <v>44478</v>
      </c>
      <c r="K2721" s="5">
        <f>YEAR(OrganizedData[[#This Row],[Order Date]])</f>
        <v>2021</v>
      </c>
      <c r="L2721" s="7" t="str">
        <f>TEXT(OrganizedData[[#This Row],[Order Date]],"mmm")</f>
        <v>Oct</v>
      </c>
      <c r="M2721" s="2">
        <v>26</v>
      </c>
      <c r="N2721" s="2" t="s">
        <v>64</v>
      </c>
      <c r="O2721" s="2" t="str">
        <f>VLOOKUP(OrganizedData[[#This Row],[Product Code]],ProductData[[Code]:[Item]],2,FALSE)</f>
        <v>Ultrathing V4</v>
      </c>
      <c r="P2721" s="4">
        <f>OrganizedData[[#This Row],[Quantity]]*VLOOKUP(OrganizedData[[#This Row],[Product Code]],ProductData[],4,FALSE)</f>
        <v>624</v>
      </c>
      <c r="Q2721" s="6">
        <f>OrganizedData[[#This Row],[Total Items Ordered]]*VLOOKUP(OrganizedData[[#This Row],[Product Code]],ProductData[],3,FALSE)</f>
        <v>2489.7600000000002</v>
      </c>
      <c r="R27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2722" spans="1:18" x14ac:dyDescent="0.3">
      <c r="A2722" s="2">
        <v>2715</v>
      </c>
      <c r="B2722" s="2" t="s">
        <v>6796</v>
      </c>
      <c r="C2722" s="2" t="s">
        <v>2900</v>
      </c>
      <c r="D2722" s="2" t="s">
        <v>28</v>
      </c>
      <c r="E2722" s="2" t="s">
        <v>29</v>
      </c>
      <c r="F2722" s="2">
        <v>90</v>
      </c>
      <c r="G2722" s="2" t="s">
        <v>6995</v>
      </c>
      <c r="H2722" s="2" t="s">
        <v>1228</v>
      </c>
      <c r="I2722" s="2" t="s">
        <v>25</v>
      </c>
      <c r="J2722" s="3">
        <v>44298</v>
      </c>
      <c r="K2722" s="5">
        <f>YEAR(OrganizedData[[#This Row],[Order Date]])</f>
        <v>2021</v>
      </c>
      <c r="L2722" s="7" t="str">
        <f>TEXT(OrganizedData[[#This Row],[Order Date]],"mmm")</f>
        <v>Apr</v>
      </c>
      <c r="M2722" s="2">
        <v>31</v>
      </c>
      <c r="N2722" s="2" t="s">
        <v>20</v>
      </c>
      <c r="O2722" s="2" t="str">
        <f>VLOOKUP(OrganizedData[[#This Row],[Product Code]],ProductData[[Code]:[Item]],2,FALSE)</f>
        <v>Hyperwotsit</v>
      </c>
      <c r="P2722" s="4">
        <f>OrganizedData[[#This Row],[Quantity]]*VLOOKUP(OrganizedData[[#This Row],[Product Code]],ProductData[],4,FALSE)</f>
        <v>620</v>
      </c>
      <c r="Q2722" s="6">
        <f>OrganizedData[[#This Row],[Total Items Ordered]]*VLOOKUP(OrganizedData[[#This Row],[Product Code]],ProductData[],3,FALSE)</f>
        <v>1246.1999999999998</v>
      </c>
      <c r="R27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1208.8139999999999</v>
      </c>
    </row>
    <row r="2723" spans="1:18" x14ac:dyDescent="0.3">
      <c r="A2723" s="2">
        <v>2716</v>
      </c>
      <c r="B2723" s="2" t="s">
        <v>2300</v>
      </c>
      <c r="C2723" s="2" t="s">
        <v>5955</v>
      </c>
      <c r="D2723" s="2" t="s">
        <v>28</v>
      </c>
      <c r="E2723" s="2" t="s">
        <v>29</v>
      </c>
      <c r="F2723" s="2">
        <v>90</v>
      </c>
      <c r="G2723" s="2" t="s">
        <v>6996</v>
      </c>
      <c r="H2723" s="2" t="s">
        <v>2997</v>
      </c>
      <c r="I2723" s="2" t="s">
        <v>32</v>
      </c>
      <c r="J2723" s="3">
        <v>44762</v>
      </c>
      <c r="K2723" s="5">
        <f>YEAR(OrganizedData[[#This Row],[Order Date]])</f>
        <v>2022</v>
      </c>
      <c r="L2723" s="7" t="str">
        <f>TEXT(OrganizedData[[#This Row],[Order Date]],"mmm")</f>
        <v>Jul</v>
      </c>
      <c r="M2723" s="2">
        <v>97</v>
      </c>
      <c r="N2723" s="2" t="s">
        <v>101</v>
      </c>
      <c r="O2723" s="2" t="str">
        <f>VLOOKUP(OrganizedData[[#This Row],[Product Code]],ProductData[[Code]:[Item]],2,FALSE)</f>
        <v>Superwossname</v>
      </c>
      <c r="P2723" s="4">
        <f>OrganizedData[[#This Row],[Quantity]]*VLOOKUP(OrganizedData[[#This Row],[Product Code]],ProductData[],4,FALSE)</f>
        <v>1940</v>
      </c>
      <c r="Q2723" s="6">
        <f>OrganizedData[[#This Row],[Total Items Ordered]]*VLOOKUP(OrganizedData[[#This Row],[Product Code]],ProductData[],3,FALSE)</f>
        <v>6770.6</v>
      </c>
      <c r="R27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6432.07</v>
      </c>
    </row>
    <row r="2724" spans="1:18" x14ac:dyDescent="0.3">
      <c r="A2724" s="2">
        <v>2717</v>
      </c>
      <c r="B2724" s="2" t="s">
        <v>5548</v>
      </c>
      <c r="C2724" s="2" t="s">
        <v>6997</v>
      </c>
      <c r="D2724" s="2" t="s">
        <v>41</v>
      </c>
      <c r="E2724" s="2" t="s">
        <v>16</v>
      </c>
      <c r="F2724" s="2">
        <v>60</v>
      </c>
      <c r="G2724" s="2" t="s">
        <v>6998</v>
      </c>
      <c r="H2724" s="2" t="s">
        <v>1764</v>
      </c>
      <c r="I2724" s="2" t="s">
        <v>124</v>
      </c>
      <c r="J2724" s="3">
        <v>44155</v>
      </c>
      <c r="K2724" s="5">
        <f>YEAR(OrganizedData[[#This Row],[Order Date]])</f>
        <v>2020</v>
      </c>
      <c r="L2724" s="7" t="str">
        <f>TEXT(OrganizedData[[#This Row],[Order Date]],"mmm")</f>
        <v>Nov</v>
      </c>
      <c r="M2724" s="2">
        <v>79</v>
      </c>
      <c r="N2724" s="2" t="s">
        <v>45</v>
      </c>
      <c r="O2724" s="2" t="str">
        <f>VLOOKUP(OrganizedData[[#This Row],[Product Code]],ProductData[[Code]:[Item]],2,FALSE)</f>
        <v>Gigastuff</v>
      </c>
      <c r="P2724" s="4">
        <f>OrganizedData[[#This Row],[Quantity]]*VLOOKUP(OrganizedData[[#This Row],[Product Code]],ProductData[],4,FALSE)</f>
        <v>1422</v>
      </c>
      <c r="Q2724" s="6">
        <f>OrganizedData[[#This Row],[Total Items Ordered]]*VLOOKUP(OrganizedData[[#This Row],[Product Code]],ProductData[],3,FALSE)</f>
        <v>2687.58</v>
      </c>
      <c r="R27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2725" spans="1:18" x14ac:dyDescent="0.3">
      <c r="A2725" s="2">
        <v>2718</v>
      </c>
      <c r="B2725" s="2" t="s">
        <v>6999</v>
      </c>
      <c r="C2725" s="2" t="s">
        <v>7000</v>
      </c>
      <c r="D2725" s="2" t="s">
        <v>51</v>
      </c>
      <c r="E2725" s="2" t="s">
        <v>16</v>
      </c>
      <c r="F2725" s="2">
        <v>90</v>
      </c>
      <c r="G2725" s="2" t="s">
        <v>6998</v>
      </c>
      <c r="H2725" s="2" t="s">
        <v>7001</v>
      </c>
      <c r="I2725" s="2" t="s">
        <v>32</v>
      </c>
      <c r="J2725" s="3">
        <v>44280</v>
      </c>
      <c r="K2725" s="5">
        <f>YEAR(OrganizedData[[#This Row],[Order Date]])</f>
        <v>2021</v>
      </c>
      <c r="L2725" s="7" t="str">
        <f>TEXT(OrganizedData[[#This Row],[Order Date]],"mmm")</f>
        <v>Mar</v>
      </c>
      <c r="M2725" s="2">
        <v>63</v>
      </c>
      <c r="N2725" s="2" t="s">
        <v>101</v>
      </c>
      <c r="O2725" s="2" t="str">
        <f>VLOOKUP(OrganizedData[[#This Row],[Product Code]],ProductData[[Code]:[Item]],2,FALSE)</f>
        <v>Superwossname</v>
      </c>
      <c r="P2725" s="4">
        <f>OrganizedData[[#This Row],[Quantity]]*VLOOKUP(OrganizedData[[#This Row],[Product Code]],ProductData[],4,FALSE)</f>
        <v>1260</v>
      </c>
      <c r="Q2725" s="6">
        <f>OrganizedData[[#This Row],[Total Items Ordered]]*VLOOKUP(OrganizedData[[#This Row],[Product Code]],ProductData[],3,FALSE)</f>
        <v>4397.4000000000005</v>
      </c>
      <c r="R27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2726" spans="1:18" x14ac:dyDescent="0.3">
      <c r="A2726" s="2">
        <v>2719</v>
      </c>
      <c r="B2726" s="2" t="s">
        <v>1736</v>
      </c>
      <c r="C2726" s="2" t="s">
        <v>5727</v>
      </c>
      <c r="D2726" s="2" t="s">
        <v>51</v>
      </c>
      <c r="E2726" s="2" t="s">
        <v>16</v>
      </c>
      <c r="F2726" s="2">
        <v>90</v>
      </c>
      <c r="G2726" s="2" t="s">
        <v>7002</v>
      </c>
      <c r="H2726" s="2" t="s">
        <v>4180</v>
      </c>
      <c r="I2726" s="2" t="s">
        <v>187</v>
      </c>
      <c r="J2726" s="3">
        <v>44802</v>
      </c>
      <c r="K2726" s="5">
        <f>YEAR(OrganizedData[[#This Row],[Order Date]])</f>
        <v>2022</v>
      </c>
      <c r="L2726" s="7" t="str">
        <f>TEXT(OrganizedData[[#This Row],[Order Date]],"mmm")</f>
        <v>Aug</v>
      </c>
      <c r="M2726" s="2">
        <v>48</v>
      </c>
      <c r="N2726" s="2" t="s">
        <v>54</v>
      </c>
      <c r="O2726" s="2" t="str">
        <f>VLOOKUP(OrganizedData[[#This Row],[Product Code]],ProductData[[Code]:[Item]],2,FALSE)</f>
        <v>Megawidget S</v>
      </c>
      <c r="P2726" s="4">
        <f>OrganizedData[[#This Row],[Quantity]]*VLOOKUP(OrganizedData[[#This Row],[Product Code]],ProductData[],4,FALSE)</f>
        <v>1152</v>
      </c>
      <c r="Q2726" s="6">
        <f>OrganizedData[[#This Row],[Total Items Ordered]]*VLOOKUP(OrganizedData[[#This Row],[Product Code]],ProductData[],3,FALSE)</f>
        <v>794.87999999999988</v>
      </c>
      <c r="R27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771.03359999999986</v>
      </c>
    </row>
    <row r="2727" spans="1:18" x14ac:dyDescent="0.3">
      <c r="A2727" s="2">
        <v>2720</v>
      </c>
      <c r="B2727" s="2" t="s">
        <v>5292</v>
      </c>
      <c r="C2727" s="2" t="s">
        <v>4218</v>
      </c>
      <c r="D2727" s="2" t="s">
        <v>28</v>
      </c>
      <c r="E2727" s="2" t="s">
        <v>29</v>
      </c>
      <c r="F2727" s="2">
        <v>90</v>
      </c>
      <c r="G2727" s="2" t="s">
        <v>7003</v>
      </c>
      <c r="H2727" s="2" t="s">
        <v>7004</v>
      </c>
      <c r="I2727" s="2" t="s">
        <v>208</v>
      </c>
      <c r="J2727" s="3">
        <v>44153</v>
      </c>
      <c r="K2727" s="5">
        <f>YEAR(OrganizedData[[#This Row],[Order Date]])</f>
        <v>2020</v>
      </c>
      <c r="L2727" s="7" t="str">
        <f>TEXT(OrganizedData[[#This Row],[Order Date]],"mmm")</f>
        <v>Nov</v>
      </c>
      <c r="M2727" s="2">
        <v>59</v>
      </c>
      <c r="N2727" s="2" t="s">
        <v>45</v>
      </c>
      <c r="O2727" s="2" t="str">
        <f>VLOOKUP(OrganizedData[[#This Row],[Product Code]],ProductData[[Code]:[Item]],2,FALSE)</f>
        <v>Gigastuff</v>
      </c>
      <c r="P2727" s="4">
        <f>OrganizedData[[#This Row],[Quantity]]*VLOOKUP(OrganizedData[[#This Row],[Product Code]],ProductData[],4,FALSE)</f>
        <v>1062</v>
      </c>
      <c r="Q2727" s="6">
        <f>OrganizedData[[#This Row],[Total Items Ordered]]*VLOOKUP(OrganizedData[[#This Row],[Product Code]],ProductData[],3,FALSE)</f>
        <v>2007.1799999999998</v>
      </c>
      <c r="R27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1906.8209999999997</v>
      </c>
    </row>
    <row r="2728" spans="1:18" x14ac:dyDescent="0.3">
      <c r="A2728" s="2">
        <v>2721</v>
      </c>
      <c r="B2728" s="2" t="s">
        <v>5928</v>
      </c>
      <c r="C2728" s="2" t="s">
        <v>2431</v>
      </c>
      <c r="D2728" s="2" t="s">
        <v>28</v>
      </c>
      <c r="E2728" s="2" t="s">
        <v>29</v>
      </c>
      <c r="F2728" s="2">
        <v>30</v>
      </c>
      <c r="G2728" s="2" t="s">
        <v>7005</v>
      </c>
      <c r="H2728" s="2" t="s">
        <v>1354</v>
      </c>
      <c r="I2728" s="2" t="s">
        <v>294</v>
      </c>
      <c r="J2728" s="3">
        <v>44769</v>
      </c>
      <c r="K2728" s="5">
        <f>YEAR(OrganizedData[[#This Row],[Order Date]])</f>
        <v>2022</v>
      </c>
      <c r="L2728" s="7" t="str">
        <f>TEXT(OrganizedData[[#This Row],[Order Date]],"mmm")</f>
        <v>Jul</v>
      </c>
      <c r="M2728" s="2">
        <v>44</v>
      </c>
      <c r="N2728" s="2" t="s">
        <v>101</v>
      </c>
      <c r="O2728" s="2" t="str">
        <f>VLOOKUP(OrganizedData[[#This Row],[Product Code]],ProductData[[Code]:[Item]],2,FALSE)</f>
        <v>Superwossname</v>
      </c>
      <c r="P2728" s="4">
        <f>OrganizedData[[#This Row],[Quantity]]*VLOOKUP(OrganizedData[[#This Row],[Product Code]],ProductData[],4,FALSE)</f>
        <v>880</v>
      </c>
      <c r="Q2728" s="6">
        <f>OrganizedData[[#This Row],[Total Items Ordered]]*VLOOKUP(OrganizedData[[#This Row],[Product Code]],ProductData[],3,FALSE)</f>
        <v>3071.2000000000003</v>
      </c>
      <c r="R27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2729" spans="1:18" x14ac:dyDescent="0.3">
      <c r="A2729" s="2">
        <v>2722</v>
      </c>
      <c r="B2729" s="2" t="s">
        <v>7006</v>
      </c>
      <c r="C2729" s="2" t="s">
        <v>1857</v>
      </c>
      <c r="D2729" s="2" t="s">
        <v>28</v>
      </c>
      <c r="E2729" s="2" t="s">
        <v>29</v>
      </c>
      <c r="F2729" s="2">
        <v>60</v>
      </c>
      <c r="G2729" s="2" t="s">
        <v>7007</v>
      </c>
      <c r="H2729" s="2" t="s">
        <v>7008</v>
      </c>
      <c r="I2729" s="2" t="s">
        <v>25</v>
      </c>
      <c r="J2729" s="3">
        <v>44040</v>
      </c>
      <c r="K2729" s="5">
        <f>YEAR(OrganizedData[[#This Row],[Order Date]])</f>
        <v>2020</v>
      </c>
      <c r="L2729" s="7" t="str">
        <f>TEXT(OrganizedData[[#This Row],[Order Date]],"mmm")</f>
        <v>Jul</v>
      </c>
      <c r="M2729" s="2">
        <v>78</v>
      </c>
      <c r="N2729" s="2" t="s">
        <v>101</v>
      </c>
      <c r="O2729" s="2" t="str">
        <f>VLOOKUP(OrganizedData[[#This Row],[Product Code]],ProductData[[Code]:[Item]],2,FALSE)</f>
        <v>Superwossname</v>
      </c>
      <c r="P2729" s="4">
        <f>OrganizedData[[#This Row],[Quantity]]*VLOOKUP(OrganizedData[[#This Row],[Product Code]],ProductData[],4,FALSE)</f>
        <v>1560</v>
      </c>
      <c r="Q2729" s="6">
        <f>OrganizedData[[#This Row],[Total Items Ordered]]*VLOOKUP(OrganizedData[[#This Row],[Product Code]],ProductData[],3,FALSE)</f>
        <v>5444.4000000000005</v>
      </c>
      <c r="R27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2730" spans="1:18" x14ac:dyDescent="0.3">
      <c r="A2730" s="2">
        <v>2723</v>
      </c>
      <c r="B2730" s="2" t="s">
        <v>7009</v>
      </c>
      <c r="C2730" s="2" t="s">
        <v>4865</v>
      </c>
      <c r="D2730" s="2" t="s">
        <v>28</v>
      </c>
      <c r="E2730" s="2" t="s">
        <v>29</v>
      </c>
      <c r="F2730" s="2">
        <v>30</v>
      </c>
      <c r="G2730" s="2" t="s">
        <v>7010</v>
      </c>
      <c r="H2730" s="2" t="s">
        <v>2622</v>
      </c>
      <c r="I2730" s="2" t="s">
        <v>294</v>
      </c>
      <c r="J2730" s="3">
        <v>44259</v>
      </c>
      <c r="K2730" s="5">
        <f>YEAR(OrganizedData[[#This Row],[Order Date]])</f>
        <v>2021</v>
      </c>
      <c r="L2730" s="7" t="str">
        <f>TEXT(OrganizedData[[#This Row],[Order Date]],"mmm")</f>
        <v>Mar</v>
      </c>
      <c r="M2730" s="2">
        <v>49</v>
      </c>
      <c r="N2730" s="2" t="s">
        <v>80</v>
      </c>
      <c r="O2730" s="2" t="str">
        <f>VLOOKUP(OrganizedData[[#This Row],[Product Code]],ProductData[[Code]:[Item]],2,FALSE)</f>
        <v>Ultrathing V2</v>
      </c>
      <c r="P2730" s="4">
        <f>OrganizedData[[#This Row],[Quantity]]*VLOOKUP(OrganizedData[[#This Row],[Product Code]],ProductData[],4,FALSE)</f>
        <v>980</v>
      </c>
      <c r="Q2730" s="6">
        <f>OrganizedData[[#This Row],[Total Items Ordered]]*VLOOKUP(OrganizedData[[#This Row],[Product Code]],ProductData[],3,FALSE)</f>
        <v>2891</v>
      </c>
      <c r="R27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2804.27</v>
      </c>
    </row>
    <row r="2731" spans="1:18" x14ac:dyDescent="0.3">
      <c r="A2731" s="2">
        <v>2724</v>
      </c>
      <c r="B2731" s="2" t="s">
        <v>7011</v>
      </c>
      <c r="C2731" s="2" t="s">
        <v>5318</v>
      </c>
      <c r="D2731" s="2" t="s">
        <v>51</v>
      </c>
      <c r="E2731" s="2" t="s">
        <v>16</v>
      </c>
      <c r="F2731" s="2">
        <v>60</v>
      </c>
      <c r="G2731" s="2" t="s">
        <v>7010</v>
      </c>
      <c r="H2731" s="2" t="s">
        <v>3511</v>
      </c>
      <c r="I2731" s="2" t="s">
        <v>32</v>
      </c>
      <c r="J2731" s="3">
        <v>44272</v>
      </c>
      <c r="K2731" s="5">
        <f>YEAR(OrganizedData[[#This Row],[Order Date]])</f>
        <v>2021</v>
      </c>
      <c r="L2731" s="7" t="str">
        <f>TEXT(OrganizedData[[#This Row],[Order Date]],"mmm")</f>
        <v>Mar</v>
      </c>
      <c r="M2731" s="2">
        <v>15</v>
      </c>
      <c r="N2731" s="2" t="s">
        <v>33</v>
      </c>
      <c r="O2731" s="2" t="str">
        <f>VLOOKUP(OrganizedData[[#This Row],[Product Code]],ProductData[[Code]:[Item]],2,FALSE)</f>
        <v>Megawidget L</v>
      </c>
      <c r="P2731" s="4">
        <f>OrganizedData[[#This Row],[Quantity]]*VLOOKUP(OrganizedData[[#This Row],[Product Code]],ProductData[],4,FALSE)</f>
        <v>360</v>
      </c>
      <c r="Q2731" s="6">
        <f>OrganizedData[[#This Row],[Total Items Ordered]]*VLOOKUP(OrganizedData[[#This Row],[Product Code]],ProductData[],3,FALSE)</f>
        <v>644.4</v>
      </c>
      <c r="R27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644.4</v>
      </c>
    </row>
    <row r="2732" spans="1:18" x14ac:dyDescent="0.3">
      <c r="A2732" s="2">
        <v>2725</v>
      </c>
      <c r="B2732" s="2" t="s">
        <v>2110</v>
      </c>
      <c r="C2732" s="2" t="s">
        <v>317</v>
      </c>
      <c r="D2732" s="2" t="s">
        <v>28</v>
      </c>
      <c r="E2732" s="2" t="s">
        <v>29</v>
      </c>
      <c r="F2732" s="2">
        <v>90</v>
      </c>
      <c r="G2732" s="2" t="s">
        <v>7012</v>
      </c>
      <c r="H2732" s="2" t="s">
        <v>3036</v>
      </c>
      <c r="I2732" s="2" t="s">
        <v>32</v>
      </c>
      <c r="J2732" s="3">
        <v>44639</v>
      </c>
      <c r="K2732" s="5">
        <f>YEAR(OrganizedData[[#This Row],[Order Date]])</f>
        <v>2022</v>
      </c>
      <c r="L2732" s="7" t="str">
        <f>TEXT(OrganizedData[[#This Row],[Order Date]],"mmm")</f>
        <v>Mar</v>
      </c>
      <c r="M2732" s="2">
        <v>74</v>
      </c>
      <c r="N2732" s="2" t="s">
        <v>64</v>
      </c>
      <c r="O2732" s="2" t="str">
        <f>VLOOKUP(OrganizedData[[#This Row],[Product Code]],ProductData[[Code]:[Item]],2,FALSE)</f>
        <v>Ultrathing V4</v>
      </c>
      <c r="P2732" s="4">
        <f>OrganizedData[[#This Row],[Quantity]]*VLOOKUP(OrganizedData[[#This Row],[Product Code]],ProductData[],4,FALSE)</f>
        <v>1776</v>
      </c>
      <c r="Q2732" s="6">
        <f>OrganizedData[[#This Row],[Total Items Ordered]]*VLOOKUP(OrganizedData[[#This Row],[Product Code]],ProductData[],3,FALSE)</f>
        <v>7086.2400000000007</v>
      </c>
      <c r="R27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6731.9280000000008</v>
      </c>
    </row>
    <row r="2733" spans="1:18" x14ac:dyDescent="0.3">
      <c r="A2733" s="2">
        <v>2726</v>
      </c>
      <c r="B2733" s="2" t="s">
        <v>3374</v>
      </c>
      <c r="C2733" s="2" t="s">
        <v>6247</v>
      </c>
      <c r="D2733" s="2" t="s">
        <v>15</v>
      </c>
      <c r="E2733" s="2" t="s">
        <v>16</v>
      </c>
      <c r="F2733" s="2">
        <v>60</v>
      </c>
      <c r="G2733" s="2" t="s">
        <v>7013</v>
      </c>
      <c r="H2733" s="2" t="s">
        <v>3498</v>
      </c>
      <c r="I2733" s="2" t="s">
        <v>32</v>
      </c>
      <c r="J2733" s="3">
        <v>44657</v>
      </c>
      <c r="K2733" s="5">
        <f>YEAR(OrganizedData[[#This Row],[Order Date]])</f>
        <v>2022</v>
      </c>
      <c r="L2733" s="7" t="str">
        <f>TEXT(OrganizedData[[#This Row],[Order Date]],"mmm")</f>
        <v>Apr</v>
      </c>
      <c r="M2733" s="2">
        <v>93</v>
      </c>
      <c r="N2733" s="2" t="s">
        <v>54</v>
      </c>
      <c r="O2733" s="2" t="str">
        <f>VLOOKUP(OrganizedData[[#This Row],[Product Code]],ProductData[[Code]:[Item]],2,FALSE)</f>
        <v>Megawidget S</v>
      </c>
      <c r="P2733" s="4">
        <f>OrganizedData[[#This Row],[Quantity]]*VLOOKUP(OrganizedData[[#This Row],[Product Code]],ProductData[],4,FALSE)</f>
        <v>2232</v>
      </c>
      <c r="Q2733" s="6">
        <f>OrganizedData[[#This Row],[Total Items Ordered]]*VLOOKUP(OrganizedData[[#This Row],[Product Code]],ProductData[],3,FALSE)</f>
        <v>1540.08</v>
      </c>
      <c r="R27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1463.0759999999998</v>
      </c>
    </row>
    <row r="2734" spans="1:18" x14ac:dyDescent="0.3">
      <c r="A2734" s="2">
        <v>2727</v>
      </c>
      <c r="B2734" s="2" t="s">
        <v>6600</v>
      </c>
      <c r="C2734" s="2" t="s">
        <v>7014</v>
      </c>
      <c r="D2734" s="2" t="s">
        <v>28</v>
      </c>
      <c r="E2734" s="2" t="s">
        <v>29</v>
      </c>
      <c r="F2734" s="2">
        <v>30</v>
      </c>
      <c r="G2734" s="2" t="s">
        <v>7015</v>
      </c>
      <c r="H2734" s="2" t="s">
        <v>123</v>
      </c>
      <c r="I2734" s="2" t="s">
        <v>124</v>
      </c>
      <c r="J2734" s="3">
        <v>43875</v>
      </c>
      <c r="K2734" s="5">
        <f>YEAR(OrganizedData[[#This Row],[Order Date]])</f>
        <v>2020</v>
      </c>
      <c r="L2734" s="7" t="str">
        <f>TEXT(OrganizedData[[#This Row],[Order Date]],"mmm")</f>
        <v>Feb</v>
      </c>
      <c r="M2734" s="2">
        <v>9</v>
      </c>
      <c r="N2734" s="2" t="s">
        <v>70</v>
      </c>
      <c r="O2734" s="2" t="str">
        <f>VLOOKUP(OrganizedData[[#This Row],[Product Code]],ProductData[[Code]:[Item]],2,FALSE)</f>
        <v>Megawidget M</v>
      </c>
      <c r="P2734" s="4">
        <f>OrganizedData[[#This Row],[Quantity]]*VLOOKUP(OrganizedData[[#This Row],[Product Code]],ProductData[],4,FALSE)</f>
        <v>216</v>
      </c>
      <c r="Q2734" s="6">
        <f>OrganizedData[[#This Row],[Total Items Ordered]]*VLOOKUP(OrganizedData[[#This Row],[Product Code]],ProductData[],3,FALSE)</f>
        <v>278.64</v>
      </c>
      <c r="R27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278.64</v>
      </c>
    </row>
    <row r="2735" spans="1:18" x14ac:dyDescent="0.3">
      <c r="A2735" s="2">
        <v>2728</v>
      </c>
      <c r="B2735" s="2" t="s">
        <v>6133</v>
      </c>
      <c r="C2735" s="2" t="s">
        <v>7016</v>
      </c>
      <c r="D2735" s="2" t="s">
        <v>28</v>
      </c>
      <c r="E2735" s="2" t="s">
        <v>29</v>
      </c>
      <c r="F2735" s="2">
        <v>90</v>
      </c>
      <c r="G2735" s="2" t="s">
        <v>7017</v>
      </c>
      <c r="H2735" s="2" t="s">
        <v>742</v>
      </c>
      <c r="I2735" s="2" t="s">
        <v>124</v>
      </c>
      <c r="J2735" s="3">
        <v>44734</v>
      </c>
      <c r="K2735" s="5">
        <f>YEAR(OrganizedData[[#This Row],[Order Date]])</f>
        <v>2022</v>
      </c>
      <c r="L2735" s="7" t="str">
        <f>TEXT(OrganizedData[[#This Row],[Order Date]],"mmm")</f>
        <v>Jun</v>
      </c>
      <c r="M2735" s="2">
        <v>22</v>
      </c>
      <c r="N2735" s="2" t="s">
        <v>33</v>
      </c>
      <c r="O2735" s="2" t="str">
        <f>VLOOKUP(OrganizedData[[#This Row],[Product Code]],ProductData[[Code]:[Item]],2,FALSE)</f>
        <v>Megawidget L</v>
      </c>
      <c r="P2735" s="4">
        <f>OrganizedData[[#This Row],[Quantity]]*VLOOKUP(OrganizedData[[#This Row],[Product Code]],ProductData[],4,FALSE)</f>
        <v>528</v>
      </c>
      <c r="Q2735" s="6">
        <f>OrganizedData[[#This Row],[Total Items Ordered]]*VLOOKUP(OrganizedData[[#This Row],[Product Code]],ProductData[],3,FALSE)</f>
        <v>945.12</v>
      </c>
      <c r="R27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2736" spans="1:18" x14ac:dyDescent="0.3">
      <c r="A2736" s="2">
        <v>2729</v>
      </c>
      <c r="B2736" s="2" t="s">
        <v>7018</v>
      </c>
      <c r="C2736" s="2" t="s">
        <v>4653</v>
      </c>
      <c r="D2736" s="2" t="s">
        <v>15</v>
      </c>
      <c r="E2736" s="2" t="s">
        <v>16</v>
      </c>
      <c r="F2736" s="2">
        <v>30</v>
      </c>
      <c r="G2736" s="2" t="s">
        <v>7019</v>
      </c>
      <c r="H2736" s="2" t="s">
        <v>7020</v>
      </c>
      <c r="I2736" s="2" t="s">
        <v>32</v>
      </c>
      <c r="J2736" s="3">
        <v>44351</v>
      </c>
      <c r="K2736" s="5">
        <f>YEAR(OrganizedData[[#This Row],[Order Date]])</f>
        <v>2021</v>
      </c>
      <c r="L2736" s="7" t="str">
        <f>TEXT(OrganizedData[[#This Row],[Order Date]],"mmm")</f>
        <v>Jun</v>
      </c>
      <c r="M2736" s="2">
        <v>27</v>
      </c>
      <c r="N2736" s="2" t="s">
        <v>101</v>
      </c>
      <c r="O2736" s="2" t="str">
        <f>VLOOKUP(OrganizedData[[#This Row],[Product Code]],ProductData[[Code]:[Item]],2,FALSE)</f>
        <v>Superwossname</v>
      </c>
      <c r="P2736" s="4">
        <f>OrganizedData[[#This Row],[Quantity]]*VLOOKUP(OrganizedData[[#This Row],[Product Code]],ProductData[],4,FALSE)</f>
        <v>540</v>
      </c>
      <c r="Q2736" s="6">
        <f>OrganizedData[[#This Row],[Total Items Ordered]]*VLOOKUP(OrganizedData[[#This Row],[Product Code]],ProductData[],3,FALSE)</f>
        <v>1884.6000000000001</v>
      </c>
      <c r="R27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1828.0620000000001</v>
      </c>
    </row>
    <row r="2737" spans="1:18" x14ac:dyDescent="0.3">
      <c r="A2737" s="2">
        <v>2730</v>
      </c>
      <c r="B2737" s="2" t="s">
        <v>4871</v>
      </c>
      <c r="C2737" s="2" t="s">
        <v>1340</v>
      </c>
      <c r="D2737" s="2" t="s">
        <v>51</v>
      </c>
      <c r="E2737" s="2" t="s">
        <v>16</v>
      </c>
      <c r="F2737" s="2">
        <v>60</v>
      </c>
      <c r="G2737" s="2" t="s">
        <v>7021</v>
      </c>
      <c r="H2737" s="2" t="s">
        <v>1568</v>
      </c>
      <c r="I2737" s="2" t="s">
        <v>32</v>
      </c>
      <c r="J2737" s="3">
        <v>44266</v>
      </c>
      <c r="K2737" s="5">
        <f>YEAR(OrganizedData[[#This Row],[Order Date]])</f>
        <v>2021</v>
      </c>
      <c r="L2737" s="7" t="str">
        <f>TEXT(OrganizedData[[#This Row],[Order Date]],"mmm")</f>
        <v>Mar</v>
      </c>
      <c r="M2737" s="2">
        <v>71</v>
      </c>
      <c r="N2737" s="2" t="s">
        <v>80</v>
      </c>
      <c r="O2737" s="2" t="str">
        <f>VLOOKUP(OrganizedData[[#This Row],[Product Code]],ProductData[[Code]:[Item]],2,FALSE)</f>
        <v>Ultrathing V2</v>
      </c>
      <c r="P2737" s="4">
        <f>OrganizedData[[#This Row],[Quantity]]*VLOOKUP(OrganizedData[[#This Row],[Product Code]],ProductData[],4,FALSE)</f>
        <v>1420</v>
      </c>
      <c r="Q2737" s="6">
        <f>OrganizedData[[#This Row],[Total Items Ordered]]*VLOOKUP(OrganizedData[[#This Row],[Product Code]],ProductData[],3,FALSE)</f>
        <v>4189</v>
      </c>
      <c r="R27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3979.5499999999997</v>
      </c>
    </row>
    <row r="2738" spans="1:18" x14ac:dyDescent="0.3">
      <c r="A2738" s="2">
        <v>2731</v>
      </c>
      <c r="B2738" s="2" t="s">
        <v>7022</v>
      </c>
      <c r="C2738" s="2" t="s">
        <v>2362</v>
      </c>
      <c r="D2738" s="2" t="s">
        <v>15</v>
      </c>
      <c r="E2738" s="2" t="s">
        <v>16</v>
      </c>
      <c r="F2738" s="2">
        <v>60</v>
      </c>
      <c r="G2738" s="2" t="s">
        <v>7023</v>
      </c>
      <c r="H2738" s="2" t="s">
        <v>7024</v>
      </c>
      <c r="I2738" s="2" t="s">
        <v>178</v>
      </c>
      <c r="J2738" s="3">
        <v>44286</v>
      </c>
      <c r="K2738" s="5">
        <f>YEAR(OrganizedData[[#This Row],[Order Date]])</f>
        <v>2021</v>
      </c>
      <c r="L2738" s="7" t="str">
        <f>TEXT(OrganizedData[[#This Row],[Order Date]],"mmm")</f>
        <v>Mar</v>
      </c>
      <c r="M2738" s="2">
        <v>5</v>
      </c>
      <c r="N2738" s="2" t="s">
        <v>45</v>
      </c>
      <c r="O2738" s="2" t="str">
        <f>VLOOKUP(OrganizedData[[#This Row],[Product Code]],ProductData[[Code]:[Item]],2,FALSE)</f>
        <v>Gigastuff</v>
      </c>
      <c r="P2738" s="4">
        <f>OrganizedData[[#This Row],[Quantity]]*VLOOKUP(OrganizedData[[#This Row],[Product Code]],ProductData[],4,FALSE)</f>
        <v>90</v>
      </c>
      <c r="Q2738" s="6">
        <f>OrganizedData[[#This Row],[Total Items Ordered]]*VLOOKUP(OrganizedData[[#This Row],[Product Code]],ProductData[],3,FALSE)</f>
        <v>170.1</v>
      </c>
      <c r="R27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2739" spans="1:18" x14ac:dyDescent="0.3">
      <c r="A2739" s="2">
        <v>2732</v>
      </c>
      <c r="B2739" s="2" t="s">
        <v>5849</v>
      </c>
      <c r="C2739" s="2" t="s">
        <v>983</v>
      </c>
      <c r="D2739" s="2" t="s">
        <v>28</v>
      </c>
      <c r="E2739" s="2" t="s">
        <v>29</v>
      </c>
      <c r="F2739" s="2">
        <v>30</v>
      </c>
      <c r="G2739" s="2" t="s">
        <v>7025</v>
      </c>
      <c r="H2739" s="2" t="s">
        <v>4915</v>
      </c>
      <c r="I2739" s="2" t="s">
        <v>32</v>
      </c>
      <c r="J2739" s="3">
        <v>44447</v>
      </c>
      <c r="K2739" s="5">
        <f>YEAR(OrganizedData[[#This Row],[Order Date]])</f>
        <v>2021</v>
      </c>
      <c r="L2739" s="7" t="str">
        <f>TEXT(OrganizedData[[#This Row],[Order Date]],"mmm")</f>
        <v>Sep</v>
      </c>
      <c r="M2739" s="2">
        <v>90</v>
      </c>
      <c r="N2739" s="2" t="s">
        <v>101</v>
      </c>
      <c r="O2739" s="2" t="str">
        <f>VLOOKUP(OrganizedData[[#This Row],[Product Code]],ProductData[[Code]:[Item]],2,FALSE)</f>
        <v>Superwossname</v>
      </c>
      <c r="P2739" s="4">
        <f>OrganizedData[[#This Row],[Quantity]]*VLOOKUP(OrganizedData[[#This Row],[Product Code]],ProductData[],4,FALSE)</f>
        <v>1800</v>
      </c>
      <c r="Q2739" s="6">
        <f>OrganizedData[[#This Row],[Total Items Ordered]]*VLOOKUP(OrganizedData[[#This Row],[Product Code]],ProductData[],3,FALSE)</f>
        <v>6282</v>
      </c>
      <c r="R27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5967.9</v>
      </c>
    </row>
    <row r="2740" spans="1:18" x14ac:dyDescent="0.3">
      <c r="A2740" s="2">
        <v>2733</v>
      </c>
      <c r="B2740" s="2" t="s">
        <v>3441</v>
      </c>
      <c r="C2740" s="2" t="s">
        <v>5568</v>
      </c>
      <c r="D2740" s="2" t="s">
        <v>28</v>
      </c>
      <c r="E2740" s="2" t="s">
        <v>29</v>
      </c>
      <c r="F2740" s="2">
        <v>30</v>
      </c>
      <c r="G2740" s="2" t="s">
        <v>7026</v>
      </c>
      <c r="H2740" s="2" t="s">
        <v>7027</v>
      </c>
      <c r="I2740" s="2" t="s">
        <v>173</v>
      </c>
      <c r="J2740" s="3">
        <v>44542</v>
      </c>
      <c r="K2740" s="5">
        <f>YEAR(OrganizedData[[#This Row],[Order Date]])</f>
        <v>2021</v>
      </c>
      <c r="L2740" s="7" t="str">
        <f>TEXT(OrganizedData[[#This Row],[Order Date]],"mmm")</f>
        <v>Dec</v>
      </c>
      <c r="M2740" s="2">
        <v>77</v>
      </c>
      <c r="N2740" s="2" t="s">
        <v>80</v>
      </c>
      <c r="O2740" s="2" t="str">
        <f>VLOOKUP(OrganizedData[[#This Row],[Product Code]],ProductData[[Code]:[Item]],2,FALSE)</f>
        <v>Ultrathing V2</v>
      </c>
      <c r="P2740" s="4">
        <f>OrganizedData[[#This Row],[Quantity]]*VLOOKUP(OrganizedData[[#This Row],[Product Code]],ProductData[],4,FALSE)</f>
        <v>1540</v>
      </c>
      <c r="Q2740" s="6">
        <f>OrganizedData[[#This Row],[Total Items Ordered]]*VLOOKUP(OrganizedData[[#This Row],[Product Code]],ProductData[],3,FALSE)</f>
        <v>4543</v>
      </c>
      <c r="R27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4315.8499999999995</v>
      </c>
    </row>
    <row r="2741" spans="1:18" x14ac:dyDescent="0.3">
      <c r="A2741" s="2">
        <v>2734</v>
      </c>
      <c r="B2741" s="2" t="s">
        <v>2138</v>
      </c>
      <c r="C2741" s="2" t="s">
        <v>300</v>
      </c>
      <c r="D2741" s="2" t="s">
        <v>28</v>
      </c>
      <c r="E2741" s="2" t="s">
        <v>29</v>
      </c>
      <c r="F2741" s="2">
        <v>60</v>
      </c>
      <c r="G2741" s="2" t="s">
        <v>7028</v>
      </c>
      <c r="H2741" s="2" t="s">
        <v>4935</v>
      </c>
      <c r="I2741" s="2" t="s">
        <v>124</v>
      </c>
      <c r="J2741" s="3">
        <v>44810</v>
      </c>
      <c r="K2741" s="5">
        <f>YEAR(OrganizedData[[#This Row],[Order Date]])</f>
        <v>2022</v>
      </c>
      <c r="L2741" s="7" t="str">
        <f>TEXT(OrganizedData[[#This Row],[Order Date]],"mmm")</f>
        <v>Sep</v>
      </c>
      <c r="M2741" s="2">
        <v>49</v>
      </c>
      <c r="N2741" s="2" t="s">
        <v>45</v>
      </c>
      <c r="O2741" s="2" t="str">
        <f>VLOOKUP(OrganizedData[[#This Row],[Product Code]],ProductData[[Code]:[Item]],2,FALSE)</f>
        <v>Gigastuff</v>
      </c>
      <c r="P2741" s="4">
        <f>OrganizedData[[#This Row],[Quantity]]*VLOOKUP(OrganizedData[[#This Row],[Product Code]],ProductData[],4,FALSE)</f>
        <v>882</v>
      </c>
      <c r="Q2741" s="6">
        <f>OrganizedData[[#This Row],[Total Items Ordered]]*VLOOKUP(OrganizedData[[#This Row],[Product Code]],ProductData[],3,FALSE)</f>
        <v>1666.98</v>
      </c>
      <c r="R27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1616.9705999999999</v>
      </c>
    </row>
    <row r="2742" spans="1:18" x14ac:dyDescent="0.3">
      <c r="A2742" s="2">
        <v>2735</v>
      </c>
      <c r="B2742" s="2" t="s">
        <v>7029</v>
      </c>
      <c r="C2742" s="2" t="s">
        <v>332</v>
      </c>
      <c r="D2742" s="2" t="s">
        <v>28</v>
      </c>
      <c r="E2742" s="2" t="s">
        <v>29</v>
      </c>
      <c r="F2742" s="2">
        <v>60</v>
      </c>
      <c r="G2742" s="2" t="s">
        <v>7030</v>
      </c>
      <c r="H2742" s="2" t="s">
        <v>7031</v>
      </c>
      <c r="I2742" s="2" t="s">
        <v>294</v>
      </c>
      <c r="J2742" s="3">
        <v>44861</v>
      </c>
      <c r="K2742" s="5">
        <f>YEAR(OrganizedData[[#This Row],[Order Date]])</f>
        <v>2022</v>
      </c>
      <c r="L2742" s="7" t="str">
        <f>TEXT(OrganizedData[[#This Row],[Order Date]],"mmm")</f>
        <v>Oct</v>
      </c>
      <c r="M2742" s="2">
        <v>61</v>
      </c>
      <c r="N2742" s="2" t="s">
        <v>70</v>
      </c>
      <c r="O2742" s="2" t="str">
        <f>VLOOKUP(OrganizedData[[#This Row],[Product Code]],ProductData[[Code]:[Item]],2,FALSE)</f>
        <v>Megawidget M</v>
      </c>
      <c r="P2742" s="4">
        <f>OrganizedData[[#This Row],[Quantity]]*VLOOKUP(OrganizedData[[#This Row],[Product Code]],ProductData[],4,FALSE)</f>
        <v>1464</v>
      </c>
      <c r="Q2742" s="6">
        <f>OrganizedData[[#This Row],[Total Items Ordered]]*VLOOKUP(OrganizedData[[#This Row],[Product Code]],ProductData[],3,FALSE)</f>
        <v>1888.56</v>
      </c>
      <c r="R27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1794.1319999999998</v>
      </c>
    </row>
    <row r="2743" spans="1:18" x14ac:dyDescent="0.3">
      <c r="A2743" s="2">
        <v>2736</v>
      </c>
      <c r="B2743" s="2" t="s">
        <v>1104</v>
      </c>
      <c r="C2743" s="2" t="s">
        <v>7032</v>
      </c>
      <c r="D2743" s="2" t="s">
        <v>28</v>
      </c>
      <c r="E2743" s="2" t="s">
        <v>29</v>
      </c>
      <c r="F2743" s="2">
        <v>60</v>
      </c>
      <c r="G2743" s="2" t="s">
        <v>7033</v>
      </c>
      <c r="H2743" s="2" t="s">
        <v>655</v>
      </c>
      <c r="I2743" s="2" t="s">
        <v>32</v>
      </c>
      <c r="J2743" s="3">
        <v>44378</v>
      </c>
      <c r="K2743" s="5">
        <f>YEAR(OrganizedData[[#This Row],[Order Date]])</f>
        <v>2021</v>
      </c>
      <c r="L2743" s="7" t="str">
        <f>TEXT(OrganizedData[[#This Row],[Order Date]],"mmm")</f>
        <v>Jul</v>
      </c>
      <c r="M2743" s="2">
        <v>36</v>
      </c>
      <c r="N2743" s="2" t="s">
        <v>64</v>
      </c>
      <c r="O2743" s="2" t="str">
        <f>VLOOKUP(OrganizedData[[#This Row],[Product Code]],ProductData[[Code]:[Item]],2,FALSE)</f>
        <v>Ultrathing V4</v>
      </c>
      <c r="P2743" s="4">
        <f>OrganizedData[[#This Row],[Quantity]]*VLOOKUP(OrganizedData[[#This Row],[Product Code]],ProductData[],4,FALSE)</f>
        <v>864</v>
      </c>
      <c r="Q2743" s="6">
        <f>OrganizedData[[#This Row],[Total Items Ordered]]*VLOOKUP(OrganizedData[[#This Row],[Product Code]],ProductData[],3,FALSE)</f>
        <v>3447.36</v>
      </c>
      <c r="R27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3343.9392000000003</v>
      </c>
    </row>
    <row r="2744" spans="1:18" x14ac:dyDescent="0.3">
      <c r="A2744" s="2">
        <v>2737</v>
      </c>
      <c r="B2744" s="2" t="s">
        <v>7034</v>
      </c>
      <c r="C2744" s="2" t="s">
        <v>7035</v>
      </c>
      <c r="D2744" s="2" t="s">
        <v>28</v>
      </c>
      <c r="E2744" s="2" t="s">
        <v>29</v>
      </c>
      <c r="F2744" s="2">
        <v>60</v>
      </c>
      <c r="G2744" s="2" t="s">
        <v>7036</v>
      </c>
      <c r="H2744" s="2" t="s">
        <v>2834</v>
      </c>
      <c r="I2744" s="2" t="s">
        <v>19</v>
      </c>
      <c r="J2744" s="3">
        <v>44688</v>
      </c>
      <c r="K2744" s="5">
        <f>YEAR(OrganizedData[[#This Row],[Order Date]])</f>
        <v>2022</v>
      </c>
      <c r="L2744" s="7" t="str">
        <f>TEXT(OrganizedData[[#This Row],[Order Date]],"mmm")</f>
        <v>May</v>
      </c>
      <c r="M2744" s="2">
        <v>89</v>
      </c>
      <c r="N2744" s="2" t="s">
        <v>45</v>
      </c>
      <c r="O2744" s="2" t="str">
        <f>VLOOKUP(OrganizedData[[#This Row],[Product Code]],ProductData[[Code]:[Item]],2,FALSE)</f>
        <v>Gigastuff</v>
      </c>
      <c r="P2744" s="4">
        <f>OrganizedData[[#This Row],[Quantity]]*VLOOKUP(OrganizedData[[#This Row],[Product Code]],ProductData[],4,FALSE)</f>
        <v>1602</v>
      </c>
      <c r="Q2744" s="6">
        <f>OrganizedData[[#This Row],[Total Items Ordered]]*VLOOKUP(OrganizedData[[#This Row],[Product Code]],ProductData[],3,FALSE)</f>
        <v>3027.7799999999997</v>
      </c>
      <c r="R27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2876.3909999999996</v>
      </c>
    </row>
    <row r="2745" spans="1:18" x14ac:dyDescent="0.3">
      <c r="A2745" s="2">
        <v>2738</v>
      </c>
      <c r="B2745" s="2" t="s">
        <v>7037</v>
      </c>
      <c r="C2745" s="2" t="s">
        <v>6587</v>
      </c>
      <c r="D2745" s="2" t="s">
        <v>28</v>
      </c>
      <c r="E2745" s="2" t="s">
        <v>29</v>
      </c>
      <c r="F2745" s="2">
        <v>60</v>
      </c>
      <c r="G2745" s="2" t="s">
        <v>7038</v>
      </c>
      <c r="H2745" s="2" t="s">
        <v>3859</v>
      </c>
      <c r="I2745" s="2" t="s">
        <v>124</v>
      </c>
      <c r="J2745" s="3">
        <v>44112</v>
      </c>
      <c r="K2745" s="5">
        <f>YEAR(OrganizedData[[#This Row],[Order Date]])</f>
        <v>2020</v>
      </c>
      <c r="L2745" s="7" t="str">
        <f>TEXT(OrganizedData[[#This Row],[Order Date]],"mmm")</f>
        <v>Oct</v>
      </c>
      <c r="M2745" s="2">
        <v>66</v>
      </c>
      <c r="N2745" s="2" t="s">
        <v>45</v>
      </c>
      <c r="O2745" s="2" t="str">
        <f>VLOOKUP(OrganizedData[[#This Row],[Product Code]],ProductData[[Code]:[Item]],2,FALSE)</f>
        <v>Gigastuff</v>
      </c>
      <c r="P2745" s="4">
        <f>OrganizedData[[#This Row],[Quantity]]*VLOOKUP(OrganizedData[[#This Row],[Product Code]],ProductData[],4,FALSE)</f>
        <v>1188</v>
      </c>
      <c r="Q2745" s="6">
        <f>OrganizedData[[#This Row],[Total Items Ordered]]*VLOOKUP(OrganizedData[[#This Row],[Product Code]],ProductData[],3,FALSE)</f>
        <v>2245.3199999999997</v>
      </c>
      <c r="R27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2133.0539999999996</v>
      </c>
    </row>
    <row r="2746" spans="1:18" x14ac:dyDescent="0.3">
      <c r="A2746" s="2">
        <v>2739</v>
      </c>
      <c r="B2746" s="2" t="s">
        <v>7039</v>
      </c>
      <c r="C2746" s="2" t="s">
        <v>2223</v>
      </c>
      <c r="D2746" s="2" t="s">
        <v>51</v>
      </c>
      <c r="E2746" s="2" t="s">
        <v>16</v>
      </c>
      <c r="F2746" s="2">
        <v>90</v>
      </c>
      <c r="G2746" s="2" t="s">
        <v>7040</v>
      </c>
      <c r="H2746" s="2" t="s">
        <v>5464</v>
      </c>
      <c r="I2746" s="2" t="s">
        <v>124</v>
      </c>
      <c r="J2746" s="3">
        <v>44136</v>
      </c>
      <c r="K2746" s="5">
        <f>YEAR(OrganizedData[[#This Row],[Order Date]])</f>
        <v>2020</v>
      </c>
      <c r="L2746" s="7" t="str">
        <f>TEXT(OrganizedData[[#This Row],[Order Date]],"mmm")</f>
        <v>Nov</v>
      </c>
      <c r="M2746" s="2">
        <v>58</v>
      </c>
      <c r="N2746" s="2" t="s">
        <v>33</v>
      </c>
      <c r="O2746" s="2" t="str">
        <f>VLOOKUP(OrganizedData[[#This Row],[Product Code]],ProductData[[Code]:[Item]],2,FALSE)</f>
        <v>Megawidget L</v>
      </c>
      <c r="P2746" s="4">
        <f>OrganizedData[[#This Row],[Quantity]]*VLOOKUP(OrganizedData[[#This Row],[Product Code]],ProductData[],4,FALSE)</f>
        <v>1392</v>
      </c>
      <c r="Q2746" s="6">
        <f>OrganizedData[[#This Row],[Total Items Ordered]]*VLOOKUP(OrganizedData[[#This Row],[Product Code]],ProductData[],3,FALSE)</f>
        <v>2491.6799999999998</v>
      </c>
      <c r="R27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2747" spans="1:18" x14ac:dyDescent="0.3">
      <c r="A2747" s="2">
        <v>2740</v>
      </c>
      <c r="B2747" s="2" t="s">
        <v>6894</v>
      </c>
      <c r="C2747" s="2" t="s">
        <v>4456</v>
      </c>
      <c r="D2747" s="2" t="s">
        <v>15</v>
      </c>
      <c r="E2747" s="2" t="s">
        <v>16</v>
      </c>
      <c r="F2747" s="2">
        <v>90</v>
      </c>
      <c r="G2747" s="2" t="s">
        <v>7041</v>
      </c>
      <c r="H2747" s="2" t="s">
        <v>7042</v>
      </c>
      <c r="I2747" s="2" t="s">
        <v>1885</v>
      </c>
      <c r="J2747" s="3">
        <v>44612</v>
      </c>
      <c r="K2747" s="5">
        <f>YEAR(OrganizedData[[#This Row],[Order Date]])</f>
        <v>2022</v>
      </c>
      <c r="L2747" s="7" t="str">
        <f>TEXT(OrganizedData[[#This Row],[Order Date]],"mmm")</f>
        <v>Feb</v>
      </c>
      <c r="M2747" s="2">
        <v>90</v>
      </c>
      <c r="N2747" s="2" t="s">
        <v>54</v>
      </c>
      <c r="O2747" s="2" t="str">
        <f>VLOOKUP(OrganizedData[[#This Row],[Product Code]],ProductData[[Code]:[Item]],2,FALSE)</f>
        <v>Megawidget S</v>
      </c>
      <c r="P2747" s="4">
        <f>OrganizedData[[#This Row],[Quantity]]*VLOOKUP(OrganizedData[[#This Row],[Product Code]],ProductData[],4,FALSE)</f>
        <v>2160</v>
      </c>
      <c r="Q2747" s="6">
        <f>OrganizedData[[#This Row],[Total Items Ordered]]*VLOOKUP(OrganizedData[[#This Row],[Product Code]],ProductData[],3,FALSE)</f>
        <v>1490.3999999999999</v>
      </c>
      <c r="R27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1415.8799999999999</v>
      </c>
    </row>
    <row r="2748" spans="1:18" x14ac:dyDescent="0.3">
      <c r="A2748" s="2">
        <v>2741</v>
      </c>
      <c r="B2748" s="2" t="s">
        <v>6804</v>
      </c>
      <c r="C2748" s="2" t="s">
        <v>7043</v>
      </c>
      <c r="D2748" s="2" t="s">
        <v>28</v>
      </c>
      <c r="E2748" s="2" t="s">
        <v>29</v>
      </c>
      <c r="F2748" s="2">
        <v>90</v>
      </c>
      <c r="G2748" s="2" t="s">
        <v>7044</v>
      </c>
      <c r="H2748" s="2" t="s">
        <v>6659</v>
      </c>
      <c r="I2748" s="2" t="s">
        <v>208</v>
      </c>
      <c r="J2748" s="3">
        <v>44540</v>
      </c>
      <c r="K2748" s="5">
        <f>YEAR(OrganizedData[[#This Row],[Order Date]])</f>
        <v>2021</v>
      </c>
      <c r="L2748" s="7" t="str">
        <f>TEXT(OrganizedData[[#This Row],[Order Date]],"mmm")</f>
        <v>Dec</v>
      </c>
      <c r="M2748" s="2">
        <v>10</v>
      </c>
      <c r="N2748" s="2" t="s">
        <v>20</v>
      </c>
      <c r="O2748" s="2" t="str">
        <f>VLOOKUP(OrganizedData[[#This Row],[Product Code]],ProductData[[Code]:[Item]],2,FALSE)</f>
        <v>Hyperwotsit</v>
      </c>
      <c r="P2748" s="4">
        <f>OrganizedData[[#This Row],[Quantity]]*VLOOKUP(OrganizedData[[#This Row],[Product Code]],ProductData[],4,FALSE)</f>
        <v>200</v>
      </c>
      <c r="Q2748" s="6">
        <f>OrganizedData[[#This Row],[Total Items Ordered]]*VLOOKUP(OrganizedData[[#This Row],[Product Code]],ProductData[],3,FALSE)</f>
        <v>401.99999999999994</v>
      </c>
      <c r="R27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401.99999999999994</v>
      </c>
    </row>
    <row r="2749" spans="1:18" x14ac:dyDescent="0.3">
      <c r="A2749" s="2">
        <v>2742</v>
      </c>
      <c r="B2749" s="2" t="s">
        <v>5958</v>
      </c>
      <c r="C2749" s="2" t="s">
        <v>259</v>
      </c>
      <c r="D2749" s="2" t="s">
        <v>28</v>
      </c>
      <c r="E2749" s="2" t="s">
        <v>29</v>
      </c>
      <c r="F2749" s="2">
        <v>60</v>
      </c>
      <c r="G2749" s="2" t="s">
        <v>7045</v>
      </c>
      <c r="H2749" s="2" t="s">
        <v>1412</v>
      </c>
      <c r="I2749" s="2" t="s">
        <v>1413</v>
      </c>
      <c r="J2749" s="3">
        <v>44189</v>
      </c>
      <c r="K2749" s="5">
        <f>YEAR(OrganizedData[[#This Row],[Order Date]])</f>
        <v>2020</v>
      </c>
      <c r="L2749" s="7" t="str">
        <f>TEXT(OrganizedData[[#This Row],[Order Date]],"mmm")</f>
        <v>Dec</v>
      </c>
      <c r="M2749" s="2">
        <v>67</v>
      </c>
      <c r="N2749" s="2" t="s">
        <v>80</v>
      </c>
      <c r="O2749" s="2" t="str">
        <f>VLOOKUP(OrganizedData[[#This Row],[Product Code]],ProductData[[Code]:[Item]],2,FALSE)</f>
        <v>Ultrathing V2</v>
      </c>
      <c r="P2749" s="4">
        <f>OrganizedData[[#This Row],[Quantity]]*VLOOKUP(OrganizedData[[#This Row],[Product Code]],ProductData[],4,FALSE)</f>
        <v>1340</v>
      </c>
      <c r="Q2749" s="6">
        <f>OrganizedData[[#This Row],[Total Items Ordered]]*VLOOKUP(OrganizedData[[#This Row],[Product Code]],ProductData[],3,FALSE)</f>
        <v>3953.0000000000005</v>
      </c>
      <c r="R27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3755.3500000000004</v>
      </c>
    </row>
    <row r="2750" spans="1:18" x14ac:dyDescent="0.3">
      <c r="A2750" s="2">
        <v>2743</v>
      </c>
      <c r="B2750" s="2" t="s">
        <v>7046</v>
      </c>
      <c r="C2750" s="2" t="s">
        <v>929</v>
      </c>
      <c r="D2750" s="2" t="s">
        <v>92</v>
      </c>
      <c r="E2750" s="2" t="s">
        <v>16</v>
      </c>
      <c r="F2750" s="2">
        <v>60</v>
      </c>
      <c r="G2750" s="2" t="s">
        <v>7047</v>
      </c>
      <c r="H2750" s="2" t="s">
        <v>2931</v>
      </c>
      <c r="I2750" s="2" t="s">
        <v>32</v>
      </c>
      <c r="J2750" s="3">
        <v>44301</v>
      </c>
      <c r="K2750" s="5">
        <f>YEAR(OrganizedData[[#This Row],[Order Date]])</f>
        <v>2021</v>
      </c>
      <c r="L2750" s="7" t="str">
        <f>TEXT(OrganizedData[[#This Row],[Order Date]],"mmm")</f>
        <v>Apr</v>
      </c>
      <c r="M2750" s="2">
        <v>85</v>
      </c>
      <c r="N2750" s="2" t="s">
        <v>45</v>
      </c>
      <c r="O2750" s="2" t="str">
        <f>VLOOKUP(OrganizedData[[#This Row],[Product Code]],ProductData[[Code]:[Item]],2,FALSE)</f>
        <v>Gigastuff</v>
      </c>
      <c r="P2750" s="4">
        <f>OrganizedData[[#This Row],[Quantity]]*VLOOKUP(OrganizedData[[#This Row],[Product Code]],ProductData[],4,FALSE)</f>
        <v>1530</v>
      </c>
      <c r="Q2750" s="6">
        <f>OrganizedData[[#This Row],[Total Items Ordered]]*VLOOKUP(OrganizedData[[#This Row],[Product Code]],ProductData[],3,FALSE)</f>
        <v>2891.7</v>
      </c>
      <c r="R27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2751" spans="1:18" x14ac:dyDescent="0.3">
      <c r="A2751" s="2">
        <v>2744</v>
      </c>
      <c r="B2751" s="2" t="s">
        <v>2523</v>
      </c>
      <c r="C2751" s="2" t="s">
        <v>2521</v>
      </c>
      <c r="D2751" s="2" t="s">
        <v>28</v>
      </c>
      <c r="E2751" s="2" t="s">
        <v>29</v>
      </c>
      <c r="F2751" s="2">
        <v>90</v>
      </c>
      <c r="G2751" s="2" t="s">
        <v>7048</v>
      </c>
      <c r="H2751" s="2" t="s">
        <v>7049</v>
      </c>
      <c r="I2751" s="2" t="s">
        <v>32</v>
      </c>
      <c r="J2751" s="3">
        <v>43895</v>
      </c>
      <c r="K2751" s="5">
        <f>YEAR(OrganizedData[[#This Row],[Order Date]])</f>
        <v>2020</v>
      </c>
      <c r="L2751" s="7" t="str">
        <f>TEXT(OrganizedData[[#This Row],[Order Date]],"mmm")</f>
        <v>Mar</v>
      </c>
      <c r="M2751" s="2">
        <v>32</v>
      </c>
      <c r="N2751" s="2" t="s">
        <v>64</v>
      </c>
      <c r="O2751" s="2" t="str">
        <f>VLOOKUP(OrganizedData[[#This Row],[Product Code]],ProductData[[Code]:[Item]],2,FALSE)</f>
        <v>Ultrathing V4</v>
      </c>
      <c r="P2751" s="4">
        <f>OrganizedData[[#This Row],[Quantity]]*VLOOKUP(OrganizedData[[#This Row],[Product Code]],ProductData[],4,FALSE)</f>
        <v>768</v>
      </c>
      <c r="Q2751" s="6">
        <f>OrganizedData[[#This Row],[Total Items Ordered]]*VLOOKUP(OrganizedData[[#This Row],[Product Code]],ProductData[],3,FALSE)</f>
        <v>3064.32</v>
      </c>
      <c r="R27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2972.3904000000002</v>
      </c>
    </row>
    <row r="2752" spans="1:18" x14ac:dyDescent="0.3">
      <c r="A2752" s="2">
        <v>2745</v>
      </c>
      <c r="B2752" s="2" t="s">
        <v>3113</v>
      </c>
      <c r="C2752" s="2" t="s">
        <v>2453</v>
      </c>
      <c r="D2752" s="2" t="s">
        <v>51</v>
      </c>
      <c r="E2752" s="2" t="s">
        <v>16</v>
      </c>
      <c r="F2752" s="2">
        <v>90</v>
      </c>
      <c r="G2752" s="2" t="s">
        <v>7050</v>
      </c>
      <c r="H2752" s="2" t="s">
        <v>1265</v>
      </c>
      <c r="I2752" s="2" t="s">
        <v>32</v>
      </c>
      <c r="J2752" s="3">
        <v>44798</v>
      </c>
      <c r="K2752" s="5">
        <f>YEAR(OrganizedData[[#This Row],[Order Date]])</f>
        <v>2022</v>
      </c>
      <c r="L2752" s="7" t="str">
        <f>TEXT(OrganizedData[[#This Row],[Order Date]],"mmm")</f>
        <v>Aug</v>
      </c>
      <c r="M2752" s="2">
        <v>51</v>
      </c>
      <c r="N2752" s="2" t="s">
        <v>54</v>
      </c>
      <c r="O2752" s="2" t="str">
        <f>VLOOKUP(OrganizedData[[#This Row],[Product Code]],ProductData[[Code]:[Item]],2,FALSE)</f>
        <v>Megawidget S</v>
      </c>
      <c r="P2752" s="4">
        <f>OrganizedData[[#This Row],[Quantity]]*VLOOKUP(OrganizedData[[#This Row],[Product Code]],ProductData[],4,FALSE)</f>
        <v>1224</v>
      </c>
      <c r="Q2752" s="6">
        <f>OrganizedData[[#This Row],[Total Items Ordered]]*VLOOKUP(OrganizedData[[#This Row],[Product Code]],ProductData[],3,FALSE)</f>
        <v>844.56</v>
      </c>
      <c r="R27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2753" spans="1:18" x14ac:dyDescent="0.3">
      <c r="A2753" s="2">
        <v>2746</v>
      </c>
      <c r="B2753" s="2" t="s">
        <v>7051</v>
      </c>
      <c r="C2753" s="2" t="s">
        <v>3192</v>
      </c>
      <c r="D2753" s="2" t="s">
        <v>15</v>
      </c>
      <c r="E2753" s="2" t="s">
        <v>16</v>
      </c>
      <c r="F2753" s="2">
        <v>60</v>
      </c>
      <c r="G2753" s="2" t="s">
        <v>7052</v>
      </c>
      <c r="H2753" s="2" t="s">
        <v>917</v>
      </c>
      <c r="I2753" s="2" t="s">
        <v>32</v>
      </c>
      <c r="J2753" s="3">
        <v>44006</v>
      </c>
      <c r="K2753" s="5">
        <f>YEAR(OrganizedData[[#This Row],[Order Date]])</f>
        <v>2020</v>
      </c>
      <c r="L2753" s="7" t="str">
        <f>TEXT(OrganizedData[[#This Row],[Order Date]],"mmm")</f>
        <v>Jun</v>
      </c>
      <c r="M2753" s="2">
        <v>68</v>
      </c>
      <c r="N2753" s="2" t="s">
        <v>39</v>
      </c>
      <c r="O2753" s="2" t="str">
        <f>VLOOKUP(OrganizedData[[#This Row],[Product Code]],ProductData[[Code]:[Item]],2,FALSE)</f>
        <v>Ultrathing V1</v>
      </c>
      <c r="P2753" s="4">
        <f>OrganizedData[[#This Row],[Quantity]]*VLOOKUP(OrganizedData[[#This Row],[Product Code]],ProductData[],4,FALSE)</f>
        <v>1156</v>
      </c>
      <c r="Q2753" s="6">
        <f>OrganizedData[[#This Row],[Total Items Ordered]]*VLOOKUP(OrganizedData[[#This Row],[Product Code]],ProductData[],3,FALSE)</f>
        <v>2069.2400000000002</v>
      </c>
      <c r="R27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2754" spans="1:18" x14ac:dyDescent="0.3">
      <c r="A2754" s="2">
        <v>2747</v>
      </c>
      <c r="B2754" s="2" t="s">
        <v>7053</v>
      </c>
      <c r="C2754" s="2" t="s">
        <v>4960</v>
      </c>
      <c r="D2754" s="2" t="s">
        <v>51</v>
      </c>
      <c r="E2754" s="2" t="s">
        <v>16</v>
      </c>
      <c r="F2754" s="2">
        <v>60</v>
      </c>
      <c r="G2754" s="2" t="s">
        <v>7054</v>
      </c>
      <c r="H2754" s="2" t="s">
        <v>3610</v>
      </c>
      <c r="I2754" s="2" t="s">
        <v>32</v>
      </c>
      <c r="J2754" s="3">
        <v>44248</v>
      </c>
      <c r="K2754" s="5">
        <f>YEAR(OrganizedData[[#This Row],[Order Date]])</f>
        <v>2021</v>
      </c>
      <c r="L2754" s="7" t="str">
        <f>TEXT(OrganizedData[[#This Row],[Order Date]],"mmm")</f>
        <v>Feb</v>
      </c>
      <c r="M2754" s="2">
        <v>59</v>
      </c>
      <c r="N2754" s="2" t="s">
        <v>101</v>
      </c>
      <c r="O2754" s="2" t="str">
        <f>VLOOKUP(OrganizedData[[#This Row],[Product Code]],ProductData[[Code]:[Item]],2,FALSE)</f>
        <v>Superwossname</v>
      </c>
      <c r="P2754" s="4">
        <f>OrganizedData[[#This Row],[Quantity]]*VLOOKUP(OrganizedData[[#This Row],[Product Code]],ProductData[],4,FALSE)</f>
        <v>1180</v>
      </c>
      <c r="Q2754" s="6">
        <f>OrganizedData[[#This Row],[Total Items Ordered]]*VLOOKUP(OrganizedData[[#This Row],[Product Code]],ProductData[],3,FALSE)</f>
        <v>4118.2</v>
      </c>
      <c r="R27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3912.2899999999995</v>
      </c>
    </row>
    <row r="2755" spans="1:18" x14ac:dyDescent="0.3">
      <c r="A2755" s="2">
        <v>2748</v>
      </c>
      <c r="B2755" s="2" t="s">
        <v>2263</v>
      </c>
      <c r="C2755" s="2" t="s">
        <v>3612</v>
      </c>
      <c r="D2755" s="2" t="s">
        <v>15</v>
      </c>
      <c r="E2755" s="2" t="s">
        <v>16</v>
      </c>
      <c r="F2755" s="2">
        <v>30</v>
      </c>
      <c r="G2755" s="2" t="s">
        <v>7055</v>
      </c>
      <c r="H2755" s="2" t="s">
        <v>7056</v>
      </c>
      <c r="I2755" s="2" t="s">
        <v>95</v>
      </c>
      <c r="J2755" s="3">
        <v>44536</v>
      </c>
      <c r="K2755" s="5">
        <f>YEAR(OrganizedData[[#This Row],[Order Date]])</f>
        <v>2021</v>
      </c>
      <c r="L2755" s="7" t="str">
        <f>TEXT(OrganizedData[[#This Row],[Order Date]],"mmm")</f>
        <v>Dec</v>
      </c>
      <c r="M2755" s="2">
        <v>37</v>
      </c>
      <c r="N2755" s="2" t="s">
        <v>70</v>
      </c>
      <c r="O2755" s="2" t="str">
        <f>VLOOKUP(OrganizedData[[#This Row],[Product Code]],ProductData[[Code]:[Item]],2,FALSE)</f>
        <v>Megawidget M</v>
      </c>
      <c r="P2755" s="4">
        <f>OrganizedData[[#This Row],[Quantity]]*VLOOKUP(OrganizedData[[#This Row],[Product Code]],ProductData[],4,FALSE)</f>
        <v>888</v>
      </c>
      <c r="Q2755" s="6">
        <f>OrganizedData[[#This Row],[Total Items Ordered]]*VLOOKUP(OrganizedData[[#This Row],[Product Code]],ProductData[],3,FALSE)</f>
        <v>1145.52</v>
      </c>
      <c r="R27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2756" spans="1:18" x14ac:dyDescent="0.3">
      <c r="A2756" s="2">
        <v>2749</v>
      </c>
      <c r="B2756" s="2" t="s">
        <v>1776</v>
      </c>
      <c r="C2756" s="2" t="s">
        <v>1585</v>
      </c>
      <c r="D2756" s="2" t="s">
        <v>28</v>
      </c>
      <c r="E2756" s="2" t="s">
        <v>29</v>
      </c>
      <c r="F2756" s="2">
        <v>90</v>
      </c>
      <c r="G2756" s="2" t="s">
        <v>7055</v>
      </c>
      <c r="H2756" s="2" t="s">
        <v>724</v>
      </c>
      <c r="I2756" s="2" t="s">
        <v>240</v>
      </c>
      <c r="J2756" s="3">
        <v>43996</v>
      </c>
      <c r="K2756" s="5">
        <f>YEAR(OrganizedData[[#This Row],[Order Date]])</f>
        <v>2020</v>
      </c>
      <c r="L2756" s="7" t="str">
        <f>TEXT(OrganizedData[[#This Row],[Order Date]],"mmm")</f>
        <v>Jun</v>
      </c>
      <c r="M2756" s="2">
        <v>46</v>
      </c>
      <c r="N2756" s="2" t="s">
        <v>64</v>
      </c>
      <c r="O2756" s="2" t="str">
        <f>VLOOKUP(OrganizedData[[#This Row],[Product Code]],ProductData[[Code]:[Item]],2,FALSE)</f>
        <v>Ultrathing V4</v>
      </c>
      <c r="P2756" s="4">
        <f>OrganizedData[[#This Row],[Quantity]]*VLOOKUP(OrganizedData[[#This Row],[Product Code]],ProductData[],4,FALSE)</f>
        <v>1104</v>
      </c>
      <c r="Q2756" s="6">
        <f>OrganizedData[[#This Row],[Total Items Ordered]]*VLOOKUP(OrganizedData[[#This Row],[Product Code]],ProductData[],3,FALSE)</f>
        <v>4404.96</v>
      </c>
      <c r="R27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4272.8112000000001</v>
      </c>
    </row>
    <row r="2757" spans="1:18" x14ac:dyDescent="0.3">
      <c r="A2757" s="2">
        <v>2750</v>
      </c>
      <c r="B2757" s="2" t="s">
        <v>4912</v>
      </c>
      <c r="C2757" s="2" t="s">
        <v>5012</v>
      </c>
      <c r="D2757" s="2" t="s">
        <v>15</v>
      </c>
      <c r="E2757" s="2" t="s">
        <v>16</v>
      </c>
      <c r="F2757" s="2">
        <v>30</v>
      </c>
      <c r="G2757" s="2" t="s">
        <v>7057</v>
      </c>
      <c r="H2757" s="2" t="s">
        <v>5036</v>
      </c>
      <c r="I2757" s="2" t="s">
        <v>32</v>
      </c>
      <c r="J2757" s="3">
        <v>44600</v>
      </c>
      <c r="K2757" s="5">
        <f>YEAR(OrganizedData[[#This Row],[Order Date]])</f>
        <v>2022</v>
      </c>
      <c r="L2757" s="7" t="str">
        <f>TEXT(OrganizedData[[#This Row],[Order Date]],"mmm")</f>
        <v>Feb</v>
      </c>
      <c r="M2757" s="2">
        <v>92</v>
      </c>
      <c r="N2757" s="2" t="s">
        <v>70</v>
      </c>
      <c r="O2757" s="2" t="str">
        <f>VLOOKUP(OrganizedData[[#This Row],[Product Code]],ProductData[[Code]:[Item]],2,FALSE)</f>
        <v>Megawidget M</v>
      </c>
      <c r="P2757" s="4">
        <f>OrganizedData[[#This Row],[Quantity]]*VLOOKUP(OrganizedData[[#This Row],[Product Code]],ProductData[],4,FALSE)</f>
        <v>2208</v>
      </c>
      <c r="Q2757" s="6">
        <f>OrganizedData[[#This Row],[Total Items Ordered]]*VLOOKUP(OrganizedData[[#This Row],[Product Code]],ProductData[],3,FALSE)</f>
        <v>2848.32</v>
      </c>
      <c r="R27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2705.904</v>
      </c>
    </row>
    <row r="2758" spans="1:18" x14ac:dyDescent="0.3">
      <c r="A2758" s="2">
        <v>2751</v>
      </c>
      <c r="B2758" s="2" t="s">
        <v>7058</v>
      </c>
      <c r="C2758" s="2" t="s">
        <v>2427</v>
      </c>
      <c r="D2758" s="2" t="s">
        <v>15</v>
      </c>
      <c r="E2758" s="2" t="s">
        <v>16</v>
      </c>
      <c r="F2758" s="2">
        <v>30</v>
      </c>
      <c r="G2758" s="2" t="s">
        <v>7059</v>
      </c>
      <c r="H2758" s="2" t="s">
        <v>1242</v>
      </c>
      <c r="I2758" s="2" t="s">
        <v>38</v>
      </c>
      <c r="J2758" s="3">
        <v>44092</v>
      </c>
      <c r="K2758" s="5">
        <f>YEAR(OrganizedData[[#This Row],[Order Date]])</f>
        <v>2020</v>
      </c>
      <c r="L2758" s="7" t="str">
        <f>TEXT(OrganizedData[[#This Row],[Order Date]],"mmm")</f>
        <v>Sep</v>
      </c>
      <c r="M2758" s="2">
        <v>25</v>
      </c>
      <c r="N2758" s="2" t="s">
        <v>33</v>
      </c>
      <c r="O2758" s="2" t="str">
        <f>VLOOKUP(OrganizedData[[#This Row],[Product Code]],ProductData[[Code]:[Item]],2,FALSE)</f>
        <v>Megawidget L</v>
      </c>
      <c r="P2758" s="4">
        <f>OrganizedData[[#This Row],[Quantity]]*VLOOKUP(OrganizedData[[#This Row],[Product Code]],ProductData[],4,FALSE)</f>
        <v>600</v>
      </c>
      <c r="Q2758" s="6">
        <f>OrganizedData[[#This Row],[Total Items Ordered]]*VLOOKUP(OrganizedData[[#This Row],[Product Code]],ProductData[],3,FALSE)</f>
        <v>1074</v>
      </c>
      <c r="R27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1041.78</v>
      </c>
    </row>
    <row r="2759" spans="1:18" x14ac:dyDescent="0.3">
      <c r="A2759" s="2">
        <v>2752</v>
      </c>
      <c r="B2759" s="2" t="s">
        <v>2088</v>
      </c>
      <c r="C2759" s="2" t="s">
        <v>3071</v>
      </c>
      <c r="D2759" s="2" t="s">
        <v>51</v>
      </c>
      <c r="E2759" s="2" t="s">
        <v>16</v>
      </c>
      <c r="F2759" s="2">
        <v>60</v>
      </c>
      <c r="G2759" s="2" t="s">
        <v>7059</v>
      </c>
      <c r="H2759" s="2" t="s">
        <v>330</v>
      </c>
      <c r="I2759" s="2" t="s">
        <v>32</v>
      </c>
      <c r="J2759" s="3">
        <v>44785</v>
      </c>
      <c r="K2759" s="5">
        <f>YEAR(OrganizedData[[#This Row],[Order Date]])</f>
        <v>2022</v>
      </c>
      <c r="L2759" s="7" t="str">
        <f>TEXT(OrganizedData[[#This Row],[Order Date]],"mmm")</f>
        <v>Aug</v>
      </c>
      <c r="M2759" s="2">
        <v>27</v>
      </c>
      <c r="N2759" s="2" t="s">
        <v>70</v>
      </c>
      <c r="O2759" s="2" t="str">
        <f>VLOOKUP(OrganizedData[[#This Row],[Product Code]],ProductData[[Code]:[Item]],2,FALSE)</f>
        <v>Megawidget M</v>
      </c>
      <c r="P2759" s="4">
        <f>OrganizedData[[#This Row],[Quantity]]*VLOOKUP(OrganizedData[[#This Row],[Product Code]],ProductData[],4,FALSE)</f>
        <v>648</v>
      </c>
      <c r="Q2759" s="6">
        <f>OrganizedData[[#This Row],[Total Items Ordered]]*VLOOKUP(OrganizedData[[#This Row],[Product Code]],ProductData[],3,FALSE)</f>
        <v>835.92000000000007</v>
      </c>
      <c r="R27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810.8424</v>
      </c>
    </row>
    <row r="2760" spans="1:18" x14ac:dyDescent="0.3">
      <c r="A2760" s="2">
        <v>2753</v>
      </c>
      <c r="B2760" s="2" t="s">
        <v>5147</v>
      </c>
      <c r="C2760" s="2" t="s">
        <v>258</v>
      </c>
      <c r="D2760" s="2" t="s">
        <v>28</v>
      </c>
      <c r="E2760" s="2" t="s">
        <v>29</v>
      </c>
      <c r="F2760" s="2">
        <v>60</v>
      </c>
      <c r="G2760" s="2" t="s">
        <v>7060</v>
      </c>
      <c r="H2760" s="2" t="s">
        <v>1280</v>
      </c>
      <c r="I2760" s="2" t="s">
        <v>95</v>
      </c>
      <c r="J2760" s="3">
        <v>44911</v>
      </c>
      <c r="K2760" s="5">
        <f>YEAR(OrganizedData[[#This Row],[Order Date]])</f>
        <v>2022</v>
      </c>
      <c r="L2760" s="7" t="str">
        <f>TEXT(OrganizedData[[#This Row],[Order Date]],"mmm")</f>
        <v>Dec</v>
      </c>
      <c r="M2760" s="2">
        <v>77</v>
      </c>
      <c r="N2760" s="2" t="s">
        <v>70</v>
      </c>
      <c r="O2760" s="2" t="str">
        <f>VLOOKUP(OrganizedData[[#This Row],[Product Code]],ProductData[[Code]:[Item]],2,FALSE)</f>
        <v>Megawidget M</v>
      </c>
      <c r="P2760" s="4">
        <f>OrganizedData[[#This Row],[Quantity]]*VLOOKUP(OrganizedData[[#This Row],[Product Code]],ProductData[],4,FALSE)</f>
        <v>1848</v>
      </c>
      <c r="Q2760" s="6">
        <f>OrganizedData[[#This Row],[Total Items Ordered]]*VLOOKUP(OrganizedData[[#This Row],[Product Code]],ProductData[],3,FALSE)</f>
        <v>2383.92</v>
      </c>
      <c r="R27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2264.7240000000002</v>
      </c>
    </row>
    <row r="2761" spans="1:18" x14ac:dyDescent="0.3">
      <c r="A2761" s="2">
        <v>2754</v>
      </c>
      <c r="B2761" s="2" t="s">
        <v>7061</v>
      </c>
      <c r="C2761" s="2" t="s">
        <v>7000</v>
      </c>
      <c r="D2761" s="2" t="s">
        <v>28</v>
      </c>
      <c r="E2761" s="2" t="s">
        <v>29</v>
      </c>
      <c r="F2761" s="2">
        <v>90</v>
      </c>
      <c r="G2761" s="2" t="s">
        <v>7060</v>
      </c>
      <c r="H2761" s="2" t="s">
        <v>1173</v>
      </c>
      <c r="I2761" s="2" t="s">
        <v>32</v>
      </c>
      <c r="J2761" s="3">
        <v>44632</v>
      </c>
      <c r="K2761" s="5">
        <f>YEAR(OrganizedData[[#This Row],[Order Date]])</f>
        <v>2022</v>
      </c>
      <c r="L2761" s="7" t="str">
        <f>TEXT(OrganizedData[[#This Row],[Order Date]],"mmm")</f>
        <v>Mar</v>
      </c>
      <c r="M2761" s="2">
        <v>92</v>
      </c>
      <c r="N2761" s="2" t="s">
        <v>159</v>
      </c>
      <c r="O2761" s="2" t="str">
        <f>VLOOKUP(OrganizedData[[#This Row],[Product Code]],ProductData[[Code]:[Item]],2,FALSE)</f>
        <v>Ultrathing V3</v>
      </c>
      <c r="P2761" s="4">
        <f>OrganizedData[[#This Row],[Quantity]]*VLOOKUP(OrganizedData[[#This Row],[Product Code]],ProductData[],4,FALSE)</f>
        <v>2208</v>
      </c>
      <c r="Q2761" s="6">
        <f>OrganizedData[[#This Row],[Total Items Ordered]]*VLOOKUP(OrganizedData[[#This Row],[Product Code]],ProductData[],3,FALSE)</f>
        <v>7485.12</v>
      </c>
      <c r="R27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7110.8639999999996</v>
      </c>
    </row>
    <row r="2762" spans="1:18" x14ac:dyDescent="0.3">
      <c r="A2762" s="2">
        <v>2755</v>
      </c>
      <c r="B2762" s="2" t="s">
        <v>3438</v>
      </c>
      <c r="C2762" s="2" t="s">
        <v>7062</v>
      </c>
      <c r="D2762" s="2" t="s">
        <v>28</v>
      </c>
      <c r="E2762" s="2" t="s">
        <v>29</v>
      </c>
      <c r="F2762" s="2">
        <v>60</v>
      </c>
      <c r="G2762" s="2" t="s">
        <v>7063</v>
      </c>
      <c r="H2762" s="2" t="s">
        <v>1712</v>
      </c>
      <c r="I2762" s="2" t="s">
        <v>187</v>
      </c>
      <c r="J2762" s="3">
        <v>44701</v>
      </c>
      <c r="K2762" s="5">
        <f>YEAR(OrganizedData[[#This Row],[Order Date]])</f>
        <v>2022</v>
      </c>
      <c r="L2762" s="7" t="str">
        <f>TEXT(OrganizedData[[#This Row],[Order Date]],"mmm")</f>
        <v>May</v>
      </c>
      <c r="M2762" s="2">
        <v>50</v>
      </c>
      <c r="N2762" s="2" t="s">
        <v>64</v>
      </c>
      <c r="O2762" s="2" t="str">
        <f>VLOOKUP(OrganizedData[[#This Row],[Product Code]],ProductData[[Code]:[Item]],2,FALSE)</f>
        <v>Ultrathing V4</v>
      </c>
      <c r="P2762" s="4">
        <f>OrganizedData[[#This Row],[Quantity]]*VLOOKUP(OrganizedData[[#This Row],[Product Code]],ProductData[],4,FALSE)</f>
        <v>1200</v>
      </c>
      <c r="Q2762" s="6">
        <f>OrganizedData[[#This Row],[Total Items Ordered]]*VLOOKUP(OrganizedData[[#This Row],[Product Code]],ProductData[],3,FALSE)</f>
        <v>4788</v>
      </c>
      <c r="R27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4644.3599999999997</v>
      </c>
    </row>
    <row r="2763" spans="1:18" x14ac:dyDescent="0.3">
      <c r="A2763" s="2">
        <v>2756</v>
      </c>
      <c r="B2763" s="2" t="s">
        <v>7064</v>
      </c>
      <c r="C2763" s="2" t="s">
        <v>6226</v>
      </c>
      <c r="D2763" s="2" t="s">
        <v>51</v>
      </c>
      <c r="E2763" s="2" t="s">
        <v>16</v>
      </c>
      <c r="F2763" s="2">
        <v>60</v>
      </c>
      <c r="G2763" s="2" t="s">
        <v>7065</v>
      </c>
      <c r="H2763" s="2" t="s">
        <v>2418</v>
      </c>
      <c r="I2763" s="2" t="s">
        <v>32</v>
      </c>
      <c r="J2763" s="3">
        <v>44562</v>
      </c>
      <c r="K2763" s="5">
        <f>YEAR(OrganizedData[[#This Row],[Order Date]])</f>
        <v>2022</v>
      </c>
      <c r="L2763" s="7" t="str">
        <f>TEXT(OrganizedData[[#This Row],[Order Date]],"mmm")</f>
        <v>Jan</v>
      </c>
      <c r="M2763" s="2">
        <v>6</v>
      </c>
      <c r="N2763" s="2" t="s">
        <v>39</v>
      </c>
      <c r="O2763" s="2" t="str">
        <f>VLOOKUP(OrganizedData[[#This Row],[Product Code]],ProductData[[Code]:[Item]],2,FALSE)</f>
        <v>Ultrathing V1</v>
      </c>
      <c r="P2763" s="4">
        <f>OrganizedData[[#This Row],[Quantity]]*VLOOKUP(OrganizedData[[#This Row],[Product Code]],ProductData[],4,FALSE)</f>
        <v>102</v>
      </c>
      <c r="Q2763" s="6">
        <f>OrganizedData[[#This Row],[Total Items Ordered]]*VLOOKUP(OrganizedData[[#This Row],[Product Code]],ProductData[],3,FALSE)</f>
        <v>182.58</v>
      </c>
      <c r="R27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2764" spans="1:18" x14ac:dyDescent="0.3">
      <c r="A2764" s="2">
        <v>2757</v>
      </c>
      <c r="B2764" s="2" t="s">
        <v>7066</v>
      </c>
      <c r="C2764" s="2" t="s">
        <v>3137</v>
      </c>
      <c r="D2764" s="2" t="s">
        <v>41</v>
      </c>
      <c r="E2764" s="2" t="s">
        <v>16</v>
      </c>
      <c r="F2764" s="2">
        <v>30</v>
      </c>
      <c r="G2764" s="2" t="s">
        <v>7067</v>
      </c>
      <c r="H2764" s="2" t="s">
        <v>3288</v>
      </c>
      <c r="I2764" s="2" t="s">
        <v>32</v>
      </c>
      <c r="J2764" s="3">
        <v>44401</v>
      </c>
      <c r="K2764" s="5">
        <f>YEAR(OrganizedData[[#This Row],[Order Date]])</f>
        <v>2021</v>
      </c>
      <c r="L2764" s="7" t="str">
        <f>TEXT(OrganizedData[[#This Row],[Order Date]],"mmm")</f>
        <v>Jul</v>
      </c>
      <c r="M2764" s="2">
        <v>9</v>
      </c>
      <c r="N2764" s="2" t="s">
        <v>64</v>
      </c>
      <c r="O2764" s="2" t="str">
        <f>VLOOKUP(OrganizedData[[#This Row],[Product Code]],ProductData[[Code]:[Item]],2,FALSE)</f>
        <v>Ultrathing V4</v>
      </c>
      <c r="P2764" s="4">
        <f>OrganizedData[[#This Row],[Quantity]]*VLOOKUP(OrganizedData[[#This Row],[Product Code]],ProductData[],4,FALSE)</f>
        <v>216</v>
      </c>
      <c r="Q2764" s="6">
        <f>OrganizedData[[#This Row],[Total Items Ordered]]*VLOOKUP(OrganizedData[[#This Row],[Product Code]],ProductData[],3,FALSE)</f>
        <v>861.84</v>
      </c>
      <c r="R27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861.84</v>
      </c>
    </row>
    <row r="2765" spans="1:18" x14ac:dyDescent="0.3">
      <c r="A2765" s="2">
        <v>2758</v>
      </c>
      <c r="B2765" s="2" t="s">
        <v>2679</v>
      </c>
      <c r="C2765" s="2" t="s">
        <v>3439</v>
      </c>
      <c r="D2765" s="2" t="s">
        <v>28</v>
      </c>
      <c r="E2765" s="2" t="s">
        <v>29</v>
      </c>
      <c r="F2765" s="2">
        <v>60</v>
      </c>
      <c r="G2765" s="2" t="s">
        <v>7068</v>
      </c>
      <c r="H2765" s="2" t="s">
        <v>6770</v>
      </c>
      <c r="I2765" s="2" t="s">
        <v>124</v>
      </c>
      <c r="J2765" s="3">
        <v>43837</v>
      </c>
      <c r="K2765" s="5">
        <f>YEAR(OrganizedData[[#This Row],[Order Date]])</f>
        <v>2020</v>
      </c>
      <c r="L2765" s="7" t="str">
        <f>TEXT(OrganizedData[[#This Row],[Order Date]],"mmm")</f>
        <v>Jan</v>
      </c>
      <c r="M2765" s="2">
        <v>72</v>
      </c>
      <c r="N2765" s="2" t="s">
        <v>101</v>
      </c>
      <c r="O2765" s="2" t="str">
        <f>VLOOKUP(OrganizedData[[#This Row],[Product Code]],ProductData[[Code]:[Item]],2,FALSE)</f>
        <v>Superwossname</v>
      </c>
      <c r="P2765" s="4">
        <f>OrganizedData[[#This Row],[Quantity]]*VLOOKUP(OrganizedData[[#This Row],[Product Code]],ProductData[],4,FALSE)</f>
        <v>1440</v>
      </c>
      <c r="Q2765" s="6">
        <f>OrganizedData[[#This Row],[Total Items Ordered]]*VLOOKUP(OrganizedData[[#This Row],[Product Code]],ProductData[],3,FALSE)</f>
        <v>5025.6000000000004</v>
      </c>
      <c r="R27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2766" spans="1:18" x14ac:dyDescent="0.3">
      <c r="A2766" s="2">
        <v>2759</v>
      </c>
      <c r="B2766" s="2" t="s">
        <v>7069</v>
      </c>
      <c r="C2766" s="2" t="s">
        <v>7070</v>
      </c>
      <c r="D2766" s="2" t="s">
        <v>28</v>
      </c>
      <c r="E2766" s="2" t="s">
        <v>29</v>
      </c>
      <c r="F2766" s="2">
        <v>30</v>
      </c>
      <c r="G2766" s="2" t="s">
        <v>7071</v>
      </c>
      <c r="H2766" s="2" t="s">
        <v>1221</v>
      </c>
      <c r="I2766" s="2" t="s">
        <v>124</v>
      </c>
      <c r="J2766" s="3">
        <v>44776</v>
      </c>
      <c r="K2766" s="5">
        <f>YEAR(OrganizedData[[#This Row],[Order Date]])</f>
        <v>2022</v>
      </c>
      <c r="L2766" s="7" t="str">
        <f>TEXT(OrganizedData[[#This Row],[Order Date]],"mmm")</f>
        <v>Aug</v>
      </c>
      <c r="M2766" s="2">
        <v>25</v>
      </c>
      <c r="N2766" s="2" t="s">
        <v>39</v>
      </c>
      <c r="O2766" s="2" t="str">
        <f>VLOOKUP(OrganizedData[[#This Row],[Product Code]],ProductData[[Code]:[Item]],2,FALSE)</f>
        <v>Ultrathing V1</v>
      </c>
      <c r="P2766" s="4">
        <f>OrganizedData[[#This Row],[Quantity]]*VLOOKUP(OrganizedData[[#This Row],[Product Code]],ProductData[],4,FALSE)</f>
        <v>425</v>
      </c>
      <c r="Q2766" s="6">
        <f>OrganizedData[[#This Row],[Total Items Ordered]]*VLOOKUP(OrganizedData[[#This Row],[Product Code]],ProductData[],3,FALSE)</f>
        <v>760.75</v>
      </c>
      <c r="R27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737.92750000000001</v>
      </c>
    </row>
    <row r="2767" spans="1:18" x14ac:dyDescent="0.3">
      <c r="A2767" s="2">
        <v>2760</v>
      </c>
      <c r="B2767" s="2" t="s">
        <v>3310</v>
      </c>
      <c r="C2767" s="2" t="s">
        <v>2637</v>
      </c>
      <c r="D2767" s="2" t="s">
        <v>28</v>
      </c>
      <c r="E2767" s="2" t="s">
        <v>29</v>
      </c>
      <c r="F2767" s="2">
        <v>90</v>
      </c>
      <c r="G2767" s="2" t="s">
        <v>7072</v>
      </c>
      <c r="H2767" s="2" t="s">
        <v>1052</v>
      </c>
      <c r="I2767" s="2" t="s">
        <v>32</v>
      </c>
      <c r="J2767" s="3">
        <v>44845</v>
      </c>
      <c r="K2767" s="5">
        <f>YEAR(OrganizedData[[#This Row],[Order Date]])</f>
        <v>2022</v>
      </c>
      <c r="L2767" s="7" t="str">
        <f>TEXT(OrganizedData[[#This Row],[Order Date]],"mmm")</f>
        <v>Oct</v>
      </c>
      <c r="M2767" s="2">
        <v>87</v>
      </c>
      <c r="N2767" s="2" t="s">
        <v>80</v>
      </c>
      <c r="O2767" s="2" t="str">
        <f>VLOOKUP(OrganizedData[[#This Row],[Product Code]],ProductData[[Code]:[Item]],2,FALSE)</f>
        <v>Ultrathing V2</v>
      </c>
      <c r="P2767" s="4">
        <f>OrganizedData[[#This Row],[Quantity]]*VLOOKUP(OrganizedData[[#This Row],[Product Code]],ProductData[],4,FALSE)</f>
        <v>1740</v>
      </c>
      <c r="Q2767" s="6">
        <f>OrganizedData[[#This Row],[Total Items Ordered]]*VLOOKUP(OrganizedData[[#This Row],[Product Code]],ProductData[],3,FALSE)</f>
        <v>5133</v>
      </c>
      <c r="R27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2768" spans="1:18" x14ac:dyDescent="0.3">
      <c r="A2768" s="2">
        <v>2761</v>
      </c>
      <c r="B2768" s="2" t="s">
        <v>5497</v>
      </c>
      <c r="C2768" s="2" t="s">
        <v>7073</v>
      </c>
      <c r="D2768" s="2" t="s">
        <v>28</v>
      </c>
      <c r="E2768" s="2" t="s">
        <v>29</v>
      </c>
      <c r="F2768" s="2">
        <v>60</v>
      </c>
      <c r="G2768" s="2" t="s">
        <v>7074</v>
      </c>
      <c r="H2768" s="2" t="s">
        <v>599</v>
      </c>
      <c r="I2768" s="2" t="s">
        <v>32</v>
      </c>
      <c r="J2768" s="3">
        <v>44851</v>
      </c>
      <c r="K2768" s="5">
        <f>YEAR(OrganizedData[[#This Row],[Order Date]])</f>
        <v>2022</v>
      </c>
      <c r="L2768" s="7" t="str">
        <f>TEXT(OrganizedData[[#This Row],[Order Date]],"mmm")</f>
        <v>Oct</v>
      </c>
      <c r="M2768" s="2">
        <v>78</v>
      </c>
      <c r="N2768" s="2" t="s">
        <v>70</v>
      </c>
      <c r="O2768" s="2" t="str">
        <f>VLOOKUP(OrganizedData[[#This Row],[Product Code]],ProductData[[Code]:[Item]],2,FALSE)</f>
        <v>Megawidget M</v>
      </c>
      <c r="P2768" s="4">
        <f>OrganizedData[[#This Row],[Quantity]]*VLOOKUP(OrganizedData[[#This Row],[Product Code]],ProductData[],4,FALSE)</f>
        <v>1872</v>
      </c>
      <c r="Q2768" s="6">
        <f>OrganizedData[[#This Row],[Total Items Ordered]]*VLOOKUP(OrganizedData[[#This Row],[Product Code]],ProductData[],3,FALSE)</f>
        <v>2414.88</v>
      </c>
      <c r="R27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2294.136</v>
      </c>
    </row>
    <row r="2769" spans="1:18" x14ac:dyDescent="0.3">
      <c r="A2769" s="2">
        <v>2762</v>
      </c>
      <c r="B2769" s="2" t="s">
        <v>5916</v>
      </c>
      <c r="C2769" s="2" t="s">
        <v>3621</v>
      </c>
      <c r="D2769" s="2" t="s">
        <v>28</v>
      </c>
      <c r="E2769" s="2" t="s">
        <v>29</v>
      </c>
      <c r="F2769" s="2">
        <v>90</v>
      </c>
      <c r="G2769" s="2" t="s">
        <v>7075</v>
      </c>
      <c r="H2769" s="2" t="s">
        <v>3545</v>
      </c>
      <c r="I2769" s="2" t="s">
        <v>32</v>
      </c>
      <c r="J2769" s="3">
        <v>44296</v>
      </c>
      <c r="K2769" s="5">
        <f>YEAR(OrganizedData[[#This Row],[Order Date]])</f>
        <v>2021</v>
      </c>
      <c r="L2769" s="7" t="str">
        <f>TEXT(OrganizedData[[#This Row],[Order Date]],"mmm")</f>
        <v>Apr</v>
      </c>
      <c r="M2769" s="2">
        <v>9</v>
      </c>
      <c r="N2769" s="2" t="s">
        <v>39</v>
      </c>
      <c r="O2769" s="2" t="str">
        <f>VLOOKUP(OrganizedData[[#This Row],[Product Code]],ProductData[[Code]:[Item]],2,FALSE)</f>
        <v>Ultrathing V1</v>
      </c>
      <c r="P2769" s="4">
        <f>OrganizedData[[#This Row],[Quantity]]*VLOOKUP(OrganizedData[[#This Row],[Product Code]],ProductData[],4,FALSE)</f>
        <v>153</v>
      </c>
      <c r="Q2769" s="6">
        <f>OrganizedData[[#This Row],[Total Items Ordered]]*VLOOKUP(OrganizedData[[#This Row],[Product Code]],ProductData[],3,FALSE)</f>
        <v>273.87</v>
      </c>
      <c r="R27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2770" spans="1:18" x14ac:dyDescent="0.3">
      <c r="A2770" s="2">
        <v>2763</v>
      </c>
      <c r="B2770" s="2" t="s">
        <v>7076</v>
      </c>
      <c r="C2770" s="2" t="s">
        <v>365</v>
      </c>
      <c r="D2770" s="2" t="s">
        <v>28</v>
      </c>
      <c r="E2770" s="2" t="s">
        <v>29</v>
      </c>
      <c r="F2770" s="2">
        <v>30</v>
      </c>
      <c r="G2770" s="2" t="s">
        <v>7077</v>
      </c>
      <c r="H2770" s="2" t="s">
        <v>2035</v>
      </c>
      <c r="I2770" s="2" t="s">
        <v>32</v>
      </c>
      <c r="J2770" s="3">
        <v>44743</v>
      </c>
      <c r="K2770" s="5">
        <f>YEAR(OrganizedData[[#This Row],[Order Date]])</f>
        <v>2022</v>
      </c>
      <c r="L2770" s="7" t="str">
        <f>TEXT(OrganizedData[[#This Row],[Order Date]],"mmm")</f>
        <v>Jul</v>
      </c>
      <c r="M2770" s="2">
        <v>40</v>
      </c>
      <c r="N2770" s="2" t="s">
        <v>45</v>
      </c>
      <c r="O2770" s="2" t="str">
        <f>VLOOKUP(OrganizedData[[#This Row],[Product Code]],ProductData[[Code]:[Item]],2,FALSE)</f>
        <v>Gigastuff</v>
      </c>
      <c r="P2770" s="4">
        <f>OrganizedData[[#This Row],[Quantity]]*VLOOKUP(OrganizedData[[#This Row],[Product Code]],ProductData[],4,FALSE)</f>
        <v>720</v>
      </c>
      <c r="Q2770" s="6">
        <f>OrganizedData[[#This Row],[Total Items Ordered]]*VLOOKUP(OrganizedData[[#This Row],[Product Code]],ProductData[],3,FALSE)</f>
        <v>1360.8</v>
      </c>
      <c r="R27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1319.9759999999999</v>
      </c>
    </row>
    <row r="2771" spans="1:18" x14ac:dyDescent="0.3">
      <c r="A2771" s="2">
        <v>2764</v>
      </c>
      <c r="B2771" s="2" t="s">
        <v>305</v>
      </c>
      <c r="C2771" s="2" t="s">
        <v>7078</v>
      </c>
      <c r="D2771" s="2" t="s">
        <v>28</v>
      </c>
      <c r="E2771" s="2" t="s">
        <v>29</v>
      </c>
      <c r="F2771" s="2">
        <v>90</v>
      </c>
      <c r="G2771" s="2" t="s">
        <v>7079</v>
      </c>
      <c r="H2771" s="2" t="s">
        <v>2336</v>
      </c>
      <c r="I2771" s="2" t="s">
        <v>32</v>
      </c>
      <c r="J2771" s="3">
        <v>44403</v>
      </c>
      <c r="K2771" s="5">
        <f>YEAR(OrganizedData[[#This Row],[Order Date]])</f>
        <v>2021</v>
      </c>
      <c r="L2771" s="7" t="str">
        <f>TEXT(OrganizedData[[#This Row],[Order Date]],"mmm")</f>
        <v>Jul</v>
      </c>
      <c r="M2771" s="2">
        <v>74</v>
      </c>
      <c r="N2771" s="2" t="s">
        <v>33</v>
      </c>
      <c r="O2771" s="2" t="str">
        <f>VLOOKUP(OrganizedData[[#This Row],[Product Code]],ProductData[[Code]:[Item]],2,FALSE)</f>
        <v>Megawidget L</v>
      </c>
      <c r="P2771" s="4">
        <f>OrganizedData[[#This Row],[Quantity]]*VLOOKUP(OrganizedData[[#This Row],[Product Code]],ProductData[],4,FALSE)</f>
        <v>1776</v>
      </c>
      <c r="Q2771" s="6">
        <f>OrganizedData[[#This Row],[Total Items Ordered]]*VLOOKUP(OrganizedData[[#This Row],[Product Code]],ProductData[],3,FALSE)</f>
        <v>3179.04</v>
      </c>
      <c r="R27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2772" spans="1:18" x14ac:dyDescent="0.3">
      <c r="A2772" s="2">
        <v>2765</v>
      </c>
      <c r="B2772" s="2" t="s">
        <v>7080</v>
      </c>
      <c r="C2772" s="2" t="s">
        <v>2643</v>
      </c>
      <c r="D2772" s="2" t="s">
        <v>15</v>
      </c>
      <c r="E2772" s="2" t="s">
        <v>16</v>
      </c>
      <c r="F2772" s="2">
        <v>90</v>
      </c>
      <c r="G2772" s="2" t="s">
        <v>7081</v>
      </c>
      <c r="H2772" s="2" t="s">
        <v>447</v>
      </c>
      <c r="I2772" s="2" t="s">
        <v>32</v>
      </c>
      <c r="J2772" s="3">
        <v>44654</v>
      </c>
      <c r="K2772" s="5">
        <f>YEAR(OrganizedData[[#This Row],[Order Date]])</f>
        <v>2022</v>
      </c>
      <c r="L2772" s="7" t="str">
        <f>TEXT(OrganizedData[[#This Row],[Order Date]],"mmm")</f>
        <v>Apr</v>
      </c>
      <c r="M2772" s="2">
        <v>85</v>
      </c>
      <c r="N2772" s="2" t="s">
        <v>45</v>
      </c>
      <c r="O2772" s="2" t="str">
        <f>VLOOKUP(OrganizedData[[#This Row],[Product Code]],ProductData[[Code]:[Item]],2,FALSE)</f>
        <v>Gigastuff</v>
      </c>
      <c r="P2772" s="4">
        <f>OrganizedData[[#This Row],[Quantity]]*VLOOKUP(OrganizedData[[#This Row],[Product Code]],ProductData[],4,FALSE)</f>
        <v>1530</v>
      </c>
      <c r="Q2772" s="6">
        <f>OrganizedData[[#This Row],[Total Items Ordered]]*VLOOKUP(OrganizedData[[#This Row],[Product Code]],ProductData[],3,FALSE)</f>
        <v>2891.7</v>
      </c>
      <c r="R27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2773" spans="1:18" x14ac:dyDescent="0.3">
      <c r="A2773" s="2">
        <v>2766</v>
      </c>
      <c r="B2773" s="2" t="s">
        <v>6578</v>
      </c>
      <c r="C2773" s="2" t="s">
        <v>4695</v>
      </c>
      <c r="D2773" s="2" t="s">
        <v>28</v>
      </c>
      <c r="E2773" s="2" t="s">
        <v>29</v>
      </c>
      <c r="F2773" s="2">
        <v>60</v>
      </c>
      <c r="G2773" s="2" t="s">
        <v>7082</v>
      </c>
      <c r="H2773" s="2" t="s">
        <v>912</v>
      </c>
      <c r="I2773" s="2" t="s">
        <v>913</v>
      </c>
      <c r="J2773" s="3">
        <v>43951</v>
      </c>
      <c r="K2773" s="5">
        <f>YEAR(OrganizedData[[#This Row],[Order Date]])</f>
        <v>2020</v>
      </c>
      <c r="L2773" s="7" t="str">
        <f>TEXT(OrganizedData[[#This Row],[Order Date]],"mmm")</f>
        <v>Apr</v>
      </c>
      <c r="M2773" s="2">
        <v>55</v>
      </c>
      <c r="N2773" s="2" t="s">
        <v>64</v>
      </c>
      <c r="O2773" s="2" t="str">
        <f>VLOOKUP(OrganizedData[[#This Row],[Product Code]],ProductData[[Code]:[Item]],2,FALSE)</f>
        <v>Ultrathing V4</v>
      </c>
      <c r="P2773" s="4">
        <f>OrganizedData[[#This Row],[Quantity]]*VLOOKUP(OrganizedData[[#This Row],[Product Code]],ProductData[],4,FALSE)</f>
        <v>1320</v>
      </c>
      <c r="Q2773" s="6">
        <f>OrganizedData[[#This Row],[Total Items Ordered]]*VLOOKUP(OrganizedData[[#This Row],[Product Code]],ProductData[],3,FALSE)</f>
        <v>5266.8</v>
      </c>
      <c r="R27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2774" spans="1:18" x14ac:dyDescent="0.3">
      <c r="A2774" s="2">
        <v>2767</v>
      </c>
      <c r="B2774" s="2" t="s">
        <v>4724</v>
      </c>
      <c r="C2774" s="2" t="s">
        <v>1669</v>
      </c>
      <c r="D2774" s="2" t="s">
        <v>28</v>
      </c>
      <c r="E2774" s="2" t="s">
        <v>29</v>
      </c>
      <c r="F2774" s="2">
        <v>90</v>
      </c>
      <c r="G2774" s="2" t="s">
        <v>7082</v>
      </c>
      <c r="H2774" s="2" t="s">
        <v>7083</v>
      </c>
      <c r="I2774" s="2" t="s">
        <v>294</v>
      </c>
      <c r="J2774" s="3">
        <v>44256</v>
      </c>
      <c r="K2774" s="5">
        <f>YEAR(OrganizedData[[#This Row],[Order Date]])</f>
        <v>2021</v>
      </c>
      <c r="L2774" s="7" t="str">
        <f>TEXT(OrganizedData[[#This Row],[Order Date]],"mmm")</f>
        <v>Mar</v>
      </c>
      <c r="M2774" s="2">
        <v>31</v>
      </c>
      <c r="N2774" s="2" t="s">
        <v>20</v>
      </c>
      <c r="O2774" s="2" t="str">
        <f>VLOOKUP(OrganizedData[[#This Row],[Product Code]],ProductData[[Code]:[Item]],2,FALSE)</f>
        <v>Hyperwotsit</v>
      </c>
      <c r="P2774" s="4">
        <f>OrganizedData[[#This Row],[Quantity]]*VLOOKUP(OrganizedData[[#This Row],[Product Code]],ProductData[],4,FALSE)</f>
        <v>620</v>
      </c>
      <c r="Q2774" s="6">
        <f>OrganizedData[[#This Row],[Total Items Ordered]]*VLOOKUP(OrganizedData[[#This Row],[Product Code]],ProductData[],3,FALSE)</f>
        <v>1246.1999999999998</v>
      </c>
      <c r="R27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1208.8139999999999</v>
      </c>
    </row>
    <row r="2775" spans="1:18" x14ac:dyDescent="0.3">
      <c r="A2775" s="2">
        <v>2768</v>
      </c>
      <c r="B2775" s="2" t="s">
        <v>1644</v>
      </c>
      <c r="C2775" s="2" t="s">
        <v>3600</v>
      </c>
      <c r="D2775" s="2" t="s">
        <v>15</v>
      </c>
      <c r="E2775" s="2" t="s">
        <v>16</v>
      </c>
      <c r="F2775" s="2">
        <v>90</v>
      </c>
      <c r="G2775" s="2" t="s">
        <v>7084</v>
      </c>
      <c r="H2775" s="2" t="s">
        <v>2357</v>
      </c>
      <c r="I2775" s="2" t="s">
        <v>32</v>
      </c>
      <c r="J2775" s="3">
        <v>44790</v>
      </c>
      <c r="K2775" s="5">
        <f>YEAR(OrganizedData[[#This Row],[Order Date]])</f>
        <v>2022</v>
      </c>
      <c r="L2775" s="7" t="str">
        <f>TEXT(OrganizedData[[#This Row],[Order Date]],"mmm")</f>
        <v>Aug</v>
      </c>
      <c r="M2775" s="2">
        <v>21</v>
      </c>
      <c r="N2775" s="2" t="s">
        <v>80</v>
      </c>
      <c r="O2775" s="2" t="str">
        <f>VLOOKUP(OrganizedData[[#This Row],[Product Code]],ProductData[[Code]:[Item]],2,FALSE)</f>
        <v>Ultrathing V2</v>
      </c>
      <c r="P2775" s="4">
        <f>OrganizedData[[#This Row],[Quantity]]*VLOOKUP(OrganizedData[[#This Row],[Product Code]],ProductData[],4,FALSE)</f>
        <v>420</v>
      </c>
      <c r="Q2775" s="6">
        <f>OrganizedData[[#This Row],[Total Items Ordered]]*VLOOKUP(OrganizedData[[#This Row],[Product Code]],ProductData[],3,FALSE)</f>
        <v>1239</v>
      </c>
      <c r="R27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1201.83</v>
      </c>
    </row>
    <row r="2776" spans="1:18" x14ac:dyDescent="0.3">
      <c r="A2776" s="2">
        <v>2769</v>
      </c>
      <c r="B2776" s="2" t="s">
        <v>7085</v>
      </c>
      <c r="C2776" s="2" t="s">
        <v>7086</v>
      </c>
      <c r="D2776" s="2" t="s">
        <v>15</v>
      </c>
      <c r="E2776" s="2" t="s">
        <v>16</v>
      </c>
      <c r="F2776" s="2">
        <v>60</v>
      </c>
      <c r="G2776" s="2" t="s">
        <v>10533</v>
      </c>
      <c r="H2776" s="2" t="s">
        <v>4924</v>
      </c>
      <c r="I2776" s="2" t="s">
        <v>32</v>
      </c>
      <c r="J2776" s="3">
        <v>44275</v>
      </c>
      <c r="K2776" s="5">
        <f>YEAR(OrganizedData[[#This Row],[Order Date]])</f>
        <v>2021</v>
      </c>
      <c r="L2776" s="7" t="str">
        <f>TEXT(OrganizedData[[#This Row],[Order Date]],"mmm")</f>
        <v>Mar</v>
      </c>
      <c r="M2776" s="2">
        <v>95</v>
      </c>
      <c r="N2776" s="2" t="s">
        <v>80</v>
      </c>
      <c r="O2776" s="2" t="str">
        <f>VLOOKUP(OrganizedData[[#This Row],[Product Code]],ProductData[[Code]:[Item]],2,FALSE)</f>
        <v>Ultrathing V2</v>
      </c>
      <c r="P2776" s="4">
        <f>OrganizedData[[#This Row],[Quantity]]*VLOOKUP(OrganizedData[[#This Row],[Product Code]],ProductData[],4,FALSE)</f>
        <v>1900</v>
      </c>
      <c r="Q2776" s="6">
        <f>OrganizedData[[#This Row],[Total Items Ordered]]*VLOOKUP(OrganizedData[[#This Row],[Product Code]],ProductData[],3,FALSE)</f>
        <v>5605</v>
      </c>
      <c r="R27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5324.75</v>
      </c>
    </row>
    <row r="2777" spans="1:18" x14ac:dyDescent="0.3">
      <c r="A2777" s="2">
        <v>2770</v>
      </c>
      <c r="B2777" s="2" t="s">
        <v>4986</v>
      </c>
      <c r="C2777" s="2" t="s">
        <v>1296</v>
      </c>
      <c r="D2777" s="2" t="s">
        <v>51</v>
      </c>
      <c r="E2777" s="2" t="s">
        <v>16</v>
      </c>
      <c r="F2777" s="2">
        <v>30</v>
      </c>
      <c r="G2777" s="2" t="s">
        <v>7088</v>
      </c>
      <c r="H2777" s="2" t="s">
        <v>2526</v>
      </c>
      <c r="I2777" s="2" t="s">
        <v>95</v>
      </c>
      <c r="J2777" s="3">
        <v>44410</v>
      </c>
      <c r="K2777" s="5">
        <f>YEAR(OrganizedData[[#This Row],[Order Date]])</f>
        <v>2021</v>
      </c>
      <c r="L2777" s="7" t="str">
        <f>TEXT(OrganizedData[[#This Row],[Order Date]],"mmm")</f>
        <v>Aug</v>
      </c>
      <c r="M2777" s="2">
        <v>8</v>
      </c>
      <c r="N2777" s="2" t="s">
        <v>64</v>
      </c>
      <c r="O2777" s="2" t="str">
        <f>VLOOKUP(OrganizedData[[#This Row],[Product Code]],ProductData[[Code]:[Item]],2,FALSE)</f>
        <v>Ultrathing V4</v>
      </c>
      <c r="P2777" s="4">
        <f>OrganizedData[[#This Row],[Quantity]]*VLOOKUP(OrganizedData[[#This Row],[Product Code]],ProductData[],4,FALSE)</f>
        <v>192</v>
      </c>
      <c r="Q2777" s="6">
        <f>OrganizedData[[#This Row],[Total Items Ordered]]*VLOOKUP(OrganizedData[[#This Row],[Product Code]],ProductData[],3,FALSE)</f>
        <v>766.08</v>
      </c>
      <c r="R27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2778" spans="1:18" x14ac:dyDescent="0.3">
      <c r="A2778" s="2">
        <v>2771</v>
      </c>
      <c r="B2778" s="2" t="s">
        <v>7089</v>
      </c>
      <c r="C2778" s="2" t="s">
        <v>6439</v>
      </c>
      <c r="D2778" s="2" t="s">
        <v>92</v>
      </c>
      <c r="E2778" s="2" t="s">
        <v>16</v>
      </c>
      <c r="F2778" s="2">
        <v>60</v>
      </c>
      <c r="G2778" s="2" t="s">
        <v>7090</v>
      </c>
      <c r="H2778" s="2" t="s">
        <v>138</v>
      </c>
      <c r="I2778" s="2" t="s">
        <v>294</v>
      </c>
      <c r="J2778" s="3">
        <v>44405</v>
      </c>
      <c r="K2778" s="5">
        <f>YEAR(OrganizedData[[#This Row],[Order Date]])</f>
        <v>2021</v>
      </c>
      <c r="L2778" s="7" t="str">
        <f>TEXT(OrganizedData[[#This Row],[Order Date]],"mmm")</f>
        <v>Jul</v>
      </c>
      <c r="M2778" s="2">
        <v>16</v>
      </c>
      <c r="N2778" s="2" t="s">
        <v>70</v>
      </c>
      <c r="O2778" s="2" t="str">
        <f>VLOOKUP(OrganizedData[[#This Row],[Product Code]],ProductData[[Code]:[Item]],2,FALSE)</f>
        <v>Megawidget M</v>
      </c>
      <c r="P2778" s="4">
        <f>OrganizedData[[#This Row],[Quantity]]*VLOOKUP(OrganizedData[[#This Row],[Product Code]],ProductData[],4,FALSE)</f>
        <v>384</v>
      </c>
      <c r="Q2778" s="6">
        <f>OrganizedData[[#This Row],[Total Items Ordered]]*VLOOKUP(OrganizedData[[#This Row],[Product Code]],ProductData[],3,FALSE)</f>
        <v>495.36</v>
      </c>
      <c r="R27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495.36</v>
      </c>
    </row>
    <row r="2779" spans="1:18" x14ac:dyDescent="0.3">
      <c r="A2779" s="2">
        <v>2772</v>
      </c>
      <c r="B2779" s="2" t="s">
        <v>3696</v>
      </c>
      <c r="C2779" s="2" t="s">
        <v>4226</v>
      </c>
      <c r="D2779" s="2" t="s">
        <v>15</v>
      </c>
      <c r="E2779" s="2" t="s">
        <v>16</v>
      </c>
      <c r="F2779" s="2">
        <v>60</v>
      </c>
      <c r="G2779" s="2" t="s">
        <v>7091</v>
      </c>
      <c r="H2779" s="2" t="s">
        <v>7092</v>
      </c>
      <c r="I2779" s="2" t="s">
        <v>32</v>
      </c>
      <c r="J2779" s="3">
        <v>44183</v>
      </c>
      <c r="K2779" s="5">
        <f>YEAR(OrganizedData[[#This Row],[Order Date]])</f>
        <v>2020</v>
      </c>
      <c r="L2779" s="7" t="str">
        <f>TEXT(OrganizedData[[#This Row],[Order Date]],"mmm")</f>
        <v>Dec</v>
      </c>
      <c r="M2779" s="2">
        <v>71</v>
      </c>
      <c r="N2779" s="2" t="s">
        <v>39</v>
      </c>
      <c r="O2779" s="2" t="str">
        <f>VLOOKUP(OrganizedData[[#This Row],[Product Code]],ProductData[[Code]:[Item]],2,FALSE)</f>
        <v>Ultrathing V1</v>
      </c>
      <c r="P2779" s="4">
        <f>OrganizedData[[#This Row],[Quantity]]*VLOOKUP(OrganizedData[[#This Row],[Product Code]],ProductData[],4,FALSE)</f>
        <v>1207</v>
      </c>
      <c r="Q2779" s="6">
        <f>OrganizedData[[#This Row],[Total Items Ordered]]*VLOOKUP(OrganizedData[[#This Row],[Product Code]],ProductData[],3,FALSE)</f>
        <v>2160.5300000000002</v>
      </c>
      <c r="R27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2052.5035000000003</v>
      </c>
    </row>
    <row r="2780" spans="1:18" x14ac:dyDescent="0.3">
      <c r="A2780" s="2">
        <v>2773</v>
      </c>
      <c r="B2780" s="2" t="s">
        <v>34</v>
      </c>
      <c r="C2780" s="2" t="s">
        <v>2474</v>
      </c>
      <c r="D2780" s="2" t="s">
        <v>28</v>
      </c>
      <c r="E2780" s="2" t="s">
        <v>29</v>
      </c>
      <c r="F2780" s="2">
        <v>30</v>
      </c>
      <c r="G2780" s="2" t="s">
        <v>7093</v>
      </c>
      <c r="H2780" s="2" t="s">
        <v>145</v>
      </c>
      <c r="I2780" s="2" t="s">
        <v>146</v>
      </c>
      <c r="J2780" s="3">
        <v>43867</v>
      </c>
      <c r="K2780" s="5">
        <f>YEAR(OrganizedData[[#This Row],[Order Date]])</f>
        <v>2020</v>
      </c>
      <c r="L2780" s="7" t="str">
        <f>TEXT(OrganizedData[[#This Row],[Order Date]],"mmm")</f>
        <v>Feb</v>
      </c>
      <c r="M2780" s="2">
        <v>17</v>
      </c>
      <c r="N2780" s="2" t="s">
        <v>64</v>
      </c>
      <c r="O2780" s="2" t="str">
        <f>VLOOKUP(OrganizedData[[#This Row],[Product Code]],ProductData[[Code]:[Item]],2,FALSE)</f>
        <v>Ultrathing V4</v>
      </c>
      <c r="P2780" s="4">
        <f>OrganizedData[[#This Row],[Quantity]]*VLOOKUP(OrganizedData[[#This Row],[Product Code]],ProductData[],4,FALSE)</f>
        <v>408</v>
      </c>
      <c r="Q2780" s="6">
        <f>OrganizedData[[#This Row],[Total Items Ordered]]*VLOOKUP(OrganizedData[[#This Row],[Product Code]],ProductData[],3,FALSE)</f>
        <v>1627.92</v>
      </c>
      <c r="R27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1627.92</v>
      </c>
    </row>
    <row r="2781" spans="1:18" x14ac:dyDescent="0.3">
      <c r="A2781" s="2">
        <v>2774</v>
      </c>
      <c r="B2781" s="2" t="s">
        <v>3388</v>
      </c>
      <c r="C2781" s="2" t="s">
        <v>1746</v>
      </c>
      <c r="D2781" s="2" t="s">
        <v>15</v>
      </c>
      <c r="E2781" s="2" t="s">
        <v>16</v>
      </c>
      <c r="F2781" s="2">
        <v>60</v>
      </c>
      <c r="G2781" s="2" t="s">
        <v>7094</v>
      </c>
      <c r="H2781" s="2" t="s">
        <v>793</v>
      </c>
      <c r="I2781" s="2" t="s">
        <v>178</v>
      </c>
      <c r="J2781" s="3">
        <v>44705</v>
      </c>
      <c r="K2781" s="5">
        <f>YEAR(OrganizedData[[#This Row],[Order Date]])</f>
        <v>2022</v>
      </c>
      <c r="L2781" s="7" t="str">
        <f>TEXT(OrganizedData[[#This Row],[Order Date]],"mmm")</f>
        <v>May</v>
      </c>
      <c r="M2781" s="2">
        <v>46</v>
      </c>
      <c r="N2781" s="2" t="s">
        <v>54</v>
      </c>
      <c r="O2781" s="2" t="str">
        <f>VLOOKUP(OrganizedData[[#This Row],[Product Code]],ProductData[[Code]:[Item]],2,FALSE)</f>
        <v>Megawidget S</v>
      </c>
      <c r="P2781" s="4">
        <f>OrganizedData[[#This Row],[Quantity]]*VLOOKUP(OrganizedData[[#This Row],[Product Code]],ProductData[],4,FALSE)</f>
        <v>1104</v>
      </c>
      <c r="Q2781" s="6">
        <f>OrganizedData[[#This Row],[Total Items Ordered]]*VLOOKUP(OrganizedData[[#This Row],[Product Code]],ProductData[],3,FALSE)</f>
        <v>761.76</v>
      </c>
      <c r="R27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2782" spans="1:18" x14ac:dyDescent="0.3">
      <c r="A2782" s="2">
        <v>2775</v>
      </c>
      <c r="B2782" s="2" t="s">
        <v>7095</v>
      </c>
      <c r="C2782" s="2" t="s">
        <v>418</v>
      </c>
      <c r="D2782" s="2" t="s">
        <v>28</v>
      </c>
      <c r="E2782" s="2" t="s">
        <v>29</v>
      </c>
      <c r="F2782" s="2">
        <v>60</v>
      </c>
      <c r="G2782" s="2" t="s">
        <v>7096</v>
      </c>
      <c r="H2782" s="2" t="s">
        <v>3271</v>
      </c>
      <c r="I2782" s="2" t="s">
        <v>173</v>
      </c>
      <c r="J2782" s="3">
        <v>44906</v>
      </c>
      <c r="K2782" s="5">
        <f>YEAR(OrganizedData[[#This Row],[Order Date]])</f>
        <v>2022</v>
      </c>
      <c r="L2782" s="7" t="str">
        <f>TEXT(OrganizedData[[#This Row],[Order Date]],"mmm")</f>
        <v>Dec</v>
      </c>
      <c r="M2782" s="2">
        <v>84</v>
      </c>
      <c r="N2782" s="2" t="s">
        <v>45</v>
      </c>
      <c r="O2782" s="2" t="str">
        <f>VLOOKUP(OrganizedData[[#This Row],[Product Code]],ProductData[[Code]:[Item]],2,FALSE)</f>
        <v>Gigastuff</v>
      </c>
      <c r="P2782" s="4">
        <f>OrganizedData[[#This Row],[Quantity]]*VLOOKUP(OrganizedData[[#This Row],[Product Code]],ProductData[],4,FALSE)</f>
        <v>1512</v>
      </c>
      <c r="Q2782" s="6">
        <f>OrganizedData[[#This Row],[Total Items Ordered]]*VLOOKUP(OrganizedData[[#This Row],[Product Code]],ProductData[],3,FALSE)</f>
        <v>2857.68</v>
      </c>
      <c r="R27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2783" spans="1:18" x14ac:dyDescent="0.3">
      <c r="A2783" s="2">
        <v>2776</v>
      </c>
      <c r="B2783" s="2" t="s">
        <v>929</v>
      </c>
      <c r="C2783" s="2" t="s">
        <v>2355</v>
      </c>
      <c r="D2783" s="2" t="s">
        <v>28</v>
      </c>
      <c r="E2783" s="2" t="s">
        <v>29</v>
      </c>
      <c r="F2783" s="2">
        <v>60</v>
      </c>
      <c r="G2783" s="2" t="s">
        <v>7097</v>
      </c>
      <c r="H2783" s="2" t="s">
        <v>1194</v>
      </c>
      <c r="I2783" s="2" t="s">
        <v>38</v>
      </c>
      <c r="J2783" s="3">
        <v>44357</v>
      </c>
      <c r="K2783" s="5">
        <f>YEAR(OrganizedData[[#This Row],[Order Date]])</f>
        <v>2021</v>
      </c>
      <c r="L2783" s="7" t="str">
        <f>TEXT(OrganizedData[[#This Row],[Order Date]],"mmm")</f>
        <v>Jun</v>
      </c>
      <c r="M2783" s="2">
        <v>53</v>
      </c>
      <c r="N2783" s="2" t="s">
        <v>45</v>
      </c>
      <c r="O2783" s="2" t="str">
        <f>VLOOKUP(OrganizedData[[#This Row],[Product Code]],ProductData[[Code]:[Item]],2,FALSE)</f>
        <v>Gigastuff</v>
      </c>
      <c r="P2783" s="4">
        <f>OrganizedData[[#This Row],[Quantity]]*VLOOKUP(OrganizedData[[#This Row],[Product Code]],ProductData[],4,FALSE)</f>
        <v>954</v>
      </c>
      <c r="Q2783" s="6">
        <f>OrganizedData[[#This Row],[Total Items Ordered]]*VLOOKUP(OrganizedData[[#This Row],[Product Code]],ProductData[],3,FALSE)</f>
        <v>1803.06</v>
      </c>
      <c r="R27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1712.9069999999999</v>
      </c>
    </row>
    <row r="2784" spans="1:18" x14ac:dyDescent="0.3">
      <c r="A2784" s="2">
        <v>2777</v>
      </c>
      <c r="B2784" s="2" t="s">
        <v>7098</v>
      </c>
      <c r="C2784" s="2" t="s">
        <v>7099</v>
      </c>
      <c r="D2784" s="2" t="s">
        <v>15</v>
      </c>
      <c r="E2784" s="2" t="s">
        <v>16</v>
      </c>
      <c r="F2784" s="2">
        <v>90</v>
      </c>
      <c r="G2784" s="2" t="s">
        <v>7100</v>
      </c>
      <c r="H2784" s="2" t="s">
        <v>145</v>
      </c>
      <c r="I2784" s="2" t="s">
        <v>146</v>
      </c>
      <c r="J2784" s="3">
        <v>44268</v>
      </c>
      <c r="K2784" s="5">
        <f>YEAR(OrganizedData[[#This Row],[Order Date]])</f>
        <v>2021</v>
      </c>
      <c r="L2784" s="7" t="str">
        <f>TEXT(OrganizedData[[#This Row],[Order Date]],"mmm")</f>
        <v>Mar</v>
      </c>
      <c r="M2784" s="2">
        <v>83</v>
      </c>
      <c r="N2784" s="2" t="s">
        <v>64</v>
      </c>
      <c r="O2784" s="2" t="str">
        <f>VLOOKUP(OrganizedData[[#This Row],[Product Code]],ProductData[[Code]:[Item]],2,FALSE)</f>
        <v>Ultrathing V4</v>
      </c>
      <c r="P2784" s="4">
        <f>OrganizedData[[#This Row],[Quantity]]*VLOOKUP(OrganizedData[[#This Row],[Product Code]],ProductData[],4,FALSE)</f>
        <v>1992</v>
      </c>
      <c r="Q2784" s="6">
        <f>OrganizedData[[#This Row],[Total Items Ordered]]*VLOOKUP(OrganizedData[[#This Row],[Product Code]],ProductData[],3,FALSE)</f>
        <v>7948.0800000000008</v>
      </c>
      <c r="R27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2785" spans="1:18" x14ac:dyDescent="0.3">
      <c r="A2785" s="2">
        <v>2778</v>
      </c>
      <c r="B2785" s="2" t="s">
        <v>7101</v>
      </c>
      <c r="C2785" s="2" t="s">
        <v>6436</v>
      </c>
      <c r="D2785" s="2" t="s">
        <v>51</v>
      </c>
      <c r="E2785" s="2" t="s">
        <v>16</v>
      </c>
      <c r="F2785" s="2">
        <v>60</v>
      </c>
      <c r="G2785" s="2" t="s">
        <v>7102</v>
      </c>
      <c r="H2785" s="2" t="s">
        <v>2896</v>
      </c>
      <c r="I2785" s="2" t="s">
        <v>110</v>
      </c>
      <c r="J2785" s="3">
        <v>43833</v>
      </c>
      <c r="K2785" s="5">
        <f>YEAR(OrganizedData[[#This Row],[Order Date]])</f>
        <v>2020</v>
      </c>
      <c r="L2785" s="7" t="str">
        <f>TEXT(OrganizedData[[#This Row],[Order Date]],"mmm")</f>
        <v>Jan</v>
      </c>
      <c r="M2785" s="2">
        <v>51</v>
      </c>
      <c r="N2785" s="2" t="s">
        <v>70</v>
      </c>
      <c r="O2785" s="2" t="str">
        <f>VLOOKUP(OrganizedData[[#This Row],[Product Code]],ProductData[[Code]:[Item]],2,FALSE)</f>
        <v>Megawidget M</v>
      </c>
      <c r="P2785" s="4">
        <f>OrganizedData[[#This Row],[Quantity]]*VLOOKUP(OrganizedData[[#This Row],[Product Code]],ProductData[],4,FALSE)</f>
        <v>1224</v>
      </c>
      <c r="Q2785" s="6">
        <f>OrganizedData[[#This Row],[Total Items Ordered]]*VLOOKUP(OrganizedData[[#This Row],[Product Code]],ProductData[],3,FALSE)</f>
        <v>1578.96</v>
      </c>
      <c r="R27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1500.0119999999999</v>
      </c>
    </row>
    <row r="2786" spans="1:18" x14ac:dyDescent="0.3">
      <c r="A2786" s="2">
        <v>2779</v>
      </c>
      <c r="B2786" s="2" t="s">
        <v>6072</v>
      </c>
      <c r="C2786" s="2" t="s">
        <v>2488</v>
      </c>
      <c r="D2786" s="2" t="s">
        <v>28</v>
      </c>
      <c r="E2786" s="2" t="s">
        <v>29</v>
      </c>
      <c r="F2786" s="2">
        <v>30</v>
      </c>
      <c r="G2786" s="2" t="s">
        <v>7103</v>
      </c>
      <c r="H2786" s="2" t="s">
        <v>1206</v>
      </c>
      <c r="I2786" s="2" t="s">
        <v>294</v>
      </c>
      <c r="J2786" s="3">
        <v>44158</v>
      </c>
      <c r="K2786" s="5">
        <f>YEAR(OrganizedData[[#This Row],[Order Date]])</f>
        <v>2020</v>
      </c>
      <c r="L2786" s="7" t="str">
        <f>TEXT(OrganizedData[[#This Row],[Order Date]],"mmm")</f>
        <v>Nov</v>
      </c>
      <c r="M2786" s="2">
        <v>34</v>
      </c>
      <c r="N2786" s="2" t="s">
        <v>39</v>
      </c>
      <c r="O2786" s="2" t="str">
        <f>VLOOKUP(OrganizedData[[#This Row],[Product Code]],ProductData[[Code]:[Item]],2,FALSE)</f>
        <v>Ultrathing V1</v>
      </c>
      <c r="P2786" s="4">
        <f>OrganizedData[[#This Row],[Quantity]]*VLOOKUP(OrganizedData[[#This Row],[Product Code]],ProductData[],4,FALSE)</f>
        <v>578</v>
      </c>
      <c r="Q2786" s="6">
        <f>OrganizedData[[#This Row],[Total Items Ordered]]*VLOOKUP(OrganizedData[[#This Row],[Product Code]],ProductData[],3,FALSE)</f>
        <v>1034.6200000000001</v>
      </c>
      <c r="R27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1003.5814</v>
      </c>
    </row>
    <row r="2787" spans="1:18" x14ac:dyDescent="0.3">
      <c r="A2787" s="2">
        <v>2780</v>
      </c>
      <c r="B2787" s="2" t="s">
        <v>7104</v>
      </c>
      <c r="C2787" s="2" t="s">
        <v>4558</v>
      </c>
      <c r="D2787" s="2" t="s">
        <v>28</v>
      </c>
      <c r="E2787" s="2" t="s">
        <v>29</v>
      </c>
      <c r="F2787" s="2">
        <v>60</v>
      </c>
      <c r="G2787" s="2" t="s">
        <v>7105</v>
      </c>
      <c r="H2787" s="2" t="s">
        <v>4924</v>
      </c>
      <c r="I2787" s="2" t="s">
        <v>32</v>
      </c>
      <c r="J2787" s="3">
        <v>44386</v>
      </c>
      <c r="K2787" s="5">
        <f>YEAR(OrganizedData[[#This Row],[Order Date]])</f>
        <v>2021</v>
      </c>
      <c r="L2787" s="7" t="str">
        <f>TEXT(OrganizedData[[#This Row],[Order Date]],"mmm")</f>
        <v>Jul</v>
      </c>
      <c r="M2787" s="2">
        <v>3</v>
      </c>
      <c r="N2787" s="2" t="s">
        <v>159</v>
      </c>
      <c r="O2787" s="2" t="str">
        <f>VLOOKUP(OrganizedData[[#This Row],[Product Code]],ProductData[[Code]:[Item]],2,FALSE)</f>
        <v>Ultrathing V3</v>
      </c>
      <c r="P2787" s="4">
        <f>OrganizedData[[#This Row],[Quantity]]*VLOOKUP(OrganizedData[[#This Row],[Product Code]],ProductData[],4,FALSE)</f>
        <v>72</v>
      </c>
      <c r="Q2787" s="6">
        <f>OrganizedData[[#This Row],[Total Items Ordered]]*VLOOKUP(OrganizedData[[#This Row],[Product Code]],ProductData[],3,FALSE)</f>
        <v>244.08</v>
      </c>
      <c r="R27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2788" spans="1:18" x14ac:dyDescent="0.3">
      <c r="A2788" s="2">
        <v>2781</v>
      </c>
      <c r="B2788" s="2" t="s">
        <v>7106</v>
      </c>
      <c r="C2788" s="2" t="s">
        <v>391</v>
      </c>
      <c r="D2788" s="2" t="s">
        <v>15</v>
      </c>
      <c r="E2788" s="2" t="s">
        <v>16</v>
      </c>
      <c r="F2788" s="2">
        <v>30</v>
      </c>
      <c r="G2788" s="2" t="s">
        <v>7107</v>
      </c>
      <c r="H2788" s="2" t="s">
        <v>917</v>
      </c>
      <c r="I2788" s="2" t="s">
        <v>32</v>
      </c>
      <c r="J2788" s="3">
        <v>43841</v>
      </c>
      <c r="K2788" s="5">
        <f>YEAR(OrganizedData[[#This Row],[Order Date]])</f>
        <v>2020</v>
      </c>
      <c r="L2788" s="7" t="str">
        <f>TEXT(OrganizedData[[#This Row],[Order Date]],"mmm")</f>
        <v>Jan</v>
      </c>
      <c r="M2788" s="2">
        <v>28</v>
      </c>
      <c r="N2788" s="2" t="s">
        <v>33</v>
      </c>
      <c r="O2788" s="2" t="str">
        <f>VLOOKUP(OrganizedData[[#This Row],[Product Code]],ProductData[[Code]:[Item]],2,FALSE)</f>
        <v>Megawidget L</v>
      </c>
      <c r="P2788" s="4">
        <f>OrganizedData[[#This Row],[Quantity]]*VLOOKUP(OrganizedData[[#This Row],[Product Code]],ProductData[],4,FALSE)</f>
        <v>672</v>
      </c>
      <c r="Q2788" s="6">
        <f>OrganizedData[[#This Row],[Total Items Ordered]]*VLOOKUP(OrganizedData[[#This Row],[Product Code]],ProductData[],3,FALSE)</f>
        <v>1202.8800000000001</v>
      </c>
      <c r="R27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1166.7936</v>
      </c>
    </row>
    <row r="2789" spans="1:18" x14ac:dyDescent="0.3">
      <c r="A2789" s="2">
        <v>2782</v>
      </c>
      <c r="B2789" s="2" t="s">
        <v>7108</v>
      </c>
      <c r="C2789" s="2" t="s">
        <v>1543</v>
      </c>
      <c r="D2789" s="2" t="s">
        <v>92</v>
      </c>
      <c r="E2789" s="2" t="s">
        <v>29</v>
      </c>
      <c r="F2789" s="2">
        <v>90</v>
      </c>
      <c r="G2789" s="2" t="s">
        <v>7109</v>
      </c>
      <c r="H2789" s="2" t="s">
        <v>3064</v>
      </c>
      <c r="I2789" s="2" t="s">
        <v>32</v>
      </c>
      <c r="J2789" s="3">
        <v>44443</v>
      </c>
      <c r="K2789" s="5">
        <f>YEAR(OrganizedData[[#This Row],[Order Date]])</f>
        <v>2021</v>
      </c>
      <c r="L2789" s="7" t="str">
        <f>TEXT(OrganizedData[[#This Row],[Order Date]],"mmm")</f>
        <v>Sep</v>
      </c>
      <c r="M2789" s="2">
        <v>57</v>
      </c>
      <c r="N2789" s="2" t="s">
        <v>54</v>
      </c>
      <c r="O2789" s="2" t="str">
        <f>VLOOKUP(OrganizedData[[#This Row],[Product Code]],ProductData[[Code]:[Item]],2,FALSE)</f>
        <v>Megawidget S</v>
      </c>
      <c r="P2789" s="4">
        <f>OrganizedData[[#This Row],[Quantity]]*VLOOKUP(OrganizedData[[#This Row],[Product Code]],ProductData[],4,FALSE)</f>
        <v>1368</v>
      </c>
      <c r="Q2789" s="6">
        <f>OrganizedData[[#This Row],[Total Items Ordered]]*VLOOKUP(OrganizedData[[#This Row],[Product Code]],ProductData[],3,FALSE)</f>
        <v>943.92</v>
      </c>
      <c r="R27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896.72399999999993</v>
      </c>
    </row>
    <row r="2790" spans="1:18" x14ac:dyDescent="0.3">
      <c r="A2790" s="2">
        <v>2783</v>
      </c>
      <c r="B2790" s="2" t="s">
        <v>4286</v>
      </c>
      <c r="C2790" s="2" t="s">
        <v>5862</v>
      </c>
      <c r="D2790" s="2" t="s">
        <v>28</v>
      </c>
      <c r="E2790" s="2" t="s">
        <v>29</v>
      </c>
      <c r="F2790" s="2">
        <v>30</v>
      </c>
      <c r="G2790" s="2" t="s">
        <v>7110</v>
      </c>
      <c r="H2790" s="2" t="s">
        <v>7049</v>
      </c>
      <c r="I2790" s="2" t="s">
        <v>32</v>
      </c>
      <c r="J2790" s="3">
        <v>44774</v>
      </c>
      <c r="K2790" s="5">
        <f>YEAR(OrganizedData[[#This Row],[Order Date]])</f>
        <v>2022</v>
      </c>
      <c r="L2790" s="7" t="str">
        <f>TEXT(OrganizedData[[#This Row],[Order Date]],"mmm")</f>
        <v>Aug</v>
      </c>
      <c r="M2790" s="2">
        <v>98</v>
      </c>
      <c r="N2790" s="2" t="s">
        <v>101</v>
      </c>
      <c r="O2790" s="2" t="str">
        <f>VLOOKUP(OrganizedData[[#This Row],[Product Code]],ProductData[[Code]:[Item]],2,FALSE)</f>
        <v>Superwossname</v>
      </c>
      <c r="P2790" s="4">
        <f>OrganizedData[[#This Row],[Quantity]]*VLOOKUP(OrganizedData[[#This Row],[Product Code]],ProductData[],4,FALSE)</f>
        <v>1960</v>
      </c>
      <c r="Q2790" s="6">
        <f>OrganizedData[[#This Row],[Total Items Ordered]]*VLOOKUP(OrganizedData[[#This Row],[Product Code]],ProductData[],3,FALSE)</f>
        <v>6840.4000000000005</v>
      </c>
      <c r="R27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6498.38</v>
      </c>
    </row>
    <row r="2791" spans="1:18" x14ac:dyDescent="0.3">
      <c r="A2791" s="2">
        <v>2784</v>
      </c>
      <c r="B2791" s="2" t="s">
        <v>1316</v>
      </c>
      <c r="C2791" s="2" t="s">
        <v>7111</v>
      </c>
      <c r="D2791" s="2" t="s">
        <v>28</v>
      </c>
      <c r="E2791" s="2" t="s">
        <v>29</v>
      </c>
      <c r="F2791" s="2">
        <v>90</v>
      </c>
      <c r="G2791" s="2" t="s">
        <v>7112</v>
      </c>
      <c r="H2791" s="2" t="s">
        <v>3446</v>
      </c>
      <c r="I2791" s="2" t="s">
        <v>32</v>
      </c>
      <c r="J2791" s="3">
        <v>44290</v>
      </c>
      <c r="K2791" s="5">
        <f>YEAR(OrganizedData[[#This Row],[Order Date]])</f>
        <v>2021</v>
      </c>
      <c r="L2791" s="7" t="str">
        <f>TEXT(OrganizedData[[#This Row],[Order Date]],"mmm")</f>
        <v>Apr</v>
      </c>
      <c r="M2791" s="2">
        <v>59</v>
      </c>
      <c r="N2791" s="2" t="s">
        <v>80</v>
      </c>
      <c r="O2791" s="2" t="str">
        <f>VLOOKUP(OrganizedData[[#This Row],[Product Code]],ProductData[[Code]:[Item]],2,FALSE)</f>
        <v>Ultrathing V2</v>
      </c>
      <c r="P2791" s="4">
        <f>OrganizedData[[#This Row],[Quantity]]*VLOOKUP(OrganizedData[[#This Row],[Product Code]],ProductData[],4,FALSE)</f>
        <v>1180</v>
      </c>
      <c r="Q2791" s="6">
        <f>OrganizedData[[#This Row],[Total Items Ordered]]*VLOOKUP(OrganizedData[[#This Row],[Product Code]],ProductData[],3,FALSE)</f>
        <v>3481</v>
      </c>
      <c r="R27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3306.95</v>
      </c>
    </row>
    <row r="2792" spans="1:18" x14ac:dyDescent="0.3">
      <c r="A2792" s="2">
        <v>2785</v>
      </c>
      <c r="B2792" s="2" t="s">
        <v>692</v>
      </c>
      <c r="C2792" s="2" t="s">
        <v>6661</v>
      </c>
      <c r="D2792" s="2" t="s">
        <v>28</v>
      </c>
      <c r="E2792" s="2" t="s">
        <v>29</v>
      </c>
      <c r="F2792" s="2">
        <v>90</v>
      </c>
      <c r="G2792" s="2" t="s">
        <v>7113</v>
      </c>
      <c r="H2792" s="2" t="s">
        <v>2172</v>
      </c>
      <c r="I2792" s="2" t="s">
        <v>32</v>
      </c>
      <c r="J2792" s="3">
        <v>44673</v>
      </c>
      <c r="K2792" s="5">
        <f>YEAR(OrganizedData[[#This Row],[Order Date]])</f>
        <v>2022</v>
      </c>
      <c r="L2792" s="7" t="str">
        <f>TEXT(OrganizedData[[#This Row],[Order Date]],"mmm")</f>
        <v>Apr</v>
      </c>
      <c r="M2792" s="2">
        <v>31</v>
      </c>
      <c r="N2792" s="2" t="s">
        <v>45</v>
      </c>
      <c r="O2792" s="2" t="str">
        <f>VLOOKUP(OrganizedData[[#This Row],[Product Code]],ProductData[[Code]:[Item]],2,FALSE)</f>
        <v>Gigastuff</v>
      </c>
      <c r="P2792" s="4">
        <f>OrganizedData[[#This Row],[Quantity]]*VLOOKUP(OrganizedData[[#This Row],[Product Code]],ProductData[],4,FALSE)</f>
        <v>558</v>
      </c>
      <c r="Q2792" s="6">
        <f>OrganizedData[[#This Row],[Total Items Ordered]]*VLOOKUP(OrganizedData[[#This Row],[Product Code]],ProductData[],3,FALSE)</f>
        <v>1054.6199999999999</v>
      </c>
      <c r="R27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1022.9813999999999</v>
      </c>
    </row>
    <row r="2793" spans="1:18" x14ac:dyDescent="0.3">
      <c r="A2793" s="2">
        <v>2786</v>
      </c>
      <c r="B2793" s="2" t="s">
        <v>7114</v>
      </c>
      <c r="C2793" s="2" t="s">
        <v>520</v>
      </c>
      <c r="D2793" s="2" t="s">
        <v>28</v>
      </c>
      <c r="E2793" s="2" t="s">
        <v>29</v>
      </c>
      <c r="F2793" s="2">
        <v>60</v>
      </c>
      <c r="G2793" s="2" t="s">
        <v>7115</v>
      </c>
      <c r="H2793" s="2" t="s">
        <v>2717</v>
      </c>
      <c r="I2793" s="2" t="s">
        <v>1889</v>
      </c>
      <c r="J2793" s="3">
        <v>44327</v>
      </c>
      <c r="K2793" s="5">
        <f>YEAR(OrganizedData[[#This Row],[Order Date]])</f>
        <v>2021</v>
      </c>
      <c r="L2793" s="7" t="str">
        <f>TEXT(OrganizedData[[#This Row],[Order Date]],"mmm")</f>
        <v>May</v>
      </c>
      <c r="M2793" s="2">
        <v>33</v>
      </c>
      <c r="N2793" s="2" t="s">
        <v>70</v>
      </c>
      <c r="O2793" s="2" t="str">
        <f>VLOOKUP(OrganizedData[[#This Row],[Product Code]],ProductData[[Code]:[Item]],2,FALSE)</f>
        <v>Megawidget M</v>
      </c>
      <c r="P2793" s="4">
        <f>OrganizedData[[#This Row],[Quantity]]*VLOOKUP(OrganizedData[[#This Row],[Product Code]],ProductData[],4,FALSE)</f>
        <v>792</v>
      </c>
      <c r="Q2793" s="6">
        <f>OrganizedData[[#This Row],[Total Items Ordered]]*VLOOKUP(OrganizedData[[#This Row],[Product Code]],ProductData[],3,FALSE)</f>
        <v>1021.6800000000001</v>
      </c>
      <c r="R27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991.02960000000007</v>
      </c>
    </row>
    <row r="2794" spans="1:18" x14ac:dyDescent="0.3">
      <c r="A2794" s="2">
        <v>2787</v>
      </c>
      <c r="B2794" s="2" t="s">
        <v>7116</v>
      </c>
      <c r="C2794" s="2" t="s">
        <v>3394</v>
      </c>
      <c r="D2794" s="2" t="s">
        <v>51</v>
      </c>
      <c r="E2794" s="2" t="s">
        <v>16</v>
      </c>
      <c r="F2794" s="2">
        <v>90</v>
      </c>
      <c r="G2794" s="2" t="s">
        <v>7117</v>
      </c>
      <c r="H2794" s="2" t="s">
        <v>7118</v>
      </c>
      <c r="I2794" s="2" t="s">
        <v>2022</v>
      </c>
      <c r="J2794" s="3">
        <v>44790</v>
      </c>
      <c r="K2794" s="5">
        <f>YEAR(OrganizedData[[#This Row],[Order Date]])</f>
        <v>2022</v>
      </c>
      <c r="L2794" s="7" t="str">
        <f>TEXT(OrganizedData[[#This Row],[Order Date]],"mmm")</f>
        <v>Aug</v>
      </c>
      <c r="M2794" s="2">
        <v>98</v>
      </c>
      <c r="N2794" s="2" t="s">
        <v>64</v>
      </c>
      <c r="O2794" s="2" t="str">
        <f>VLOOKUP(OrganizedData[[#This Row],[Product Code]],ProductData[[Code]:[Item]],2,FALSE)</f>
        <v>Ultrathing V4</v>
      </c>
      <c r="P2794" s="4">
        <f>OrganizedData[[#This Row],[Quantity]]*VLOOKUP(OrganizedData[[#This Row],[Product Code]],ProductData[],4,FALSE)</f>
        <v>2352</v>
      </c>
      <c r="Q2794" s="6">
        <f>OrganizedData[[#This Row],[Total Items Ordered]]*VLOOKUP(OrganizedData[[#This Row],[Product Code]],ProductData[],3,FALSE)</f>
        <v>9384.4800000000014</v>
      </c>
      <c r="R27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8915.2560000000012</v>
      </c>
    </row>
    <row r="2795" spans="1:18" x14ac:dyDescent="0.3">
      <c r="A2795" s="2">
        <v>2788</v>
      </c>
      <c r="B2795" s="2" t="s">
        <v>61</v>
      </c>
      <c r="C2795" s="2" t="s">
        <v>3407</v>
      </c>
      <c r="D2795" s="2" t="s">
        <v>28</v>
      </c>
      <c r="E2795" s="2" t="s">
        <v>29</v>
      </c>
      <c r="F2795" s="2">
        <v>90</v>
      </c>
      <c r="G2795" s="2" t="s">
        <v>7119</v>
      </c>
      <c r="H2795" s="2" t="s">
        <v>7120</v>
      </c>
      <c r="I2795" s="2" t="s">
        <v>294</v>
      </c>
      <c r="J2795" s="3">
        <v>44284</v>
      </c>
      <c r="K2795" s="5">
        <f>YEAR(OrganizedData[[#This Row],[Order Date]])</f>
        <v>2021</v>
      </c>
      <c r="L2795" s="7" t="str">
        <f>TEXT(OrganizedData[[#This Row],[Order Date]],"mmm")</f>
        <v>Mar</v>
      </c>
      <c r="M2795" s="2">
        <v>38</v>
      </c>
      <c r="N2795" s="2" t="s">
        <v>39</v>
      </c>
      <c r="O2795" s="2" t="str">
        <f>VLOOKUP(OrganizedData[[#This Row],[Product Code]],ProductData[[Code]:[Item]],2,FALSE)</f>
        <v>Ultrathing V1</v>
      </c>
      <c r="P2795" s="4">
        <f>OrganizedData[[#This Row],[Quantity]]*VLOOKUP(OrganizedData[[#This Row],[Product Code]],ProductData[],4,FALSE)</f>
        <v>646</v>
      </c>
      <c r="Q2795" s="6">
        <f>OrganizedData[[#This Row],[Total Items Ordered]]*VLOOKUP(OrganizedData[[#This Row],[Product Code]],ProductData[],3,FALSE)</f>
        <v>1156.3399999999999</v>
      </c>
      <c r="R27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1121.6497999999999</v>
      </c>
    </row>
    <row r="2796" spans="1:18" x14ac:dyDescent="0.3">
      <c r="A2796" s="2">
        <v>2789</v>
      </c>
      <c r="B2796" s="2" t="s">
        <v>7121</v>
      </c>
      <c r="C2796" s="2" t="s">
        <v>2909</v>
      </c>
      <c r="D2796" s="2" t="s">
        <v>28</v>
      </c>
      <c r="E2796" s="2" t="s">
        <v>29</v>
      </c>
      <c r="F2796" s="2">
        <v>60</v>
      </c>
      <c r="G2796" s="2" t="s">
        <v>7122</v>
      </c>
      <c r="H2796" s="2" t="s">
        <v>4358</v>
      </c>
      <c r="I2796" s="2" t="s">
        <v>146</v>
      </c>
      <c r="J2796" s="3">
        <v>44664</v>
      </c>
      <c r="K2796" s="5">
        <f>YEAR(OrganizedData[[#This Row],[Order Date]])</f>
        <v>2022</v>
      </c>
      <c r="L2796" s="7" t="str">
        <f>TEXT(OrganizedData[[#This Row],[Order Date]],"mmm")</f>
        <v>Apr</v>
      </c>
      <c r="M2796" s="2">
        <v>30</v>
      </c>
      <c r="N2796" s="2" t="s">
        <v>54</v>
      </c>
      <c r="O2796" s="2" t="str">
        <f>VLOOKUP(OrganizedData[[#This Row],[Product Code]],ProductData[[Code]:[Item]],2,FALSE)</f>
        <v>Megawidget S</v>
      </c>
      <c r="P2796" s="4">
        <f>OrganizedData[[#This Row],[Quantity]]*VLOOKUP(OrganizedData[[#This Row],[Product Code]],ProductData[],4,FALSE)</f>
        <v>720</v>
      </c>
      <c r="Q2796" s="6">
        <f>OrganizedData[[#This Row],[Total Items Ordered]]*VLOOKUP(OrganizedData[[#This Row],[Product Code]],ProductData[],3,FALSE)</f>
        <v>496.79999999999995</v>
      </c>
      <c r="R27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481.89599999999996</v>
      </c>
    </row>
    <row r="2797" spans="1:18" x14ac:dyDescent="0.3">
      <c r="A2797" s="2">
        <v>2790</v>
      </c>
      <c r="B2797" s="2" t="s">
        <v>492</v>
      </c>
      <c r="C2797" s="2" t="s">
        <v>7123</v>
      </c>
      <c r="D2797" s="2" t="s">
        <v>28</v>
      </c>
      <c r="E2797" s="2" t="s">
        <v>29</v>
      </c>
      <c r="F2797" s="2">
        <v>90</v>
      </c>
      <c r="G2797" s="2" t="s">
        <v>7122</v>
      </c>
      <c r="H2797" s="2" t="s">
        <v>1674</v>
      </c>
      <c r="I2797" s="2" t="s">
        <v>25</v>
      </c>
      <c r="J2797" s="3">
        <v>44233</v>
      </c>
      <c r="K2797" s="5">
        <f>YEAR(OrganizedData[[#This Row],[Order Date]])</f>
        <v>2021</v>
      </c>
      <c r="L2797" s="7" t="str">
        <f>TEXT(OrganizedData[[#This Row],[Order Date]],"mmm")</f>
        <v>Feb</v>
      </c>
      <c r="M2797" s="2">
        <v>29</v>
      </c>
      <c r="N2797" s="2" t="s">
        <v>54</v>
      </c>
      <c r="O2797" s="2" t="str">
        <f>VLOOKUP(OrganizedData[[#This Row],[Product Code]],ProductData[[Code]:[Item]],2,FALSE)</f>
        <v>Megawidget S</v>
      </c>
      <c r="P2797" s="4">
        <f>OrganizedData[[#This Row],[Quantity]]*VLOOKUP(OrganizedData[[#This Row],[Product Code]],ProductData[],4,FALSE)</f>
        <v>696</v>
      </c>
      <c r="Q2797" s="6">
        <f>OrganizedData[[#This Row],[Total Items Ordered]]*VLOOKUP(OrganizedData[[#This Row],[Product Code]],ProductData[],3,FALSE)</f>
        <v>480.23999999999995</v>
      </c>
      <c r="R27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2798" spans="1:18" x14ac:dyDescent="0.3">
      <c r="A2798" s="2">
        <v>2791</v>
      </c>
      <c r="B2798" s="2" t="s">
        <v>7124</v>
      </c>
      <c r="C2798" s="2" t="s">
        <v>2467</v>
      </c>
      <c r="D2798" s="2" t="s">
        <v>51</v>
      </c>
      <c r="E2798" s="2" t="s">
        <v>16</v>
      </c>
      <c r="F2798" s="2">
        <v>30</v>
      </c>
      <c r="G2798" s="2" t="s">
        <v>7125</v>
      </c>
      <c r="H2798" s="2" t="s">
        <v>710</v>
      </c>
      <c r="I2798" s="2" t="s">
        <v>187</v>
      </c>
      <c r="J2798" s="3">
        <v>44376</v>
      </c>
      <c r="K2798" s="5">
        <f>YEAR(OrganizedData[[#This Row],[Order Date]])</f>
        <v>2021</v>
      </c>
      <c r="L2798" s="7" t="str">
        <f>TEXT(OrganizedData[[#This Row],[Order Date]],"mmm")</f>
        <v>Jun</v>
      </c>
      <c r="M2798" s="2">
        <v>16</v>
      </c>
      <c r="N2798" s="2" t="s">
        <v>45</v>
      </c>
      <c r="O2798" s="2" t="str">
        <f>VLOOKUP(OrganizedData[[#This Row],[Product Code]],ProductData[[Code]:[Item]],2,FALSE)</f>
        <v>Gigastuff</v>
      </c>
      <c r="P2798" s="4">
        <f>OrganizedData[[#This Row],[Quantity]]*VLOOKUP(OrganizedData[[#This Row],[Product Code]],ProductData[],4,FALSE)</f>
        <v>288</v>
      </c>
      <c r="Q2798" s="6">
        <f>OrganizedData[[#This Row],[Total Items Ordered]]*VLOOKUP(OrganizedData[[#This Row],[Product Code]],ProductData[],3,FALSE)</f>
        <v>544.31999999999994</v>
      </c>
      <c r="R27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544.31999999999994</v>
      </c>
    </row>
    <row r="2799" spans="1:18" x14ac:dyDescent="0.3">
      <c r="A2799" s="2">
        <v>2792</v>
      </c>
      <c r="B2799" s="2" t="s">
        <v>1828</v>
      </c>
      <c r="C2799" s="2" t="s">
        <v>2669</v>
      </c>
      <c r="D2799" s="2" t="s">
        <v>28</v>
      </c>
      <c r="E2799" s="2" t="s">
        <v>29</v>
      </c>
      <c r="F2799" s="2">
        <v>60</v>
      </c>
      <c r="G2799" s="2" t="s">
        <v>7126</v>
      </c>
      <c r="H2799" s="2" t="s">
        <v>4090</v>
      </c>
      <c r="I2799" s="2" t="s">
        <v>32</v>
      </c>
      <c r="J2799" s="3">
        <v>44548</v>
      </c>
      <c r="K2799" s="5">
        <f>YEAR(OrganizedData[[#This Row],[Order Date]])</f>
        <v>2021</v>
      </c>
      <c r="L2799" s="7" t="str">
        <f>TEXT(OrganizedData[[#This Row],[Order Date]],"mmm")</f>
        <v>Dec</v>
      </c>
      <c r="M2799" s="2">
        <v>2</v>
      </c>
      <c r="N2799" s="2" t="s">
        <v>70</v>
      </c>
      <c r="O2799" s="2" t="str">
        <f>VLOOKUP(OrganizedData[[#This Row],[Product Code]],ProductData[[Code]:[Item]],2,FALSE)</f>
        <v>Megawidget M</v>
      </c>
      <c r="P2799" s="4">
        <f>OrganizedData[[#This Row],[Quantity]]*VLOOKUP(OrganizedData[[#This Row],[Product Code]],ProductData[],4,FALSE)</f>
        <v>48</v>
      </c>
      <c r="Q2799" s="6">
        <f>OrganizedData[[#This Row],[Total Items Ordered]]*VLOOKUP(OrganizedData[[#This Row],[Product Code]],ProductData[],3,FALSE)</f>
        <v>61.92</v>
      </c>
      <c r="R27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2800" spans="1:18" x14ac:dyDescent="0.3">
      <c r="A2800" s="2">
        <v>2793</v>
      </c>
      <c r="B2800" s="2" t="s">
        <v>7127</v>
      </c>
      <c r="C2800" s="2" t="s">
        <v>4548</v>
      </c>
      <c r="D2800" s="2" t="s">
        <v>15</v>
      </c>
      <c r="E2800" s="2" t="s">
        <v>16</v>
      </c>
      <c r="F2800" s="2">
        <v>60</v>
      </c>
      <c r="G2800" s="2" t="s">
        <v>7128</v>
      </c>
      <c r="H2800" s="2" t="s">
        <v>3288</v>
      </c>
      <c r="I2800" s="2" t="s">
        <v>32</v>
      </c>
      <c r="J2800" s="3">
        <v>44330</v>
      </c>
      <c r="K2800" s="5">
        <f>YEAR(OrganizedData[[#This Row],[Order Date]])</f>
        <v>2021</v>
      </c>
      <c r="L2800" s="7" t="str">
        <f>TEXT(OrganizedData[[#This Row],[Order Date]],"mmm")</f>
        <v>May</v>
      </c>
      <c r="M2800" s="2">
        <v>45</v>
      </c>
      <c r="N2800" s="2" t="s">
        <v>54</v>
      </c>
      <c r="O2800" s="2" t="str">
        <f>VLOOKUP(OrganizedData[[#This Row],[Product Code]],ProductData[[Code]:[Item]],2,FALSE)</f>
        <v>Megawidget S</v>
      </c>
      <c r="P2800" s="4">
        <f>OrganizedData[[#This Row],[Quantity]]*VLOOKUP(OrganizedData[[#This Row],[Product Code]],ProductData[],4,FALSE)</f>
        <v>1080</v>
      </c>
      <c r="Q2800" s="6">
        <f>OrganizedData[[#This Row],[Total Items Ordered]]*VLOOKUP(OrganizedData[[#This Row],[Product Code]],ProductData[],3,FALSE)</f>
        <v>745.19999999999993</v>
      </c>
      <c r="R28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722.84399999999994</v>
      </c>
    </row>
    <row r="2801" spans="1:18" x14ac:dyDescent="0.3">
      <c r="A2801" s="2">
        <v>2794</v>
      </c>
      <c r="B2801" s="2" t="s">
        <v>7129</v>
      </c>
      <c r="C2801" s="2" t="s">
        <v>116</v>
      </c>
      <c r="D2801" s="2" t="s">
        <v>15</v>
      </c>
      <c r="E2801" s="2" t="s">
        <v>16</v>
      </c>
      <c r="F2801" s="2">
        <v>30</v>
      </c>
      <c r="G2801" s="2" t="s">
        <v>7130</v>
      </c>
      <c r="H2801" s="2" t="s">
        <v>3291</v>
      </c>
      <c r="I2801" s="2" t="s">
        <v>124</v>
      </c>
      <c r="J2801" s="3">
        <v>44443</v>
      </c>
      <c r="K2801" s="5">
        <f>YEAR(OrganizedData[[#This Row],[Order Date]])</f>
        <v>2021</v>
      </c>
      <c r="L2801" s="7" t="str">
        <f>TEXT(OrganizedData[[#This Row],[Order Date]],"mmm")</f>
        <v>Sep</v>
      </c>
      <c r="M2801" s="2">
        <v>14</v>
      </c>
      <c r="N2801" s="2" t="s">
        <v>45</v>
      </c>
      <c r="O2801" s="2" t="str">
        <f>VLOOKUP(OrganizedData[[#This Row],[Product Code]],ProductData[[Code]:[Item]],2,FALSE)</f>
        <v>Gigastuff</v>
      </c>
      <c r="P2801" s="4">
        <f>OrganizedData[[#This Row],[Quantity]]*VLOOKUP(OrganizedData[[#This Row],[Product Code]],ProductData[],4,FALSE)</f>
        <v>252</v>
      </c>
      <c r="Q2801" s="6">
        <f>OrganizedData[[#This Row],[Total Items Ordered]]*VLOOKUP(OrganizedData[[#This Row],[Product Code]],ProductData[],3,FALSE)</f>
        <v>476.28</v>
      </c>
      <c r="R28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476.28</v>
      </c>
    </row>
    <row r="2802" spans="1:18" x14ac:dyDescent="0.3">
      <c r="A2802" s="2">
        <v>2795</v>
      </c>
      <c r="B2802" s="2" t="s">
        <v>7131</v>
      </c>
      <c r="C2802" s="2" t="s">
        <v>4974</v>
      </c>
      <c r="D2802" s="2" t="s">
        <v>15</v>
      </c>
      <c r="E2802" s="2" t="s">
        <v>16</v>
      </c>
      <c r="F2802" s="2">
        <v>90</v>
      </c>
      <c r="G2802" s="2" t="s">
        <v>7132</v>
      </c>
      <c r="H2802" s="2" t="s">
        <v>4611</v>
      </c>
      <c r="I2802" s="2" t="s">
        <v>38</v>
      </c>
      <c r="J2802" s="3">
        <v>43979</v>
      </c>
      <c r="K2802" s="5">
        <f>YEAR(OrganizedData[[#This Row],[Order Date]])</f>
        <v>2020</v>
      </c>
      <c r="L2802" s="7" t="str">
        <f>TEXT(OrganizedData[[#This Row],[Order Date]],"mmm")</f>
        <v>May</v>
      </c>
      <c r="M2802" s="2">
        <v>62</v>
      </c>
      <c r="N2802" s="2" t="s">
        <v>64</v>
      </c>
      <c r="O2802" s="2" t="str">
        <f>VLOOKUP(OrganizedData[[#This Row],[Product Code]],ProductData[[Code]:[Item]],2,FALSE)</f>
        <v>Ultrathing V4</v>
      </c>
      <c r="P2802" s="4">
        <f>OrganizedData[[#This Row],[Quantity]]*VLOOKUP(OrganizedData[[#This Row],[Product Code]],ProductData[],4,FALSE)</f>
        <v>1488</v>
      </c>
      <c r="Q2802" s="6">
        <f>OrganizedData[[#This Row],[Total Items Ordered]]*VLOOKUP(OrganizedData[[#This Row],[Product Code]],ProductData[],3,FALSE)</f>
        <v>5937.12</v>
      </c>
      <c r="R28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2803" spans="1:18" x14ac:dyDescent="0.3">
      <c r="A2803" s="2">
        <v>2796</v>
      </c>
      <c r="B2803" s="2" t="s">
        <v>2721</v>
      </c>
      <c r="C2803" s="2" t="s">
        <v>1240</v>
      </c>
      <c r="D2803" s="2" t="s">
        <v>28</v>
      </c>
      <c r="E2803" s="2" t="s">
        <v>29</v>
      </c>
      <c r="F2803" s="2">
        <v>60</v>
      </c>
      <c r="G2803" s="2" t="s">
        <v>7133</v>
      </c>
      <c r="H2803" s="2" t="s">
        <v>495</v>
      </c>
      <c r="I2803" s="2" t="s">
        <v>173</v>
      </c>
      <c r="J2803" s="3">
        <v>44730</v>
      </c>
      <c r="K2803" s="5">
        <f>YEAR(OrganizedData[[#This Row],[Order Date]])</f>
        <v>2022</v>
      </c>
      <c r="L2803" s="7" t="str">
        <f>TEXT(OrganizedData[[#This Row],[Order Date]],"mmm")</f>
        <v>Jun</v>
      </c>
      <c r="M2803" s="2">
        <v>81</v>
      </c>
      <c r="N2803" s="2" t="s">
        <v>54</v>
      </c>
      <c r="O2803" s="2" t="str">
        <f>VLOOKUP(OrganizedData[[#This Row],[Product Code]],ProductData[[Code]:[Item]],2,FALSE)</f>
        <v>Megawidget S</v>
      </c>
      <c r="P2803" s="4">
        <f>OrganizedData[[#This Row],[Quantity]]*VLOOKUP(OrganizedData[[#This Row],[Product Code]],ProductData[],4,FALSE)</f>
        <v>1944</v>
      </c>
      <c r="Q2803" s="6">
        <f>OrganizedData[[#This Row],[Total Items Ordered]]*VLOOKUP(OrganizedData[[#This Row],[Product Code]],ProductData[],3,FALSE)</f>
        <v>1341.36</v>
      </c>
      <c r="R28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2804" spans="1:18" x14ac:dyDescent="0.3">
      <c r="A2804" s="2">
        <v>2797</v>
      </c>
      <c r="B2804" s="2" t="s">
        <v>7134</v>
      </c>
      <c r="C2804" s="2" t="s">
        <v>4600</v>
      </c>
      <c r="D2804" s="2" t="s">
        <v>51</v>
      </c>
      <c r="E2804" s="2" t="s">
        <v>16</v>
      </c>
      <c r="F2804" s="2">
        <v>30</v>
      </c>
      <c r="G2804" s="2" t="s">
        <v>7135</v>
      </c>
      <c r="H2804" s="2" t="s">
        <v>360</v>
      </c>
      <c r="I2804" s="2" t="s">
        <v>25</v>
      </c>
      <c r="J2804" s="3">
        <v>44913</v>
      </c>
      <c r="K2804" s="5">
        <f>YEAR(OrganizedData[[#This Row],[Order Date]])</f>
        <v>2022</v>
      </c>
      <c r="L2804" s="7" t="str">
        <f>TEXT(OrganizedData[[#This Row],[Order Date]],"mmm")</f>
        <v>Dec</v>
      </c>
      <c r="M2804" s="2">
        <v>100</v>
      </c>
      <c r="N2804" s="2" t="s">
        <v>80</v>
      </c>
      <c r="O2804" s="2" t="str">
        <f>VLOOKUP(OrganizedData[[#This Row],[Product Code]],ProductData[[Code]:[Item]],2,FALSE)</f>
        <v>Ultrathing V2</v>
      </c>
      <c r="P2804" s="4">
        <f>OrganizedData[[#This Row],[Quantity]]*VLOOKUP(OrganizedData[[#This Row],[Product Code]],ProductData[],4,FALSE)</f>
        <v>2000</v>
      </c>
      <c r="Q2804" s="6">
        <f>OrganizedData[[#This Row],[Total Items Ordered]]*VLOOKUP(OrganizedData[[#This Row],[Product Code]],ProductData[],3,FALSE)</f>
        <v>5900</v>
      </c>
      <c r="R28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5605</v>
      </c>
    </row>
    <row r="2805" spans="1:18" x14ac:dyDescent="0.3">
      <c r="A2805" s="2">
        <v>2798</v>
      </c>
      <c r="B2805" s="2" t="s">
        <v>7136</v>
      </c>
      <c r="C2805" s="2" t="s">
        <v>3366</v>
      </c>
      <c r="D2805" s="2" t="s">
        <v>117</v>
      </c>
      <c r="E2805" s="2" t="s">
        <v>16</v>
      </c>
      <c r="F2805" s="2">
        <v>90</v>
      </c>
      <c r="G2805" s="2" t="s">
        <v>7137</v>
      </c>
      <c r="H2805" s="2" t="s">
        <v>2097</v>
      </c>
      <c r="I2805" s="2" t="s">
        <v>178</v>
      </c>
      <c r="J2805" s="3">
        <v>44021</v>
      </c>
      <c r="K2805" s="5">
        <f>YEAR(OrganizedData[[#This Row],[Order Date]])</f>
        <v>2020</v>
      </c>
      <c r="L2805" s="7" t="str">
        <f>TEXT(OrganizedData[[#This Row],[Order Date]],"mmm")</f>
        <v>Jul</v>
      </c>
      <c r="M2805" s="2">
        <v>38</v>
      </c>
      <c r="N2805" s="2" t="s">
        <v>39</v>
      </c>
      <c r="O2805" s="2" t="str">
        <f>VLOOKUP(OrganizedData[[#This Row],[Product Code]],ProductData[[Code]:[Item]],2,FALSE)</f>
        <v>Ultrathing V1</v>
      </c>
      <c r="P2805" s="4">
        <f>OrganizedData[[#This Row],[Quantity]]*VLOOKUP(OrganizedData[[#This Row],[Product Code]],ProductData[],4,FALSE)</f>
        <v>646</v>
      </c>
      <c r="Q2805" s="6">
        <f>OrganizedData[[#This Row],[Total Items Ordered]]*VLOOKUP(OrganizedData[[#This Row],[Product Code]],ProductData[],3,FALSE)</f>
        <v>1156.3399999999999</v>
      </c>
      <c r="R28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1121.6497999999999</v>
      </c>
    </row>
    <row r="2806" spans="1:18" x14ac:dyDescent="0.3">
      <c r="A2806" s="2">
        <v>2799</v>
      </c>
      <c r="B2806" s="2" t="s">
        <v>4939</v>
      </c>
      <c r="C2806" s="2" t="s">
        <v>7138</v>
      </c>
      <c r="D2806" s="2" t="s">
        <v>28</v>
      </c>
      <c r="E2806" s="2" t="s">
        <v>29</v>
      </c>
      <c r="F2806" s="2">
        <v>60</v>
      </c>
      <c r="G2806" s="2" t="s">
        <v>7139</v>
      </c>
      <c r="H2806" s="2" t="s">
        <v>7140</v>
      </c>
      <c r="I2806" s="2" t="s">
        <v>294</v>
      </c>
      <c r="J2806" s="3">
        <v>44599</v>
      </c>
      <c r="K2806" s="5">
        <f>YEAR(OrganizedData[[#This Row],[Order Date]])</f>
        <v>2022</v>
      </c>
      <c r="L2806" s="7" t="str">
        <f>TEXT(OrganizedData[[#This Row],[Order Date]],"mmm")</f>
        <v>Feb</v>
      </c>
      <c r="M2806" s="2">
        <v>60</v>
      </c>
      <c r="N2806" s="2" t="s">
        <v>45</v>
      </c>
      <c r="O2806" s="2" t="str">
        <f>VLOOKUP(OrganizedData[[#This Row],[Product Code]],ProductData[[Code]:[Item]],2,FALSE)</f>
        <v>Gigastuff</v>
      </c>
      <c r="P2806" s="4">
        <f>OrganizedData[[#This Row],[Quantity]]*VLOOKUP(OrganizedData[[#This Row],[Product Code]],ProductData[],4,FALSE)</f>
        <v>1080</v>
      </c>
      <c r="Q2806" s="6">
        <f>OrganizedData[[#This Row],[Total Items Ordered]]*VLOOKUP(OrganizedData[[#This Row],[Product Code]],ProductData[],3,FALSE)</f>
        <v>2041.1999999999998</v>
      </c>
      <c r="R28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1939.1399999999996</v>
      </c>
    </row>
    <row r="2807" spans="1:18" x14ac:dyDescent="0.3">
      <c r="A2807" s="2">
        <v>2800</v>
      </c>
      <c r="B2807" s="2" t="s">
        <v>7141</v>
      </c>
      <c r="C2807" s="2" t="s">
        <v>296</v>
      </c>
      <c r="D2807" s="2" t="s">
        <v>15</v>
      </c>
      <c r="E2807" s="2" t="s">
        <v>16</v>
      </c>
      <c r="F2807" s="2">
        <v>60</v>
      </c>
      <c r="G2807" s="2" t="s">
        <v>7142</v>
      </c>
      <c r="H2807" s="2" t="s">
        <v>2908</v>
      </c>
      <c r="I2807" s="2" t="s">
        <v>25</v>
      </c>
      <c r="J2807" s="3">
        <v>44539</v>
      </c>
      <c r="K2807" s="5">
        <f>YEAR(OrganizedData[[#This Row],[Order Date]])</f>
        <v>2021</v>
      </c>
      <c r="L2807" s="7" t="str">
        <f>TEXT(OrganizedData[[#This Row],[Order Date]],"mmm")</f>
        <v>Dec</v>
      </c>
      <c r="M2807" s="2">
        <v>72</v>
      </c>
      <c r="N2807" s="2" t="s">
        <v>39</v>
      </c>
      <c r="O2807" s="2" t="str">
        <f>VLOOKUP(OrganizedData[[#This Row],[Product Code]],ProductData[[Code]:[Item]],2,FALSE)</f>
        <v>Ultrathing V1</v>
      </c>
      <c r="P2807" s="4">
        <f>OrganizedData[[#This Row],[Quantity]]*VLOOKUP(OrganizedData[[#This Row],[Product Code]],ProductData[],4,FALSE)</f>
        <v>1224</v>
      </c>
      <c r="Q2807" s="6">
        <f>OrganizedData[[#This Row],[Total Items Ordered]]*VLOOKUP(OrganizedData[[#This Row],[Product Code]],ProductData[],3,FALSE)</f>
        <v>2190.96</v>
      </c>
      <c r="R28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2808" spans="1:18" x14ac:dyDescent="0.3">
      <c r="A2808" s="2">
        <v>2801</v>
      </c>
      <c r="B2808" s="2" t="s">
        <v>7143</v>
      </c>
      <c r="C2808" s="2" t="s">
        <v>4264</v>
      </c>
      <c r="D2808" s="2" t="s">
        <v>51</v>
      </c>
      <c r="E2808" s="2" t="s">
        <v>16</v>
      </c>
      <c r="F2808" s="2">
        <v>60</v>
      </c>
      <c r="G2808" s="2" t="s">
        <v>7142</v>
      </c>
      <c r="H2808" s="2" t="s">
        <v>3024</v>
      </c>
      <c r="I2808" s="2" t="s">
        <v>32</v>
      </c>
      <c r="J2808" s="3">
        <v>44805</v>
      </c>
      <c r="K2808" s="5">
        <f>YEAR(OrganizedData[[#This Row],[Order Date]])</f>
        <v>2022</v>
      </c>
      <c r="L2808" s="7" t="str">
        <f>TEXT(OrganizedData[[#This Row],[Order Date]],"mmm")</f>
        <v>Sep</v>
      </c>
      <c r="M2808" s="2">
        <v>102</v>
      </c>
      <c r="N2808" s="2" t="s">
        <v>33</v>
      </c>
      <c r="O2808" s="2" t="str">
        <f>VLOOKUP(OrganizedData[[#This Row],[Product Code]],ProductData[[Code]:[Item]],2,FALSE)</f>
        <v>Megawidget L</v>
      </c>
      <c r="P2808" s="4">
        <f>OrganizedData[[#This Row],[Quantity]]*VLOOKUP(OrganizedData[[#This Row],[Product Code]],ProductData[],4,FALSE)</f>
        <v>2448</v>
      </c>
      <c r="Q2808" s="6">
        <f>OrganizedData[[#This Row],[Total Items Ordered]]*VLOOKUP(OrganizedData[[#This Row],[Product Code]],ProductData[],3,FALSE)</f>
        <v>4381.92</v>
      </c>
      <c r="R28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4075.1856000000002</v>
      </c>
    </row>
    <row r="2809" spans="1:18" x14ac:dyDescent="0.3">
      <c r="A2809" s="2">
        <v>2802</v>
      </c>
      <c r="B2809" s="2" t="s">
        <v>5506</v>
      </c>
      <c r="C2809" s="2" t="s">
        <v>7144</v>
      </c>
      <c r="D2809" s="2" t="s">
        <v>28</v>
      </c>
      <c r="E2809" s="2" t="s">
        <v>29</v>
      </c>
      <c r="F2809" s="2">
        <v>90</v>
      </c>
      <c r="G2809" s="2" t="s">
        <v>7145</v>
      </c>
      <c r="H2809" s="2" t="s">
        <v>7049</v>
      </c>
      <c r="I2809" s="2" t="s">
        <v>32</v>
      </c>
      <c r="J2809" s="3">
        <v>44880</v>
      </c>
      <c r="K2809" s="5">
        <f>YEAR(OrganizedData[[#This Row],[Order Date]])</f>
        <v>2022</v>
      </c>
      <c r="L2809" s="7" t="str">
        <f>TEXT(OrganizedData[[#This Row],[Order Date]],"mmm")</f>
        <v>Nov</v>
      </c>
      <c r="M2809" s="2">
        <v>103</v>
      </c>
      <c r="N2809" s="2" t="s">
        <v>101</v>
      </c>
      <c r="O2809" s="2" t="str">
        <f>VLOOKUP(OrganizedData[[#This Row],[Product Code]],ProductData[[Code]:[Item]],2,FALSE)</f>
        <v>Superwossname</v>
      </c>
      <c r="P2809" s="4">
        <f>OrganizedData[[#This Row],[Quantity]]*VLOOKUP(OrganizedData[[#This Row],[Product Code]],ProductData[],4,FALSE)</f>
        <v>2060</v>
      </c>
      <c r="Q2809" s="6">
        <f>OrganizedData[[#This Row],[Total Items Ordered]]*VLOOKUP(OrganizedData[[#This Row],[Product Code]],ProductData[],3,FALSE)</f>
        <v>7189.4000000000005</v>
      </c>
      <c r="R28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6686.1420000000007</v>
      </c>
    </row>
    <row r="2810" spans="1:18" x14ac:dyDescent="0.3">
      <c r="A2810" s="2">
        <v>2803</v>
      </c>
      <c r="B2810" s="2" t="s">
        <v>7146</v>
      </c>
      <c r="C2810" s="2" t="s">
        <v>4534</v>
      </c>
      <c r="D2810" s="2" t="s">
        <v>28</v>
      </c>
      <c r="E2810" s="2" t="s">
        <v>29</v>
      </c>
      <c r="F2810" s="2">
        <v>90</v>
      </c>
      <c r="G2810" s="2" t="s">
        <v>7147</v>
      </c>
      <c r="H2810" s="2" t="s">
        <v>4203</v>
      </c>
      <c r="I2810" s="2" t="s">
        <v>208</v>
      </c>
      <c r="J2810" s="3">
        <v>44648</v>
      </c>
      <c r="K2810" s="5">
        <f>YEAR(OrganizedData[[#This Row],[Order Date]])</f>
        <v>2022</v>
      </c>
      <c r="L2810" s="7" t="str">
        <f>TEXT(OrganizedData[[#This Row],[Order Date]],"mmm")</f>
        <v>Mar</v>
      </c>
      <c r="M2810" s="2">
        <v>99</v>
      </c>
      <c r="N2810" s="2" t="s">
        <v>70</v>
      </c>
      <c r="O2810" s="2" t="str">
        <f>VLOOKUP(OrganizedData[[#This Row],[Product Code]],ProductData[[Code]:[Item]],2,FALSE)</f>
        <v>Megawidget M</v>
      </c>
      <c r="P2810" s="4">
        <f>OrganizedData[[#This Row],[Quantity]]*VLOOKUP(OrganizedData[[#This Row],[Product Code]],ProductData[],4,FALSE)</f>
        <v>2376</v>
      </c>
      <c r="Q2810" s="6">
        <f>OrganizedData[[#This Row],[Total Items Ordered]]*VLOOKUP(OrganizedData[[#This Row],[Product Code]],ProductData[],3,FALSE)</f>
        <v>3065.04</v>
      </c>
      <c r="R28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2911.788</v>
      </c>
    </row>
    <row r="2811" spans="1:18" x14ac:dyDescent="0.3">
      <c r="A2811" s="2">
        <v>2804</v>
      </c>
      <c r="B2811" s="2" t="s">
        <v>2384</v>
      </c>
      <c r="C2811" s="2" t="s">
        <v>1658</v>
      </c>
      <c r="D2811" s="2" t="s">
        <v>28</v>
      </c>
      <c r="E2811" s="2" t="s">
        <v>29</v>
      </c>
      <c r="F2811" s="2">
        <v>90</v>
      </c>
      <c r="G2811" s="2" t="s">
        <v>7147</v>
      </c>
      <c r="H2811" s="2" t="s">
        <v>5059</v>
      </c>
      <c r="I2811" s="2" t="s">
        <v>294</v>
      </c>
      <c r="J2811" s="3">
        <v>44521</v>
      </c>
      <c r="K2811" s="5">
        <f>YEAR(OrganizedData[[#This Row],[Order Date]])</f>
        <v>2021</v>
      </c>
      <c r="L2811" s="7" t="str">
        <f>TEXT(OrganizedData[[#This Row],[Order Date]],"mmm")</f>
        <v>Nov</v>
      </c>
      <c r="M2811" s="2">
        <v>9</v>
      </c>
      <c r="N2811" s="2" t="s">
        <v>54</v>
      </c>
      <c r="O2811" s="2" t="str">
        <f>VLOOKUP(OrganizedData[[#This Row],[Product Code]],ProductData[[Code]:[Item]],2,FALSE)</f>
        <v>Megawidget S</v>
      </c>
      <c r="P2811" s="4">
        <f>OrganizedData[[#This Row],[Quantity]]*VLOOKUP(OrganizedData[[#This Row],[Product Code]],ProductData[],4,FALSE)</f>
        <v>216</v>
      </c>
      <c r="Q2811" s="6">
        <f>OrganizedData[[#This Row],[Total Items Ordered]]*VLOOKUP(OrganizedData[[#This Row],[Product Code]],ProductData[],3,FALSE)</f>
        <v>149.04</v>
      </c>
      <c r="R28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149.04</v>
      </c>
    </row>
    <row r="2812" spans="1:18" x14ac:dyDescent="0.3">
      <c r="A2812" s="2">
        <v>2805</v>
      </c>
      <c r="B2812" s="2" t="s">
        <v>7148</v>
      </c>
      <c r="C2812" s="2" t="s">
        <v>7149</v>
      </c>
      <c r="D2812" s="2" t="s">
        <v>51</v>
      </c>
      <c r="E2812" s="2" t="s">
        <v>16</v>
      </c>
      <c r="F2812" s="2">
        <v>90</v>
      </c>
      <c r="G2812" s="2" t="s">
        <v>7150</v>
      </c>
      <c r="H2812" s="2" t="s">
        <v>7151</v>
      </c>
      <c r="I2812" s="2" t="s">
        <v>38</v>
      </c>
      <c r="J2812" s="3">
        <v>44280</v>
      </c>
      <c r="K2812" s="5">
        <f>YEAR(OrganizedData[[#This Row],[Order Date]])</f>
        <v>2021</v>
      </c>
      <c r="L2812" s="7" t="str">
        <f>TEXT(OrganizedData[[#This Row],[Order Date]],"mmm")</f>
        <v>Mar</v>
      </c>
      <c r="M2812" s="2">
        <v>9</v>
      </c>
      <c r="N2812" s="2" t="s">
        <v>101</v>
      </c>
      <c r="O2812" s="2" t="str">
        <f>VLOOKUP(OrganizedData[[#This Row],[Product Code]],ProductData[[Code]:[Item]],2,FALSE)</f>
        <v>Superwossname</v>
      </c>
      <c r="P2812" s="4">
        <f>OrganizedData[[#This Row],[Quantity]]*VLOOKUP(OrganizedData[[#This Row],[Product Code]],ProductData[],4,FALSE)</f>
        <v>180</v>
      </c>
      <c r="Q2812" s="6">
        <f>OrganizedData[[#This Row],[Total Items Ordered]]*VLOOKUP(OrganizedData[[#This Row],[Product Code]],ProductData[],3,FALSE)</f>
        <v>628.20000000000005</v>
      </c>
      <c r="R28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628.20000000000005</v>
      </c>
    </row>
    <row r="2813" spans="1:18" x14ac:dyDescent="0.3">
      <c r="A2813" s="2">
        <v>2806</v>
      </c>
      <c r="B2813" s="2" t="s">
        <v>6271</v>
      </c>
      <c r="C2813" s="2" t="s">
        <v>800</v>
      </c>
      <c r="D2813" s="2" t="s">
        <v>15</v>
      </c>
      <c r="E2813" s="2" t="s">
        <v>16</v>
      </c>
      <c r="F2813" s="2">
        <v>90</v>
      </c>
      <c r="G2813" s="2" t="s">
        <v>7150</v>
      </c>
      <c r="H2813" s="2" t="s">
        <v>2199</v>
      </c>
      <c r="I2813" s="2" t="s">
        <v>32</v>
      </c>
      <c r="J2813" s="3">
        <v>44239</v>
      </c>
      <c r="K2813" s="5">
        <f>YEAR(OrganizedData[[#This Row],[Order Date]])</f>
        <v>2021</v>
      </c>
      <c r="L2813" s="7" t="str">
        <f>TEXT(OrganizedData[[#This Row],[Order Date]],"mmm")</f>
        <v>Feb</v>
      </c>
      <c r="M2813" s="2">
        <v>8</v>
      </c>
      <c r="N2813" s="2" t="s">
        <v>45</v>
      </c>
      <c r="O2813" s="2" t="str">
        <f>VLOOKUP(OrganizedData[[#This Row],[Product Code]],ProductData[[Code]:[Item]],2,FALSE)</f>
        <v>Gigastuff</v>
      </c>
      <c r="P2813" s="4">
        <f>OrganizedData[[#This Row],[Quantity]]*VLOOKUP(OrganizedData[[#This Row],[Product Code]],ProductData[],4,FALSE)</f>
        <v>144</v>
      </c>
      <c r="Q2813" s="6">
        <f>OrganizedData[[#This Row],[Total Items Ordered]]*VLOOKUP(OrganizedData[[#This Row],[Product Code]],ProductData[],3,FALSE)</f>
        <v>272.15999999999997</v>
      </c>
      <c r="R28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2814" spans="1:18" x14ac:dyDescent="0.3">
      <c r="A2814" s="2">
        <v>2807</v>
      </c>
      <c r="B2814" s="2" t="s">
        <v>2647</v>
      </c>
      <c r="C2814" s="2" t="s">
        <v>7152</v>
      </c>
      <c r="D2814" s="2" t="s">
        <v>28</v>
      </c>
      <c r="E2814" s="2" t="s">
        <v>29</v>
      </c>
      <c r="F2814" s="2">
        <v>30</v>
      </c>
      <c r="G2814" s="2" t="s">
        <v>7153</v>
      </c>
      <c r="H2814" s="2" t="s">
        <v>7154</v>
      </c>
      <c r="I2814" s="2" t="s">
        <v>32</v>
      </c>
      <c r="J2814" s="3">
        <v>44865</v>
      </c>
      <c r="K2814" s="5">
        <f>YEAR(OrganizedData[[#This Row],[Order Date]])</f>
        <v>2022</v>
      </c>
      <c r="L2814" s="7" t="str">
        <f>TEXT(OrganizedData[[#This Row],[Order Date]],"mmm")</f>
        <v>Oct</v>
      </c>
      <c r="M2814" s="2">
        <v>73</v>
      </c>
      <c r="N2814" s="2" t="s">
        <v>80</v>
      </c>
      <c r="O2814" s="2" t="str">
        <f>VLOOKUP(OrganizedData[[#This Row],[Product Code]],ProductData[[Code]:[Item]],2,FALSE)</f>
        <v>Ultrathing V2</v>
      </c>
      <c r="P2814" s="4">
        <f>OrganizedData[[#This Row],[Quantity]]*VLOOKUP(OrganizedData[[#This Row],[Product Code]],ProductData[],4,FALSE)</f>
        <v>1460</v>
      </c>
      <c r="Q2814" s="6">
        <f>OrganizedData[[#This Row],[Total Items Ordered]]*VLOOKUP(OrganizedData[[#This Row],[Product Code]],ProductData[],3,FALSE)</f>
        <v>4307</v>
      </c>
      <c r="R28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2815" spans="1:18" x14ac:dyDescent="0.3">
      <c r="A2815" s="2">
        <v>2808</v>
      </c>
      <c r="B2815" s="2" t="s">
        <v>1375</v>
      </c>
      <c r="C2815" s="2" t="s">
        <v>3371</v>
      </c>
      <c r="D2815" s="2" t="s">
        <v>28</v>
      </c>
      <c r="E2815" s="2" t="s">
        <v>29</v>
      </c>
      <c r="F2815" s="2">
        <v>30</v>
      </c>
      <c r="G2815" s="2" t="s">
        <v>7155</v>
      </c>
      <c r="H2815" s="2" t="s">
        <v>2993</v>
      </c>
      <c r="I2815" s="2" t="s">
        <v>32</v>
      </c>
      <c r="J2815" s="3">
        <v>44436</v>
      </c>
      <c r="K2815" s="5">
        <f>YEAR(OrganizedData[[#This Row],[Order Date]])</f>
        <v>2021</v>
      </c>
      <c r="L2815" s="7" t="str">
        <f>TEXT(OrganizedData[[#This Row],[Order Date]],"mmm")</f>
        <v>Aug</v>
      </c>
      <c r="M2815" s="2">
        <v>38</v>
      </c>
      <c r="N2815" s="2" t="s">
        <v>54</v>
      </c>
      <c r="O2815" s="2" t="str">
        <f>VLOOKUP(OrganizedData[[#This Row],[Product Code]],ProductData[[Code]:[Item]],2,FALSE)</f>
        <v>Megawidget S</v>
      </c>
      <c r="P2815" s="4">
        <f>OrganizedData[[#This Row],[Quantity]]*VLOOKUP(OrganizedData[[#This Row],[Product Code]],ProductData[],4,FALSE)</f>
        <v>912</v>
      </c>
      <c r="Q2815" s="6">
        <f>OrganizedData[[#This Row],[Total Items Ordered]]*VLOOKUP(OrganizedData[[#This Row],[Product Code]],ProductData[],3,FALSE)</f>
        <v>629.28</v>
      </c>
      <c r="R28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610.40159999999992</v>
      </c>
    </row>
    <row r="2816" spans="1:18" x14ac:dyDescent="0.3">
      <c r="A2816" s="2">
        <v>2809</v>
      </c>
      <c r="B2816" s="2" t="s">
        <v>2523</v>
      </c>
      <c r="C2816" s="2" t="s">
        <v>5417</v>
      </c>
      <c r="D2816" s="2" t="s">
        <v>28</v>
      </c>
      <c r="E2816" s="2" t="s">
        <v>29</v>
      </c>
      <c r="F2816" s="2">
        <v>30</v>
      </c>
      <c r="G2816" s="2" t="s">
        <v>7156</v>
      </c>
      <c r="H2816" s="2" t="s">
        <v>4100</v>
      </c>
      <c r="I2816" s="2" t="s">
        <v>294</v>
      </c>
      <c r="J2816" s="3">
        <v>44844</v>
      </c>
      <c r="K2816" s="5">
        <f>YEAR(OrganizedData[[#This Row],[Order Date]])</f>
        <v>2022</v>
      </c>
      <c r="L2816" s="7" t="str">
        <f>TEXT(OrganizedData[[#This Row],[Order Date]],"mmm")</f>
        <v>Oct</v>
      </c>
      <c r="M2816" s="2">
        <v>24</v>
      </c>
      <c r="N2816" s="2" t="s">
        <v>64</v>
      </c>
      <c r="O2816" s="2" t="str">
        <f>VLOOKUP(OrganizedData[[#This Row],[Product Code]],ProductData[[Code]:[Item]],2,FALSE)</f>
        <v>Ultrathing V4</v>
      </c>
      <c r="P2816" s="4">
        <f>OrganizedData[[#This Row],[Quantity]]*VLOOKUP(OrganizedData[[#This Row],[Product Code]],ProductData[],4,FALSE)</f>
        <v>576</v>
      </c>
      <c r="Q2816" s="6">
        <f>OrganizedData[[#This Row],[Total Items Ordered]]*VLOOKUP(OrganizedData[[#This Row],[Product Code]],ProductData[],3,FALSE)</f>
        <v>2298.2400000000002</v>
      </c>
      <c r="R28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2229.2928000000002</v>
      </c>
    </row>
    <row r="2817" spans="1:18" x14ac:dyDescent="0.3">
      <c r="A2817" s="2">
        <v>2810</v>
      </c>
      <c r="B2817" s="2" t="s">
        <v>7157</v>
      </c>
      <c r="C2817" s="2" t="s">
        <v>2690</v>
      </c>
      <c r="D2817" s="2" t="s">
        <v>15</v>
      </c>
      <c r="E2817" s="2" t="s">
        <v>16</v>
      </c>
      <c r="F2817" s="2">
        <v>60</v>
      </c>
      <c r="G2817" s="2" t="s">
        <v>7158</v>
      </c>
      <c r="H2817" s="2" t="s">
        <v>6224</v>
      </c>
      <c r="I2817" s="2" t="s">
        <v>294</v>
      </c>
      <c r="J2817" s="3">
        <v>44071</v>
      </c>
      <c r="K2817" s="5">
        <f>YEAR(OrganizedData[[#This Row],[Order Date]])</f>
        <v>2020</v>
      </c>
      <c r="L2817" s="7" t="str">
        <f>TEXT(OrganizedData[[#This Row],[Order Date]],"mmm")</f>
        <v>Aug</v>
      </c>
      <c r="M2817" s="2">
        <v>76</v>
      </c>
      <c r="N2817" s="2" t="s">
        <v>54</v>
      </c>
      <c r="O2817" s="2" t="str">
        <f>VLOOKUP(OrganizedData[[#This Row],[Product Code]],ProductData[[Code]:[Item]],2,FALSE)</f>
        <v>Megawidget S</v>
      </c>
      <c r="P2817" s="4">
        <f>OrganizedData[[#This Row],[Quantity]]*VLOOKUP(OrganizedData[[#This Row],[Product Code]],ProductData[],4,FALSE)</f>
        <v>1824</v>
      </c>
      <c r="Q2817" s="6">
        <f>OrganizedData[[#This Row],[Total Items Ordered]]*VLOOKUP(OrganizedData[[#This Row],[Product Code]],ProductData[],3,FALSE)</f>
        <v>1258.56</v>
      </c>
      <c r="R28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1195.6319999999998</v>
      </c>
    </row>
    <row r="2818" spans="1:18" x14ac:dyDescent="0.3">
      <c r="A2818" s="2">
        <v>2811</v>
      </c>
      <c r="B2818" s="2" t="s">
        <v>5656</v>
      </c>
      <c r="C2818" s="2" t="s">
        <v>3564</v>
      </c>
      <c r="D2818" s="2" t="s">
        <v>92</v>
      </c>
      <c r="E2818" s="2" t="s">
        <v>16</v>
      </c>
      <c r="F2818" s="2">
        <v>90</v>
      </c>
      <c r="G2818" s="2" t="s">
        <v>7159</v>
      </c>
      <c r="H2818" s="2" t="s">
        <v>3391</v>
      </c>
      <c r="I2818" s="2" t="s">
        <v>3392</v>
      </c>
      <c r="J2818" s="3">
        <v>44415</v>
      </c>
      <c r="K2818" s="5">
        <f>YEAR(OrganizedData[[#This Row],[Order Date]])</f>
        <v>2021</v>
      </c>
      <c r="L2818" s="7" t="str">
        <f>TEXT(OrganizedData[[#This Row],[Order Date]],"mmm")</f>
        <v>Aug</v>
      </c>
      <c r="M2818" s="2">
        <v>64</v>
      </c>
      <c r="N2818" s="2" t="s">
        <v>70</v>
      </c>
      <c r="O2818" s="2" t="str">
        <f>VLOOKUP(OrganizedData[[#This Row],[Product Code]],ProductData[[Code]:[Item]],2,FALSE)</f>
        <v>Megawidget M</v>
      </c>
      <c r="P2818" s="4">
        <f>OrganizedData[[#This Row],[Quantity]]*VLOOKUP(OrganizedData[[#This Row],[Product Code]],ProductData[],4,FALSE)</f>
        <v>1536</v>
      </c>
      <c r="Q2818" s="6">
        <f>OrganizedData[[#This Row],[Total Items Ordered]]*VLOOKUP(OrganizedData[[#This Row],[Product Code]],ProductData[],3,FALSE)</f>
        <v>1981.44</v>
      </c>
      <c r="R28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1882.3679999999999</v>
      </c>
    </row>
    <row r="2819" spans="1:18" x14ac:dyDescent="0.3">
      <c r="A2819" s="2">
        <v>2812</v>
      </c>
      <c r="B2819" s="2" t="s">
        <v>516</v>
      </c>
      <c r="C2819" s="2" t="s">
        <v>1148</v>
      </c>
      <c r="D2819" s="2" t="s">
        <v>28</v>
      </c>
      <c r="E2819" s="2" t="s">
        <v>29</v>
      </c>
      <c r="F2819" s="2">
        <v>30</v>
      </c>
      <c r="G2819" s="2" t="s">
        <v>7160</v>
      </c>
      <c r="H2819" s="2" t="s">
        <v>7161</v>
      </c>
      <c r="I2819" s="2" t="s">
        <v>32</v>
      </c>
      <c r="J2819" s="3">
        <v>44739</v>
      </c>
      <c r="K2819" s="5">
        <f>YEAR(OrganizedData[[#This Row],[Order Date]])</f>
        <v>2022</v>
      </c>
      <c r="L2819" s="7" t="str">
        <f>TEXT(OrganizedData[[#This Row],[Order Date]],"mmm")</f>
        <v>Jun</v>
      </c>
      <c r="M2819" s="2">
        <v>36</v>
      </c>
      <c r="N2819" s="2" t="s">
        <v>39</v>
      </c>
      <c r="O2819" s="2" t="str">
        <f>VLOOKUP(OrganizedData[[#This Row],[Product Code]],ProductData[[Code]:[Item]],2,FALSE)</f>
        <v>Ultrathing V1</v>
      </c>
      <c r="P2819" s="4">
        <f>OrganizedData[[#This Row],[Quantity]]*VLOOKUP(OrganizedData[[#This Row],[Product Code]],ProductData[],4,FALSE)</f>
        <v>612</v>
      </c>
      <c r="Q2819" s="6">
        <f>OrganizedData[[#This Row],[Total Items Ordered]]*VLOOKUP(OrganizedData[[#This Row],[Product Code]],ProductData[],3,FALSE)</f>
        <v>1095.48</v>
      </c>
      <c r="R28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2820" spans="1:18" x14ac:dyDescent="0.3">
      <c r="A2820" s="2">
        <v>2813</v>
      </c>
      <c r="B2820" s="2" t="s">
        <v>5856</v>
      </c>
      <c r="C2820" s="2" t="s">
        <v>4637</v>
      </c>
      <c r="D2820" s="2" t="s">
        <v>28</v>
      </c>
      <c r="E2820" s="2" t="s">
        <v>29</v>
      </c>
      <c r="F2820" s="2">
        <v>60</v>
      </c>
      <c r="G2820" s="2" t="s">
        <v>7162</v>
      </c>
      <c r="H2820" s="2" t="s">
        <v>2212</v>
      </c>
      <c r="I2820" s="2" t="s">
        <v>32</v>
      </c>
      <c r="J2820" s="3">
        <v>44759</v>
      </c>
      <c r="K2820" s="5">
        <f>YEAR(OrganizedData[[#This Row],[Order Date]])</f>
        <v>2022</v>
      </c>
      <c r="L2820" s="7" t="str">
        <f>TEXT(OrganizedData[[#This Row],[Order Date]],"mmm")</f>
        <v>Jul</v>
      </c>
      <c r="M2820" s="2">
        <v>21</v>
      </c>
      <c r="N2820" s="2" t="s">
        <v>20</v>
      </c>
      <c r="O2820" s="2" t="str">
        <f>VLOOKUP(OrganizedData[[#This Row],[Product Code]],ProductData[[Code]:[Item]],2,FALSE)</f>
        <v>Hyperwotsit</v>
      </c>
      <c r="P2820" s="4">
        <f>OrganizedData[[#This Row],[Quantity]]*VLOOKUP(OrganizedData[[#This Row],[Product Code]],ProductData[],4,FALSE)</f>
        <v>420</v>
      </c>
      <c r="Q2820" s="6">
        <f>OrganizedData[[#This Row],[Total Items Ordered]]*VLOOKUP(OrganizedData[[#This Row],[Product Code]],ProductData[],3,FALSE)</f>
        <v>844.19999999999993</v>
      </c>
      <c r="R28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818.87399999999991</v>
      </c>
    </row>
    <row r="2821" spans="1:18" x14ac:dyDescent="0.3">
      <c r="A2821" s="2">
        <v>2814</v>
      </c>
      <c r="B2821" s="2" t="s">
        <v>7163</v>
      </c>
      <c r="C2821" s="2" t="s">
        <v>126</v>
      </c>
      <c r="D2821" s="2" t="s">
        <v>28</v>
      </c>
      <c r="E2821" s="2" t="s">
        <v>29</v>
      </c>
      <c r="F2821" s="2">
        <v>90</v>
      </c>
      <c r="G2821" s="2" t="s">
        <v>7164</v>
      </c>
      <c r="H2821" s="2" t="s">
        <v>1457</v>
      </c>
      <c r="I2821" s="2" t="s">
        <v>187</v>
      </c>
      <c r="J2821" s="3">
        <v>44351</v>
      </c>
      <c r="K2821" s="5">
        <f>YEAR(OrganizedData[[#This Row],[Order Date]])</f>
        <v>2021</v>
      </c>
      <c r="L2821" s="7" t="str">
        <f>TEXT(OrganizedData[[#This Row],[Order Date]],"mmm")</f>
        <v>Jun</v>
      </c>
      <c r="M2821" s="2">
        <v>89</v>
      </c>
      <c r="N2821" s="2" t="s">
        <v>54</v>
      </c>
      <c r="O2821" s="2" t="str">
        <f>VLOOKUP(OrganizedData[[#This Row],[Product Code]],ProductData[[Code]:[Item]],2,FALSE)</f>
        <v>Megawidget S</v>
      </c>
      <c r="P2821" s="4">
        <f>OrganizedData[[#This Row],[Quantity]]*VLOOKUP(OrganizedData[[#This Row],[Product Code]],ProductData[],4,FALSE)</f>
        <v>2136</v>
      </c>
      <c r="Q2821" s="6">
        <f>OrganizedData[[#This Row],[Total Items Ordered]]*VLOOKUP(OrganizedData[[#This Row],[Product Code]],ProductData[],3,FALSE)</f>
        <v>1473.84</v>
      </c>
      <c r="R28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1400.1479999999999</v>
      </c>
    </row>
    <row r="2822" spans="1:18" x14ac:dyDescent="0.3">
      <c r="A2822" s="2">
        <v>2815</v>
      </c>
      <c r="B2822" s="2" t="s">
        <v>7165</v>
      </c>
      <c r="C2822" s="2" t="s">
        <v>1488</v>
      </c>
      <c r="D2822" s="2" t="s">
        <v>51</v>
      </c>
      <c r="E2822" s="2" t="s">
        <v>16</v>
      </c>
      <c r="F2822" s="2">
        <v>30</v>
      </c>
      <c r="G2822" s="2" t="s">
        <v>10534</v>
      </c>
      <c r="H2822" s="2" t="s">
        <v>802</v>
      </c>
      <c r="I2822" s="2" t="s">
        <v>294</v>
      </c>
      <c r="J2822" s="3">
        <v>44781</v>
      </c>
      <c r="K2822" s="5">
        <f>YEAR(OrganizedData[[#This Row],[Order Date]])</f>
        <v>2022</v>
      </c>
      <c r="L2822" s="7" t="str">
        <f>TEXT(OrganizedData[[#This Row],[Order Date]],"mmm")</f>
        <v>Aug</v>
      </c>
      <c r="M2822" s="2">
        <v>58</v>
      </c>
      <c r="N2822" s="2" t="s">
        <v>70</v>
      </c>
      <c r="O2822" s="2" t="str">
        <f>VLOOKUP(OrganizedData[[#This Row],[Product Code]],ProductData[[Code]:[Item]],2,FALSE)</f>
        <v>Megawidget M</v>
      </c>
      <c r="P2822" s="4">
        <f>OrganizedData[[#This Row],[Quantity]]*VLOOKUP(OrganizedData[[#This Row],[Product Code]],ProductData[],4,FALSE)</f>
        <v>1392</v>
      </c>
      <c r="Q2822" s="6">
        <f>OrganizedData[[#This Row],[Total Items Ordered]]*VLOOKUP(OrganizedData[[#This Row],[Product Code]],ProductData[],3,FALSE)</f>
        <v>1795.68</v>
      </c>
      <c r="R28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1705.896</v>
      </c>
    </row>
    <row r="2823" spans="1:18" x14ac:dyDescent="0.3">
      <c r="A2823" s="2">
        <v>2816</v>
      </c>
      <c r="B2823" s="2" t="s">
        <v>7167</v>
      </c>
      <c r="C2823" s="2" t="s">
        <v>7168</v>
      </c>
      <c r="D2823" s="2" t="s">
        <v>51</v>
      </c>
      <c r="E2823" s="2" t="s">
        <v>16</v>
      </c>
      <c r="F2823" s="2">
        <v>90</v>
      </c>
      <c r="G2823" s="2" t="s">
        <v>7169</v>
      </c>
      <c r="H2823" s="2" t="s">
        <v>2311</v>
      </c>
      <c r="I2823" s="2" t="s">
        <v>32</v>
      </c>
      <c r="J2823" s="3">
        <v>44467</v>
      </c>
      <c r="K2823" s="5">
        <f>YEAR(OrganizedData[[#This Row],[Order Date]])</f>
        <v>2021</v>
      </c>
      <c r="L2823" s="7" t="str">
        <f>TEXT(OrganizedData[[#This Row],[Order Date]],"mmm")</f>
        <v>Sep</v>
      </c>
      <c r="M2823" s="2">
        <v>69</v>
      </c>
      <c r="N2823" s="2" t="s">
        <v>101</v>
      </c>
      <c r="O2823" s="2" t="str">
        <f>VLOOKUP(OrganizedData[[#This Row],[Product Code]],ProductData[[Code]:[Item]],2,FALSE)</f>
        <v>Superwossname</v>
      </c>
      <c r="P2823" s="4">
        <f>OrganizedData[[#This Row],[Quantity]]*VLOOKUP(OrganizedData[[#This Row],[Product Code]],ProductData[],4,FALSE)</f>
        <v>1380</v>
      </c>
      <c r="Q2823" s="6">
        <f>OrganizedData[[#This Row],[Total Items Ordered]]*VLOOKUP(OrganizedData[[#This Row],[Product Code]],ProductData[],3,FALSE)</f>
        <v>4816.2000000000007</v>
      </c>
      <c r="R28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4575.3900000000003</v>
      </c>
    </row>
    <row r="2824" spans="1:18" x14ac:dyDescent="0.3">
      <c r="A2824" s="2">
        <v>2817</v>
      </c>
      <c r="B2824" s="2" t="s">
        <v>6192</v>
      </c>
      <c r="C2824" s="2" t="s">
        <v>7170</v>
      </c>
      <c r="D2824" s="2" t="s">
        <v>28</v>
      </c>
      <c r="E2824" s="2" t="s">
        <v>29</v>
      </c>
      <c r="F2824" s="2">
        <v>60</v>
      </c>
      <c r="G2824" s="2" t="s">
        <v>7171</v>
      </c>
      <c r="H2824" s="2" t="s">
        <v>1519</v>
      </c>
      <c r="I2824" s="2" t="s">
        <v>32</v>
      </c>
      <c r="J2824" s="3">
        <v>44365</v>
      </c>
      <c r="K2824" s="5">
        <f>YEAR(OrganizedData[[#This Row],[Order Date]])</f>
        <v>2021</v>
      </c>
      <c r="L2824" s="7" t="str">
        <f>TEXT(OrganizedData[[#This Row],[Order Date]],"mmm")</f>
        <v>Jun</v>
      </c>
      <c r="M2824" s="2">
        <v>73</v>
      </c>
      <c r="N2824" s="2" t="s">
        <v>33</v>
      </c>
      <c r="O2824" s="2" t="str">
        <f>VLOOKUP(OrganizedData[[#This Row],[Product Code]],ProductData[[Code]:[Item]],2,FALSE)</f>
        <v>Megawidget L</v>
      </c>
      <c r="P2824" s="4">
        <f>OrganizedData[[#This Row],[Quantity]]*VLOOKUP(OrganizedData[[#This Row],[Product Code]],ProductData[],4,FALSE)</f>
        <v>1752</v>
      </c>
      <c r="Q2824" s="6">
        <f>OrganizedData[[#This Row],[Total Items Ordered]]*VLOOKUP(OrganizedData[[#This Row],[Product Code]],ProductData[],3,FALSE)</f>
        <v>3136.08</v>
      </c>
      <c r="R28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2979.2759999999998</v>
      </c>
    </row>
    <row r="2825" spans="1:18" x14ac:dyDescent="0.3">
      <c r="A2825" s="2">
        <v>2818</v>
      </c>
      <c r="B2825" s="2" t="s">
        <v>7172</v>
      </c>
      <c r="C2825" s="2" t="s">
        <v>5096</v>
      </c>
      <c r="D2825" s="2" t="s">
        <v>51</v>
      </c>
      <c r="E2825" s="2" t="s">
        <v>16</v>
      </c>
      <c r="F2825" s="2">
        <v>60</v>
      </c>
      <c r="G2825" s="2" t="s">
        <v>7173</v>
      </c>
      <c r="H2825" s="2" t="s">
        <v>4283</v>
      </c>
      <c r="I2825" s="2" t="s">
        <v>178</v>
      </c>
      <c r="J2825" s="3">
        <v>44473</v>
      </c>
      <c r="K2825" s="5">
        <f>YEAR(OrganizedData[[#This Row],[Order Date]])</f>
        <v>2021</v>
      </c>
      <c r="L2825" s="7" t="str">
        <f>TEXT(OrganizedData[[#This Row],[Order Date]],"mmm")</f>
        <v>Oct</v>
      </c>
      <c r="M2825" s="2">
        <v>78</v>
      </c>
      <c r="N2825" s="2" t="s">
        <v>54</v>
      </c>
      <c r="O2825" s="2" t="str">
        <f>VLOOKUP(OrganizedData[[#This Row],[Product Code]],ProductData[[Code]:[Item]],2,FALSE)</f>
        <v>Megawidget S</v>
      </c>
      <c r="P2825" s="4">
        <f>OrganizedData[[#This Row],[Quantity]]*VLOOKUP(OrganizedData[[#This Row],[Product Code]],ProductData[],4,FALSE)</f>
        <v>1872</v>
      </c>
      <c r="Q2825" s="6">
        <f>OrganizedData[[#This Row],[Total Items Ordered]]*VLOOKUP(OrganizedData[[#This Row],[Product Code]],ProductData[],3,FALSE)</f>
        <v>1291.6799999999998</v>
      </c>
      <c r="R28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2826" spans="1:18" x14ac:dyDescent="0.3">
      <c r="A2826" s="2">
        <v>2819</v>
      </c>
      <c r="B2826" s="2" t="s">
        <v>2828</v>
      </c>
      <c r="C2826" s="2" t="s">
        <v>5923</v>
      </c>
      <c r="D2826" s="2" t="s">
        <v>28</v>
      </c>
      <c r="E2826" s="2" t="s">
        <v>29</v>
      </c>
      <c r="F2826" s="2">
        <v>60</v>
      </c>
      <c r="G2826" s="2" t="s">
        <v>7174</v>
      </c>
      <c r="H2826" s="2" t="s">
        <v>7175</v>
      </c>
      <c r="I2826" s="2" t="s">
        <v>32</v>
      </c>
      <c r="J2826" s="3">
        <v>44153</v>
      </c>
      <c r="K2826" s="5">
        <f>YEAR(OrganizedData[[#This Row],[Order Date]])</f>
        <v>2020</v>
      </c>
      <c r="L2826" s="7" t="str">
        <f>TEXT(OrganizedData[[#This Row],[Order Date]],"mmm")</f>
        <v>Nov</v>
      </c>
      <c r="M2826" s="2">
        <v>8</v>
      </c>
      <c r="N2826" s="2" t="s">
        <v>33</v>
      </c>
      <c r="O2826" s="2" t="str">
        <f>VLOOKUP(OrganizedData[[#This Row],[Product Code]],ProductData[[Code]:[Item]],2,FALSE)</f>
        <v>Megawidget L</v>
      </c>
      <c r="P2826" s="4">
        <f>OrganizedData[[#This Row],[Quantity]]*VLOOKUP(OrganizedData[[#This Row],[Product Code]],ProductData[],4,FALSE)</f>
        <v>192</v>
      </c>
      <c r="Q2826" s="6">
        <f>OrganizedData[[#This Row],[Total Items Ordered]]*VLOOKUP(OrganizedData[[#This Row],[Product Code]],ProductData[],3,FALSE)</f>
        <v>343.68</v>
      </c>
      <c r="R28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343.68</v>
      </c>
    </row>
    <row r="2827" spans="1:18" x14ac:dyDescent="0.3">
      <c r="A2827" s="2">
        <v>2820</v>
      </c>
      <c r="B2827" s="2" t="s">
        <v>7176</v>
      </c>
      <c r="C2827" s="2" t="s">
        <v>7177</v>
      </c>
      <c r="D2827" s="2" t="s">
        <v>28</v>
      </c>
      <c r="E2827" s="2" t="s">
        <v>29</v>
      </c>
      <c r="F2827" s="2">
        <v>30</v>
      </c>
      <c r="G2827" s="2" t="s">
        <v>7178</v>
      </c>
      <c r="H2827" s="2" t="s">
        <v>685</v>
      </c>
      <c r="I2827" s="2" t="s">
        <v>686</v>
      </c>
      <c r="J2827" s="3">
        <v>44449</v>
      </c>
      <c r="K2827" s="5">
        <f>YEAR(OrganizedData[[#This Row],[Order Date]])</f>
        <v>2021</v>
      </c>
      <c r="L2827" s="7" t="str">
        <f>TEXT(OrganizedData[[#This Row],[Order Date]],"mmm")</f>
        <v>Sep</v>
      </c>
      <c r="M2827" s="2">
        <v>53</v>
      </c>
      <c r="N2827" s="2" t="s">
        <v>80</v>
      </c>
      <c r="O2827" s="2" t="str">
        <f>VLOOKUP(OrganizedData[[#This Row],[Product Code]],ProductData[[Code]:[Item]],2,FALSE)</f>
        <v>Ultrathing V2</v>
      </c>
      <c r="P2827" s="4">
        <f>OrganizedData[[#This Row],[Quantity]]*VLOOKUP(OrganizedData[[#This Row],[Product Code]],ProductData[],4,FALSE)</f>
        <v>1060</v>
      </c>
      <c r="Q2827" s="6">
        <f>OrganizedData[[#This Row],[Total Items Ordered]]*VLOOKUP(OrganizedData[[#This Row],[Product Code]],ProductData[],3,FALSE)</f>
        <v>3127</v>
      </c>
      <c r="R28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2970.6499999999996</v>
      </c>
    </row>
    <row r="2828" spans="1:18" x14ac:dyDescent="0.3">
      <c r="A2828" s="2">
        <v>2821</v>
      </c>
      <c r="B2828" s="2" t="s">
        <v>4714</v>
      </c>
      <c r="C2828" s="2" t="s">
        <v>1861</v>
      </c>
      <c r="D2828" s="2" t="s">
        <v>15</v>
      </c>
      <c r="E2828" s="2" t="s">
        <v>16</v>
      </c>
      <c r="F2828" s="2">
        <v>90</v>
      </c>
      <c r="G2828" s="2" t="s">
        <v>7179</v>
      </c>
      <c r="H2828" s="2" t="s">
        <v>2710</v>
      </c>
      <c r="I2828" s="2" t="s">
        <v>294</v>
      </c>
      <c r="J2828" s="3">
        <v>44716</v>
      </c>
      <c r="K2828" s="5">
        <f>YEAR(OrganizedData[[#This Row],[Order Date]])</f>
        <v>2022</v>
      </c>
      <c r="L2828" s="7" t="str">
        <f>TEXT(OrganizedData[[#This Row],[Order Date]],"mmm")</f>
        <v>Jun</v>
      </c>
      <c r="M2828" s="2">
        <v>94</v>
      </c>
      <c r="N2828" s="2" t="s">
        <v>39</v>
      </c>
      <c r="O2828" s="2" t="str">
        <f>VLOOKUP(OrganizedData[[#This Row],[Product Code]],ProductData[[Code]:[Item]],2,FALSE)</f>
        <v>Ultrathing V1</v>
      </c>
      <c r="P2828" s="4">
        <f>OrganizedData[[#This Row],[Quantity]]*VLOOKUP(OrganizedData[[#This Row],[Product Code]],ProductData[],4,FALSE)</f>
        <v>1598</v>
      </c>
      <c r="Q2828" s="6">
        <f>OrganizedData[[#This Row],[Total Items Ordered]]*VLOOKUP(OrganizedData[[#This Row],[Product Code]],ProductData[],3,FALSE)</f>
        <v>2860.42</v>
      </c>
      <c r="R28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2829" spans="1:18" x14ac:dyDescent="0.3">
      <c r="A2829" s="2">
        <v>2822</v>
      </c>
      <c r="B2829" s="2" t="s">
        <v>6211</v>
      </c>
      <c r="C2829" s="2" t="s">
        <v>7180</v>
      </c>
      <c r="D2829" s="2" t="s">
        <v>51</v>
      </c>
      <c r="E2829" s="2" t="s">
        <v>16</v>
      </c>
      <c r="F2829" s="2">
        <v>60</v>
      </c>
      <c r="G2829" s="2" t="s">
        <v>7181</v>
      </c>
      <c r="H2829" s="2" t="s">
        <v>7182</v>
      </c>
      <c r="I2829" s="2" t="s">
        <v>294</v>
      </c>
      <c r="J2829" s="3">
        <v>44255</v>
      </c>
      <c r="K2829" s="5">
        <f>YEAR(OrganizedData[[#This Row],[Order Date]])</f>
        <v>2021</v>
      </c>
      <c r="L2829" s="7" t="str">
        <f>TEXT(OrganizedData[[#This Row],[Order Date]],"mmm")</f>
        <v>Feb</v>
      </c>
      <c r="M2829" s="2">
        <v>11</v>
      </c>
      <c r="N2829" s="2" t="s">
        <v>20</v>
      </c>
      <c r="O2829" s="2" t="str">
        <f>VLOOKUP(OrganizedData[[#This Row],[Product Code]],ProductData[[Code]:[Item]],2,FALSE)</f>
        <v>Hyperwotsit</v>
      </c>
      <c r="P2829" s="4">
        <f>OrganizedData[[#This Row],[Quantity]]*VLOOKUP(OrganizedData[[#This Row],[Product Code]],ProductData[],4,FALSE)</f>
        <v>220</v>
      </c>
      <c r="Q2829" s="6">
        <f>OrganizedData[[#This Row],[Total Items Ordered]]*VLOOKUP(OrganizedData[[#This Row],[Product Code]],ProductData[],3,FALSE)</f>
        <v>442.19999999999993</v>
      </c>
      <c r="R28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442.19999999999993</v>
      </c>
    </row>
    <row r="2830" spans="1:18" x14ac:dyDescent="0.3">
      <c r="A2830" s="2">
        <v>2823</v>
      </c>
      <c r="B2830" s="2" t="s">
        <v>7183</v>
      </c>
      <c r="C2830" s="2" t="s">
        <v>1730</v>
      </c>
      <c r="D2830" s="2" t="s">
        <v>15</v>
      </c>
      <c r="E2830" s="2" t="s">
        <v>16</v>
      </c>
      <c r="F2830" s="2">
        <v>30</v>
      </c>
      <c r="G2830" s="2" t="s">
        <v>7184</v>
      </c>
      <c r="H2830" s="2" t="s">
        <v>3343</v>
      </c>
      <c r="I2830" s="2" t="s">
        <v>1199</v>
      </c>
      <c r="J2830" s="3">
        <v>43832</v>
      </c>
      <c r="K2830" s="5">
        <f>YEAR(OrganizedData[[#This Row],[Order Date]])</f>
        <v>2020</v>
      </c>
      <c r="L2830" s="7" t="str">
        <f>TEXT(OrganizedData[[#This Row],[Order Date]],"mmm")</f>
        <v>Jan</v>
      </c>
      <c r="M2830" s="2">
        <v>77</v>
      </c>
      <c r="N2830" s="2" t="s">
        <v>45</v>
      </c>
      <c r="O2830" s="2" t="str">
        <f>VLOOKUP(OrganizedData[[#This Row],[Product Code]],ProductData[[Code]:[Item]],2,FALSE)</f>
        <v>Gigastuff</v>
      </c>
      <c r="P2830" s="4">
        <f>OrganizedData[[#This Row],[Quantity]]*VLOOKUP(OrganizedData[[#This Row],[Product Code]],ProductData[],4,FALSE)</f>
        <v>1386</v>
      </c>
      <c r="Q2830" s="6">
        <f>OrganizedData[[#This Row],[Total Items Ordered]]*VLOOKUP(OrganizedData[[#This Row],[Product Code]],ProductData[],3,FALSE)</f>
        <v>2619.54</v>
      </c>
      <c r="R28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2488.5629999999996</v>
      </c>
    </row>
    <row r="2831" spans="1:18" x14ac:dyDescent="0.3">
      <c r="A2831" s="2">
        <v>2824</v>
      </c>
      <c r="B2831" s="2" t="s">
        <v>1239</v>
      </c>
      <c r="C2831" s="2" t="s">
        <v>7185</v>
      </c>
      <c r="D2831" s="2" t="s">
        <v>28</v>
      </c>
      <c r="E2831" s="2" t="s">
        <v>29</v>
      </c>
      <c r="F2831" s="2">
        <v>90</v>
      </c>
      <c r="G2831" s="2" t="s">
        <v>7186</v>
      </c>
      <c r="H2831" s="2" t="s">
        <v>1358</v>
      </c>
      <c r="I2831" s="2" t="s">
        <v>1359</v>
      </c>
      <c r="J2831" s="3">
        <v>44245</v>
      </c>
      <c r="K2831" s="5">
        <f>YEAR(OrganizedData[[#This Row],[Order Date]])</f>
        <v>2021</v>
      </c>
      <c r="L2831" s="7" t="str">
        <f>TEXT(OrganizedData[[#This Row],[Order Date]],"mmm")</f>
        <v>Feb</v>
      </c>
      <c r="M2831" s="2">
        <v>80</v>
      </c>
      <c r="N2831" s="2" t="s">
        <v>159</v>
      </c>
      <c r="O2831" s="2" t="str">
        <f>VLOOKUP(OrganizedData[[#This Row],[Product Code]],ProductData[[Code]:[Item]],2,FALSE)</f>
        <v>Ultrathing V3</v>
      </c>
      <c r="P2831" s="4">
        <f>OrganizedData[[#This Row],[Quantity]]*VLOOKUP(OrganizedData[[#This Row],[Product Code]],ProductData[],4,FALSE)</f>
        <v>1920</v>
      </c>
      <c r="Q2831" s="6">
        <f>OrganizedData[[#This Row],[Total Items Ordered]]*VLOOKUP(OrganizedData[[#This Row],[Product Code]],ProductData[],3,FALSE)</f>
        <v>6508.8</v>
      </c>
      <c r="R28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6183.36</v>
      </c>
    </row>
    <row r="2832" spans="1:18" x14ac:dyDescent="0.3">
      <c r="A2832" s="2">
        <v>2825</v>
      </c>
      <c r="B2832" s="2" t="s">
        <v>5199</v>
      </c>
      <c r="C2832" s="2" t="s">
        <v>7187</v>
      </c>
      <c r="D2832" s="2" t="s">
        <v>15</v>
      </c>
      <c r="E2832" s="2" t="s">
        <v>16</v>
      </c>
      <c r="F2832" s="2">
        <v>30</v>
      </c>
      <c r="G2832" s="2" t="s">
        <v>7188</v>
      </c>
      <c r="H2832" s="2" t="s">
        <v>1382</v>
      </c>
      <c r="I2832" s="2" t="s">
        <v>32</v>
      </c>
      <c r="J2832" s="3">
        <v>44746</v>
      </c>
      <c r="K2832" s="5">
        <f>YEAR(OrganizedData[[#This Row],[Order Date]])</f>
        <v>2022</v>
      </c>
      <c r="L2832" s="7" t="str">
        <f>TEXT(OrganizedData[[#This Row],[Order Date]],"mmm")</f>
        <v>Jul</v>
      </c>
      <c r="M2832" s="2">
        <v>83</v>
      </c>
      <c r="N2832" s="2" t="s">
        <v>45</v>
      </c>
      <c r="O2832" s="2" t="str">
        <f>VLOOKUP(OrganizedData[[#This Row],[Product Code]],ProductData[[Code]:[Item]],2,FALSE)</f>
        <v>Gigastuff</v>
      </c>
      <c r="P2832" s="4">
        <f>OrganizedData[[#This Row],[Quantity]]*VLOOKUP(OrganizedData[[#This Row],[Product Code]],ProductData[],4,FALSE)</f>
        <v>1494</v>
      </c>
      <c r="Q2832" s="6">
        <f>OrganizedData[[#This Row],[Total Items Ordered]]*VLOOKUP(OrganizedData[[#This Row],[Product Code]],ProductData[],3,FALSE)</f>
        <v>2823.66</v>
      </c>
      <c r="R28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2682.4769999999999</v>
      </c>
    </row>
    <row r="2833" spans="1:18" x14ac:dyDescent="0.3">
      <c r="A2833" s="2">
        <v>2826</v>
      </c>
      <c r="B2833" s="2" t="s">
        <v>1923</v>
      </c>
      <c r="C2833" s="2" t="s">
        <v>2547</v>
      </c>
      <c r="D2833" s="2" t="s">
        <v>28</v>
      </c>
      <c r="E2833" s="2" t="s">
        <v>29</v>
      </c>
      <c r="F2833" s="2">
        <v>90</v>
      </c>
      <c r="G2833" s="2" t="s">
        <v>7189</v>
      </c>
      <c r="H2833" s="2" t="s">
        <v>68</v>
      </c>
      <c r="I2833" s="2" t="s">
        <v>69</v>
      </c>
      <c r="J2833" s="3">
        <v>44868</v>
      </c>
      <c r="K2833" s="5">
        <f>YEAR(OrganizedData[[#This Row],[Order Date]])</f>
        <v>2022</v>
      </c>
      <c r="L2833" s="7" t="str">
        <f>TEXT(OrganizedData[[#This Row],[Order Date]],"mmm")</f>
        <v>Nov</v>
      </c>
      <c r="M2833" s="2">
        <v>103</v>
      </c>
      <c r="N2833" s="2" t="s">
        <v>20</v>
      </c>
      <c r="O2833" s="2" t="str">
        <f>VLOOKUP(OrganizedData[[#This Row],[Product Code]],ProductData[[Code]:[Item]],2,FALSE)</f>
        <v>Hyperwotsit</v>
      </c>
      <c r="P2833" s="4">
        <f>OrganizedData[[#This Row],[Quantity]]*VLOOKUP(OrganizedData[[#This Row],[Product Code]],ProductData[],4,FALSE)</f>
        <v>2060</v>
      </c>
      <c r="Q2833" s="6">
        <f>OrganizedData[[#This Row],[Total Items Ordered]]*VLOOKUP(OrganizedData[[#This Row],[Product Code]],ProductData[],3,FALSE)</f>
        <v>4140.5999999999995</v>
      </c>
      <c r="R28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3850.7579999999998</v>
      </c>
    </row>
    <row r="2834" spans="1:18" x14ac:dyDescent="0.3">
      <c r="A2834" s="2">
        <v>2827</v>
      </c>
      <c r="B2834" s="2" t="s">
        <v>390</v>
      </c>
      <c r="C2834" s="2" t="s">
        <v>5670</v>
      </c>
      <c r="D2834" s="2" t="s">
        <v>28</v>
      </c>
      <c r="E2834" s="2" t="s">
        <v>29</v>
      </c>
      <c r="F2834" s="2">
        <v>30</v>
      </c>
      <c r="G2834" s="2" t="s">
        <v>7190</v>
      </c>
      <c r="H2834" s="2" t="s">
        <v>1884</v>
      </c>
      <c r="I2834" s="2" t="s">
        <v>1885</v>
      </c>
      <c r="J2834" s="3">
        <v>44311</v>
      </c>
      <c r="K2834" s="5">
        <f>YEAR(OrganizedData[[#This Row],[Order Date]])</f>
        <v>2021</v>
      </c>
      <c r="L2834" s="7" t="str">
        <f>TEXT(OrganizedData[[#This Row],[Order Date]],"mmm")</f>
        <v>Apr</v>
      </c>
      <c r="M2834" s="2">
        <v>44</v>
      </c>
      <c r="N2834" s="2" t="s">
        <v>159</v>
      </c>
      <c r="O2834" s="2" t="str">
        <f>VLOOKUP(OrganizedData[[#This Row],[Product Code]],ProductData[[Code]:[Item]],2,FALSE)</f>
        <v>Ultrathing V3</v>
      </c>
      <c r="P2834" s="4">
        <f>OrganizedData[[#This Row],[Quantity]]*VLOOKUP(OrganizedData[[#This Row],[Product Code]],ProductData[],4,FALSE)</f>
        <v>1056</v>
      </c>
      <c r="Q2834" s="6">
        <f>OrganizedData[[#This Row],[Total Items Ordered]]*VLOOKUP(OrganizedData[[#This Row],[Product Code]],ProductData[],3,FALSE)</f>
        <v>3579.84</v>
      </c>
      <c r="R28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2835" spans="1:18" x14ac:dyDescent="0.3">
      <c r="A2835" s="2">
        <v>2828</v>
      </c>
      <c r="B2835" s="2" t="s">
        <v>7191</v>
      </c>
      <c r="C2835" s="2" t="s">
        <v>5853</v>
      </c>
      <c r="D2835" s="2" t="s">
        <v>15</v>
      </c>
      <c r="E2835" s="2" t="s">
        <v>16</v>
      </c>
      <c r="F2835" s="2">
        <v>30</v>
      </c>
      <c r="G2835" s="2" t="s">
        <v>7192</v>
      </c>
      <c r="H2835" s="2" t="s">
        <v>3059</v>
      </c>
      <c r="I2835" s="2" t="s">
        <v>187</v>
      </c>
      <c r="J2835" s="3">
        <v>44018</v>
      </c>
      <c r="K2835" s="5">
        <f>YEAR(OrganizedData[[#This Row],[Order Date]])</f>
        <v>2020</v>
      </c>
      <c r="L2835" s="7" t="str">
        <f>TEXT(OrganizedData[[#This Row],[Order Date]],"mmm")</f>
        <v>Jul</v>
      </c>
      <c r="M2835" s="2">
        <v>46</v>
      </c>
      <c r="N2835" s="2" t="s">
        <v>45</v>
      </c>
      <c r="O2835" s="2" t="str">
        <f>VLOOKUP(OrganizedData[[#This Row],[Product Code]],ProductData[[Code]:[Item]],2,FALSE)</f>
        <v>Gigastuff</v>
      </c>
      <c r="P2835" s="4">
        <f>OrganizedData[[#This Row],[Quantity]]*VLOOKUP(OrganizedData[[#This Row],[Product Code]],ProductData[],4,FALSE)</f>
        <v>828</v>
      </c>
      <c r="Q2835" s="6">
        <f>OrganizedData[[#This Row],[Total Items Ordered]]*VLOOKUP(OrganizedData[[#This Row],[Product Code]],ProductData[],3,FALSE)</f>
        <v>1564.9199999999998</v>
      </c>
      <c r="R28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1517.9723999999999</v>
      </c>
    </row>
    <row r="2836" spans="1:18" x14ac:dyDescent="0.3">
      <c r="A2836" s="2">
        <v>2829</v>
      </c>
      <c r="B2836" s="2" t="s">
        <v>7193</v>
      </c>
      <c r="C2836" s="2" t="s">
        <v>1282</v>
      </c>
      <c r="D2836" s="2" t="s">
        <v>51</v>
      </c>
      <c r="E2836" s="2" t="s">
        <v>16</v>
      </c>
      <c r="F2836" s="2">
        <v>90</v>
      </c>
      <c r="G2836" s="2" t="s">
        <v>7194</v>
      </c>
      <c r="H2836" s="2" t="s">
        <v>3263</v>
      </c>
      <c r="I2836" s="2" t="s">
        <v>32</v>
      </c>
      <c r="J2836" s="3">
        <v>44312</v>
      </c>
      <c r="K2836" s="5">
        <f>YEAR(OrganizedData[[#This Row],[Order Date]])</f>
        <v>2021</v>
      </c>
      <c r="L2836" s="7" t="str">
        <f>TEXT(OrganizedData[[#This Row],[Order Date]],"mmm")</f>
        <v>Apr</v>
      </c>
      <c r="M2836" s="2">
        <v>67</v>
      </c>
      <c r="N2836" s="2" t="s">
        <v>159</v>
      </c>
      <c r="O2836" s="2" t="str">
        <f>VLOOKUP(OrganizedData[[#This Row],[Product Code]],ProductData[[Code]:[Item]],2,FALSE)</f>
        <v>Ultrathing V3</v>
      </c>
      <c r="P2836" s="4">
        <f>OrganizedData[[#This Row],[Quantity]]*VLOOKUP(OrganizedData[[#This Row],[Product Code]],ProductData[],4,FALSE)</f>
        <v>1608</v>
      </c>
      <c r="Q2836" s="6">
        <f>OrganizedData[[#This Row],[Total Items Ordered]]*VLOOKUP(OrganizedData[[#This Row],[Product Code]],ProductData[],3,FALSE)</f>
        <v>5451.12</v>
      </c>
      <c r="R28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5178.5639999999994</v>
      </c>
    </row>
    <row r="2837" spans="1:18" x14ac:dyDescent="0.3">
      <c r="A2837" s="2">
        <v>2830</v>
      </c>
      <c r="B2837" s="2" t="s">
        <v>7195</v>
      </c>
      <c r="C2837" s="2" t="s">
        <v>902</v>
      </c>
      <c r="D2837" s="2" t="s">
        <v>117</v>
      </c>
      <c r="E2837" s="2" t="s">
        <v>16</v>
      </c>
      <c r="F2837" s="2">
        <v>60</v>
      </c>
      <c r="G2837" s="2" t="s">
        <v>7196</v>
      </c>
      <c r="H2837" s="2" t="s">
        <v>5406</v>
      </c>
      <c r="I2837" s="2" t="s">
        <v>32</v>
      </c>
      <c r="J2837" s="3">
        <v>44392</v>
      </c>
      <c r="K2837" s="5">
        <f>YEAR(OrganizedData[[#This Row],[Order Date]])</f>
        <v>2021</v>
      </c>
      <c r="L2837" s="7" t="str">
        <f>TEXT(OrganizedData[[#This Row],[Order Date]],"mmm")</f>
        <v>Jul</v>
      </c>
      <c r="M2837" s="2">
        <v>78</v>
      </c>
      <c r="N2837" s="2" t="s">
        <v>39</v>
      </c>
      <c r="O2837" s="2" t="str">
        <f>VLOOKUP(OrganizedData[[#This Row],[Product Code]],ProductData[[Code]:[Item]],2,FALSE)</f>
        <v>Ultrathing V1</v>
      </c>
      <c r="P2837" s="4">
        <f>OrganizedData[[#This Row],[Quantity]]*VLOOKUP(OrganizedData[[#This Row],[Product Code]],ProductData[],4,FALSE)</f>
        <v>1326</v>
      </c>
      <c r="Q2837" s="6">
        <f>OrganizedData[[#This Row],[Total Items Ordered]]*VLOOKUP(OrganizedData[[#This Row],[Product Code]],ProductData[],3,FALSE)</f>
        <v>2373.54</v>
      </c>
      <c r="R28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2254.8629999999998</v>
      </c>
    </row>
    <row r="2838" spans="1:18" x14ac:dyDescent="0.3">
      <c r="A2838" s="2">
        <v>2831</v>
      </c>
      <c r="B2838" s="2" t="s">
        <v>7197</v>
      </c>
      <c r="C2838" s="2" t="s">
        <v>7198</v>
      </c>
      <c r="D2838" s="2" t="s">
        <v>28</v>
      </c>
      <c r="E2838" s="2" t="s">
        <v>29</v>
      </c>
      <c r="F2838" s="2">
        <v>90</v>
      </c>
      <c r="G2838" s="2" t="s">
        <v>7199</v>
      </c>
      <c r="H2838" s="2" t="s">
        <v>2972</v>
      </c>
      <c r="I2838" s="2" t="s">
        <v>32</v>
      </c>
      <c r="J2838" s="3">
        <v>44270</v>
      </c>
      <c r="K2838" s="5">
        <f>YEAR(OrganizedData[[#This Row],[Order Date]])</f>
        <v>2021</v>
      </c>
      <c r="L2838" s="7" t="str">
        <f>TEXT(OrganizedData[[#This Row],[Order Date]],"mmm")</f>
        <v>Mar</v>
      </c>
      <c r="M2838" s="2">
        <v>25</v>
      </c>
      <c r="N2838" s="2" t="s">
        <v>101</v>
      </c>
      <c r="O2838" s="2" t="str">
        <f>VLOOKUP(OrganizedData[[#This Row],[Product Code]],ProductData[[Code]:[Item]],2,FALSE)</f>
        <v>Superwossname</v>
      </c>
      <c r="P2838" s="4">
        <f>OrganizedData[[#This Row],[Quantity]]*VLOOKUP(OrganizedData[[#This Row],[Product Code]],ProductData[],4,FALSE)</f>
        <v>500</v>
      </c>
      <c r="Q2838" s="6">
        <f>OrganizedData[[#This Row],[Total Items Ordered]]*VLOOKUP(OrganizedData[[#This Row],[Product Code]],ProductData[],3,FALSE)</f>
        <v>1745</v>
      </c>
      <c r="R28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2839" spans="1:18" x14ac:dyDescent="0.3">
      <c r="A2839" s="2">
        <v>2832</v>
      </c>
      <c r="B2839" s="2" t="s">
        <v>7200</v>
      </c>
      <c r="C2839" s="2" t="s">
        <v>305</v>
      </c>
      <c r="D2839" s="2" t="s">
        <v>28</v>
      </c>
      <c r="E2839" s="2" t="s">
        <v>29</v>
      </c>
      <c r="F2839" s="2">
        <v>90</v>
      </c>
      <c r="G2839" s="2" t="s">
        <v>7201</v>
      </c>
      <c r="H2839" s="2" t="s">
        <v>5751</v>
      </c>
      <c r="I2839" s="2" t="s">
        <v>178</v>
      </c>
      <c r="J2839" s="3">
        <v>44356</v>
      </c>
      <c r="K2839" s="5">
        <f>YEAR(OrganizedData[[#This Row],[Order Date]])</f>
        <v>2021</v>
      </c>
      <c r="L2839" s="7" t="str">
        <f>TEXT(OrganizedData[[#This Row],[Order Date]],"mmm")</f>
        <v>Jun</v>
      </c>
      <c r="M2839" s="2">
        <v>10</v>
      </c>
      <c r="N2839" s="2" t="s">
        <v>45</v>
      </c>
      <c r="O2839" s="2" t="str">
        <f>VLOOKUP(OrganizedData[[#This Row],[Product Code]],ProductData[[Code]:[Item]],2,FALSE)</f>
        <v>Gigastuff</v>
      </c>
      <c r="P2839" s="4">
        <f>OrganizedData[[#This Row],[Quantity]]*VLOOKUP(OrganizedData[[#This Row],[Product Code]],ProductData[],4,FALSE)</f>
        <v>180</v>
      </c>
      <c r="Q2839" s="6">
        <f>OrganizedData[[#This Row],[Total Items Ordered]]*VLOOKUP(OrganizedData[[#This Row],[Product Code]],ProductData[],3,FALSE)</f>
        <v>340.2</v>
      </c>
      <c r="R28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2840" spans="1:18" x14ac:dyDescent="0.3">
      <c r="A2840" s="2">
        <v>2833</v>
      </c>
      <c r="B2840" s="2" t="s">
        <v>7202</v>
      </c>
      <c r="C2840" s="2" t="s">
        <v>2431</v>
      </c>
      <c r="D2840" s="2" t="s">
        <v>28</v>
      </c>
      <c r="E2840" s="2" t="s">
        <v>29</v>
      </c>
      <c r="F2840" s="2">
        <v>90</v>
      </c>
      <c r="G2840" s="2" t="s">
        <v>7201</v>
      </c>
      <c r="H2840" s="2" t="s">
        <v>7203</v>
      </c>
      <c r="I2840" s="2" t="s">
        <v>32</v>
      </c>
      <c r="J2840" s="3">
        <v>44022</v>
      </c>
      <c r="K2840" s="5">
        <f>YEAR(OrganizedData[[#This Row],[Order Date]])</f>
        <v>2020</v>
      </c>
      <c r="L2840" s="7" t="str">
        <f>TEXT(OrganizedData[[#This Row],[Order Date]],"mmm")</f>
        <v>Jul</v>
      </c>
      <c r="M2840" s="2">
        <v>40</v>
      </c>
      <c r="N2840" s="2" t="s">
        <v>20</v>
      </c>
      <c r="O2840" s="2" t="str">
        <f>VLOOKUP(OrganizedData[[#This Row],[Product Code]],ProductData[[Code]:[Item]],2,FALSE)</f>
        <v>Hyperwotsit</v>
      </c>
      <c r="P2840" s="4">
        <f>OrganizedData[[#This Row],[Quantity]]*VLOOKUP(OrganizedData[[#This Row],[Product Code]],ProductData[],4,FALSE)</f>
        <v>800</v>
      </c>
      <c r="Q2840" s="6">
        <f>OrganizedData[[#This Row],[Total Items Ordered]]*VLOOKUP(OrganizedData[[#This Row],[Product Code]],ProductData[],3,FALSE)</f>
        <v>1607.9999999999998</v>
      </c>
      <c r="R28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2841" spans="1:18" x14ac:dyDescent="0.3">
      <c r="A2841" s="2">
        <v>2834</v>
      </c>
      <c r="B2841" s="2" t="s">
        <v>7204</v>
      </c>
      <c r="C2841" s="2" t="s">
        <v>414</v>
      </c>
      <c r="D2841" s="2" t="s">
        <v>28</v>
      </c>
      <c r="E2841" s="2" t="s">
        <v>29</v>
      </c>
      <c r="F2841" s="2">
        <v>30</v>
      </c>
      <c r="G2841" s="2" t="s">
        <v>7205</v>
      </c>
      <c r="H2841" s="2" t="s">
        <v>2846</v>
      </c>
      <c r="I2841" s="2" t="s">
        <v>32</v>
      </c>
      <c r="J2841" s="3">
        <v>43931</v>
      </c>
      <c r="K2841" s="5">
        <f>YEAR(OrganizedData[[#This Row],[Order Date]])</f>
        <v>2020</v>
      </c>
      <c r="L2841" s="7" t="str">
        <f>TEXT(OrganizedData[[#This Row],[Order Date]],"mmm")</f>
        <v>Apr</v>
      </c>
      <c r="M2841" s="2">
        <v>78</v>
      </c>
      <c r="N2841" s="2" t="s">
        <v>20</v>
      </c>
      <c r="O2841" s="2" t="str">
        <f>VLOOKUP(OrganizedData[[#This Row],[Product Code]],ProductData[[Code]:[Item]],2,FALSE)</f>
        <v>Hyperwotsit</v>
      </c>
      <c r="P2841" s="4">
        <f>OrganizedData[[#This Row],[Quantity]]*VLOOKUP(OrganizedData[[#This Row],[Product Code]],ProductData[],4,FALSE)</f>
        <v>1560</v>
      </c>
      <c r="Q2841" s="6">
        <f>OrganizedData[[#This Row],[Total Items Ordered]]*VLOOKUP(OrganizedData[[#This Row],[Product Code]],ProductData[],3,FALSE)</f>
        <v>3135.5999999999995</v>
      </c>
      <c r="R28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2978.8199999999993</v>
      </c>
    </row>
    <row r="2842" spans="1:18" x14ac:dyDescent="0.3">
      <c r="A2842" s="2">
        <v>2835</v>
      </c>
      <c r="B2842" s="2" t="s">
        <v>592</v>
      </c>
      <c r="C2842" s="2" t="s">
        <v>7206</v>
      </c>
      <c r="D2842" s="2" t="s">
        <v>28</v>
      </c>
      <c r="E2842" s="2" t="s">
        <v>29</v>
      </c>
      <c r="F2842" s="2">
        <v>60</v>
      </c>
      <c r="G2842" s="2" t="s">
        <v>7207</v>
      </c>
      <c r="H2842" s="2" t="s">
        <v>6618</v>
      </c>
      <c r="I2842" s="2" t="s">
        <v>32</v>
      </c>
      <c r="J2842" s="3">
        <v>44844</v>
      </c>
      <c r="K2842" s="5">
        <f>YEAR(OrganizedData[[#This Row],[Order Date]])</f>
        <v>2022</v>
      </c>
      <c r="L2842" s="7" t="str">
        <f>TEXT(OrganizedData[[#This Row],[Order Date]],"mmm")</f>
        <v>Oct</v>
      </c>
      <c r="M2842" s="2">
        <v>5</v>
      </c>
      <c r="N2842" s="2" t="s">
        <v>20</v>
      </c>
      <c r="O2842" s="2" t="str">
        <f>VLOOKUP(OrganizedData[[#This Row],[Product Code]],ProductData[[Code]:[Item]],2,FALSE)</f>
        <v>Hyperwotsit</v>
      </c>
      <c r="P2842" s="4">
        <f>OrganizedData[[#This Row],[Quantity]]*VLOOKUP(OrganizedData[[#This Row],[Product Code]],ProductData[],4,FALSE)</f>
        <v>100</v>
      </c>
      <c r="Q2842" s="6">
        <f>OrganizedData[[#This Row],[Total Items Ordered]]*VLOOKUP(OrganizedData[[#This Row],[Product Code]],ProductData[],3,FALSE)</f>
        <v>200.99999999999997</v>
      </c>
      <c r="R28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200.99999999999997</v>
      </c>
    </row>
    <row r="2843" spans="1:18" x14ac:dyDescent="0.3">
      <c r="A2843" s="2">
        <v>2836</v>
      </c>
      <c r="B2843" s="2" t="s">
        <v>7208</v>
      </c>
      <c r="C2843" s="2" t="s">
        <v>2970</v>
      </c>
      <c r="D2843" s="2" t="s">
        <v>15</v>
      </c>
      <c r="E2843" s="2" t="s">
        <v>16</v>
      </c>
      <c r="F2843" s="2">
        <v>60</v>
      </c>
      <c r="G2843" s="2" t="s">
        <v>10535</v>
      </c>
      <c r="H2843" s="2" t="s">
        <v>1186</v>
      </c>
      <c r="I2843" s="2" t="s">
        <v>32</v>
      </c>
      <c r="J2843" s="3">
        <v>44535</v>
      </c>
      <c r="K2843" s="5">
        <f>YEAR(OrganizedData[[#This Row],[Order Date]])</f>
        <v>2021</v>
      </c>
      <c r="L2843" s="7" t="str">
        <f>TEXT(OrganizedData[[#This Row],[Order Date]],"mmm")</f>
        <v>Dec</v>
      </c>
      <c r="M2843" s="2">
        <v>7</v>
      </c>
      <c r="N2843" s="2" t="s">
        <v>33</v>
      </c>
      <c r="O2843" s="2" t="str">
        <f>VLOOKUP(OrganizedData[[#This Row],[Product Code]],ProductData[[Code]:[Item]],2,FALSE)</f>
        <v>Megawidget L</v>
      </c>
      <c r="P2843" s="4">
        <f>OrganizedData[[#This Row],[Quantity]]*VLOOKUP(OrganizedData[[#This Row],[Product Code]],ProductData[],4,FALSE)</f>
        <v>168</v>
      </c>
      <c r="Q2843" s="6">
        <f>OrganizedData[[#This Row],[Total Items Ordered]]*VLOOKUP(OrganizedData[[#This Row],[Product Code]],ProductData[],3,FALSE)</f>
        <v>300.72000000000003</v>
      </c>
      <c r="R28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2844" spans="1:18" x14ac:dyDescent="0.3">
      <c r="A2844" s="2">
        <v>2837</v>
      </c>
      <c r="B2844" s="2" t="s">
        <v>3094</v>
      </c>
      <c r="C2844" s="2" t="s">
        <v>2349</v>
      </c>
      <c r="D2844" s="2" t="s">
        <v>15</v>
      </c>
      <c r="E2844" s="2" t="s">
        <v>16</v>
      </c>
      <c r="F2844" s="2">
        <v>60</v>
      </c>
      <c r="G2844" s="2" t="s">
        <v>7210</v>
      </c>
      <c r="H2844" s="2" t="s">
        <v>6880</v>
      </c>
      <c r="I2844" s="2" t="s">
        <v>32</v>
      </c>
      <c r="J2844" s="3">
        <v>44388</v>
      </c>
      <c r="K2844" s="5">
        <f>YEAR(OrganizedData[[#This Row],[Order Date]])</f>
        <v>2021</v>
      </c>
      <c r="L2844" s="7" t="str">
        <f>TEXT(OrganizedData[[#This Row],[Order Date]],"mmm")</f>
        <v>Jul</v>
      </c>
      <c r="M2844" s="2">
        <v>28</v>
      </c>
      <c r="N2844" s="2" t="s">
        <v>64</v>
      </c>
      <c r="O2844" s="2" t="str">
        <f>VLOOKUP(OrganizedData[[#This Row],[Product Code]],ProductData[[Code]:[Item]],2,FALSE)</f>
        <v>Ultrathing V4</v>
      </c>
      <c r="P2844" s="4">
        <f>OrganizedData[[#This Row],[Quantity]]*VLOOKUP(OrganizedData[[#This Row],[Product Code]],ProductData[],4,FALSE)</f>
        <v>672</v>
      </c>
      <c r="Q2844" s="6">
        <f>OrganizedData[[#This Row],[Total Items Ordered]]*VLOOKUP(OrganizedData[[#This Row],[Product Code]],ProductData[],3,FALSE)</f>
        <v>2681.28</v>
      </c>
      <c r="R28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2600.8416000000002</v>
      </c>
    </row>
    <row r="2845" spans="1:18" x14ac:dyDescent="0.3">
      <c r="A2845" s="2">
        <v>2838</v>
      </c>
      <c r="B2845" s="2" t="s">
        <v>7211</v>
      </c>
      <c r="C2845" s="2" t="s">
        <v>644</v>
      </c>
      <c r="D2845" s="2" t="s">
        <v>28</v>
      </c>
      <c r="E2845" s="2" t="s">
        <v>29</v>
      </c>
      <c r="F2845" s="2">
        <v>90</v>
      </c>
      <c r="G2845" s="2" t="s">
        <v>7212</v>
      </c>
      <c r="H2845" s="2" t="s">
        <v>1082</v>
      </c>
      <c r="I2845" s="2" t="s">
        <v>1083</v>
      </c>
      <c r="J2845" s="3">
        <v>43834</v>
      </c>
      <c r="K2845" s="5">
        <f>YEAR(OrganizedData[[#This Row],[Order Date]])</f>
        <v>2020</v>
      </c>
      <c r="L2845" s="7" t="str">
        <f>TEXT(OrganizedData[[#This Row],[Order Date]],"mmm")</f>
        <v>Jan</v>
      </c>
      <c r="M2845" s="2">
        <v>22</v>
      </c>
      <c r="N2845" s="2" t="s">
        <v>70</v>
      </c>
      <c r="O2845" s="2" t="str">
        <f>VLOOKUP(OrganizedData[[#This Row],[Product Code]],ProductData[[Code]:[Item]],2,FALSE)</f>
        <v>Megawidget M</v>
      </c>
      <c r="P2845" s="4">
        <f>OrganizedData[[#This Row],[Quantity]]*VLOOKUP(OrganizedData[[#This Row],[Product Code]],ProductData[],4,FALSE)</f>
        <v>528</v>
      </c>
      <c r="Q2845" s="6">
        <f>OrganizedData[[#This Row],[Total Items Ordered]]*VLOOKUP(OrganizedData[[#This Row],[Product Code]],ProductData[],3,FALSE)</f>
        <v>681.12</v>
      </c>
      <c r="R28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2846" spans="1:18" x14ac:dyDescent="0.3">
      <c r="A2846" s="2">
        <v>2839</v>
      </c>
      <c r="B2846" s="2" t="s">
        <v>656</v>
      </c>
      <c r="C2846" s="2" t="s">
        <v>2220</v>
      </c>
      <c r="D2846" s="2" t="s">
        <v>51</v>
      </c>
      <c r="E2846" s="2" t="s">
        <v>16</v>
      </c>
      <c r="F2846" s="2">
        <v>90</v>
      </c>
      <c r="G2846" s="2" t="s">
        <v>7212</v>
      </c>
      <c r="H2846" s="2" t="s">
        <v>5148</v>
      </c>
      <c r="I2846" s="2" t="s">
        <v>32</v>
      </c>
      <c r="J2846" s="3">
        <v>44764</v>
      </c>
      <c r="K2846" s="5">
        <f>YEAR(OrganizedData[[#This Row],[Order Date]])</f>
        <v>2022</v>
      </c>
      <c r="L2846" s="7" t="str">
        <f>TEXT(OrganizedData[[#This Row],[Order Date]],"mmm")</f>
        <v>Jul</v>
      </c>
      <c r="M2846" s="2">
        <v>7</v>
      </c>
      <c r="N2846" s="2" t="s">
        <v>39</v>
      </c>
      <c r="O2846" s="2" t="str">
        <f>VLOOKUP(OrganizedData[[#This Row],[Product Code]],ProductData[[Code]:[Item]],2,FALSE)</f>
        <v>Ultrathing V1</v>
      </c>
      <c r="P2846" s="4">
        <f>OrganizedData[[#This Row],[Quantity]]*VLOOKUP(OrganizedData[[#This Row],[Product Code]],ProductData[],4,FALSE)</f>
        <v>119</v>
      </c>
      <c r="Q2846" s="6">
        <f>OrganizedData[[#This Row],[Total Items Ordered]]*VLOOKUP(OrganizedData[[#This Row],[Product Code]],ProductData[],3,FALSE)</f>
        <v>213.01</v>
      </c>
      <c r="R28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213.01</v>
      </c>
    </row>
    <row r="2847" spans="1:18" x14ac:dyDescent="0.3">
      <c r="A2847" s="2">
        <v>2840</v>
      </c>
      <c r="B2847" s="2" t="s">
        <v>1842</v>
      </c>
      <c r="C2847" s="2" t="s">
        <v>5862</v>
      </c>
      <c r="D2847" s="2" t="s">
        <v>28</v>
      </c>
      <c r="E2847" s="2" t="s">
        <v>29</v>
      </c>
      <c r="F2847" s="2">
        <v>90</v>
      </c>
      <c r="G2847" s="2" t="s">
        <v>7213</v>
      </c>
      <c r="H2847" s="2" t="s">
        <v>2717</v>
      </c>
      <c r="I2847" s="2" t="s">
        <v>1889</v>
      </c>
      <c r="J2847" s="3">
        <v>44770</v>
      </c>
      <c r="K2847" s="5">
        <f>YEAR(OrganizedData[[#This Row],[Order Date]])</f>
        <v>2022</v>
      </c>
      <c r="L2847" s="7" t="str">
        <f>TEXT(OrganizedData[[#This Row],[Order Date]],"mmm")</f>
        <v>Jul</v>
      </c>
      <c r="M2847" s="2">
        <v>44</v>
      </c>
      <c r="N2847" s="2" t="s">
        <v>80</v>
      </c>
      <c r="O2847" s="2" t="str">
        <f>VLOOKUP(OrganizedData[[#This Row],[Product Code]],ProductData[[Code]:[Item]],2,FALSE)</f>
        <v>Ultrathing V2</v>
      </c>
      <c r="P2847" s="4">
        <f>OrganizedData[[#This Row],[Quantity]]*VLOOKUP(OrganizedData[[#This Row],[Product Code]],ProductData[],4,FALSE)</f>
        <v>880</v>
      </c>
      <c r="Q2847" s="6">
        <f>OrganizedData[[#This Row],[Total Items Ordered]]*VLOOKUP(OrganizedData[[#This Row],[Product Code]],ProductData[],3,FALSE)</f>
        <v>2596</v>
      </c>
      <c r="R28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2518.12</v>
      </c>
    </row>
    <row r="2848" spans="1:18" x14ac:dyDescent="0.3">
      <c r="A2848" s="2">
        <v>2841</v>
      </c>
      <c r="B2848" s="2" t="s">
        <v>982</v>
      </c>
      <c r="C2848" s="2" t="s">
        <v>7214</v>
      </c>
      <c r="D2848" s="2" t="s">
        <v>28</v>
      </c>
      <c r="E2848" s="2" t="s">
        <v>29</v>
      </c>
      <c r="F2848" s="2">
        <v>60</v>
      </c>
      <c r="G2848" s="2" t="s">
        <v>7215</v>
      </c>
      <c r="H2848" s="2" t="s">
        <v>599</v>
      </c>
      <c r="I2848" s="2" t="s">
        <v>32</v>
      </c>
      <c r="J2848" s="3">
        <v>43870</v>
      </c>
      <c r="K2848" s="5">
        <f>YEAR(OrganizedData[[#This Row],[Order Date]])</f>
        <v>2020</v>
      </c>
      <c r="L2848" s="7" t="str">
        <f>TEXT(OrganizedData[[#This Row],[Order Date]],"mmm")</f>
        <v>Feb</v>
      </c>
      <c r="M2848" s="2">
        <v>31</v>
      </c>
      <c r="N2848" s="2" t="s">
        <v>64</v>
      </c>
      <c r="O2848" s="2" t="str">
        <f>VLOOKUP(OrganizedData[[#This Row],[Product Code]],ProductData[[Code]:[Item]],2,FALSE)</f>
        <v>Ultrathing V4</v>
      </c>
      <c r="P2848" s="4">
        <f>OrganizedData[[#This Row],[Quantity]]*VLOOKUP(OrganizedData[[#This Row],[Product Code]],ProductData[],4,FALSE)</f>
        <v>744</v>
      </c>
      <c r="Q2848" s="6">
        <f>OrganizedData[[#This Row],[Total Items Ordered]]*VLOOKUP(OrganizedData[[#This Row],[Product Code]],ProductData[],3,FALSE)</f>
        <v>2968.56</v>
      </c>
      <c r="R28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2849" spans="1:18" x14ac:dyDescent="0.3">
      <c r="A2849" s="2">
        <v>2842</v>
      </c>
      <c r="B2849" s="2" t="s">
        <v>5348</v>
      </c>
      <c r="C2849" s="2" t="s">
        <v>948</v>
      </c>
      <c r="D2849" s="2" t="s">
        <v>28</v>
      </c>
      <c r="E2849" s="2" t="s">
        <v>29</v>
      </c>
      <c r="F2849" s="2">
        <v>60</v>
      </c>
      <c r="G2849" s="2" t="s">
        <v>7216</v>
      </c>
      <c r="H2849" s="2" t="s">
        <v>682</v>
      </c>
      <c r="I2849" s="2" t="s">
        <v>32</v>
      </c>
      <c r="J2849" s="3">
        <v>44842</v>
      </c>
      <c r="K2849" s="5">
        <f>YEAR(OrganizedData[[#This Row],[Order Date]])</f>
        <v>2022</v>
      </c>
      <c r="L2849" s="7" t="str">
        <f>TEXT(OrganizedData[[#This Row],[Order Date]],"mmm")</f>
        <v>Oct</v>
      </c>
      <c r="M2849" s="2">
        <v>72</v>
      </c>
      <c r="N2849" s="2" t="s">
        <v>70</v>
      </c>
      <c r="O2849" s="2" t="str">
        <f>VLOOKUP(OrganizedData[[#This Row],[Product Code]],ProductData[[Code]:[Item]],2,FALSE)</f>
        <v>Megawidget M</v>
      </c>
      <c r="P2849" s="4">
        <f>OrganizedData[[#This Row],[Quantity]]*VLOOKUP(OrganizedData[[#This Row],[Product Code]],ProductData[],4,FALSE)</f>
        <v>1728</v>
      </c>
      <c r="Q2849" s="6">
        <f>OrganizedData[[#This Row],[Total Items Ordered]]*VLOOKUP(OrganizedData[[#This Row],[Product Code]],ProductData[],3,FALSE)</f>
        <v>2229.12</v>
      </c>
      <c r="R28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2850" spans="1:18" x14ac:dyDescent="0.3">
      <c r="A2850" s="2">
        <v>2843</v>
      </c>
      <c r="B2850" s="2" t="s">
        <v>2103</v>
      </c>
      <c r="C2850" s="2" t="s">
        <v>5998</v>
      </c>
      <c r="D2850" s="2" t="s">
        <v>15</v>
      </c>
      <c r="E2850" s="2" t="s">
        <v>16</v>
      </c>
      <c r="F2850" s="2">
        <v>60</v>
      </c>
      <c r="G2850" s="2" t="s">
        <v>7217</v>
      </c>
      <c r="H2850" s="2" t="s">
        <v>2706</v>
      </c>
      <c r="I2850" s="2" t="s">
        <v>294</v>
      </c>
      <c r="J2850" s="3">
        <v>44666</v>
      </c>
      <c r="K2850" s="5">
        <f>YEAR(OrganizedData[[#This Row],[Order Date]])</f>
        <v>2022</v>
      </c>
      <c r="L2850" s="7" t="str">
        <f>TEXT(OrganizedData[[#This Row],[Order Date]],"mmm")</f>
        <v>Apr</v>
      </c>
      <c r="M2850" s="2">
        <v>76</v>
      </c>
      <c r="N2850" s="2" t="s">
        <v>64</v>
      </c>
      <c r="O2850" s="2" t="str">
        <f>VLOOKUP(OrganizedData[[#This Row],[Product Code]],ProductData[[Code]:[Item]],2,FALSE)</f>
        <v>Ultrathing V4</v>
      </c>
      <c r="P2850" s="4">
        <f>OrganizedData[[#This Row],[Quantity]]*VLOOKUP(OrganizedData[[#This Row],[Product Code]],ProductData[],4,FALSE)</f>
        <v>1824</v>
      </c>
      <c r="Q2850" s="6">
        <f>OrganizedData[[#This Row],[Total Items Ordered]]*VLOOKUP(OrganizedData[[#This Row],[Product Code]],ProductData[],3,FALSE)</f>
        <v>7277.76</v>
      </c>
      <c r="R28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2851" spans="1:18" x14ac:dyDescent="0.3">
      <c r="A2851" s="2">
        <v>2844</v>
      </c>
      <c r="B2851" s="2" t="s">
        <v>7218</v>
      </c>
      <c r="C2851" s="2" t="s">
        <v>7144</v>
      </c>
      <c r="D2851" s="2" t="s">
        <v>28</v>
      </c>
      <c r="E2851" s="2" t="s">
        <v>29</v>
      </c>
      <c r="F2851" s="2">
        <v>30</v>
      </c>
      <c r="G2851" s="2" t="s">
        <v>7219</v>
      </c>
      <c r="H2851" s="2" t="s">
        <v>1541</v>
      </c>
      <c r="I2851" s="2" t="s">
        <v>32</v>
      </c>
      <c r="J2851" s="3">
        <v>44170</v>
      </c>
      <c r="K2851" s="5">
        <f>YEAR(OrganizedData[[#This Row],[Order Date]])</f>
        <v>2020</v>
      </c>
      <c r="L2851" s="7" t="str">
        <f>TEXT(OrganizedData[[#This Row],[Order Date]],"mmm")</f>
        <v>Dec</v>
      </c>
      <c r="M2851" s="2">
        <v>28</v>
      </c>
      <c r="N2851" s="2" t="s">
        <v>70</v>
      </c>
      <c r="O2851" s="2" t="str">
        <f>VLOOKUP(OrganizedData[[#This Row],[Product Code]],ProductData[[Code]:[Item]],2,FALSE)</f>
        <v>Megawidget M</v>
      </c>
      <c r="P2851" s="4">
        <f>OrganizedData[[#This Row],[Quantity]]*VLOOKUP(OrganizedData[[#This Row],[Product Code]],ProductData[],4,FALSE)</f>
        <v>672</v>
      </c>
      <c r="Q2851" s="6">
        <f>OrganizedData[[#This Row],[Total Items Ordered]]*VLOOKUP(OrganizedData[[#This Row],[Product Code]],ProductData[],3,FALSE)</f>
        <v>866.88</v>
      </c>
      <c r="R28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840.87360000000001</v>
      </c>
    </row>
    <row r="2852" spans="1:18" x14ac:dyDescent="0.3">
      <c r="A2852" s="2">
        <v>2845</v>
      </c>
      <c r="B2852" s="2" t="s">
        <v>6249</v>
      </c>
      <c r="C2852" s="2" t="s">
        <v>156</v>
      </c>
      <c r="D2852" s="2" t="s">
        <v>92</v>
      </c>
      <c r="E2852" s="2" t="s">
        <v>29</v>
      </c>
      <c r="F2852" s="2">
        <v>60</v>
      </c>
      <c r="G2852" s="2" t="s">
        <v>7220</v>
      </c>
      <c r="H2852" s="2" t="s">
        <v>583</v>
      </c>
      <c r="I2852" s="2" t="s">
        <v>32</v>
      </c>
      <c r="J2852" s="3">
        <v>44918</v>
      </c>
      <c r="K2852" s="5">
        <f>YEAR(OrganizedData[[#This Row],[Order Date]])</f>
        <v>2022</v>
      </c>
      <c r="L2852" s="7" t="str">
        <f>TEXT(OrganizedData[[#This Row],[Order Date]],"mmm")</f>
        <v>Dec</v>
      </c>
      <c r="M2852" s="2">
        <v>21</v>
      </c>
      <c r="N2852" s="2" t="s">
        <v>45</v>
      </c>
      <c r="O2852" s="2" t="str">
        <f>VLOOKUP(OrganizedData[[#This Row],[Product Code]],ProductData[[Code]:[Item]],2,FALSE)</f>
        <v>Gigastuff</v>
      </c>
      <c r="P2852" s="4">
        <f>OrganizedData[[#This Row],[Quantity]]*VLOOKUP(OrganizedData[[#This Row],[Product Code]],ProductData[],4,FALSE)</f>
        <v>378</v>
      </c>
      <c r="Q2852" s="6">
        <f>OrganizedData[[#This Row],[Total Items Ordered]]*VLOOKUP(OrganizedData[[#This Row],[Product Code]],ProductData[],3,FALSE)</f>
        <v>714.42</v>
      </c>
      <c r="R28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692.98739999999998</v>
      </c>
    </row>
    <row r="2853" spans="1:18" x14ac:dyDescent="0.3">
      <c r="A2853" s="2">
        <v>2846</v>
      </c>
      <c r="B2853" s="2" t="s">
        <v>7221</v>
      </c>
      <c r="C2853" s="2" t="s">
        <v>6701</v>
      </c>
      <c r="D2853" s="2" t="s">
        <v>51</v>
      </c>
      <c r="E2853" s="2" t="s">
        <v>16</v>
      </c>
      <c r="F2853" s="2">
        <v>60</v>
      </c>
      <c r="G2853" s="2" t="s">
        <v>7222</v>
      </c>
      <c r="H2853" s="2" t="s">
        <v>4924</v>
      </c>
      <c r="I2853" s="2" t="s">
        <v>32</v>
      </c>
      <c r="J2853" s="3">
        <v>44531</v>
      </c>
      <c r="K2853" s="5">
        <f>YEAR(OrganizedData[[#This Row],[Order Date]])</f>
        <v>2021</v>
      </c>
      <c r="L2853" s="7" t="str">
        <f>TEXT(OrganizedData[[#This Row],[Order Date]],"mmm")</f>
        <v>Dec</v>
      </c>
      <c r="M2853" s="2">
        <v>46</v>
      </c>
      <c r="N2853" s="2" t="s">
        <v>54</v>
      </c>
      <c r="O2853" s="2" t="str">
        <f>VLOOKUP(OrganizedData[[#This Row],[Product Code]],ProductData[[Code]:[Item]],2,FALSE)</f>
        <v>Megawidget S</v>
      </c>
      <c r="P2853" s="4">
        <f>OrganizedData[[#This Row],[Quantity]]*VLOOKUP(OrganizedData[[#This Row],[Product Code]],ProductData[],4,FALSE)</f>
        <v>1104</v>
      </c>
      <c r="Q2853" s="6">
        <f>OrganizedData[[#This Row],[Total Items Ordered]]*VLOOKUP(OrganizedData[[#This Row],[Product Code]],ProductData[],3,FALSE)</f>
        <v>761.76</v>
      </c>
      <c r="R28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2854" spans="1:18" x14ac:dyDescent="0.3">
      <c r="A2854" s="2">
        <v>2847</v>
      </c>
      <c r="B2854" s="2" t="s">
        <v>75</v>
      </c>
      <c r="C2854" s="2" t="s">
        <v>4237</v>
      </c>
      <c r="D2854" s="2" t="s">
        <v>28</v>
      </c>
      <c r="E2854" s="2" t="s">
        <v>29</v>
      </c>
      <c r="F2854" s="2">
        <v>30</v>
      </c>
      <c r="G2854" s="2" t="s">
        <v>7223</v>
      </c>
      <c r="H2854" s="2" t="s">
        <v>3637</v>
      </c>
      <c r="I2854" s="2" t="s">
        <v>38</v>
      </c>
      <c r="J2854" s="3">
        <v>43851</v>
      </c>
      <c r="K2854" s="5">
        <f>YEAR(OrganizedData[[#This Row],[Order Date]])</f>
        <v>2020</v>
      </c>
      <c r="L2854" s="7" t="str">
        <f>TEXT(OrganizedData[[#This Row],[Order Date]],"mmm")</f>
        <v>Jan</v>
      </c>
      <c r="M2854" s="2">
        <v>24</v>
      </c>
      <c r="N2854" s="2" t="s">
        <v>64</v>
      </c>
      <c r="O2854" s="2" t="str">
        <f>VLOOKUP(OrganizedData[[#This Row],[Product Code]],ProductData[[Code]:[Item]],2,FALSE)</f>
        <v>Ultrathing V4</v>
      </c>
      <c r="P2854" s="4">
        <f>OrganizedData[[#This Row],[Quantity]]*VLOOKUP(OrganizedData[[#This Row],[Product Code]],ProductData[],4,FALSE)</f>
        <v>576</v>
      </c>
      <c r="Q2854" s="6">
        <f>OrganizedData[[#This Row],[Total Items Ordered]]*VLOOKUP(OrganizedData[[#This Row],[Product Code]],ProductData[],3,FALSE)</f>
        <v>2298.2400000000002</v>
      </c>
      <c r="R28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2229.2928000000002</v>
      </c>
    </row>
    <row r="2855" spans="1:18" x14ac:dyDescent="0.3">
      <c r="A2855" s="2">
        <v>2848</v>
      </c>
      <c r="B2855" s="2" t="s">
        <v>4016</v>
      </c>
      <c r="C2855" s="2" t="s">
        <v>2844</v>
      </c>
      <c r="D2855" s="2" t="s">
        <v>28</v>
      </c>
      <c r="E2855" s="2" t="s">
        <v>29</v>
      </c>
      <c r="F2855" s="2">
        <v>60</v>
      </c>
      <c r="G2855" s="2" t="s">
        <v>7224</v>
      </c>
      <c r="H2855" s="2" t="s">
        <v>4729</v>
      </c>
      <c r="I2855" s="2" t="s">
        <v>32</v>
      </c>
      <c r="J2855" s="3">
        <v>43875</v>
      </c>
      <c r="K2855" s="5">
        <f>YEAR(OrganizedData[[#This Row],[Order Date]])</f>
        <v>2020</v>
      </c>
      <c r="L2855" s="7" t="str">
        <f>TEXT(OrganizedData[[#This Row],[Order Date]],"mmm")</f>
        <v>Feb</v>
      </c>
      <c r="M2855" s="2">
        <v>16</v>
      </c>
      <c r="N2855" s="2" t="s">
        <v>70</v>
      </c>
      <c r="O2855" s="2" t="str">
        <f>VLOOKUP(OrganizedData[[#This Row],[Product Code]],ProductData[[Code]:[Item]],2,FALSE)</f>
        <v>Megawidget M</v>
      </c>
      <c r="P2855" s="4">
        <f>OrganizedData[[#This Row],[Quantity]]*VLOOKUP(OrganizedData[[#This Row],[Product Code]],ProductData[],4,FALSE)</f>
        <v>384</v>
      </c>
      <c r="Q2855" s="6">
        <f>OrganizedData[[#This Row],[Total Items Ordered]]*VLOOKUP(OrganizedData[[#This Row],[Product Code]],ProductData[],3,FALSE)</f>
        <v>495.36</v>
      </c>
      <c r="R28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495.36</v>
      </c>
    </row>
    <row r="2856" spans="1:18" x14ac:dyDescent="0.3">
      <c r="A2856" s="2">
        <v>2849</v>
      </c>
      <c r="B2856" s="2" t="s">
        <v>7225</v>
      </c>
      <c r="C2856" s="2" t="s">
        <v>7226</v>
      </c>
      <c r="D2856" s="2" t="s">
        <v>51</v>
      </c>
      <c r="E2856" s="2" t="s">
        <v>16</v>
      </c>
      <c r="F2856" s="2">
        <v>60</v>
      </c>
      <c r="G2856" s="2" t="s">
        <v>7227</v>
      </c>
      <c r="H2856" s="2" t="s">
        <v>1269</v>
      </c>
      <c r="I2856" s="2" t="s">
        <v>187</v>
      </c>
      <c r="J2856" s="3">
        <v>44864</v>
      </c>
      <c r="K2856" s="5">
        <f>YEAR(OrganizedData[[#This Row],[Order Date]])</f>
        <v>2022</v>
      </c>
      <c r="L2856" s="7" t="str">
        <f>TEXT(OrganizedData[[#This Row],[Order Date]],"mmm")</f>
        <v>Oct</v>
      </c>
      <c r="M2856" s="2">
        <v>59</v>
      </c>
      <c r="N2856" s="2" t="s">
        <v>45</v>
      </c>
      <c r="O2856" s="2" t="str">
        <f>VLOOKUP(OrganizedData[[#This Row],[Product Code]],ProductData[[Code]:[Item]],2,FALSE)</f>
        <v>Gigastuff</v>
      </c>
      <c r="P2856" s="4">
        <f>OrganizedData[[#This Row],[Quantity]]*VLOOKUP(OrganizedData[[#This Row],[Product Code]],ProductData[],4,FALSE)</f>
        <v>1062</v>
      </c>
      <c r="Q2856" s="6">
        <f>OrganizedData[[#This Row],[Total Items Ordered]]*VLOOKUP(OrganizedData[[#This Row],[Product Code]],ProductData[],3,FALSE)</f>
        <v>2007.1799999999998</v>
      </c>
      <c r="R28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1906.8209999999997</v>
      </c>
    </row>
    <row r="2857" spans="1:18" x14ac:dyDescent="0.3">
      <c r="A2857" s="2">
        <v>2850</v>
      </c>
      <c r="B2857" s="2" t="s">
        <v>7228</v>
      </c>
      <c r="C2857" s="2" t="s">
        <v>953</v>
      </c>
      <c r="D2857" s="2" t="s">
        <v>15</v>
      </c>
      <c r="E2857" s="2" t="s">
        <v>16</v>
      </c>
      <c r="F2857" s="2">
        <v>30</v>
      </c>
      <c r="G2857" s="2" t="s">
        <v>7229</v>
      </c>
      <c r="H2857" s="2" t="s">
        <v>2506</v>
      </c>
      <c r="I2857" s="2" t="s">
        <v>32</v>
      </c>
      <c r="J2857" s="3">
        <v>44500</v>
      </c>
      <c r="K2857" s="5">
        <f>YEAR(OrganizedData[[#This Row],[Order Date]])</f>
        <v>2021</v>
      </c>
      <c r="L2857" s="7" t="str">
        <f>TEXT(OrganizedData[[#This Row],[Order Date]],"mmm")</f>
        <v>Oct</v>
      </c>
      <c r="M2857" s="2">
        <v>36</v>
      </c>
      <c r="N2857" s="2" t="s">
        <v>20</v>
      </c>
      <c r="O2857" s="2" t="str">
        <f>VLOOKUP(OrganizedData[[#This Row],[Product Code]],ProductData[[Code]:[Item]],2,FALSE)</f>
        <v>Hyperwotsit</v>
      </c>
      <c r="P2857" s="4">
        <f>OrganizedData[[#This Row],[Quantity]]*VLOOKUP(OrganizedData[[#This Row],[Product Code]],ProductData[],4,FALSE)</f>
        <v>720</v>
      </c>
      <c r="Q2857" s="6">
        <f>OrganizedData[[#This Row],[Total Items Ordered]]*VLOOKUP(OrganizedData[[#This Row],[Product Code]],ProductData[],3,FALSE)</f>
        <v>1447.1999999999998</v>
      </c>
      <c r="R28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1403.7839999999999</v>
      </c>
    </row>
    <row r="2858" spans="1:18" x14ac:dyDescent="0.3">
      <c r="A2858" s="2">
        <v>2851</v>
      </c>
      <c r="B2858" s="2" t="s">
        <v>1262</v>
      </c>
      <c r="C2858" s="2" t="s">
        <v>3029</v>
      </c>
      <c r="D2858" s="2" t="s">
        <v>51</v>
      </c>
      <c r="E2858" s="2" t="s">
        <v>16</v>
      </c>
      <c r="F2858" s="2">
        <v>30</v>
      </c>
      <c r="G2858" s="2" t="s">
        <v>7230</v>
      </c>
      <c r="H2858" s="2" t="s">
        <v>1830</v>
      </c>
      <c r="I2858" s="2" t="s">
        <v>32</v>
      </c>
      <c r="J2858" s="3">
        <v>44676</v>
      </c>
      <c r="K2858" s="5">
        <f>YEAR(OrganizedData[[#This Row],[Order Date]])</f>
        <v>2022</v>
      </c>
      <c r="L2858" s="7" t="str">
        <f>TEXT(OrganizedData[[#This Row],[Order Date]],"mmm")</f>
        <v>Apr</v>
      </c>
      <c r="M2858" s="2">
        <v>29</v>
      </c>
      <c r="N2858" s="2" t="s">
        <v>33</v>
      </c>
      <c r="O2858" s="2" t="str">
        <f>VLOOKUP(OrganizedData[[#This Row],[Product Code]],ProductData[[Code]:[Item]],2,FALSE)</f>
        <v>Megawidget L</v>
      </c>
      <c r="P2858" s="4">
        <f>OrganizedData[[#This Row],[Quantity]]*VLOOKUP(OrganizedData[[#This Row],[Product Code]],ProductData[],4,FALSE)</f>
        <v>696</v>
      </c>
      <c r="Q2858" s="6">
        <f>OrganizedData[[#This Row],[Total Items Ordered]]*VLOOKUP(OrganizedData[[#This Row],[Product Code]],ProductData[],3,FALSE)</f>
        <v>1245.8399999999999</v>
      </c>
      <c r="R28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1208.4648</v>
      </c>
    </row>
    <row r="2859" spans="1:18" x14ac:dyDescent="0.3">
      <c r="A2859" s="2">
        <v>2852</v>
      </c>
      <c r="B2859" s="2" t="s">
        <v>492</v>
      </c>
      <c r="C2859" s="2" t="s">
        <v>7231</v>
      </c>
      <c r="D2859" s="2" t="s">
        <v>28</v>
      </c>
      <c r="E2859" s="2" t="s">
        <v>29</v>
      </c>
      <c r="F2859" s="2">
        <v>60</v>
      </c>
      <c r="G2859" s="2" t="s">
        <v>7232</v>
      </c>
      <c r="H2859" s="2" t="s">
        <v>7233</v>
      </c>
      <c r="I2859" s="2" t="s">
        <v>32</v>
      </c>
      <c r="J2859" s="3">
        <v>44227</v>
      </c>
      <c r="K2859" s="5">
        <f>YEAR(OrganizedData[[#This Row],[Order Date]])</f>
        <v>2021</v>
      </c>
      <c r="L2859" s="7" t="str">
        <f>TEXT(OrganizedData[[#This Row],[Order Date]],"mmm")</f>
        <v>Jan</v>
      </c>
      <c r="M2859" s="2">
        <v>95</v>
      </c>
      <c r="N2859" s="2" t="s">
        <v>45</v>
      </c>
      <c r="O2859" s="2" t="str">
        <f>VLOOKUP(OrganizedData[[#This Row],[Product Code]],ProductData[[Code]:[Item]],2,FALSE)</f>
        <v>Gigastuff</v>
      </c>
      <c r="P2859" s="4">
        <f>OrganizedData[[#This Row],[Quantity]]*VLOOKUP(OrganizedData[[#This Row],[Product Code]],ProductData[],4,FALSE)</f>
        <v>1710</v>
      </c>
      <c r="Q2859" s="6">
        <f>OrganizedData[[#This Row],[Total Items Ordered]]*VLOOKUP(OrganizedData[[#This Row],[Product Code]],ProductData[],3,FALSE)</f>
        <v>3231.8999999999996</v>
      </c>
      <c r="R28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3070.3049999999994</v>
      </c>
    </row>
    <row r="2860" spans="1:18" x14ac:dyDescent="0.3">
      <c r="A2860" s="2">
        <v>2853</v>
      </c>
      <c r="B2860" s="2" t="s">
        <v>7234</v>
      </c>
      <c r="C2860" s="2" t="s">
        <v>1414</v>
      </c>
      <c r="D2860" s="2" t="s">
        <v>51</v>
      </c>
      <c r="E2860" s="2" t="s">
        <v>16</v>
      </c>
      <c r="F2860" s="2">
        <v>90</v>
      </c>
      <c r="G2860" s="2" t="s">
        <v>7235</v>
      </c>
      <c r="H2860" s="2" t="s">
        <v>1781</v>
      </c>
      <c r="I2860" s="2" t="s">
        <v>32</v>
      </c>
      <c r="J2860" s="3">
        <v>43899</v>
      </c>
      <c r="K2860" s="5">
        <f>YEAR(OrganizedData[[#This Row],[Order Date]])</f>
        <v>2020</v>
      </c>
      <c r="L2860" s="7" t="str">
        <f>TEXT(OrganizedData[[#This Row],[Order Date]],"mmm")</f>
        <v>Mar</v>
      </c>
      <c r="M2860" s="2">
        <v>4</v>
      </c>
      <c r="N2860" s="2" t="s">
        <v>101</v>
      </c>
      <c r="O2860" s="2" t="str">
        <f>VLOOKUP(OrganizedData[[#This Row],[Product Code]],ProductData[[Code]:[Item]],2,FALSE)</f>
        <v>Superwossname</v>
      </c>
      <c r="P2860" s="4">
        <f>OrganizedData[[#This Row],[Quantity]]*VLOOKUP(OrganizedData[[#This Row],[Product Code]],ProductData[],4,FALSE)</f>
        <v>80</v>
      </c>
      <c r="Q2860" s="6">
        <f>OrganizedData[[#This Row],[Total Items Ordered]]*VLOOKUP(OrganizedData[[#This Row],[Product Code]],ProductData[],3,FALSE)</f>
        <v>279.20000000000005</v>
      </c>
      <c r="R28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279.20000000000005</v>
      </c>
    </row>
    <row r="2861" spans="1:18" x14ac:dyDescent="0.3">
      <c r="A2861" s="2">
        <v>2854</v>
      </c>
      <c r="B2861" s="2" t="s">
        <v>1337</v>
      </c>
      <c r="C2861" s="2" t="s">
        <v>4790</v>
      </c>
      <c r="D2861" s="2" t="s">
        <v>28</v>
      </c>
      <c r="E2861" s="2" t="s">
        <v>29</v>
      </c>
      <c r="F2861" s="2">
        <v>60</v>
      </c>
      <c r="G2861" s="2" t="s">
        <v>7236</v>
      </c>
      <c r="H2861" s="2" t="s">
        <v>838</v>
      </c>
      <c r="I2861" s="2" t="s">
        <v>839</v>
      </c>
      <c r="J2861" s="3">
        <v>44560</v>
      </c>
      <c r="K2861" s="5">
        <f>YEAR(OrganizedData[[#This Row],[Order Date]])</f>
        <v>2021</v>
      </c>
      <c r="L2861" s="7" t="str">
        <f>TEXT(OrganizedData[[#This Row],[Order Date]],"mmm")</f>
        <v>Dec</v>
      </c>
      <c r="M2861" s="2">
        <v>73</v>
      </c>
      <c r="N2861" s="2" t="s">
        <v>33</v>
      </c>
      <c r="O2861" s="2" t="str">
        <f>VLOOKUP(OrganizedData[[#This Row],[Product Code]],ProductData[[Code]:[Item]],2,FALSE)</f>
        <v>Megawidget L</v>
      </c>
      <c r="P2861" s="4">
        <f>OrganizedData[[#This Row],[Quantity]]*VLOOKUP(OrganizedData[[#This Row],[Product Code]],ProductData[],4,FALSE)</f>
        <v>1752</v>
      </c>
      <c r="Q2861" s="6">
        <f>OrganizedData[[#This Row],[Total Items Ordered]]*VLOOKUP(OrganizedData[[#This Row],[Product Code]],ProductData[],3,FALSE)</f>
        <v>3136.08</v>
      </c>
      <c r="R28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2979.2759999999998</v>
      </c>
    </row>
    <row r="2862" spans="1:18" x14ac:dyDescent="0.3">
      <c r="A2862" s="2">
        <v>2855</v>
      </c>
      <c r="B2862" s="2" t="s">
        <v>3927</v>
      </c>
      <c r="C2862" s="2" t="s">
        <v>1392</v>
      </c>
      <c r="D2862" s="2" t="s">
        <v>28</v>
      </c>
      <c r="E2862" s="2" t="s">
        <v>29</v>
      </c>
      <c r="F2862" s="2">
        <v>60</v>
      </c>
      <c r="G2862" s="2" t="s">
        <v>7237</v>
      </c>
      <c r="H2862" s="2" t="s">
        <v>2990</v>
      </c>
      <c r="I2862" s="2" t="s">
        <v>38</v>
      </c>
      <c r="J2862" s="3">
        <v>44066</v>
      </c>
      <c r="K2862" s="5">
        <f>YEAR(OrganizedData[[#This Row],[Order Date]])</f>
        <v>2020</v>
      </c>
      <c r="L2862" s="7" t="str">
        <f>TEXT(OrganizedData[[#This Row],[Order Date]],"mmm")</f>
        <v>Aug</v>
      </c>
      <c r="M2862" s="2">
        <v>25</v>
      </c>
      <c r="N2862" s="2" t="s">
        <v>70</v>
      </c>
      <c r="O2862" s="2" t="str">
        <f>VLOOKUP(OrganizedData[[#This Row],[Product Code]],ProductData[[Code]:[Item]],2,FALSE)</f>
        <v>Megawidget M</v>
      </c>
      <c r="P2862" s="4">
        <f>OrganizedData[[#This Row],[Quantity]]*VLOOKUP(OrganizedData[[#This Row],[Product Code]],ProductData[],4,FALSE)</f>
        <v>600</v>
      </c>
      <c r="Q2862" s="6">
        <f>OrganizedData[[#This Row],[Total Items Ordered]]*VLOOKUP(OrganizedData[[#This Row],[Product Code]],ProductData[],3,FALSE)</f>
        <v>774</v>
      </c>
      <c r="R28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2863" spans="1:18" x14ac:dyDescent="0.3">
      <c r="A2863" s="2">
        <v>2856</v>
      </c>
      <c r="B2863" s="2" t="s">
        <v>2430</v>
      </c>
      <c r="C2863" s="2" t="s">
        <v>3322</v>
      </c>
      <c r="D2863" s="2" t="s">
        <v>28</v>
      </c>
      <c r="E2863" s="2" t="s">
        <v>29</v>
      </c>
      <c r="F2863" s="2">
        <v>30</v>
      </c>
      <c r="G2863" s="2" t="s">
        <v>7238</v>
      </c>
      <c r="H2863" s="2" t="s">
        <v>4924</v>
      </c>
      <c r="I2863" s="2" t="s">
        <v>32</v>
      </c>
      <c r="J2863" s="3">
        <v>44095</v>
      </c>
      <c r="K2863" s="5">
        <f>YEAR(OrganizedData[[#This Row],[Order Date]])</f>
        <v>2020</v>
      </c>
      <c r="L2863" s="7" t="str">
        <f>TEXT(OrganizedData[[#This Row],[Order Date]],"mmm")</f>
        <v>Sep</v>
      </c>
      <c r="M2863" s="2">
        <v>84</v>
      </c>
      <c r="N2863" s="2" t="s">
        <v>70</v>
      </c>
      <c r="O2863" s="2" t="str">
        <f>VLOOKUP(OrganizedData[[#This Row],[Product Code]],ProductData[[Code]:[Item]],2,FALSE)</f>
        <v>Megawidget M</v>
      </c>
      <c r="P2863" s="4">
        <f>OrganizedData[[#This Row],[Quantity]]*VLOOKUP(OrganizedData[[#This Row],[Product Code]],ProductData[],4,FALSE)</f>
        <v>2016</v>
      </c>
      <c r="Q2863" s="6">
        <f>OrganizedData[[#This Row],[Total Items Ordered]]*VLOOKUP(OrganizedData[[#This Row],[Product Code]],ProductData[],3,FALSE)</f>
        <v>2600.64</v>
      </c>
      <c r="R28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2470.6079999999997</v>
      </c>
    </row>
    <row r="2864" spans="1:18" x14ac:dyDescent="0.3">
      <c r="A2864" s="2">
        <v>2857</v>
      </c>
      <c r="B2864" s="2" t="s">
        <v>7239</v>
      </c>
      <c r="C2864" s="2" t="s">
        <v>3839</v>
      </c>
      <c r="D2864" s="2" t="s">
        <v>28</v>
      </c>
      <c r="E2864" s="2" t="s">
        <v>29</v>
      </c>
      <c r="F2864" s="2">
        <v>90</v>
      </c>
      <c r="G2864" s="2" t="s">
        <v>7240</v>
      </c>
      <c r="H2864" s="2" t="s">
        <v>2866</v>
      </c>
      <c r="I2864" s="2" t="s">
        <v>32</v>
      </c>
      <c r="J2864" s="3">
        <v>44710</v>
      </c>
      <c r="K2864" s="5">
        <f>YEAR(OrganizedData[[#This Row],[Order Date]])</f>
        <v>2022</v>
      </c>
      <c r="L2864" s="7" t="str">
        <f>TEXT(OrganizedData[[#This Row],[Order Date]],"mmm")</f>
        <v>May</v>
      </c>
      <c r="M2864" s="2">
        <v>16</v>
      </c>
      <c r="N2864" s="2" t="s">
        <v>64</v>
      </c>
      <c r="O2864" s="2" t="str">
        <f>VLOOKUP(OrganizedData[[#This Row],[Product Code]],ProductData[[Code]:[Item]],2,FALSE)</f>
        <v>Ultrathing V4</v>
      </c>
      <c r="P2864" s="4">
        <f>OrganizedData[[#This Row],[Quantity]]*VLOOKUP(OrganizedData[[#This Row],[Product Code]],ProductData[],4,FALSE)</f>
        <v>384</v>
      </c>
      <c r="Q2864" s="6">
        <f>OrganizedData[[#This Row],[Total Items Ordered]]*VLOOKUP(OrganizedData[[#This Row],[Product Code]],ProductData[],3,FALSE)</f>
        <v>1532.16</v>
      </c>
      <c r="R28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2865" spans="1:18" x14ac:dyDescent="0.3">
      <c r="A2865" s="2">
        <v>2858</v>
      </c>
      <c r="B2865" s="2" t="s">
        <v>4301</v>
      </c>
      <c r="C2865" s="2" t="s">
        <v>328</v>
      </c>
      <c r="D2865" s="2" t="s">
        <v>28</v>
      </c>
      <c r="E2865" s="2" t="s">
        <v>29</v>
      </c>
      <c r="F2865" s="2">
        <v>90</v>
      </c>
      <c r="G2865" s="2" t="s">
        <v>7241</v>
      </c>
      <c r="H2865" s="2" t="s">
        <v>730</v>
      </c>
      <c r="I2865" s="2" t="s">
        <v>187</v>
      </c>
      <c r="J2865" s="3">
        <v>44913</v>
      </c>
      <c r="K2865" s="5">
        <f>YEAR(OrganizedData[[#This Row],[Order Date]])</f>
        <v>2022</v>
      </c>
      <c r="L2865" s="7" t="str">
        <f>TEXT(OrganizedData[[#This Row],[Order Date]],"mmm")</f>
        <v>Dec</v>
      </c>
      <c r="M2865" s="2">
        <v>8</v>
      </c>
      <c r="N2865" s="2" t="s">
        <v>54</v>
      </c>
      <c r="O2865" s="2" t="str">
        <f>VLOOKUP(OrganizedData[[#This Row],[Product Code]],ProductData[[Code]:[Item]],2,FALSE)</f>
        <v>Megawidget S</v>
      </c>
      <c r="P2865" s="4">
        <f>OrganizedData[[#This Row],[Quantity]]*VLOOKUP(OrganizedData[[#This Row],[Product Code]],ProductData[],4,FALSE)</f>
        <v>192</v>
      </c>
      <c r="Q2865" s="6">
        <f>OrganizedData[[#This Row],[Total Items Ordered]]*VLOOKUP(OrganizedData[[#This Row],[Product Code]],ProductData[],3,FALSE)</f>
        <v>132.47999999999999</v>
      </c>
      <c r="R28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132.47999999999999</v>
      </c>
    </row>
    <row r="2866" spans="1:18" x14ac:dyDescent="0.3">
      <c r="A2866" s="2">
        <v>2859</v>
      </c>
      <c r="B2866" s="2" t="s">
        <v>6566</v>
      </c>
      <c r="C2866" s="2" t="s">
        <v>6042</v>
      </c>
      <c r="D2866" s="2" t="s">
        <v>41</v>
      </c>
      <c r="E2866" s="2" t="s">
        <v>16</v>
      </c>
      <c r="F2866" s="2">
        <v>90</v>
      </c>
      <c r="G2866" s="2" t="s">
        <v>7242</v>
      </c>
      <c r="H2866" s="2" t="s">
        <v>2334</v>
      </c>
      <c r="I2866" s="2" t="s">
        <v>32</v>
      </c>
      <c r="J2866" s="3">
        <v>44307</v>
      </c>
      <c r="K2866" s="5">
        <f>YEAR(OrganizedData[[#This Row],[Order Date]])</f>
        <v>2021</v>
      </c>
      <c r="L2866" s="7" t="str">
        <f>TEXT(OrganizedData[[#This Row],[Order Date]],"mmm")</f>
        <v>Apr</v>
      </c>
      <c r="M2866" s="2">
        <v>48</v>
      </c>
      <c r="N2866" s="2" t="s">
        <v>80</v>
      </c>
      <c r="O2866" s="2" t="str">
        <f>VLOOKUP(OrganizedData[[#This Row],[Product Code]],ProductData[[Code]:[Item]],2,FALSE)</f>
        <v>Ultrathing V2</v>
      </c>
      <c r="P2866" s="4">
        <f>OrganizedData[[#This Row],[Quantity]]*VLOOKUP(OrganizedData[[#This Row],[Product Code]],ProductData[],4,FALSE)</f>
        <v>960</v>
      </c>
      <c r="Q2866" s="6">
        <f>OrganizedData[[#This Row],[Total Items Ordered]]*VLOOKUP(OrganizedData[[#This Row],[Product Code]],ProductData[],3,FALSE)</f>
        <v>2832</v>
      </c>
      <c r="R28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2747.04</v>
      </c>
    </row>
    <row r="2867" spans="1:18" x14ac:dyDescent="0.3">
      <c r="A2867" s="2">
        <v>2860</v>
      </c>
      <c r="B2867" s="2" t="s">
        <v>7243</v>
      </c>
      <c r="C2867" s="2" t="s">
        <v>4913</v>
      </c>
      <c r="D2867" s="2" t="s">
        <v>51</v>
      </c>
      <c r="E2867" s="2" t="s">
        <v>16</v>
      </c>
      <c r="F2867" s="2">
        <v>90</v>
      </c>
      <c r="G2867" s="2" t="s">
        <v>7244</v>
      </c>
      <c r="H2867" s="2" t="s">
        <v>4277</v>
      </c>
      <c r="I2867" s="2" t="s">
        <v>32</v>
      </c>
      <c r="J2867" s="3">
        <v>44613</v>
      </c>
      <c r="K2867" s="5">
        <f>YEAR(OrganizedData[[#This Row],[Order Date]])</f>
        <v>2022</v>
      </c>
      <c r="L2867" s="7" t="str">
        <f>TEXT(OrganizedData[[#This Row],[Order Date]],"mmm")</f>
        <v>Feb</v>
      </c>
      <c r="M2867" s="2">
        <v>52</v>
      </c>
      <c r="N2867" s="2" t="s">
        <v>159</v>
      </c>
      <c r="O2867" s="2" t="str">
        <f>VLOOKUP(OrganizedData[[#This Row],[Product Code]],ProductData[[Code]:[Item]],2,FALSE)</f>
        <v>Ultrathing V3</v>
      </c>
      <c r="P2867" s="4">
        <f>OrganizedData[[#This Row],[Quantity]]*VLOOKUP(OrganizedData[[#This Row],[Product Code]],ProductData[],4,FALSE)</f>
        <v>1248</v>
      </c>
      <c r="Q2867" s="6">
        <f>OrganizedData[[#This Row],[Total Items Ordered]]*VLOOKUP(OrganizedData[[#This Row],[Product Code]],ProductData[],3,FALSE)</f>
        <v>4230.72</v>
      </c>
      <c r="R28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4019.1840000000002</v>
      </c>
    </row>
    <row r="2868" spans="1:18" x14ac:dyDescent="0.3">
      <c r="A2868" s="2">
        <v>2861</v>
      </c>
      <c r="B2868" s="2" t="s">
        <v>7245</v>
      </c>
      <c r="C2868" s="2" t="s">
        <v>999</v>
      </c>
      <c r="D2868" s="2" t="s">
        <v>15</v>
      </c>
      <c r="E2868" s="2" t="s">
        <v>16</v>
      </c>
      <c r="F2868" s="2">
        <v>30</v>
      </c>
      <c r="G2868" s="2" t="s">
        <v>7246</v>
      </c>
      <c r="H2868" s="2" t="s">
        <v>5992</v>
      </c>
      <c r="I2868" s="2" t="s">
        <v>25</v>
      </c>
      <c r="J2868" s="3">
        <v>44688</v>
      </c>
      <c r="K2868" s="5">
        <f>YEAR(OrganizedData[[#This Row],[Order Date]])</f>
        <v>2022</v>
      </c>
      <c r="L2868" s="7" t="str">
        <f>TEXT(OrganizedData[[#This Row],[Order Date]],"mmm")</f>
        <v>May</v>
      </c>
      <c r="M2868" s="2">
        <v>105</v>
      </c>
      <c r="N2868" s="2" t="s">
        <v>20</v>
      </c>
      <c r="O2868" s="2" t="str">
        <f>VLOOKUP(OrganizedData[[#This Row],[Product Code]],ProductData[[Code]:[Item]],2,FALSE)</f>
        <v>Hyperwotsit</v>
      </c>
      <c r="P2868" s="4">
        <f>OrganizedData[[#This Row],[Quantity]]*VLOOKUP(OrganizedData[[#This Row],[Product Code]],ProductData[],4,FALSE)</f>
        <v>2100</v>
      </c>
      <c r="Q2868" s="6">
        <f>OrganizedData[[#This Row],[Total Items Ordered]]*VLOOKUP(OrganizedData[[#This Row],[Product Code]],ProductData[],3,FALSE)</f>
        <v>4221</v>
      </c>
      <c r="R28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3925.53</v>
      </c>
    </row>
    <row r="2869" spans="1:18" x14ac:dyDescent="0.3">
      <c r="A2869" s="2">
        <v>2862</v>
      </c>
      <c r="B2869" s="2" t="s">
        <v>7247</v>
      </c>
      <c r="C2869" s="2" t="s">
        <v>7248</v>
      </c>
      <c r="D2869" s="2" t="s">
        <v>15</v>
      </c>
      <c r="E2869" s="2" t="s">
        <v>16</v>
      </c>
      <c r="F2869" s="2">
        <v>30</v>
      </c>
      <c r="G2869" s="2" t="s">
        <v>7249</v>
      </c>
      <c r="H2869" s="2" t="s">
        <v>5874</v>
      </c>
      <c r="I2869" s="2" t="s">
        <v>839</v>
      </c>
      <c r="J2869" s="3">
        <v>43838</v>
      </c>
      <c r="K2869" s="5">
        <f>YEAR(OrganizedData[[#This Row],[Order Date]])</f>
        <v>2020</v>
      </c>
      <c r="L2869" s="7" t="str">
        <f>TEXT(OrganizedData[[#This Row],[Order Date]],"mmm")</f>
        <v>Jan</v>
      </c>
      <c r="M2869" s="2">
        <v>53</v>
      </c>
      <c r="N2869" s="2" t="s">
        <v>20</v>
      </c>
      <c r="O2869" s="2" t="str">
        <f>VLOOKUP(OrganizedData[[#This Row],[Product Code]],ProductData[[Code]:[Item]],2,FALSE)</f>
        <v>Hyperwotsit</v>
      </c>
      <c r="P2869" s="4">
        <f>OrganizedData[[#This Row],[Quantity]]*VLOOKUP(OrganizedData[[#This Row],[Product Code]],ProductData[],4,FALSE)</f>
        <v>1060</v>
      </c>
      <c r="Q2869" s="6">
        <f>OrganizedData[[#This Row],[Total Items Ordered]]*VLOOKUP(OrganizedData[[#This Row],[Product Code]],ProductData[],3,FALSE)</f>
        <v>2130.6</v>
      </c>
      <c r="R28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2024.0699999999997</v>
      </c>
    </row>
    <row r="2870" spans="1:18" x14ac:dyDescent="0.3">
      <c r="A2870" s="2">
        <v>2863</v>
      </c>
      <c r="B2870" s="2" t="s">
        <v>7250</v>
      </c>
      <c r="C2870" s="2" t="s">
        <v>7251</v>
      </c>
      <c r="D2870" s="2" t="s">
        <v>15</v>
      </c>
      <c r="E2870" s="2" t="s">
        <v>16</v>
      </c>
      <c r="F2870" s="2">
        <v>30</v>
      </c>
      <c r="G2870" s="2" t="s">
        <v>7252</v>
      </c>
      <c r="H2870" s="2" t="s">
        <v>1370</v>
      </c>
      <c r="I2870" s="2" t="s">
        <v>32</v>
      </c>
      <c r="J2870" s="3">
        <v>44256</v>
      </c>
      <c r="K2870" s="5">
        <f>YEAR(OrganizedData[[#This Row],[Order Date]])</f>
        <v>2021</v>
      </c>
      <c r="L2870" s="7" t="str">
        <f>TEXT(OrganizedData[[#This Row],[Order Date]],"mmm")</f>
        <v>Mar</v>
      </c>
      <c r="M2870" s="2">
        <v>15</v>
      </c>
      <c r="N2870" s="2" t="s">
        <v>70</v>
      </c>
      <c r="O2870" s="2" t="str">
        <f>VLOOKUP(OrganizedData[[#This Row],[Product Code]],ProductData[[Code]:[Item]],2,FALSE)</f>
        <v>Megawidget M</v>
      </c>
      <c r="P2870" s="4">
        <f>OrganizedData[[#This Row],[Quantity]]*VLOOKUP(OrganizedData[[#This Row],[Product Code]],ProductData[],4,FALSE)</f>
        <v>360</v>
      </c>
      <c r="Q2870" s="6">
        <f>OrganizedData[[#This Row],[Total Items Ordered]]*VLOOKUP(OrganizedData[[#This Row],[Product Code]],ProductData[],3,FALSE)</f>
        <v>464.40000000000003</v>
      </c>
      <c r="R28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464.40000000000003</v>
      </c>
    </row>
    <row r="2871" spans="1:18" x14ac:dyDescent="0.3">
      <c r="A2871" s="2">
        <v>2864</v>
      </c>
      <c r="B2871" s="2" t="s">
        <v>5444</v>
      </c>
      <c r="C2871" s="2" t="s">
        <v>7253</v>
      </c>
      <c r="D2871" s="2" t="s">
        <v>28</v>
      </c>
      <c r="E2871" s="2" t="s">
        <v>29</v>
      </c>
      <c r="F2871" s="2">
        <v>90</v>
      </c>
      <c r="G2871" s="2" t="s">
        <v>7254</v>
      </c>
      <c r="H2871" s="2" t="s">
        <v>5222</v>
      </c>
      <c r="I2871" s="2" t="s">
        <v>32</v>
      </c>
      <c r="J2871" s="3">
        <v>44599</v>
      </c>
      <c r="K2871" s="5">
        <f>YEAR(OrganizedData[[#This Row],[Order Date]])</f>
        <v>2022</v>
      </c>
      <c r="L2871" s="7" t="str">
        <f>TEXT(OrganizedData[[#This Row],[Order Date]],"mmm")</f>
        <v>Feb</v>
      </c>
      <c r="M2871" s="2">
        <v>40</v>
      </c>
      <c r="N2871" s="2" t="s">
        <v>45</v>
      </c>
      <c r="O2871" s="2" t="str">
        <f>VLOOKUP(OrganizedData[[#This Row],[Product Code]],ProductData[[Code]:[Item]],2,FALSE)</f>
        <v>Gigastuff</v>
      </c>
      <c r="P2871" s="4">
        <f>OrganizedData[[#This Row],[Quantity]]*VLOOKUP(OrganizedData[[#This Row],[Product Code]],ProductData[],4,FALSE)</f>
        <v>720</v>
      </c>
      <c r="Q2871" s="6">
        <f>OrganizedData[[#This Row],[Total Items Ordered]]*VLOOKUP(OrganizedData[[#This Row],[Product Code]],ProductData[],3,FALSE)</f>
        <v>1360.8</v>
      </c>
      <c r="R28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1319.9759999999999</v>
      </c>
    </row>
    <row r="2872" spans="1:18" x14ac:dyDescent="0.3">
      <c r="A2872" s="2">
        <v>2865</v>
      </c>
      <c r="B2872" s="2" t="s">
        <v>7255</v>
      </c>
      <c r="C2872" s="2" t="s">
        <v>1340</v>
      </c>
      <c r="D2872" s="2" t="s">
        <v>51</v>
      </c>
      <c r="E2872" s="2" t="s">
        <v>16</v>
      </c>
      <c r="F2872" s="2">
        <v>90</v>
      </c>
      <c r="G2872" s="2" t="s">
        <v>7256</v>
      </c>
      <c r="H2872" s="2" t="s">
        <v>5652</v>
      </c>
      <c r="I2872" s="2" t="s">
        <v>32</v>
      </c>
      <c r="J2872" s="3">
        <v>44723</v>
      </c>
      <c r="K2872" s="5">
        <f>YEAR(OrganizedData[[#This Row],[Order Date]])</f>
        <v>2022</v>
      </c>
      <c r="L2872" s="7" t="str">
        <f>TEXT(OrganizedData[[#This Row],[Order Date]],"mmm")</f>
        <v>Jun</v>
      </c>
      <c r="M2872" s="2">
        <v>72</v>
      </c>
      <c r="N2872" s="2" t="s">
        <v>20</v>
      </c>
      <c r="O2872" s="2" t="str">
        <f>VLOOKUP(OrganizedData[[#This Row],[Product Code]],ProductData[[Code]:[Item]],2,FALSE)</f>
        <v>Hyperwotsit</v>
      </c>
      <c r="P2872" s="4">
        <f>OrganizedData[[#This Row],[Quantity]]*VLOOKUP(OrganizedData[[#This Row],[Product Code]],ProductData[],4,FALSE)</f>
        <v>1440</v>
      </c>
      <c r="Q2872" s="6">
        <f>OrganizedData[[#This Row],[Total Items Ordered]]*VLOOKUP(OrganizedData[[#This Row],[Product Code]],ProductData[],3,FALSE)</f>
        <v>2894.3999999999996</v>
      </c>
      <c r="R28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2873" spans="1:18" x14ac:dyDescent="0.3">
      <c r="A2873" s="2">
        <v>2866</v>
      </c>
      <c r="B2873" s="2" t="s">
        <v>4296</v>
      </c>
      <c r="C2873" s="2" t="s">
        <v>6040</v>
      </c>
      <c r="D2873" s="2" t="s">
        <v>51</v>
      </c>
      <c r="E2873" s="2" t="s">
        <v>16</v>
      </c>
      <c r="F2873" s="2">
        <v>90</v>
      </c>
      <c r="G2873" s="2" t="s">
        <v>7257</v>
      </c>
      <c r="H2873" s="2" t="s">
        <v>6</v>
      </c>
      <c r="I2873" s="2" t="s">
        <v>32</v>
      </c>
      <c r="J2873" s="3">
        <v>44041</v>
      </c>
      <c r="K2873" s="5">
        <f>YEAR(OrganizedData[[#This Row],[Order Date]])</f>
        <v>2020</v>
      </c>
      <c r="L2873" s="7" t="str">
        <f>TEXT(OrganizedData[[#This Row],[Order Date]],"mmm")</f>
        <v>Jul</v>
      </c>
      <c r="M2873" s="2">
        <v>63</v>
      </c>
      <c r="N2873" s="2" t="s">
        <v>70</v>
      </c>
      <c r="O2873" s="2" t="str">
        <f>VLOOKUP(OrganizedData[[#This Row],[Product Code]],ProductData[[Code]:[Item]],2,FALSE)</f>
        <v>Megawidget M</v>
      </c>
      <c r="P2873" s="4">
        <f>OrganizedData[[#This Row],[Quantity]]*VLOOKUP(OrganizedData[[#This Row],[Product Code]],ProductData[],4,FALSE)</f>
        <v>1512</v>
      </c>
      <c r="Q2873" s="6">
        <f>OrganizedData[[#This Row],[Total Items Ordered]]*VLOOKUP(OrganizedData[[#This Row],[Product Code]],ProductData[],3,FALSE)</f>
        <v>1950.48</v>
      </c>
      <c r="R28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1852.9559999999999</v>
      </c>
    </row>
    <row r="2874" spans="1:18" x14ac:dyDescent="0.3">
      <c r="A2874" s="2">
        <v>2867</v>
      </c>
      <c r="B2874" s="2" t="s">
        <v>4750</v>
      </c>
      <c r="C2874" s="2" t="s">
        <v>7258</v>
      </c>
      <c r="D2874" s="2" t="s">
        <v>28</v>
      </c>
      <c r="E2874" s="2" t="s">
        <v>29</v>
      </c>
      <c r="F2874" s="2">
        <v>90</v>
      </c>
      <c r="G2874" s="2" t="s">
        <v>7259</v>
      </c>
      <c r="H2874" s="2" t="s">
        <v>970</v>
      </c>
      <c r="I2874" s="2" t="s">
        <v>187</v>
      </c>
      <c r="J2874" s="3">
        <v>43986</v>
      </c>
      <c r="K2874" s="5">
        <f>YEAR(OrganizedData[[#This Row],[Order Date]])</f>
        <v>2020</v>
      </c>
      <c r="L2874" s="7" t="str">
        <f>TEXT(OrganizedData[[#This Row],[Order Date]],"mmm")</f>
        <v>Jun</v>
      </c>
      <c r="M2874" s="2">
        <v>51</v>
      </c>
      <c r="N2874" s="2" t="s">
        <v>70</v>
      </c>
      <c r="O2874" s="2" t="str">
        <f>VLOOKUP(OrganizedData[[#This Row],[Product Code]],ProductData[[Code]:[Item]],2,FALSE)</f>
        <v>Megawidget M</v>
      </c>
      <c r="P2874" s="4">
        <f>OrganizedData[[#This Row],[Quantity]]*VLOOKUP(OrganizedData[[#This Row],[Product Code]],ProductData[],4,FALSE)</f>
        <v>1224</v>
      </c>
      <c r="Q2874" s="6">
        <f>OrganizedData[[#This Row],[Total Items Ordered]]*VLOOKUP(OrganizedData[[#This Row],[Product Code]],ProductData[],3,FALSE)</f>
        <v>1578.96</v>
      </c>
      <c r="R28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1500.0119999999999</v>
      </c>
    </row>
    <row r="2875" spans="1:18" x14ac:dyDescent="0.3">
      <c r="A2875" s="2">
        <v>2868</v>
      </c>
      <c r="B2875" s="2" t="s">
        <v>7061</v>
      </c>
      <c r="C2875" s="2" t="s">
        <v>4580</v>
      </c>
      <c r="D2875" s="2" t="s">
        <v>28</v>
      </c>
      <c r="E2875" s="2" t="s">
        <v>29</v>
      </c>
      <c r="F2875" s="2">
        <v>90</v>
      </c>
      <c r="G2875" s="2" t="s">
        <v>7260</v>
      </c>
      <c r="H2875" s="2" t="s">
        <v>7261</v>
      </c>
      <c r="I2875" s="2" t="s">
        <v>32</v>
      </c>
      <c r="J2875" s="3">
        <v>44131</v>
      </c>
      <c r="K2875" s="5">
        <f>YEAR(OrganizedData[[#This Row],[Order Date]])</f>
        <v>2020</v>
      </c>
      <c r="L2875" s="7" t="str">
        <f>TEXT(OrganizedData[[#This Row],[Order Date]],"mmm")</f>
        <v>Oct</v>
      </c>
      <c r="M2875" s="2">
        <v>33</v>
      </c>
      <c r="N2875" s="2" t="s">
        <v>39</v>
      </c>
      <c r="O2875" s="2" t="str">
        <f>VLOOKUP(OrganizedData[[#This Row],[Product Code]],ProductData[[Code]:[Item]],2,FALSE)</f>
        <v>Ultrathing V1</v>
      </c>
      <c r="P2875" s="4">
        <f>OrganizedData[[#This Row],[Quantity]]*VLOOKUP(OrganizedData[[#This Row],[Product Code]],ProductData[],4,FALSE)</f>
        <v>561</v>
      </c>
      <c r="Q2875" s="6">
        <f>OrganizedData[[#This Row],[Total Items Ordered]]*VLOOKUP(OrganizedData[[#This Row],[Product Code]],ProductData[],3,FALSE)</f>
        <v>1004.19</v>
      </c>
      <c r="R28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2876" spans="1:18" x14ac:dyDescent="0.3">
      <c r="A2876" s="2">
        <v>2869</v>
      </c>
      <c r="B2876" s="2" t="s">
        <v>3111</v>
      </c>
      <c r="C2876" s="2" t="s">
        <v>5568</v>
      </c>
      <c r="D2876" s="2" t="s">
        <v>28</v>
      </c>
      <c r="E2876" s="2" t="s">
        <v>29</v>
      </c>
      <c r="F2876" s="2">
        <v>30</v>
      </c>
      <c r="G2876" s="2" t="s">
        <v>7262</v>
      </c>
      <c r="H2876" s="2" t="s">
        <v>2212</v>
      </c>
      <c r="I2876" s="2" t="s">
        <v>32</v>
      </c>
      <c r="J2876" s="3">
        <v>44910</v>
      </c>
      <c r="K2876" s="5">
        <f>YEAR(OrganizedData[[#This Row],[Order Date]])</f>
        <v>2022</v>
      </c>
      <c r="L2876" s="7" t="str">
        <f>TEXT(OrganizedData[[#This Row],[Order Date]],"mmm")</f>
        <v>Dec</v>
      </c>
      <c r="M2876" s="2">
        <v>65</v>
      </c>
      <c r="N2876" s="2" t="s">
        <v>64</v>
      </c>
      <c r="O2876" s="2" t="str">
        <f>VLOOKUP(OrganizedData[[#This Row],[Product Code]],ProductData[[Code]:[Item]],2,FALSE)</f>
        <v>Ultrathing V4</v>
      </c>
      <c r="P2876" s="4">
        <f>OrganizedData[[#This Row],[Quantity]]*VLOOKUP(OrganizedData[[#This Row],[Product Code]],ProductData[],4,FALSE)</f>
        <v>1560</v>
      </c>
      <c r="Q2876" s="6">
        <f>OrganizedData[[#This Row],[Total Items Ordered]]*VLOOKUP(OrganizedData[[#This Row],[Product Code]],ProductData[],3,FALSE)</f>
        <v>6224.4000000000005</v>
      </c>
      <c r="R28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5913.18</v>
      </c>
    </row>
    <row r="2877" spans="1:18" x14ac:dyDescent="0.3">
      <c r="A2877" s="2">
        <v>2870</v>
      </c>
      <c r="B2877" s="2" t="s">
        <v>6557</v>
      </c>
      <c r="C2877" s="2" t="s">
        <v>6888</v>
      </c>
      <c r="D2877" s="2" t="s">
        <v>28</v>
      </c>
      <c r="E2877" s="2" t="s">
        <v>29</v>
      </c>
      <c r="F2877" s="2">
        <v>60</v>
      </c>
      <c r="G2877" s="2" t="s">
        <v>7263</v>
      </c>
      <c r="H2877" s="2" t="s">
        <v>2579</v>
      </c>
      <c r="I2877" s="2" t="s">
        <v>425</v>
      </c>
      <c r="J2877" s="3">
        <v>44389</v>
      </c>
      <c r="K2877" s="5">
        <f>YEAR(OrganizedData[[#This Row],[Order Date]])</f>
        <v>2021</v>
      </c>
      <c r="L2877" s="7" t="str">
        <f>TEXT(OrganizedData[[#This Row],[Order Date]],"mmm")</f>
        <v>Jul</v>
      </c>
      <c r="M2877" s="2">
        <v>91</v>
      </c>
      <c r="N2877" s="2" t="s">
        <v>159</v>
      </c>
      <c r="O2877" s="2" t="str">
        <f>VLOOKUP(OrganizedData[[#This Row],[Product Code]],ProductData[[Code]:[Item]],2,FALSE)</f>
        <v>Ultrathing V3</v>
      </c>
      <c r="P2877" s="4">
        <f>OrganizedData[[#This Row],[Quantity]]*VLOOKUP(OrganizedData[[#This Row],[Product Code]],ProductData[],4,FALSE)</f>
        <v>2184</v>
      </c>
      <c r="Q2877" s="6">
        <f>OrganizedData[[#This Row],[Total Items Ordered]]*VLOOKUP(OrganizedData[[#This Row],[Product Code]],ProductData[],3,FALSE)</f>
        <v>7403.76</v>
      </c>
      <c r="R28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7033.5720000000001</v>
      </c>
    </row>
    <row r="2878" spans="1:18" x14ac:dyDescent="0.3">
      <c r="A2878" s="2">
        <v>2871</v>
      </c>
      <c r="B2878" s="2" t="s">
        <v>7264</v>
      </c>
      <c r="C2878" s="2" t="s">
        <v>4570</v>
      </c>
      <c r="D2878" s="2" t="s">
        <v>51</v>
      </c>
      <c r="E2878" s="2" t="s">
        <v>16</v>
      </c>
      <c r="F2878" s="2">
        <v>60</v>
      </c>
      <c r="G2878" s="2" t="s">
        <v>7263</v>
      </c>
      <c r="H2878" s="2" t="s">
        <v>1026</v>
      </c>
      <c r="I2878" s="2" t="s">
        <v>32</v>
      </c>
      <c r="J2878" s="3">
        <v>44168</v>
      </c>
      <c r="K2878" s="5">
        <f>YEAR(OrganizedData[[#This Row],[Order Date]])</f>
        <v>2020</v>
      </c>
      <c r="L2878" s="7" t="str">
        <f>TEXT(OrganizedData[[#This Row],[Order Date]],"mmm")</f>
        <v>Dec</v>
      </c>
      <c r="M2878" s="2">
        <v>37</v>
      </c>
      <c r="N2878" s="2" t="s">
        <v>80</v>
      </c>
      <c r="O2878" s="2" t="str">
        <f>VLOOKUP(OrganizedData[[#This Row],[Product Code]],ProductData[[Code]:[Item]],2,FALSE)</f>
        <v>Ultrathing V2</v>
      </c>
      <c r="P2878" s="4">
        <f>OrganizedData[[#This Row],[Quantity]]*VLOOKUP(OrganizedData[[#This Row],[Product Code]],ProductData[],4,FALSE)</f>
        <v>740</v>
      </c>
      <c r="Q2878" s="6">
        <f>OrganizedData[[#This Row],[Total Items Ordered]]*VLOOKUP(OrganizedData[[#This Row],[Product Code]],ProductData[],3,FALSE)</f>
        <v>2183</v>
      </c>
      <c r="R28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2117.5099999999998</v>
      </c>
    </row>
    <row r="2879" spans="1:18" x14ac:dyDescent="0.3">
      <c r="A2879" s="2">
        <v>2872</v>
      </c>
      <c r="B2879" s="2" t="s">
        <v>2246</v>
      </c>
      <c r="C2879" s="2" t="s">
        <v>2955</v>
      </c>
      <c r="D2879" s="2" t="s">
        <v>28</v>
      </c>
      <c r="E2879" s="2" t="s">
        <v>29</v>
      </c>
      <c r="F2879" s="2">
        <v>30</v>
      </c>
      <c r="G2879" s="2" t="s">
        <v>7265</v>
      </c>
      <c r="H2879" s="2" t="s">
        <v>2720</v>
      </c>
      <c r="I2879" s="2" t="s">
        <v>32</v>
      </c>
      <c r="J2879" s="3">
        <v>43980</v>
      </c>
      <c r="K2879" s="5">
        <f>YEAR(OrganizedData[[#This Row],[Order Date]])</f>
        <v>2020</v>
      </c>
      <c r="L2879" s="7" t="str">
        <f>TEXT(OrganizedData[[#This Row],[Order Date]],"mmm")</f>
        <v>May</v>
      </c>
      <c r="M2879" s="2">
        <v>13</v>
      </c>
      <c r="N2879" s="2" t="s">
        <v>101</v>
      </c>
      <c r="O2879" s="2" t="str">
        <f>VLOOKUP(OrganizedData[[#This Row],[Product Code]],ProductData[[Code]:[Item]],2,FALSE)</f>
        <v>Superwossname</v>
      </c>
      <c r="P2879" s="4">
        <f>OrganizedData[[#This Row],[Quantity]]*VLOOKUP(OrganizedData[[#This Row],[Product Code]],ProductData[],4,FALSE)</f>
        <v>260</v>
      </c>
      <c r="Q2879" s="6">
        <f>OrganizedData[[#This Row],[Total Items Ordered]]*VLOOKUP(OrganizedData[[#This Row],[Product Code]],ProductData[],3,FALSE)</f>
        <v>907.40000000000009</v>
      </c>
      <c r="R28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907.40000000000009</v>
      </c>
    </row>
    <row r="2880" spans="1:18" x14ac:dyDescent="0.3">
      <c r="A2880" s="2">
        <v>2873</v>
      </c>
      <c r="B2880" s="2" t="s">
        <v>2177</v>
      </c>
      <c r="C2880" s="2" t="s">
        <v>6351</v>
      </c>
      <c r="D2880" s="2" t="s">
        <v>15</v>
      </c>
      <c r="E2880" s="2" t="s">
        <v>16</v>
      </c>
      <c r="F2880" s="2">
        <v>90</v>
      </c>
      <c r="G2880" s="2" t="s">
        <v>7265</v>
      </c>
      <c r="H2880" s="2" t="s">
        <v>1751</v>
      </c>
      <c r="I2880" s="2" t="s">
        <v>32</v>
      </c>
      <c r="J2880" s="3">
        <v>43951</v>
      </c>
      <c r="K2880" s="5">
        <f>YEAR(OrganizedData[[#This Row],[Order Date]])</f>
        <v>2020</v>
      </c>
      <c r="L2880" s="7" t="str">
        <f>TEXT(OrganizedData[[#This Row],[Order Date]],"mmm")</f>
        <v>Apr</v>
      </c>
      <c r="M2880" s="2">
        <v>17</v>
      </c>
      <c r="N2880" s="2" t="s">
        <v>101</v>
      </c>
      <c r="O2880" s="2" t="str">
        <f>VLOOKUP(OrganizedData[[#This Row],[Product Code]],ProductData[[Code]:[Item]],2,FALSE)</f>
        <v>Superwossname</v>
      </c>
      <c r="P2880" s="4">
        <f>OrganizedData[[#This Row],[Quantity]]*VLOOKUP(OrganizedData[[#This Row],[Product Code]],ProductData[],4,FALSE)</f>
        <v>340</v>
      </c>
      <c r="Q2880" s="6">
        <f>OrganizedData[[#This Row],[Total Items Ordered]]*VLOOKUP(OrganizedData[[#This Row],[Product Code]],ProductData[],3,FALSE)</f>
        <v>1186.6000000000001</v>
      </c>
      <c r="R28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1186.6000000000001</v>
      </c>
    </row>
    <row r="2881" spans="1:18" x14ac:dyDescent="0.3">
      <c r="A2881" s="2">
        <v>2874</v>
      </c>
      <c r="B2881" s="2" t="s">
        <v>1886</v>
      </c>
      <c r="C2881" s="2" t="s">
        <v>7266</v>
      </c>
      <c r="D2881" s="2" t="s">
        <v>51</v>
      </c>
      <c r="E2881" s="2" t="s">
        <v>16</v>
      </c>
      <c r="F2881" s="2">
        <v>60</v>
      </c>
      <c r="G2881" s="2" t="s">
        <v>7267</v>
      </c>
      <c r="H2881" s="2" t="s">
        <v>7120</v>
      </c>
      <c r="I2881" s="2" t="s">
        <v>294</v>
      </c>
      <c r="J2881" s="3">
        <v>44507</v>
      </c>
      <c r="K2881" s="5">
        <f>YEAR(OrganizedData[[#This Row],[Order Date]])</f>
        <v>2021</v>
      </c>
      <c r="L2881" s="7" t="str">
        <f>TEXT(OrganizedData[[#This Row],[Order Date]],"mmm")</f>
        <v>Nov</v>
      </c>
      <c r="M2881" s="2">
        <v>5</v>
      </c>
      <c r="N2881" s="2" t="s">
        <v>54</v>
      </c>
      <c r="O2881" s="2" t="str">
        <f>VLOOKUP(OrganizedData[[#This Row],[Product Code]],ProductData[[Code]:[Item]],2,FALSE)</f>
        <v>Megawidget S</v>
      </c>
      <c r="P2881" s="4">
        <f>OrganizedData[[#This Row],[Quantity]]*VLOOKUP(OrganizedData[[#This Row],[Product Code]],ProductData[],4,FALSE)</f>
        <v>120</v>
      </c>
      <c r="Q2881" s="6">
        <f>OrganizedData[[#This Row],[Total Items Ordered]]*VLOOKUP(OrganizedData[[#This Row],[Product Code]],ProductData[],3,FALSE)</f>
        <v>82.8</v>
      </c>
      <c r="R28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82.8</v>
      </c>
    </row>
    <row r="2882" spans="1:18" x14ac:dyDescent="0.3">
      <c r="A2882" s="2">
        <v>2875</v>
      </c>
      <c r="B2882" s="2" t="s">
        <v>2335</v>
      </c>
      <c r="C2882" s="2" t="s">
        <v>536</v>
      </c>
      <c r="D2882" s="2" t="s">
        <v>28</v>
      </c>
      <c r="E2882" s="2" t="s">
        <v>29</v>
      </c>
      <c r="F2882" s="2">
        <v>90</v>
      </c>
      <c r="G2882" s="2" t="s">
        <v>7268</v>
      </c>
      <c r="H2882" s="2" t="s">
        <v>7269</v>
      </c>
      <c r="I2882" s="2" t="s">
        <v>187</v>
      </c>
      <c r="J2882" s="3">
        <v>43967</v>
      </c>
      <c r="K2882" s="5">
        <f>YEAR(OrganizedData[[#This Row],[Order Date]])</f>
        <v>2020</v>
      </c>
      <c r="L2882" s="7" t="str">
        <f>TEXT(OrganizedData[[#This Row],[Order Date]],"mmm")</f>
        <v>May</v>
      </c>
      <c r="M2882" s="2">
        <v>81</v>
      </c>
      <c r="N2882" s="2" t="s">
        <v>159</v>
      </c>
      <c r="O2882" s="2" t="str">
        <f>VLOOKUP(OrganizedData[[#This Row],[Product Code]],ProductData[[Code]:[Item]],2,FALSE)</f>
        <v>Ultrathing V3</v>
      </c>
      <c r="P2882" s="4">
        <f>OrganizedData[[#This Row],[Quantity]]*VLOOKUP(OrganizedData[[#This Row],[Product Code]],ProductData[],4,FALSE)</f>
        <v>1944</v>
      </c>
      <c r="Q2882" s="6">
        <f>OrganizedData[[#This Row],[Total Items Ordered]]*VLOOKUP(OrganizedData[[#This Row],[Product Code]],ProductData[],3,FALSE)</f>
        <v>6590.16</v>
      </c>
      <c r="R28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2883" spans="1:18" x14ac:dyDescent="0.3">
      <c r="A2883" s="2">
        <v>2876</v>
      </c>
      <c r="B2883" s="2" t="s">
        <v>6557</v>
      </c>
      <c r="C2883" s="2" t="s">
        <v>7270</v>
      </c>
      <c r="D2883" s="2" t="s">
        <v>28</v>
      </c>
      <c r="E2883" s="2" t="s">
        <v>29</v>
      </c>
      <c r="F2883" s="2">
        <v>60</v>
      </c>
      <c r="G2883" s="2" t="s">
        <v>7271</v>
      </c>
      <c r="H2883" s="2" t="s">
        <v>4100</v>
      </c>
      <c r="I2883" s="2" t="s">
        <v>294</v>
      </c>
      <c r="J2883" s="3">
        <v>44558</v>
      </c>
      <c r="K2883" s="5">
        <f>YEAR(OrganizedData[[#This Row],[Order Date]])</f>
        <v>2021</v>
      </c>
      <c r="L2883" s="7" t="str">
        <f>TEXT(OrganizedData[[#This Row],[Order Date]],"mmm")</f>
        <v>Dec</v>
      </c>
      <c r="M2883" s="2">
        <v>15</v>
      </c>
      <c r="N2883" s="2" t="s">
        <v>20</v>
      </c>
      <c r="O2883" s="2" t="str">
        <f>VLOOKUP(OrganizedData[[#This Row],[Product Code]],ProductData[[Code]:[Item]],2,FALSE)</f>
        <v>Hyperwotsit</v>
      </c>
      <c r="P2883" s="4">
        <f>OrganizedData[[#This Row],[Quantity]]*VLOOKUP(OrganizedData[[#This Row],[Product Code]],ProductData[],4,FALSE)</f>
        <v>300</v>
      </c>
      <c r="Q2883" s="6">
        <f>OrganizedData[[#This Row],[Total Items Ordered]]*VLOOKUP(OrganizedData[[#This Row],[Product Code]],ProductData[],3,FALSE)</f>
        <v>602.99999999999989</v>
      </c>
      <c r="R28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602.99999999999989</v>
      </c>
    </row>
    <row r="2884" spans="1:18" x14ac:dyDescent="0.3">
      <c r="A2884" s="2">
        <v>2877</v>
      </c>
      <c r="B2884" s="2" t="s">
        <v>2231</v>
      </c>
      <c r="C2884" s="2" t="s">
        <v>2505</v>
      </c>
      <c r="D2884" s="2" t="s">
        <v>28</v>
      </c>
      <c r="E2884" s="2" t="s">
        <v>29</v>
      </c>
      <c r="F2884" s="2">
        <v>60</v>
      </c>
      <c r="G2884" s="2" t="s">
        <v>7272</v>
      </c>
      <c r="H2884" s="2" t="s">
        <v>534</v>
      </c>
      <c r="I2884" s="2" t="s">
        <v>32</v>
      </c>
      <c r="J2884" s="3">
        <v>44475</v>
      </c>
      <c r="K2884" s="5">
        <f>YEAR(OrganizedData[[#This Row],[Order Date]])</f>
        <v>2021</v>
      </c>
      <c r="L2884" s="7" t="str">
        <f>TEXT(OrganizedData[[#This Row],[Order Date]],"mmm")</f>
        <v>Oct</v>
      </c>
      <c r="M2884" s="2">
        <v>66</v>
      </c>
      <c r="N2884" s="2" t="s">
        <v>39</v>
      </c>
      <c r="O2884" s="2" t="str">
        <f>VLOOKUP(OrganizedData[[#This Row],[Product Code]],ProductData[[Code]:[Item]],2,FALSE)</f>
        <v>Ultrathing V1</v>
      </c>
      <c r="P2884" s="4">
        <f>OrganizedData[[#This Row],[Quantity]]*VLOOKUP(OrganizedData[[#This Row],[Product Code]],ProductData[],4,FALSE)</f>
        <v>1122</v>
      </c>
      <c r="Q2884" s="6">
        <f>OrganizedData[[#This Row],[Total Items Ordered]]*VLOOKUP(OrganizedData[[#This Row],[Product Code]],ProductData[],3,FALSE)</f>
        <v>2008.38</v>
      </c>
      <c r="R28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2885" spans="1:18" x14ac:dyDescent="0.3">
      <c r="A2885" s="2">
        <v>2878</v>
      </c>
      <c r="B2885" s="2" t="s">
        <v>1678</v>
      </c>
      <c r="C2885" s="2" t="s">
        <v>1145</v>
      </c>
      <c r="D2885" s="2" t="s">
        <v>28</v>
      </c>
      <c r="E2885" s="2" t="s">
        <v>29</v>
      </c>
      <c r="F2885" s="2">
        <v>60</v>
      </c>
      <c r="G2885" s="2" t="s">
        <v>7273</v>
      </c>
      <c r="H2885" s="2" t="s">
        <v>566</v>
      </c>
      <c r="I2885" s="2" t="s">
        <v>110</v>
      </c>
      <c r="J2885" s="3">
        <v>44034</v>
      </c>
      <c r="K2885" s="5">
        <f>YEAR(OrganizedData[[#This Row],[Order Date]])</f>
        <v>2020</v>
      </c>
      <c r="L2885" s="7" t="str">
        <f>TEXT(OrganizedData[[#This Row],[Order Date]],"mmm")</f>
        <v>Jul</v>
      </c>
      <c r="M2885" s="2">
        <v>27</v>
      </c>
      <c r="N2885" s="2" t="s">
        <v>159</v>
      </c>
      <c r="O2885" s="2" t="str">
        <f>VLOOKUP(OrganizedData[[#This Row],[Product Code]],ProductData[[Code]:[Item]],2,FALSE)</f>
        <v>Ultrathing V3</v>
      </c>
      <c r="P2885" s="4">
        <f>OrganizedData[[#This Row],[Quantity]]*VLOOKUP(OrganizedData[[#This Row],[Product Code]],ProductData[],4,FALSE)</f>
        <v>648</v>
      </c>
      <c r="Q2885" s="6">
        <f>OrganizedData[[#This Row],[Total Items Ordered]]*VLOOKUP(OrganizedData[[#This Row],[Product Code]],ProductData[],3,FALSE)</f>
        <v>2196.7200000000003</v>
      </c>
      <c r="R28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2130.8184000000001</v>
      </c>
    </row>
    <row r="2886" spans="1:18" x14ac:dyDescent="0.3">
      <c r="A2886" s="2">
        <v>2879</v>
      </c>
      <c r="B2886" s="2" t="s">
        <v>2371</v>
      </c>
      <c r="C2886" s="2" t="s">
        <v>4629</v>
      </c>
      <c r="D2886" s="2" t="s">
        <v>28</v>
      </c>
      <c r="E2886" s="2" t="s">
        <v>29</v>
      </c>
      <c r="F2886" s="2">
        <v>90</v>
      </c>
      <c r="G2886" s="2" t="s">
        <v>7274</v>
      </c>
      <c r="H2886" s="2" t="s">
        <v>4386</v>
      </c>
      <c r="I2886" s="2" t="s">
        <v>32</v>
      </c>
      <c r="J2886" s="3">
        <v>44107</v>
      </c>
      <c r="K2886" s="5">
        <f>YEAR(OrganizedData[[#This Row],[Order Date]])</f>
        <v>2020</v>
      </c>
      <c r="L2886" s="7" t="str">
        <f>TEXT(OrganizedData[[#This Row],[Order Date]],"mmm")</f>
        <v>Oct</v>
      </c>
      <c r="M2886" s="2">
        <v>44</v>
      </c>
      <c r="N2886" s="2" t="s">
        <v>45</v>
      </c>
      <c r="O2886" s="2" t="str">
        <f>VLOOKUP(OrganizedData[[#This Row],[Product Code]],ProductData[[Code]:[Item]],2,FALSE)</f>
        <v>Gigastuff</v>
      </c>
      <c r="P2886" s="4">
        <f>OrganizedData[[#This Row],[Quantity]]*VLOOKUP(OrganizedData[[#This Row],[Product Code]],ProductData[],4,FALSE)</f>
        <v>792</v>
      </c>
      <c r="Q2886" s="6">
        <f>OrganizedData[[#This Row],[Total Items Ordered]]*VLOOKUP(OrganizedData[[#This Row],[Product Code]],ProductData[],3,FALSE)</f>
        <v>1496.8799999999999</v>
      </c>
      <c r="R28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1451.9735999999998</v>
      </c>
    </row>
    <row r="2887" spans="1:18" x14ac:dyDescent="0.3">
      <c r="A2887" s="2">
        <v>2880</v>
      </c>
      <c r="B2887" s="2" t="s">
        <v>563</v>
      </c>
      <c r="C2887" s="2" t="s">
        <v>3352</v>
      </c>
      <c r="D2887" s="2" t="s">
        <v>15</v>
      </c>
      <c r="E2887" s="2" t="s">
        <v>16</v>
      </c>
      <c r="F2887" s="2">
        <v>60</v>
      </c>
      <c r="G2887" s="2" t="s">
        <v>7275</v>
      </c>
      <c r="H2887" s="2" t="s">
        <v>1901</v>
      </c>
      <c r="I2887" s="2" t="s">
        <v>178</v>
      </c>
      <c r="J2887" s="3">
        <v>44114</v>
      </c>
      <c r="K2887" s="5">
        <f>YEAR(OrganizedData[[#This Row],[Order Date]])</f>
        <v>2020</v>
      </c>
      <c r="L2887" s="7" t="str">
        <f>TEXT(OrganizedData[[#This Row],[Order Date]],"mmm")</f>
        <v>Oct</v>
      </c>
      <c r="M2887" s="2">
        <v>63</v>
      </c>
      <c r="N2887" s="2" t="s">
        <v>101</v>
      </c>
      <c r="O2887" s="2" t="str">
        <f>VLOOKUP(OrganizedData[[#This Row],[Product Code]],ProductData[[Code]:[Item]],2,FALSE)</f>
        <v>Superwossname</v>
      </c>
      <c r="P2887" s="4">
        <f>OrganizedData[[#This Row],[Quantity]]*VLOOKUP(OrganizedData[[#This Row],[Product Code]],ProductData[],4,FALSE)</f>
        <v>1260</v>
      </c>
      <c r="Q2887" s="6">
        <f>OrganizedData[[#This Row],[Total Items Ordered]]*VLOOKUP(OrganizedData[[#This Row],[Product Code]],ProductData[],3,FALSE)</f>
        <v>4397.4000000000005</v>
      </c>
      <c r="R28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2888" spans="1:18" x14ac:dyDescent="0.3">
      <c r="A2888" s="2">
        <v>2881</v>
      </c>
      <c r="B2888" s="2" t="s">
        <v>7276</v>
      </c>
      <c r="C2888" s="2" t="s">
        <v>441</v>
      </c>
      <c r="D2888" s="2" t="s">
        <v>15</v>
      </c>
      <c r="E2888" s="2" t="s">
        <v>16</v>
      </c>
      <c r="F2888" s="2">
        <v>90</v>
      </c>
      <c r="G2888" s="2" t="s">
        <v>7277</v>
      </c>
      <c r="H2888" s="2" t="s">
        <v>5316</v>
      </c>
      <c r="I2888" s="2" t="s">
        <v>25</v>
      </c>
      <c r="J2888" s="3">
        <v>44456</v>
      </c>
      <c r="K2888" s="5">
        <f>YEAR(OrganizedData[[#This Row],[Order Date]])</f>
        <v>2021</v>
      </c>
      <c r="L2888" s="7" t="str">
        <f>TEXT(OrganizedData[[#This Row],[Order Date]],"mmm")</f>
        <v>Sep</v>
      </c>
      <c r="M2888" s="2">
        <v>79</v>
      </c>
      <c r="N2888" s="2" t="s">
        <v>80</v>
      </c>
      <c r="O2888" s="2" t="str">
        <f>VLOOKUP(OrganizedData[[#This Row],[Product Code]],ProductData[[Code]:[Item]],2,FALSE)</f>
        <v>Ultrathing V2</v>
      </c>
      <c r="P2888" s="4">
        <f>OrganizedData[[#This Row],[Quantity]]*VLOOKUP(OrganizedData[[#This Row],[Product Code]],ProductData[],4,FALSE)</f>
        <v>1580</v>
      </c>
      <c r="Q2888" s="6">
        <f>OrganizedData[[#This Row],[Total Items Ordered]]*VLOOKUP(OrganizedData[[#This Row],[Product Code]],ProductData[],3,FALSE)</f>
        <v>4661</v>
      </c>
      <c r="R28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4427.95</v>
      </c>
    </row>
    <row r="2889" spans="1:18" x14ac:dyDescent="0.3">
      <c r="A2889" s="2">
        <v>2882</v>
      </c>
      <c r="B2889" s="2" t="s">
        <v>4359</v>
      </c>
      <c r="C2889" s="2" t="s">
        <v>7278</v>
      </c>
      <c r="D2889" s="2" t="s">
        <v>28</v>
      </c>
      <c r="E2889" s="2" t="s">
        <v>29</v>
      </c>
      <c r="F2889" s="2">
        <v>90</v>
      </c>
      <c r="G2889" s="2" t="s">
        <v>7279</v>
      </c>
      <c r="H2889" s="2" t="s">
        <v>1168</v>
      </c>
      <c r="I2889" s="2" t="s">
        <v>32</v>
      </c>
      <c r="J2889" s="3">
        <v>44706</v>
      </c>
      <c r="K2889" s="5">
        <f>YEAR(OrganizedData[[#This Row],[Order Date]])</f>
        <v>2022</v>
      </c>
      <c r="L2889" s="7" t="str">
        <f>TEXT(OrganizedData[[#This Row],[Order Date]],"mmm")</f>
        <v>May</v>
      </c>
      <c r="M2889" s="2">
        <v>53</v>
      </c>
      <c r="N2889" s="2" t="s">
        <v>70</v>
      </c>
      <c r="O2889" s="2" t="str">
        <f>VLOOKUP(OrganizedData[[#This Row],[Product Code]],ProductData[[Code]:[Item]],2,FALSE)</f>
        <v>Megawidget M</v>
      </c>
      <c r="P2889" s="4">
        <f>OrganizedData[[#This Row],[Quantity]]*VLOOKUP(OrganizedData[[#This Row],[Product Code]],ProductData[],4,FALSE)</f>
        <v>1272</v>
      </c>
      <c r="Q2889" s="6">
        <f>OrganizedData[[#This Row],[Total Items Ordered]]*VLOOKUP(OrganizedData[[#This Row],[Product Code]],ProductData[],3,FALSE)</f>
        <v>1640.88</v>
      </c>
      <c r="R28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1558.836</v>
      </c>
    </row>
    <row r="2890" spans="1:18" x14ac:dyDescent="0.3">
      <c r="A2890" s="2">
        <v>2883</v>
      </c>
      <c r="B2890" s="2" t="s">
        <v>4644</v>
      </c>
      <c r="C2890" s="2" t="s">
        <v>2585</v>
      </c>
      <c r="D2890" s="2" t="s">
        <v>117</v>
      </c>
      <c r="E2890" s="2" t="s">
        <v>29</v>
      </c>
      <c r="F2890" s="2">
        <v>30</v>
      </c>
      <c r="G2890" s="2" t="s">
        <v>7280</v>
      </c>
      <c r="H2890" s="2" t="s">
        <v>7281</v>
      </c>
      <c r="I2890" s="2" t="s">
        <v>25</v>
      </c>
      <c r="J2890" s="3">
        <v>44010</v>
      </c>
      <c r="K2890" s="5">
        <f>YEAR(OrganizedData[[#This Row],[Order Date]])</f>
        <v>2020</v>
      </c>
      <c r="L2890" s="7" t="str">
        <f>TEXT(OrganizedData[[#This Row],[Order Date]],"mmm")</f>
        <v>Jun</v>
      </c>
      <c r="M2890" s="2">
        <v>52</v>
      </c>
      <c r="N2890" s="2" t="s">
        <v>64</v>
      </c>
      <c r="O2890" s="2" t="str">
        <f>VLOOKUP(OrganizedData[[#This Row],[Product Code]],ProductData[[Code]:[Item]],2,FALSE)</f>
        <v>Ultrathing V4</v>
      </c>
      <c r="P2890" s="4">
        <f>OrganizedData[[#This Row],[Quantity]]*VLOOKUP(OrganizedData[[#This Row],[Product Code]],ProductData[],4,FALSE)</f>
        <v>1248</v>
      </c>
      <c r="Q2890" s="6">
        <f>OrganizedData[[#This Row],[Total Items Ordered]]*VLOOKUP(OrganizedData[[#This Row],[Product Code]],ProductData[],3,FALSE)</f>
        <v>4979.5200000000004</v>
      </c>
      <c r="R28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4730.5439999999999</v>
      </c>
    </row>
    <row r="2891" spans="1:18" x14ac:dyDescent="0.3">
      <c r="A2891" s="2">
        <v>2884</v>
      </c>
      <c r="B2891" s="2" t="s">
        <v>1928</v>
      </c>
      <c r="C2891" s="2" t="s">
        <v>1967</v>
      </c>
      <c r="D2891" s="2" t="s">
        <v>51</v>
      </c>
      <c r="E2891" s="2" t="s">
        <v>16</v>
      </c>
      <c r="F2891" s="2">
        <v>30</v>
      </c>
      <c r="G2891" s="2" t="s">
        <v>10536</v>
      </c>
      <c r="H2891" s="2" t="s">
        <v>4870</v>
      </c>
      <c r="I2891" s="2" t="s">
        <v>146</v>
      </c>
      <c r="J2891" s="3">
        <v>44743</v>
      </c>
      <c r="K2891" s="5">
        <f>YEAR(OrganizedData[[#This Row],[Order Date]])</f>
        <v>2022</v>
      </c>
      <c r="L2891" s="7" t="str">
        <f>TEXT(OrganizedData[[#This Row],[Order Date]],"mmm")</f>
        <v>Jul</v>
      </c>
      <c r="M2891" s="2">
        <v>102</v>
      </c>
      <c r="N2891" s="2" t="s">
        <v>64</v>
      </c>
      <c r="O2891" s="2" t="str">
        <f>VLOOKUP(OrganizedData[[#This Row],[Product Code]],ProductData[[Code]:[Item]],2,FALSE)</f>
        <v>Ultrathing V4</v>
      </c>
      <c r="P2891" s="4">
        <f>OrganizedData[[#This Row],[Quantity]]*VLOOKUP(OrganizedData[[#This Row],[Product Code]],ProductData[],4,FALSE)</f>
        <v>2448</v>
      </c>
      <c r="Q2891" s="6">
        <f>OrganizedData[[#This Row],[Total Items Ordered]]*VLOOKUP(OrganizedData[[#This Row],[Product Code]],ProductData[],3,FALSE)</f>
        <v>9767.52</v>
      </c>
      <c r="R28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9083.7936000000009</v>
      </c>
    </row>
    <row r="2892" spans="1:18" x14ac:dyDescent="0.3">
      <c r="A2892" s="2">
        <v>2885</v>
      </c>
      <c r="B2892" s="2" t="s">
        <v>7283</v>
      </c>
      <c r="C2892" s="2" t="s">
        <v>5870</v>
      </c>
      <c r="D2892" s="2" t="s">
        <v>51</v>
      </c>
      <c r="E2892" s="2" t="s">
        <v>16</v>
      </c>
      <c r="F2892" s="2">
        <v>60</v>
      </c>
      <c r="G2892" s="2" t="s">
        <v>7284</v>
      </c>
      <c r="H2892" s="2" t="s">
        <v>1643</v>
      </c>
      <c r="I2892" s="2" t="s">
        <v>124</v>
      </c>
      <c r="J2892" s="3">
        <v>44329</v>
      </c>
      <c r="K2892" s="5">
        <f>YEAR(OrganizedData[[#This Row],[Order Date]])</f>
        <v>2021</v>
      </c>
      <c r="L2892" s="7" t="str">
        <f>TEXT(OrganizedData[[#This Row],[Order Date]],"mmm")</f>
        <v>May</v>
      </c>
      <c r="M2892" s="2">
        <v>82</v>
      </c>
      <c r="N2892" s="2" t="s">
        <v>39</v>
      </c>
      <c r="O2892" s="2" t="str">
        <f>VLOOKUP(OrganizedData[[#This Row],[Product Code]],ProductData[[Code]:[Item]],2,FALSE)</f>
        <v>Ultrathing V1</v>
      </c>
      <c r="P2892" s="4">
        <f>OrganizedData[[#This Row],[Quantity]]*VLOOKUP(OrganizedData[[#This Row],[Product Code]],ProductData[],4,FALSE)</f>
        <v>1394</v>
      </c>
      <c r="Q2892" s="6">
        <f>OrganizedData[[#This Row],[Total Items Ordered]]*VLOOKUP(OrganizedData[[#This Row],[Product Code]],ProductData[],3,FALSE)</f>
        <v>2495.2600000000002</v>
      </c>
      <c r="R28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2370.4970000000003</v>
      </c>
    </row>
    <row r="2893" spans="1:18" x14ac:dyDescent="0.3">
      <c r="A2893" s="2">
        <v>2886</v>
      </c>
      <c r="B2893" s="2" t="s">
        <v>7283</v>
      </c>
      <c r="C2893" s="2" t="s">
        <v>5670</v>
      </c>
      <c r="D2893" s="2" t="s">
        <v>51</v>
      </c>
      <c r="E2893" s="2" t="s">
        <v>16</v>
      </c>
      <c r="F2893" s="2">
        <v>90</v>
      </c>
      <c r="G2893" s="2" t="s">
        <v>7285</v>
      </c>
      <c r="H2893" s="2" t="s">
        <v>1325</v>
      </c>
      <c r="I2893" s="2" t="s">
        <v>187</v>
      </c>
      <c r="J2893" s="3">
        <v>43895</v>
      </c>
      <c r="K2893" s="5">
        <f>YEAR(OrganizedData[[#This Row],[Order Date]])</f>
        <v>2020</v>
      </c>
      <c r="L2893" s="7" t="str">
        <f>TEXT(OrganizedData[[#This Row],[Order Date]],"mmm")</f>
        <v>Mar</v>
      </c>
      <c r="M2893" s="2">
        <v>56</v>
      </c>
      <c r="N2893" s="2" t="s">
        <v>33</v>
      </c>
      <c r="O2893" s="2" t="str">
        <f>VLOOKUP(OrganizedData[[#This Row],[Product Code]],ProductData[[Code]:[Item]],2,FALSE)</f>
        <v>Megawidget L</v>
      </c>
      <c r="P2893" s="4">
        <f>OrganizedData[[#This Row],[Quantity]]*VLOOKUP(OrganizedData[[#This Row],[Product Code]],ProductData[],4,FALSE)</f>
        <v>1344</v>
      </c>
      <c r="Q2893" s="6">
        <f>OrganizedData[[#This Row],[Total Items Ordered]]*VLOOKUP(OrganizedData[[#This Row],[Product Code]],ProductData[],3,FALSE)</f>
        <v>2405.7600000000002</v>
      </c>
      <c r="R28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2285.4720000000002</v>
      </c>
    </row>
    <row r="2894" spans="1:18" x14ac:dyDescent="0.3">
      <c r="A2894" s="2">
        <v>2887</v>
      </c>
      <c r="B2894" s="2" t="s">
        <v>3910</v>
      </c>
      <c r="C2894" s="2" t="s">
        <v>3680</v>
      </c>
      <c r="D2894" s="2" t="s">
        <v>28</v>
      </c>
      <c r="E2894" s="2" t="s">
        <v>29</v>
      </c>
      <c r="F2894" s="2">
        <v>90</v>
      </c>
      <c r="G2894" s="2" t="s">
        <v>7286</v>
      </c>
      <c r="H2894" s="2" t="s">
        <v>1052</v>
      </c>
      <c r="I2894" s="2" t="s">
        <v>32</v>
      </c>
      <c r="J2894" s="3">
        <v>43899</v>
      </c>
      <c r="K2894" s="5">
        <f>YEAR(OrganizedData[[#This Row],[Order Date]])</f>
        <v>2020</v>
      </c>
      <c r="L2894" s="7" t="str">
        <f>TEXT(OrganizedData[[#This Row],[Order Date]],"mmm")</f>
        <v>Mar</v>
      </c>
      <c r="M2894" s="2">
        <v>75</v>
      </c>
      <c r="N2894" s="2" t="s">
        <v>20</v>
      </c>
      <c r="O2894" s="2" t="str">
        <f>VLOOKUP(OrganizedData[[#This Row],[Product Code]],ProductData[[Code]:[Item]],2,FALSE)</f>
        <v>Hyperwotsit</v>
      </c>
      <c r="P2894" s="4">
        <f>OrganizedData[[#This Row],[Quantity]]*VLOOKUP(OrganizedData[[#This Row],[Product Code]],ProductData[],4,FALSE)</f>
        <v>1500</v>
      </c>
      <c r="Q2894" s="6">
        <f>OrganizedData[[#This Row],[Total Items Ordered]]*VLOOKUP(OrganizedData[[#This Row],[Product Code]],ProductData[],3,FALSE)</f>
        <v>3014.9999999999995</v>
      </c>
      <c r="R28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2864.2499999999995</v>
      </c>
    </row>
    <row r="2895" spans="1:18" x14ac:dyDescent="0.3">
      <c r="A2895" s="2">
        <v>2888</v>
      </c>
      <c r="B2895" s="2" t="s">
        <v>2200</v>
      </c>
      <c r="C2895" s="2" t="s">
        <v>6997</v>
      </c>
      <c r="D2895" s="2" t="s">
        <v>28</v>
      </c>
      <c r="E2895" s="2" t="s">
        <v>29</v>
      </c>
      <c r="F2895" s="2">
        <v>30</v>
      </c>
      <c r="G2895" s="2" t="s">
        <v>7287</v>
      </c>
      <c r="H2895" s="2" t="s">
        <v>4145</v>
      </c>
      <c r="I2895" s="2" t="s">
        <v>32</v>
      </c>
      <c r="J2895" s="3">
        <v>44417</v>
      </c>
      <c r="K2895" s="5">
        <f>YEAR(OrganizedData[[#This Row],[Order Date]])</f>
        <v>2021</v>
      </c>
      <c r="L2895" s="7" t="str">
        <f>TEXT(OrganizedData[[#This Row],[Order Date]],"mmm")</f>
        <v>Aug</v>
      </c>
      <c r="M2895" s="2">
        <v>25</v>
      </c>
      <c r="N2895" s="2" t="s">
        <v>45</v>
      </c>
      <c r="O2895" s="2" t="str">
        <f>VLOOKUP(OrganizedData[[#This Row],[Product Code]],ProductData[[Code]:[Item]],2,FALSE)</f>
        <v>Gigastuff</v>
      </c>
      <c r="P2895" s="4">
        <f>OrganizedData[[#This Row],[Quantity]]*VLOOKUP(OrganizedData[[#This Row],[Product Code]],ProductData[],4,FALSE)</f>
        <v>450</v>
      </c>
      <c r="Q2895" s="6">
        <f>OrganizedData[[#This Row],[Total Items Ordered]]*VLOOKUP(OrganizedData[[#This Row],[Product Code]],ProductData[],3,FALSE)</f>
        <v>850.5</v>
      </c>
      <c r="R28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824.98500000000001</v>
      </c>
    </row>
    <row r="2896" spans="1:18" x14ac:dyDescent="0.3">
      <c r="A2896" s="2">
        <v>2889</v>
      </c>
      <c r="B2896" s="2" t="s">
        <v>2721</v>
      </c>
      <c r="C2896" s="2" t="s">
        <v>4603</v>
      </c>
      <c r="D2896" s="2" t="s">
        <v>28</v>
      </c>
      <c r="E2896" s="2" t="s">
        <v>29</v>
      </c>
      <c r="F2896" s="2">
        <v>60</v>
      </c>
      <c r="G2896" s="2" t="s">
        <v>7288</v>
      </c>
      <c r="H2896" s="2" t="s">
        <v>1276</v>
      </c>
      <c r="I2896" s="2" t="s">
        <v>32</v>
      </c>
      <c r="J2896" s="3">
        <v>44596</v>
      </c>
      <c r="K2896" s="5">
        <f>YEAR(OrganizedData[[#This Row],[Order Date]])</f>
        <v>2022</v>
      </c>
      <c r="L2896" s="7" t="str">
        <f>TEXT(OrganizedData[[#This Row],[Order Date]],"mmm")</f>
        <v>Feb</v>
      </c>
      <c r="M2896" s="2">
        <v>82</v>
      </c>
      <c r="N2896" s="2" t="s">
        <v>64</v>
      </c>
      <c r="O2896" s="2" t="str">
        <f>VLOOKUP(OrganizedData[[#This Row],[Product Code]],ProductData[[Code]:[Item]],2,FALSE)</f>
        <v>Ultrathing V4</v>
      </c>
      <c r="P2896" s="4">
        <f>OrganizedData[[#This Row],[Quantity]]*VLOOKUP(OrganizedData[[#This Row],[Product Code]],ProductData[],4,FALSE)</f>
        <v>1968</v>
      </c>
      <c r="Q2896" s="6">
        <f>OrganizedData[[#This Row],[Total Items Ordered]]*VLOOKUP(OrganizedData[[#This Row],[Product Code]],ProductData[],3,FALSE)</f>
        <v>7852.3200000000006</v>
      </c>
      <c r="R28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7459.7040000000006</v>
      </c>
    </row>
    <row r="2897" spans="1:18" x14ac:dyDescent="0.3">
      <c r="A2897" s="2">
        <v>2890</v>
      </c>
      <c r="B2897" s="2" t="s">
        <v>7289</v>
      </c>
      <c r="C2897" s="2" t="s">
        <v>7290</v>
      </c>
      <c r="D2897" s="2" t="s">
        <v>15</v>
      </c>
      <c r="E2897" s="2" t="s">
        <v>16</v>
      </c>
      <c r="F2897" s="2">
        <v>30</v>
      </c>
      <c r="G2897" s="2" t="s">
        <v>7291</v>
      </c>
      <c r="H2897" s="2" t="s">
        <v>5624</v>
      </c>
      <c r="I2897" s="2" t="s">
        <v>32</v>
      </c>
      <c r="J2897" s="3">
        <v>44817</v>
      </c>
      <c r="K2897" s="5">
        <f>YEAR(OrganizedData[[#This Row],[Order Date]])</f>
        <v>2022</v>
      </c>
      <c r="L2897" s="7" t="str">
        <f>TEXT(OrganizedData[[#This Row],[Order Date]],"mmm")</f>
        <v>Sep</v>
      </c>
      <c r="M2897" s="2">
        <v>53</v>
      </c>
      <c r="N2897" s="2" t="s">
        <v>20</v>
      </c>
      <c r="O2897" s="2" t="str">
        <f>VLOOKUP(OrganizedData[[#This Row],[Product Code]],ProductData[[Code]:[Item]],2,FALSE)</f>
        <v>Hyperwotsit</v>
      </c>
      <c r="P2897" s="4">
        <f>OrganizedData[[#This Row],[Quantity]]*VLOOKUP(OrganizedData[[#This Row],[Product Code]],ProductData[],4,FALSE)</f>
        <v>1060</v>
      </c>
      <c r="Q2897" s="6">
        <f>OrganizedData[[#This Row],[Total Items Ordered]]*VLOOKUP(OrganizedData[[#This Row],[Product Code]],ProductData[],3,FALSE)</f>
        <v>2130.6</v>
      </c>
      <c r="R28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2024.0699999999997</v>
      </c>
    </row>
    <row r="2898" spans="1:18" x14ac:dyDescent="0.3">
      <c r="A2898" s="2">
        <v>2891</v>
      </c>
      <c r="B2898" s="2" t="s">
        <v>1654</v>
      </c>
      <c r="C2898" s="2" t="s">
        <v>7292</v>
      </c>
      <c r="D2898" s="2" t="s">
        <v>15</v>
      </c>
      <c r="E2898" s="2" t="s">
        <v>16</v>
      </c>
      <c r="F2898" s="2">
        <v>60</v>
      </c>
      <c r="G2898" s="2" t="s">
        <v>7293</v>
      </c>
      <c r="H2898" s="2" t="s">
        <v>2934</v>
      </c>
      <c r="I2898" s="2" t="s">
        <v>32</v>
      </c>
      <c r="J2898" s="3">
        <v>44841</v>
      </c>
      <c r="K2898" s="5">
        <f>YEAR(OrganizedData[[#This Row],[Order Date]])</f>
        <v>2022</v>
      </c>
      <c r="L2898" s="7" t="str">
        <f>TEXT(OrganizedData[[#This Row],[Order Date]],"mmm")</f>
        <v>Oct</v>
      </c>
      <c r="M2898" s="2">
        <v>62</v>
      </c>
      <c r="N2898" s="2" t="s">
        <v>33</v>
      </c>
      <c r="O2898" s="2" t="str">
        <f>VLOOKUP(OrganizedData[[#This Row],[Product Code]],ProductData[[Code]:[Item]],2,FALSE)</f>
        <v>Megawidget L</v>
      </c>
      <c r="P2898" s="4">
        <f>OrganizedData[[#This Row],[Quantity]]*VLOOKUP(OrganizedData[[#This Row],[Product Code]],ProductData[],4,FALSE)</f>
        <v>1488</v>
      </c>
      <c r="Q2898" s="6">
        <f>OrganizedData[[#This Row],[Total Items Ordered]]*VLOOKUP(OrganizedData[[#This Row],[Product Code]],ProductData[],3,FALSE)</f>
        <v>2663.52</v>
      </c>
      <c r="R28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2899" spans="1:18" x14ac:dyDescent="0.3">
      <c r="A2899" s="2">
        <v>2892</v>
      </c>
      <c r="B2899" s="2" t="s">
        <v>7294</v>
      </c>
      <c r="C2899" s="2" t="s">
        <v>2815</v>
      </c>
      <c r="D2899" s="2" t="s">
        <v>15</v>
      </c>
      <c r="E2899" s="2" t="s">
        <v>16</v>
      </c>
      <c r="F2899" s="2">
        <v>60</v>
      </c>
      <c r="G2899" s="2" t="s">
        <v>7295</v>
      </c>
      <c r="H2899" s="2" t="s">
        <v>3635</v>
      </c>
      <c r="I2899" s="2" t="s">
        <v>1157</v>
      </c>
      <c r="J2899" s="3">
        <v>44565</v>
      </c>
      <c r="K2899" s="5">
        <f>YEAR(OrganizedData[[#This Row],[Order Date]])</f>
        <v>2022</v>
      </c>
      <c r="L2899" s="7" t="str">
        <f>TEXT(OrganizedData[[#This Row],[Order Date]],"mmm")</f>
        <v>Jan</v>
      </c>
      <c r="M2899" s="2">
        <v>83</v>
      </c>
      <c r="N2899" s="2" t="s">
        <v>70</v>
      </c>
      <c r="O2899" s="2" t="str">
        <f>VLOOKUP(OrganizedData[[#This Row],[Product Code]],ProductData[[Code]:[Item]],2,FALSE)</f>
        <v>Megawidget M</v>
      </c>
      <c r="P2899" s="4">
        <f>OrganizedData[[#This Row],[Quantity]]*VLOOKUP(OrganizedData[[#This Row],[Product Code]],ProductData[],4,FALSE)</f>
        <v>1992</v>
      </c>
      <c r="Q2899" s="6">
        <f>OrganizedData[[#This Row],[Total Items Ordered]]*VLOOKUP(OrganizedData[[#This Row],[Product Code]],ProductData[],3,FALSE)</f>
        <v>2569.6800000000003</v>
      </c>
      <c r="R28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2441.1960000000004</v>
      </c>
    </row>
    <row r="2900" spans="1:18" x14ac:dyDescent="0.3">
      <c r="A2900" s="2">
        <v>2893</v>
      </c>
      <c r="B2900" s="2" t="s">
        <v>4218</v>
      </c>
      <c r="C2900" s="2" t="s">
        <v>3127</v>
      </c>
      <c r="D2900" s="2" t="s">
        <v>28</v>
      </c>
      <c r="E2900" s="2" t="s">
        <v>29</v>
      </c>
      <c r="F2900" s="2">
        <v>60</v>
      </c>
      <c r="G2900" s="2" t="s">
        <v>7296</v>
      </c>
      <c r="H2900" s="2" t="s">
        <v>7297</v>
      </c>
      <c r="I2900" s="2" t="s">
        <v>178</v>
      </c>
      <c r="J2900" s="3">
        <v>44123</v>
      </c>
      <c r="K2900" s="5">
        <f>YEAR(OrganizedData[[#This Row],[Order Date]])</f>
        <v>2020</v>
      </c>
      <c r="L2900" s="7" t="str">
        <f>TEXT(OrganizedData[[#This Row],[Order Date]],"mmm")</f>
        <v>Oct</v>
      </c>
      <c r="M2900" s="2">
        <v>52</v>
      </c>
      <c r="N2900" s="2" t="s">
        <v>101</v>
      </c>
      <c r="O2900" s="2" t="str">
        <f>VLOOKUP(OrganizedData[[#This Row],[Product Code]],ProductData[[Code]:[Item]],2,FALSE)</f>
        <v>Superwossname</v>
      </c>
      <c r="P2900" s="4">
        <f>OrganizedData[[#This Row],[Quantity]]*VLOOKUP(OrganizedData[[#This Row],[Product Code]],ProductData[],4,FALSE)</f>
        <v>1040</v>
      </c>
      <c r="Q2900" s="6">
        <f>OrganizedData[[#This Row],[Total Items Ordered]]*VLOOKUP(OrganizedData[[#This Row],[Product Code]],ProductData[],3,FALSE)</f>
        <v>3629.6000000000004</v>
      </c>
      <c r="R29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3448.1200000000003</v>
      </c>
    </row>
    <row r="2901" spans="1:18" x14ac:dyDescent="0.3">
      <c r="A2901" s="2">
        <v>2894</v>
      </c>
      <c r="B2901" s="2" t="s">
        <v>7298</v>
      </c>
      <c r="C2901" s="2" t="s">
        <v>3098</v>
      </c>
      <c r="D2901" s="2" t="s">
        <v>28</v>
      </c>
      <c r="E2901" s="2" t="s">
        <v>29</v>
      </c>
      <c r="F2901" s="2">
        <v>60</v>
      </c>
      <c r="G2901" s="2" t="s">
        <v>7299</v>
      </c>
      <c r="H2901" s="2" t="s">
        <v>3433</v>
      </c>
      <c r="I2901" s="2" t="s">
        <v>1199</v>
      </c>
      <c r="J2901" s="3">
        <v>44459</v>
      </c>
      <c r="K2901" s="5">
        <f>YEAR(OrganizedData[[#This Row],[Order Date]])</f>
        <v>2021</v>
      </c>
      <c r="L2901" s="7" t="str">
        <f>TEXT(OrganizedData[[#This Row],[Order Date]],"mmm")</f>
        <v>Sep</v>
      </c>
      <c r="M2901" s="2">
        <v>34</v>
      </c>
      <c r="N2901" s="2" t="s">
        <v>39</v>
      </c>
      <c r="O2901" s="2" t="str">
        <f>VLOOKUP(OrganizedData[[#This Row],[Product Code]],ProductData[[Code]:[Item]],2,FALSE)</f>
        <v>Ultrathing V1</v>
      </c>
      <c r="P2901" s="4">
        <f>OrganizedData[[#This Row],[Quantity]]*VLOOKUP(OrganizedData[[#This Row],[Product Code]],ProductData[],4,FALSE)</f>
        <v>578</v>
      </c>
      <c r="Q2901" s="6">
        <f>OrganizedData[[#This Row],[Total Items Ordered]]*VLOOKUP(OrganizedData[[#This Row],[Product Code]],ProductData[],3,FALSE)</f>
        <v>1034.6200000000001</v>
      </c>
      <c r="R29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1003.5814</v>
      </c>
    </row>
    <row r="2902" spans="1:18" x14ac:dyDescent="0.3">
      <c r="A2902" s="2">
        <v>2895</v>
      </c>
      <c r="B2902" s="2" t="s">
        <v>952</v>
      </c>
      <c r="C2902" s="2" t="s">
        <v>961</v>
      </c>
      <c r="D2902" s="2" t="s">
        <v>15</v>
      </c>
      <c r="E2902" s="2" t="s">
        <v>16</v>
      </c>
      <c r="F2902" s="2">
        <v>60</v>
      </c>
      <c r="G2902" s="2" t="s">
        <v>7300</v>
      </c>
      <c r="H2902" s="2" t="s">
        <v>2418</v>
      </c>
      <c r="I2902" s="2" t="s">
        <v>32</v>
      </c>
      <c r="J2902" s="3">
        <v>44279</v>
      </c>
      <c r="K2902" s="5">
        <f>YEAR(OrganizedData[[#This Row],[Order Date]])</f>
        <v>2021</v>
      </c>
      <c r="L2902" s="7" t="str">
        <f>TEXT(OrganizedData[[#This Row],[Order Date]],"mmm")</f>
        <v>Mar</v>
      </c>
      <c r="M2902" s="2">
        <v>57</v>
      </c>
      <c r="N2902" s="2" t="s">
        <v>39</v>
      </c>
      <c r="O2902" s="2" t="str">
        <f>VLOOKUP(OrganizedData[[#This Row],[Product Code]],ProductData[[Code]:[Item]],2,FALSE)</f>
        <v>Ultrathing V1</v>
      </c>
      <c r="P2902" s="4">
        <f>OrganizedData[[#This Row],[Quantity]]*VLOOKUP(OrganizedData[[#This Row],[Product Code]],ProductData[],4,FALSE)</f>
        <v>969</v>
      </c>
      <c r="Q2902" s="6">
        <f>OrganizedData[[#This Row],[Total Items Ordered]]*VLOOKUP(OrganizedData[[#This Row],[Product Code]],ProductData[],3,FALSE)</f>
        <v>1734.51</v>
      </c>
      <c r="R29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2903" spans="1:18" x14ac:dyDescent="0.3">
      <c r="A2903" s="2">
        <v>2896</v>
      </c>
      <c r="B2903" s="2" t="s">
        <v>7301</v>
      </c>
      <c r="C2903" s="2" t="s">
        <v>1072</v>
      </c>
      <c r="D2903" s="2" t="s">
        <v>51</v>
      </c>
      <c r="E2903" s="2" t="s">
        <v>16</v>
      </c>
      <c r="F2903" s="2">
        <v>30</v>
      </c>
      <c r="G2903" s="2" t="s">
        <v>7302</v>
      </c>
      <c r="H2903" s="2" t="s">
        <v>4941</v>
      </c>
      <c r="I2903" s="2" t="s">
        <v>32</v>
      </c>
      <c r="J2903" s="3">
        <v>44851</v>
      </c>
      <c r="K2903" s="5">
        <f>YEAR(OrganizedData[[#This Row],[Order Date]])</f>
        <v>2022</v>
      </c>
      <c r="L2903" s="7" t="str">
        <f>TEXT(OrganizedData[[#This Row],[Order Date]],"mmm")</f>
        <v>Oct</v>
      </c>
      <c r="M2903" s="2">
        <v>85</v>
      </c>
      <c r="N2903" s="2" t="s">
        <v>20</v>
      </c>
      <c r="O2903" s="2" t="str">
        <f>VLOOKUP(OrganizedData[[#This Row],[Product Code]],ProductData[[Code]:[Item]],2,FALSE)</f>
        <v>Hyperwotsit</v>
      </c>
      <c r="P2903" s="4">
        <f>OrganizedData[[#This Row],[Quantity]]*VLOOKUP(OrganizedData[[#This Row],[Product Code]],ProductData[],4,FALSE)</f>
        <v>1700</v>
      </c>
      <c r="Q2903" s="6">
        <f>OrganizedData[[#This Row],[Total Items Ordered]]*VLOOKUP(OrganizedData[[#This Row],[Product Code]],ProductData[],3,FALSE)</f>
        <v>3416.9999999999995</v>
      </c>
      <c r="R29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3246.1499999999996</v>
      </c>
    </row>
    <row r="2904" spans="1:18" x14ac:dyDescent="0.3">
      <c r="A2904" s="2">
        <v>2897</v>
      </c>
      <c r="B2904" s="2" t="s">
        <v>7303</v>
      </c>
      <c r="C2904" s="2" t="s">
        <v>5258</v>
      </c>
      <c r="D2904" s="2" t="s">
        <v>28</v>
      </c>
      <c r="E2904" s="2" t="s">
        <v>29</v>
      </c>
      <c r="F2904" s="2">
        <v>60</v>
      </c>
      <c r="G2904" s="2" t="s">
        <v>7304</v>
      </c>
      <c r="H2904" s="2" t="s">
        <v>2570</v>
      </c>
      <c r="I2904" s="2" t="s">
        <v>32</v>
      </c>
      <c r="J2904" s="3">
        <v>44339</v>
      </c>
      <c r="K2904" s="5">
        <f>YEAR(OrganizedData[[#This Row],[Order Date]])</f>
        <v>2021</v>
      </c>
      <c r="L2904" s="7" t="str">
        <f>TEXT(OrganizedData[[#This Row],[Order Date]],"mmm")</f>
        <v>May</v>
      </c>
      <c r="M2904" s="2">
        <v>87</v>
      </c>
      <c r="N2904" s="2" t="s">
        <v>101</v>
      </c>
      <c r="O2904" s="2" t="str">
        <f>VLOOKUP(OrganizedData[[#This Row],[Product Code]],ProductData[[Code]:[Item]],2,FALSE)</f>
        <v>Superwossname</v>
      </c>
      <c r="P2904" s="4">
        <f>OrganizedData[[#This Row],[Quantity]]*VLOOKUP(OrganizedData[[#This Row],[Product Code]],ProductData[],4,FALSE)</f>
        <v>1740</v>
      </c>
      <c r="Q2904" s="6">
        <f>OrganizedData[[#This Row],[Total Items Ordered]]*VLOOKUP(OrganizedData[[#This Row],[Product Code]],ProductData[],3,FALSE)</f>
        <v>6072.6</v>
      </c>
      <c r="R29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5768.97</v>
      </c>
    </row>
    <row r="2905" spans="1:18" x14ac:dyDescent="0.3">
      <c r="A2905" s="2">
        <v>2898</v>
      </c>
      <c r="B2905" s="2" t="s">
        <v>7305</v>
      </c>
      <c r="C2905" s="2" t="s">
        <v>5727</v>
      </c>
      <c r="D2905" s="2" t="s">
        <v>15</v>
      </c>
      <c r="E2905" s="2" t="s">
        <v>16</v>
      </c>
      <c r="F2905" s="2">
        <v>60</v>
      </c>
      <c r="G2905" s="2" t="s">
        <v>7306</v>
      </c>
      <c r="H2905" s="2" t="s">
        <v>7307</v>
      </c>
      <c r="I2905" s="2" t="s">
        <v>25</v>
      </c>
      <c r="J2905" s="3">
        <v>44730</v>
      </c>
      <c r="K2905" s="5">
        <f>YEAR(OrganizedData[[#This Row],[Order Date]])</f>
        <v>2022</v>
      </c>
      <c r="L2905" s="7" t="str">
        <f>TEXT(OrganizedData[[#This Row],[Order Date]],"mmm")</f>
        <v>Jun</v>
      </c>
      <c r="M2905" s="2">
        <v>66</v>
      </c>
      <c r="N2905" s="2" t="s">
        <v>45</v>
      </c>
      <c r="O2905" s="2" t="str">
        <f>VLOOKUP(OrganizedData[[#This Row],[Product Code]],ProductData[[Code]:[Item]],2,FALSE)</f>
        <v>Gigastuff</v>
      </c>
      <c r="P2905" s="4">
        <f>OrganizedData[[#This Row],[Quantity]]*VLOOKUP(OrganizedData[[#This Row],[Product Code]],ProductData[],4,FALSE)</f>
        <v>1188</v>
      </c>
      <c r="Q2905" s="6">
        <f>OrganizedData[[#This Row],[Total Items Ordered]]*VLOOKUP(OrganizedData[[#This Row],[Product Code]],ProductData[],3,FALSE)</f>
        <v>2245.3199999999997</v>
      </c>
      <c r="R29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2133.0539999999996</v>
      </c>
    </row>
    <row r="2906" spans="1:18" x14ac:dyDescent="0.3">
      <c r="A2906" s="2">
        <v>2899</v>
      </c>
      <c r="B2906" s="2" t="s">
        <v>115</v>
      </c>
      <c r="C2906" s="2" t="s">
        <v>6355</v>
      </c>
      <c r="D2906" s="2" t="s">
        <v>28</v>
      </c>
      <c r="E2906" s="2" t="s">
        <v>29</v>
      </c>
      <c r="F2906" s="2">
        <v>30</v>
      </c>
      <c r="G2906" s="2" t="s">
        <v>7308</v>
      </c>
      <c r="H2906" s="2" t="s">
        <v>1804</v>
      </c>
      <c r="I2906" s="2" t="s">
        <v>32</v>
      </c>
      <c r="J2906" s="3">
        <v>44088</v>
      </c>
      <c r="K2906" s="5">
        <f>YEAR(OrganizedData[[#This Row],[Order Date]])</f>
        <v>2020</v>
      </c>
      <c r="L2906" s="7" t="str">
        <f>TEXT(OrganizedData[[#This Row],[Order Date]],"mmm")</f>
        <v>Sep</v>
      </c>
      <c r="M2906" s="2">
        <v>65</v>
      </c>
      <c r="N2906" s="2" t="s">
        <v>33</v>
      </c>
      <c r="O2906" s="2" t="str">
        <f>VLOOKUP(OrganizedData[[#This Row],[Product Code]],ProductData[[Code]:[Item]],2,FALSE)</f>
        <v>Megawidget L</v>
      </c>
      <c r="P2906" s="4">
        <f>OrganizedData[[#This Row],[Quantity]]*VLOOKUP(OrganizedData[[#This Row],[Product Code]],ProductData[],4,FALSE)</f>
        <v>1560</v>
      </c>
      <c r="Q2906" s="6">
        <f>OrganizedData[[#This Row],[Total Items Ordered]]*VLOOKUP(OrganizedData[[#This Row],[Product Code]],ProductData[],3,FALSE)</f>
        <v>2792.4</v>
      </c>
      <c r="R29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2652.7799999999997</v>
      </c>
    </row>
    <row r="2907" spans="1:18" x14ac:dyDescent="0.3">
      <c r="A2907" s="2">
        <v>2900</v>
      </c>
      <c r="B2907" s="2" t="s">
        <v>6192</v>
      </c>
      <c r="C2907" s="2" t="s">
        <v>5487</v>
      </c>
      <c r="D2907" s="2" t="s">
        <v>51</v>
      </c>
      <c r="E2907" s="2" t="s">
        <v>16</v>
      </c>
      <c r="F2907" s="2">
        <v>60</v>
      </c>
      <c r="G2907" s="2" t="s">
        <v>7309</v>
      </c>
      <c r="H2907" s="2" t="s">
        <v>3169</v>
      </c>
      <c r="I2907" s="2" t="s">
        <v>110</v>
      </c>
      <c r="J2907" s="3">
        <v>44048</v>
      </c>
      <c r="K2907" s="5">
        <f>YEAR(OrganizedData[[#This Row],[Order Date]])</f>
        <v>2020</v>
      </c>
      <c r="L2907" s="7" t="str">
        <f>TEXT(OrganizedData[[#This Row],[Order Date]],"mmm")</f>
        <v>Aug</v>
      </c>
      <c r="M2907" s="2">
        <v>85</v>
      </c>
      <c r="N2907" s="2" t="s">
        <v>54</v>
      </c>
      <c r="O2907" s="2" t="str">
        <f>VLOOKUP(OrganizedData[[#This Row],[Product Code]],ProductData[[Code]:[Item]],2,FALSE)</f>
        <v>Megawidget S</v>
      </c>
      <c r="P2907" s="4">
        <f>OrganizedData[[#This Row],[Quantity]]*VLOOKUP(OrganizedData[[#This Row],[Product Code]],ProductData[],4,FALSE)</f>
        <v>2040</v>
      </c>
      <c r="Q2907" s="6">
        <f>OrganizedData[[#This Row],[Total Items Ordered]]*VLOOKUP(OrganizedData[[#This Row],[Product Code]],ProductData[],3,FALSE)</f>
        <v>1407.6</v>
      </c>
      <c r="R29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2908" spans="1:18" x14ac:dyDescent="0.3">
      <c r="A2908" s="2">
        <v>2901</v>
      </c>
      <c r="B2908" s="2" t="s">
        <v>7310</v>
      </c>
      <c r="C2908" s="2" t="s">
        <v>6509</v>
      </c>
      <c r="D2908" s="2" t="s">
        <v>15</v>
      </c>
      <c r="E2908" s="2" t="s">
        <v>16</v>
      </c>
      <c r="F2908" s="2">
        <v>30</v>
      </c>
      <c r="G2908" s="2" t="s">
        <v>7309</v>
      </c>
      <c r="H2908" s="2" t="s">
        <v>2084</v>
      </c>
      <c r="I2908" s="2" t="s">
        <v>294</v>
      </c>
      <c r="J2908" s="3">
        <v>44270</v>
      </c>
      <c r="K2908" s="5">
        <f>YEAR(OrganizedData[[#This Row],[Order Date]])</f>
        <v>2021</v>
      </c>
      <c r="L2908" s="7" t="str">
        <f>TEXT(OrganizedData[[#This Row],[Order Date]],"mmm")</f>
        <v>Mar</v>
      </c>
      <c r="M2908" s="2">
        <v>50</v>
      </c>
      <c r="N2908" s="2" t="s">
        <v>33</v>
      </c>
      <c r="O2908" s="2" t="str">
        <f>VLOOKUP(OrganizedData[[#This Row],[Product Code]],ProductData[[Code]:[Item]],2,FALSE)</f>
        <v>Megawidget L</v>
      </c>
      <c r="P2908" s="4">
        <f>OrganizedData[[#This Row],[Quantity]]*VLOOKUP(OrganizedData[[#This Row],[Product Code]],ProductData[],4,FALSE)</f>
        <v>1200</v>
      </c>
      <c r="Q2908" s="6">
        <f>OrganizedData[[#This Row],[Total Items Ordered]]*VLOOKUP(OrganizedData[[#This Row],[Product Code]],ProductData[],3,FALSE)</f>
        <v>2148</v>
      </c>
      <c r="R29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2909" spans="1:18" x14ac:dyDescent="0.3">
      <c r="A2909" s="2">
        <v>2902</v>
      </c>
      <c r="B2909" s="2" t="s">
        <v>7311</v>
      </c>
      <c r="C2909" s="2" t="s">
        <v>6436</v>
      </c>
      <c r="D2909" s="2" t="s">
        <v>15</v>
      </c>
      <c r="E2909" s="2" t="s">
        <v>16</v>
      </c>
      <c r="F2909" s="2">
        <v>90</v>
      </c>
      <c r="G2909" s="2" t="s">
        <v>7309</v>
      </c>
      <c r="H2909" s="2" t="s">
        <v>2742</v>
      </c>
      <c r="I2909" s="2" t="s">
        <v>124</v>
      </c>
      <c r="J2909" s="3">
        <v>44741</v>
      </c>
      <c r="K2909" s="5">
        <f>YEAR(OrganizedData[[#This Row],[Order Date]])</f>
        <v>2022</v>
      </c>
      <c r="L2909" s="7" t="str">
        <f>TEXT(OrganizedData[[#This Row],[Order Date]],"mmm")</f>
        <v>Jun</v>
      </c>
      <c r="M2909" s="2">
        <v>101</v>
      </c>
      <c r="N2909" s="2" t="s">
        <v>101</v>
      </c>
      <c r="O2909" s="2" t="str">
        <f>VLOOKUP(OrganizedData[[#This Row],[Product Code]],ProductData[[Code]:[Item]],2,FALSE)</f>
        <v>Superwossname</v>
      </c>
      <c r="P2909" s="4">
        <f>OrganizedData[[#This Row],[Quantity]]*VLOOKUP(OrganizedData[[#This Row],[Product Code]],ProductData[],4,FALSE)</f>
        <v>2020</v>
      </c>
      <c r="Q2909" s="6">
        <f>OrganizedData[[#This Row],[Total Items Ordered]]*VLOOKUP(OrganizedData[[#This Row],[Product Code]],ProductData[],3,FALSE)</f>
        <v>7049.8</v>
      </c>
      <c r="R29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6556.3140000000003</v>
      </c>
    </row>
    <row r="2910" spans="1:18" x14ac:dyDescent="0.3">
      <c r="A2910" s="2">
        <v>2903</v>
      </c>
      <c r="B2910" s="2" t="s">
        <v>7312</v>
      </c>
      <c r="C2910" s="2" t="s">
        <v>1656</v>
      </c>
      <c r="D2910" s="2" t="s">
        <v>15</v>
      </c>
      <c r="E2910" s="2" t="s">
        <v>16</v>
      </c>
      <c r="F2910" s="2">
        <v>90</v>
      </c>
      <c r="G2910" s="2" t="s">
        <v>7313</v>
      </c>
      <c r="H2910" s="2" t="s">
        <v>1537</v>
      </c>
      <c r="I2910" s="2" t="s">
        <v>294</v>
      </c>
      <c r="J2910" s="3">
        <v>44403</v>
      </c>
      <c r="K2910" s="5">
        <f>YEAR(OrganizedData[[#This Row],[Order Date]])</f>
        <v>2021</v>
      </c>
      <c r="L2910" s="7" t="str">
        <f>TEXT(OrganizedData[[#This Row],[Order Date]],"mmm")</f>
        <v>Jul</v>
      </c>
      <c r="M2910" s="2">
        <v>28</v>
      </c>
      <c r="N2910" s="2" t="s">
        <v>101</v>
      </c>
      <c r="O2910" s="2" t="str">
        <f>VLOOKUP(OrganizedData[[#This Row],[Product Code]],ProductData[[Code]:[Item]],2,FALSE)</f>
        <v>Superwossname</v>
      </c>
      <c r="P2910" s="4">
        <f>OrganizedData[[#This Row],[Quantity]]*VLOOKUP(OrganizedData[[#This Row],[Product Code]],ProductData[],4,FALSE)</f>
        <v>560</v>
      </c>
      <c r="Q2910" s="6">
        <f>OrganizedData[[#This Row],[Total Items Ordered]]*VLOOKUP(OrganizedData[[#This Row],[Product Code]],ProductData[],3,FALSE)</f>
        <v>1954.4</v>
      </c>
      <c r="R29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2911" spans="1:18" x14ac:dyDescent="0.3">
      <c r="A2911" s="2">
        <v>2904</v>
      </c>
      <c r="B2911" s="2" t="s">
        <v>7314</v>
      </c>
      <c r="C2911" s="2" t="s">
        <v>7315</v>
      </c>
      <c r="D2911" s="2" t="s">
        <v>28</v>
      </c>
      <c r="E2911" s="2" t="s">
        <v>29</v>
      </c>
      <c r="F2911" s="2">
        <v>90</v>
      </c>
      <c r="G2911" s="2" t="s">
        <v>7316</v>
      </c>
      <c r="H2911" s="2" t="s">
        <v>389</v>
      </c>
      <c r="I2911" s="2" t="s">
        <v>32</v>
      </c>
      <c r="J2911" s="3">
        <v>44639</v>
      </c>
      <c r="K2911" s="5">
        <f>YEAR(OrganizedData[[#This Row],[Order Date]])</f>
        <v>2022</v>
      </c>
      <c r="L2911" s="7" t="str">
        <f>TEXT(OrganizedData[[#This Row],[Order Date]],"mmm")</f>
        <v>Mar</v>
      </c>
      <c r="M2911" s="2">
        <v>80</v>
      </c>
      <c r="N2911" s="2" t="s">
        <v>33</v>
      </c>
      <c r="O2911" s="2" t="str">
        <f>VLOOKUP(OrganizedData[[#This Row],[Product Code]],ProductData[[Code]:[Item]],2,FALSE)</f>
        <v>Megawidget L</v>
      </c>
      <c r="P2911" s="4">
        <f>OrganizedData[[#This Row],[Quantity]]*VLOOKUP(OrganizedData[[#This Row],[Product Code]],ProductData[],4,FALSE)</f>
        <v>1920</v>
      </c>
      <c r="Q2911" s="6">
        <f>OrganizedData[[#This Row],[Total Items Ordered]]*VLOOKUP(OrganizedData[[#This Row],[Product Code]],ProductData[],3,FALSE)</f>
        <v>3436.8</v>
      </c>
      <c r="R29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3264.96</v>
      </c>
    </row>
    <row r="2912" spans="1:18" x14ac:dyDescent="0.3">
      <c r="A2912" s="2">
        <v>2905</v>
      </c>
      <c r="B2912" s="2" t="s">
        <v>5457</v>
      </c>
      <c r="C2912" s="2" t="s">
        <v>7231</v>
      </c>
      <c r="D2912" s="2" t="s">
        <v>28</v>
      </c>
      <c r="E2912" s="2" t="s">
        <v>29</v>
      </c>
      <c r="F2912" s="2">
        <v>90</v>
      </c>
      <c r="G2912" s="2" t="s">
        <v>7317</v>
      </c>
      <c r="H2912" s="2" t="s">
        <v>7318</v>
      </c>
      <c r="I2912" s="2" t="s">
        <v>32</v>
      </c>
      <c r="J2912" s="3">
        <v>44053</v>
      </c>
      <c r="K2912" s="5">
        <f>YEAR(OrganizedData[[#This Row],[Order Date]])</f>
        <v>2020</v>
      </c>
      <c r="L2912" s="7" t="str">
        <f>TEXT(OrganizedData[[#This Row],[Order Date]],"mmm")</f>
        <v>Aug</v>
      </c>
      <c r="M2912" s="2">
        <v>26</v>
      </c>
      <c r="N2912" s="2" t="s">
        <v>159</v>
      </c>
      <c r="O2912" s="2" t="str">
        <f>VLOOKUP(OrganizedData[[#This Row],[Product Code]],ProductData[[Code]:[Item]],2,FALSE)</f>
        <v>Ultrathing V3</v>
      </c>
      <c r="P2912" s="4">
        <f>OrganizedData[[#This Row],[Quantity]]*VLOOKUP(OrganizedData[[#This Row],[Product Code]],ProductData[],4,FALSE)</f>
        <v>624</v>
      </c>
      <c r="Q2912" s="6">
        <f>OrganizedData[[#This Row],[Total Items Ordered]]*VLOOKUP(OrganizedData[[#This Row],[Product Code]],ProductData[],3,FALSE)</f>
        <v>2115.36</v>
      </c>
      <c r="R29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2051.8992000000003</v>
      </c>
    </row>
    <row r="2913" spans="1:18" x14ac:dyDescent="0.3">
      <c r="A2913" s="2">
        <v>2906</v>
      </c>
      <c r="B2913" s="2" t="s">
        <v>7319</v>
      </c>
      <c r="C2913" s="2" t="s">
        <v>3971</v>
      </c>
      <c r="D2913" s="2" t="s">
        <v>51</v>
      </c>
      <c r="E2913" s="2" t="s">
        <v>16</v>
      </c>
      <c r="F2913" s="2">
        <v>90</v>
      </c>
      <c r="G2913" s="2" t="s">
        <v>7320</v>
      </c>
      <c r="H2913" s="2" t="s">
        <v>1556</v>
      </c>
      <c r="I2913" s="2" t="s">
        <v>1311</v>
      </c>
      <c r="J2913" s="3">
        <v>44653</v>
      </c>
      <c r="K2913" s="5">
        <f>YEAR(OrganizedData[[#This Row],[Order Date]])</f>
        <v>2022</v>
      </c>
      <c r="L2913" s="7" t="str">
        <f>TEXT(OrganizedData[[#This Row],[Order Date]],"mmm")</f>
        <v>Apr</v>
      </c>
      <c r="M2913" s="2">
        <v>16</v>
      </c>
      <c r="N2913" s="2" t="s">
        <v>101</v>
      </c>
      <c r="O2913" s="2" t="str">
        <f>VLOOKUP(OrganizedData[[#This Row],[Product Code]],ProductData[[Code]:[Item]],2,FALSE)</f>
        <v>Superwossname</v>
      </c>
      <c r="P2913" s="4">
        <f>OrganizedData[[#This Row],[Quantity]]*VLOOKUP(OrganizedData[[#This Row],[Product Code]],ProductData[],4,FALSE)</f>
        <v>320</v>
      </c>
      <c r="Q2913" s="6">
        <f>OrganizedData[[#This Row],[Total Items Ordered]]*VLOOKUP(OrganizedData[[#This Row],[Product Code]],ProductData[],3,FALSE)</f>
        <v>1116.8000000000002</v>
      </c>
      <c r="R29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2914" spans="1:18" x14ac:dyDescent="0.3">
      <c r="A2914" s="2">
        <v>2907</v>
      </c>
      <c r="B2914" s="2" t="s">
        <v>1788</v>
      </c>
      <c r="C2914" s="2" t="s">
        <v>665</v>
      </c>
      <c r="D2914" s="2" t="s">
        <v>28</v>
      </c>
      <c r="E2914" s="2" t="s">
        <v>29</v>
      </c>
      <c r="F2914" s="2">
        <v>60</v>
      </c>
      <c r="G2914" s="2" t="s">
        <v>7321</v>
      </c>
      <c r="H2914" s="2" t="s">
        <v>674</v>
      </c>
      <c r="I2914" s="2" t="s">
        <v>32</v>
      </c>
      <c r="J2914" s="3">
        <v>43959</v>
      </c>
      <c r="K2914" s="5">
        <f>YEAR(OrganizedData[[#This Row],[Order Date]])</f>
        <v>2020</v>
      </c>
      <c r="L2914" s="7" t="str">
        <f>TEXT(OrganizedData[[#This Row],[Order Date]],"mmm")</f>
        <v>May</v>
      </c>
      <c r="M2914" s="2">
        <v>27</v>
      </c>
      <c r="N2914" s="2" t="s">
        <v>54</v>
      </c>
      <c r="O2914" s="2" t="str">
        <f>VLOOKUP(OrganizedData[[#This Row],[Product Code]],ProductData[[Code]:[Item]],2,FALSE)</f>
        <v>Megawidget S</v>
      </c>
      <c r="P2914" s="4">
        <f>OrganizedData[[#This Row],[Quantity]]*VLOOKUP(OrganizedData[[#This Row],[Product Code]],ProductData[],4,FALSE)</f>
        <v>648</v>
      </c>
      <c r="Q2914" s="6">
        <f>OrganizedData[[#This Row],[Total Items Ordered]]*VLOOKUP(OrganizedData[[#This Row],[Product Code]],ProductData[],3,FALSE)</f>
        <v>447.11999999999995</v>
      </c>
      <c r="R29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433.70639999999992</v>
      </c>
    </row>
    <row r="2915" spans="1:18" x14ac:dyDescent="0.3">
      <c r="A2915" s="2">
        <v>2908</v>
      </c>
      <c r="B2915" s="2" t="s">
        <v>7322</v>
      </c>
      <c r="C2915" s="2" t="s">
        <v>5862</v>
      </c>
      <c r="D2915" s="2" t="s">
        <v>41</v>
      </c>
      <c r="E2915" s="2" t="s">
        <v>16</v>
      </c>
      <c r="F2915" s="2">
        <v>60</v>
      </c>
      <c r="G2915" s="2" t="s">
        <v>7323</v>
      </c>
      <c r="H2915" s="2" t="s">
        <v>2877</v>
      </c>
      <c r="I2915" s="2" t="s">
        <v>2878</v>
      </c>
      <c r="J2915" s="3">
        <v>44739</v>
      </c>
      <c r="K2915" s="5">
        <f>YEAR(OrganizedData[[#This Row],[Order Date]])</f>
        <v>2022</v>
      </c>
      <c r="L2915" s="7" t="str">
        <f>TEXT(OrganizedData[[#This Row],[Order Date]],"mmm")</f>
        <v>Jun</v>
      </c>
      <c r="M2915" s="2">
        <v>65</v>
      </c>
      <c r="N2915" s="2" t="s">
        <v>45</v>
      </c>
      <c r="O2915" s="2" t="str">
        <f>VLOOKUP(OrganizedData[[#This Row],[Product Code]],ProductData[[Code]:[Item]],2,FALSE)</f>
        <v>Gigastuff</v>
      </c>
      <c r="P2915" s="4">
        <f>OrganizedData[[#This Row],[Quantity]]*VLOOKUP(OrganizedData[[#This Row],[Product Code]],ProductData[],4,FALSE)</f>
        <v>1170</v>
      </c>
      <c r="Q2915" s="6">
        <f>OrganizedData[[#This Row],[Total Items Ordered]]*VLOOKUP(OrganizedData[[#This Row],[Product Code]],ProductData[],3,FALSE)</f>
        <v>2211.2999999999997</v>
      </c>
      <c r="R29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2100.7349999999997</v>
      </c>
    </row>
    <row r="2916" spans="1:18" x14ac:dyDescent="0.3">
      <c r="A2916" s="2">
        <v>2909</v>
      </c>
      <c r="B2916" s="2" t="s">
        <v>71</v>
      </c>
      <c r="C2916" s="2" t="s">
        <v>1215</v>
      </c>
      <c r="D2916" s="2" t="s">
        <v>15</v>
      </c>
      <c r="E2916" s="2" t="s">
        <v>16</v>
      </c>
      <c r="F2916" s="2">
        <v>60</v>
      </c>
      <c r="G2916" s="2" t="s">
        <v>7324</v>
      </c>
      <c r="H2916" s="2" t="s">
        <v>4123</v>
      </c>
      <c r="I2916" s="2" t="s">
        <v>187</v>
      </c>
      <c r="J2916" s="3">
        <v>44594</v>
      </c>
      <c r="K2916" s="5">
        <f>YEAR(OrganizedData[[#This Row],[Order Date]])</f>
        <v>2022</v>
      </c>
      <c r="L2916" s="7" t="str">
        <f>TEXT(OrganizedData[[#This Row],[Order Date]],"mmm")</f>
        <v>Feb</v>
      </c>
      <c r="M2916" s="2">
        <v>17</v>
      </c>
      <c r="N2916" s="2" t="s">
        <v>45</v>
      </c>
      <c r="O2916" s="2" t="str">
        <f>VLOOKUP(OrganizedData[[#This Row],[Product Code]],ProductData[[Code]:[Item]],2,FALSE)</f>
        <v>Gigastuff</v>
      </c>
      <c r="P2916" s="4">
        <f>OrganizedData[[#This Row],[Quantity]]*VLOOKUP(OrganizedData[[#This Row],[Product Code]],ProductData[],4,FALSE)</f>
        <v>306</v>
      </c>
      <c r="Q2916" s="6">
        <f>OrganizedData[[#This Row],[Total Items Ordered]]*VLOOKUP(OrganizedData[[#This Row],[Product Code]],ProductData[],3,FALSE)</f>
        <v>578.33999999999992</v>
      </c>
      <c r="R29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2917" spans="1:18" x14ac:dyDescent="0.3">
      <c r="A2917" s="2">
        <v>2910</v>
      </c>
      <c r="B2917" s="2" t="s">
        <v>7325</v>
      </c>
      <c r="C2917" s="2" t="s">
        <v>7206</v>
      </c>
      <c r="D2917" s="2" t="s">
        <v>51</v>
      </c>
      <c r="E2917" s="2" t="s">
        <v>16</v>
      </c>
      <c r="F2917" s="2">
        <v>30</v>
      </c>
      <c r="G2917" s="2" t="s">
        <v>7326</v>
      </c>
      <c r="H2917" s="2" t="s">
        <v>4337</v>
      </c>
      <c r="I2917" s="2" t="s">
        <v>25</v>
      </c>
      <c r="J2917" s="3">
        <v>44794</v>
      </c>
      <c r="K2917" s="5">
        <f>YEAR(OrganizedData[[#This Row],[Order Date]])</f>
        <v>2022</v>
      </c>
      <c r="L2917" s="7" t="str">
        <f>TEXT(OrganizedData[[#This Row],[Order Date]],"mmm")</f>
        <v>Aug</v>
      </c>
      <c r="M2917" s="2">
        <v>17</v>
      </c>
      <c r="N2917" s="2" t="s">
        <v>159</v>
      </c>
      <c r="O2917" s="2" t="str">
        <f>VLOOKUP(OrganizedData[[#This Row],[Product Code]],ProductData[[Code]:[Item]],2,FALSE)</f>
        <v>Ultrathing V3</v>
      </c>
      <c r="P2917" s="4">
        <f>OrganizedData[[#This Row],[Quantity]]*VLOOKUP(OrganizedData[[#This Row],[Product Code]],ProductData[],4,FALSE)</f>
        <v>408</v>
      </c>
      <c r="Q2917" s="6">
        <f>OrganizedData[[#This Row],[Total Items Ordered]]*VLOOKUP(OrganizedData[[#This Row],[Product Code]],ProductData[],3,FALSE)</f>
        <v>1383.1200000000001</v>
      </c>
      <c r="R29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1383.1200000000001</v>
      </c>
    </row>
    <row r="2918" spans="1:18" x14ac:dyDescent="0.3">
      <c r="A2918" s="2">
        <v>2911</v>
      </c>
      <c r="B2918" s="2" t="s">
        <v>1755</v>
      </c>
      <c r="C2918" s="2" t="s">
        <v>1866</v>
      </c>
      <c r="D2918" s="2" t="s">
        <v>28</v>
      </c>
      <c r="E2918" s="2" t="s">
        <v>29</v>
      </c>
      <c r="F2918" s="2">
        <v>60</v>
      </c>
      <c r="G2918" s="2" t="s">
        <v>7327</v>
      </c>
      <c r="H2918" s="2" t="s">
        <v>927</v>
      </c>
      <c r="I2918" s="2" t="s">
        <v>129</v>
      </c>
      <c r="J2918" s="3">
        <v>44033</v>
      </c>
      <c r="K2918" s="5">
        <f>YEAR(OrganizedData[[#This Row],[Order Date]])</f>
        <v>2020</v>
      </c>
      <c r="L2918" s="7" t="str">
        <f>TEXT(OrganizedData[[#This Row],[Order Date]],"mmm")</f>
        <v>Jul</v>
      </c>
      <c r="M2918" s="2">
        <v>46</v>
      </c>
      <c r="N2918" s="2" t="s">
        <v>70</v>
      </c>
      <c r="O2918" s="2" t="str">
        <f>VLOOKUP(OrganizedData[[#This Row],[Product Code]],ProductData[[Code]:[Item]],2,FALSE)</f>
        <v>Megawidget M</v>
      </c>
      <c r="P2918" s="4">
        <f>OrganizedData[[#This Row],[Quantity]]*VLOOKUP(OrganizedData[[#This Row],[Product Code]],ProductData[],4,FALSE)</f>
        <v>1104</v>
      </c>
      <c r="Q2918" s="6">
        <f>OrganizedData[[#This Row],[Total Items Ordered]]*VLOOKUP(OrganizedData[[#This Row],[Product Code]],ProductData[],3,FALSE)</f>
        <v>1424.16</v>
      </c>
      <c r="R29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2919" spans="1:18" x14ac:dyDescent="0.3">
      <c r="A2919" s="2">
        <v>2912</v>
      </c>
      <c r="B2919" s="2" t="s">
        <v>6843</v>
      </c>
      <c r="C2919" s="2" t="s">
        <v>418</v>
      </c>
      <c r="D2919" s="2" t="s">
        <v>51</v>
      </c>
      <c r="E2919" s="2" t="s">
        <v>16</v>
      </c>
      <c r="F2919" s="2">
        <v>60</v>
      </c>
      <c r="G2919" s="2" t="s">
        <v>7328</v>
      </c>
      <c r="H2919" s="2" t="s">
        <v>4066</v>
      </c>
      <c r="I2919" s="2" t="s">
        <v>4067</v>
      </c>
      <c r="J2919" s="3">
        <v>44246</v>
      </c>
      <c r="K2919" s="5">
        <f>YEAR(OrganizedData[[#This Row],[Order Date]])</f>
        <v>2021</v>
      </c>
      <c r="L2919" s="7" t="str">
        <f>TEXT(OrganizedData[[#This Row],[Order Date]],"mmm")</f>
        <v>Feb</v>
      </c>
      <c r="M2919" s="2">
        <v>16</v>
      </c>
      <c r="N2919" s="2" t="s">
        <v>159</v>
      </c>
      <c r="O2919" s="2" t="str">
        <f>VLOOKUP(OrganizedData[[#This Row],[Product Code]],ProductData[[Code]:[Item]],2,FALSE)</f>
        <v>Ultrathing V3</v>
      </c>
      <c r="P2919" s="4">
        <f>OrganizedData[[#This Row],[Quantity]]*VLOOKUP(OrganizedData[[#This Row],[Product Code]],ProductData[],4,FALSE)</f>
        <v>384</v>
      </c>
      <c r="Q2919" s="6">
        <f>OrganizedData[[#This Row],[Total Items Ordered]]*VLOOKUP(OrganizedData[[#This Row],[Product Code]],ProductData[],3,FALSE)</f>
        <v>1301.76</v>
      </c>
      <c r="R29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1301.76</v>
      </c>
    </row>
    <row r="2920" spans="1:18" x14ac:dyDescent="0.3">
      <c r="A2920" s="2">
        <v>2913</v>
      </c>
      <c r="B2920" s="2" t="s">
        <v>4737</v>
      </c>
      <c r="C2920" s="2" t="s">
        <v>1662</v>
      </c>
      <c r="D2920" s="2" t="s">
        <v>28</v>
      </c>
      <c r="E2920" s="2" t="s">
        <v>29</v>
      </c>
      <c r="F2920" s="2">
        <v>90</v>
      </c>
      <c r="G2920" s="2" t="s">
        <v>7329</v>
      </c>
      <c r="H2920" s="2" t="s">
        <v>7330</v>
      </c>
      <c r="I2920" s="2" t="s">
        <v>5820</v>
      </c>
      <c r="J2920" s="3">
        <v>44665</v>
      </c>
      <c r="K2920" s="5">
        <f>YEAR(OrganizedData[[#This Row],[Order Date]])</f>
        <v>2022</v>
      </c>
      <c r="L2920" s="7" t="str">
        <f>TEXT(OrganizedData[[#This Row],[Order Date]],"mmm")</f>
        <v>Apr</v>
      </c>
      <c r="M2920" s="2">
        <v>47</v>
      </c>
      <c r="N2920" s="2" t="s">
        <v>39</v>
      </c>
      <c r="O2920" s="2" t="str">
        <f>VLOOKUP(OrganizedData[[#This Row],[Product Code]],ProductData[[Code]:[Item]],2,FALSE)</f>
        <v>Ultrathing V1</v>
      </c>
      <c r="P2920" s="4">
        <f>OrganizedData[[#This Row],[Quantity]]*VLOOKUP(OrganizedData[[#This Row],[Product Code]],ProductData[],4,FALSE)</f>
        <v>799</v>
      </c>
      <c r="Q2920" s="6">
        <f>OrganizedData[[#This Row],[Total Items Ordered]]*VLOOKUP(OrganizedData[[#This Row],[Product Code]],ProductData[],3,FALSE)</f>
        <v>1430.21</v>
      </c>
      <c r="R29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1387.3036999999999</v>
      </c>
    </row>
    <row r="2921" spans="1:18" x14ac:dyDescent="0.3">
      <c r="A2921" s="2">
        <v>2914</v>
      </c>
      <c r="B2921" s="2" t="s">
        <v>1998</v>
      </c>
      <c r="C2921" s="2" t="s">
        <v>139</v>
      </c>
      <c r="D2921" s="2" t="s">
        <v>28</v>
      </c>
      <c r="E2921" s="2" t="s">
        <v>29</v>
      </c>
      <c r="F2921" s="2">
        <v>90</v>
      </c>
      <c r="G2921" s="2" t="s">
        <v>7333</v>
      </c>
      <c r="H2921" s="2" t="s">
        <v>2655</v>
      </c>
      <c r="I2921" s="2" t="s">
        <v>1083</v>
      </c>
      <c r="J2921" s="3">
        <v>44672</v>
      </c>
      <c r="K2921" s="5">
        <f>YEAR(OrganizedData[[#This Row],[Order Date]])</f>
        <v>2022</v>
      </c>
      <c r="L2921" s="7" t="str">
        <f>TEXT(OrganizedData[[#This Row],[Order Date]],"mmm")</f>
        <v>Apr</v>
      </c>
      <c r="M2921" s="2">
        <v>70</v>
      </c>
      <c r="N2921" s="2" t="s">
        <v>80</v>
      </c>
      <c r="O2921" s="2" t="str">
        <f>VLOOKUP(OrganizedData[[#This Row],[Product Code]],ProductData[[Code]:[Item]],2,FALSE)</f>
        <v>Ultrathing V2</v>
      </c>
      <c r="P2921" s="4">
        <f>OrganizedData[[#This Row],[Quantity]]*VLOOKUP(OrganizedData[[#This Row],[Product Code]],ProductData[],4,FALSE)</f>
        <v>1400</v>
      </c>
      <c r="Q2921" s="6">
        <f>OrganizedData[[#This Row],[Total Items Ordered]]*VLOOKUP(OrganizedData[[#This Row],[Product Code]],ProductData[],3,FALSE)</f>
        <v>4130</v>
      </c>
      <c r="R29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2922" spans="1:18" x14ac:dyDescent="0.3">
      <c r="A2922" s="2">
        <v>2915</v>
      </c>
      <c r="B2922" s="2" t="s">
        <v>7334</v>
      </c>
      <c r="C2922" s="2" t="s">
        <v>3447</v>
      </c>
      <c r="D2922" s="2" t="s">
        <v>28</v>
      </c>
      <c r="E2922" s="2" t="s">
        <v>29</v>
      </c>
      <c r="F2922" s="2">
        <v>60</v>
      </c>
      <c r="G2922" s="2" t="s">
        <v>7335</v>
      </c>
      <c r="H2922" s="2" t="s">
        <v>1674</v>
      </c>
      <c r="I2922" s="2" t="s">
        <v>25</v>
      </c>
      <c r="J2922" s="3">
        <v>44788</v>
      </c>
      <c r="K2922" s="5">
        <f>YEAR(OrganizedData[[#This Row],[Order Date]])</f>
        <v>2022</v>
      </c>
      <c r="L2922" s="7" t="str">
        <f>TEXT(OrganizedData[[#This Row],[Order Date]],"mmm")</f>
        <v>Aug</v>
      </c>
      <c r="M2922" s="2">
        <v>105</v>
      </c>
      <c r="N2922" s="2" t="s">
        <v>101</v>
      </c>
      <c r="O2922" s="2" t="str">
        <f>VLOOKUP(OrganizedData[[#This Row],[Product Code]],ProductData[[Code]:[Item]],2,FALSE)</f>
        <v>Superwossname</v>
      </c>
      <c r="P2922" s="4">
        <f>OrganizedData[[#This Row],[Quantity]]*VLOOKUP(OrganizedData[[#This Row],[Product Code]],ProductData[],4,FALSE)</f>
        <v>2100</v>
      </c>
      <c r="Q2922" s="6">
        <f>OrganizedData[[#This Row],[Total Items Ordered]]*VLOOKUP(OrganizedData[[#This Row],[Product Code]],ProductData[],3,FALSE)</f>
        <v>7329</v>
      </c>
      <c r="R29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6815.97</v>
      </c>
    </row>
    <row r="2923" spans="1:18" x14ac:dyDescent="0.3">
      <c r="A2923" s="2">
        <v>2916</v>
      </c>
      <c r="B2923" s="2" t="s">
        <v>650</v>
      </c>
      <c r="C2923" s="2" t="s">
        <v>1878</v>
      </c>
      <c r="D2923" s="2" t="s">
        <v>41</v>
      </c>
      <c r="E2923" s="2" t="s">
        <v>16</v>
      </c>
      <c r="F2923" s="2">
        <v>90</v>
      </c>
      <c r="G2923" s="2" t="s">
        <v>7336</v>
      </c>
      <c r="H2923" s="2" t="s">
        <v>3859</v>
      </c>
      <c r="I2923" s="2" t="s">
        <v>124</v>
      </c>
      <c r="J2923" s="3">
        <v>44561</v>
      </c>
      <c r="K2923" s="5">
        <f>YEAR(OrganizedData[[#This Row],[Order Date]])</f>
        <v>2021</v>
      </c>
      <c r="L2923" s="7" t="str">
        <f>TEXT(OrganizedData[[#This Row],[Order Date]],"mmm")</f>
        <v>Dec</v>
      </c>
      <c r="M2923" s="2">
        <v>7</v>
      </c>
      <c r="N2923" s="2" t="s">
        <v>33</v>
      </c>
      <c r="O2923" s="2" t="str">
        <f>VLOOKUP(OrganizedData[[#This Row],[Product Code]],ProductData[[Code]:[Item]],2,FALSE)</f>
        <v>Megawidget L</v>
      </c>
      <c r="P2923" s="4">
        <f>OrganizedData[[#This Row],[Quantity]]*VLOOKUP(OrganizedData[[#This Row],[Product Code]],ProductData[],4,FALSE)</f>
        <v>168</v>
      </c>
      <c r="Q2923" s="6">
        <f>OrganizedData[[#This Row],[Total Items Ordered]]*VLOOKUP(OrganizedData[[#This Row],[Product Code]],ProductData[],3,FALSE)</f>
        <v>300.72000000000003</v>
      </c>
      <c r="R29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2924" spans="1:18" x14ac:dyDescent="0.3">
      <c r="A2924" s="2">
        <v>2917</v>
      </c>
      <c r="B2924" s="2" t="s">
        <v>7337</v>
      </c>
      <c r="C2924" s="2" t="s">
        <v>2795</v>
      </c>
      <c r="D2924" s="2" t="s">
        <v>51</v>
      </c>
      <c r="E2924" s="2" t="s">
        <v>16</v>
      </c>
      <c r="F2924" s="2">
        <v>90</v>
      </c>
      <c r="G2924" s="2" t="s">
        <v>7338</v>
      </c>
      <c r="H2924" s="2" t="s">
        <v>901</v>
      </c>
      <c r="I2924" s="2" t="s">
        <v>146</v>
      </c>
      <c r="J2924" s="3">
        <v>44424</v>
      </c>
      <c r="K2924" s="5">
        <f>YEAR(OrganizedData[[#This Row],[Order Date]])</f>
        <v>2021</v>
      </c>
      <c r="L2924" s="7" t="str">
        <f>TEXT(OrganizedData[[#This Row],[Order Date]],"mmm")</f>
        <v>Aug</v>
      </c>
      <c r="M2924" s="2">
        <v>2</v>
      </c>
      <c r="N2924" s="2" t="s">
        <v>101</v>
      </c>
      <c r="O2924" s="2" t="str">
        <f>VLOOKUP(OrganizedData[[#This Row],[Product Code]],ProductData[[Code]:[Item]],2,FALSE)</f>
        <v>Superwossname</v>
      </c>
      <c r="P2924" s="4">
        <f>OrganizedData[[#This Row],[Quantity]]*VLOOKUP(OrganizedData[[#This Row],[Product Code]],ProductData[],4,FALSE)</f>
        <v>40</v>
      </c>
      <c r="Q2924" s="6">
        <f>OrganizedData[[#This Row],[Total Items Ordered]]*VLOOKUP(OrganizedData[[#This Row],[Product Code]],ProductData[],3,FALSE)</f>
        <v>139.60000000000002</v>
      </c>
      <c r="R29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2925" spans="1:18" x14ac:dyDescent="0.3">
      <c r="A2925" s="2">
        <v>2918</v>
      </c>
      <c r="B2925" s="2" t="s">
        <v>4349</v>
      </c>
      <c r="C2925" s="2" t="s">
        <v>2697</v>
      </c>
      <c r="D2925" s="2" t="s">
        <v>51</v>
      </c>
      <c r="E2925" s="2" t="s">
        <v>16</v>
      </c>
      <c r="F2925" s="2">
        <v>30</v>
      </c>
      <c r="G2925" s="2" t="s">
        <v>7339</v>
      </c>
      <c r="H2925" s="2" t="s">
        <v>3070</v>
      </c>
      <c r="I2925" s="2" t="s">
        <v>575</v>
      </c>
      <c r="J2925" s="3">
        <v>44845</v>
      </c>
      <c r="K2925" s="5">
        <f>YEAR(OrganizedData[[#This Row],[Order Date]])</f>
        <v>2022</v>
      </c>
      <c r="L2925" s="7" t="str">
        <f>TEXT(OrganizedData[[#This Row],[Order Date]],"mmm")</f>
        <v>Oct</v>
      </c>
      <c r="M2925" s="2">
        <v>4</v>
      </c>
      <c r="N2925" s="2" t="s">
        <v>45</v>
      </c>
      <c r="O2925" s="2" t="str">
        <f>VLOOKUP(OrganizedData[[#This Row],[Product Code]],ProductData[[Code]:[Item]],2,FALSE)</f>
        <v>Gigastuff</v>
      </c>
      <c r="P2925" s="4">
        <f>OrganizedData[[#This Row],[Quantity]]*VLOOKUP(OrganizedData[[#This Row],[Product Code]],ProductData[],4,FALSE)</f>
        <v>72</v>
      </c>
      <c r="Q2925" s="6">
        <f>OrganizedData[[#This Row],[Total Items Ordered]]*VLOOKUP(OrganizedData[[#This Row],[Product Code]],ProductData[],3,FALSE)</f>
        <v>136.07999999999998</v>
      </c>
      <c r="R29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2926" spans="1:18" x14ac:dyDescent="0.3">
      <c r="A2926" s="2">
        <v>2919</v>
      </c>
      <c r="B2926" s="2" t="s">
        <v>7340</v>
      </c>
      <c r="C2926" s="2" t="s">
        <v>5788</v>
      </c>
      <c r="D2926" s="2" t="s">
        <v>28</v>
      </c>
      <c r="E2926" s="2" t="s">
        <v>29</v>
      </c>
      <c r="F2926" s="2">
        <v>30</v>
      </c>
      <c r="G2926" s="2" t="s">
        <v>7341</v>
      </c>
      <c r="H2926" s="2" t="s">
        <v>663</v>
      </c>
      <c r="I2926" s="2" t="s">
        <v>32</v>
      </c>
      <c r="J2926" s="3">
        <v>44775</v>
      </c>
      <c r="K2926" s="5">
        <f>YEAR(OrganizedData[[#This Row],[Order Date]])</f>
        <v>2022</v>
      </c>
      <c r="L2926" s="7" t="str">
        <f>TEXT(OrganizedData[[#This Row],[Order Date]],"mmm")</f>
        <v>Aug</v>
      </c>
      <c r="M2926" s="2">
        <v>105</v>
      </c>
      <c r="N2926" s="2" t="s">
        <v>70</v>
      </c>
      <c r="O2926" s="2" t="str">
        <f>VLOOKUP(OrganizedData[[#This Row],[Product Code]],ProductData[[Code]:[Item]],2,FALSE)</f>
        <v>Megawidget M</v>
      </c>
      <c r="P2926" s="4">
        <f>OrganizedData[[#This Row],[Quantity]]*VLOOKUP(OrganizedData[[#This Row],[Product Code]],ProductData[],4,FALSE)</f>
        <v>2520</v>
      </c>
      <c r="Q2926" s="6">
        <f>OrganizedData[[#This Row],[Total Items Ordered]]*VLOOKUP(OrganizedData[[#This Row],[Product Code]],ProductData[],3,FALSE)</f>
        <v>3250.8</v>
      </c>
      <c r="R29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3023.2440000000001</v>
      </c>
    </row>
    <row r="2927" spans="1:18" x14ac:dyDescent="0.3">
      <c r="A2927" s="2">
        <v>2920</v>
      </c>
      <c r="B2927" s="2" t="s">
        <v>4318</v>
      </c>
      <c r="C2927" s="2" t="s">
        <v>3016</v>
      </c>
      <c r="D2927" s="2" t="s">
        <v>28</v>
      </c>
      <c r="E2927" s="2" t="s">
        <v>29</v>
      </c>
      <c r="F2927" s="2">
        <v>30</v>
      </c>
      <c r="G2927" s="2" t="s">
        <v>7341</v>
      </c>
      <c r="H2927" s="2" t="s">
        <v>4049</v>
      </c>
      <c r="I2927" s="2" t="s">
        <v>32</v>
      </c>
      <c r="J2927" s="3">
        <v>44789</v>
      </c>
      <c r="K2927" s="5">
        <f>YEAR(OrganizedData[[#This Row],[Order Date]])</f>
        <v>2022</v>
      </c>
      <c r="L2927" s="7" t="str">
        <f>TEXT(OrganizedData[[#This Row],[Order Date]],"mmm")</f>
        <v>Aug</v>
      </c>
      <c r="M2927" s="2">
        <v>22</v>
      </c>
      <c r="N2927" s="2" t="s">
        <v>39</v>
      </c>
      <c r="O2927" s="2" t="str">
        <f>VLOOKUP(OrganizedData[[#This Row],[Product Code]],ProductData[[Code]:[Item]],2,FALSE)</f>
        <v>Ultrathing V1</v>
      </c>
      <c r="P2927" s="4">
        <f>OrganizedData[[#This Row],[Quantity]]*VLOOKUP(OrganizedData[[#This Row],[Product Code]],ProductData[],4,FALSE)</f>
        <v>374</v>
      </c>
      <c r="Q2927" s="6">
        <f>OrganizedData[[#This Row],[Total Items Ordered]]*VLOOKUP(OrganizedData[[#This Row],[Product Code]],ProductData[],3,FALSE)</f>
        <v>669.46</v>
      </c>
      <c r="R29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2928" spans="1:18" x14ac:dyDescent="0.3">
      <c r="A2928" s="2">
        <v>2921</v>
      </c>
      <c r="B2928" s="2" t="s">
        <v>3967</v>
      </c>
      <c r="C2928" s="2" t="s">
        <v>3735</v>
      </c>
      <c r="D2928" s="2" t="s">
        <v>28</v>
      </c>
      <c r="E2928" s="2" t="s">
        <v>29</v>
      </c>
      <c r="F2928" s="2">
        <v>30</v>
      </c>
      <c r="G2928" s="2" t="s">
        <v>7342</v>
      </c>
      <c r="H2928" s="2" t="s">
        <v>7343</v>
      </c>
      <c r="I2928" s="2" t="s">
        <v>1126</v>
      </c>
      <c r="J2928" s="3">
        <v>44792</v>
      </c>
      <c r="K2928" s="5">
        <f>YEAR(OrganizedData[[#This Row],[Order Date]])</f>
        <v>2022</v>
      </c>
      <c r="L2928" s="7" t="str">
        <f>TEXT(OrganizedData[[#This Row],[Order Date]],"mmm")</f>
        <v>Aug</v>
      </c>
      <c r="M2928" s="2">
        <v>92</v>
      </c>
      <c r="N2928" s="2" t="s">
        <v>101</v>
      </c>
      <c r="O2928" s="2" t="str">
        <f>VLOOKUP(OrganizedData[[#This Row],[Product Code]],ProductData[[Code]:[Item]],2,FALSE)</f>
        <v>Superwossname</v>
      </c>
      <c r="P2928" s="4">
        <f>OrganizedData[[#This Row],[Quantity]]*VLOOKUP(OrganizedData[[#This Row],[Product Code]],ProductData[],4,FALSE)</f>
        <v>1840</v>
      </c>
      <c r="Q2928" s="6">
        <f>OrganizedData[[#This Row],[Total Items Ordered]]*VLOOKUP(OrganizedData[[#This Row],[Product Code]],ProductData[],3,FALSE)</f>
        <v>6421.6</v>
      </c>
      <c r="R29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6100.52</v>
      </c>
    </row>
    <row r="2929" spans="1:18" x14ac:dyDescent="0.3">
      <c r="A2929" s="2">
        <v>2922</v>
      </c>
      <c r="B2929" s="2" t="s">
        <v>7344</v>
      </c>
      <c r="C2929" s="2" t="s">
        <v>7345</v>
      </c>
      <c r="D2929" s="2" t="s">
        <v>15</v>
      </c>
      <c r="E2929" s="2" t="s">
        <v>16</v>
      </c>
      <c r="F2929" s="2">
        <v>60</v>
      </c>
      <c r="G2929" s="2" t="s">
        <v>7346</v>
      </c>
      <c r="H2929" s="2" t="s">
        <v>7056</v>
      </c>
      <c r="I2929" s="2" t="s">
        <v>95</v>
      </c>
      <c r="J2929" s="3">
        <v>44728</v>
      </c>
      <c r="K2929" s="5">
        <f>YEAR(OrganizedData[[#This Row],[Order Date]])</f>
        <v>2022</v>
      </c>
      <c r="L2929" s="7" t="str">
        <f>TEXT(OrganizedData[[#This Row],[Order Date]],"mmm")</f>
        <v>Jun</v>
      </c>
      <c r="M2929" s="2">
        <v>87</v>
      </c>
      <c r="N2929" s="2" t="s">
        <v>39</v>
      </c>
      <c r="O2929" s="2" t="str">
        <f>VLOOKUP(OrganizedData[[#This Row],[Product Code]],ProductData[[Code]:[Item]],2,FALSE)</f>
        <v>Ultrathing V1</v>
      </c>
      <c r="P2929" s="4">
        <f>OrganizedData[[#This Row],[Quantity]]*VLOOKUP(OrganizedData[[#This Row],[Product Code]],ProductData[],4,FALSE)</f>
        <v>1479</v>
      </c>
      <c r="Q2929" s="6">
        <f>OrganizedData[[#This Row],[Total Items Ordered]]*VLOOKUP(OrganizedData[[#This Row],[Product Code]],ProductData[],3,FALSE)</f>
        <v>2647.41</v>
      </c>
      <c r="R29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2515.0394999999999</v>
      </c>
    </row>
    <row r="2930" spans="1:18" x14ac:dyDescent="0.3">
      <c r="A2930" s="2">
        <v>2923</v>
      </c>
      <c r="B2930" s="2" t="s">
        <v>1363</v>
      </c>
      <c r="C2930" s="2" t="s">
        <v>1950</v>
      </c>
      <c r="D2930" s="2" t="s">
        <v>28</v>
      </c>
      <c r="E2930" s="2" t="s">
        <v>29</v>
      </c>
      <c r="F2930" s="2">
        <v>90</v>
      </c>
      <c r="G2930" s="2" t="s">
        <v>7347</v>
      </c>
      <c r="H2930" s="2" t="s">
        <v>4285</v>
      </c>
      <c r="I2930" s="2" t="s">
        <v>124</v>
      </c>
      <c r="J2930" s="3">
        <v>43859</v>
      </c>
      <c r="K2930" s="5">
        <f>YEAR(OrganizedData[[#This Row],[Order Date]])</f>
        <v>2020</v>
      </c>
      <c r="L2930" s="7" t="str">
        <f>TEXT(OrganizedData[[#This Row],[Order Date]],"mmm")</f>
        <v>Jan</v>
      </c>
      <c r="M2930" s="2">
        <v>13</v>
      </c>
      <c r="N2930" s="2" t="s">
        <v>70</v>
      </c>
      <c r="O2930" s="2" t="str">
        <f>VLOOKUP(OrganizedData[[#This Row],[Product Code]],ProductData[[Code]:[Item]],2,FALSE)</f>
        <v>Megawidget M</v>
      </c>
      <c r="P2930" s="4">
        <f>OrganizedData[[#This Row],[Quantity]]*VLOOKUP(OrganizedData[[#This Row],[Product Code]],ProductData[],4,FALSE)</f>
        <v>312</v>
      </c>
      <c r="Q2930" s="6">
        <f>OrganizedData[[#This Row],[Total Items Ordered]]*VLOOKUP(OrganizedData[[#This Row],[Product Code]],ProductData[],3,FALSE)</f>
        <v>402.48</v>
      </c>
      <c r="R29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402.48</v>
      </c>
    </row>
    <row r="2931" spans="1:18" x14ac:dyDescent="0.3">
      <c r="A2931" s="2">
        <v>2924</v>
      </c>
      <c r="B2931" s="2" t="s">
        <v>3742</v>
      </c>
      <c r="C2931" s="2" t="s">
        <v>3564</v>
      </c>
      <c r="D2931" s="2" t="s">
        <v>28</v>
      </c>
      <c r="E2931" s="2" t="s">
        <v>29</v>
      </c>
      <c r="F2931" s="2">
        <v>60</v>
      </c>
      <c r="G2931" s="2" t="s">
        <v>7348</v>
      </c>
      <c r="H2931" s="2" t="s">
        <v>2629</v>
      </c>
      <c r="I2931" s="2" t="s">
        <v>95</v>
      </c>
      <c r="J2931" s="3">
        <v>44118</v>
      </c>
      <c r="K2931" s="5">
        <f>YEAR(OrganizedData[[#This Row],[Order Date]])</f>
        <v>2020</v>
      </c>
      <c r="L2931" s="7" t="str">
        <f>TEXT(OrganizedData[[#This Row],[Order Date]],"mmm")</f>
        <v>Oct</v>
      </c>
      <c r="M2931" s="2">
        <v>34</v>
      </c>
      <c r="N2931" s="2" t="s">
        <v>45</v>
      </c>
      <c r="O2931" s="2" t="str">
        <f>VLOOKUP(OrganizedData[[#This Row],[Product Code]],ProductData[[Code]:[Item]],2,FALSE)</f>
        <v>Gigastuff</v>
      </c>
      <c r="P2931" s="4">
        <f>OrganizedData[[#This Row],[Quantity]]*VLOOKUP(OrganizedData[[#This Row],[Product Code]],ProductData[],4,FALSE)</f>
        <v>612</v>
      </c>
      <c r="Q2931" s="6">
        <f>OrganizedData[[#This Row],[Total Items Ordered]]*VLOOKUP(OrganizedData[[#This Row],[Product Code]],ProductData[],3,FALSE)</f>
        <v>1156.6799999999998</v>
      </c>
      <c r="R29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1121.9795999999999</v>
      </c>
    </row>
    <row r="2932" spans="1:18" x14ac:dyDescent="0.3">
      <c r="A2932" s="2">
        <v>2925</v>
      </c>
      <c r="B2932" s="2" t="s">
        <v>7349</v>
      </c>
      <c r="C2932" s="2" t="s">
        <v>1041</v>
      </c>
      <c r="D2932" s="2" t="s">
        <v>28</v>
      </c>
      <c r="E2932" s="2" t="s">
        <v>29</v>
      </c>
      <c r="F2932" s="2">
        <v>60</v>
      </c>
      <c r="G2932" s="2" t="s">
        <v>7350</v>
      </c>
      <c r="H2932" s="2" t="s">
        <v>2236</v>
      </c>
      <c r="I2932" s="2" t="s">
        <v>2237</v>
      </c>
      <c r="J2932" s="3">
        <v>44737</v>
      </c>
      <c r="K2932" s="5">
        <f>YEAR(OrganizedData[[#This Row],[Order Date]])</f>
        <v>2022</v>
      </c>
      <c r="L2932" s="7" t="str">
        <f>TEXT(OrganizedData[[#This Row],[Order Date]],"mmm")</f>
        <v>Jun</v>
      </c>
      <c r="M2932" s="2">
        <v>38</v>
      </c>
      <c r="N2932" s="2" t="s">
        <v>54</v>
      </c>
      <c r="O2932" s="2" t="str">
        <f>VLOOKUP(OrganizedData[[#This Row],[Product Code]],ProductData[[Code]:[Item]],2,FALSE)</f>
        <v>Megawidget S</v>
      </c>
      <c r="P2932" s="4">
        <f>OrganizedData[[#This Row],[Quantity]]*VLOOKUP(OrganizedData[[#This Row],[Product Code]],ProductData[],4,FALSE)</f>
        <v>912</v>
      </c>
      <c r="Q2932" s="6">
        <f>OrganizedData[[#This Row],[Total Items Ordered]]*VLOOKUP(OrganizedData[[#This Row],[Product Code]],ProductData[],3,FALSE)</f>
        <v>629.28</v>
      </c>
      <c r="R29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610.40159999999992</v>
      </c>
    </row>
    <row r="2933" spans="1:18" x14ac:dyDescent="0.3">
      <c r="A2933" s="2">
        <v>2926</v>
      </c>
      <c r="B2933" s="2" t="s">
        <v>7351</v>
      </c>
      <c r="C2933" s="2" t="s">
        <v>7290</v>
      </c>
      <c r="D2933" s="2" t="s">
        <v>15</v>
      </c>
      <c r="E2933" s="2" t="s">
        <v>16</v>
      </c>
      <c r="F2933" s="2">
        <v>60</v>
      </c>
      <c r="G2933" s="2" t="s">
        <v>7352</v>
      </c>
      <c r="H2933" s="2" t="s">
        <v>7353</v>
      </c>
      <c r="I2933" s="2" t="s">
        <v>19</v>
      </c>
      <c r="J2933" s="3">
        <v>44826</v>
      </c>
      <c r="K2933" s="5">
        <f>YEAR(OrganizedData[[#This Row],[Order Date]])</f>
        <v>2022</v>
      </c>
      <c r="L2933" s="7" t="str">
        <f>TEXT(OrganizedData[[#This Row],[Order Date]],"mmm")</f>
        <v>Sep</v>
      </c>
      <c r="M2933" s="2">
        <v>91</v>
      </c>
      <c r="N2933" s="2" t="s">
        <v>39</v>
      </c>
      <c r="O2933" s="2" t="str">
        <f>VLOOKUP(OrganizedData[[#This Row],[Product Code]],ProductData[[Code]:[Item]],2,FALSE)</f>
        <v>Ultrathing V1</v>
      </c>
      <c r="P2933" s="4">
        <f>OrganizedData[[#This Row],[Quantity]]*VLOOKUP(OrganizedData[[#This Row],[Product Code]],ProductData[],4,FALSE)</f>
        <v>1547</v>
      </c>
      <c r="Q2933" s="6">
        <f>OrganizedData[[#This Row],[Total Items Ordered]]*VLOOKUP(OrganizedData[[#This Row],[Product Code]],ProductData[],3,FALSE)</f>
        <v>2769.13</v>
      </c>
      <c r="R29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2630.6734999999999</v>
      </c>
    </row>
    <row r="2934" spans="1:18" x14ac:dyDescent="0.3">
      <c r="A2934" s="2">
        <v>2927</v>
      </c>
      <c r="B2934" s="2" t="s">
        <v>7354</v>
      </c>
      <c r="C2934" s="2" t="s">
        <v>665</v>
      </c>
      <c r="D2934" s="2" t="s">
        <v>41</v>
      </c>
      <c r="E2934" s="2" t="s">
        <v>16</v>
      </c>
      <c r="F2934" s="2">
        <v>60</v>
      </c>
      <c r="G2934" s="2" t="s">
        <v>7355</v>
      </c>
      <c r="H2934" s="2" t="s">
        <v>203</v>
      </c>
      <c r="I2934" s="2" t="s">
        <v>32</v>
      </c>
      <c r="J2934" s="3">
        <v>44031</v>
      </c>
      <c r="K2934" s="5">
        <f>YEAR(OrganizedData[[#This Row],[Order Date]])</f>
        <v>2020</v>
      </c>
      <c r="L2934" s="7" t="str">
        <f>TEXT(OrganizedData[[#This Row],[Order Date]],"mmm")</f>
        <v>Jul</v>
      </c>
      <c r="M2934" s="2">
        <v>80</v>
      </c>
      <c r="N2934" s="2" t="s">
        <v>101</v>
      </c>
      <c r="O2934" s="2" t="str">
        <f>VLOOKUP(OrganizedData[[#This Row],[Product Code]],ProductData[[Code]:[Item]],2,FALSE)</f>
        <v>Superwossname</v>
      </c>
      <c r="P2934" s="4">
        <f>OrganizedData[[#This Row],[Quantity]]*VLOOKUP(OrganizedData[[#This Row],[Product Code]],ProductData[],4,FALSE)</f>
        <v>1600</v>
      </c>
      <c r="Q2934" s="6">
        <f>OrganizedData[[#This Row],[Total Items Ordered]]*VLOOKUP(OrganizedData[[#This Row],[Product Code]],ProductData[],3,FALSE)</f>
        <v>5584</v>
      </c>
      <c r="R29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5304.8</v>
      </c>
    </row>
    <row r="2935" spans="1:18" x14ac:dyDescent="0.3">
      <c r="A2935" s="2">
        <v>2928</v>
      </c>
      <c r="B2935" s="2" t="s">
        <v>7356</v>
      </c>
      <c r="C2935" s="2" t="s">
        <v>2344</v>
      </c>
      <c r="D2935" s="2" t="s">
        <v>15</v>
      </c>
      <c r="E2935" s="2" t="s">
        <v>16</v>
      </c>
      <c r="F2935" s="2">
        <v>30</v>
      </c>
      <c r="G2935" s="2" t="s">
        <v>10443</v>
      </c>
      <c r="H2935" s="2" t="s">
        <v>655</v>
      </c>
      <c r="I2935" s="2" t="s">
        <v>32</v>
      </c>
      <c r="J2935" s="3">
        <v>44171</v>
      </c>
      <c r="K2935" s="5">
        <f>YEAR(OrganizedData[[#This Row],[Order Date]])</f>
        <v>2020</v>
      </c>
      <c r="L2935" s="7" t="str">
        <f>TEXT(OrganizedData[[#This Row],[Order Date]],"mmm")</f>
        <v>Dec</v>
      </c>
      <c r="M2935" s="2">
        <v>7</v>
      </c>
      <c r="N2935" s="2" t="s">
        <v>159</v>
      </c>
      <c r="O2935" s="2" t="str">
        <f>VLOOKUP(OrganizedData[[#This Row],[Product Code]],ProductData[[Code]:[Item]],2,FALSE)</f>
        <v>Ultrathing V3</v>
      </c>
      <c r="P2935" s="4">
        <f>OrganizedData[[#This Row],[Quantity]]*VLOOKUP(OrganizedData[[#This Row],[Product Code]],ProductData[],4,FALSE)</f>
        <v>168</v>
      </c>
      <c r="Q2935" s="6">
        <f>OrganizedData[[#This Row],[Total Items Ordered]]*VLOOKUP(OrganizedData[[#This Row],[Product Code]],ProductData[],3,FALSE)</f>
        <v>569.52</v>
      </c>
      <c r="R29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2936" spans="1:18" x14ac:dyDescent="0.3">
      <c r="A2936" s="2">
        <v>2929</v>
      </c>
      <c r="B2936" s="2" t="s">
        <v>7358</v>
      </c>
      <c r="C2936" s="2" t="s">
        <v>7359</v>
      </c>
      <c r="D2936" s="2" t="s">
        <v>15</v>
      </c>
      <c r="E2936" s="2" t="s">
        <v>16</v>
      </c>
      <c r="F2936" s="2">
        <v>90</v>
      </c>
      <c r="G2936" s="2" t="s">
        <v>7360</v>
      </c>
      <c r="H2936" s="2" t="s">
        <v>2401</v>
      </c>
      <c r="I2936" s="2" t="s">
        <v>178</v>
      </c>
      <c r="J2936" s="3">
        <v>44730</v>
      </c>
      <c r="K2936" s="5">
        <f>YEAR(OrganizedData[[#This Row],[Order Date]])</f>
        <v>2022</v>
      </c>
      <c r="L2936" s="7" t="str">
        <f>TEXT(OrganizedData[[#This Row],[Order Date]],"mmm")</f>
        <v>Jun</v>
      </c>
      <c r="M2936" s="2">
        <v>49</v>
      </c>
      <c r="N2936" s="2" t="s">
        <v>20</v>
      </c>
      <c r="O2936" s="2" t="str">
        <f>VLOOKUP(OrganizedData[[#This Row],[Product Code]],ProductData[[Code]:[Item]],2,FALSE)</f>
        <v>Hyperwotsit</v>
      </c>
      <c r="P2936" s="4">
        <f>OrganizedData[[#This Row],[Quantity]]*VLOOKUP(OrganizedData[[#This Row],[Product Code]],ProductData[],4,FALSE)</f>
        <v>980</v>
      </c>
      <c r="Q2936" s="6">
        <f>OrganizedData[[#This Row],[Total Items Ordered]]*VLOOKUP(OrganizedData[[#This Row],[Product Code]],ProductData[],3,FALSE)</f>
        <v>1969.7999999999997</v>
      </c>
      <c r="R29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1910.7059999999997</v>
      </c>
    </row>
    <row r="2937" spans="1:18" x14ac:dyDescent="0.3">
      <c r="A2937" s="2">
        <v>2930</v>
      </c>
      <c r="B2937" s="2" t="s">
        <v>7361</v>
      </c>
      <c r="C2937" s="2" t="s">
        <v>376</v>
      </c>
      <c r="D2937" s="2" t="s">
        <v>51</v>
      </c>
      <c r="E2937" s="2" t="s">
        <v>16</v>
      </c>
      <c r="F2937" s="2">
        <v>60</v>
      </c>
      <c r="G2937" s="2" t="s">
        <v>7362</v>
      </c>
      <c r="H2937" s="2" t="s">
        <v>685</v>
      </c>
      <c r="I2937" s="2" t="s">
        <v>686</v>
      </c>
      <c r="J2937" s="3">
        <v>44898</v>
      </c>
      <c r="K2937" s="5">
        <f>YEAR(OrganizedData[[#This Row],[Order Date]])</f>
        <v>2022</v>
      </c>
      <c r="L2937" s="7" t="str">
        <f>TEXT(OrganizedData[[#This Row],[Order Date]],"mmm")</f>
        <v>Dec</v>
      </c>
      <c r="M2937" s="2">
        <v>23</v>
      </c>
      <c r="N2937" s="2" t="s">
        <v>80</v>
      </c>
      <c r="O2937" s="2" t="str">
        <f>VLOOKUP(OrganizedData[[#This Row],[Product Code]],ProductData[[Code]:[Item]],2,FALSE)</f>
        <v>Ultrathing V2</v>
      </c>
      <c r="P2937" s="4">
        <f>OrganizedData[[#This Row],[Quantity]]*VLOOKUP(OrganizedData[[#This Row],[Product Code]],ProductData[],4,FALSE)</f>
        <v>460</v>
      </c>
      <c r="Q2937" s="6">
        <f>OrganizedData[[#This Row],[Total Items Ordered]]*VLOOKUP(OrganizedData[[#This Row],[Product Code]],ProductData[],3,FALSE)</f>
        <v>1357</v>
      </c>
      <c r="R29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1316.29</v>
      </c>
    </row>
    <row r="2938" spans="1:18" x14ac:dyDescent="0.3">
      <c r="A2938" s="2">
        <v>2931</v>
      </c>
      <c r="B2938" s="2" t="s">
        <v>7363</v>
      </c>
      <c r="C2938" s="2" t="s">
        <v>5671</v>
      </c>
      <c r="D2938" s="2" t="s">
        <v>51</v>
      </c>
      <c r="E2938" s="2" t="s">
        <v>16</v>
      </c>
      <c r="F2938" s="2">
        <v>60</v>
      </c>
      <c r="G2938" s="2" t="s">
        <v>7364</v>
      </c>
      <c r="H2938" s="2" t="s">
        <v>4944</v>
      </c>
      <c r="I2938" s="2" t="s">
        <v>839</v>
      </c>
      <c r="J2938" s="3">
        <v>44007</v>
      </c>
      <c r="K2938" s="5">
        <f>YEAR(OrganizedData[[#This Row],[Order Date]])</f>
        <v>2020</v>
      </c>
      <c r="L2938" s="7" t="str">
        <f>TEXT(OrganizedData[[#This Row],[Order Date]],"mmm")</f>
        <v>Jun</v>
      </c>
      <c r="M2938" s="2">
        <v>69</v>
      </c>
      <c r="N2938" s="2" t="s">
        <v>20</v>
      </c>
      <c r="O2938" s="2" t="str">
        <f>VLOOKUP(OrganizedData[[#This Row],[Product Code]],ProductData[[Code]:[Item]],2,FALSE)</f>
        <v>Hyperwotsit</v>
      </c>
      <c r="P2938" s="4">
        <f>OrganizedData[[#This Row],[Quantity]]*VLOOKUP(OrganizedData[[#This Row],[Product Code]],ProductData[],4,FALSE)</f>
        <v>1380</v>
      </c>
      <c r="Q2938" s="6">
        <f>OrganizedData[[#This Row],[Total Items Ordered]]*VLOOKUP(OrganizedData[[#This Row],[Product Code]],ProductData[],3,FALSE)</f>
        <v>2773.7999999999997</v>
      </c>
      <c r="R29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2939" spans="1:18" x14ac:dyDescent="0.3">
      <c r="A2939" s="2">
        <v>2932</v>
      </c>
      <c r="B2939" s="2" t="s">
        <v>7365</v>
      </c>
      <c r="C2939" s="2" t="s">
        <v>3564</v>
      </c>
      <c r="D2939" s="2" t="s">
        <v>15</v>
      </c>
      <c r="E2939" s="2" t="s">
        <v>16</v>
      </c>
      <c r="F2939" s="2">
        <v>60</v>
      </c>
      <c r="G2939" s="2" t="s">
        <v>7366</v>
      </c>
      <c r="H2939" s="2" t="s">
        <v>2509</v>
      </c>
      <c r="I2939" s="2" t="s">
        <v>32</v>
      </c>
      <c r="J2939" s="3">
        <v>44900</v>
      </c>
      <c r="K2939" s="5">
        <f>YEAR(OrganizedData[[#This Row],[Order Date]])</f>
        <v>2022</v>
      </c>
      <c r="L2939" s="7" t="str">
        <f>TEXT(OrganizedData[[#This Row],[Order Date]],"mmm")</f>
        <v>Dec</v>
      </c>
      <c r="M2939" s="2">
        <v>4</v>
      </c>
      <c r="N2939" s="2" t="s">
        <v>54</v>
      </c>
      <c r="O2939" s="2" t="str">
        <f>VLOOKUP(OrganizedData[[#This Row],[Product Code]],ProductData[[Code]:[Item]],2,FALSE)</f>
        <v>Megawidget S</v>
      </c>
      <c r="P2939" s="4">
        <f>OrganizedData[[#This Row],[Quantity]]*VLOOKUP(OrganizedData[[#This Row],[Product Code]],ProductData[],4,FALSE)</f>
        <v>96</v>
      </c>
      <c r="Q2939" s="6">
        <f>OrganizedData[[#This Row],[Total Items Ordered]]*VLOOKUP(OrganizedData[[#This Row],[Product Code]],ProductData[],3,FALSE)</f>
        <v>66.239999999999995</v>
      </c>
      <c r="R29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2940" spans="1:18" x14ac:dyDescent="0.3">
      <c r="A2940" s="2">
        <v>2933</v>
      </c>
      <c r="B2940" s="2" t="s">
        <v>7367</v>
      </c>
      <c r="C2940" s="2" t="s">
        <v>1117</v>
      </c>
      <c r="D2940" s="2" t="s">
        <v>15</v>
      </c>
      <c r="E2940" s="2" t="s">
        <v>16</v>
      </c>
      <c r="F2940" s="2">
        <v>60</v>
      </c>
      <c r="G2940" s="2" t="s">
        <v>7368</v>
      </c>
      <c r="H2940" s="2" t="s">
        <v>6693</v>
      </c>
      <c r="I2940" s="2" t="s">
        <v>25</v>
      </c>
      <c r="J2940" s="3">
        <v>44683</v>
      </c>
      <c r="K2940" s="5">
        <f>YEAR(OrganizedData[[#This Row],[Order Date]])</f>
        <v>2022</v>
      </c>
      <c r="L2940" s="7" t="str">
        <f>TEXT(OrganizedData[[#This Row],[Order Date]],"mmm")</f>
        <v>May</v>
      </c>
      <c r="M2940" s="2">
        <v>5</v>
      </c>
      <c r="N2940" s="2" t="s">
        <v>39</v>
      </c>
      <c r="O2940" s="2" t="str">
        <f>VLOOKUP(OrganizedData[[#This Row],[Product Code]],ProductData[[Code]:[Item]],2,FALSE)</f>
        <v>Ultrathing V1</v>
      </c>
      <c r="P2940" s="4">
        <f>OrganizedData[[#This Row],[Quantity]]*VLOOKUP(OrganizedData[[#This Row],[Product Code]],ProductData[],4,FALSE)</f>
        <v>85</v>
      </c>
      <c r="Q2940" s="6">
        <f>OrganizedData[[#This Row],[Total Items Ordered]]*VLOOKUP(OrganizedData[[#This Row],[Product Code]],ProductData[],3,FALSE)</f>
        <v>152.15</v>
      </c>
      <c r="R29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152.15</v>
      </c>
    </row>
    <row r="2941" spans="1:18" x14ac:dyDescent="0.3">
      <c r="A2941" s="2">
        <v>2934</v>
      </c>
      <c r="B2941" s="2" t="s">
        <v>6715</v>
      </c>
      <c r="C2941" s="2" t="s">
        <v>7369</v>
      </c>
      <c r="D2941" s="2" t="s">
        <v>28</v>
      </c>
      <c r="E2941" s="2" t="s">
        <v>29</v>
      </c>
      <c r="F2941" s="2">
        <v>60</v>
      </c>
      <c r="G2941" s="2" t="s">
        <v>7370</v>
      </c>
      <c r="H2941" s="2" t="s">
        <v>3628</v>
      </c>
      <c r="I2941" s="2" t="s">
        <v>32</v>
      </c>
      <c r="J2941" s="3">
        <v>43993</v>
      </c>
      <c r="K2941" s="5">
        <f>YEAR(OrganizedData[[#This Row],[Order Date]])</f>
        <v>2020</v>
      </c>
      <c r="L2941" s="7" t="str">
        <f>TEXT(OrganizedData[[#This Row],[Order Date]],"mmm")</f>
        <v>Jun</v>
      </c>
      <c r="M2941" s="2">
        <v>59</v>
      </c>
      <c r="N2941" s="2" t="s">
        <v>80</v>
      </c>
      <c r="O2941" s="2" t="str">
        <f>VLOOKUP(OrganizedData[[#This Row],[Product Code]],ProductData[[Code]:[Item]],2,FALSE)</f>
        <v>Ultrathing V2</v>
      </c>
      <c r="P2941" s="4">
        <f>OrganizedData[[#This Row],[Quantity]]*VLOOKUP(OrganizedData[[#This Row],[Product Code]],ProductData[],4,FALSE)</f>
        <v>1180</v>
      </c>
      <c r="Q2941" s="6">
        <f>OrganizedData[[#This Row],[Total Items Ordered]]*VLOOKUP(OrganizedData[[#This Row],[Product Code]],ProductData[],3,FALSE)</f>
        <v>3481</v>
      </c>
      <c r="R29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3306.95</v>
      </c>
    </row>
    <row r="2942" spans="1:18" x14ac:dyDescent="0.3">
      <c r="A2942" s="2">
        <v>2935</v>
      </c>
      <c r="B2942" s="2" t="s">
        <v>7371</v>
      </c>
      <c r="C2942" s="2" t="s">
        <v>5923</v>
      </c>
      <c r="D2942" s="2" t="s">
        <v>51</v>
      </c>
      <c r="E2942" s="2" t="s">
        <v>16</v>
      </c>
      <c r="F2942" s="2">
        <v>30</v>
      </c>
      <c r="G2942" s="2" t="s">
        <v>7370</v>
      </c>
      <c r="H2942" s="2" t="s">
        <v>7001</v>
      </c>
      <c r="I2942" s="2" t="s">
        <v>32</v>
      </c>
      <c r="J2942" s="3">
        <v>44797</v>
      </c>
      <c r="K2942" s="5">
        <f>YEAR(OrganizedData[[#This Row],[Order Date]])</f>
        <v>2022</v>
      </c>
      <c r="L2942" s="7" t="str">
        <f>TEXT(OrganizedData[[#This Row],[Order Date]],"mmm")</f>
        <v>Aug</v>
      </c>
      <c r="M2942" s="2">
        <v>22</v>
      </c>
      <c r="N2942" s="2" t="s">
        <v>20</v>
      </c>
      <c r="O2942" s="2" t="str">
        <f>VLOOKUP(OrganizedData[[#This Row],[Product Code]],ProductData[[Code]:[Item]],2,FALSE)</f>
        <v>Hyperwotsit</v>
      </c>
      <c r="P2942" s="4">
        <f>OrganizedData[[#This Row],[Quantity]]*VLOOKUP(OrganizedData[[#This Row],[Product Code]],ProductData[],4,FALSE)</f>
        <v>440</v>
      </c>
      <c r="Q2942" s="6">
        <f>OrganizedData[[#This Row],[Total Items Ordered]]*VLOOKUP(OrganizedData[[#This Row],[Product Code]],ProductData[],3,FALSE)</f>
        <v>884.39999999999986</v>
      </c>
      <c r="R29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857.86799999999982</v>
      </c>
    </row>
    <row r="2943" spans="1:18" x14ac:dyDescent="0.3">
      <c r="A2943" s="2">
        <v>2936</v>
      </c>
      <c r="B2943" s="2" t="s">
        <v>7372</v>
      </c>
      <c r="C2943" s="2" t="s">
        <v>7373</v>
      </c>
      <c r="D2943" s="2" t="s">
        <v>51</v>
      </c>
      <c r="E2943" s="2" t="s">
        <v>16</v>
      </c>
      <c r="F2943" s="2">
        <v>60</v>
      </c>
      <c r="G2943" s="2" t="s">
        <v>7374</v>
      </c>
      <c r="H2943" s="2" t="s">
        <v>5647</v>
      </c>
      <c r="I2943" s="2" t="s">
        <v>38</v>
      </c>
      <c r="J2943" s="3">
        <v>44316</v>
      </c>
      <c r="K2943" s="5">
        <f>YEAR(OrganizedData[[#This Row],[Order Date]])</f>
        <v>2021</v>
      </c>
      <c r="L2943" s="7" t="str">
        <f>TEXT(OrganizedData[[#This Row],[Order Date]],"mmm")</f>
        <v>Apr</v>
      </c>
      <c r="M2943" s="2">
        <v>54</v>
      </c>
      <c r="N2943" s="2" t="s">
        <v>20</v>
      </c>
      <c r="O2943" s="2" t="str">
        <f>VLOOKUP(OrganizedData[[#This Row],[Product Code]],ProductData[[Code]:[Item]],2,FALSE)</f>
        <v>Hyperwotsit</v>
      </c>
      <c r="P2943" s="4">
        <f>OrganizedData[[#This Row],[Quantity]]*VLOOKUP(OrganizedData[[#This Row],[Product Code]],ProductData[],4,FALSE)</f>
        <v>1080</v>
      </c>
      <c r="Q2943" s="6">
        <f>OrganizedData[[#This Row],[Total Items Ordered]]*VLOOKUP(OrganizedData[[#This Row],[Product Code]],ProductData[],3,FALSE)</f>
        <v>2170.7999999999997</v>
      </c>
      <c r="R29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2062.2599999999998</v>
      </c>
    </row>
    <row r="2944" spans="1:18" x14ac:dyDescent="0.3">
      <c r="A2944" s="2">
        <v>2937</v>
      </c>
      <c r="B2944" s="2" t="s">
        <v>5772</v>
      </c>
      <c r="C2944" s="2" t="s">
        <v>4994</v>
      </c>
      <c r="D2944" s="2" t="s">
        <v>28</v>
      </c>
      <c r="E2944" s="2" t="s">
        <v>29</v>
      </c>
      <c r="F2944" s="2">
        <v>30</v>
      </c>
      <c r="G2944" s="2" t="s">
        <v>7374</v>
      </c>
      <c r="H2944" s="2" t="s">
        <v>768</v>
      </c>
      <c r="I2944" s="2" t="s">
        <v>124</v>
      </c>
      <c r="J2944" s="3">
        <v>44483</v>
      </c>
      <c r="K2944" s="5">
        <f>YEAR(OrganizedData[[#This Row],[Order Date]])</f>
        <v>2021</v>
      </c>
      <c r="L2944" s="7" t="str">
        <f>TEXT(OrganizedData[[#This Row],[Order Date]],"mmm")</f>
        <v>Oct</v>
      </c>
      <c r="M2944" s="2">
        <v>83</v>
      </c>
      <c r="N2944" s="2" t="s">
        <v>70</v>
      </c>
      <c r="O2944" s="2" t="str">
        <f>VLOOKUP(OrganizedData[[#This Row],[Product Code]],ProductData[[Code]:[Item]],2,FALSE)</f>
        <v>Megawidget M</v>
      </c>
      <c r="P2944" s="4">
        <f>OrganizedData[[#This Row],[Quantity]]*VLOOKUP(OrganizedData[[#This Row],[Product Code]],ProductData[],4,FALSE)</f>
        <v>1992</v>
      </c>
      <c r="Q2944" s="6">
        <f>OrganizedData[[#This Row],[Total Items Ordered]]*VLOOKUP(OrganizedData[[#This Row],[Product Code]],ProductData[],3,FALSE)</f>
        <v>2569.6800000000003</v>
      </c>
      <c r="R29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2441.1960000000004</v>
      </c>
    </row>
    <row r="2945" spans="1:18" x14ac:dyDescent="0.3">
      <c r="A2945" s="2">
        <v>2938</v>
      </c>
      <c r="B2945" s="2" t="s">
        <v>872</v>
      </c>
      <c r="C2945" s="2" t="s">
        <v>2928</v>
      </c>
      <c r="D2945" s="2" t="s">
        <v>28</v>
      </c>
      <c r="E2945" s="2" t="s">
        <v>29</v>
      </c>
      <c r="F2945" s="2">
        <v>30</v>
      </c>
      <c r="G2945" s="2" t="s">
        <v>7375</v>
      </c>
      <c r="H2945" s="2" t="s">
        <v>412</v>
      </c>
      <c r="I2945" s="2" t="s">
        <v>187</v>
      </c>
      <c r="J2945" s="3">
        <v>44201</v>
      </c>
      <c r="K2945" s="5">
        <f>YEAR(OrganizedData[[#This Row],[Order Date]])</f>
        <v>2021</v>
      </c>
      <c r="L2945" s="7" t="str">
        <f>TEXT(OrganizedData[[#This Row],[Order Date]],"mmm")</f>
        <v>Jan</v>
      </c>
      <c r="M2945" s="2">
        <v>34</v>
      </c>
      <c r="N2945" s="2" t="s">
        <v>101</v>
      </c>
      <c r="O2945" s="2" t="str">
        <f>VLOOKUP(OrganizedData[[#This Row],[Product Code]],ProductData[[Code]:[Item]],2,FALSE)</f>
        <v>Superwossname</v>
      </c>
      <c r="P2945" s="4">
        <f>OrganizedData[[#This Row],[Quantity]]*VLOOKUP(OrganizedData[[#This Row],[Product Code]],ProductData[],4,FALSE)</f>
        <v>680</v>
      </c>
      <c r="Q2945" s="6">
        <f>OrganizedData[[#This Row],[Total Items Ordered]]*VLOOKUP(OrganizedData[[#This Row],[Product Code]],ProductData[],3,FALSE)</f>
        <v>2373.2000000000003</v>
      </c>
      <c r="R29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2946" spans="1:18" x14ac:dyDescent="0.3">
      <c r="A2946" s="2">
        <v>2939</v>
      </c>
      <c r="B2946" s="2" t="s">
        <v>4828</v>
      </c>
      <c r="C2946" s="2" t="s">
        <v>5668</v>
      </c>
      <c r="D2946" s="2" t="s">
        <v>28</v>
      </c>
      <c r="E2946" s="2" t="s">
        <v>29</v>
      </c>
      <c r="F2946" s="2">
        <v>30</v>
      </c>
      <c r="G2946" s="2" t="s">
        <v>7376</v>
      </c>
      <c r="H2946" s="2" t="s">
        <v>663</v>
      </c>
      <c r="I2946" s="2" t="s">
        <v>32</v>
      </c>
      <c r="J2946" s="3">
        <v>44047</v>
      </c>
      <c r="K2946" s="5">
        <f>YEAR(OrganizedData[[#This Row],[Order Date]])</f>
        <v>2020</v>
      </c>
      <c r="L2946" s="7" t="str">
        <f>TEXT(OrganizedData[[#This Row],[Order Date]],"mmm")</f>
        <v>Aug</v>
      </c>
      <c r="M2946" s="2">
        <v>74</v>
      </c>
      <c r="N2946" s="2" t="s">
        <v>20</v>
      </c>
      <c r="O2946" s="2" t="str">
        <f>VLOOKUP(OrganizedData[[#This Row],[Product Code]],ProductData[[Code]:[Item]],2,FALSE)</f>
        <v>Hyperwotsit</v>
      </c>
      <c r="P2946" s="4">
        <f>OrganizedData[[#This Row],[Quantity]]*VLOOKUP(OrganizedData[[#This Row],[Product Code]],ProductData[],4,FALSE)</f>
        <v>1480</v>
      </c>
      <c r="Q2946" s="6">
        <f>OrganizedData[[#This Row],[Total Items Ordered]]*VLOOKUP(OrganizedData[[#This Row],[Product Code]],ProductData[],3,FALSE)</f>
        <v>2974.7999999999997</v>
      </c>
      <c r="R29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2826.0599999999995</v>
      </c>
    </row>
    <row r="2947" spans="1:18" x14ac:dyDescent="0.3">
      <c r="A2947" s="2">
        <v>2940</v>
      </c>
      <c r="B2947" s="2" t="s">
        <v>4075</v>
      </c>
      <c r="C2947" s="2" t="s">
        <v>375</v>
      </c>
      <c r="D2947" s="2" t="s">
        <v>28</v>
      </c>
      <c r="E2947" s="2" t="s">
        <v>29</v>
      </c>
      <c r="F2947" s="2">
        <v>30</v>
      </c>
      <c r="G2947" s="2" t="s">
        <v>7377</v>
      </c>
      <c r="H2947" s="2" t="s">
        <v>7378</v>
      </c>
      <c r="I2947" s="2" t="s">
        <v>178</v>
      </c>
      <c r="J2947" s="3">
        <v>44480</v>
      </c>
      <c r="K2947" s="5">
        <f>YEAR(OrganizedData[[#This Row],[Order Date]])</f>
        <v>2021</v>
      </c>
      <c r="L2947" s="7" t="str">
        <f>TEXT(OrganizedData[[#This Row],[Order Date]],"mmm")</f>
        <v>Oct</v>
      </c>
      <c r="M2947" s="2">
        <v>92</v>
      </c>
      <c r="N2947" s="2" t="s">
        <v>39</v>
      </c>
      <c r="O2947" s="2" t="str">
        <f>VLOOKUP(OrganizedData[[#This Row],[Product Code]],ProductData[[Code]:[Item]],2,FALSE)</f>
        <v>Ultrathing V1</v>
      </c>
      <c r="P2947" s="4">
        <f>OrganizedData[[#This Row],[Quantity]]*VLOOKUP(OrganizedData[[#This Row],[Product Code]],ProductData[],4,FALSE)</f>
        <v>1564</v>
      </c>
      <c r="Q2947" s="6">
        <f>OrganizedData[[#This Row],[Total Items Ordered]]*VLOOKUP(OrganizedData[[#This Row],[Product Code]],ProductData[],3,FALSE)</f>
        <v>2799.56</v>
      </c>
      <c r="R29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2659.5819999999999</v>
      </c>
    </row>
    <row r="2948" spans="1:18" x14ac:dyDescent="0.3">
      <c r="A2948" s="2">
        <v>2941</v>
      </c>
      <c r="B2948" s="2" t="s">
        <v>6044</v>
      </c>
      <c r="C2948" s="2" t="s">
        <v>7379</v>
      </c>
      <c r="D2948" s="2" t="s">
        <v>28</v>
      </c>
      <c r="E2948" s="2" t="s">
        <v>29</v>
      </c>
      <c r="F2948" s="2">
        <v>60</v>
      </c>
      <c r="G2948" s="2" t="s">
        <v>7380</v>
      </c>
      <c r="H2948" s="2" t="s">
        <v>5327</v>
      </c>
      <c r="I2948" s="2" t="s">
        <v>187</v>
      </c>
      <c r="J2948" s="3">
        <v>43944</v>
      </c>
      <c r="K2948" s="5">
        <f>YEAR(OrganizedData[[#This Row],[Order Date]])</f>
        <v>2020</v>
      </c>
      <c r="L2948" s="7" t="str">
        <f>TEXT(OrganizedData[[#This Row],[Order Date]],"mmm")</f>
        <v>Apr</v>
      </c>
      <c r="M2948" s="2">
        <v>78</v>
      </c>
      <c r="N2948" s="2" t="s">
        <v>159</v>
      </c>
      <c r="O2948" s="2" t="str">
        <f>VLOOKUP(OrganizedData[[#This Row],[Product Code]],ProductData[[Code]:[Item]],2,FALSE)</f>
        <v>Ultrathing V3</v>
      </c>
      <c r="P2948" s="4">
        <f>OrganizedData[[#This Row],[Quantity]]*VLOOKUP(OrganizedData[[#This Row],[Product Code]],ProductData[],4,FALSE)</f>
        <v>1872</v>
      </c>
      <c r="Q2948" s="6">
        <f>OrganizedData[[#This Row],[Total Items Ordered]]*VLOOKUP(OrganizedData[[#This Row],[Product Code]],ProductData[],3,FALSE)</f>
        <v>6346.08</v>
      </c>
      <c r="R29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2949" spans="1:18" x14ac:dyDescent="0.3">
      <c r="A2949" s="2">
        <v>2942</v>
      </c>
      <c r="B2949" s="2" t="s">
        <v>7381</v>
      </c>
      <c r="C2949" s="2" t="s">
        <v>647</v>
      </c>
      <c r="D2949" s="2" t="s">
        <v>28</v>
      </c>
      <c r="E2949" s="2" t="s">
        <v>29</v>
      </c>
      <c r="F2949" s="2">
        <v>30</v>
      </c>
      <c r="G2949" s="2" t="s">
        <v>7382</v>
      </c>
      <c r="H2949" s="2" t="s">
        <v>7383</v>
      </c>
      <c r="I2949" s="2" t="s">
        <v>110</v>
      </c>
      <c r="J2949" s="3">
        <v>44352</v>
      </c>
      <c r="K2949" s="5">
        <f>YEAR(OrganizedData[[#This Row],[Order Date]])</f>
        <v>2021</v>
      </c>
      <c r="L2949" s="7" t="str">
        <f>TEXT(OrganizedData[[#This Row],[Order Date]],"mmm")</f>
        <v>Jun</v>
      </c>
      <c r="M2949" s="2">
        <v>29</v>
      </c>
      <c r="N2949" s="2" t="s">
        <v>45</v>
      </c>
      <c r="O2949" s="2" t="str">
        <f>VLOOKUP(OrganizedData[[#This Row],[Product Code]],ProductData[[Code]:[Item]],2,FALSE)</f>
        <v>Gigastuff</v>
      </c>
      <c r="P2949" s="4">
        <f>OrganizedData[[#This Row],[Quantity]]*VLOOKUP(OrganizedData[[#This Row],[Product Code]],ProductData[],4,FALSE)</f>
        <v>522</v>
      </c>
      <c r="Q2949" s="6">
        <f>OrganizedData[[#This Row],[Total Items Ordered]]*VLOOKUP(OrganizedData[[#This Row],[Product Code]],ProductData[],3,FALSE)</f>
        <v>986.57999999999993</v>
      </c>
      <c r="R29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956.98259999999993</v>
      </c>
    </row>
    <row r="2950" spans="1:18" x14ac:dyDescent="0.3">
      <c r="A2950" s="2">
        <v>2943</v>
      </c>
      <c r="B2950" s="2" t="s">
        <v>7384</v>
      </c>
      <c r="C2950" s="2" t="s">
        <v>6360</v>
      </c>
      <c r="D2950" s="2" t="s">
        <v>15</v>
      </c>
      <c r="E2950" s="2" t="s">
        <v>16</v>
      </c>
      <c r="F2950" s="2">
        <v>60</v>
      </c>
      <c r="G2950" s="2" t="s">
        <v>7385</v>
      </c>
      <c r="H2950" s="2" t="s">
        <v>5158</v>
      </c>
      <c r="I2950" s="2" t="s">
        <v>5159</v>
      </c>
      <c r="J2950" s="3">
        <v>44127</v>
      </c>
      <c r="K2950" s="5">
        <f>YEAR(OrganizedData[[#This Row],[Order Date]])</f>
        <v>2020</v>
      </c>
      <c r="L2950" s="7" t="str">
        <f>TEXT(OrganizedData[[#This Row],[Order Date]],"mmm")</f>
        <v>Oct</v>
      </c>
      <c r="M2950" s="2">
        <v>62</v>
      </c>
      <c r="N2950" s="2" t="s">
        <v>70</v>
      </c>
      <c r="O2950" s="2" t="str">
        <f>VLOOKUP(OrganizedData[[#This Row],[Product Code]],ProductData[[Code]:[Item]],2,FALSE)</f>
        <v>Megawidget M</v>
      </c>
      <c r="P2950" s="4">
        <f>OrganizedData[[#This Row],[Quantity]]*VLOOKUP(OrganizedData[[#This Row],[Product Code]],ProductData[],4,FALSE)</f>
        <v>1488</v>
      </c>
      <c r="Q2950" s="6">
        <f>OrganizedData[[#This Row],[Total Items Ordered]]*VLOOKUP(OrganizedData[[#This Row],[Product Code]],ProductData[],3,FALSE)</f>
        <v>1919.52</v>
      </c>
      <c r="R29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2951" spans="1:18" x14ac:dyDescent="0.3">
      <c r="A2951" s="2">
        <v>2944</v>
      </c>
      <c r="B2951" s="2" t="s">
        <v>160</v>
      </c>
      <c r="C2951" s="2" t="s">
        <v>4803</v>
      </c>
      <c r="D2951" s="2" t="s">
        <v>28</v>
      </c>
      <c r="E2951" s="2" t="s">
        <v>29</v>
      </c>
      <c r="F2951" s="2">
        <v>90</v>
      </c>
      <c r="G2951" s="2" t="s">
        <v>7386</v>
      </c>
      <c r="H2951" s="2" t="s">
        <v>877</v>
      </c>
      <c r="I2951" s="2" t="s">
        <v>32</v>
      </c>
      <c r="J2951" s="3">
        <v>43876</v>
      </c>
      <c r="K2951" s="5">
        <f>YEAR(OrganizedData[[#This Row],[Order Date]])</f>
        <v>2020</v>
      </c>
      <c r="L2951" s="7" t="str">
        <f>TEXT(OrganizedData[[#This Row],[Order Date]],"mmm")</f>
        <v>Feb</v>
      </c>
      <c r="M2951" s="2">
        <v>39</v>
      </c>
      <c r="N2951" s="2" t="s">
        <v>80</v>
      </c>
      <c r="O2951" s="2" t="str">
        <f>VLOOKUP(OrganizedData[[#This Row],[Product Code]],ProductData[[Code]:[Item]],2,FALSE)</f>
        <v>Ultrathing V2</v>
      </c>
      <c r="P2951" s="4">
        <f>OrganizedData[[#This Row],[Quantity]]*VLOOKUP(OrganizedData[[#This Row],[Product Code]],ProductData[],4,FALSE)</f>
        <v>780</v>
      </c>
      <c r="Q2951" s="6">
        <f>OrganizedData[[#This Row],[Total Items Ordered]]*VLOOKUP(OrganizedData[[#This Row],[Product Code]],ProductData[],3,FALSE)</f>
        <v>2301</v>
      </c>
      <c r="R29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2952" spans="1:18" x14ac:dyDescent="0.3">
      <c r="A2952" s="2">
        <v>2945</v>
      </c>
      <c r="B2952" s="2" t="s">
        <v>7106</v>
      </c>
      <c r="C2952" s="2" t="s">
        <v>7187</v>
      </c>
      <c r="D2952" s="2" t="s">
        <v>51</v>
      </c>
      <c r="E2952" s="2" t="s">
        <v>16</v>
      </c>
      <c r="F2952" s="2">
        <v>60</v>
      </c>
      <c r="G2952" s="2" t="s">
        <v>7387</v>
      </c>
      <c r="H2952" s="2" t="s">
        <v>938</v>
      </c>
      <c r="I2952" s="2" t="s">
        <v>25</v>
      </c>
      <c r="J2952" s="3">
        <v>43911</v>
      </c>
      <c r="K2952" s="5">
        <f>YEAR(OrganizedData[[#This Row],[Order Date]])</f>
        <v>2020</v>
      </c>
      <c r="L2952" s="7" t="str">
        <f>TEXT(OrganizedData[[#This Row],[Order Date]],"mmm")</f>
        <v>Mar</v>
      </c>
      <c r="M2952" s="2">
        <v>74</v>
      </c>
      <c r="N2952" s="2" t="s">
        <v>159</v>
      </c>
      <c r="O2952" s="2" t="str">
        <f>VLOOKUP(OrganizedData[[#This Row],[Product Code]],ProductData[[Code]:[Item]],2,FALSE)</f>
        <v>Ultrathing V3</v>
      </c>
      <c r="P2952" s="4">
        <f>OrganizedData[[#This Row],[Quantity]]*VLOOKUP(OrganizedData[[#This Row],[Product Code]],ProductData[],4,FALSE)</f>
        <v>1776</v>
      </c>
      <c r="Q2952" s="6">
        <f>OrganizedData[[#This Row],[Total Items Ordered]]*VLOOKUP(OrganizedData[[#This Row],[Product Code]],ProductData[],3,FALSE)</f>
        <v>6020.64</v>
      </c>
      <c r="R29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2953" spans="1:18" x14ac:dyDescent="0.3">
      <c r="A2953" s="2">
        <v>2946</v>
      </c>
      <c r="B2953" s="2" t="s">
        <v>550</v>
      </c>
      <c r="C2953" s="2" t="s">
        <v>6661</v>
      </c>
      <c r="D2953" s="2" t="s">
        <v>51</v>
      </c>
      <c r="E2953" s="2" t="s">
        <v>16</v>
      </c>
      <c r="F2953" s="2">
        <v>60</v>
      </c>
      <c r="G2953" s="2" t="s">
        <v>7388</v>
      </c>
      <c r="H2953" s="2" t="s">
        <v>3122</v>
      </c>
      <c r="I2953" s="2" t="s">
        <v>1035</v>
      </c>
      <c r="J2953" s="3">
        <v>43988</v>
      </c>
      <c r="K2953" s="5">
        <f>YEAR(OrganizedData[[#This Row],[Order Date]])</f>
        <v>2020</v>
      </c>
      <c r="L2953" s="7" t="str">
        <f>TEXT(OrganizedData[[#This Row],[Order Date]],"mmm")</f>
        <v>Jun</v>
      </c>
      <c r="M2953" s="2">
        <v>26</v>
      </c>
      <c r="N2953" s="2" t="s">
        <v>45</v>
      </c>
      <c r="O2953" s="2" t="str">
        <f>VLOOKUP(OrganizedData[[#This Row],[Product Code]],ProductData[[Code]:[Item]],2,FALSE)</f>
        <v>Gigastuff</v>
      </c>
      <c r="P2953" s="4">
        <f>OrganizedData[[#This Row],[Quantity]]*VLOOKUP(OrganizedData[[#This Row],[Product Code]],ProductData[],4,FALSE)</f>
        <v>468</v>
      </c>
      <c r="Q2953" s="6">
        <f>OrganizedData[[#This Row],[Total Items Ordered]]*VLOOKUP(OrganizedData[[#This Row],[Product Code]],ProductData[],3,FALSE)</f>
        <v>884.52</v>
      </c>
      <c r="R29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2954" spans="1:18" x14ac:dyDescent="0.3">
      <c r="A2954" s="2">
        <v>2947</v>
      </c>
      <c r="B2954" s="2" t="s">
        <v>7389</v>
      </c>
      <c r="C2954" s="2" t="s">
        <v>6298</v>
      </c>
      <c r="D2954" s="2" t="s">
        <v>15</v>
      </c>
      <c r="E2954" s="2" t="s">
        <v>16</v>
      </c>
      <c r="F2954" s="2">
        <v>90</v>
      </c>
      <c r="G2954" s="2" t="s">
        <v>7388</v>
      </c>
      <c r="H2954" s="2" t="s">
        <v>694</v>
      </c>
      <c r="I2954" s="2" t="s">
        <v>32</v>
      </c>
      <c r="J2954" s="3">
        <v>44527</v>
      </c>
      <c r="K2954" s="5">
        <f>YEAR(OrganizedData[[#This Row],[Order Date]])</f>
        <v>2021</v>
      </c>
      <c r="L2954" s="7" t="str">
        <f>TEXT(OrganizedData[[#This Row],[Order Date]],"mmm")</f>
        <v>Nov</v>
      </c>
      <c r="M2954" s="2">
        <v>56</v>
      </c>
      <c r="N2954" s="2" t="s">
        <v>64</v>
      </c>
      <c r="O2954" s="2" t="str">
        <f>VLOOKUP(OrganizedData[[#This Row],[Product Code]],ProductData[[Code]:[Item]],2,FALSE)</f>
        <v>Ultrathing V4</v>
      </c>
      <c r="P2954" s="4">
        <f>OrganizedData[[#This Row],[Quantity]]*VLOOKUP(OrganizedData[[#This Row],[Product Code]],ProductData[],4,FALSE)</f>
        <v>1344</v>
      </c>
      <c r="Q2954" s="6">
        <f>OrganizedData[[#This Row],[Total Items Ordered]]*VLOOKUP(OrganizedData[[#This Row],[Product Code]],ProductData[],3,FALSE)</f>
        <v>5362.56</v>
      </c>
      <c r="R29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5094.4319999999998</v>
      </c>
    </row>
    <row r="2955" spans="1:18" x14ac:dyDescent="0.3">
      <c r="A2955" s="2">
        <v>2948</v>
      </c>
      <c r="B2955" s="2" t="s">
        <v>7390</v>
      </c>
      <c r="C2955" s="2" t="s">
        <v>7391</v>
      </c>
      <c r="D2955" s="2" t="s">
        <v>15</v>
      </c>
      <c r="E2955" s="2" t="s">
        <v>16</v>
      </c>
      <c r="F2955" s="2">
        <v>30</v>
      </c>
      <c r="G2955" s="2" t="s">
        <v>7392</v>
      </c>
      <c r="H2955" s="2" t="s">
        <v>5934</v>
      </c>
      <c r="I2955" s="2" t="s">
        <v>173</v>
      </c>
      <c r="J2955" s="3">
        <v>44766</v>
      </c>
      <c r="K2955" s="5">
        <f>YEAR(OrganizedData[[#This Row],[Order Date]])</f>
        <v>2022</v>
      </c>
      <c r="L2955" s="7" t="str">
        <f>TEXT(OrganizedData[[#This Row],[Order Date]],"mmm")</f>
        <v>Jul</v>
      </c>
      <c r="M2955" s="2">
        <v>103</v>
      </c>
      <c r="N2955" s="2" t="s">
        <v>159</v>
      </c>
      <c r="O2955" s="2" t="str">
        <f>VLOOKUP(OrganizedData[[#This Row],[Product Code]],ProductData[[Code]:[Item]],2,FALSE)</f>
        <v>Ultrathing V3</v>
      </c>
      <c r="P2955" s="4">
        <f>OrganizedData[[#This Row],[Quantity]]*VLOOKUP(OrganizedData[[#This Row],[Product Code]],ProductData[],4,FALSE)</f>
        <v>2472</v>
      </c>
      <c r="Q2955" s="6">
        <f>OrganizedData[[#This Row],[Total Items Ordered]]*VLOOKUP(OrganizedData[[#This Row],[Product Code]],ProductData[],3,FALSE)</f>
        <v>8380.08</v>
      </c>
      <c r="R29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7793.4744000000001</v>
      </c>
    </row>
    <row r="2956" spans="1:18" x14ac:dyDescent="0.3">
      <c r="A2956" s="2">
        <v>2949</v>
      </c>
      <c r="B2956" s="2" t="s">
        <v>6906</v>
      </c>
      <c r="C2956" s="2" t="s">
        <v>2167</v>
      </c>
      <c r="D2956" s="2" t="s">
        <v>28</v>
      </c>
      <c r="E2956" s="2" t="s">
        <v>29</v>
      </c>
      <c r="F2956" s="2">
        <v>90</v>
      </c>
      <c r="G2956" s="2" t="s">
        <v>7393</v>
      </c>
      <c r="H2956" s="2" t="s">
        <v>1168</v>
      </c>
      <c r="I2956" s="2" t="s">
        <v>32</v>
      </c>
      <c r="J2956" s="3">
        <v>44305</v>
      </c>
      <c r="K2956" s="5">
        <f>YEAR(OrganizedData[[#This Row],[Order Date]])</f>
        <v>2021</v>
      </c>
      <c r="L2956" s="7" t="str">
        <f>TEXT(OrganizedData[[#This Row],[Order Date]],"mmm")</f>
        <v>Apr</v>
      </c>
      <c r="M2956" s="2">
        <v>43</v>
      </c>
      <c r="N2956" s="2" t="s">
        <v>80</v>
      </c>
      <c r="O2956" s="2" t="str">
        <f>VLOOKUP(OrganizedData[[#This Row],[Product Code]],ProductData[[Code]:[Item]],2,FALSE)</f>
        <v>Ultrathing V2</v>
      </c>
      <c r="P2956" s="4">
        <f>OrganizedData[[#This Row],[Quantity]]*VLOOKUP(OrganizedData[[#This Row],[Product Code]],ProductData[],4,FALSE)</f>
        <v>860</v>
      </c>
      <c r="Q2956" s="6">
        <f>OrganizedData[[#This Row],[Total Items Ordered]]*VLOOKUP(OrganizedData[[#This Row],[Product Code]],ProductData[],3,FALSE)</f>
        <v>2537</v>
      </c>
      <c r="R29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2957" spans="1:18" x14ac:dyDescent="0.3">
      <c r="A2957" s="2">
        <v>2950</v>
      </c>
      <c r="B2957" s="2" t="s">
        <v>7394</v>
      </c>
      <c r="C2957" s="2" t="s">
        <v>2051</v>
      </c>
      <c r="D2957" s="2" t="s">
        <v>28</v>
      </c>
      <c r="E2957" s="2" t="s">
        <v>29</v>
      </c>
      <c r="F2957" s="2">
        <v>60</v>
      </c>
      <c r="G2957" s="2" t="s">
        <v>7395</v>
      </c>
      <c r="H2957" s="2" t="s">
        <v>1761</v>
      </c>
      <c r="I2957" s="2" t="s">
        <v>38</v>
      </c>
      <c r="J2957" s="3">
        <v>43962</v>
      </c>
      <c r="K2957" s="5">
        <f>YEAR(OrganizedData[[#This Row],[Order Date]])</f>
        <v>2020</v>
      </c>
      <c r="L2957" s="7" t="str">
        <f>TEXT(OrganizedData[[#This Row],[Order Date]],"mmm")</f>
        <v>May</v>
      </c>
      <c r="M2957" s="2">
        <v>10</v>
      </c>
      <c r="N2957" s="2" t="s">
        <v>45</v>
      </c>
      <c r="O2957" s="2" t="str">
        <f>VLOOKUP(OrganizedData[[#This Row],[Product Code]],ProductData[[Code]:[Item]],2,FALSE)</f>
        <v>Gigastuff</v>
      </c>
      <c r="P2957" s="4">
        <f>OrganizedData[[#This Row],[Quantity]]*VLOOKUP(OrganizedData[[#This Row],[Product Code]],ProductData[],4,FALSE)</f>
        <v>180</v>
      </c>
      <c r="Q2957" s="6">
        <f>OrganizedData[[#This Row],[Total Items Ordered]]*VLOOKUP(OrganizedData[[#This Row],[Product Code]],ProductData[],3,FALSE)</f>
        <v>340.2</v>
      </c>
      <c r="R29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2958" spans="1:18" x14ac:dyDescent="0.3">
      <c r="A2958" s="2">
        <v>2951</v>
      </c>
      <c r="B2958" s="2" t="s">
        <v>2973</v>
      </c>
      <c r="C2958" s="2" t="s">
        <v>4026</v>
      </c>
      <c r="D2958" s="2" t="s">
        <v>51</v>
      </c>
      <c r="E2958" s="2" t="s">
        <v>16</v>
      </c>
      <c r="F2958" s="2">
        <v>30</v>
      </c>
      <c r="G2958" s="2" t="s">
        <v>7396</v>
      </c>
      <c r="H2958" s="2" t="s">
        <v>182</v>
      </c>
      <c r="I2958" s="2" t="s">
        <v>32</v>
      </c>
      <c r="J2958" s="3">
        <v>44425</v>
      </c>
      <c r="K2958" s="5">
        <f>YEAR(OrganizedData[[#This Row],[Order Date]])</f>
        <v>2021</v>
      </c>
      <c r="L2958" s="7" t="str">
        <f>TEXT(OrganizedData[[#This Row],[Order Date]],"mmm")</f>
        <v>Aug</v>
      </c>
      <c r="M2958" s="2">
        <v>44</v>
      </c>
      <c r="N2958" s="2" t="s">
        <v>39</v>
      </c>
      <c r="O2958" s="2" t="str">
        <f>VLOOKUP(OrganizedData[[#This Row],[Product Code]],ProductData[[Code]:[Item]],2,FALSE)</f>
        <v>Ultrathing V1</v>
      </c>
      <c r="P2958" s="4">
        <f>OrganizedData[[#This Row],[Quantity]]*VLOOKUP(OrganizedData[[#This Row],[Product Code]],ProductData[],4,FALSE)</f>
        <v>748</v>
      </c>
      <c r="Q2958" s="6">
        <f>OrganizedData[[#This Row],[Total Items Ordered]]*VLOOKUP(OrganizedData[[#This Row],[Product Code]],ProductData[],3,FALSE)</f>
        <v>1338.92</v>
      </c>
      <c r="R29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2959" spans="1:18" x14ac:dyDescent="0.3">
      <c r="A2959" s="2">
        <v>2952</v>
      </c>
      <c r="B2959" s="2" t="s">
        <v>800</v>
      </c>
      <c r="C2959" s="2" t="s">
        <v>1898</v>
      </c>
      <c r="D2959" s="2" t="s">
        <v>28</v>
      </c>
      <c r="E2959" s="2" t="s">
        <v>29</v>
      </c>
      <c r="F2959" s="2">
        <v>60</v>
      </c>
      <c r="G2959" s="2" t="s">
        <v>7397</v>
      </c>
      <c r="H2959" s="2" t="s">
        <v>5473</v>
      </c>
      <c r="I2959" s="2" t="s">
        <v>240</v>
      </c>
      <c r="J2959" s="3">
        <v>44671</v>
      </c>
      <c r="K2959" s="5">
        <f>YEAR(OrganizedData[[#This Row],[Order Date]])</f>
        <v>2022</v>
      </c>
      <c r="L2959" s="7" t="str">
        <f>TEXT(OrganizedData[[#This Row],[Order Date]],"mmm")</f>
        <v>Apr</v>
      </c>
      <c r="M2959" s="2">
        <v>9</v>
      </c>
      <c r="N2959" s="2" t="s">
        <v>39</v>
      </c>
      <c r="O2959" s="2" t="str">
        <f>VLOOKUP(OrganizedData[[#This Row],[Product Code]],ProductData[[Code]:[Item]],2,FALSE)</f>
        <v>Ultrathing V1</v>
      </c>
      <c r="P2959" s="4">
        <f>OrganizedData[[#This Row],[Quantity]]*VLOOKUP(OrganizedData[[#This Row],[Product Code]],ProductData[],4,FALSE)</f>
        <v>153</v>
      </c>
      <c r="Q2959" s="6">
        <f>OrganizedData[[#This Row],[Total Items Ordered]]*VLOOKUP(OrganizedData[[#This Row],[Product Code]],ProductData[],3,FALSE)</f>
        <v>273.87</v>
      </c>
      <c r="R29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2960" spans="1:18" x14ac:dyDescent="0.3">
      <c r="A2960" s="2">
        <v>2953</v>
      </c>
      <c r="B2960" s="2" t="s">
        <v>2837</v>
      </c>
      <c r="C2960" s="2" t="s">
        <v>7398</v>
      </c>
      <c r="D2960" s="2" t="s">
        <v>28</v>
      </c>
      <c r="E2960" s="2" t="s">
        <v>29</v>
      </c>
      <c r="F2960" s="2">
        <v>30</v>
      </c>
      <c r="G2960" s="2" t="s">
        <v>7399</v>
      </c>
      <c r="H2960" s="2" t="s">
        <v>7400</v>
      </c>
      <c r="I2960" s="2" t="s">
        <v>178</v>
      </c>
      <c r="J2960" s="3">
        <v>44375</v>
      </c>
      <c r="K2960" s="5">
        <f>YEAR(OrganizedData[[#This Row],[Order Date]])</f>
        <v>2021</v>
      </c>
      <c r="L2960" s="7" t="str">
        <f>TEXT(OrganizedData[[#This Row],[Order Date]],"mmm")</f>
        <v>Jun</v>
      </c>
      <c r="M2960" s="2">
        <v>64</v>
      </c>
      <c r="N2960" s="2" t="s">
        <v>80</v>
      </c>
      <c r="O2960" s="2" t="str">
        <f>VLOOKUP(OrganizedData[[#This Row],[Product Code]],ProductData[[Code]:[Item]],2,FALSE)</f>
        <v>Ultrathing V2</v>
      </c>
      <c r="P2960" s="4">
        <f>OrganizedData[[#This Row],[Quantity]]*VLOOKUP(OrganizedData[[#This Row],[Product Code]],ProductData[],4,FALSE)</f>
        <v>1280</v>
      </c>
      <c r="Q2960" s="6">
        <f>OrganizedData[[#This Row],[Total Items Ordered]]*VLOOKUP(OrganizedData[[#This Row],[Product Code]],ProductData[],3,FALSE)</f>
        <v>3776</v>
      </c>
      <c r="R29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3587.2</v>
      </c>
    </row>
    <row r="2961" spans="1:18" x14ac:dyDescent="0.3">
      <c r="A2961" s="2">
        <v>2954</v>
      </c>
      <c r="B2961" s="2" t="s">
        <v>5567</v>
      </c>
      <c r="C2961" s="2" t="s">
        <v>800</v>
      </c>
      <c r="D2961" s="2" t="s">
        <v>28</v>
      </c>
      <c r="E2961" s="2" t="s">
        <v>29</v>
      </c>
      <c r="F2961" s="2">
        <v>30</v>
      </c>
      <c r="G2961" s="2" t="s">
        <v>7401</v>
      </c>
      <c r="H2961" s="2" t="s">
        <v>1005</v>
      </c>
      <c r="I2961" s="2" t="s">
        <v>178</v>
      </c>
      <c r="J2961" s="3">
        <v>44787</v>
      </c>
      <c r="K2961" s="5">
        <f>YEAR(OrganizedData[[#This Row],[Order Date]])</f>
        <v>2022</v>
      </c>
      <c r="L2961" s="7" t="str">
        <f>TEXT(OrganizedData[[#This Row],[Order Date]],"mmm")</f>
        <v>Aug</v>
      </c>
      <c r="M2961" s="2">
        <v>92</v>
      </c>
      <c r="N2961" s="2" t="s">
        <v>33</v>
      </c>
      <c r="O2961" s="2" t="str">
        <f>VLOOKUP(OrganizedData[[#This Row],[Product Code]],ProductData[[Code]:[Item]],2,FALSE)</f>
        <v>Megawidget L</v>
      </c>
      <c r="P2961" s="4">
        <f>OrganizedData[[#This Row],[Quantity]]*VLOOKUP(OrganizedData[[#This Row],[Product Code]],ProductData[],4,FALSE)</f>
        <v>2208</v>
      </c>
      <c r="Q2961" s="6">
        <f>OrganizedData[[#This Row],[Total Items Ordered]]*VLOOKUP(OrganizedData[[#This Row],[Product Code]],ProductData[],3,FALSE)</f>
        <v>3952.32</v>
      </c>
      <c r="R29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3754.7040000000002</v>
      </c>
    </row>
    <row r="2962" spans="1:18" x14ac:dyDescent="0.3">
      <c r="A2962" s="2">
        <v>2955</v>
      </c>
      <c r="B2962" s="2" t="s">
        <v>935</v>
      </c>
      <c r="C2962" s="2" t="s">
        <v>1424</v>
      </c>
      <c r="D2962" s="2" t="s">
        <v>28</v>
      </c>
      <c r="E2962" s="2" t="s">
        <v>29</v>
      </c>
      <c r="F2962" s="2">
        <v>90</v>
      </c>
      <c r="G2962" s="2" t="s">
        <v>7402</v>
      </c>
      <c r="H2962" s="2" t="s">
        <v>3324</v>
      </c>
      <c r="I2962" s="2" t="s">
        <v>32</v>
      </c>
      <c r="J2962" s="3">
        <v>43969</v>
      </c>
      <c r="K2962" s="5">
        <f>YEAR(OrganizedData[[#This Row],[Order Date]])</f>
        <v>2020</v>
      </c>
      <c r="L2962" s="7" t="str">
        <f>TEXT(OrganizedData[[#This Row],[Order Date]],"mmm")</f>
        <v>May</v>
      </c>
      <c r="M2962" s="2">
        <v>62</v>
      </c>
      <c r="N2962" s="2" t="s">
        <v>45</v>
      </c>
      <c r="O2962" s="2" t="str">
        <f>VLOOKUP(OrganizedData[[#This Row],[Product Code]],ProductData[[Code]:[Item]],2,FALSE)</f>
        <v>Gigastuff</v>
      </c>
      <c r="P2962" s="4">
        <f>OrganizedData[[#This Row],[Quantity]]*VLOOKUP(OrganizedData[[#This Row],[Product Code]],ProductData[],4,FALSE)</f>
        <v>1116</v>
      </c>
      <c r="Q2962" s="6">
        <f>OrganizedData[[#This Row],[Total Items Ordered]]*VLOOKUP(OrganizedData[[#This Row],[Product Code]],ProductData[],3,FALSE)</f>
        <v>2109.2399999999998</v>
      </c>
      <c r="R29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2963" spans="1:18" x14ac:dyDescent="0.3">
      <c r="A2963" s="2">
        <v>2956</v>
      </c>
      <c r="B2963" s="2" t="s">
        <v>26</v>
      </c>
      <c r="C2963" s="2" t="s">
        <v>7403</v>
      </c>
      <c r="D2963" s="2" t="s">
        <v>28</v>
      </c>
      <c r="E2963" s="2" t="s">
        <v>29</v>
      </c>
      <c r="F2963" s="2">
        <v>60</v>
      </c>
      <c r="G2963" s="2" t="s">
        <v>7404</v>
      </c>
      <c r="H2963" s="2" t="s">
        <v>4874</v>
      </c>
      <c r="I2963" s="2" t="s">
        <v>32</v>
      </c>
      <c r="J2963" s="3">
        <v>44351</v>
      </c>
      <c r="K2963" s="5">
        <f>YEAR(OrganizedData[[#This Row],[Order Date]])</f>
        <v>2021</v>
      </c>
      <c r="L2963" s="7" t="str">
        <f>TEXT(OrganizedData[[#This Row],[Order Date]],"mmm")</f>
        <v>Jun</v>
      </c>
      <c r="M2963" s="2">
        <v>81</v>
      </c>
      <c r="N2963" s="2" t="s">
        <v>80</v>
      </c>
      <c r="O2963" s="2" t="str">
        <f>VLOOKUP(OrganizedData[[#This Row],[Product Code]],ProductData[[Code]:[Item]],2,FALSE)</f>
        <v>Ultrathing V2</v>
      </c>
      <c r="P2963" s="4">
        <f>OrganizedData[[#This Row],[Quantity]]*VLOOKUP(OrganizedData[[#This Row],[Product Code]],ProductData[],4,FALSE)</f>
        <v>1620</v>
      </c>
      <c r="Q2963" s="6">
        <f>OrganizedData[[#This Row],[Total Items Ordered]]*VLOOKUP(OrganizedData[[#This Row],[Product Code]],ProductData[],3,FALSE)</f>
        <v>4779</v>
      </c>
      <c r="R29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4540.05</v>
      </c>
    </row>
    <row r="2964" spans="1:18" x14ac:dyDescent="0.3">
      <c r="A2964" s="2">
        <v>2957</v>
      </c>
      <c r="B2964" s="2" t="s">
        <v>7405</v>
      </c>
      <c r="C2964" s="2" t="s">
        <v>7292</v>
      </c>
      <c r="D2964" s="2" t="s">
        <v>15</v>
      </c>
      <c r="E2964" s="2" t="s">
        <v>16</v>
      </c>
      <c r="F2964" s="2">
        <v>60</v>
      </c>
      <c r="G2964" s="2" t="s">
        <v>7406</v>
      </c>
      <c r="H2964" s="2" t="s">
        <v>4958</v>
      </c>
      <c r="I2964" s="2" t="s">
        <v>95</v>
      </c>
      <c r="J2964" s="3">
        <v>44861</v>
      </c>
      <c r="K2964" s="5">
        <f>YEAR(OrganizedData[[#This Row],[Order Date]])</f>
        <v>2022</v>
      </c>
      <c r="L2964" s="7" t="str">
        <f>TEXT(OrganizedData[[#This Row],[Order Date]],"mmm")</f>
        <v>Oct</v>
      </c>
      <c r="M2964" s="2">
        <v>41</v>
      </c>
      <c r="N2964" s="2" t="s">
        <v>101</v>
      </c>
      <c r="O2964" s="2" t="str">
        <f>VLOOKUP(OrganizedData[[#This Row],[Product Code]],ProductData[[Code]:[Item]],2,FALSE)</f>
        <v>Superwossname</v>
      </c>
      <c r="P2964" s="4">
        <f>OrganizedData[[#This Row],[Quantity]]*VLOOKUP(OrganizedData[[#This Row],[Product Code]],ProductData[],4,FALSE)</f>
        <v>820</v>
      </c>
      <c r="Q2964" s="6">
        <f>OrganizedData[[#This Row],[Total Items Ordered]]*VLOOKUP(OrganizedData[[#This Row],[Product Code]],ProductData[],3,FALSE)</f>
        <v>2861.8</v>
      </c>
      <c r="R29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2965" spans="1:18" x14ac:dyDescent="0.3">
      <c r="A2965" s="2">
        <v>2958</v>
      </c>
      <c r="B2965" s="2" t="s">
        <v>357</v>
      </c>
      <c r="C2965" s="2" t="s">
        <v>1573</v>
      </c>
      <c r="D2965" s="2" t="s">
        <v>15</v>
      </c>
      <c r="E2965" s="2" t="s">
        <v>16</v>
      </c>
      <c r="F2965" s="2">
        <v>30</v>
      </c>
      <c r="G2965" s="2" t="s">
        <v>7407</v>
      </c>
      <c r="H2965" s="2" t="s">
        <v>2354</v>
      </c>
      <c r="I2965" s="2" t="s">
        <v>178</v>
      </c>
      <c r="J2965" s="3">
        <v>44541</v>
      </c>
      <c r="K2965" s="5">
        <f>YEAR(OrganizedData[[#This Row],[Order Date]])</f>
        <v>2021</v>
      </c>
      <c r="L2965" s="7" t="str">
        <f>TEXT(OrganizedData[[#This Row],[Order Date]],"mmm")</f>
        <v>Dec</v>
      </c>
      <c r="M2965" s="2">
        <v>85</v>
      </c>
      <c r="N2965" s="2" t="s">
        <v>70</v>
      </c>
      <c r="O2965" s="2" t="str">
        <f>VLOOKUP(OrganizedData[[#This Row],[Product Code]],ProductData[[Code]:[Item]],2,FALSE)</f>
        <v>Megawidget M</v>
      </c>
      <c r="P2965" s="4">
        <f>OrganizedData[[#This Row],[Quantity]]*VLOOKUP(OrganizedData[[#This Row],[Product Code]],ProductData[],4,FALSE)</f>
        <v>2040</v>
      </c>
      <c r="Q2965" s="6">
        <f>OrganizedData[[#This Row],[Total Items Ordered]]*VLOOKUP(OrganizedData[[#This Row],[Product Code]],ProductData[],3,FALSE)</f>
        <v>2631.6</v>
      </c>
      <c r="R29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2500.02</v>
      </c>
    </row>
    <row r="2966" spans="1:18" x14ac:dyDescent="0.3">
      <c r="A2966" s="2">
        <v>2959</v>
      </c>
      <c r="B2966" s="2" t="s">
        <v>1805</v>
      </c>
      <c r="C2966" s="2" t="s">
        <v>4237</v>
      </c>
      <c r="D2966" s="2" t="s">
        <v>28</v>
      </c>
      <c r="E2966" s="2" t="s">
        <v>29</v>
      </c>
      <c r="F2966" s="2">
        <v>60</v>
      </c>
      <c r="G2966" s="2" t="s">
        <v>7408</v>
      </c>
      <c r="H2966" s="2" t="s">
        <v>186</v>
      </c>
      <c r="I2966" s="2" t="s">
        <v>187</v>
      </c>
      <c r="J2966" s="3">
        <v>43853</v>
      </c>
      <c r="K2966" s="5">
        <f>YEAR(OrganizedData[[#This Row],[Order Date]])</f>
        <v>2020</v>
      </c>
      <c r="L2966" s="7" t="str">
        <f>TEXT(OrganizedData[[#This Row],[Order Date]],"mmm")</f>
        <v>Jan</v>
      </c>
      <c r="M2966" s="2">
        <v>82</v>
      </c>
      <c r="N2966" s="2" t="s">
        <v>45</v>
      </c>
      <c r="O2966" s="2" t="str">
        <f>VLOOKUP(OrganizedData[[#This Row],[Product Code]],ProductData[[Code]:[Item]],2,FALSE)</f>
        <v>Gigastuff</v>
      </c>
      <c r="P2966" s="4">
        <f>OrganizedData[[#This Row],[Quantity]]*VLOOKUP(OrganizedData[[#This Row],[Product Code]],ProductData[],4,FALSE)</f>
        <v>1476</v>
      </c>
      <c r="Q2966" s="6">
        <f>OrganizedData[[#This Row],[Total Items Ordered]]*VLOOKUP(OrganizedData[[#This Row],[Product Code]],ProductData[],3,FALSE)</f>
        <v>2789.64</v>
      </c>
      <c r="R29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2967" spans="1:18" x14ac:dyDescent="0.3">
      <c r="A2967" s="2">
        <v>2960</v>
      </c>
      <c r="B2967" s="2" t="s">
        <v>7409</v>
      </c>
      <c r="C2967" s="2" t="s">
        <v>3706</v>
      </c>
      <c r="D2967" s="2" t="s">
        <v>51</v>
      </c>
      <c r="E2967" s="2" t="s">
        <v>16</v>
      </c>
      <c r="F2967" s="2">
        <v>60</v>
      </c>
      <c r="G2967" s="2" t="s">
        <v>7410</v>
      </c>
      <c r="H2967" s="2" t="s">
        <v>1177</v>
      </c>
      <c r="I2967" s="2" t="s">
        <v>32</v>
      </c>
      <c r="J2967" s="3">
        <v>44252</v>
      </c>
      <c r="K2967" s="5">
        <f>YEAR(OrganizedData[[#This Row],[Order Date]])</f>
        <v>2021</v>
      </c>
      <c r="L2967" s="7" t="str">
        <f>TEXT(OrganizedData[[#This Row],[Order Date]],"mmm")</f>
        <v>Feb</v>
      </c>
      <c r="M2967" s="2">
        <v>91</v>
      </c>
      <c r="N2967" s="2" t="s">
        <v>20</v>
      </c>
      <c r="O2967" s="2" t="str">
        <f>VLOOKUP(OrganizedData[[#This Row],[Product Code]],ProductData[[Code]:[Item]],2,FALSE)</f>
        <v>Hyperwotsit</v>
      </c>
      <c r="P2967" s="4">
        <f>OrganizedData[[#This Row],[Quantity]]*VLOOKUP(OrganizedData[[#This Row],[Product Code]],ProductData[],4,FALSE)</f>
        <v>1820</v>
      </c>
      <c r="Q2967" s="6">
        <f>OrganizedData[[#This Row],[Total Items Ordered]]*VLOOKUP(OrganizedData[[#This Row],[Product Code]],ProductData[],3,FALSE)</f>
        <v>3658.2</v>
      </c>
      <c r="R29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3475.2899999999995</v>
      </c>
    </row>
    <row r="2968" spans="1:18" x14ac:dyDescent="0.3">
      <c r="A2968" s="2">
        <v>2961</v>
      </c>
      <c r="B2968" s="2" t="s">
        <v>7411</v>
      </c>
      <c r="C2968" s="2" t="s">
        <v>7412</v>
      </c>
      <c r="D2968" s="2" t="s">
        <v>15</v>
      </c>
      <c r="E2968" s="2" t="s">
        <v>16</v>
      </c>
      <c r="F2968" s="2">
        <v>90</v>
      </c>
      <c r="G2968" s="2" t="s">
        <v>7413</v>
      </c>
      <c r="H2968" s="2" t="s">
        <v>334</v>
      </c>
      <c r="I2968" s="2" t="s">
        <v>124</v>
      </c>
      <c r="J2968" s="3">
        <v>44915</v>
      </c>
      <c r="K2968" s="5">
        <f>YEAR(OrganizedData[[#This Row],[Order Date]])</f>
        <v>2022</v>
      </c>
      <c r="L2968" s="7" t="str">
        <f>TEXT(OrganizedData[[#This Row],[Order Date]],"mmm")</f>
        <v>Dec</v>
      </c>
      <c r="M2968" s="2">
        <v>59</v>
      </c>
      <c r="N2968" s="2" t="s">
        <v>64</v>
      </c>
      <c r="O2968" s="2" t="str">
        <f>VLOOKUP(OrganizedData[[#This Row],[Product Code]],ProductData[[Code]:[Item]],2,FALSE)</f>
        <v>Ultrathing V4</v>
      </c>
      <c r="P2968" s="4">
        <f>OrganizedData[[#This Row],[Quantity]]*VLOOKUP(OrganizedData[[#This Row],[Product Code]],ProductData[],4,FALSE)</f>
        <v>1416</v>
      </c>
      <c r="Q2968" s="6">
        <f>OrganizedData[[#This Row],[Total Items Ordered]]*VLOOKUP(OrganizedData[[#This Row],[Product Code]],ProductData[],3,FALSE)</f>
        <v>5649.84</v>
      </c>
      <c r="R29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5367.348</v>
      </c>
    </row>
    <row r="2969" spans="1:18" x14ac:dyDescent="0.3">
      <c r="A2969" s="2">
        <v>2962</v>
      </c>
      <c r="B2969" s="2" t="s">
        <v>3967</v>
      </c>
      <c r="C2969" s="2" t="s">
        <v>6574</v>
      </c>
      <c r="D2969" s="2" t="s">
        <v>28</v>
      </c>
      <c r="E2969" s="2" t="s">
        <v>29</v>
      </c>
      <c r="F2969" s="2">
        <v>60</v>
      </c>
      <c r="G2969" s="2" t="s">
        <v>10537</v>
      </c>
      <c r="H2969" s="2" t="s">
        <v>6775</v>
      </c>
      <c r="I2969" s="2" t="s">
        <v>25</v>
      </c>
      <c r="J2969" s="3">
        <v>44482</v>
      </c>
      <c r="K2969" s="5">
        <f>YEAR(OrganizedData[[#This Row],[Order Date]])</f>
        <v>2021</v>
      </c>
      <c r="L2969" s="7" t="str">
        <f>TEXT(OrganizedData[[#This Row],[Order Date]],"mmm")</f>
        <v>Oct</v>
      </c>
      <c r="M2969" s="2">
        <v>15</v>
      </c>
      <c r="N2969" s="2" t="s">
        <v>54</v>
      </c>
      <c r="O2969" s="2" t="str">
        <f>VLOOKUP(OrganizedData[[#This Row],[Product Code]],ProductData[[Code]:[Item]],2,FALSE)</f>
        <v>Megawidget S</v>
      </c>
      <c r="P2969" s="4">
        <f>OrganizedData[[#This Row],[Quantity]]*VLOOKUP(OrganizedData[[#This Row],[Product Code]],ProductData[],4,FALSE)</f>
        <v>360</v>
      </c>
      <c r="Q2969" s="6">
        <f>OrganizedData[[#This Row],[Total Items Ordered]]*VLOOKUP(OrganizedData[[#This Row],[Product Code]],ProductData[],3,FALSE)</f>
        <v>248.39999999999998</v>
      </c>
      <c r="R29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2970" spans="1:18" x14ac:dyDescent="0.3">
      <c r="A2970" s="2">
        <v>2963</v>
      </c>
      <c r="B2970" s="2" t="s">
        <v>7415</v>
      </c>
      <c r="C2970" s="2" t="s">
        <v>7416</v>
      </c>
      <c r="D2970" s="2" t="s">
        <v>15</v>
      </c>
      <c r="E2970" s="2" t="s">
        <v>16</v>
      </c>
      <c r="F2970" s="2">
        <v>60</v>
      </c>
      <c r="G2970" s="2" t="s">
        <v>7417</v>
      </c>
      <c r="H2970" s="2" t="s">
        <v>436</v>
      </c>
      <c r="I2970" s="2" t="s">
        <v>32</v>
      </c>
      <c r="J2970" s="3">
        <v>44119</v>
      </c>
      <c r="K2970" s="5">
        <f>YEAR(OrganizedData[[#This Row],[Order Date]])</f>
        <v>2020</v>
      </c>
      <c r="L2970" s="7" t="str">
        <f>TEXT(OrganizedData[[#This Row],[Order Date]],"mmm")</f>
        <v>Oct</v>
      </c>
      <c r="M2970" s="2">
        <v>45</v>
      </c>
      <c r="N2970" s="2" t="s">
        <v>70</v>
      </c>
      <c r="O2970" s="2" t="str">
        <f>VLOOKUP(OrganizedData[[#This Row],[Product Code]],ProductData[[Code]:[Item]],2,FALSE)</f>
        <v>Megawidget M</v>
      </c>
      <c r="P2970" s="4">
        <f>OrganizedData[[#This Row],[Quantity]]*VLOOKUP(OrganizedData[[#This Row],[Product Code]],ProductData[],4,FALSE)</f>
        <v>1080</v>
      </c>
      <c r="Q2970" s="6">
        <f>OrganizedData[[#This Row],[Total Items Ordered]]*VLOOKUP(OrganizedData[[#This Row],[Product Code]],ProductData[],3,FALSE)</f>
        <v>1393.2</v>
      </c>
      <c r="R29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2971" spans="1:18" x14ac:dyDescent="0.3">
      <c r="A2971" s="2">
        <v>2964</v>
      </c>
      <c r="B2971" s="2" t="s">
        <v>7418</v>
      </c>
      <c r="C2971" s="2" t="s">
        <v>5021</v>
      </c>
      <c r="D2971" s="2" t="s">
        <v>28</v>
      </c>
      <c r="E2971" s="2" t="s">
        <v>29</v>
      </c>
      <c r="F2971" s="2">
        <v>30</v>
      </c>
      <c r="G2971" s="2" t="s">
        <v>7419</v>
      </c>
      <c r="H2971" s="2" t="s">
        <v>908</v>
      </c>
      <c r="I2971" s="2" t="s">
        <v>575</v>
      </c>
      <c r="J2971" s="3">
        <v>44607</v>
      </c>
      <c r="K2971" s="5">
        <f>YEAR(OrganizedData[[#This Row],[Order Date]])</f>
        <v>2022</v>
      </c>
      <c r="L2971" s="7" t="str">
        <f>TEXT(OrganizedData[[#This Row],[Order Date]],"mmm")</f>
        <v>Feb</v>
      </c>
      <c r="M2971" s="2">
        <v>3</v>
      </c>
      <c r="N2971" s="2" t="s">
        <v>70</v>
      </c>
      <c r="O2971" s="2" t="str">
        <f>VLOOKUP(OrganizedData[[#This Row],[Product Code]],ProductData[[Code]:[Item]],2,FALSE)</f>
        <v>Megawidget M</v>
      </c>
      <c r="P2971" s="4">
        <f>OrganizedData[[#This Row],[Quantity]]*VLOOKUP(OrganizedData[[#This Row],[Product Code]],ProductData[],4,FALSE)</f>
        <v>72</v>
      </c>
      <c r="Q2971" s="6">
        <f>OrganizedData[[#This Row],[Total Items Ordered]]*VLOOKUP(OrganizedData[[#This Row],[Product Code]],ProductData[],3,FALSE)</f>
        <v>92.88</v>
      </c>
      <c r="R29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92.88</v>
      </c>
    </row>
    <row r="2972" spans="1:18" x14ac:dyDescent="0.3">
      <c r="A2972" s="2">
        <v>2965</v>
      </c>
      <c r="B2972" s="2" t="s">
        <v>7420</v>
      </c>
      <c r="C2972" s="2" t="s">
        <v>2900</v>
      </c>
      <c r="D2972" s="2" t="s">
        <v>51</v>
      </c>
      <c r="E2972" s="2" t="s">
        <v>16</v>
      </c>
      <c r="F2972" s="2">
        <v>30</v>
      </c>
      <c r="G2972" s="2" t="s">
        <v>7421</v>
      </c>
      <c r="H2972" s="2" t="s">
        <v>6033</v>
      </c>
      <c r="I2972" s="2" t="s">
        <v>32</v>
      </c>
      <c r="J2972" s="3">
        <v>44177</v>
      </c>
      <c r="K2972" s="5">
        <f>YEAR(OrganizedData[[#This Row],[Order Date]])</f>
        <v>2020</v>
      </c>
      <c r="L2972" s="7" t="str">
        <f>TEXT(OrganizedData[[#This Row],[Order Date]],"mmm")</f>
        <v>Dec</v>
      </c>
      <c r="M2972" s="2">
        <v>5</v>
      </c>
      <c r="N2972" s="2" t="s">
        <v>54</v>
      </c>
      <c r="O2972" s="2" t="str">
        <f>VLOOKUP(OrganizedData[[#This Row],[Product Code]],ProductData[[Code]:[Item]],2,FALSE)</f>
        <v>Megawidget S</v>
      </c>
      <c r="P2972" s="4">
        <f>OrganizedData[[#This Row],[Quantity]]*VLOOKUP(OrganizedData[[#This Row],[Product Code]],ProductData[],4,FALSE)</f>
        <v>120</v>
      </c>
      <c r="Q2972" s="6">
        <f>OrganizedData[[#This Row],[Total Items Ordered]]*VLOOKUP(OrganizedData[[#This Row],[Product Code]],ProductData[],3,FALSE)</f>
        <v>82.8</v>
      </c>
      <c r="R29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82.8</v>
      </c>
    </row>
    <row r="2973" spans="1:18" x14ac:dyDescent="0.3">
      <c r="A2973" s="2">
        <v>2966</v>
      </c>
      <c r="B2973" s="2" t="s">
        <v>7422</v>
      </c>
      <c r="C2973" s="2" t="s">
        <v>7423</v>
      </c>
      <c r="D2973" s="2" t="s">
        <v>28</v>
      </c>
      <c r="E2973" s="2" t="s">
        <v>29</v>
      </c>
      <c r="F2973" s="2">
        <v>90</v>
      </c>
      <c r="G2973" s="2" t="s">
        <v>7424</v>
      </c>
      <c r="H2973" s="2" t="s">
        <v>3206</v>
      </c>
      <c r="I2973" s="2" t="s">
        <v>1199</v>
      </c>
      <c r="J2973" s="3">
        <v>44810</v>
      </c>
      <c r="K2973" s="5">
        <f>YEAR(OrganizedData[[#This Row],[Order Date]])</f>
        <v>2022</v>
      </c>
      <c r="L2973" s="7" t="str">
        <f>TEXT(OrganizedData[[#This Row],[Order Date]],"mmm")</f>
        <v>Sep</v>
      </c>
      <c r="M2973" s="2">
        <v>67</v>
      </c>
      <c r="N2973" s="2" t="s">
        <v>45</v>
      </c>
      <c r="O2973" s="2" t="str">
        <f>VLOOKUP(OrganizedData[[#This Row],[Product Code]],ProductData[[Code]:[Item]],2,FALSE)</f>
        <v>Gigastuff</v>
      </c>
      <c r="P2973" s="4">
        <f>OrganizedData[[#This Row],[Quantity]]*VLOOKUP(OrganizedData[[#This Row],[Product Code]],ProductData[],4,FALSE)</f>
        <v>1206</v>
      </c>
      <c r="Q2973" s="6">
        <f>OrganizedData[[#This Row],[Total Items Ordered]]*VLOOKUP(OrganizedData[[#This Row],[Product Code]],ProductData[],3,FALSE)</f>
        <v>2279.3399999999997</v>
      </c>
      <c r="R29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2165.3729999999996</v>
      </c>
    </row>
    <row r="2974" spans="1:18" x14ac:dyDescent="0.3">
      <c r="A2974" s="2">
        <v>2967</v>
      </c>
      <c r="B2974" s="2" t="s">
        <v>7425</v>
      </c>
      <c r="C2974" s="2" t="s">
        <v>188</v>
      </c>
      <c r="D2974" s="2" t="s">
        <v>28</v>
      </c>
      <c r="E2974" s="2" t="s">
        <v>29</v>
      </c>
      <c r="F2974" s="2">
        <v>90</v>
      </c>
      <c r="G2974" s="2" t="s">
        <v>7426</v>
      </c>
      <c r="H2974" s="2" t="s">
        <v>186</v>
      </c>
      <c r="I2974" s="2" t="s">
        <v>187</v>
      </c>
      <c r="J2974" s="3">
        <v>44655</v>
      </c>
      <c r="K2974" s="5">
        <f>YEAR(OrganizedData[[#This Row],[Order Date]])</f>
        <v>2022</v>
      </c>
      <c r="L2974" s="7" t="str">
        <f>TEXT(OrganizedData[[#This Row],[Order Date]],"mmm")</f>
        <v>Apr</v>
      </c>
      <c r="M2974" s="2">
        <v>36</v>
      </c>
      <c r="N2974" s="2" t="s">
        <v>45</v>
      </c>
      <c r="O2974" s="2" t="str">
        <f>VLOOKUP(OrganizedData[[#This Row],[Product Code]],ProductData[[Code]:[Item]],2,FALSE)</f>
        <v>Gigastuff</v>
      </c>
      <c r="P2974" s="4">
        <f>OrganizedData[[#This Row],[Quantity]]*VLOOKUP(OrganizedData[[#This Row],[Product Code]],ProductData[],4,FALSE)</f>
        <v>648</v>
      </c>
      <c r="Q2974" s="6">
        <f>OrganizedData[[#This Row],[Total Items Ordered]]*VLOOKUP(OrganizedData[[#This Row],[Product Code]],ProductData[],3,FALSE)</f>
        <v>1224.72</v>
      </c>
      <c r="R29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1187.9784</v>
      </c>
    </row>
    <row r="2975" spans="1:18" x14ac:dyDescent="0.3">
      <c r="A2975" s="2">
        <v>2968</v>
      </c>
      <c r="B2975" s="2" t="s">
        <v>7427</v>
      </c>
      <c r="C2975" s="2" t="s">
        <v>6708</v>
      </c>
      <c r="D2975" s="2" t="s">
        <v>51</v>
      </c>
      <c r="E2975" s="2" t="s">
        <v>16</v>
      </c>
      <c r="F2975" s="2">
        <v>90</v>
      </c>
      <c r="G2975" s="2" t="s">
        <v>7428</v>
      </c>
      <c r="H2975" s="2" t="s">
        <v>3651</v>
      </c>
      <c r="I2975" s="2" t="s">
        <v>294</v>
      </c>
      <c r="J2975" s="3">
        <v>44892</v>
      </c>
      <c r="K2975" s="5">
        <f>YEAR(OrganizedData[[#This Row],[Order Date]])</f>
        <v>2022</v>
      </c>
      <c r="L2975" s="7" t="str">
        <f>TEXT(OrganizedData[[#This Row],[Order Date]],"mmm")</f>
        <v>Nov</v>
      </c>
      <c r="M2975" s="2">
        <v>7</v>
      </c>
      <c r="N2975" s="2" t="s">
        <v>70</v>
      </c>
      <c r="O2975" s="2" t="str">
        <f>VLOOKUP(OrganizedData[[#This Row],[Product Code]],ProductData[[Code]:[Item]],2,FALSE)</f>
        <v>Megawidget M</v>
      </c>
      <c r="P2975" s="4">
        <f>OrganizedData[[#This Row],[Quantity]]*VLOOKUP(OrganizedData[[#This Row],[Product Code]],ProductData[],4,FALSE)</f>
        <v>168</v>
      </c>
      <c r="Q2975" s="6">
        <f>OrganizedData[[#This Row],[Total Items Ordered]]*VLOOKUP(OrganizedData[[#This Row],[Product Code]],ProductData[],3,FALSE)</f>
        <v>216.72</v>
      </c>
      <c r="R29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216.72</v>
      </c>
    </row>
    <row r="2976" spans="1:18" x14ac:dyDescent="0.3">
      <c r="A2976" s="2">
        <v>2969</v>
      </c>
      <c r="B2976" s="2" t="s">
        <v>7429</v>
      </c>
      <c r="C2976" s="2" t="s">
        <v>2640</v>
      </c>
      <c r="D2976" s="2" t="s">
        <v>51</v>
      </c>
      <c r="E2976" s="2" t="s">
        <v>16</v>
      </c>
      <c r="F2976" s="2">
        <v>90</v>
      </c>
      <c r="G2976" s="2" t="s">
        <v>10444</v>
      </c>
      <c r="H2976" s="2" t="s">
        <v>7431</v>
      </c>
      <c r="I2976" s="2" t="s">
        <v>32</v>
      </c>
      <c r="J2976" s="3">
        <v>44065</v>
      </c>
      <c r="K2976" s="5">
        <f>YEAR(OrganizedData[[#This Row],[Order Date]])</f>
        <v>2020</v>
      </c>
      <c r="L2976" s="7" t="str">
        <f>TEXT(OrganizedData[[#This Row],[Order Date]],"mmm")</f>
        <v>Aug</v>
      </c>
      <c r="M2976" s="2">
        <v>44</v>
      </c>
      <c r="N2976" s="2" t="s">
        <v>54</v>
      </c>
      <c r="O2976" s="2" t="str">
        <f>VLOOKUP(OrganizedData[[#This Row],[Product Code]],ProductData[[Code]:[Item]],2,FALSE)</f>
        <v>Megawidget S</v>
      </c>
      <c r="P2976" s="4">
        <f>OrganizedData[[#This Row],[Quantity]]*VLOOKUP(OrganizedData[[#This Row],[Product Code]],ProductData[],4,FALSE)</f>
        <v>1056</v>
      </c>
      <c r="Q2976" s="6">
        <f>OrganizedData[[#This Row],[Total Items Ordered]]*VLOOKUP(OrganizedData[[#This Row],[Product Code]],ProductData[],3,FALSE)</f>
        <v>728.64</v>
      </c>
      <c r="R29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2977" spans="1:18" x14ac:dyDescent="0.3">
      <c r="A2977" s="2">
        <v>2970</v>
      </c>
      <c r="B2977" s="2" t="s">
        <v>7432</v>
      </c>
      <c r="C2977" s="2" t="s">
        <v>7433</v>
      </c>
      <c r="D2977" s="2" t="s">
        <v>51</v>
      </c>
      <c r="E2977" s="2" t="s">
        <v>16</v>
      </c>
      <c r="F2977" s="2">
        <v>60</v>
      </c>
      <c r="G2977" s="2" t="s">
        <v>7434</v>
      </c>
      <c r="H2977" s="2" t="s">
        <v>1505</v>
      </c>
      <c r="I2977" s="2" t="s">
        <v>32</v>
      </c>
      <c r="J2977" s="3">
        <v>44567</v>
      </c>
      <c r="K2977" s="5">
        <f>YEAR(OrganizedData[[#This Row],[Order Date]])</f>
        <v>2022</v>
      </c>
      <c r="L2977" s="7" t="str">
        <f>TEXT(OrganizedData[[#This Row],[Order Date]],"mmm")</f>
        <v>Jan</v>
      </c>
      <c r="M2977" s="2">
        <v>23</v>
      </c>
      <c r="N2977" s="2" t="s">
        <v>20</v>
      </c>
      <c r="O2977" s="2" t="str">
        <f>VLOOKUP(OrganizedData[[#This Row],[Product Code]],ProductData[[Code]:[Item]],2,FALSE)</f>
        <v>Hyperwotsit</v>
      </c>
      <c r="P2977" s="4">
        <f>OrganizedData[[#This Row],[Quantity]]*VLOOKUP(OrganizedData[[#This Row],[Product Code]],ProductData[],4,FALSE)</f>
        <v>460</v>
      </c>
      <c r="Q2977" s="6">
        <f>OrganizedData[[#This Row],[Total Items Ordered]]*VLOOKUP(OrganizedData[[#This Row],[Product Code]],ProductData[],3,FALSE)</f>
        <v>924.59999999999991</v>
      </c>
      <c r="R29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896.86199999999985</v>
      </c>
    </row>
    <row r="2978" spans="1:18" x14ac:dyDescent="0.3">
      <c r="A2978" s="2">
        <v>2971</v>
      </c>
      <c r="B2978" s="2" t="s">
        <v>550</v>
      </c>
      <c r="C2978" s="2" t="s">
        <v>7435</v>
      </c>
      <c r="D2978" s="2" t="s">
        <v>15</v>
      </c>
      <c r="E2978" s="2" t="s">
        <v>16</v>
      </c>
      <c r="F2978" s="2">
        <v>30</v>
      </c>
      <c r="G2978" s="2" t="s">
        <v>7436</v>
      </c>
      <c r="H2978" s="2" t="s">
        <v>5957</v>
      </c>
      <c r="I2978" s="2" t="s">
        <v>187</v>
      </c>
      <c r="J2978" s="3">
        <v>44660</v>
      </c>
      <c r="K2978" s="5">
        <f>YEAR(OrganizedData[[#This Row],[Order Date]])</f>
        <v>2022</v>
      </c>
      <c r="L2978" s="7" t="str">
        <f>TEXT(OrganizedData[[#This Row],[Order Date]],"mmm")</f>
        <v>Apr</v>
      </c>
      <c r="M2978" s="2">
        <v>28</v>
      </c>
      <c r="N2978" s="2" t="s">
        <v>20</v>
      </c>
      <c r="O2978" s="2" t="str">
        <f>VLOOKUP(OrganizedData[[#This Row],[Product Code]],ProductData[[Code]:[Item]],2,FALSE)</f>
        <v>Hyperwotsit</v>
      </c>
      <c r="P2978" s="4">
        <f>OrganizedData[[#This Row],[Quantity]]*VLOOKUP(OrganizedData[[#This Row],[Product Code]],ProductData[],4,FALSE)</f>
        <v>560</v>
      </c>
      <c r="Q2978" s="6">
        <f>OrganizedData[[#This Row],[Total Items Ordered]]*VLOOKUP(OrganizedData[[#This Row],[Product Code]],ProductData[],3,FALSE)</f>
        <v>1125.5999999999999</v>
      </c>
      <c r="R29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1091.8319999999999</v>
      </c>
    </row>
    <row r="2979" spans="1:18" x14ac:dyDescent="0.3">
      <c r="A2979" s="2">
        <v>2972</v>
      </c>
      <c r="B2979" s="2" t="s">
        <v>7437</v>
      </c>
      <c r="C2979" s="2" t="s">
        <v>3009</v>
      </c>
      <c r="D2979" s="2" t="s">
        <v>28</v>
      </c>
      <c r="E2979" s="2" t="s">
        <v>29</v>
      </c>
      <c r="F2979" s="2">
        <v>60</v>
      </c>
      <c r="G2979" s="2" t="s">
        <v>7438</v>
      </c>
      <c r="H2979" s="2" t="s">
        <v>1228</v>
      </c>
      <c r="I2979" s="2" t="s">
        <v>25</v>
      </c>
      <c r="J2979" s="3">
        <v>44709</v>
      </c>
      <c r="K2979" s="5">
        <f>YEAR(OrganizedData[[#This Row],[Order Date]])</f>
        <v>2022</v>
      </c>
      <c r="L2979" s="7" t="str">
        <f>TEXT(OrganizedData[[#This Row],[Order Date]],"mmm")</f>
        <v>May</v>
      </c>
      <c r="M2979" s="2">
        <v>47</v>
      </c>
      <c r="N2979" s="2" t="s">
        <v>54</v>
      </c>
      <c r="O2979" s="2" t="str">
        <f>VLOOKUP(OrganizedData[[#This Row],[Product Code]],ProductData[[Code]:[Item]],2,FALSE)</f>
        <v>Megawidget S</v>
      </c>
      <c r="P2979" s="4">
        <f>OrganizedData[[#This Row],[Quantity]]*VLOOKUP(OrganizedData[[#This Row],[Product Code]],ProductData[],4,FALSE)</f>
        <v>1128</v>
      </c>
      <c r="Q2979" s="6">
        <f>OrganizedData[[#This Row],[Total Items Ordered]]*VLOOKUP(OrganizedData[[#This Row],[Product Code]],ProductData[],3,FALSE)</f>
        <v>778.31999999999994</v>
      </c>
      <c r="R29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2980" spans="1:18" x14ac:dyDescent="0.3">
      <c r="A2980" s="2">
        <v>2973</v>
      </c>
      <c r="B2980" s="2" t="s">
        <v>6446</v>
      </c>
      <c r="C2980" s="2" t="s">
        <v>7439</v>
      </c>
      <c r="D2980" s="2" t="s">
        <v>51</v>
      </c>
      <c r="E2980" s="2" t="s">
        <v>16</v>
      </c>
      <c r="F2980" s="2">
        <v>60</v>
      </c>
      <c r="G2980" s="2" t="s">
        <v>7440</v>
      </c>
      <c r="H2980" s="2" t="s">
        <v>7441</v>
      </c>
      <c r="I2980" s="2" t="s">
        <v>32</v>
      </c>
      <c r="J2980" s="3">
        <v>44656</v>
      </c>
      <c r="K2980" s="5">
        <f>YEAR(OrganizedData[[#This Row],[Order Date]])</f>
        <v>2022</v>
      </c>
      <c r="L2980" s="7" t="str">
        <f>TEXT(OrganizedData[[#This Row],[Order Date]],"mmm")</f>
        <v>Apr</v>
      </c>
      <c r="M2980" s="2">
        <v>38</v>
      </c>
      <c r="N2980" s="2" t="s">
        <v>64</v>
      </c>
      <c r="O2980" s="2" t="str">
        <f>VLOOKUP(OrganizedData[[#This Row],[Product Code]],ProductData[[Code]:[Item]],2,FALSE)</f>
        <v>Ultrathing V4</v>
      </c>
      <c r="P2980" s="4">
        <f>OrganizedData[[#This Row],[Quantity]]*VLOOKUP(OrganizedData[[#This Row],[Product Code]],ProductData[],4,FALSE)</f>
        <v>912</v>
      </c>
      <c r="Q2980" s="6">
        <f>OrganizedData[[#This Row],[Total Items Ordered]]*VLOOKUP(OrganizedData[[#This Row],[Product Code]],ProductData[],3,FALSE)</f>
        <v>3638.88</v>
      </c>
      <c r="R29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2981" spans="1:18" x14ac:dyDescent="0.3">
      <c r="A2981" s="2">
        <v>2974</v>
      </c>
      <c r="B2981" s="2" t="s">
        <v>7442</v>
      </c>
      <c r="C2981" s="2" t="s">
        <v>7443</v>
      </c>
      <c r="D2981" s="2" t="s">
        <v>28</v>
      </c>
      <c r="E2981" s="2" t="s">
        <v>29</v>
      </c>
      <c r="F2981" s="2">
        <v>30</v>
      </c>
      <c r="G2981" s="2" t="s">
        <v>7444</v>
      </c>
      <c r="H2981" s="2" t="s">
        <v>2990</v>
      </c>
      <c r="I2981" s="2" t="s">
        <v>38</v>
      </c>
      <c r="J2981" s="3">
        <v>44214</v>
      </c>
      <c r="K2981" s="5">
        <f>YEAR(OrganizedData[[#This Row],[Order Date]])</f>
        <v>2021</v>
      </c>
      <c r="L2981" s="7" t="str">
        <f>TEXT(OrganizedData[[#This Row],[Order Date]],"mmm")</f>
        <v>Jan</v>
      </c>
      <c r="M2981" s="2">
        <v>35</v>
      </c>
      <c r="N2981" s="2" t="s">
        <v>101</v>
      </c>
      <c r="O2981" s="2" t="str">
        <f>VLOOKUP(OrganizedData[[#This Row],[Product Code]],ProductData[[Code]:[Item]],2,FALSE)</f>
        <v>Superwossname</v>
      </c>
      <c r="P2981" s="4">
        <f>OrganizedData[[#This Row],[Quantity]]*VLOOKUP(OrganizedData[[#This Row],[Product Code]],ProductData[],4,FALSE)</f>
        <v>700</v>
      </c>
      <c r="Q2981" s="6">
        <f>OrganizedData[[#This Row],[Total Items Ordered]]*VLOOKUP(OrganizedData[[#This Row],[Product Code]],ProductData[],3,FALSE)</f>
        <v>2443</v>
      </c>
      <c r="R29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2369.71</v>
      </c>
    </row>
    <row r="2982" spans="1:18" x14ac:dyDescent="0.3">
      <c r="A2982" s="2">
        <v>2975</v>
      </c>
      <c r="B2982" s="2" t="s">
        <v>7445</v>
      </c>
      <c r="C2982" s="2" t="s">
        <v>791</v>
      </c>
      <c r="D2982" s="2" t="s">
        <v>41</v>
      </c>
      <c r="E2982" s="2" t="s">
        <v>16</v>
      </c>
      <c r="F2982" s="2">
        <v>30</v>
      </c>
      <c r="G2982" s="2" t="s">
        <v>7446</v>
      </c>
      <c r="H2982" s="2" t="s">
        <v>4567</v>
      </c>
      <c r="I2982" s="2" t="s">
        <v>38</v>
      </c>
      <c r="J2982" s="3">
        <v>44301</v>
      </c>
      <c r="K2982" s="5">
        <f>YEAR(OrganizedData[[#This Row],[Order Date]])</f>
        <v>2021</v>
      </c>
      <c r="L2982" s="7" t="str">
        <f>TEXT(OrganizedData[[#This Row],[Order Date]],"mmm")</f>
        <v>Apr</v>
      </c>
      <c r="M2982" s="2">
        <v>48</v>
      </c>
      <c r="N2982" s="2" t="s">
        <v>20</v>
      </c>
      <c r="O2982" s="2" t="str">
        <f>VLOOKUP(OrganizedData[[#This Row],[Product Code]],ProductData[[Code]:[Item]],2,FALSE)</f>
        <v>Hyperwotsit</v>
      </c>
      <c r="P2982" s="4">
        <f>OrganizedData[[#This Row],[Quantity]]*VLOOKUP(OrganizedData[[#This Row],[Product Code]],ProductData[],4,FALSE)</f>
        <v>960</v>
      </c>
      <c r="Q2982" s="6">
        <f>OrganizedData[[#This Row],[Total Items Ordered]]*VLOOKUP(OrganizedData[[#This Row],[Product Code]],ProductData[],3,FALSE)</f>
        <v>1929.6</v>
      </c>
      <c r="R29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2983" spans="1:18" x14ac:dyDescent="0.3">
      <c r="A2983" s="2">
        <v>2976</v>
      </c>
      <c r="B2983" s="2" t="s">
        <v>7197</v>
      </c>
      <c r="C2983" s="2" t="s">
        <v>5575</v>
      </c>
      <c r="D2983" s="2" t="s">
        <v>28</v>
      </c>
      <c r="E2983" s="2" t="s">
        <v>29</v>
      </c>
      <c r="F2983" s="2">
        <v>60</v>
      </c>
      <c r="G2983" s="2" t="s">
        <v>7447</v>
      </c>
      <c r="H2983" s="2" t="s">
        <v>6775</v>
      </c>
      <c r="I2983" s="2" t="s">
        <v>25</v>
      </c>
      <c r="J2983" s="3">
        <v>44039</v>
      </c>
      <c r="K2983" s="5">
        <f>YEAR(OrganizedData[[#This Row],[Order Date]])</f>
        <v>2020</v>
      </c>
      <c r="L2983" s="7" t="str">
        <f>TEXT(OrganizedData[[#This Row],[Order Date]],"mmm")</f>
        <v>Jul</v>
      </c>
      <c r="M2983" s="2">
        <v>60</v>
      </c>
      <c r="N2983" s="2" t="s">
        <v>54</v>
      </c>
      <c r="O2983" s="2" t="str">
        <f>VLOOKUP(OrganizedData[[#This Row],[Product Code]],ProductData[[Code]:[Item]],2,FALSE)</f>
        <v>Megawidget S</v>
      </c>
      <c r="P2983" s="4">
        <f>OrganizedData[[#This Row],[Quantity]]*VLOOKUP(OrganizedData[[#This Row],[Product Code]],ProductData[],4,FALSE)</f>
        <v>1440</v>
      </c>
      <c r="Q2983" s="6">
        <f>OrganizedData[[#This Row],[Total Items Ordered]]*VLOOKUP(OrganizedData[[#This Row],[Product Code]],ProductData[],3,FALSE)</f>
        <v>993.59999999999991</v>
      </c>
      <c r="R29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2984" spans="1:18" x14ac:dyDescent="0.3">
      <c r="A2984" s="2">
        <v>2977</v>
      </c>
      <c r="B2984" s="2" t="s">
        <v>3013</v>
      </c>
      <c r="C2984" s="2" t="s">
        <v>7448</v>
      </c>
      <c r="D2984" s="2" t="s">
        <v>41</v>
      </c>
      <c r="E2984" s="2" t="s">
        <v>16</v>
      </c>
      <c r="F2984" s="2">
        <v>60</v>
      </c>
      <c r="G2984" s="2" t="s">
        <v>7449</v>
      </c>
      <c r="H2984" s="2" t="s">
        <v>6607</v>
      </c>
      <c r="I2984" s="2" t="s">
        <v>32</v>
      </c>
      <c r="J2984" s="3">
        <v>44196</v>
      </c>
      <c r="K2984" s="5">
        <f>YEAR(OrganizedData[[#This Row],[Order Date]])</f>
        <v>2020</v>
      </c>
      <c r="L2984" s="7" t="str">
        <f>TEXT(OrganizedData[[#This Row],[Order Date]],"mmm")</f>
        <v>Dec</v>
      </c>
      <c r="M2984" s="2">
        <v>85</v>
      </c>
      <c r="N2984" s="2" t="s">
        <v>54</v>
      </c>
      <c r="O2984" s="2" t="str">
        <f>VLOOKUP(OrganizedData[[#This Row],[Product Code]],ProductData[[Code]:[Item]],2,FALSE)</f>
        <v>Megawidget S</v>
      </c>
      <c r="P2984" s="4">
        <f>OrganizedData[[#This Row],[Quantity]]*VLOOKUP(OrganizedData[[#This Row],[Product Code]],ProductData[],4,FALSE)</f>
        <v>2040</v>
      </c>
      <c r="Q2984" s="6">
        <f>OrganizedData[[#This Row],[Total Items Ordered]]*VLOOKUP(OrganizedData[[#This Row],[Product Code]],ProductData[],3,FALSE)</f>
        <v>1407.6</v>
      </c>
      <c r="R29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2985" spans="1:18" x14ac:dyDescent="0.3">
      <c r="A2985" s="2">
        <v>2978</v>
      </c>
      <c r="B2985" s="2" t="s">
        <v>7450</v>
      </c>
      <c r="C2985" s="2" t="s">
        <v>4880</v>
      </c>
      <c r="D2985" s="2" t="s">
        <v>28</v>
      </c>
      <c r="E2985" s="2" t="s">
        <v>29</v>
      </c>
      <c r="F2985" s="2">
        <v>30</v>
      </c>
      <c r="G2985" s="2" t="s">
        <v>7451</v>
      </c>
      <c r="H2985" s="2" t="s">
        <v>2713</v>
      </c>
      <c r="I2985" s="2" t="s">
        <v>38</v>
      </c>
      <c r="J2985" s="3">
        <v>44676</v>
      </c>
      <c r="K2985" s="5">
        <f>YEAR(OrganizedData[[#This Row],[Order Date]])</f>
        <v>2022</v>
      </c>
      <c r="L2985" s="7" t="str">
        <f>TEXT(OrganizedData[[#This Row],[Order Date]],"mmm")</f>
        <v>Apr</v>
      </c>
      <c r="M2985" s="2">
        <v>30</v>
      </c>
      <c r="N2985" s="2" t="s">
        <v>101</v>
      </c>
      <c r="O2985" s="2" t="str">
        <f>VLOOKUP(OrganizedData[[#This Row],[Product Code]],ProductData[[Code]:[Item]],2,FALSE)</f>
        <v>Superwossname</v>
      </c>
      <c r="P2985" s="4">
        <f>OrganizedData[[#This Row],[Quantity]]*VLOOKUP(OrganizedData[[#This Row],[Product Code]],ProductData[],4,FALSE)</f>
        <v>600</v>
      </c>
      <c r="Q2985" s="6">
        <f>OrganizedData[[#This Row],[Total Items Ordered]]*VLOOKUP(OrganizedData[[#This Row],[Product Code]],ProductData[],3,FALSE)</f>
        <v>2094</v>
      </c>
      <c r="R29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2031.1799999999998</v>
      </c>
    </row>
    <row r="2986" spans="1:18" x14ac:dyDescent="0.3">
      <c r="A2986" s="2">
        <v>2979</v>
      </c>
      <c r="B2986" s="2" t="s">
        <v>6088</v>
      </c>
      <c r="C2986" s="2" t="s">
        <v>2509</v>
      </c>
      <c r="D2986" s="2" t="s">
        <v>28</v>
      </c>
      <c r="E2986" s="2" t="s">
        <v>29</v>
      </c>
      <c r="F2986" s="2">
        <v>30</v>
      </c>
      <c r="G2986" s="2" t="s">
        <v>7451</v>
      </c>
      <c r="H2986" s="2" t="s">
        <v>2490</v>
      </c>
      <c r="I2986" s="2" t="s">
        <v>32</v>
      </c>
      <c r="J2986" s="3">
        <v>43994</v>
      </c>
      <c r="K2986" s="5">
        <f>YEAR(OrganizedData[[#This Row],[Order Date]])</f>
        <v>2020</v>
      </c>
      <c r="L2986" s="7" t="str">
        <f>TEXT(OrganizedData[[#This Row],[Order Date]],"mmm")</f>
        <v>Jun</v>
      </c>
      <c r="M2986" s="2">
        <v>71</v>
      </c>
      <c r="N2986" s="2" t="s">
        <v>64</v>
      </c>
      <c r="O2986" s="2" t="str">
        <f>VLOOKUP(OrganizedData[[#This Row],[Product Code]],ProductData[[Code]:[Item]],2,FALSE)</f>
        <v>Ultrathing V4</v>
      </c>
      <c r="P2986" s="4">
        <f>OrganizedData[[#This Row],[Quantity]]*VLOOKUP(OrganizedData[[#This Row],[Product Code]],ProductData[],4,FALSE)</f>
        <v>1704</v>
      </c>
      <c r="Q2986" s="6">
        <f>OrganizedData[[#This Row],[Total Items Ordered]]*VLOOKUP(OrganizedData[[#This Row],[Product Code]],ProductData[],3,FALSE)</f>
        <v>6798.96</v>
      </c>
      <c r="R29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2987" spans="1:18" x14ac:dyDescent="0.3">
      <c r="A2987" s="2">
        <v>2980</v>
      </c>
      <c r="B2987" s="2" t="s">
        <v>7452</v>
      </c>
      <c r="C2987" s="2" t="s">
        <v>3089</v>
      </c>
      <c r="D2987" s="2" t="s">
        <v>15</v>
      </c>
      <c r="E2987" s="2" t="s">
        <v>16</v>
      </c>
      <c r="F2987" s="2">
        <v>60</v>
      </c>
      <c r="G2987" s="2" t="s">
        <v>7453</v>
      </c>
      <c r="H2987" s="2" t="s">
        <v>685</v>
      </c>
      <c r="I2987" s="2" t="s">
        <v>686</v>
      </c>
      <c r="J2987" s="3">
        <v>44255</v>
      </c>
      <c r="K2987" s="5">
        <f>YEAR(OrganizedData[[#This Row],[Order Date]])</f>
        <v>2021</v>
      </c>
      <c r="L2987" s="7" t="str">
        <f>TEXT(OrganizedData[[#This Row],[Order Date]],"mmm")</f>
        <v>Feb</v>
      </c>
      <c r="M2987" s="2">
        <v>2</v>
      </c>
      <c r="N2987" s="2" t="s">
        <v>54</v>
      </c>
      <c r="O2987" s="2" t="str">
        <f>VLOOKUP(OrganizedData[[#This Row],[Product Code]],ProductData[[Code]:[Item]],2,FALSE)</f>
        <v>Megawidget S</v>
      </c>
      <c r="P2987" s="4">
        <f>OrganizedData[[#This Row],[Quantity]]*VLOOKUP(OrganizedData[[#This Row],[Product Code]],ProductData[],4,FALSE)</f>
        <v>48</v>
      </c>
      <c r="Q2987" s="6">
        <f>OrganizedData[[#This Row],[Total Items Ordered]]*VLOOKUP(OrganizedData[[#This Row],[Product Code]],ProductData[],3,FALSE)</f>
        <v>33.119999999999997</v>
      </c>
      <c r="R29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33.119999999999997</v>
      </c>
    </row>
    <row r="2988" spans="1:18" x14ac:dyDescent="0.3">
      <c r="A2988" s="2">
        <v>2981</v>
      </c>
      <c r="B2988" s="2" t="s">
        <v>1682</v>
      </c>
      <c r="C2988" s="2" t="s">
        <v>2789</v>
      </c>
      <c r="D2988" s="2" t="s">
        <v>28</v>
      </c>
      <c r="E2988" s="2" t="s">
        <v>29</v>
      </c>
      <c r="F2988" s="2">
        <v>60</v>
      </c>
      <c r="G2988" s="2" t="s">
        <v>7453</v>
      </c>
      <c r="H2988" s="2" t="s">
        <v>2577</v>
      </c>
      <c r="I2988" s="2" t="s">
        <v>645</v>
      </c>
      <c r="J2988" s="3">
        <v>44438</v>
      </c>
      <c r="K2988" s="5">
        <f>YEAR(OrganizedData[[#This Row],[Order Date]])</f>
        <v>2021</v>
      </c>
      <c r="L2988" s="7" t="str">
        <f>TEXT(OrganizedData[[#This Row],[Order Date]],"mmm")</f>
        <v>Aug</v>
      </c>
      <c r="M2988" s="2">
        <v>61</v>
      </c>
      <c r="N2988" s="2" t="s">
        <v>54</v>
      </c>
      <c r="O2988" s="2" t="str">
        <f>VLOOKUP(OrganizedData[[#This Row],[Product Code]],ProductData[[Code]:[Item]],2,FALSE)</f>
        <v>Megawidget S</v>
      </c>
      <c r="P2988" s="4">
        <f>OrganizedData[[#This Row],[Quantity]]*VLOOKUP(OrganizedData[[#This Row],[Product Code]],ProductData[],4,FALSE)</f>
        <v>1464</v>
      </c>
      <c r="Q2988" s="6">
        <f>OrganizedData[[#This Row],[Total Items Ordered]]*VLOOKUP(OrganizedData[[#This Row],[Product Code]],ProductData[],3,FALSE)</f>
        <v>1010.16</v>
      </c>
      <c r="R29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959.65199999999993</v>
      </c>
    </row>
    <row r="2989" spans="1:18" x14ac:dyDescent="0.3">
      <c r="A2989" s="2">
        <v>2982</v>
      </c>
      <c r="B2989" s="2" t="s">
        <v>7454</v>
      </c>
      <c r="C2989" s="2" t="s">
        <v>1703</v>
      </c>
      <c r="D2989" s="2" t="s">
        <v>15</v>
      </c>
      <c r="E2989" s="2" t="s">
        <v>16</v>
      </c>
      <c r="F2989" s="2">
        <v>90</v>
      </c>
      <c r="G2989" s="2" t="s">
        <v>7455</v>
      </c>
      <c r="H2989" s="2" t="s">
        <v>2720</v>
      </c>
      <c r="I2989" s="2" t="s">
        <v>32</v>
      </c>
      <c r="J2989" s="3">
        <v>43880</v>
      </c>
      <c r="K2989" s="5">
        <f>YEAR(OrganizedData[[#This Row],[Order Date]])</f>
        <v>2020</v>
      </c>
      <c r="L2989" s="7" t="str">
        <f>TEXT(OrganizedData[[#This Row],[Order Date]],"mmm")</f>
        <v>Feb</v>
      </c>
      <c r="M2989" s="2">
        <v>27</v>
      </c>
      <c r="N2989" s="2" t="s">
        <v>45</v>
      </c>
      <c r="O2989" s="2" t="str">
        <f>VLOOKUP(OrganizedData[[#This Row],[Product Code]],ProductData[[Code]:[Item]],2,FALSE)</f>
        <v>Gigastuff</v>
      </c>
      <c r="P2989" s="4">
        <f>OrganizedData[[#This Row],[Quantity]]*VLOOKUP(OrganizedData[[#This Row],[Product Code]],ProductData[],4,FALSE)</f>
        <v>486</v>
      </c>
      <c r="Q2989" s="6">
        <f>OrganizedData[[#This Row],[Total Items Ordered]]*VLOOKUP(OrganizedData[[#This Row],[Product Code]],ProductData[],3,FALSE)</f>
        <v>918.54</v>
      </c>
      <c r="R29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890.98379999999997</v>
      </c>
    </row>
    <row r="2990" spans="1:18" x14ac:dyDescent="0.3">
      <c r="A2990" s="2">
        <v>2983</v>
      </c>
      <c r="B2990" s="2" t="s">
        <v>7456</v>
      </c>
      <c r="C2990" s="2" t="s">
        <v>2054</v>
      </c>
      <c r="D2990" s="2" t="s">
        <v>28</v>
      </c>
      <c r="E2990" s="2" t="s">
        <v>29</v>
      </c>
      <c r="F2990" s="2">
        <v>30</v>
      </c>
      <c r="G2990" s="2" t="s">
        <v>7457</v>
      </c>
      <c r="H2990" s="2" t="s">
        <v>7458</v>
      </c>
      <c r="I2990" s="2" t="s">
        <v>124</v>
      </c>
      <c r="J2990" s="3">
        <v>44195</v>
      </c>
      <c r="K2990" s="5">
        <f>YEAR(OrganizedData[[#This Row],[Order Date]])</f>
        <v>2020</v>
      </c>
      <c r="L2990" s="7" t="str">
        <f>TEXT(OrganizedData[[#This Row],[Order Date]],"mmm")</f>
        <v>Dec</v>
      </c>
      <c r="M2990" s="2">
        <v>34</v>
      </c>
      <c r="N2990" s="2" t="s">
        <v>54</v>
      </c>
      <c r="O2990" s="2" t="str">
        <f>VLOOKUP(OrganizedData[[#This Row],[Product Code]],ProductData[[Code]:[Item]],2,FALSE)</f>
        <v>Megawidget S</v>
      </c>
      <c r="P2990" s="4">
        <f>OrganizedData[[#This Row],[Quantity]]*VLOOKUP(OrganizedData[[#This Row],[Product Code]],ProductData[],4,FALSE)</f>
        <v>816</v>
      </c>
      <c r="Q2990" s="6">
        <f>OrganizedData[[#This Row],[Total Items Ordered]]*VLOOKUP(OrganizedData[[#This Row],[Product Code]],ProductData[],3,FALSE)</f>
        <v>563.04</v>
      </c>
      <c r="R29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546.14879999999994</v>
      </c>
    </row>
    <row r="2991" spans="1:18" x14ac:dyDescent="0.3">
      <c r="A2991" s="2">
        <v>2984</v>
      </c>
      <c r="B2991" s="2" t="s">
        <v>102</v>
      </c>
      <c r="C2991" s="2" t="s">
        <v>2708</v>
      </c>
      <c r="D2991" s="2" t="s">
        <v>51</v>
      </c>
      <c r="E2991" s="2" t="s">
        <v>16</v>
      </c>
      <c r="F2991" s="2">
        <v>90</v>
      </c>
      <c r="G2991" s="2" t="s">
        <v>7459</v>
      </c>
      <c r="H2991" s="2" t="s">
        <v>1981</v>
      </c>
      <c r="I2991" s="2" t="s">
        <v>187</v>
      </c>
      <c r="J2991" s="3">
        <v>44245</v>
      </c>
      <c r="K2991" s="5">
        <f>YEAR(OrganizedData[[#This Row],[Order Date]])</f>
        <v>2021</v>
      </c>
      <c r="L2991" s="7" t="str">
        <f>TEXT(OrganizedData[[#This Row],[Order Date]],"mmm")</f>
        <v>Feb</v>
      </c>
      <c r="M2991" s="2">
        <v>53</v>
      </c>
      <c r="N2991" s="2" t="s">
        <v>45</v>
      </c>
      <c r="O2991" s="2" t="str">
        <f>VLOOKUP(OrganizedData[[#This Row],[Product Code]],ProductData[[Code]:[Item]],2,FALSE)</f>
        <v>Gigastuff</v>
      </c>
      <c r="P2991" s="4">
        <f>OrganizedData[[#This Row],[Quantity]]*VLOOKUP(OrganizedData[[#This Row],[Product Code]],ProductData[],4,FALSE)</f>
        <v>954</v>
      </c>
      <c r="Q2991" s="6">
        <f>OrganizedData[[#This Row],[Total Items Ordered]]*VLOOKUP(OrganizedData[[#This Row],[Product Code]],ProductData[],3,FALSE)</f>
        <v>1803.06</v>
      </c>
      <c r="R29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1712.9069999999999</v>
      </c>
    </row>
    <row r="2992" spans="1:18" x14ac:dyDescent="0.3">
      <c r="A2992" s="2">
        <v>2985</v>
      </c>
      <c r="B2992" s="2" t="s">
        <v>46</v>
      </c>
      <c r="C2992" s="2" t="s">
        <v>3120</v>
      </c>
      <c r="D2992" s="2" t="s">
        <v>28</v>
      </c>
      <c r="E2992" s="2" t="s">
        <v>29</v>
      </c>
      <c r="F2992" s="2">
        <v>60</v>
      </c>
      <c r="G2992" s="2" t="s">
        <v>7460</v>
      </c>
      <c r="H2992" s="2" t="s">
        <v>3730</v>
      </c>
      <c r="I2992" s="2" t="s">
        <v>32</v>
      </c>
      <c r="J2992" s="3">
        <v>44128</v>
      </c>
      <c r="K2992" s="5">
        <f>YEAR(OrganizedData[[#This Row],[Order Date]])</f>
        <v>2020</v>
      </c>
      <c r="L2992" s="7" t="str">
        <f>TEXT(OrganizedData[[#This Row],[Order Date]],"mmm")</f>
        <v>Oct</v>
      </c>
      <c r="M2992" s="2">
        <v>73</v>
      </c>
      <c r="N2992" s="2" t="s">
        <v>39</v>
      </c>
      <c r="O2992" s="2" t="str">
        <f>VLOOKUP(OrganizedData[[#This Row],[Product Code]],ProductData[[Code]:[Item]],2,FALSE)</f>
        <v>Ultrathing V1</v>
      </c>
      <c r="P2992" s="4">
        <f>OrganizedData[[#This Row],[Quantity]]*VLOOKUP(OrganizedData[[#This Row],[Product Code]],ProductData[],4,FALSE)</f>
        <v>1241</v>
      </c>
      <c r="Q2992" s="6">
        <f>OrganizedData[[#This Row],[Total Items Ordered]]*VLOOKUP(OrganizedData[[#This Row],[Product Code]],ProductData[],3,FALSE)</f>
        <v>2221.39</v>
      </c>
      <c r="R29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2993" spans="1:18" x14ac:dyDescent="0.3">
      <c r="A2993" s="2">
        <v>2986</v>
      </c>
      <c r="B2993" s="2" t="s">
        <v>4167</v>
      </c>
      <c r="C2993" s="2" t="s">
        <v>7461</v>
      </c>
      <c r="D2993" s="2" t="s">
        <v>28</v>
      </c>
      <c r="E2993" s="2" t="s">
        <v>29</v>
      </c>
      <c r="F2993" s="2">
        <v>60</v>
      </c>
      <c r="G2993" s="2" t="s">
        <v>7462</v>
      </c>
      <c r="H2993" s="2" t="s">
        <v>370</v>
      </c>
      <c r="I2993" s="2" t="s">
        <v>32</v>
      </c>
      <c r="J2993" s="3">
        <v>44748</v>
      </c>
      <c r="K2993" s="5">
        <f>YEAR(OrganizedData[[#This Row],[Order Date]])</f>
        <v>2022</v>
      </c>
      <c r="L2993" s="7" t="str">
        <f>TEXT(OrganizedData[[#This Row],[Order Date]],"mmm")</f>
        <v>Jul</v>
      </c>
      <c r="M2993" s="2">
        <v>85</v>
      </c>
      <c r="N2993" s="2" t="s">
        <v>80</v>
      </c>
      <c r="O2993" s="2" t="str">
        <f>VLOOKUP(OrganizedData[[#This Row],[Product Code]],ProductData[[Code]:[Item]],2,FALSE)</f>
        <v>Ultrathing V2</v>
      </c>
      <c r="P2993" s="4">
        <f>OrganizedData[[#This Row],[Quantity]]*VLOOKUP(OrganizedData[[#This Row],[Product Code]],ProductData[],4,FALSE)</f>
        <v>1700</v>
      </c>
      <c r="Q2993" s="6">
        <f>OrganizedData[[#This Row],[Total Items Ordered]]*VLOOKUP(OrganizedData[[#This Row],[Product Code]],ProductData[],3,FALSE)</f>
        <v>5015</v>
      </c>
      <c r="R29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4764.25</v>
      </c>
    </row>
    <row r="2994" spans="1:18" x14ac:dyDescent="0.3">
      <c r="A2994" s="2">
        <v>2987</v>
      </c>
      <c r="B2994" s="2" t="s">
        <v>7463</v>
      </c>
      <c r="C2994" s="2" t="s">
        <v>1599</v>
      </c>
      <c r="D2994" s="2" t="s">
        <v>28</v>
      </c>
      <c r="E2994" s="2" t="s">
        <v>29</v>
      </c>
      <c r="F2994" s="2">
        <v>30</v>
      </c>
      <c r="G2994" s="2" t="s">
        <v>7464</v>
      </c>
      <c r="H2994" s="2" t="s">
        <v>3814</v>
      </c>
      <c r="I2994" s="2" t="s">
        <v>32</v>
      </c>
      <c r="J2994" s="3">
        <v>44423</v>
      </c>
      <c r="K2994" s="5">
        <f>YEAR(OrganizedData[[#This Row],[Order Date]])</f>
        <v>2021</v>
      </c>
      <c r="L2994" s="7" t="str">
        <f>TEXT(OrganizedData[[#This Row],[Order Date]],"mmm")</f>
        <v>Aug</v>
      </c>
      <c r="M2994" s="2">
        <v>44</v>
      </c>
      <c r="N2994" s="2" t="s">
        <v>64</v>
      </c>
      <c r="O2994" s="2" t="str">
        <f>VLOOKUP(OrganizedData[[#This Row],[Product Code]],ProductData[[Code]:[Item]],2,FALSE)</f>
        <v>Ultrathing V4</v>
      </c>
      <c r="P2994" s="4">
        <f>OrganizedData[[#This Row],[Quantity]]*VLOOKUP(OrganizedData[[#This Row],[Product Code]],ProductData[],4,FALSE)</f>
        <v>1056</v>
      </c>
      <c r="Q2994" s="6">
        <f>OrganizedData[[#This Row],[Total Items Ordered]]*VLOOKUP(OrganizedData[[#This Row],[Product Code]],ProductData[],3,FALSE)</f>
        <v>4213.4400000000005</v>
      </c>
      <c r="R29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4087.0368000000003</v>
      </c>
    </row>
    <row r="2995" spans="1:18" x14ac:dyDescent="0.3">
      <c r="A2995" s="2">
        <v>2988</v>
      </c>
      <c r="B2995" s="2" t="s">
        <v>7465</v>
      </c>
      <c r="C2995" s="2" t="s">
        <v>5021</v>
      </c>
      <c r="D2995" s="2" t="s">
        <v>28</v>
      </c>
      <c r="E2995" s="2" t="s">
        <v>29</v>
      </c>
      <c r="F2995" s="2">
        <v>30</v>
      </c>
      <c r="G2995" s="2" t="s">
        <v>7466</v>
      </c>
      <c r="H2995" s="2" t="s">
        <v>7118</v>
      </c>
      <c r="I2995" s="2" t="s">
        <v>2022</v>
      </c>
      <c r="J2995" s="3">
        <v>44362</v>
      </c>
      <c r="K2995" s="5">
        <f>YEAR(OrganizedData[[#This Row],[Order Date]])</f>
        <v>2021</v>
      </c>
      <c r="L2995" s="7" t="str">
        <f>TEXT(OrganizedData[[#This Row],[Order Date]],"mmm")</f>
        <v>Jun</v>
      </c>
      <c r="M2995" s="2">
        <v>27</v>
      </c>
      <c r="N2995" s="2" t="s">
        <v>70</v>
      </c>
      <c r="O2995" s="2" t="str">
        <f>VLOOKUP(OrganizedData[[#This Row],[Product Code]],ProductData[[Code]:[Item]],2,FALSE)</f>
        <v>Megawidget M</v>
      </c>
      <c r="P2995" s="4">
        <f>OrganizedData[[#This Row],[Quantity]]*VLOOKUP(OrganizedData[[#This Row],[Product Code]],ProductData[],4,FALSE)</f>
        <v>648</v>
      </c>
      <c r="Q2995" s="6">
        <f>OrganizedData[[#This Row],[Total Items Ordered]]*VLOOKUP(OrganizedData[[#This Row],[Product Code]],ProductData[],3,FALSE)</f>
        <v>835.92000000000007</v>
      </c>
      <c r="R29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810.8424</v>
      </c>
    </row>
    <row r="2996" spans="1:18" x14ac:dyDescent="0.3">
      <c r="A2996" s="2">
        <v>2989</v>
      </c>
      <c r="B2996" s="2" t="s">
        <v>1468</v>
      </c>
      <c r="C2996" s="2" t="s">
        <v>5671</v>
      </c>
      <c r="D2996" s="2" t="s">
        <v>28</v>
      </c>
      <c r="E2996" s="2" t="s">
        <v>29</v>
      </c>
      <c r="F2996" s="2">
        <v>60</v>
      </c>
      <c r="G2996" s="2" t="s">
        <v>7467</v>
      </c>
      <c r="H2996" s="2" t="s">
        <v>4996</v>
      </c>
      <c r="I2996" s="2" t="s">
        <v>32</v>
      </c>
      <c r="J2996" s="3">
        <v>44462</v>
      </c>
      <c r="K2996" s="5">
        <f>YEAR(OrganizedData[[#This Row],[Order Date]])</f>
        <v>2021</v>
      </c>
      <c r="L2996" s="7" t="str">
        <f>TEXT(OrganizedData[[#This Row],[Order Date]],"mmm")</f>
        <v>Sep</v>
      </c>
      <c r="M2996" s="2">
        <v>24</v>
      </c>
      <c r="N2996" s="2" t="s">
        <v>45</v>
      </c>
      <c r="O2996" s="2" t="str">
        <f>VLOOKUP(OrganizedData[[#This Row],[Product Code]],ProductData[[Code]:[Item]],2,FALSE)</f>
        <v>Gigastuff</v>
      </c>
      <c r="P2996" s="4">
        <f>OrganizedData[[#This Row],[Quantity]]*VLOOKUP(OrganizedData[[#This Row],[Product Code]],ProductData[],4,FALSE)</f>
        <v>432</v>
      </c>
      <c r="Q2996" s="6">
        <f>OrganizedData[[#This Row],[Total Items Ordered]]*VLOOKUP(OrganizedData[[#This Row],[Product Code]],ProductData[],3,FALSE)</f>
        <v>816.4799999999999</v>
      </c>
      <c r="R29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791.98559999999986</v>
      </c>
    </row>
    <row r="2997" spans="1:18" x14ac:dyDescent="0.3">
      <c r="A2997" s="2">
        <v>2990</v>
      </c>
      <c r="B2997" s="2" t="s">
        <v>7468</v>
      </c>
      <c r="C2997" s="2" t="s">
        <v>6040</v>
      </c>
      <c r="D2997" s="2" t="s">
        <v>15</v>
      </c>
      <c r="E2997" s="2" t="s">
        <v>16</v>
      </c>
      <c r="F2997" s="2">
        <v>90</v>
      </c>
      <c r="G2997" s="2" t="s">
        <v>7469</v>
      </c>
      <c r="H2997" s="2" t="s">
        <v>2045</v>
      </c>
      <c r="I2997" s="2" t="s">
        <v>38</v>
      </c>
      <c r="J2997" s="3">
        <v>44546</v>
      </c>
      <c r="K2997" s="5">
        <f>YEAR(OrganizedData[[#This Row],[Order Date]])</f>
        <v>2021</v>
      </c>
      <c r="L2997" s="7" t="str">
        <f>TEXT(OrganizedData[[#This Row],[Order Date]],"mmm")</f>
        <v>Dec</v>
      </c>
      <c r="M2997" s="2">
        <v>91</v>
      </c>
      <c r="N2997" s="2" t="s">
        <v>159</v>
      </c>
      <c r="O2997" s="2" t="str">
        <f>VLOOKUP(OrganizedData[[#This Row],[Product Code]],ProductData[[Code]:[Item]],2,FALSE)</f>
        <v>Ultrathing V3</v>
      </c>
      <c r="P2997" s="4">
        <f>OrganizedData[[#This Row],[Quantity]]*VLOOKUP(OrganizedData[[#This Row],[Product Code]],ProductData[],4,FALSE)</f>
        <v>2184</v>
      </c>
      <c r="Q2997" s="6">
        <f>OrganizedData[[#This Row],[Total Items Ordered]]*VLOOKUP(OrganizedData[[#This Row],[Product Code]],ProductData[],3,FALSE)</f>
        <v>7403.76</v>
      </c>
      <c r="R29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7033.5720000000001</v>
      </c>
    </row>
    <row r="2998" spans="1:18" x14ac:dyDescent="0.3">
      <c r="A2998" s="2">
        <v>2991</v>
      </c>
      <c r="B2998" s="2" t="s">
        <v>7470</v>
      </c>
      <c r="C2998" s="2" t="s">
        <v>4880</v>
      </c>
      <c r="D2998" s="2" t="s">
        <v>51</v>
      </c>
      <c r="E2998" s="2" t="s">
        <v>16</v>
      </c>
      <c r="F2998" s="2">
        <v>90</v>
      </c>
      <c r="G2998" s="2" t="s">
        <v>7471</v>
      </c>
      <c r="H2998" s="2" t="s">
        <v>2685</v>
      </c>
      <c r="I2998" s="2" t="s">
        <v>32</v>
      </c>
      <c r="J2998" s="3">
        <v>44481</v>
      </c>
      <c r="K2998" s="5">
        <f>YEAR(OrganizedData[[#This Row],[Order Date]])</f>
        <v>2021</v>
      </c>
      <c r="L2998" s="7" t="str">
        <f>TEXT(OrganizedData[[#This Row],[Order Date]],"mmm")</f>
        <v>Oct</v>
      </c>
      <c r="M2998" s="2">
        <v>88</v>
      </c>
      <c r="N2998" s="2" t="s">
        <v>54</v>
      </c>
      <c r="O2998" s="2" t="str">
        <f>VLOOKUP(OrganizedData[[#This Row],[Product Code]],ProductData[[Code]:[Item]],2,FALSE)</f>
        <v>Megawidget S</v>
      </c>
      <c r="P2998" s="4">
        <f>OrganizedData[[#This Row],[Quantity]]*VLOOKUP(OrganizedData[[#This Row],[Product Code]],ProductData[],4,FALSE)</f>
        <v>2112</v>
      </c>
      <c r="Q2998" s="6">
        <f>OrganizedData[[#This Row],[Total Items Ordered]]*VLOOKUP(OrganizedData[[#This Row],[Product Code]],ProductData[],3,FALSE)</f>
        <v>1457.28</v>
      </c>
      <c r="R29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1384.4159999999999</v>
      </c>
    </row>
    <row r="2999" spans="1:18" x14ac:dyDescent="0.3">
      <c r="A2999" s="2">
        <v>2992</v>
      </c>
      <c r="B2999" s="2" t="s">
        <v>3832</v>
      </c>
      <c r="C2999" s="2" t="s">
        <v>7472</v>
      </c>
      <c r="D2999" s="2" t="s">
        <v>51</v>
      </c>
      <c r="E2999" s="2" t="s">
        <v>16</v>
      </c>
      <c r="F2999" s="2">
        <v>60</v>
      </c>
      <c r="G2999" s="2" t="s">
        <v>7473</v>
      </c>
      <c r="H2999" s="2" t="s">
        <v>7004</v>
      </c>
      <c r="I2999" s="2" t="s">
        <v>208</v>
      </c>
      <c r="J2999" s="3">
        <v>44821</v>
      </c>
      <c r="K2999" s="5">
        <f>YEAR(OrganizedData[[#This Row],[Order Date]])</f>
        <v>2022</v>
      </c>
      <c r="L2999" s="7" t="str">
        <f>TEXT(OrganizedData[[#This Row],[Order Date]],"mmm")</f>
        <v>Sep</v>
      </c>
      <c r="M2999" s="2">
        <v>69</v>
      </c>
      <c r="N2999" s="2" t="s">
        <v>159</v>
      </c>
      <c r="O2999" s="2" t="str">
        <f>VLOOKUP(OrganizedData[[#This Row],[Product Code]],ProductData[[Code]:[Item]],2,FALSE)</f>
        <v>Ultrathing V3</v>
      </c>
      <c r="P2999" s="4">
        <f>OrganizedData[[#This Row],[Quantity]]*VLOOKUP(OrganizedData[[#This Row],[Product Code]],ProductData[],4,FALSE)</f>
        <v>1656</v>
      </c>
      <c r="Q2999" s="6">
        <f>OrganizedData[[#This Row],[Total Items Ordered]]*VLOOKUP(OrganizedData[[#This Row],[Product Code]],ProductData[],3,FALSE)</f>
        <v>5613.84</v>
      </c>
      <c r="R29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5333.1480000000001</v>
      </c>
    </row>
    <row r="3000" spans="1:18" x14ac:dyDescent="0.3">
      <c r="A3000" s="2">
        <v>2993</v>
      </c>
      <c r="B3000" s="2" t="s">
        <v>4572</v>
      </c>
      <c r="C3000" s="2" t="s">
        <v>4732</v>
      </c>
      <c r="D3000" s="2" t="s">
        <v>28</v>
      </c>
      <c r="E3000" s="2" t="s">
        <v>29</v>
      </c>
      <c r="F3000" s="2">
        <v>30</v>
      </c>
      <c r="G3000" s="2" t="s">
        <v>7474</v>
      </c>
      <c r="H3000" s="2" t="s">
        <v>3433</v>
      </c>
      <c r="I3000" s="2" t="s">
        <v>1199</v>
      </c>
      <c r="J3000" s="3">
        <v>44793</v>
      </c>
      <c r="K3000" s="5">
        <f>YEAR(OrganizedData[[#This Row],[Order Date]])</f>
        <v>2022</v>
      </c>
      <c r="L3000" s="7" t="str">
        <f>TEXT(OrganizedData[[#This Row],[Order Date]],"mmm")</f>
        <v>Aug</v>
      </c>
      <c r="M3000" s="2">
        <v>3</v>
      </c>
      <c r="N3000" s="2" t="s">
        <v>70</v>
      </c>
      <c r="O3000" s="2" t="str">
        <f>VLOOKUP(OrganizedData[[#This Row],[Product Code]],ProductData[[Code]:[Item]],2,FALSE)</f>
        <v>Megawidget M</v>
      </c>
      <c r="P3000" s="4">
        <f>OrganizedData[[#This Row],[Quantity]]*VLOOKUP(OrganizedData[[#This Row],[Product Code]],ProductData[],4,FALSE)</f>
        <v>72</v>
      </c>
      <c r="Q3000" s="6">
        <f>OrganizedData[[#This Row],[Total Items Ordered]]*VLOOKUP(OrganizedData[[#This Row],[Product Code]],ProductData[],3,FALSE)</f>
        <v>92.88</v>
      </c>
      <c r="R30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92.88</v>
      </c>
    </row>
    <row r="3001" spans="1:18" x14ac:dyDescent="0.3">
      <c r="A3001" s="2">
        <v>2994</v>
      </c>
      <c r="B3001" s="2" t="s">
        <v>7475</v>
      </c>
      <c r="C3001" s="2" t="s">
        <v>2177</v>
      </c>
      <c r="D3001" s="2" t="s">
        <v>51</v>
      </c>
      <c r="E3001" s="2" t="s">
        <v>16</v>
      </c>
      <c r="F3001" s="2">
        <v>60</v>
      </c>
      <c r="G3001" s="2" t="s">
        <v>7476</v>
      </c>
      <c r="H3001" s="2" t="s">
        <v>583</v>
      </c>
      <c r="I3001" s="2" t="s">
        <v>32</v>
      </c>
      <c r="J3001" s="3">
        <v>44597</v>
      </c>
      <c r="K3001" s="5">
        <f>YEAR(OrganizedData[[#This Row],[Order Date]])</f>
        <v>2022</v>
      </c>
      <c r="L3001" s="7" t="str">
        <f>TEXT(OrganizedData[[#This Row],[Order Date]],"mmm")</f>
        <v>Feb</v>
      </c>
      <c r="M3001" s="2">
        <v>100</v>
      </c>
      <c r="N3001" s="2" t="s">
        <v>101</v>
      </c>
      <c r="O3001" s="2" t="str">
        <f>VLOOKUP(OrganizedData[[#This Row],[Product Code]],ProductData[[Code]:[Item]],2,FALSE)</f>
        <v>Superwossname</v>
      </c>
      <c r="P3001" s="4">
        <f>OrganizedData[[#This Row],[Quantity]]*VLOOKUP(OrganizedData[[#This Row],[Product Code]],ProductData[],4,FALSE)</f>
        <v>2000</v>
      </c>
      <c r="Q3001" s="6">
        <f>OrganizedData[[#This Row],[Total Items Ordered]]*VLOOKUP(OrganizedData[[#This Row],[Product Code]],ProductData[],3,FALSE)</f>
        <v>6980</v>
      </c>
      <c r="R30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6631</v>
      </c>
    </row>
    <row r="3002" spans="1:18" x14ac:dyDescent="0.3">
      <c r="A3002" s="2">
        <v>2995</v>
      </c>
      <c r="B3002" s="2" t="s">
        <v>6557</v>
      </c>
      <c r="C3002" s="2" t="s">
        <v>1129</v>
      </c>
      <c r="D3002" s="2" t="s">
        <v>28</v>
      </c>
      <c r="E3002" s="2" t="s">
        <v>29</v>
      </c>
      <c r="F3002" s="2">
        <v>60</v>
      </c>
      <c r="G3002" s="2" t="s">
        <v>7477</v>
      </c>
      <c r="H3002" s="2" t="s">
        <v>5714</v>
      </c>
      <c r="I3002" s="2" t="s">
        <v>187</v>
      </c>
      <c r="J3002" s="3">
        <v>44890</v>
      </c>
      <c r="K3002" s="5">
        <f>YEAR(OrganizedData[[#This Row],[Order Date]])</f>
        <v>2022</v>
      </c>
      <c r="L3002" s="7" t="str">
        <f>TEXT(OrganizedData[[#This Row],[Order Date]],"mmm")</f>
        <v>Nov</v>
      </c>
      <c r="M3002" s="2">
        <v>54</v>
      </c>
      <c r="N3002" s="2" t="s">
        <v>64</v>
      </c>
      <c r="O3002" s="2" t="str">
        <f>VLOOKUP(OrganizedData[[#This Row],[Product Code]],ProductData[[Code]:[Item]],2,FALSE)</f>
        <v>Ultrathing V4</v>
      </c>
      <c r="P3002" s="4">
        <f>OrganizedData[[#This Row],[Quantity]]*VLOOKUP(OrganizedData[[#This Row],[Product Code]],ProductData[],4,FALSE)</f>
        <v>1296</v>
      </c>
      <c r="Q3002" s="6">
        <f>OrganizedData[[#This Row],[Total Items Ordered]]*VLOOKUP(OrganizedData[[#This Row],[Product Code]],ProductData[],3,FALSE)</f>
        <v>5171.04</v>
      </c>
      <c r="R30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3003" spans="1:18" x14ac:dyDescent="0.3">
      <c r="A3003" s="2">
        <v>2996</v>
      </c>
      <c r="B3003" s="2" t="s">
        <v>2303</v>
      </c>
      <c r="C3003" s="2" t="s">
        <v>2663</v>
      </c>
      <c r="D3003" s="2" t="s">
        <v>28</v>
      </c>
      <c r="E3003" s="2" t="s">
        <v>29</v>
      </c>
      <c r="F3003" s="2">
        <v>90</v>
      </c>
      <c r="G3003" s="2" t="s">
        <v>7478</v>
      </c>
      <c r="H3003" s="2" t="s">
        <v>5047</v>
      </c>
      <c r="I3003" s="2" t="s">
        <v>178</v>
      </c>
      <c r="J3003" s="3">
        <v>44420</v>
      </c>
      <c r="K3003" s="5">
        <f>YEAR(OrganizedData[[#This Row],[Order Date]])</f>
        <v>2021</v>
      </c>
      <c r="L3003" s="7" t="str">
        <f>TEXT(OrganizedData[[#This Row],[Order Date]],"mmm")</f>
        <v>Aug</v>
      </c>
      <c r="M3003" s="2">
        <v>7</v>
      </c>
      <c r="N3003" s="2" t="s">
        <v>101</v>
      </c>
      <c r="O3003" s="2" t="str">
        <f>VLOOKUP(OrganizedData[[#This Row],[Product Code]],ProductData[[Code]:[Item]],2,FALSE)</f>
        <v>Superwossname</v>
      </c>
      <c r="P3003" s="4">
        <f>OrganizedData[[#This Row],[Quantity]]*VLOOKUP(OrganizedData[[#This Row],[Product Code]],ProductData[],4,FALSE)</f>
        <v>140</v>
      </c>
      <c r="Q3003" s="6">
        <f>OrganizedData[[#This Row],[Total Items Ordered]]*VLOOKUP(OrganizedData[[#This Row],[Product Code]],ProductData[],3,FALSE)</f>
        <v>488.6</v>
      </c>
      <c r="R30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488.6</v>
      </c>
    </row>
    <row r="3004" spans="1:18" x14ac:dyDescent="0.3">
      <c r="A3004" s="2">
        <v>2997</v>
      </c>
      <c r="B3004" s="2" t="s">
        <v>1049</v>
      </c>
      <c r="C3004" s="2" t="s">
        <v>2823</v>
      </c>
      <c r="D3004" s="2" t="s">
        <v>28</v>
      </c>
      <c r="E3004" s="2" t="s">
        <v>29</v>
      </c>
      <c r="F3004" s="2">
        <v>90</v>
      </c>
      <c r="G3004" s="2" t="s">
        <v>7479</v>
      </c>
      <c r="H3004" s="2" t="s">
        <v>7480</v>
      </c>
      <c r="I3004" s="2" t="s">
        <v>129</v>
      </c>
      <c r="J3004" s="3">
        <v>43950</v>
      </c>
      <c r="K3004" s="5">
        <f>YEAR(OrganizedData[[#This Row],[Order Date]])</f>
        <v>2020</v>
      </c>
      <c r="L3004" s="7" t="str">
        <f>TEXT(OrganizedData[[#This Row],[Order Date]],"mmm")</f>
        <v>Apr</v>
      </c>
      <c r="M3004" s="2">
        <v>80</v>
      </c>
      <c r="N3004" s="2" t="s">
        <v>64</v>
      </c>
      <c r="O3004" s="2" t="str">
        <f>VLOOKUP(OrganizedData[[#This Row],[Product Code]],ProductData[[Code]:[Item]],2,FALSE)</f>
        <v>Ultrathing V4</v>
      </c>
      <c r="P3004" s="4">
        <f>OrganizedData[[#This Row],[Quantity]]*VLOOKUP(OrganizedData[[#This Row],[Product Code]],ProductData[],4,FALSE)</f>
        <v>1920</v>
      </c>
      <c r="Q3004" s="6">
        <f>OrganizedData[[#This Row],[Total Items Ordered]]*VLOOKUP(OrganizedData[[#This Row],[Product Code]],ProductData[],3,FALSE)</f>
        <v>7660.8</v>
      </c>
      <c r="R30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3005" spans="1:18" x14ac:dyDescent="0.3">
      <c r="A3005" s="2">
        <v>2998</v>
      </c>
      <c r="B3005" s="2" t="s">
        <v>4315</v>
      </c>
      <c r="C3005" s="2" t="s">
        <v>7482</v>
      </c>
      <c r="D3005" s="2" t="s">
        <v>28</v>
      </c>
      <c r="E3005" s="2" t="s">
        <v>29</v>
      </c>
      <c r="F3005" s="2">
        <v>60</v>
      </c>
      <c r="G3005" s="2" t="s">
        <v>7483</v>
      </c>
      <c r="H3005" s="2" t="s">
        <v>538</v>
      </c>
      <c r="I3005" s="2" t="s">
        <v>32</v>
      </c>
      <c r="J3005" s="3">
        <v>44374</v>
      </c>
      <c r="K3005" s="5">
        <f>YEAR(OrganizedData[[#This Row],[Order Date]])</f>
        <v>2021</v>
      </c>
      <c r="L3005" s="7" t="str">
        <f>TEXT(OrganizedData[[#This Row],[Order Date]],"mmm")</f>
        <v>Jun</v>
      </c>
      <c r="M3005" s="2">
        <v>37</v>
      </c>
      <c r="N3005" s="2" t="s">
        <v>70</v>
      </c>
      <c r="O3005" s="2" t="str">
        <f>VLOOKUP(OrganizedData[[#This Row],[Product Code]],ProductData[[Code]:[Item]],2,FALSE)</f>
        <v>Megawidget M</v>
      </c>
      <c r="P3005" s="4">
        <f>OrganizedData[[#This Row],[Quantity]]*VLOOKUP(OrganizedData[[#This Row],[Product Code]],ProductData[],4,FALSE)</f>
        <v>888</v>
      </c>
      <c r="Q3005" s="6">
        <f>OrganizedData[[#This Row],[Total Items Ordered]]*VLOOKUP(OrganizedData[[#This Row],[Product Code]],ProductData[],3,FALSE)</f>
        <v>1145.52</v>
      </c>
      <c r="R30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3006" spans="1:18" x14ac:dyDescent="0.3">
      <c r="A3006" s="2">
        <v>2999</v>
      </c>
      <c r="B3006" s="2" t="s">
        <v>7484</v>
      </c>
      <c r="C3006" s="2" t="s">
        <v>7485</v>
      </c>
      <c r="D3006" s="2" t="s">
        <v>51</v>
      </c>
      <c r="E3006" s="2" t="s">
        <v>16</v>
      </c>
      <c r="F3006" s="2">
        <v>60</v>
      </c>
      <c r="G3006" s="2" t="s">
        <v>7486</v>
      </c>
      <c r="H3006" s="2" t="s">
        <v>6000</v>
      </c>
      <c r="I3006" s="2" t="s">
        <v>178</v>
      </c>
      <c r="J3006" s="3">
        <v>44434</v>
      </c>
      <c r="K3006" s="5">
        <f>YEAR(OrganizedData[[#This Row],[Order Date]])</f>
        <v>2021</v>
      </c>
      <c r="L3006" s="7" t="str">
        <f>TEXT(OrganizedData[[#This Row],[Order Date]],"mmm")</f>
        <v>Aug</v>
      </c>
      <c r="M3006" s="2">
        <v>38</v>
      </c>
      <c r="N3006" s="2" t="s">
        <v>70</v>
      </c>
      <c r="O3006" s="2" t="str">
        <f>VLOOKUP(OrganizedData[[#This Row],[Product Code]],ProductData[[Code]:[Item]],2,FALSE)</f>
        <v>Megawidget M</v>
      </c>
      <c r="P3006" s="4">
        <f>OrganizedData[[#This Row],[Quantity]]*VLOOKUP(OrganizedData[[#This Row],[Product Code]],ProductData[],4,FALSE)</f>
        <v>912</v>
      </c>
      <c r="Q3006" s="6">
        <f>OrganizedData[[#This Row],[Total Items Ordered]]*VLOOKUP(OrganizedData[[#This Row],[Product Code]],ProductData[],3,FALSE)</f>
        <v>1176.48</v>
      </c>
      <c r="R30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1141.1856</v>
      </c>
    </row>
    <row r="3007" spans="1:18" x14ac:dyDescent="0.3">
      <c r="A3007" s="2">
        <v>3000</v>
      </c>
      <c r="B3007" s="2" t="s">
        <v>7487</v>
      </c>
      <c r="C3007" s="2" t="s">
        <v>5267</v>
      </c>
      <c r="D3007" s="2" t="s">
        <v>51</v>
      </c>
      <c r="E3007" s="2" t="s">
        <v>16</v>
      </c>
      <c r="F3007" s="2">
        <v>90</v>
      </c>
      <c r="G3007" s="2" t="s">
        <v>7488</v>
      </c>
      <c r="H3007" s="2" t="s">
        <v>526</v>
      </c>
      <c r="I3007" s="2" t="s">
        <v>32</v>
      </c>
      <c r="J3007" s="3">
        <v>44840</v>
      </c>
      <c r="K3007" s="5">
        <f>YEAR(OrganizedData[[#This Row],[Order Date]])</f>
        <v>2022</v>
      </c>
      <c r="L3007" s="7" t="str">
        <f>TEXT(OrganizedData[[#This Row],[Order Date]],"mmm")</f>
        <v>Oct</v>
      </c>
      <c r="M3007" s="2">
        <v>70</v>
      </c>
      <c r="N3007" s="2" t="s">
        <v>20</v>
      </c>
      <c r="O3007" s="2" t="str">
        <f>VLOOKUP(OrganizedData[[#This Row],[Product Code]],ProductData[[Code]:[Item]],2,FALSE)</f>
        <v>Hyperwotsit</v>
      </c>
      <c r="P3007" s="4">
        <f>OrganizedData[[#This Row],[Quantity]]*VLOOKUP(OrganizedData[[#This Row],[Product Code]],ProductData[],4,FALSE)</f>
        <v>1400</v>
      </c>
      <c r="Q3007" s="6">
        <f>OrganizedData[[#This Row],[Total Items Ordered]]*VLOOKUP(OrganizedData[[#This Row],[Product Code]],ProductData[],3,FALSE)</f>
        <v>2813.9999999999995</v>
      </c>
      <c r="R30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2673.2999999999993</v>
      </c>
    </row>
    <row r="3008" spans="1:18" x14ac:dyDescent="0.3">
      <c r="A3008" s="2">
        <v>3001</v>
      </c>
      <c r="B3008" s="2" t="s">
        <v>1661</v>
      </c>
      <c r="C3008" s="2" t="s">
        <v>7489</v>
      </c>
      <c r="D3008" s="2" t="s">
        <v>28</v>
      </c>
      <c r="E3008" s="2" t="s">
        <v>29</v>
      </c>
      <c r="F3008" s="2">
        <v>90</v>
      </c>
      <c r="G3008" s="2" t="s">
        <v>7490</v>
      </c>
      <c r="H3008" s="2" t="s">
        <v>7491</v>
      </c>
      <c r="I3008" s="2" t="s">
        <v>124</v>
      </c>
      <c r="J3008" s="3">
        <v>44400</v>
      </c>
      <c r="K3008" s="5">
        <f>YEAR(OrganizedData[[#This Row],[Order Date]])</f>
        <v>2021</v>
      </c>
      <c r="L3008" s="7" t="str">
        <f>TEXT(OrganizedData[[#This Row],[Order Date]],"mmm")</f>
        <v>Jul</v>
      </c>
      <c r="M3008" s="2">
        <v>75</v>
      </c>
      <c r="N3008" s="2" t="s">
        <v>80</v>
      </c>
      <c r="O3008" s="2" t="str">
        <f>VLOOKUP(OrganizedData[[#This Row],[Product Code]],ProductData[[Code]:[Item]],2,FALSE)</f>
        <v>Ultrathing V2</v>
      </c>
      <c r="P3008" s="4">
        <f>OrganizedData[[#This Row],[Quantity]]*VLOOKUP(OrganizedData[[#This Row],[Product Code]],ProductData[],4,FALSE)</f>
        <v>1500</v>
      </c>
      <c r="Q3008" s="6">
        <f>OrganizedData[[#This Row],[Total Items Ordered]]*VLOOKUP(OrganizedData[[#This Row],[Product Code]],ProductData[],3,FALSE)</f>
        <v>4425</v>
      </c>
      <c r="R30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4203.75</v>
      </c>
    </row>
    <row r="3009" spans="1:18" x14ac:dyDescent="0.3">
      <c r="A3009" s="2">
        <v>3002</v>
      </c>
      <c r="B3009" s="2" t="s">
        <v>7492</v>
      </c>
      <c r="C3009" s="2" t="s">
        <v>1263</v>
      </c>
      <c r="D3009" s="2" t="s">
        <v>92</v>
      </c>
      <c r="E3009" s="2" t="s">
        <v>29</v>
      </c>
      <c r="F3009" s="2">
        <v>60</v>
      </c>
      <c r="G3009" s="2" t="s">
        <v>10538</v>
      </c>
      <c r="H3009" s="2" t="s">
        <v>974</v>
      </c>
      <c r="I3009" s="2" t="s">
        <v>32</v>
      </c>
      <c r="J3009" s="3">
        <v>44343</v>
      </c>
      <c r="K3009" s="5">
        <f>YEAR(OrganizedData[[#This Row],[Order Date]])</f>
        <v>2021</v>
      </c>
      <c r="L3009" s="7" t="str">
        <f>TEXT(OrganizedData[[#This Row],[Order Date]],"mmm")</f>
        <v>May</v>
      </c>
      <c r="M3009" s="2">
        <v>68</v>
      </c>
      <c r="N3009" s="2" t="s">
        <v>70</v>
      </c>
      <c r="O3009" s="2" t="str">
        <f>VLOOKUP(OrganizedData[[#This Row],[Product Code]],ProductData[[Code]:[Item]],2,FALSE)</f>
        <v>Megawidget M</v>
      </c>
      <c r="P3009" s="4">
        <f>OrganizedData[[#This Row],[Quantity]]*VLOOKUP(OrganizedData[[#This Row],[Product Code]],ProductData[],4,FALSE)</f>
        <v>1632</v>
      </c>
      <c r="Q3009" s="6">
        <f>OrganizedData[[#This Row],[Total Items Ordered]]*VLOOKUP(OrganizedData[[#This Row],[Product Code]],ProductData[],3,FALSE)</f>
        <v>2105.2800000000002</v>
      </c>
      <c r="R30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2000.0160000000001</v>
      </c>
    </row>
    <row r="3010" spans="1:18" x14ac:dyDescent="0.3">
      <c r="A3010" s="2">
        <v>3003</v>
      </c>
      <c r="B3010" s="2" t="s">
        <v>7494</v>
      </c>
      <c r="C3010" s="2" t="s">
        <v>1175</v>
      </c>
      <c r="D3010" s="2" t="s">
        <v>51</v>
      </c>
      <c r="E3010" s="2" t="s">
        <v>16</v>
      </c>
      <c r="F3010" s="2">
        <v>90</v>
      </c>
      <c r="G3010" s="2" t="s">
        <v>7495</v>
      </c>
      <c r="H3010" s="2" t="s">
        <v>1690</v>
      </c>
      <c r="I3010" s="2" t="s">
        <v>208</v>
      </c>
      <c r="J3010" s="3">
        <v>44851</v>
      </c>
      <c r="K3010" s="5">
        <f>YEAR(OrganizedData[[#This Row],[Order Date]])</f>
        <v>2022</v>
      </c>
      <c r="L3010" s="7" t="str">
        <f>TEXT(OrganizedData[[#This Row],[Order Date]],"mmm")</f>
        <v>Oct</v>
      </c>
      <c r="M3010" s="2">
        <v>92</v>
      </c>
      <c r="N3010" s="2" t="s">
        <v>39</v>
      </c>
      <c r="O3010" s="2" t="str">
        <f>VLOOKUP(OrganizedData[[#This Row],[Product Code]],ProductData[[Code]:[Item]],2,FALSE)</f>
        <v>Ultrathing V1</v>
      </c>
      <c r="P3010" s="4">
        <f>OrganizedData[[#This Row],[Quantity]]*VLOOKUP(OrganizedData[[#This Row],[Product Code]],ProductData[],4,FALSE)</f>
        <v>1564</v>
      </c>
      <c r="Q3010" s="6">
        <f>OrganizedData[[#This Row],[Total Items Ordered]]*VLOOKUP(OrganizedData[[#This Row],[Product Code]],ProductData[],3,FALSE)</f>
        <v>2799.56</v>
      </c>
      <c r="R30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2659.5819999999999</v>
      </c>
    </row>
    <row r="3011" spans="1:18" x14ac:dyDescent="0.3">
      <c r="A3011" s="2">
        <v>3004</v>
      </c>
      <c r="B3011" s="2" t="s">
        <v>7496</v>
      </c>
      <c r="C3011" s="2" t="s">
        <v>3037</v>
      </c>
      <c r="D3011" s="2" t="s">
        <v>28</v>
      </c>
      <c r="E3011" s="2" t="s">
        <v>29</v>
      </c>
      <c r="F3011" s="2">
        <v>90</v>
      </c>
      <c r="G3011" s="2" t="s">
        <v>7497</v>
      </c>
      <c r="H3011" s="2" t="s">
        <v>3387</v>
      </c>
      <c r="I3011" s="2" t="s">
        <v>2878</v>
      </c>
      <c r="J3011" s="3">
        <v>44747</v>
      </c>
      <c r="K3011" s="5">
        <f>YEAR(OrganizedData[[#This Row],[Order Date]])</f>
        <v>2022</v>
      </c>
      <c r="L3011" s="7" t="str">
        <f>TEXT(OrganizedData[[#This Row],[Order Date]],"mmm")</f>
        <v>Jul</v>
      </c>
      <c r="M3011" s="2">
        <v>84</v>
      </c>
      <c r="N3011" s="2" t="s">
        <v>64</v>
      </c>
      <c r="O3011" s="2" t="str">
        <f>VLOOKUP(OrganizedData[[#This Row],[Product Code]],ProductData[[Code]:[Item]],2,FALSE)</f>
        <v>Ultrathing V4</v>
      </c>
      <c r="P3011" s="4">
        <f>OrganizedData[[#This Row],[Quantity]]*VLOOKUP(OrganizedData[[#This Row],[Product Code]],ProductData[],4,FALSE)</f>
        <v>2016</v>
      </c>
      <c r="Q3011" s="6">
        <f>OrganizedData[[#This Row],[Total Items Ordered]]*VLOOKUP(OrganizedData[[#This Row],[Product Code]],ProductData[],3,FALSE)</f>
        <v>8043.84</v>
      </c>
      <c r="R30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7641.6480000000001</v>
      </c>
    </row>
    <row r="3012" spans="1:18" x14ac:dyDescent="0.3">
      <c r="A3012" s="2">
        <v>3005</v>
      </c>
      <c r="B3012" s="2" t="s">
        <v>7498</v>
      </c>
      <c r="C3012" s="2" t="s">
        <v>5168</v>
      </c>
      <c r="D3012" s="2" t="s">
        <v>28</v>
      </c>
      <c r="E3012" s="2" t="s">
        <v>29</v>
      </c>
      <c r="F3012" s="2">
        <v>60</v>
      </c>
      <c r="G3012" s="2" t="s">
        <v>10539</v>
      </c>
      <c r="H3012" s="2" t="s">
        <v>2469</v>
      </c>
      <c r="I3012" s="2" t="s">
        <v>32</v>
      </c>
      <c r="J3012" s="3">
        <v>44142</v>
      </c>
      <c r="K3012" s="5">
        <f>YEAR(OrganizedData[[#This Row],[Order Date]])</f>
        <v>2020</v>
      </c>
      <c r="L3012" s="7" t="str">
        <f>TEXT(OrganizedData[[#This Row],[Order Date]],"mmm")</f>
        <v>Nov</v>
      </c>
      <c r="M3012" s="2">
        <v>72</v>
      </c>
      <c r="N3012" s="2" t="s">
        <v>20</v>
      </c>
      <c r="O3012" s="2" t="str">
        <f>VLOOKUP(OrganizedData[[#This Row],[Product Code]],ProductData[[Code]:[Item]],2,FALSE)</f>
        <v>Hyperwotsit</v>
      </c>
      <c r="P3012" s="4">
        <f>OrganizedData[[#This Row],[Quantity]]*VLOOKUP(OrganizedData[[#This Row],[Product Code]],ProductData[],4,FALSE)</f>
        <v>1440</v>
      </c>
      <c r="Q3012" s="6">
        <f>OrganizedData[[#This Row],[Total Items Ordered]]*VLOOKUP(OrganizedData[[#This Row],[Product Code]],ProductData[],3,FALSE)</f>
        <v>2894.3999999999996</v>
      </c>
      <c r="R30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3013" spans="1:18" x14ac:dyDescent="0.3">
      <c r="A3013" s="2">
        <v>3006</v>
      </c>
      <c r="B3013" s="2" t="s">
        <v>3616</v>
      </c>
      <c r="C3013" s="2" t="s">
        <v>722</v>
      </c>
      <c r="D3013" s="2" t="s">
        <v>28</v>
      </c>
      <c r="E3013" s="2" t="s">
        <v>29</v>
      </c>
      <c r="F3013" s="2">
        <v>90</v>
      </c>
      <c r="G3013" s="2" t="s">
        <v>7500</v>
      </c>
      <c r="H3013" s="2" t="s">
        <v>31</v>
      </c>
      <c r="I3013" s="2" t="s">
        <v>32</v>
      </c>
      <c r="J3013" s="3">
        <v>44919</v>
      </c>
      <c r="K3013" s="5">
        <f>YEAR(OrganizedData[[#This Row],[Order Date]])</f>
        <v>2022</v>
      </c>
      <c r="L3013" s="7" t="str">
        <f>TEXT(OrganizedData[[#This Row],[Order Date]],"mmm")</f>
        <v>Dec</v>
      </c>
      <c r="M3013" s="2">
        <v>96</v>
      </c>
      <c r="N3013" s="2" t="s">
        <v>54</v>
      </c>
      <c r="O3013" s="2" t="str">
        <f>VLOOKUP(OrganizedData[[#This Row],[Product Code]],ProductData[[Code]:[Item]],2,FALSE)</f>
        <v>Megawidget S</v>
      </c>
      <c r="P3013" s="4">
        <f>OrganizedData[[#This Row],[Quantity]]*VLOOKUP(OrganizedData[[#This Row],[Product Code]],ProductData[],4,FALSE)</f>
        <v>2304</v>
      </c>
      <c r="Q3013" s="6">
        <f>OrganizedData[[#This Row],[Total Items Ordered]]*VLOOKUP(OrganizedData[[#This Row],[Product Code]],ProductData[],3,FALSE)</f>
        <v>1589.7599999999998</v>
      </c>
      <c r="R30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1510.2719999999997</v>
      </c>
    </row>
    <row r="3014" spans="1:18" x14ac:dyDescent="0.3">
      <c r="A3014" s="2">
        <v>3007</v>
      </c>
      <c r="B3014" s="2" t="s">
        <v>7501</v>
      </c>
      <c r="C3014" s="2" t="s">
        <v>7231</v>
      </c>
      <c r="D3014" s="2" t="s">
        <v>15</v>
      </c>
      <c r="E3014" s="2" t="s">
        <v>16</v>
      </c>
      <c r="F3014" s="2">
        <v>90</v>
      </c>
      <c r="G3014" s="2" t="s">
        <v>10540</v>
      </c>
      <c r="H3014" s="2" t="s">
        <v>4415</v>
      </c>
      <c r="I3014" s="2" t="s">
        <v>32</v>
      </c>
      <c r="J3014" s="3">
        <v>44462</v>
      </c>
      <c r="K3014" s="5">
        <f>YEAR(OrganizedData[[#This Row],[Order Date]])</f>
        <v>2021</v>
      </c>
      <c r="L3014" s="7" t="str">
        <f>TEXT(OrganizedData[[#This Row],[Order Date]],"mmm")</f>
        <v>Sep</v>
      </c>
      <c r="M3014" s="2">
        <v>27</v>
      </c>
      <c r="N3014" s="2" t="s">
        <v>159</v>
      </c>
      <c r="O3014" s="2" t="str">
        <f>VLOOKUP(OrganizedData[[#This Row],[Product Code]],ProductData[[Code]:[Item]],2,FALSE)</f>
        <v>Ultrathing V3</v>
      </c>
      <c r="P3014" s="4">
        <f>OrganizedData[[#This Row],[Quantity]]*VLOOKUP(OrganizedData[[#This Row],[Product Code]],ProductData[],4,FALSE)</f>
        <v>648</v>
      </c>
      <c r="Q3014" s="6">
        <f>OrganizedData[[#This Row],[Total Items Ordered]]*VLOOKUP(OrganizedData[[#This Row],[Product Code]],ProductData[],3,FALSE)</f>
        <v>2196.7200000000003</v>
      </c>
      <c r="R30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2130.8184000000001</v>
      </c>
    </row>
    <row r="3015" spans="1:18" x14ac:dyDescent="0.3">
      <c r="A3015" s="2">
        <v>3008</v>
      </c>
      <c r="B3015" s="2" t="s">
        <v>7503</v>
      </c>
      <c r="C3015" s="2" t="s">
        <v>7412</v>
      </c>
      <c r="D3015" s="2" t="s">
        <v>51</v>
      </c>
      <c r="E3015" s="2" t="s">
        <v>16</v>
      </c>
      <c r="F3015" s="2">
        <v>60</v>
      </c>
      <c r="G3015" s="2" t="s">
        <v>7504</v>
      </c>
      <c r="H3015" s="2" t="s">
        <v>4770</v>
      </c>
      <c r="I3015" s="2" t="s">
        <v>294</v>
      </c>
      <c r="J3015" s="3">
        <v>44750</v>
      </c>
      <c r="K3015" s="5">
        <f>YEAR(OrganizedData[[#This Row],[Order Date]])</f>
        <v>2022</v>
      </c>
      <c r="L3015" s="7" t="str">
        <f>TEXT(OrganizedData[[#This Row],[Order Date]],"mmm")</f>
        <v>Jul</v>
      </c>
      <c r="M3015" s="2">
        <v>39</v>
      </c>
      <c r="N3015" s="2" t="s">
        <v>33</v>
      </c>
      <c r="O3015" s="2" t="str">
        <f>VLOOKUP(OrganizedData[[#This Row],[Product Code]],ProductData[[Code]:[Item]],2,FALSE)</f>
        <v>Megawidget L</v>
      </c>
      <c r="P3015" s="4">
        <f>OrganizedData[[#This Row],[Quantity]]*VLOOKUP(OrganizedData[[#This Row],[Product Code]],ProductData[],4,FALSE)</f>
        <v>936</v>
      </c>
      <c r="Q3015" s="6">
        <f>OrganizedData[[#This Row],[Total Items Ordered]]*VLOOKUP(OrganizedData[[#This Row],[Product Code]],ProductData[],3,FALSE)</f>
        <v>1675.44</v>
      </c>
      <c r="R30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1625.1768</v>
      </c>
    </row>
    <row r="3016" spans="1:18" x14ac:dyDescent="0.3">
      <c r="A3016" s="2">
        <v>3009</v>
      </c>
      <c r="B3016" s="2" t="s">
        <v>7505</v>
      </c>
      <c r="C3016" s="2" t="s">
        <v>2368</v>
      </c>
      <c r="D3016" s="2" t="s">
        <v>28</v>
      </c>
      <c r="E3016" s="2" t="s">
        <v>29</v>
      </c>
      <c r="F3016" s="2">
        <v>90</v>
      </c>
      <c r="G3016" s="2" t="s">
        <v>7506</v>
      </c>
      <c r="H3016" s="2" t="s">
        <v>1973</v>
      </c>
      <c r="I3016" s="2" t="s">
        <v>110</v>
      </c>
      <c r="J3016" s="3">
        <v>44463</v>
      </c>
      <c r="K3016" s="5">
        <f>YEAR(OrganizedData[[#This Row],[Order Date]])</f>
        <v>2021</v>
      </c>
      <c r="L3016" s="7" t="str">
        <f>TEXT(OrganizedData[[#This Row],[Order Date]],"mmm")</f>
        <v>Sep</v>
      </c>
      <c r="M3016" s="2">
        <v>58</v>
      </c>
      <c r="N3016" s="2" t="s">
        <v>54</v>
      </c>
      <c r="O3016" s="2" t="str">
        <f>VLOOKUP(OrganizedData[[#This Row],[Product Code]],ProductData[[Code]:[Item]],2,FALSE)</f>
        <v>Megawidget S</v>
      </c>
      <c r="P3016" s="4">
        <f>OrganizedData[[#This Row],[Quantity]]*VLOOKUP(OrganizedData[[#This Row],[Product Code]],ProductData[],4,FALSE)</f>
        <v>1392</v>
      </c>
      <c r="Q3016" s="6">
        <f>OrganizedData[[#This Row],[Total Items Ordered]]*VLOOKUP(OrganizedData[[#This Row],[Product Code]],ProductData[],3,FALSE)</f>
        <v>960.4799999999999</v>
      </c>
      <c r="R30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3017" spans="1:18" x14ac:dyDescent="0.3">
      <c r="A3017" s="2">
        <v>3010</v>
      </c>
      <c r="B3017" s="2" t="s">
        <v>4278</v>
      </c>
      <c r="C3017" s="2" t="s">
        <v>2453</v>
      </c>
      <c r="D3017" s="2" t="s">
        <v>28</v>
      </c>
      <c r="E3017" s="2" t="s">
        <v>29</v>
      </c>
      <c r="F3017" s="2">
        <v>90</v>
      </c>
      <c r="G3017" s="2" t="s">
        <v>7507</v>
      </c>
      <c r="H3017" s="2" t="s">
        <v>7508</v>
      </c>
      <c r="I3017" s="2" t="s">
        <v>240</v>
      </c>
      <c r="J3017" s="3">
        <v>44551</v>
      </c>
      <c r="K3017" s="5">
        <f>YEAR(OrganizedData[[#This Row],[Order Date]])</f>
        <v>2021</v>
      </c>
      <c r="L3017" s="7" t="str">
        <f>TEXT(OrganizedData[[#This Row],[Order Date]],"mmm")</f>
        <v>Dec</v>
      </c>
      <c r="M3017" s="2">
        <v>54</v>
      </c>
      <c r="N3017" s="2" t="s">
        <v>101</v>
      </c>
      <c r="O3017" s="2" t="str">
        <f>VLOOKUP(OrganizedData[[#This Row],[Product Code]],ProductData[[Code]:[Item]],2,FALSE)</f>
        <v>Superwossname</v>
      </c>
      <c r="P3017" s="4">
        <f>OrganizedData[[#This Row],[Quantity]]*VLOOKUP(OrganizedData[[#This Row],[Product Code]],ProductData[],4,FALSE)</f>
        <v>1080</v>
      </c>
      <c r="Q3017" s="6">
        <f>OrganizedData[[#This Row],[Total Items Ordered]]*VLOOKUP(OrganizedData[[#This Row],[Product Code]],ProductData[],3,FALSE)</f>
        <v>3769.2000000000003</v>
      </c>
      <c r="R30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3018" spans="1:18" x14ac:dyDescent="0.3">
      <c r="A3018" s="2">
        <v>3011</v>
      </c>
      <c r="B3018" s="2" t="s">
        <v>2887</v>
      </c>
      <c r="C3018" s="2" t="s">
        <v>7509</v>
      </c>
      <c r="D3018" s="2" t="s">
        <v>28</v>
      </c>
      <c r="E3018" s="2" t="s">
        <v>29</v>
      </c>
      <c r="F3018" s="2">
        <v>90</v>
      </c>
      <c r="G3018" s="2" t="s">
        <v>7507</v>
      </c>
      <c r="H3018" s="2" t="s">
        <v>3466</v>
      </c>
      <c r="I3018" s="2" t="s">
        <v>32</v>
      </c>
      <c r="J3018" s="3">
        <v>43857</v>
      </c>
      <c r="K3018" s="5">
        <f>YEAR(OrganizedData[[#This Row],[Order Date]])</f>
        <v>2020</v>
      </c>
      <c r="L3018" s="7" t="str">
        <f>TEXT(OrganizedData[[#This Row],[Order Date]],"mmm")</f>
        <v>Jan</v>
      </c>
      <c r="M3018" s="2">
        <v>4</v>
      </c>
      <c r="N3018" s="2" t="s">
        <v>80</v>
      </c>
      <c r="O3018" s="2" t="str">
        <f>VLOOKUP(OrganizedData[[#This Row],[Product Code]],ProductData[[Code]:[Item]],2,FALSE)</f>
        <v>Ultrathing V2</v>
      </c>
      <c r="P3018" s="4">
        <f>OrganizedData[[#This Row],[Quantity]]*VLOOKUP(OrganizedData[[#This Row],[Product Code]],ProductData[],4,FALSE)</f>
        <v>80</v>
      </c>
      <c r="Q3018" s="6">
        <f>OrganizedData[[#This Row],[Total Items Ordered]]*VLOOKUP(OrganizedData[[#This Row],[Product Code]],ProductData[],3,FALSE)</f>
        <v>236</v>
      </c>
      <c r="R30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3019" spans="1:18" x14ac:dyDescent="0.3">
      <c r="A3019" s="2">
        <v>3012</v>
      </c>
      <c r="B3019" s="2" t="s">
        <v>7510</v>
      </c>
      <c r="C3019" s="2" t="s">
        <v>7423</v>
      </c>
      <c r="D3019" s="2" t="s">
        <v>15</v>
      </c>
      <c r="E3019" s="2" t="s">
        <v>16</v>
      </c>
      <c r="F3019" s="2">
        <v>60</v>
      </c>
      <c r="G3019" s="2" t="s">
        <v>7511</v>
      </c>
      <c r="H3019" s="2" t="s">
        <v>3002</v>
      </c>
      <c r="I3019" s="2" t="s">
        <v>32</v>
      </c>
      <c r="J3019" s="3">
        <v>44276</v>
      </c>
      <c r="K3019" s="5">
        <f>YEAR(OrganizedData[[#This Row],[Order Date]])</f>
        <v>2021</v>
      </c>
      <c r="L3019" s="7" t="str">
        <f>TEXT(OrganizedData[[#This Row],[Order Date]],"mmm")</f>
        <v>Mar</v>
      </c>
      <c r="M3019" s="2">
        <v>66</v>
      </c>
      <c r="N3019" s="2" t="s">
        <v>39</v>
      </c>
      <c r="O3019" s="2" t="str">
        <f>VLOOKUP(OrganizedData[[#This Row],[Product Code]],ProductData[[Code]:[Item]],2,FALSE)</f>
        <v>Ultrathing V1</v>
      </c>
      <c r="P3019" s="4">
        <f>OrganizedData[[#This Row],[Quantity]]*VLOOKUP(OrganizedData[[#This Row],[Product Code]],ProductData[],4,FALSE)</f>
        <v>1122</v>
      </c>
      <c r="Q3019" s="6">
        <f>OrganizedData[[#This Row],[Total Items Ordered]]*VLOOKUP(OrganizedData[[#This Row],[Product Code]],ProductData[],3,FALSE)</f>
        <v>2008.38</v>
      </c>
      <c r="R30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3020" spans="1:18" x14ac:dyDescent="0.3">
      <c r="A3020" s="2">
        <v>3013</v>
      </c>
      <c r="B3020" s="2" t="s">
        <v>4317</v>
      </c>
      <c r="C3020" s="2" t="s">
        <v>987</v>
      </c>
      <c r="D3020" s="2" t="s">
        <v>28</v>
      </c>
      <c r="E3020" s="2" t="s">
        <v>29</v>
      </c>
      <c r="F3020" s="2">
        <v>30</v>
      </c>
      <c r="G3020" s="2" t="s">
        <v>7512</v>
      </c>
      <c r="H3020" s="2" t="s">
        <v>2105</v>
      </c>
      <c r="I3020" s="2" t="s">
        <v>110</v>
      </c>
      <c r="J3020" s="3">
        <v>44444</v>
      </c>
      <c r="K3020" s="5">
        <f>YEAR(OrganizedData[[#This Row],[Order Date]])</f>
        <v>2021</v>
      </c>
      <c r="L3020" s="7" t="str">
        <f>TEXT(OrganizedData[[#This Row],[Order Date]],"mmm")</f>
        <v>Sep</v>
      </c>
      <c r="M3020" s="2">
        <v>72</v>
      </c>
      <c r="N3020" s="2" t="s">
        <v>70</v>
      </c>
      <c r="O3020" s="2" t="str">
        <f>VLOOKUP(OrganizedData[[#This Row],[Product Code]],ProductData[[Code]:[Item]],2,FALSE)</f>
        <v>Megawidget M</v>
      </c>
      <c r="P3020" s="4">
        <f>OrganizedData[[#This Row],[Quantity]]*VLOOKUP(OrganizedData[[#This Row],[Product Code]],ProductData[],4,FALSE)</f>
        <v>1728</v>
      </c>
      <c r="Q3020" s="6">
        <f>OrganizedData[[#This Row],[Total Items Ordered]]*VLOOKUP(OrganizedData[[#This Row],[Product Code]],ProductData[],3,FALSE)</f>
        <v>2229.12</v>
      </c>
      <c r="R30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3021" spans="1:18" x14ac:dyDescent="0.3">
      <c r="A3021" s="2">
        <v>3014</v>
      </c>
      <c r="B3021" s="2" t="s">
        <v>7193</v>
      </c>
      <c r="C3021" s="2" t="s">
        <v>4753</v>
      </c>
      <c r="D3021" s="2" t="s">
        <v>51</v>
      </c>
      <c r="E3021" s="2" t="s">
        <v>16</v>
      </c>
      <c r="F3021" s="2">
        <v>90</v>
      </c>
      <c r="G3021" s="2" t="s">
        <v>7513</v>
      </c>
      <c r="H3021" s="2" t="s">
        <v>641</v>
      </c>
      <c r="I3021" s="2" t="s">
        <v>294</v>
      </c>
      <c r="J3021" s="3">
        <v>44682</v>
      </c>
      <c r="K3021" s="5">
        <f>YEAR(OrganizedData[[#This Row],[Order Date]])</f>
        <v>2022</v>
      </c>
      <c r="L3021" s="7" t="str">
        <f>TEXT(OrganizedData[[#This Row],[Order Date]],"mmm")</f>
        <v>May</v>
      </c>
      <c r="M3021" s="2">
        <v>10</v>
      </c>
      <c r="N3021" s="2" t="s">
        <v>80</v>
      </c>
      <c r="O3021" s="2" t="str">
        <f>VLOOKUP(OrganizedData[[#This Row],[Product Code]],ProductData[[Code]:[Item]],2,FALSE)</f>
        <v>Ultrathing V2</v>
      </c>
      <c r="P3021" s="4">
        <f>OrganizedData[[#This Row],[Quantity]]*VLOOKUP(OrganizedData[[#This Row],[Product Code]],ProductData[],4,FALSE)</f>
        <v>200</v>
      </c>
      <c r="Q3021" s="6">
        <f>OrganizedData[[#This Row],[Total Items Ordered]]*VLOOKUP(OrganizedData[[#This Row],[Product Code]],ProductData[],3,FALSE)</f>
        <v>590</v>
      </c>
      <c r="R30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v>
      </c>
    </row>
    <row r="3022" spans="1:18" x14ac:dyDescent="0.3">
      <c r="A3022" s="2">
        <v>3015</v>
      </c>
      <c r="B3022" s="2" t="s">
        <v>7514</v>
      </c>
      <c r="C3022" s="2" t="s">
        <v>2883</v>
      </c>
      <c r="D3022" s="2" t="s">
        <v>15</v>
      </c>
      <c r="E3022" s="2" t="s">
        <v>16</v>
      </c>
      <c r="F3022" s="2">
        <v>60</v>
      </c>
      <c r="G3022" s="2" t="s">
        <v>7515</v>
      </c>
      <c r="H3022" s="2" t="s">
        <v>158</v>
      </c>
      <c r="I3022" s="2" t="s">
        <v>32</v>
      </c>
      <c r="J3022" s="3">
        <v>44683</v>
      </c>
      <c r="K3022" s="5">
        <f>YEAR(OrganizedData[[#This Row],[Order Date]])</f>
        <v>2022</v>
      </c>
      <c r="L3022" s="7" t="str">
        <f>TEXT(OrganizedData[[#This Row],[Order Date]],"mmm")</f>
        <v>May</v>
      </c>
      <c r="M3022" s="2">
        <v>68</v>
      </c>
      <c r="N3022" s="2" t="s">
        <v>54</v>
      </c>
      <c r="O3022" s="2" t="str">
        <f>VLOOKUP(OrganizedData[[#This Row],[Product Code]],ProductData[[Code]:[Item]],2,FALSE)</f>
        <v>Megawidget S</v>
      </c>
      <c r="P3022" s="4">
        <f>OrganizedData[[#This Row],[Quantity]]*VLOOKUP(OrganizedData[[#This Row],[Product Code]],ProductData[],4,FALSE)</f>
        <v>1632</v>
      </c>
      <c r="Q3022" s="6">
        <f>OrganizedData[[#This Row],[Total Items Ordered]]*VLOOKUP(OrganizedData[[#This Row],[Product Code]],ProductData[],3,FALSE)</f>
        <v>1126.08</v>
      </c>
      <c r="R30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1069.7759999999998</v>
      </c>
    </row>
    <row r="3023" spans="1:18" x14ac:dyDescent="0.3">
      <c r="A3023" s="2">
        <v>3016</v>
      </c>
      <c r="B3023" s="2" t="s">
        <v>580</v>
      </c>
      <c r="C3023" s="2" t="s">
        <v>4286</v>
      </c>
      <c r="D3023" s="2" t="s">
        <v>28</v>
      </c>
      <c r="E3023" s="2" t="s">
        <v>29</v>
      </c>
      <c r="F3023" s="2">
        <v>30</v>
      </c>
      <c r="G3023" s="2" t="s">
        <v>7516</v>
      </c>
      <c r="H3023" s="2" t="s">
        <v>2902</v>
      </c>
      <c r="I3023" s="2" t="s">
        <v>32</v>
      </c>
      <c r="J3023" s="3">
        <v>44164</v>
      </c>
      <c r="K3023" s="5">
        <f>YEAR(OrganizedData[[#This Row],[Order Date]])</f>
        <v>2020</v>
      </c>
      <c r="L3023" s="7" t="str">
        <f>TEXT(OrganizedData[[#This Row],[Order Date]],"mmm")</f>
        <v>Nov</v>
      </c>
      <c r="M3023" s="2">
        <v>40</v>
      </c>
      <c r="N3023" s="2" t="s">
        <v>54</v>
      </c>
      <c r="O3023" s="2" t="str">
        <f>VLOOKUP(OrganizedData[[#This Row],[Product Code]],ProductData[[Code]:[Item]],2,FALSE)</f>
        <v>Megawidget S</v>
      </c>
      <c r="P3023" s="4">
        <f>OrganizedData[[#This Row],[Quantity]]*VLOOKUP(OrganizedData[[#This Row],[Product Code]],ProductData[],4,FALSE)</f>
        <v>960</v>
      </c>
      <c r="Q3023" s="6">
        <f>OrganizedData[[#This Row],[Total Items Ordered]]*VLOOKUP(OrganizedData[[#This Row],[Product Code]],ProductData[],3,FALSE)</f>
        <v>662.4</v>
      </c>
      <c r="R30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3024" spans="1:18" x14ac:dyDescent="0.3">
      <c r="A3024" s="2">
        <v>3017</v>
      </c>
      <c r="B3024" s="2" t="s">
        <v>4897</v>
      </c>
      <c r="C3024" s="2" t="s">
        <v>7517</v>
      </c>
      <c r="D3024" s="2" t="s">
        <v>28</v>
      </c>
      <c r="E3024" s="2" t="s">
        <v>29</v>
      </c>
      <c r="F3024" s="2">
        <v>30</v>
      </c>
      <c r="G3024" s="2" t="s">
        <v>7518</v>
      </c>
      <c r="H3024" s="2" t="s">
        <v>2633</v>
      </c>
      <c r="I3024" s="2" t="s">
        <v>32</v>
      </c>
      <c r="J3024" s="3">
        <v>44188</v>
      </c>
      <c r="K3024" s="5">
        <f>YEAR(OrganizedData[[#This Row],[Order Date]])</f>
        <v>2020</v>
      </c>
      <c r="L3024" s="7" t="str">
        <f>TEXT(OrganizedData[[#This Row],[Order Date]],"mmm")</f>
        <v>Dec</v>
      </c>
      <c r="M3024" s="2">
        <v>48</v>
      </c>
      <c r="N3024" s="2" t="s">
        <v>101</v>
      </c>
      <c r="O3024" s="2" t="str">
        <f>VLOOKUP(OrganizedData[[#This Row],[Product Code]],ProductData[[Code]:[Item]],2,FALSE)</f>
        <v>Superwossname</v>
      </c>
      <c r="P3024" s="4">
        <f>OrganizedData[[#This Row],[Quantity]]*VLOOKUP(OrganizedData[[#This Row],[Product Code]],ProductData[],4,FALSE)</f>
        <v>960</v>
      </c>
      <c r="Q3024" s="6">
        <f>OrganizedData[[#This Row],[Total Items Ordered]]*VLOOKUP(OrganizedData[[#This Row],[Product Code]],ProductData[],3,FALSE)</f>
        <v>3350.4</v>
      </c>
      <c r="R30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3249.8879999999999</v>
      </c>
    </row>
    <row r="3025" spans="1:18" x14ac:dyDescent="0.3">
      <c r="A3025" s="2">
        <v>3018</v>
      </c>
      <c r="B3025" s="2" t="s">
        <v>7202</v>
      </c>
      <c r="C3025" s="2" t="s">
        <v>6555</v>
      </c>
      <c r="D3025" s="2" t="s">
        <v>28</v>
      </c>
      <c r="E3025" s="2" t="s">
        <v>29</v>
      </c>
      <c r="F3025" s="2">
        <v>60</v>
      </c>
      <c r="G3025" s="2" t="s">
        <v>7519</v>
      </c>
      <c r="H3025" s="2" t="s">
        <v>440</v>
      </c>
      <c r="I3025" s="2" t="s">
        <v>25</v>
      </c>
      <c r="J3025" s="3">
        <v>44834</v>
      </c>
      <c r="K3025" s="5">
        <f>YEAR(OrganizedData[[#This Row],[Order Date]])</f>
        <v>2022</v>
      </c>
      <c r="L3025" s="7" t="str">
        <f>TEXT(OrganizedData[[#This Row],[Order Date]],"mmm")</f>
        <v>Sep</v>
      </c>
      <c r="M3025" s="2">
        <v>83</v>
      </c>
      <c r="N3025" s="2" t="s">
        <v>80</v>
      </c>
      <c r="O3025" s="2" t="str">
        <f>VLOOKUP(OrganizedData[[#This Row],[Product Code]],ProductData[[Code]:[Item]],2,FALSE)</f>
        <v>Ultrathing V2</v>
      </c>
      <c r="P3025" s="4">
        <f>OrganizedData[[#This Row],[Quantity]]*VLOOKUP(OrganizedData[[#This Row],[Product Code]],ProductData[],4,FALSE)</f>
        <v>1660</v>
      </c>
      <c r="Q3025" s="6">
        <f>OrganizedData[[#This Row],[Total Items Ordered]]*VLOOKUP(OrganizedData[[#This Row],[Product Code]],ProductData[],3,FALSE)</f>
        <v>4897</v>
      </c>
      <c r="R30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4652.1499999999996</v>
      </c>
    </row>
    <row r="3026" spans="1:18" x14ac:dyDescent="0.3">
      <c r="A3026" s="2">
        <v>3019</v>
      </c>
      <c r="B3026" s="2" t="s">
        <v>1769</v>
      </c>
      <c r="C3026" s="2" t="s">
        <v>7520</v>
      </c>
      <c r="D3026" s="2" t="s">
        <v>28</v>
      </c>
      <c r="E3026" s="2" t="s">
        <v>29</v>
      </c>
      <c r="F3026" s="2">
        <v>30</v>
      </c>
      <c r="G3026" s="2" t="s">
        <v>7521</v>
      </c>
      <c r="H3026" s="2" t="s">
        <v>4794</v>
      </c>
      <c r="I3026" s="2" t="s">
        <v>32</v>
      </c>
      <c r="J3026" s="3">
        <v>44745</v>
      </c>
      <c r="K3026" s="5">
        <f>YEAR(OrganizedData[[#This Row],[Order Date]])</f>
        <v>2022</v>
      </c>
      <c r="L3026" s="7" t="str">
        <f>TEXT(OrganizedData[[#This Row],[Order Date]],"mmm")</f>
        <v>Jul</v>
      </c>
      <c r="M3026" s="2">
        <v>4</v>
      </c>
      <c r="N3026" s="2" t="s">
        <v>54</v>
      </c>
      <c r="O3026" s="2" t="str">
        <f>VLOOKUP(OrganizedData[[#This Row],[Product Code]],ProductData[[Code]:[Item]],2,FALSE)</f>
        <v>Megawidget S</v>
      </c>
      <c r="P3026" s="4">
        <f>OrganizedData[[#This Row],[Quantity]]*VLOOKUP(OrganizedData[[#This Row],[Product Code]],ProductData[],4,FALSE)</f>
        <v>96</v>
      </c>
      <c r="Q3026" s="6">
        <f>OrganizedData[[#This Row],[Total Items Ordered]]*VLOOKUP(OrganizedData[[#This Row],[Product Code]],ProductData[],3,FALSE)</f>
        <v>66.239999999999995</v>
      </c>
      <c r="R30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3027" spans="1:18" x14ac:dyDescent="0.3">
      <c r="A3027" s="2">
        <v>3020</v>
      </c>
      <c r="B3027" s="2" t="s">
        <v>320</v>
      </c>
      <c r="C3027" s="2" t="s">
        <v>2618</v>
      </c>
      <c r="D3027" s="2" t="s">
        <v>51</v>
      </c>
      <c r="E3027" s="2" t="s">
        <v>16</v>
      </c>
      <c r="F3027" s="2">
        <v>30</v>
      </c>
      <c r="G3027" s="2" t="s">
        <v>7522</v>
      </c>
      <c r="H3027" s="2" t="s">
        <v>172</v>
      </c>
      <c r="I3027" s="2" t="s">
        <v>173</v>
      </c>
      <c r="J3027" s="3">
        <v>44646</v>
      </c>
      <c r="K3027" s="5">
        <f>YEAR(OrganizedData[[#This Row],[Order Date]])</f>
        <v>2022</v>
      </c>
      <c r="L3027" s="7" t="str">
        <f>TEXT(OrganizedData[[#This Row],[Order Date]],"mmm")</f>
        <v>Mar</v>
      </c>
      <c r="M3027" s="2">
        <v>53</v>
      </c>
      <c r="N3027" s="2" t="s">
        <v>101</v>
      </c>
      <c r="O3027" s="2" t="str">
        <f>VLOOKUP(OrganizedData[[#This Row],[Product Code]],ProductData[[Code]:[Item]],2,FALSE)</f>
        <v>Superwossname</v>
      </c>
      <c r="P3027" s="4">
        <f>OrganizedData[[#This Row],[Quantity]]*VLOOKUP(OrganizedData[[#This Row],[Product Code]],ProductData[],4,FALSE)</f>
        <v>1060</v>
      </c>
      <c r="Q3027" s="6">
        <f>OrganizedData[[#This Row],[Total Items Ordered]]*VLOOKUP(OrganizedData[[#This Row],[Product Code]],ProductData[],3,FALSE)</f>
        <v>3699.4</v>
      </c>
      <c r="R30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3028" spans="1:18" x14ac:dyDescent="0.3">
      <c r="A3028" s="2">
        <v>3021</v>
      </c>
      <c r="B3028" s="2" t="s">
        <v>7523</v>
      </c>
      <c r="C3028" s="2" t="s">
        <v>1857</v>
      </c>
      <c r="D3028" s="2" t="s">
        <v>51</v>
      </c>
      <c r="E3028" s="2" t="s">
        <v>16</v>
      </c>
      <c r="F3028" s="2">
        <v>60</v>
      </c>
      <c r="G3028" s="2" t="s">
        <v>7524</v>
      </c>
      <c r="H3028" s="2" t="s">
        <v>1206</v>
      </c>
      <c r="I3028" s="2" t="s">
        <v>294</v>
      </c>
      <c r="J3028" s="3">
        <v>43832</v>
      </c>
      <c r="K3028" s="5">
        <f>YEAR(OrganizedData[[#This Row],[Order Date]])</f>
        <v>2020</v>
      </c>
      <c r="L3028" s="7" t="str">
        <f>TEXT(OrganizedData[[#This Row],[Order Date]],"mmm")</f>
        <v>Jan</v>
      </c>
      <c r="M3028" s="2">
        <v>51</v>
      </c>
      <c r="N3028" s="2" t="s">
        <v>80</v>
      </c>
      <c r="O3028" s="2" t="str">
        <f>VLOOKUP(OrganizedData[[#This Row],[Product Code]],ProductData[[Code]:[Item]],2,FALSE)</f>
        <v>Ultrathing V2</v>
      </c>
      <c r="P3028" s="4">
        <f>OrganizedData[[#This Row],[Quantity]]*VLOOKUP(OrganizedData[[#This Row],[Product Code]],ProductData[],4,FALSE)</f>
        <v>1020</v>
      </c>
      <c r="Q3028" s="6">
        <f>OrganizedData[[#This Row],[Total Items Ordered]]*VLOOKUP(OrganizedData[[#This Row],[Product Code]],ProductData[],3,FALSE)</f>
        <v>3009</v>
      </c>
      <c r="R30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3029" spans="1:18" x14ac:dyDescent="0.3">
      <c r="A3029" s="2">
        <v>3022</v>
      </c>
      <c r="B3029" s="2" t="s">
        <v>7525</v>
      </c>
      <c r="C3029" s="2" t="s">
        <v>106</v>
      </c>
      <c r="D3029" s="2" t="s">
        <v>15</v>
      </c>
      <c r="E3029" s="2" t="s">
        <v>16</v>
      </c>
      <c r="F3029" s="2">
        <v>90</v>
      </c>
      <c r="G3029" s="2" t="s">
        <v>7524</v>
      </c>
      <c r="H3029" s="2" t="s">
        <v>7526</v>
      </c>
      <c r="I3029" s="2" t="s">
        <v>32</v>
      </c>
      <c r="J3029" s="3">
        <v>43873</v>
      </c>
      <c r="K3029" s="5">
        <f>YEAR(OrganizedData[[#This Row],[Order Date]])</f>
        <v>2020</v>
      </c>
      <c r="L3029" s="7" t="str">
        <f>TEXT(OrganizedData[[#This Row],[Order Date]],"mmm")</f>
        <v>Feb</v>
      </c>
      <c r="M3029" s="2">
        <v>52</v>
      </c>
      <c r="N3029" s="2" t="s">
        <v>64</v>
      </c>
      <c r="O3029" s="2" t="str">
        <f>VLOOKUP(OrganizedData[[#This Row],[Product Code]],ProductData[[Code]:[Item]],2,FALSE)</f>
        <v>Ultrathing V4</v>
      </c>
      <c r="P3029" s="4">
        <f>OrganizedData[[#This Row],[Quantity]]*VLOOKUP(OrganizedData[[#This Row],[Product Code]],ProductData[],4,FALSE)</f>
        <v>1248</v>
      </c>
      <c r="Q3029" s="6">
        <f>OrganizedData[[#This Row],[Total Items Ordered]]*VLOOKUP(OrganizedData[[#This Row],[Product Code]],ProductData[],3,FALSE)</f>
        <v>4979.5200000000004</v>
      </c>
      <c r="R30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4730.5439999999999</v>
      </c>
    </row>
    <row r="3030" spans="1:18" x14ac:dyDescent="0.3">
      <c r="A3030" s="2">
        <v>3023</v>
      </c>
      <c r="B3030" s="2" t="s">
        <v>4644</v>
      </c>
      <c r="C3030" s="2" t="s">
        <v>7527</v>
      </c>
      <c r="D3030" s="2" t="s">
        <v>28</v>
      </c>
      <c r="E3030" s="2" t="s">
        <v>29</v>
      </c>
      <c r="F3030" s="2">
        <v>60</v>
      </c>
      <c r="G3030" s="2" t="s">
        <v>7528</v>
      </c>
      <c r="H3030" s="2" t="s">
        <v>2667</v>
      </c>
      <c r="I3030" s="2" t="s">
        <v>187</v>
      </c>
      <c r="J3030" s="3">
        <v>44484</v>
      </c>
      <c r="K3030" s="5">
        <f>YEAR(OrganizedData[[#This Row],[Order Date]])</f>
        <v>2021</v>
      </c>
      <c r="L3030" s="7" t="str">
        <f>TEXT(OrganizedData[[#This Row],[Order Date]],"mmm")</f>
        <v>Oct</v>
      </c>
      <c r="M3030" s="2">
        <v>41</v>
      </c>
      <c r="N3030" s="2" t="s">
        <v>70</v>
      </c>
      <c r="O3030" s="2" t="str">
        <f>VLOOKUP(OrganizedData[[#This Row],[Product Code]],ProductData[[Code]:[Item]],2,FALSE)</f>
        <v>Megawidget M</v>
      </c>
      <c r="P3030" s="4">
        <f>OrganizedData[[#This Row],[Quantity]]*VLOOKUP(OrganizedData[[#This Row],[Product Code]],ProductData[],4,FALSE)</f>
        <v>984</v>
      </c>
      <c r="Q3030" s="6">
        <f>OrganizedData[[#This Row],[Total Items Ordered]]*VLOOKUP(OrganizedData[[#This Row],[Product Code]],ProductData[],3,FALSE)</f>
        <v>1269.3600000000001</v>
      </c>
      <c r="R30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1231.2792000000002</v>
      </c>
    </row>
    <row r="3031" spans="1:18" x14ac:dyDescent="0.3">
      <c r="A3031" s="2">
        <v>3024</v>
      </c>
      <c r="B3031" s="2" t="s">
        <v>7529</v>
      </c>
      <c r="C3031" s="2" t="s">
        <v>7530</v>
      </c>
      <c r="D3031" s="2" t="s">
        <v>15</v>
      </c>
      <c r="E3031" s="2" t="s">
        <v>16</v>
      </c>
      <c r="F3031" s="2">
        <v>60</v>
      </c>
      <c r="G3031" s="2" t="s">
        <v>7531</v>
      </c>
      <c r="H3031" s="2" t="s">
        <v>710</v>
      </c>
      <c r="I3031" s="2" t="s">
        <v>187</v>
      </c>
      <c r="J3031" s="3">
        <v>44857</v>
      </c>
      <c r="K3031" s="5">
        <f>YEAR(OrganizedData[[#This Row],[Order Date]])</f>
        <v>2022</v>
      </c>
      <c r="L3031" s="7" t="str">
        <f>TEXT(OrganizedData[[#This Row],[Order Date]],"mmm")</f>
        <v>Oct</v>
      </c>
      <c r="M3031" s="2">
        <v>94</v>
      </c>
      <c r="N3031" s="2" t="s">
        <v>20</v>
      </c>
      <c r="O3031" s="2" t="str">
        <f>VLOOKUP(OrganizedData[[#This Row],[Product Code]],ProductData[[Code]:[Item]],2,FALSE)</f>
        <v>Hyperwotsit</v>
      </c>
      <c r="P3031" s="4">
        <f>OrganizedData[[#This Row],[Quantity]]*VLOOKUP(OrganizedData[[#This Row],[Product Code]],ProductData[],4,FALSE)</f>
        <v>1880</v>
      </c>
      <c r="Q3031" s="6">
        <f>OrganizedData[[#This Row],[Total Items Ordered]]*VLOOKUP(OrganizedData[[#This Row],[Product Code]],ProductData[],3,FALSE)</f>
        <v>3778.7999999999997</v>
      </c>
      <c r="R30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3589.8599999999997</v>
      </c>
    </row>
    <row r="3032" spans="1:18" x14ac:dyDescent="0.3">
      <c r="A3032" s="2">
        <v>3025</v>
      </c>
      <c r="B3032" s="2" t="s">
        <v>1966</v>
      </c>
      <c r="C3032" s="2" t="s">
        <v>5993</v>
      </c>
      <c r="D3032" s="2" t="s">
        <v>51</v>
      </c>
      <c r="E3032" s="2" t="s">
        <v>16</v>
      </c>
      <c r="F3032" s="2">
        <v>60</v>
      </c>
      <c r="G3032" s="2" t="s">
        <v>7532</v>
      </c>
      <c r="H3032" s="2" t="s">
        <v>558</v>
      </c>
      <c r="I3032" s="2" t="s">
        <v>32</v>
      </c>
      <c r="J3032" s="3">
        <v>43874</v>
      </c>
      <c r="K3032" s="5">
        <f>YEAR(OrganizedData[[#This Row],[Order Date]])</f>
        <v>2020</v>
      </c>
      <c r="L3032" s="7" t="str">
        <f>TEXT(OrganizedData[[#This Row],[Order Date]],"mmm")</f>
        <v>Feb</v>
      </c>
      <c r="M3032" s="2">
        <v>85</v>
      </c>
      <c r="N3032" s="2" t="s">
        <v>159</v>
      </c>
      <c r="O3032" s="2" t="str">
        <f>VLOOKUP(OrganizedData[[#This Row],[Product Code]],ProductData[[Code]:[Item]],2,FALSE)</f>
        <v>Ultrathing V3</v>
      </c>
      <c r="P3032" s="4">
        <f>OrganizedData[[#This Row],[Quantity]]*VLOOKUP(OrganizedData[[#This Row],[Product Code]],ProductData[],4,FALSE)</f>
        <v>2040</v>
      </c>
      <c r="Q3032" s="6">
        <f>OrganizedData[[#This Row],[Total Items Ordered]]*VLOOKUP(OrganizedData[[#This Row],[Product Code]],ProductData[],3,FALSE)</f>
        <v>6915.6</v>
      </c>
      <c r="R30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3033" spans="1:18" x14ac:dyDescent="0.3">
      <c r="A3033" s="2">
        <v>3026</v>
      </c>
      <c r="B3033" s="2" t="s">
        <v>7533</v>
      </c>
      <c r="C3033" s="2" t="s">
        <v>6249</v>
      </c>
      <c r="D3033" s="2" t="s">
        <v>28</v>
      </c>
      <c r="E3033" s="2" t="s">
        <v>29</v>
      </c>
      <c r="F3033" s="2">
        <v>90</v>
      </c>
      <c r="G3033" s="2" t="s">
        <v>7534</v>
      </c>
      <c r="H3033" s="2" t="s">
        <v>4424</v>
      </c>
      <c r="I3033" s="2" t="s">
        <v>25</v>
      </c>
      <c r="J3033" s="3">
        <v>44686</v>
      </c>
      <c r="K3033" s="5">
        <f>YEAR(OrganizedData[[#This Row],[Order Date]])</f>
        <v>2022</v>
      </c>
      <c r="L3033" s="7" t="str">
        <f>TEXT(OrganizedData[[#This Row],[Order Date]],"mmm")</f>
        <v>May</v>
      </c>
      <c r="M3033" s="2">
        <v>77</v>
      </c>
      <c r="N3033" s="2" t="s">
        <v>39</v>
      </c>
      <c r="O3033" s="2" t="str">
        <f>VLOOKUP(OrganizedData[[#This Row],[Product Code]],ProductData[[Code]:[Item]],2,FALSE)</f>
        <v>Ultrathing V1</v>
      </c>
      <c r="P3033" s="4">
        <f>OrganizedData[[#This Row],[Quantity]]*VLOOKUP(OrganizedData[[#This Row],[Product Code]],ProductData[],4,FALSE)</f>
        <v>1309</v>
      </c>
      <c r="Q3033" s="6">
        <f>OrganizedData[[#This Row],[Total Items Ordered]]*VLOOKUP(OrganizedData[[#This Row],[Product Code]],ProductData[],3,FALSE)</f>
        <v>2343.11</v>
      </c>
      <c r="R30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3034" spans="1:18" x14ac:dyDescent="0.3">
      <c r="A3034" s="2">
        <v>3027</v>
      </c>
      <c r="B3034" s="2" t="s">
        <v>7535</v>
      </c>
      <c r="C3034" s="2" t="s">
        <v>1376</v>
      </c>
      <c r="D3034" s="2" t="s">
        <v>15</v>
      </c>
      <c r="E3034" s="2" t="s">
        <v>16</v>
      </c>
      <c r="F3034" s="2">
        <v>90</v>
      </c>
      <c r="G3034" s="2" t="s">
        <v>7536</v>
      </c>
      <c r="H3034" s="2" t="s">
        <v>1091</v>
      </c>
      <c r="I3034" s="2" t="s">
        <v>32</v>
      </c>
      <c r="J3034" s="3">
        <v>44877</v>
      </c>
      <c r="K3034" s="5">
        <f>YEAR(OrganizedData[[#This Row],[Order Date]])</f>
        <v>2022</v>
      </c>
      <c r="L3034" s="7" t="str">
        <f>TEXT(OrganizedData[[#This Row],[Order Date]],"mmm")</f>
        <v>Nov</v>
      </c>
      <c r="M3034" s="2">
        <v>99</v>
      </c>
      <c r="N3034" s="2" t="s">
        <v>159</v>
      </c>
      <c r="O3034" s="2" t="str">
        <f>VLOOKUP(OrganizedData[[#This Row],[Product Code]],ProductData[[Code]:[Item]],2,FALSE)</f>
        <v>Ultrathing V3</v>
      </c>
      <c r="P3034" s="4">
        <f>OrganizedData[[#This Row],[Quantity]]*VLOOKUP(OrganizedData[[#This Row],[Product Code]],ProductData[],4,FALSE)</f>
        <v>2376</v>
      </c>
      <c r="Q3034" s="6">
        <f>OrganizedData[[#This Row],[Total Items Ordered]]*VLOOKUP(OrganizedData[[#This Row],[Product Code]],ProductData[],3,FALSE)</f>
        <v>8054.64</v>
      </c>
      <c r="R30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7651.9080000000004</v>
      </c>
    </row>
    <row r="3035" spans="1:18" x14ac:dyDescent="0.3">
      <c r="A3035" s="2">
        <v>3028</v>
      </c>
      <c r="B3035" s="2" t="s">
        <v>7537</v>
      </c>
      <c r="C3035" s="2" t="s">
        <v>5391</v>
      </c>
      <c r="D3035" s="2" t="s">
        <v>28</v>
      </c>
      <c r="E3035" s="2" t="s">
        <v>29</v>
      </c>
      <c r="F3035" s="2">
        <v>60</v>
      </c>
      <c r="G3035" s="2" t="s">
        <v>10541</v>
      </c>
      <c r="H3035" s="2" t="s">
        <v>2875</v>
      </c>
      <c r="I3035" s="2" t="s">
        <v>32</v>
      </c>
      <c r="J3035" s="3">
        <v>44595</v>
      </c>
      <c r="K3035" s="5">
        <f>YEAR(OrganizedData[[#This Row],[Order Date]])</f>
        <v>2022</v>
      </c>
      <c r="L3035" s="7" t="str">
        <f>TEXT(OrganizedData[[#This Row],[Order Date]],"mmm")</f>
        <v>Feb</v>
      </c>
      <c r="M3035" s="2">
        <v>83</v>
      </c>
      <c r="N3035" s="2" t="s">
        <v>39</v>
      </c>
      <c r="O3035" s="2" t="str">
        <f>VLOOKUP(OrganizedData[[#This Row],[Product Code]],ProductData[[Code]:[Item]],2,FALSE)</f>
        <v>Ultrathing V1</v>
      </c>
      <c r="P3035" s="4">
        <f>OrganizedData[[#This Row],[Quantity]]*VLOOKUP(OrganizedData[[#This Row],[Product Code]],ProductData[],4,FALSE)</f>
        <v>1411</v>
      </c>
      <c r="Q3035" s="6">
        <f>OrganizedData[[#This Row],[Total Items Ordered]]*VLOOKUP(OrganizedData[[#This Row],[Product Code]],ProductData[],3,FALSE)</f>
        <v>2525.69</v>
      </c>
      <c r="R30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3036" spans="1:18" x14ac:dyDescent="0.3">
      <c r="A3036" s="2">
        <v>3029</v>
      </c>
      <c r="B3036" s="2" t="s">
        <v>6643</v>
      </c>
      <c r="C3036" s="2" t="s">
        <v>3262</v>
      </c>
      <c r="D3036" s="2" t="s">
        <v>51</v>
      </c>
      <c r="E3036" s="2" t="s">
        <v>16</v>
      </c>
      <c r="F3036" s="2">
        <v>90</v>
      </c>
      <c r="G3036" s="2" t="s">
        <v>7539</v>
      </c>
      <c r="H3036" s="2" t="s">
        <v>595</v>
      </c>
      <c r="I3036" s="2" t="s">
        <v>124</v>
      </c>
      <c r="J3036" s="3">
        <v>43984</v>
      </c>
      <c r="K3036" s="5">
        <f>YEAR(OrganizedData[[#This Row],[Order Date]])</f>
        <v>2020</v>
      </c>
      <c r="L3036" s="7" t="str">
        <f>TEXT(OrganizedData[[#This Row],[Order Date]],"mmm")</f>
        <v>Jun</v>
      </c>
      <c r="M3036" s="2">
        <v>69</v>
      </c>
      <c r="N3036" s="2" t="s">
        <v>20</v>
      </c>
      <c r="O3036" s="2" t="str">
        <f>VLOOKUP(OrganizedData[[#This Row],[Product Code]],ProductData[[Code]:[Item]],2,FALSE)</f>
        <v>Hyperwotsit</v>
      </c>
      <c r="P3036" s="4">
        <f>OrganizedData[[#This Row],[Quantity]]*VLOOKUP(OrganizedData[[#This Row],[Product Code]],ProductData[],4,FALSE)</f>
        <v>1380</v>
      </c>
      <c r="Q3036" s="6">
        <f>OrganizedData[[#This Row],[Total Items Ordered]]*VLOOKUP(OrganizedData[[#This Row],[Product Code]],ProductData[],3,FALSE)</f>
        <v>2773.7999999999997</v>
      </c>
      <c r="R30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3037" spans="1:18" x14ac:dyDescent="0.3">
      <c r="A3037" s="2">
        <v>3030</v>
      </c>
      <c r="B3037" s="2" t="s">
        <v>7540</v>
      </c>
      <c r="C3037" s="2" t="s">
        <v>1874</v>
      </c>
      <c r="D3037" s="2" t="s">
        <v>28</v>
      </c>
      <c r="E3037" s="2" t="s">
        <v>29</v>
      </c>
      <c r="F3037" s="2">
        <v>90</v>
      </c>
      <c r="G3037" s="2" t="s">
        <v>7541</v>
      </c>
      <c r="H3037" s="2" t="s">
        <v>5505</v>
      </c>
      <c r="I3037" s="2" t="s">
        <v>240</v>
      </c>
      <c r="J3037" s="3">
        <v>44408</v>
      </c>
      <c r="K3037" s="5">
        <f>YEAR(OrganizedData[[#This Row],[Order Date]])</f>
        <v>2021</v>
      </c>
      <c r="L3037" s="7" t="str">
        <f>TEXT(OrganizedData[[#This Row],[Order Date]],"mmm")</f>
        <v>Jul</v>
      </c>
      <c r="M3037" s="2">
        <v>25</v>
      </c>
      <c r="N3037" s="2" t="s">
        <v>45</v>
      </c>
      <c r="O3037" s="2" t="str">
        <f>VLOOKUP(OrganizedData[[#This Row],[Product Code]],ProductData[[Code]:[Item]],2,FALSE)</f>
        <v>Gigastuff</v>
      </c>
      <c r="P3037" s="4">
        <f>OrganizedData[[#This Row],[Quantity]]*VLOOKUP(OrganizedData[[#This Row],[Product Code]],ProductData[],4,FALSE)</f>
        <v>450</v>
      </c>
      <c r="Q3037" s="6">
        <f>OrganizedData[[#This Row],[Total Items Ordered]]*VLOOKUP(OrganizedData[[#This Row],[Product Code]],ProductData[],3,FALSE)</f>
        <v>850.5</v>
      </c>
      <c r="R30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824.98500000000001</v>
      </c>
    </row>
    <row r="3038" spans="1:18" x14ac:dyDescent="0.3">
      <c r="A3038" s="2">
        <v>3031</v>
      </c>
      <c r="B3038" s="2" t="s">
        <v>1049</v>
      </c>
      <c r="C3038" s="2" t="s">
        <v>6712</v>
      </c>
      <c r="D3038" s="2" t="s">
        <v>28</v>
      </c>
      <c r="E3038" s="2" t="s">
        <v>29</v>
      </c>
      <c r="F3038" s="2">
        <v>90</v>
      </c>
      <c r="G3038" s="2" t="s">
        <v>7542</v>
      </c>
      <c r="H3038" s="2" t="s">
        <v>2336</v>
      </c>
      <c r="I3038" s="2" t="s">
        <v>32</v>
      </c>
      <c r="J3038" s="3">
        <v>44813</v>
      </c>
      <c r="K3038" s="5">
        <f>YEAR(OrganizedData[[#This Row],[Order Date]])</f>
        <v>2022</v>
      </c>
      <c r="L3038" s="7" t="str">
        <f>TEXT(OrganizedData[[#This Row],[Order Date]],"mmm")</f>
        <v>Sep</v>
      </c>
      <c r="M3038" s="2">
        <v>95</v>
      </c>
      <c r="N3038" s="2" t="s">
        <v>101</v>
      </c>
      <c r="O3038" s="2" t="str">
        <f>VLOOKUP(OrganizedData[[#This Row],[Product Code]],ProductData[[Code]:[Item]],2,FALSE)</f>
        <v>Superwossname</v>
      </c>
      <c r="P3038" s="4">
        <f>OrganizedData[[#This Row],[Quantity]]*VLOOKUP(OrganizedData[[#This Row],[Product Code]],ProductData[],4,FALSE)</f>
        <v>1900</v>
      </c>
      <c r="Q3038" s="6">
        <f>OrganizedData[[#This Row],[Total Items Ordered]]*VLOOKUP(OrganizedData[[#This Row],[Product Code]],ProductData[],3,FALSE)</f>
        <v>6631</v>
      </c>
      <c r="R30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6299.45</v>
      </c>
    </row>
    <row r="3039" spans="1:18" x14ac:dyDescent="0.3">
      <c r="A3039" s="2">
        <v>3032</v>
      </c>
      <c r="B3039" s="2" t="s">
        <v>882</v>
      </c>
      <c r="C3039" s="2" t="s">
        <v>7543</v>
      </c>
      <c r="D3039" s="2" t="s">
        <v>28</v>
      </c>
      <c r="E3039" s="2" t="s">
        <v>29</v>
      </c>
      <c r="F3039" s="2">
        <v>30</v>
      </c>
      <c r="G3039" s="2" t="s">
        <v>7544</v>
      </c>
      <c r="H3039" s="2" t="s">
        <v>4748</v>
      </c>
      <c r="I3039" s="2" t="s">
        <v>32</v>
      </c>
      <c r="J3039" s="3">
        <v>43940</v>
      </c>
      <c r="K3039" s="5">
        <f>YEAR(OrganizedData[[#This Row],[Order Date]])</f>
        <v>2020</v>
      </c>
      <c r="L3039" s="7" t="str">
        <f>TEXT(OrganizedData[[#This Row],[Order Date]],"mmm")</f>
        <v>Apr</v>
      </c>
      <c r="M3039" s="2">
        <v>84</v>
      </c>
      <c r="N3039" s="2" t="s">
        <v>159</v>
      </c>
      <c r="O3039" s="2" t="str">
        <f>VLOOKUP(OrganizedData[[#This Row],[Product Code]],ProductData[[Code]:[Item]],2,FALSE)</f>
        <v>Ultrathing V3</v>
      </c>
      <c r="P3039" s="4">
        <f>OrganizedData[[#This Row],[Quantity]]*VLOOKUP(OrganizedData[[#This Row],[Product Code]],ProductData[],4,FALSE)</f>
        <v>2016</v>
      </c>
      <c r="Q3039" s="6">
        <f>OrganizedData[[#This Row],[Total Items Ordered]]*VLOOKUP(OrganizedData[[#This Row],[Product Code]],ProductData[],3,FALSE)</f>
        <v>6834.2400000000007</v>
      </c>
      <c r="R30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6492.5280000000002</v>
      </c>
    </row>
    <row r="3040" spans="1:18" x14ac:dyDescent="0.3">
      <c r="A3040" s="2">
        <v>3033</v>
      </c>
      <c r="B3040" s="2" t="s">
        <v>6407</v>
      </c>
      <c r="C3040" s="2" t="s">
        <v>1573</v>
      </c>
      <c r="D3040" s="2" t="s">
        <v>51</v>
      </c>
      <c r="E3040" s="2" t="s">
        <v>16</v>
      </c>
      <c r="F3040" s="2">
        <v>90</v>
      </c>
      <c r="G3040" s="2" t="s">
        <v>7545</v>
      </c>
      <c r="H3040" s="2" t="s">
        <v>7546</v>
      </c>
      <c r="I3040" s="2" t="s">
        <v>187</v>
      </c>
      <c r="J3040" s="3">
        <v>44293</v>
      </c>
      <c r="K3040" s="5">
        <f>YEAR(OrganizedData[[#This Row],[Order Date]])</f>
        <v>2021</v>
      </c>
      <c r="L3040" s="7" t="str">
        <f>TEXT(OrganizedData[[#This Row],[Order Date]],"mmm")</f>
        <v>Apr</v>
      </c>
      <c r="M3040" s="2">
        <v>58</v>
      </c>
      <c r="N3040" s="2" t="s">
        <v>101</v>
      </c>
      <c r="O3040" s="2" t="str">
        <f>VLOOKUP(OrganizedData[[#This Row],[Product Code]],ProductData[[Code]:[Item]],2,FALSE)</f>
        <v>Superwossname</v>
      </c>
      <c r="P3040" s="4">
        <f>OrganizedData[[#This Row],[Quantity]]*VLOOKUP(OrganizedData[[#This Row],[Product Code]],ProductData[],4,FALSE)</f>
        <v>1160</v>
      </c>
      <c r="Q3040" s="6">
        <f>OrganizedData[[#This Row],[Total Items Ordered]]*VLOOKUP(OrganizedData[[#This Row],[Product Code]],ProductData[],3,FALSE)</f>
        <v>4048.4</v>
      </c>
      <c r="R30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3041" spans="1:18" x14ac:dyDescent="0.3">
      <c r="A3041" s="2">
        <v>3034</v>
      </c>
      <c r="B3041" s="2" t="s">
        <v>1027</v>
      </c>
      <c r="C3041" s="2" t="s">
        <v>3664</v>
      </c>
      <c r="D3041" s="2" t="s">
        <v>28</v>
      </c>
      <c r="E3041" s="2" t="s">
        <v>29</v>
      </c>
      <c r="F3041" s="2">
        <v>30</v>
      </c>
      <c r="G3041" s="2" t="s">
        <v>10445</v>
      </c>
      <c r="H3041" s="2" t="s">
        <v>4567</v>
      </c>
      <c r="I3041" s="2" t="s">
        <v>38</v>
      </c>
      <c r="J3041" s="3">
        <v>44888</v>
      </c>
      <c r="K3041" s="5">
        <f>YEAR(OrganizedData[[#This Row],[Order Date]])</f>
        <v>2022</v>
      </c>
      <c r="L3041" s="7" t="str">
        <f>TEXT(OrganizedData[[#This Row],[Order Date]],"mmm")</f>
        <v>Nov</v>
      </c>
      <c r="M3041" s="2">
        <v>44</v>
      </c>
      <c r="N3041" s="2" t="s">
        <v>159</v>
      </c>
      <c r="O3041" s="2" t="str">
        <f>VLOOKUP(OrganizedData[[#This Row],[Product Code]],ProductData[[Code]:[Item]],2,FALSE)</f>
        <v>Ultrathing V3</v>
      </c>
      <c r="P3041" s="4">
        <f>OrganizedData[[#This Row],[Quantity]]*VLOOKUP(OrganizedData[[#This Row],[Product Code]],ProductData[],4,FALSE)</f>
        <v>1056</v>
      </c>
      <c r="Q3041" s="6">
        <f>OrganizedData[[#This Row],[Total Items Ordered]]*VLOOKUP(OrganizedData[[#This Row],[Product Code]],ProductData[],3,FALSE)</f>
        <v>3579.84</v>
      </c>
      <c r="R30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3042" spans="1:18" x14ac:dyDescent="0.3">
      <c r="A3042" s="2">
        <v>3035</v>
      </c>
      <c r="B3042" s="2" t="s">
        <v>3501</v>
      </c>
      <c r="C3042" s="2" t="s">
        <v>4018</v>
      </c>
      <c r="D3042" s="2" t="s">
        <v>28</v>
      </c>
      <c r="E3042" s="2" t="s">
        <v>29</v>
      </c>
      <c r="F3042" s="2">
        <v>90</v>
      </c>
      <c r="G3042" s="2" t="s">
        <v>7548</v>
      </c>
      <c r="H3042" s="2" t="s">
        <v>6618</v>
      </c>
      <c r="I3042" s="2" t="s">
        <v>32</v>
      </c>
      <c r="J3042" s="3">
        <v>44848</v>
      </c>
      <c r="K3042" s="5">
        <f>YEAR(OrganizedData[[#This Row],[Order Date]])</f>
        <v>2022</v>
      </c>
      <c r="L3042" s="7" t="str">
        <f>TEXT(OrganizedData[[#This Row],[Order Date]],"mmm")</f>
        <v>Oct</v>
      </c>
      <c r="M3042" s="2">
        <v>94</v>
      </c>
      <c r="N3042" s="2" t="s">
        <v>39</v>
      </c>
      <c r="O3042" s="2" t="str">
        <f>VLOOKUP(OrganizedData[[#This Row],[Product Code]],ProductData[[Code]:[Item]],2,FALSE)</f>
        <v>Ultrathing V1</v>
      </c>
      <c r="P3042" s="4">
        <f>OrganizedData[[#This Row],[Quantity]]*VLOOKUP(OrganizedData[[#This Row],[Product Code]],ProductData[],4,FALSE)</f>
        <v>1598</v>
      </c>
      <c r="Q3042" s="6">
        <f>OrganizedData[[#This Row],[Total Items Ordered]]*VLOOKUP(OrganizedData[[#This Row],[Product Code]],ProductData[],3,FALSE)</f>
        <v>2860.42</v>
      </c>
      <c r="R30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3043" spans="1:18" x14ac:dyDescent="0.3">
      <c r="A3043" s="2">
        <v>3036</v>
      </c>
      <c r="B3043" s="2" t="s">
        <v>4988</v>
      </c>
      <c r="C3043" s="2" t="s">
        <v>1278</v>
      </c>
      <c r="D3043" s="2" t="s">
        <v>15</v>
      </c>
      <c r="E3043" s="2" t="s">
        <v>16</v>
      </c>
      <c r="F3043" s="2">
        <v>30</v>
      </c>
      <c r="G3043" s="2" t="s">
        <v>7549</v>
      </c>
      <c r="H3043" s="2" t="s">
        <v>2506</v>
      </c>
      <c r="I3043" s="2" t="s">
        <v>32</v>
      </c>
      <c r="J3043" s="3">
        <v>44798</v>
      </c>
      <c r="K3043" s="5">
        <f>YEAR(OrganizedData[[#This Row],[Order Date]])</f>
        <v>2022</v>
      </c>
      <c r="L3043" s="7" t="str">
        <f>TEXT(OrganizedData[[#This Row],[Order Date]],"mmm")</f>
        <v>Aug</v>
      </c>
      <c r="M3043" s="2">
        <v>91</v>
      </c>
      <c r="N3043" s="2" t="s">
        <v>80</v>
      </c>
      <c r="O3043" s="2" t="str">
        <f>VLOOKUP(OrganizedData[[#This Row],[Product Code]],ProductData[[Code]:[Item]],2,FALSE)</f>
        <v>Ultrathing V2</v>
      </c>
      <c r="P3043" s="4">
        <f>OrganizedData[[#This Row],[Quantity]]*VLOOKUP(OrganizedData[[#This Row],[Product Code]],ProductData[],4,FALSE)</f>
        <v>1820</v>
      </c>
      <c r="Q3043" s="6">
        <f>OrganizedData[[#This Row],[Total Items Ordered]]*VLOOKUP(OrganizedData[[#This Row],[Product Code]],ProductData[],3,FALSE)</f>
        <v>5369</v>
      </c>
      <c r="R30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3044" spans="1:18" x14ac:dyDescent="0.3">
      <c r="A3044" s="2">
        <v>3037</v>
      </c>
      <c r="B3044" s="2" t="s">
        <v>7550</v>
      </c>
      <c r="C3044" s="2" t="s">
        <v>205</v>
      </c>
      <c r="D3044" s="2" t="s">
        <v>41</v>
      </c>
      <c r="E3044" s="2" t="s">
        <v>16</v>
      </c>
      <c r="F3044" s="2">
        <v>30</v>
      </c>
      <c r="G3044" s="2" t="s">
        <v>7551</v>
      </c>
      <c r="H3044" s="2" t="s">
        <v>2130</v>
      </c>
      <c r="I3044" s="2" t="s">
        <v>32</v>
      </c>
      <c r="J3044" s="3">
        <v>44799</v>
      </c>
      <c r="K3044" s="5">
        <f>YEAR(OrganizedData[[#This Row],[Order Date]])</f>
        <v>2022</v>
      </c>
      <c r="L3044" s="7" t="str">
        <f>TEXT(OrganizedData[[#This Row],[Order Date]],"mmm")</f>
        <v>Aug</v>
      </c>
      <c r="M3044" s="2">
        <v>7</v>
      </c>
      <c r="N3044" s="2" t="s">
        <v>54</v>
      </c>
      <c r="O3044" s="2" t="str">
        <f>VLOOKUP(OrganizedData[[#This Row],[Product Code]],ProductData[[Code]:[Item]],2,FALSE)</f>
        <v>Megawidget S</v>
      </c>
      <c r="P3044" s="4">
        <f>OrganizedData[[#This Row],[Quantity]]*VLOOKUP(OrganizedData[[#This Row],[Product Code]],ProductData[],4,FALSE)</f>
        <v>168</v>
      </c>
      <c r="Q3044" s="6">
        <f>OrganizedData[[#This Row],[Total Items Ordered]]*VLOOKUP(OrganizedData[[#This Row],[Product Code]],ProductData[],3,FALSE)</f>
        <v>115.91999999999999</v>
      </c>
      <c r="R30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3045" spans="1:18" x14ac:dyDescent="0.3">
      <c r="A3045" s="2">
        <v>3038</v>
      </c>
      <c r="B3045" s="2" t="s">
        <v>5072</v>
      </c>
      <c r="C3045" s="2" t="s">
        <v>6275</v>
      </c>
      <c r="D3045" s="2" t="s">
        <v>92</v>
      </c>
      <c r="E3045" s="2" t="s">
        <v>29</v>
      </c>
      <c r="F3045" s="2">
        <v>90</v>
      </c>
      <c r="G3045" s="2" t="s">
        <v>7552</v>
      </c>
      <c r="H3045" s="2" t="s">
        <v>6612</v>
      </c>
      <c r="I3045" s="2" t="s">
        <v>25</v>
      </c>
      <c r="J3045" s="3">
        <v>44300</v>
      </c>
      <c r="K3045" s="5">
        <f>YEAR(OrganizedData[[#This Row],[Order Date]])</f>
        <v>2021</v>
      </c>
      <c r="L3045" s="7" t="str">
        <f>TEXT(OrganizedData[[#This Row],[Order Date]],"mmm")</f>
        <v>Apr</v>
      </c>
      <c r="M3045" s="2">
        <v>41</v>
      </c>
      <c r="N3045" s="2" t="s">
        <v>20</v>
      </c>
      <c r="O3045" s="2" t="str">
        <f>VLOOKUP(OrganizedData[[#This Row],[Product Code]],ProductData[[Code]:[Item]],2,FALSE)</f>
        <v>Hyperwotsit</v>
      </c>
      <c r="P3045" s="4">
        <f>OrganizedData[[#This Row],[Quantity]]*VLOOKUP(OrganizedData[[#This Row],[Product Code]],ProductData[],4,FALSE)</f>
        <v>820</v>
      </c>
      <c r="Q3045" s="6">
        <f>OrganizedData[[#This Row],[Total Items Ordered]]*VLOOKUP(OrganizedData[[#This Row],[Product Code]],ProductData[],3,FALSE)</f>
        <v>1648.1999999999998</v>
      </c>
      <c r="R30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1598.7539999999997</v>
      </c>
    </row>
    <row r="3046" spans="1:18" x14ac:dyDescent="0.3">
      <c r="A3046" s="2">
        <v>3039</v>
      </c>
      <c r="B3046" s="2" t="s">
        <v>4016</v>
      </c>
      <c r="C3046" s="2" t="s">
        <v>2326</v>
      </c>
      <c r="D3046" s="2" t="s">
        <v>28</v>
      </c>
      <c r="E3046" s="2" t="s">
        <v>29</v>
      </c>
      <c r="F3046" s="2">
        <v>60</v>
      </c>
      <c r="G3046" s="2" t="s">
        <v>10542</v>
      </c>
      <c r="H3046" s="2" t="s">
        <v>4867</v>
      </c>
      <c r="I3046" s="2" t="s">
        <v>294</v>
      </c>
      <c r="J3046" s="3">
        <v>44892</v>
      </c>
      <c r="K3046" s="5">
        <f>YEAR(OrganizedData[[#This Row],[Order Date]])</f>
        <v>2022</v>
      </c>
      <c r="L3046" s="7" t="str">
        <f>TEXT(OrganizedData[[#This Row],[Order Date]],"mmm")</f>
        <v>Nov</v>
      </c>
      <c r="M3046" s="2">
        <v>84</v>
      </c>
      <c r="N3046" s="2" t="s">
        <v>80</v>
      </c>
      <c r="O3046" s="2" t="str">
        <f>VLOOKUP(OrganizedData[[#This Row],[Product Code]],ProductData[[Code]:[Item]],2,FALSE)</f>
        <v>Ultrathing V2</v>
      </c>
      <c r="P3046" s="4">
        <f>OrganizedData[[#This Row],[Quantity]]*VLOOKUP(OrganizedData[[#This Row],[Product Code]],ProductData[],4,FALSE)</f>
        <v>1680</v>
      </c>
      <c r="Q3046" s="6">
        <f>OrganizedData[[#This Row],[Total Items Ordered]]*VLOOKUP(OrganizedData[[#This Row],[Product Code]],ProductData[],3,FALSE)</f>
        <v>4956</v>
      </c>
      <c r="R30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3047" spans="1:18" x14ac:dyDescent="0.3">
      <c r="A3047" s="2">
        <v>3040</v>
      </c>
      <c r="B3047" s="2" t="s">
        <v>1765</v>
      </c>
      <c r="C3047" s="2" t="s">
        <v>1286</v>
      </c>
      <c r="D3047" s="2" t="s">
        <v>28</v>
      </c>
      <c r="E3047" s="2" t="s">
        <v>29</v>
      </c>
      <c r="F3047" s="2">
        <v>30</v>
      </c>
      <c r="G3047" s="2" t="s">
        <v>7554</v>
      </c>
      <c r="H3047" s="2" t="s">
        <v>7555</v>
      </c>
      <c r="I3047" s="2" t="s">
        <v>129</v>
      </c>
      <c r="J3047" s="3">
        <v>43927</v>
      </c>
      <c r="K3047" s="5">
        <f>YEAR(OrganizedData[[#This Row],[Order Date]])</f>
        <v>2020</v>
      </c>
      <c r="L3047" s="7" t="str">
        <f>TEXT(OrganizedData[[#This Row],[Order Date]],"mmm")</f>
        <v>Apr</v>
      </c>
      <c r="M3047" s="2">
        <v>76</v>
      </c>
      <c r="N3047" s="2" t="s">
        <v>64</v>
      </c>
      <c r="O3047" s="2" t="str">
        <f>VLOOKUP(OrganizedData[[#This Row],[Product Code]],ProductData[[Code]:[Item]],2,FALSE)</f>
        <v>Ultrathing V4</v>
      </c>
      <c r="P3047" s="4">
        <f>OrganizedData[[#This Row],[Quantity]]*VLOOKUP(OrganizedData[[#This Row],[Product Code]],ProductData[],4,FALSE)</f>
        <v>1824</v>
      </c>
      <c r="Q3047" s="6">
        <f>OrganizedData[[#This Row],[Total Items Ordered]]*VLOOKUP(OrganizedData[[#This Row],[Product Code]],ProductData[],3,FALSE)</f>
        <v>7277.76</v>
      </c>
      <c r="R30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6913.8720000000003</v>
      </c>
    </row>
    <row r="3048" spans="1:18" x14ac:dyDescent="0.3">
      <c r="A3048" s="2">
        <v>3041</v>
      </c>
      <c r="B3048" s="2" t="s">
        <v>5239</v>
      </c>
      <c r="C3048" s="2" t="s">
        <v>7556</v>
      </c>
      <c r="D3048" s="2" t="s">
        <v>15</v>
      </c>
      <c r="E3048" s="2" t="s">
        <v>16</v>
      </c>
      <c r="F3048" s="2">
        <v>30</v>
      </c>
      <c r="G3048" s="2" t="s">
        <v>7554</v>
      </c>
      <c r="H3048" s="2" t="s">
        <v>5000</v>
      </c>
      <c r="I3048" s="2" t="s">
        <v>32</v>
      </c>
      <c r="J3048" s="3">
        <v>44511</v>
      </c>
      <c r="K3048" s="5">
        <f>YEAR(OrganizedData[[#This Row],[Order Date]])</f>
        <v>2021</v>
      </c>
      <c r="L3048" s="7" t="str">
        <f>TEXT(OrganizedData[[#This Row],[Order Date]],"mmm")</f>
        <v>Nov</v>
      </c>
      <c r="M3048" s="2">
        <v>94</v>
      </c>
      <c r="N3048" s="2" t="s">
        <v>20</v>
      </c>
      <c r="O3048" s="2" t="str">
        <f>VLOOKUP(OrganizedData[[#This Row],[Product Code]],ProductData[[Code]:[Item]],2,FALSE)</f>
        <v>Hyperwotsit</v>
      </c>
      <c r="P3048" s="4">
        <f>OrganizedData[[#This Row],[Quantity]]*VLOOKUP(OrganizedData[[#This Row],[Product Code]],ProductData[],4,FALSE)</f>
        <v>1880</v>
      </c>
      <c r="Q3048" s="6">
        <f>OrganizedData[[#This Row],[Total Items Ordered]]*VLOOKUP(OrganizedData[[#This Row],[Product Code]],ProductData[],3,FALSE)</f>
        <v>3778.7999999999997</v>
      </c>
      <c r="R30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3589.8599999999997</v>
      </c>
    </row>
    <row r="3049" spans="1:18" x14ac:dyDescent="0.3">
      <c r="A3049" s="2">
        <v>3042</v>
      </c>
      <c r="B3049" s="2" t="s">
        <v>7557</v>
      </c>
      <c r="C3049" s="2" t="s">
        <v>3009</v>
      </c>
      <c r="D3049" s="2" t="s">
        <v>28</v>
      </c>
      <c r="E3049" s="2" t="s">
        <v>29</v>
      </c>
      <c r="F3049" s="2">
        <v>90</v>
      </c>
      <c r="G3049" s="2" t="s">
        <v>7558</v>
      </c>
      <c r="H3049" s="2" t="s">
        <v>1977</v>
      </c>
      <c r="I3049" s="2" t="s">
        <v>124</v>
      </c>
      <c r="J3049" s="3">
        <v>44050</v>
      </c>
      <c r="K3049" s="5">
        <f>YEAR(OrganizedData[[#This Row],[Order Date]])</f>
        <v>2020</v>
      </c>
      <c r="L3049" s="7" t="str">
        <f>TEXT(OrganizedData[[#This Row],[Order Date]],"mmm")</f>
        <v>Aug</v>
      </c>
      <c r="M3049" s="2">
        <v>23</v>
      </c>
      <c r="N3049" s="2" t="s">
        <v>64</v>
      </c>
      <c r="O3049" s="2" t="str">
        <f>VLOOKUP(OrganizedData[[#This Row],[Product Code]],ProductData[[Code]:[Item]],2,FALSE)</f>
        <v>Ultrathing V4</v>
      </c>
      <c r="P3049" s="4">
        <f>OrganizedData[[#This Row],[Quantity]]*VLOOKUP(OrganizedData[[#This Row],[Product Code]],ProductData[],4,FALSE)</f>
        <v>552</v>
      </c>
      <c r="Q3049" s="6">
        <f>OrganizedData[[#This Row],[Total Items Ordered]]*VLOOKUP(OrganizedData[[#This Row],[Product Code]],ProductData[],3,FALSE)</f>
        <v>2202.48</v>
      </c>
      <c r="R30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2136.4056</v>
      </c>
    </row>
    <row r="3050" spans="1:18" x14ac:dyDescent="0.3">
      <c r="A3050" s="2">
        <v>3043</v>
      </c>
      <c r="B3050" s="2" t="s">
        <v>5163</v>
      </c>
      <c r="C3050" s="2" t="s">
        <v>2715</v>
      </c>
      <c r="D3050" s="2" t="s">
        <v>28</v>
      </c>
      <c r="E3050" s="2" t="s">
        <v>29</v>
      </c>
      <c r="F3050" s="2">
        <v>90</v>
      </c>
      <c r="G3050" s="2" t="s">
        <v>7559</v>
      </c>
      <c r="H3050" s="2" t="s">
        <v>1884</v>
      </c>
      <c r="I3050" s="2" t="s">
        <v>1885</v>
      </c>
      <c r="J3050" s="3">
        <v>44684</v>
      </c>
      <c r="K3050" s="5">
        <f>YEAR(OrganizedData[[#This Row],[Order Date]])</f>
        <v>2022</v>
      </c>
      <c r="L3050" s="7" t="str">
        <f>TEXT(OrganizedData[[#This Row],[Order Date]],"mmm")</f>
        <v>May</v>
      </c>
      <c r="M3050" s="2">
        <v>18</v>
      </c>
      <c r="N3050" s="2" t="s">
        <v>70</v>
      </c>
      <c r="O3050" s="2" t="str">
        <f>VLOOKUP(OrganizedData[[#This Row],[Product Code]],ProductData[[Code]:[Item]],2,FALSE)</f>
        <v>Megawidget M</v>
      </c>
      <c r="P3050" s="4">
        <f>OrganizedData[[#This Row],[Quantity]]*VLOOKUP(OrganizedData[[#This Row],[Product Code]],ProductData[],4,FALSE)</f>
        <v>432</v>
      </c>
      <c r="Q3050" s="6">
        <f>OrganizedData[[#This Row],[Total Items Ordered]]*VLOOKUP(OrganizedData[[#This Row],[Product Code]],ProductData[],3,FALSE)</f>
        <v>557.28</v>
      </c>
      <c r="R30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3051" spans="1:18" x14ac:dyDescent="0.3">
      <c r="A3051" s="2">
        <v>3044</v>
      </c>
      <c r="B3051" s="2" t="s">
        <v>5975</v>
      </c>
      <c r="C3051" s="2" t="s">
        <v>134</v>
      </c>
      <c r="D3051" s="2" t="s">
        <v>28</v>
      </c>
      <c r="E3051" s="2" t="s">
        <v>29</v>
      </c>
      <c r="F3051" s="2">
        <v>90</v>
      </c>
      <c r="G3051" s="2" t="s">
        <v>7560</v>
      </c>
      <c r="H3051" s="2" t="s">
        <v>3056</v>
      </c>
      <c r="I3051" s="2" t="s">
        <v>187</v>
      </c>
      <c r="J3051" s="3">
        <v>44189</v>
      </c>
      <c r="K3051" s="5">
        <f>YEAR(OrganizedData[[#This Row],[Order Date]])</f>
        <v>2020</v>
      </c>
      <c r="L3051" s="7" t="str">
        <f>TEXT(OrganizedData[[#This Row],[Order Date]],"mmm")</f>
        <v>Dec</v>
      </c>
      <c r="M3051" s="2">
        <v>28</v>
      </c>
      <c r="N3051" s="2" t="s">
        <v>101</v>
      </c>
      <c r="O3051" s="2" t="str">
        <f>VLOOKUP(OrganizedData[[#This Row],[Product Code]],ProductData[[Code]:[Item]],2,FALSE)</f>
        <v>Superwossname</v>
      </c>
      <c r="P3051" s="4">
        <f>OrganizedData[[#This Row],[Quantity]]*VLOOKUP(OrganizedData[[#This Row],[Product Code]],ProductData[],4,FALSE)</f>
        <v>560</v>
      </c>
      <c r="Q3051" s="6">
        <f>OrganizedData[[#This Row],[Total Items Ordered]]*VLOOKUP(OrganizedData[[#This Row],[Product Code]],ProductData[],3,FALSE)</f>
        <v>1954.4</v>
      </c>
      <c r="R30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3052" spans="1:18" x14ac:dyDescent="0.3">
      <c r="A3052" s="2">
        <v>3045</v>
      </c>
      <c r="B3052" s="2" t="s">
        <v>7561</v>
      </c>
      <c r="C3052" s="2" t="s">
        <v>2458</v>
      </c>
      <c r="D3052" s="2" t="s">
        <v>28</v>
      </c>
      <c r="E3052" s="2" t="s">
        <v>29</v>
      </c>
      <c r="F3052" s="2">
        <v>30</v>
      </c>
      <c r="G3052" s="2" t="s">
        <v>7562</v>
      </c>
      <c r="H3052" s="2" t="s">
        <v>4760</v>
      </c>
      <c r="I3052" s="2" t="s">
        <v>32</v>
      </c>
      <c r="J3052" s="3">
        <v>44455</v>
      </c>
      <c r="K3052" s="5">
        <f>YEAR(OrganizedData[[#This Row],[Order Date]])</f>
        <v>2021</v>
      </c>
      <c r="L3052" s="7" t="str">
        <f>TEXT(OrganizedData[[#This Row],[Order Date]],"mmm")</f>
        <v>Sep</v>
      </c>
      <c r="M3052" s="2">
        <v>65</v>
      </c>
      <c r="N3052" s="2" t="s">
        <v>64</v>
      </c>
      <c r="O3052" s="2" t="str">
        <f>VLOOKUP(OrganizedData[[#This Row],[Product Code]],ProductData[[Code]:[Item]],2,FALSE)</f>
        <v>Ultrathing V4</v>
      </c>
      <c r="P3052" s="4">
        <f>OrganizedData[[#This Row],[Quantity]]*VLOOKUP(OrganizedData[[#This Row],[Product Code]],ProductData[],4,FALSE)</f>
        <v>1560</v>
      </c>
      <c r="Q3052" s="6">
        <f>OrganizedData[[#This Row],[Total Items Ordered]]*VLOOKUP(OrganizedData[[#This Row],[Product Code]],ProductData[],3,FALSE)</f>
        <v>6224.4000000000005</v>
      </c>
      <c r="R30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5913.18</v>
      </c>
    </row>
    <row r="3053" spans="1:18" x14ac:dyDescent="0.3">
      <c r="A3053" s="2">
        <v>3046</v>
      </c>
      <c r="B3053" s="2" t="s">
        <v>339</v>
      </c>
      <c r="C3053" s="2" t="s">
        <v>6651</v>
      </c>
      <c r="D3053" s="2" t="s">
        <v>15</v>
      </c>
      <c r="E3053" s="2" t="s">
        <v>16</v>
      </c>
      <c r="F3053" s="2">
        <v>30</v>
      </c>
      <c r="G3053" s="2" t="s">
        <v>7563</v>
      </c>
      <c r="H3053" s="2" t="s">
        <v>5232</v>
      </c>
      <c r="I3053" s="2" t="s">
        <v>146</v>
      </c>
      <c r="J3053" s="3">
        <v>44796</v>
      </c>
      <c r="K3053" s="5">
        <f>YEAR(OrganizedData[[#This Row],[Order Date]])</f>
        <v>2022</v>
      </c>
      <c r="L3053" s="7" t="str">
        <f>TEXT(OrganizedData[[#This Row],[Order Date]],"mmm")</f>
        <v>Aug</v>
      </c>
      <c r="M3053" s="2">
        <v>102</v>
      </c>
      <c r="N3053" s="2" t="s">
        <v>45</v>
      </c>
      <c r="O3053" s="2" t="str">
        <f>VLOOKUP(OrganizedData[[#This Row],[Product Code]],ProductData[[Code]:[Item]],2,FALSE)</f>
        <v>Gigastuff</v>
      </c>
      <c r="P3053" s="4">
        <f>OrganizedData[[#This Row],[Quantity]]*VLOOKUP(OrganizedData[[#This Row],[Product Code]],ProductData[],4,FALSE)</f>
        <v>1836</v>
      </c>
      <c r="Q3053" s="6">
        <f>OrganizedData[[#This Row],[Total Items Ordered]]*VLOOKUP(OrganizedData[[#This Row],[Product Code]],ProductData[],3,FALSE)</f>
        <v>3470.04</v>
      </c>
      <c r="R30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3227.1372000000001</v>
      </c>
    </row>
    <row r="3054" spans="1:18" x14ac:dyDescent="0.3">
      <c r="A3054" s="2">
        <v>3047</v>
      </c>
      <c r="B3054" s="2" t="s">
        <v>218</v>
      </c>
      <c r="C3054" s="2" t="s">
        <v>340</v>
      </c>
      <c r="D3054" s="2" t="s">
        <v>92</v>
      </c>
      <c r="E3054" s="2" t="s">
        <v>16</v>
      </c>
      <c r="F3054" s="2">
        <v>90</v>
      </c>
      <c r="G3054" s="2" t="s">
        <v>10543</v>
      </c>
      <c r="H3054" s="2" t="s">
        <v>2875</v>
      </c>
      <c r="I3054" s="2" t="s">
        <v>32</v>
      </c>
      <c r="J3054" s="3">
        <v>44551</v>
      </c>
      <c r="K3054" s="5">
        <f>YEAR(OrganizedData[[#This Row],[Order Date]])</f>
        <v>2021</v>
      </c>
      <c r="L3054" s="7" t="str">
        <f>TEXT(OrganizedData[[#This Row],[Order Date]],"mmm")</f>
        <v>Dec</v>
      </c>
      <c r="M3054" s="2">
        <v>5</v>
      </c>
      <c r="N3054" s="2" t="s">
        <v>33</v>
      </c>
      <c r="O3054" s="2" t="str">
        <f>VLOOKUP(OrganizedData[[#This Row],[Product Code]],ProductData[[Code]:[Item]],2,FALSE)</f>
        <v>Megawidget L</v>
      </c>
      <c r="P3054" s="4">
        <f>OrganizedData[[#This Row],[Quantity]]*VLOOKUP(OrganizedData[[#This Row],[Product Code]],ProductData[],4,FALSE)</f>
        <v>120</v>
      </c>
      <c r="Q3054" s="6">
        <f>OrganizedData[[#This Row],[Total Items Ordered]]*VLOOKUP(OrganizedData[[#This Row],[Product Code]],ProductData[],3,FALSE)</f>
        <v>214.8</v>
      </c>
      <c r="R30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214.8</v>
      </c>
    </row>
    <row r="3055" spans="1:18" x14ac:dyDescent="0.3">
      <c r="A3055" s="2">
        <v>3048</v>
      </c>
      <c r="B3055" s="2" t="s">
        <v>869</v>
      </c>
      <c r="C3055" s="2" t="s">
        <v>795</v>
      </c>
      <c r="D3055" s="2" t="s">
        <v>28</v>
      </c>
      <c r="E3055" s="2" t="s">
        <v>29</v>
      </c>
      <c r="F3055" s="2">
        <v>90</v>
      </c>
      <c r="G3055" s="2" t="s">
        <v>7565</v>
      </c>
      <c r="H3055" s="2" t="s">
        <v>4161</v>
      </c>
      <c r="I3055" s="2" t="s">
        <v>32</v>
      </c>
      <c r="J3055" s="3">
        <v>44312</v>
      </c>
      <c r="K3055" s="5">
        <f>YEAR(OrganizedData[[#This Row],[Order Date]])</f>
        <v>2021</v>
      </c>
      <c r="L3055" s="7" t="str">
        <f>TEXT(OrganizedData[[#This Row],[Order Date]],"mmm")</f>
        <v>Apr</v>
      </c>
      <c r="M3055" s="2">
        <v>62</v>
      </c>
      <c r="N3055" s="2" t="s">
        <v>20</v>
      </c>
      <c r="O3055" s="2" t="str">
        <f>VLOOKUP(OrganizedData[[#This Row],[Product Code]],ProductData[[Code]:[Item]],2,FALSE)</f>
        <v>Hyperwotsit</v>
      </c>
      <c r="P3055" s="4">
        <f>OrganizedData[[#This Row],[Quantity]]*VLOOKUP(OrganizedData[[#This Row],[Product Code]],ProductData[],4,FALSE)</f>
        <v>1240</v>
      </c>
      <c r="Q3055" s="6">
        <f>OrganizedData[[#This Row],[Total Items Ordered]]*VLOOKUP(OrganizedData[[#This Row],[Product Code]],ProductData[],3,FALSE)</f>
        <v>2492.3999999999996</v>
      </c>
      <c r="R30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2367.7799999999997</v>
      </c>
    </row>
    <row r="3056" spans="1:18" x14ac:dyDescent="0.3">
      <c r="A3056" s="2">
        <v>3049</v>
      </c>
      <c r="B3056" s="2" t="s">
        <v>7566</v>
      </c>
      <c r="C3056" s="2" t="s">
        <v>5145</v>
      </c>
      <c r="D3056" s="2" t="s">
        <v>28</v>
      </c>
      <c r="E3056" s="2" t="s">
        <v>29</v>
      </c>
      <c r="F3056" s="2">
        <v>60</v>
      </c>
      <c r="G3056" s="2" t="s">
        <v>7567</v>
      </c>
      <c r="H3056" s="2" t="s">
        <v>382</v>
      </c>
      <c r="I3056" s="2" t="s">
        <v>32</v>
      </c>
      <c r="J3056" s="3">
        <v>44640</v>
      </c>
      <c r="K3056" s="5">
        <f>YEAR(OrganizedData[[#This Row],[Order Date]])</f>
        <v>2022</v>
      </c>
      <c r="L3056" s="7" t="str">
        <f>TEXT(OrganizedData[[#This Row],[Order Date]],"mmm")</f>
        <v>Mar</v>
      </c>
      <c r="M3056" s="2">
        <v>13</v>
      </c>
      <c r="N3056" s="2" t="s">
        <v>33</v>
      </c>
      <c r="O3056" s="2" t="str">
        <f>VLOOKUP(OrganizedData[[#This Row],[Product Code]],ProductData[[Code]:[Item]],2,FALSE)</f>
        <v>Megawidget L</v>
      </c>
      <c r="P3056" s="4">
        <f>OrganizedData[[#This Row],[Quantity]]*VLOOKUP(OrganizedData[[#This Row],[Product Code]],ProductData[],4,FALSE)</f>
        <v>312</v>
      </c>
      <c r="Q3056" s="6">
        <f>OrganizedData[[#This Row],[Total Items Ordered]]*VLOOKUP(OrganizedData[[#This Row],[Product Code]],ProductData[],3,FALSE)</f>
        <v>558.48</v>
      </c>
      <c r="R30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3057" spans="1:18" x14ac:dyDescent="0.3">
      <c r="A3057" s="2">
        <v>3050</v>
      </c>
      <c r="B3057" s="2" t="s">
        <v>3597</v>
      </c>
      <c r="C3057" s="2" t="s">
        <v>4485</v>
      </c>
      <c r="D3057" s="2" t="s">
        <v>15</v>
      </c>
      <c r="E3057" s="2" t="s">
        <v>16</v>
      </c>
      <c r="F3057" s="2">
        <v>90</v>
      </c>
      <c r="G3057" s="2" t="s">
        <v>10544</v>
      </c>
      <c r="H3057" s="2" t="s">
        <v>1723</v>
      </c>
      <c r="I3057" s="2" t="s">
        <v>173</v>
      </c>
      <c r="J3057" s="3">
        <v>44895</v>
      </c>
      <c r="K3057" s="5">
        <f>YEAR(OrganizedData[[#This Row],[Order Date]])</f>
        <v>2022</v>
      </c>
      <c r="L3057" s="7" t="str">
        <f>TEXT(OrganizedData[[#This Row],[Order Date]],"mmm")</f>
        <v>Nov</v>
      </c>
      <c r="M3057" s="2">
        <v>60</v>
      </c>
      <c r="N3057" s="2" t="s">
        <v>39</v>
      </c>
      <c r="O3057" s="2" t="str">
        <f>VLOOKUP(OrganizedData[[#This Row],[Product Code]],ProductData[[Code]:[Item]],2,FALSE)</f>
        <v>Ultrathing V1</v>
      </c>
      <c r="P3057" s="4">
        <f>OrganizedData[[#This Row],[Quantity]]*VLOOKUP(OrganizedData[[#This Row],[Product Code]],ProductData[],4,FALSE)</f>
        <v>1020</v>
      </c>
      <c r="Q3057" s="6">
        <f>OrganizedData[[#This Row],[Total Items Ordered]]*VLOOKUP(OrganizedData[[#This Row],[Product Code]],ProductData[],3,FALSE)</f>
        <v>1825.8</v>
      </c>
      <c r="R30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1734.5099999999998</v>
      </c>
    </row>
    <row r="3058" spans="1:18" x14ac:dyDescent="0.3">
      <c r="A3058" s="2">
        <v>3051</v>
      </c>
      <c r="B3058" s="2" t="s">
        <v>6378</v>
      </c>
      <c r="C3058" s="2" t="s">
        <v>6933</v>
      </c>
      <c r="D3058" s="2" t="s">
        <v>28</v>
      </c>
      <c r="E3058" s="2" t="s">
        <v>29</v>
      </c>
      <c r="F3058" s="2">
        <v>60</v>
      </c>
      <c r="G3058" s="2" t="s">
        <v>7569</v>
      </c>
      <c r="H3058" s="2" t="s">
        <v>1609</v>
      </c>
      <c r="I3058" s="2" t="s">
        <v>32</v>
      </c>
      <c r="J3058" s="3">
        <v>44407</v>
      </c>
      <c r="K3058" s="5">
        <f>YEAR(OrganizedData[[#This Row],[Order Date]])</f>
        <v>2021</v>
      </c>
      <c r="L3058" s="7" t="str">
        <f>TEXT(OrganizedData[[#This Row],[Order Date]],"mmm")</f>
        <v>Jul</v>
      </c>
      <c r="M3058" s="2">
        <v>2</v>
      </c>
      <c r="N3058" s="2" t="s">
        <v>101</v>
      </c>
      <c r="O3058" s="2" t="str">
        <f>VLOOKUP(OrganizedData[[#This Row],[Product Code]],ProductData[[Code]:[Item]],2,FALSE)</f>
        <v>Superwossname</v>
      </c>
      <c r="P3058" s="4">
        <f>OrganizedData[[#This Row],[Quantity]]*VLOOKUP(OrganizedData[[#This Row],[Product Code]],ProductData[],4,FALSE)</f>
        <v>40</v>
      </c>
      <c r="Q3058" s="6">
        <f>OrganizedData[[#This Row],[Total Items Ordered]]*VLOOKUP(OrganizedData[[#This Row],[Product Code]],ProductData[],3,FALSE)</f>
        <v>139.60000000000002</v>
      </c>
      <c r="R30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3059" spans="1:18" x14ac:dyDescent="0.3">
      <c r="A3059" s="2">
        <v>3052</v>
      </c>
      <c r="B3059" s="2" t="s">
        <v>1946</v>
      </c>
      <c r="C3059" s="2" t="s">
        <v>138</v>
      </c>
      <c r="D3059" s="2" t="s">
        <v>28</v>
      </c>
      <c r="E3059" s="2" t="s">
        <v>29</v>
      </c>
      <c r="F3059" s="2">
        <v>60</v>
      </c>
      <c r="G3059" s="2" t="s">
        <v>7570</v>
      </c>
      <c r="H3059" s="2" t="s">
        <v>3774</v>
      </c>
      <c r="I3059" s="2" t="s">
        <v>187</v>
      </c>
      <c r="J3059" s="3">
        <v>44099</v>
      </c>
      <c r="K3059" s="5">
        <f>YEAR(OrganizedData[[#This Row],[Order Date]])</f>
        <v>2020</v>
      </c>
      <c r="L3059" s="7" t="str">
        <f>TEXT(OrganizedData[[#This Row],[Order Date]],"mmm")</f>
        <v>Sep</v>
      </c>
      <c r="M3059" s="2">
        <v>72</v>
      </c>
      <c r="N3059" s="2" t="s">
        <v>20</v>
      </c>
      <c r="O3059" s="2" t="str">
        <f>VLOOKUP(OrganizedData[[#This Row],[Product Code]],ProductData[[Code]:[Item]],2,FALSE)</f>
        <v>Hyperwotsit</v>
      </c>
      <c r="P3059" s="4">
        <f>OrganizedData[[#This Row],[Quantity]]*VLOOKUP(OrganizedData[[#This Row],[Product Code]],ProductData[],4,FALSE)</f>
        <v>1440</v>
      </c>
      <c r="Q3059" s="6">
        <f>OrganizedData[[#This Row],[Total Items Ordered]]*VLOOKUP(OrganizedData[[#This Row],[Product Code]],ProductData[],3,FALSE)</f>
        <v>2894.3999999999996</v>
      </c>
      <c r="R30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2749.6799999999994</v>
      </c>
    </row>
    <row r="3060" spans="1:18" x14ac:dyDescent="0.3">
      <c r="A3060" s="2">
        <v>3053</v>
      </c>
      <c r="B3060" s="2" t="s">
        <v>4775</v>
      </c>
      <c r="C3060" s="2" t="s">
        <v>2832</v>
      </c>
      <c r="D3060" s="2" t="s">
        <v>28</v>
      </c>
      <c r="E3060" s="2" t="s">
        <v>29</v>
      </c>
      <c r="F3060" s="2">
        <v>90</v>
      </c>
      <c r="G3060" s="2" t="s">
        <v>7571</v>
      </c>
      <c r="H3060" s="2" t="s">
        <v>7572</v>
      </c>
      <c r="I3060" s="2" t="s">
        <v>886</v>
      </c>
      <c r="J3060" s="3">
        <v>44236</v>
      </c>
      <c r="K3060" s="5">
        <f>YEAR(OrganizedData[[#This Row],[Order Date]])</f>
        <v>2021</v>
      </c>
      <c r="L3060" s="7" t="str">
        <f>TEXT(OrganizedData[[#This Row],[Order Date]],"mmm")</f>
        <v>Feb</v>
      </c>
      <c r="M3060" s="2">
        <v>81</v>
      </c>
      <c r="N3060" s="2" t="s">
        <v>54</v>
      </c>
      <c r="O3060" s="2" t="str">
        <f>VLOOKUP(OrganizedData[[#This Row],[Product Code]],ProductData[[Code]:[Item]],2,FALSE)</f>
        <v>Megawidget S</v>
      </c>
      <c r="P3060" s="4">
        <f>OrganizedData[[#This Row],[Quantity]]*VLOOKUP(OrganizedData[[#This Row],[Product Code]],ProductData[],4,FALSE)</f>
        <v>1944</v>
      </c>
      <c r="Q3060" s="6">
        <f>OrganizedData[[#This Row],[Total Items Ordered]]*VLOOKUP(OrganizedData[[#This Row],[Product Code]],ProductData[],3,FALSE)</f>
        <v>1341.36</v>
      </c>
      <c r="R30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3061" spans="1:18" x14ac:dyDescent="0.3">
      <c r="A3061" s="2">
        <v>3054</v>
      </c>
      <c r="B3061" s="2" t="s">
        <v>7573</v>
      </c>
      <c r="C3061" s="2" t="s">
        <v>1023</v>
      </c>
      <c r="D3061" s="2" t="s">
        <v>15</v>
      </c>
      <c r="E3061" s="2" t="s">
        <v>16</v>
      </c>
      <c r="F3061" s="2">
        <v>60</v>
      </c>
      <c r="G3061" s="2" t="s">
        <v>7574</v>
      </c>
      <c r="H3061" s="2" t="s">
        <v>558</v>
      </c>
      <c r="I3061" s="2" t="s">
        <v>32</v>
      </c>
      <c r="J3061" s="3">
        <v>44354</v>
      </c>
      <c r="K3061" s="5">
        <f>YEAR(OrganizedData[[#This Row],[Order Date]])</f>
        <v>2021</v>
      </c>
      <c r="L3061" s="7" t="str">
        <f>TEXT(OrganizedData[[#This Row],[Order Date]],"mmm")</f>
        <v>Jun</v>
      </c>
      <c r="M3061" s="2">
        <v>82</v>
      </c>
      <c r="N3061" s="2" t="s">
        <v>54</v>
      </c>
      <c r="O3061" s="2" t="str">
        <f>VLOOKUP(OrganizedData[[#This Row],[Product Code]],ProductData[[Code]:[Item]],2,FALSE)</f>
        <v>Megawidget S</v>
      </c>
      <c r="P3061" s="4">
        <f>OrganizedData[[#This Row],[Quantity]]*VLOOKUP(OrganizedData[[#This Row],[Product Code]],ProductData[],4,FALSE)</f>
        <v>1968</v>
      </c>
      <c r="Q3061" s="6">
        <f>OrganizedData[[#This Row],[Total Items Ordered]]*VLOOKUP(OrganizedData[[#This Row],[Product Code]],ProductData[],3,FALSE)</f>
        <v>1357.9199999999998</v>
      </c>
      <c r="R30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3062" spans="1:18" x14ac:dyDescent="0.3">
      <c r="A3062" s="2">
        <v>3055</v>
      </c>
      <c r="B3062" s="2" t="s">
        <v>960</v>
      </c>
      <c r="C3062" s="2" t="s">
        <v>3366</v>
      </c>
      <c r="D3062" s="2" t="s">
        <v>28</v>
      </c>
      <c r="E3062" s="2" t="s">
        <v>29</v>
      </c>
      <c r="F3062" s="2">
        <v>90</v>
      </c>
      <c r="G3062" s="2" t="s">
        <v>7575</v>
      </c>
      <c r="H3062" s="2" t="s">
        <v>2917</v>
      </c>
      <c r="I3062" s="2" t="s">
        <v>95</v>
      </c>
      <c r="J3062" s="3">
        <v>44768</v>
      </c>
      <c r="K3062" s="5">
        <f>YEAR(OrganizedData[[#This Row],[Order Date]])</f>
        <v>2022</v>
      </c>
      <c r="L3062" s="7" t="str">
        <f>TEXT(OrganizedData[[#This Row],[Order Date]],"mmm")</f>
        <v>Jul</v>
      </c>
      <c r="M3062" s="2">
        <v>38</v>
      </c>
      <c r="N3062" s="2" t="s">
        <v>33</v>
      </c>
      <c r="O3062" s="2" t="str">
        <f>VLOOKUP(OrganizedData[[#This Row],[Product Code]],ProductData[[Code]:[Item]],2,FALSE)</f>
        <v>Megawidget L</v>
      </c>
      <c r="P3062" s="4">
        <f>OrganizedData[[#This Row],[Quantity]]*VLOOKUP(OrganizedData[[#This Row],[Product Code]],ProductData[],4,FALSE)</f>
        <v>912</v>
      </c>
      <c r="Q3062" s="6">
        <f>OrganizedData[[#This Row],[Total Items Ordered]]*VLOOKUP(OrganizedData[[#This Row],[Product Code]],ProductData[],3,FALSE)</f>
        <v>1632.48</v>
      </c>
      <c r="R30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3063" spans="1:18" x14ac:dyDescent="0.3">
      <c r="A3063" s="2">
        <v>3056</v>
      </c>
      <c r="B3063" s="2" t="s">
        <v>1140</v>
      </c>
      <c r="C3063" s="2" t="s">
        <v>928</v>
      </c>
      <c r="D3063" s="2" t="s">
        <v>28</v>
      </c>
      <c r="E3063" s="2" t="s">
        <v>29</v>
      </c>
      <c r="F3063" s="2">
        <v>90</v>
      </c>
      <c r="G3063" s="2" t="s">
        <v>7576</v>
      </c>
      <c r="H3063" s="2" t="s">
        <v>3579</v>
      </c>
      <c r="I3063" s="2" t="s">
        <v>1576</v>
      </c>
      <c r="J3063" s="3">
        <v>44313</v>
      </c>
      <c r="K3063" s="5">
        <f>YEAR(OrganizedData[[#This Row],[Order Date]])</f>
        <v>2021</v>
      </c>
      <c r="L3063" s="7" t="str">
        <f>TEXT(OrganizedData[[#This Row],[Order Date]],"mmm")</f>
        <v>Apr</v>
      </c>
      <c r="M3063" s="2">
        <v>75</v>
      </c>
      <c r="N3063" s="2" t="s">
        <v>20</v>
      </c>
      <c r="O3063" s="2" t="str">
        <f>VLOOKUP(OrganizedData[[#This Row],[Product Code]],ProductData[[Code]:[Item]],2,FALSE)</f>
        <v>Hyperwotsit</v>
      </c>
      <c r="P3063" s="4">
        <f>OrganizedData[[#This Row],[Quantity]]*VLOOKUP(OrganizedData[[#This Row],[Product Code]],ProductData[],4,FALSE)</f>
        <v>1500</v>
      </c>
      <c r="Q3063" s="6">
        <f>OrganizedData[[#This Row],[Total Items Ordered]]*VLOOKUP(OrganizedData[[#This Row],[Product Code]],ProductData[],3,FALSE)</f>
        <v>3014.9999999999995</v>
      </c>
      <c r="R30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2864.2499999999995</v>
      </c>
    </row>
    <row r="3064" spans="1:18" x14ac:dyDescent="0.3">
      <c r="A3064" s="2">
        <v>3057</v>
      </c>
      <c r="B3064" s="2" t="s">
        <v>1563</v>
      </c>
      <c r="C3064" s="2" t="s">
        <v>7577</v>
      </c>
      <c r="D3064" s="2" t="s">
        <v>28</v>
      </c>
      <c r="E3064" s="2" t="s">
        <v>29</v>
      </c>
      <c r="F3064" s="2">
        <v>60</v>
      </c>
      <c r="G3064" s="2" t="s">
        <v>7578</v>
      </c>
      <c r="H3064" s="2" t="s">
        <v>5811</v>
      </c>
      <c r="I3064" s="2" t="s">
        <v>294</v>
      </c>
      <c r="J3064" s="3">
        <v>44667</v>
      </c>
      <c r="K3064" s="5">
        <f>YEAR(OrganizedData[[#This Row],[Order Date]])</f>
        <v>2022</v>
      </c>
      <c r="L3064" s="7" t="str">
        <f>TEXT(OrganizedData[[#This Row],[Order Date]],"mmm")</f>
        <v>Apr</v>
      </c>
      <c r="M3064" s="2">
        <v>55</v>
      </c>
      <c r="N3064" s="2" t="s">
        <v>159</v>
      </c>
      <c r="O3064" s="2" t="str">
        <f>VLOOKUP(OrganizedData[[#This Row],[Product Code]],ProductData[[Code]:[Item]],2,FALSE)</f>
        <v>Ultrathing V3</v>
      </c>
      <c r="P3064" s="4">
        <f>OrganizedData[[#This Row],[Quantity]]*VLOOKUP(OrganizedData[[#This Row],[Product Code]],ProductData[],4,FALSE)</f>
        <v>1320</v>
      </c>
      <c r="Q3064" s="6">
        <f>OrganizedData[[#This Row],[Total Items Ordered]]*VLOOKUP(OrganizedData[[#This Row],[Product Code]],ProductData[],3,FALSE)</f>
        <v>4474.8</v>
      </c>
      <c r="R30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4251.0600000000004</v>
      </c>
    </row>
    <row r="3065" spans="1:18" x14ac:dyDescent="0.3">
      <c r="A3065" s="2">
        <v>3058</v>
      </c>
      <c r="B3065" s="2" t="s">
        <v>1351</v>
      </c>
      <c r="C3065" s="2" t="s">
        <v>4416</v>
      </c>
      <c r="D3065" s="2" t="s">
        <v>28</v>
      </c>
      <c r="E3065" s="2" t="s">
        <v>29</v>
      </c>
      <c r="F3065" s="2">
        <v>60</v>
      </c>
      <c r="G3065" s="2" t="s">
        <v>7579</v>
      </c>
      <c r="H3065" s="2" t="s">
        <v>4111</v>
      </c>
      <c r="I3065" s="2" t="s">
        <v>95</v>
      </c>
      <c r="J3065" s="3">
        <v>44771</v>
      </c>
      <c r="K3065" s="5">
        <f>YEAR(OrganizedData[[#This Row],[Order Date]])</f>
        <v>2022</v>
      </c>
      <c r="L3065" s="7" t="str">
        <f>TEXT(OrganizedData[[#This Row],[Order Date]],"mmm")</f>
        <v>Jul</v>
      </c>
      <c r="M3065" s="2">
        <v>82</v>
      </c>
      <c r="N3065" s="2" t="s">
        <v>45</v>
      </c>
      <c r="O3065" s="2" t="str">
        <f>VLOOKUP(OrganizedData[[#This Row],[Product Code]],ProductData[[Code]:[Item]],2,FALSE)</f>
        <v>Gigastuff</v>
      </c>
      <c r="P3065" s="4">
        <f>OrganizedData[[#This Row],[Quantity]]*VLOOKUP(OrganizedData[[#This Row],[Product Code]],ProductData[],4,FALSE)</f>
        <v>1476</v>
      </c>
      <c r="Q3065" s="6">
        <f>OrganizedData[[#This Row],[Total Items Ordered]]*VLOOKUP(OrganizedData[[#This Row],[Product Code]],ProductData[],3,FALSE)</f>
        <v>2789.64</v>
      </c>
      <c r="R30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3066" spans="1:18" x14ac:dyDescent="0.3">
      <c r="A3066" s="2">
        <v>3059</v>
      </c>
      <c r="B3066" s="2" t="s">
        <v>3469</v>
      </c>
      <c r="C3066" s="2" t="s">
        <v>2557</v>
      </c>
      <c r="D3066" s="2" t="s">
        <v>28</v>
      </c>
      <c r="E3066" s="2" t="s">
        <v>29</v>
      </c>
      <c r="F3066" s="2">
        <v>60</v>
      </c>
      <c r="G3066" s="2" t="s">
        <v>7579</v>
      </c>
      <c r="H3066" s="2" t="s">
        <v>4049</v>
      </c>
      <c r="I3066" s="2" t="s">
        <v>32</v>
      </c>
      <c r="J3066" s="3">
        <v>44647</v>
      </c>
      <c r="K3066" s="5">
        <f>YEAR(OrganizedData[[#This Row],[Order Date]])</f>
        <v>2022</v>
      </c>
      <c r="L3066" s="7" t="str">
        <f>TEXT(OrganizedData[[#This Row],[Order Date]],"mmm")</f>
        <v>Mar</v>
      </c>
      <c r="M3066" s="2">
        <v>64</v>
      </c>
      <c r="N3066" s="2" t="s">
        <v>33</v>
      </c>
      <c r="O3066" s="2" t="str">
        <f>VLOOKUP(OrganizedData[[#This Row],[Product Code]],ProductData[[Code]:[Item]],2,FALSE)</f>
        <v>Megawidget L</v>
      </c>
      <c r="P3066" s="4">
        <f>OrganizedData[[#This Row],[Quantity]]*VLOOKUP(OrganizedData[[#This Row],[Product Code]],ProductData[],4,FALSE)</f>
        <v>1536</v>
      </c>
      <c r="Q3066" s="6">
        <f>OrganizedData[[#This Row],[Total Items Ordered]]*VLOOKUP(OrganizedData[[#This Row],[Product Code]],ProductData[],3,FALSE)</f>
        <v>2749.44</v>
      </c>
      <c r="R30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2611.9679999999998</v>
      </c>
    </row>
    <row r="3067" spans="1:18" x14ac:dyDescent="0.3">
      <c r="A3067" s="2">
        <v>3060</v>
      </c>
      <c r="B3067" s="2" t="s">
        <v>7580</v>
      </c>
      <c r="C3067" s="2" t="s">
        <v>3322</v>
      </c>
      <c r="D3067" s="2" t="s">
        <v>51</v>
      </c>
      <c r="E3067" s="2" t="s">
        <v>16</v>
      </c>
      <c r="F3067" s="2">
        <v>60</v>
      </c>
      <c r="G3067" s="2" t="s">
        <v>7581</v>
      </c>
      <c r="H3067" s="2" t="s">
        <v>5867</v>
      </c>
      <c r="I3067" s="2" t="s">
        <v>32</v>
      </c>
      <c r="J3067" s="3">
        <v>44694</v>
      </c>
      <c r="K3067" s="5">
        <f>YEAR(OrganizedData[[#This Row],[Order Date]])</f>
        <v>2022</v>
      </c>
      <c r="L3067" s="7" t="str">
        <f>TEXT(OrganizedData[[#This Row],[Order Date]],"mmm")</f>
        <v>May</v>
      </c>
      <c r="M3067" s="2">
        <v>57</v>
      </c>
      <c r="N3067" s="2" t="s">
        <v>54</v>
      </c>
      <c r="O3067" s="2" t="str">
        <f>VLOOKUP(OrganizedData[[#This Row],[Product Code]],ProductData[[Code]:[Item]],2,FALSE)</f>
        <v>Megawidget S</v>
      </c>
      <c r="P3067" s="4">
        <f>OrganizedData[[#This Row],[Quantity]]*VLOOKUP(OrganizedData[[#This Row],[Product Code]],ProductData[],4,FALSE)</f>
        <v>1368</v>
      </c>
      <c r="Q3067" s="6">
        <f>OrganizedData[[#This Row],[Total Items Ordered]]*VLOOKUP(OrganizedData[[#This Row],[Product Code]],ProductData[],3,FALSE)</f>
        <v>943.92</v>
      </c>
      <c r="R30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896.72399999999993</v>
      </c>
    </row>
    <row r="3068" spans="1:18" x14ac:dyDescent="0.3">
      <c r="A3068" s="2">
        <v>3061</v>
      </c>
      <c r="B3068" s="2" t="s">
        <v>7582</v>
      </c>
      <c r="C3068" s="2" t="s">
        <v>4237</v>
      </c>
      <c r="D3068" s="2" t="s">
        <v>28</v>
      </c>
      <c r="E3068" s="2" t="s">
        <v>29</v>
      </c>
      <c r="F3068" s="2">
        <v>60</v>
      </c>
      <c r="G3068" s="2" t="s">
        <v>7583</v>
      </c>
      <c r="H3068" s="2" t="s">
        <v>7584</v>
      </c>
      <c r="I3068" s="2" t="s">
        <v>32</v>
      </c>
      <c r="J3068" s="3">
        <v>44707</v>
      </c>
      <c r="K3068" s="5">
        <f>YEAR(OrganizedData[[#This Row],[Order Date]])</f>
        <v>2022</v>
      </c>
      <c r="L3068" s="7" t="str">
        <f>TEXT(OrganizedData[[#This Row],[Order Date]],"mmm")</f>
        <v>May</v>
      </c>
      <c r="M3068" s="2">
        <v>97</v>
      </c>
      <c r="N3068" s="2" t="s">
        <v>64</v>
      </c>
      <c r="O3068" s="2" t="str">
        <f>VLOOKUP(OrganizedData[[#This Row],[Product Code]],ProductData[[Code]:[Item]],2,FALSE)</f>
        <v>Ultrathing V4</v>
      </c>
      <c r="P3068" s="4">
        <f>OrganizedData[[#This Row],[Quantity]]*VLOOKUP(OrganizedData[[#This Row],[Product Code]],ProductData[],4,FALSE)</f>
        <v>2328</v>
      </c>
      <c r="Q3068" s="6">
        <f>OrganizedData[[#This Row],[Total Items Ordered]]*VLOOKUP(OrganizedData[[#This Row],[Product Code]],ProductData[],3,FALSE)</f>
        <v>9288.7200000000012</v>
      </c>
      <c r="R30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8824.2840000000015</v>
      </c>
    </row>
    <row r="3069" spans="1:18" x14ac:dyDescent="0.3">
      <c r="A3069" s="2">
        <v>3062</v>
      </c>
      <c r="B3069" s="2" t="s">
        <v>7585</v>
      </c>
      <c r="C3069" s="2" t="s">
        <v>1851</v>
      </c>
      <c r="D3069" s="2" t="s">
        <v>51</v>
      </c>
      <c r="E3069" s="2" t="s">
        <v>16</v>
      </c>
      <c r="F3069" s="2">
        <v>90</v>
      </c>
      <c r="G3069" s="2" t="s">
        <v>7586</v>
      </c>
      <c r="H3069" s="2" t="s">
        <v>3666</v>
      </c>
      <c r="I3069" s="2" t="s">
        <v>1483</v>
      </c>
      <c r="J3069" s="3">
        <v>44445</v>
      </c>
      <c r="K3069" s="5">
        <f>YEAR(OrganizedData[[#This Row],[Order Date]])</f>
        <v>2021</v>
      </c>
      <c r="L3069" s="7" t="str">
        <f>TEXT(OrganizedData[[#This Row],[Order Date]],"mmm")</f>
        <v>Sep</v>
      </c>
      <c r="M3069" s="2">
        <v>13</v>
      </c>
      <c r="N3069" s="2" t="s">
        <v>39</v>
      </c>
      <c r="O3069" s="2" t="str">
        <f>VLOOKUP(OrganizedData[[#This Row],[Product Code]],ProductData[[Code]:[Item]],2,FALSE)</f>
        <v>Ultrathing V1</v>
      </c>
      <c r="P3069" s="4">
        <f>OrganizedData[[#This Row],[Quantity]]*VLOOKUP(OrganizedData[[#This Row],[Product Code]],ProductData[],4,FALSE)</f>
        <v>221</v>
      </c>
      <c r="Q3069" s="6">
        <f>OrganizedData[[#This Row],[Total Items Ordered]]*VLOOKUP(OrganizedData[[#This Row],[Product Code]],ProductData[],3,FALSE)</f>
        <v>395.59000000000003</v>
      </c>
      <c r="R30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395.59000000000003</v>
      </c>
    </row>
    <row r="3070" spans="1:18" x14ac:dyDescent="0.3">
      <c r="A3070" s="2">
        <v>3063</v>
      </c>
      <c r="B3070" s="2" t="s">
        <v>7587</v>
      </c>
      <c r="C3070" s="2" t="s">
        <v>7588</v>
      </c>
      <c r="D3070" s="2" t="s">
        <v>51</v>
      </c>
      <c r="E3070" s="2" t="s">
        <v>16</v>
      </c>
      <c r="F3070" s="2">
        <v>30</v>
      </c>
      <c r="G3070" s="2" t="s">
        <v>7589</v>
      </c>
      <c r="H3070" s="2" t="s">
        <v>974</v>
      </c>
      <c r="I3070" s="2" t="s">
        <v>32</v>
      </c>
      <c r="J3070" s="3">
        <v>44642</v>
      </c>
      <c r="K3070" s="5">
        <f>YEAR(OrganizedData[[#This Row],[Order Date]])</f>
        <v>2022</v>
      </c>
      <c r="L3070" s="7" t="str">
        <f>TEXT(OrganizedData[[#This Row],[Order Date]],"mmm")</f>
        <v>Mar</v>
      </c>
      <c r="M3070" s="2">
        <v>99</v>
      </c>
      <c r="N3070" s="2" t="s">
        <v>159</v>
      </c>
      <c r="O3070" s="2" t="str">
        <f>VLOOKUP(OrganizedData[[#This Row],[Product Code]],ProductData[[Code]:[Item]],2,FALSE)</f>
        <v>Ultrathing V3</v>
      </c>
      <c r="P3070" s="4">
        <f>OrganizedData[[#This Row],[Quantity]]*VLOOKUP(OrganizedData[[#This Row],[Product Code]],ProductData[],4,FALSE)</f>
        <v>2376</v>
      </c>
      <c r="Q3070" s="6">
        <f>OrganizedData[[#This Row],[Total Items Ordered]]*VLOOKUP(OrganizedData[[#This Row],[Product Code]],ProductData[],3,FALSE)</f>
        <v>8054.64</v>
      </c>
      <c r="R30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7651.9080000000004</v>
      </c>
    </row>
    <row r="3071" spans="1:18" x14ac:dyDescent="0.3">
      <c r="A3071" s="2">
        <v>3064</v>
      </c>
      <c r="B3071" s="2" t="s">
        <v>504</v>
      </c>
      <c r="C3071" s="2" t="s">
        <v>1047</v>
      </c>
      <c r="D3071" s="2" t="s">
        <v>28</v>
      </c>
      <c r="E3071" s="2" t="s">
        <v>29</v>
      </c>
      <c r="F3071" s="2">
        <v>30</v>
      </c>
      <c r="G3071" s="2" t="s">
        <v>7590</v>
      </c>
      <c r="H3071" s="2" t="s">
        <v>834</v>
      </c>
      <c r="I3071" s="2" t="s">
        <v>32</v>
      </c>
      <c r="J3071" s="3">
        <v>44747</v>
      </c>
      <c r="K3071" s="5">
        <f>YEAR(OrganizedData[[#This Row],[Order Date]])</f>
        <v>2022</v>
      </c>
      <c r="L3071" s="7" t="str">
        <f>TEXT(OrganizedData[[#This Row],[Order Date]],"mmm")</f>
        <v>Jul</v>
      </c>
      <c r="M3071" s="2">
        <v>54</v>
      </c>
      <c r="N3071" s="2" t="s">
        <v>20</v>
      </c>
      <c r="O3071" s="2" t="str">
        <f>VLOOKUP(OrganizedData[[#This Row],[Product Code]],ProductData[[Code]:[Item]],2,FALSE)</f>
        <v>Hyperwotsit</v>
      </c>
      <c r="P3071" s="4">
        <f>OrganizedData[[#This Row],[Quantity]]*VLOOKUP(OrganizedData[[#This Row],[Product Code]],ProductData[],4,FALSE)</f>
        <v>1080</v>
      </c>
      <c r="Q3071" s="6">
        <f>OrganizedData[[#This Row],[Total Items Ordered]]*VLOOKUP(OrganizedData[[#This Row],[Product Code]],ProductData[],3,FALSE)</f>
        <v>2170.7999999999997</v>
      </c>
      <c r="R30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2062.2599999999998</v>
      </c>
    </row>
    <row r="3072" spans="1:18" x14ac:dyDescent="0.3">
      <c r="A3072" s="2">
        <v>3065</v>
      </c>
      <c r="B3072" s="2" t="s">
        <v>4625</v>
      </c>
      <c r="C3072" s="2" t="s">
        <v>3968</v>
      </c>
      <c r="D3072" s="2" t="s">
        <v>28</v>
      </c>
      <c r="E3072" s="2" t="s">
        <v>29</v>
      </c>
      <c r="F3072" s="2">
        <v>30</v>
      </c>
      <c r="G3072" s="2" t="s">
        <v>7591</v>
      </c>
      <c r="H3072" s="2" t="s">
        <v>1615</v>
      </c>
      <c r="I3072" s="2" t="s">
        <v>32</v>
      </c>
      <c r="J3072" s="3">
        <v>44164</v>
      </c>
      <c r="K3072" s="5">
        <f>YEAR(OrganizedData[[#This Row],[Order Date]])</f>
        <v>2020</v>
      </c>
      <c r="L3072" s="7" t="str">
        <f>TEXT(OrganizedData[[#This Row],[Order Date]],"mmm")</f>
        <v>Nov</v>
      </c>
      <c r="M3072" s="2">
        <v>62</v>
      </c>
      <c r="N3072" s="2" t="s">
        <v>33</v>
      </c>
      <c r="O3072" s="2" t="str">
        <f>VLOOKUP(OrganizedData[[#This Row],[Product Code]],ProductData[[Code]:[Item]],2,FALSE)</f>
        <v>Megawidget L</v>
      </c>
      <c r="P3072" s="4">
        <f>OrganizedData[[#This Row],[Quantity]]*VLOOKUP(OrganizedData[[#This Row],[Product Code]],ProductData[],4,FALSE)</f>
        <v>1488</v>
      </c>
      <c r="Q3072" s="6">
        <f>OrganizedData[[#This Row],[Total Items Ordered]]*VLOOKUP(OrganizedData[[#This Row],[Product Code]],ProductData[],3,FALSE)</f>
        <v>2663.52</v>
      </c>
      <c r="R30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3073" spans="1:18" x14ac:dyDescent="0.3">
      <c r="A3073" s="2">
        <v>3066</v>
      </c>
      <c r="B3073" s="2" t="s">
        <v>7592</v>
      </c>
      <c r="C3073" s="2" t="s">
        <v>7593</v>
      </c>
      <c r="D3073" s="2" t="s">
        <v>15</v>
      </c>
      <c r="E3073" s="2" t="s">
        <v>16</v>
      </c>
      <c r="F3073" s="2">
        <v>90</v>
      </c>
      <c r="G3073" s="2" t="s">
        <v>7594</v>
      </c>
      <c r="H3073" s="2" t="s">
        <v>1210</v>
      </c>
      <c r="I3073" s="2" t="s">
        <v>294</v>
      </c>
      <c r="J3073" s="3">
        <v>44547</v>
      </c>
      <c r="K3073" s="5">
        <f>YEAR(OrganizedData[[#This Row],[Order Date]])</f>
        <v>2021</v>
      </c>
      <c r="L3073" s="7" t="str">
        <f>TEXT(OrganizedData[[#This Row],[Order Date]],"mmm")</f>
        <v>Dec</v>
      </c>
      <c r="M3073" s="2">
        <v>15</v>
      </c>
      <c r="N3073" s="2" t="s">
        <v>80</v>
      </c>
      <c r="O3073" s="2" t="str">
        <f>VLOOKUP(OrganizedData[[#This Row],[Product Code]],ProductData[[Code]:[Item]],2,FALSE)</f>
        <v>Ultrathing V2</v>
      </c>
      <c r="P3073" s="4">
        <f>OrganizedData[[#This Row],[Quantity]]*VLOOKUP(OrganizedData[[#This Row],[Product Code]],ProductData[],4,FALSE)</f>
        <v>300</v>
      </c>
      <c r="Q3073" s="6">
        <f>OrganizedData[[#This Row],[Total Items Ordered]]*VLOOKUP(OrganizedData[[#This Row],[Product Code]],ProductData[],3,FALSE)</f>
        <v>885</v>
      </c>
      <c r="R30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3074" spans="1:18" x14ac:dyDescent="0.3">
      <c r="A3074" s="2">
        <v>3067</v>
      </c>
      <c r="B3074" s="2" t="s">
        <v>7595</v>
      </c>
      <c r="C3074" s="2" t="s">
        <v>414</v>
      </c>
      <c r="D3074" s="2" t="s">
        <v>28</v>
      </c>
      <c r="E3074" s="2" t="s">
        <v>29</v>
      </c>
      <c r="F3074" s="2">
        <v>60</v>
      </c>
      <c r="G3074" s="2" t="s">
        <v>7596</v>
      </c>
      <c r="H3074" s="2" t="s">
        <v>1667</v>
      </c>
      <c r="I3074" s="2" t="s">
        <v>32</v>
      </c>
      <c r="J3074" s="3">
        <v>44762</v>
      </c>
      <c r="K3074" s="5">
        <f>YEAR(OrganizedData[[#This Row],[Order Date]])</f>
        <v>2022</v>
      </c>
      <c r="L3074" s="7" t="str">
        <f>TEXT(OrganizedData[[#This Row],[Order Date]],"mmm")</f>
        <v>Jul</v>
      </c>
      <c r="M3074" s="2">
        <v>75</v>
      </c>
      <c r="N3074" s="2" t="s">
        <v>80</v>
      </c>
      <c r="O3074" s="2" t="str">
        <f>VLOOKUP(OrganizedData[[#This Row],[Product Code]],ProductData[[Code]:[Item]],2,FALSE)</f>
        <v>Ultrathing V2</v>
      </c>
      <c r="P3074" s="4">
        <f>OrganizedData[[#This Row],[Quantity]]*VLOOKUP(OrganizedData[[#This Row],[Product Code]],ProductData[],4,FALSE)</f>
        <v>1500</v>
      </c>
      <c r="Q3074" s="6">
        <f>OrganizedData[[#This Row],[Total Items Ordered]]*VLOOKUP(OrganizedData[[#This Row],[Product Code]],ProductData[],3,FALSE)</f>
        <v>4425</v>
      </c>
      <c r="R30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4203.75</v>
      </c>
    </row>
    <row r="3075" spans="1:18" x14ac:dyDescent="0.3">
      <c r="A3075" s="2">
        <v>3068</v>
      </c>
      <c r="B3075" s="2" t="s">
        <v>7176</v>
      </c>
      <c r="C3075" s="2" t="s">
        <v>277</v>
      </c>
      <c r="D3075" s="2" t="s">
        <v>28</v>
      </c>
      <c r="E3075" s="2" t="s">
        <v>29</v>
      </c>
      <c r="F3075" s="2">
        <v>60</v>
      </c>
      <c r="G3075" s="2" t="s">
        <v>7597</v>
      </c>
      <c r="H3075" s="2" t="s">
        <v>4098</v>
      </c>
      <c r="I3075" s="2" t="s">
        <v>1889</v>
      </c>
      <c r="J3075" s="3">
        <v>44164</v>
      </c>
      <c r="K3075" s="5">
        <f>YEAR(OrganizedData[[#This Row],[Order Date]])</f>
        <v>2020</v>
      </c>
      <c r="L3075" s="7" t="str">
        <f>TEXT(OrganizedData[[#This Row],[Order Date]],"mmm")</f>
        <v>Nov</v>
      </c>
      <c r="M3075" s="2">
        <v>15</v>
      </c>
      <c r="N3075" s="2" t="s">
        <v>64</v>
      </c>
      <c r="O3075" s="2" t="str">
        <f>VLOOKUP(OrganizedData[[#This Row],[Product Code]],ProductData[[Code]:[Item]],2,FALSE)</f>
        <v>Ultrathing V4</v>
      </c>
      <c r="P3075" s="4">
        <f>OrganizedData[[#This Row],[Quantity]]*VLOOKUP(OrganizedData[[#This Row],[Product Code]],ProductData[],4,FALSE)</f>
        <v>360</v>
      </c>
      <c r="Q3075" s="6">
        <f>OrganizedData[[#This Row],[Total Items Ordered]]*VLOOKUP(OrganizedData[[#This Row],[Product Code]],ProductData[],3,FALSE)</f>
        <v>1436.4</v>
      </c>
      <c r="R30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1436.4</v>
      </c>
    </row>
    <row r="3076" spans="1:18" x14ac:dyDescent="0.3">
      <c r="A3076" s="2">
        <v>3069</v>
      </c>
      <c r="B3076" s="2" t="s">
        <v>3655</v>
      </c>
      <c r="C3076" s="2" t="s">
        <v>4399</v>
      </c>
      <c r="D3076" s="2" t="s">
        <v>28</v>
      </c>
      <c r="E3076" s="2" t="s">
        <v>29</v>
      </c>
      <c r="F3076" s="2">
        <v>60</v>
      </c>
      <c r="G3076" s="2" t="s">
        <v>7597</v>
      </c>
      <c r="H3076" s="2" t="s">
        <v>7598</v>
      </c>
      <c r="I3076" s="2" t="s">
        <v>187</v>
      </c>
      <c r="J3076" s="3">
        <v>44123</v>
      </c>
      <c r="K3076" s="5">
        <f>YEAR(OrganizedData[[#This Row],[Order Date]])</f>
        <v>2020</v>
      </c>
      <c r="L3076" s="7" t="str">
        <f>TEXT(OrganizedData[[#This Row],[Order Date]],"mmm")</f>
        <v>Oct</v>
      </c>
      <c r="M3076" s="2">
        <v>50</v>
      </c>
      <c r="N3076" s="2" t="s">
        <v>54</v>
      </c>
      <c r="O3076" s="2" t="str">
        <f>VLOOKUP(OrganizedData[[#This Row],[Product Code]],ProductData[[Code]:[Item]],2,FALSE)</f>
        <v>Megawidget S</v>
      </c>
      <c r="P3076" s="4">
        <f>OrganizedData[[#This Row],[Quantity]]*VLOOKUP(OrganizedData[[#This Row],[Product Code]],ProductData[],4,FALSE)</f>
        <v>1200</v>
      </c>
      <c r="Q3076" s="6">
        <f>OrganizedData[[#This Row],[Total Items Ordered]]*VLOOKUP(OrganizedData[[#This Row],[Product Code]],ProductData[],3,FALSE)</f>
        <v>827.99999999999989</v>
      </c>
      <c r="R30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3077" spans="1:18" x14ac:dyDescent="0.3">
      <c r="A3077" s="2">
        <v>3070</v>
      </c>
      <c r="B3077" s="2" t="s">
        <v>1703</v>
      </c>
      <c r="C3077" s="2" t="s">
        <v>131</v>
      </c>
      <c r="D3077" s="2" t="s">
        <v>28</v>
      </c>
      <c r="E3077" s="2" t="s">
        <v>29</v>
      </c>
      <c r="F3077" s="2">
        <v>30</v>
      </c>
      <c r="G3077" s="2" t="s">
        <v>7599</v>
      </c>
      <c r="H3077" s="2" t="s">
        <v>607</v>
      </c>
      <c r="I3077" s="2" t="s">
        <v>32</v>
      </c>
      <c r="J3077" s="3">
        <v>44368</v>
      </c>
      <c r="K3077" s="5">
        <f>YEAR(OrganizedData[[#This Row],[Order Date]])</f>
        <v>2021</v>
      </c>
      <c r="L3077" s="7" t="str">
        <f>TEXT(OrganizedData[[#This Row],[Order Date]],"mmm")</f>
        <v>Jun</v>
      </c>
      <c r="M3077" s="2">
        <v>44</v>
      </c>
      <c r="N3077" s="2" t="s">
        <v>54</v>
      </c>
      <c r="O3077" s="2" t="str">
        <f>VLOOKUP(OrganizedData[[#This Row],[Product Code]],ProductData[[Code]:[Item]],2,FALSE)</f>
        <v>Megawidget S</v>
      </c>
      <c r="P3077" s="4">
        <f>OrganizedData[[#This Row],[Quantity]]*VLOOKUP(OrganizedData[[#This Row],[Product Code]],ProductData[],4,FALSE)</f>
        <v>1056</v>
      </c>
      <c r="Q3077" s="6">
        <f>OrganizedData[[#This Row],[Total Items Ordered]]*VLOOKUP(OrganizedData[[#This Row],[Product Code]],ProductData[],3,FALSE)</f>
        <v>728.64</v>
      </c>
      <c r="R30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3078" spans="1:18" x14ac:dyDescent="0.3">
      <c r="A3078" s="2">
        <v>3071</v>
      </c>
      <c r="B3078" s="2" t="s">
        <v>7245</v>
      </c>
      <c r="C3078" s="2" t="s">
        <v>161</v>
      </c>
      <c r="D3078" s="2" t="s">
        <v>51</v>
      </c>
      <c r="E3078" s="2" t="s">
        <v>16</v>
      </c>
      <c r="F3078" s="2">
        <v>30</v>
      </c>
      <c r="G3078" s="2" t="s">
        <v>7600</v>
      </c>
      <c r="H3078" s="2" t="s">
        <v>1515</v>
      </c>
      <c r="I3078" s="2" t="s">
        <v>124</v>
      </c>
      <c r="J3078" s="3">
        <v>44116</v>
      </c>
      <c r="K3078" s="5">
        <f>YEAR(OrganizedData[[#This Row],[Order Date]])</f>
        <v>2020</v>
      </c>
      <c r="L3078" s="7" t="str">
        <f>TEXT(OrganizedData[[#This Row],[Order Date]],"mmm")</f>
        <v>Oct</v>
      </c>
      <c r="M3078" s="2">
        <v>53</v>
      </c>
      <c r="N3078" s="2" t="s">
        <v>101</v>
      </c>
      <c r="O3078" s="2" t="str">
        <f>VLOOKUP(OrganizedData[[#This Row],[Product Code]],ProductData[[Code]:[Item]],2,FALSE)</f>
        <v>Superwossname</v>
      </c>
      <c r="P3078" s="4">
        <f>OrganizedData[[#This Row],[Quantity]]*VLOOKUP(OrganizedData[[#This Row],[Product Code]],ProductData[],4,FALSE)</f>
        <v>1060</v>
      </c>
      <c r="Q3078" s="6">
        <f>OrganizedData[[#This Row],[Total Items Ordered]]*VLOOKUP(OrganizedData[[#This Row],[Product Code]],ProductData[],3,FALSE)</f>
        <v>3699.4</v>
      </c>
      <c r="R30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3079" spans="1:18" x14ac:dyDescent="0.3">
      <c r="A3079" s="2">
        <v>3072</v>
      </c>
      <c r="B3079" s="2" t="s">
        <v>6616</v>
      </c>
      <c r="C3079" s="2" t="s">
        <v>2518</v>
      </c>
      <c r="D3079" s="2" t="s">
        <v>15</v>
      </c>
      <c r="E3079" s="2" t="s">
        <v>16</v>
      </c>
      <c r="F3079" s="2">
        <v>60</v>
      </c>
      <c r="G3079" s="2" t="s">
        <v>7601</v>
      </c>
      <c r="H3079" s="2" t="s">
        <v>3206</v>
      </c>
      <c r="I3079" s="2" t="s">
        <v>1199</v>
      </c>
      <c r="J3079" s="3">
        <v>44342</v>
      </c>
      <c r="K3079" s="5">
        <f>YEAR(OrganizedData[[#This Row],[Order Date]])</f>
        <v>2021</v>
      </c>
      <c r="L3079" s="7" t="str">
        <f>TEXT(OrganizedData[[#This Row],[Order Date]],"mmm")</f>
        <v>May</v>
      </c>
      <c r="M3079" s="2">
        <v>89</v>
      </c>
      <c r="N3079" s="2" t="s">
        <v>159</v>
      </c>
      <c r="O3079" s="2" t="str">
        <f>VLOOKUP(OrganizedData[[#This Row],[Product Code]],ProductData[[Code]:[Item]],2,FALSE)</f>
        <v>Ultrathing V3</v>
      </c>
      <c r="P3079" s="4">
        <f>OrganizedData[[#This Row],[Quantity]]*VLOOKUP(OrganizedData[[#This Row],[Product Code]],ProductData[],4,FALSE)</f>
        <v>2136</v>
      </c>
      <c r="Q3079" s="6">
        <f>OrganizedData[[#This Row],[Total Items Ordered]]*VLOOKUP(OrganizedData[[#This Row],[Product Code]],ProductData[],3,FALSE)</f>
        <v>7241.04</v>
      </c>
      <c r="R30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6878.9879999999994</v>
      </c>
    </row>
    <row r="3080" spans="1:18" x14ac:dyDescent="0.3">
      <c r="A3080" s="2">
        <v>3073</v>
      </c>
      <c r="B3080" s="2" t="s">
        <v>4224</v>
      </c>
      <c r="C3080" s="2" t="s">
        <v>210</v>
      </c>
      <c r="D3080" s="2" t="s">
        <v>28</v>
      </c>
      <c r="E3080" s="2" t="s">
        <v>29</v>
      </c>
      <c r="F3080" s="2">
        <v>60</v>
      </c>
      <c r="G3080" s="2" t="s">
        <v>7602</v>
      </c>
      <c r="H3080" s="2" t="s">
        <v>1845</v>
      </c>
      <c r="I3080" s="2" t="s">
        <v>294</v>
      </c>
      <c r="J3080" s="3">
        <v>44492</v>
      </c>
      <c r="K3080" s="5">
        <f>YEAR(OrganizedData[[#This Row],[Order Date]])</f>
        <v>2021</v>
      </c>
      <c r="L3080" s="7" t="str">
        <f>TEXT(OrganizedData[[#This Row],[Order Date]],"mmm")</f>
        <v>Oct</v>
      </c>
      <c r="M3080" s="2">
        <v>67</v>
      </c>
      <c r="N3080" s="2" t="s">
        <v>54</v>
      </c>
      <c r="O3080" s="2" t="str">
        <f>VLOOKUP(OrganizedData[[#This Row],[Product Code]],ProductData[[Code]:[Item]],2,FALSE)</f>
        <v>Megawidget S</v>
      </c>
      <c r="P3080" s="4">
        <f>OrganizedData[[#This Row],[Quantity]]*VLOOKUP(OrganizedData[[#This Row],[Product Code]],ProductData[],4,FALSE)</f>
        <v>1608</v>
      </c>
      <c r="Q3080" s="6">
        <f>OrganizedData[[#This Row],[Total Items Ordered]]*VLOOKUP(OrganizedData[[#This Row],[Product Code]],ProductData[],3,FALSE)</f>
        <v>1109.52</v>
      </c>
      <c r="R30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3081" spans="1:18" x14ac:dyDescent="0.3">
      <c r="A3081" s="2">
        <v>3074</v>
      </c>
      <c r="B3081" s="2" t="s">
        <v>3973</v>
      </c>
      <c r="C3081" s="2" t="s">
        <v>5145</v>
      </c>
      <c r="D3081" s="2" t="s">
        <v>28</v>
      </c>
      <c r="E3081" s="2" t="s">
        <v>29</v>
      </c>
      <c r="F3081" s="2">
        <v>30</v>
      </c>
      <c r="G3081" s="2" t="s">
        <v>7603</v>
      </c>
      <c r="H3081" s="2" t="s">
        <v>4441</v>
      </c>
      <c r="I3081" s="2" t="s">
        <v>146</v>
      </c>
      <c r="J3081" s="3">
        <v>44715</v>
      </c>
      <c r="K3081" s="5">
        <f>YEAR(OrganizedData[[#This Row],[Order Date]])</f>
        <v>2022</v>
      </c>
      <c r="L3081" s="7" t="str">
        <f>TEXT(OrganizedData[[#This Row],[Order Date]],"mmm")</f>
        <v>Jun</v>
      </c>
      <c r="M3081" s="2">
        <v>31</v>
      </c>
      <c r="N3081" s="2" t="s">
        <v>64</v>
      </c>
      <c r="O3081" s="2" t="str">
        <f>VLOOKUP(OrganizedData[[#This Row],[Product Code]],ProductData[[Code]:[Item]],2,FALSE)</f>
        <v>Ultrathing V4</v>
      </c>
      <c r="P3081" s="4">
        <f>OrganizedData[[#This Row],[Quantity]]*VLOOKUP(OrganizedData[[#This Row],[Product Code]],ProductData[],4,FALSE)</f>
        <v>744</v>
      </c>
      <c r="Q3081" s="6">
        <f>OrganizedData[[#This Row],[Total Items Ordered]]*VLOOKUP(OrganizedData[[#This Row],[Product Code]],ProductData[],3,FALSE)</f>
        <v>2968.56</v>
      </c>
      <c r="R30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3082" spans="1:18" x14ac:dyDescent="0.3">
      <c r="A3082" s="2">
        <v>3075</v>
      </c>
      <c r="B3082" s="2" t="s">
        <v>921</v>
      </c>
      <c r="C3082" s="2" t="s">
        <v>5712</v>
      </c>
      <c r="D3082" s="2" t="s">
        <v>28</v>
      </c>
      <c r="E3082" s="2" t="s">
        <v>29</v>
      </c>
      <c r="F3082" s="2">
        <v>90</v>
      </c>
      <c r="G3082" s="2" t="s">
        <v>7604</v>
      </c>
      <c r="H3082" s="2" t="s">
        <v>2822</v>
      </c>
      <c r="I3082" s="2" t="s">
        <v>32</v>
      </c>
      <c r="J3082" s="3">
        <v>44787</v>
      </c>
      <c r="K3082" s="5">
        <f>YEAR(OrganizedData[[#This Row],[Order Date]])</f>
        <v>2022</v>
      </c>
      <c r="L3082" s="7" t="str">
        <f>TEXT(OrganizedData[[#This Row],[Order Date]],"mmm")</f>
        <v>Aug</v>
      </c>
      <c r="M3082" s="2">
        <v>8</v>
      </c>
      <c r="N3082" s="2" t="s">
        <v>20</v>
      </c>
      <c r="O3082" s="2" t="str">
        <f>VLOOKUP(OrganizedData[[#This Row],[Product Code]],ProductData[[Code]:[Item]],2,FALSE)</f>
        <v>Hyperwotsit</v>
      </c>
      <c r="P3082" s="4">
        <f>OrganizedData[[#This Row],[Quantity]]*VLOOKUP(OrganizedData[[#This Row],[Product Code]],ProductData[],4,FALSE)</f>
        <v>160</v>
      </c>
      <c r="Q3082" s="6">
        <f>OrganizedData[[#This Row],[Total Items Ordered]]*VLOOKUP(OrganizedData[[#This Row],[Product Code]],ProductData[],3,FALSE)</f>
        <v>321.59999999999997</v>
      </c>
      <c r="R30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321.59999999999997</v>
      </c>
    </row>
    <row r="3083" spans="1:18" x14ac:dyDescent="0.3">
      <c r="A3083" s="2">
        <v>3076</v>
      </c>
      <c r="B3083" s="2" t="s">
        <v>1211</v>
      </c>
      <c r="C3083" s="2" t="s">
        <v>2438</v>
      </c>
      <c r="D3083" s="2" t="s">
        <v>28</v>
      </c>
      <c r="E3083" s="2" t="s">
        <v>29</v>
      </c>
      <c r="F3083" s="2">
        <v>90</v>
      </c>
      <c r="G3083" s="2" t="s">
        <v>7605</v>
      </c>
      <c r="H3083" s="2" t="s">
        <v>1329</v>
      </c>
      <c r="I3083" s="2" t="s">
        <v>95</v>
      </c>
      <c r="J3083" s="3">
        <v>44546</v>
      </c>
      <c r="K3083" s="5">
        <f>YEAR(OrganizedData[[#This Row],[Order Date]])</f>
        <v>2021</v>
      </c>
      <c r="L3083" s="7" t="str">
        <f>TEXT(OrganizedData[[#This Row],[Order Date]],"mmm")</f>
        <v>Dec</v>
      </c>
      <c r="M3083" s="2">
        <v>89</v>
      </c>
      <c r="N3083" s="2" t="s">
        <v>20</v>
      </c>
      <c r="O3083" s="2" t="str">
        <f>VLOOKUP(OrganizedData[[#This Row],[Product Code]],ProductData[[Code]:[Item]],2,FALSE)</f>
        <v>Hyperwotsit</v>
      </c>
      <c r="P3083" s="4">
        <f>OrganizedData[[#This Row],[Quantity]]*VLOOKUP(OrganizedData[[#This Row],[Product Code]],ProductData[],4,FALSE)</f>
        <v>1780</v>
      </c>
      <c r="Q3083" s="6">
        <f>OrganizedData[[#This Row],[Total Items Ordered]]*VLOOKUP(OrganizedData[[#This Row],[Product Code]],ProductData[],3,FALSE)</f>
        <v>3577.7999999999997</v>
      </c>
      <c r="R30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3398.9099999999994</v>
      </c>
    </row>
    <row r="3084" spans="1:18" x14ac:dyDescent="0.3">
      <c r="A3084" s="2">
        <v>3077</v>
      </c>
      <c r="B3084" s="2" t="s">
        <v>7606</v>
      </c>
      <c r="C3084" s="2" t="s">
        <v>7607</v>
      </c>
      <c r="D3084" s="2" t="s">
        <v>15</v>
      </c>
      <c r="E3084" s="2" t="s">
        <v>16</v>
      </c>
      <c r="F3084" s="2">
        <v>60</v>
      </c>
      <c r="G3084" s="2" t="s">
        <v>7608</v>
      </c>
      <c r="H3084" s="2" t="s">
        <v>5521</v>
      </c>
      <c r="I3084" s="2" t="s">
        <v>25</v>
      </c>
      <c r="J3084" s="3">
        <v>44107</v>
      </c>
      <c r="K3084" s="5">
        <f>YEAR(OrganizedData[[#This Row],[Order Date]])</f>
        <v>2020</v>
      </c>
      <c r="L3084" s="7" t="str">
        <f>TEXT(OrganizedData[[#This Row],[Order Date]],"mmm")</f>
        <v>Oct</v>
      </c>
      <c r="M3084" s="2">
        <v>58</v>
      </c>
      <c r="N3084" s="2" t="s">
        <v>159</v>
      </c>
      <c r="O3084" s="2" t="str">
        <f>VLOOKUP(OrganizedData[[#This Row],[Product Code]],ProductData[[Code]:[Item]],2,FALSE)</f>
        <v>Ultrathing V3</v>
      </c>
      <c r="P3084" s="4">
        <f>OrganizedData[[#This Row],[Quantity]]*VLOOKUP(OrganizedData[[#This Row],[Product Code]],ProductData[],4,FALSE)</f>
        <v>1392</v>
      </c>
      <c r="Q3084" s="6">
        <f>OrganizedData[[#This Row],[Total Items Ordered]]*VLOOKUP(OrganizedData[[#This Row],[Product Code]],ProductData[],3,FALSE)</f>
        <v>4718.88</v>
      </c>
      <c r="R30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3085" spans="1:18" x14ac:dyDescent="0.3">
      <c r="A3085" s="2">
        <v>3078</v>
      </c>
      <c r="B3085" s="2" t="s">
        <v>2371</v>
      </c>
      <c r="C3085" s="2" t="s">
        <v>7187</v>
      </c>
      <c r="D3085" s="2" t="s">
        <v>51</v>
      </c>
      <c r="E3085" s="2" t="s">
        <v>16</v>
      </c>
      <c r="F3085" s="2">
        <v>30</v>
      </c>
      <c r="G3085" s="2" t="s">
        <v>7609</v>
      </c>
      <c r="H3085" s="2" t="s">
        <v>6259</v>
      </c>
      <c r="I3085" s="2" t="s">
        <v>6260</v>
      </c>
      <c r="J3085" s="3">
        <v>44452</v>
      </c>
      <c r="K3085" s="5">
        <f>YEAR(OrganizedData[[#This Row],[Order Date]])</f>
        <v>2021</v>
      </c>
      <c r="L3085" s="7" t="str">
        <f>TEXT(OrganizedData[[#This Row],[Order Date]],"mmm")</f>
        <v>Sep</v>
      </c>
      <c r="M3085" s="2">
        <v>2</v>
      </c>
      <c r="N3085" s="2" t="s">
        <v>20</v>
      </c>
      <c r="O3085" s="2" t="str">
        <f>VLOOKUP(OrganizedData[[#This Row],[Product Code]],ProductData[[Code]:[Item]],2,FALSE)</f>
        <v>Hyperwotsit</v>
      </c>
      <c r="P3085" s="4">
        <f>OrganizedData[[#This Row],[Quantity]]*VLOOKUP(OrganizedData[[#This Row],[Product Code]],ProductData[],4,FALSE)</f>
        <v>40</v>
      </c>
      <c r="Q3085" s="6">
        <f>OrganizedData[[#This Row],[Total Items Ordered]]*VLOOKUP(OrganizedData[[#This Row],[Product Code]],ProductData[],3,FALSE)</f>
        <v>80.399999999999991</v>
      </c>
      <c r="R30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3086" spans="1:18" x14ac:dyDescent="0.3">
      <c r="A3086" s="2">
        <v>3079</v>
      </c>
      <c r="B3086" s="2" t="s">
        <v>5272</v>
      </c>
      <c r="C3086" s="2" t="s">
        <v>2563</v>
      </c>
      <c r="D3086" s="2" t="s">
        <v>28</v>
      </c>
      <c r="E3086" s="2" t="s">
        <v>29</v>
      </c>
      <c r="F3086" s="2">
        <v>30</v>
      </c>
      <c r="G3086" s="2" t="s">
        <v>7610</v>
      </c>
      <c r="H3086" s="2" t="s">
        <v>1732</v>
      </c>
      <c r="I3086" s="2" t="s">
        <v>1733</v>
      </c>
      <c r="J3086" s="3">
        <v>44434</v>
      </c>
      <c r="K3086" s="5">
        <f>YEAR(OrganizedData[[#This Row],[Order Date]])</f>
        <v>2021</v>
      </c>
      <c r="L3086" s="7" t="str">
        <f>TEXT(OrganizedData[[#This Row],[Order Date]],"mmm")</f>
        <v>Aug</v>
      </c>
      <c r="M3086" s="2">
        <v>74</v>
      </c>
      <c r="N3086" s="2" t="s">
        <v>39</v>
      </c>
      <c r="O3086" s="2" t="str">
        <f>VLOOKUP(OrganizedData[[#This Row],[Product Code]],ProductData[[Code]:[Item]],2,FALSE)</f>
        <v>Ultrathing V1</v>
      </c>
      <c r="P3086" s="4">
        <f>OrganizedData[[#This Row],[Quantity]]*VLOOKUP(OrganizedData[[#This Row],[Product Code]],ProductData[],4,FALSE)</f>
        <v>1258</v>
      </c>
      <c r="Q3086" s="6">
        <f>OrganizedData[[#This Row],[Total Items Ordered]]*VLOOKUP(OrganizedData[[#This Row],[Product Code]],ProductData[],3,FALSE)</f>
        <v>2251.8200000000002</v>
      </c>
      <c r="R30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2139.2290000000003</v>
      </c>
    </row>
    <row r="3087" spans="1:18" x14ac:dyDescent="0.3">
      <c r="A3087" s="2">
        <v>3080</v>
      </c>
      <c r="B3087" s="2" t="s">
        <v>7611</v>
      </c>
      <c r="C3087" s="2" t="s">
        <v>472</v>
      </c>
      <c r="D3087" s="2" t="s">
        <v>51</v>
      </c>
      <c r="E3087" s="2" t="s">
        <v>16</v>
      </c>
      <c r="F3087" s="2">
        <v>90</v>
      </c>
      <c r="G3087" s="2" t="s">
        <v>7610</v>
      </c>
      <c r="H3087" s="2" t="s">
        <v>412</v>
      </c>
      <c r="I3087" s="2" t="s">
        <v>187</v>
      </c>
      <c r="J3087" s="3">
        <v>44198</v>
      </c>
      <c r="K3087" s="5">
        <f>YEAR(OrganizedData[[#This Row],[Order Date]])</f>
        <v>2021</v>
      </c>
      <c r="L3087" s="7" t="str">
        <f>TEXT(OrganizedData[[#This Row],[Order Date]],"mmm")</f>
        <v>Jan</v>
      </c>
      <c r="M3087" s="2">
        <v>6</v>
      </c>
      <c r="N3087" s="2" t="s">
        <v>70</v>
      </c>
      <c r="O3087" s="2" t="str">
        <f>VLOOKUP(OrganizedData[[#This Row],[Product Code]],ProductData[[Code]:[Item]],2,FALSE)</f>
        <v>Megawidget M</v>
      </c>
      <c r="P3087" s="4">
        <f>OrganizedData[[#This Row],[Quantity]]*VLOOKUP(OrganizedData[[#This Row],[Product Code]],ProductData[],4,FALSE)</f>
        <v>144</v>
      </c>
      <c r="Q3087" s="6">
        <f>OrganizedData[[#This Row],[Total Items Ordered]]*VLOOKUP(OrganizedData[[#This Row],[Product Code]],ProductData[],3,FALSE)</f>
        <v>185.76</v>
      </c>
      <c r="R30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185.76</v>
      </c>
    </row>
    <row r="3088" spans="1:18" x14ac:dyDescent="0.3">
      <c r="A3088" s="2">
        <v>3081</v>
      </c>
      <c r="B3088" s="2" t="s">
        <v>7612</v>
      </c>
      <c r="C3088" s="2" t="s">
        <v>3535</v>
      </c>
      <c r="D3088" s="2" t="s">
        <v>92</v>
      </c>
      <c r="E3088" s="2" t="s">
        <v>16</v>
      </c>
      <c r="F3088" s="2">
        <v>90</v>
      </c>
      <c r="G3088" s="2" t="s">
        <v>7613</v>
      </c>
      <c r="H3088" s="2" t="s">
        <v>4413</v>
      </c>
      <c r="I3088" s="2" t="s">
        <v>32</v>
      </c>
      <c r="J3088" s="3">
        <v>44106</v>
      </c>
      <c r="K3088" s="5">
        <f>YEAR(OrganizedData[[#This Row],[Order Date]])</f>
        <v>2020</v>
      </c>
      <c r="L3088" s="7" t="str">
        <f>TEXT(OrganizedData[[#This Row],[Order Date]],"mmm")</f>
        <v>Oct</v>
      </c>
      <c r="M3088" s="2">
        <v>33</v>
      </c>
      <c r="N3088" s="2" t="s">
        <v>54</v>
      </c>
      <c r="O3088" s="2" t="str">
        <f>VLOOKUP(OrganizedData[[#This Row],[Product Code]],ProductData[[Code]:[Item]],2,FALSE)</f>
        <v>Megawidget S</v>
      </c>
      <c r="P3088" s="4">
        <f>OrganizedData[[#This Row],[Quantity]]*VLOOKUP(OrganizedData[[#This Row],[Product Code]],ProductData[],4,FALSE)</f>
        <v>792</v>
      </c>
      <c r="Q3088" s="6">
        <f>OrganizedData[[#This Row],[Total Items Ordered]]*VLOOKUP(OrganizedData[[#This Row],[Product Code]],ProductData[],3,FALSE)</f>
        <v>546.4799999999999</v>
      </c>
      <c r="R30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3089" spans="1:18" x14ac:dyDescent="0.3">
      <c r="A3089" s="2">
        <v>3082</v>
      </c>
      <c r="B3089" s="2" t="s">
        <v>7614</v>
      </c>
      <c r="C3089" s="2" t="s">
        <v>5290</v>
      </c>
      <c r="D3089" s="2" t="s">
        <v>41</v>
      </c>
      <c r="E3089" s="2" t="s">
        <v>16</v>
      </c>
      <c r="F3089" s="2">
        <v>90</v>
      </c>
      <c r="G3089" s="2" t="s">
        <v>10446</v>
      </c>
      <c r="H3089" s="2" t="s">
        <v>868</v>
      </c>
      <c r="I3089" s="2" t="s">
        <v>32</v>
      </c>
      <c r="J3089" s="3">
        <v>44496</v>
      </c>
      <c r="K3089" s="5">
        <f>YEAR(OrganizedData[[#This Row],[Order Date]])</f>
        <v>2021</v>
      </c>
      <c r="L3089" s="7" t="str">
        <f>TEXT(OrganizedData[[#This Row],[Order Date]],"mmm")</f>
        <v>Oct</v>
      </c>
      <c r="M3089" s="2">
        <v>93</v>
      </c>
      <c r="N3089" s="2" t="s">
        <v>101</v>
      </c>
      <c r="O3089" s="2" t="str">
        <f>VLOOKUP(OrganizedData[[#This Row],[Product Code]],ProductData[[Code]:[Item]],2,FALSE)</f>
        <v>Superwossname</v>
      </c>
      <c r="P3089" s="4">
        <f>OrganizedData[[#This Row],[Quantity]]*VLOOKUP(OrganizedData[[#This Row],[Product Code]],ProductData[],4,FALSE)</f>
        <v>1860</v>
      </c>
      <c r="Q3089" s="6">
        <f>OrganizedData[[#This Row],[Total Items Ordered]]*VLOOKUP(OrganizedData[[#This Row],[Product Code]],ProductData[],3,FALSE)</f>
        <v>6491.4000000000005</v>
      </c>
      <c r="R30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6166.83</v>
      </c>
    </row>
    <row r="3090" spans="1:18" x14ac:dyDescent="0.3">
      <c r="A3090" s="2">
        <v>3083</v>
      </c>
      <c r="B3090" s="2" t="s">
        <v>2251</v>
      </c>
      <c r="C3090" s="2" t="s">
        <v>791</v>
      </c>
      <c r="D3090" s="2" t="s">
        <v>28</v>
      </c>
      <c r="E3090" s="2" t="s">
        <v>29</v>
      </c>
      <c r="F3090" s="2">
        <v>60</v>
      </c>
      <c r="G3090" s="2" t="s">
        <v>7616</v>
      </c>
      <c r="H3090" s="2" t="s">
        <v>1754</v>
      </c>
      <c r="I3090" s="2" t="s">
        <v>25</v>
      </c>
      <c r="J3090" s="3">
        <v>44540</v>
      </c>
      <c r="K3090" s="5">
        <f>YEAR(OrganizedData[[#This Row],[Order Date]])</f>
        <v>2021</v>
      </c>
      <c r="L3090" s="7" t="str">
        <f>TEXT(OrganizedData[[#This Row],[Order Date]],"mmm")</f>
        <v>Dec</v>
      </c>
      <c r="M3090" s="2">
        <v>23</v>
      </c>
      <c r="N3090" s="2" t="s">
        <v>70</v>
      </c>
      <c r="O3090" s="2" t="str">
        <f>VLOOKUP(OrganizedData[[#This Row],[Product Code]],ProductData[[Code]:[Item]],2,FALSE)</f>
        <v>Megawidget M</v>
      </c>
      <c r="P3090" s="4">
        <f>OrganizedData[[#This Row],[Quantity]]*VLOOKUP(OrganizedData[[#This Row],[Product Code]],ProductData[],4,FALSE)</f>
        <v>552</v>
      </c>
      <c r="Q3090" s="6">
        <f>OrganizedData[[#This Row],[Total Items Ordered]]*VLOOKUP(OrganizedData[[#This Row],[Product Code]],ProductData[],3,FALSE)</f>
        <v>712.08</v>
      </c>
      <c r="R30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3091" spans="1:18" x14ac:dyDescent="0.3">
      <c r="A3091" s="2">
        <v>3084</v>
      </c>
      <c r="B3091" s="2" t="s">
        <v>1828</v>
      </c>
      <c r="C3091" s="2" t="s">
        <v>5788</v>
      </c>
      <c r="D3091" s="2" t="s">
        <v>92</v>
      </c>
      <c r="E3091" s="2" t="s">
        <v>29</v>
      </c>
      <c r="F3091" s="2">
        <v>30</v>
      </c>
      <c r="G3091" s="2" t="s">
        <v>7617</v>
      </c>
      <c r="H3091" s="2" t="s">
        <v>5992</v>
      </c>
      <c r="I3091" s="2" t="s">
        <v>25</v>
      </c>
      <c r="J3091" s="3">
        <v>44774</v>
      </c>
      <c r="K3091" s="5">
        <f>YEAR(OrganizedData[[#This Row],[Order Date]])</f>
        <v>2022</v>
      </c>
      <c r="L3091" s="7" t="str">
        <f>TEXT(OrganizedData[[#This Row],[Order Date]],"mmm")</f>
        <v>Aug</v>
      </c>
      <c r="M3091" s="2">
        <v>4</v>
      </c>
      <c r="N3091" s="2" t="s">
        <v>101</v>
      </c>
      <c r="O3091" s="2" t="str">
        <f>VLOOKUP(OrganizedData[[#This Row],[Product Code]],ProductData[[Code]:[Item]],2,FALSE)</f>
        <v>Superwossname</v>
      </c>
      <c r="P3091" s="4">
        <f>OrganizedData[[#This Row],[Quantity]]*VLOOKUP(OrganizedData[[#This Row],[Product Code]],ProductData[],4,FALSE)</f>
        <v>80</v>
      </c>
      <c r="Q3091" s="6">
        <f>OrganizedData[[#This Row],[Total Items Ordered]]*VLOOKUP(OrganizedData[[#This Row],[Product Code]],ProductData[],3,FALSE)</f>
        <v>279.20000000000005</v>
      </c>
      <c r="R30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279.20000000000005</v>
      </c>
    </row>
    <row r="3092" spans="1:18" x14ac:dyDescent="0.3">
      <c r="A3092" s="2">
        <v>3085</v>
      </c>
      <c r="B3092" s="2" t="s">
        <v>5083</v>
      </c>
      <c r="C3092" s="2" t="s">
        <v>7618</v>
      </c>
      <c r="D3092" s="2" t="s">
        <v>28</v>
      </c>
      <c r="E3092" s="2" t="s">
        <v>29</v>
      </c>
      <c r="F3092" s="2">
        <v>60</v>
      </c>
      <c r="G3092" s="2" t="s">
        <v>7619</v>
      </c>
      <c r="H3092" s="2" t="s">
        <v>1022</v>
      </c>
      <c r="I3092" s="2" t="s">
        <v>164</v>
      </c>
      <c r="J3092" s="3">
        <v>44221</v>
      </c>
      <c r="K3092" s="5">
        <f>YEAR(OrganizedData[[#This Row],[Order Date]])</f>
        <v>2021</v>
      </c>
      <c r="L3092" s="7" t="str">
        <f>TEXT(OrganizedData[[#This Row],[Order Date]],"mmm")</f>
        <v>Jan</v>
      </c>
      <c r="M3092" s="2">
        <v>5</v>
      </c>
      <c r="N3092" s="2" t="s">
        <v>45</v>
      </c>
      <c r="O3092" s="2" t="str">
        <f>VLOOKUP(OrganizedData[[#This Row],[Product Code]],ProductData[[Code]:[Item]],2,FALSE)</f>
        <v>Gigastuff</v>
      </c>
      <c r="P3092" s="4">
        <f>OrganizedData[[#This Row],[Quantity]]*VLOOKUP(OrganizedData[[#This Row],[Product Code]],ProductData[],4,FALSE)</f>
        <v>90</v>
      </c>
      <c r="Q3092" s="6">
        <f>OrganizedData[[#This Row],[Total Items Ordered]]*VLOOKUP(OrganizedData[[#This Row],[Product Code]],ProductData[],3,FALSE)</f>
        <v>170.1</v>
      </c>
      <c r="R30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3093" spans="1:18" x14ac:dyDescent="0.3">
      <c r="A3093" s="2">
        <v>3086</v>
      </c>
      <c r="B3093" s="2" t="s">
        <v>5410</v>
      </c>
      <c r="C3093" s="2" t="s">
        <v>2594</v>
      </c>
      <c r="D3093" s="2" t="s">
        <v>15</v>
      </c>
      <c r="E3093" s="2" t="s">
        <v>16</v>
      </c>
      <c r="F3093" s="2">
        <v>30</v>
      </c>
      <c r="G3093" s="2" t="s">
        <v>7620</v>
      </c>
      <c r="H3093" s="2" t="s">
        <v>3428</v>
      </c>
      <c r="I3093" s="2" t="s">
        <v>38</v>
      </c>
      <c r="J3093" s="3">
        <v>44752</v>
      </c>
      <c r="K3093" s="5">
        <f>YEAR(OrganizedData[[#This Row],[Order Date]])</f>
        <v>2022</v>
      </c>
      <c r="L3093" s="7" t="str">
        <f>TEXT(OrganizedData[[#This Row],[Order Date]],"mmm")</f>
        <v>Jul</v>
      </c>
      <c r="M3093" s="2">
        <v>26</v>
      </c>
      <c r="N3093" s="2" t="s">
        <v>80</v>
      </c>
      <c r="O3093" s="2" t="str">
        <f>VLOOKUP(OrganizedData[[#This Row],[Product Code]],ProductData[[Code]:[Item]],2,FALSE)</f>
        <v>Ultrathing V2</v>
      </c>
      <c r="P3093" s="4">
        <f>OrganizedData[[#This Row],[Quantity]]*VLOOKUP(OrganizedData[[#This Row],[Product Code]],ProductData[],4,FALSE)</f>
        <v>520</v>
      </c>
      <c r="Q3093" s="6">
        <f>OrganizedData[[#This Row],[Total Items Ordered]]*VLOOKUP(OrganizedData[[#This Row],[Product Code]],ProductData[],3,FALSE)</f>
        <v>1534</v>
      </c>
      <c r="R30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3094" spans="1:18" x14ac:dyDescent="0.3">
      <c r="A3094" s="2">
        <v>3087</v>
      </c>
      <c r="B3094" s="2" t="s">
        <v>735</v>
      </c>
      <c r="C3094" s="2" t="s">
        <v>4913</v>
      </c>
      <c r="D3094" s="2" t="s">
        <v>28</v>
      </c>
      <c r="E3094" s="2" t="s">
        <v>29</v>
      </c>
      <c r="F3094" s="2">
        <v>30</v>
      </c>
      <c r="G3094" s="2" t="s">
        <v>7621</v>
      </c>
      <c r="H3094" s="2" t="s">
        <v>1210</v>
      </c>
      <c r="I3094" s="2" t="s">
        <v>294</v>
      </c>
      <c r="J3094" s="3">
        <v>44365</v>
      </c>
      <c r="K3094" s="5">
        <f>YEAR(OrganizedData[[#This Row],[Order Date]])</f>
        <v>2021</v>
      </c>
      <c r="L3094" s="7" t="str">
        <f>TEXT(OrganizedData[[#This Row],[Order Date]],"mmm")</f>
        <v>Jun</v>
      </c>
      <c r="M3094" s="2">
        <v>50</v>
      </c>
      <c r="N3094" s="2" t="s">
        <v>64</v>
      </c>
      <c r="O3094" s="2" t="str">
        <f>VLOOKUP(OrganizedData[[#This Row],[Product Code]],ProductData[[Code]:[Item]],2,FALSE)</f>
        <v>Ultrathing V4</v>
      </c>
      <c r="P3094" s="4">
        <f>OrganizedData[[#This Row],[Quantity]]*VLOOKUP(OrganizedData[[#This Row],[Product Code]],ProductData[],4,FALSE)</f>
        <v>1200</v>
      </c>
      <c r="Q3094" s="6">
        <f>OrganizedData[[#This Row],[Total Items Ordered]]*VLOOKUP(OrganizedData[[#This Row],[Product Code]],ProductData[],3,FALSE)</f>
        <v>4788</v>
      </c>
      <c r="R30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4644.3599999999997</v>
      </c>
    </row>
    <row r="3095" spans="1:18" x14ac:dyDescent="0.3">
      <c r="A3095" s="2">
        <v>3088</v>
      </c>
      <c r="B3095" s="2" t="s">
        <v>2701</v>
      </c>
      <c r="C3095" s="2" t="s">
        <v>7622</v>
      </c>
      <c r="D3095" s="2" t="s">
        <v>28</v>
      </c>
      <c r="E3095" s="2" t="s">
        <v>29</v>
      </c>
      <c r="F3095" s="2">
        <v>30</v>
      </c>
      <c r="G3095" s="2" t="s">
        <v>7623</v>
      </c>
      <c r="H3095" s="2" t="s">
        <v>400</v>
      </c>
      <c r="I3095" s="2" t="s">
        <v>401</v>
      </c>
      <c r="J3095" s="3">
        <v>44853</v>
      </c>
      <c r="K3095" s="5">
        <f>YEAR(OrganizedData[[#This Row],[Order Date]])</f>
        <v>2022</v>
      </c>
      <c r="L3095" s="7" t="str">
        <f>TEXT(OrganizedData[[#This Row],[Order Date]],"mmm")</f>
        <v>Oct</v>
      </c>
      <c r="M3095" s="2">
        <v>101</v>
      </c>
      <c r="N3095" s="2" t="s">
        <v>70</v>
      </c>
      <c r="O3095" s="2" t="str">
        <f>VLOOKUP(OrganizedData[[#This Row],[Product Code]],ProductData[[Code]:[Item]],2,FALSE)</f>
        <v>Megawidget M</v>
      </c>
      <c r="P3095" s="4">
        <f>OrganizedData[[#This Row],[Quantity]]*VLOOKUP(OrganizedData[[#This Row],[Product Code]],ProductData[],4,FALSE)</f>
        <v>2424</v>
      </c>
      <c r="Q3095" s="6">
        <f>OrganizedData[[#This Row],[Total Items Ordered]]*VLOOKUP(OrganizedData[[#This Row],[Product Code]],ProductData[],3,FALSE)</f>
        <v>3126.96</v>
      </c>
      <c r="R30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2908.0728000000004</v>
      </c>
    </row>
    <row r="3096" spans="1:18" x14ac:dyDescent="0.3">
      <c r="A3096" s="2">
        <v>3089</v>
      </c>
      <c r="B3096" s="2" t="s">
        <v>7624</v>
      </c>
      <c r="C3096" s="2" t="s">
        <v>1470</v>
      </c>
      <c r="D3096" s="2" t="s">
        <v>15</v>
      </c>
      <c r="E3096" s="2" t="s">
        <v>16</v>
      </c>
      <c r="F3096" s="2">
        <v>60</v>
      </c>
      <c r="G3096" s="2" t="s">
        <v>7625</v>
      </c>
      <c r="H3096" s="2" t="s">
        <v>768</v>
      </c>
      <c r="I3096" s="2" t="s">
        <v>124</v>
      </c>
      <c r="J3096" s="3">
        <v>43902</v>
      </c>
      <c r="K3096" s="5">
        <f>YEAR(OrganizedData[[#This Row],[Order Date]])</f>
        <v>2020</v>
      </c>
      <c r="L3096" s="7" t="str">
        <f>TEXT(OrganizedData[[#This Row],[Order Date]],"mmm")</f>
        <v>Mar</v>
      </c>
      <c r="M3096" s="2">
        <v>69</v>
      </c>
      <c r="N3096" s="2" t="s">
        <v>54</v>
      </c>
      <c r="O3096" s="2" t="str">
        <f>VLOOKUP(OrganizedData[[#This Row],[Product Code]],ProductData[[Code]:[Item]],2,FALSE)</f>
        <v>Megawidget S</v>
      </c>
      <c r="P3096" s="4">
        <f>OrganizedData[[#This Row],[Quantity]]*VLOOKUP(OrganizedData[[#This Row],[Product Code]],ProductData[],4,FALSE)</f>
        <v>1656</v>
      </c>
      <c r="Q3096" s="6">
        <f>OrganizedData[[#This Row],[Total Items Ordered]]*VLOOKUP(OrganizedData[[#This Row],[Product Code]],ProductData[],3,FALSE)</f>
        <v>1142.6399999999999</v>
      </c>
      <c r="R30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3097" spans="1:18" x14ac:dyDescent="0.3">
      <c r="A3097" s="2">
        <v>3090</v>
      </c>
      <c r="B3097" s="2" t="s">
        <v>7626</v>
      </c>
      <c r="C3097" s="2" t="s">
        <v>7627</v>
      </c>
      <c r="D3097" s="2" t="s">
        <v>28</v>
      </c>
      <c r="E3097" s="2" t="s">
        <v>29</v>
      </c>
      <c r="F3097" s="2">
        <v>90</v>
      </c>
      <c r="G3097" s="2" t="s">
        <v>7628</v>
      </c>
      <c r="H3097" s="2" t="s">
        <v>3391</v>
      </c>
      <c r="I3097" s="2" t="s">
        <v>3392</v>
      </c>
      <c r="J3097" s="3">
        <v>44248</v>
      </c>
      <c r="K3097" s="5">
        <f>YEAR(OrganizedData[[#This Row],[Order Date]])</f>
        <v>2021</v>
      </c>
      <c r="L3097" s="7" t="str">
        <f>TEXT(OrganizedData[[#This Row],[Order Date]],"mmm")</f>
        <v>Feb</v>
      </c>
      <c r="M3097" s="2">
        <v>43</v>
      </c>
      <c r="N3097" s="2" t="s">
        <v>33</v>
      </c>
      <c r="O3097" s="2" t="str">
        <f>VLOOKUP(OrganizedData[[#This Row],[Product Code]],ProductData[[Code]:[Item]],2,FALSE)</f>
        <v>Megawidget L</v>
      </c>
      <c r="P3097" s="4">
        <f>OrganizedData[[#This Row],[Quantity]]*VLOOKUP(OrganizedData[[#This Row],[Product Code]],ProductData[],4,FALSE)</f>
        <v>1032</v>
      </c>
      <c r="Q3097" s="6">
        <f>OrganizedData[[#This Row],[Total Items Ordered]]*VLOOKUP(OrganizedData[[#This Row],[Product Code]],ProductData[],3,FALSE)</f>
        <v>1847.28</v>
      </c>
      <c r="R30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3098" spans="1:18" x14ac:dyDescent="0.3">
      <c r="A3098" s="2">
        <v>3091</v>
      </c>
      <c r="B3098" s="2" t="s">
        <v>5725</v>
      </c>
      <c r="C3098" s="2" t="s">
        <v>7629</v>
      </c>
      <c r="D3098" s="2" t="s">
        <v>28</v>
      </c>
      <c r="E3098" s="2" t="s">
        <v>29</v>
      </c>
      <c r="F3098" s="2">
        <v>60</v>
      </c>
      <c r="G3098" s="2" t="s">
        <v>7630</v>
      </c>
      <c r="H3098" s="2" t="s">
        <v>133</v>
      </c>
      <c r="I3098" s="2" t="s">
        <v>124</v>
      </c>
      <c r="J3098" s="3">
        <v>44447</v>
      </c>
      <c r="K3098" s="5">
        <f>YEAR(OrganizedData[[#This Row],[Order Date]])</f>
        <v>2021</v>
      </c>
      <c r="L3098" s="7" t="str">
        <f>TEXT(OrganizedData[[#This Row],[Order Date]],"mmm")</f>
        <v>Sep</v>
      </c>
      <c r="M3098" s="2">
        <v>37</v>
      </c>
      <c r="N3098" s="2" t="s">
        <v>39</v>
      </c>
      <c r="O3098" s="2" t="str">
        <f>VLOOKUP(OrganizedData[[#This Row],[Product Code]],ProductData[[Code]:[Item]],2,FALSE)</f>
        <v>Ultrathing V1</v>
      </c>
      <c r="P3098" s="4">
        <f>OrganizedData[[#This Row],[Quantity]]*VLOOKUP(OrganizedData[[#This Row],[Product Code]],ProductData[],4,FALSE)</f>
        <v>629</v>
      </c>
      <c r="Q3098" s="6">
        <f>OrganizedData[[#This Row],[Total Items Ordered]]*VLOOKUP(OrganizedData[[#This Row],[Product Code]],ProductData[],3,FALSE)</f>
        <v>1125.9100000000001</v>
      </c>
      <c r="R30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1092.1327000000001</v>
      </c>
    </row>
    <row r="3099" spans="1:18" x14ac:dyDescent="0.3">
      <c r="A3099" s="2">
        <v>3092</v>
      </c>
      <c r="B3099" s="2" t="s">
        <v>4236</v>
      </c>
      <c r="C3099" s="2" t="s">
        <v>3917</v>
      </c>
      <c r="D3099" s="2" t="s">
        <v>51</v>
      </c>
      <c r="E3099" s="2" t="s">
        <v>16</v>
      </c>
      <c r="F3099" s="2">
        <v>60</v>
      </c>
      <c r="G3099" s="2" t="s">
        <v>7631</v>
      </c>
      <c r="H3099" s="2" t="s">
        <v>3116</v>
      </c>
      <c r="I3099" s="2" t="s">
        <v>32</v>
      </c>
      <c r="J3099" s="3">
        <v>43991</v>
      </c>
      <c r="K3099" s="5">
        <f>YEAR(OrganizedData[[#This Row],[Order Date]])</f>
        <v>2020</v>
      </c>
      <c r="L3099" s="7" t="str">
        <f>TEXT(OrganizedData[[#This Row],[Order Date]],"mmm")</f>
        <v>Jun</v>
      </c>
      <c r="M3099" s="2">
        <v>39</v>
      </c>
      <c r="N3099" s="2" t="s">
        <v>39</v>
      </c>
      <c r="O3099" s="2" t="str">
        <f>VLOOKUP(OrganizedData[[#This Row],[Product Code]],ProductData[[Code]:[Item]],2,FALSE)</f>
        <v>Ultrathing V1</v>
      </c>
      <c r="P3099" s="4">
        <f>OrganizedData[[#This Row],[Quantity]]*VLOOKUP(OrganizedData[[#This Row],[Product Code]],ProductData[],4,FALSE)</f>
        <v>663</v>
      </c>
      <c r="Q3099" s="6">
        <f>OrganizedData[[#This Row],[Total Items Ordered]]*VLOOKUP(OrganizedData[[#This Row],[Product Code]],ProductData[],3,FALSE)</f>
        <v>1186.77</v>
      </c>
      <c r="R30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1151.1668999999999</v>
      </c>
    </row>
    <row r="3100" spans="1:18" x14ac:dyDescent="0.3">
      <c r="A3100" s="2">
        <v>3093</v>
      </c>
      <c r="B3100" s="2" t="s">
        <v>4099</v>
      </c>
      <c r="C3100" s="2" t="s">
        <v>7632</v>
      </c>
      <c r="D3100" s="2" t="s">
        <v>15</v>
      </c>
      <c r="E3100" s="2" t="s">
        <v>16</v>
      </c>
      <c r="F3100" s="2">
        <v>30</v>
      </c>
      <c r="G3100" s="2" t="s">
        <v>7631</v>
      </c>
      <c r="H3100" s="2" t="s">
        <v>6516</v>
      </c>
      <c r="I3100" s="2" t="s">
        <v>32</v>
      </c>
      <c r="J3100" s="3">
        <v>44612</v>
      </c>
      <c r="K3100" s="5">
        <f>YEAR(OrganizedData[[#This Row],[Order Date]])</f>
        <v>2022</v>
      </c>
      <c r="L3100" s="7" t="str">
        <f>TEXT(OrganizedData[[#This Row],[Order Date]],"mmm")</f>
        <v>Feb</v>
      </c>
      <c r="M3100" s="2">
        <v>35</v>
      </c>
      <c r="N3100" s="2" t="s">
        <v>70</v>
      </c>
      <c r="O3100" s="2" t="str">
        <f>VLOOKUP(OrganizedData[[#This Row],[Product Code]],ProductData[[Code]:[Item]],2,FALSE)</f>
        <v>Megawidget M</v>
      </c>
      <c r="P3100" s="4">
        <f>OrganizedData[[#This Row],[Quantity]]*VLOOKUP(OrganizedData[[#This Row],[Product Code]],ProductData[],4,FALSE)</f>
        <v>840</v>
      </c>
      <c r="Q3100" s="6">
        <f>OrganizedData[[#This Row],[Total Items Ordered]]*VLOOKUP(OrganizedData[[#This Row],[Product Code]],ProductData[],3,FALSE)</f>
        <v>1083.6000000000001</v>
      </c>
      <c r="R31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1051.0920000000001</v>
      </c>
    </row>
    <row r="3101" spans="1:18" x14ac:dyDescent="0.3">
      <c r="A3101" s="2">
        <v>3094</v>
      </c>
      <c r="B3101" s="2" t="s">
        <v>3140</v>
      </c>
      <c r="C3101" s="2" t="s">
        <v>961</v>
      </c>
      <c r="D3101" s="2" t="s">
        <v>28</v>
      </c>
      <c r="E3101" s="2" t="s">
        <v>29</v>
      </c>
      <c r="F3101" s="2">
        <v>90</v>
      </c>
      <c r="G3101" s="2" t="s">
        <v>7633</v>
      </c>
      <c r="H3101" s="2" t="s">
        <v>2305</v>
      </c>
      <c r="I3101" s="2" t="s">
        <v>25</v>
      </c>
      <c r="J3101" s="3">
        <v>44304</v>
      </c>
      <c r="K3101" s="5">
        <f>YEAR(OrganizedData[[#This Row],[Order Date]])</f>
        <v>2021</v>
      </c>
      <c r="L3101" s="7" t="str">
        <f>TEXT(OrganizedData[[#This Row],[Order Date]],"mmm")</f>
        <v>Apr</v>
      </c>
      <c r="M3101" s="2">
        <v>87</v>
      </c>
      <c r="N3101" s="2" t="s">
        <v>159</v>
      </c>
      <c r="O3101" s="2" t="str">
        <f>VLOOKUP(OrganizedData[[#This Row],[Product Code]],ProductData[[Code]:[Item]],2,FALSE)</f>
        <v>Ultrathing V3</v>
      </c>
      <c r="P3101" s="4">
        <f>OrganizedData[[#This Row],[Quantity]]*VLOOKUP(OrganizedData[[#This Row],[Product Code]],ProductData[],4,FALSE)</f>
        <v>2088</v>
      </c>
      <c r="Q3101" s="6">
        <f>OrganizedData[[#This Row],[Total Items Ordered]]*VLOOKUP(OrganizedData[[#This Row],[Product Code]],ProductData[],3,FALSE)</f>
        <v>7078.3200000000006</v>
      </c>
      <c r="R31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6724.4040000000005</v>
      </c>
    </row>
    <row r="3102" spans="1:18" x14ac:dyDescent="0.3">
      <c r="A3102" s="2">
        <v>3095</v>
      </c>
      <c r="B3102" s="2" t="s">
        <v>7634</v>
      </c>
      <c r="C3102" s="2" t="s">
        <v>2650</v>
      </c>
      <c r="D3102" s="2" t="s">
        <v>51</v>
      </c>
      <c r="E3102" s="2" t="s">
        <v>16</v>
      </c>
      <c r="F3102" s="2">
        <v>30</v>
      </c>
      <c r="G3102" s="2" t="s">
        <v>7635</v>
      </c>
      <c r="H3102" s="2" t="s">
        <v>7636</v>
      </c>
      <c r="I3102" s="2" t="s">
        <v>32</v>
      </c>
      <c r="J3102" s="3">
        <v>44080</v>
      </c>
      <c r="K3102" s="5">
        <f>YEAR(OrganizedData[[#This Row],[Order Date]])</f>
        <v>2020</v>
      </c>
      <c r="L3102" s="7" t="str">
        <f>TEXT(OrganizedData[[#This Row],[Order Date]],"mmm")</f>
        <v>Sep</v>
      </c>
      <c r="M3102" s="2">
        <v>56</v>
      </c>
      <c r="N3102" s="2" t="s">
        <v>20</v>
      </c>
      <c r="O3102" s="2" t="str">
        <f>VLOOKUP(OrganizedData[[#This Row],[Product Code]],ProductData[[Code]:[Item]],2,FALSE)</f>
        <v>Hyperwotsit</v>
      </c>
      <c r="P3102" s="4">
        <f>OrganizedData[[#This Row],[Quantity]]*VLOOKUP(OrganizedData[[#This Row],[Product Code]],ProductData[],4,FALSE)</f>
        <v>1120</v>
      </c>
      <c r="Q3102" s="6">
        <f>OrganizedData[[#This Row],[Total Items Ordered]]*VLOOKUP(OrganizedData[[#This Row],[Product Code]],ProductData[],3,FALSE)</f>
        <v>2251.1999999999998</v>
      </c>
      <c r="R31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3103" spans="1:18" x14ac:dyDescent="0.3">
      <c r="A3103" s="2">
        <v>3096</v>
      </c>
      <c r="B3103" s="2" t="s">
        <v>7637</v>
      </c>
      <c r="C3103" s="2" t="s">
        <v>1558</v>
      </c>
      <c r="D3103" s="2" t="s">
        <v>15</v>
      </c>
      <c r="E3103" s="2" t="s">
        <v>16</v>
      </c>
      <c r="F3103" s="2">
        <v>90</v>
      </c>
      <c r="G3103" s="2" t="s">
        <v>7638</v>
      </c>
      <c r="H3103" s="2" t="s">
        <v>1548</v>
      </c>
      <c r="I3103" s="2" t="s">
        <v>1549</v>
      </c>
      <c r="J3103" s="3">
        <v>44528</v>
      </c>
      <c r="K3103" s="5">
        <f>YEAR(OrganizedData[[#This Row],[Order Date]])</f>
        <v>2021</v>
      </c>
      <c r="L3103" s="7" t="str">
        <f>TEXT(OrganizedData[[#This Row],[Order Date]],"mmm")</f>
        <v>Nov</v>
      </c>
      <c r="M3103" s="2">
        <v>24</v>
      </c>
      <c r="N3103" s="2" t="s">
        <v>33</v>
      </c>
      <c r="O3103" s="2" t="str">
        <f>VLOOKUP(OrganizedData[[#This Row],[Product Code]],ProductData[[Code]:[Item]],2,FALSE)</f>
        <v>Megawidget L</v>
      </c>
      <c r="P3103" s="4">
        <f>OrganizedData[[#This Row],[Quantity]]*VLOOKUP(OrganizedData[[#This Row],[Product Code]],ProductData[],4,FALSE)</f>
        <v>576</v>
      </c>
      <c r="Q3103" s="6">
        <f>OrganizedData[[#This Row],[Total Items Ordered]]*VLOOKUP(OrganizedData[[#This Row],[Product Code]],ProductData[],3,FALSE)</f>
        <v>1031.04</v>
      </c>
      <c r="R31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1000.1088</v>
      </c>
    </row>
    <row r="3104" spans="1:18" x14ac:dyDescent="0.3">
      <c r="A3104" s="2">
        <v>3097</v>
      </c>
      <c r="B3104" s="2" t="s">
        <v>6896</v>
      </c>
      <c r="C3104" s="2" t="s">
        <v>3111</v>
      </c>
      <c r="D3104" s="2" t="s">
        <v>15</v>
      </c>
      <c r="E3104" s="2" t="s">
        <v>16</v>
      </c>
      <c r="F3104" s="2">
        <v>90</v>
      </c>
      <c r="G3104" s="2" t="s">
        <v>7640</v>
      </c>
      <c r="H3104" s="2" t="s">
        <v>99</v>
      </c>
      <c r="I3104" s="2" t="s">
        <v>100</v>
      </c>
      <c r="J3104" s="3">
        <v>44429</v>
      </c>
      <c r="K3104" s="5">
        <f>YEAR(OrganizedData[[#This Row],[Order Date]])</f>
        <v>2021</v>
      </c>
      <c r="L3104" s="7" t="str">
        <f>TEXT(OrganizedData[[#This Row],[Order Date]],"mmm")</f>
        <v>Aug</v>
      </c>
      <c r="M3104" s="2">
        <v>51</v>
      </c>
      <c r="N3104" s="2" t="s">
        <v>159</v>
      </c>
      <c r="O3104" s="2" t="str">
        <f>VLOOKUP(OrganizedData[[#This Row],[Product Code]],ProductData[[Code]:[Item]],2,FALSE)</f>
        <v>Ultrathing V3</v>
      </c>
      <c r="P3104" s="4">
        <f>OrganizedData[[#This Row],[Quantity]]*VLOOKUP(OrganizedData[[#This Row],[Product Code]],ProductData[],4,FALSE)</f>
        <v>1224</v>
      </c>
      <c r="Q3104" s="6">
        <f>OrganizedData[[#This Row],[Total Items Ordered]]*VLOOKUP(OrganizedData[[#This Row],[Product Code]],ProductData[],3,FALSE)</f>
        <v>4149.3600000000006</v>
      </c>
      <c r="R31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3941.8920000000003</v>
      </c>
    </row>
    <row r="3105" spans="1:18" x14ac:dyDescent="0.3">
      <c r="A3105" s="2">
        <v>3098</v>
      </c>
      <c r="B3105" s="2" t="s">
        <v>2455</v>
      </c>
      <c r="C3105" s="2" t="s">
        <v>651</v>
      </c>
      <c r="D3105" s="2" t="s">
        <v>15</v>
      </c>
      <c r="E3105" s="2" t="s">
        <v>16</v>
      </c>
      <c r="F3105" s="2">
        <v>90</v>
      </c>
      <c r="G3105" s="2" t="s">
        <v>7640</v>
      </c>
      <c r="H3105" s="2" t="s">
        <v>3551</v>
      </c>
      <c r="I3105" s="2" t="s">
        <v>32</v>
      </c>
      <c r="J3105" s="3">
        <v>44805</v>
      </c>
      <c r="K3105" s="5">
        <f>YEAR(OrganizedData[[#This Row],[Order Date]])</f>
        <v>2022</v>
      </c>
      <c r="L3105" s="7" t="str">
        <f>TEXT(OrganizedData[[#This Row],[Order Date]],"mmm")</f>
        <v>Sep</v>
      </c>
      <c r="M3105" s="2">
        <v>78</v>
      </c>
      <c r="N3105" s="2" t="s">
        <v>64</v>
      </c>
      <c r="O3105" s="2" t="str">
        <f>VLOOKUP(OrganizedData[[#This Row],[Product Code]],ProductData[[Code]:[Item]],2,FALSE)</f>
        <v>Ultrathing V4</v>
      </c>
      <c r="P3105" s="4">
        <f>OrganizedData[[#This Row],[Quantity]]*VLOOKUP(OrganizedData[[#This Row],[Product Code]],ProductData[],4,FALSE)</f>
        <v>1872</v>
      </c>
      <c r="Q3105" s="6">
        <f>OrganizedData[[#This Row],[Total Items Ordered]]*VLOOKUP(OrganizedData[[#This Row],[Product Code]],ProductData[],3,FALSE)</f>
        <v>7469.2800000000007</v>
      </c>
      <c r="R31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3106" spans="1:18" x14ac:dyDescent="0.3">
      <c r="A3106" s="2">
        <v>3099</v>
      </c>
      <c r="B3106" s="2" t="s">
        <v>5045</v>
      </c>
      <c r="C3106" s="2" t="s">
        <v>3529</v>
      </c>
      <c r="D3106" s="2" t="s">
        <v>15</v>
      </c>
      <c r="E3106" s="2" t="s">
        <v>16</v>
      </c>
      <c r="F3106" s="2">
        <v>60</v>
      </c>
      <c r="G3106" s="2" t="s">
        <v>7641</v>
      </c>
      <c r="H3106" s="2" t="s">
        <v>7642</v>
      </c>
      <c r="I3106" s="2" t="s">
        <v>32</v>
      </c>
      <c r="J3106" s="3">
        <v>44812</v>
      </c>
      <c r="K3106" s="5">
        <f>YEAR(OrganizedData[[#This Row],[Order Date]])</f>
        <v>2022</v>
      </c>
      <c r="L3106" s="7" t="str">
        <f>TEXT(OrganizedData[[#This Row],[Order Date]],"mmm")</f>
        <v>Sep</v>
      </c>
      <c r="M3106" s="2">
        <v>17</v>
      </c>
      <c r="N3106" s="2" t="s">
        <v>20</v>
      </c>
      <c r="O3106" s="2" t="str">
        <f>VLOOKUP(OrganizedData[[#This Row],[Product Code]],ProductData[[Code]:[Item]],2,FALSE)</f>
        <v>Hyperwotsit</v>
      </c>
      <c r="P3106" s="4">
        <f>OrganizedData[[#This Row],[Quantity]]*VLOOKUP(OrganizedData[[#This Row],[Product Code]],ProductData[],4,FALSE)</f>
        <v>340</v>
      </c>
      <c r="Q3106" s="6">
        <f>OrganizedData[[#This Row],[Total Items Ordered]]*VLOOKUP(OrganizedData[[#This Row],[Product Code]],ProductData[],3,FALSE)</f>
        <v>683.4</v>
      </c>
      <c r="R31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683.4</v>
      </c>
    </row>
    <row r="3107" spans="1:18" x14ac:dyDescent="0.3">
      <c r="A3107" s="2">
        <v>3100</v>
      </c>
      <c r="B3107" s="2" t="s">
        <v>7643</v>
      </c>
      <c r="C3107" s="2" t="s">
        <v>3589</v>
      </c>
      <c r="D3107" s="2" t="s">
        <v>28</v>
      </c>
      <c r="E3107" s="2" t="s">
        <v>29</v>
      </c>
      <c r="F3107" s="2">
        <v>90</v>
      </c>
      <c r="G3107" s="2" t="s">
        <v>7644</v>
      </c>
      <c r="H3107" s="2" t="s">
        <v>641</v>
      </c>
      <c r="I3107" s="2" t="s">
        <v>294</v>
      </c>
      <c r="J3107" s="3">
        <v>44246</v>
      </c>
      <c r="K3107" s="5">
        <f>YEAR(OrganizedData[[#This Row],[Order Date]])</f>
        <v>2021</v>
      </c>
      <c r="L3107" s="7" t="str">
        <f>TEXT(OrganizedData[[#This Row],[Order Date]],"mmm")</f>
        <v>Feb</v>
      </c>
      <c r="M3107" s="2">
        <v>23</v>
      </c>
      <c r="N3107" s="2" t="s">
        <v>54</v>
      </c>
      <c r="O3107" s="2" t="str">
        <f>VLOOKUP(OrganizedData[[#This Row],[Product Code]],ProductData[[Code]:[Item]],2,FALSE)</f>
        <v>Megawidget S</v>
      </c>
      <c r="P3107" s="4">
        <f>OrganizedData[[#This Row],[Quantity]]*VLOOKUP(OrganizedData[[#This Row],[Product Code]],ProductData[],4,FALSE)</f>
        <v>552</v>
      </c>
      <c r="Q3107" s="6">
        <f>OrganizedData[[#This Row],[Total Items Ordered]]*VLOOKUP(OrganizedData[[#This Row],[Product Code]],ProductData[],3,FALSE)</f>
        <v>380.88</v>
      </c>
      <c r="R31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369.45359999999999</v>
      </c>
    </row>
    <row r="3108" spans="1:18" x14ac:dyDescent="0.3">
      <c r="A3108" s="2">
        <v>3101</v>
      </c>
      <c r="B3108" s="2" t="s">
        <v>1577</v>
      </c>
      <c r="C3108" s="2" t="s">
        <v>7645</v>
      </c>
      <c r="D3108" s="2" t="s">
        <v>15</v>
      </c>
      <c r="E3108" s="2" t="s">
        <v>16</v>
      </c>
      <c r="F3108" s="2">
        <v>60</v>
      </c>
      <c r="G3108" s="2" t="s">
        <v>7646</v>
      </c>
      <c r="H3108" s="2" t="s">
        <v>2536</v>
      </c>
      <c r="I3108" s="2" t="s">
        <v>124</v>
      </c>
      <c r="J3108" s="3">
        <v>44553</v>
      </c>
      <c r="K3108" s="5">
        <f>YEAR(OrganizedData[[#This Row],[Order Date]])</f>
        <v>2021</v>
      </c>
      <c r="L3108" s="7" t="str">
        <f>TEXT(OrganizedData[[#This Row],[Order Date]],"mmm")</f>
        <v>Dec</v>
      </c>
      <c r="M3108" s="2">
        <v>69</v>
      </c>
      <c r="N3108" s="2" t="s">
        <v>54</v>
      </c>
      <c r="O3108" s="2" t="str">
        <f>VLOOKUP(OrganizedData[[#This Row],[Product Code]],ProductData[[Code]:[Item]],2,FALSE)</f>
        <v>Megawidget S</v>
      </c>
      <c r="P3108" s="4">
        <f>OrganizedData[[#This Row],[Quantity]]*VLOOKUP(OrganizedData[[#This Row],[Product Code]],ProductData[],4,FALSE)</f>
        <v>1656</v>
      </c>
      <c r="Q3108" s="6">
        <f>OrganizedData[[#This Row],[Total Items Ordered]]*VLOOKUP(OrganizedData[[#This Row],[Product Code]],ProductData[],3,FALSE)</f>
        <v>1142.6399999999999</v>
      </c>
      <c r="R31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3109" spans="1:18" x14ac:dyDescent="0.3">
      <c r="A3109" s="2">
        <v>3102</v>
      </c>
      <c r="B3109" s="2" t="s">
        <v>1584</v>
      </c>
      <c r="C3109" s="2" t="s">
        <v>5792</v>
      </c>
      <c r="D3109" s="2" t="s">
        <v>117</v>
      </c>
      <c r="E3109" s="2" t="s">
        <v>16</v>
      </c>
      <c r="F3109" s="2">
        <v>30</v>
      </c>
      <c r="G3109" s="2" t="s">
        <v>7647</v>
      </c>
      <c r="H3109" s="2" t="s">
        <v>5189</v>
      </c>
      <c r="I3109" s="2" t="s">
        <v>32</v>
      </c>
      <c r="J3109" s="3">
        <v>44133</v>
      </c>
      <c r="K3109" s="5">
        <f>YEAR(OrganizedData[[#This Row],[Order Date]])</f>
        <v>2020</v>
      </c>
      <c r="L3109" s="7" t="str">
        <f>TEXT(OrganizedData[[#This Row],[Order Date]],"mmm")</f>
        <v>Oct</v>
      </c>
      <c r="M3109" s="2">
        <v>7</v>
      </c>
      <c r="N3109" s="2" t="s">
        <v>70</v>
      </c>
      <c r="O3109" s="2" t="str">
        <f>VLOOKUP(OrganizedData[[#This Row],[Product Code]],ProductData[[Code]:[Item]],2,FALSE)</f>
        <v>Megawidget M</v>
      </c>
      <c r="P3109" s="4">
        <f>OrganizedData[[#This Row],[Quantity]]*VLOOKUP(OrganizedData[[#This Row],[Product Code]],ProductData[],4,FALSE)</f>
        <v>168</v>
      </c>
      <c r="Q3109" s="6">
        <f>OrganizedData[[#This Row],[Total Items Ordered]]*VLOOKUP(OrganizedData[[#This Row],[Product Code]],ProductData[],3,FALSE)</f>
        <v>216.72</v>
      </c>
      <c r="R31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216.72</v>
      </c>
    </row>
    <row r="3110" spans="1:18" x14ac:dyDescent="0.3">
      <c r="A3110" s="2">
        <v>3103</v>
      </c>
      <c r="B3110" s="2" t="s">
        <v>4004</v>
      </c>
      <c r="C3110" s="2" t="s">
        <v>2995</v>
      </c>
      <c r="D3110" s="2" t="s">
        <v>28</v>
      </c>
      <c r="E3110" s="2" t="s">
        <v>29</v>
      </c>
      <c r="F3110" s="2">
        <v>30</v>
      </c>
      <c r="G3110" s="2" t="s">
        <v>7648</v>
      </c>
      <c r="H3110" s="2" t="s">
        <v>182</v>
      </c>
      <c r="I3110" s="2" t="s">
        <v>32</v>
      </c>
      <c r="J3110" s="3">
        <v>43846</v>
      </c>
      <c r="K3110" s="5">
        <f>YEAR(OrganizedData[[#This Row],[Order Date]])</f>
        <v>2020</v>
      </c>
      <c r="L3110" s="7" t="str">
        <f>TEXT(OrganizedData[[#This Row],[Order Date]],"mmm")</f>
        <v>Jan</v>
      </c>
      <c r="M3110" s="2">
        <v>33</v>
      </c>
      <c r="N3110" s="2" t="s">
        <v>39</v>
      </c>
      <c r="O3110" s="2" t="str">
        <f>VLOOKUP(OrganizedData[[#This Row],[Product Code]],ProductData[[Code]:[Item]],2,FALSE)</f>
        <v>Ultrathing V1</v>
      </c>
      <c r="P3110" s="4">
        <f>OrganizedData[[#This Row],[Quantity]]*VLOOKUP(OrganizedData[[#This Row],[Product Code]],ProductData[],4,FALSE)</f>
        <v>561</v>
      </c>
      <c r="Q3110" s="6">
        <f>OrganizedData[[#This Row],[Total Items Ordered]]*VLOOKUP(OrganizedData[[#This Row],[Product Code]],ProductData[],3,FALSE)</f>
        <v>1004.19</v>
      </c>
      <c r="R31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3111" spans="1:18" x14ac:dyDescent="0.3">
      <c r="A3111" s="2">
        <v>3104</v>
      </c>
      <c r="B3111" s="2" t="s">
        <v>7649</v>
      </c>
      <c r="C3111" s="2" t="s">
        <v>597</v>
      </c>
      <c r="D3111" s="2" t="s">
        <v>15</v>
      </c>
      <c r="E3111" s="2" t="s">
        <v>16</v>
      </c>
      <c r="F3111" s="2">
        <v>90</v>
      </c>
      <c r="G3111" s="2" t="s">
        <v>7650</v>
      </c>
      <c r="H3111" s="2" t="s">
        <v>3897</v>
      </c>
      <c r="I3111" s="2" t="s">
        <v>3898</v>
      </c>
      <c r="J3111" s="3">
        <v>43840</v>
      </c>
      <c r="K3111" s="5">
        <f>YEAR(OrganizedData[[#This Row],[Order Date]])</f>
        <v>2020</v>
      </c>
      <c r="L3111" s="7" t="str">
        <f>TEXT(OrganizedData[[#This Row],[Order Date]],"mmm")</f>
        <v>Jan</v>
      </c>
      <c r="M3111" s="2">
        <v>35</v>
      </c>
      <c r="N3111" s="2" t="s">
        <v>20</v>
      </c>
      <c r="O3111" s="2" t="str">
        <f>VLOOKUP(OrganizedData[[#This Row],[Product Code]],ProductData[[Code]:[Item]],2,FALSE)</f>
        <v>Hyperwotsit</v>
      </c>
      <c r="P3111" s="4">
        <f>OrganizedData[[#This Row],[Quantity]]*VLOOKUP(OrganizedData[[#This Row],[Product Code]],ProductData[],4,FALSE)</f>
        <v>700</v>
      </c>
      <c r="Q3111" s="6">
        <f>OrganizedData[[#This Row],[Total Items Ordered]]*VLOOKUP(OrganizedData[[#This Row],[Product Code]],ProductData[],3,FALSE)</f>
        <v>1406.9999999999998</v>
      </c>
      <c r="R31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1364.7899999999997</v>
      </c>
    </row>
    <row r="3112" spans="1:18" x14ac:dyDescent="0.3">
      <c r="A3112" s="2">
        <v>3105</v>
      </c>
      <c r="B3112" s="2" t="s">
        <v>6316</v>
      </c>
      <c r="C3112" s="2" t="s">
        <v>2273</v>
      </c>
      <c r="D3112" s="2" t="s">
        <v>51</v>
      </c>
      <c r="E3112" s="2" t="s">
        <v>16</v>
      </c>
      <c r="F3112" s="2">
        <v>60</v>
      </c>
      <c r="G3112" s="2" t="s">
        <v>7651</v>
      </c>
      <c r="H3112" s="2" t="s">
        <v>970</v>
      </c>
      <c r="I3112" s="2" t="s">
        <v>187</v>
      </c>
      <c r="J3112" s="3">
        <v>44470</v>
      </c>
      <c r="K3112" s="5">
        <f>YEAR(OrganizedData[[#This Row],[Order Date]])</f>
        <v>2021</v>
      </c>
      <c r="L3112" s="7" t="str">
        <f>TEXT(OrganizedData[[#This Row],[Order Date]],"mmm")</f>
        <v>Oct</v>
      </c>
      <c r="M3112" s="2">
        <v>31</v>
      </c>
      <c r="N3112" s="2" t="s">
        <v>159</v>
      </c>
      <c r="O3112" s="2" t="str">
        <f>VLOOKUP(OrganizedData[[#This Row],[Product Code]],ProductData[[Code]:[Item]],2,FALSE)</f>
        <v>Ultrathing V3</v>
      </c>
      <c r="P3112" s="4">
        <f>OrganizedData[[#This Row],[Quantity]]*VLOOKUP(OrganizedData[[#This Row],[Product Code]],ProductData[],4,FALSE)</f>
        <v>744</v>
      </c>
      <c r="Q3112" s="6">
        <f>OrganizedData[[#This Row],[Total Items Ordered]]*VLOOKUP(OrganizedData[[#This Row],[Product Code]],ProductData[],3,FALSE)</f>
        <v>2522.1600000000003</v>
      </c>
      <c r="R31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2446.4952000000003</v>
      </c>
    </row>
    <row r="3113" spans="1:18" x14ac:dyDescent="0.3">
      <c r="A3113" s="2">
        <v>3106</v>
      </c>
      <c r="B3113" s="2" t="s">
        <v>5015</v>
      </c>
      <c r="C3113" s="2" t="s">
        <v>7652</v>
      </c>
      <c r="D3113" s="2" t="s">
        <v>28</v>
      </c>
      <c r="E3113" s="2" t="s">
        <v>29</v>
      </c>
      <c r="F3113" s="2">
        <v>60</v>
      </c>
      <c r="G3113" s="2" t="s">
        <v>7653</v>
      </c>
      <c r="H3113" s="2" t="s">
        <v>7654</v>
      </c>
      <c r="I3113" s="2" t="s">
        <v>32</v>
      </c>
      <c r="J3113" s="3">
        <v>44481</v>
      </c>
      <c r="K3113" s="5">
        <f>YEAR(OrganizedData[[#This Row],[Order Date]])</f>
        <v>2021</v>
      </c>
      <c r="L3113" s="7" t="str">
        <f>TEXT(OrganizedData[[#This Row],[Order Date]],"mmm")</f>
        <v>Oct</v>
      </c>
      <c r="M3113" s="2">
        <v>3</v>
      </c>
      <c r="N3113" s="2" t="s">
        <v>45</v>
      </c>
      <c r="O3113" s="2" t="str">
        <f>VLOOKUP(OrganizedData[[#This Row],[Product Code]],ProductData[[Code]:[Item]],2,FALSE)</f>
        <v>Gigastuff</v>
      </c>
      <c r="P3113" s="4">
        <f>OrganizedData[[#This Row],[Quantity]]*VLOOKUP(OrganizedData[[#This Row],[Product Code]],ProductData[],4,FALSE)</f>
        <v>54</v>
      </c>
      <c r="Q3113" s="6">
        <f>OrganizedData[[#This Row],[Total Items Ordered]]*VLOOKUP(OrganizedData[[#This Row],[Product Code]],ProductData[],3,FALSE)</f>
        <v>102.05999999999999</v>
      </c>
      <c r="R31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3114" spans="1:18" x14ac:dyDescent="0.3">
      <c r="A3114" s="2">
        <v>3107</v>
      </c>
      <c r="B3114" s="2" t="s">
        <v>5746</v>
      </c>
      <c r="C3114" s="2" t="s">
        <v>229</v>
      </c>
      <c r="D3114" s="2" t="s">
        <v>15</v>
      </c>
      <c r="E3114" s="2" t="s">
        <v>16</v>
      </c>
      <c r="F3114" s="2">
        <v>90</v>
      </c>
      <c r="G3114" s="2" t="s">
        <v>7655</v>
      </c>
      <c r="H3114" s="2" t="s">
        <v>2875</v>
      </c>
      <c r="I3114" s="2" t="s">
        <v>32</v>
      </c>
      <c r="J3114" s="3">
        <v>44041</v>
      </c>
      <c r="K3114" s="5">
        <f>YEAR(OrganizedData[[#This Row],[Order Date]])</f>
        <v>2020</v>
      </c>
      <c r="L3114" s="7" t="str">
        <f>TEXT(OrganizedData[[#This Row],[Order Date]],"mmm")</f>
        <v>Jul</v>
      </c>
      <c r="M3114" s="2">
        <v>82</v>
      </c>
      <c r="N3114" s="2" t="s">
        <v>159</v>
      </c>
      <c r="O3114" s="2" t="str">
        <f>VLOOKUP(OrganizedData[[#This Row],[Product Code]],ProductData[[Code]:[Item]],2,FALSE)</f>
        <v>Ultrathing V3</v>
      </c>
      <c r="P3114" s="4">
        <f>OrganizedData[[#This Row],[Quantity]]*VLOOKUP(OrganizedData[[#This Row],[Product Code]],ProductData[],4,FALSE)</f>
        <v>1968</v>
      </c>
      <c r="Q3114" s="6">
        <f>OrganizedData[[#This Row],[Total Items Ordered]]*VLOOKUP(OrganizedData[[#This Row],[Product Code]],ProductData[],3,FALSE)</f>
        <v>6671.52</v>
      </c>
      <c r="R31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6337.9440000000004</v>
      </c>
    </row>
    <row r="3115" spans="1:18" x14ac:dyDescent="0.3">
      <c r="A3115" s="2">
        <v>3108</v>
      </c>
      <c r="B3115" s="2" t="s">
        <v>2523</v>
      </c>
      <c r="C3115" s="2" t="s">
        <v>5749</v>
      </c>
      <c r="D3115" s="2" t="s">
        <v>28</v>
      </c>
      <c r="E3115" s="2" t="s">
        <v>29</v>
      </c>
      <c r="F3115" s="2">
        <v>60</v>
      </c>
      <c r="G3115" s="2" t="s">
        <v>7656</v>
      </c>
      <c r="H3115" s="2" t="s">
        <v>4389</v>
      </c>
      <c r="I3115" s="2" t="s">
        <v>32</v>
      </c>
      <c r="J3115" s="3">
        <v>44307</v>
      </c>
      <c r="K3115" s="5">
        <f>YEAR(OrganizedData[[#This Row],[Order Date]])</f>
        <v>2021</v>
      </c>
      <c r="L3115" s="7" t="str">
        <f>TEXT(OrganizedData[[#This Row],[Order Date]],"mmm")</f>
        <v>Apr</v>
      </c>
      <c r="M3115" s="2">
        <v>89</v>
      </c>
      <c r="N3115" s="2" t="s">
        <v>39</v>
      </c>
      <c r="O3115" s="2" t="str">
        <f>VLOOKUP(OrganizedData[[#This Row],[Product Code]],ProductData[[Code]:[Item]],2,FALSE)</f>
        <v>Ultrathing V1</v>
      </c>
      <c r="P3115" s="4">
        <f>OrganizedData[[#This Row],[Quantity]]*VLOOKUP(OrganizedData[[#This Row],[Product Code]],ProductData[],4,FALSE)</f>
        <v>1513</v>
      </c>
      <c r="Q3115" s="6">
        <f>OrganizedData[[#This Row],[Total Items Ordered]]*VLOOKUP(OrganizedData[[#This Row],[Product Code]],ProductData[],3,FALSE)</f>
        <v>2708.27</v>
      </c>
      <c r="R31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2572.8564999999999</v>
      </c>
    </row>
    <row r="3116" spans="1:18" x14ac:dyDescent="0.3">
      <c r="A3116" s="2">
        <v>3109</v>
      </c>
      <c r="B3116" s="2" t="s">
        <v>7657</v>
      </c>
      <c r="C3116" s="2" t="s">
        <v>5979</v>
      </c>
      <c r="D3116" s="2" t="s">
        <v>28</v>
      </c>
      <c r="E3116" s="2" t="s">
        <v>29</v>
      </c>
      <c r="F3116" s="2">
        <v>60</v>
      </c>
      <c r="G3116" s="2" t="s">
        <v>7658</v>
      </c>
      <c r="H3116" s="2" t="s">
        <v>1977</v>
      </c>
      <c r="I3116" s="2" t="s">
        <v>124</v>
      </c>
      <c r="J3116" s="3">
        <v>44892</v>
      </c>
      <c r="K3116" s="5">
        <f>YEAR(OrganizedData[[#This Row],[Order Date]])</f>
        <v>2022</v>
      </c>
      <c r="L3116" s="7" t="str">
        <f>TEXT(OrganizedData[[#This Row],[Order Date]],"mmm")</f>
        <v>Nov</v>
      </c>
      <c r="M3116" s="2">
        <v>4</v>
      </c>
      <c r="N3116" s="2" t="s">
        <v>54</v>
      </c>
      <c r="O3116" s="2" t="str">
        <f>VLOOKUP(OrganizedData[[#This Row],[Product Code]],ProductData[[Code]:[Item]],2,FALSE)</f>
        <v>Megawidget S</v>
      </c>
      <c r="P3116" s="4">
        <f>OrganizedData[[#This Row],[Quantity]]*VLOOKUP(OrganizedData[[#This Row],[Product Code]],ProductData[],4,FALSE)</f>
        <v>96</v>
      </c>
      <c r="Q3116" s="6">
        <f>OrganizedData[[#This Row],[Total Items Ordered]]*VLOOKUP(OrganizedData[[#This Row],[Product Code]],ProductData[],3,FALSE)</f>
        <v>66.239999999999995</v>
      </c>
      <c r="R31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3117" spans="1:18" x14ac:dyDescent="0.3">
      <c r="A3117" s="2">
        <v>3110</v>
      </c>
      <c r="B3117" s="2" t="s">
        <v>313</v>
      </c>
      <c r="C3117" s="2" t="s">
        <v>1596</v>
      </c>
      <c r="D3117" s="2" t="s">
        <v>28</v>
      </c>
      <c r="E3117" s="2" t="s">
        <v>29</v>
      </c>
      <c r="F3117" s="2">
        <v>60</v>
      </c>
      <c r="G3117" s="2" t="s">
        <v>7659</v>
      </c>
      <c r="H3117" s="2" t="s">
        <v>3651</v>
      </c>
      <c r="I3117" s="2" t="s">
        <v>294</v>
      </c>
      <c r="J3117" s="3">
        <v>44495</v>
      </c>
      <c r="K3117" s="5">
        <f>YEAR(OrganizedData[[#This Row],[Order Date]])</f>
        <v>2021</v>
      </c>
      <c r="L3117" s="7" t="str">
        <f>TEXT(OrganizedData[[#This Row],[Order Date]],"mmm")</f>
        <v>Oct</v>
      </c>
      <c r="M3117" s="2">
        <v>58</v>
      </c>
      <c r="N3117" s="2" t="s">
        <v>54</v>
      </c>
      <c r="O3117" s="2" t="str">
        <f>VLOOKUP(OrganizedData[[#This Row],[Product Code]],ProductData[[Code]:[Item]],2,FALSE)</f>
        <v>Megawidget S</v>
      </c>
      <c r="P3117" s="4">
        <f>OrganizedData[[#This Row],[Quantity]]*VLOOKUP(OrganizedData[[#This Row],[Product Code]],ProductData[],4,FALSE)</f>
        <v>1392</v>
      </c>
      <c r="Q3117" s="6">
        <f>OrganizedData[[#This Row],[Total Items Ordered]]*VLOOKUP(OrganizedData[[#This Row],[Product Code]],ProductData[],3,FALSE)</f>
        <v>960.4799999999999</v>
      </c>
      <c r="R31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3118" spans="1:18" x14ac:dyDescent="0.3">
      <c r="A3118" s="2">
        <v>3111</v>
      </c>
      <c r="B3118" s="2" t="s">
        <v>7660</v>
      </c>
      <c r="C3118" s="2" t="s">
        <v>6762</v>
      </c>
      <c r="D3118" s="2" t="s">
        <v>15</v>
      </c>
      <c r="E3118" s="2" t="s">
        <v>16</v>
      </c>
      <c r="F3118" s="2">
        <v>90</v>
      </c>
      <c r="G3118" s="2" t="s">
        <v>7661</v>
      </c>
      <c r="H3118" s="2" t="s">
        <v>3774</v>
      </c>
      <c r="I3118" s="2" t="s">
        <v>187</v>
      </c>
      <c r="J3118" s="3">
        <v>44136</v>
      </c>
      <c r="K3118" s="5">
        <f>YEAR(OrganizedData[[#This Row],[Order Date]])</f>
        <v>2020</v>
      </c>
      <c r="L3118" s="7" t="str">
        <f>TEXT(OrganizedData[[#This Row],[Order Date]],"mmm")</f>
        <v>Nov</v>
      </c>
      <c r="M3118" s="2">
        <v>23</v>
      </c>
      <c r="N3118" s="2" t="s">
        <v>159</v>
      </c>
      <c r="O3118" s="2" t="str">
        <f>VLOOKUP(OrganizedData[[#This Row],[Product Code]],ProductData[[Code]:[Item]],2,FALSE)</f>
        <v>Ultrathing V3</v>
      </c>
      <c r="P3118" s="4">
        <f>OrganizedData[[#This Row],[Quantity]]*VLOOKUP(OrganizedData[[#This Row],[Product Code]],ProductData[],4,FALSE)</f>
        <v>552</v>
      </c>
      <c r="Q3118" s="6">
        <f>OrganizedData[[#This Row],[Total Items Ordered]]*VLOOKUP(OrganizedData[[#This Row],[Product Code]],ProductData[],3,FALSE)</f>
        <v>1871.28</v>
      </c>
      <c r="R31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1815.1415999999999</v>
      </c>
    </row>
    <row r="3119" spans="1:18" x14ac:dyDescent="0.3">
      <c r="A3119" s="2">
        <v>3112</v>
      </c>
      <c r="B3119" s="2" t="s">
        <v>5195</v>
      </c>
      <c r="C3119" s="2" t="s">
        <v>1678</v>
      </c>
      <c r="D3119" s="2" t="s">
        <v>28</v>
      </c>
      <c r="E3119" s="2" t="s">
        <v>29</v>
      </c>
      <c r="F3119" s="2">
        <v>30</v>
      </c>
      <c r="G3119" s="2" t="s">
        <v>7662</v>
      </c>
      <c r="H3119" s="2" t="s">
        <v>4158</v>
      </c>
      <c r="I3119" s="2" t="s">
        <v>32</v>
      </c>
      <c r="J3119" s="3">
        <v>44248</v>
      </c>
      <c r="K3119" s="5">
        <f>YEAR(OrganizedData[[#This Row],[Order Date]])</f>
        <v>2021</v>
      </c>
      <c r="L3119" s="7" t="str">
        <f>TEXT(OrganizedData[[#This Row],[Order Date]],"mmm")</f>
        <v>Feb</v>
      </c>
      <c r="M3119" s="2">
        <v>30</v>
      </c>
      <c r="N3119" s="2" t="s">
        <v>39</v>
      </c>
      <c r="O3119" s="2" t="str">
        <f>VLOOKUP(OrganizedData[[#This Row],[Product Code]],ProductData[[Code]:[Item]],2,FALSE)</f>
        <v>Ultrathing V1</v>
      </c>
      <c r="P3119" s="4">
        <f>OrganizedData[[#This Row],[Quantity]]*VLOOKUP(OrganizedData[[#This Row],[Product Code]],ProductData[],4,FALSE)</f>
        <v>510</v>
      </c>
      <c r="Q3119" s="6">
        <f>OrganizedData[[#This Row],[Total Items Ordered]]*VLOOKUP(OrganizedData[[#This Row],[Product Code]],ProductData[],3,FALSE)</f>
        <v>912.9</v>
      </c>
      <c r="R31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3120" spans="1:18" x14ac:dyDescent="0.3">
      <c r="A3120" s="2">
        <v>3113</v>
      </c>
      <c r="B3120" s="2" t="s">
        <v>7663</v>
      </c>
      <c r="C3120" s="2" t="s">
        <v>1116</v>
      </c>
      <c r="D3120" s="2" t="s">
        <v>51</v>
      </c>
      <c r="E3120" s="2" t="s">
        <v>16</v>
      </c>
      <c r="F3120" s="2">
        <v>60</v>
      </c>
      <c r="G3120" s="2" t="s">
        <v>7664</v>
      </c>
      <c r="H3120" s="2" t="s">
        <v>7665</v>
      </c>
      <c r="I3120" s="2" t="s">
        <v>7666</v>
      </c>
      <c r="J3120" s="3">
        <v>44250</v>
      </c>
      <c r="K3120" s="5">
        <f>YEAR(OrganizedData[[#This Row],[Order Date]])</f>
        <v>2021</v>
      </c>
      <c r="L3120" s="7" t="str">
        <f>TEXT(OrganizedData[[#This Row],[Order Date]],"mmm")</f>
        <v>Feb</v>
      </c>
      <c r="M3120" s="2">
        <v>41</v>
      </c>
      <c r="N3120" s="2" t="s">
        <v>39</v>
      </c>
      <c r="O3120" s="2" t="str">
        <f>VLOOKUP(OrganizedData[[#This Row],[Product Code]],ProductData[[Code]:[Item]],2,FALSE)</f>
        <v>Ultrathing V1</v>
      </c>
      <c r="P3120" s="4">
        <f>OrganizedData[[#This Row],[Quantity]]*VLOOKUP(OrganizedData[[#This Row],[Product Code]],ProductData[],4,FALSE)</f>
        <v>697</v>
      </c>
      <c r="Q3120" s="6">
        <f>OrganizedData[[#This Row],[Total Items Ordered]]*VLOOKUP(OrganizedData[[#This Row],[Product Code]],ProductData[],3,FALSE)</f>
        <v>1247.6300000000001</v>
      </c>
      <c r="R31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1210.2011</v>
      </c>
    </row>
    <row r="3121" spans="1:18" x14ac:dyDescent="0.3">
      <c r="A3121" s="2">
        <v>3114</v>
      </c>
      <c r="B3121" s="2" t="s">
        <v>7667</v>
      </c>
      <c r="C3121" s="2" t="s">
        <v>1894</v>
      </c>
      <c r="D3121" s="2" t="s">
        <v>51</v>
      </c>
      <c r="E3121" s="2" t="s">
        <v>16</v>
      </c>
      <c r="F3121" s="2">
        <v>60</v>
      </c>
      <c r="G3121" s="2" t="s">
        <v>7668</v>
      </c>
      <c r="H3121" s="2" t="s">
        <v>5819</v>
      </c>
      <c r="I3121" s="2" t="s">
        <v>5820</v>
      </c>
      <c r="J3121" s="3">
        <v>44789</v>
      </c>
      <c r="K3121" s="5">
        <f>YEAR(OrganizedData[[#This Row],[Order Date]])</f>
        <v>2022</v>
      </c>
      <c r="L3121" s="7" t="str">
        <f>TEXT(OrganizedData[[#This Row],[Order Date]],"mmm")</f>
        <v>Aug</v>
      </c>
      <c r="M3121" s="2">
        <v>69</v>
      </c>
      <c r="N3121" s="2" t="s">
        <v>64</v>
      </c>
      <c r="O3121" s="2" t="str">
        <f>VLOOKUP(OrganizedData[[#This Row],[Product Code]],ProductData[[Code]:[Item]],2,FALSE)</f>
        <v>Ultrathing V4</v>
      </c>
      <c r="P3121" s="4">
        <f>OrganizedData[[#This Row],[Quantity]]*VLOOKUP(OrganizedData[[#This Row],[Product Code]],ProductData[],4,FALSE)</f>
        <v>1656</v>
      </c>
      <c r="Q3121" s="6">
        <f>OrganizedData[[#This Row],[Total Items Ordered]]*VLOOKUP(OrganizedData[[#This Row],[Product Code]],ProductData[],3,FALSE)</f>
        <v>6607.4400000000005</v>
      </c>
      <c r="R31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6277.0680000000002</v>
      </c>
    </row>
    <row r="3122" spans="1:18" x14ac:dyDescent="0.3">
      <c r="A3122" s="2">
        <v>3115</v>
      </c>
      <c r="B3122" s="2" t="s">
        <v>2796</v>
      </c>
      <c r="C3122" s="2" t="s">
        <v>205</v>
      </c>
      <c r="D3122" s="2" t="s">
        <v>28</v>
      </c>
      <c r="E3122" s="2" t="s">
        <v>29</v>
      </c>
      <c r="F3122" s="2">
        <v>60</v>
      </c>
      <c r="G3122" s="2" t="s">
        <v>7669</v>
      </c>
      <c r="H3122" s="2" t="s">
        <v>6736</v>
      </c>
      <c r="I3122" s="2" t="s">
        <v>32</v>
      </c>
      <c r="J3122" s="3">
        <v>44563</v>
      </c>
      <c r="K3122" s="5">
        <f>YEAR(OrganizedData[[#This Row],[Order Date]])</f>
        <v>2022</v>
      </c>
      <c r="L3122" s="7" t="str">
        <f>TEXT(OrganizedData[[#This Row],[Order Date]],"mmm")</f>
        <v>Jan</v>
      </c>
      <c r="M3122" s="2">
        <v>10</v>
      </c>
      <c r="N3122" s="2" t="s">
        <v>54</v>
      </c>
      <c r="O3122" s="2" t="str">
        <f>VLOOKUP(OrganizedData[[#This Row],[Product Code]],ProductData[[Code]:[Item]],2,FALSE)</f>
        <v>Megawidget S</v>
      </c>
      <c r="P3122" s="4">
        <f>OrganizedData[[#This Row],[Quantity]]*VLOOKUP(OrganizedData[[#This Row],[Product Code]],ProductData[],4,FALSE)</f>
        <v>240</v>
      </c>
      <c r="Q3122" s="6">
        <f>OrganizedData[[#This Row],[Total Items Ordered]]*VLOOKUP(OrganizedData[[#This Row],[Product Code]],ProductData[],3,FALSE)</f>
        <v>165.6</v>
      </c>
      <c r="R31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165.6</v>
      </c>
    </row>
    <row r="3123" spans="1:18" x14ac:dyDescent="0.3">
      <c r="A3123" s="2">
        <v>3116</v>
      </c>
      <c r="B3123" s="2" t="s">
        <v>7670</v>
      </c>
      <c r="C3123" s="2" t="s">
        <v>3911</v>
      </c>
      <c r="D3123" s="2" t="s">
        <v>51</v>
      </c>
      <c r="E3123" s="2" t="s">
        <v>16</v>
      </c>
      <c r="F3123" s="2">
        <v>90</v>
      </c>
      <c r="G3123" s="2" t="s">
        <v>7671</v>
      </c>
      <c r="H3123" s="2" t="s">
        <v>6736</v>
      </c>
      <c r="I3123" s="2" t="s">
        <v>32</v>
      </c>
      <c r="J3123" s="3">
        <v>44417</v>
      </c>
      <c r="K3123" s="5">
        <f>YEAR(OrganizedData[[#This Row],[Order Date]])</f>
        <v>2021</v>
      </c>
      <c r="L3123" s="7" t="str">
        <f>TEXT(OrganizedData[[#This Row],[Order Date]],"mmm")</f>
        <v>Aug</v>
      </c>
      <c r="M3123" s="2">
        <v>25</v>
      </c>
      <c r="N3123" s="2" t="s">
        <v>70</v>
      </c>
      <c r="O3123" s="2" t="str">
        <f>VLOOKUP(OrganizedData[[#This Row],[Product Code]],ProductData[[Code]:[Item]],2,FALSE)</f>
        <v>Megawidget M</v>
      </c>
      <c r="P3123" s="4">
        <f>OrganizedData[[#This Row],[Quantity]]*VLOOKUP(OrganizedData[[#This Row],[Product Code]],ProductData[],4,FALSE)</f>
        <v>600</v>
      </c>
      <c r="Q3123" s="6">
        <f>OrganizedData[[#This Row],[Total Items Ordered]]*VLOOKUP(OrganizedData[[#This Row],[Product Code]],ProductData[],3,FALSE)</f>
        <v>774</v>
      </c>
      <c r="R31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3124" spans="1:18" x14ac:dyDescent="0.3">
      <c r="A3124" s="2">
        <v>3117</v>
      </c>
      <c r="B3124" s="2" t="s">
        <v>7672</v>
      </c>
      <c r="C3124" s="2" t="s">
        <v>4679</v>
      </c>
      <c r="D3124" s="2" t="s">
        <v>51</v>
      </c>
      <c r="E3124" s="2" t="s">
        <v>16</v>
      </c>
      <c r="F3124" s="2">
        <v>30</v>
      </c>
      <c r="G3124" s="2" t="s">
        <v>7673</v>
      </c>
      <c r="H3124" s="2" t="s">
        <v>2953</v>
      </c>
      <c r="I3124" s="2" t="s">
        <v>124</v>
      </c>
      <c r="J3124" s="3">
        <v>44037</v>
      </c>
      <c r="K3124" s="5">
        <f>YEAR(OrganizedData[[#This Row],[Order Date]])</f>
        <v>2020</v>
      </c>
      <c r="L3124" s="7" t="str">
        <f>TEXT(OrganizedData[[#This Row],[Order Date]],"mmm")</f>
        <v>Jul</v>
      </c>
      <c r="M3124" s="2">
        <v>2</v>
      </c>
      <c r="N3124" s="2" t="s">
        <v>20</v>
      </c>
      <c r="O3124" s="2" t="str">
        <f>VLOOKUP(OrganizedData[[#This Row],[Product Code]],ProductData[[Code]:[Item]],2,FALSE)</f>
        <v>Hyperwotsit</v>
      </c>
      <c r="P3124" s="4">
        <f>OrganizedData[[#This Row],[Quantity]]*VLOOKUP(OrganizedData[[#This Row],[Product Code]],ProductData[],4,FALSE)</f>
        <v>40</v>
      </c>
      <c r="Q3124" s="6">
        <f>OrganizedData[[#This Row],[Total Items Ordered]]*VLOOKUP(OrganizedData[[#This Row],[Product Code]],ProductData[],3,FALSE)</f>
        <v>80.399999999999991</v>
      </c>
      <c r="R31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3125" spans="1:18" x14ac:dyDescent="0.3">
      <c r="A3125" s="2">
        <v>3118</v>
      </c>
      <c r="B3125" s="2" t="s">
        <v>1997</v>
      </c>
      <c r="C3125" s="2" t="s">
        <v>7674</v>
      </c>
      <c r="D3125" s="2" t="s">
        <v>28</v>
      </c>
      <c r="E3125" s="2" t="s">
        <v>29</v>
      </c>
      <c r="F3125" s="2">
        <v>60</v>
      </c>
      <c r="G3125" s="2" t="s">
        <v>7673</v>
      </c>
      <c r="H3125" s="2" t="s">
        <v>3396</v>
      </c>
      <c r="I3125" s="2" t="s">
        <v>32</v>
      </c>
      <c r="J3125" s="3">
        <v>44633</v>
      </c>
      <c r="K3125" s="5">
        <f>YEAR(OrganizedData[[#This Row],[Order Date]])</f>
        <v>2022</v>
      </c>
      <c r="L3125" s="7" t="str">
        <f>TEXT(OrganizedData[[#This Row],[Order Date]],"mmm")</f>
        <v>Mar</v>
      </c>
      <c r="M3125" s="2">
        <v>66</v>
      </c>
      <c r="N3125" s="2" t="s">
        <v>159</v>
      </c>
      <c r="O3125" s="2" t="str">
        <f>VLOOKUP(OrganizedData[[#This Row],[Product Code]],ProductData[[Code]:[Item]],2,FALSE)</f>
        <v>Ultrathing V3</v>
      </c>
      <c r="P3125" s="4">
        <f>OrganizedData[[#This Row],[Quantity]]*VLOOKUP(OrganizedData[[#This Row],[Product Code]],ProductData[],4,FALSE)</f>
        <v>1584</v>
      </c>
      <c r="Q3125" s="6">
        <f>OrganizedData[[#This Row],[Total Items Ordered]]*VLOOKUP(OrganizedData[[#This Row],[Product Code]],ProductData[],3,FALSE)</f>
        <v>5369.76</v>
      </c>
      <c r="R31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5101.2719999999999</v>
      </c>
    </row>
    <row r="3126" spans="1:18" x14ac:dyDescent="0.3">
      <c r="A3126" s="2">
        <v>3119</v>
      </c>
      <c r="B3126" s="2" t="s">
        <v>7675</v>
      </c>
      <c r="C3126" s="2" t="s">
        <v>547</v>
      </c>
      <c r="D3126" s="2" t="s">
        <v>51</v>
      </c>
      <c r="E3126" s="2" t="s">
        <v>16</v>
      </c>
      <c r="F3126" s="2">
        <v>90</v>
      </c>
      <c r="G3126" s="2" t="s">
        <v>7676</v>
      </c>
      <c r="H3126" s="2" t="s">
        <v>3399</v>
      </c>
      <c r="I3126" s="2" t="s">
        <v>124</v>
      </c>
      <c r="J3126" s="3">
        <v>44197</v>
      </c>
      <c r="K3126" s="5">
        <f>YEAR(OrganizedData[[#This Row],[Order Date]])</f>
        <v>2021</v>
      </c>
      <c r="L3126" s="7" t="str">
        <f>TEXT(OrganizedData[[#This Row],[Order Date]],"mmm")</f>
        <v>Jan</v>
      </c>
      <c r="M3126" s="2">
        <v>5</v>
      </c>
      <c r="N3126" s="2" t="s">
        <v>39</v>
      </c>
      <c r="O3126" s="2" t="str">
        <f>VLOOKUP(OrganizedData[[#This Row],[Product Code]],ProductData[[Code]:[Item]],2,FALSE)</f>
        <v>Ultrathing V1</v>
      </c>
      <c r="P3126" s="4">
        <f>OrganizedData[[#This Row],[Quantity]]*VLOOKUP(OrganizedData[[#This Row],[Product Code]],ProductData[],4,FALSE)</f>
        <v>85</v>
      </c>
      <c r="Q3126" s="6">
        <f>OrganizedData[[#This Row],[Total Items Ordered]]*VLOOKUP(OrganizedData[[#This Row],[Product Code]],ProductData[],3,FALSE)</f>
        <v>152.15</v>
      </c>
      <c r="R31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152.15</v>
      </c>
    </row>
    <row r="3127" spans="1:18" x14ac:dyDescent="0.3">
      <c r="A3127" s="2">
        <v>3120</v>
      </c>
      <c r="B3127" s="2" t="s">
        <v>7195</v>
      </c>
      <c r="C3127" s="2" t="s">
        <v>2216</v>
      </c>
      <c r="D3127" s="2" t="s">
        <v>28</v>
      </c>
      <c r="E3127" s="2" t="s">
        <v>29</v>
      </c>
      <c r="F3127" s="2">
        <v>60</v>
      </c>
      <c r="G3127" s="2" t="s">
        <v>7677</v>
      </c>
      <c r="H3127" s="2" t="s">
        <v>3834</v>
      </c>
      <c r="I3127" s="2" t="s">
        <v>32</v>
      </c>
      <c r="J3127" s="3">
        <v>44102</v>
      </c>
      <c r="K3127" s="5">
        <f>YEAR(OrganizedData[[#This Row],[Order Date]])</f>
        <v>2020</v>
      </c>
      <c r="L3127" s="7" t="str">
        <f>TEXT(OrganizedData[[#This Row],[Order Date]],"mmm")</f>
        <v>Sep</v>
      </c>
      <c r="M3127" s="2">
        <v>11</v>
      </c>
      <c r="N3127" s="2" t="s">
        <v>39</v>
      </c>
      <c r="O3127" s="2" t="str">
        <f>VLOOKUP(OrganizedData[[#This Row],[Product Code]],ProductData[[Code]:[Item]],2,FALSE)</f>
        <v>Ultrathing V1</v>
      </c>
      <c r="P3127" s="4">
        <f>OrganizedData[[#This Row],[Quantity]]*VLOOKUP(OrganizedData[[#This Row],[Product Code]],ProductData[],4,FALSE)</f>
        <v>187</v>
      </c>
      <c r="Q3127" s="6">
        <f>OrganizedData[[#This Row],[Total Items Ordered]]*VLOOKUP(OrganizedData[[#This Row],[Product Code]],ProductData[],3,FALSE)</f>
        <v>334.73</v>
      </c>
      <c r="R31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334.73</v>
      </c>
    </row>
    <row r="3128" spans="1:18" x14ac:dyDescent="0.3">
      <c r="A3128" s="2">
        <v>3121</v>
      </c>
      <c r="B3128" s="2" t="s">
        <v>7678</v>
      </c>
      <c r="C3128" s="2" t="s">
        <v>7679</v>
      </c>
      <c r="D3128" s="2" t="s">
        <v>28</v>
      </c>
      <c r="E3128" s="2" t="s">
        <v>29</v>
      </c>
      <c r="F3128" s="2">
        <v>30</v>
      </c>
      <c r="G3128" s="2" t="s">
        <v>7680</v>
      </c>
      <c r="H3128" s="2" t="s">
        <v>5214</v>
      </c>
      <c r="I3128" s="2" t="s">
        <v>95</v>
      </c>
      <c r="J3128" s="3">
        <v>44009</v>
      </c>
      <c r="K3128" s="5">
        <f>YEAR(OrganizedData[[#This Row],[Order Date]])</f>
        <v>2020</v>
      </c>
      <c r="L3128" s="7" t="str">
        <f>TEXT(OrganizedData[[#This Row],[Order Date]],"mmm")</f>
        <v>Jun</v>
      </c>
      <c r="M3128" s="2">
        <v>43</v>
      </c>
      <c r="N3128" s="2" t="s">
        <v>45</v>
      </c>
      <c r="O3128" s="2" t="str">
        <f>VLOOKUP(OrganizedData[[#This Row],[Product Code]],ProductData[[Code]:[Item]],2,FALSE)</f>
        <v>Gigastuff</v>
      </c>
      <c r="P3128" s="4">
        <f>OrganizedData[[#This Row],[Quantity]]*VLOOKUP(OrganizedData[[#This Row],[Product Code]],ProductData[],4,FALSE)</f>
        <v>774</v>
      </c>
      <c r="Q3128" s="6">
        <f>OrganizedData[[#This Row],[Total Items Ordered]]*VLOOKUP(OrganizedData[[#This Row],[Product Code]],ProductData[],3,FALSE)</f>
        <v>1462.86</v>
      </c>
      <c r="R31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3129" spans="1:18" x14ac:dyDescent="0.3">
      <c r="A3129" s="2">
        <v>3122</v>
      </c>
      <c r="B3129" s="2" t="s">
        <v>1405</v>
      </c>
      <c r="C3129" s="2" t="s">
        <v>422</v>
      </c>
      <c r="D3129" s="2" t="s">
        <v>28</v>
      </c>
      <c r="E3129" s="2" t="s">
        <v>29</v>
      </c>
      <c r="F3129" s="2">
        <v>90</v>
      </c>
      <c r="G3129" s="2" t="s">
        <v>7681</v>
      </c>
      <c r="H3129" s="2" t="s">
        <v>3206</v>
      </c>
      <c r="I3129" s="2" t="s">
        <v>1199</v>
      </c>
      <c r="J3129" s="3">
        <v>44069</v>
      </c>
      <c r="K3129" s="5">
        <f>YEAR(OrganizedData[[#This Row],[Order Date]])</f>
        <v>2020</v>
      </c>
      <c r="L3129" s="7" t="str">
        <f>TEXT(OrganizedData[[#This Row],[Order Date]],"mmm")</f>
        <v>Aug</v>
      </c>
      <c r="M3129" s="2">
        <v>44</v>
      </c>
      <c r="N3129" s="2" t="s">
        <v>45</v>
      </c>
      <c r="O3129" s="2" t="str">
        <f>VLOOKUP(OrganizedData[[#This Row],[Product Code]],ProductData[[Code]:[Item]],2,FALSE)</f>
        <v>Gigastuff</v>
      </c>
      <c r="P3129" s="4">
        <f>OrganizedData[[#This Row],[Quantity]]*VLOOKUP(OrganizedData[[#This Row],[Product Code]],ProductData[],4,FALSE)</f>
        <v>792</v>
      </c>
      <c r="Q3129" s="6">
        <f>OrganizedData[[#This Row],[Total Items Ordered]]*VLOOKUP(OrganizedData[[#This Row],[Product Code]],ProductData[],3,FALSE)</f>
        <v>1496.8799999999999</v>
      </c>
      <c r="R31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1451.9735999999998</v>
      </c>
    </row>
    <row r="3130" spans="1:18" x14ac:dyDescent="0.3">
      <c r="A3130" s="2">
        <v>3123</v>
      </c>
      <c r="B3130" s="2" t="s">
        <v>1979</v>
      </c>
      <c r="C3130" s="2" t="s">
        <v>1817</v>
      </c>
      <c r="D3130" s="2" t="s">
        <v>28</v>
      </c>
      <c r="E3130" s="2" t="s">
        <v>29</v>
      </c>
      <c r="F3130" s="2">
        <v>30</v>
      </c>
      <c r="G3130" s="2" t="s">
        <v>7682</v>
      </c>
      <c r="H3130" s="2" t="s">
        <v>1643</v>
      </c>
      <c r="I3130" s="2" t="s">
        <v>124</v>
      </c>
      <c r="J3130" s="3">
        <v>44407</v>
      </c>
      <c r="K3130" s="5">
        <f>YEAR(OrganizedData[[#This Row],[Order Date]])</f>
        <v>2021</v>
      </c>
      <c r="L3130" s="7" t="str">
        <f>TEXT(OrganizedData[[#This Row],[Order Date]],"mmm")</f>
        <v>Jul</v>
      </c>
      <c r="M3130" s="2">
        <v>89</v>
      </c>
      <c r="N3130" s="2" t="s">
        <v>45</v>
      </c>
      <c r="O3130" s="2" t="str">
        <f>VLOOKUP(OrganizedData[[#This Row],[Product Code]],ProductData[[Code]:[Item]],2,FALSE)</f>
        <v>Gigastuff</v>
      </c>
      <c r="P3130" s="4">
        <f>OrganizedData[[#This Row],[Quantity]]*VLOOKUP(OrganizedData[[#This Row],[Product Code]],ProductData[],4,FALSE)</f>
        <v>1602</v>
      </c>
      <c r="Q3130" s="6">
        <f>OrganizedData[[#This Row],[Total Items Ordered]]*VLOOKUP(OrganizedData[[#This Row],[Product Code]],ProductData[],3,FALSE)</f>
        <v>3027.7799999999997</v>
      </c>
      <c r="R31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2876.3909999999996</v>
      </c>
    </row>
    <row r="3131" spans="1:18" x14ac:dyDescent="0.3">
      <c r="A3131" s="2">
        <v>3124</v>
      </c>
      <c r="B3131" s="2" t="s">
        <v>7683</v>
      </c>
      <c r="C3131" s="2" t="s">
        <v>7684</v>
      </c>
      <c r="D3131" s="2" t="s">
        <v>28</v>
      </c>
      <c r="E3131" s="2" t="s">
        <v>29</v>
      </c>
      <c r="F3131" s="2">
        <v>90</v>
      </c>
      <c r="G3131" s="2" t="s">
        <v>7685</v>
      </c>
      <c r="H3131" s="2" t="s">
        <v>522</v>
      </c>
      <c r="I3131" s="2" t="s">
        <v>32</v>
      </c>
      <c r="J3131" s="3">
        <v>44033</v>
      </c>
      <c r="K3131" s="5">
        <f>YEAR(OrganizedData[[#This Row],[Order Date]])</f>
        <v>2020</v>
      </c>
      <c r="L3131" s="7" t="str">
        <f>TEXT(OrganizedData[[#This Row],[Order Date]],"mmm")</f>
        <v>Jul</v>
      </c>
      <c r="M3131" s="2">
        <v>72</v>
      </c>
      <c r="N3131" s="2" t="s">
        <v>64</v>
      </c>
      <c r="O3131" s="2" t="str">
        <f>VLOOKUP(OrganizedData[[#This Row],[Product Code]],ProductData[[Code]:[Item]],2,FALSE)</f>
        <v>Ultrathing V4</v>
      </c>
      <c r="P3131" s="4">
        <f>OrganizedData[[#This Row],[Quantity]]*VLOOKUP(OrganizedData[[#This Row],[Product Code]],ProductData[],4,FALSE)</f>
        <v>1728</v>
      </c>
      <c r="Q3131" s="6">
        <f>OrganizedData[[#This Row],[Total Items Ordered]]*VLOOKUP(OrganizedData[[#This Row],[Product Code]],ProductData[],3,FALSE)</f>
        <v>6894.72</v>
      </c>
      <c r="R31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6549.9840000000004</v>
      </c>
    </row>
    <row r="3132" spans="1:18" x14ac:dyDescent="0.3">
      <c r="A3132" s="2">
        <v>3125</v>
      </c>
      <c r="B3132" s="2" t="s">
        <v>7686</v>
      </c>
      <c r="C3132" s="2" t="s">
        <v>7687</v>
      </c>
      <c r="D3132" s="2" t="s">
        <v>51</v>
      </c>
      <c r="E3132" s="2" t="s">
        <v>16</v>
      </c>
      <c r="F3132" s="2">
        <v>30</v>
      </c>
      <c r="G3132" s="2" t="s">
        <v>7688</v>
      </c>
      <c r="H3132" s="2" t="s">
        <v>7689</v>
      </c>
      <c r="I3132" s="2" t="s">
        <v>38</v>
      </c>
      <c r="J3132" s="3">
        <v>43962</v>
      </c>
      <c r="K3132" s="5">
        <f>YEAR(OrganizedData[[#This Row],[Order Date]])</f>
        <v>2020</v>
      </c>
      <c r="L3132" s="7" t="str">
        <f>TEXT(OrganizedData[[#This Row],[Order Date]],"mmm")</f>
        <v>May</v>
      </c>
      <c r="M3132" s="2">
        <v>60</v>
      </c>
      <c r="N3132" s="2" t="s">
        <v>54</v>
      </c>
      <c r="O3132" s="2" t="str">
        <f>VLOOKUP(OrganizedData[[#This Row],[Product Code]],ProductData[[Code]:[Item]],2,FALSE)</f>
        <v>Megawidget S</v>
      </c>
      <c r="P3132" s="4">
        <f>OrganizedData[[#This Row],[Quantity]]*VLOOKUP(OrganizedData[[#This Row],[Product Code]],ProductData[],4,FALSE)</f>
        <v>1440</v>
      </c>
      <c r="Q3132" s="6">
        <f>OrganizedData[[#This Row],[Total Items Ordered]]*VLOOKUP(OrganizedData[[#This Row],[Product Code]],ProductData[],3,FALSE)</f>
        <v>993.59999999999991</v>
      </c>
      <c r="R31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3133" spans="1:18" x14ac:dyDescent="0.3">
      <c r="A3133" s="2">
        <v>3126</v>
      </c>
      <c r="B3133" s="2" t="s">
        <v>7690</v>
      </c>
      <c r="C3133" s="2" t="s">
        <v>7691</v>
      </c>
      <c r="D3133" s="2" t="s">
        <v>28</v>
      </c>
      <c r="E3133" s="2" t="s">
        <v>29</v>
      </c>
      <c r="F3133" s="2">
        <v>60</v>
      </c>
      <c r="G3133" s="2" t="s">
        <v>7692</v>
      </c>
      <c r="H3133" s="2" t="s">
        <v>678</v>
      </c>
      <c r="I3133" s="2" t="s">
        <v>32</v>
      </c>
      <c r="J3133" s="3">
        <v>44235</v>
      </c>
      <c r="K3133" s="5">
        <f>YEAR(OrganizedData[[#This Row],[Order Date]])</f>
        <v>2021</v>
      </c>
      <c r="L3133" s="7" t="str">
        <f>TEXT(OrganizedData[[#This Row],[Order Date]],"mmm")</f>
        <v>Feb</v>
      </c>
      <c r="M3133" s="2">
        <v>91</v>
      </c>
      <c r="N3133" s="2" t="s">
        <v>80</v>
      </c>
      <c r="O3133" s="2" t="str">
        <f>VLOOKUP(OrganizedData[[#This Row],[Product Code]],ProductData[[Code]:[Item]],2,FALSE)</f>
        <v>Ultrathing V2</v>
      </c>
      <c r="P3133" s="4">
        <f>OrganizedData[[#This Row],[Quantity]]*VLOOKUP(OrganizedData[[#This Row],[Product Code]],ProductData[],4,FALSE)</f>
        <v>1820</v>
      </c>
      <c r="Q3133" s="6">
        <f>OrganizedData[[#This Row],[Total Items Ordered]]*VLOOKUP(OrganizedData[[#This Row],[Product Code]],ProductData[],3,FALSE)</f>
        <v>5369</v>
      </c>
      <c r="R31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3134" spans="1:18" x14ac:dyDescent="0.3">
      <c r="A3134" s="2">
        <v>3127</v>
      </c>
      <c r="B3134" s="2" t="s">
        <v>4471</v>
      </c>
      <c r="C3134" s="2" t="s">
        <v>6922</v>
      </c>
      <c r="D3134" s="2" t="s">
        <v>15</v>
      </c>
      <c r="E3134" s="2" t="s">
        <v>16</v>
      </c>
      <c r="F3134" s="2">
        <v>90</v>
      </c>
      <c r="G3134" s="2" t="s">
        <v>7693</v>
      </c>
      <c r="H3134" s="2" t="s">
        <v>993</v>
      </c>
      <c r="I3134" s="2" t="s">
        <v>32</v>
      </c>
      <c r="J3134" s="3">
        <v>44742</v>
      </c>
      <c r="K3134" s="5">
        <f>YEAR(OrganizedData[[#This Row],[Order Date]])</f>
        <v>2022</v>
      </c>
      <c r="L3134" s="7" t="str">
        <f>TEXT(OrganizedData[[#This Row],[Order Date]],"mmm")</f>
        <v>Jun</v>
      </c>
      <c r="M3134" s="2">
        <v>80</v>
      </c>
      <c r="N3134" s="2" t="s">
        <v>45</v>
      </c>
      <c r="O3134" s="2" t="str">
        <f>VLOOKUP(OrganizedData[[#This Row],[Product Code]],ProductData[[Code]:[Item]],2,FALSE)</f>
        <v>Gigastuff</v>
      </c>
      <c r="P3134" s="4">
        <f>OrganizedData[[#This Row],[Quantity]]*VLOOKUP(OrganizedData[[#This Row],[Product Code]],ProductData[],4,FALSE)</f>
        <v>1440</v>
      </c>
      <c r="Q3134" s="6">
        <f>OrganizedData[[#This Row],[Total Items Ordered]]*VLOOKUP(OrganizedData[[#This Row],[Product Code]],ProductData[],3,FALSE)</f>
        <v>2721.6</v>
      </c>
      <c r="R31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2585.52</v>
      </c>
    </row>
    <row r="3135" spans="1:18" x14ac:dyDescent="0.3">
      <c r="A3135" s="2">
        <v>3128</v>
      </c>
      <c r="B3135" s="2" t="s">
        <v>1225</v>
      </c>
      <c r="C3135" s="2" t="s">
        <v>1243</v>
      </c>
      <c r="D3135" s="2" t="s">
        <v>28</v>
      </c>
      <c r="E3135" s="2" t="s">
        <v>29</v>
      </c>
      <c r="F3135" s="2">
        <v>30</v>
      </c>
      <c r="G3135" s="2" t="s">
        <v>6190</v>
      </c>
      <c r="H3135" s="2" t="s">
        <v>4111</v>
      </c>
      <c r="I3135" s="2" t="s">
        <v>95</v>
      </c>
      <c r="J3135" s="3">
        <v>44778</v>
      </c>
      <c r="K3135" s="5">
        <f>YEAR(OrganizedData[[#This Row],[Order Date]])</f>
        <v>2022</v>
      </c>
      <c r="L3135" s="7" t="str">
        <f>TEXT(OrganizedData[[#This Row],[Order Date]],"mmm")</f>
        <v>Aug</v>
      </c>
      <c r="M3135" s="2">
        <v>39</v>
      </c>
      <c r="N3135" s="2" t="s">
        <v>20</v>
      </c>
      <c r="O3135" s="2" t="str">
        <f>VLOOKUP(OrganizedData[[#This Row],[Product Code]],ProductData[[Code]:[Item]],2,FALSE)</f>
        <v>Hyperwotsit</v>
      </c>
      <c r="P3135" s="4">
        <f>OrganizedData[[#This Row],[Quantity]]*VLOOKUP(OrganizedData[[#This Row],[Product Code]],ProductData[],4,FALSE)</f>
        <v>780</v>
      </c>
      <c r="Q3135" s="6">
        <f>OrganizedData[[#This Row],[Total Items Ordered]]*VLOOKUP(OrganizedData[[#This Row],[Product Code]],ProductData[],3,FALSE)</f>
        <v>1567.7999999999997</v>
      </c>
      <c r="R31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1520.7659999999996</v>
      </c>
    </row>
    <row r="3136" spans="1:18" x14ac:dyDescent="0.3">
      <c r="A3136" s="2">
        <v>3129</v>
      </c>
      <c r="B3136" s="2" t="s">
        <v>304</v>
      </c>
      <c r="C3136" s="2" t="s">
        <v>4561</v>
      </c>
      <c r="D3136" s="2" t="s">
        <v>15</v>
      </c>
      <c r="E3136" s="2" t="s">
        <v>16</v>
      </c>
      <c r="F3136" s="2">
        <v>90</v>
      </c>
      <c r="G3136" s="2" t="s">
        <v>7694</v>
      </c>
      <c r="H3136" s="2" t="s">
        <v>1590</v>
      </c>
      <c r="I3136" s="2" t="s">
        <v>32</v>
      </c>
      <c r="J3136" s="3">
        <v>44259</v>
      </c>
      <c r="K3136" s="5">
        <f>YEAR(OrganizedData[[#This Row],[Order Date]])</f>
        <v>2021</v>
      </c>
      <c r="L3136" s="7" t="str">
        <f>TEXT(OrganizedData[[#This Row],[Order Date]],"mmm")</f>
        <v>Mar</v>
      </c>
      <c r="M3136" s="2">
        <v>18</v>
      </c>
      <c r="N3136" s="2" t="s">
        <v>20</v>
      </c>
      <c r="O3136" s="2" t="str">
        <f>VLOOKUP(OrganizedData[[#This Row],[Product Code]],ProductData[[Code]:[Item]],2,FALSE)</f>
        <v>Hyperwotsit</v>
      </c>
      <c r="P3136" s="4">
        <f>OrganizedData[[#This Row],[Quantity]]*VLOOKUP(OrganizedData[[#This Row],[Product Code]],ProductData[],4,FALSE)</f>
        <v>360</v>
      </c>
      <c r="Q3136" s="6">
        <f>OrganizedData[[#This Row],[Total Items Ordered]]*VLOOKUP(OrganizedData[[#This Row],[Product Code]],ProductData[],3,FALSE)</f>
        <v>723.59999999999991</v>
      </c>
      <c r="R31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3137" spans="1:18" x14ac:dyDescent="0.3">
      <c r="A3137" s="2">
        <v>3130</v>
      </c>
      <c r="B3137" s="2" t="s">
        <v>7695</v>
      </c>
      <c r="C3137" s="2" t="s">
        <v>1003</v>
      </c>
      <c r="D3137" s="2" t="s">
        <v>51</v>
      </c>
      <c r="E3137" s="2" t="s">
        <v>16</v>
      </c>
      <c r="F3137" s="2">
        <v>90</v>
      </c>
      <c r="G3137" s="2" t="s">
        <v>7696</v>
      </c>
      <c r="H3137" s="2" t="s">
        <v>4979</v>
      </c>
      <c r="I3137" s="2" t="s">
        <v>294</v>
      </c>
      <c r="J3137" s="3">
        <v>44886</v>
      </c>
      <c r="K3137" s="5">
        <f>YEAR(OrganizedData[[#This Row],[Order Date]])</f>
        <v>2022</v>
      </c>
      <c r="L3137" s="7" t="str">
        <f>TEXT(OrganizedData[[#This Row],[Order Date]],"mmm")</f>
        <v>Nov</v>
      </c>
      <c r="M3137" s="2">
        <v>19</v>
      </c>
      <c r="N3137" s="2" t="s">
        <v>70</v>
      </c>
      <c r="O3137" s="2" t="str">
        <f>VLOOKUP(OrganizedData[[#This Row],[Product Code]],ProductData[[Code]:[Item]],2,FALSE)</f>
        <v>Megawidget M</v>
      </c>
      <c r="P3137" s="4">
        <f>OrganizedData[[#This Row],[Quantity]]*VLOOKUP(OrganizedData[[#This Row],[Product Code]],ProductData[],4,FALSE)</f>
        <v>456</v>
      </c>
      <c r="Q3137" s="6">
        <f>OrganizedData[[#This Row],[Total Items Ordered]]*VLOOKUP(OrganizedData[[#This Row],[Product Code]],ProductData[],3,FALSE)</f>
        <v>588.24</v>
      </c>
      <c r="R31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3138" spans="1:18" x14ac:dyDescent="0.3">
      <c r="A3138" s="2">
        <v>3131</v>
      </c>
      <c r="B3138" s="2" t="s">
        <v>4710</v>
      </c>
      <c r="C3138" s="2" t="s">
        <v>7433</v>
      </c>
      <c r="D3138" s="2" t="s">
        <v>92</v>
      </c>
      <c r="E3138" s="2" t="s">
        <v>16</v>
      </c>
      <c r="F3138" s="2">
        <v>90</v>
      </c>
      <c r="G3138" s="2" t="s">
        <v>7697</v>
      </c>
      <c r="H3138" s="2" t="s">
        <v>1621</v>
      </c>
      <c r="I3138" s="2" t="s">
        <v>146</v>
      </c>
      <c r="J3138" s="3">
        <v>44301</v>
      </c>
      <c r="K3138" s="5">
        <f>YEAR(OrganizedData[[#This Row],[Order Date]])</f>
        <v>2021</v>
      </c>
      <c r="L3138" s="7" t="str">
        <f>TEXT(OrganizedData[[#This Row],[Order Date]],"mmm")</f>
        <v>Apr</v>
      </c>
      <c r="M3138" s="2">
        <v>26</v>
      </c>
      <c r="N3138" s="2" t="s">
        <v>54</v>
      </c>
      <c r="O3138" s="2" t="str">
        <f>VLOOKUP(OrganizedData[[#This Row],[Product Code]],ProductData[[Code]:[Item]],2,FALSE)</f>
        <v>Megawidget S</v>
      </c>
      <c r="P3138" s="4">
        <f>OrganizedData[[#This Row],[Quantity]]*VLOOKUP(OrganizedData[[#This Row],[Product Code]],ProductData[],4,FALSE)</f>
        <v>624</v>
      </c>
      <c r="Q3138" s="6">
        <f>OrganizedData[[#This Row],[Total Items Ordered]]*VLOOKUP(OrganizedData[[#This Row],[Product Code]],ProductData[],3,FALSE)</f>
        <v>430.55999999999995</v>
      </c>
      <c r="R31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417.64319999999992</v>
      </c>
    </row>
    <row r="3139" spans="1:18" x14ac:dyDescent="0.3">
      <c r="A3139" s="2">
        <v>3132</v>
      </c>
      <c r="B3139" s="2" t="s">
        <v>7698</v>
      </c>
      <c r="C3139" s="2" t="s">
        <v>1861</v>
      </c>
      <c r="D3139" s="2" t="s">
        <v>51</v>
      </c>
      <c r="E3139" s="2" t="s">
        <v>16</v>
      </c>
      <c r="F3139" s="2">
        <v>90</v>
      </c>
      <c r="G3139" s="2" t="s">
        <v>7699</v>
      </c>
      <c r="H3139" s="2" t="s">
        <v>7700</v>
      </c>
      <c r="I3139" s="2" t="s">
        <v>32</v>
      </c>
      <c r="J3139" s="3">
        <v>44370</v>
      </c>
      <c r="K3139" s="5">
        <f>YEAR(OrganizedData[[#This Row],[Order Date]])</f>
        <v>2021</v>
      </c>
      <c r="L3139" s="7" t="str">
        <f>TEXT(OrganizedData[[#This Row],[Order Date]],"mmm")</f>
        <v>Jun</v>
      </c>
      <c r="M3139" s="2">
        <v>40</v>
      </c>
      <c r="N3139" s="2" t="s">
        <v>159</v>
      </c>
      <c r="O3139" s="2" t="str">
        <f>VLOOKUP(OrganizedData[[#This Row],[Product Code]],ProductData[[Code]:[Item]],2,FALSE)</f>
        <v>Ultrathing V3</v>
      </c>
      <c r="P3139" s="4">
        <f>OrganizedData[[#This Row],[Quantity]]*VLOOKUP(OrganizedData[[#This Row],[Product Code]],ProductData[],4,FALSE)</f>
        <v>960</v>
      </c>
      <c r="Q3139" s="6">
        <f>OrganizedData[[#This Row],[Total Items Ordered]]*VLOOKUP(OrganizedData[[#This Row],[Product Code]],ProductData[],3,FALSE)</f>
        <v>3254.4</v>
      </c>
      <c r="R31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3156.768</v>
      </c>
    </row>
    <row r="3140" spans="1:18" x14ac:dyDescent="0.3">
      <c r="A3140" s="2">
        <v>3133</v>
      </c>
      <c r="B3140" s="2" t="s">
        <v>2166</v>
      </c>
      <c r="C3140" s="2" t="s">
        <v>229</v>
      </c>
      <c r="D3140" s="2" t="s">
        <v>28</v>
      </c>
      <c r="E3140" s="2" t="s">
        <v>29</v>
      </c>
      <c r="F3140" s="2">
        <v>90</v>
      </c>
      <c r="G3140" s="2" t="s">
        <v>7701</v>
      </c>
      <c r="H3140" s="2" t="s">
        <v>5803</v>
      </c>
      <c r="I3140" s="2" t="s">
        <v>294</v>
      </c>
      <c r="J3140" s="3">
        <v>44610</v>
      </c>
      <c r="K3140" s="5">
        <f>YEAR(OrganizedData[[#This Row],[Order Date]])</f>
        <v>2022</v>
      </c>
      <c r="L3140" s="7" t="str">
        <f>TEXT(OrganizedData[[#This Row],[Order Date]],"mmm")</f>
        <v>Feb</v>
      </c>
      <c r="M3140" s="2">
        <v>40</v>
      </c>
      <c r="N3140" s="2" t="s">
        <v>54</v>
      </c>
      <c r="O3140" s="2" t="str">
        <f>VLOOKUP(OrganizedData[[#This Row],[Product Code]],ProductData[[Code]:[Item]],2,FALSE)</f>
        <v>Megawidget S</v>
      </c>
      <c r="P3140" s="4">
        <f>OrganizedData[[#This Row],[Quantity]]*VLOOKUP(OrganizedData[[#This Row],[Product Code]],ProductData[],4,FALSE)</f>
        <v>960</v>
      </c>
      <c r="Q3140" s="6">
        <f>OrganizedData[[#This Row],[Total Items Ordered]]*VLOOKUP(OrganizedData[[#This Row],[Product Code]],ProductData[],3,FALSE)</f>
        <v>662.4</v>
      </c>
      <c r="R31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3141" spans="1:18" x14ac:dyDescent="0.3">
      <c r="A3141" s="2">
        <v>3134</v>
      </c>
      <c r="B3141" s="2" t="s">
        <v>34</v>
      </c>
      <c r="C3141" s="2" t="s">
        <v>1496</v>
      </c>
      <c r="D3141" s="2" t="s">
        <v>28</v>
      </c>
      <c r="E3141" s="2" t="s">
        <v>29</v>
      </c>
      <c r="F3141" s="2">
        <v>30</v>
      </c>
      <c r="G3141" s="2" t="s">
        <v>7702</v>
      </c>
      <c r="H3141" s="2" t="s">
        <v>2768</v>
      </c>
      <c r="I3141" s="2" t="s">
        <v>554</v>
      </c>
      <c r="J3141" s="3">
        <v>44189</v>
      </c>
      <c r="K3141" s="5">
        <f>YEAR(OrganizedData[[#This Row],[Order Date]])</f>
        <v>2020</v>
      </c>
      <c r="L3141" s="7" t="str">
        <f>TEXT(OrganizedData[[#This Row],[Order Date]],"mmm")</f>
        <v>Dec</v>
      </c>
      <c r="M3141" s="2">
        <v>10</v>
      </c>
      <c r="N3141" s="2" t="s">
        <v>70</v>
      </c>
      <c r="O3141" s="2" t="str">
        <f>VLOOKUP(OrganizedData[[#This Row],[Product Code]],ProductData[[Code]:[Item]],2,FALSE)</f>
        <v>Megawidget M</v>
      </c>
      <c r="P3141" s="4">
        <f>OrganizedData[[#This Row],[Quantity]]*VLOOKUP(OrganizedData[[#This Row],[Product Code]],ProductData[],4,FALSE)</f>
        <v>240</v>
      </c>
      <c r="Q3141" s="6">
        <f>OrganizedData[[#This Row],[Total Items Ordered]]*VLOOKUP(OrganizedData[[#This Row],[Product Code]],ProductData[],3,FALSE)</f>
        <v>309.60000000000002</v>
      </c>
      <c r="R31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309.60000000000002</v>
      </c>
    </row>
    <row r="3142" spans="1:18" x14ac:dyDescent="0.3">
      <c r="A3142" s="2">
        <v>3135</v>
      </c>
      <c r="B3142" s="2" t="s">
        <v>7294</v>
      </c>
      <c r="C3142" s="2" t="s">
        <v>6719</v>
      </c>
      <c r="D3142" s="2" t="s">
        <v>15</v>
      </c>
      <c r="E3142" s="2" t="s">
        <v>16</v>
      </c>
      <c r="F3142" s="2">
        <v>90</v>
      </c>
      <c r="G3142" s="2" t="s">
        <v>7702</v>
      </c>
      <c r="H3142" s="2" t="s">
        <v>5427</v>
      </c>
      <c r="I3142" s="2" t="s">
        <v>32</v>
      </c>
      <c r="J3142" s="3">
        <v>44175</v>
      </c>
      <c r="K3142" s="5">
        <f>YEAR(OrganizedData[[#This Row],[Order Date]])</f>
        <v>2020</v>
      </c>
      <c r="L3142" s="7" t="str">
        <f>TEXT(OrganizedData[[#This Row],[Order Date]],"mmm")</f>
        <v>Dec</v>
      </c>
      <c r="M3142" s="2">
        <v>78</v>
      </c>
      <c r="N3142" s="2" t="s">
        <v>101</v>
      </c>
      <c r="O3142" s="2" t="str">
        <f>VLOOKUP(OrganizedData[[#This Row],[Product Code]],ProductData[[Code]:[Item]],2,FALSE)</f>
        <v>Superwossname</v>
      </c>
      <c r="P3142" s="4">
        <f>OrganizedData[[#This Row],[Quantity]]*VLOOKUP(OrganizedData[[#This Row],[Product Code]],ProductData[],4,FALSE)</f>
        <v>1560</v>
      </c>
      <c r="Q3142" s="6">
        <f>OrganizedData[[#This Row],[Total Items Ordered]]*VLOOKUP(OrganizedData[[#This Row],[Product Code]],ProductData[],3,FALSE)</f>
        <v>5444.4000000000005</v>
      </c>
      <c r="R31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3143" spans="1:18" x14ac:dyDescent="0.3">
      <c r="A3143" s="2">
        <v>3136</v>
      </c>
      <c r="B3143" s="2" t="s">
        <v>6790</v>
      </c>
      <c r="C3143" s="2" t="s">
        <v>872</v>
      </c>
      <c r="D3143" s="2" t="s">
        <v>28</v>
      </c>
      <c r="E3143" s="2" t="s">
        <v>29</v>
      </c>
      <c r="F3143" s="2">
        <v>60</v>
      </c>
      <c r="G3143" s="2" t="s">
        <v>7089</v>
      </c>
      <c r="H3143" s="2" t="s">
        <v>746</v>
      </c>
      <c r="I3143" s="2" t="s">
        <v>32</v>
      </c>
      <c r="J3143" s="3">
        <v>44022</v>
      </c>
      <c r="K3143" s="5">
        <f>YEAR(OrganizedData[[#This Row],[Order Date]])</f>
        <v>2020</v>
      </c>
      <c r="L3143" s="7" t="str">
        <f>TEXT(OrganizedData[[#This Row],[Order Date]],"mmm")</f>
        <v>Jul</v>
      </c>
      <c r="M3143" s="2">
        <v>41</v>
      </c>
      <c r="N3143" s="2" t="s">
        <v>45</v>
      </c>
      <c r="O3143" s="2" t="str">
        <f>VLOOKUP(OrganizedData[[#This Row],[Product Code]],ProductData[[Code]:[Item]],2,FALSE)</f>
        <v>Gigastuff</v>
      </c>
      <c r="P3143" s="4">
        <f>OrganizedData[[#This Row],[Quantity]]*VLOOKUP(OrganizedData[[#This Row],[Product Code]],ProductData[],4,FALSE)</f>
        <v>738</v>
      </c>
      <c r="Q3143" s="6">
        <f>OrganizedData[[#This Row],[Total Items Ordered]]*VLOOKUP(OrganizedData[[#This Row],[Product Code]],ProductData[],3,FALSE)</f>
        <v>1394.82</v>
      </c>
      <c r="R31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3144" spans="1:18" x14ac:dyDescent="0.3">
      <c r="A3144" s="2">
        <v>3137</v>
      </c>
      <c r="B3144" s="2" t="s">
        <v>3515</v>
      </c>
      <c r="C3144" s="2" t="s">
        <v>7703</v>
      </c>
      <c r="D3144" s="2" t="s">
        <v>28</v>
      </c>
      <c r="E3144" s="2" t="s">
        <v>29</v>
      </c>
      <c r="F3144" s="2">
        <v>90</v>
      </c>
      <c r="G3144" s="2" t="s">
        <v>7704</v>
      </c>
      <c r="H3144" s="2" t="s">
        <v>3551</v>
      </c>
      <c r="I3144" s="2" t="s">
        <v>32</v>
      </c>
      <c r="J3144" s="3">
        <v>44188</v>
      </c>
      <c r="K3144" s="5">
        <f>YEAR(OrganizedData[[#This Row],[Order Date]])</f>
        <v>2020</v>
      </c>
      <c r="L3144" s="7" t="str">
        <f>TEXT(OrganizedData[[#This Row],[Order Date]],"mmm")</f>
        <v>Dec</v>
      </c>
      <c r="M3144" s="2">
        <v>53</v>
      </c>
      <c r="N3144" s="2" t="s">
        <v>54</v>
      </c>
      <c r="O3144" s="2" t="str">
        <f>VLOOKUP(OrganizedData[[#This Row],[Product Code]],ProductData[[Code]:[Item]],2,FALSE)</f>
        <v>Megawidget S</v>
      </c>
      <c r="P3144" s="4">
        <f>OrganizedData[[#This Row],[Quantity]]*VLOOKUP(OrganizedData[[#This Row],[Product Code]],ProductData[],4,FALSE)</f>
        <v>1272</v>
      </c>
      <c r="Q3144" s="6">
        <f>OrganizedData[[#This Row],[Total Items Ordered]]*VLOOKUP(OrganizedData[[#This Row],[Product Code]],ProductData[],3,FALSE)</f>
        <v>877.68</v>
      </c>
      <c r="R31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833.79599999999994</v>
      </c>
    </row>
    <row r="3145" spans="1:18" x14ac:dyDescent="0.3">
      <c r="A3145" s="2">
        <v>3138</v>
      </c>
      <c r="B3145" s="2" t="s">
        <v>4489</v>
      </c>
      <c r="C3145" s="2" t="s">
        <v>7577</v>
      </c>
      <c r="D3145" s="2" t="s">
        <v>28</v>
      </c>
      <c r="E3145" s="2" t="s">
        <v>29</v>
      </c>
      <c r="F3145" s="2">
        <v>90</v>
      </c>
      <c r="G3145" s="2" t="s">
        <v>7705</v>
      </c>
      <c r="H3145" s="2" t="s">
        <v>1052</v>
      </c>
      <c r="I3145" s="2" t="s">
        <v>32</v>
      </c>
      <c r="J3145" s="3">
        <v>44637</v>
      </c>
      <c r="K3145" s="5">
        <f>YEAR(OrganizedData[[#This Row],[Order Date]])</f>
        <v>2022</v>
      </c>
      <c r="L3145" s="7" t="str">
        <f>TEXT(OrganizedData[[#This Row],[Order Date]],"mmm")</f>
        <v>Mar</v>
      </c>
      <c r="M3145" s="2">
        <v>50</v>
      </c>
      <c r="N3145" s="2" t="s">
        <v>101</v>
      </c>
      <c r="O3145" s="2" t="str">
        <f>VLOOKUP(OrganizedData[[#This Row],[Product Code]],ProductData[[Code]:[Item]],2,FALSE)</f>
        <v>Superwossname</v>
      </c>
      <c r="P3145" s="4">
        <f>OrganizedData[[#This Row],[Quantity]]*VLOOKUP(OrganizedData[[#This Row],[Product Code]],ProductData[],4,FALSE)</f>
        <v>1000</v>
      </c>
      <c r="Q3145" s="6">
        <f>OrganizedData[[#This Row],[Total Items Ordered]]*VLOOKUP(OrganizedData[[#This Row],[Product Code]],ProductData[],3,FALSE)</f>
        <v>3490</v>
      </c>
      <c r="R31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3385.2999999999997</v>
      </c>
    </row>
    <row r="3146" spans="1:18" x14ac:dyDescent="0.3">
      <c r="A3146" s="2">
        <v>3139</v>
      </c>
      <c r="B3146" s="2" t="s">
        <v>7706</v>
      </c>
      <c r="C3146" s="2" t="s">
        <v>5883</v>
      </c>
      <c r="D3146" s="2" t="s">
        <v>51</v>
      </c>
      <c r="E3146" s="2" t="s">
        <v>16</v>
      </c>
      <c r="F3146" s="2">
        <v>30</v>
      </c>
      <c r="G3146" s="2" t="s">
        <v>7707</v>
      </c>
      <c r="H3146" s="2" t="s">
        <v>7708</v>
      </c>
      <c r="I3146" s="2" t="s">
        <v>686</v>
      </c>
      <c r="J3146" s="3">
        <v>44556</v>
      </c>
      <c r="K3146" s="5">
        <f>YEAR(OrganizedData[[#This Row],[Order Date]])</f>
        <v>2021</v>
      </c>
      <c r="L3146" s="7" t="str">
        <f>TEXT(OrganizedData[[#This Row],[Order Date]],"mmm")</f>
        <v>Dec</v>
      </c>
      <c r="M3146" s="2">
        <v>18</v>
      </c>
      <c r="N3146" s="2" t="s">
        <v>80</v>
      </c>
      <c r="O3146" s="2" t="str">
        <f>VLOOKUP(OrganizedData[[#This Row],[Product Code]],ProductData[[Code]:[Item]],2,FALSE)</f>
        <v>Ultrathing V2</v>
      </c>
      <c r="P3146" s="4">
        <f>OrganizedData[[#This Row],[Quantity]]*VLOOKUP(OrganizedData[[#This Row],[Product Code]],ProductData[],4,FALSE)</f>
        <v>360</v>
      </c>
      <c r="Q3146" s="6">
        <f>OrganizedData[[#This Row],[Total Items Ordered]]*VLOOKUP(OrganizedData[[#This Row],[Product Code]],ProductData[],3,FALSE)</f>
        <v>1062</v>
      </c>
      <c r="R31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v>
      </c>
    </row>
    <row r="3147" spans="1:18" x14ac:dyDescent="0.3">
      <c r="A3147" s="2">
        <v>3140</v>
      </c>
      <c r="B3147" s="2" t="s">
        <v>7709</v>
      </c>
      <c r="C3147" s="2" t="s">
        <v>1788</v>
      </c>
      <c r="D3147" s="2" t="s">
        <v>92</v>
      </c>
      <c r="E3147" s="2" t="s">
        <v>29</v>
      </c>
      <c r="F3147" s="2">
        <v>90</v>
      </c>
      <c r="G3147" s="2" t="s">
        <v>7710</v>
      </c>
      <c r="H3147" s="2" t="s">
        <v>3511</v>
      </c>
      <c r="I3147" s="2" t="s">
        <v>32</v>
      </c>
      <c r="J3147" s="3">
        <v>43992</v>
      </c>
      <c r="K3147" s="5">
        <f>YEAR(OrganizedData[[#This Row],[Order Date]])</f>
        <v>2020</v>
      </c>
      <c r="L3147" s="7" t="str">
        <f>TEXT(OrganizedData[[#This Row],[Order Date]],"mmm")</f>
        <v>Jun</v>
      </c>
      <c r="M3147" s="2">
        <v>17</v>
      </c>
      <c r="N3147" s="2" t="s">
        <v>64</v>
      </c>
      <c r="O3147" s="2" t="str">
        <f>VLOOKUP(OrganizedData[[#This Row],[Product Code]],ProductData[[Code]:[Item]],2,FALSE)</f>
        <v>Ultrathing V4</v>
      </c>
      <c r="P3147" s="4">
        <f>OrganizedData[[#This Row],[Quantity]]*VLOOKUP(OrganizedData[[#This Row],[Product Code]],ProductData[],4,FALSE)</f>
        <v>408</v>
      </c>
      <c r="Q3147" s="6">
        <f>OrganizedData[[#This Row],[Total Items Ordered]]*VLOOKUP(OrganizedData[[#This Row],[Product Code]],ProductData[],3,FALSE)</f>
        <v>1627.92</v>
      </c>
      <c r="R31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1627.92</v>
      </c>
    </row>
    <row r="3148" spans="1:18" x14ac:dyDescent="0.3">
      <c r="A3148" s="2">
        <v>3141</v>
      </c>
      <c r="B3148" s="2" t="s">
        <v>7711</v>
      </c>
      <c r="C3148" s="2" t="s">
        <v>2293</v>
      </c>
      <c r="D3148" s="2" t="s">
        <v>28</v>
      </c>
      <c r="E3148" s="2" t="s">
        <v>29</v>
      </c>
      <c r="F3148" s="2">
        <v>90</v>
      </c>
      <c r="G3148" s="2" t="s">
        <v>7712</v>
      </c>
      <c r="H3148" s="2" t="s">
        <v>2035</v>
      </c>
      <c r="I3148" s="2" t="s">
        <v>32</v>
      </c>
      <c r="J3148" s="3">
        <v>44394</v>
      </c>
      <c r="K3148" s="5">
        <f>YEAR(OrganizedData[[#This Row],[Order Date]])</f>
        <v>2021</v>
      </c>
      <c r="L3148" s="7" t="str">
        <f>TEXT(OrganizedData[[#This Row],[Order Date]],"mmm")</f>
        <v>Jul</v>
      </c>
      <c r="M3148" s="2">
        <v>16</v>
      </c>
      <c r="N3148" s="2" t="s">
        <v>20</v>
      </c>
      <c r="O3148" s="2" t="str">
        <f>VLOOKUP(OrganizedData[[#This Row],[Product Code]],ProductData[[Code]:[Item]],2,FALSE)</f>
        <v>Hyperwotsit</v>
      </c>
      <c r="P3148" s="4">
        <f>OrganizedData[[#This Row],[Quantity]]*VLOOKUP(OrganizedData[[#This Row],[Product Code]],ProductData[],4,FALSE)</f>
        <v>320</v>
      </c>
      <c r="Q3148" s="6">
        <f>OrganizedData[[#This Row],[Total Items Ordered]]*VLOOKUP(OrganizedData[[#This Row],[Product Code]],ProductData[],3,FALSE)</f>
        <v>643.19999999999993</v>
      </c>
      <c r="R31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643.19999999999993</v>
      </c>
    </row>
    <row r="3149" spans="1:18" x14ac:dyDescent="0.3">
      <c r="A3149" s="2">
        <v>3142</v>
      </c>
      <c r="B3149" s="2" t="s">
        <v>504</v>
      </c>
      <c r="C3149" s="2" t="s">
        <v>6469</v>
      </c>
      <c r="D3149" s="2" t="s">
        <v>28</v>
      </c>
      <c r="E3149" s="2" t="s">
        <v>29</v>
      </c>
      <c r="F3149" s="2">
        <v>60</v>
      </c>
      <c r="G3149" s="2" t="s">
        <v>7713</v>
      </c>
      <c r="H3149" s="2" t="s">
        <v>4285</v>
      </c>
      <c r="I3149" s="2" t="s">
        <v>124</v>
      </c>
      <c r="J3149" s="3">
        <v>44381</v>
      </c>
      <c r="K3149" s="5">
        <f>YEAR(OrganizedData[[#This Row],[Order Date]])</f>
        <v>2021</v>
      </c>
      <c r="L3149" s="7" t="str">
        <f>TEXT(OrganizedData[[#This Row],[Order Date]],"mmm")</f>
        <v>Jul</v>
      </c>
      <c r="M3149" s="2">
        <v>63</v>
      </c>
      <c r="N3149" s="2" t="s">
        <v>159</v>
      </c>
      <c r="O3149" s="2" t="str">
        <f>VLOOKUP(OrganizedData[[#This Row],[Product Code]],ProductData[[Code]:[Item]],2,FALSE)</f>
        <v>Ultrathing V3</v>
      </c>
      <c r="P3149" s="4">
        <f>OrganizedData[[#This Row],[Quantity]]*VLOOKUP(OrganizedData[[#This Row],[Product Code]],ProductData[],4,FALSE)</f>
        <v>1512</v>
      </c>
      <c r="Q3149" s="6">
        <f>OrganizedData[[#This Row],[Total Items Ordered]]*VLOOKUP(OrganizedData[[#This Row],[Product Code]],ProductData[],3,FALSE)</f>
        <v>5125.68</v>
      </c>
      <c r="R31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4869.3959999999997</v>
      </c>
    </row>
    <row r="3150" spans="1:18" x14ac:dyDescent="0.3">
      <c r="A3150" s="2">
        <v>3143</v>
      </c>
      <c r="B3150" s="2" t="s">
        <v>1755</v>
      </c>
      <c r="C3150" s="2" t="s">
        <v>3887</v>
      </c>
      <c r="D3150" s="2" t="s">
        <v>28</v>
      </c>
      <c r="E3150" s="2" t="s">
        <v>29</v>
      </c>
      <c r="F3150" s="2">
        <v>60</v>
      </c>
      <c r="G3150" s="2" t="s">
        <v>7714</v>
      </c>
      <c r="H3150" s="2" t="s">
        <v>248</v>
      </c>
      <c r="I3150" s="2" t="s">
        <v>178</v>
      </c>
      <c r="J3150" s="3">
        <v>44414</v>
      </c>
      <c r="K3150" s="5">
        <f>YEAR(OrganizedData[[#This Row],[Order Date]])</f>
        <v>2021</v>
      </c>
      <c r="L3150" s="7" t="str">
        <f>TEXT(OrganizedData[[#This Row],[Order Date]],"mmm")</f>
        <v>Aug</v>
      </c>
      <c r="M3150" s="2">
        <v>15</v>
      </c>
      <c r="N3150" s="2" t="s">
        <v>70</v>
      </c>
      <c r="O3150" s="2" t="str">
        <f>VLOOKUP(OrganizedData[[#This Row],[Product Code]],ProductData[[Code]:[Item]],2,FALSE)</f>
        <v>Megawidget M</v>
      </c>
      <c r="P3150" s="4">
        <f>OrganizedData[[#This Row],[Quantity]]*VLOOKUP(OrganizedData[[#This Row],[Product Code]],ProductData[],4,FALSE)</f>
        <v>360</v>
      </c>
      <c r="Q3150" s="6">
        <f>OrganizedData[[#This Row],[Total Items Ordered]]*VLOOKUP(OrganizedData[[#This Row],[Product Code]],ProductData[],3,FALSE)</f>
        <v>464.40000000000003</v>
      </c>
      <c r="R31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464.40000000000003</v>
      </c>
    </row>
    <row r="3151" spans="1:18" x14ac:dyDescent="0.3">
      <c r="A3151" s="2">
        <v>3144</v>
      </c>
      <c r="B3151" s="2" t="s">
        <v>61</v>
      </c>
      <c r="C3151" s="2" t="s">
        <v>1352</v>
      </c>
      <c r="D3151" s="2" t="s">
        <v>28</v>
      </c>
      <c r="E3151" s="2" t="s">
        <v>29</v>
      </c>
      <c r="F3151" s="2">
        <v>60</v>
      </c>
      <c r="G3151" s="2" t="s">
        <v>7715</v>
      </c>
      <c r="H3151" s="2" t="s">
        <v>3070</v>
      </c>
      <c r="I3151" s="2" t="s">
        <v>575</v>
      </c>
      <c r="J3151" s="3">
        <v>44813</v>
      </c>
      <c r="K3151" s="5">
        <f>YEAR(OrganizedData[[#This Row],[Order Date]])</f>
        <v>2022</v>
      </c>
      <c r="L3151" s="7" t="str">
        <f>TEXT(OrganizedData[[#This Row],[Order Date]],"mmm")</f>
        <v>Sep</v>
      </c>
      <c r="M3151" s="2">
        <v>9</v>
      </c>
      <c r="N3151" s="2" t="s">
        <v>70</v>
      </c>
      <c r="O3151" s="2" t="str">
        <f>VLOOKUP(OrganizedData[[#This Row],[Product Code]],ProductData[[Code]:[Item]],2,FALSE)</f>
        <v>Megawidget M</v>
      </c>
      <c r="P3151" s="4">
        <f>OrganizedData[[#This Row],[Quantity]]*VLOOKUP(OrganizedData[[#This Row],[Product Code]],ProductData[],4,FALSE)</f>
        <v>216</v>
      </c>
      <c r="Q3151" s="6">
        <f>OrganizedData[[#This Row],[Total Items Ordered]]*VLOOKUP(OrganizedData[[#This Row],[Product Code]],ProductData[],3,FALSE)</f>
        <v>278.64</v>
      </c>
      <c r="R31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278.64</v>
      </c>
    </row>
    <row r="3152" spans="1:18" x14ac:dyDescent="0.3">
      <c r="A3152" s="2">
        <v>3145</v>
      </c>
      <c r="B3152" s="2" t="s">
        <v>7657</v>
      </c>
      <c r="C3152" s="2" t="s">
        <v>7716</v>
      </c>
      <c r="D3152" s="2" t="s">
        <v>28</v>
      </c>
      <c r="E3152" s="2" t="s">
        <v>29</v>
      </c>
      <c r="F3152" s="2">
        <v>30</v>
      </c>
      <c r="G3152" s="2" t="s">
        <v>7717</v>
      </c>
      <c r="H3152" s="2" t="s">
        <v>172</v>
      </c>
      <c r="I3152" s="2" t="s">
        <v>173</v>
      </c>
      <c r="J3152" s="3">
        <v>44542</v>
      </c>
      <c r="K3152" s="5">
        <f>YEAR(OrganizedData[[#This Row],[Order Date]])</f>
        <v>2021</v>
      </c>
      <c r="L3152" s="7" t="str">
        <f>TEXT(OrganizedData[[#This Row],[Order Date]],"mmm")</f>
        <v>Dec</v>
      </c>
      <c r="M3152" s="2">
        <v>66</v>
      </c>
      <c r="N3152" s="2" t="s">
        <v>64</v>
      </c>
      <c r="O3152" s="2" t="str">
        <f>VLOOKUP(OrganizedData[[#This Row],[Product Code]],ProductData[[Code]:[Item]],2,FALSE)</f>
        <v>Ultrathing V4</v>
      </c>
      <c r="P3152" s="4">
        <f>OrganizedData[[#This Row],[Quantity]]*VLOOKUP(OrganizedData[[#This Row],[Product Code]],ProductData[],4,FALSE)</f>
        <v>1584</v>
      </c>
      <c r="Q3152" s="6">
        <f>OrganizedData[[#This Row],[Total Items Ordered]]*VLOOKUP(OrganizedData[[#This Row],[Product Code]],ProductData[],3,FALSE)</f>
        <v>6320.1600000000008</v>
      </c>
      <c r="R31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6004.152</v>
      </c>
    </row>
    <row r="3153" spans="1:18" x14ac:dyDescent="0.3">
      <c r="A3153" s="2">
        <v>3146</v>
      </c>
      <c r="B3153" s="2" t="s">
        <v>2994</v>
      </c>
      <c r="C3153" s="2" t="s">
        <v>3173</v>
      </c>
      <c r="D3153" s="2" t="s">
        <v>51</v>
      </c>
      <c r="E3153" s="2" t="s">
        <v>16</v>
      </c>
      <c r="F3153" s="2">
        <v>60</v>
      </c>
      <c r="G3153" s="2" t="s">
        <v>7718</v>
      </c>
      <c r="H3153" s="2" t="s">
        <v>1791</v>
      </c>
      <c r="I3153" s="2" t="s">
        <v>32</v>
      </c>
      <c r="J3153" s="3">
        <v>44803</v>
      </c>
      <c r="K3153" s="5">
        <f>YEAR(OrganizedData[[#This Row],[Order Date]])</f>
        <v>2022</v>
      </c>
      <c r="L3153" s="7" t="str">
        <f>TEXT(OrganizedData[[#This Row],[Order Date]],"mmm")</f>
        <v>Aug</v>
      </c>
      <c r="M3153" s="2">
        <v>92</v>
      </c>
      <c r="N3153" s="2" t="s">
        <v>101</v>
      </c>
      <c r="O3153" s="2" t="str">
        <f>VLOOKUP(OrganizedData[[#This Row],[Product Code]],ProductData[[Code]:[Item]],2,FALSE)</f>
        <v>Superwossname</v>
      </c>
      <c r="P3153" s="4">
        <f>OrganizedData[[#This Row],[Quantity]]*VLOOKUP(OrganizedData[[#This Row],[Product Code]],ProductData[],4,FALSE)</f>
        <v>1840</v>
      </c>
      <c r="Q3153" s="6">
        <f>OrganizedData[[#This Row],[Total Items Ordered]]*VLOOKUP(OrganizedData[[#This Row],[Product Code]],ProductData[],3,FALSE)</f>
        <v>6421.6</v>
      </c>
      <c r="R31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6100.52</v>
      </c>
    </row>
    <row r="3154" spans="1:18" x14ac:dyDescent="0.3">
      <c r="A3154" s="2">
        <v>3147</v>
      </c>
      <c r="B3154" s="2" t="s">
        <v>1961</v>
      </c>
      <c r="C3154" s="2" t="s">
        <v>3439</v>
      </c>
      <c r="D3154" s="2" t="s">
        <v>15</v>
      </c>
      <c r="E3154" s="2" t="s">
        <v>16</v>
      </c>
      <c r="F3154" s="2">
        <v>30</v>
      </c>
      <c r="G3154" s="2" t="s">
        <v>7719</v>
      </c>
      <c r="H3154" s="2" t="s">
        <v>7720</v>
      </c>
      <c r="I3154" s="2" t="s">
        <v>38</v>
      </c>
      <c r="J3154" s="3">
        <v>44132</v>
      </c>
      <c r="K3154" s="5">
        <f>YEAR(OrganizedData[[#This Row],[Order Date]])</f>
        <v>2020</v>
      </c>
      <c r="L3154" s="7" t="str">
        <f>TEXT(OrganizedData[[#This Row],[Order Date]],"mmm")</f>
        <v>Oct</v>
      </c>
      <c r="M3154" s="2">
        <v>75</v>
      </c>
      <c r="N3154" s="2" t="s">
        <v>101</v>
      </c>
      <c r="O3154" s="2" t="str">
        <f>VLOOKUP(OrganizedData[[#This Row],[Product Code]],ProductData[[Code]:[Item]],2,FALSE)</f>
        <v>Superwossname</v>
      </c>
      <c r="P3154" s="4">
        <f>OrganizedData[[#This Row],[Quantity]]*VLOOKUP(OrganizedData[[#This Row],[Product Code]],ProductData[],4,FALSE)</f>
        <v>1500</v>
      </c>
      <c r="Q3154" s="6">
        <f>OrganizedData[[#This Row],[Total Items Ordered]]*VLOOKUP(OrganizedData[[#This Row],[Product Code]],ProductData[],3,FALSE)</f>
        <v>5235</v>
      </c>
      <c r="R31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3155" spans="1:18" x14ac:dyDescent="0.3">
      <c r="A3155" s="2">
        <v>3148</v>
      </c>
      <c r="B3155" s="2" t="s">
        <v>2244</v>
      </c>
      <c r="C3155" s="2" t="s">
        <v>7721</v>
      </c>
      <c r="D3155" s="2" t="s">
        <v>28</v>
      </c>
      <c r="E3155" s="2" t="s">
        <v>29</v>
      </c>
      <c r="F3155" s="2">
        <v>30</v>
      </c>
      <c r="G3155" s="2" t="s">
        <v>7722</v>
      </c>
      <c r="H3155" s="2" t="s">
        <v>5706</v>
      </c>
      <c r="I3155" s="2" t="s">
        <v>32</v>
      </c>
      <c r="J3155" s="3">
        <v>43913</v>
      </c>
      <c r="K3155" s="5">
        <f>YEAR(OrganizedData[[#This Row],[Order Date]])</f>
        <v>2020</v>
      </c>
      <c r="L3155" s="7" t="str">
        <f>TEXT(OrganizedData[[#This Row],[Order Date]],"mmm")</f>
        <v>Mar</v>
      </c>
      <c r="M3155" s="2">
        <v>4</v>
      </c>
      <c r="N3155" s="2" t="s">
        <v>20</v>
      </c>
      <c r="O3155" s="2" t="str">
        <f>VLOOKUP(OrganizedData[[#This Row],[Product Code]],ProductData[[Code]:[Item]],2,FALSE)</f>
        <v>Hyperwotsit</v>
      </c>
      <c r="P3155" s="4">
        <f>OrganizedData[[#This Row],[Quantity]]*VLOOKUP(OrganizedData[[#This Row],[Product Code]],ProductData[],4,FALSE)</f>
        <v>80</v>
      </c>
      <c r="Q3155" s="6">
        <f>OrganizedData[[#This Row],[Total Items Ordered]]*VLOOKUP(OrganizedData[[#This Row],[Product Code]],ProductData[],3,FALSE)</f>
        <v>160.79999999999998</v>
      </c>
      <c r="R31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160.79999999999998</v>
      </c>
    </row>
    <row r="3156" spans="1:18" x14ac:dyDescent="0.3">
      <c r="A3156" s="2">
        <v>3149</v>
      </c>
      <c r="B3156" s="2" t="s">
        <v>7276</v>
      </c>
      <c r="C3156" s="2" t="s">
        <v>7723</v>
      </c>
      <c r="D3156" s="2" t="s">
        <v>15</v>
      </c>
      <c r="E3156" s="2" t="s">
        <v>16</v>
      </c>
      <c r="F3156" s="2">
        <v>90</v>
      </c>
      <c r="G3156" s="2" t="s">
        <v>7724</v>
      </c>
      <c r="H3156" s="2" t="s">
        <v>2354</v>
      </c>
      <c r="I3156" s="2" t="s">
        <v>178</v>
      </c>
      <c r="J3156" s="3">
        <v>44206</v>
      </c>
      <c r="K3156" s="5">
        <f>YEAR(OrganizedData[[#This Row],[Order Date]])</f>
        <v>2021</v>
      </c>
      <c r="L3156" s="7" t="str">
        <f>TEXT(OrganizedData[[#This Row],[Order Date]],"mmm")</f>
        <v>Jan</v>
      </c>
      <c r="M3156" s="2">
        <v>74</v>
      </c>
      <c r="N3156" s="2" t="s">
        <v>159</v>
      </c>
      <c r="O3156" s="2" t="str">
        <f>VLOOKUP(OrganizedData[[#This Row],[Product Code]],ProductData[[Code]:[Item]],2,FALSE)</f>
        <v>Ultrathing V3</v>
      </c>
      <c r="P3156" s="4">
        <f>OrganizedData[[#This Row],[Quantity]]*VLOOKUP(OrganizedData[[#This Row],[Product Code]],ProductData[],4,FALSE)</f>
        <v>1776</v>
      </c>
      <c r="Q3156" s="6">
        <f>OrganizedData[[#This Row],[Total Items Ordered]]*VLOOKUP(OrganizedData[[#This Row],[Product Code]],ProductData[],3,FALSE)</f>
        <v>6020.64</v>
      </c>
      <c r="R31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3157" spans="1:18" x14ac:dyDescent="0.3">
      <c r="A3157" s="2">
        <v>3150</v>
      </c>
      <c r="B3157" s="2" t="s">
        <v>2487</v>
      </c>
      <c r="C3157" s="2" t="s">
        <v>422</v>
      </c>
      <c r="D3157" s="2" t="s">
        <v>15</v>
      </c>
      <c r="E3157" s="2" t="s">
        <v>16</v>
      </c>
      <c r="F3157" s="2">
        <v>30</v>
      </c>
      <c r="G3157" s="2" t="s">
        <v>7724</v>
      </c>
      <c r="H3157" s="2" t="s">
        <v>3774</v>
      </c>
      <c r="I3157" s="2" t="s">
        <v>187</v>
      </c>
      <c r="J3157" s="3">
        <v>44468</v>
      </c>
      <c r="K3157" s="5">
        <f>YEAR(OrganizedData[[#This Row],[Order Date]])</f>
        <v>2021</v>
      </c>
      <c r="L3157" s="7" t="str">
        <f>TEXT(OrganizedData[[#This Row],[Order Date]],"mmm")</f>
        <v>Sep</v>
      </c>
      <c r="M3157" s="2">
        <v>31</v>
      </c>
      <c r="N3157" s="2" t="s">
        <v>101</v>
      </c>
      <c r="O3157" s="2" t="str">
        <f>VLOOKUP(OrganizedData[[#This Row],[Product Code]],ProductData[[Code]:[Item]],2,FALSE)</f>
        <v>Superwossname</v>
      </c>
      <c r="P3157" s="4">
        <f>OrganizedData[[#This Row],[Quantity]]*VLOOKUP(OrganizedData[[#This Row],[Product Code]],ProductData[],4,FALSE)</f>
        <v>620</v>
      </c>
      <c r="Q3157" s="6">
        <f>OrganizedData[[#This Row],[Total Items Ordered]]*VLOOKUP(OrganizedData[[#This Row],[Product Code]],ProductData[],3,FALSE)</f>
        <v>2163.8000000000002</v>
      </c>
      <c r="R31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2098.886</v>
      </c>
    </row>
    <row r="3158" spans="1:18" x14ac:dyDescent="0.3">
      <c r="A3158" s="2">
        <v>3151</v>
      </c>
      <c r="B3158" s="2" t="s">
        <v>5928</v>
      </c>
      <c r="C3158" s="2" t="s">
        <v>2336</v>
      </c>
      <c r="D3158" s="2" t="s">
        <v>28</v>
      </c>
      <c r="E3158" s="2" t="s">
        <v>29</v>
      </c>
      <c r="F3158" s="2">
        <v>30</v>
      </c>
      <c r="G3158" s="2" t="s">
        <v>7725</v>
      </c>
      <c r="H3158" s="2" t="s">
        <v>4932</v>
      </c>
      <c r="I3158" s="2" t="s">
        <v>38</v>
      </c>
      <c r="J3158" s="3">
        <v>44459</v>
      </c>
      <c r="K3158" s="5">
        <f>YEAR(OrganizedData[[#This Row],[Order Date]])</f>
        <v>2021</v>
      </c>
      <c r="L3158" s="7" t="str">
        <f>TEXT(OrganizedData[[#This Row],[Order Date]],"mmm")</f>
        <v>Sep</v>
      </c>
      <c r="M3158" s="2">
        <v>88</v>
      </c>
      <c r="N3158" s="2" t="s">
        <v>33</v>
      </c>
      <c r="O3158" s="2" t="str">
        <f>VLOOKUP(OrganizedData[[#This Row],[Product Code]],ProductData[[Code]:[Item]],2,FALSE)</f>
        <v>Megawidget L</v>
      </c>
      <c r="P3158" s="4">
        <f>OrganizedData[[#This Row],[Quantity]]*VLOOKUP(OrganizedData[[#This Row],[Product Code]],ProductData[],4,FALSE)</f>
        <v>2112</v>
      </c>
      <c r="Q3158" s="6">
        <f>OrganizedData[[#This Row],[Total Items Ordered]]*VLOOKUP(OrganizedData[[#This Row],[Product Code]],ProductData[],3,FALSE)</f>
        <v>3780.48</v>
      </c>
      <c r="R31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3591.4559999999997</v>
      </c>
    </row>
    <row r="3159" spans="1:18" x14ac:dyDescent="0.3">
      <c r="A3159" s="2">
        <v>3152</v>
      </c>
      <c r="B3159" s="2" t="s">
        <v>6994</v>
      </c>
      <c r="C3159" s="2" t="s">
        <v>268</v>
      </c>
      <c r="D3159" s="2" t="s">
        <v>15</v>
      </c>
      <c r="E3159" s="2" t="s">
        <v>16</v>
      </c>
      <c r="F3159" s="2">
        <v>60</v>
      </c>
      <c r="G3159" s="2" t="s">
        <v>7725</v>
      </c>
      <c r="H3159" s="2" t="s">
        <v>663</v>
      </c>
      <c r="I3159" s="2" t="s">
        <v>32</v>
      </c>
      <c r="J3159" s="3">
        <v>44458</v>
      </c>
      <c r="K3159" s="5">
        <f>YEAR(OrganizedData[[#This Row],[Order Date]])</f>
        <v>2021</v>
      </c>
      <c r="L3159" s="7" t="str">
        <f>TEXT(OrganizedData[[#This Row],[Order Date]],"mmm")</f>
        <v>Sep</v>
      </c>
      <c r="M3159" s="2">
        <v>35</v>
      </c>
      <c r="N3159" s="2" t="s">
        <v>64</v>
      </c>
      <c r="O3159" s="2" t="str">
        <f>VLOOKUP(OrganizedData[[#This Row],[Product Code]],ProductData[[Code]:[Item]],2,FALSE)</f>
        <v>Ultrathing V4</v>
      </c>
      <c r="P3159" s="4">
        <f>OrganizedData[[#This Row],[Quantity]]*VLOOKUP(OrganizedData[[#This Row],[Product Code]],ProductData[],4,FALSE)</f>
        <v>840</v>
      </c>
      <c r="Q3159" s="6">
        <f>OrganizedData[[#This Row],[Total Items Ordered]]*VLOOKUP(OrganizedData[[#This Row],[Product Code]],ProductData[],3,FALSE)</f>
        <v>3351.6000000000004</v>
      </c>
      <c r="R31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3160" spans="1:18" x14ac:dyDescent="0.3">
      <c r="A3160" s="2">
        <v>3153</v>
      </c>
      <c r="B3160" s="2" t="s">
        <v>7726</v>
      </c>
      <c r="C3160" s="2" t="s">
        <v>3162</v>
      </c>
      <c r="D3160" s="2" t="s">
        <v>15</v>
      </c>
      <c r="E3160" s="2" t="s">
        <v>16</v>
      </c>
      <c r="F3160" s="2">
        <v>30</v>
      </c>
      <c r="G3160" s="2" t="s">
        <v>7727</v>
      </c>
      <c r="H3160" s="2" t="s">
        <v>2678</v>
      </c>
      <c r="I3160" s="2" t="s">
        <v>32</v>
      </c>
      <c r="J3160" s="3">
        <v>44171</v>
      </c>
      <c r="K3160" s="5">
        <f>YEAR(OrganizedData[[#This Row],[Order Date]])</f>
        <v>2020</v>
      </c>
      <c r="L3160" s="7" t="str">
        <f>TEXT(OrganizedData[[#This Row],[Order Date]],"mmm")</f>
        <v>Dec</v>
      </c>
      <c r="M3160" s="2">
        <v>36</v>
      </c>
      <c r="N3160" s="2" t="s">
        <v>54</v>
      </c>
      <c r="O3160" s="2" t="str">
        <f>VLOOKUP(OrganizedData[[#This Row],[Product Code]],ProductData[[Code]:[Item]],2,FALSE)</f>
        <v>Megawidget S</v>
      </c>
      <c r="P3160" s="4">
        <f>OrganizedData[[#This Row],[Quantity]]*VLOOKUP(OrganizedData[[#This Row],[Product Code]],ProductData[],4,FALSE)</f>
        <v>864</v>
      </c>
      <c r="Q3160" s="6">
        <f>OrganizedData[[#This Row],[Total Items Ordered]]*VLOOKUP(OrganizedData[[#This Row],[Product Code]],ProductData[],3,FALSE)</f>
        <v>596.16</v>
      </c>
      <c r="R31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578.27519999999993</v>
      </c>
    </row>
    <row r="3161" spans="1:18" x14ac:dyDescent="0.3">
      <c r="A3161" s="2">
        <v>3154</v>
      </c>
      <c r="B3161" s="2" t="s">
        <v>6326</v>
      </c>
      <c r="C3161" s="2" t="s">
        <v>7728</v>
      </c>
      <c r="D3161" s="2" t="s">
        <v>41</v>
      </c>
      <c r="E3161" s="2" t="s">
        <v>16</v>
      </c>
      <c r="F3161" s="2">
        <v>60</v>
      </c>
      <c r="G3161" s="2" t="s">
        <v>7729</v>
      </c>
      <c r="H3161" s="2" t="s">
        <v>3862</v>
      </c>
      <c r="I3161" s="2" t="s">
        <v>2543</v>
      </c>
      <c r="J3161" s="3">
        <v>43898</v>
      </c>
      <c r="K3161" s="5">
        <f>YEAR(OrganizedData[[#This Row],[Order Date]])</f>
        <v>2020</v>
      </c>
      <c r="L3161" s="7" t="str">
        <f>TEXT(OrganizedData[[#This Row],[Order Date]],"mmm")</f>
        <v>Mar</v>
      </c>
      <c r="M3161" s="2">
        <v>31</v>
      </c>
      <c r="N3161" s="2" t="s">
        <v>54</v>
      </c>
      <c r="O3161" s="2" t="str">
        <f>VLOOKUP(OrganizedData[[#This Row],[Product Code]],ProductData[[Code]:[Item]],2,FALSE)</f>
        <v>Megawidget S</v>
      </c>
      <c r="P3161" s="4">
        <f>OrganizedData[[#This Row],[Quantity]]*VLOOKUP(OrganizedData[[#This Row],[Product Code]],ProductData[],4,FALSE)</f>
        <v>744</v>
      </c>
      <c r="Q3161" s="6">
        <f>OrganizedData[[#This Row],[Total Items Ordered]]*VLOOKUP(OrganizedData[[#This Row],[Product Code]],ProductData[],3,FALSE)</f>
        <v>513.36</v>
      </c>
      <c r="R31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497.95920000000001</v>
      </c>
    </row>
    <row r="3162" spans="1:18" x14ac:dyDescent="0.3">
      <c r="A3162" s="2">
        <v>3155</v>
      </c>
      <c r="B3162" s="2" t="s">
        <v>7730</v>
      </c>
      <c r="C3162" s="2" t="s">
        <v>4876</v>
      </c>
      <c r="D3162" s="2" t="s">
        <v>28</v>
      </c>
      <c r="E3162" s="2" t="s">
        <v>29</v>
      </c>
      <c r="F3162" s="2">
        <v>90</v>
      </c>
      <c r="G3162" s="2" t="s">
        <v>7731</v>
      </c>
      <c r="H3162" s="2" t="s">
        <v>293</v>
      </c>
      <c r="I3162" s="2" t="s">
        <v>294</v>
      </c>
      <c r="J3162" s="3">
        <v>43938</v>
      </c>
      <c r="K3162" s="5">
        <f>YEAR(OrganizedData[[#This Row],[Order Date]])</f>
        <v>2020</v>
      </c>
      <c r="L3162" s="7" t="str">
        <f>TEXT(OrganizedData[[#This Row],[Order Date]],"mmm")</f>
        <v>Apr</v>
      </c>
      <c r="M3162" s="2">
        <v>44</v>
      </c>
      <c r="N3162" s="2" t="s">
        <v>70</v>
      </c>
      <c r="O3162" s="2" t="str">
        <f>VLOOKUP(OrganizedData[[#This Row],[Product Code]],ProductData[[Code]:[Item]],2,FALSE)</f>
        <v>Megawidget M</v>
      </c>
      <c r="P3162" s="4">
        <f>OrganizedData[[#This Row],[Quantity]]*VLOOKUP(OrganizedData[[#This Row],[Product Code]],ProductData[],4,FALSE)</f>
        <v>1056</v>
      </c>
      <c r="Q3162" s="6">
        <f>OrganizedData[[#This Row],[Total Items Ordered]]*VLOOKUP(OrganizedData[[#This Row],[Product Code]],ProductData[],3,FALSE)</f>
        <v>1362.24</v>
      </c>
      <c r="R31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3163" spans="1:18" x14ac:dyDescent="0.3">
      <c r="A3163" s="2">
        <v>3156</v>
      </c>
      <c r="B3163" s="2" t="s">
        <v>1851</v>
      </c>
      <c r="C3163" s="2" t="s">
        <v>1846</v>
      </c>
      <c r="D3163" s="2" t="s">
        <v>28</v>
      </c>
      <c r="E3163" s="2" t="s">
        <v>29</v>
      </c>
      <c r="F3163" s="2">
        <v>60</v>
      </c>
      <c r="G3163" s="2" t="s">
        <v>7732</v>
      </c>
      <c r="H3163" s="2" t="s">
        <v>1325</v>
      </c>
      <c r="I3163" s="2" t="s">
        <v>187</v>
      </c>
      <c r="J3163" s="3">
        <v>44598</v>
      </c>
      <c r="K3163" s="5">
        <f>YEAR(OrganizedData[[#This Row],[Order Date]])</f>
        <v>2022</v>
      </c>
      <c r="L3163" s="7" t="str">
        <f>TEXT(OrganizedData[[#This Row],[Order Date]],"mmm")</f>
        <v>Feb</v>
      </c>
      <c r="M3163" s="2">
        <v>45</v>
      </c>
      <c r="N3163" s="2" t="s">
        <v>101</v>
      </c>
      <c r="O3163" s="2" t="str">
        <f>VLOOKUP(OrganizedData[[#This Row],[Product Code]],ProductData[[Code]:[Item]],2,FALSE)</f>
        <v>Superwossname</v>
      </c>
      <c r="P3163" s="4">
        <f>OrganizedData[[#This Row],[Quantity]]*VLOOKUP(OrganizedData[[#This Row],[Product Code]],ProductData[],4,FALSE)</f>
        <v>900</v>
      </c>
      <c r="Q3163" s="6">
        <f>OrganizedData[[#This Row],[Total Items Ordered]]*VLOOKUP(OrganizedData[[#This Row],[Product Code]],ProductData[],3,FALSE)</f>
        <v>3141</v>
      </c>
      <c r="R31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3046.77</v>
      </c>
    </row>
    <row r="3164" spans="1:18" x14ac:dyDescent="0.3">
      <c r="A3164" s="2">
        <v>3157</v>
      </c>
      <c r="B3164" s="2" t="s">
        <v>1427</v>
      </c>
      <c r="C3164" s="2" t="s">
        <v>3621</v>
      </c>
      <c r="D3164" s="2" t="s">
        <v>28</v>
      </c>
      <c r="E3164" s="2" t="s">
        <v>29</v>
      </c>
      <c r="F3164" s="2">
        <v>30</v>
      </c>
      <c r="G3164" s="2" t="s">
        <v>7733</v>
      </c>
      <c r="H3164" s="2" t="s">
        <v>1791</v>
      </c>
      <c r="I3164" s="2" t="s">
        <v>32</v>
      </c>
      <c r="J3164" s="3">
        <v>44367</v>
      </c>
      <c r="K3164" s="5">
        <f>YEAR(OrganizedData[[#This Row],[Order Date]])</f>
        <v>2021</v>
      </c>
      <c r="L3164" s="7" t="str">
        <f>TEXT(OrganizedData[[#This Row],[Order Date]],"mmm")</f>
        <v>Jun</v>
      </c>
      <c r="M3164" s="2">
        <v>37</v>
      </c>
      <c r="N3164" s="2" t="s">
        <v>70</v>
      </c>
      <c r="O3164" s="2" t="str">
        <f>VLOOKUP(OrganizedData[[#This Row],[Product Code]],ProductData[[Code]:[Item]],2,FALSE)</f>
        <v>Megawidget M</v>
      </c>
      <c r="P3164" s="4">
        <f>OrganizedData[[#This Row],[Quantity]]*VLOOKUP(OrganizedData[[#This Row],[Product Code]],ProductData[],4,FALSE)</f>
        <v>888</v>
      </c>
      <c r="Q3164" s="6">
        <f>OrganizedData[[#This Row],[Total Items Ordered]]*VLOOKUP(OrganizedData[[#This Row],[Product Code]],ProductData[],3,FALSE)</f>
        <v>1145.52</v>
      </c>
      <c r="R31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3165" spans="1:18" x14ac:dyDescent="0.3">
      <c r="A3165" s="2">
        <v>3158</v>
      </c>
      <c r="B3165" s="2" t="s">
        <v>7734</v>
      </c>
      <c r="C3165" s="2" t="s">
        <v>5002</v>
      </c>
      <c r="D3165" s="2" t="s">
        <v>28</v>
      </c>
      <c r="E3165" s="2" t="s">
        <v>29</v>
      </c>
      <c r="F3165" s="2">
        <v>30</v>
      </c>
      <c r="G3165" s="2" t="s">
        <v>7735</v>
      </c>
      <c r="H3165" s="2" t="s">
        <v>7736</v>
      </c>
      <c r="I3165" s="2" t="s">
        <v>1889</v>
      </c>
      <c r="J3165" s="3">
        <v>44789</v>
      </c>
      <c r="K3165" s="5">
        <f>YEAR(OrganizedData[[#This Row],[Order Date]])</f>
        <v>2022</v>
      </c>
      <c r="L3165" s="7" t="str">
        <f>TEXT(OrganizedData[[#This Row],[Order Date]],"mmm")</f>
        <v>Aug</v>
      </c>
      <c r="M3165" s="2">
        <v>101</v>
      </c>
      <c r="N3165" s="2" t="s">
        <v>80</v>
      </c>
      <c r="O3165" s="2" t="str">
        <f>VLOOKUP(OrganizedData[[#This Row],[Product Code]],ProductData[[Code]:[Item]],2,FALSE)</f>
        <v>Ultrathing V2</v>
      </c>
      <c r="P3165" s="4">
        <f>OrganizedData[[#This Row],[Quantity]]*VLOOKUP(OrganizedData[[#This Row],[Product Code]],ProductData[],4,FALSE)</f>
        <v>2020</v>
      </c>
      <c r="Q3165" s="6">
        <f>OrganizedData[[#This Row],[Total Items Ordered]]*VLOOKUP(OrganizedData[[#This Row],[Product Code]],ProductData[],3,FALSE)</f>
        <v>5959</v>
      </c>
      <c r="R31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5541.87</v>
      </c>
    </row>
    <row r="3166" spans="1:18" x14ac:dyDescent="0.3">
      <c r="A3166" s="2">
        <v>3159</v>
      </c>
      <c r="B3166" s="2" t="s">
        <v>7737</v>
      </c>
      <c r="C3166" s="2" t="s">
        <v>3488</v>
      </c>
      <c r="D3166" s="2" t="s">
        <v>15</v>
      </c>
      <c r="E3166" s="2" t="s">
        <v>16</v>
      </c>
      <c r="F3166" s="2">
        <v>60</v>
      </c>
      <c r="G3166" s="2" t="s">
        <v>7738</v>
      </c>
      <c r="H3166" s="2" t="s">
        <v>7739</v>
      </c>
      <c r="I3166" s="2" t="s">
        <v>146</v>
      </c>
      <c r="J3166" s="3">
        <v>44171</v>
      </c>
      <c r="K3166" s="5">
        <f>YEAR(OrganizedData[[#This Row],[Order Date]])</f>
        <v>2020</v>
      </c>
      <c r="L3166" s="7" t="str">
        <f>TEXT(OrganizedData[[#This Row],[Order Date]],"mmm")</f>
        <v>Dec</v>
      </c>
      <c r="M3166" s="2">
        <v>28</v>
      </c>
      <c r="N3166" s="2" t="s">
        <v>101</v>
      </c>
      <c r="O3166" s="2" t="str">
        <f>VLOOKUP(OrganizedData[[#This Row],[Product Code]],ProductData[[Code]:[Item]],2,FALSE)</f>
        <v>Superwossname</v>
      </c>
      <c r="P3166" s="4">
        <f>OrganizedData[[#This Row],[Quantity]]*VLOOKUP(OrganizedData[[#This Row],[Product Code]],ProductData[],4,FALSE)</f>
        <v>560</v>
      </c>
      <c r="Q3166" s="6">
        <f>OrganizedData[[#This Row],[Total Items Ordered]]*VLOOKUP(OrganizedData[[#This Row],[Product Code]],ProductData[],3,FALSE)</f>
        <v>1954.4</v>
      </c>
      <c r="R31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3167" spans="1:18" x14ac:dyDescent="0.3">
      <c r="A3167" s="2">
        <v>3160</v>
      </c>
      <c r="B3167" s="2" t="s">
        <v>3079</v>
      </c>
      <c r="C3167" s="2" t="s">
        <v>6082</v>
      </c>
      <c r="D3167" s="2" t="s">
        <v>28</v>
      </c>
      <c r="E3167" s="2" t="s">
        <v>29</v>
      </c>
      <c r="F3167" s="2">
        <v>60</v>
      </c>
      <c r="G3167" s="2" t="s">
        <v>7740</v>
      </c>
      <c r="H3167" s="2" t="s">
        <v>1864</v>
      </c>
      <c r="I3167" s="2" t="s">
        <v>294</v>
      </c>
      <c r="J3167" s="3">
        <v>44630</v>
      </c>
      <c r="K3167" s="5">
        <f>YEAR(OrganizedData[[#This Row],[Order Date]])</f>
        <v>2022</v>
      </c>
      <c r="L3167" s="7" t="str">
        <f>TEXT(OrganizedData[[#This Row],[Order Date]],"mmm")</f>
        <v>Mar</v>
      </c>
      <c r="M3167" s="2">
        <v>94</v>
      </c>
      <c r="N3167" s="2" t="s">
        <v>45</v>
      </c>
      <c r="O3167" s="2" t="str">
        <f>VLOOKUP(OrganizedData[[#This Row],[Product Code]],ProductData[[Code]:[Item]],2,FALSE)</f>
        <v>Gigastuff</v>
      </c>
      <c r="P3167" s="4">
        <f>OrganizedData[[#This Row],[Quantity]]*VLOOKUP(OrganizedData[[#This Row],[Product Code]],ProductData[],4,FALSE)</f>
        <v>1692</v>
      </c>
      <c r="Q3167" s="6">
        <f>OrganizedData[[#This Row],[Total Items Ordered]]*VLOOKUP(OrganizedData[[#This Row],[Product Code]],ProductData[],3,FALSE)</f>
        <v>3197.8799999999997</v>
      </c>
      <c r="R31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3037.9859999999994</v>
      </c>
    </row>
    <row r="3168" spans="1:18" x14ac:dyDescent="0.3">
      <c r="A3168" s="2">
        <v>3161</v>
      </c>
      <c r="B3168" s="2" t="s">
        <v>7741</v>
      </c>
      <c r="C3168" s="2" t="s">
        <v>7742</v>
      </c>
      <c r="D3168" s="2" t="s">
        <v>28</v>
      </c>
      <c r="E3168" s="2" t="s">
        <v>29</v>
      </c>
      <c r="F3168" s="2">
        <v>60</v>
      </c>
      <c r="G3168" s="2" t="s">
        <v>7743</v>
      </c>
      <c r="H3168" s="2" t="s">
        <v>1060</v>
      </c>
      <c r="I3168" s="2" t="s">
        <v>38</v>
      </c>
      <c r="J3168" s="3">
        <v>44405</v>
      </c>
      <c r="K3168" s="5">
        <f>YEAR(OrganizedData[[#This Row],[Order Date]])</f>
        <v>2021</v>
      </c>
      <c r="L3168" s="7" t="str">
        <f>TEXT(OrganizedData[[#This Row],[Order Date]],"mmm")</f>
        <v>Jul</v>
      </c>
      <c r="M3168" s="2">
        <v>78</v>
      </c>
      <c r="N3168" s="2" t="s">
        <v>54</v>
      </c>
      <c r="O3168" s="2" t="str">
        <f>VLOOKUP(OrganizedData[[#This Row],[Product Code]],ProductData[[Code]:[Item]],2,FALSE)</f>
        <v>Megawidget S</v>
      </c>
      <c r="P3168" s="4">
        <f>OrganizedData[[#This Row],[Quantity]]*VLOOKUP(OrganizedData[[#This Row],[Product Code]],ProductData[],4,FALSE)</f>
        <v>1872</v>
      </c>
      <c r="Q3168" s="6">
        <f>OrganizedData[[#This Row],[Total Items Ordered]]*VLOOKUP(OrganizedData[[#This Row],[Product Code]],ProductData[],3,FALSE)</f>
        <v>1291.6799999999998</v>
      </c>
      <c r="R31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3169" spans="1:18" x14ac:dyDescent="0.3">
      <c r="A3169" s="2">
        <v>3162</v>
      </c>
      <c r="B3169" s="2" t="s">
        <v>5309</v>
      </c>
      <c r="C3169" s="2" t="s">
        <v>1406</v>
      </c>
      <c r="D3169" s="2" t="s">
        <v>15</v>
      </c>
      <c r="E3169" s="2" t="s">
        <v>16</v>
      </c>
      <c r="F3169" s="2">
        <v>30</v>
      </c>
      <c r="G3169" s="2" t="s">
        <v>7744</v>
      </c>
      <c r="H3169" s="2" t="s">
        <v>3790</v>
      </c>
      <c r="I3169" s="2" t="s">
        <v>32</v>
      </c>
      <c r="J3169" s="3">
        <v>44247</v>
      </c>
      <c r="K3169" s="5">
        <f>YEAR(OrganizedData[[#This Row],[Order Date]])</f>
        <v>2021</v>
      </c>
      <c r="L3169" s="7" t="str">
        <f>TEXT(OrganizedData[[#This Row],[Order Date]],"mmm")</f>
        <v>Feb</v>
      </c>
      <c r="M3169" s="2">
        <v>5</v>
      </c>
      <c r="N3169" s="2" t="s">
        <v>101</v>
      </c>
      <c r="O3169" s="2" t="str">
        <f>VLOOKUP(OrganizedData[[#This Row],[Product Code]],ProductData[[Code]:[Item]],2,FALSE)</f>
        <v>Superwossname</v>
      </c>
      <c r="P3169" s="4">
        <f>OrganizedData[[#This Row],[Quantity]]*VLOOKUP(OrganizedData[[#This Row],[Product Code]],ProductData[],4,FALSE)</f>
        <v>100</v>
      </c>
      <c r="Q3169" s="6">
        <f>OrganizedData[[#This Row],[Total Items Ordered]]*VLOOKUP(OrganizedData[[#This Row],[Product Code]],ProductData[],3,FALSE)</f>
        <v>349</v>
      </c>
      <c r="R31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3170" spans="1:18" x14ac:dyDescent="0.3">
      <c r="A3170" s="2">
        <v>3163</v>
      </c>
      <c r="B3170" s="2" t="s">
        <v>7745</v>
      </c>
      <c r="C3170" s="2" t="s">
        <v>6527</v>
      </c>
      <c r="D3170" s="2" t="s">
        <v>15</v>
      </c>
      <c r="E3170" s="2" t="s">
        <v>16</v>
      </c>
      <c r="F3170" s="2">
        <v>30</v>
      </c>
      <c r="G3170" s="2" t="s">
        <v>7746</v>
      </c>
      <c r="H3170" s="2" t="s">
        <v>7546</v>
      </c>
      <c r="I3170" s="2" t="s">
        <v>187</v>
      </c>
      <c r="J3170" s="3">
        <v>44438</v>
      </c>
      <c r="K3170" s="5">
        <f>YEAR(OrganizedData[[#This Row],[Order Date]])</f>
        <v>2021</v>
      </c>
      <c r="L3170" s="7" t="str">
        <f>TEXT(OrganizedData[[#This Row],[Order Date]],"mmm")</f>
        <v>Aug</v>
      </c>
      <c r="M3170" s="2">
        <v>66</v>
      </c>
      <c r="N3170" s="2" t="s">
        <v>80</v>
      </c>
      <c r="O3170" s="2" t="str">
        <f>VLOOKUP(OrganizedData[[#This Row],[Product Code]],ProductData[[Code]:[Item]],2,FALSE)</f>
        <v>Ultrathing V2</v>
      </c>
      <c r="P3170" s="4">
        <f>OrganizedData[[#This Row],[Quantity]]*VLOOKUP(OrganizedData[[#This Row],[Product Code]],ProductData[],4,FALSE)</f>
        <v>1320</v>
      </c>
      <c r="Q3170" s="6">
        <f>OrganizedData[[#This Row],[Total Items Ordered]]*VLOOKUP(OrganizedData[[#This Row],[Product Code]],ProductData[],3,FALSE)</f>
        <v>3894.0000000000005</v>
      </c>
      <c r="R31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3699.3</v>
      </c>
    </row>
    <row r="3171" spans="1:18" x14ac:dyDescent="0.3">
      <c r="A3171" s="2">
        <v>3164</v>
      </c>
      <c r="B3171" s="2" t="s">
        <v>6580</v>
      </c>
      <c r="C3171" s="2" t="s">
        <v>1710</v>
      </c>
      <c r="D3171" s="2" t="s">
        <v>28</v>
      </c>
      <c r="E3171" s="2" t="s">
        <v>29</v>
      </c>
      <c r="F3171" s="2">
        <v>90</v>
      </c>
      <c r="G3171" s="2" t="s">
        <v>7747</v>
      </c>
      <c r="H3171" s="2" t="s">
        <v>1948</v>
      </c>
      <c r="I3171" s="2" t="s">
        <v>25</v>
      </c>
      <c r="J3171" s="3">
        <v>43845</v>
      </c>
      <c r="K3171" s="5">
        <f>YEAR(OrganizedData[[#This Row],[Order Date]])</f>
        <v>2020</v>
      </c>
      <c r="L3171" s="7" t="str">
        <f>TEXT(OrganizedData[[#This Row],[Order Date]],"mmm")</f>
        <v>Jan</v>
      </c>
      <c r="M3171" s="2">
        <v>64</v>
      </c>
      <c r="N3171" s="2" t="s">
        <v>45</v>
      </c>
      <c r="O3171" s="2" t="str">
        <f>VLOOKUP(OrganizedData[[#This Row],[Product Code]],ProductData[[Code]:[Item]],2,FALSE)</f>
        <v>Gigastuff</v>
      </c>
      <c r="P3171" s="4">
        <f>OrganizedData[[#This Row],[Quantity]]*VLOOKUP(OrganizedData[[#This Row],[Product Code]],ProductData[],4,FALSE)</f>
        <v>1152</v>
      </c>
      <c r="Q3171" s="6">
        <f>OrganizedData[[#This Row],[Total Items Ordered]]*VLOOKUP(OrganizedData[[#This Row],[Product Code]],ProductData[],3,FALSE)</f>
        <v>2177.2799999999997</v>
      </c>
      <c r="R31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2068.4159999999997</v>
      </c>
    </row>
    <row r="3172" spans="1:18" x14ac:dyDescent="0.3">
      <c r="A3172" s="2">
        <v>3165</v>
      </c>
      <c r="B3172" s="2" t="s">
        <v>6578</v>
      </c>
      <c r="C3172" s="2" t="s">
        <v>4596</v>
      </c>
      <c r="D3172" s="2" t="s">
        <v>28</v>
      </c>
      <c r="E3172" s="2" t="s">
        <v>29</v>
      </c>
      <c r="F3172" s="2">
        <v>90</v>
      </c>
      <c r="G3172" s="2" t="s">
        <v>7748</v>
      </c>
      <c r="H3172" s="2" t="s">
        <v>655</v>
      </c>
      <c r="I3172" s="2" t="s">
        <v>32</v>
      </c>
      <c r="J3172" s="3">
        <v>44873</v>
      </c>
      <c r="K3172" s="5">
        <f>YEAR(OrganizedData[[#This Row],[Order Date]])</f>
        <v>2022</v>
      </c>
      <c r="L3172" s="7" t="str">
        <f>TEXT(OrganizedData[[#This Row],[Order Date]],"mmm")</f>
        <v>Nov</v>
      </c>
      <c r="M3172" s="2">
        <v>95</v>
      </c>
      <c r="N3172" s="2" t="s">
        <v>64</v>
      </c>
      <c r="O3172" s="2" t="str">
        <f>VLOOKUP(OrganizedData[[#This Row],[Product Code]],ProductData[[Code]:[Item]],2,FALSE)</f>
        <v>Ultrathing V4</v>
      </c>
      <c r="P3172" s="4">
        <f>OrganizedData[[#This Row],[Quantity]]*VLOOKUP(OrganizedData[[#This Row],[Product Code]],ProductData[],4,FALSE)</f>
        <v>2280</v>
      </c>
      <c r="Q3172" s="6">
        <f>OrganizedData[[#This Row],[Total Items Ordered]]*VLOOKUP(OrganizedData[[#This Row],[Product Code]],ProductData[],3,FALSE)</f>
        <v>9097.2000000000007</v>
      </c>
      <c r="R31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8642.34</v>
      </c>
    </row>
    <row r="3173" spans="1:18" x14ac:dyDescent="0.3">
      <c r="A3173" s="2">
        <v>3166</v>
      </c>
      <c r="B3173" s="2" t="s">
        <v>7749</v>
      </c>
      <c r="C3173" s="2" t="s">
        <v>661</v>
      </c>
      <c r="D3173" s="2" t="s">
        <v>51</v>
      </c>
      <c r="E3173" s="2" t="s">
        <v>16</v>
      </c>
      <c r="F3173" s="2">
        <v>30</v>
      </c>
      <c r="G3173" s="2" t="s">
        <v>7750</v>
      </c>
      <c r="H3173" s="2" t="s">
        <v>7353</v>
      </c>
      <c r="I3173" s="2" t="s">
        <v>19</v>
      </c>
      <c r="J3173" s="3">
        <v>43922</v>
      </c>
      <c r="K3173" s="5">
        <f>YEAR(OrganizedData[[#This Row],[Order Date]])</f>
        <v>2020</v>
      </c>
      <c r="L3173" s="7" t="str">
        <f>TEXT(OrganizedData[[#This Row],[Order Date]],"mmm")</f>
        <v>Apr</v>
      </c>
      <c r="M3173" s="2">
        <v>80</v>
      </c>
      <c r="N3173" s="2" t="s">
        <v>54</v>
      </c>
      <c r="O3173" s="2" t="str">
        <f>VLOOKUP(OrganizedData[[#This Row],[Product Code]],ProductData[[Code]:[Item]],2,FALSE)</f>
        <v>Megawidget S</v>
      </c>
      <c r="P3173" s="4">
        <f>OrganizedData[[#This Row],[Quantity]]*VLOOKUP(OrganizedData[[#This Row],[Product Code]],ProductData[],4,FALSE)</f>
        <v>1920</v>
      </c>
      <c r="Q3173" s="6">
        <f>OrganizedData[[#This Row],[Total Items Ordered]]*VLOOKUP(OrganizedData[[#This Row],[Product Code]],ProductData[],3,FALSE)</f>
        <v>1324.8</v>
      </c>
      <c r="R31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1258.56</v>
      </c>
    </row>
    <row r="3174" spans="1:18" x14ac:dyDescent="0.3">
      <c r="A3174" s="2">
        <v>3167</v>
      </c>
      <c r="B3174" s="2" t="s">
        <v>1116</v>
      </c>
      <c r="C3174" s="2" t="s">
        <v>1274</v>
      </c>
      <c r="D3174" s="2" t="s">
        <v>28</v>
      </c>
      <c r="E3174" s="2" t="s">
        <v>29</v>
      </c>
      <c r="F3174" s="2">
        <v>30</v>
      </c>
      <c r="G3174" s="2" t="s">
        <v>7751</v>
      </c>
      <c r="H3174" s="2" t="s">
        <v>7752</v>
      </c>
      <c r="I3174" s="2" t="s">
        <v>32</v>
      </c>
      <c r="J3174" s="3">
        <v>43977</v>
      </c>
      <c r="K3174" s="5">
        <f>YEAR(OrganizedData[[#This Row],[Order Date]])</f>
        <v>2020</v>
      </c>
      <c r="L3174" s="7" t="str">
        <f>TEXT(OrganizedData[[#This Row],[Order Date]],"mmm")</f>
        <v>May</v>
      </c>
      <c r="M3174" s="2">
        <v>77</v>
      </c>
      <c r="N3174" s="2" t="s">
        <v>39</v>
      </c>
      <c r="O3174" s="2" t="str">
        <f>VLOOKUP(OrganizedData[[#This Row],[Product Code]],ProductData[[Code]:[Item]],2,FALSE)</f>
        <v>Ultrathing V1</v>
      </c>
      <c r="P3174" s="4">
        <f>OrganizedData[[#This Row],[Quantity]]*VLOOKUP(OrganizedData[[#This Row],[Product Code]],ProductData[],4,FALSE)</f>
        <v>1309</v>
      </c>
      <c r="Q3174" s="6">
        <f>OrganizedData[[#This Row],[Total Items Ordered]]*VLOOKUP(OrganizedData[[#This Row],[Product Code]],ProductData[],3,FALSE)</f>
        <v>2343.11</v>
      </c>
      <c r="R31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3175" spans="1:18" x14ac:dyDescent="0.3">
      <c r="A3175" s="2">
        <v>3168</v>
      </c>
      <c r="B3175" s="2" t="s">
        <v>7753</v>
      </c>
      <c r="C3175" s="2" t="s">
        <v>111</v>
      </c>
      <c r="D3175" s="2" t="s">
        <v>28</v>
      </c>
      <c r="E3175" s="2" t="s">
        <v>29</v>
      </c>
      <c r="F3175" s="2">
        <v>30</v>
      </c>
      <c r="G3175" s="2" t="s">
        <v>7754</v>
      </c>
      <c r="H3175" s="2" t="s">
        <v>2745</v>
      </c>
      <c r="I3175" s="2" t="s">
        <v>32</v>
      </c>
      <c r="J3175" s="3">
        <v>44855</v>
      </c>
      <c r="K3175" s="5">
        <f>YEAR(OrganizedData[[#This Row],[Order Date]])</f>
        <v>2022</v>
      </c>
      <c r="L3175" s="7" t="str">
        <f>TEXT(OrganizedData[[#This Row],[Order Date]],"mmm")</f>
        <v>Oct</v>
      </c>
      <c r="M3175" s="2">
        <v>65</v>
      </c>
      <c r="N3175" s="2" t="s">
        <v>20</v>
      </c>
      <c r="O3175" s="2" t="str">
        <f>VLOOKUP(OrganizedData[[#This Row],[Product Code]],ProductData[[Code]:[Item]],2,FALSE)</f>
        <v>Hyperwotsit</v>
      </c>
      <c r="P3175" s="4">
        <f>OrganizedData[[#This Row],[Quantity]]*VLOOKUP(OrganizedData[[#This Row],[Product Code]],ProductData[],4,FALSE)</f>
        <v>1300</v>
      </c>
      <c r="Q3175" s="6">
        <f>OrganizedData[[#This Row],[Total Items Ordered]]*VLOOKUP(OrganizedData[[#This Row],[Product Code]],ProductData[],3,FALSE)</f>
        <v>2612.9999999999995</v>
      </c>
      <c r="R31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2482.3499999999995</v>
      </c>
    </row>
    <row r="3176" spans="1:18" x14ac:dyDescent="0.3">
      <c r="A3176" s="2">
        <v>3169</v>
      </c>
      <c r="B3176" s="2" t="s">
        <v>7755</v>
      </c>
      <c r="C3176" s="2" t="s">
        <v>4971</v>
      </c>
      <c r="D3176" s="2" t="s">
        <v>51</v>
      </c>
      <c r="E3176" s="2" t="s">
        <v>16</v>
      </c>
      <c r="F3176" s="2">
        <v>30</v>
      </c>
      <c r="G3176" s="2" t="s">
        <v>7756</v>
      </c>
      <c r="H3176" s="2" t="s">
        <v>7056</v>
      </c>
      <c r="I3176" s="2" t="s">
        <v>95</v>
      </c>
      <c r="J3176" s="3">
        <v>44227</v>
      </c>
      <c r="K3176" s="5">
        <f>YEAR(OrganizedData[[#This Row],[Order Date]])</f>
        <v>2021</v>
      </c>
      <c r="L3176" s="7" t="str">
        <f>TEXT(OrganizedData[[#This Row],[Order Date]],"mmm")</f>
        <v>Jan</v>
      </c>
      <c r="M3176" s="2">
        <v>54</v>
      </c>
      <c r="N3176" s="2" t="s">
        <v>54</v>
      </c>
      <c r="O3176" s="2" t="str">
        <f>VLOOKUP(OrganizedData[[#This Row],[Product Code]],ProductData[[Code]:[Item]],2,FALSE)</f>
        <v>Megawidget S</v>
      </c>
      <c r="P3176" s="4">
        <f>OrganizedData[[#This Row],[Quantity]]*VLOOKUP(OrganizedData[[#This Row],[Product Code]],ProductData[],4,FALSE)</f>
        <v>1296</v>
      </c>
      <c r="Q3176" s="6">
        <f>OrganizedData[[#This Row],[Total Items Ordered]]*VLOOKUP(OrganizedData[[#This Row],[Product Code]],ProductData[],3,FALSE)</f>
        <v>894.2399999999999</v>
      </c>
      <c r="R31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849.52799999999991</v>
      </c>
    </row>
    <row r="3177" spans="1:18" x14ac:dyDescent="0.3">
      <c r="A3177" s="2">
        <v>3170</v>
      </c>
      <c r="B3177" s="2" t="s">
        <v>4591</v>
      </c>
      <c r="C3177" s="2" t="s">
        <v>3953</v>
      </c>
      <c r="D3177" s="2" t="s">
        <v>28</v>
      </c>
      <c r="E3177" s="2" t="s">
        <v>29</v>
      </c>
      <c r="F3177" s="2">
        <v>30</v>
      </c>
      <c r="G3177" s="2" t="s">
        <v>7757</v>
      </c>
      <c r="H3177" s="2" t="s">
        <v>7758</v>
      </c>
      <c r="I3177" s="2" t="s">
        <v>819</v>
      </c>
      <c r="J3177" s="3">
        <v>44152</v>
      </c>
      <c r="K3177" s="5">
        <f>YEAR(OrganizedData[[#This Row],[Order Date]])</f>
        <v>2020</v>
      </c>
      <c r="L3177" s="7" t="str">
        <f>TEXT(OrganizedData[[#This Row],[Order Date]],"mmm")</f>
        <v>Nov</v>
      </c>
      <c r="M3177" s="2">
        <v>17</v>
      </c>
      <c r="N3177" s="2" t="s">
        <v>20</v>
      </c>
      <c r="O3177" s="2" t="str">
        <f>VLOOKUP(OrganizedData[[#This Row],[Product Code]],ProductData[[Code]:[Item]],2,FALSE)</f>
        <v>Hyperwotsit</v>
      </c>
      <c r="P3177" s="4">
        <f>OrganizedData[[#This Row],[Quantity]]*VLOOKUP(OrganizedData[[#This Row],[Product Code]],ProductData[],4,FALSE)</f>
        <v>340</v>
      </c>
      <c r="Q3177" s="6">
        <f>OrganizedData[[#This Row],[Total Items Ordered]]*VLOOKUP(OrganizedData[[#This Row],[Product Code]],ProductData[],3,FALSE)</f>
        <v>683.4</v>
      </c>
      <c r="R31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683.4</v>
      </c>
    </row>
    <row r="3178" spans="1:18" x14ac:dyDescent="0.3">
      <c r="A3178" s="2">
        <v>3171</v>
      </c>
      <c r="B3178" s="2" t="s">
        <v>6190</v>
      </c>
      <c r="C3178" s="2" t="s">
        <v>277</v>
      </c>
      <c r="D3178" s="2" t="s">
        <v>28</v>
      </c>
      <c r="E3178" s="2" t="s">
        <v>29</v>
      </c>
      <c r="F3178" s="2">
        <v>30</v>
      </c>
      <c r="G3178" s="2" t="s">
        <v>7759</v>
      </c>
      <c r="H3178" s="2" t="s">
        <v>5222</v>
      </c>
      <c r="I3178" s="2" t="s">
        <v>32</v>
      </c>
      <c r="J3178" s="3">
        <v>44792</v>
      </c>
      <c r="K3178" s="5">
        <f>YEAR(OrganizedData[[#This Row],[Order Date]])</f>
        <v>2022</v>
      </c>
      <c r="L3178" s="7" t="str">
        <f>TEXT(OrganizedData[[#This Row],[Order Date]],"mmm")</f>
        <v>Aug</v>
      </c>
      <c r="M3178" s="2">
        <v>7</v>
      </c>
      <c r="N3178" s="2" t="s">
        <v>45</v>
      </c>
      <c r="O3178" s="2" t="str">
        <f>VLOOKUP(OrganizedData[[#This Row],[Product Code]],ProductData[[Code]:[Item]],2,FALSE)</f>
        <v>Gigastuff</v>
      </c>
      <c r="P3178" s="4">
        <f>OrganizedData[[#This Row],[Quantity]]*VLOOKUP(OrganizedData[[#This Row],[Product Code]],ProductData[],4,FALSE)</f>
        <v>126</v>
      </c>
      <c r="Q3178" s="6">
        <f>OrganizedData[[#This Row],[Total Items Ordered]]*VLOOKUP(OrganizedData[[#This Row],[Product Code]],ProductData[],3,FALSE)</f>
        <v>238.14</v>
      </c>
      <c r="R31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3179" spans="1:18" x14ac:dyDescent="0.3">
      <c r="A3179" s="2">
        <v>3172</v>
      </c>
      <c r="B3179" s="2" t="s">
        <v>6192</v>
      </c>
      <c r="C3179" s="2" t="s">
        <v>5195</v>
      </c>
      <c r="D3179" s="2" t="s">
        <v>28</v>
      </c>
      <c r="E3179" s="2" t="s">
        <v>29</v>
      </c>
      <c r="F3179" s="2">
        <v>90</v>
      </c>
      <c r="G3179" s="2" t="s">
        <v>7760</v>
      </c>
      <c r="H3179" s="2" t="s">
        <v>1056</v>
      </c>
      <c r="I3179" s="2" t="s">
        <v>129</v>
      </c>
      <c r="J3179" s="3">
        <v>44375</v>
      </c>
      <c r="K3179" s="5">
        <f>YEAR(OrganizedData[[#This Row],[Order Date]])</f>
        <v>2021</v>
      </c>
      <c r="L3179" s="7" t="str">
        <f>TEXT(OrganizedData[[#This Row],[Order Date]],"mmm")</f>
        <v>Jun</v>
      </c>
      <c r="M3179" s="2">
        <v>21</v>
      </c>
      <c r="N3179" s="2" t="s">
        <v>39</v>
      </c>
      <c r="O3179" s="2" t="str">
        <f>VLOOKUP(OrganizedData[[#This Row],[Product Code]],ProductData[[Code]:[Item]],2,FALSE)</f>
        <v>Ultrathing V1</v>
      </c>
      <c r="P3179" s="4">
        <f>OrganizedData[[#This Row],[Quantity]]*VLOOKUP(OrganizedData[[#This Row],[Product Code]],ProductData[],4,FALSE)</f>
        <v>357</v>
      </c>
      <c r="Q3179" s="6">
        <f>OrganizedData[[#This Row],[Total Items Ordered]]*VLOOKUP(OrganizedData[[#This Row],[Product Code]],ProductData[],3,FALSE)</f>
        <v>639.03</v>
      </c>
      <c r="R31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619.85910000000001</v>
      </c>
    </row>
    <row r="3180" spans="1:18" x14ac:dyDescent="0.3">
      <c r="A3180" s="2">
        <v>3173</v>
      </c>
      <c r="B3180" s="2" t="s">
        <v>1313</v>
      </c>
      <c r="C3180" s="2" t="s">
        <v>7761</v>
      </c>
      <c r="D3180" s="2" t="s">
        <v>28</v>
      </c>
      <c r="E3180" s="2" t="s">
        <v>29</v>
      </c>
      <c r="F3180" s="2">
        <v>60</v>
      </c>
      <c r="G3180" s="2" t="s">
        <v>7762</v>
      </c>
      <c r="H3180" s="2" t="s">
        <v>7763</v>
      </c>
      <c r="I3180" s="2" t="s">
        <v>129</v>
      </c>
      <c r="J3180" s="3">
        <v>44133</v>
      </c>
      <c r="K3180" s="5">
        <f>YEAR(OrganizedData[[#This Row],[Order Date]])</f>
        <v>2020</v>
      </c>
      <c r="L3180" s="7" t="str">
        <f>TEXT(OrganizedData[[#This Row],[Order Date]],"mmm")</f>
        <v>Oct</v>
      </c>
      <c r="M3180" s="2">
        <v>29</v>
      </c>
      <c r="N3180" s="2" t="s">
        <v>39</v>
      </c>
      <c r="O3180" s="2" t="str">
        <f>VLOOKUP(OrganizedData[[#This Row],[Product Code]],ProductData[[Code]:[Item]],2,FALSE)</f>
        <v>Ultrathing V1</v>
      </c>
      <c r="P3180" s="4">
        <f>OrganizedData[[#This Row],[Quantity]]*VLOOKUP(OrganizedData[[#This Row],[Product Code]],ProductData[],4,FALSE)</f>
        <v>493</v>
      </c>
      <c r="Q3180" s="6">
        <f>OrganizedData[[#This Row],[Total Items Ordered]]*VLOOKUP(OrganizedData[[#This Row],[Product Code]],ProductData[],3,FALSE)</f>
        <v>882.47</v>
      </c>
      <c r="R31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855.99590000000001</v>
      </c>
    </row>
    <row r="3181" spans="1:18" x14ac:dyDescent="0.3">
      <c r="A3181" s="2">
        <v>3174</v>
      </c>
      <c r="B3181" s="2" t="s">
        <v>7764</v>
      </c>
      <c r="C3181" s="2" t="s">
        <v>5174</v>
      </c>
      <c r="D3181" s="2" t="s">
        <v>15</v>
      </c>
      <c r="E3181" s="2" t="s">
        <v>16</v>
      </c>
      <c r="F3181" s="2">
        <v>30</v>
      </c>
      <c r="G3181" s="2" t="s">
        <v>7765</v>
      </c>
      <c r="H3181" s="2" t="s">
        <v>7526</v>
      </c>
      <c r="I3181" s="2" t="s">
        <v>32</v>
      </c>
      <c r="J3181" s="3">
        <v>44249</v>
      </c>
      <c r="K3181" s="5">
        <f>YEAR(OrganizedData[[#This Row],[Order Date]])</f>
        <v>2021</v>
      </c>
      <c r="L3181" s="7" t="str">
        <f>TEXT(OrganizedData[[#This Row],[Order Date]],"mmm")</f>
        <v>Feb</v>
      </c>
      <c r="M3181" s="2">
        <v>64</v>
      </c>
      <c r="N3181" s="2" t="s">
        <v>45</v>
      </c>
      <c r="O3181" s="2" t="str">
        <f>VLOOKUP(OrganizedData[[#This Row],[Product Code]],ProductData[[Code]:[Item]],2,FALSE)</f>
        <v>Gigastuff</v>
      </c>
      <c r="P3181" s="4">
        <f>OrganizedData[[#This Row],[Quantity]]*VLOOKUP(OrganizedData[[#This Row],[Product Code]],ProductData[],4,FALSE)</f>
        <v>1152</v>
      </c>
      <c r="Q3181" s="6">
        <f>OrganizedData[[#This Row],[Total Items Ordered]]*VLOOKUP(OrganizedData[[#This Row],[Product Code]],ProductData[],3,FALSE)</f>
        <v>2177.2799999999997</v>
      </c>
      <c r="R31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2068.4159999999997</v>
      </c>
    </row>
    <row r="3182" spans="1:18" x14ac:dyDescent="0.3">
      <c r="A3182" s="2">
        <v>3175</v>
      </c>
      <c r="B3182" s="2" t="s">
        <v>6306</v>
      </c>
      <c r="C3182" s="2" t="s">
        <v>7766</v>
      </c>
      <c r="D3182" s="2" t="s">
        <v>28</v>
      </c>
      <c r="E3182" s="2" t="s">
        <v>29</v>
      </c>
      <c r="F3182" s="2">
        <v>90</v>
      </c>
      <c r="G3182" s="2" t="s">
        <v>7767</v>
      </c>
      <c r="H3182" s="2" t="s">
        <v>7768</v>
      </c>
      <c r="I3182" s="2" t="s">
        <v>19</v>
      </c>
      <c r="J3182" s="3">
        <v>44228</v>
      </c>
      <c r="K3182" s="5">
        <f>YEAR(OrganizedData[[#This Row],[Order Date]])</f>
        <v>2021</v>
      </c>
      <c r="L3182" s="7" t="str">
        <f>TEXT(OrganizedData[[#This Row],[Order Date]],"mmm")</f>
        <v>Feb</v>
      </c>
      <c r="M3182" s="2">
        <v>90</v>
      </c>
      <c r="N3182" s="2" t="s">
        <v>54</v>
      </c>
      <c r="O3182" s="2" t="str">
        <f>VLOOKUP(OrganizedData[[#This Row],[Product Code]],ProductData[[Code]:[Item]],2,FALSE)</f>
        <v>Megawidget S</v>
      </c>
      <c r="P3182" s="4">
        <f>OrganizedData[[#This Row],[Quantity]]*VLOOKUP(OrganizedData[[#This Row],[Product Code]],ProductData[],4,FALSE)</f>
        <v>2160</v>
      </c>
      <c r="Q3182" s="6">
        <f>OrganizedData[[#This Row],[Total Items Ordered]]*VLOOKUP(OrganizedData[[#This Row],[Product Code]],ProductData[],3,FALSE)</f>
        <v>1490.3999999999999</v>
      </c>
      <c r="R31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1415.8799999999999</v>
      </c>
    </row>
    <row r="3183" spans="1:18" x14ac:dyDescent="0.3">
      <c r="A3183" s="2">
        <v>3176</v>
      </c>
      <c r="B3183" s="2" t="s">
        <v>7769</v>
      </c>
      <c r="C3183" s="2" t="s">
        <v>672</v>
      </c>
      <c r="D3183" s="2" t="s">
        <v>15</v>
      </c>
      <c r="E3183" s="2" t="s">
        <v>16</v>
      </c>
      <c r="F3183" s="2">
        <v>30</v>
      </c>
      <c r="G3183" s="2" t="s">
        <v>7770</v>
      </c>
      <c r="H3183" s="2" t="s">
        <v>3148</v>
      </c>
      <c r="I3183" s="2" t="s">
        <v>146</v>
      </c>
      <c r="J3183" s="3">
        <v>44687</v>
      </c>
      <c r="K3183" s="5">
        <f>YEAR(OrganizedData[[#This Row],[Order Date]])</f>
        <v>2022</v>
      </c>
      <c r="L3183" s="7" t="str">
        <f>TEXT(OrganizedData[[#This Row],[Order Date]],"mmm")</f>
        <v>May</v>
      </c>
      <c r="M3183" s="2">
        <v>54</v>
      </c>
      <c r="N3183" s="2" t="s">
        <v>54</v>
      </c>
      <c r="O3183" s="2" t="str">
        <f>VLOOKUP(OrganizedData[[#This Row],[Product Code]],ProductData[[Code]:[Item]],2,FALSE)</f>
        <v>Megawidget S</v>
      </c>
      <c r="P3183" s="4">
        <f>OrganizedData[[#This Row],[Quantity]]*VLOOKUP(OrganizedData[[#This Row],[Product Code]],ProductData[],4,FALSE)</f>
        <v>1296</v>
      </c>
      <c r="Q3183" s="6">
        <f>OrganizedData[[#This Row],[Total Items Ordered]]*VLOOKUP(OrganizedData[[#This Row],[Product Code]],ProductData[],3,FALSE)</f>
        <v>894.2399999999999</v>
      </c>
      <c r="R31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849.52799999999991</v>
      </c>
    </row>
    <row r="3184" spans="1:18" x14ac:dyDescent="0.3">
      <c r="A3184" s="2">
        <v>3177</v>
      </c>
      <c r="B3184" s="2" t="s">
        <v>485</v>
      </c>
      <c r="C3184" s="2" t="s">
        <v>6452</v>
      </c>
      <c r="D3184" s="2" t="s">
        <v>28</v>
      </c>
      <c r="E3184" s="2" t="s">
        <v>29</v>
      </c>
      <c r="F3184" s="2">
        <v>90</v>
      </c>
      <c r="G3184" s="2" t="s">
        <v>7771</v>
      </c>
      <c r="H3184" s="2" t="s">
        <v>641</v>
      </c>
      <c r="I3184" s="2" t="s">
        <v>294</v>
      </c>
      <c r="J3184" s="3">
        <v>44551</v>
      </c>
      <c r="K3184" s="5">
        <f>YEAR(OrganizedData[[#This Row],[Order Date]])</f>
        <v>2021</v>
      </c>
      <c r="L3184" s="7" t="str">
        <f>TEXT(OrganizedData[[#This Row],[Order Date]],"mmm")</f>
        <v>Dec</v>
      </c>
      <c r="M3184" s="2">
        <v>77</v>
      </c>
      <c r="N3184" s="2" t="s">
        <v>45</v>
      </c>
      <c r="O3184" s="2" t="str">
        <f>VLOOKUP(OrganizedData[[#This Row],[Product Code]],ProductData[[Code]:[Item]],2,FALSE)</f>
        <v>Gigastuff</v>
      </c>
      <c r="P3184" s="4">
        <f>OrganizedData[[#This Row],[Quantity]]*VLOOKUP(OrganizedData[[#This Row],[Product Code]],ProductData[],4,FALSE)</f>
        <v>1386</v>
      </c>
      <c r="Q3184" s="6">
        <f>OrganizedData[[#This Row],[Total Items Ordered]]*VLOOKUP(OrganizedData[[#This Row],[Product Code]],ProductData[],3,FALSE)</f>
        <v>2619.54</v>
      </c>
      <c r="R31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2488.5629999999996</v>
      </c>
    </row>
    <row r="3185" spans="1:18" x14ac:dyDescent="0.3">
      <c r="A3185" s="2">
        <v>3178</v>
      </c>
      <c r="B3185" s="2" t="s">
        <v>7772</v>
      </c>
      <c r="C3185" s="2" t="s">
        <v>762</v>
      </c>
      <c r="D3185" s="2" t="s">
        <v>51</v>
      </c>
      <c r="E3185" s="2" t="s">
        <v>16</v>
      </c>
      <c r="F3185" s="2">
        <v>30</v>
      </c>
      <c r="G3185" s="2" t="s">
        <v>7773</v>
      </c>
      <c r="H3185" s="2" t="s">
        <v>7161</v>
      </c>
      <c r="I3185" s="2" t="s">
        <v>32</v>
      </c>
      <c r="J3185" s="3">
        <v>43989</v>
      </c>
      <c r="K3185" s="5">
        <f>YEAR(OrganizedData[[#This Row],[Order Date]])</f>
        <v>2020</v>
      </c>
      <c r="L3185" s="7" t="str">
        <f>TEXT(OrganizedData[[#This Row],[Order Date]],"mmm")</f>
        <v>Jun</v>
      </c>
      <c r="M3185" s="2">
        <v>38</v>
      </c>
      <c r="N3185" s="2" t="s">
        <v>54</v>
      </c>
      <c r="O3185" s="2" t="str">
        <f>VLOOKUP(OrganizedData[[#This Row],[Product Code]],ProductData[[Code]:[Item]],2,FALSE)</f>
        <v>Megawidget S</v>
      </c>
      <c r="P3185" s="4">
        <f>OrganizedData[[#This Row],[Quantity]]*VLOOKUP(OrganizedData[[#This Row],[Product Code]],ProductData[],4,FALSE)</f>
        <v>912</v>
      </c>
      <c r="Q3185" s="6">
        <f>OrganizedData[[#This Row],[Total Items Ordered]]*VLOOKUP(OrganizedData[[#This Row],[Product Code]],ProductData[],3,FALSE)</f>
        <v>629.28</v>
      </c>
      <c r="R31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610.40159999999992</v>
      </c>
    </row>
    <row r="3186" spans="1:18" x14ac:dyDescent="0.3">
      <c r="A3186" s="2">
        <v>3179</v>
      </c>
      <c r="B3186" s="2" t="s">
        <v>1065</v>
      </c>
      <c r="C3186" s="2" t="s">
        <v>7774</v>
      </c>
      <c r="D3186" s="2" t="s">
        <v>28</v>
      </c>
      <c r="E3186" s="2" t="s">
        <v>29</v>
      </c>
      <c r="F3186" s="2">
        <v>30</v>
      </c>
      <c r="G3186" s="2" t="s">
        <v>10545</v>
      </c>
      <c r="H3186" s="2" t="s">
        <v>3790</v>
      </c>
      <c r="I3186" s="2" t="s">
        <v>32</v>
      </c>
      <c r="J3186" s="3">
        <v>44909</v>
      </c>
      <c r="K3186" s="5">
        <f>YEAR(OrganizedData[[#This Row],[Order Date]])</f>
        <v>2022</v>
      </c>
      <c r="L3186" s="7" t="str">
        <f>TEXT(OrganizedData[[#This Row],[Order Date]],"mmm")</f>
        <v>Dec</v>
      </c>
      <c r="M3186" s="2">
        <v>56</v>
      </c>
      <c r="N3186" s="2" t="s">
        <v>70</v>
      </c>
      <c r="O3186" s="2" t="str">
        <f>VLOOKUP(OrganizedData[[#This Row],[Product Code]],ProductData[[Code]:[Item]],2,FALSE)</f>
        <v>Megawidget M</v>
      </c>
      <c r="P3186" s="4">
        <f>OrganizedData[[#This Row],[Quantity]]*VLOOKUP(OrganizedData[[#This Row],[Product Code]],ProductData[],4,FALSE)</f>
        <v>1344</v>
      </c>
      <c r="Q3186" s="6">
        <f>OrganizedData[[#This Row],[Total Items Ordered]]*VLOOKUP(OrganizedData[[#This Row],[Product Code]],ProductData[],3,FALSE)</f>
        <v>1733.76</v>
      </c>
      <c r="R31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1647.0719999999999</v>
      </c>
    </row>
    <row r="3187" spans="1:18" x14ac:dyDescent="0.3">
      <c r="A3187" s="2">
        <v>3180</v>
      </c>
      <c r="B3187" s="2" t="s">
        <v>2782</v>
      </c>
      <c r="C3187" s="2" t="s">
        <v>5483</v>
      </c>
      <c r="D3187" s="2" t="s">
        <v>28</v>
      </c>
      <c r="E3187" s="2" t="s">
        <v>29</v>
      </c>
      <c r="F3187" s="2">
        <v>90</v>
      </c>
      <c r="G3187" s="2" t="s">
        <v>7776</v>
      </c>
      <c r="H3187" s="2" t="s">
        <v>7777</v>
      </c>
      <c r="I3187" s="2" t="s">
        <v>32</v>
      </c>
      <c r="J3187" s="3">
        <v>44213</v>
      </c>
      <c r="K3187" s="5">
        <f>YEAR(OrganizedData[[#This Row],[Order Date]])</f>
        <v>2021</v>
      </c>
      <c r="L3187" s="7" t="str">
        <f>TEXT(OrganizedData[[#This Row],[Order Date]],"mmm")</f>
        <v>Jan</v>
      </c>
      <c r="M3187" s="2">
        <v>79</v>
      </c>
      <c r="N3187" s="2" t="s">
        <v>33</v>
      </c>
      <c r="O3187" s="2" t="str">
        <f>VLOOKUP(OrganizedData[[#This Row],[Product Code]],ProductData[[Code]:[Item]],2,FALSE)</f>
        <v>Megawidget L</v>
      </c>
      <c r="P3187" s="4">
        <f>OrganizedData[[#This Row],[Quantity]]*VLOOKUP(OrganizedData[[#This Row],[Product Code]],ProductData[],4,FALSE)</f>
        <v>1896</v>
      </c>
      <c r="Q3187" s="6">
        <f>OrganizedData[[#This Row],[Total Items Ordered]]*VLOOKUP(OrganizedData[[#This Row],[Product Code]],ProductData[],3,FALSE)</f>
        <v>3393.84</v>
      </c>
      <c r="R31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3224.1480000000001</v>
      </c>
    </row>
    <row r="3188" spans="1:18" x14ac:dyDescent="0.3">
      <c r="A3188" s="2">
        <v>3181</v>
      </c>
      <c r="B3188" s="2" t="s">
        <v>4939</v>
      </c>
      <c r="C3188" s="2" t="s">
        <v>5032</v>
      </c>
      <c r="D3188" s="2" t="s">
        <v>28</v>
      </c>
      <c r="E3188" s="2" t="s">
        <v>29</v>
      </c>
      <c r="F3188" s="2">
        <v>60</v>
      </c>
      <c r="G3188" s="2" t="s">
        <v>7778</v>
      </c>
      <c r="H3188" s="2" t="s">
        <v>1184</v>
      </c>
      <c r="I3188" s="2" t="s">
        <v>886</v>
      </c>
      <c r="J3188" s="3">
        <v>43865</v>
      </c>
      <c r="K3188" s="5">
        <f>YEAR(OrganizedData[[#This Row],[Order Date]])</f>
        <v>2020</v>
      </c>
      <c r="L3188" s="7" t="str">
        <f>TEXT(OrganizedData[[#This Row],[Order Date]],"mmm")</f>
        <v>Feb</v>
      </c>
      <c r="M3188" s="2">
        <v>18</v>
      </c>
      <c r="N3188" s="2" t="s">
        <v>101</v>
      </c>
      <c r="O3188" s="2" t="str">
        <f>VLOOKUP(OrganizedData[[#This Row],[Product Code]],ProductData[[Code]:[Item]],2,FALSE)</f>
        <v>Superwossname</v>
      </c>
      <c r="P3188" s="4">
        <f>OrganizedData[[#This Row],[Quantity]]*VLOOKUP(OrganizedData[[#This Row],[Product Code]],ProductData[],4,FALSE)</f>
        <v>360</v>
      </c>
      <c r="Q3188" s="6">
        <f>OrganizedData[[#This Row],[Total Items Ordered]]*VLOOKUP(OrganizedData[[#This Row],[Product Code]],ProductData[],3,FALSE)</f>
        <v>1256.4000000000001</v>
      </c>
      <c r="R31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3189" spans="1:18" x14ac:dyDescent="0.3">
      <c r="A3189" s="2">
        <v>3182</v>
      </c>
      <c r="B3189" s="2" t="s">
        <v>4536</v>
      </c>
      <c r="C3189" s="2" t="s">
        <v>7779</v>
      </c>
      <c r="D3189" s="2" t="s">
        <v>28</v>
      </c>
      <c r="E3189" s="2" t="s">
        <v>29</v>
      </c>
      <c r="F3189" s="2">
        <v>30</v>
      </c>
      <c r="G3189" s="2" t="s">
        <v>7780</v>
      </c>
      <c r="H3189" s="2" t="s">
        <v>1819</v>
      </c>
      <c r="I3189" s="2" t="s">
        <v>89</v>
      </c>
      <c r="J3189" s="3">
        <v>44403</v>
      </c>
      <c r="K3189" s="5">
        <f>YEAR(OrganizedData[[#This Row],[Order Date]])</f>
        <v>2021</v>
      </c>
      <c r="L3189" s="7" t="str">
        <f>TEXT(OrganizedData[[#This Row],[Order Date]],"mmm")</f>
        <v>Jul</v>
      </c>
      <c r="M3189" s="2">
        <v>43</v>
      </c>
      <c r="N3189" s="2" t="s">
        <v>33</v>
      </c>
      <c r="O3189" s="2" t="str">
        <f>VLOOKUP(OrganizedData[[#This Row],[Product Code]],ProductData[[Code]:[Item]],2,FALSE)</f>
        <v>Megawidget L</v>
      </c>
      <c r="P3189" s="4">
        <f>OrganizedData[[#This Row],[Quantity]]*VLOOKUP(OrganizedData[[#This Row],[Product Code]],ProductData[],4,FALSE)</f>
        <v>1032</v>
      </c>
      <c r="Q3189" s="6">
        <f>OrganizedData[[#This Row],[Total Items Ordered]]*VLOOKUP(OrganizedData[[#This Row],[Product Code]],ProductData[],3,FALSE)</f>
        <v>1847.28</v>
      </c>
      <c r="R31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3190" spans="1:18" x14ac:dyDescent="0.3">
      <c r="A3190" s="2">
        <v>3183</v>
      </c>
      <c r="B3190" s="2" t="s">
        <v>2157</v>
      </c>
      <c r="C3190" s="2" t="s">
        <v>1923</v>
      </c>
      <c r="D3190" s="2" t="s">
        <v>41</v>
      </c>
      <c r="E3190" s="2" t="s">
        <v>16</v>
      </c>
      <c r="F3190" s="2">
        <v>90</v>
      </c>
      <c r="G3190" s="2" t="s">
        <v>7781</v>
      </c>
      <c r="H3190" s="2" t="s">
        <v>84</v>
      </c>
      <c r="I3190" s="2" t="s">
        <v>32</v>
      </c>
      <c r="J3190" s="3">
        <v>44342</v>
      </c>
      <c r="K3190" s="5">
        <f>YEAR(OrganizedData[[#This Row],[Order Date]])</f>
        <v>2021</v>
      </c>
      <c r="L3190" s="7" t="str">
        <f>TEXT(OrganizedData[[#This Row],[Order Date]],"mmm")</f>
        <v>May</v>
      </c>
      <c r="M3190" s="2">
        <v>66</v>
      </c>
      <c r="N3190" s="2" t="s">
        <v>33</v>
      </c>
      <c r="O3190" s="2" t="str">
        <f>VLOOKUP(OrganizedData[[#This Row],[Product Code]],ProductData[[Code]:[Item]],2,FALSE)</f>
        <v>Megawidget L</v>
      </c>
      <c r="P3190" s="4">
        <f>OrganizedData[[#This Row],[Quantity]]*VLOOKUP(OrganizedData[[#This Row],[Product Code]],ProductData[],4,FALSE)</f>
        <v>1584</v>
      </c>
      <c r="Q3190" s="6">
        <f>OrganizedData[[#This Row],[Total Items Ordered]]*VLOOKUP(OrganizedData[[#This Row],[Product Code]],ProductData[],3,FALSE)</f>
        <v>2835.36</v>
      </c>
      <c r="R31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2693.5920000000001</v>
      </c>
    </row>
    <row r="3191" spans="1:18" x14ac:dyDescent="0.3">
      <c r="A3191" s="2">
        <v>3184</v>
      </c>
      <c r="B3191" s="2" t="s">
        <v>7782</v>
      </c>
      <c r="C3191" s="2" t="s">
        <v>1304</v>
      </c>
      <c r="D3191" s="2" t="s">
        <v>15</v>
      </c>
      <c r="E3191" s="2" t="s">
        <v>16</v>
      </c>
      <c r="F3191" s="2">
        <v>90</v>
      </c>
      <c r="G3191" s="2" t="s">
        <v>7783</v>
      </c>
      <c r="H3191" s="2" t="s">
        <v>266</v>
      </c>
      <c r="I3191" s="2" t="s">
        <v>32</v>
      </c>
      <c r="J3191" s="3">
        <v>43875</v>
      </c>
      <c r="K3191" s="5">
        <f>YEAR(OrganizedData[[#This Row],[Order Date]])</f>
        <v>2020</v>
      </c>
      <c r="L3191" s="7" t="str">
        <f>TEXT(OrganizedData[[#This Row],[Order Date]],"mmm")</f>
        <v>Feb</v>
      </c>
      <c r="M3191" s="2">
        <v>5</v>
      </c>
      <c r="N3191" s="2" t="s">
        <v>70</v>
      </c>
      <c r="O3191" s="2" t="str">
        <f>VLOOKUP(OrganizedData[[#This Row],[Product Code]],ProductData[[Code]:[Item]],2,FALSE)</f>
        <v>Megawidget M</v>
      </c>
      <c r="P3191" s="4">
        <f>OrganizedData[[#This Row],[Quantity]]*VLOOKUP(OrganizedData[[#This Row],[Product Code]],ProductData[],4,FALSE)</f>
        <v>120</v>
      </c>
      <c r="Q3191" s="6">
        <f>OrganizedData[[#This Row],[Total Items Ordered]]*VLOOKUP(OrganizedData[[#This Row],[Product Code]],ProductData[],3,FALSE)</f>
        <v>154.80000000000001</v>
      </c>
      <c r="R31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154.80000000000001</v>
      </c>
    </row>
    <row r="3192" spans="1:18" x14ac:dyDescent="0.3">
      <c r="A3192" s="2">
        <v>3185</v>
      </c>
      <c r="B3192" s="2" t="s">
        <v>2919</v>
      </c>
      <c r="C3192" s="2" t="s">
        <v>5913</v>
      </c>
      <c r="D3192" s="2" t="s">
        <v>28</v>
      </c>
      <c r="E3192" s="2" t="s">
        <v>29</v>
      </c>
      <c r="F3192" s="2">
        <v>60</v>
      </c>
      <c r="G3192" s="2" t="s">
        <v>7784</v>
      </c>
      <c r="H3192" s="2" t="s">
        <v>7785</v>
      </c>
      <c r="I3192" s="2" t="s">
        <v>32</v>
      </c>
      <c r="J3192" s="3">
        <v>44585</v>
      </c>
      <c r="K3192" s="5">
        <f>YEAR(OrganizedData[[#This Row],[Order Date]])</f>
        <v>2022</v>
      </c>
      <c r="L3192" s="7" t="str">
        <f>TEXT(OrganizedData[[#This Row],[Order Date]],"mmm")</f>
        <v>Jan</v>
      </c>
      <c r="M3192" s="2">
        <v>92</v>
      </c>
      <c r="N3192" s="2" t="s">
        <v>64</v>
      </c>
      <c r="O3192" s="2" t="str">
        <f>VLOOKUP(OrganizedData[[#This Row],[Product Code]],ProductData[[Code]:[Item]],2,FALSE)</f>
        <v>Ultrathing V4</v>
      </c>
      <c r="P3192" s="4">
        <f>OrganizedData[[#This Row],[Quantity]]*VLOOKUP(OrganizedData[[#This Row],[Product Code]],ProductData[],4,FALSE)</f>
        <v>2208</v>
      </c>
      <c r="Q3192" s="6">
        <f>OrganizedData[[#This Row],[Total Items Ordered]]*VLOOKUP(OrganizedData[[#This Row],[Product Code]],ProductData[],3,FALSE)</f>
        <v>8809.92</v>
      </c>
      <c r="R31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8369.4239999999991</v>
      </c>
    </row>
    <row r="3193" spans="1:18" x14ac:dyDescent="0.3">
      <c r="A3193" s="2">
        <v>3186</v>
      </c>
      <c r="B3193" s="2" t="s">
        <v>6715</v>
      </c>
      <c r="C3193" s="2" t="s">
        <v>7520</v>
      </c>
      <c r="D3193" s="2" t="s">
        <v>28</v>
      </c>
      <c r="E3193" s="2" t="s">
        <v>29</v>
      </c>
      <c r="F3193" s="2">
        <v>60</v>
      </c>
      <c r="G3193" s="2" t="s">
        <v>7786</v>
      </c>
      <c r="H3193" s="2" t="s">
        <v>5581</v>
      </c>
      <c r="I3193" s="2" t="s">
        <v>187</v>
      </c>
      <c r="J3193" s="3">
        <v>44425</v>
      </c>
      <c r="K3193" s="5">
        <f>YEAR(OrganizedData[[#This Row],[Order Date]])</f>
        <v>2021</v>
      </c>
      <c r="L3193" s="7" t="str">
        <f>TEXT(OrganizedData[[#This Row],[Order Date]],"mmm")</f>
        <v>Aug</v>
      </c>
      <c r="M3193" s="2">
        <v>4</v>
      </c>
      <c r="N3193" s="2" t="s">
        <v>70</v>
      </c>
      <c r="O3193" s="2" t="str">
        <f>VLOOKUP(OrganizedData[[#This Row],[Product Code]],ProductData[[Code]:[Item]],2,FALSE)</f>
        <v>Megawidget M</v>
      </c>
      <c r="P3193" s="4">
        <f>OrganizedData[[#This Row],[Quantity]]*VLOOKUP(OrganizedData[[#This Row],[Product Code]],ProductData[],4,FALSE)</f>
        <v>96</v>
      </c>
      <c r="Q3193" s="6">
        <f>OrganizedData[[#This Row],[Total Items Ordered]]*VLOOKUP(OrganizedData[[#This Row],[Product Code]],ProductData[],3,FALSE)</f>
        <v>123.84</v>
      </c>
      <c r="R31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123.84</v>
      </c>
    </row>
    <row r="3194" spans="1:18" x14ac:dyDescent="0.3">
      <c r="A3194" s="2">
        <v>3187</v>
      </c>
      <c r="B3194" s="2" t="s">
        <v>7787</v>
      </c>
      <c r="C3194" s="2" t="s">
        <v>2269</v>
      </c>
      <c r="D3194" s="2" t="s">
        <v>51</v>
      </c>
      <c r="E3194" s="2" t="s">
        <v>16</v>
      </c>
      <c r="F3194" s="2">
        <v>60</v>
      </c>
      <c r="G3194" s="2" t="s">
        <v>7788</v>
      </c>
      <c r="H3194" s="2" t="s">
        <v>1077</v>
      </c>
      <c r="I3194" s="2" t="s">
        <v>1078</v>
      </c>
      <c r="J3194" s="3">
        <v>43902</v>
      </c>
      <c r="K3194" s="5">
        <f>YEAR(OrganizedData[[#This Row],[Order Date]])</f>
        <v>2020</v>
      </c>
      <c r="L3194" s="7" t="str">
        <f>TEXT(OrganizedData[[#This Row],[Order Date]],"mmm")</f>
        <v>Mar</v>
      </c>
      <c r="M3194" s="2">
        <v>6</v>
      </c>
      <c r="N3194" s="2" t="s">
        <v>80</v>
      </c>
      <c r="O3194" s="2" t="str">
        <f>VLOOKUP(OrganizedData[[#This Row],[Product Code]],ProductData[[Code]:[Item]],2,FALSE)</f>
        <v>Ultrathing V2</v>
      </c>
      <c r="P3194" s="4">
        <f>OrganizedData[[#This Row],[Quantity]]*VLOOKUP(OrganizedData[[#This Row],[Product Code]],ProductData[],4,FALSE)</f>
        <v>120</v>
      </c>
      <c r="Q3194" s="6">
        <f>OrganizedData[[#This Row],[Total Items Ordered]]*VLOOKUP(OrganizedData[[#This Row],[Product Code]],ProductData[],3,FALSE)</f>
        <v>354</v>
      </c>
      <c r="R31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354</v>
      </c>
    </row>
    <row r="3195" spans="1:18" x14ac:dyDescent="0.3">
      <c r="A3195" s="2">
        <v>3188</v>
      </c>
      <c r="B3195" s="2" t="s">
        <v>6492</v>
      </c>
      <c r="C3195" s="2" t="s">
        <v>7789</v>
      </c>
      <c r="D3195" s="2" t="s">
        <v>28</v>
      </c>
      <c r="E3195" s="2" t="s">
        <v>29</v>
      </c>
      <c r="F3195" s="2">
        <v>60</v>
      </c>
      <c r="G3195" s="2" t="s">
        <v>7790</v>
      </c>
      <c r="H3195" s="2" t="s">
        <v>6479</v>
      </c>
      <c r="I3195" s="2" t="s">
        <v>187</v>
      </c>
      <c r="J3195" s="3">
        <v>44724</v>
      </c>
      <c r="K3195" s="5">
        <f>YEAR(OrganizedData[[#This Row],[Order Date]])</f>
        <v>2022</v>
      </c>
      <c r="L3195" s="7" t="str">
        <f>TEXT(OrganizedData[[#This Row],[Order Date]],"mmm")</f>
        <v>Jun</v>
      </c>
      <c r="M3195" s="2">
        <v>99</v>
      </c>
      <c r="N3195" s="2" t="s">
        <v>101</v>
      </c>
      <c r="O3195" s="2" t="str">
        <f>VLOOKUP(OrganizedData[[#This Row],[Product Code]],ProductData[[Code]:[Item]],2,FALSE)</f>
        <v>Superwossname</v>
      </c>
      <c r="P3195" s="4">
        <f>OrganizedData[[#This Row],[Quantity]]*VLOOKUP(OrganizedData[[#This Row],[Product Code]],ProductData[],4,FALSE)</f>
        <v>1980</v>
      </c>
      <c r="Q3195" s="6">
        <f>OrganizedData[[#This Row],[Total Items Ordered]]*VLOOKUP(OrganizedData[[#This Row],[Product Code]],ProductData[],3,FALSE)</f>
        <v>6910.2000000000007</v>
      </c>
      <c r="R31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6564.6900000000005</v>
      </c>
    </row>
    <row r="3196" spans="1:18" x14ac:dyDescent="0.3">
      <c r="A3196" s="2">
        <v>3189</v>
      </c>
      <c r="B3196" s="2" t="s">
        <v>7791</v>
      </c>
      <c r="C3196" s="2" t="s">
        <v>5452</v>
      </c>
      <c r="D3196" s="2" t="s">
        <v>28</v>
      </c>
      <c r="E3196" s="2" t="s">
        <v>29</v>
      </c>
      <c r="F3196" s="2">
        <v>30</v>
      </c>
      <c r="G3196" s="2" t="s">
        <v>7792</v>
      </c>
      <c r="H3196" s="2" t="s">
        <v>105</v>
      </c>
      <c r="I3196" s="2" t="s">
        <v>32</v>
      </c>
      <c r="J3196" s="3">
        <v>44263</v>
      </c>
      <c r="K3196" s="5">
        <f>YEAR(OrganizedData[[#This Row],[Order Date]])</f>
        <v>2021</v>
      </c>
      <c r="L3196" s="7" t="str">
        <f>TEXT(OrganizedData[[#This Row],[Order Date]],"mmm")</f>
        <v>Mar</v>
      </c>
      <c r="M3196" s="2">
        <v>4</v>
      </c>
      <c r="N3196" s="2" t="s">
        <v>45</v>
      </c>
      <c r="O3196" s="2" t="str">
        <f>VLOOKUP(OrganizedData[[#This Row],[Product Code]],ProductData[[Code]:[Item]],2,FALSE)</f>
        <v>Gigastuff</v>
      </c>
      <c r="P3196" s="4">
        <f>OrganizedData[[#This Row],[Quantity]]*VLOOKUP(OrganizedData[[#This Row],[Product Code]],ProductData[],4,FALSE)</f>
        <v>72</v>
      </c>
      <c r="Q3196" s="6">
        <f>OrganizedData[[#This Row],[Total Items Ordered]]*VLOOKUP(OrganizedData[[#This Row],[Product Code]],ProductData[],3,FALSE)</f>
        <v>136.07999999999998</v>
      </c>
      <c r="R31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3197" spans="1:18" x14ac:dyDescent="0.3">
      <c r="A3197" s="2">
        <v>3190</v>
      </c>
      <c r="B3197" s="2" t="s">
        <v>1108</v>
      </c>
      <c r="C3197" s="2" t="s">
        <v>3111</v>
      </c>
      <c r="D3197" s="2" t="s">
        <v>28</v>
      </c>
      <c r="E3197" s="2" t="s">
        <v>29</v>
      </c>
      <c r="F3197" s="2">
        <v>30</v>
      </c>
      <c r="G3197" s="2" t="s">
        <v>7793</v>
      </c>
      <c r="H3197" s="2" t="s">
        <v>7794</v>
      </c>
      <c r="I3197" s="2" t="s">
        <v>32</v>
      </c>
      <c r="J3197" s="3">
        <v>44631</v>
      </c>
      <c r="K3197" s="5">
        <f>YEAR(OrganizedData[[#This Row],[Order Date]])</f>
        <v>2022</v>
      </c>
      <c r="L3197" s="7" t="str">
        <f>TEXT(OrganizedData[[#This Row],[Order Date]],"mmm")</f>
        <v>Mar</v>
      </c>
      <c r="M3197" s="2">
        <v>101</v>
      </c>
      <c r="N3197" s="2" t="s">
        <v>20</v>
      </c>
      <c r="O3197" s="2" t="str">
        <f>VLOOKUP(OrganizedData[[#This Row],[Product Code]],ProductData[[Code]:[Item]],2,FALSE)</f>
        <v>Hyperwotsit</v>
      </c>
      <c r="P3197" s="4">
        <f>OrganizedData[[#This Row],[Quantity]]*VLOOKUP(OrganizedData[[#This Row],[Product Code]],ProductData[],4,FALSE)</f>
        <v>2020</v>
      </c>
      <c r="Q3197" s="6">
        <f>OrganizedData[[#This Row],[Total Items Ordered]]*VLOOKUP(OrganizedData[[#This Row],[Product Code]],ProductData[],3,FALSE)</f>
        <v>4060.1999999999994</v>
      </c>
      <c r="R31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3775.9859999999994</v>
      </c>
    </row>
    <row r="3198" spans="1:18" x14ac:dyDescent="0.3">
      <c r="A3198" s="2">
        <v>3191</v>
      </c>
      <c r="B3198" s="2" t="s">
        <v>7795</v>
      </c>
      <c r="C3198" s="2" t="s">
        <v>5837</v>
      </c>
      <c r="D3198" s="2" t="s">
        <v>28</v>
      </c>
      <c r="E3198" s="2" t="s">
        <v>29</v>
      </c>
      <c r="F3198" s="2">
        <v>30</v>
      </c>
      <c r="G3198" s="2" t="s">
        <v>7796</v>
      </c>
      <c r="H3198" s="2" t="s">
        <v>6693</v>
      </c>
      <c r="I3198" s="2" t="s">
        <v>25</v>
      </c>
      <c r="J3198" s="3">
        <v>44034</v>
      </c>
      <c r="K3198" s="5">
        <f>YEAR(OrganizedData[[#This Row],[Order Date]])</f>
        <v>2020</v>
      </c>
      <c r="L3198" s="7" t="str">
        <f>TEXT(OrganizedData[[#This Row],[Order Date]],"mmm")</f>
        <v>Jul</v>
      </c>
      <c r="M3198" s="2">
        <v>83</v>
      </c>
      <c r="N3198" s="2" t="s">
        <v>54</v>
      </c>
      <c r="O3198" s="2" t="str">
        <f>VLOOKUP(OrganizedData[[#This Row],[Product Code]],ProductData[[Code]:[Item]],2,FALSE)</f>
        <v>Megawidget S</v>
      </c>
      <c r="P3198" s="4">
        <f>OrganizedData[[#This Row],[Quantity]]*VLOOKUP(OrganizedData[[#This Row],[Product Code]],ProductData[],4,FALSE)</f>
        <v>1992</v>
      </c>
      <c r="Q3198" s="6">
        <f>OrganizedData[[#This Row],[Total Items Ordered]]*VLOOKUP(OrganizedData[[#This Row],[Product Code]],ProductData[],3,FALSE)</f>
        <v>1374.4799999999998</v>
      </c>
      <c r="R31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1305.7559999999996</v>
      </c>
    </row>
    <row r="3199" spans="1:18" x14ac:dyDescent="0.3">
      <c r="A3199" s="2">
        <v>3192</v>
      </c>
      <c r="B3199" s="2" t="s">
        <v>7797</v>
      </c>
      <c r="C3199" s="2" t="s">
        <v>5193</v>
      </c>
      <c r="D3199" s="2" t="s">
        <v>15</v>
      </c>
      <c r="E3199" s="2" t="s">
        <v>16</v>
      </c>
      <c r="F3199" s="2">
        <v>30</v>
      </c>
      <c r="G3199" s="2" t="s">
        <v>7798</v>
      </c>
      <c r="H3199" s="2" t="s">
        <v>7799</v>
      </c>
      <c r="I3199" s="2" t="s">
        <v>173</v>
      </c>
      <c r="J3199" s="3">
        <v>44794</v>
      </c>
      <c r="K3199" s="5">
        <f>YEAR(OrganizedData[[#This Row],[Order Date]])</f>
        <v>2022</v>
      </c>
      <c r="L3199" s="7" t="str">
        <f>TEXT(OrganizedData[[#This Row],[Order Date]],"mmm")</f>
        <v>Aug</v>
      </c>
      <c r="M3199" s="2">
        <v>19</v>
      </c>
      <c r="N3199" s="2" t="s">
        <v>54</v>
      </c>
      <c r="O3199" s="2" t="str">
        <f>VLOOKUP(OrganizedData[[#This Row],[Product Code]],ProductData[[Code]:[Item]],2,FALSE)</f>
        <v>Megawidget S</v>
      </c>
      <c r="P3199" s="4">
        <f>OrganizedData[[#This Row],[Quantity]]*VLOOKUP(OrganizedData[[#This Row],[Product Code]],ProductData[],4,FALSE)</f>
        <v>456</v>
      </c>
      <c r="Q3199" s="6">
        <f>OrganizedData[[#This Row],[Total Items Ordered]]*VLOOKUP(OrganizedData[[#This Row],[Product Code]],ProductData[],3,FALSE)</f>
        <v>314.64</v>
      </c>
      <c r="R31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314.64</v>
      </c>
    </row>
    <row r="3200" spans="1:18" x14ac:dyDescent="0.3">
      <c r="A3200" s="2">
        <v>3193</v>
      </c>
      <c r="B3200" s="2" t="s">
        <v>7800</v>
      </c>
      <c r="C3200" s="2" t="s">
        <v>7801</v>
      </c>
      <c r="D3200" s="2" t="s">
        <v>15</v>
      </c>
      <c r="E3200" s="2" t="s">
        <v>16</v>
      </c>
      <c r="F3200" s="2">
        <v>90</v>
      </c>
      <c r="G3200" s="2" t="s">
        <v>7798</v>
      </c>
      <c r="H3200" s="2" t="s">
        <v>1333</v>
      </c>
      <c r="I3200" s="2" t="s">
        <v>294</v>
      </c>
      <c r="J3200" s="3">
        <v>43961</v>
      </c>
      <c r="K3200" s="5">
        <f>YEAR(OrganizedData[[#This Row],[Order Date]])</f>
        <v>2020</v>
      </c>
      <c r="L3200" s="7" t="str">
        <f>TEXT(OrganizedData[[#This Row],[Order Date]],"mmm")</f>
        <v>May</v>
      </c>
      <c r="M3200" s="2">
        <v>24</v>
      </c>
      <c r="N3200" s="2" t="s">
        <v>45</v>
      </c>
      <c r="O3200" s="2" t="str">
        <f>VLOOKUP(OrganizedData[[#This Row],[Product Code]],ProductData[[Code]:[Item]],2,FALSE)</f>
        <v>Gigastuff</v>
      </c>
      <c r="P3200" s="4">
        <f>OrganizedData[[#This Row],[Quantity]]*VLOOKUP(OrganizedData[[#This Row],[Product Code]],ProductData[],4,FALSE)</f>
        <v>432</v>
      </c>
      <c r="Q3200" s="6">
        <f>OrganizedData[[#This Row],[Total Items Ordered]]*VLOOKUP(OrganizedData[[#This Row],[Product Code]],ProductData[],3,FALSE)</f>
        <v>816.4799999999999</v>
      </c>
      <c r="R32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791.98559999999986</v>
      </c>
    </row>
    <row r="3201" spans="1:18" x14ac:dyDescent="0.3">
      <c r="A3201" s="2">
        <v>3194</v>
      </c>
      <c r="B3201" s="2" t="s">
        <v>7802</v>
      </c>
      <c r="C3201" s="2" t="s">
        <v>928</v>
      </c>
      <c r="D3201" s="2" t="s">
        <v>51</v>
      </c>
      <c r="E3201" s="2" t="s">
        <v>16</v>
      </c>
      <c r="F3201" s="2">
        <v>90</v>
      </c>
      <c r="G3201" s="2" t="s">
        <v>7803</v>
      </c>
      <c r="H3201" s="2" t="s">
        <v>6507</v>
      </c>
      <c r="I3201" s="2" t="s">
        <v>187</v>
      </c>
      <c r="J3201" s="3">
        <v>43952</v>
      </c>
      <c r="K3201" s="5">
        <f>YEAR(OrganizedData[[#This Row],[Order Date]])</f>
        <v>2020</v>
      </c>
      <c r="L3201" s="7" t="str">
        <f>TEXT(OrganizedData[[#This Row],[Order Date]],"mmm")</f>
        <v>May</v>
      </c>
      <c r="M3201" s="2">
        <v>49</v>
      </c>
      <c r="N3201" s="2" t="s">
        <v>159</v>
      </c>
      <c r="O3201" s="2" t="str">
        <f>VLOOKUP(OrganizedData[[#This Row],[Product Code]],ProductData[[Code]:[Item]],2,FALSE)</f>
        <v>Ultrathing V3</v>
      </c>
      <c r="P3201" s="4">
        <f>OrganizedData[[#This Row],[Quantity]]*VLOOKUP(OrganizedData[[#This Row],[Product Code]],ProductData[],4,FALSE)</f>
        <v>1176</v>
      </c>
      <c r="Q3201" s="6">
        <f>OrganizedData[[#This Row],[Total Items Ordered]]*VLOOKUP(OrganizedData[[#This Row],[Product Code]],ProductData[],3,FALSE)</f>
        <v>3986.6400000000003</v>
      </c>
      <c r="R32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3867.0408000000002</v>
      </c>
    </row>
    <row r="3202" spans="1:18" x14ac:dyDescent="0.3">
      <c r="A3202" s="2">
        <v>3195</v>
      </c>
      <c r="B3202" s="2" t="s">
        <v>7804</v>
      </c>
      <c r="C3202" s="2" t="s">
        <v>1846</v>
      </c>
      <c r="D3202" s="2" t="s">
        <v>28</v>
      </c>
      <c r="E3202" s="2" t="s">
        <v>29</v>
      </c>
      <c r="F3202" s="2">
        <v>30</v>
      </c>
      <c r="G3202" s="2" t="s">
        <v>7805</v>
      </c>
      <c r="H3202" s="2" t="s">
        <v>7806</v>
      </c>
      <c r="I3202" s="2" t="s">
        <v>294</v>
      </c>
      <c r="J3202" s="3">
        <v>44851</v>
      </c>
      <c r="K3202" s="5">
        <f>YEAR(OrganizedData[[#This Row],[Order Date]])</f>
        <v>2022</v>
      </c>
      <c r="L3202" s="7" t="str">
        <f>TEXT(OrganizedData[[#This Row],[Order Date]],"mmm")</f>
        <v>Oct</v>
      </c>
      <c r="M3202" s="2">
        <v>99</v>
      </c>
      <c r="N3202" s="2" t="s">
        <v>101</v>
      </c>
      <c r="O3202" s="2" t="str">
        <f>VLOOKUP(OrganizedData[[#This Row],[Product Code]],ProductData[[Code]:[Item]],2,FALSE)</f>
        <v>Superwossname</v>
      </c>
      <c r="P3202" s="4">
        <f>OrganizedData[[#This Row],[Quantity]]*VLOOKUP(OrganizedData[[#This Row],[Product Code]],ProductData[],4,FALSE)</f>
        <v>1980</v>
      </c>
      <c r="Q3202" s="6">
        <f>OrganizedData[[#This Row],[Total Items Ordered]]*VLOOKUP(OrganizedData[[#This Row],[Product Code]],ProductData[],3,FALSE)</f>
        <v>6910.2000000000007</v>
      </c>
      <c r="R32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6564.6900000000005</v>
      </c>
    </row>
    <row r="3203" spans="1:18" x14ac:dyDescent="0.3">
      <c r="A3203" s="2">
        <v>3196</v>
      </c>
      <c r="B3203" s="2" t="s">
        <v>7412</v>
      </c>
      <c r="C3203" s="2" t="s">
        <v>336</v>
      </c>
      <c r="D3203" s="2" t="s">
        <v>28</v>
      </c>
      <c r="E3203" s="2" t="s">
        <v>29</v>
      </c>
      <c r="F3203" s="2">
        <v>60</v>
      </c>
      <c r="G3203" s="2" t="s">
        <v>7807</v>
      </c>
      <c r="H3203" s="2" t="s">
        <v>1242</v>
      </c>
      <c r="I3203" s="2" t="s">
        <v>38</v>
      </c>
      <c r="J3203" s="3">
        <v>44843</v>
      </c>
      <c r="K3203" s="5">
        <f>YEAR(OrganizedData[[#This Row],[Order Date]])</f>
        <v>2022</v>
      </c>
      <c r="L3203" s="7" t="str">
        <f>TEXT(OrganizedData[[#This Row],[Order Date]],"mmm")</f>
        <v>Oct</v>
      </c>
      <c r="M3203" s="2">
        <v>70</v>
      </c>
      <c r="N3203" s="2" t="s">
        <v>33</v>
      </c>
      <c r="O3203" s="2" t="str">
        <f>VLOOKUP(OrganizedData[[#This Row],[Product Code]],ProductData[[Code]:[Item]],2,FALSE)</f>
        <v>Megawidget L</v>
      </c>
      <c r="P3203" s="4">
        <f>OrganizedData[[#This Row],[Quantity]]*VLOOKUP(OrganizedData[[#This Row],[Product Code]],ProductData[],4,FALSE)</f>
        <v>1680</v>
      </c>
      <c r="Q3203" s="6">
        <f>OrganizedData[[#This Row],[Total Items Ordered]]*VLOOKUP(OrganizedData[[#This Row],[Product Code]],ProductData[],3,FALSE)</f>
        <v>3007.2000000000003</v>
      </c>
      <c r="R32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3204" spans="1:18" x14ac:dyDescent="0.3">
      <c r="A3204" s="2">
        <v>3197</v>
      </c>
      <c r="B3204" s="2" t="s">
        <v>3410</v>
      </c>
      <c r="C3204" s="2" t="s">
        <v>5090</v>
      </c>
      <c r="D3204" s="2" t="s">
        <v>28</v>
      </c>
      <c r="E3204" s="2" t="s">
        <v>29</v>
      </c>
      <c r="F3204" s="2">
        <v>90</v>
      </c>
      <c r="G3204" s="2" t="s">
        <v>7808</v>
      </c>
      <c r="H3204" s="2" t="s">
        <v>2542</v>
      </c>
      <c r="I3204" s="2" t="s">
        <v>2543</v>
      </c>
      <c r="J3204" s="3">
        <v>44802</v>
      </c>
      <c r="K3204" s="5">
        <f>YEAR(OrganizedData[[#This Row],[Order Date]])</f>
        <v>2022</v>
      </c>
      <c r="L3204" s="7" t="str">
        <f>TEXT(OrganizedData[[#This Row],[Order Date]],"mmm")</f>
        <v>Aug</v>
      </c>
      <c r="M3204" s="2">
        <v>62</v>
      </c>
      <c r="N3204" s="2" t="s">
        <v>80</v>
      </c>
      <c r="O3204" s="2" t="str">
        <f>VLOOKUP(OrganizedData[[#This Row],[Product Code]],ProductData[[Code]:[Item]],2,FALSE)</f>
        <v>Ultrathing V2</v>
      </c>
      <c r="P3204" s="4">
        <f>OrganizedData[[#This Row],[Quantity]]*VLOOKUP(OrganizedData[[#This Row],[Product Code]],ProductData[],4,FALSE)</f>
        <v>1240</v>
      </c>
      <c r="Q3204" s="6">
        <f>OrganizedData[[#This Row],[Total Items Ordered]]*VLOOKUP(OrganizedData[[#This Row],[Product Code]],ProductData[],3,FALSE)</f>
        <v>3658</v>
      </c>
      <c r="R32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3205" spans="1:18" x14ac:dyDescent="0.3">
      <c r="A3205" s="2">
        <v>3198</v>
      </c>
      <c r="B3205" s="2" t="s">
        <v>7809</v>
      </c>
      <c r="C3205" s="2" t="s">
        <v>4762</v>
      </c>
      <c r="D3205" s="2" t="s">
        <v>41</v>
      </c>
      <c r="E3205" s="2" t="s">
        <v>16</v>
      </c>
      <c r="F3205" s="2">
        <v>60</v>
      </c>
      <c r="G3205" s="2" t="s">
        <v>7810</v>
      </c>
      <c r="H3205" s="2" t="s">
        <v>3234</v>
      </c>
      <c r="I3205" s="2" t="s">
        <v>25</v>
      </c>
      <c r="J3205" s="3">
        <v>44185</v>
      </c>
      <c r="K3205" s="5">
        <f>YEAR(OrganizedData[[#This Row],[Order Date]])</f>
        <v>2020</v>
      </c>
      <c r="L3205" s="7" t="str">
        <f>TEXT(OrganizedData[[#This Row],[Order Date]],"mmm")</f>
        <v>Dec</v>
      </c>
      <c r="M3205" s="2">
        <v>59</v>
      </c>
      <c r="N3205" s="2" t="s">
        <v>101</v>
      </c>
      <c r="O3205" s="2" t="str">
        <f>VLOOKUP(OrganizedData[[#This Row],[Product Code]],ProductData[[Code]:[Item]],2,FALSE)</f>
        <v>Superwossname</v>
      </c>
      <c r="P3205" s="4">
        <f>OrganizedData[[#This Row],[Quantity]]*VLOOKUP(OrganizedData[[#This Row],[Product Code]],ProductData[],4,FALSE)</f>
        <v>1180</v>
      </c>
      <c r="Q3205" s="6">
        <f>OrganizedData[[#This Row],[Total Items Ordered]]*VLOOKUP(OrganizedData[[#This Row],[Product Code]],ProductData[],3,FALSE)</f>
        <v>4118.2</v>
      </c>
      <c r="R32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3912.2899999999995</v>
      </c>
    </row>
    <row r="3206" spans="1:18" x14ac:dyDescent="0.3">
      <c r="A3206" s="2">
        <v>3199</v>
      </c>
      <c r="B3206" s="2" t="s">
        <v>2005</v>
      </c>
      <c r="C3206" s="2" t="s">
        <v>7527</v>
      </c>
      <c r="D3206" s="2" t="s">
        <v>117</v>
      </c>
      <c r="E3206" s="2" t="s">
        <v>16</v>
      </c>
      <c r="F3206" s="2">
        <v>30</v>
      </c>
      <c r="G3206" s="2" t="s">
        <v>7810</v>
      </c>
      <c r="H3206" s="2" t="s">
        <v>3236</v>
      </c>
      <c r="I3206" s="2" t="s">
        <v>32</v>
      </c>
      <c r="J3206" s="3">
        <v>44631</v>
      </c>
      <c r="K3206" s="5">
        <f>YEAR(OrganizedData[[#This Row],[Order Date]])</f>
        <v>2022</v>
      </c>
      <c r="L3206" s="7" t="str">
        <f>TEXT(OrganizedData[[#This Row],[Order Date]],"mmm")</f>
        <v>Mar</v>
      </c>
      <c r="M3206" s="2">
        <v>45</v>
      </c>
      <c r="N3206" s="2" t="s">
        <v>64</v>
      </c>
      <c r="O3206" s="2" t="str">
        <f>VLOOKUP(OrganizedData[[#This Row],[Product Code]],ProductData[[Code]:[Item]],2,FALSE)</f>
        <v>Ultrathing V4</v>
      </c>
      <c r="P3206" s="4">
        <f>OrganizedData[[#This Row],[Quantity]]*VLOOKUP(OrganizedData[[#This Row],[Product Code]],ProductData[],4,FALSE)</f>
        <v>1080</v>
      </c>
      <c r="Q3206" s="6">
        <f>OrganizedData[[#This Row],[Total Items Ordered]]*VLOOKUP(OrganizedData[[#This Row],[Product Code]],ProductData[],3,FALSE)</f>
        <v>4309.2</v>
      </c>
      <c r="R32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4179.924</v>
      </c>
    </row>
    <row r="3207" spans="1:18" x14ac:dyDescent="0.3">
      <c r="A3207" s="2">
        <v>3200</v>
      </c>
      <c r="B3207" s="2" t="s">
        <v>7811</v>
      </c>
      <c r="C3207" s="2" t="s">
        <v>3535</v>
      </c>
      <c r="D3207" s="2" t="s">
        <v>15</v>
      </c>
      <c r="E3207" s="2" t="s">
        <v>16</v>
      </c>
      <c r="F3207" s="2">
        <v>90</v>
      </c>
      <c r="G3207" s="2" t="s">
        <v>7812</v>
      </c>
      <c r="H3207" s="2" t="s">
        <v>2076</v>
      </c>
      <c r="I3207" s="2" t="s">
        <v>2077</v>
      </c>
      <c r="J3207" s="3">
        <v>44396</v>
      </c>
      <c r="K3207" s="5">
        <f>YEAR(OrganizedData[[#This Row],[Order Date]])</f>
        <v>2021</v>
      </c>
      <c r="L3207" s="7" t="str">
        <f>TEXT(OrganizedData[[#This Row],[Order Date]],"mmm")</f>
        <v>Jul</v>
      </c>
      <c r="M3207" s="2">
        <v>25</v>
      </c>
      <c r="N3207" s="2" t="s">
        <v>101</v>
      </c>
      <c r="O3207" s="2" t="str">
        <f>VLOOKUP(OrganizedData[[#This Row],[Product Code]],ProductData[[Code]:[Item]],2,FALSE)</f>
        <v>Superwossname</v>
      </c>
      <c r="P3207" s="4">
        <f>OrganizedData[[#This Row],[Quantity]]*VLOOKUP(OrganizedData[[#This Row],[Product Code]],ProductData[],4,FALSE)</f>
        <v>500</v>
      </c>
      <c r="Q3207" s="6">
        <f>OrganizedData[[#This Row],[Total Items Ordered]]*VLOOKUP(OrganizedData[[#This Row],[Product Code]],ProductData[],3,FALSE)</f>
        <v>1745</v>
      </c>
      <c r="R32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3208" spans="1:18" x14ac:dyDescent="0.3">
      <c r="A3208" s="2">
        <v>3201</v>
      </c>
      <c r="B3208" s="2" t="s">
        <v>6290</v>
      </c>
      <c r="C3208" s="2" t="s">
        <v>3717</v>
      </c>
      <c r="D3208" s="2" t="s">
        <v>51</v>
      </c>
      <c r="E3208" s="2" t="s">
        <v>16</v>
      </c>
      <c r="F3208" s="2">
        <v>90</v>
      </c>
      <c r="G3208" s="2" t="s">
        <v>7813</v>
      </c>
      <c r="H3208" s="2" t="s">
        <v>682</v>
      </c>
      <c r="I3208" s="2" t="s">
        <v>32</v>
      </c>
      <c r="J3208" s="3">
        <v>44121</v>
      </c>
      <c r="K3208" s="5">
        <f>YEAR(OrganizedData[[#This Row],[Order Date]])</f>
        <v>2020</v>
      </c>
      <c r="L3208" s="7" t="str">
        <f>TEXT(OrganizedData[[#This Row],[Order Date]],"mmm")</f>
        <v>Oct</v>
      </c>
      <c r="M3208" s="2">
        <v>55</v>
      </c>
      <c r="N3208" s="2" t="s">
        <v>20</v>
      </c>
      <c r="O3208" s="2" t="str">
        <f>VLOOKUP(OrganizedData[[#This Row],[Product Code]],ProductData[[Code]:[Item]],2,FALSE)</f>
        <v>Hyperwotsit</v>
      </c>
      <c r="P3208" s="4">
        <f>OrganizedData[[#This Row],[Quantity]]*VLOOKUP(OrganizedData[[#This Row],[Product Code]],ProductData[],4,FALSE)</f>
        <v>1100</v>
      </c>
      <c r="Q3208" s="6">
        <f>OrganizedData[[#This Row],[Total Items Ordered]]*VLOOKUP(OrganizedData[[#This Row],[Product Code]],ProductData[],3,FALSE)</f>
        <v>2210.9999999999995</v>
      </c>
      <c r="R32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2100.4499999999994</v>
      </c>
    </row>
    <row r="3209" spans="1:18" x14ac:dyDescent="0.3">
      <c r="A3209" s="2">
        <v>3202</v>
      </c>
      <c r="B3209" s="2" t="s">
        <v>7505</v>
      </c>
      <c r="C3209" s="2" t="s">
        <v>3375</v>
      </c>
      <c r="D3209" s="2" t="s">
        <v>28</v>
      </c>
      <c r="E3209" s="2" t="s">
        <v>29</v>
      </c>
      <c r="F3209" s="2">
        <v>60</v>
      </c>
      <c r="G3209" s="2" t="s">
        <v>7814</v>
      </c>
      <c r="H3209" s="2" t="s">
        <v>4835</v>
      </c>
      <c r="I3209" s="2" t="s">
        <v>32</v>
      </c>
      <c r="J3209" s="3">
        <v>43861</v>
      </c>
      <c r="K3209" s="5">
        <f>YEAR(OrganizedData[[#This Row],[Order Date]])</f>
        <v>2020</v>
      </c>
      <c r="L3209" s="7" t="str">
        <f>TEXT(OrganizedData[[#This Row],[Order Date]],"mmm")</f>
        <v>Jan</v>
      </c>
      <c r="M3209" s="2">
        <v>82</v>
      </c>
      <c r="N3209" s="2" t="s">
        <v>54</v>
      </c>
      <c r="O3209" s="2" t="str">
        <f>VLOOKUP(OrganizedData[[#This Row],[Product Code]],ProductData[[Code]:[Item]],2,FALSE)</f>
        <v>Megawidget S</v>
      </c>
      <c r="P3209" s="4">
        <f>OrganizedData[[#This Row],[Quantity]]*VLOOKUP(OrganizedData[[#This Row],[Product Code]],ProductData[],4,FALSE)</f>
        <v>1968</v>
      </c>
      <c r="Q3209" s="6">
        <f>OrganizedData[[#This Row],[Total Items Ordered]]*VLOOKUP(OrganizedData[[#This Row],[Product Code]],ProductData[],3,FALSE)</f>
        <v>1357.9199999999998</v>
      </c>
      <c r="R32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3210" spans="1:18" x14ac:dyDescent="0.3">
      <c r="A3210" s="2">
        <v>3203</v>
      </c>
      <c r="B3210" s="2" t="s">
        <v>3544</v>
      </c>
      <c r="C3210" s="2" t="s">
        <v>2862</v>
      </c>
      <c r="D3210" s="2" t="s">
        <v>28</v>
      </c>
      <c r="E3210" s="2" t="s">
        <v>29</v>
      </c>
      <c r="F3210" s="2">
        <v>60</v>
      </c>
      <c r="G3210" s="2" t="s">
        <v>7815</v>
      </c>
      <c r="H3210" s="2" t="s">
        <v>5748</v>
      </c>
      <c r="I3210" s="2" t="s">
        <v>124</v>
      </c>
      <c r="J3210" s="3">
        <v>44586</v>
      </c>
      <c r="K3210" s="5">
        <f>YEAR(OrganizedData[[#This Row],[Order Date]])</f>
        <v>2022</v>
      </c>
      <c r="L3210" s="7" t="str">
        <f>TEXT(OrganizedData[[#This Row],[Order Date]],"mmm")</f>
        <v>Jan</v>
      </c>
      <c r="M3210" s="2">
        <v>32</v>
      </c>
      <c r="N3210" s="2" t="s">
        <v>39</v>
      </c>
      <c r="O3210" s="2" t="str">
        <f>VLOOKUP(OrganizedData[[#This Row],[Product Code]],ProductData[[Code]:[Item]],2,FALSE)</f>
        <v>Ultrathing V1</v>
      </c>
      <c r="P3210" s="4">
        <f>OrganizedData[[#This Row],[Quantity]]*VLOOKUP(OrganizedData[[#This Row],[Product Code]],ProductData[],4,FALSE)</f>
        <v>544</v>
      </c>
      <c r="Q3210" s="6">
        <f>OrganizedData[[#This Row],[Total Items Ordered]]*VLOOKUP(OrganizedData[[#This Row],[Product Code]],ProductData[],3,FALSE)</f>
        <v>973.76</v>
      </c>
      <c r="R32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944.54719999999998</v>
      </c>
    </row>
    <row r="3211" spans="1:18" x14ac:dyDescent="0.3">
      <c r="A3211" s="2">
        <v>3204</v>
      </c>
      <c r="B3211" s="2" t="s">
        <v>496</v>
      </c>
      <c r="C3211" s="2" t="s">
        <v>2449</v>
      </c>
      <c r="D3211" s="2" t="s">
        <v>28</v>
      </c>
      <c r="E3211" s="2" t="s">
        <v>29</v>
      </c>
      <c r="F3211" s="2">
        <v>30</v>
      </c>
      <c r="G3211" s="2" t="s">
        <v>7816</v>
      </c>
      <c r="H3211" s="2" t="s">
        <v>5962</v>
      </c>
      <c r="I3211" s="2" t="s">
        <v>32</v>
      </c>
      <c r="J3211" s="3">
        <v>44278</v>
      </c>
      <c r="K3211" s="5">
        <f>YEAR(OrganizedData[[#This Row],[Order Date]])</f>
        <v>2021</v>
      </c>
      <c r="L3211" s="7" t="str">
        <f>TEXT(OrganizedData[[#This Row],[Order Date]],"mmm")</f>
        <v>Mar</v>
      </c>
      <c r="M3211" s="2">
        <v>84</v>
      </c>
      <c r="N3211" s="2" t="s">
        <v>101</v>
      </c>
      <c r="O3211" s="2" t="str">
        <f>VLOOKUP(OrganizedData[[#This Row],[Product Code]],ProductData[[Code]:[Item]],2,FALSE)</f>
        <v>Superwossname</v>
      </c>
      <c r="P3211" s="4">
        <f>OrganizedData[[#This Row],[Quantity]]*VLOOKUP(OrganizedData[[#This Row],[Product Code]],ProductData[],4,FALSE)</f>
        <v>1680</v>
      </c>
      <c r="Q3211" s="6">
        <f>OrganizedData[[#This Row],[Total Items Ordered]]*VLOOKUP(OrganizedData[[#This Row],[Product Code]],ProductData[],3,FALSE)</f>
        <v>5863.2000000000007</v>
      </c>
      <c r="R32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5570.0400000000009</v>
      </c>
    </row>
    <row r="3212" spans="1:18" x14ac:dyDescent="0.3">
      <c r="A3212" s="2">
        <v>3205</v>
      </c>
      <c r="B3212" s="2" t="s">
        <v>895</v>
      </c>
      <c r="C3212" s="2" t="s">
        <v>121</v>
      </c>
      <c r="D3212" s="2" t="s">
        <v>15</v>
      </c>
      <c r="E3212" s="2" t="s">
        <v>16</v>
      </c>
      <c r="F3212" s="2">
        <v>60</v>
      </c>
      <c r="G3212" s="2" t="s">
        <v>10546</v>
      </c>
      <c r="H3212" s="2" t="s">
        <v>7818</v>
      </c>
      <c r="I3212" s="2" t="s">
        <v>1311</v>
      </c>
      <c r="J3212" s="3">
        <v>44532</v>
      </c>
      <c r="K3212" s="5">
        <f>YEAR(OrganizedData[[#This Row],[Order Date]])</f>
        <v>2021</v>
      </c>
      <c r="L3212" s="7" t="str">
        <f>TEXT(OrganizedData[[#This Row],[Order Date]],"mmm")</f>
        <v>Dec</v>
      </c>
      <c r="M3212" s="2">
        <v>33</v>
      </c>
      <c r="N3212" s="2" t="s">
        <v>54</v>
      </c>
      <c r="O3212" s="2" t="str">
        <f>VLOOKUP(OrganizedData[[#This Row],[Product Code]],ProductData[[Code]:[Item]],2,FALSE)</f>
        <v>Megawidget S</v>
      </c>
      <c r="P3212" s="4">
        <f>OrganizedData[[#This Row],[Quantity]]*VLOOKUP(OrganizedData[[#This Row],[Product Code]],ProductData[],4,FALSE)</f>
        <v>792</v>
      </c>
      <c r="Q3212" s="6">
        <f>OrganizedData[[#This Row],[Total Items Ordered]]*VLOOKUP(OrganizedData[[#This Row],[Product Code]],ProductData[],3,FALSE)</f>
        <v>546.4799999999999</v>
      </c>
      <c r="R32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3213" spans="1:18" x14ac:dyDescent="0.3">
      <c r="A3213" s="2">
        <v>3206</v>
      </c>
      <c r="B3213" s="2" t="s">
        <v>204</v>
      </c>
      <c r="C3213" s="2" t="s">
        <v>7819</v>
      </c>
      <c r="D3213" s="2" t="s">
        <v>28</v>
      </c>
      <c r="E3213" s="2" t="s">
        <v>29</v>
      </c>
      <c r="F3213" s="2">
        <v>90</v>
      </c>
      <c r="G3213" s="2" t="s">
        <v>7820</v>
      </c>
      <c r="H3213" s="2" t="s">
        <v>5603</v>
      </c>
      <c r="I3213" s="2" t="s">
        <v>32</v>
      </c>
      <c r="J3213" s="3">
        <v>43901</v>
      </c>
      <c r="K3213" s="5">
        <f>YEAR(OrganizedData[[#This Row],[Order Date]])</f>
        <v>2020</v>
      </c>
      <c r="L3213" s="7" t="str">
        <f>TEXT(OrganizedData[[#This Row],[Order Date]],"mmm")</f>
        <v>Mar</v>
      </c>
      <c r="M3213" s="2">
        <v>22</v>
      </c>
      <c r="N3213" s="2" t="s">
        <v>70</v>
      </c>
      <c r="O3213" s="2" t="str">
        <f>VLOOKUP(OrganizedData[[#This Row],[Product Code]],ProductData[[Code]:[Item]],2,FALSE)</f>
        <v>Megawidget M</v>
      </c>
      <c r="P3213" s="4">
        <f>OrganizedData[[#This Row],[Quantity]]*VLOOKUP(OrganizedData[[#This Row],[Product Code]],ProductData[],4,FALSE)</f>
        <v>528</v>
      </c>
      <c r="Q3213" s="6">
        <f>OrganizedData[[#This Row],[Total Items Ordered]]*VLOOKUP(OrganizedData[[#This Row],[Product Code]],ProductData[],3,FALSE)</f>
        <v>681.12</v>
      </c>
      <c r="R32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3214" spans="1:18" x14ac:dyDescent="0.3">
      <c r="A3214" s="2">
        <v>3207</v>
      </c>
      <c r="B3214" s="2" t="s">
        <v>7821</v>
      </c>
      <c r="C3214" s="2" t="s">
        <v>6748</v>
      </c>
      <c r="D3214" s="2" t="s">
        <v>51</v>
      </c>
      <c r="E3214" s="2" t="s">
        <v>16</v>
      </c>
      <c r="F3214" s="2">
        <v>90</v>
      </c>
      <c r="G3214" s="2" t="s">
        <v>7822</v>
      </c>
      <c r="H3214" s="2" t="s">
        <v>4520</v>
      </c>
      <c r="I3214" s="2" t="s">
        <v>32</v>
      </c>
      <c r="J3214" s="3">
        <v>44130</v>
      </c>
      <c r="K3214" s="5">
        <f>YEAR(OrganizedData[[#This Row],[Order Date]])</f>
        <v>2020</v>
      </c>
      <c r="L3214" s="7" t="str">
        <f>TEXT(OrganizedData[[#This Row],[Order Date]],"mmm")</f>
        <v>Oct</v>
      </c>
      <c r="M3214" s="2">
        <v>68</v>
      </c>
      <c r="N3214" s="2" t="s">
        <v>101</v>
      </c>
      <c r="O3214" s="2" t="str">
        <f>VLOOKUP(OrganizedData[[#This Row],[Product Code]],ProductData[[Code]:[Item]],2,FALSE)</f>
        <v>Superwossname</v>
      </c>
      <c r="P3214" s="4">
        <f>OrganizedData[[#This Row],[Quantity]]*VLOOKUP(OrganizedData[[#This Row],[Product Code]],ProductData[],4,FALSE)</f>
        <v>1360</v>
      </c>
      <c r="Q3214" s="6">
        <f>OrganizedData[[#This Row],[Total Items Ordered]]*VLOOKUP(OrganizedData[[#This Row],[Product Code]],ProductData[],3,FALSE)</f>
        <v>4746.4000000000005</v>
      </c>
      <c r="R32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4509.08</v>
      </c>
    </row>
    <row r="3215" spans="1:18" x14ac:dyDescent="0.3">
      <c r="A3215" s="2">
        <v>3208</v>
      </c>
      <c r="B3215" s="2" t="s">
        <v>6274</v>
      </c>
      <c r="C3215" s="2" t="s">
        <v>7823</v>
      </c>
      <c r="D3215" s="2" t="s">
        <v>28</v>
      </c>
      <c r="E3215" s="2" t="s">
        <v>29</v>
      </c>
      <c r="F3215" s="2">
        <v>90</v>
      </c>
      <c r="G3215" s="2" t="s">
        <v>7824</v>
      </c>
      <c r="H3215" s="2" t="s">
        <v>6036</v>
      </c>
      <c r="I3215" s="2" t="s">
        <v>32</v>
      </c>
      <c r="J3215" s="3">
        <v>44692</v>
      </c>
      <c r="K3215" s="5">
        <f>YEAR(OrganizedData[[#This Row],[Order Date]])</f>
        <v>2022</v>
      </c>
      <c r="L3215" s="7" t="str">
        <f>TEXT(OrganizedData[[#This Row],[Order Date]],"mmm")</f>
        <v>May</v>
      </c>
      <c r="M3215" s="2">
        <v>85</v>
      </c>
      <c r="N3215" s="2" t="s">
        <v>159</v>
      </c>
      <c r="O3215" s="2" t="str">
        <f>VLOOKUP(OrganizedData[[#This Row],[Product Code]],ProductData[[Code]:[Item]],2,FALSE)</f>
        <v>Ultrathing V3</v>
      </c>
      <c r="P3215" s="4">
        <f>OrganizedData[[#This Row],[Quantity]]*VLOOKUP(OrganizedData[[#This Row],[Product Code]],ProductData[],4,FALSE)</f>
        <v>2040</v>
      </c>
      <c r="Q3215" s="6">
        <f>OrganizedData[[#This Row],[Total Items Ordered]]*VLOOKUP(OrganizedData[[#This Row],[Product Code]],ProductData[],3,FALSE)</f>
        <v>6915.6</v>
      </c>
      <c r="R32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3216" spans="1:18" x14ac:dyDescent="0.3">
      <c r="A3216" s="2">
        <v>3209</v>
      </c>
      <c r="B3216" s="2" t="s">
        <v>1524</v>
      </c>
      <c r="C3216" s="2" t="s">
        <v>7825</v>
      </c>
      <c r="D3216" s="2" t="s">
        <v>15</v>
      </c>
      <c r="E3216" s="2" t="s">
        <v>16</v>
      </c>
      <c r="F3216" s="2">
        <v>90</v>
      </c>
      <c r="G3216" s="2" t="s">
        <v>7826</v>
      </c>
      <c r="H3216" s="2" t="s">
        <v>48</v>
      </c>
      <c r="I3216" s="2" t="s">
        <v>25</v>
      </c>
      <c r="J3216" s="3">
        <v>44806</v>
      </c>
      <c r="K3216" s="5">
        <f>YEAR(OrganizedData[[#This Row],[Order Date]])</f>
        <v>2022</v>
      </c>
      <c r="L3216" s="7" t="str">
        <f>TEXT(OrganizedData[[#This Row],[Order Date]],"mmm")</f>
        <v>Sep</v>
      </c>
      <c r="M3216" s="2">
        <v>4</v>
      </c>
      <c r="N3216" s="2" t="s">
        <v>54</v>
      </c>
      <c r="O3216" s="2" t="str">
        <f>VLOOKUP(OrganizedData[[#This Row],[Product Code]],ProductData[[Code]:[Item]],2,FALSE)</f>
        <v>Megawidget S</v>
      </c>
      <c r="P3216" s="4">
        <f>OrganizedData[[#This Row],[Quantity]]*VLOOKUP(OrganizedData[[#This Row],[Product Code]],ProductData[],4,FALSE)</f>
        <v>96</v>
      </c>
      <c r="Q3216" s="6">
        <f>OrganizedData[[#This Row],[Total Items Ordered]]*VLOOKUP(OrganizedData[[#This Row],[Product Code]],ProductData[],3,FALSE)</f>
        <v>66.239999999999995</v>
      </c>
      <c r="R32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3217" spans="1:18" x14ac:dyDescent="0.3">
      <c r="A3217" s="2">
        <v>3210</v>
      </c>
      <c r="B3217" s="2" t="s">
        <v>2292</v>
      </c>
      <c r="C3217" s="2" t="s">
        <v>5174</v>
      </c>
      <c r="D3217" s="2" t="s">
        <v>28</v>
      </c>
      <c r="E3217" s="2" t="s">
        <v>29</v>
      </c>
      <c r="F3217" s="2">
        <v>30</v>
      </c>
      <c r="G3217" s="2" t="s">
        <v>7826</v>
      </c>
      <c r="H3217" s="2" t="s">
        <v>2512</v>
      </c>
      <c r="I3217" s="2" t="s">
        <v>32</v>
      </c>
      <c r="J3217" s="3">
        <v>44823</v>
      </c>
      <c r="K3217" s="5">
        <f>YEAR(OrganizedData[[#This Row],[Order Date]])</f>
        <v>2022</v>
      </c>
      <c r="L3217" s="7" t="str">
        <f>TEXT(OrganizedData[[#This Row],[Order Date]],"mmm")</f>
        <v>Sep</v>
      </c>
      <c r="M3217" s="2">
        <v>95</v>
      </c>
      <c r="N3217" s="2" t="s">
        <v>64</v>
      </c>
      <c r="O3217" s="2" t="str">
        <f>VLOOKUP(OrganizedData[[#This Row],[Product Code]],ProductData[[Code]:[Item]],2,FALSE)</f>
        <v>Ultrathing V4</v>
      </c>
      <c r="P3217" s="4">
        <f>OrganizedData[[#This Row],[Quantity]]*VLOOKUP(OrganizedData[[#This Row],[Product Code]],ProductData[],4,FALSE)</f>
        <v>2280</v>
      </c>
      <c r="Q3217" s="6">
        <f>OrganizedData[[#This Row],[Total Items Ordered]]*VLOOKUP(OrganizedData[[#This Row],[Product Code]],ProductData[],3,FALSE)</f>
        <v>9097.2000000000007</v>
      </c>
      <c r="R32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8642.34</v>
      </c>
    </row>
    <row r="3218" spans="1:18" x14ac:dyDescent="0.3">
      <c r="A3218" s="2">
        <v>3211</v>
      </c>
      <c r="B3218" s="2" t="s">
        <v>7827</v>
      </c>
      <c r="C3218" s="2" t="s">
        <v>825</v>
      </c>
      <c r="D3218" s="2" t="s">
        <v>51</v>
      </c>
      <c r="E3218" s="2" t="s">
        <v>16</v>
      </c>
      <c r="F3218" s="2">
        <v>30</v>
      </c>
      <c r="G3218" s="2" t="s">
        <v>7828</v>
      </c>
      <c r="H3218" s="2" t="s">
        <v>7829</v>
      </c>
      <c r="I3218" s="2" t="s">
        <v>934</v>
      </c>
      <c r="J3218" s="3">
        <v>44708</v>
      </c>
      <c r="K3218" s="5">
        <f>YEAR(OrganizedData[[#This Row],[Order Date]])</f>
        <v>2022</v>
      </c>
      <c r="L3218" s="7" t="str">
        <f>TEXT(OrganizedData[[#This Row],[Order Date]],"mmm")</f>
        <v>May</v>
      </c>
      <c r="M3218" s="2">
        <v>86</v>
      </c>
      <c r="N3218" s="2" t="s">
        <v>20</v>
      </c>
      <c r="O3218" s="2" t="str">
        <f>VLOOKUP(OrganizedData[[#This Row],[Product Code]],ProductData[[Code]:[Item]],2,FALSE)</f>
        <v>Hyperwotsit</v>
      </c>
      <c r="P3218" s="4">
        <f>OrganizedData[[#This Row],[Quantity]]*VLOOKUP(OrganizedData[[#This Row],[Product Code]],ProductData[],4,FALSE)</f>
        <v>1720</v>
      </c>
      <c r="Q3218" s="6">
        <f>OrganizedData[[#This Row],[Total Items Ordered]]*VLOOKUP(OrganizedData[[#This Row],[Product Code]],ProductData[],3,FALSE)</f>
        <v>3457.2</v>
      </c>
      <c r="R32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3284.3399999999997</v>
      </c>
    </row>
    <row r="3219" spans="1:18" x14ac:dyDescent="0.3">
      <c r="A3219" s="2">
        <v>3212</v>
      </c>
      <c r="B3219" s="2" t="s">
        <v>7830</v>
      </c>
      <c r="C3219" s="2" t="s">
        <v>7721</v>
      </c>
      <c r="D3219" s="2" t="s">
        <v>15</v>
      </c>
      <c r="E3219" s="2" t="s">
        <v>16</v>
      </c>
      <c r="F3219" s="2">
        <v>90</v>
      </c>
      <c r="G3219" s="2" t="s">
        <v>7831</v>
      </c>
      <c r="H3219" s="2" t="s">
        <v>6732</v>
      </c>
      <c r="I3219" s="2" t="s">
        <v>32</v>
      </c>
      <c r="J3219" s="3">
        <v>44533</v>
      </c>
      <c r="K3219" s="5">
        <f>YEAR(OrganizedData[[#This Row],[Order Date]])</f>
        <v>2021</v>
      </c>
      <c r="L3219" s="7" t="str">
        <f>TEXT(OrganizedData[[#This Row],[Order Date]],"mmm")</f>
        <v>Dec</v>
      </c>
      <c r="M3219" s="2">
        <v>40</v>
      </c>
      <c r="N3219" s="2" t="s">
        <v>39</v>
      </c>
      <c r="O3219" s="2" t="str">
        <f>VLOOKUP(OrganizedData[[#This Row],[Product Code]],ProductData[[Code]:[Item]],2,FALSE)</f>
        <v>Ultrathing V1</v>
      </c>
      <c r="P3219" s="4">
        <f>OrganizedData[[#This Row],[Quantity]]*VLOOKUP(OrganizedData[[#This Row],[Product Code]],ProductData[],4,FALSE)</f>
        <v>680</v>
      </c>
      <c r="Q3219" s="6">
        <f>OrganizedData[[#This Row],[Total Items Ordered]]*VLOOKUP(OrganizedData[[#This Row],[Product Code]],ProductData[],3,FALSE)</f>
        <v>1217.2</v>
      </c>
      <c r="R32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1180.684</v>
      </c>
    </row>
    <row r="3220" spans="1:18" x14ac:dyDescent="0.3">
      <c r="A3220" s="2">
        <v>3213</v>
      </c>
      <c r="B3220" s="2" t="s">
        <v>5774</v>
      </c>
      <c r="C3220" s="2" t="s">
        <v>841</v>
      </c>
      <c r="D3220" s="2" t="s">
        <v>28</v>
      </c>
      <c r="E3220" s="2" t="s">
        <v>29</v>
      </c>
      <c r="F3220" s="2">
        <v>30</v>
      </c>
      <c r="G3220" s="2" t="s">
        <v>7832</v>
      </c>
      <c r="H3220" s="2" t="s">
        <v>4056</v>
      </c>
      <c r="I3220" s="2" t="s">
        <v>124</v>
      </c>
      <c r="J3220" s="3">
        <v>44397</v>
      </c>
      <c r="K3220" s="5">
        <f>YEAR(OrganizedData[[#This Row],[Order Date]])</f>
        <v>2021</v>
      </c>
      <c r="L3220" s="7" t="str">
        <f>TEXT(OrganizedData[[#This Row],[Order Date]],"mmm")</f>
        <v>Jul</v>
      </c>
      <c r="M3220" s="2">
        <v>16</v>
      </c>
      <c r="N3220" s="2" t="s">
        <v>64</v>
      </c>
      <c r="O3220" s="2" t="str">
        <f>VLOOKUP(OrganizedData[[#This Row],[Product Code]],ProductData[[Code]:[Item]],2,FALSE)</f>
        <v>Ultrathing V4</v>
      </c>
      <c r="P3220" s="4">
        <f>OrganizedData[[#This Row],[Quantity]]*VLOOKUP(OrganizedData[[#This Row],[Product Code]],ProductData[],4,FALSE)</f>
        <v>384</v>
      </c>
      <c r="Q3220" s="6">
        <f>OrganizedData[[#This Row],[Total Items Ordered]]*VLOOKUP(OrganizedData[[#This Row],[Product Code]],ProductData[],3,FALSE)</f>
        <v>1532.16</v>
      </c>
      <c r="R32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3221" spans="1:18" x14ac:dyDescent="0.3">
      <c r="A3221" s="2">
        <v>3214</v>
      </c>
      <c r="B3221" s="2" t="s">
        <v>4411</v>
      </c>
      <c r="C3221" s="2" t="s">
        <v>3009</v>
      </c>
      <c r="D3221" s="2" t="s">
        <v>28</v>
      </c>
      <c r="E3221" s="2" t="s">
        <v>29</v>
      </c>
      <c r="F3221" s="2">
        <v>60</v>
      </c>
      <c r="G3221" s="2" t="s">
        <v>7833</v>
      </c>
      <c r="H3221" s="2" t="s">
        <v>2236</v>
      </c>
      <c r="I3221" s="2" t="s">
        <v>2237</v>
      </c>
      <c r="J3221" s="3">
        <v>44163</v>
      </c>
      <c r="K3221" s="5">
        <f>YEAR(OrganizedData[[#This Row],[Order Date]])</f>
        <v>2020</v>
      </c>
      <c r="L3221" s="7" t="str">
        <f>TEXT(OrganizedData[[#This Row],[Order Date]],"mmm")</f>
        <v>Nov</v>
      </c>
      <c r="M3221" s="2">
        <v>43</v>
      </c>
      <c r="N3221" s="2" t="s">
        <v>45</v>
      </c>
      <c r="O3221" s="2" t="str">
        <f>VLOOKUP(OrganizedData[[#This Row],[Product Code]],ProductData[[Code]:[Item]],2,FALSE)</f>
        <v>Gigastuff</v>
      </c>
      <c r="P3221" s="4">
        <f>OrganizedData[[#This Row],[Quantity]]*VLOOKUP(OrganizedData[[#This Row],[Product Code]],ProductData[],4,FALSE)</f>
        <v>774</v>
      </c>
      <c r="Q3221" s="6">
        <f>OrganizedData[[#This Row],[Total Items Ordered]]*VLOOKUP(OrganizedData[[#This Row],[Product Code]],ProductData[],3,FALSE)</f>
        <v>1462.86</v>
      </c>
      <c r="R32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1418.9741999999999</v>
      </c>
    </row>
    <row r="3222" spans="1:18" x14ac:dyDescent="0.3">
      <c r="A3222" s="2">
        <v>3215</v>
      </c>
      <c r="B3222" s="2" t="s">
        <v>305</v>
      </c>
      <c r="C3222" s="2" t="s">
        <v>7834</v>
      </c>
      <c r="D3222" s="2" t="s">
        <v>28</v>
      </c>
      <c r="E3222" s="2" t="s">
        <v>29</v>
      </c>
      <c r="F3222" s="2">
        <v>60</v>
      </c>
      <c r="G3222" s="2" t="s">
        <v>10447</v>
      </c>
      <c r="H3222" s="2" t="s">
        <v>2418</v>
      </c>
      <c r="I3222" s="2" t="s">
        <v>32</v>
      </c>
      <c r="J3222" s="3">
        <v>44470</v>
      </c>
      <c r="K3222" s="5">
        <f>YEAR(OrganizedData[[#This Row],[Order Date]])</f>
        <v>2021</v>
      </c>
      <c r="L3222" s="7" t="str">
        <f>TEXT(OrganizedData[[#This Row],[Order Date]],"mmm")</f>
        <v>Oct</v>
      </c>
      <c r="M3222" s="2">
        <v>29</v>
      </c>
      <c r="N3222" s="2" t="s">
        <v>39</v>
      </c>
      <c r="O3222" s="2" t="str">
        <f>VLOOKUP(OrganizedData[[#This Row],[Product Code]],ProductData[[Code]:[Item]],2,FALSE)</f>
        <v>Ultrathing V1</v>
      </c>
      <c r="P3222" s="4">
        <f>OrganizedData[[#This Row],[Quantity]]*VLOOKUP(OrganizedData[[#This Row],[Product Code]],ProductData[],4,FALSE)</f>
        <v>493</v>
      </c>
      <c r="Q3222" s="6">
        <f>OrganizedData[[#This Row],[Total Items Ordered]]*VLOOKUP(OrganizedData[[#This Row],[Product Code]],ProductData[],3,FALSE)</f>
        <v>882.47</v>
      </c>
      <c r="R32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855.99590000000001</v>
      </c>
    </row>
    <row r="3223" spans="1:18" x14ac:dyDescent="0.3">
      <c r="A3223" s="2">
        <v>3216</v>
      </c>
      <c r="B3223" s="2" t="s">
        <v>4200</v>
      </c>
      <c r="C3223" s="2" t="s">
        <v>406</v>
      </c>
      <c r="D3223" s="2" t="s">
        <v>51</v>
      </c>
      <c r="E3223" s="2" t="s">
        <v>16</v>
      </c>
      <c r="F3223" s="2">
        <v>60</v>
      </c>
      <c r="G3223" s="2" t="s">
        <v>7836</v>
      </c>
      <c r="H3223" s="2" t="s">
        <v>2727</v>
      </c>
      <c r="I3223" s="2" t="s">
        <v>2330</v>
      </c>
      <c r="J3223" s="3">
        <v>44106</v>
      </c>
      <c r="K3223" s="5">
        <f>YEAR(OrganizedData[[#This Row],[Order Date]])</f>
        <v>2020</v>
      </c>
      <c r="L3223" s="7" t="str">
        <f>TEXT(OrganizedData[[#This Row],[Order Date]],"mmm")</f>
        <v>Oct</v>
      </c>
      <c r="M3223" s="2">
        <v>31</v>
      </c>
      <c r="N3223" s="2" t="s">
        <v>101</v>
      </c>
      <c r="O3223" s="2" t="str">
        <f>VLOOKUP(OrganizedData[[#This Row],[Product Code]],ProductData[[Code]:[Item]],2,FALSE)</f>
        <v>Superwossname</v>
      </c>
      <c r="P3223" s="4">
        <f>OrganizedData[[#This Row],[Quantity]]*VLOOKUP(OrganizedData[[#This Row],[Product Code]],ProductData[],4,FALSE)</f>
        <v>620</v>
      </c>
      <c r="Q3223" s="6">
        <f>OrganizedData[[#This Row],[Total Items Ordered]]*VLOOKUP(OrganizedData[[#This Row],[Product Code]],ProductData[],3,FALSE)</f>
        <v>2163.8000000000002</v>
      </c>
      <c r="R32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2098.886</v>
      </c>
    </row>
    <row r="3224" spans="1:18" x14ac:dyDescent="0.3">
      <c r="A3224" s="2">
        <v>3217</v>
      </c>
      <c r="B3224" s="2" t="s">
        <v>4554</v>
      </c>
      <c r="C3224" s="2" t="s">
        <v>3652</v>
      </c>
      <c r="D3224" s="2" t="s">
        <v>51</v>
      </c>
      <c r="E3224" s="2" t="s">
        <v>16</v>
      </c>
      <c r="F3224" s="2">
        <v>30</v>
      </c>
      <c r="G3224" s="2" t="s">
        <v>7837</v>
      </c>
      <c r="H3224" s="2" t="s">
        <v>6795</v>
      </c>
      <c r="I3224" s="2" t="s">
        <v>146</v>
      </c>
      <c r="J3224" s="3">
        <v>44292</v>
      </c>
      <c r="K3224" s="5">
        <f>YEAR(OrganizedData[[#This Row],[Order Date]])</f>
        <v>2021</v>
      </c>
      <c r="L3224" s="7" t="str">
        <f>TEXT(OrganizedData[[#This Row],[Order Date]],"mmm")</f>
        <v>Apr</v>
      </c>
      <c r="M3224" s="2">
        <v>22</v>
      </c>
      <c r="N3224" s="2" t="s">
        <v>101</v>
      </c>
      <c r="O3224" s="2" t="str">
        <f>VLOOKUP(OrganizedData[[#This Row],[Product Code]],ProductData[[Code]:[Item]],2,FALSE)</f>
        <v>Superwossname</v>
      </c>
      <c r="P3224" s="4">
        <f>OrganizedData[[#This Row],[Quantity]]*VLOOKUP(OrganizedData[[#This Row],[Product Code]],ProductData[],4,FALSE)</f>
        <v>440</v>
      </c>
      <c r="Q3224" s="6">
        <f>OrganizedData[[#This Row],[Total Items Ordered]]*VLOOKUP(OrganizedData[[#This Row],[Product Code]],ProductData[],3,FALSE)</f>
        <v>1535.6000000000001</v>
      </c>
      <c r="R32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3225" spans="1:18" x14ac:dyDescent="0.3">
      <c r="A3225" s="2">
        <v>3218</v>
      </c>
      <c r="B3225" s="2" t="s">
        <v>7838</v>
      </c>
      <c r="C3225" s="2" t="s">
        <v>3831</v>
      </c>
      <c r="D3225" s="2" t="s">
        <v>28</v>
      </c>
      <c r="E3225" s="2" t="s">
        <v>29</v>
      </c>
      <c r="F3225" s="2">
        <v>90</v>
      </c>
      <c r="G3225" s="2" t="s">
        <v>7839</v>
      </c>
      <c r="H3225" s="2" t="s">
        <v>974</v>
      </c>
      <c r="I3225" s="2" t="s">
        <v>32</v>
      </c>
      <c r="J3225" s="3">
        <v>44752</v>
      </c>
      <c r="K3225" s="5">
        <f>YEAR(OrganizedData[[#This Row],[Order Date]])</f>
        <v>2022</v>
      </c>
      <c r="L3225" s="7" t="str">
        <f>TEXT(OrganizedData[[#This Row],[Order Date]],"mmm")</f>
        <v>Jul</v>
      </c>
      <c r="M3225" s="2">
        <v>24</v>
      </c>
      <c r="N3225" s="2" t="s">
        <v>39</v>
      </c>
      <c r="O3225" s="2" t="str">
        <f>VLOOKUP(OrganizedData[[#This Row],[Product Code]],ProductData[[Code]:[Item]],2,FALSE)</f>
        <v>Ultrathing V1</v>
      </c>
      <c r="P3225" s="4">
        <f>OrganizedData[[#This Row],[Quantity]]*VLOOKUP(OrganizedData[[#This Row],[Product Code]],ProductData[],4,FALSE)</f>
        <v>408</v>
      </c>
      <c r="Q3225" s="6">
        <f>OrganizedData[[#This Row],[Total Items Ordered]]*VLOOKUP(OrganizedData[[#This Row],[Product Code]],ProductData[],3,FALSE)</f>
        <v>730.32</v>
      </c>
      <c r="R32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708.41039999999998</v>
      </c>
    </row>
    <row r="3226" spans="1:18" x14ac:dyDescent="0.3">
      <c r="A3226" s="2">
        <v>3219</v>
      </c>
      <c r="B3226" s="2" t="s">
        <v>1424</v>
      </c>
      <c r="C3226" s="2" t="s">
        <v>3435</v>
      </c>
      <c r="D3226" s="2" t="s">
        <v>28</v>
      </c>
      <c r="E3226" s="2" t="s">
        <v>29</v>
      </c>
      <c r="F3226" s="2">
        <v>60</v>
      </c>
      <c r="G3226" s="2" t="s">
        <v>7840</v>
      </c>
      <c r="H3226" s="2" t="s">
        <v>3462</v>
      </c>
      <c r="I3226" s="2" t="s">
        <v>32</v>
      </c>
      <c r="J3226" s="3">
        <v>44785</v>
      </c>
      <c r="K3226" s="5">
        <f>YEAR(OrganizedData[[#This Row],[Order Date]])</f>
        <v>2022</v>
      </c>
      <c r="L3226" s="7" t="str">
        <f>TEXT(OrganizedData[[#This Row],[Order Date]],"mmm")</f>
        <v>Aug</v>
      </c>
      <c r="M3226" s="2">
        <v>101</v>
      </c>
      <c r="N3226" s="2" t="s">
        <v>54</v>
      </c>
      <c r="O3226" s="2" t="str">
        <f>VLOOKUP(OrganizedData[[#This Row],[Product Code]],ProductData[[Code]:[Item]],2,FALSE)</f>
        <v>Megawidget S</v>
      </c>
      <c r="P3226" s="4">
        <f>OrganizedData[[#This Row],[Quantity]]*VLOOKUP(OrganizedData[[#This Row],[Product Code]],ProductData[],4,FALSE)</f>
        <v>2424</v>
      </c>
      <c r="Q3226" s="6">
        <f>OrganizedData[[#This Row],[Total Items Ordered]]*VLOOKUP(OrganizedData[[#This Row],[Product Code]],ProductData[],3,FALSE)</f>
        <v>1672.56</v>
      </c>
      <c r="R32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1555.4808</v>
      </c>
    </row>
    <row r="3227" spans="1:18" x14ac:dyDescent="0.3">
      <c r="A3227" s="2">
        <v>3220</v>
      </c>
      <c r="B3227" s="2" t="s">
        <v>4101</v>
      </c>
      <c r="C3227" s="2" t="s">
        <v>2148</v>
      </c>
      <c r="D3227" s="2" t="s">
        <v>28</v>
      </c>
      <c r="E3227" s="2" t="s">
        <v>29</v>
      </c>
      <c r="F3227" s="2">
        <v>60</v>
      </c>
      <c r="G3227" s="2" t="s">
        <v>7841</v>
      </c>
      <c r="H3227" s="2" t="s">
        <v>5173</v>
      </c>
      <c r="I3227" s="2" t="s">
        <v>686</v>
      </c>
      <c r="J3227" s="3">
        <v>44716</v>
      </c>
      <c r="K3227" s="5">
        <f>YEAR(OrganizedData[[#This Row],[Order Date]])</f>
        <v>2022</v>
      </c>
      <c r="L3227" s="7" t="str">
        <f>TEXT(OrganizedData[[#This Row],[Order Date]],"mmm")</f>
        <v>Jun</v>
      </c>
      <c r="M3227" s="2">
        <v>78</v>
      </c>
      <c r="N3227" s="2" t="s">
        <v>45</v>
      </c>
      <c r="O3227" s="2" t="str">
        <f>VLOOKUP(OrganizedData[[#This Row],[Product Code]],ProductData[[Code]:[Item]],2,FALSE)</f>
        <v>Gigastuff</v>
      </c>
      <c r="P3227" s="4">
        <f>OrganizedData[[#This Row],[Quantity]]*VLOOKUP(OrganizedData[[#This Row],[Product Code]],ProductData[],4,FALSE)</f>
        <v>1404</v>
      </c>
      <c r="Q3227" s="6">
        <f>OrganizedData[[#This Row],[Total Items Ordered]]*VLOOKUP(OrganizedData[[#This Row],[Product Code]],ProductData[],3,FALSE)</f>
        <v>2653.56</v>
      </c>
      <c r="R32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3228" spans="1:18" x14ac:dyDescent="0.3">
      <c r="A3228" s="2">
        <v>3221</v>
      </c>
      <c r="B3228" s="2" t="s">
        <v>7842</v>
      </c>
      <c r="C3228" s="2" t="s">
        <v>2898</v>
      </c>
      <c r="D3228" s="2" t="s">
        <v>28</v>
      </c>
      <c r="E3228" s="2" t="s">
        <v>29</v>
      </c>
      <c r="F3228" s="2">
        <v>90</v>
      </c>
      <c r="G3228" s="2" t="s">
        <v>7843</v>
      </c>
      <c r="H3228" s="2" t="s">
        <v>7844</v>
      </c>
      <c r="I3228" s="2" t="s">
        <v>124</v>
      </c>
      <c r="J3228" s="3">
        <v>44681</v>
      </c>
      <c r="K3228" s="5">
        <f>YEAR(OrganizedData[[#This Row],[Order Date]])</f>
        <v>2022</v>
      </c>
      <c r="L3228" s="7" t="str">
        <f>TEXT(OrganizedData[[#This Row],[Order Date]],"mmm")</f>
        <v>Apr</v>
      </c>
      <c r="M3228" s="2">
        <v>87</v>
      </c>
      <c r="N3228" s="2" t="s">
        <v>64</v>
      </c>
      <c r="O3228" s="2" t="str">
        <f>VLOOKUP(OrganizedData[[#This Row],[Product Code]],ProductData[[Code]:[Item]],2,FALSE)</f>
        <v>Ultrathing V4</v>
      </c>
      <c r="P3228" s="4">
        <f>OrganizedData[[#This Row],[Quantity]]*VLOOKUP(OrganizedData[[#This Row],[Product Code]],ProductData[],4,FALSE)</f>
        <v>2088</v>
      </c>
      <c r="Q3228" s="6">
        <f>OrganizedData[[#This Row],[Total Items Ordered]]*VLOOKUP(OrganizedData[[#This Row],[Product Code]],ProductData[],3,FALSE)</f>
        <v>8331.1200000000008</v>
      </c>
      <c r="R32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7914.5640000000003</v>
      </c>
    </row>
    <row r="3229" spans="1:18" x14ac:dyDescent="0.3">
      <c r="A3229" s="2">
        <v>3222</v>
      </c>
      <c r="B3229" s="2" t="s">
        <v>1029</v>
      </c>
      <c r="C3229" s="2" t="s">
        <v>5381</v>
      </c>
      <c r="D3229" s="2" t="s">
        <v>51</v>
      </c>
      <c r="E3229" s="2" t="s">
        <v>16</v>
      </c>
      <c r="F3229" s="2">
        <v>90</v>
      </c>
      <c r="G3229" s="2" t="s">
        <v>7845</v>
      </c>
      <c r="H3229" s="2" t="s">
        <v>5886</v>
      </c>
      <c r="I3229" s="2" t="s">
        <v>187</v>
      </c>
      <c r="J3229" s="3">
        <v>44840</v>
      </c>
      <c r="K3229" s="5">
        <f>YEAR(OrganizedData[[#This Row],[Order Date]])</f>
        <v>2022</v>
      </c>
      <c r="L3229" s="7" t="str">
        <f>TEXT(OrganizedData[[#This Row],[Order Date]],"mmm")</f>
        <v>Oct</v>
      </c>
      <c r="M3229" s="2">
        <v>91</v>
      </c>
      <c r="N3229" s="2" t="s">
        <v>45</v>
      </c>
      <c r="O3229" s="2" t="str">
        <f>VLOOKUP(OrganizedData[[#This Row],[Product Code]],ProductData[[Code]:[Item]],2,FALSE)</f>
        <v>Gigastuff</v>
      </c>
      <c r="P3229" s="4">
        <f>OrganizedData[[#This Row],[Quantity]]*VLOOKUP(OrganizedData[[#This Row],[Product Code]],ProductData[],4,FALSE)</f>
        <v>1638</v>
      </c>
      <c r="Q3229" s="6">
        <f>OrganizedData[[#This Row],[Total Items Ordered]]*VLOOKUP(OrganizedData[[#This Row],[Product Code]],ProductData[],3,FALSE)</f>
        <v>3095.8199999999997</v>
      </c>
      <c r="R32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2941.0289999999995</v>
      </c>
    </row>
    <row r="3230" spans="1:18" x14ac:dyDescent="0.3">
      <c r="A3230" s="2">
        <v>3223</v>
      </c>
      <c r="B3230" s="2" t="s">
        <v>7846</v>
      </c>
      <c r="C3230" s="2" t="s">
        <v>7180</v>
      </c>
      <c r="D3230" s="2" t="s">
        <v>15</v>
      </c>
      <c r="E3230" s="2" t="s">
        <v>16</v>
      </c>
      <c r="F3230" s="2">
        <v>30</v>
      </c>
      <c r="G3230" s="2" t="s">
        <v>7847</v>
      </c>
      <c r="H3230" s="2" t="s">
        <v>933</v>
      </c>
      <c r="I3230" s="2" t="s">
        <v>934</v>
      </c>
      <c r="J3230" s="3">
        <v>44028</v>
      </c>
      <c r="K3230" s="5">
        <f>YEAR(OrganizedData[[#This Row],[Order Date]])</f>
        <v>2020</v>
      </c>
      <c r="L3230" s="7" t="str">
        <f>TEXT(OrganizedData[[#This Row],[Order Date]],"mmm")</f>
        <v>Jul</v>
      </c>
      <c r="M3230" s="2">
        <v>70</v>
      </c>
      <c r="N3230" s="2" t="s">
        <v>80</v>
      </c>
      <c r="O3230" s="2" t="str">
        <f>VLOOKUP(OrganizedData[[#This Row],[Product Code]],ProductData[[Code]:[Item]],2,FALSE)</f>
        <v>Ultrathing V2</v>
      </c>
      <c r="P3230" s="4">
        <f>OrganizedData[[#This Row],[Quantity]]*VLOOKUP(OrganizedData[[#This Row],[Product Code]],ProductData[],4,FALSE)</f>
        <v>1400</v>
      </c>
      <c r="Q3230" s="6">
        <f>OrganizedData[[#This Row],[Total Items Ordered]]*VLOOKUP(OrganizedData[[#This Row],[Product Code]],ProductData[],3,FALSE)</f>
        <v>4130</v>
      </c>
      <c r="R32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3231" spans="1:18" x14ac:dyDescent="0.3">
      <c r="A3231" s="2">
        <v>3224</v>
      </c>
      <c r="B3231" s="2" t="s">
        <v>7848</v>
      </c>
      <c r="C3231" s="2" t="s">
        <v>7849</v>
      </c>
      <c r="D3231" s="2" t="s">
        <v>51</v>
      </c>
      <c r="E3231" s="2" t="s">
        <v>16</v>
      </c>
      <c r="F3231" s="2">
        <v>30</v>
      </c>
      <c r="G3231" s="2" t="s">
        <v>7850</v>
      </c>
      <c r="H3231" s="2" t="s">
        <v>479</v>
      </c>
      <c r="I3231" s="2" t="s">
        <v>303</v>
      </c>
      <c r="J3231" s="3">
        <v>44132</v>
      </c>
      <c r="K3231" s="5">
        <f>YEAR(OrganizedData[[#This Row],[Order Date]])</f>
        <v>2020</v>
      </c>
      <c r="L3231" s="7" t="str">
        <f>TEXT(OrganizedData[[#This Row],[Order Date]],"mmm")</f>
        <v>Oct</v>
      </c>
      <c r="M3231" s="2">
        <v>71</v>
      </c>
      <c r="N3231" s="2" t="s">
        <v>64</v>
      </c>
      <c r="O3231" s="2" t="str">
        <f>VLOOKUP(OrganizedData[[#This Row],[Product Code]],ProductData[[Code]:[Item]],2,FALSE)</f>
        <v>Ultrathing V4</v>
      </c>
      <c r="P3231" s="4">
        <f>OrganizedData[[#This Row],[Quantity]]*VLOOKUP(OrganizedData[[#This Row],[Product Code]],ProductData[],4,FALSE)</f>
        <v>1704</v>
      </c>
      <c r="Q3231" s="6">
        <f>OrganizedData[[#This Row],[Total Items Ordered]]*VLOOKUP(OrganizedData[[#This Row],[Product Code]],ProductData[],3,FALSE)</f>
        <v>6798.96</v>
      </c>
      <c r="R32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3232" spans="1:18" x14ac:dyDescent="0.3">
      <c r="A3232" s="2">
        <v>3225</v>
      </c>
      <c r="B3232" s="2" t="s">
        <v>7851</v>
      </c>
      <c r="C3232" s="2" t="s">
        <v>1810</v>
      </c>
      <c r="D3232" s="2" t="s">
        <v>15</v>
      </c>
      <c r="E3232" s="2" t="s">
        <v>16</v>
      </c>
      <c r="F3232" s="2">
        <v>90</v>
      </c>
      <c r="G3232" s="2" t="s">
        <v>7852</v>
      </c>
      <c r="H3232" s="2" t="s">
        <v>3334</v>
      </c>
      <c r="I3232" s="2" t="s">
        <v>32</v>
      </c>
      <c r="J3232" s="3">
        <v>44360</v>
      </c>
      <c r="K3232" s="5">
        <f>YEAR(OrganizedData[[#This Row],[Order Date]])</f>
        <v>2021</v>
      </c>
      <c r="L3232" s="7" t="str">
        <f>TEXT(OrganizedData[[#This Row],[Order Date]],"mmm")</f>
        <v>Jun</v>
      </c>
      <c r="M3232" s="2">
        <v>27</v>
      </c>
      <c r="N3232" s="2" t="s">
        <v>39</v>
      </c>
      <c r="O3232" s="2" t="str">
        <f>VLOOKUP(OrganizedData[[#This Row],[Product Code]],ProductData[[Code]:[Item]],2,FALSE)</f>
        <v>Ultrathing V1</v>
      </c>
      <c r="P3232" s="4">
        <f>OrganizedData[[#This Row],[Quantity]]*VLOOKUP(OrganizedData[[#This Row],[Product Code]],ProductData[],4,FALSE)</f>
        <v>459</v>
      </c>
      <c r="Q3232" s="6">
        <f>OrganizedData[[#This Row],[Total Items Ordered]]*VLOOKUP(OrganizedData[[#This Row],[Product Code]],ProductData[],3,FALSE)</f>
        <v>821.61</v>
      </c>
      <c r="R32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796.96169999999995</v>
      </c>
    </row>
    <row r="3233" spans="1:18" x14ac:dyDescent="0.3">
      <c r="A3233" s="2">
        <v>3226</v>
      </c>
      <c r="B3233" s="2" t="s">
        <v>1273</v>
      </c>
      <c r="C3233" s="2" t="s">
        <v>4026</v>
      </c>
      <c r="D3233" s="2" t="s">
        <v>28</v>
      </c>
      <c r="E3233" s="2" t="s">
        <v>29</v>
      </c>
      <c r="F3233" s="2">
        <v>60</v>
      </c>
      <c r="G3233" s="2" t="s">
        <v>7853</v>
      </c>
      <c r="H3233" s="2" t="s">
        <v>37</v>
      </c>
      <c r="I3233" s="2" t="s">
        <v>38</v>
      </c>
      <c r="J3233" s="3">
        <v>44753</v>
      </c>
      <c r="K3233" s="5">
        <f>YEAR(OrganizedData[[#This Row],[Order Date]])</f>
        <v>2022</v>
      </c>
      <c r="L3233" s="7" t="str">
        <f>TEXT(OrganizedData[[#This Row],[Order Date]],"mmm")</f>
        <v>Jul</v>
      </c>
      <c r="M3233" s="2">
        <v>12</v>
      </c>
      <c r="N3233" s="2" t="s">
        <v>20</v>
      </c>
      <c r="O3233" s="2" t="str">
        <f>VLOOKUP(OrganizedData[[#This Row],[Product Code]],ProductData[[Code]:[Item]],2,FALSE)</f>
        <v>Hyperwotsit</v>
      </c>
      <c r="P3233" s="4">
        <f>OrganizedData[[#This Row],[Quantity]]*VLOOKUP(OrganizedData[[#This Row],[Product Code]],ProductData[],4,FALSE)</f>
        <v>240</v>
      </c>
      <c r="Q3233" s="6">
        <f>OrganizedData[[#This Row],[Total Items Ordered]]*VLOOKUP(OrganizedData[[#This Row],[Product Code]],ProductData[],3,FALSE)</f>
        <v>482.4</v>
      </c>
      <c r="R32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482.4</v>
      </c>
    </row>
    <row r="3234" spans="1:18" x14ac:dyDescent="0.3">
      <c r="A3234" s="2">
        <v>3227</v>
      </c>
      <c r="B3234" s="2" t="s">
        <v>921</v>
      </c>
      <c r="C3234" s="2" t="s">
        <v>3051</v>
      </c>
      <c r="D3234" s="2" t="s">
        <v>28</v>
      </c>
      <c r="E3234" s="2" t="s">
        <v>29</v>
      </c>
      <c r="F3234" s="2">
        <v>30</v>
      </c>
      <c r="G3234" s="2" t="s">
        <v>7854</v>
      </c>
      <c r="H3234" s="2" t="s">
        <v>3500</v>
      </c>
      <c r="I3234" s="2" t="s">
        <v>25</v>
      </c>
      <c r="J3234" s="3">
        <v>44874</v>
      </c>
      <c r="K3234" s="5">
        <f>YEAR(OrganizedData[[#This Row],[Order Date]])</f>
        <v>2022</v>
      </c>
      <c r="L3234" s="7" t="str">
        <f>TEXT(OrganizedData[[#This Row],[Order Date]],"mmm")</f>
        <v>Nov</v>
      </c>
      <c r="M3234" s="2">
        <v>84</v>
      </c>
      <c r="N3234" s="2" t="s">
        <v>45</v>
      </c>
      <c r="O3234" s="2" t="str">
        <f>VLOOKUP(OrganizedData[[#This Row],[Product Code]],ProductData[[Code]:[Item]],2,FALSE)</f>
        <v>Gigastuff</v>
      </c>
      <c r="P3234" s="4">
        <f>OrganizedData[[#This Row],[Quantity]]*VLOOKUP(OrganizedData[[#This Row],[Product Code]],ProductData[],4,FALSE)</f>
        <v>1512</v>
      </c>
      <c r="Q3234" s="6">
        <f>OrganizedData[[#This Row],[Total Items Ordered]]*VLOOKUP(OrganizedData[[#This Row],[Product Code]],ProductData[],3,FALSE)</f>
        <v>2857.68</v>
      </c>
      <c r="R32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3235" spans="1:18" x14ac:dyDescent="0.3">
      <c r="A3235" s="2">
        <v>3228</v>
      </c>
      <c r="B3235" s="2" t="s">
        <v>2484</v>
      </c>
      <c r="C3235" s="2" t="s">
        <v>3872</v>
      </c>
      <c r="D3235" s="2" t="s">
        <v>15</v>
      </c>
      <c r="E3235" s="2" t="s">
        <v>16</v>
      </c>
      <c r="F3235" s="2">
        <v>30</v>
      </c>
      <c r="G3235" s="2" t="s">
        <v>7855</v>
      </c>
      <c r="H3235" s="2" t="s">
        <v>6087</v>
      </c>
      <c r="I3235" s="2" t="s">
        <v>124</v>
      </c>
      <c r="J3235" s="3">
        <v>44038</v>
      </c>
      <c r="K3235" s="5">
        <f>YEAR(OrganizedData[[#This Row],[Order Date]])</f>
        <v>2020</v>
      </c>
      <c r="L3235" s="7" t="str">
        <f>TEXT(OrganizedData[[#This Row],[Order Date]],"mmm")</f>
        <v>Jul</v>
      </c>
      <c r="M3235" s="2">
        <v>73</v>
      </c>
      <c r="N3235" s="2" t="s">
        <v>70</v>
      </c>
      <c r="O3235" s="2" t="str">
        <f>VLOOKUP(OrganizedData[[#This Row],[Product Code]],ProductData[[Code]:[Item]],2,FALSE)</f>
        <v>Megawidget M</v>
      </c>
      <c r="P3235" s="4">
        <f>OrganizedData[[#This Row],[Quantity]]*VLOOKUP(OrganizedData[[#This Row],[Product Code]],ProductData[],4,FALSE)</f>
        <v>1752</v>
      </c>
      <c r="Q3235" s="6">
        <f>OrganizedData[[#This Row],[Total Items Ordered]]*VLOOKUP(OrganizedData[[#This Row],[Product Code]],ProductData[],3,FALSE)</f>
        <v>2260.08</v>
      </c>
      <c r="R32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3236" spans="1:18" x14ac:dyDescent="0.3">
      <c r="A3236" s="2">
        <v>3229</v>
      </c>
      <c r="B3236" s="2" t="s">
        <v>7856</v>
      </c>
      <c r="C3236" s="2" t="s">
        <v>3673</v>
      </c>
      <c r="D3236" s="2" t="s">
        <v>15</v>
      </c>
      <c r="E3236" s="2" t="s">
        <v>16</v>
      </c>
      <c r="F3236" s="2">
        <v>30</v>
      </c>
      <c r="G3236" s="2" t="s">
        <v>7857</v>
      </c>
      <c r="H3236" s="2" t="s">
        <v>4941</v>
      </c>
      <c r="I3236" s="2" t="s">
        <v>32</v>
      </c>
      <c r="J3236" s="3">
        <v>44606</v>
      </c>
      <c r="K3236" s="5">
        <f>YEAR(OrganizedData[[#This Row],[Order Date]])</f>
        <v>2022</v>
      </c>
      <c r="L3236" s="7" t="str">
        <f>TEXT(OrganizedData[[#This Row],[Order Date]],"mmm")</f>
        <v>Feb</v>
      </c>
      <c r="M3236" s="2">
        <v>4</v>
      </c>
      <c r="N3236" s="2" t="s">
        <v>39</v>
      </c>
      <c r="O3236" s="2" t="str">
        <f>VLOOKUP(OrganizedData[[#This Row],[Product Code]],ProductData[[Code]:[Item]],2,FALSE)</f>
        <v>Ultrathing V1</v>
      </c>
      <c r="P3236" s="4">
        <f>OrganizedData[[#This Row],[Quantity]]*VLOOKUP(OrganizedData[[#This Row],[Product Code]],ProductData[],4,FALSE)</f>
        <v>68</v>
      </c>
      <c r="Q3236" s="6">
        <f>OrganizedData[[#This Row],[Total Items Ordered]]*VLOOKUP(OrganizedData[[#This Row],[Product Code]],ProductData[],3,FALSE)</f>
        <v>121.72</v>
      </c>
      <c r="R32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121.72</v>
      </c>
    </row>
    <row r="3237" spans="1:18" x14ac:dyDescent="0.3">
      <c r="A3237" s="2">
        <v>3230</v>
      </c>
      <c r="B3237" s="2" t="s">
        <v>527</v>
      </c>
      <c r="C3237" s="2" t="s">
        <v>5359</v>
      </c>
      <c r="D3237" s="2" t="s">
        <v>28</v>
      </c>
      <c r="E3237" s="2" t="s">
        <v>29</v>
      </c>
      <c r="F3237" s="2">
        <v>30</v>
      </c>
      <c r="G3237" s="2" t="s">
        <v>7858</v>
      </c>
      <c r="H3237" s="2" t="s">
        <v>641</v>
      </c>
      <c r="I3237" s="2" t="s">
        <v>294</v>
      </c>
      <c r="J3237" s="3">
        <v>44871</v>
      </c>
      <c r="K3237" s="5">
        <f>YEAR(OrganizedData[[#This Row],[Order Date]])</f>
        <v>2022</v>
      </c>
      <c r="L3237" s="7" t="str">
        <f>TEXT(OrganizedData[[#This Row],[Order Date]],"mmm")</f>
        <v>Nov</v>
      </c>
      <c r="M3237" s="2">
        <v>99</v>
      </c>
      <c r="N3237" s="2" t="s">
        <v>64</v>
      </c>
      <c r="O3237" s="2" t="str">
        <f>VLOOKUP(OrganizedData[[#This Row],[Product Code]],ProductData[[Code]:[Item]],2,FALSE)</f>
        <v>Ultrathing V4</v>
      </c>
      <c r="P3237" s="4">
        <f>OrganizedData[[#This Row],[Quantity]]*VLOOKUP(OrganizedData[[#This Row],[Product Code]],ProductData[],4,FALSE)</f>
        <v>2376</v>
      </c>
      <c r="Q3237" s="6">
        <f>OrganizedData[[#This Row],[Total Items Ordered]]*VLOOKUP(OrganizedData[[#This Row],[Product Code]],ProductData[],3,FALSE)</f>
        <v>9480.24</v>
      </c>
      <c r="R32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9006.2279999999992</v>
      </c>
    </row>
    <row r="3238" spans="1:18" x14ac:dyDescent="0.3">
      <c r="A3238" s="2">
        <v>3231</v>
      </c>
      <c r="B3238" s="2" t="s">
        <v>7859</v>
      </c>
      <c r="C3238" s="2" t="s">
        <v>7860</v>
      </c>
      <c r="D3238" s="2" t="s">
        <v>51</v>
      </c>
      <c r="E3238" s="2" t="s">
        <v>16</v>
      </c>
      <c r="F3238" s="2">
        <v>30</v>
      </c>
      <c r="G3238" s="2" t="s">
        <v>7861</v>
      </c>
      <c r="H3238" s="2" t="s">
        <v>5464</v>
      </c>
      <c r="I3238" s="2" t="s">
        <v>124</v>
      </c>
      <c r="J3238" s="3">
        <v>44923</v>
      </c>
      <c r="K3238" s="5">
        <f>YEAR(OrganizedData[[#This Row],[Order Date]])</f>
        <v>2022</v>
      </c>
      <c r="L3238" s="7" t="str">
        <f>TEXT(OrganizedData[[#This Row],[Order Date]],"mmm")</f>
        <v>Dec</v>
      </c>
      <c r="M3238" s="2">
        <v>53</v>
      </c>
      <c r="N3238" s="2" t="s">
        <v>80</v>
      </c>
      <c r="O3238" s="2" t="str">
        <f>VLOOKUP(OrganizedData[[#This Row],[Product Code]],ProductData[[Code]:[Item]],2,FALSE)</f>
        <v>Ultrathing V2</v>
      </c>
      <c r="P3238" s="4">
        <f>OrganizedData[[#This Row],[Quantity]]*VLOOKUP(OrganizedData[[#This Row],[Product Code]],ProductData[],4,FALSE)</f>
        <v>1060</v>
      </c>
      <c r="Q3238" s="6">
        <f>OrganizedData[[#This Row],[Total Items Ordered]]*VLOOKUP(OrganizedData[[#This Row],[Product Code]],ProductData[],3,FALSE)</f>
        <v>3127</v>
      </c>
      <c r="R32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2970.6499999999996</v>
      </c>
    </row>
    <row r="3239" spans="1:18" x14ac:dyDescent="0.3">
      <c r="A3239" s="2">
        <v>3232</v>
      </c>
      <c r="B3239" s="2" t="s">
        <v>3791</v>
      </c>
      <c r="C3239" s="2" t="s">
        <v>2030</v>
      </c>
      <c r="D3239" s="2" t="s">
        <v>28</v>
      </c>
      <c r="E3239" s="2" t="s">
        <v>29</v>
      </c>
      <c r="F3239" s="2">
        <v>60</v>
      </c>
      <c r="G3239" s="2" t="s">
        <v>7862</v>
      </c>
      <c r="H3239" s="2" t="s">
        <v>5000</v>
      </c>
      <c r="I3239" s="2" t="s">
        <v>32</v>
      </c>
      <c r="J3239" s="3">
        <v>43862</v>
      </c>
      <c r="K3239" s="5">
        <f>YEAR(OrganizedData[[#This Row],[Order Date]])</f>
        <v>2020</v>
      </c>
      <c r="L3239" s="7" t="str">
        <f>TEXT(OrganizedData[[#This Row],[Order Date]],"mmm")</f>
        <v>Feb</v>
      </c>
      <c r="M3239" s="2">
        <v>26</v>
      </c>
      <c r="N3239" s="2" t="s">
        <v>80</v>
      </c>
      <c r="O3239" s="2" t="str">
        <f>VLOOKUP(OrganizedData[[#This Row],[Product Code]],ProductData[[Code]:[Item]],2,FALSE)</f>
        <v>Ultrathing V2</v>
      </c>
      <c r="P3239" s="4">
        <f>OrganizedData[[#This Row],[Quantity]]*VLOOKUP(OrganizedData[[#This Row],[Product Code]],ProductData[],4,FALSE)</f>
        <v>520</v>
      </c>
      <c r="Q3239" s="6">
        <f>OrganizedData[[#This Row],[Total Items Ordered]]*VLOOKUP(OrganizedData[[#This Row],[Product Code]],ProductData[],3,FALSE)</f>
        <v>1534</v>
      </c>
      <c r="R32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3240" spans="1:18" x14ac:dyDescent="0.3">
      <c r="A3240" s="2">
        <v>3233</v>
      </c>
      <c r="B3240" s="2" t="s">
        <v>5004</v>
      </c>
      <c r="C3240" s="2" t="s">
        <v>1188</v>
      </c>
      <c r="D3240" s="2" t="s">
        <v>15</v>
      </c>
      <c r="E3240" s="2" t="s">
        <v>16</v>
      </c>
      <c r="F3240" s="2">
        <v>90</v>
      </c>
      <c r="G3240" s="2" t="s">
        <v>7862</v>
      </c>
      <c r="H3240" s="2" t="s">
        <v>7863</v>
      </c>
      <c r="I3240" s="2" t="s">
        <v>32</v>
      </c>
      <c r="J3240" s="3">
        <v>44183</v>
      </c>
      <c r="K3240" s="5">
        <f>YEAR(OrganizedData[[#This Row],[Order Date]])</f>
        <v>2020</v>
      </c>
      <c r="L3240" s="7" t="str">
        <f>TEXT(OrganizedData[[#This Row],[Order Date]],"mmm")</f>
        <v>Dec</v>
      </c>
      <c r="M3240" s="2">
        <v>25</v>
      </c>
      <c r="N3240" s="2" t="s">
        <v>20</v>
      </c>
      <c r="O3240" s="2" t="str">
        <f>VLOOKUP(OrganizedData[[#This Row],[Product Code]],ProductData[[Code]:[Item]],2,FALSE)</f>
        <v>Hyperwotsit</v>
      </c>
      <c r="P3240" s="4">
        <f>OrganizedData[[#This Row],[Quantity]]*VLOOKUP(OrganizedData[[#This Row],[Product Code]],ProductData[],4,FALSE)</f>
        <v>500</v>
      </c>
      <c r="Q3240" s="6">
        <f>OrganizedData[[#This Row],[Total Items Ordered]]*VLOOKUP(OrganizedData[[#This Row],[Product Code]],ProductData[],3,FALSE)</f>
        <v>1004.9999999999999</v>
      </c>
      <c r="R32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3241" spans="1:18" x14ac:dyDescent="0.3">
      <c r="A3241" s="2">
        <v>3234</v>
      </c>
      <c r="B3241" s="2" t="s">
        <v>7864</v>
      </c>
      <c r="C3241" s="2" t="s">
        <v>1546</v>
      </c>
      <c r="D3241" s="2" t="s">
        <v>41</v>
      </c>
      <c r="E3241" s="2" t="s">
        <v>16</v>
      </c>
      <c r="F3241" s="2">
        <v>30</v>
      </c>
      <c r="G3241" s="2" t="s">
        <v>7865</v>
      </c>
      <c r="H3241" s="2" t="s">
        <v>2250</v>
      </c>
      <c r="I3241" s="2" t="s">
        <v>187</v>
      </c>
      <c r="J3241" s="3">
        <v>44062</v>
      </c>
      <c r="K3241" s="5">
        <f>YEAR(OrganizedData[[#This Row],[Order Date]])</f>
        <v>2020</v>
      </c>
      <c r="L3241" s="7" t="str">
        <f>TEXT(OrganizedData[[#This Row],[Order Date]],"mmm")</f>
        <v>Aug</v>
      </c>
      <c r="M3241" s="2">
        <v>9</v>
      </c>
      <c r="N3241" s="2" t="s">
        <v>45</v>
      </c>
      <c r="O3241" s="2" t="str">
        <f>VLOOKUP(OrganizedData[[#This Row],[Product Code]],ProductData[[Code]:[Item]],2,FALSE)</f>
        <v>Gigastuff</v>
      </c>
      <c r="P3241" s="4">
        <f>OrganizedData[[#This Row],[Quantity]]*VLOOKUP(OrganizedData[[#This Row],[Product Code]],ProductData[],4,FALSE)</f>
        <v>162</v>
      </c>
      <c r="Q3241" s="6">
        <f>OrganizedData[[#This Row],[Total Items Ordered]]*VLOOKUP(OrganizedData[[#This Row],[Product Code]],ProductData[],3,FALSE)</f>
        <v>306.18</v>
      </c>
      <c r="R32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306.18</v>
      </c>
    </row>
    <row r="3242" spans="1:18" x14ac:dyDescent="0.3">
      <c r="A3242" s="2">
        <v>3235</v>
      </c>
      <c r="B3242" s="2" t="s">
        <v>4614</v>
      </c>
      <c r="C3242" s="2" t="s">
        <v>237</v>
      </c>
      <c r="D3242" s="2" t="s">
        <v>51</v>
      </c>
      <c r="E3242" s="2" t="s">
        <v>16</v>
      </c>
      <c r="F3242" s="2">
        <v>60</v>
      </c>
      <c r="G3242" s="2" t="s">
        <v>7866</v>
      </c>
      <c r="H3242" s="2" t="s">
        <v>2483</v>
      </c>
      <c r="I3242" s="2" t="s">
        <v>1199</v>
      </c>
      <c r="J3242" s="3">
        <v>43965</v>
      </c>
      <c r="K3242" s="5">
        <f>YEAR(OrganizedData[[#This Row],[Order Date]])</f>
        <v>2020</v>
      </c>
      <c r="L3242" s="7" t="str">
        <f>TEXT(OrganizedData[[#This Row],[Order Date]],"mmm")</f>
        <v>May</v>
      </c>
      <c r="M3242" s="2">
        <v>43</v>
      </c>
      <c r="N3242" s="2" t="s">
        <v>33</v>
      </c>
      <c r="O3242" s="2" t="str">
        <f>VLOOKUP(OrganizedData[[#This Row],[Product Code]],ProductData[[Code]:[Item]],2,FALSE)</f>
        <v>Megawidget L</v>
      </c>
      <c r="P3242" s="4">
        <f>OrganizedData[[#This Row],[Quantity]]*VLOOKUP(OrganizedData[[#This Row],[Product Code]],ProductData[],4,FALSE)</f>
        <v>1032</v>
      </c>
      <c r="Q3242" s="6">
        <f>OrganizedData[[#This Row],[Total Items Ordered]]*VLOOKUP(OrganizedData[[#This Row],[Product Code]],ProductData[],3,FALSE)</f>
        <v>1847.28</v>
      </c>
      <c r="R32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3243" spans="1:18" x14ac:dyDescent="0.3">
      <c r="A3243" s="2">
        <v>3236</v>
      </c>
      <c r="B3243" s="2" t="s">
        <v>7867</v>
      </c>
      <c r="C3243" s="2" t="s">
        <v>2145</v>
      </c>
      <c r="D3243" s="2" t="s">
        <v>51</v>
      </c>
      <c r="E3243" s="2" t="s">
        <v>16</v>
      </c>
      <c r="F3243" s="2">
        <v>60</v>
      </c>
      <c r="G3243" s="2" t="s">
        <v>7868</v>
      </c>
      <c r="H3243" s="2" t="s">
        <v>3632</v>
      </c>
      <c r="I3243" s="2" t="s">
        <v>32</v>
      </c>
      <c r="J3243" s="3">
        <v>44347</v>
      </c>
      <c r="K3243" s="5">
        <f>YEAR(OrganizedData[[#This Row],[Order Date]])</f>
        <v>2021</v>
      </c>
      <c r="L3243" s="7" t="str">
        <f>TEXT(OrganizedData[[#This Row],[Order Date]],"mmm")</f>
        <v>May</v>
      </c>
      <c r="M3243" s="2">
        <v>95</v>
      </c>
      <c r="N3243" s="2" t="s">
        <v>101</v>
      </c>
      <c r="O3243" s="2" t="str">
        <f>VLOOKUP(OrganizedData[[#This Row],[Product Code]],ProductData[[Code]:[Item]],2,FALSE)</f>
        <v>Superwossname</v>
      </c>
      <c r="P3243" s="4">
        <f>OrganizedData[[#This Row],[Quantity]]*VLOOKUP(OrganizedData[[#This Row],[Product Code]],ProductData[],4,FALSE)</f>
        <v>1900</v>
      </c>
      <c r="Q3243" s="6">
        <f>OrganizedData[[#This Row],[Total Items Ordered]]*VLOOKUP(OrganizedData[[#This Row],[Product Code]],ProductData[],3,FALSE)</f>
        <v>6631</v>
      </c>
      <c r="R32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6299.45</v>
      </c>
    </row>
    <row r="3244" spans="1:18" x14ac:dyDescent="0.3">
      <c r="A3244" s="2">
        <v>3237</v>
      </c>
      <c r="B3244" s="2" t="s">
        <v>7412</v>
      </c>
      <c r="C3244" s="2" t="s">
        <v>7869</v>
      </c>
      <c r="D3244" s="2" t="s">
        <v>28</v>
      </c>
      <c r="E3244" s="2" t="s">
        <v>29</v>
      </c>
      <c r="F3244" s="2">
        <v>90</v>
      </c>
      <c r="G3244" s="2" t="s">
        <v>7870</v>
      </c>
      <c r="H3244" s="2" t="s">
        <v>1619</v>
      </c>
      <c r="I3244" s="2" t="s">
        <v>44</v>
      </c>
      <c r="J3244" s="3">
        <v>44312</v>
      </c>
      <c r="K3244" s="5">
        <f>YEAR(OrganizedData[[#This Row],[Order Date]])</f>
        <v>2021</v>
      </c>
      <c r="L3244" s="7" t="str">
        <f>TEXT(OrganizedData[[#This Row],[Order Date]],"mmm")</f>
        <v>Apr</v>
      </c>
      <c r="M3244" s="2">
        <v>62</v>
      </c>
      <c r="N3244" s="2" t="s">
        <v>20</v>
      </c>
      <c r="O3244" s="2" t="str">
        <f>VLOOKUP(OrganizedData[[#This Row],[Product Code]],ProductData[[Code]:[Item]],2,FALSE)</f>
        <v>Hyperwotsit</v>
      </c>
      <c r="P3244" s="4">
        <f>OrganizedData[[#This Row],[Quantity]]*VLOOKUP(OrganizedData[[#This Row],[Product Code]],ProductData[],4,FALSE)</f>
        <v>1240</v>
      </c>
      <c r="Q3244" s="6">
        <f>OrganizedData[[#This Row],[Total Items Ordered]]*VLOOKUP(OrganizedData[[#This Row],[Product Code]],ProductData[],3,FALSE)</f>
        <v>2492.3999999999996</v>
      </c>
      <c r="R32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2367.7799999999997</v>
      </c>
    </row>
    <row r="3245" spans="1:18" x14ac:dyDescent="0.3">
      <c r="A3245" s="2">
        <v>3238</v>
      </c>
      <c r="B3245" s="2" t="s">
        <v>2540</v>
      </c>
      <c r="C3245" s="2" t="s">
        <v>5321</v>
      </c>
      <c r="D3245" s="2" t="s">
        <v>15</v>
      </c>
      <c r="E3245" s="2" t="s">
        <v>16</v>
      </c>
      <c r="F3245" s="2">
        <v>30</v>
      </c>
      <c r="G3245" s="2" t="s">
        <v>7871</v>
      </c>
      <c r="H3245" s="2" t="s">
        <v>3673</v>
      </c>
      <c r="I3245" s="2" t="s">
        <v>777</v>
      </c>
      <c r="J3245" s="3">
        <v>44431</v>
      </c>
      <c r="K3245" s="5">
        <f>YEAR(OrganizedData[[#This Row],[Order Date]])</f>
        <v>2021</v>
      </c>
      <c r="L3245" s="7" t="str">
        <f>TEXT(OrganizedData[[#This Row],[Order Date]],"mmm")</f>
        <v>Aug</v>
      </c>
      <c r="M3245" s="2">
        <v>34</v>
      </c>
      <c r="N3245" s="2" t="s">
        <v>45</v>
      </c>
      <c r="O3245" s="2" t="str">
        <f>VLOOKUP(OrganizedData[[#This Row],[Product Code]],ProductData[[Code]:[Item]],2,FALSE)</f>
        <v>Gigastuff</v>
      </c>
      <c r="P3245" s="4">
        <f>OrganizedData[[#This Row],[Quantity]]*VLOOKUP(OrganizedData[[#This Row],[Product Code]],ProductData[],4,FALSE)</f>
        <v>612</v>
      </c>
      <c r="Q3245" s="6">
        <f>OrganizedData[[#This Row],[Total Items Ordered]]*VLOOKUP(OrganizedData[[#This Row],[Product Code]],ProductData[],3,FALSE)</f>
        <v>1156.6799999999998</v>
      </c>
      <c r="R32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1121.9795999999999</v>
      </c>
    </row>
    <row r="3246" spans="1:18" x14ac:dyDescent="0.3">
      <c r="A3246" s="2">
        <v>3239</v>
      </c>
      <c r="B3246" s="2" t="s">
        <v>7872</v>
      </c>
      <c r="C3246" s="2" t="s">
        <v>4384</v>
      </c>
      <c r="D3246" s="2" t="s">
        <v>51</v>
      </c>
      <c r="E3246" s="2" t="s">
        <v>16</v>
      </c>
      <c r="F3246" s="2">
        <v>60</v>
      </c>
      <c r="G3246" s="2" t="s">
        <v>7873</v>
      </c>
      <c r="H3246" s="2" t="s">
        <v>634</v>
      </c>
      <c r="I3246" s="2" t="s">
        <v>32</v>
      </c>
      <c r="J3246" s="3">
        <v>44461</v>
      </c>
      <c r="K3246" s="5">
        <f>YEAR(OrganizedData[[#This Row],[Order Date]])</f>
        <v>2021</v>
      </c>
      <c r="L3246" s="7" t="str">
        <f>TEXT(OrganizedData[[#This Row],[Order Date]],"mmm")</f>
        <v>Sep</v>
      </c>
      <c r="M3246" s="2">
        <v>58</v>
      </c>
      <c r="N3246" s="2" t="s">
        <v>33</v>
      </c>
      <c r="O3246" s="2" t="str">
        <f>VLOOKUP(OrganizedData[[#This Row],[Product Code]],ProductData[[Code]:[Item]],2,FALSE)</f>
        <v>Megawidget L</v>
      </c>
      <c r="P3246" s="4">
        <f>OrganizedData[[#This Row],[Quantity]]*VLOOKUP(OrganizedData[[#This Row],[Product Code]],ProductData[],4,FALSE)</f>
        <v>1392</v>
      </c>
      <c r="Q3246" s="6">
        <f>OrganizedData[[#This Row],[Total Items Ordered]]*VLOOKUP(OrganizedData[[#This Row],[Product Code]],ProductData[],3,FALSE)</f>
        <v>2491.6799999999998</v>
      </c>
      <c r="R32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3247" spans="1:18" x14ac:dyDescent="0.3">
      <c r="A3247" s="2">
        <v>3240</v>
      </c>
      <c r="B3247" s="2" t="s">
        <v>921</v>
      </c>
      <c r="C3247" s="2" t="s">
        <v>4603</v>
      </c>
      <c r="D3247" s="2" t="s">
        <v>28</v>
      </c>
      <c r="E3247" s="2" t="s">
        <v>29</v>
      </c>
      <c r="F3247" s="2">
        <v>30</v>
      </c>
      <c r="G3247" s="2" t="s">
        <v>7874</v>
      </c>
      <c r="H3247" s="2" t="s">
        <v>607</v>
      </c>
      <c r="I3247" s="2" t="s">
        <v>32</v>
      </c>
      <c r="J3247" s="3">
        <v>44157</v>
      </c>
      <c r="K3247" s="5">
        <f>YEAR(OrganizedData[[#This Row],[Order Date]])</f>
        <v>2020</v>
      </c>
      <c r="L3247" s="7" t="str">
        <f>TEXT(OrganizedData[[#This Row],[Order Date]],"mmm")</f>
        <v>Nov</v>
      </c>
      <c r="M3247" s="2">
        <v>21</v>
      </c>
      <c r="N3247" s="2" t="s">
        <v>33</v>
      </c>
      <c r="O3247" s="2" t="str">
        <f>VLOOKUP(OrganizedData[[#This Row],[Product Code]],ProductData[[Code]:[Item]],2,FALSE)</f>
        <v>Megawidget L</v>
      </c>
      <c r="P3247" s="4">
        <f>OrganizedData[[#This Row],[Quantity]]*VLOOKUP(OrganizedData[[#This Row],[Product Code]],ProductData[],4,FALSE)</f>
        <v>504</v>
      </c>
      <c r="Q3247" s="6">
        <f>OrganizedData[[#This Row],[Total Items Ordered]]*VLOOKUP(OrganizedData[[#This Row],[Product Code]],ProductData[],3,FALSE)</f>
        <v>902.16</v>
      </c>
      <c r="R32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875.09519999999998</v>
      </c>
    </row>
    <row r="3248" spans="1:18" x14ac:dyDescent="0.3">
      <c r="A3248" s="2">
        <v>3241</v>
      </c>
      <c r="B3248" s="2" t="s">
        <v>1243</v>
      </c>
      <c r="C3248" s="2" t="s">
        <v>5295</v>
      </c>
      <c r="D3248" s="2" t="s">
        <v>28</v>
      </c>
      <c r="E3248" s="2" t="s">
        <v>29</v>
      </c>
      <c r="F3248" s="2">
        <v>90</v>
      </c>
      <c r="G3248" s="2" t="s">
        <v>7875</v>
      </c>
      <c r="H3248" s="2" t="s">
        <v>7876</v>
      </c>
      <c r="I3248" s="2" t="s">
        <v>187</v>
      </c>
      <c r="J3248" s="3">
        <v>43915</v>
      </c>
      <c r="K3248" s="5">
        <f>YEAR(OrganizedData[[#This Row],[Order Date]])</f>
        <v>2020</v>
      </c>
      <c r="L3248" s="7" t="str">
        <f>TEXT(OrganizedData[[#This Row],[Order Date]],"mmm")</f>
        <v>Mar</v>
      </c>
      <c r="M3248" s="2">
        <v>68</v>
      </c>
      <c r="N3248" s="2" t="s">
        <v>64</v>
      </c>
      <c r="O3248" s="2" t="str">
        <f>VLOOKUP(OrganizedData[[#This Row],[Product Code]],ProductData[[Code]:[Item]],2,FALSE)</f>
        <v>Ultrathing V4</v>
      </c>
      <c r="P3248" s="4">
        <f>OrganizedData[[#This Row],[Quantity]]*VLOOKUP(OrganizedData[[#This Row],[Product Code]],ProductData[],4,FALSE)</f>
        <v>1632</v>
      </c>
      <c r="Q3248" s="6">
        <f>OrganizedData[[#This Row],[Total Items Ordered]]*VLOOKUP(OrganizedData[[#This Row],[Product Code]],ProductData[],3,FALSE)</f>
        <v>6511.68</v>
      </c>
      <c r="R32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3249" spans="1:18" x14ac:dyDescent="0.3">
      <c r="A3249" s="2">
        <v>3242</v>
      </c>
      <c r="B3249" s="2" t="s">
        <v>7877</v>
      </c>
      <c r="C3249" s="2" t="s">
        <v>4444</v>
      </c>
      <c r="D3249" s="2" t="s">
        <v>28</v>
      </c>
      <c r="E3249" s="2" t="s">
        <v>29</v>
      </c>
      <c r="F3249" s="2">
        <v>90</v>
      </c>
      <c r="G3249" s="2" t="s">
        <v>7878</v>
      </c>
      <c r="H3249" s="2" t="s">
        <v>94</v>
      </c>
      <c r="I3249" s="2" t="s">
        <v>95</v>
      </c>
      <c r="J3249" s="3">
        <v>44227</v>
      </c>
      <c r="K3249" s="5">
        <f>YEAR(OrganizedData[[#This Row],[Order Date]])</f>
        <v>2021</v>
      </c>
      <c r="L3249" s="7" t="str">
        <f>TEXT(OrganizedData[[#This Row],[Order Date]],"mmm")</f>
        <v>Jan</v>
      </c>
      <c r="M3249" s="2">
        <v>14</v>
      </c>
      <c r="N3249" s="2" t="s">
        <v>45</v>
      </c>
      <c r="O3249" s="2" t="str">
        <f>VLOOKUP(OrganizedData[[#This Row],[Product Code]],ProductData[[Code]:[Item]],2,FALSE)</f>
        <v>Gigastuff</v>
      </c>
      <c r="P3249" s="4">
        <f>OrganizedData[[#This Row],[Quantity]]*VLOOKUP(OrganizedData[[#This Row],[Product Code]],ProductData[],4,FALSE)</f>
        <v>252</v>
      </c>
      <c r="Q3249" s="6">
        <f>OrganizedData[[#This Row],[Total Items Ordered]]*VLOOKUP(OrganizedData[[#This Row],[Product Code]],ProductData[],3,FALSE)</f>
        <v>476.28</v>
      </c>
      <c r="R32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476.28</v>
      </c>
    </row>
    <row r="3250" spans="1:18" x14ac:dyDescent="0.3">
      <c r="A3250" s="2">
        <v>3243</v>
      </c>
      <c r="B3250" s="2" t="s">
        <v>967</v>
      </c>
      <c r="C3250" s="2" t="s">
        <v>7391</v>
      </c>
      <c r="D3250" s="2" t="s">
        <v>28</v>
      </c>
      <c r="E3250" s="2" t="s">
        <v>29</v>
      </c>
      <c r="F3250" s="2">
        <v>90</v>
      </c>
      <c r="G3250" s="2" t="s">
        <v>7879</v>
      </c>
      <c r="H3250" s="2" t="s">
        <v>579</v>
      </c>
      <c r="I3250" s="2" t="s">
        <v>32</v>
      </c>
      <c r="J3250" s="3">
        <v>44215</v>
      </c>
      <c r="K3250" s="5">
        <f>YEAR(OrganizedData[[#This Row],[Order Date]])</f>
        <v>2021</v>
      </c>
      <c r="L3250" s="7" t="str">
        <f>TEXT(OrganizedData[[#This Row],[Order Date]],"mmm")</f>
        <v>Jan</v>
      </c>
      <c r="M3250" s="2">
        <v>7</v>
      </c>
      <c r="N3250" s="2" t="s">
        <v>159</v>
      </c>
      <c r="O3250" s="2" t="str">
        <f>VLOOKUP(OrganizedData[[#This Row],[Product Code]],ProductData[[Code]:[Item]],2,FALSE)</f>
        <v>Ultrathing V3</v>
      </c>
      <c r="P3250" s="4">
        <f>OrganizedData[[#This Row],[Quantity]]*VLOOKUP(OrganizedData[[#This Row],[Product Code]],ProductData[],4,FALSE)</f>
        <v>168</v>
      </c>
      <c r="Q3250" s="6">
        <f>OrganizedData[[#This Row],[Total Items Ordered]]*VLOOKUP(OrganizedData[[#This Row],[Product Code]],ProductData[],3,FALSE)</f>
        <v>569.52</v>
      </c>
      <c r="R32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3251" spans="1:18" x14ac:dyDescent="0.3">
      <c r="A3251" s="2">
        <v>3244</v>
      </c>
      <c r="B3251" s="2" t="s">
        <v>998</v>
      </c>
      <c r="C3251" s="2" t="s">
        <v>422</v>
      </c>
      <c r="D3251" s="2" t="s">
        <v>15</v>
      </c>
      <c r="E3251" s="2" t="s">
        <v>16</v>
      </c>
      <c r="F3251" s="2">
        <v>60</v>
      </c>
      <c r="G3251" s="2" t="s">
        <v>7880</v>
      </c>
      <c r="H3251" s="2" t="s">
        <v>1253</v>
      </c>
      <c r="I3251" s="2" t="s">
        <v>32</v>
      </c>
      <c r="J3251" s="3">
        <v>44425</v>
      </c>
      <c r="K3251" s="5">
        <f>YEAR(OrganizedData[[#This Row],[Order Date]])</f>
        <v>2021</v>
      </c>
      <c r="L3251" s="7" t="str">
        <f>TEXT(OrganizedData[[#This Row],[Order Date]],"mmm")</f>
        <v>Aug</v>
      </c>
      <c r="M3251" s="2">
        <v>8</v>
      </c>
      <c r="N3251" s="2" t="s">
        <v>70</v>
      </c>
      <c r="O3251" s="2" t="str">
        <f>VLOOKUP(OrganizedData[[#This Row],[Product Code]],ProductData[[Code]:[Item]],2,FALSE)</f>
        <v>Megawidget M</v>
      </c>
      <c r="P3251" s="4">
        <f>OrganizedData[[#This Row],[Quantity]]*VLOOKUP(OrganizedData[[#This Row],[Product Code]],ProductData[],4,FALSE)</f>
        <v>192</v>
      </c>
      <c r="Q3251" s="6">
        <f>OrganizedData[[#This Row],[Total Items Ordered]]*VLOOKUP(OrganizedData[[#This Row],[Product Code]],ProductData[],3,FALSE)</f>
        <v>247.68</v>
      </c>
      <c r="R32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247.68</v>
      </c>
    </row>
    <row r="3252" spans="1:18" x14ac:dyDescent="0.3">
      <c r="A3252" s="2">
        <v>3245</v>
      </c>
      <c r="B3252" s="2" t="s">
        <v>7881</v>
      </c>
      <c r="C3252" s="2" t="s">
        <v>6712</v>
      </c>
      <c r="D3252" s="2" t="s">
        <v>51</v>
      </c>
      <c r="E3252" s="2" t="s">
        <v>16</v>
      </c>
      <c r="F3252" s="2">
        <v>90</v>
      </c>
      <c r="G3252" s="2" t="s">
        <v>7882</v>
      </c>
      <c r="H3252" s="2" t="s">
        <v>1754</v>
      </c>
      <c r="I3252" s="2" t="s">
        <v>25</v>
      </c>
      <c r="J3252" s="3">
        <v>44768</v>
      </c>
      <c r="K3252" s="5">
        <f>YEAR(OrganizedData[[#This Row],[Order Date]])</f>
        <v>2022</v>
      </c>
      <c r="L3252" s="7" t="str">
        <f>TEXT(OrganizedData[[#This Row],[Order Date]],"mmm")</f>
        <v>Jul</v>
      </c>
      <c r="M3252" s="2">
        <v>51</v>
      </c>
      <c r="N3252" s="2" t="s">
        <v>33</v>
      </c>
      <c r="O3252" s="2" t="str">
        <f>VLOOKUP(OrganizedData[[#This Row],[Product Code]],ProductData[[Code]:[Item]],2,FALSE)</f>
        <v>Megawidget L</v>
      </c>
      <c r="P3252" s="4">
        <f>OrganizedData[[#This Row],[Quantity]]*VLOOKUP(OrganizedData[[#This Row],[Product Code]],ProductData[],4,FALSE)</f>
        <v>1224</v>
      </c>
      <c r="Q3252" s="6">
        <f>OrganizedData[[#This Row],[Total Items Ordered]]*VLOOKUP(OrganizedData[[#This Row],[Product Code]],ProductData[],3,FALSE)</f>
        <v>2190.96</v>
      </c>
      <c r="R32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3253" spans="1:18" x14ac:dyDescent="0.3">
      <c r="A3253" s="2">
        <v>3246</v>
      </c>
      <c r="B3253" s="2" t="s">
        <v>7883</v>
      </c>
      <c r="C3253" s="2" t="s">
        <v>2618</v>
      </c>
      <c r="D3253" s="2" t="s">
        <v>51</v>
      </c>
      <c r="E3253" s="2" t="s">
        <v>16</v>
      </c>
      <c r="F3253" s="2">
        <v>30</v>
      </c>
      <c r="G3253" s="2" t="s">
        <v>7882</v>
      </c>
      <c r="H3253" s="2" t="s">
        <v>2624</v>
      </c>
      <c r="I3253" s="2" t="s">
        <v>32</v>
      </c>
      <c r="J3253" s="3">
        <v>44324</v>
      </c>
      <c r="K3253" s="5">
        <f>YEAR(OrganizedData[[#This Row],[Order Date]])</f>
        <v>2021</v>
      </c>
      <c r="L3253" s="7" t="str">
        <f>TEXT(OrganizedData[[#This Row],[Order Date]],"mmm")</f>
        <v>May</v>
      </c>
      <c r="M3253" s="2">
        <v>41</v>
      </c>
      <c r="N3253" s="2" t="s">
        <v>101</v>
      </c>
      <c r="O3253" s="2" t="str">
        <f>VLOOKUP(OrganizedData[[#This Row],[Product Code]],ProductData[[Code]:[Item]],2,FALSE)</f>
        <v>Superwossname</v>
      </c>
      <c r="P3253" s="4">
        <f>OrganizedData[[#This Row],[Quantity]]*VLOOKUP(OrganizedData[[#This Row],[Product Code]],ProductData[],4,FALSE)</f>
        <v>820</v>
      </c>
      <c r="Q3253" s="6">
        <f>OrganizedData[[#This Row],[Total Items Ordered]]*VLOOKUP(OrganizedData[[#This Row],[Product Code]],ProductData[],3,FALSE)</f>
        <v>2861.8</v>
      </c>
      <c r="R32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3254" spans="1:18" x14ac:dyDescent="0.3">
      <c r="A3254" s="2">
        <v>3247</v>
      </c>
      <c r="B3254" s="2" t="s">
        <v>7884</v>
      </c>
      <c r="C3254" s="2" t="s">
        <v>2371</v>
      </c>
      <c r="D3254" s="2" t="s">
        <v>15</v>
      </c>
      <c r="E3254" s="2" t="s">
        <v>16</v>
      </c>
      <c r="F3254" s="2">
        <v>90</v>
      </c>
      <c r="G3254" s="2" t="s">
        <v>7885</v>
      </c>
      <c r="H3254" s="2" t="s">
        <v>4935</v>
      </c>
      <c r="I3254" s="2" t="s">
        <v>124</v>
      </c>
      <c r="J3254" s="3">
        <v>44460</v>
      </c>
      <c r="K3254" s="5">
        <f>YEAR(OrganizedData[[#This Row],[Order Date]])</f>
        <v>2021</v>
      </c>
      <c r="L3254" s="7" t="str">
        <f>TEXT(OrganizedData[[#This Row],[Order Date]],"mmm")</f>
        <v>Sep</v>
      </c>
      <c r="M3254" s="2">
        <v>49</v>
      </c>
      <c r="N3254" s="2" t="s">
        <v>70</v>
      </c>
      <c r="O3254" s="2" t="str">
        <f>VLOOKUP(OrganizedData[[#This Row],[Product Code]],ProductData[[Code]:[Item]],2,FALSE)</f>
        <v>Megawidget M</v>
      </c>
      <c r="P3254" s="4">
        <f>OrganizedData[[#This Row],[Quantity]]*VLOOKUP(OrganizedData[[#This Row],[Product Code]],ProductData[],4,FALSE)</f>
        <v>1176</v>
      </c>
      <c r="Q3254" s="6">
        <f>OrganizedData[[#This Row],[Total Items Ordered]]*VLOOKUP(OrganizedData[[#This Row],[Product Code]],ProductData[],3,FALSE)</f>
        <v>1517.04</v>
      </c>
      <c r="R32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3255" spans="1:18" x14ac:dyDescent="0.3">
      <c r="A3255" s="2">
        <v>3248</v>
      </c>
      <c r="B3255" s="2" t="s">
        <v>7886</v>
      </c>
      <c r="C3255" s="2" t="s">
        <v>4102</v>
      </c>
      <c r="D3255" s="2" t="s">
        <v>28</v>
      </c>
      <c r="E3255" s="2" t="s">
        <v>29</v>
      </c>
      <c r="F3255" s="2">
        <v>30</v>
      </c>
      <c r="G3255" s="2" t="s">
        <v>7887</v>
      </c>
      <c r="H3255" s="2" t="s">
        <v>1150</v>
      </c>
      <c r="I3255" s="2" t="s">
        <v>32</v>
      </c>
      <c r="J3255" s="3">
        <v>44896</v>
      </c>
      <c r="K3255" s="5">
        <f>YEAR(OrganizedData[[#This Row],[Order Date]])</f>
        <v>2022</v>
      </c>
      <c r="L3255" s="7" t="str">
        <f>TEXT(OrganizedData[[#This Row],[Order Date]],"mmm")</f>
        <v>Dec</v>
      </c>
      <c r="M3255" s="2">
        <v>44</v>
      </c>
      <c r="N3255" s="2" t="s">
        <v>64</v>
      </c>
      <c r="O3255" s="2" t="str">
        <f>VLOOKUP(OrganizedData[[#This Row],[Product Code]],ProductData[[Code]:[Item]],2,FALSE)</f>
        <v>Ultrathing V4</v>
      </c>
      <c r="P3255" s="4">
        <f>OrganizedData[[#This Row],[Quantity]]*VLOOKUP(OrganizedData[[#This Row],[Product Code]],ProductData[],4,FALSE)</f>
        <v>1056</v>
      </c>
      <c r="Q3255" s="6">
        <f>OrganizedData[[#This Row],[Total Items Ordered]]*VLOOKUP(OrganizedData[[#This Row],[Product Code]],ProductData[],3,FALSE)</f>
        <v>4213.4400000000005</v>
      </c>
      <c r="R32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4087.0368000000003</v>
      </c>
    </row>
    <row r="3256" spans="1:18" x14ac:dyDescent="0.3">
      <c r="A3256" s="2">
        <v>3249</v>
      </c>
      <c r="B3256" s="2" t="s">
        <v>7888</v>
      </c>
      <c r="C3256" s="2" t="s">
        <v>7889</v>
      </c>
      <c r="D3256" s="2" t="s">
        <v>51</v>
      </c>
      <c r="E3256" s="2" t="s">
        <v>16</v>
      </c>
      <c r="F3256" s="2">
        <v>60</v>
      </c>
      <c r="G3256" s="2" t="s">
        <v>7890</v>
      </c>
      <c r="H3256" s="2" t="s">
        <v>5934</v>
      </c>
      <c r="I3256" s="2" t="s">
        <v>173</v>
      </c>
      <c r="J3256" s="3">
        <v>44703</v>
      </c>
      <c r="K3256" s="5">
        <f>YEAR(OrganizedData[[#This Row],[Order Date]])</f>
        <v>2022</v>
      </c>
      <c r="L3256" s="7" t="str">
        <f>TEXT(OrganizedData[[#This Row],[Order Date]],"mmm")</f>
        <v>May</v>
      </c>
      <c r="M3256" s="2">
        <v>87</v>
      </c>
      <c r="N3256" s="2" t="s">
        <v>80</v>
      </c>
      <c r="O3256" s="2" t="str">
        <f>VLOOKUP(OrganizedData[[#This Row],[Product Code]],ProductData[[Code]:[Item]],2,FALSE)</f>
        <v>Ultrathing V2</v>
      </c>
      <c r="P3256" s="4">
        <f>OrganizedData[[#This Row],[Quantity]]*VLOOKUP(OrganizedData[[#This Row],[Product Code]],ProductData[],4,FALSE)</f>
        <v>1740</v>
      </c>
      <c r="Q3256" s="6">
        <f>OrganizedData[[#This Row],[Total Items Ordered]]*VLOOKUP(OrganizedData[[#This Row],[Product Code]],ProductData[],3,FALSE)</f>
        <v>5133</v>
      </c>
      <c r="R32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3257" spans="1:18" x14ac:dyDescent="0.3">
      <c r="A3257" s="2">
        <v>3250</v>
      </c>
      <c r="B3257" s="2" t="s">
        <v>7891</v>
      </c>
      <c r="C3257" s="2" t="s">
        <v>3077</v>
      </c>
      <c r="D3257" s="2" t="s">
        <v>51</v>
      </c>
      <c r="E3257" s="2" t="s">
        <v>16</v>
      </c>
      <c r="F3257" s="2">
        <v>30</v>
      </c>
      <c r="G3257" s="2" t="s">
        <v>7892</v>
      </c>
      <c r="H3257" s="2" t="s">
        <v>2172</v>
      </c>
      <c r="I3257" s="2" t="s">
        <v>32</v>
      </c>
      <c r="J3257" s="3">
        <v>44142</v>
      </c>
      <c r="K3257" s="5">
        <f>YEAR(OrganizedData[[#This Row],[Order Date]])</f>
        <v>2020</v>
      </c>
      <c r="L3257" s="7" t="str">
        <f>TEXT(OrganizedData[[#This Row],[Order Date]],"mmm")</f>
        <v>Nov</v>
      </c>
      <c r="M3257" s="2">
        <v>7</v>
      </c>
      <c r="N3257" s="2" t="s">
        <v>45</v>
      </c>
      <c r="O3257" s="2" t="str">
        <f>VLOOKUP(OrganizedData[[#This Row],[Product Code]],ProductData[[Code]:[Item]],2,FALSE)</f>
        <v>Gigastuff</v>
      </c>
      <c r="P3257" s="4">
        <f>OrganizedData[[#This Row],[Quantity]]*VLOOKUP(OrganizedData[[#This Row],[Product Code]],ProductData[],4,FALSE)</f>
        <v>126</v>
      </c>
      <c r="Q3257" s="6">
        <f>OrganizedData[[#This Row],[Total Items Ordered]]*VLOOKUP(OrganizedData[[#This Row],[Product Code]],ProductData[],3,FALSE)</f>
        <v>238.14</v>
      </c>
      <c r="R32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3258" spans="1:18" x14ac:dyDescent="0.3">
      <c r="A3258" s="2">
        <v>3251</v>
      </c>
      <c r="B3258" s="2" t="s">
        <v>7893</v>
      </c>
      <c r="C3258" s="2" t="s">
        <v>1219</v>
      </c>
      <c r="D3258" s="2" t="s">
        <v>28</v>
      </c>
      <c r="E3258" s="2" t="s">
        <v>29</v>
      </c>
      <c r="F3258" s="2">
        <v>60</v>
      </c>
      <c r="G3258" s="2" t="s">
        <v>7894</v>
      </c>
      <c r="H3258" s="2" t="s">
        <v>7895</v>
      </c>
      <c r="I3258" s="2" t="s">
        <v>25</v>
      </c>
      <c r="J3258" s="3">
        <v>44251</v>
      </c>
      <c r="K3258" s="5">
        <f>YEAR(OrganizedData[[#This Row],[Order Date]])</f>
        <v>2021</v>
      </c>
      <c r="L3258" s="7" t="str">
        <f>TEXT(OrganizedData[[#This Row],[Order Date]],"mmm")</f>
        <v>Feb</v>
      </c>
      <c r="M3258" s="2">
        <v>42</v>
      </c>
      <c r="N3258" s="2" t="s">
        <v>70</v>
      </c>
      <c r="O3258" s="2" t="str">
        <f>VLOOKUP(OrganizedData[[#This Row],[Product Code]],ProductData[[Code]:[Item]],2,FALSE)</f>
        <v>Megawidget M</v>
      </c>
      <c r="P3258" s="4">
        <f>OrganizedData[[#This Row],[Quantity]]*VLOOKUP(OrganizedData[[#This Row],[Product Code]],ProductData[],4,FALSE)</f>
        <v>1008</v>
      </c>
      <c r="Q3258" s="6">
        <f>OrganizedData[[#This Row],[Total Items Ordered]]*VLOOKUP(OrganizedData[[#This Row],[Product Code]],ProductData[],3,FALSE)</f>
        <v>1300.32</v>
      </c>
      <c r="R32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3259" spans="1:18" x14ac:dyDescent="0.3">
      <c r="A3259" s="2">
        <v>3252</v>
      </c>
      <c r="B3259" s="2" t="s">
        <v>7896</v>
      </c>
      <c r="C3259" s="2" t="s">
        <v>3779</v>
      </c>
      <c r="D3259" s="2" t="s">
        <v>15</v>
      </c>
      <c r="E3259" s="2" t="s">
        <v>16</v>
      </c>
      <c r="F3259" s="2">
        <v>30</v>
      </c>
      <c r="G3259" s="2" t="s">
        <v>7897</v>
      </c>
      <c r="H3259" s="2" t="s">
        <v>7898</v>
      </c>
      <c r="I3259" s="2" t="s">
        <v>425</v>
      </c>
      <c r="J3259" s="3">
        <v>44837</v>
      </c>
      <c r="K3259" s="5">
        <f>YEAR(OrganizedData[[#This Row],[Order Date]])</f>
        <v>2022</v>
      </c>
      <c r="L3259" s="7" t="str">
        <f>TEXT(OrganizedData[[#This Row],[Order Date]],"mmm")</f>
        <v>Oct</v>
      </c>
      <c r="M3259" s="2">
        <v>11</v>
      </c>
      <c r="N3259" s="2" t="s">
        <v>33</v>
      </c>
      <c r="O3259" s="2" t="str">
        <f>VLOOKUP(OrganizedData[[#This Row],[Product Code]],ProductData[[Code]:[Item]],2,FALSE)</f>
        <v>Megawidget L</v>
      </c>
      <c r="P3259" s="4">
        <f>OrganizedData[[#This Row],[Quantity]]*VLOOKUP(OrganizedData[[#This Row],[Product Code]],ProductData[],4,FALSE)</f>
        <v>264</v>
      </c>
      <c r="Q3259" s="6">
        <f>OrganizedData[[#This Row],[Total Items Ordered]]*VLOOKUP(OrganizedData[[#This Row],[Product Code]],ProductData[],3,FALSE)</f>
        <v>472.56</v>
      </c>
      <c r="R32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472.56</v>
      </c>
    </row>
    <row r="3260" spans="1:18" x14ac:dyDescent="0.3">
      <c r="A3260" s="2">
        <v>3253</v>
      </c>
      <c r="B3260" s="2" t="s">
        <v>2399</v>
      </c>
      <c r="C3260" s="2" t="s">
        <v>1109</v>
      </c>
      <c r="D3260" s="2" t="s">
        <v>28</v>
      </c>
      <c r="E3260" s="2" t="s">
        <v>29</v>
      </c>
      <c r="F3260" s="2">
        <v>30</v>
      </c>
      <c r="G3260" s="2" t="s">
        <v>7899</v>
      </c>
      <c r="H3260" s="2" t="s">
        <v>2772</v>
      </c>
      <c r="I3260" s="2" t="s">
        <v>32</v>
      </c>
      <c r="J3260" s="3">
        <v>44225</v>
      </c>
      <c r="K3260" s="5">
        <f>YEAR(OrganizedData[[#This Row],[Order Date]])</f>
        <v>2021</v>
      </c>
      <c r="L3260" s="7" t="str">
        <f>TEXT(OrganizedData[[#This Row],[Order Date]],"mmm")</f>
        <v>Jan</v>
      </c>
      <c r="M3260" s="2">
        <v>35</v>
      </c>
      <c r="N3260" s="2" t="s">
        <v>70</v>
      </c>
      <c r="O3260" s="2" t="str">
        <f>VLOOKUP(OrganizedData[[#This Row],[Product Code]],ProductData[[Code]:[Item]],2,FALSE)</f>
        <v>Megawidget M</v>
      </c>
      <c r="P3260" s="4">
        <f>OrganizedData[[#This Row],[Quantity]]*VLOOKUP(OrganizedData[[#This Row],[Product Code]],ProductData[],4,FALSE)</f>
        <v>840</v>
      </c>
      <c r="Q3260" s="6">
        <f>OrganizedData[[#This Row],[Total Items Ordered]]*VLOOKUP(OrganizedData[[#This Row],[Product Code]],ProductData[],3,FALSE)</f>
        <v>1083.6000000000001</v>
      </c>
      <c r="R32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1051.0920000000001</v>
      </c>
    </row>
    <row r="3261" spans="1:18" x14ac:dyDescent="0.3">
      <c r="A3261" s="2">
        <v>3254</v>
      </c>
      <c r="B3261" s="2" t="s">
        <v>7902</v>
      </c>
      <c r="C3261" s="2" t="s">
        <v>588</v>
      </c>
      <c r="D3261" s="2" t="s">
        <v>51</v>
      </c>
      <c r="E3261" s="2" t="s">
        <v>16</v>
      </c>
      <c r="F3261" s="2">
        <v>60</v>
      </c>
      <c r="G3261" s="2" t="s">
        <v>7903</v>
      </c>
      <c r="H3261" s="2" t="s">
        <v>2357</v>
      </c>
      <c r="I3261" s="2" t="s">
        <v>32</v>
      </c>
      <c r="J3261" s="3">
        <v>44078</v>
      </c>
      <c r="K3261" s="5">
        <f>YEAR(OrganizedData[[#This Row],[Order Date]])</f>
        <v>2020</v>
      </c>
      <c r="L3261" s="7" t="str">
        <f>TEXT(OrganizedData[[#This Row],[Order Date]],"mmm")</f>
        <v>Sep</v>
      </c>
      <c r="M3261" s="2">
        <v>30</v>
      </c>
      <c r="N3261" s="2" t="s">
        <v>64</v>
      </c>
      <c r="O3261" s="2" t="str">
        <f>VLOOKUP(OrganizedData[[#This Row],[Product Code]],ProductData[[Code]:[Item]],2,FALSE)</f>
        <v>Ultrathing V4</v>
      </c>
      <c r="P3261" s="4">
        <f>OrganizedData[[#This Row],[Quantity]]*VLOOKUP(OrganizedData[[#This Row],[Product Code]],ProductData[],4,FALSE)</f>
        <v>720</v>
      </c>
      <c r="Q3261" s="6">
        <f>OrganizedData[[#This Row],[Total Items Ordered]]*VLOOKUP(OrganizedData[[#This Row],[Product Code]],ProductData[],3,FALSE)</f>
        <v>2872.8</v>
      </c>
      <c r="R32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2786.616</v>
      </c>
    </row>
    <row r="3262" spans="1:18" x14ac:dyDescent="0.3">
      <c r="A3262" s="2">
        <v>3255</v>
      </c>
      <c r="B3262" s="2" t="s">
        <v>7904</v>
      </c>
      <c r="C3262" s="2" t="s">
        <v>143</v>
      </c>
      <c r="D3262" s="2" t="s">
        <v>51</v>
      </c>
      <c r="E3262" s="2" t="s">
        <v>16</v>
      </c>
      <c r="F3262" s="2">
        <v>60</v>
      </c>
      <c r="G3262" s="2" t="s">
        <v>7905</v>
      </c>
      <c r="H3262" s="2" t="s">
        <v>3915</v>
      </c>
      <c r="I3262" s="2" t="s">
        <v>173</v>
      </c>
      <c r="J3262" s="3">
        <v>44592</v>
      </c>
      <c r="K3262" s="5">
        <f>YEAR(OrganizedData[[#This Row],[Order Date]])</f>
        <v>2022</v>
      </c>
      <c r="L3262" s="7" t="str">
        <f>TEXT(OrganizedData[[#This Row],[Order Date]],"mmm")</f>
        <v>Jan</v>
      </c>
      <c r="M3262" s="2">
        <v>45</v>
      </c>
      <c r="N3262" s="2" t="s">
        <v>159</v>
      </c>
      <c r="O3262" s="2" t="str">
        <f>VLOOKUP(OrganizedData[[#This Row],[Product Code]],ProductData[[Code]:[Item]],2,FALSE)</f>
        <v>Ultrathing V3</v>
      </c>
      <c r="P3262" s="4">
        <f>OrganizedData[[#This Row],[Quantity]]*VLOOKUP(OrganizedData[[#This Row],[Product Code]],ProductData[],4,FALSE)</f>
        <v>1080</v>
      </c>
      <c r="Q3262" s="6">
        <f>OrganizedData[[#This Row],[Total Items Ordered]]*VLOOKUP(OrganizedData[[#This Row],[Product Code]],ProductData[],3,FALSE)</f>
        <v>3661.2000000000003</v>
      </c>
      <c r="R32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3551.364</v>
      </c>
    </row>
    <row r="3263" spans="1:18" x14ac:dyDescent="0.3">
      <c r="A3263" s="2">
        <v>3256</v>
      </c>
      <c r="B3263" s="2" t="s">
        <v>967</v>
      </c>
      <c r="C3263" s="2" t="s">
        <v>4753</v>
      </c>
      <c r="D3263" s="2" t="s">
        <v>28</v>
      </c>
      <c r="E3263" s="2" t="s">
        <v>29</v>
      </c>
      <c r="F3263" s="2">
        <v>30</v>
      </c>
      <c r="G3263" s="2" t="s">
        <v>7906</v>
      </c>
      <c r="H3263" s="2" t="s">
        <v>3396</v>
      </c>
      <c r="I3263" s="2" t="s">
        <v>32</v>
      </c>
      <c r="J3263" s="3">
        <v>44349</v>
      </c>
      <c r="K3263" s="5">
        <f>YEAR(OrganizedData[[#This Row],[Order Date]])</f>
        <v>2021</v>
      </c>
      <c r="L3263" s="7" t="str">
        <f>TEXT(OrganizedData[[#This Row],[Order Date]],"mmm")</f>
        <v>Jun</v>
      </c>
      <c r="M3263" s="2">
        <v>17</v>
      </c>
      <c r="N3263" s="2" t="s">
        <v>159</v>
      </c>
      <c r="O3263" s="2" t="str">
        <f>VLOOKUP(OrganizedData[[#This Row],[Product Code]],ProductData[[Code]:[Item]],2,FALSE)</f>
        <v>Ultrathing V3</v>
      </c>
      <c r="P3263" s="4">
        <f>OrganizedData[[#This Row],[Quantity]]*VLOOKUP(OrganizedData[[#This Row],[Product Code]],ProductData[],4,FALSE)</f>
        <v>408</v>
      </c>
      <c r="Q3263" s="6">
        <f>OrganizedData[[#This Row],[Total Items Ordered]]*VLOOKUP(OrganizedData[[#This Row],[Product Code]],ProductData[],3,FALSE)</f>
        <v>1383.1200000000001</v>
      </c>
      <c r="R32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1383.1200000000001</v>
      </c>
    </row>
    <row r="3264" spans="1:18" x14ac:dyDescent="0.3">
      <c r="A3264" s="2">
        <v>3257</v>
      </c>
      <c r="B3264" s="2" t="s">
        <v>7907</v>
      </c>
      <c r="C3264" s="2" t="s">
        <v>7908</v>
      </c>
      <c r="D3264" s="2" t="s">
        <v>51</v>
      </c>
      <c r="E3264" s="2" t="s">
        <v>16</v>
      </c>
      <c r="F3264" s="2">
        <v>60</v>
      </c>
      <c r="G3264" s="2" t="s">
        <v>7909</v>
      </c>
      <c r="H3264" s="2" t="s">
        <v>4651</v>
      </c>
      <c r="I3264" s="2" t="s">
        <v>32</v>
      </c>
      <c r="J3264" s="3">
        <v>44241</v>
      </c>
      <c r="K3264" s="5">
        <f>YEAR(OrganizedData[[#This Row],[Order Date]])</f>
        <v>2021</v>
      </c>
      <c r="L3264" s="7" t="str">
        <f>TEXT(OrganizedData[[#This Row],[Order Date]],"mmm")</f>
        <v>Feb</v>
      </c>
      <c r="M3264" s="2">
        <v>19</v>
      </c>
      <c r="N3264" s="2" t="s">
        <v>20</v>
      </c>
      <c r="O3264" s="2" t="str">
        <f>VLOOKUP(OrganizedData[[#This Row],[Product Code]],ProductData[[Code]:[Item]],2,FALSE)</f>
        <v>Hyperwotsit</v>
      </c>
      <c r="P3264" s="4">
        <f>OrganizedData[[#This Row],[Quantity]]*VLOOKUP(OrganizedData[[#This Row],[Product Code]],ProductData[],4,FALSE)</f>
        <v>380</v>
      </c>
      <c r="Q3264" s="6">
        <f>OrganizedData[[#This Row],[Total Items Ordered]]*VLOOKUP(OrganizedData[[#This Row],[Product Code]],ProductData[],3,FALSE)</f>
        <v>763.8</v>
      </c>
      <c r="R32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3265" spans="1:18" x14ac:dyDescent="0.3">
      <c r="A3265" s="2">
        <v>3258</v>
      </c>
      <c r="B3265" s="2" t="s">
        <v>7910</v>
      </c>
      <c r="C3265" s="2" t="s">
        <v>1627</v>
      </c>
      <c r="D3265" s="2" t="s">
        <v>41</v>
      </c>
      <c r="E3265" s="2" t="s">
        <v>16</v>
      </c>
      <c r="F3265" s="2">
        <v>30</v>
      </c>
      <c r="G3265" s="2" t="s">
        <v>7911</v>
      </c>
      <c r="H3265" s="2" t="s">
        <v>3764</v>
      </c>
      <c r="I3265" s="2" t="s">
        <v>32</v>
      </c>
      <c r="J3265" s="3">
        <v>43936</v>
      </c>
      <c r="K3265" s="5">
        <f>YEAR(OrganizedData[[#This Row],[Order Date]])</f>
        <v>2020</v>
      </c>
      <c r="L3265" s="7" t="str">
        <f>TEXT(OrganizedData[[#This Row],[Order Date]],"mmm")</f>
        <v>Apr</v>
      </c>
      <c r="M3265" s="2">
        <v>23</v>
      </c>
      <c r="N3265" s="2" t="s">
        <v>45</v>
      </c>
      <c r="O3265" s="2" t="str">
        <f>VLOOKUP(OrganizedData[[#This Row],[Product Code]],ProductData[[Code]:[Item]],2,FALSE)</f>
        <v>Gigastuff</v>
      </c>
      <c r="P3265" s="4">
        <f>OrganizedData[[#This Row],[Quantity]]*VLOOKUP(OrganizedData[[#This Row],[Product Code]],ProductData[],4,FALSE)</f>
        <v>414</v>
      </c>
      <c r="Q3265" s="6">
        <f>OrganizedData[[#This Row],[Total Items Ordered]]*VLOOKUP(OrganizedData[[#This Row],[Product Code]],ProductData[],3,FALSE)</f>
        <v>782.45999999999992</v>
      </c>
      <c r="R32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758.98619999999994</v>
      </c>
    </row>
    <row r="3266" spans="1:18" x14ac:dyDescent="0.3">
      <c r="A3266" s="2">
        <v>3259</v>
      </c>
      <c r="B3266" s="2" t="s">
        <v>2367</v>
      </c>
      <c r="C3266" s="2" t="s">
        <v>3217</v>
      </c>
      <c r="D3266" s="2" t="s">
        <v>28</v>
      </c>
      <c r="E3266" s="2" t="s">
        <v>29</v>
      </c>
      <c r="F3266" s="2">
        <v>60</v>
      </c>
      <c r="G3266" s="2" t="s">
        <v>7912</v>
      </c>
      <c r="H3266" s="2" t="s">
        <v>2834</v>
      </c>
      <c r="I3266" s="2" t="s">
        <v>19</v>
      </c>
      <c r="J3266" s="3">
        <v>44593</v>
      </c>
      <c r="K3266" s="5">
        <f>YEAR(OrganizedData[[#This Row],[Order Date]])</f>
        <v>2022</v>
      </c>
      <c r="L3266" s="7" t="str">
        <f>TEXT(OrganizedData[[#This Row],[Order Date]],"mmm")</f>
        <v>Feb</v>
      </c>
      <c r="M3266" s="2">
        <v>79</v>
      </c>
      <c r="N3266" s="2" t="s">
        <v>54</v>
      </c>
      <c r="O3266" s="2" t="str">
        <f>VLOOKUP(OrganizedData[[#This Row],[Product Code]],ProductData[[Code]:[Item]],2,FALSE)</f>
        <v>Megawidget S</v>
      </c>
      <c r="P3266" s="4">
        <f>OrganizedData[[#This Row],[Quantity]]*VLOOKUP(OrganizedData[[#This Row],[Product Code]],ProductData[],4,FALSE)</f>
        <v>1896</v>
      </c>
      <c r="Q3266" s="6">
        <f>OrganizedData[[#This Row],[Total Items Ordered]]*VLOOKUP(OrganizedData[[#This Row],[Product Code]],ProductData[],3,FALSE)</f>
        <v>1308.24</v>
      </c>
      <c r="R32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1242.828</v>
      </c>
    </row>
    <row r="3267" spans="1:18" x14ac:dyDescent="0.3">
      <c r="A3267" s="2">
        <v>3260</v>
      </c>
      <c r="B3267" s="2" t="s">
        <v>7913</v>
      </c>
      <c r="C3267" s="2" t="s">
        <v>5417</v>
      </c>
      <c r="D3267" s="2" t="s">
        <v>28</v>
      </c>
      <c r="E3267" s="2" t="s">
        <v>29</v>
      </c>
      <c r="F3267" s="2">
        <v>60</v>
      </c>
      <c r="G3267" s="2" t="s">
        <v>7914</v>
      </c>
      <c r="H3267" s="2" t="s">
        <v>2008</v>
      </c>
      <c r="I3267" s="2" t="s">
        <v>129</v>
      </c>
      <c r="J3267" s="3">
        <v>44263</v>
      </c>
      <c r="K3267" s="5">
        <f>YEAR(OrganizedData[[#This Row],[Order Date]])</f>
        <v>2021</v>
      </c>
      <c r="L3267" s="7" t="str">
        <f>TEXT(OrganizedData[[#This Row],[Order Date]],"mmm")</f>
        <v>Mar</v>
      </c>
      <c r="M3267" s="2">
        <v>11</v>
      </c>
      <c r="N3267" s="2" t="s">
        <v>159</v>
      </c>
      <c r="O3267" s="2" t="str">
        <f>VLOOKUP(OrganizedData[[#This Row],[Product Code]],ProductData[[Code]:[Item]],2,FALSE)</f>
        <v>Ultrathing V3</v>
      </c>
      <c r="P3267" s="4">
        <f>OrganizedData[[#This Row],[Quantity]]*VLOOKUP(OrganizedData[[#This Row],[Product Code]],ProductData[],4,FALSE)</f>
        <v>264</v>
      </c>
      <c r="Q3267" s="6">
        <f>OrganizedData[[#This Row],[Total Items Ordered]]*VLOOKUP(OrganizedData[[#This Row],[Product Code]],ProductData[],3,FALSE)</f>
        <v>894.96</v>
      </c>
      <c r="R32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3268" spans="1:18" x14ac:dyDescent="0.3">
      <c r="A3268" s="2">
        <v>3261</v>
      </c>
      <c r="B3268" s="2" t="s">
        <v>7915</v>
      </c>
      <c r="C3268" s="2" t="s">
        <v>7000</v>
      </c>
      <c r="D3268" s="2" t="s">
        <v>15</v>
      </c>
      <c r="E3268" s="2" t="s">
        <v>16</v>
      </c>
      <c r="F3268" s="2">
        <v>60</v>
      </c>
      <c r="G3268" s="2" t="s">
        <v>7916</v>
      </c>
      <c r="H3268" s="2" t="s">
        <v>3059</v>
      </c>
      <c r="I3268" s="2" t="s">
        <v>187</v>
      </c>
      <c r="J3268" s="3">
        <v>44510</v>
      </c>
      <c r="K3268" s="5">
        <f>YEAR(OrganizedData[[#This Row],[Order Date]])</f>
        <v>2021</v>
      </c>
      <c r="L3268" s="7" t="str">
        <f>TEXT(OrganizedData[[#This Row],[Order Date]],"mmm")</f>
        <v>Nov</v>
      </c>
      <c r="M3268" s="2">
        <v>10</v>
      </c>
      <c r="N3268" s="2" t="s">
        <v>64</v>
      </c>
      <c r="O3268" s="2" t="str">
        <f>VLOOKUP(OrganizedData[[#This Row],[Product Code]],ProductData[[Code]:[Item]],2,FALSE)</f>
        <v>Ultrathing V4</v>
      </c>
      <c r="P3268" s="4">
        <f>OrganizedData[[#This Row],[Quantity]]*VLOOKUP(OrganizedData[[#This Row],[Product Code]],ProductData[],4,FALSE)</f>
        <v>240</v>
      </c>
      <c r="Q3268" s="6">
        <f>OrganizedData[[#This Row],[Total Items Ordered]]*VLOOKUP(OrganizedData[[#This Row],[Product Code]],ProductData[],3,FALSE)</f>
        <v>957.6</v>
      </c>
      <c r="R32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957.6</v>
      </c>
    </row>
    <row r="3269" spans="1:18" x14ac:dyDescent="0.3">
      <c r="A3269" s="2">
        <v>3262</v>
      </c>
      <c r="B3269" s="2" t="s">
        <v>3988</v>
      </c>
      <c r="C3269" s="2" t="s">
        <v>6477</v>
      </c>
      <c r="D3269" s="2" t="s">
        <v>15</v>
      </c>
      <c r="E3269" s="2" t="s">
        <v>16</v>
      </c>
      <c r="F3269" s="2">
        <v>90</v>
      </c>
      <c r="G3269" s="2" t="s">
        <v>7917</v>
      </c>
      <c r="H3269" s="2" t="s">
        <v>5406</v>
      </c>
      <c r="I3269" s="2" t="s">
        <v>32</v>
      </c>
      <c r="J3269" s="3">
        <v>44884</v>
      </c>
      <c r="K3269" s="5">
        <f>YEAR(OrganizedData[[#This Row],[Order Date]])</f>
        <v>2022</v>
      </c>
      <c r="L3269" s="7" t="str">
        <f>TEXT(OrganizedData[[#This Row],[Order Date]],"mmm")</f>
        <v>Nov</v>
      </c>
      <c r="M3269" s="2">
        <v>40</v>
      </c>
      <c r="N3269" s="2" t="s">
        <v>20</v>
      </c>
      <c r="O3269" s="2" t="str">
        <f>VLOOKUP(OrganizedData[[#This Row],[Product Code]],ProductData[[Code]:[Item]],2,FALSE)</f>
        <v>Hyperwotsit</v>
      </c>
      <c r="P3269" s="4">
        <f>OrganizedData[[#This Row],[Quantity]]*VLOOKUP(OrganizedData[[#This Row],[Product Code]],ProductData[],4,FALSE)</f>
        <v>800</v>
      </c>
      <c r="Q3269" s="6">
        <f>OrganizedData[[#This Row],[Total Items Ordered]]*VLOOKUP(OrganizedData[[#This Row],[Product Code]],ProductData[],3,FALSE)</f>
        <v>1607.9999999999998</v>
      </c>
      <c r="R32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3270" spans="1:18" x14ac:dyDescent="0.3">
      <c r="A3270" s="2">
        <v>3263</v>
      </c>
      <c r="B3270" s="2" t="s">
        <v>7918</v>
      </c>
      <c r="C3270" s="2" t="s">
        <v>1928</v>
      </c>
      <c r="D3270" s="2" t="s">
        <v>15</v>
      </c>
      <c r="E3270" s="2" t="s">
        <v>16</v>
      </c>
      <c r="F3270" s="2">
        <v>30</v>
      </c>
      <c r="G3270" s="2" t="s">
        <v>7919</v>
      </c>
      <c r="H3270" s="2" t="s">
        <v>1716</v>
      </c>
      <c r="I3270" s="2" t="s">
        <v>425</v>
      </c>
      <c r="J3270" s="3">
        <v>44347</v>
      </c>
      <c r="K3270" s="5">
        <f>YEAR(OrganizedData[[#This Row],[Order Date]])</f>
        <v>2021</v>
      </c>
      <c r="L3270" s="7" t="str">
        <f>TEXT(OrganizedData[[#This Row],[Order Date]],"mmm")</f>
        <v>May</v>
      </c>
      <c r="M3270" s="2">
        <v>91</v>
      </c>
      <c r="N3270" s="2" t="s">
        <v>80</v>
      </c>
      <c r="O3270" s="2" t="str">
        <f>VLOOKUP(OrganizedData[[#This Row],[Product Code]],ProductData[[Code]:[Item]],2,FALSE)</f>
        <v>Ultrathing V2</v>
      </c>
      <c r="P3270" s="4">
        <f>OrganizedData[[#This Row],[Quantity]]*VLOOKUP(OrganizedData[[#This Row],[Product Code]],ProductData[],4,FALSE)</f>
        <v>1820</v>
      </c>
      <c r="Q3270" s="6">
        <f>OrganizedData[[#This Row],[Total Items Ordered]]*VLOOKUP(OrganizedData[[#This Row],[Product Code]],ProductData[],3,FALSE)</f>
        <v>5369</v>
      </c>
      <c r="R32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3271" spans="1:18" x14ac:dyDescent="0.3">
      <c r="A3271" s="2">
        <v>3264</v>
      </c>
      <c r="B3271" s="2" t="s">
        <v>7920</v>
      </c>
      <c r="C3271" s="2" t="s">
        <v>6465</v>
      </c>
      <c r="D3271" s="2" t="s">
        <v>51</v>
      </c>
      <c r="E3271" s="2" t="s">
        <v>16</v>
      </c>
      <c r="F3271" s="2">
        <v>30</v>
      </c>
      <c r="G3271" s="2" t="s">
        <v>10547</v>
      </c>
      <c r="H3271" s="2" t="s">
        <v>4794</v>
      </c>
      <c r="I3271" s="2" t="s">
        <v>32</v>
      </c>
      <c r="J3271" s="3">
        <v>44532</v>
      </c>
      <c r="K3271" s="5">
        <f>YEAR(OrganizedData[[#This Row],[Order Date]])</f>
        <v>2021</v>
      </c>
      <c r="L3271" s="7" t="str">
        <f>TEXT(OrganizedData[[#This Row],[Order Date]],"mmm")</f>
        <v>Dec</v>
      </c>
      <c r="M3271" s="2">
        <v>43</v>
      </c>
      <c r="N3271" s="2" t="s">
        <v>80</v>
      </c>
      <c r="O3271" s="2" t="str">
        <f>VLOOKUP(OrganizedData[[#This Row],[Product Code]],ProductData[[Code]:[Item]],2,FALSE)</f>
        <v>Ultrathing V2</v>
      </c>
      <c r="P3271" s="4">
        <f>OrganizedData[[#This Row],[Quantity]]*VLOOKUP(OrganizedData[[#This Row],[Product Code]],ProductData[],4,FALSE)</f>
        <v>860</v>
      </c>
      <c r="Q3271" s="6">
        <f>OrganizedData[[#This Row],[Total Items Ordered]]*VLOOKUP(OrganizedData[[#This Row],[Product Code]],ProductData[],3,FALSE)</f>
        <v>2537</v>
      </c>
      <c r="R32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3272" spans="1:18" x14ac:dyDescent="0.3">
      <c r="A3272" s="2">
        <v>3265</v>
      </c>
      <c r="B3272" s="2" t="s">
        <v>2424</v>
      </c>
      <c r="C3272" s="2" t="s">
        <v>3785</v>
      </c>
      <c r="D3272" s="2" t="s">
        <v>28</v>
      </c>
      <c r="E3272" s="2" t="s">
        <v>29</v>
      </c>
      <c r="F3272" s="2">
        <v>30</v>
      </c>
      <c r="G3272" s="2" t="s">
        <v>7922</v>
      </c>
      <c r="H3272" s="2" t="s">
        <v>1615</v>
      </c>
      <c r="I3272" s="2" t="s">
        <v>32</v>
      </c>
      <c r="J3272" s="3">
        <v>44026</v>
      </c>
      <c r="K3272" s="5">
        <f>YEAR(OrganizedData[[#This Row],[Order Date]])</f>
        <v>2020</v>
      </c>
      <c r="L3272" s="7" t="str">
        <f>TEXT(OrganizedData[[#This Row],[Order Date]],"mmm")</f>
        <v>Jul</v>
      </c>
      <c r="M3272" s="2">
        <v>62</v>
      </c>
      <c r="N3272" s="2" t="s">
        <v>159</v>
      </c>
      <c r="O3272" s="2" t="str">
        <f>VLOOKUP(OrganizedData[[#This Row],[Product Code]],ProductData[[Code]:[Item]],2,FALSE)</f>
        <v>Ultrathing V3</v>
      </c>
      <c r="P3272" s="4">
        <f>OrganizedData[[#This Row],[Quantity]]*VLOOKUP(OrganizedData[[#This Row],[Product Code]],ProductData[],4,FALSE)</f>
        <v>1488</v>
      </c>
      <c r="Q3272" s="6">
        <f>OrganizedData[[#This Row],[Total Items Ordered]]*VLOOKUP(OrganizedData[[#This Row],[Product Code]],ProductData[],3,FALSE)</f>
        <v>5044.3200000000006</v>
      </c>
      <c r="R32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4792.1040000000003</v>
      </c>
    </row>
    <row r="3273" spans="1:18" x14ac:dyDescent="0.3">
      <c r="A3273" s="2">
        <v>3266</v>
      </c>
      <c r="B3273" s="2" t="s">
        <v>7923</v>
      </c>
      <c r="C3273" s="2" t="s">
        <v>4681</v>
      </c>
      <c r="D3273" s="2" t="s">
        <v>51</v>
      </c>
      <c r="E3273" s="2" t="s">
        <v>16</v>
      </c>
      <c r="F3273" s="2">
        <v>30</v>
      </c>
      <c r="G3273" s="2" t="s">
        <v>7924</v>
      </c>
      <c r="H3273" s="2" t="s">
        <v>1830</v>
      </c>
      <c r="I3273" s="2" t="s">
        <v>32</v>
      </c>
      <c r="J3273" s="3">
        <v>44511</v>
      </c>
      <c r="K3273" s="5">
        <f>YEAR(OrganizedData[[#This Row],[Order Date]])</f>
        <v>2021</v>
      </c>
      <c r="L3273" s="7" t="str">
        <f>TEXT(OrganizedData[[#This Row],[Order Date]],"mmm")</f>
        <v>Nov</v>
      </c>
      <c r="M3273" s="2">
        <v>29</v>
      </c>
      <c r="N3273" s="2" t="s">
        <v>54</v>
      </c>
      <c r="O3273" s="2" t="str">
        <f>VLOOKUP(OrganizedData[[#This Row],[Product Code]],ProductData[[Code]:[Item]],2,FALSE)</f>
        <v>Megawidget S</v>
      </c>
      <c r="P3273" s="4">
        <f>OrganizedData[[#This Row],[Quantity]]*VLOOKUP(OrganizedData[[#This Row],[Product Code]],ProductData[],4,FALSE)</f>
        <v>696</v>
      </c>
      <c r="Q3273" s="6">
        <f>OrganizedData[[#This Row],[Total Items Ordered]]*VLOOKUP(OrganizedData[[#This Row],[Product Code]],ProductData[],3,FALSE)</f>
        <v>480.23999999999995</v>
      </c>
      <c r="R32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3274" spans="1:18" x14ac:dyDescent="0.3">
      <c r="A3274" s="2">
        <v>3267</v>
      </c>
      <c r="B3274" s="2" t="s">
        <v>4460</v>
      </c>
      <c r="C3274" s="2" t="s">
        <v>4342</v>
      </c>
      <c r="D3274" s="2" t="s">
        <v>28</v>
      </c>
      <c r="E3274" s="2" t="s">
        <v>29</v>
      </c>
      <c r="F3274" s="2">
        <v>90</v>
      </c>
      <c r="G3274" s="2" t="s">
        <v>7925</v>
      </c>
      <c r="H3274" s="2" t="s">
        <v>3343</v>
      </c>
      <c r="I3274" s="2" t="s">
        <v>1199</v>
      </c>
      <c r="J3274" s="3">
        <v>43883</v>
      </c>
      <c r="K3274" s="5">
        <f>YEAR(OrganizedData[[#This Row],[Order Date]])</f>
        <v>2020</v>
      </c>
      <c r="L3274" s="7" t="str">
        <f>TEXT(OrganizedData[[#This Row],[Order Date]],"mmm")</f>
        <v>Feb</v>
      </c>
      <c r="M3274" s="2">
        <v>2</v>
      </c>
      <c r="N3274" s="2" t="s">
        <v>64</v>
      </c>
      <c r="O3274" s="2" t="str">
        <f>VLOOKUP(OrganizedData[[#This Row],[Product Code]],ProductData[[Code]:[Item]],2,FALSE)</f>
        <v>Ultrathing V4</v>
      </c>
      <c r="P3274" s="4">
        <f>OrganizedData[[#This Row],[Quantity]]*VLOOKUP(OrganizedData[[#This Row],[Product Code]],ProductData[],4,FALSE)</f>
        <v>48</v>
      </c>
      <c r="Q3274" s="6">
        <f>OrganizedData[[#This Row],[Total Items Ordered]]*VLOOKUP(OrganizedData[[#This Row],[Product Code]],ProductData[],3,FALSE)</f>
        <v>191.52</v>
      </c>
      <c r="R32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3275" spans="1:18" x14ac:dyDescent="0.3">
      <c r="A3275" s="2">
        <v>3268</v>
      </c>
      <c r="B3275" s="2" t="s">
        <v>7926</v>
      </c>
      <c r="C3275" s="2" t="s">
        <v>7231</v>
      </c>
      <c r="D3275" s="2" t="s">
        <v>51</v>
      </c>
      <c r="E3275" s="2" t="s">
        <v>16</v>
      </c>
      <c r="F3275" s="2">
        <v>90</v>
      </c>
      <c r="G3275" s="2" t="s">
        <v>7927</v>
      </c>
      <c r="H3275" s="2" t="s">
        <v>7400</v>
      </c>
      <c r="I3275" s="2" t="s">
        <v>178</v>
      </c>
      <c r="J3275" s="3">
        <v>44828</v>
      </c>
      <c r="K3275" s="5">
        <f>YEAR(OrganizedData[[#This Row],[Order Date]])</f>
        <v>2022</v>
      </c>
      <c r="L3275" s="7" t="str">
        <f>TEXT(OrganizedData[[#This Row],[Order Date]],"mmm")</f>
        <v>Sep</v>
      </c>
      <c r="M3275" s="2">
        <v>21</v>
      </c>
      <c r="N3275" s="2" t="s">
        <v>64</v>
      </c>
      <c r="O3275" s="2" t="str">
        <f>VLOOKUP(OrganizedData[[#This Row],[Product Code]],ProductData[[Code]:[Item]],2,FALSE)</f>
        <v>Ultrathing V4</v>
      </c>
      <c r="P3275" s="4">
        <f>OrganizedData[[#This Row],[Quantity]]*VLOOKUP(OrganizedData[[#This Row],[Product Code]],ProductData[],4,FALSE)</f>
        <v>504</v>
      </c>
      <c r="Q3275" s="6">
        <f>OrganizedData[[#This Row],[Total Items Ordered]]*VLOOKUP(OrganizedData[[#This Row],[Product Code]],ProductData[],3,FALSE)</f>
        <v>2010.96</v>
      </c>
      <c r="R32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3276" spans="1:18" x14ac:dyDescent="0.3">
      <c r="A3276" s="2">
        <v>3269</v>
      </c>
      <c r="B3276" s="2" t="s">
        <v>785</v>
      </c>
      <c r="C3276" s="2" t="s">
        <v>5142</v>
      </c>
      <c r="D3276" s="2" t="s">
        <v>117</v>
      </c>
      <c r="E3276" s="2" t="s">
        <v>29</v>
      </c>
      <c r="F3276" s="2">
        <v>60</v>
      </c>
      <c r="G3276" s="2" t="s">
        <v>7928</v>
      </c>
      <c r="H3276" s="2" t="s">
        <v>1272</v>
      </c>
      <c r="I3276" s="2" t="s">
        <v>59</v>
      </c>
      <c r="J3276" s="3">
        <v>44485</v>
      </c>
      <c r="K3276" s="5">
        <f>YEAR(OrganizedData[[#This Row],[Order Date]])</f>
        <v>2021</v>
      </c>
      <c r="L3276" s="7" t="str">
        <f>TEXT(OrganizedData[[#This Row],[Order Date]],"mmm")</f>
        <v>Oct</v>
      </c>
      <c r="M3276" s="2">
        <v>87</v>
      </c>
      <c r="N3276" s="2" t="s">
        <v>159</v>
      </c>
      <c r="O3276" s="2" t="str">
        <f>VLOOKUP(OrganizedData[[#This Row],[Product Code]],ProductData[[Code]:[Item]],2,FALSE)</f>
        <v>Ultrathing V3</v>
      </c>
      <c r="P3276" s="4">
        <f>OrganizedData[[#This Row],[Quantity]]*VLOOKUP(OrganizedData[[#This Row],[Product Code]],ProductData[],4,FALSE)</f>
        <v>2088</v>
      </c>
      <c r="Q3276" s="6">
        <f>OrganizedData[[#This Row],[Total Items Ordered]]*VLOOKUP(OrganizedData[[#This Row],[Product Code]],ProductData[],3,FALSE)</f>
        <v>7078.3200000000006</v>
      </c>
      <c r="R32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6724.4040000000005</v>
      </c>
    </row>
    <row r="3277" spans="1:18" x14ac:dyDescent="0.3">
      <c r="A3277" s="2">
        <v>3270</v>
      </c>
      <c r="B3277" s="2" t="s">
        <v>7929</v>
      </c>
      <c r="C3277" s="2" t="s">
        <v>97</v>
      </c>
      <c r="D3277" s="2" t="s">
        <v>41</v>
      </c>
      <c r="E3277" s="2" t="s">
        <v>16</v>
      </c>
      <c r="F3277" s="2">
        <v>90</v>
      </c>
      <c r="G3277" s="2" t="s">
        <v>10548</v>
      </c>
      <c r="H3277" s="2" t="s">
        <v>6607</v>
      </c>
      <c r="I3277" s="2" t="s">
        <v>32</v>
      </c>
      <c r="J3277" s="3">
        <v>44168</v>
      </c>
      <c r="K3277" s="5">
        <f>YEAR(OrganizedData[[#This Row],[Order Date]])</f>
        <v>2020</v>
      </c>
      <c r="L3277" s="7" t="str">
        <f>TEXT(OrganizedData[[#This Row],[Order Date]],"mmm")</f>
        <v>Dec</v>
      </c>
      <c r="M3277" s="2">
        <v>56</v>
      </c>
      <c r="N3277" s="2" t="s">
        <v>45</v>
      </c>
      <c r="O3277" s="2" t="str">
        <f>VLOOKUP(OrganizedData[[#This Row],[Product Code]],ProductData[[Code]:[Item]],2,FALSE)</f>
        <v>Gigastuff</v>
      </c>
      <c r="P3277" s="4">
        <f>OrganizedData[[#This Row],[Quantity]]*VLOOKUP(OrganizedData[[#This Row],[Product Code]],ProductData[],4,FALSE)</f>
        <v>1008</v>
      </c>
      <c r="Q3277" s="6">
        <f>OrganizedData[[#This Row],[Total Items Ordered]]*VLOOKUP(OrganizedData[[#This Row],[Product Code]],ProductData[],3,FALSE)</f>
        <v>1905.12</v>
      </c>
      <c r="R32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1809.8639999999998</v>
      </c>
    </row>
    <row r="3278" spans="1:18" x14ac:dyDescent="0.3">
      <c r="A3278" s="2">
        <v>3271</v>
      </c>
      <c r="B3278" s="2" t="s">
        <v>7931</v>
      </c>
      <c r="C3278" s="2" t="s">
        <v>2715</v>
      </c>
      <c r="D3278" s="2" t="s">
        <v>51</v>
      </c>
      <c r="E3278" s="2" t="s">
        <v>16</v>
      </c>
      <c r="F3278" s="2">
        <v>30</v>
      </c>
      <c r="G3278" s="2" t="s">
        <v>7932</v>
      </c>
      <c r="H3278" s="2" t="s">
        <v>288</v>
      </c>
      <c r="I3278" s="2" t="s">
        <v>32</v>
      </c>
      <c r="J3278" s="3">
        <v>44140</v>
      </c>
      <c r="K3278" s="5">
        <f>YEAR(OrganizedData[[#This Row],[Order Date]])</f>
        <v>2020</v>
      </c>
      <c r="L3278" s="7" t="str">
        <f>TEXT(OrganizedData[[#This Row],[Order Date]],"mmm")</f>
        <v>Nov</v>
      </c>
      <c r="M3278" s="2">
        <v>40</v>
      </c>
      <c r="N3278" s="2" t="s">
        <v>45</v>
      </c>
      <c r="O3278" s="2" t="str">
        <f>VLOOKUP(OrganizedData[[#This Row],[Product Code]],ProductData[[Code]:[Item]],2,FALSE)</f>
        <v>Gigastuff</v>
      </c>
      <c r="P3278" s="4">
        <f>OrganizedData[[#This Row],[Quantity]]*VLOOKUP(OrganizedData[[#This Row],[Product Code]],ProductData[],4,FALSE)</f>
        <v>720</v>
      </c>
      <c r="Q3278" s="6">
        <f>OrganizedData[[#This Row],[Total Items Ordered]]*VLOOKUP(OrganizedData[[#This Row],[Product Code]],ProductData[],3,FALSE)</f>
        <v>1360.8</v>
      </c>
      <c r="R32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1319.9759999999999</v>
      </c>
    </row>
    <row r="3279" spans="1:18" x14ac:dyDescent="0.3">
      <c r="A3279" s="2">
        <v>3272</v>
      </c>
      <c r="B3279" s="2" t="s">
        <v>6511</v>
      </c>
      <c r="C3279" s="2" t="s">
        <v>112</v>
      </c>
      <c r="D3279" s="2" t="s">
        <v>28</v>
      </c>
      <c r="E3279" s="2" t="s">
        <v>29</v>
      </c>
      <c r="F3279" s="2">
        <v>30</v>
      </c>
      <c r="G3279" s="2" t="s">
        <v>7933</v>
      </c>
      <c r="H3279" s="2" t="s">
        <v>2348</v>
      </c>
      <c r="I3279" s="2" t="s">
        <v>32</v>
      </c>
      <c r="J3279" s="3">
        <v>44712</v>
      </c>
      <c r="K3279" s="5">
        <f>YEAR(OrganizedData[[#This Row],[Order Date]])</f>
        <v>2022</v>
      </c>
      <c r="L3279" s="7" t="str">
        <f>TEXT(OrganizedData[[#This Row],[Order Date]],"mmm")</f>
        <v>May</v>
      </c>
      <c r="M3279" s="2">
        <v>72</v>
      </c>
      <c r="N3279" s="2" t="s">
        <v>64</v>
      </c>
      <c r="O3279" s="2" t="str">
        <f>VLOOKUP(OrganizedData[[#This Row],[Product Code]],ProductData[[Code]:[Item]],2,FALSE)</f>
        <v>Ultrathing V4</v>
      </c>
      <c r="P3279" s="4">
        <f>OrganizedData[[#This Row],[Quantity]]*VLOOKUP(OrganizedData[[#This Row],[Product Code]],ProductData[],4,FALSE)</f>
        <v>1728</v>
      </c>
      <c r="Q3279" s="6">
        <f>OrganizedData[[#This Row],[Total Items Ordered]]*VLOOKUP(OrganizedData[[#This Row],[Product Code]],ProductData[],3,FALSE)</f>
        <v>6894.72</v>
      </c>
      <c r="R32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6549.9840000000004</v>
      </c>
    </row>
    <row r="3280" spans="1:18" x14ac:dyDescent="0.3">
      <c r="A3280" s="2">
        <v>3273</v>
      </c>
      <c r="B3280" s="2" t="s">
        <v>7934</v>
      </c>
      <c r="C3280" s="2" t="s">
        <v>2014</v>
      </c>
      <c r="D3280" s="2" t="s">
        <v>15</v>
      </c>
      <c r="E3280" s="2" t="s">
        <v>16</v>
      </c>
      <c r="F3280" s="2">
        <v>90</v>
      </c>
      <c r="G3280" s="2" t="s">
        <v>7935</v>
      </c>
      <c r="H3280" s="2" t="s">
        <v>7936</v>
      </c>
      <c r="I3280" s="2" t="s">
        <v>32</v>
      </c>
      <c r="J3280" s="3">
        <v>44053</v>
      </c>
      <c r="K3280" s="5">
        <f>YEAR(OrganizedData[[#This Row],[Order Date]])</f>
        <v>2020</v>
      </c>
      <c r="L3280" s="7" t="str">
        <f>TEXT(OrganizedData[[#This Row],[Order Date]],"mmm")</f>
        <v>Aug</v>
      </c>
      <c r="M3280" s="2">
        <v>49</v>
      </c>
      <c r="N3280" s="2" t="s">
        <v>39</v>
      </c>
      <c r="O3280" s="2" t="str">
        <f>VLOOKUP(OrganizedData[[#This Row],[Product Code]],ProductData[[Code]:[Item]],2,FALSE)</f>
        <v>Ultrathing V1</v>
      </c>
      <c r="P3280" s="4">
        <f>OrganizedData[[#This Row],[Quantity]]*VLOOKUP(OrganizedData[[#This Row],[Product Code]],ProductData[],4,FALSE)</f>
        <v>833</v>
      </c>
      <c r="Q3280" s="6">
        <f>OrganizedData[[#This Row],[Total Items Ordered]]*VLOOKUP(OrganizedData[[#This Row],[Product Code]],ProductData[],3,FALSE)</f>
        <v>1491.07</v>
      </c>
      <c r="R32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1446.3379</v>
      </c>
    </row>
    <row r="3281" spans="1:18" x14ac:dyDescent="0.3">
      <c r="A3281" s="2">
        <v>3274</v>
      </c>
      <c r="B3281" s="2" t="s">
        <v>7937</v>
      </c>
      <c r="C3281" s="2" t="s">
        <v>3469</v>
      </c>
      <c r="D3281" s="2" t="s">
        <v>15</v>
      </c>
      <c r="E3281" s="2" t="s">
        <v>16</v>
      </c>
      <c r="F3281" s="2">
        <v>90</v>
      </c>
      <c r="G3281" s="2" t="s">
        <v>7938</v>
      </c>
      <c r="H3281" s="2" t="s">
        <v>4992</v>
      </c>
      <c r="I3281" s="2" t="s">
        <v>294</v>
      </c>
      <c r="J3281" s="3">
        <v>44475</v>
      </c>
      <c r="K3281" s="5">
        <f>YEAR(OrganizedData[[#This Row],[Order Date]])</f>
        <v>2021</v>
      </c>
      <c r="L3281" s="7" t="str">
        <f>TEXT(OrganizedData[[#This Row],[Order Date]],"mmm")</f>
        <v>Oct</v>
      </c>
      <c r="M3281" s="2">
        <v>15</v>
      </c>
      <c r="N3281" s="2" t="s">
        <v>45</v>
      </c>
      <c r="O3281" s="2" t="str">
        <f>VLOOKUP(OrganizedData[[#This Row],[Product Code]],ProductData[[Code]:[Item]],2,FALSE)</f>
        <v>Gigastuff</v>
      </c>
      <c r="P3281" s="4">
        <f>OrganizedData[[#This Row],[Quantity]]*VLOOKUP(OrganizedData[[#This Row],[Product Code]],ProductData[],4,FALSE)</f>
        <v>270</v>
      </c>
      <c r="Q3281" s="6">
        <f>OrganizedData[[#This Row],[Total Items Ordered]]*VLOOKUP(OrganizedData[[#This Row],[Product Code]],ProductData[],3,FALSE)</f>
        <v>510.29999999999995</v>
      </c>
      <c r="R32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510.29999999999995</v>
      </c>
    </row>
    <row r="3282" spans="1:18" x14ac:dyDescent="0.3">
      <c r="A3282" s="2">
        <v>3275</v>
      </c>
      <c r="B3282" s="2" t="s">
        <v>7939</v>
      </c>
      <c r="C3282" s="2" t="s">
        <v>4998</v>
      </c>
      <c r="D3282" s="2" t="s">
        <v>15</v>
      </c>
      <c r="E3282" s="2" t="s">
        <v>16</v>
      </c>
      <c r="F3282" s="2">
        <v>30</v>
      </c>
      <c r="G3282" s="2" t="s">
        <v>7940</v>
      </c>
      <c r="H3282" s="2" t="s">
        <v>34</v>
      </c>
      <c r="I3282" s="2" t="s">
        <v>1454</v>
      </c>
      <c r="J3282" s="3">
        <v>44704</v>
      </c>
      <c r="K3282" s="5">
        <f>YEAR(OrganizedData[[#This Row],[Order Date]])</f>
        <v>2022</v>
      </c>
      <c r="L3282" s="7" t="str">
        <f>TEXT(OrganizedData[[#This Row],[Order Date]],"mmm")</f>
        <v>May</v>
      </c>
      <c r="M3282" s="2">
        <v>17</v>
      </c>
      <c r="N3282" s="2" t="s">
        <v>70</v>
      </c>
      <c r="O3282" s="2" t="str">
        <f>VLOOKUP(OrganizedData[[#This Row],[Product Code]],ProductData[[Code]:[Item]],2,FALSE)</f>
        <v>Megawidget M</v>
      </c>
      <c r="P3282" s="4">
        <f>OrganizedData[[#This Row],[Quantity]]*VLOOKUP(OrganizedData[[#This Row],[Product Code]],ProductData[],4,FALSE)</f>
        <v>408</v>
      </c>
      <c r="Q3282" s="6">
        <f>OrganizedData[[#This Row],[Total Items Ordered]]*VLOOKUP(OrganizedData[[#This Row],[Product Code]],ProductData[],3,FALSE)</f>
        <v>526.32000000000005</v>
      </c>
      <c r="R32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526.32000000000005</v>
      </c>
    </row>
    <row r="3283" spans="1:18" x14ac:dyDescent="0.3">
      <c r="A3283" s="2">
        <v>3276</v>
      </c>
      <c r="B3283" s="2" t="s">
        <v>7741</v>
      </c>
      <c r="C3283" s="2" t="s">
        <v>2195</v>
      </c>
      <c r="D3283" s="2" t="s">
        <v>28</v>
      </c>
      <c r="E3283" s="2" t="s">
        <v>29</v>
      </c>
      <c r="F3283" s="2">
        <v>30</v>
      </c>
      <c r="G3283" s="2" t="s">
        <v>7941</v>
      </c>
      <c r="H3283" s="2" t="s">
        <v>966</v>
      </c>
      <c r="I3283" s="2" t="s">
        <v>187</v>
      </c>
      <c r="J3283" s="3">
        <v>44131</v>
      </c>
      <c r="K3283" s="5">
        <f>YEAR(OrganizedData[[#This Row],[Order Date]])</f>
        <v>2020</v>
      </c>
      <c r="L3283" s="7" t="str">
        <f>TEXT(OrganizedData[[#This Row],[Order Date]],"mmm")</f>
        <v>Oct</v>
      </c>
      <c r="M3283" s="2">
        <v>65</v>
      </c>
      <c r="N3283" s="2" t="s">
        <v>64</v>
      </c>
      <c r="O3283" s="2" t="str">
        <f>VLOOKUP(OrganizedData[[#This Row],[Product Code]],ProductData[[Code]:[Item]],2,FALSE)</f>
        <v>Ultrathing V4</v>
      </c>
      <c r="P3283" s="4">
        <f>OrganizedData[[#This Row],[Quantity]]*VLOOKUP(OrganizedData[[#This Row],[Product Code]],ProductData[],4,FALSE)</f>
        <v>1560</v>
      </c>
      <c r="Q3283" s="6">
        <f>OrganizedData[[#This Row],[Total Items Ordered]]*VLOOKUP(OrganizedData[[#This Row],[Product Code]],ProductData[],3,FALSE)</f>
        <v>6224.4000000000005</v>
      </c>
      <c r="R32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5913.18</v>
      </c>
    </row>
    <row r="3284" spans="1:18" x14ac:dyDescent="0.3">
      <c r="A3284" s="2">
        <v>3277</v>
      </c>
      <c r="B3284" s="2" t="s">
        <v>3268</v>
      </c>
      <c r="C3284" s="2" t="s">
        <v>5161</v>
      </c>
      <c r="D3284" s="2" t="s">
        <v>51</v>
      </c>
      <c r="E3284" s="2" t="s">
        <v>16</v>
      </c>
      <c r="F3284" s="2">
        <v>90</v>
      </c>
      <c r="G3284" s="2" t="s">
        <v>7942</v>
      </c>
      <c r="H3284" s="2" t="s">
        <v>974</v>
      </c>
      <c r="I3284" s="2" t="s">
        <v>32</v>
      </c>
      <c r="J3284" s="3">
        <v>44207</v>
      </c>
      <c r="K3284" s="5">
        <f>YEAR(OrganizedData[[#This Row],[Order Date]])</f>
        <v>2021</v>
      </c>
      <c r="L3284" s="7" t="str">
        <f>TEXT(OrganizedData[[#This Row],[Order Date]],"mmm")</f>
        <v>Jan</v>
      </c>
      <c r="M3284" s="2">
        <v>32</v>
      </c>
      <c r="N3284" s="2" t="s">
        <v>101</v>
      </c>
      <c r="O3284" s="2" t="str">
        <f>VLOOKUP(OrganizedData[[#This Row],[Product Code]],ProductData[[Code]:[Item]],2,FALSE)</f>
        <v>Superwossname</v>
      </c>
      <c r="P3284" s="4">
        <f>OrganizedData[[#This Row],[Quantity]]*VLOOKUP(OrganizedData[[#This Row],[Product Code]],ProductData[],4,FALSE)</f>
        <v>640</v>
      </c>
      <c r="Q3284" s="6">
        <f>OrganizedData[[#This Row],[Total Items Ordered]]*VLOOKUP(OrganizedData[[#This Row],[Product Code]],ProductData[],3,FALSE)</f>
        <v>2233.6000000000004</v>
      </c>
      <c r="R32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2166.5920000000001</v>
      </c>
    </row>
    <row r="3285" spans="1:18" x14ac:dyDescent="0.3">
      <c r="A3285" s="2">
        <v>3278</v>
      </c>
      <c r="B3285" s="2" t="s">
        <v>2118</v>
      </c>
      <c r="C3285" s="2" t="s">
        <v>3652</v>
      </c>
      <c r="D3285" s="2" t="s">
        <v>28</v>
      </c>
      <c r="E3285" s="2" t="s">
        <v>29</v>
      </c>
      <c r="F3285" s="2">
        <v>30</v>
      </c>
      <c r="G3285" s="2" t="s">
        <v>7943</v>
      </c>
      <c r="H3285" s="2" t="s">
        <v>7092</v>
      </c>
      <c r="I3285" s="2" t="s">
        <v>32</v>
      </c>
      <c r="J3285" s="3">
        <v>43977</v>
      </c>
      <c r="K3285" s="5">
        <f>YEAR(OrganizedData[[#This Row],[Order Date]])</f>
        <v>2020</v>
      </c>
      <c r="L3285" s="7" t="str">
        <f>TEXT(OrganizedData[[#This Row],[Order Date]],"mmm")</f>
        <v>May</v>
      </c>
      <c r="M3285" s="2">
        <v>61</v>
      </c>
      <c r="N3285" s="2" t="s">
        <v>159</v>
      </c>
      <c r="O3285" s="2" t="str">
        <f>VLOOKUP(OrganizedData[[#This Row],[Product Code]],ProductData[[Code]:[Item]],2,FALSE)</f>
        <v>Ultrathing V3</v>
      </c>
      <c r="P3285" s="4">
        <f>OrganizedData[[#This Row],[Quantity]]*VLOOKUP(OrganizedData[[#This Row],[Product Code]],ProductData[],4,FALSE)</f>
        <v>1464</v>
      </c>
      <c r="Q3285" s="6">
        <f>OrganizedData[[#This Row],[Total Items Ordered]]*VLOOKUP(OrganizedData[[#This Row],[Product Code]],ProductData[],3,FALSE)</f>
        <v>4962.96</v>
      </c>
      <c r="R32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3286" spans="1:18" x14ac:dyDescent="0.3">
      <c r="A3286" s="2">
        <v>3279</v>
      </c>
      <c r="B3286" s="2" t="s">
        <v>7944</v>
      </c>
      <c r="C3286" s="2" t="s">
        <v>5250</v>
      </c>
      <c r="D3286" s="2" t="s">
        <v>28</v>
      </c>
      <c r="E3286" s="2" t="s">
        <v>29</v>
      </c>
      <c r="F3286" s="2">
        <v>60</v>
      </c>
      <c r="G3286" s="2" t="s">
        <v>7945</v>
      </c>
      <c r="H3286" s="2" t="s">
        <v>7946</v>
      </c>
      <c r="I3286" s="2" t="s">
        <v>32</v>
      </c>
      <c r="J3286" s="3">
        <v>44635</v>
      </c>
      <c r="K3286" s="5">
        <f>YEAR(OrganizedData[[#This Row],[Order Date]])</f>
        <v>2022</v>
      </c>
      <c r="L3286" s="7" t="str">
        <f>TEXT(OrganizedData[[#This Row],[Order Date]],"mmm")</f>
        <v>Mar</v>
      </c>
      <c r="M3286" s="2">
        <v>2</v>
      </c>
      <c r="N3286" s="2" t="s">
        <v>39</v>
      </c>
      <c r="O3286" s="2" t="str">
        <f>VLOOKUP(OrganizedData[[#This Row],[Product Code]],ProductData[[Code]:[Item]],2,FALSE)</f>
        <v>Ultrathing V1</v>
      </c>
      <c r="P3286" s="4">
        <f>OrganizedData[[#This Row],[Quantity]]*VLOOKUP(OrganizedData[[#This Row],[Product Code]],ProductData[],4,FALSE)</f>
        <v>34</v>
      </c>
      <c r="Q3286" s="6">
        <f>OrganizedData[[#This Row],[Total Items Ordered]]*VLOOKUP(OrganizedData[[#This Row],[Product Code]],ProductData[],3,FALSE)</f>
        <v>60.86</v>
      </c>
      <c r="R32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3287" spans="1:18" x14ac:dyDescent="0.3">
      <c r="A3287" s="2">
        <v>3280</v>
      </c>
      <c r="B3287" s="2" t="s">
        <v>1572</v>
      </c>
      <c r="C3287" s="2" t="s">
        <v>7947</v>
      </c>
      <c r="D3287" s="2" t="s">
        <v>28</v>
      </c>
      <c r="E3287" s="2" t="s">
        <v>29</v>
      </c>
      <c r="F3287" s="2">
        <v>90</v>
      </c>
      <c r="G3287" s="2" t="s">
        <v>7948</v>
      </c>
      <c r="H3287" s="2" t="s">
        <v>2032</v>
      </c>
      <c r="I3287" s="2" t="s">
        <v>173</v>
      </c>
      <c r="J3287" s="3">
        <v>44581</v>
      </c>
      <c r="K3287" s="5">
        <f>YEAR(OrganizedData[[#This Row],[Order Date]])</f>
        <v>2022</v>
      </c>
      <c r="L3287" s="7" t="str">
        <f>TEXT(OrganizedData[[#This Row],[Order Date]],"mmm")</f>
        <v>Jan</v>
      </c>
      <c r="M3287" s="2">
        <v>84</v>
      </c>
      <c r="N3287" s="2" t="s">
        <v>54</v>
      </c>
      <c r="O3287" s="2" t="str">
        <f>VLOOKUP(OrganizedData[[#This Row],[Product Code]],ProductData[[Code]:[Item]],2,FALSE)</f>
        <v>Megawidget S</v>
      </c>
      <c r="P3287" s="4">
        <f>OrganizedData[[#This Row],[Quantity]]*VLOOKUP(OrganizedData[[#This Row],[Product Code]],ProductData[],4,FALSE)</f>
        <v>2016</v>
      </c>
      <c r="Q3287" s="6">
        <f>OrganizedData[[#This Row],[Total Items Ordered]]*VLOOKUP(OrganizedData[[#This Row],[Product Code]],ProductData[],3,FALSE)</f>
        <v>1391.04</v>
      </c>
      <c r="R32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1321.4879999999998</v>
      </c>
    </row>
    <row r="3288" spans="1:18" x14ac:dyDescent="0.3">
      <c r="A3288" s="2">
        <v>3281</v>
      </c>
      <c r="B3288" s="2" t="s">
        <v>7319</v>
      </c>
      <c r="C3288" s="2" t="s">
        <v>3652</v>
      </c>
      <c r="D3288" s="2" t="s">
        <v>51</v>
      </c>
      <c r="E3288" s="2" t="s">
        <v>16</v>
      </c>
      <c r="F3288" s="2">
        <v>30</v>
      </c>
      <c r="G3288" s="2" t="s">
        <v>7949</v>
      </c>
      <c r="H3288" s="2" t="s">
        <v>875</v>
      </c>
      <c r="I3288" s="2" t="s">
        <v>187</v>
      </c>
      <c r="J3288" s="3">
        <v>44862</v>
      </c>
      <c r="K3288" s="5">
        <f>YEAR(OrganizedData[[#This Row],[Order Date]])</f>
        <v>2022</v>
      </c>
      <c r="L3288" s="7" t="str">
        <f>TEXT(OrganizedData[[#This Row],[Order Date]],"mmm")</f>
        <v>Oct</v>
      </c>
      <c r="M3288" s="2">
        <v>82</v>
      </c>
      <c r="N3288" s="2" t="s">
        <v>159</v>
      </c>
      <c r="O3288" s="2" t="str">
        <f>VLOOKUP(OrganizedData[[#This Row],[Product Code]],ProductData[[Code]:[Item]],2,FALSE)</f>
        <v>Ultrathing V3</v>
      </c>
      <c r="P3288" s="4">
        <f>OrganizedData[[#This Row],[Quantity]]*VLOOKUP(OrganizedData[[#This Row],[Product Code]],ProductData[],4,FALSE)</f>
        <v>1968</v>
      </c>
      <c r="Q3288" s="6">
        <f>OrganizedData[[#This Row],[Total Items Ordered]]*VLOOKUP(OrganizedData[[#This Row],[Product Code]],ProductData[],3,FALSE)</f>
        <v>6671.52</v>
      </c>
      <c r="R32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6337.9440000000004</v>
      </c>
    </row>
    <row r="3289" spans="1:18" x14ac:dyDescent="0.3">
      <c r="A3289" s="2">
        <v>3282</v>
      </c>
      <c r="B3289" s="2" t="s">
        <v>2932</v>
      </c>
      <c r="C3289" s="2" t="s">
        <v>4218</v>
      </c>
      <c r="D3289" s="2" t="s">
        <v>28</v>
      </c>
      <c r="E3289" s="2" t="s">
        <v>29</v>
      </c>
      <c r="F3289" s="2">
        <v>30</v>
      </c>
      <c r="G3289" s="2" t="s">
        <v>7950</v>
      </c>
      <c r="H3289" s="2" t="s">
        <v>4285</v>
      </c>
      <c r="I3289" s="2" t="s">
        <v>124</v>
      </c>
      <c r="J3289" s="3">
        <v>43948</v>
      </c>
      <c r="K3289" s="5">
        <f>YEAR(OrganizedData[[#This Row],[Order Date]])</f>
        <v>2020</v>
      </c>
      <c r="L3289" s="7" t="str">
        <f>TEXT(OrganizedData[[#This Row],[Order Date]],"mmm")</f>
        <v>Apr</v>
      </c>
      <c r="M3289" s="2">
        <v>35</v>
      </c>
      <c r="N3289" s="2" t="s">
        <v>159</v>
      </c>
      <c r="O3289" s="2" t="str">
        <f>VLOOKUP(OrganizedData[[#This Row],[Product Code]],ProductData[[Code]:[Item]],2,FALSE)</f>
        <v>Ultrathing V3</v>
      </c>
      <c r="P3289" s="4">
        <f>OrganizedData[[#This Row],[Quantity]]*VLOOKUP(OrganizedData[[#This Row],[Product Code]],ProductData[],4,FALSE)</f>
        <v>840</v>
      </c>
      <c r="Q3289" s="6">
        <f>OrganizedData[[#This Row],[Total Items Ordered]]*VLOOKUP(OrganizedData[[#This Row],[Product Code]],ProductData[],3,FALSE)</f>
        <v>2847.6</v>
      </c>
      <c r="R32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2762.172</v>
      </c>
    </row>
    <row r="3290" spans="1:18" x14ac:dyDescent="0.3">
      <c r="A3290" s="2">
        <v>3283</v>
      </c>
      <c r="B3290" s="2" t="s">
        <v>7314</v>
      </c>
      <c r="C3290" s="2" t="s">
        <v>5318</v>
      </c>
      <c r="D3290" s="2" t="s">
        <v>28</v>
      </c>
      <c r="E3290" s="2" t="s">
        <v>29</v>
      </c>
      <c r="F3290" s="2">
        <v>30</v>
      </c>
      <c r="G3290" s="2" t="s">
        <v>7951</v>
      </c>
      <c r="H3290" s="2" t="s">
        <v>2169</v>
      </c>
      <c r="I3290" s="2" t="s">
        <v>32</v>
      </c>
      <c r="J3290" s="3">
        <v>43876</v>
      </c>
      <c r="K3290" s="5">
        <f>YEAR(OrganizedData[[#This Row],[Order Date]])</f>
        <v>2020</v>
      </c>
      <c r="L3290" s="7" t="str">
        <f>TEXT(OrganizedData[[#This Row],[Order Date]],"mmm")</f>
        <v>Feb</v>
      </c>
      <c r="M3290" s="2">
        <v>60</v>
      </c>
      <c r="N3290" s="2" t="s">
        <v>20</v>
      </c>
      <c r="O3290" s="2" t="str">
        <f>VLOOKUP(OrganizedData[[#This Row],[Product Code]],ProductData[[Code]:[Item]],2,FALSE)</f>
        <v>Hyperwotsit</v>
      </c>
      <c r="P3290" s="4">
        <f>OrganizedData[[#This Row],[Quantity]]*VLOOKUP(OrganizedData[[#This Row],[Product Code]],ProductData[],4,FALSE)</f>
        <v>1200</v>
      </c>
      <c r="Q3290" s="6">
        <f>OrganizedData[[#This Row],[Total Items Ordered]]*VLOOKUP(OrganizedData[[#This Row],[Product Code]],ProductData[],3,FALSE)</f>
        <v>2411.9999999999995</v>
      </c>
      <c r="R32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2291.3999999999996</v>
      </c>
    </row>
    <row r="3291" spans="1:18" x14ac:dyDescent="0.3">
      <c r="A3291" s="2">
        <v>3284</v>
      </c>
      <c r="B3291" s="2" t="s">
        <v>7952</v>
      </c>
      <c r="C3291" s="2" t="s">
        <v>7953</v>
      </c>
      <c r="D3291" s="2" t="s">
        <v>51</v>
      </c>
      <c r="E3291" s="2" t="s">
        <v>16</v>
      </c>
      <c r="F3291" s="2">
        <v>30</v>
      </c>
      <c r="G3291" s="2" t="s">
        <v>7954</v>
      </c>
      <c r="H3291" s="2" t="s">
        <v>3010</v>
      </c>
      <c r="I3291" s="2" t="s">
        <v>187</v>
      </c>
      <c r="J3291" s="3">
        <v>44688</v>
      </c>
      <c r="K3291" s="5">
        <f>YEAR(OrganizedData[[#This Row],[Order Date]])</f>
        <v>2022</v>
      </c>
      <c r="L3291" s="7" t="str">
        <f>TEXT(OrganizedData[[#This Row],[Order Date]],"mmm")</f>
        <v>May</v>
      </c>
      <c r="M3291" s="2">
        <v>72</v>
      </c>
      <c r="N3291" s="2" t="s">
        <v>33</v>
      </c>
      <c r="O3291" s="2" t="str">
        <f>VLOOKUP(OrganizedData[[#This Row],[Product Code]],ProductData[[Code]:[Item]],2,FALSE)</f>
        <v>Megawidget L</v>
      </c>
      <c r="P3291" s="4">
        <f>OrganizedData[[#This Row],[Quantity]]*VLOOKUP(OrganizedData[[#This Row],[Product Code]],ProductData[],4,FALSE)</f>
        <v>1728</v>
      </c>
      <c r="Q3291" s="6">
        <f>OrganizedData[[#This Row],[Total Items Ordered]]*VLOOKUP(OrganizedData[[#This Row],[Product Code]],ProductData[],3,FALSE)</f>
        <v>3093.12</v>
      </c>
      <c r="R32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2938.4639999999999</v>
      </c>
    </row>
    <row r="3292" spans="1:18" x14ac:dyDescent="0.3">
      <c r="A3292" s="2">
        <v>3285</v>
      </c>
      <c r="B3292" s="2" t="s">
        <v>2829</v>
      </c>
      <c r="C3292" s="2" t="s">
        <v>7955</v>
      </c>
      <c r="D3292" s="2" t="s">
        <v>28</v>
      </c>
      <c r="E3292" s="2" t="s">
        <v>29</v>
      </c>
      <c r="F3292" s="2">
        <v>60</v>
      </c>
      <c r="G3292" s="2" t="s">
        <v>7956</v>
      </c>
      <c r="H3292" s="2" t="s">
        <v>5243</v>
      </c>
      <c r="I3292" s="2" t="s">
        <v>25</v>
      </c>
      <c r="J3292" s="3">
        <v>43987</v>
      </c>
      <c r="K3292" s="5">
        <f>YEAR(OrganizedData[[#This Row],[Order Date]])</f>
        <v>2020</v>
      </c>
      <c r="L3292" s="7" t="str">
        <f>TEXT(OrganizedData[[#This Row],[Order Date]],"mmm")</f>
        <v>Jun</v>
      </c>
      <c r="M3292" s="2">
        <v>33</v>
      </c>
      <c r="N3292" s="2" t="s">
        <v>70</v>
      </c>
      <c r="O3292" s="2" t="str">
        <f>VLOOKUP(OrganizedData[[#This Row],[Product Code]],ProductData[[Code]:[Item]],2,FALSE)</f>
        <v>Megawidget M</v>
      </c>
      <c r="P3292" s="4">
        <f>OrganizedData[[#This Row],[Quantity]]*VLOOKUP(OrganizedData[[#This Row],[Product Code]],ProductData[],4,FALSE)</f>
        <v>792</v>
      </c>
      <c r="Q3292" s="6">
        <f>OrganizedData[[#This Row],[Total Items Ordered]]*VLOOKUP(OrganizedData[[#This Row],[Product Code]],ProductData[],3,FALSE)</f>
        <v>1021.6800000000001</v>
      </c>
      <c r="R32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991.02960000000007</v>
      </c>
    </row>
    <row r="3293" spans="1:18" x14ac:dyDescent="0.3">
      <c r="A3293" s="2">
        <v>3286</v>
      </c>
      <c r="B3293" s="2" t="s">
        <v>5916</v>
      </c>
      <c r="C3293" s="2" t="s">
        <v>5502</v>
      </c>
      <c r="D3293" s="2" t="s">
        <v>28</v>
      </c>
      <c r="E3293" s="2" t="s">
        <v>29</v>
      </c>
      <c r="F3293" s="2">
        <v>60</v>
      </c>
      <c r="G3293" s="2" t="s">
        <v>7957</v>
      </c>
      <c r="H3293" s="2" t="s">
        <v>641</v>
      </c>
      <c r="I3293" s="2" t="s">
        <v>294</v>
      </c>
      <c r="J3293" s="3">
        <v>44688</v>
      </c>
      <c r="K3293" s="5">
        <f>YEAR(OrganizedData[[#This Row],[Order Date]])</f>
        <v>2022</v>
      </c>
      <c r="L3293" s="7" t="str">
        <f>TEXT(OrganizedData[[#This Row],[Order Date]],"mmm")</f>
        <v>May</v>
      </c>
      <c r="M3293" s="2">
        <v>60</v>
      </c>
      <c r="N3293" s="2" t="s">
        <v>70</v>
      </c>
      <c r="O3293" s="2" t="str">
        <f>VLOOKUP(OrganizedData[[#This Row],[Product Code]],ProductData[[Code]:[Item]],2,FALSE)</f>
        <v>Megawidget M</v>
      </c>
      <c r="P3293" s="4">
        <f>OrganizedData[[#This Row],[Quantity]]*VLOOKUP(OrganizedData[[#This Row],[Product Code]],ProductData[],4,FALSE)</f>
        <v>1440</v>
      </c>
      <c r="Q3293" s="6">
        <f>OrganizedData[[#This Row],[Total Items Ordered]]*VLOOKUP(OrganizedData[[#This Row],[Product Code]],ProductData[],3,FALSE)</f>
        <v>1857.6000000000001</v>
      </c>
      <c r="R32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1764.72</v>
      </c>
    </row>
    <row r="3294" spans="1:18" x14ac:dyDescent="0.3">
      <c r="A3294" s="2">
        <v>3287</v>
      </c>
      <c r="B3294" s="2" t="s">
        <v>7958</v>
      </c>
      <c r="C3294" s="2" t="s">
        <v>4813</v>
      </c>
      <c r="D3294" s="2" t="s">
        <v>28</v>
      </c>
      <c r="E3294" s="2" t="s">
        <v>29</v>
      </c>
      <c r="F3294" s="2">
        <v>30</v>
      </c>
      <c r="G3294" s="2" t="s">
        <v>7959</v>
      </c>
      <c r="H3294" s="2" t="s">
        <v>4049</v>
      </c>
      <c r="I3294" s="2" t="s">
        <v>32</v>
      </c>
      <c r="J3294" s="3">
        <v>44183</v>
      </c>
      <c r="K3294" s="5">
        <f>YEAR(OrganizedData[[#This Row],[Order Date]])</f>
        <v>2020</v>
      </c>
      <c r="L3294" s="7" t="str">
        <f>TEXT(OrganizedData[[#This Row],[Order Date]],"mmm")</f>
        <v>Dec</v>
      </c>
      <c r="M3294" s="2">
        <v>13</v>
      </c>
      <c r="N3294" s="2" t="s">
        <v>45</v>
      </c>
      <c r="O3294" s="2" t="str">
        <f>VLOOKUP(OrganizedData[[#This Row],[Product Code]],ProductData[[Code]:[Item]],2,FALSE)</f>
        <v>Gigastuff</v>
      </c>
      <c r="P3294" s="4">
        <f>OrganizedData[[#This Row],[Quantity]]*VLOOKUP(OrganizedData[[#This Row],[Product Code]],ProductData[],4,FALSE)</f>
        <v>234</v>
      </c>
      <c r="Q3294" s="6">
        <f>OrganizedData[[#This Row],[Total Items Ordered]]*VLOOKUP(OrganizedData[[#This Row],[Product Code]],ProductData[],3,FALSE)</f>
        <v>442.26</v>
      </c>
      <c r="R32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3295" spans="1:18" x14ac:dyDescent="0.3">
      <c r="A3295" s="2">
        <v>3288</v>
      </c>
      <c r="B3295" s="2" t="s">
        <v>7960</v>
      </c>
      <c r="C3295" s="2" t="s">
        <v>2813</v>
      </c>
      <c r="D3295" s="2" t="s">
        <v>51</v>
      </c>
      <c r="E3295" s="2" t="s">
        <v>16</v>
      </c>
      <c r="F3295" s="2">
        <v>90</v>
      </c>
      <c r="G3295" s="2" t="s">
        <v>7961</v>
      </c>
      <c r="H3295" s="2" t="s">
        <v>3242</v>
      </c>
      <c r="I3295" s="2" t="s">
        <v>32</v>
      </c>
      <c r="J3295" s="3">
        <v>44892</v>
      </c>
      <c r="K3295" s="5">
        <f>YEAR(OrganizedData[[#This Row],[Order Date]])</f>
        <v>2022</v>
      </c>
      <c r="L3295" s="7" t="str">
        <f>TEXT(OrganizedData[[#This Row],[Order Date]],"mmm")</f>
        <v>Nov</v>
      </c>
      <c r="M3295" s="2">
        <v>64</v>
      </c>
      <c r="N3295" s="2" t="s">
        <v>80</v>
      </c>
      <c r="O3295" s="2" t="str">
        <f>VLOOKUP(OrganizedData[[#This Row],[Product Code]],ProductData[[Code]:[Item]],2,FALSE)</f>
        <v>Ultrathing V2</v>
      </c>
      <c r="P3295" s="4">
        <f>OrganizedData[[#This Row],[Quantity]]*VLOOKUP(OrganizedData[[#This Row],[Product Code]],ProductData[],4,FALSE)</f>
        <v>1280</v>
      </c>
      <c r="Q3295" s="6">
        <f>OrganizedData[[#This Row],[Total Items Ordered]]*VLOOKUP(OrganizedData[[#This Row],[Product Code]],ProductData[],3,FALSE)</f>
        <v>3776</v>
      </c>
      <c r="R32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3587.2</v>
      </c>
    </row>
    <row r="3296" spans="1:18" x14ac:dyDescent="0.3">
      <c r="A3296" s="2">
        <v>3289</v>
      </c>
      <c r="B3296" s="2" t="s">
        <v>343</v>
      </c>
      <c r="C3296" s="2" t="s">
        <v>7962</v>
      </c>
      <c r="D3296" s="2" t="s">
        <v>28</v>
      </c>
      <c r="E3296" s="2" t="s">
        <v>29</v>
      </c>
      <c r="F3296" s="2">
        <v>30</v>
      </c>
      <c r="G3296" s="2" t="s">
        <v>7961</v>
      </c>
      <c r="H3296" s="2" t="s">
        <v>3263</v>
      </c>
      <c r="I3296" s="2" t="s">
        <v>32</v>
      </c>
      <c r="J3296" s="3">
        <v>44474</v>
      </c>
      <c r="K3296" s="5">
        <f>YEAR(OrganizedData[[#This Row],[Order Date]])</f>
        <v>2021</v>
      </c>
      <c r="L3296" s="7" t="str">
        <f>TEXT(OrganizedData[[#This Row],[Order Date]],"mmm")</f>
        <v>Oct</v>
      </c>
      <c r="M3296" s="2">
        <v>78</v>
      </c>
      <c r="N3296" s="2" t="s">
        <v>159</v>
      </c>
      <c r="O3296" s="2" t="str">
        <f>VLOOKUP(OrganizedData[[#This Row],[Product Code]],ProductData[[Code]:[Item]],2,FALSE)</f>
        <v>Ultrathing V3</v>
      </c>
      <c r="P3296" s="4">
        <f>OrganizedData[[#This Row],[Quantity]]*VLOOKUP(OrganizedData[[#This Row],[Product Code]],ProductData[],4,FALSE)</f>
        <v>1872</v>
      </c>
      <c r="Q3296" s="6">
        <f>OrganizedData[[#This Row],[Total Items Ordered]]*VLOOKUP(OrganizedData[[#This Row],[Product Code]],ProductData[],3,FALSE)</f>
        <v>6346.08</v>
      </c>
      <c r="R32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3297" spans="1:18" x14ac:dyDescent="0.3">
      <c r="A3297" s="2">
        <v>3290</v>
      </c>
      <c r="B3297" s="2" t="s">
        <v>7963</v>
      </c>
      <c r="C3297" s="2" t="s">
        <v>3872</v>
      </c>
      <c r="D3297" s="2" t="s">
        <v>51</v>
      </c>
      <c r="E3297" s="2" t="s">
        <v>16</v>
      </c>
      <c r="F3297" s="2">
        <v>30</v>
      </c>
      <c r="G3297" s="2" t="s">
        <v>7964</v>
      </c>
      <c r="H3297" s="2" t="s">
        <v>7965</v>
      </c>
      <c r="I3297" s="2" t="s">
        <v>38</v>
      </c>
      <c r="J3297" s="3">
        <v>44624</v>
      </c>
      <c r="K3297" s="5">
        <f>YEAR(OrganizedData[[#This Row],[Order Date]])</f>
        <v>2022</v>
      </c>
      <c r="L3297" s="7" t="str">
        <f>TEXT(OrganizedData[[#This Row],[Order Date]],"mmm")</f>
        <v>Mar</v>
      </c>
      <c r="M3297" s="2">
        <v>68</v>
      </c>
      <c r="N3297" s="2" t="s">
        <v>80</v>
      </c>
      <c r="O3297" s="2" t="str">
        <f>VLOOKUP(OrganizedData[[#This Row],[Product Code]],ProductData[[Code]:[Item]],2,FALSE)</f>
        <v>Ultrathing V2</v>
      </c>
      <c r="P3297" s="4">
        <f>OrganizedData[[#This Row],[Quantity]]*VLOOKUP(OrganizedData[[#This Row],[Product Code]],ProductData[],4,FALSE)</f>
        <v>1360</v>
      </c>
      <c r="Q3297" s="6">
        <f>OrganizedData[[#This Row],[Total Items Ordered]]*VLOOKUP(OrganizedData[[#This Row],[Product Code]],ProductData[],3,FALSE)</f>
        <v>4012.0000000000005</v>
      </c>
      <c r="R32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3298" spans="1:18" x14ac:dyDescent="0.3">
      <c r="A3298" s="2">
        <v>3291</v>
      </c>
      <c r="B3298" s="2" t="s">
        <v>990</v>
      </c>
      <c r="C3298" s="2" t="s">
        <v>1317</v>
      </c>
      <c r="D3298" s="2" t="s">
        <v>28</v>
      </c>
      <c r="E3298" s="2" t="s">
        <v>29</v>
      </c>
      <c r="F3298" s="2">
        <v>30</v>
      </c>
      <c r="G3298" s="2" t="s">
        <v>7966</v>
      </c>
      <c r="H3298" s="2" t="s">
        <v>1819</v>
      </c>
      <c r="I3298" s="2" t="s">
        <v>89</v>
      </c>
      <c r="J3298" s="3">
        <v>44594</v>
      </c>
      <c r="K3298" s="5">
        <f>YEAR(OrganizedData[[#This Row],[Order Date]])</f>
        <v>2022</v>
      </c>
      <c r="L3298" s="7" t="str">
        <f>TEXT(OrganizedData[[#This Row],[Order Date]],"mmm")</f>
        <v>Feb</v>
      </c>
      <c r="M3298" s="2">
        <v>30</v>
      </c>
      <c r="N3298" s="2" t="s">
        <v>54</v>
      </c>
      <c r="O3298" s="2" t="str">
        <f>VLOOKUP(OrganizedData[[#This Row],[Product Code]],ProductData[[Code]:[Item]],2,FALSE)</f>
        <v>Megawidget S</v>
      </c>
      <c r="P3298" s="4">
        <f>OrganizedData[[#This Row],[Quantity]]*VLOOKUP(OrganizedData[[#This Row],[Product Code]],ProductData[],4,FALSE)</f>
        <v>720</v>
      </c>
      <c r="Q3298" s="6">
        <f>OrganizedData[[#This Row],[Total Items Ordered]]*VLOOKUP(OrganizedData[[#This Row],[Product Code]],ProductData[],3,FALSE)</f>
        <v>496.79999999999995</v>
      </c>
      <c r="R32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481.89599999999996</v>
      </c>
    </row>
    <row r="3299" spans="1:18" x14ac:dyDescent="0.3">
      <c r="A3299" s="2">
        <v>3292</v>
      </c>
      <c r="B3299" s="2" t="s">
        <v>7365</v>
      </c>
      <c r="C3299" s="2" t="s">
        <v>3569</v>
      </c>
      <c r="D3299" s="2" t="s">
        <v>51</v>
      </c>
      <c r="E3299" s="2" t="s">
        <v>16</v>
      </c>
      <c r="F3299" s="2">
        <v>90</v>
      </c>
      <c r="G3299" s="2" t="s">
        <v>7967</v>
      </c>
      <c r="H3299" s="2" t="s">
        <v>4361</v>
      </c>
      <c r="I3299" s="2" t="s">
        <v>4362</v>
      </c>
      <c r="J3299" s="3">
        <v>43871</v>
      </c>
      <c r="K3299" s="5">
        <f>YEAR(OrganizedData[[#This Row],[Order Date]])</f>
        <v>2020</v>
      </c>
      <c r="L3299" s="7" t="str">
        <f>TEXT(OrganizedData[[#This Row],[Order Date]],"mmm")</f>
        <v>Feb</v>
      </c>
      <c r="M3299" s="2">
        <v>43</v>
      </c>
      <c r="N3299" s="2" t="s">
        <v>70</v>
      </c>
      <c r="O3299" s="2" t="str">
        <f>VLOOKUP(OrganizedData[[#This Row],[Product Code]],ProductData[[Code]:[Item]],2,FALSE)</f>
        <v>Megawidget M</v>
      </c>
      <c r="P3299" s="4">
        <f>OrganizedData[[#This Row],[Quantity]]*VLOOKUP(OrganizedData[[#This Row],[Product Code]],ProductData[],4,FALSE)</f>
        <v>1032</v>
      </c>
      <c r="Q3299" s="6">
        <f>OrganizedData[[#This Row],[Total Items Ordered]]*VLOOKUP(OrganizedData[[#This Row],[Product Code]],ProductData[],3,FALSE)</f>
        <v>1331.28</v>
      </c>
      <c r="R32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3300" spans="1:18" x14ac:dyDescent="0.3">
      <c r="A3300" s="2">
        <v>3293</v>
      </c>
      <c r="B3300" s="2" t="s">
        <v>3429</v>
      </c>
      <c r="C3300" s="2" t="s">
        <v>3549</v>
      </c>
      <c r="D3300" s="2" t="s">
        <v>92</v>
      </c>
      <c r="E3300" s="2" t="s">
        <v>29</v>
      </c>
      <c r="F3300" s="2">
        <v>30</v>
      </c>
      <c r="G3300" s="2" t="s">
        <v>7968</v>
      </c>
      <c r="H3300" s="2" t="s">
        <v>2866</v>
      </c>
      <c r="I3300" s="2" t="s">
        <v>32</v>
      </c>
      <c r="J3300" s="3">
        <v>43958</v>
      </c>
      <c r="K3300" s="5">
        <f>YEAR(OrganizedData[[#This Row],[Order Date]])</f>
        <v>2020</v>
      </c>
      <c r="L3300" s="7" t="str">
        <f>TEXT(OrganizedData[[#This Row],[Order Date]],"mmm")</f>
        <v>May</v>
      </c>
      <c r="M3300" s="2">
        <v>76</v>
      </c>
      <c r="N3300" s="2" t="s">
        <v>80</v>
      </c>
      <c r="O3300" s="2" t="str">
        <f>VLOOKUP(OrganizedData[[#This Row],[Product Code]],ProductData[[Code]:[Item]],2,FALSE)</f>
        <v>Ultrathing V2</v>
      </c>
      <c r="P3300" s="4">
        <f>OrganizedData[[#This Row],[Quantity]]*VLOOKUP(OrganizedData[[#This Row],[Product Code]],ProductData[],4,FALSE)</f>
        <v>1520</v>
      </c>
      <c r="Q3300" s="6">
        <f>OrganizedData[[#This Row],[Total Items Ordered]]*VLOOKUP(OrganizedData[[#This Row],[Product Code]],ProductData[],3,FALSE)</f>
        <v>4484</v>
      </c>
      <c r="R33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4259.8</v>
      </c>
    </row>
    <row r="3301" spans="1:18" x14ac:dyDescent="0.3">
      <c r="A3301" s="2">
        <v>3294</v>
      </c>
      <c r="B3301" s="2" t="s">
        <v>2823</v>
      </c>
      <c r="C3301" s="2" t="s">
        <v>7622</v>
      </c>
      <c r="D3301" s="2" t="s">
        <v>51</v>
      </c>
      <c r="E3301" s="2" t="s">
        <v>16</v>
      </c>
      <c r="F3301" s="2">
        <v>90</v>
      </c>
      <c r="G3301" s="2" t="s">
        <v>7969</v>
      </c>
      <c r="H3301" s="2" t="s">
        <v>2678</v>
      </c>
      <c r="I3301" s="2" t="s">
        <v>32</v>
      </c>
      <c r="J3301" s="3">
        <v>44689</v>
      </c>
      <c r="K3301" s="5">
        <f>YEAR(OrganizedData[[#This Row],[Order Date]])</f>
        <v>2022</v>
      </c>
      <c r="L3301" s="7" t="str">
        <f>TEXT(OrganizedData[[#This Row],[Order Date]],"mmm")</f>
        <v>May</v>
      </c>
      <c r="M3301" s="2">
        <v>36</v>
      </c>
      <c r="N3301" s="2" t="s">
        <v>54</v>
      </c>
      <c r="O3301" s="2" t="str">
        <f>VLOOKUP(OrganizedData[[#This Row],[Product Code]],ProductData[[Code]:[Item]],2,FALSE)</f>
        <v>Megawidget S</v>
      </c>
      <c r="P3301" s="4">
        <f>OrganizedData[[#This Row],[Quantity]]*VLOOKUP(OrganizedData[[#This Row],[Product Code]],ProductData[],4,FALSE)</f>
        <v>864</v>
      </c>
      <c r="Q3301" s="6">
        <f>OrganizedData[[#This Row],[Total Items Ordered]]*VLOOKUP(OrganizedData[[#This Row],[Product Code]],ProductData[],3,FALSE)</f>
        <v>596.16</v>
      </c>
      <c r="R33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578.27519999999993</v>
      </c>
    </row>
    <row r="3302" spans="1:18" x14ac:dyDescent="0.3">
      <c r="A3302" s="2">
        <v>3295</v>
      </c>
      <c r="B3302" s="2" t="s">
        <v>7970</v>
      </c>
      <c r="C3302" s="2" t="s">
        <v>4131</v>
      </c>
      <c r="D3302" s="2" t="s">
        <v>51</v>
      </c>
      <c r="E3302" s="2" t="s">
        <v>16</v>
      </c>
      <c r="F3302" s="2">
        <v>60</v>
      </c>
      <c r="G3302" s="2" t="s">
        <v>7971</v>
      </c>
      <c r="H3302" s="2" t="s">
        <v>641</v>
      </c>
      <c r="I3302" s="2" t="s">
        <v>294</v>
      </c>
      <c r="J3302" s="3">
        <v>43863</v>
      </c>
      <c r="K3302" s="5">
        <f>YEAR(OrganizedData[[#This Row],[Order Date]])</f>
        <v>2020</v>
      </c>
      <c r="L3302" s="7" t="str">
        <f>TEXT(OrganizedData[[#This Row],[Order Date]],"mmm")</f>
        <v>Feb</v>
      </c>
      <c r="M3302" s="2">
        <v>31</v>
      </c>
      <c r="N3302" s="2" t="s">
        <v>39</v>
      </c>
      <c r="O3302" s="2" t="str">
        <f>VLOOKUP(OrganizedData[[#This Row],[Product Code]],ProductData[[Code]:[Item]],2,FALSE)</f>
        <v>Ultrathing V1</v>
      </c>
      <c r="P3302" s="4">
        <f>OrganizedData[[#This Row],[Quantity]]*VLOOKUP(OrganizedData[[#This Row],[Product Code]],ProductData[],4,FALSE)</f>
        <v>527</v>
      </c>
      <c r="Q3302" s="6">
        <f>OrganizedData[[#This Row],[Total Items Ordered]]*VLOOKUP(OrganizedData[[#This Row],[Product Code]],ProductData[],3,FALSE)</f>
        <v>943.33</v>
      </c>
      <c r="R33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3303" spans="1:18" x14ac:dyDescent="0.3">
      <c r="A3303" s="2">
        <v>3296</v>
      </c>
      <c r="B3303" s="2" t="s">
        <v>7972</v>
      </c>
      <c r="C3303" s="2" t="s">
        <v>7973</v>
      </c>
      <c r="D3303" s="2" t="s">
        <v>15</v>
      </c>
      <c r="E3303" s="2" t="s">
        <v>16</v>
      </c>
      <c r="F3303" s="2">
        <v>60</v>
      </c>
      <c r="G3303" s="2" t="s">
        <v>7974</v>
      </c>
      <c r="H3303" s="2" t="s">
        <v>163</v>
      </c>
      <c r="I3303" s="2" t="s">
        <v>164</v>
      </c>
      <c r="J3303" s="3">
        <v>44485</v>
      </c>
      <c r="K3303" s="5">
        <f>YEAR(OrganizedData[[#This Row],[Order Date]])</f>
        <v>2021</v>
      </c>
      <c r="L3303" s="7" t="str">
        <f>TEXT(OrganizedData[[#This Row],[Order Date]],"mmm")</f>
        <v>Oct</v>
      </c>
      <c r="M3303" s="2">
        <v>94</v>
      </c>
      <c r="N3303" s="2" t="s">
        <v>70</v>
      </c>
      <c r="O3303" s="2" t="str">
        <f>VLOOKUP(OrganizedData[[#This Row],[Product Code]],ProductData[[Code]:[Item]],2,FALSE)</f>
        <v>Megawidget M</v>
      </c>
      <c r="P3303" s="4">
        <f>OrganizedData[[#This Row],[Quantity]]*VLOOKUP(OrganizedData[[#This Row],[Product Code]],ProductData[],4,FALSE)</f>
        <v>2256</v>
      </c>
      <c r="Q3303" s="6">
        <f>OrganizedData[[#This Row],[Total Items Ordered]]*VLOOKUP(OrganizedData[[#This Row],[Product Code]],ProductData[],3,FALSE)</f>
        <v>2910.2400000000002</v>
      </c>
      <c r="R33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2764.7280000000001</v>
      </c>
    </row>
    <row r="3304" spans="1:18" x14ac:dyDescent="0.3">
      <c r="A3304" s="2">
        <v>3297</v>
      </c>
      <c r="B3304" s="2" t="s">
        <v>375</v>
      </c>
      <c r="C3304" s="2" t="s">
        <v>2276</v>
      </c>
      <c r="D3304" s="2" t="s">
        <v>28</v>
      </c>
      <c r="E3304" s="2" t="s">
        <v>29</v>
      </c>
      <c r="F3304" s="2">
        <v>30</v>
      </c>
      <c r="G3304" s="2" t="s">
        <v>7975</v>
      </c>
      <c r="H3304" s="2" t="s">
        <v>1477</v>
      </c>
      <c r="I3304" s="2" t="s">
        <v>1478</v>
      </c>
      <c r="J3304" s="3">
        <v>44593</v>
      </c>
      <c r="K3304" s="5">
        <f>YEAR(OrganizedData[[#This Row],[Order Date]])</f>
        <v>2022</v>
      </c>
      <c r="L3304" s="7" t="str">
        <f>TEXT(OrganizedData[[#This Row],[Order Date]],"mmm")</f>
        <v>Feb</v>
      </c>
      <c r="M3304" s="2">
        <v>97</v>
      </c>
      <c r="N3304" s="2" t="s">
        <v>101</v>
      </c>
      <c r="O3304" s="2" t="str">
        <f>VLOOKUP(OrganizedData[[#This Row],[Product Code]],ProductData[[Code]:[Item]],2,FALSE)</f>
        <v>Superwossname</v>
      </c>
      <c r="P3304" s="4">
        <f>OrganizedData[[#This Row],[Quantity]]*VLOOKUP(OrganizedData[[#This Row],[Product Code]],ProductData[],4,FALSE)</f>
        <v>1940</v>
      </c>
      <c r="Q3304" s="6">
        <f>OrganizedData[[#This Row],[Total Items Ordered]]*VLOOKUP(OrganizedData[[#This Row],[Product Code]],ProductData[],3,FALSE)</f>
        <v>6770.6</v>
      </c>
      <c r="R33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6432.07</v>
      </c>
    </row>
    <row r="3305" spans="1:18" x14ac:dyDescent="0.3">
      <c r="A3305" s="2">
        <v>3298</v>
      </c>
      <c r="B3305" s="2" t="s">
        <v>7976</v>
      </c>
      <c r="C3305" s="2" t="s">
        <v>708</v>
      </c>
      <c r="D3305" s="2" t="s">
        <v>28</v>
      </c>
      <c r="E3305" s="2" t="s">
        <v>29</v>
      </c>
      <c r="F3305" s="2">
        <v>90</v>
      </c>
      <c r="G3305" s="2" t="s">
        <v>7977</v>
      </c>
      <c r="H3305" s="2" t="s">
        <v>2479</v>
      </c>
      <c r="I3305" s="2" t="s">
        <v>1233</v>
      </c>
      <c r="J3305" s="3">
        <v>44386</v>
      </c>
      <c r="K3305" s="5">
        <f>YEAR(OrganizedData[[#This Row],[Order Date]])</f>
        <v>2021</v>
      </c>
      <c r="L3305" s="7" t="str">
        <f>TEXT(OrganizedData[[#This Row],[Order Date]],"mmm")</f>
        <v>Jul</v>
      </c>
      <c r="M3305" s="2">
        <v>33</v>
      </c>
      <c r="N3305" s="2" t="s">
        <v>101</v>
      </c>
      <c r="O3305" s="2" t="str">
        <f>VLOOKUP(OrganizedData[[#This Row],[Product Code]],ProductData[[Code]:[Item]],2,FALSE)</f>
        <v>Superwossname</v>
      </c>
      <c r="P3305" s="4">
        <f>OrganizedData[[#This Row],[Quantity]]*VLOOKUP(OrganizedData[[#This Row],[Product Code]],ProductData[],4,FALSE)</f>
        <v>660</v>
      </c>
      <c r="Q3305" s="6">
        <f>OrganizedData[[#This Row],[Total Items Ordered]]*VLOOKUP(OrganizedData[[#This Row],[Product Code]],ProductData[],3,FALSE)</f>
        <v>2303.4</v>
      </c>
      <c r="R33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2234.2980000000002</v>
      </c>
    </row>
    <row r="3306" spans="1:18" x14ac:dyDescent="0.3">
      <c r="A3306" s="2">
        <v>3299</v>
      </c>
      <c r="B3306" s="2" t="s">
        <v>7356</v>
      </c>
      <c r="C3306" s="2" t="s">
        <v>5659</v>
      </c>
      <c r="D3306" s="2" t="s">
        <v>51</v>
      </c>
      <c r="E3306" s="2" t="s">
        <v>16</v>
      </c>
      <c r="F3306" s="2">
        <v>60</v>
      </c>
      <c r="G3306" s="2" t="s">
        <v>7978</v>
      </c>
      <c r="H3306" s="2" t="s">
        <v>1956</v>
      </c>
      <c r="I3306" s="2" t="s">
        <v>32</v>
      </c>
      <c r="J3306" s="3">
        <v>44650</v>
      </c>
      <c r="K3306" s="5">
        <f>YEAR(OrganizedData[[#This Row],[Order Date]])</f>
        <v>2022</v>
      </c>
      <c r="L3306" s="7" t="str">
        <f>TEXT(OrganizedData[[#This Row],[Order Date]],"mmm")</f>
        <v>Mar</v>
      </c>
      <c r="M3306" s="2">
        <v>16</v>
      </c>
      <c r="N3306" s="2" t="s">
        <v>33</v>
      </c>
      <c r="O3306" s="2" t="str">
        <f>VLOOKUP(OrganizedData[[#This Row],[Product Code]],ProductData[[Code]:[Item]],2,FALSE)</f>
        <v>Megawidget L</v>
      </c>
      <c r="P3306" s="4">
        <f>OrganizedData[[#This Row],[Quantity]]*VLOOKUP(OrganizedData[[#This Row],[Product Code]],ProductData[],4,FALSE)</f>
        <v>384</v>
      </c>
      <c r="Q3306" s="6">
        <f>OrganizedData[[#This Row],[Total Items Ordered]]*VLOOKUP(OrganizedData[[#This Row],[Product Code]],ProductData[],3,FALSE)</f>
        <v>687.36</v>
      </c>
      <c r="R33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3307" spans="1:18" x14ac:dyDescent="0.3">
      <c r="A3307" s="2">
        <v>3300</v>
      </c>
      <c r="B3307" s="2" t="s">
        <v>6144</v>
      </c>
      <c r="C3307" s="2" t="s">
        <v>2970</v>
      </c>
      <c r="D3307" s="2" t="s">
        <v>28</v>
      </c>
      <c r="E3307" s="2" t="s">
        <v>29</v>
      </c>
      <c r="F3307" s="2">
        <v>90</v>
      </c>
      <c r="G3307" s="2" t="s">
        <v>7979</v>
      </c>
      <c r="H3307" s="2" t="s">
        <v>5819</v>
      </c>
      <c r="I3307" s="2" t="s">
        <v>5820</v>
      </c>
      <c r="J3307" s="3">
        <v>44536</v>
      </c>
      <c r="K3307" s="5">
        <f>YEAR(OrganizedData[[#This Row],[Order Date]])</f>
        <v>2021</v>
      </c>
      <c r="L3307" s="7" t="str">
        <f>TEXT(OrganizedData[[#This Row],[Order Date]],"mmm")</f>
        <v>Dec</v>
      </c>
      <c r="M3307" s="2">
        <v>64</v>
      </c>
      <c r="N3307" s="2" t="s">
        <v>101</v>
      </c>
      <c r="O3307" s="2" t="str">
        <f>VLOOKUP(OrganizedData[[#This Row],[Product Code]],ProductData[[Code]:[Item]],2,FALSE)</f>
        <v>Superwossname</v>
      </c>
      <c r="P3307" s="4">
        <f>OrganizedData[[#This Row],[Quantity]]*VLOOKUP(OrganizedData[[#This Row],[Product Code]],ProductData[],4,FALSE)</f>
        <v>1280</v>
      </c>
      <c r="Q3307" s="6">
        <f>OrganizedData[[#This Row],[Total Items Ordered]]*VLOOKUP(OrganizedData[[#This Row],[Product Code]],ProductData[],3,FALSE)</f>
        <v>4467.2000000000007</v>
      </c>
      <c r="R33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3308" spans="1:18" x14ac:dyDescent="0.3">
      <c r="A3308" s="2">
        <v>3301</v>
      </c>
      <c r="B3308" s="2" t="s">
        <v>5920</v>
      </c>
      <c r="C3308" s="2" t="s">
        <v>7980</v>
      </c>
      <c r="D3308" s="2" t="s">
        <v>28</v>
      </c>
      <c r="E3308" s="2" t="s">
        <v>29</v>
      </c>
      <c r="F3308" s="2">
        <v>90</v>
      </c>
      <c r="G3308" s="2" t="s">
        <v>7981</v>
      </c>
      <c r="H3308" s="2" t="s">
        <v>881</v>
      </c>
      <c r="I3308" s="2" t="s">
        <v>178</v>
      </c>
      <c r="J3308" s="3">
        <v>44387</v>
      </c>
      <c r="K3308" s="5">
        <f>YEAR(OrganizedData[[#This Row],[Order Date]])</f>
        <v>2021</v>
      </c>
      <c r="L3308" s="7" t="str">
        <f>TEXT(OrganizedData[[#This Row],[Order Date]],"mmm")</f>
        <v>Jul</v>
      </c>
      <c r="M3308" s="2">
        <v>51</v>
      </c>
      <c r="N3308" s="2" t="s">
        <v>39</v>
      </c>
      <c r="O3308" s="2" t="str">
        <f>VLOOKUP(OrganizedData[[#This Row],[Product Code]],ProductData[[Code]:[Item]],2,FALSE)</f>
        <v>Ultrathing V1</v>
      </c>
      <c r="P3308" s="4">
        <f>OrganizedData[[#This Row],[Quantity]]*VLOOKUP(OrganizedData[[#This Row],[Product Code]],ProductData[],4,FALSE)</f>
        <v>867</v>
      </c>
      <c r="Q3308" s="6">
        <f>OrganizedData[[#This Row],[Total Items Ordered]]*VLOOKUP(OrganizedData[[#This Row],[Product Code]],ProductData[],3,FALSE)</f>
        <v>1551.93</v>
      </c>
      <c r="R33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1474.3335</v>
      </c>
    </row>
    <row r="3309" spans="1:18" x14ac:dyDescent="0.3">
      <c r="A3309" s="2">
        <v>3302</v>
      </c>
      <c r="B3309" s="2" t="s">
        <v>7982</v>
      </c>
      <c r="C3309" s="2" t="s">
        <v>3089</v>
      </c>
      <c r="D3309" s="2" t="s">
        <v>15</v>
      </c>
      <c r="E3309" s="2" t="s">
        <v>16</v>
      </c>
      <c r="F3309" s="2">
        <v>90</v>
      </c>
      <c r="G3309" s="2" t="s">
        <v>7983</v>
      </c>
      <c r="H3309" s="2" t="s">
        <v>917</v>
      </c>
      <c r="I3309" s="2" t="s">
        <v>32</v>
      </c>
      <c r="J3309" s="3">
        <v>44569</v>
      </c>
      <c r="K3309" s="5">
        <f>YEAR(OrganizedData[[#This Row],[Order Date]])</f>
        <v>2022</v>
      </c>
      <c r="L3309" s="7" t="str">
        <f>TEXT(OrganizedData[[#This Row],[Order Date]],"mmm")</f>
        <v>Jan</v>
      </c>
      <c r="M3309" s="2">
        <v>32</v>
      </c>
      <c r="N3309" s="2" t="s">
        <v>20</v>
      </c>
      <c r="O3309" s="2" t="str">
        <f>VLOOKUP(OrganizedData[[#This Row],[Product Code]],ProductData[[Code]:[Item]],2,FALSE)</f>
        <v>Hyperwotsit</v>
      </c>
      <c r="P3309" s="4">
        <f>OrganizedData[[#This Row],[Quantity]]*VLOOKUP(OrganizedData[[#This Row],[Product Code]],ProductData[],4,FALSE)</f>
        <v>640</v>
      </c>
      <c r="Q3309" s="6">
        <f>OrganizedData[[#This Row],[Total Items Ordered]]*VLOOKUP(OrganizedData[[#This Row],[Product Code]],ProductData[],3,FALSE)</f>
        <v>1286.3999999999999</v>
      </c>
      <c r="R33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3310" spans="1:18" x14ac:dyDescent="0.3">
      <c r="A3310" s="2">
        <v>3303</v>
      </c>
      <c r="B3310" s="2" t="s">
        <v>4318</v>
      </c>
      <c r="C3310" s="2" t="s">
        <v>1216</v>
      </c>
      <c r="D3310" s="2" t="s">
        <v>28</v>
      </c>
      <c r="E3310" s="2" t="s">
        <v>29</v>
      </c>
      <c r="F3310" s="2">
        <v>30</v>
      </c>
      <c r="G3310" s="2" t="s">
        <v>7984</v>
      </c>
      <c r="H3310" s="2" t="s">
        <v>1940</v>
      </c>
      <c r="I3310" s="2" t="s">
        <v>294</v>
      </c>
      <c r="J3310" s="3">
        <v>44414</v>
      </c>
      <c r="K3310" s="5">
        <f>YEAR(OrganizedData[[#This Row],[Order Date]])</f>
        <v>2021</v>
      </c>
      <c r="L3310" s="7" t="str">
        <f>TEXT(OrganizedData[[#This Row],[Order Date]],"mmm")</f>
        <v>Aug</v>
      </c>
      <c r="M3310" s="2">
        <v>24</v>
      </c>
      <c r="N3310" s="2" t="s">
        <v>20</v>
      </c>
      <c r="O3310" s="2" t="str">
        <f>VLOOKUP(OrganizedData[[#This Row],[Product Code]],ProductData[[Code]:[Item]],2,FALSE)</f>
        <v>Hyperwotsit</v>
      </c>
      <c r="P3310" s="4">
        <f>OrganizedData[[#This Row],[Quantity]]*VLOOKUP(OrganizedData[[#This Row],[Product Code]],ProductData[],4,FALSE)</f>
        <v>480</v>
      </c>
      <c r="Q3310" s="6">
        <f>OrganizedData[[#This Row],[Total Items Ordered]]*VLOOKUP(OrganizedData[[#This Row],[Product Code]],ProductData[],3,FALSE)</f>
        <v>964.8</v>
      </c>
      <c r="R33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935.85599999999988</v>
      </c>
    </row>
    <row r="3311" spans="1:18" x14ac:dyDescent="0.3">
      <c r="A3311" s="2">
        <v>3304</v>
      </c>
      <c r="B3311" s="2" t="s">
        <v>7239</v>
      </c>
      <c r="C3311" s="2" t="s">
        <v>6465</v>
      </c>
      <c r="D3311" s="2" t="s">
        <v>28</v>
      </c>
      <c r="E3311" s="2" t="s">
        <v>29</v>
      </c>
      <c r="F3311" s="2">
        <v>90</v>
      </c>
      <c r="G3311" s="2" t="s">
        <v>7985</v>
      </c>
      <c r="H3311" s="2" t="s">
        <v>1366</v>
      </c>
      <c r="I3311" s="2" t="s">
        <v>1367</v>
      </c>
      <c r="J3311" s="3">
        <v>44794</v>
      </c>
      <c r="K3311" s="5">
        <f>YEAR(OrganizedData[[#This Row],[Order Date]])</f>
        <v>2022</v>
      </c>
      <c r="L3311" s="7" t="str">
        <f>TEXT(OrganizedData[[#This Row],[Order Date]],"mmm")</f>
        <v>Aug</v>
      </c>
      <c r="M3311" s="2">
        <v>21</v>
      </c>
      <c r="N3311" s="2" t="s">
        <v>80</v>
      </c>
      <c r="O3311" s="2" t="str">
        <f>VLOOKUP(OrganizedData[[#This Row],[Product Code]],ProductData[[Code]:[Item]],2,FALSE)</f>
        <v>Ultrathing V2</v>
      </c>
      <c r="P3311" s="4">
        <f>OrganizedData[[#This Row],[Quantity]]*VLOOKUP(OrganizedData[[#This Row],[Product Code]],ProductData[],4,FALSE)</f>
        <v>420</v>
      </c>
      <c r="Q3311" s="6">
        <f>OrganizedData[[#This Row],[Total Items Ordered]]*VLOOKUP(OrganizedData[[#This Row],[Product Code]],ProductData[],3,FALSE)</f>
        <v>1239</v>
      </c>
      <c r="R33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1201.83</v>
      </c>
    </row>
    <row r="3312" spans="1:18" x14ac:dyDescent="0.3">
      <c r="A3312" s="2">
        <v>3305</v>
      </c>
      <c r="B3312" s="2" t="s">
        <v>7986</v>
      </c>
      <c r="C3312" s="2" t="s">
        <v>4971</v>
      </c>
      <c r="D3312" s="2" t="s">
        <v>51</v>
      </c>
      <c r="E3312" s="2" t="s">
        <v>16</v>
      </c>
      <c r="F3312" s="2">
        <v>30</v>
      </c>
      <c r="G3312" s="2" t="s">
        <v>7987</v>
      </c>
      <c r="H3312" s="2" t="s">
        <v>4326</v>
      </c>
      <c r="I3312" s="2" t="s">
        <v>1078</v>
      </c>
      <c r="J3312" s="3">
        <v>44039</v>
      </c>
      <c r="K3312" s="5">
        <f>YEAR(OrganizedData[[#This Row],[Order Date]])</f>
        <v>2020</v>
      </c>
      <c r="L3312" s="7" t="str">
        <f>TEXT(OrganizedData[[#This Row],[Order Date]],"mmm")</f>
        <v>Jul</v>
      </c>
      <c r="M3312" s="2">
        <v>21</v>
      </c>
      <c r="N3312" s="2" t="s">
        <v>159</v>
      </c>
      <c r="O3312" s="2" t="str">
        <f>VLOOKUP(OrganizedData[[#This Row],[Product Code]],ProductData[[Code]:[Item]],2,FALSE)</f>
        <v>Ultrathing V3</v>
      </c>
      <c r="P3312" s="4">
        <f>OrganizedData[[#This Row],[Quantity]]*VLOOKUP(OrganizedData[[#This Row],[Product Code]],ProductData[],4,FALSE)</f>
        <v>504</v>
      </c>
      <c r="Q3312" s="6">
        <f>OrganizedData[[#This Row],[Total Items Ordered]]*VLOOKUP(OrganizedData[[#This Row],[Product Code]],ProductData[],3,FALSE)</f>
        <v>1708.5600000000002</v>
      </c>
      <c r="R33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1657.3032000000001</v>
      </c>
    </row>
    <row r="3313" spans="1:18" x14ac:dyDescent="0.3">
      <c r="A3313" s="2">
        <v>3306</v>
      </c>
      <c r="B3313" s="2" t="s">
        <v>7988</v>
      </c>
      <c r="C3313" s="2" t="s">
        <v>2905</v>
      </c>
      <c r="D3313" s="2" t="s">
        <v>28</v>
      </c>
      <c r="E3313" s="2" t="s">
        <v>29</v>
      </c>
      <c r="F3313" s="2">
        <v>30</v>
      </c>
      <c r="G3313" s="2" t="s">
        <v>7989</v>
      </c>
      <c r="H3313" s="2" t="s">
        <v>3228</v>
      </c>
      <c r="I3313" s="2" t="s">
        <v>294</v>
      </c>
      <c r="J3313" s="3">
        <v>44319</v>
      </c>
      <c r="K3313" s="5">
        <f>YEAR(OrganizedData[[#This Row],[Order Date]])</f>
        <v>2021</v>
      </c>
      <c r="L3313" s="7" t="str">
        <f>TEXT(OrganizedData[[#This Row],[Order Date]],"mmm")</f>
        <v>May</v>
      </c>
      <c r="M3313" s="2">
        <v>38</v>
      </c>
      <c r="N3313" s="2" t="s">
        <v>64</v>
      </c>
      <c r="O3313" s="2" t="str">
        <f>VLOOKUP(OrganizedData[[#This Row],[Product Code]],ProductData[[Code]:[Item]],2,FALSE)</f>
        <v>Ultrathing V4</v>
      </c>
      <c r="P3313" s="4">
        <f>OrganizedData[[#This Row],[Quantity]]*VLOOKUP(OrganizedData[[#This Row],[Product Code]],ProductData[],4,FALSE)</f>
        <v>912</v>
      </c>
      <c r="Q3313" s="6">
        <f>OrganizedData[[#This Row],[Total Items Ordered]]*VLOOKUP(OrganizedData[[#This Row],[Product Code]],ProductData[],3,FALSE)</f>
        <v>3638.88</v>
      </c>
      <c r="R33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3314" spans="1:18" x14ac:dyDescent="0.3">
      <c r="A3314" s="2">
        <v>3307</v>
      </c>
      <c r="B3314" s="2" t="s">
        <v>7990</v>
      </c>
      <c r="C3314" s="2" t="s">
        <v>1765</v>
      </c>
      <c r="D3314" s="2" t="s">
        <v>15</v>
      </c>
      <c r="E3314" s="2" t="s">
        <v>16</v>
      </c>
      <c r="F3314" s="2">
        <v>60</v>
      </c>
      <c r="G3314" s="2" t="s">
        <v>7991</v>
      </c>
      <c r="H3314" s="2" t="s">
        <v>2759</v>
      </c>
      <c r="I3314" s="2" t="s">
        <v>32</v>
      </c>
      <c r="J3314" s="3">
        <v>44355</v>
      </c>
      <c r="K3314" s="5">
        <f>YEAR(OrganizedData[[#This Row],[Order Date]])</f>
        <v>2021</v>
      </c>
      <c r="L3314" s="7" t="str">
        <f>TEXT(OrganizedData[[#This Row],[Order Date]],"mmm")</f>
        <v>Jun</v>
      </c>
      <c r="M3314" s="2">
        <v>36</v>
      </c>
      <c r="N3314" s="2" t="s">
        <v>33</v>
      </c>
      <c r="O3314" s="2" t="str">
        <f>VLOOKUP(OrganizedData[[#This Row],[Product Code]],ProductData[[Code]:[Item]],2,FALSE)</f>
        <v>Megawidget L</v>
      </c>
      <c r="P3314" s="4">
        <f>OrganizedData[[#This Row],[Quantity]]*VLOOKUP(OrganizedData[[#This Row],[Product Code]],ProductData[],4,FALSE)</f>
        <v>864</v>
      </c>
      <c r="Q3314" s="6">
        <f>OrganizedData[[#This Row],[Total Items Ordered]]*VLOOKUP(OrganizedData[[#This Row],[Product Code]],ProductData[],3,FALSE)</f>
        <v>1546.56</v>
      </c>
      <c r="R33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1500.1632</v>
      </c>
    </row>
    <row r="3315" spans="1:18" x14ac:dyDescent="0.3">
      <c r="A3315" s="2">
        <v>3308</v>
      </c>
      <c r="B3315" s="2" t="s">
        <v>7992</v>
      </c>
      <c r="C3315" s="2" t="s">
        <v>2677</v>
      </c>
      <c r="D3315" s="2" t="s">
        <v>28</v>
      </c>
      <c r="E3315" s="2" t="s">
        <v>29</v>
      </c>
      <c r="F3315" s="2">
        <v>30</v>
      </c>
      <c r="G3315" s="2" t="s">
        <v>7993</v>
      </c>
      <c r="H3315" s="2" t="s">
        <v>7233</v>
      </c>
      <c r="I3315" s="2" t="s">
        <v>32</v>
      </c>
      <c r="J3315" s="3">
        <v>44389</v>
      </c>
      <c r="K3315" s="5">
        <f>YEAR(OrganizedData[[#This Row],[Order Date]])</f>
        <v>2021</v>
      </c>
      <c r="L3315" s="7" t="str">
        <f>TEXT(OrganizedData[[#This Row],[Order Date]],"mmm")</f>
        <v>Jul</v>
      </c>
      <c r="M3315" s="2">
        <v>12</v>
      </c>
      <c r="N3315" s="2" t="s">
        <v>45</v>
      </c>
      <c r="O3315" s="2" t="str">
        <f>VLOOKUP(OrganizedData[[#This Row],[Product Code]],ProductData[[Code]:[Item]],2,FALSE)</f>
        <v>Gigastuff</v>
      </c>
      <c r="P3315" s="4">
        <f>OrganizedData[[#This Row],[Quantity]]*VLOOKUP(OrganizedData[[#This Row],[Product Code]],ProductData[],4,FALSE)</f>
        <v>216</v>
      </c>
      <c r="Q3315" s="6">
        <f>OrganizedData[[#This Row],[Total Items Ordered]]*VLOOKUP(OrganizedData[[#This Row],[Product Code]],ProductData[],3,FALSE)</f>
        <v>408.23999999999995</v>
      </c>
      <c r="R33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408.23999999999995</v>
      </c>
    </row>
    <row r="3316" spans="1:18" x14ac:dyDescent="0.3">
      <c r="A3316" s="2">
        <v>3309</v>
      </c>
      <c r="B3316" s="2" t="s">
        <v>909</v>
      </c>
      <c r="C3316" s="2" t="s">
        <v>3079</v>
      </c>
      <c r="D3316" s="2" t="s">
        <v>51</v>
      </c>
      <c r="E3316" s="2" t="s">
        <v>16</v>
      </c>
      <c r="F3316" s="2">
        <v>60</v>
      </c>
      <c r="G3316" s="2" t="s">
        <v>7994</v>
      </c>
      <c r="H3316" s="2" t="s">
        <v>3215</v>
      </c>
      <c r="I3316" s="2" t="s">
        <v>32</v>
      </c>
      <c r="J3316" s="3">
        <v>44479</v>
      </c>
      <c r="K3316" s="5">
        <f>YEAR(OrganizedData[[#This Row],[Order Date]])</f>
        <v>2021</v>
      </c>
      <c r="L3316" s="7" t="str">
        <f>TEXT(OrganizedData[[#This Row],[Order Date]],"mmm")</f>
        <v>Oct</v>
      </c>
      <c r="M3316" s="2">
        <v>83</v>
      </c>
      <c r="N3316" s="2" t="s">
        <v>33</v>
      </c>
      <c r="O3316" s="2" t="str">
        <f>VLOOKUP(OrganizedData[[#This Row],[Product Code]],ProductData[[Code]:[Item]],2,FALSE)</f>
        <v>Megawidget L</v>
      </c>
      <c r="P3316" s="4">
        <f>OrganizedData[[#This Row],[Quantity]]*VLOOKUP(OrganizedData[[#This Row],[Product Code]],ProductData[],4,FALSE)</f>
        <v>1992</v>
      </c>
      <c r="Q3316" s="6">
        <f>OrganizedData[[#This Row],[Total Items Ordered]]*VLOOKUP(OrganizedData[[#This Row],[Product Code]],ProductData[],3,FALSE)</f>
        <v>3565.6800000000003</v>
      </c>
      <c r="R33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3387.3960000000002</v>
      </c>
    </row>
    <row r="3317" spans="1:18" x14ac:dyDescent="0.3">
      <c r="A3317" s="2">
        <v>3310</v>
      </c>
      <c r="B3317" s="2" t="s">
        <v>7995</v>
      </c>
      <c r="C3317" s="2" t="s">
        <v>5907</v>
      </c>
      <c r="D3317" s="2" t="s">
        <v>51</v>
      </c>
      <c r="E3317" s="2" t="s">
        <v>16</v>
      </c>
      <c r="F3317" s="2">
        <v>90</v>
      </c>
      <c r="G3317" s="2" t="s">
        <v>7996</v>
      </c>
      <c r="H3317" s="2" t="s">
        <v>7997</v>
      </c>
      <c r="I3317" s="2" t="s">
        <v>645</v>
      </c>
      <c r="J3317" s="3">
        <v>44441</v>
      </c>
      <c r="K3317" s="5">
        <f>YEAR(OrganizedData[[#This Row],[Order Date]])</f>
        <v>2021</v>
      </c>
      <c r="L3317" s="7" t="str">
        <f>TEXT(OrganizedData[[#This Row],[Order Date]],"mmm")</f>
        <v>Sep</v>
      </c>
      <c r="M3317" s="2">
        <v>10</v>
      </c>
      <c r="N3317" s="2" t="s">
        <v>70</v>
      </c>
      <c r="O3317" s="2" t="str">
        <f>VLOOKUP(OrganizedData[[#This Row],[Product Code]],ProductData[[Code]:[Item]],2,FALSE)</f>
        <v>Megawidget M</v>
      </c>
      <c r="P3317" s="4">
        <f>OrganizedData[[#This Row],[Quantity]]*VLOOKUP(OrganizedData[[#This Row],[Product Code]],ProductData[],4,FALSE)</f>
        <v>240</v>
      </c>
      <c r="Q3317" s="6">
        <f>OrganizedData[[#This Row],[Total Items Ordered]]*VLOOKUP(OrganizedData[[#This Row],[Product Code]],ProductData[],3,FALSE)</f>
        <v>309.60000000000002</v>
      </c>
      <c r="R33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309.60000000000002</v>
      </c>
    </row>
    <row r="3318" spans="1:18" x14ac:dyDescent="0.3">
      <c r="A3318" s="2">
        <v>3311</v>
      </c>
      <c r="B3318" s="2" t="s">
        <v>6889</v>
      </c>
      <c r="C3318" s="2" t="s">
        <v>1085</v>
      </c>
      <c r="D3318" s="2" t="s">
        <v>15</v>
      </c>
      <c r="E3318" s="2" t="s">
        <v>16</v>
      </c>
      <c r="F3318" s="2">
        <v>60</v>
      </c>
      <c r="G3318" s="2" t="s">
        <v>7998</v>
      </c>
      <c r="H3318" s="2" t="s">
        <v>7281</v>
      </c>
      <c r="I3318" s="2" t="s">
        <v>25</v>
      </c>
      <c r="J3318" s="3">
        <v>44097</v>
      </c>
      <c r="K3318" s="5">
        <f>YEAR(OrganizedData[[#This Row],[Order Date]])</f>
        <v>2020</v>
      </c>
      <c r="L3318" s="7" t="str">
        <f>TEXT(OrganizedData[[#This Row],[Order Date]],"mmm")</f>
        <v>Sep</v>
      </c>
      <c r="M3318" s="2">
        <v>43</v>
      </c>
      <c r="N3318" s="2" t="s">
        <v>80</v>
      </c>
      <c r="O3318" s="2" t="str">
        <f>VLOOKUP(OrganizedData[[#This Row],[Product Code]],ProductData[[Code]:[Item]],2,FALSE)</f>
        <v>Ultrathing V2</v>
      </c>
      <c r="P3318" s="4">
        <f>OrganizedData[[#This Row],[Quantity]]*VLOOKUP(OrganizedData[[#This Row],[Product Code]],ProductData[],4,FALSE)</f>
        <v>860</v>
      </c>
      <c r="Q3318" s="6">
        <f>OrganizedData[[#This Row],[Total Items Ordered]]*VLOOKUP(OrganizedData[[#This Row],[Product Code]],ProductData[],3,FALSE)</f>
        <v>2537</v>
      </c>
      <c r="R33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3319" spans="1:18" x14ac:dyDescent="0.3">
      <c r="A3319" s="2">
        <v>3312</v>
      </c>
      <c r="B3319" s="2" t="s">
        <v>3158</v>
      </c>
      <c r="C3319" s="2" t="s">
        <v>7423</v>
      </c>
      <c r="D3319" s="2" t="s">
        <v>28</v>
      </c>
      <c r="E3319" s="2" t="s">
        <v>29</v>
      </c>
      <c r="F3319" s="2">
        <v>60</v>
      </c>
      <c r="G3319" s="2" t="s">
        <v>7999</v>
      </c>
      <c r="H3319" s="2" t="s">
        <v>8000</v>
      </c>
      <c r="I3319" s="2" t="s">
        <v>32</v>
      </c>
      <c r="J3319" s="3">
        <v>43856</v>
      </c>
      <c r="K3319" s="5">
        <f>YEAR(OrganizedData[[#This Row],[Order Date]])</f>
        <v>2020</v>
      </c>
      <c r="L3319" s="7" t="str">
        <f>TEXT(OrganizedData[[#This Row],[Order Date]],"mmm")</f>
        <v>Jan</v>
      </c>
      <c r="M3319" s="2">
        <v>16</v>
      </c>
      <c r="N3319" s="2" t="s">
        <v>54</v>
      </c>
      <c r="O3319" s="2" t="str">
        <f>VLOOKUP(OrganizedData[[#This Row],[Product Code]],ProductData[[Code]:[Item]],2,FALSE)</f>
        <v>Megawidget S</v>
      </c>
      <c r="P3319" s="4">
        <f>OrganizedData[[#This Row],[Quantity]]*VLOOKUP(OrganizedData[[#This Row],[Product Code]],ProductData[],4,FALSE)</f>
        <v>384</v>
      </c>
      <c r="Q3319" s="6">
        <f>OrganizedData[[#This Row],[Total Items Ordered]]*VLOOKUP(OrganizedData[[#This Row],[Product Code]],ProductData[],3,FALSE)</f>
        <v>264.95999999999998</v>
      </c>
      <c r="R33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3320" spans="1:18" x14ac:dyDescent="0.3">
      <c r="A3320" s="2">
        <v>3313</v>
      </c>
      <c r="B3320" s="2" t="s">
        <v>2110</v>
      </c>
      <c r="C3320" s="2" t="s">
        <v>6661</v>
      </c>
      <c r="D3320" s="2" t="s">
        <v>28</v>
      </c>
      <c r="E3320" s="2" t="s">
        <v>29</v>
      </c>
      <c r="F3320" s="2">
        <v>30</v>
      </c>
      <c r="G3320" s="2" t="s">
        <v>8001</v>
      </c>
      <c r="H3320" s="2" t="s">
        <v>742</v>
      </c>
      <c r="I3320" s="2" t="s">
        <v>124</v>
      </c>
      <c r="J3320" s="3">
        <v>44501</v>
      </c>
      <c r="K3320" s="5">
        <f>YEAR(OrganizedData[[#This Row],[Order Date]])</f>
        <v>2021</v>
      </c>
      <c r="L3320" s="7" t="str">
        <f>TEXT(OrganizedData[[#This Row],[Order Date]],"mmm")</f>
        <v>Nov</v>
      </c>
      <c r="M3320" s="2">
        <v>81</v>
      </c>
      <c r="N3320" s="2" t="s">
        <v>70</v>
      </c>
      <c r="O3320" s="2" t="str">
        <f>VLOOKUP(OrganizedData[[#This Row],[Product Code]],ProductData[[Code]:[Item]],2,FALSE)</f>
        <v>Megawidget M</v>
      </c>
      <c r="P3320" s="4">
        <f>OrganizedData[[#This Row],[Quantity]]*VLOOKUP(OrganizedData[[#This Row],[Product Code]],ProductData[],4,FALSE)</f>
        <v>1944</v>
      </c>
      <c r="Q3320" s="6">
        <f>OrganizedData[[#This Row],[Total Items Ordered]]*VLOOKUP(OrganizedData[[#This Row],[Product Code]],ProductData[],3,FALSE)</f>
        <v>2507.7600000000002</v>
      </c>
      <c r="R33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2382.3720000000003</v>
      </c>
    </row>
    <row r="3321" spans="1:18" x14ac:dyDescent="0.3">
      <c r="A3321" s="2">
        <v>3314</v>
      </c>
      <c r="B3321" s="2" t="s">
        <v>3318</v>
      </c>
      <c r="C3321" s="2" t="s">
        <v>5306</v>
      </c>
      <c r="D3321" s="2" t="s">
        <v>92</v>
      </c>
      <c r="E3321" s="2" t="s">
        <v>16</v>
      </c>
      <c r="F3321" s="2">
        <v>60</v>
      </c>
      <c r="G3321" s="2" t="s">
        <v>8002</v>
      </c>
      <c r="H3321" s="2" t="s">
        <v>495</v>
      </c>
      <c r="I3321" s="2" t="s">
        <v>173</v>
      </c>
      <c r="J3321" s="3">
        <v>43944</v>
      </c>
      <c r="K3321" s="5">
        <f>YEAR(OrganizedData[[#This Row],[Order Date]])</f>
        <v>2020</v>
      </c>
      <c r="L3321" s="7" t="str">
        <f>TEXT(OrganizedData[[#This Row],[Order Date]],"mmm")</f>
        <v>Apr</v>
      </c>
      <c r="M3321" s="2">
        <v>28</v>
      </c>
      <c r="N3321" s="2" t="s">
        <v>39</v>
      </c>
      <c r="O3321" s="2" t="str">
        <f>VLOOKUP(OrganizedData[[#This Row],[Product Code]],ProductData[[Code]:[Item]],2,FALSE)</f>
        <v>Ultrathing V1</v>
      </c>
      <c r="P3321" s="4">
        <f>OrganizedData[[#This Row],[Quantity]]*VLOOKUP(OrganizedData[[#This Row],[Product Code]],ProductData[],4,FALSE)</f>
        <v>476</v>
      </c>
      <c r="Q3321" s="6">
        <f>OrganizedData[[#This Row],[Total Items Ordered]]*VLOOKUP(OrganizedData[[#This Row],[Product Code]],ProductData[],3,FALSE)</f>
        <v>852.04</v>
      </c>
      <c r="R33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826.47879999999998</v>
      </c>
    </row>
    <row r="3322" spans="1:18" x14ac:dyDescent="0.3">
      <c r="A3322" s="2">
        <v>3315</v>
      </c>
      <c r="B3322" s="2" t="s">
        <v>8003</v>
      </c>
      <c r="C3322" s="2" t="s">
        <v>7032</v>
      </c>
      <c r="D3322" s="2" t="s">
        <v>28</v>
      </c>
      <c r="E3322" s="2" t="s">
        <v>29</v>
      </c>
      <c r="F3322" s="2">
        <v>60</v>
      </c>
      <c r="G3322" s="2" t="s">
        <v>8004</v>
      </c>
      <c r="H3322" s="2" t="s">
        <v>4944</v>
      </c>
      <c r="I3322" s="2" t="s">
        <v>839</v>
      </c>
      <c r="J3322" s="3">
        <v>44601</v>
      </c>
      <c r="K3322" s="5">
        <f>YEAR(OrganizedData[[#This Row],[Order Date]])</f>
        <v>2022</v>
      </c>
      <c r="L3322" s="7" t="str">
        <f>TEXT(OrganizedData[[#This Row],[Order Date]],"mmm")</f>
        <v>Feb</v>
      </c>
      <c r="M3322" s="2">
        <v>86</v>
      </c>
      <c r="N3322" s="2" t="s">
        <v>64</v>
      </c>
      <c r="O3322" s="2" t="str">
        <f>VLOOKUP(OrganizedData[[#This Row],[Product Code]],ProductData[[Code]:[Item]],2,FALSE)</f>
        <v>Ultrathing V4</v>
      </c>
      <c r="P3322" s="4">
        <f>OrganizedData[[#This Row],[Quantity]]*VLOOKUP(OrganizedData[[#This Row],[Product Code]],ProductData[],4,FALSE)</f>
        <v>2064</v>
      </c>
      <c r="Q3322" s="6">
        <f>OrganizedData[[#This Row],[Total Items Ordered]]*VLOOKUP(OrganizedData[[#This Row],[Product Code]],ProductData[],3,FALSE)</f>
        <v>8235.36</v>
      </c>
      <c r="R33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7823.5920000000006</v>
      </c>
    </row>
    <row r="3323" spans="1:18" x14ac:dyDescent="0.3">
      <c r="A3323" s="2">
        <v>3316</v>
      </c>
      <c r="B3323" s="2" t="s">
        <v>8005</v>
      </c>
      <c r="C3323" s="2" t="s">
        <v>8006</v>
      </c>
      <c r="D3323" s="2" t="s">
        <v>51</v>
      </c>
      <c r="E3323" s="2" t="s">
        <v>16</v>
      </c>
      <c r="F3323" s="2">
        <v>60</v>
      </c>
      <c r="G3323" s="2" t="s">
        <v>8007</v>
      </c>
      <c r="H3323" s="2" t="s">
        <v>3673</v>
      </c>
      <c r="I3323" s="2" t="s">
        <v>777</v>
      </c>
      <c r="J3323" s="3">
        <v>44541</v>
      </c>
      <c r="K3323" s="5">
        <f>YEAR(OrganizedData[[#This Row],[Order Date]])</f>
        <v>2021</v>
      </c>
      <c r="L3323" s="7" t="str">
        <f>TEXT(OrganizedData[[#This Row],[Order Date]],"mmm")</f>
        <v>Dec</v>
      </c>
      <c r="M3323" s="2">
        <v>95</v>
      </c>
      <c r="N3323" s="2" t="s">
        <v>33</v>
      </c>
      <c r="O3323" s="2" t="str">
        <f>VLOOKUP(OrganizedData[[#This Row],[Product Code]],ProductData[[Code]:[Item]],2,FALSE)</f>
        <v>Megawidget L</v>
      </c>
      <c r="P3323" s="4">
        <f>OrganizedData[[#This Row],[Quantity]]*VLOOKUP(OrganizedData[[#This Row],[Product Code]],ProductData[],4,FALSE)</f>
        <v>2280</v>
      </c>
      <c r="Q3323" s="6">
        <f>OrganizedData[[#This Row],[Total Items Ordered]]*VLOOKUP(OrganizedData[[#This Row],[Product Code]],ProductData[],3,FALSE)</f>
        <v>4081.2000000000003</v>
      </c>
      <c r="R33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3877.14</v>
      </c>
    </row>
    <row r="3324" spans="1:18" x14ac:dyDescent="0.3">
      <c r="A3324" s="2">
        <v>3317</v>
      </c>
      <c r="B3324" s="2" t="s">
        <v>2267</v>
      </c>
      <c r="C3324" s="2" t="s">
        <v>4695</v>
      </c>
      <c r="D3324" s="2" t="s">
        <v>28</v>
      </c>
      <c r="E3324" s="2" t="s">
        <v>29</v>
      </c>
      <c r="F3324" s="2">
        <v>90</v>
      </c>
      <c r="G3324" s="2" t="s">
        <v>8007</v>
      </c>
      <c r="H3324" s="2" t="s">
        <v>6659</v>
      </c>
      <c r="I3324" s="2" t="s">
        <v>208</v>
      </c>
      <c r="J3324" s="3">
        <v>44194</v>
      </c>
      <c r="K3324" s="5">
        <f>YEAR(OrganizedData[[#This Row],[Order Date]])</f>
        <v>2020</v>
      </c>
      <c r="L3324" s="7" t="str">
        <f>TEXT(OrganizedData[[#This Row],[Order Date]],"mmm")</f>
        <v>Dec</v>
      </c>
      <c r="M3324" s="2">
        <v>63</v>
      </c>
      <c r="N3324" s="2" t="s">
        <v>54</v>
      </c>
      <c r="O3324" s="2" t="str">
        <f>VLOOKUP(OrganizedData[[#This Row],[Product Code]],ProductData[[Code]:[Item]],2,FALSE)</f>
        <v>Megawidget S</v>
      </c>
      <c r="P3324" s="4">
        <f>OrganizedData[[#This Row],[Quantity]]*VLOOKUP(OrganizedData[[#This Row],[Product Code]],ProductData[],4,FALSE)</f>
        <v>1512</v>
      </c>
      <c r="Q3324" s="6">
        <f>OrganizedData[[#This Row],[Total Items Ordered]]*VLOOKUP(OrganizedData[[#This Row],[Product Code]],ProductData[],3,FALSE)</f>
        <v>1043.28</v>
      </c>
      <c r="R33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991.11599999999987</v>
      </c>
    </row>
    <row r="3325" spans="1:18" x14ac:dyDescent="0.3">
      <c r="A3325" s="2">
        <v>3318</v>
      </c>
      <c r="B3325" s="2" t="s">
        <v>8008</v>
      </c>
      <c r="C3325" s="2" t="s">
        <v>1793</v>
      </c>
      <c r="D3325" s="2" t="s">
        <v>28</v>
      </c>
      <c r="E3325" s="2" t="s">
        <v>29</v>
      </c>
      <c r="F3325" s="2">
        <v>90</v>
      </c>
      <c r="G3325" s="2" t="s">
        <v>8009</v>
      </c>
      <c r="H3325" s="2" t="s">
        <v>1018</v>
      </c>
      <c r="I3325" s="2" t="s">
        <v>294</v>
      </c>
      <c r="J3325" s="3">
        <v>44841</v>
      </c>
      <c r="K3325" s="5">
        <f>YEAR(OrganizedData[[#This Row],[Order Date]])</f>
        <v>2022</v>
      </c>
      <c r="L3325" s="7" t="str">
        <f>TEXT(OrganizedData[[#This Row],[Order Date]],"mmm")</f>
        <v>Oct</v>
      </c>
      <c r="M3325" s="2">
        <v>55</v>
      </c>
      <c r="N3325" s="2" t="s">
        <v>70</v>
      </c>
      <c r="O3325" s="2" t="str">
        <f>VLOOKUP(OrganizedData[[#This Row],[Product Code]],ProductData[[Code]:[Item]],2,FALSE)</f>
        <v>Megawidget M</v>
      </c>
      <c r="P3325" s="4">
        <f>OrganizedData[[#This Row],[Quantity]]*VLOOKUP(OrganizedData[[#This Row],[Product Code]],ProductData[],4,FALSE)</f>
        <v>1320</v>
      </c>
      <c r="Q3325" s="6">
        <f>OrganizedData[[#This Row],[Total Items Ordered]]*VLOOKUP(OrganizedData[[#This Row],[Product Code]],ProductData[],3,FALSE)</f>
        <v>1702.8</v>
      </c>
      <c r="R33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1617.6599999999999</v>
      </c>
    </row>
    <row r="3326" spans="1:18" x14ac:dyDescent="0.3">
      <c r="A3326" s="2">
        <v>3319</v>
      </c>
      <c r="B3326" s="2" t="s">
        <v>1424</v>
      </c>
      <c r="C3326" s="2" t="s">
        <v>6657</v>
      </c>
      <c r="D3326" s="2" t="s">
        <v>28</v>
      </c>
      <c r="E3326" s="2" t="s">
        <v>29</v>
      </c>
      <c r="F3326" s="2">
        <v>90</v>
      </c>
      <c r="G3326" s="2" t="s">
        <v>8010</v>
      </c>
      <c r="H3326" s="2" t="s">
        <v>346</v>
      </c>
      <c r="I3326" s="2" t="s">
        <v>32</v>
      </c>
      <c r="J3326" s="3">
        <v>44009</v>
      </c>
      <c r="K3326" s="5">
        <f>YEAR(OrganizedData[[#This Row],[Order Date]])</f>
        <v>2020</v>
      </c>
      <c r="L3326" s="7" t="str">
        <f>TEXT(OrganizedData[[#This Row],[Order Date]],"mmm")</f>
        <v>Jun</v>
      </c>
      <c r="M3326" s="2">
        <v>12</v>
      </c>
      <c r="N3326" s="2" t="s">
        <v>101</v>
      </c>
      <c r="O3326" s="2" t="str">
        <f>VLOOKUP(OrganizedData[[#This Row],[Product Code]],ProductData[[Code]:[Item]],2,FALSE)</f>
        <v>Superwossname</v>
      </c>
      <c r="P3326" s="4">
        <f>OrganizedData[[#This Row],[Quantity]]*VLOOKUP(OrganizedData[[#This Row],[Product Code]],ProductData[],4,FALSE)</f>
        <v>240</v>
      </c>
      <c r="Q3326" s="6">
        <f>OrganizedData[[#This Row],[Total Items Ordered]]*VLOOKUP(OrganizedData[[#This Row],[Product Code]],ProductData[],3,FALSE)</f>
        <v>837.6</v>
      </c>
      <c r="R33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837.6</v>
      </c>
    </row>
    <row r="3327" spans="1:18" x14ac:dyDescent="0.3">
      <c r="A3327" s="2">
        <v>3320</v>
      </c>
      <c r="B3327" s="2" t="s">
        <v>8011</v>
      </c>
      <c r="C3327" s="2" t="s">
        <v>2509</v>
      </c>
      <c r="D3327" s="2" t="s">
        <v>15</v>
      </c>
      <c r="E3327" s="2" t="s">
        <v>16</v>
      </c>
      <c r="F3327" s="2">
        <v>60</v>
      </c>
      <c r="G3327" s="2" t="s">
        <v>10448</v>
      </c>
      <c r="H3327" s="2" t="s">
        <v>1206</v>
      </c>
      <c r="I3327" s="2" t="s">
        <v>294</v>
      </c>
      <c r="J3327" s="3">
        <v>44289</v>
      </c>
      <c r="K3327" s="5">
        <f>YEAR(OrganizedData[[#This Row],[Order Date]])</f>
        <v>2021</v>
      </c>
      <c r="L3327" s="7" t="str">
        <f>TEXT(OrganizedData[[#This Row],[Order Date]],"mmm")</f>
        <v>Apr</v>
      </c>
      <c r="M3327" s="2">
        <v>29</v>
      </c>
      <c r="N3327" s="2" t="s">
        <v>54</v>
      </c>
      <c r="O3327" s="2" t="str">
        <f>VLOOKUP(OrganizedData[[#This Row],[Product Code]],ProductData[[Code]:[Item]],2,FALSE)</f>
        <v>Megawidget S</v>
      </c>
      <c r="P3327" s="4">
        <f>OrganizedData[[#This Row],[Quantity]]*VLOOKUP(OrganizedData[[#This Row],[Product Code]],ProductData[],4,FALSE)</f>
        <v>696</v>
      </c>
      <c r="Q3327" s="6">
        <f>OrganizedData[[#This Row],[Total Items Ordered]]*VLOOKUP(OrganizedData[[#This Row],[Product Code]],ProductData[],3,FALSE)</f>
        <v>480.23999999999995</v>
      </c>
      <c r="R33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3328" spans="1:18" x14ac:dyDescent="0.3">
      <c r="A3328" s="2">
        <v>3321</v>
      </c>
      <c r="B3328" s="2" t="s">
        <v>8013</v>
      </c>
      <c r="C3328" s="2" t="s">
        <v>556</v>
      </c>
      <c r="D3328" s="2" t="s">
        <v>15</v>
      </c>
      <c r="E3328" s="2" t="s">
        <v>16</v>
      </c>
      <c r="F3328" s="2">
        <v>90</v>
      </c>
      <c r="G3328" s="2" t="s">
        <v>8014</v>
      </c>
      <c r="H3328" s="2" t="s">
        <v>1306</v>
      </c>
      <c r="I3328" s="2" t="s">
        <v>32</v>
      </c>
      <c r="J3328" s="3">
        <v>43831</v>
      </c>
      <c r="K3328" s="5">
        <f>YEAR(OrganizedData[[#This Row],[Order Date]])</f>
        <v>2020</v>
      </c>
      <c r="L3328" s="7" t="str">
        <f>TEXT(OrganizedData[[#This Row],[Order Date]],"mmm")</f>
        <v>Jan</v>
      </c>
      <c r="M3328" s="2">
        <v>11</v>
      </c>
      <c r="N3328" s="2" t="s">
        <v>101</v>
      </c>
      <c r="O3328" s="2" t="str">
        <f>VLOOKUP(OrganizedData[[#This Row],[Product Code]],ProductData[[Code]:[Item]],2,FALSE)</f>
        <v>Superwossname</v>
      </c>
      <c r="P3328" s="4">
        <f>OrganizedData[[#This Row],[Quantity]]*VLOOKUP(OrganizedData[[#This Row],[Product Code]],ProductData[],4,FALSE)</f>
        <v>220</v>
      </c>
      <c r="Q3328" s="6">
        <f>OrganizedData[[#This Row],[Total Items Ordered]]*VLOOKUP(OrganizedData[[#This Row],[Product Code]],ProductData[],3,FALSE)</f>
        <v>767.80000000000007</v>
      </c>
      <c r="R33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3329" spans="1:18" x14ac:dyDescent="0.3">
      <c r="A3329" s="2">
        <v>3322</v>
      </c>
      <c r="B3329" s="2" t="s">
        <v>323</v>
      </c>
      <c r="C3329" s="2" t="s">
        <v>3077</v>
      </c>
      <c r="D3329" s="2" t="s">
        <v>28</v>
      </c>
      <c r="E3329" s="2" t="s">
        <v>29</v>
      </c>
      <c r="F3329" s="2">
        <v>30</v>
      </c>
      <c r="G3329" s="2" t="s">
        <v>8015</v>
      </c>
      <c r="H3329" s="2" t="s">
        <v>7140</v>
      </c>
      <c r="I3329" s="2" t="s">
        <v>294</v>
      </c>
      <c r="J3329" s="3">
        <v>44619</v>
      </c>
      <c r="K3329" s="5">
        <f>YEAR(OrganizedData[[#This Row],[Order Date]])</f>
        <v>2022</v>
      </c>
      <c r="L3329" s="7" t="str">
        <f>TEXT(OrganizedData[[#This Row],[Order Date]],"mmm")</f>
        <v>Feb</v>
      </c>
      <c r="M3329" s="2">
        <v>48</v>
      </c>
      <c r="N3329" s="2" t="s">
        <v>20</v>
      </c>
      <c r="O3329" s="2" t="str">
        <f>VLOOKUP(OrganizedData[[#This Row],[Product Code]],ProductData[[Code]:[Item]],2,FALSE)</f>
        <v>Hyperwotsit</v>
      </c>
      <c r="P3329" s="4">
        <f>OrganizedData[[#This Row],[Quantity]]*VLOOKUP(OrganizedData[[#This Row],[Product Code]],ProductData[],4,FALSE)</f>
        <v>960</v>
      </c>
      <c r="Q3329" s="6">
        <f>OrganizedData[[#This Row],[Total Items Ordered]]*VLOOKUP(OrganizedData[[#This Row],[Product Code]],ProductData[],3,FALSE)</f>
        <v>1929.6</v>
      </c>
      <c r="R33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3330" spans="1:18" x14ac:dyDescent="0.3">
      <c r="A3330" s="2">
        <v>3323</v>
      </c>
      <c r="B3330" s="2" t="s">
        <v>5266</v>
      </c>
      <c r="C3330" s="2" t="s">
        <v>5772</v>
      </c>
      <c r="D3330" s="2" t="s">
        <v>51</v>
      </c>
      <c r="E3330" s="2" t="s">
        <v>16</v>
      </c>
      <c r="F3330" s="2">
        <v>30</v>
      </c>
      <c r="G3330" s="2" t="s">
        <v>8016</v>
      </c>
      <c r="H3330" s="2" t="s">
        <v>1099</v>
      </c>
      <c r="I3330" s="2" t="s">
        <v>25</v>
      </c>
      <c r="J3330" s="3">
        <v>44360</v>
      </c>
      <c r="K3330" s="5">
        <f>YEAR(OrganizedData[[#This Row],[Order Date]])</f>
        <v>2021</v>
      </c>
      <c r="L3330" s="7" t="str">
        <f>TEXT(OrganizedData[[#This Row],[Order Date]],"mmm")</f>
        <v>Jun</v>
      </c>
      <c r="M3330" s="2">
        <v>85</v>
      </c>
      <c r="N3330" s="2" t="s">
        <v>70</v>
      </c>
      <c r="O3330" s="2" t="str">
        <f>VLOOKUP(OrganizedData[[#This Row],[Product Code]],ProductData[[Code]:[Item]],2,FALSE)</f>
        <v>Megawidget M</v>
      </c>
      <c r="P3330" s="4">
        <f>OrganizedData[[#This Row],[Quantity]]*VLOOKUP(OrganizedData[[#This Row],[Product Code]],ProductData[],4,FALSE)</f>
        <v>2040</v>
      </c>
      <c r="Q3330" s="6">
        <f>OrganizedData[[#This Row],[Total Items Ordered]]*VLOOKUP(OrganizedData[[#This Row],[Product Code]],ProductData[],3,FALSE)</f>
        <v>2631.6</v>
      </c>
      <c r="R33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2500.02</v>
      </c>
    </row>
    <row r="3331" spans="1:18" x14ac:dyDescent="0.3">
      <c r="A3331" s="2">
        <v>3324</v>
      </c>
      <c r="B3331" s="2" t="s">
        <v>7037</v>
      </c>
      <c r="C3331" s="2" t="s">
        <v>4416</v>
      </c>
      <c r="D3331" s="2" t="s">
        <v>28</v>
      </c>
      <c r="E3331" s="2" t="s">
        <v>29</v>
      </c>
      <c r="F3331" s="2">
        <v>30</v>
      </c>
      <c r="G3331" s="2" t="s">
        <v>8017</v>
      </c>
      <c r="H3331" s="2" t="s">
        <v>793</v>
      </c>
      <c r="I3331" s="2" t="s">
        <v>178</v>
      </c>
      <c r="J3331" s="3">
        <v>43990</v>
      </c>
      <c r="K3331" s="5">
        <f>YEAR(OrganizedData[[#This Row],[Order Date]])</f>
        <v>2020</v>
      </c>
      <c r="L3331" s="7" t="str">
        <f>TEXT(OrganizedData[[#This Row],[Order Date]],"mmm")</f>
        <v>Jun</v>
      </c>
      <c r="M3331" s="2">
        <v>21</v>
      </c>
      <c r="N3331" s="2" t="s">
        <v>80</v>
      </c>
      <c r="O3331" s="2" t="str">
        <f>VLOOKUP(OrganizedData[[#This Row],[Product Code]],ProductData[[Code]:[Item]],2,FALSE)</f>
        <v>Ultrathing V2</v>
      </c>
      <c r="P3331" s="4">
        <f>OrganizedData[[#This Row],[Quantity]]*VLOOKUP(OrganizedData[[#This Row],[Product Code]],ProductData[],4,FALSE)</f>
        <v>420</v>
      </c>
      <c r="Q3331" s="6">
        <f>OrganizedData[[#This Row],[Total Items Ordered]]*VLOOKUP(OrganizedData[[#This Row],[Product Code]],ProductData[],3,FALSE)</f>
        <v>1239</v>
      </c>
      <c r="R33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1201.83</v>
      </c>
    </row>
    <row r="3332" spans="1:18" x14ac:dyDescent="0.3">
      <c r="A3332" s="2">
        <v>3325</v>
      </c>
      <c r="B3332" s="2" t="s">
        <v>3512</v>
      </c>
      <c r="C3332" s="2" t="s">
        <v>7043</v>
      </c>
      <c r="D3332" s="2" t="s">
        <v>51</v>
      </c>
      <c r="E3332" s="2" t="s">
        <v>16</v>
      </c>
      <c r="F3332" s="2">
        <v>30</v>
      </c>
      <c r="G3332" s="2" t="s">
        <v>8018</v>
      </c>
      <c r="H3332" s="2" t="s">
        <v>8019</v>
      </c>
      <c r="I3332" s="2" t="s">
        <v>32</v>
      </c>
      <c r="J3332" s="3">
        <v>44747</v>
      </c>
      <c r="K3332" s="5">
        <f>YEAR(OrganizedData[[#This Row],[Order Date]])</f>
        <v>2022</v>
      </c>
      <c r="L3332" s="7" t="str">
        <f>TEXT(OrganizedData[[#This Row],[Order Date]],"mmm")</f>
        <v>Jul</v>
      </c>
      <c r="M3332" s="2">
        <v>79</v>
      </c>
      <c r="N3332" s="2" t="s">
        <v>101</v>
      </c>
      <c r="O3332" s="2" t="str">
        <f>VLOOKUP(OrganizedData[[#This Row],[Product Code]],ProductData[[Code]:[Item]],2,FALSE)</f>
        <v>Superwossname</v>
      </c>
      <c r="P3332" s="4">
        <f>OrganizedData[[#This Row],[Quantity]]*VLOOKUP(OrganizedData[[#This Row],[Product Code]],ProductData[],4,FALSE)</f>
        <v>1580</v>
      </c>
      <c r="Q3332" s="6">
        <f>OrganizedData[[#This Row],[Total Items Ordered]]*VLOOKUP(OrganizedData[[#This Row],[Product Code]],ProductData[],3,FALSE)</f>
        <v>5514.2000000000007</v>
      </c>
      <c r="R33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5238.4900000000007</v>
      </c>
    </row>
    <row r="3333" spans="1:18" x14ac:dyDescent="0.3">
      <c r="A3333" s="2">
        <v>3326</v>
      </c>
      <c r="B3333" s="2" t="s">
        <v>8020</v>
      </c>
      <c r="C3333" s="2" t="s">
        <v>5215</v>
      </c>
      <c r="D3333" s="2" t="s">
        <v>15</v>
      </c>
      <c r="E3333" s="2" t="s">
        <v>16</v>
      </c>
      <c r="F3333" s="2">
        <v>90</v>
      </c>
      <c r="G3333" s="2" t="s">
        <v>8021</v>
      </c>
      <c r="H3333" s="2" t="s">
        <v>8022</v>
      </c>
      <c r="I3333" s="2" t="s">
        <v>294</v>
      </c>
      <c r="J3333" s="3">
        <v>44257</v>
      </c>
      <c r="K3333" s="5">
        <f>YEAR(OrganizedData[[#This Row],[Order Date]])</f>
        <v>2021</v>
      </c>
      <c r="L3333" s="7" t="str">
        <f>TEXT(OrganizedData[[#This Row],[Order Date]],"mmm")</f>
        <v>Mar</v>
      </c>
      <c r="M3333" s="2">
        <v>49</v>
      </c>
      <c r="N3333" s="2" t="s">
        <v>45</v>
      </c>
      <c r="O3333" s="2" t="str">
        <f>VLOOKUP(OrganizedData[[#This Row],[Product Code]],ProductData[[Code]:[Item]],2,FALSE)</f>
        <v>Gigastuff</v>
      </c>
      <c r="P3333" s="4">
        <f>OrganizedData[[#This Row],[Quantity]]*VLOOKUP(OrganizedData[[#This Row],[Product Code]],ProductData[],4,FALSE)</f>
        <v>882</v>
      </c>
      <c r="Q3333" s="6">
        <f>OrganizedData[[#This Row],[Total Items Ordered]]*VLOOKUP(OrganizedData[[#This Row],[Product Code]],ProductData[],3,FALSE)</f>
        <v>1666.98</v>
      </c>
      <c r="R33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1616.9705999999999</v>
      </c>
    </row>
    <row r="3334" spans="1:18" x14ac:dyDescent="0.3">
      <c r="A3334" s="2">
        <v>3327</v>
      </c>
      <c r="B3334" s="2" t="s">
        <v>8023</v>
      </c>
      <c r="C3334" s="2" t="s">
        <v>5306</v>
      </c>
      <c r="D3334" s="2" t="s">
        <v>15</v>
      </c>
      <c r="E3334" s="2" t="s">
        <v>16</v>
      </c>
      <c r="F3334" s="2">
        <v>90</v>
      </c>
      <c r="G3334" s="2" t="s">
        <v>8024</v>
      </c>
      <c r="H3334" s="2" t="s">
        <v>4046</v>
      </c>
      <c r="I3334" s="2" t="s">
        <v>173</v>
      </c>
      <c r="J3334" s="3">
        <v>43877</v>
      </c>
      <c r="K3334" s="5">
        <f>YEAR(OrganizedData[[#This Row],[Order Date]])</f>
        <v>2020</v>
      </c>
      <c r="L3334" s="7" t="str">
        <f>TEXT(OrganizedData[[#This Row],[Order Date]],"mmm")</f>
        <v>Feb</v>
      </c>
      <c r="M3334" s="2">
        <v>2</v>
      </c>
      <c r="N3334" s="2" t="s">
        <v>70</v>
      </c>
      <c r="O3334" s="2" t="str">
        <f>VLOOKUP(OrganizedData[[#This Row],[Product Code]],ProductData[[Code]:[Item]],2,FALSE)</f>
        <v>Megawidget M</v>
      </c>
      <c r="P3334" s="4">
        <f>OrganizedData[[#This Row],[Quantity]]*VLOOKUP(OrganizedData[[#This Row],[Product Code]],ProductData[],4,FALSE)</f>
        <v>48</v>
      </c>
      <c r="Q3334" s="6">
        <f>OrganizedData[[#This Row],[Total Items Ordered]]*VLOOKUP(OrganizedData[[#This Row],[Product Code]],ProductData[],3,FALSE)</f>
        <v>61.92</v>
      </c>
      <c r="R33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3335" spans="1:18" x14ac:dyDescent="0.3">
      <c r="A3335" s="2">
        <v>3328</v>
      </c>
      <c r="B3335" s="2" t="s">
        <v>2377</v>
      </c>
      <c r="C3335" s="2" t="s">
        <v>3162</v>
      </c>
      <c r="D3335" s="2" t="s">
        <v>117</v>
      </c>
      <c r="E3335" s="2" t="s">
        <v>16</v>
      </c>
      <c r="F3335" s="2">
        <v>90</v>
      </c>
      <c r="G3335" s="2" t="s">
        <v>8025</v>
      </c>
      <c r="H3335" s="2" t="s">
        <v>2890</v>
      </c>
      <c r="I3335" s="2" t="s">
        <v>32</v>
      </c>
      <c r="J3335" s="3">
        <v>44671</v>
      </c>
      <c r="K3335" s="5">
        <f>YEAR(OrganizedData[[#This Row],[Order Date]])</f>
        <v>2022</v>
      </c>
      <c r="L3335" s="7" t="str">
        <f>TEXT(OrganizedData[[#This Row],[Order Date]],"mmm")</f>
        <v>Apr</v>
      </c>
      <c r="M3335" s="2">
        <v>80</v>
      </c>
      <c r="N3335" s="2" t="s">
        <v>70</v>
      </c>
      <c r="O3335" s="2" t="str">
        <f>VLOOKUP(OrganizedData[[#This Row],[Product Code]],ProductData[[Code]:[Item]],2,FALSE)</f>
        <v>Megawidget M</v>
      </c>
      <c r="P3335" s="4">
        <f>OrganizedData[[#This Row],[Quantity]]*VLOOKUP(OrganizedData[[#This Row],[Product Code]],ProductData[],4,FALSE)</f>
        <v>1920</v>
      </c>
      <c r="Q3335" s="6">
        <f>OrganizedData[[#This Row],[Total Items Ordered]]*VLOOKUP(OrganizedData[[#This Row],[Product Code]],ProductData[],3,FALSE)</f>
        <v>2476.8000000000002</v>
      </c>
      <c r="R33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2352.96</v>
      </c>
    </row>
    <row r="3336" spans="1:18" x14ac:dyDescent="0.3">
      <c r="A3336" s="2">
        <v>3329</v>
      </c>
      <c r="B3336" s="2" t="s">
        <v>4395</v>
      </c>
      <c r="C3336" s="2" t="s">
        <v>8026</v>
      </c>
      <c r="D3336" s="2" t="s">
        <v>28</v>
      </c>
      <c r="E3336" s="2" t="s">
        <v>29</v>
      </c>
      <c r="F3336" s="2">
        <v>30</v>
      </c>
      <c r="G3336" s="2" t="s">
        <v>8027</v>
      </c>
      <c r="H3336" s="2" t="s">
        <v>8028</v>
      </c>
      <c r="I3336" s="2" t="s">
        <v>294</v>
      </c>
      <c r="J3336" s="3">
        <v>43912</v>
      </c>
      <c r="K3336" s="5">
        <f>YEAR(OrganizedData[[#This Row],[Order Date]])</f>
        <v>2020</v>
      </c>
      <c r="L3336" s="7" t="str">
        <f>TEXT(OrganizedData[[#This Row],[Order Date]],"mmm")</f>
        <v>Mar</v>
      </c>
      <c r="M3336" s="2">
        <v>69</v>
      </c>
      <c r="N3336" s="2" t="s">
        <v>70</v>
      </c>
      <c r="O3336" s="2" t="str">
        <f>VLOOKUP(OrganizedData[[#This Row],[Product Code]],ProductData[[Code]:[Item]],2,FALSE)</f>
        <v>Megawidget M</v>
      </c>
      <c r="P3336" s="4">
        <f>OrganizedData[[#This Row],[Quantity]]*VLOOKUP(OrganizedData[[#This Row],[Product Code]],ProductData[],4,FALSE)</f>
        <v>1656</v>
      </c>
      <c r="Q3336" s="6">
        <f>OrganizedData[[#This Row],[Total Items Ordered]]*VLOOKUP(OrganizedData[[#This Row],[Product Code]],ProductData[],3,FALSE)</f>
        <v>2136.2400000000002</v>
      </c>
      <c r="R33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2029.4280000000001</v>
      </c>
    </row>
    <row r="3337" spans="1:18" x14ac:dyDescent="0.3">
      <c r="A3337" s="2">
        <v>3330</v>
      </c>
      <c r="B3337" s="2" t="s">
        <v>430</v>
      </c>
      <c r="C3337" s="2" t="s">
        <v>644</v>
      </c>
      <c r="D3337" s="2" t="s">
        <v>28</v>
      </c>
      <c r="E3337" s="2" t="s">
        <v>29</v>
      </c>
      <c r="F3337" s="2">
        <v>30</v>
      </c>
      <c r="G3337" s="2" t="s">
        <v>8029</v>
      </c>
      <c r="H3337" s="2" t="s">
        <v>8030</v>
      </c>
      <c r="I3337" s="2" t="s">
        <v>32</v>
      </c>
      <c r="J3337" s="3">
        <v>44292</v>
      </c>
      <c r="K3337" s="5">
        <f>YEAR(OrganizedData[[#This Row],[Order Date]])</f>
        <v>2021</v>
      </c>
      <c r="L3337" s="7" t="str">
        <f>TEXT(OrganizedData[[#This Row],[Order Date]],"mmm")</f>
        <v>Apr</v>
      </c>
      <c r="M3337" s="2">
        <v>78</v>
      </c>
      <c r="N3337" s="2" t="s">
        <v>101</v>
      </c>
      <c r="O3337" s="2" t="str">
        <f>VLOOKUP(OrganizedData[[#This Row],[Product Code]],ProductData[[Code]:[Item]],2,FALSE)</f>
        <v>Superwossname</v>
      </c>
      <c r="P3337" s="4">
        <f>OrganizedData[[#This Row],[Quantity]]*VLOOKUP(OrganizedData[[#This Row],[Product Code]],ProductData[],4,FALSE)</f>
        <v>1560</v>
      </c>
      <c r="Q3337" s="6">
        <f>OrganizedData[[#This Row],[Total Items Ordered]]*VLOOKUP(OrganizedData[[#This Row],[Product Code]],ProductData[],3,FALSE)</f>
        <v>5444.4000000000005</v>
      </c>
      <c r="R33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3338" spans="1:18" x14ac:dyDescent="0.3">
      <c r="A3338" s="2">
        <v>3331</v>
      </c>
      <c r="B3338" s="2" t="s">
        <v>8031</v>
      </c>
      <c r="C3338" s="2" t="s">
        <v>6003</v>
      </c>
      <c r="D3338" s="2" t="s">
        <v>15</v>
      </c>
      <c r="E3338" s="2" t="s">
        <v>16</v>
      </c>
      <c r="F3338" s="2">
        <v>60</v>
      </c>
      <c r="G3338" s="2" t="s">
        <v>8032</v>
      </c>
      <c r="H3338" s="2" t="s">
        <v>8033</v>
      </c>
      <c r="I3338" s="2" t="s">
        <v>32</v>
      </c>
      <c r="J3338" s="3">
        <v>43877</v>
      </c>
      <c r="K3338" s="5">
        <f>YEAR(OrganizedData[[#This Row],[Order Date]])</f>
        <v>2020</v>
      </c>
      <c r="L3338" s="7" t="str">
        <f>TEXT(OrganizedData[[#This Row],[Order Date]],"mmm")</f>
        <v>Feb</v>
      </c>
      <c r="M3338" s="2">
        <v>76</v>
      </c>
      <c r="N3338" s="2" t="s">
        <v>54</v>
      </c>
      <c r="O3338" s="2" t="str">
        <f>VLOOKUP(OrganizedData[[#This Row],[Product Code]],ProductData[[Code]:[Item]],2,FALSE)</f>
        <v>Megawidget S</v>
      </c>
      <c r="P3338" s="4">
        <f>OrganizedData[[#This Row],[Quantity]]*VLOOKUP(OrganizedData[[#This Row],[Product Code]],ProductData[],4,FALSE)</f>
        <v>1824</v>
      </c>
      <c r="Q3338" s="6">
        <f>OrganizedData[[#This Row],[Total Items Ordered]]*VLOOKUP(OrganizedData[[#This Row],[Product Code]],ProductData[],3,FALSE)</f>
        <v>1258.56</v>
      </c>
      <c r="R33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1195.6319999999998</v>
      </c>
    </row>
    <row r="3339" spans="1:18" x14ac:dyDescent="0.3">
      <c r="A3339" s="2">
        <v>3332</v>
      </c>
      <c r="B3339" s="2" t="s">
        <v>8034</v>
      </c>
      <c r="C3339" s="2" t="s">
        <v>8035</v>
      </c>
      <c r="D3339" s="2" t="s">
        <v>15</v>
      </c>
      <c r="E3339" s="2" t="s">
        <v>16</v>
      </c>
      <c r="F3339" s="2">
        <v>60</v>
      </c>
      <c r="G3339" s="2" t="s">
        <v>8036</v>
      </c>
      <c r="H3339" s="2" t="s">
        <v>2872</v>
      </c>
      <c r="I3339" s="2" t="s">
        <v>294</v>
      </c>
      <c r="J3339" s="3">
        <v>44924</v>
      </c>
      <c r="K3339" s="5">
        <f>YEAR(OrganizedData[[#This Row],[Order Date]])</f>
        <v>2022</v>
      </c>
      <c r="L3339" s="7" t="str">
        <f>TEXT(OrganizedData[[#This Row],[Order Date]],"mmm")</f>
        <v>Dec</v>
      </c>
      <c r="M3339" s="2">
        <v>103</v>
      </c>
      <c r="N3339" s="2" t="s">
        <v>33</v>
      </c>
      <c r="O3339" s="2" t="str">
        <f>VLOOKUP(OrganizedData[[#This Row],[Product Code]],ProductData[[Code]:[Item]],2,FALSE)</f>
        <v>Megawidget L</v>
      </c>
      <c r="P3339" s="4">
        <f>OrganizedData[[#This Row],[Quantity]]*VLOOKUP(OrganizedData[[#This Row],[Product Code]],ProductData[],4,FALSE)</f>
        <v>2472</v>
      </c>
      <c r="Q3339" s="6">
        <f>OrganizedData[[#This Row],[Total Items Ordered]]*VLOOKUP(OrganizedData[[#This Row],[Product Code]],ProductData[],3,FALSE)</f>
        <v>4424.88</v>
      </c>
      <c r="R33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4115.1384000000007</v>
      </c>
    </row>
    <row r="3340" spans="1:18" x14ac:dyDescent="0.3">
      <c r="A3340" s="2">
        <v>3333</v>
      </c>
      <c r="B3340" s="2" t="s">
        <v>8037</v>
      </c>
      <c r="C3340" s="2" t="s">
        <v>556</v>
      </c>
      <c r="D3340" s="2" t="s">
        <v>15</v>
      </c>
      <c r="E3340" s="2" t="s">
        <v>16</v>
      </c>
      <c r="F3340" s="2">
        <v>60</v>
      </c>
      <c r="G3340" s="2" t="s">
        <v>8038</v>
      </c>
      <c r="H3340" s="2" t="s">
        <v>5631</v>
      </c>
      <c r="I3340" s="2" t="s">
        <v>129</v>
      </c>
      <c r="J3340" s="3">
        <v>44670</v>
      </c>
      <c r="K3340" s="5">
        <f>YEAR(OrganizedData[[#This Row],[Order Date]])</f>
        <v>2022</v>
      </c>
      <c r="L3340" s="7" t="str">
        <f>TEXT(OrganizedData[[#This Row],[Order Date]],"mmm")</f>
        <v>Apr</v>
      </c>
      <c r="M3340" s="2">
        <v>81</v>
      </c>
      <c r="N3340" s="2" t="s">
        <v>54</v>
      </c>
      <c r="O3340" s="2" t="str">
        <f>VLOOKUP(OrganizedData[[#This Row],[Product Code]],ProductData[[Code]:[Item]],2,FALSE)</f>
        <v>Megawidget S</v>
      </c>
      <c r="P3340" s="4">
        <f>OrganizedData[[#This Row],[Quantity]]*VLOOKUP(OrganizedData[[#This Row],[Product Code]],ProductData[],4,FALSE)</f>
        <v>1944</v>
      </c>
      <c r="Q3340" s="6">
        <f>OrganizedData[[#This Row],[Total Items Ordered]]*VLOOKUP(OrganizedData[[#This Row],[Product Code]],ProductData[],3,FALSE)</f>
        <v>1341.36</v>
      </c>
      <c r="R33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3341" spans="1:18" x14ac:dyDescent="0.3">
      <c r="A3341" s="2">
        <v>3334</v>
      </c>
      <c r="B3341" s="2" t="s">
        <v>4757</v>
      </c>
      <c r="C3341" s="2" t="s">
        <v>5604</v>
      </c>
      <c r="D3341" s="2" t="s">
        <v>28</v>
      </c>
      <c r="E3341" s="2" t="s">
        <v>29</v>
      </c>
      <c r="F3341" s="2">
        <v>90</v>
      </c>
      <c r="G3341" s="2" t="s">
        <v>8039</v>
      </c>
      <c r="H3341" s="2" t="s">
        <v>4675</v>
      </c>
      <c r="I3341" s="2" t="s">
        <v>178</v>
      </c>
      <c r="J3341" s="3">
        <v>44388</v>
      </c>
      <c r="K3341" s="5">
        <f>YEAR(OrganizedData[[#This Row],[Order Date]])</f>
        <v>2021</v>
      </c>
      <c r="L3341" s="7" t="str">
        <f>TEXT(OrganizedData[[#This Row],[Order Date]],"mmm")</f>
        <v>Jul</v>
      </c>
      <c r="M3341" s="2">
        <v>83</v>
      </c>
      <c r="N3341" s="2" t="s">
        <v>101</v>
      </c>
      <c r="O3341" s="2" t="str">
        <f>VLOOKUP(OrganizedData[[#This Row],[Product Code]],ProductData[[Code]:[Item]],2,FALSE)</f>
        <v>Superwossname</v>
      </c>
      <c r="P3341" s="4">
        <f>OrganizedData[[#This Row],[Quantity]]*VLOOKUP(OrganizedData[[#This Row],[Product Code]],ProductData[],4,FALSE)</f>
        <v>1660</v>
      </c>
      <c r="Q3341" s="6">
        <f>OrganizedData[[#This Row],[Total Items Ordered]]*VLOOKUP(OrganizedData[[#This Row],[Product Code]],ProductData[],3,FALSE)</f>
        <v>5793.4000000000005</v>
      </c>
      <c r="R33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3342" spans="1:18" x14ac:dyDescent="0.3">
      <c r="A3342" s="2">
        <v>3335</v>
      </c>
      <c r="B3342" s="2" t="s">
        <v>1671</v>
      </c>
      <c r="C3342" s="2" t="s">
        <v>7908</v>
      </c>
      <c r="D3342" s="2" t="s">
        <v>28</v>
      </c>
      <c r="E3342" s="2" t="s">
        <v>29</v>
      </c>
      <c r="F3342" s="2">
        <v>30</v>
      </c>
      <c r="G3342" s="2" t="s">
        <v>8040</v>
      </c>
      <c r="H3342" s="2" t="s">
        <v>1026</v>
      </c>
      <c r="I3342" s="2" t="s">
        <v>32</v>
      </c>
      <c r="J3342" s="3">
        <v>44617</v>
      </c>
      <c r="K3342" s="5">
        <f>YEAR(OrganizedData[[#This Row],[Order Date]])</f>
        <v>2022</v>
      </c>
      <c r="L3342" s="7" t="str">
        <f>TEXT(OrganizedData[[#This Row],[Order Date]],"mmm")</f>
        <v>Feb</v>
      </c>
      <c r="M3342" s="2">
        <v>92</v>
      </c>
      <c r="N3342" s="2" t="s">
        <v>70</v>
      </c>
      <c r="O3342" s="2" t="str">
        <f>VLOOKUP(OrganizedData[[#This Row],[Product Code]],ProductData[[Code]:[Item]],2,FALSE)</f>
        <v>Megawidget M</v>
      </c>
      <c r="P3342" s="4">
        <f>OrganizedData[[#This Row],[Quantity]]*VLOOKUP(OrganizedData[[#This Row],[Product Code]],ProductData[],4,FALSE)</f>
        <v>2208</v>
      </c>
      <c r="Q3342" s="6">
        <f>OrganizedData[[#This Row],[Total Items Ordered]]*VLOOKUP(OrganizedData[[#This Row],[Product Code]],ProductData[],3,FALSE)</f>
        <v>2848.32</v>
      </c>
      <c r="R33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2705.904</v>
      </c>
    </row>
    <row r="3343" spans="1:18" x14ac:dyDescent="0.3">
      <c r="A3343" s="2">
        <v>3336</v>
      </c>
      <c r="B3343" s="2" t="s">
        <v>4419</v>
      </c>
      <c r="C3343" s="2" t="s">
        <v>7908</v>
      </c>
      <c r="D3343" s="2" t="s">
        <v>51</v>
      </c>
      <c r="E3343" s="2" t="s">
        <v>16</v>
      </c>
      <c r="F3343" s="2">
        <v>90</v>
      </c>
      <c r="G3343" s="2" t="s">
        <v>8041</v>
      </c>
      <c r="H3343" s="2" t="s">
        <v>8042</v>
      </c>
      <c r="I3343" s="2" t="s">
        <v>124</v>
      </c>
      <c r="J3343" s="3">
        <v>44570</v>
      </c>
      <c r="K3343" s="5">
        <f>YEAR(OrganizedData[[#This Row],[Order Date]])</f>
        <v>2022</v>
      </c>
      <c r="L3343" s="7" t="str">
        <f>TEXT(OrganizedData[[#This Row],[Order Date]],"mmm")</f>
        <v>Jan</v>
      </c>
      <c r="M3343" s="2">
        <v>73</v>
      </c>
      <c r="N3343" s="2" t="s">
        <v>20</v>
      </c>
      <c r="O3343" s="2" t="str">
        <f>VLOOKUP(OrganizedData[[#This Row],[Product Code]],ProductData[[Code]:[Item]],2,FALSE)</f>
        <v>Hyperwotsit</v>
      </c>
      <c r="P3343" s="4">
        <f>OrganizedData[[#This Row],[Quantity]]*VLOOKUP(OrganizedData[[#This Row],[Product Code]],ProductData[],4,FALSE)</f>
        <v>1460</v>
      </c>
      <c r="Q3343" s="6">
        <f>OrganizedData[[#This Row],[Total Items Ordered]]*VLOOKUP(OrganizedData[[#This Row],[Product Code]],ProductData[],3,FALSE)</f>
        <v>2934.6</v>
      </c>
      <c r="R33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2787.87</v>
      </c>
    </row>
    <row r="3344" spans="1:18" x14ac:dyDescent="0.3">
      <c r="A3344" s="2">
        <v>3337</v>
      </c>
      <c r="B3344" s="2" t="s">
        <v>2256</v>
      </c>
      <c r="C3344" s="2" t="s">
        <v>232</v>
      </c>
      <c r="D3344" s="2" t="s">
        <v>28</v>
      </c>
      <c r="E3344" s="2" t="s">
        <v>29</v>
      </c>
      <c r="F3344" s="2">
        <v>30</v>
      </c>
      <c r="G3344" s="2" t="s">
        <v>8043</v>
      </c>
      <c r="H3344" s="2" t="s">
        <v>5643</v>
      </c>
      <c r="I3344" s="2" t="s">
        <v>886</v>
      </c>
      <c r="J3344" s="3">
        <v>44796</v>
      </c>
      <c r="K3344" s="5">
        <f>YEAR(OrganizedData[[#This Row],[Order Date]])</f>
        <v>2022</v>
      </c>
      <c r="L3344" s="7" t="str">
        <f>TEXT(OrganizedData[[#This Row],[Order Date]],"mmm")</f>
        <v>Aug</v>
      </c>
      <c r="M3344" s="2">
        <v>2</v>
      </c>
      <c r="N3344" s="2" t="s">
        <v>70</v>
      </c>
      <c r="O3344" s="2" t="str">
        <f>VLOOKUP(OrganizedData[[#This Row],[Product Code]],ProductData[[Code]:[Item]],2,FALSE)</f>
        <v>Megawidget M</v>
      </c>
      <c r="P3344" s="4">
        <f>OrganizedData[[#This Row],[Quantity]]*VLOOKUP(OrganizedData[[#This Row],[Product Code]],ProductData[],4,FALSE)</f>
        <v>48</v>
      </c>
      <c r="Q3344" s="6">
        <f>OrganizedData[[#This Row],[Total Items Ordered]]*VLOOKUP(OrganizedData[[#This Row],[Product Code]],ProductData[],3,FALSE)</f>
        <v>61.92</v>
      </c>
      <c r="R33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3345" spans="1:18" x14ac:dyDescent="0.3">
      <c r="A3345" s="2">
        <v>3338</v>
      </c>
      <c r="B3345" s="2" t="s">
        <v>8044</v>
      </c>
      <c r="C3345" s="2" t="s">
        <v>1062</v>
      </c>
      <c r="D3345" s="2" t="s">
        <v>92</v>
      </c>
      <c r="E3345" s="2" t="s">
        <v>16</v>
      </c>
      <c r="F3345" s="2">
        <v>30</v>
      </c>
      <c r="G3345" s="2" t="s">
        <v>8045</v>
      </c>
      <c r="H3345" s="2" t="s">
        <v>2685</v>
      </c>
      <c r="I3345" s="2" t="s">
        <v>32</v>
      </c>
      <c r="J3345" s="3">
        <v>44186</v>
      </c>
      <c r="K3345" s="5">
        <f>YEAR(OrganizedData[[#This Row],[Order Date]])</f>
        <v>2020</v>
      </c>
      <c r="L3345" s="7" t="str">
        <f>TEXT(OrganizedData[[#This Row],[Order Date]],"mmm")</f>
        <v>Dec</v>
      </c>
      <c r="M3345" s="2">
        <v>34</v>
      </c>
      <c r="N3345" s="2" t="s">
        <v>54</v>
      </c>
      <c r="O3345" s="2" t="str">
        <f>VLOOKUP(OrganizedData[[#This Row],[Product Code]],ProductData[[Code]:[Item]],2,FALSE)</f>
        <v>Megawidget S</v>
      </c>
      <c r="P3345" s="4">
        <f>OrganizedData[[#This Row],[Quantity]]*VLOOKUP(OrganizedData[[#This Row],[Product Code]],ProductData[],4,FALSE)</f>
        <v>816</v>
      </c>
      <c r="Q3345" s="6">
        <f>OrganizedData[[#This Row],[Total Items Ordered]]*VLOOKUP(OrganizedData[[#This Row],[Product Code]],ProductData[],3,FALSE)</f>
        <v>563.04</v>
      </c>
      <c r="R33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546.14879999999994</v>
      </c>
    </row>
    <row r="3346" spans="1:18" x14ac:dyDescent="0.3">
      <c r="A3346" s="2">
        <v>3339</v>
      </c>
      <c r="B3346" s="2" t="s">
        <v>2919</v>
      </c>
      <c r="C3346" s="2" t="s">
        <v>8046</v>
      </c>
      <c r="D3346" s="2" t="s">
        <v>28</v>
      </c>
      <c r="E3346" s="2" t="s">
        <v>29</v>
      </c>
      <c r="F3346" s="2">
        <v>60</v>
      </c>
      <c r="G3346" s="2" t="s">
        <v>8047</v>
      </c>
      <c r="H3346" s="2" t="s">
        <v>8048</v>
      </c>
      <c r="I3346" s="2" t="s">
        <v>89</v>
      </c>
      <c r="J3346" s="3">
        <v>43903</v>
      </c>
      <c r="K3346" s="5">
        <f>YEAR(OrganizedData[[#This Row],[Order Date]])</f>
        <v>2020</v>
      </c>
      <c r="L3346" s="7" t="str">
        <f>TEXT(OrganizedData[[#This Row],[Order Date]],"mmm")</f>
        <v>Mar</v>
      </c>
      <c r="M3346" s="2">
        <v>58</v>
      </c>
      <c r="N3346" s="2" t="s">
        <v>39</v>
      </c>
      <c r="O3346" s="2" t="str">
        <f>VLOOKUP(OrganizedData[[#This Row],[Product Code]],ProductData[[Code]:[Item]],2,FALSE)</f>
        <v>Ultrathing V1</v>
      </c>
      <c r="P3346" s="4">
        <f>OrganizedData[[#This Row],[Quantity]]*VLOOKUP(OrganizedData[[#This Row],[Product Code]],ProductData[],4,FALSE)</f>
        <v>986</v>
      </c>
      <c r="Q3346" s="6">
        <f>OrganizedData[[#This Row],[Total Items Ordered]]*VLOOKUP(OrganizedData[[#This Row],[Product Code]],ProductData[],3,FALSE)</f>
        <v>1764.94</v>
      </c>
      <c r="R33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1676.693</v>
      </c>
    </row>
    <row r="3347" spans="1:18" x14ac:dyDescent="0.3">
      <c r="A3347" s="2">
        <v>3340</v>
      </c>
      <c r="B3347" s="2" t="s">
        <v>8049</v>
      </c>
      <c r="C3347" s="2" t="s">
        <v>1044</v>
      </c>
      <c r="D3347" s="2" t="s">
        <v>51</v>
      </c>
      <c r="E3347" s="2" t="s">
        <v>16</v>
      </c>
      <c r="F3347" s="2">
        <v>90</v>
      </c>
      <c r="G3347" s="2" t="s">
        <v>8050</v>
      </c>
      <c r="H3347" s="2" t="s">
        <v>2444</v>
      </c>
      <c r="I3347" s="2" t="s">
        <v>32</v>
      </c>
      <c r="J3347" s="3">
        <v>44296</v>
      </c>
      <c r="K3347" s="5">
        <f>YEAR(OrganizedData[[#This Row],[Order Date]])</f>
        <v>2021</v>
      </c>
      <c r="L3347" s="7" t="str">
        <f>TEXT(OrganizedData[[#This Row],[Order Date]],"mmm")</f>
        <v>Apr</v>
      </c>
      <c r="M3347" s="2">
        <v>49</v>
      </c>
      <c r="N3347" s="2" t="s">
        <v>20</v>
      </c>
      <c r="O3347" s="2" t="str">
        <f>VLOOKUP(OrganizedData[[#This Row],[Product Code]],ProductData[[Code]:[Item]],2,FALSE)</f>
        <v>Hyperwotsit</v>
      </c>
      <c r="P3347" s="4">
        <f>OrganizedData[[#This Row],[Quantity]]*VLOOKUP(OrganizedData[[#This Row],[Product Code]],ProductData[],4,FALSE)</f>
        <v>980</v>
      </c>
      <c r="Q3347" s="6">
        <f>OrganizedData[[#This Row],[Total Items Ordered]]*VLOOKUP(OrganizedData[[#This Row],[Product Code]],ProductData[],3,FALSE)</f>
        <v>1969.7999999999997</v>
      </c>
      <c r="R33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1910.7059999999997</v>
      </c>
    </row>
    <row r="3348" spans="1:18" x14ac:dyDescent="0.3">
      <c r="A3348" s="2">
        <v>3341</v>
      </c>
      <c r="B3348" s="2" t="s">
        <v>183</v>
      </c>
      <c r="C3348" s="2" t="s">
        <v>4121</v>
      </c>
      <c r="D3348" s="2" t="s">
        <v>28</v>
      </c>
      <c r="E3348" s="2" t="s">
        <v>29</v>
      </c>
      <c r="F3348" s="2">
        <v>30</v>
      </c>
      <c r="G3348" s="2" t="s">
        <v>8051</v>
      </c>
      <c r="H3348" s="2" t="s">
        <v>8019</v>
      </c>
      <c r="I3348" s="2" t="s">
        <v>32</v>
      </c>
      <c r="J3348" s="3">
        <v>44167</v>
      </c>
      <c r="K3348" s="5">
        <f>YEAR(OrganizedData[[#This Row],[Order Date]])</f>
        <v>2020</v>
      </c>
      <c r="L3348" s="7" t="str">
        <f>TEXT(OrganizedData[[#This Row],[Order Date]],"mmm")</f>
        <v>Dec</v>
      </c>
      <c r="M3348" s="2">
        <v>37</v>
      </c>
      <c r="N3348" s="2" t="s">
        <v>70</v>
      </c>
      <c r="O3348" s="2" t="str">
        <f>VLOOKUP(OrganizedData[[#This Row],[Product Code]],ProductData[[Code]:[Item]],2,FALSE)</f>
        <v>Megawidget M</v>
      </c>
      <c r="P3348" s="4">
        <f>OrganizedData[[#This Row],[Quantity]]*VLOOKUP(OrganizedData[[#This Row],[Product Code]],ProductData[],4,FALSE)</f>
        <v>888</v>
      </c>
      <c r="Q3348" s="6">
        <f>OrganizedData[[#This Row],[Total Items Ordered]]*VLOOKUP(OrganizedData[[#This Row],[Product Code]],ProductData[],3,FALSE)</f>
        <v>1145.52</v>
      </c>
      <c r="R33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3349" spans="1:18" x14ac:dyDescent="0.3">
      <c r="A3349" s="2">
        <v>3342</v>
      </c>
      <c r="B3349" s="2" t="s">
        <v>155</v>
      </c>
      <c r="C3349" s="2" t="s">
        <v>4504</v>
      </c>
      <c r="D3349" s="2" t="s">
        <v>28</v>
      </c>
      <c r="E3349" s="2" t="s">
        <v>29</v>
      </c>
      <c r="F3349" s="2">
        <v>60</v>
      </c>
      <c r="G3349" s="2" t="s">
        <v>8052</v>
      </c>
      <c r="H3349" s="2" t="s">
        <v>1221</v>
      </c>
      <c r="I3349" s="2" t="s">
        <v>124</v>
      </c>
      <c r="J3349" s="3">
        <v>44139</v>
      </c>
      <c r="K3349" s="5">
        <f>YEAR(OrganizedData[[#This Row],[Order Date]])</f>
        <v>2020</v>
      </c>
      <c r="L3349" s="7" t="str">
        <f>TEXT(OrganizedData[[#This Row],[Order Date]],"mmm")</f>
        <v>Nov</v>
      </c>
      <c r="M3349" s="2">
        <v>20</v>
      </c>
      <c r="N3349" s="2" t="s">
        <v>33</v>
      </c>
      <c r="O3349" s="2" t="str">
        <f>VLOOKUP(OrganizedData[[#This Row],[Product Code]],ProductData[[Code]:[Item]],2,FALSE)</f>
        <v>Megawidget L</v>
      </c>
      <c r="P3349" s="4">
        <f>OrganizedData[[#This Row],[Quantity]]*VLOOKUP(OrganizedData[[#This Row],[Product Code]],ProductData[],4,FALSE)</f>
        <v>480</v>
      </c>
      <c r="Q3349" s="6">
        <f>OrganizedData[[#This Row],[Total Items Ordered]]*VLOOKUP(OrganizedData[[#This Row],[Product Code]],ProductData[],3,FALSE)</f>
        <v>859.2</v>
      </c>
      <c r="R33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3350" spans="1:18" x14ac:dyDescent="0.3">
      <c r="A3350" s="2">
        <v>3343</v>
      </c>
      <c r="B3350" s="2" t="s">
        <v>8053</v>
      </c>
      <c r="C3350" s="2" t="s">
        <v>4088</v>
      </c>
      <c r="D3350" s="2" t="s">
        <v>51</v>
      </c>
      <c r="E3350" s="2" t="s">
        <v>16</v>
      </c>
      <c r="F3350" s="2">
        <v>30</v>
      </c>
      <c r="G3350" s="2" t="s">
        <v>8054</v>
      </c>
      <c r="H3350" s="2" t="s">
        <v>3365</v>
      </c>
      <c r="I3350" s="2" t="s">
        <v>146</v>
      </c>
      <c r="J3350" s="3">
        <v>44561</v>
      </c>
      <c r="K3350" s="5">
        <f>YEAR(OrganizedData[[#This Row],[Order Date]])</f>
        <v>2021</v>
      </c>
      <c r="L3350" s="7" t="str">
        <f>TEXT(OrganizedData[[#This Row],[Order Date]],"mmm")</f>
        <v>Dec</v>
      </c>
      <c r="M3350" s="2">
        <v>54</v>
      </c>
      <c r="N3350" s="2" t="s">
        <v>159</v>
      </c>
      <c r="O3350" s="2" t="str">
        <f>VLOOKUP(OrganizedData[[#This Row],[Product Code]],ProductData[[Code]:[Item]],2,FALSE)</f>
        <v>Ultrathing V3</v>
      </c>
      <c r="P3350" s="4">
        <f>OrganizedData[[#This Row],[Quantity]]*VLOOKUP(OrganizedData[[#This Row],[Product Code]],ProductData[],4,FALSE)</f>
        <v>1296</v>
      </c>
      <c r="Q3350" s="6">
        <f>OrganizedData[[#This Row],[Total Items Ordered]]*VLOOKUP(OrganizedData[[#This Row],[Product Code]],ProductData[],3,FALSE)</f>
        <v>4393.4400000000005</v>
      </c>
      <c r="R33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4173.768</v>
      </c>
    </row>
    <row r="3351" spans="1:18" x14ac:dyDescent="0.3">
      <c r="A3351" s="2">
        <v>3344</v>
      </c>
      <c r="B3351" s="2" t="s">
        <v>8055</v>
      </c>
      <c r="C3351" s="2" t="s">
        <v>8056</v>
      </c>
      <c r="D3351" s="2" t="s">
        <v>28</v>
      </c>
      <c r="E3351" s="2" t="s">
        <v>29</v>
      </c>
      <c r="F3351" s="2">
        <v>30</v>
      </c>
      <c r="G3351" s="2" t="s">
        <v>8057</v>
      </c>
      <c r="H3351" s="2" t="s">
        <v>3206</v>
      </c>
      <c r="I3351" s="2" t="s">
        <v>1199</v>
      </c>
      <c r="J3351" s="3">
        <v>44605</v>
      </c>
      <c r="K3351" s="5">
        <f>YEAR(OrganizedData[[#This Row],[Order Date]])</f>
        <v>2022</v>
      </c>
      <c r="L3351" s="7" t="str">
        <f>TEXT(OrganizedData[[#This Row],[Order Date]],"mmm")</f>
        <v>Feb</v>
      </c>
      <c r="M3351" s="2">
        <v>27</v>
      </c>
      <c r="N3351" s="2" t="s">
        <v>20</v>
      </c>
      <c r="O3351" s="2" t="str">
        <f>VLOOKUP(OrganizedData[[#This Row],[Product Code]],ProductData[[Code]:[Item]],2,FALSE)</f>
        <v>Hyperwotsit</v>
      </c>
      <c r="P3351" s="4">
        <f>OrganizedData[[#This Row],[Quantity]]*VLOOKUP(OrganizedData[[#This Row],[Product Code]],ProductData[],4,FALSE)</f>
        <v>540</v>
      </c>
      <c r="Q3351" s="6">
        <f>OrganizedData[[#This Row],[Total Items Ordered]]*VLOOKUP(OrganizedData[[#This Row],[Product Code]],ProductData[],3,FALSE)</f>
        <v>1085.3999999999999</v>
      </c>
      <c r="R33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1052.8379999999997</v>
      </c>
    </row>
    <row r="3352" spans="1:18" x14ac:dyDescent="0.3">
      <c r="A3352" s="2">
        <v>3345</v>
      </c>
      <c r="B3352" s="2" t="s">
        <v>3450</v>
      </c>
      <c r="C3352" s="2" t="s">
        <v>953</v>
      </c>
      <c r="D3352" s="2" t="s">
        <v>51</v>
      </c>
      <c r="E3352" s="2" t="s">
        <v>16</v>
      </c>
      <c r="F3352" s="2">
        <v>30</v>
      </c>
      <c r="G3352" s="2" t="s">
        <v>8058</v>
      </c>
      <c r="H3352" s="2" t="s">
        <v>2261</v>
      </c>
      <c r="I3352" s="2" t="s">
        <v>32</v>
      </c>
      <c r="J3352" s="3">
        <v>44162</v>
      </c>
      <c r="K3352" s="5">
        <f>YEAR(OrganizedData[[#This Row],[Order Date]])</f>
        <v>2020</v>
      </c>
      <c r="L3352" s="7" t="str">
        <f>TEXT(OrganizedData[[#This Row],[Order Date]],"mmm")</f>
        <v>Nov</v>
      </c>
      <c r="M3352" s="2">
        <v>65</v>
      </c>
      <c r="N3352" s="2" t="s">
        <v>80</v>
      </c>
      <c r="O3352" s="2" t="str">
        <f>VLOOKUP(OrganizedData[[#This Row],[Product Code]],ProductData[[Code]:[Item]],2,FALSE)</f>
        <v>Ultrathing V2</v>
      </c>
      <c r="P3352" s="4">
        <f>OrganizedData[[#This Row],[Quantity]]*VLOOKUP(OrganizedData[[#This Row],[Product Code]],ProductData[],4,FALSE)</f>
        <v>1300</v>
      </c>
      <c r="Q3352" s="6">
        <f>OrganizedData[[#This Row],[Total Items Ordered]]*VLOOKUP(OrganizedData[[#This Row],[Product Code]],ProductData[],3,FALSE)</f>
        <v>3835.0000000000005</v>
      </c>
      <c r="R33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3643.2500000000005</v>
      </c>
    </row>
    <row r="3353" spans="1:18" x14ac:dyDescent="0.3">
      <c r="A3353" s="2">
        <v>3346</v>
      </c>
      <c r="B3353" s="2" t="s">
        <v>785</v>
      </c>
      <c r="C3353" s="2" t="s">
        <v>418</v>
      </c>
      <c r="D3353" s="2" t="s">
        <v>28</v>
      </c>
      <c r="E3353" s="2" t="s">
        <v>29</v>
      </c>
      <c r="F3353" s="2">
        <v>60</v>
      </c>
      <c r="G3353" s="2" t="s">
        <v>8059</v>
      </c>
      <c r="H3353" s="2" t="s">
        <v>8060</v>
      </c>
      <c r="I3353" s="2" t="s">
        <v>32</v>
      </c>
      <c r="J3353" s="3">
        <v>44598</v>
      </c>
      <c r="K3353" s="5">
        <f>YEAR(OrganizedData[[#This Row],[Order Date]])</f>
        <v>2022</v>
      </c>
      <c r="L3353" s="7" t="str">
        <f>TEXT(OrganizedData[[#This Row],[Order Date]],"mmm")</f>
        <v>Feb</v>
      </c>
      <c r="M3353" s="2">
        <v>56</v>
      </c>
      <c r="N3353" s="2" t="s">
        <v>33</v>
      </c>
      <c r="O3353" s="2" t="str">
        <f>VLOOKUP(OrganizedData[[#This Row],[Product Code]],ProductData[[Code]:[Item]],2,FALSE)</f>
        <v>Megawidget L</v>
      </c>
      <c r="P3353" s="4">
        <f>OrganizedData[[#This Row],[Quantity]]*VLOOKUP(OrganizedData[[#This Row],[Product Code]],ProductData[],4,FALSE)</f>
        <v>1344</v>
      </c>
      <c r="Q3353" s="6">
        <f>OrganizedData[[#This Row],[Total Items Ordered]]*VLOOKUP(OrganizedData[[#This Row],[Product Code]],ProductData[],3,FALSE)</f>
        <v>2405.7600000000002</v>
      </c>
      <c r="R33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2285.4720000000002</v>
      </c>
    </row>
    <row r="3354" spans="1:18" x14ac:dyDescent="0.3">
      <c r="A3354" s="2">
        <v>3347</v>
      </c>
      <c r="B3354" s="2" t="s">
        <v>304</v>
      </c>
      <c r="C3354" s="2" t="s">
        <v>6477</v>
      </c>
      <c r="D3354" s="2" t="s">
        <v>51</v>
      </c>
      <c r="E3354" s="2" t="s">
        <v>16</v>
      </c>
      <c r="F3354" s="2">
        <v>90</v>
      </c>
      <c r="G3354" s="2" t="s">
        <v>8061</v>
      </c>
      <c r="H3354" s="2" t="s">
        <v>2305</v>
      </c>
      <c r="I3354" s="2" t="s">
        <v>25</v>
      </c>
      <c r="J3354" s="3">
        <v>44461</v>
      </c>
      <c r="K3354" s="5">
        <f>YEAR(OrganizedData[[#This Row],[Order Date]])</f>
        <v>2021</v>
      </c>
      <c r="L3354" s="7" t="str">
        <f>TEXT(OrganizedData[[#This Row],[Order Date]],"mmm")</f>
        <v>Sep</v>
      </c>
      <c r="M3354" s="2">
        <v>18</v>
      </c>
      <c r="N3354" s="2" t="s">
        <v>20</v>
      </c>
      <c r="O3354" s="2" t="str">
        <f>VLOOKUP(OrganizedData[[#This Row],[Product Code]],ProductData[[Code]:[Item]],2,FALSE)</f>
        <v>Hyperwotsit</v>
      </c>
      <c r="P3354" s="4">
        <f>OrganizedData[[#This Row],[Quantity]]*VLOOKUP(OrganizedData[[#This Row],[Product Code]],ProductData[],4,FALSE)</f>
        <v>360</v>
      </c>
      <c r="Q3354" s="6">
        <f>OrganizedData[[#This Row],[Total Items Ordered]]*VLOOKUP(OrganizedData[[#This Row],[Product Code]],ProductData[],3,FALSE)</f>
        <v>723.59999999999991</v>
      </c>
      <c r="R33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3355" spans="1:18" x14ac:dyDescent="0.3">
      <c r="A3355" s="2">
        <v>3348</v>
      </c>
      <c r="B3355" s="2" t="s">
        <v>8062</v>
      </c>
      <c r="C3355" s="2" t="s">
        <v>2885</v>
      </c>
      <c r="D3355" s="2" t="s">
        <v>51</v>
      </c>
      <c r="E3355" s="2" t="s">
        <v>16</v>
      </c>
      <c r="F3355" s="2">
        <v>90</v>
      </c>
      <c r="G3355" s="2" t="s">
        <v>8063</v>
      </c>
      <c r="H3355" s="2" t="s">
        <v>702</v>
      </c>
      <c r="I3355" s="2" t="s">
        <v>703</v>
      </c>
      <c r="J3355" s="3">
        <v>44021</v>
      </c>
      <c r="K3355" s="5">
        <f>YEAR(OrganizedData[[#This Row],[Order Date]])</f>
        <v>2020</v>
      </c>
      <c r="L3355" s="7" t="str">
        <f>TEXT(OrganizedData[[#This Row],[Order Date]],"mmm")</f>
        <v>Jul</v>
      </c>
      <c r="M3355" s="2">
        <v>32</v>
      </c>
      <c r="N3355" s="2" t="s">
        <v>70</v>
      </c>
      <c r="O3355" s="2" t="str">
        <f>VLOOKUP(OrganizedData[[#This Row],[Product Code]],ProductData[[Code]:[Item]],2,FALSE)</f>
        <v>Megawidget M</v>
      </c>
      <c r="P3355" s="4">
        <f>OrganizedData[[#This Row],[Quantity]]*VLOOKUP(OrganizedData[[#This Row],[Product Code]],ProductData[],4,FALSE)</f>
        <v>768</v>
      </c>
      <c r="Q3355" s="6">
        <f>OrganizedData[[#This Row],[Total Items Ordered]]*VLOOKUP(OrganizedData[[#This Row],[Product Code]],ProductData[],3,FALSE)</f>
        <v>990.72</v>
      </c>
      <c r="R33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960.99839999999995</v>
      </c>
    </row>
    <row r="3356" spans="1:18" x14ac:dyDescent="0.3">
      <c r="A3356" s="2">
        <v>3349</v>
      </c>
      <c r="B3356" s="2" t="s">
        <v>6984</v>
      </c>
      <c r="C3356" s="2" t="s">
        <v>8064</v>
      </c>
      <c r="D3356" s="2" t="s">
        <v>28</v>
      </c>
      <c r="E3356" s="2" t="s">
        <v>29</v>
      </c>
      <c r="F3356" s="2">
        <v>30</v>
      </c>
      <c r="G3356" s="2" t="s">
        <v>8066</v>
      </c>
      <c r="H3356" s="2" t="s">
        <v>4272</v>
      </c>
      <c r="I3356" s="2" t="s">
        <v>1652</v>
      </c>
      <c r="J3356" s="3">
        <v>43862</v>
      </c>
      <c r="K3356" s="5">
        <f>YEAR(OrganizedData[[#This Row],[Order Date]])</f>
        <v>2020</v>
      </c>
      <c r="L3356" s="7" t="str">
        <f>TEXT(OrganizedData[[#This Row],[Order Date]],"mmm")</f>
        <v>Feb</v>
      </c>
      <c r="M3356" s="2">
        <v>8</v>
      </c>
      <c r="N3356" s="2" t="s">
        <v>101</v>
      </c>
      <c r="O3356" s="2" t="str">
        <f>VLOOKUP(OrganizedData[[#This Row],[Product Code]],ProductData[[Code]:[Item]],2,FALSE)</f>
        <v>Superwossname</v>
      </c>
      <c r="P3356" s="4">
        <f>OrganizedData[[#This Row],[Quantity]]*VLOOKUP(OrganizedData[[#This Row],[Product Code]],ProductData[],4,FALSE)</f>
        <v>160</v>
      </c>
      <c r="Q3356" s="6">
        <f>OrganizedData[[#This Row],[Total Items Ordered]]*VLOOKUP(OrganizedData[[#This Row],[Product Code]],ProductData[],3,FALSE)</f>
        <v>558.40000000000009</v>
      </c>
      <c r="R33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558.40000000000009</v>
      </c>
    </row>
    <row r="3357" spans="1:18" x14ac:dyDescent="0.3">
      <c r="A3357" s="2">
        <v>3350</v>
      </c>
      <c r="B3357" s="2" t="s">
        <v>2976</v>
      </c>
      <c r="C3357" s="2" t="s">
        <v>2223</v>
      </c>
      <c r="D3357" s="2" t="s">
        <v>28</v>
      </c>
      <c r="E3357" s="2" t="s">
        <v>29</v>
      </c>
      <c r="F3357" s="2">
        <v>30</v>
      </c>
      <c r="G3357" s="2" t="s">
        <v>8067</v>
      </c>
      <c r="H3357" s="2" t="s">
        <v>3571</v>
      </c>
      <c r="I3357" s="2" t="s">
        <v>32</v>
      </c>
      <c r="J3357" s="3">
        <v>44232</v>
      </c>
      <c r="K3357" s="5">
        <f>YEAR(OrganizedData[[#This Row],[Order Date]])</f>
        <v>2021</v>
      </c>
      <c r="L3357" s="7" t="str">
        <f>TEXT(OrganizedData[[#This Row],[Order Date]],"mmm")</f>
        <v>Feb</v>
      </c>
      <c r="M3357" s="2">
        <v>54</v>
      </c>
      <c r="N3357" s="2" t="s">
        <v>54</v>
      </c>
      <c r="O3357" s="2" t="str">
        <f>VLOOKUP(OrganizedData[[#This Row],[Product Code]],ProductData[[Code]:[Item]],2,FALSE)</f>
        <v>Megawidget S</v>
      </c>
      <c r="P3357" s="4">
        <f>OrganizedData[[#This Row],[Quantity]]*VLOOKUP(OrganizedData[[#This Row],[Product Code]],ProductData[],4,FALSE)</f>
        <v>1296</v>
      </c>
      <c r="Q3357" s="6">
        <f>OrganizedData[[#This Row],[Total Items Ordered]]*VLOOKUP(OrganizedData[[#This Row],[Product Code]],ProductData[],3,FALSE)</f>
        <v>894.2399999999999</v>
      </c>
      <c r="R33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849.52799999999991</v>
      </c>
    </row>
    <row r="3358" spans="1:18" x14ac:dyDescent="0.3">
      <c r="A3358" s="2">
        <v>3351</v>
      </c>
      <c r="B3358" s="2" t="s">
        <v>8068</v>
      </c>
      <c r="C3358" s="2" t="s">
        <v>6982</v>
      </c>
      <c r="D3358" s="2" t="s">
        <v>15</v>
      </c>
      <c r="E3358" s="2" t="s">
        <v>16</v>
      </c>
      <c r="F3358" s="2">
        <v>60</v>
      </c>
      <c r="G3358" s="2" t="s">
        <v>8069</v>
      </c>
      <c r="H3358" s="2" t="s">
        <v>4996</v>
      </c>
      <c r="I3358" s="2" t="s">
        <v>32</v>
      </c>
      <c r="J3358" s="3">
        <v>44549</v>
      </c>
      <c r="K3358" s="5">
        <f>YEAR(OrganizedData[[#This Row],[Order Date]])</f>
        <v>2021</v>
      </c>
      <c r="L3358" s="7" t="str">
        <f>TEXT(OrganizedData[[#This Row],[Order Date]],"mmm")</f>
        <v>Dec</v>
      </c>
      <c r="M3358" s="2">
        <v>50</v>
      </c>
      <c r="N3358" s="2" t="s">
        <v>33</v>
      </c>
      <c r="O3358" s="2" t="str">
        <f>VLOOKUP(OrganizedData[[#This Row],[Product Code]],ProductData[[Code]:[Item]],2,FALSE)</f>
        <v>Megawidget L</v>
      </c>
      <c r="P3358" s="4">
        <f>OrganizedData[[#This Row],[Quantity]]*VLOOKUP(OrganizedData[[#This Row],[Product Code]],ProductData[],4,FALSE)</f>
        <v>1200</v>
      </c>
      <c r="Q3358" s="6">
        <f>OrganizedData[[#This Row],[Total Items Ordered]]*VLOOKUP(OrganizedData[[#This Row],[Product Code]],ProductData[],3,FALSE)</f>
        <v>2148</v>
      </c>
      <c r="R33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3359" spans="1:18" x14ac:dyDescent="0.3">
      <c r="A3359" s="2">
        <v>3352</v>
      </c>
      <c r="B3359" s="2" t="s">
        <v>8070</v>
      </c>
      <c r="C3359" s="2" t="s">
        <v>1656</v>
      </c>
      <c r="D3359" s="2" t="s">
        <v>51</v>
      </c>
      <c r="E3359" s="2" t="s">
        <v>16</v>
      </c>
      <c r="F3359" s="2">
        <v>90</v>
      </c>
      <c r="G3359" s="2" t="s">
        <v>8071</v>
      </c>
      <c r="H3359" s="2" t="s">
        <v>518</v>
      </c>
      <c r="I3359" s="2" t="s">
        <v>32</v>
      </c>
      <c r="J3359" s="3">
        <v>44386</v>
      </c>
      <c r="K3359" s="5">
        <f>YEAR(OrganizedData[[#This Row],[Order Date]])</f>
        <v>2021</v>
      </c>
      <c r="L3359" s="7" t="str">
        <f>TEXT(OrganizedData[[#This Row],[Order Date]],"mmm")</f>
        <v>Jul</v>
      </c>
      <c r="M3359" s="2">
        <v>42</v>
      </c>
      <c r="N3359" s="2" t="s">
        <v>80</v>
      </c>
      <c r="O3359" s="2" t="str">
        <f>VLOOKUP(OrganizedData[[#This Row],[Product Code]],ProductData[[Code]:[Item]],2,FALSE)</f>
        <v>Ultrathing V2</v>
      </c>
      <c r="P3359" s="4">
        <f>OrganizedData[[#This Row],[Quantity]]*VLOOKUP(OrganizedData[[#This Row],[Product Code]],ProductData[],4,FALSE)</f>
        <v>840</v>
      </c>
      <c r="Q3359" s="6">
        <f>OrganizedData[[#This Row],[Total Items Ordered]]*VLOOKUP(OrganizedData[[#This Row],[Product Code]],ProductData[],3,FALSE)</f>
        <v>2478</v>
      </c>
      <c r="R33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2403.66</v>
      </c>
    </row>
    <row r="3360" spans="1:18" x14ac:dyDescent="0.3">
      <c r="A3360" s="2">
        <v>3353</v>
      </c>
      <c r="B3360" s="2" t="s">
        <v>902</v>
      </c>
      <c r="C3360" s="2" t="s">
        <v>2813</v>
      </c>
      <c r="D3360" s="2" t="s">
        <v>51</v>
      </c>
      <c r="E3360" s="2" t="s">
        <v>16</v>
      </c>
      <c r="F3360" s="2">
        <v>90</v>
      </c>
      <c r="G3360" s="2" t="s">
        <v>8072</v>
      </c>
      <c r="H3360" s="2" t="s">
        <v>432</v>
      </c>
      <c r="I3360" s="2" t="s">
        <v>32</v>
      </c>
      <c r="J3360" s="3">
        <v>44301</v>
      </c>
      <c r="K3360" s="5">
        <f>YEAR(OrganizedData[[#This Row],[Order Date]])</f>
        <v>2021</v>
      </c>
      <c r="L3360" s="7" t="str">
        <f>TEXT(OrganizedData[[#This Row],[Order Date]],"mmm")</f>
        <v>Apr</v>
      </c>
      <c r="M3360" s="2">
        <v>64</v>
      </c>
      <c r="N3360" s="2" t="s">
        <v>70</v>
      </c>
      <c r="O3360" s="2" t="str">
        <f>VLOOKUP(OrganizedData[[#This Row],[Product Code]],ProductData[[Code]:[Item]],2,FALSE)</f>
        <v>Megawidget M</v>
      </c>
      <c r="P3360" s="4">
        <f>OrganizedData[[#This Row],[Quantity]]*VLOOKUP(OrganizedData[[#This Row],[Product Code]],ProductData[],4,FALSE)</f>
        <v>1536</v>
      </c>
      <c r="Q3360" s="6">
        <f>OrganizedData[[#This Row],[Total Items Ordered]]*VLOOKUP(OrganizedData[[#This Row],[Product Code]],ProductData[],3,FALSE)</f>
        <v>1981.44</v>
      </c>
      <c r="R33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1882.3679999999999</v>
      </c>
    </row>
    <row r="3361" spans="1:18" x14ac:dyDescent="0.3">
      <c r="A3361" s="2">
        <v>3354</v>
      </c>
      <c r="B3361" s="2" t="s">
        <v>8073</v>
      </c>
      <c r="C3361" s="2" t="s">
        <v>8074</v>
      </c>
      <c r="D3361" s="2" t="s">
        <v>15</v>
      </c>
      <c r="E3361" s="2" t="s">
        <v>16</v>
      </c>
      <c r="F3361" s="2">
        <v>60</v>
      </c>
      <c r="G3361" s="2" t="s">
        <v>8075</v>
      </c>
      <c r="H3361" s="2" t="s">
        <v>8076</v>
      </c>
      <c r="I3361" s="2" t="s">
        <v>178</v>
      </c>
      <c r="J3361" s="3">
        <v>44092</v>
      </c>
      <c r="K3361" s="5">
        <f>YEAR(OrganizedData[[#This Row],[Order Date]])</f>
        <v>2020</v>
      </c>
      <c r="L3361" s="7" t="str">
        <f>TEXT(OrganizedData[[#This Row],[Order Date]],"mmm")</f>
        <v>Sep</v>
      </c>
      <c r="M3361" s="2">
        <v>77</v>
      </c>
      <c r="N3361" s="2" t="s">
        <v>159</v>
      </c>
      <c r="O3361" s="2" t="str">
        <f>VLOOKUP(OrganizedData[[#This Row],[Product Code]],ProductData[[Code]:[Item]],2,FALSE)</f>
        <v>Ultrathing V3</v>
      </c>
      <c r="P3361" s="4">
        <f>OrganizedData[[#This Row],[Quantity]]*VLOOKUP(OrganizedData[[#This Row],[Product Code]],ProductData[],4,FALSE)</f>
        <v>1848</v>
      </c>
      <c r="Q3361" s="6">
        <f>OrganizedData[[#This Row],[Total Items Ordered]]*VLOOKUP(OrganizedData[[#This Row],[Product Code]],ProductData[],3,FALSE)</f>
        <v>6264.72</v>
      </c>
      <c r="R33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5951.4840000000004</v>
      </c>
    </row>
    <row r="3362" spans="1:18" x14ac:dyDescent="0.3">
      <c r="A3362" s="2">
        <v>3355</v>
      </c>
      <c r="B3362" s="2" t="s">
        <v>3818</v>
      </c>
      <c r="C3362" s="2" t="s">
        <v>1994</v>
      </c>
      <c r="D3362" s="2" t="s">
        <v>15</v>
      </c>
      <c r="E3362" s="2" t="s">
        <v>16</v>
      </c>
      <c r="F3362" s="2">
        <v>30</v>
      </c>
      <c r="G3362" s="2" t="s">
        <v>8077</v>
      </c>
      <c r="H3362" s="2" t="s">
        <v>5609</v>
      </c>
      <c r="I3362" s="2" t="s">
        <v>19</v>
      </c>
      <c r="J3362" s="3">
        <v>44141</v>
      </c>
      <c r="K3362" s="5">
        <f>YEAR(OrganizedData[[#This Row],[Order Date]])</f>
        <v>2020</v>
      </c>
      <c r="L3362" s="7" t="str">
        <f>TEXT(OrganizedData[[#This Row],[Order Date]],"mmm")</f>
        <v>Nov</v>
      </c>
      <c r="M3362" s="2">
        <v>60</v>
      </c>
      <c r="N3362" s="2" t="s">
        <v>39</v>
      </c>
      <c r="O3362" s="2" t="str">
        <f>VLOOKUP(OrganizedData[[#This Row],[Product Code]],ProductData[[Code]:[Item]],2,FALSE)</f>
        <v>Ultrathing V1</v>
      </c>
      <c r="P3362" s="4">
        <f>OrganizedData[[#This Row],[Quantity]]*VLOOKUP(OrganizedData[[#This Row],[Product Code]],ProductData[],4,FALSE)</f>
        <v>1020</v>
      </c>
      <c r="Q3362" s="6">
        <f>OrganizedData[[#This Row],[Total Items Ordered]]*VLOOKUP(OrganizedData[[#This Row],[Product Code]],ProductData[],3,FALSE)</f>
        <v>1825.8</v>
      </c>
      <c r="R33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1734.5099999999998</v>
      </c>
    </row>
    <row r="3363" spans="1:18" x14ac:dyDescent="0.3">
      <c r="A3363" s="2">
        <v>3356</v>
      </c>
      <c r="B3363" s="2" t="s">
        <v>567</v>
      </c>
      <c r="C3363" s="2" t="s">
        <v>3077</v>
      </c>
      <c r="D3363" s="2" t="s">
        <v>15</v>
      </c>
      <c r="E3363" s="2" t="s">
        <v>16</v>
      </c>
      <c r="F3363" s="2">
        <v>90</v>
      </c>
      <c r="G3363" s="2" t="s">
        <v>8078</v>
      </c>
      <c r="H3363" s="2" t="s">
        <v>2875</v>
      </c>
      <c r="I3363" s="2" t="s">
        <v>32</v>
      </c>
      <c r="J3363" s="3">
        <v>44433</v>
      </c>
      <c r="K3363" s="5">
        <f>YEAR(OrganizedData[[#This Row],[Order Date]])</f>
        <v>2021</v>
      </c>
      <c r="L3363" s="7" t="str">
        <f>TEXT(OrganizedData[[#This Row],[Order Date]],"mmm")</f>
        <v>Aug</v>
      </c>
      <c r="M3363" s="2">
        <v>14</v>
      </c>
      <c r="N3363" s="2" t="s">
        <v>70</v>
      </c>
      <c r="O3363" s="2" t="str">
        <f>VLOOKUP(OrganizedData[[#This Row],[Product Code]],ProductData[[Code]:[Item]],2,FALSE)</f>
        <v>Megawidget M</v>
      </c>
      <c r="P3363" s="4">
        <f>OrganizedData[[#This Row],[Quantity]]*VLOOKUP(OrganizedData[[#This Row],[Product Code]],ProductData[],4,FALSE)</f>
        <v>336</v>
      </c>
      <c r="Q3363" s="6">
        <f>OrganizedData[[#This Row],[Total Items Ordered]]*VLOOKUP(OrganizedData[[#This Row],[Product Code]],ProductData[],3,FALSE)</f>
        <v>433.44</v>
      </c>
      <c r="R33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433.44</v>
      </c>
    </row>
    <row r="3364" spans="1:18" x14ac:dyDescent="0.3">
      <c r="A3364" s="2">
        <v>3357</v>
      </c>
      <c r="B3364" s="2" t="s">
        <v>3246</v>
      </c>
      <c r="C3364" s="2" t="s">
        <v>7078</v>
      </c>
      <c r="D3364" s="2" t="s">
        <v>28</v>
      </c>
      <c r="E3364" s="2" t="s">
        <v>29</v>
      </c>
      <c r="F3364" s="2">
        <v>90</v>
      </c>
      <c r="G3364" s="2" t="s">
        <v>8079</v>
      </c>
      <c r="H3364" s="2" t="s">
        <v>2100</v>
      </c>
      <c r="I3364" s="2" t="s">
        <v>819</v>
      </c>
      <c r="J3364" s="3">
        <v>44075</v>
      </c>
      <c r="K3364" s="5">
        <f>YEAR(OrganizedData[[#This Row],[Order Date]])</f>
        <v>2020</v>
      </c>
      <c r="L3364" s="7" t="str">
        <f>TEXT(OrganizedData[[#This Row],[Order Date]],"mmm")</f>
        <v>Sep</v>
      </c>
      <c r="M3364" s="2">
        <v>78</v>
      </c>
      <c r="N3364" s="2" t="s">
        <v>45</v>
      </c>
      <c r="O3364" s="2" t="str">
        <f>VLOOKUP(OrganizedData[[#This Row],[Product Code]],ProductData[[Code]:[Item]],2,FALSE)</f>
        <v>Gigastuff</v>
      </c>
      <c r="P3364" s="4">
        <f>OrganizedData[[#This Row],[Quantity]]*VLOOKUP(OrganizedData[[#This Row],[Product Code]],ProductData[],4,FALSE)</f>
        <v>1404</v>
      </c>
      <c r="Q3364" s="6">
        <f>OrganizedData[[#This Row],[Total Items Ordered]]*VLOOKUP(OrganizedData[[#This Row],[Product Code]],ProductData[],3,FALSE)</f>
        <v>2653.56</v>
      </c>
      <c r="R33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3365" spans="1:18" x14ac:dyDescent="0.3">
      <c r="A3365" s="2">
        <v>3358</v>
      </c>
      <c r="B3365" s="2" t="s">
        <v>1734</v>
      </c>
      <c r="C3365" s="2" t="s">
        <v>1554</v>
      </c>
      <c r="D3365" s="2" t="s">
        <v>28</v>
      </c>
      <c r="E3365" s="2" t="s">
        <v>29</v>
      </c>
      <c r="F3365" s="2">
        <v>90</v>
      </c>
      <c r="G3365" s="2" t="s">
        <v>8080</v>
      </c>
      <c r="H3365" s="2" t="s">
        <v>2008</v>
      </c>
      <c r="I3365" s="2" t="s">
        <v>129</v>
      </c>
      <c r="J3365" s="3">
        <v>44048</v>
      </c>
      <c r="K3365" s="5">
        <f>YEAR(OrganizedData[[#This Row],[Order Date]])</f>
        <v>2020</v>
      </c>
      <c r="L3365" s="7" t="str">
        <f>TEXT(OrganizedData[[#This Row],[Order Date]],"mmm")</f>
        <v>Aug</v>
      </c>
      <c r="M3365" s="2">
        <v>25</v>
      </c>
      <c r="N3365" s="2" t="s">
        <v>20</v>
      </c>
      <c r="O3365" s="2" t="str">
        <f>VLOOKUP(OrganizedData[[#This Row],[Product Code]],ProductData[[Code]:[Item]],2,FALSE)</f>
        <v>Hyperwotsit</v>
      </c>
      <c r="P3365" s="4">
        <f>OrganizedData[[#This Row],[Quantity]]*VLOOKUP(OrganizedData[[#This Row],[Product Code]],ProductData[],4,FALSE)</f>
        <v>500</v>
      </c>
      <c r="Q3365" s="6">
        <f>OrganizedData[[#This Row],[Total Items Ordered]]*VLOOKUP(OrganizedData[[#This Row],[Product Code]],ProductData[],3,FALSE)</f>
        <v>1004.9999999999999</v>
      </c>
      <c r="R33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3366" spans="1:18" x14ac:dyDescent="0.3">
      <c r="A3366" s="2">
        <v>3359</v>
      </c>
      <c r="B3366" s="2" t="s">
        <v>8081</v>
      </c>
      <c r="C3366" s="2" t="s">
        <v>4079</v>
      </c>
      <c r="D3366" s="2" t="s">
        <v>51</v>
      </c>
      <c r="E3366" s="2" t="s">
        <v>16</v>
      </c>
      <c r="F3366" s="2">
        <v>60</v>
      </c>
      <c r="G3366" s="2" t="s">
        <v>8082</v>
      </c>
      <c r="H3366" s="2" t="s">
        <v>1206</v>
      </c>
      <c r="I3366" s="2" t="s">
        <v>294</v>
      </c>
      <c r="J3366" s="3">
        <v>44316</v>
      </c>
      <c r="K3366" s="5">
        <f>YEAR(OrganizedData[[#This Row],[Order Date]])</f>
        <v>2021</v>
      </c>
      <c r="L3366" s="7" t="str">
        <f>TEXT(OrganizedData[[#This Row],[Order Date]],"mmm")</f>
        <v>Apr</v>
      </c>
      <c r="M3366" s="2">
        <v>90</v>
      </c>
      <c r="N3366" s="2" t="s">
        <v>39</v>
      </c>
      <c r="O3366" s="2" t="str">
        <f>VLOOKUP(OrganizedData[[#This Row],[Product Code]],ProductData[[Code]:[Item]],2,FALSE)</f>
        <v>Ultrathing V1</v>
      </c>
      <c r="P3366" s="4">
        <f>OrganizedData[[#This Row],[Quantity]]*VLOOKUP(OrganizedData[[#This Row],[Product Code]],ProductData[],4,FALSE)</f>
        <v>1530</v>
      </c>
      <c r="Q3366" s="6">
        <f>OrganizedData[[#This Row],[Total Items Ordered]]*VLOOKUP(OrganizedData[[#This Row],[Product Code]],ProductData[],3,FALSE)</f>
        <v>2738.7000000000003</v>
      </c>
      <c r="R33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2601.7650000000003</v>
      </c>
    </row>
    <row r="3367" spans="1:18" x14ac:dyDescent="0.3">
      <c r="A3367" s="2">
        <v>3360</v>
      </c>
      <c r="B3367" s="2" t="s">
        <v>6072</v>
      </c>
      <c r="C3367" s="2" t="s">
        <v>97</v>
      </c>
      <c r="D3367" s="2" t="s">
        <v>15</v>
      </c>
      <c r="E3367" s="2" t="s">
        <v>16</v>
      </c>
      <c r="F3367" s="2">
        <v>90</v>
      </c>
      <c r="G3367" s="2" t="s">
        <v>8082</v>
      </c>
      <c r="H3367" s="2" t="s">
        <v>3402</v>
      </c>
      <c r="I3367" s="2" t="s">
        <v>32</v>
      </c>
      <c r="J3367" s="3">
        <v>44607</v>
      </c>
      <c r="K3367" s="5">
        <f>YEAR(OrganizedData[[#This Row],[Order Date]])</f>
        <v>2022</v>
      </c>
      <c r="L3367" s="7" t="str">
        <f>TEXT(OrganizedData[[#This Row],[Order Date]],"mmm")</f>
        <v>Feb</v>
      </c>
      <c r="M3367" s="2">
        <v>47</v>
      </c>
      <c r="N3367" s="2" t="s">
        <v>64</v>
      </c>
      <c r="O3367" s="2" t="str">
        <f>VLOOKUP(OrganizedData[[#This Row],[Product Code]],ProductData[[Code]:[Item]],2,FALSE)</f>
        <v>Ultrathing V4</v>
      </c>
      <c r="P3367" s="4">
        <f>OrganizedData[[#This Row],[Quantity]]*VLOOKUP(OrganizedData[[#This Row],[Product Code]],ProductData[],4,FALSE)</f>
        <v>1128</v>
      </c>
      <c r="Q3367" s="6">
        <f>OrganizedData[[#This Row],[Total Items Ordered]]*VLOOKUP(OrganizedData[[#This Row],[Product Code]],ProductData[],3,FALSE)</f>
        <v>4500.72</v>
      </c>
      <c r="R33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4365.6984000000002</v>
      </c>
    </row>
    <row r="3368" spans="1:18" x14ac:dyDescent="0.3">
      <c r="A3368" s="2">
        <v>3361</v>
      </c>
      <c r="B3368" s="2" t="s">
        <v>8083</v>
      </c>
      <c r="C3368" s="2" t="s">
        <v>4264</v>
      </c>
      <c r="D3368" s="2" t="s">
        <v>51</v>
      </c>
      <c r="E3368" s="2" t="s">
        <v>16</v>
      </c>
      <c r="F3368" s="2">
        <v>90</v>
      </c>
      <c r="G3368" s="2" t="s">
        <v>8084</v>
      </c>
      <c r="H3368" s="2" t="s">
        <v>4779</v>
      </c>
      <c r="I3368" s="2" t="s">
        <v>686</v>
      </c>
      <c r="J3368" s="3">
        <v>43841</v>
      </c>
      <c r="K3368" s="5">
        <f>YEAR(OrganizedData[[#This Row],[Order Date]])</f>
        <v>2020</v>
      </c>
      <c r="L3368" s="7" t="str">
        <f>TEXT(OrganizedData[[#This Row],[Order Date]],"mmm")</f>
        <v>Jan</v>
      </c>
      <c r="M3368" s="2">
        <v>13</v>
      </c>
      <c r="N3368" s="2" t="s">
        <v>101</v>
      </c>
      <c r="O3368" s="2" t="str">
        <f>VLOOKUP(OrganizedData[[#This Row],[Product Code]],ProductData[[Code]:[Item]],2,FALSE)</f>
        <v>Superwossname</v>
      </c>
      <c r="P3368" s="4">
        <f>OrganizedData[[#This Row],[Quantity]]*VLOOKUP(OrganizedData[[#This Row],[Product Code]],ProductData[],4,FALSE)</f>
        <v>260</v>
      </c>
      <c r="Q3368" s="6">
        <f>OrganizedData[[#This Row],[Total Items Ordered]]*VLOOKUP(OrganizedData[[#This Row],[Product Code]],ProductData[],3,FALSE)</f>
        <v>907.40000000000009</v>
      </c>
      <c r="R33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907.40000000000009</v>
      </c>
    </row>
    <row r="3369" spans="1:18" x14ac:dyDescent="0.3">
      <c r="A3369" s="2">
        <v>3362</v>
      </c>
      <c r="B3369" s="2" t="s">
        <v>1211</v>
      </c>
      <c r="C3369" s="2" t="s">
        <v>1853</v>
      </c>
      <c r="D3369" s="2" t="s">
        <v>28</v>
      </c>
      <c r="E3369" s="2" t="s">
        <v>29</v>
      </c>
      <c r="F3369" s="2">
        <v>30</v>
      </c>
      <c r="G3369" s="2" t="s">
        <v>8085</v>
      </c>
      <c r="H3369" s="2" t="s">
        <v>2026</v>
      </c>
      <c r="I3369" s="2" t="s">
        <v>1078</v>
      </c>
      <c r="J3369" s="3">
        <v>43997</v>
      </c>
      <c r="K3369" s="5">
        <f>YEAR(OrganizedData[[#This Row],[Order Date]])</f>
        <v>2020</v>
      </c>
      <c r="L3369" s="7" t="str">
        <f>TEXT(OrganizedData[[#This Row],[Order Date]],"mmm")</f>
        <v>Jun</v>
      </c>
      <c r="M3369" s="2">
        <v>80</v>
      </c>
      <c r="N3369" s="2" t="s">
        <v>101</v>
      </c>
      <c r="O3369" s="2" t="str">
        <f>VLOOKUP(OrganizedData[[#This Row],[Product Code]],ProductData[[Code]:[Item]],2,FALSE)</f>
        <v>Superwossname</v>
      </c>
      <c r="P3369" s="4">
        <f>OrganizedData[[#This Row],[Quantity]]*VLOOKUP(OrganizedData[[#This Row],[Product Code]],ProductData[],4,FALSE)</f>
        <v>1600</v>
      </c>
      <c r="Q3369" s="6">
        <f>OrganizedData[[#This Row],[Total Items Ordered]]*VLOOKUP(OrganizedData[[#This Row],[Product Code]],ProductData[],3,FALSE)</f>
        <v>5584</v>
      </c>
      <c r="R33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5304.8</v>
      </c>
    </row>
    <row r="3370" spans="1:18" x14ac:dyDescent="0.3">
      <c r="A3370" s="2">
        <v>3363</v>
      </c>
      <c r="B3370" s="2" t="s">
        <v>8086</v>
      </c>
      <c r="C3370" s="2" t="s">
        <v>4762</v>
      </c>
      <c r="D3370" s="2" t="s">
        <v>51</v>
      </c>
      <c r="E3370" s="2" t="s">
        <v>16</v>
      </c>
      <c r="F3370" s="2">
        <v>60</v>
      </c>
      <c r="G3370" s="2" t="s">
        <v>8088</v>
      </c>
      <c r="H3370" s="2" t="s">
        <v>6105</v>
      </c>
      <c r="I3370" s="2" t="s">
        <v>32</v>
      </c>
      <c r="J3370" s="3">
        <v>44099</v>
      </c>
      <c r="K3370" s="5">
        <f>YEAR(OrganizedData[[#This Row],[Order Date]])</f>
        <v>2020</v>
      </c>
      <c r="L3370" s="7" t="str">
        <f>TEXT(OrganizedData[[#This Row],[Order Date]],"mmm")</f>
        <v>Sep</v>
      </c>
      <c r="M3370" s="2">
        <v>8</v>
      </c>
      <c r="N3370" s="2" t="s">
        <v>70</v>
      </c>
      <c r="O3370" s="2" t="str">
        <f>VLOOKUP(OrganizedData[[#This Row],[Product Code]],ProductData[[Code]:[Item]],2,FALSE)</f>
        <v>Megawidget M</v>
      </c>
      <c r="P3370" s="4">
        <f>OrganizedData[[#This Row],[Quantity]]*VLOOKUP(OrganizedData[[#This Row],[Product Code]],ProductData[],4,FALSE)</f>
        <v>192</v>
      </c>
      <c r="Q3370" s="6">
        <f>OrganizedData[[#This Row],[Total Items Ordered]]*VLOOKUP(OrganizedData[[#This Row],[Product Code]],ProductData[],3,FALSE)</f>
        <v>247.68</v>
      </c>
      <c r="R33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247.68</v>
      </c>
    </row>
    <row r="3371" spans="1:18" x14ac:dyDescent="0.3">
      <c r="A3371" s="2">
        <v>3364</v>
      </c>
      <c r="B3371" s="2" t="s">
        <v>4649</v>
      </c>
      <c r="C3371" s="2" t="s">
        <v>3365</v>
      </c>
      <c r="D3371" s="2" t="s">
        <v>28</v>
      </c>
      <c r="E3371" s="2" t="s">
        <v>29</v>
      </c>
      <c r="F3371" s="2">
        <v>30</v>
      </c>
      <c r="G3371" s="2" t="s">
        <v>8088</v>
      </c>
      <c r="H3371" s="2" t="s">
        <v>7572</v>
      </c>
      <c r="I3371" s="2" t="s">
        <v>886</v>
      </c>
      <c r="J3371" s="3">
        <v>44835</v>
      </c>
      <c r="K3371" s="5">
        <f>YEAR(OrganizedData[[#This Row],[Order Date]])</f>
        <v>2022</v>
      </c>
      <c r="L3371" s="7" t="str">
        <f>TEXT(OrganizedData[[#This Row],[Order Date]],"mmm")</f>
        <v>Oct</v>
      </c>
      <c r="M3371" s="2">
        <v>21</v>
      </c>
      <c r="N3371" s="2" t="s">
        <v>33</v>
      </c>
      <c r="O3371" s="2" t="str">
        <f>VLOOKUP(OrganizedData[[#This Row],[Product Code]],ProductData[[Code]:[Item]],2,FALSE)</f>
        <v>Megawidget L</v>
      </c>
      <c r="P3371" s="4">
        <f>OrganizedData[[#This Row],[Quantity]]*VLOOKUP(OrganizedData[[#This Row],[Product Code]],ProductData[],4,FALSE)</f>
        <v>504</v>
      </c>
      <c r="Q3371" s="6">
        <f>OrganizedData[[#This Row],[Total Items Ordered]]*VLOOKUP(OrganizedData[[#This Row],[Product Code]],ProductData[],3,FALSE)</f>
        <v>902.16</v>
      </c>
      <c r="R33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875.09519999999998</v>
      </c>
    </row>
    <row r="3372" spans="1:18" x14ac:dyDescent="0.3">
      <c r="A3372" s="2">
        <v>3365</v>
      </c>
      <c r="B3372" s="2" t="s">
        <v>8089</v>
      </c>
      <c r="C3372" s="2" t="s">
        <v>3744</v>
      </c>
      <c r="D3372" s="2" t="s">
        <v>15</v>
      </c>
      <c r="E3372" s="2" t="s">
        <v>16</v>
      </c>
      <c r="F3372" s="2">
        <v>60</v>
      </c>
      <c r="G3372" s="2" t="s">
        <v>8090</v>
      </c>
      <c r="H3372" s="2" t="s">
        <v>1448</v>
      </c>
      <c r="I3372" s="2" t="s">
        <v>1449</v>
      </c>
      <c r="J3372" s="3">
        <v>44547</v>
      </c>
      <c r="K3372" s="5">
        <f>YEAR(OrganizedData[[#This Row],[Order Date]])</f>
        <v>2021</v>
      </c>
      <c r="L3372" s="7" t="str">
        <f>TEXT(OrganizedData[[#This Row],[Order Date]],"mmm")</f>
        <v>Dec</v>
      </c>
      <c r="M3372" s="2">
        <v>89</v>
      </c>
      <c r="N3372" s="2" t="s">
        <v>101</v>
      </c>
      <c r="O3372" s="2" t="str">
        <f>VLOOKUP(OrganizedData[[#This Row],[Product Code]],ProductData[[Code]:[Item]],2,FALSE)</f>
        <v>Superwossname</v>
      </c>
      <c r="P3372" s="4">
        <f>OrganizedData[[#This Row],[Quantity]]*VLOOKUP(OrganizedData[[#This Row],[Product Code]],ProductData[],4,FALSE)</f>
        <v>1780</v>
      </c>
      <c r="Q3372" s="6">
        <f>OrganizedData[[#This Row],[Total Items Ordered]]*VLOOKUP(OrganizedData[[#This Row],[Product Code]],ProductData[],3,FALSE)</f>
        <v>6212.2000000000007</v>
      </c>
      <c r="R33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5901.59</v>
      </c>
    </row>
    <row r="3373" spans="1:18" x14ac:dyDescent="0.3">
      <c r="A3373" s="2">
        <v>3366</v>
      </c>
      <c r="B3373" s="2" t="s">
        <v>8091</v>
      </c>
      <c r="C3373" s="2" t="s">
        <v>4387</v>
      </c>
      <c r="D3373" s="2" t="s">
        <v>15</v>
      </c>
      <c r="E3373" s="2" t="s">
        <v>16</v>
      </c>
      <c r="F3373" s="2">
        <v>90</v>
      </c>
      <c r="G3373" s="2" t="s">
        <v>8090</v>
      </c>
      <c r="H3373" s="2" t="s">
        <v>5748</v>
      </c>
      <c r="I3373" s="2" t="s">
        <v>124</v>
      </c>
      <c r="J3373" s="3">
        <v>44922</v>
      </c>
      <c r="K3373" s="5">
        <f>YEAR(OrganizedData[[#This Row],[Order Date]])</f>
        <v>2022</v>
      </c>
      <c r="L3373" s="7" t="str">
        <f>TEXT(OrganizedData[[#This Row],[Order Date]],"mmm")</f>
        <v>Dec</v>
      </c>
      <c r="M3373" s="2">
        <v>61</v>
      </c>
      <c r="N3373" s="2" t="s">
        <v>159</v>
      </c>
      <c r="O3373" s="2" t="str">
        <f>VLOOKUP(OrganizedData[[#This Row],[Product Code]],ProductData[[Code]:[Item]],2,FALSE)</f>
        <v>Ultrathing V3</v>
      </c>
      <c r="P3373" s="4">
        <f>OrganizedData[[#This Row],[Quantity]]*VLOOKUP(OrganizedData[[#This Row],[Product Code]],ProductData[],4,FALSE)</f>
        <v>1464</v>
      </c>
      <c r="Q3373" s="6">
        <f>OrganizedData[[#This Row],[Total Items Ordered]]*VLOOKUP(OrganizedData[[#This Row],[Product Code]],ProductData[],3,FALSE)</f>
        <v>4962.96</v>
      </c>
      <c r="R33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3374" spans="1:18" x14ac:dyDescent="0.3">
      <c r="A3374" s="2">
        <v>3367</v>
      </c>
      <c r="B3374" s="2" t="s">
        <v>8092</v>
      </c>
      <c r="C3374" s="2" t="s">
        <v>8093</v>
      </c>
      <c r="D3374" s="2" t="s">
        <v>51</v>
      </c>
      <c r="E3374" s="2" t="s">
        <v>16</v>
      </c>
      <c r="F3374" s="2">
        <v>30</v>
      </c>
      <c r="G3374" s="2" t="s">
        <v>8094</v>
      </c>
      <c r="H3374" s="2" t="s">
        <v>8095</v>
      </c>
      <c r="I3374" s="2" t="s">
        <v>38</v>
      </c>
      <c r="J3374" s="3">
        <v>44920</v>
      </c>
      <c r="K3374" s="5">
        <f>YEAR(OrganizedData[[#This Row],[Order Date]])</f>
        <v>2022</v>
      </c>
      <c r="L3374" s="7" t="str">
        <f>TEXT(OrganizedData[[#This Row],[Order Date]],"mmm")</f>
        <v>Dec</v>
      </c>
      <c r="M3374" s="2">
        <v>69</v>
      </c>
      <c r="N3374" s="2" t="s">
        <v>54</v>
      </c>
      <c r="O3374" s="2" t="str">
        <f>VLOOKUP(OrganizedData[[#This Row],[Product Code]],ProductData[[Code]:[Item]],2,FALSE)</f>
        <v>Megawidget S</v>
      </c>
      <c r="P3374" s="4">
        <f>OrganizedData[[#This Row],[Quantity]]*VLOOKUP(OrganizedData[[#This Row],[Product Code]],ProductData[],4,FALSE)</f>
        <v>1656</v>
      </c>
      <c r="Q3374" s="6">
        <f>OrganizedData[[#This Row],[Total Items Ordered]]*VLOOKUP(OrganizedData[[#This Row],[Product Code]],ProductData[],3,FALSE)</f>
        <v>1142.6399999999999</v>
      </c>
      <c r="R33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1085.5079999999998</v>
      </c>
    </row>
    <row r="3375" spans="1:18" x14ac:dyDescent="0.3">
      <c r="A3375" s="2">
        <v>3368</v>
      </c>
      <c r="B3375" s="2" t="s">
        <v>8096</v>
      </c>
      <c r="C3375" s="2" t="s">
        <v>791</v>
      </c>
      <c r="D3375" s="2" t="s">
        <v>51</v>
      </c>
      <c r="E3375" s="2" t="s">
        <v>16</v>
      </c>
      <c r="F3375" s="2">
        <v>30</v>
      </c>
      <c r="G3375" s="2" t="s">
        <v>8097</v>
      </c>
      <c r="H3375" s="2" t="s">
        <v>2608</v>
      </c>
      <c r="I3375" s="2" t="s">
        <v>38</v>
      </c>
      <c r="J3375" s="3">
        <v>44723</v>
      </c>
      <c r="K3375" s="5">
        <f>YEAR(OrganizedData[[#This Row],[Order Date]])</f>
        <v>2022</v>
      </c>
      <c r="L3375" s="7" t="str">
        <f>TEXT(OrganizedData[[#This Row],[Order Date]],"mmm")</f>
        <v>Jun</v>
      </c>
      <c r="M3375" s="2">
        <v>62</v>
      </c>
      <c r="N3375" s="2" t="s">
        <v>45</v>
      </c>
      <c r="O3375" s="2" t="str">
        <f>VLOOKUP(OrganizedData[[#This Row],[Product Code]],ProductData[[Code]:[Item]],2,FALSE)</f>
        <v>Gigastuff</v>
      </c>
      <c r="P3375" s="4">
        <f>OrganizedData[[#This Row],[Quantity]]*VLOOKUP(OrganizedData[[#This Row],[Product Code]],ProductData[],4,FALSE)</f>
        <v>1116</v>
      </c>
      <c r="Q3375" s="6">
        <f>OrganizedData[[#This Row],[Total Items Ordered]]*VLOOKUP(OrganizedData[[#This Row],[Product Code]],ProductData[],3,FALSE)</f>
        <v>2109.2399999999998</v>
      </c>
      <c r="R33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3376" spans="1:18" x14ac:dyDescent="0.3">
      <c r="A3376" s="2">
        <v>3369</v>
      </c>
      <c r="B3376" s="2" t="s">
        <v>2346</v>
      </c>
      <c r="C3376" s="2" t="s">
        <v>1364</v>
      </c>
      <c r="D3376" s="2" t="s">
        <v>28</v>
      </c>
      <c r="E3376" s="2" t="s">
        <v>29</v>
      </c>
      <c r="F3376" s="2">
        <v>30</v>
      </c>
      <c r="G3376" s="2" t="s">
        <v>8098</v>
      </c>
      <c r="H3376" s="2" t="s">
        <v>2645</v>
      </c>
      <c r="I3376" s="2" t="s">
        <v>32</v>
      </c>
      <c r="J3376" s="3">
        <v>44764</v>
      </c>
      <c r="K3376" s="5">
        <f>YEAR(OrganizedData[[#This Row],[Order Date]])</f>
        <v>2022</v>
      </c>
      <c r="L3376" s="7" t="str">
        <f>TEXT(OrganizedData[[#This Row],[Order Date]],"mmm")</f>
        <v>Jul</v>
      </c>
      <c r="M3376" s="2">
        <v>84</v>
      </c>
      <c r="N3376" s="2" t="s">
        <v>80</v>
      </c>
      <c r="O3376" s="2" t="str">
        <f>VLOOKUP(OrganizedData[[#This Row],[Product Code]],ProductData[[Code]:[Item]],2,FALSE)</f>
        <v>Ultrathing V2</v>
      </c>
      <c r="P3376" s="4">
        <f>OrganizedData[[#This Row],[Quantity]]*VLOOKUP(OrganizedData[[#This Row],[Product Code]],ProductData[],4,FALSE)</f>
        <v>1680</v>
      </c>
      <c r="Q3376" s="6">
        <f>OrganizedData[[#This Row],[Total Items Ordered]]*VLOOKUP(OrganizedData[[#This Row],[Product Code]],ProductData[],3,FALSE)</f>
        <v>4956</v>
      </c>
      <c r="R33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3377" spans="1:18" x14ac:dyDescent="0.3">
      <c r="A3377" s="2">
        <v>3370</v>
      </c>
      <c r="B3377" s="2" t="s">
        <v>160</v>
      </c>
      <c r="C3377" s="2" t="s">
        <v>6169</v>
      </c>
      <c r="D3377" s="2" t="s">
        <v>28</v>
      </c>
      <c r="E3377" s="2" t="s">
        <v>29</v>
      </c>
      <c r="F3377" s="2">
        <v>90</v>
      </c>
      <c r="G3377" s="2" t="s">
        <v>8099</v>
      </c>
      <c r="H3377" s="2" t="s">
        <v>7008</v>
      </c>
      <c r="I3377" s="2" t="s">
        <v>25</v>
      </c>
      <c r="J3377" s="3">
        <v>44097</v>
      </c>
      <c r="K3377" s="5">
        <f>YEAR(OrganizedData[[#This Row],[Order Date]])</f>
        <v>2020</v>
      </c>
      <c r="L3377" s="7" t="str">
        <f>TEXT(OrganizedData[[#This Row],[Order Date]],"mmm")</f>
        <v>Sep</v>
      </c>
      <c r="M3377" s="2">
        <v>73</v>
      </c>
      <c r="N3377" s="2" t="s">
        <v>54</v>
      </c>
      <c r="O3377" s="2" t="str">
        <f>VLOOKUP(OrganizedData[[#This Row],[Product Code]],ProductData[[Code]:[Item]],2,FALSE)</f>
        <v>Megawidget S</v>
      </c>
      <c r="P3377" s="4">
        <f>OrganizedData[[#This Row],[Quantity]]*VLOOKUP(OrganizedData[[#This Row],[Product Code]],ProductData[],4,FALSE)</f>
        <v>1752</v>
      </c>
      <c r="Q3377" s="6">
        <f>OrganizedData[[#This Row],[Total Items Ordered]]*VLOOKUP(OrganizedData[[#This Row],[Product Code]],ProductData[],3,FALSE)</f>
        <v>1208.8799999999999</v>
      </c>
      <c r="R33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1148.4359999999999</v>
      </c>
    </row>
    <row r="3378" spans="1:18" x14ac:dyDescent="0.3">
      <c r="A3378" s="2">
        <v>3371</v>
      </c>
      <c r="B3378" s="2" t="s">
        <v>8100</v>
      </c>
      <c r="C3378" s="2" t="s">
        <v>3444</v>
      </c>
      <c r="D3378" s="2" t="s">
        <v>15</v>
      </c>
      <c r="E3378" s="2" t="s">
        <v>16</v>
      </c>
      <c r="F3378" s="2">
        <v>30</v>
      </c>
      <c r="G3378" s="2" t="s">
        <v>8101</v>
      </c>
      <c r="H3378" s="2" t="s">
        <v>682</v>
      </c>
      <c r="I3378" s="2" t="s">
        <v>32</v>
      </c>
      <c r="J3378" s="3">
        <v>44311</v>
      </c>
      <c r="K3378" s="5">
        <f>YEAR(OrganizedData[[#This Row],[Order Date]])</f>
        <v>2021</v>
      </c>
      <c r="L3378" s="7" t="str">
        <f>TEXT(OrganizedData[[#This Row],[Order Date]],"mmm")</f>
        <v>Apr</v>
      </c>
      <c r="M3378" s="2">
        <v>10</v>
      </c>
      <c r="N3378" s="2" t="s">
        <v>80</v>
      </c>
      <c r="O3378" s="2" t="str">
        <f>VLOOKUP(OrganizedData[[#This Row],[Product Code]],ProductData[[Code]:[Item]],2,FALSE)</f>
        <v>Ultrathing V2</v>
      </c>
      <c r="P3378" s="4">
        <f>OrganizedData[[#This Row],[Quantity]]*VLOOKUP(OrganizedData[[#This Row],[Product Code]],ProductData[],4,FALSE)</f>
        <v>200</v>
      </c>
      <c r="Q3378" s="6">
        <f>OrganizedData[[#This Row],[Total Items Ordered]]*VLOOKUP(OrganizedData[[#This Row],[Product Code]],ProductData[],3,FALSE)</f>
        <v>590</v>
      </c>
      <c r="R33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v>
      </c>
    </row>
    <row r="3379" spans="1:18" x14ac:dyDescent="0.3">
      <c r="A3379" s="2">
        <v>3372</v>
      </c>
      <c r="B3379" s="2" t="s">
        <v>787</v>
      </c>
      <c r="C3379" s="2" t="s">
        <v>2637</v>
      </c>
      <c r="D3379" s="2" t="s">
        <v>28</v>
      </c>
      <c r="E3379" s="2" t="s">
        <v>29</v>
      </c>
      <c r="F3379" s="2">
        <v>30</v>
      </c>
      <c r="G3379" s="2" t="s">
        <v>8102</v>
      </c>
      <c r="H3379" s="2" t="s">
        <v>1594</v>
      </c>
      <c r="I3379" s="2" t="s">
        <v>178</v>
      </c>
      <c r="J3379" s="3">
        <v>44477</v>
      </c>
      <c r="K3379" s="5">
        <f>YEAR(OrganizedData[[#This Row],[Order Date]])</f>
        <v>2021</v>
      </c>
      <c r="L3379" s="7" t="str">
        <f>TEXT(OrganizedData[[#This Row],[Order Date]],"mmm")</f>
        <v>Oct</v>
      </c>
      <c r="M3379" s="2">
        <v>76</v>
      </c>
      <c r="N3379" s="2" t="s">
        <v>33</v>
      </c>
      <c r="O3379" s="2" t="str">
        <f>VLOOKUP(OrganizedData[[#This Row],[Product Code]],ProductData[[Code]:[Item]],2,FALSE)</f>
        <v>Megawidget L</v>
      </c>
      <c r="P3379" s="4">
        <f>OrganizedData[[#This Row],[Quantity]]*VLOOKUP(OrganizedData[[#This Row],[Product Code]],ProductData[],4,FALSE)</f>
        <v>1824</v>
      </c>
      <c r="Q3379" s="6">
        <f>OrganizedData[[#This Row],[Total Items Ordered]]*VLOOKUP(OrganizedData[[#This Row],[Product Code]],ProductData[],3,FALSE)</f>
        <v>3264.96</v>
      </c>
      <c r="R33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3380" spans="1:18" x14ac:dyDescent="0.3">
      <c r="A3380" s="2">
        <v>3373</v>
      </c>
      <c r="B3380" s="2" t="s">
        <v>3599</v>
      </c>
      <c r="C3380" s="2" t="s">
        <v>2761</v>
      </c>
      <c r="D3380" s="2" t="s">
        <v>28</v>
      </c>
      <c r="E3380" s="2" t="s">
        <v>29</v>
      </c>
      <c r="F3380" s="2">
        <v>60</v>
      </c>
      <c r="G3380" s="2" t="s">
        <v>8103</v>
      </c>
      <c r="H3380" s="2" t="s">
        <v>2804</v>
      </c>
      <c r="I3380" s="2" t="s">
        <v>124</v>
      </c>
      <c r="J3380" s="3">
        <v>44507</v>
      </c>
      <c r="K3380" s="5">
        <f>YEAR(OrganizedData[[#This Row],[Order Date]])</f>
        <v>2021</v>
      </c>
      <c r="L3380" s="7" t="str">
        <f>TEXT(OrganizedData[[#This Row],[Order Date]],"mmm")</f>
        <v>Nov</v>
      </c>
      <c r="M3380" s="2">
        <v>65</v>
      </c>
      <c r="N3380" s="2" t="s">
        <v>159</v>
      </c>
      <c r="O3380" s="2" t="str">
        <f>VLOOKUP(OrganizedData[[#This Row],[Product Code]],ProductData[[Code]:[Item]],2,FALSE)</f>
        <v>Ultrathing V3</v>
      </c>
      <c r="P3380" s="4">
        <f>OrganizedData[[#This Row],[Quantity]]*VLOOKUP(OrganizedData[[#This Row],[Product Code]],ProductData[],4,FALSE)</f>
        <v>1560</v>
      </c>
      <c r="Q3380" s="6">
        <f>OrganizedData[[#This Row],[Total Items Ordered]]*VLOOKUP(OrganizedData[[#This Row],[Product Code]],ProductData[],3,FALSE)</f>
        <v>5288.4000000000005</v>
      </c>
      <c r="R33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3381" spans="1:18" x14ac:dyDescent="0.3">
      <c r="A3381" s="2">
        <v>3374</v>
      </c>
      <c r="B3381" s="2" t="s">
        <v>8104</v>
      </c>
      <c r="C3381" s="2" t="s">
        <v>812</v>
      </c>
      <c r="D3381" s="2" t="s">
        <v>51</v>
      </c>
      <c r="E3381" s="2" t="s">
        <v>16</v>
      </c>
      <c r="F3381" s="2">
        <v>60</v>
      </c>
      <c r="G3381" s="2" t="s">
        <v>8105</v>
      </c>
      <c r="H3381" s="2" t="s">
        <v>806</v>
      </c>
      <c r="I3381" s="2" t="s">
        <v>178</v>
      </c>
      <c r="J3381" s="3">
        <v>44905</v>
      </c>
      <c r="K3381" s="5">
        <f>YEAR(OrganizedData[[#This Row],[Order Date]])</f>
        <v>2022</v>
      </c>
      <c r="L3381" s="7" t="str">
        <f>TEXT(OrganizedData[[#This Row],[Order Date]],"mmm")</f>
        <v>Dec</v>
      </c>
      <c r="M3381" s="2">
        <v>105</v>
      </c>
      <c r="N3381" s="2" t="s">
        <v>159</v>
      </c>
      <c r="O3381" s="2" t="str">
        <f>VLOOKUP(OrganizedData[[#This Row],[Product Code]],ProductData[[Code]:[Item]],2,FALSE)</f>
        <v>Ultrathing V3</v>
      </c>
      <c r="P3381" s="4">
        <f>OrganizedData[[#This Row],[Quantity]]*VLOOKUP(OrganizedData[[#This Row],[Product Code]],ProductData[],4,FALSE)</f>
        <v>2520</v>
      </c>
      <c r="Q3381" s="6">
        <f>OrganizedData[[#This Row],[Total Items Ordered]]*VLOOKUP(OrganizedData[[#This Row],[Product Code]],ProductData[],3,FALSE)</f>
        <v>8542.8000000000011</v>
      </c>
      <c r="R33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7944.804000000001</v>
      </c>
    </row>
    <row r="3382" spans="1:18" x14ac:dyDescent="0.3">
      <c r="A3382" s="2">
        <v>3375</v>
      </c>
      <c r="B3382" s="2" t="s">
        <v>8106</v>
      </c>
      <c r="C3382" s="2" t="s">
        <v>27</v>
      </c>
      <c r="D3382" s="2" t="s">
        <v>51</v>
      </c>
      <c r="E3382" s="2" t="s">
        <v>16</v>
      </c>
      <c r="F3382" s="2">
        <v>60</v>
      </c>
      <c r="G3382" s="2" t="s">
        <v>8107</v>
      </c>
      <c r="H3382" s="2" t="s">
        <v>518</v>
      </c>
      <c r="I3382" s="2" t="s">
        <v>32</v>
      </c>
      <c r="J3382" s="3">
        <v>44060</v>
      </c>
      <c r="K3382" s="5">
        <f>YEAR(OrganizedData[[#This Row],[Order Date]])</f>
        <v>2020</v>
      </c>
      <c r="L3382" s="7" t="str">
        <f>TEXT(OrganizedData[[#This Row],[Order Date]],"mmm")</f>
        <v>Aug</v>
      </c>
      <c r="M3382" s="2">
        <v>82</v>
      </c>
      <c r="N3382" s="2" t="s">
        <v>64</v>
      </c>
      <c r="O3382" s="2" t="str">
        <f>VLOOKUP(OrganizedData[[#This Row],[Product Code]],ProductData[[Code]:[Item]],2,FALSE)</f>
        <v>Ultrathing V4</v>
      </c>
      <c r="P3382" s="4">
        <f>OrganizedData[[#This Row],[Quantity]]*VLOOKUP(OrganizedData[[#This Row],[Product Code]],ProductData[],4,FALSE)</f>
        <v>1968</v>
      </c>
      <c r="Q3382" s="6">
        <f>OrganizedData[[#This Row],[Total Items Ordered]]*VLOOKUP(OrganizedData[[#This Row],[Product Code]],ProductData[],3,FALSE)</f>
        <v>7852.3200000000006</v>
      </c>
      <c r="R33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7459.7040000000006</v>
      </c>
    </row>
    <row r="3383" spans="1:18" x14ac:dyDescent="0.3">
      <c r="A3383" s="2">
        <v>3376</v>
      </c>
      <c r="B3383" s="2" t="s">
        <v>8108</v>
      </c>
      <c r="C3383" s="2" t="s">
        <v>5452</v>
      </c>
      <c r="D3383" s="2" t="s">
        <v>28</v>
      </c>
      <c r="E3383" s="2" t="s">
        <v>29</v>
      </c>
      <c r="F3383" s="2">
        <v>30</v>
      </c>
      <c r="G3383" s="2" t="s">
        <v>8109</v>
      </c>
      <c r="H3383" s="2" t="s">
        <v>8110</v>
      </c>
      <c r="I3383" s="2" t="s">
        <v>173</v>
      </c>
      <c r="J3383" s="3">
        <v>43966</v>
      </c>
      <c r="K3383" s="5">
        <f>YEAR(OrganizedData[[#This Row],[Order Date]])</f>
        <v>2020</v>
      </c>
      <c r="L3383" s="7" t="str">
        <f>TEXT(OrganizedData[[#This Row],[Order Date]],"mmm")</f>
        <v>May</v>
      </c>
      <c r="M3383" s="2">
        <v>5</v>
      </c>
      <c r="N3383" s="2" t="s">
        <v>64</v>
      </c>
      <c r="O3383" s="2" t="str">
        <f>VLOOKUP(OrganizedData[[#This Row],[Product Code]],ProductData[[Code]:[Item]],2,FALSE)</f>
        <v>Ultrathing V4</v>
      </c>
      <c r="P3383" s="4">
        <f>OrganizedData[[#This Row],[Quantity]]*VLOOKUP(OrganizedData[[#This Row],[Product Code]],ProductData[],4,FALSE)</f>
        <v>120</v>
      </c>
      <c r="Q3383" s="6">
        <f>OrganizedData[[#This Row],[Total Items Ordered]]*VLOOKUP(OrganizedData[[#This Row],[Product Code]],ProductData[],3,FALSE)</f>
        <v>478.8</v>
      </c>
      <c r="R33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3384" spans="1:18" x14ac:dyDescent="0.3">
      <c r="A3384" s="2">
        <v>3377</v>
      </c>
      <c r="B3384" s="2" t="s">
        <v>7982</v>
      </c>
      <c r="C3384" s="2" t="s">
        <v>7144</v>
      </c>
      <c r="D3384" s="2" t="s">
        <v>41</v>
      </c>
      <c r="E3384" s="2" t="s">
        <v>16</v>
      </c>
      <c r="F3384" s="2">
        <v>90</v>
      </c>
      <c r="G3384" s="2" t="s">
        <v>8111</v>
      </c>
      <c r="H3384" s="2" t="s">
        <v>4479</v>
      </c>
      <c r="I3384" s="2" t="s">
        <v>32</v>
      </c>
      <c r="J3384" s="3">
        <v>44704</v>
      </c>
      <c r="K3384" s="5">
        <f>YEAR(OrganizedData[[#This Row],[Order Date]])</f>
        <v>2022</v>
      </c>
      <c r="L3384" s="7" t="str">
        <f>TEXT(OrganizedData[[#This Row],[Order Date]],"mmm")</f>
        <v>May</v>
      </c>
      <c r="M3384" s="2">
        <v>3</v>
      </c>
      <c r="N3384" s="2" t="s">
        <v>45</v>
      </c>
      <c r="O3384" s="2" t="str">
        <f>VLOOKUP(OrganizedData[[#This Row],[Product Code]],ProductData[[Code]:[Item]],2,FALSE)</f>
        <v>Gigastuff</v>
      </c>
      <c r="P3384" s="4">
        <f>OrganizedData[[#This Row],[Quantity]]*VLOOKUP(OrganizedData[[#This Row],[Product Code]],ProductData[],4,FALSE)</f>
        <v>54</v>
      </c>
      <c r="Q3384" s="6">
        <f>OrganizedData[[#This Row],[Total Items Ordered]]*VLOOKUP(OrganizedData[[#This Row],[Product Code]],ProductData[],3,FALSE)</f>
        <v>102.05999999999999</v>
      </c>
      <c r="R33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3385" spans="1:18" x14ac:dyDescent="0.3">
      <c r="A3385" s="2">
        <v>3378</v>
      </c>
      <c r="B3385" s="2" t="s">
        <v>8112</v>
      </c>
      <c r="C3385" s="2" t="s">
        <v>8113</v>
      </c>
      <c r="D3385" s="2" t="s">
        <v>41</v>
      </c>
      <c r="E3385" s="2" t="s">
        <v>16</v>
      </c>
      <c r="F3385" s="2">
        <v>60</v>
      </c>
      <c r="G3385" s="2" t="s">
        <v>8114</v>
      </c>
      <c r="H3385" s="2" t="s">
        <v>938</v>
      </c>
      <c r="I3385" s="2" t="s">
        <v>25</v>
      </c>
      <c r="J3385" s="3">
        <v>44114</v>
      </c>
      <c r="K3385" s="5">
        <f>YEAR(OrganizedData[[#This Row],[Order Date]])</f>
        <v>2020</v>
      </c>
      <c r="L3385" s="7" t="str">
        <f>TEXT(OrganizedData[[#This Row],[Order Date]],"mmm")</f>
        <v>Oct</v>
      </c>
      <c r="M3385" s="2">
        <v>65</v>
      </c>
      <c r="N3385" s="2" t="s">
        <v>159</v>
      </c>
      <c r="O3385" s="2" t="str">
        <f>VLOOKUP(OrganizedData[[#This Row],[Product Code]],ProductData[[Code]:[Item]],2,FALSE)</f>
        <v>Ultrathing V3</v>
      </c>
      <c r="P3385" s="4">
        <f>OrganizedData[[#This Row],[Quantity]]*VLOOKUP(OrganizedData[[#This Row],[Product Code]],ProductData[],4,FALSE)</f>
        <v>1560</v>
      </c>
      <c r="Q3385" s="6">
        <f>OrganizedData[[#This Row],[Total Items Ordered]]*VLOOKUP(OrganizedData[[#This Row],[Product Code]],ProductData[],3,FALSE)</f>
        <v>5288.4000000000005</v>
      </c>
      <c r="R33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3386" spans="1:18" x14ac:dyDescent="0.3">
      <c r="A3386" s="2">
        <v>3379</v>
      </c>
      <c r="B3386" s="2" t="s">
        <v>8115</v>
      </c>
      <c r="C3386" s="2" t="s">
        <v>5979</v>
      </c>
      <c r="D3386" s="2" t="s">
        <v>51</v>
      </c>
      <c r="E3386" s="2" t="s">
        <v>16</v>
      </c>
      <c r="F3386" s="2">
        <v>90</v>
      </c>
      <c r="G3386" s="2" t="s">
        <v>8116</v>
      </c>
      <c r="H3386" s="2" t="s">
        <v>275</v>
      </c>
      <c r="I3386" s="2" t="s">
        <v>32</v>
      </c>
      <c r="J3386" s="3">
        <v>44753</v>
      </c>
      <c r="K3386" s="5">
        <f>YEAR(OrganizedData[[#This Row],[Order Date]])</f>
        <v>2022</v>
      </c>
      <c r="L3386" s="7" t="str">
        <f>TEXT(OrganizedData[[#This Row],[Order Date]],"mmm")</f>
        <v>Jul</v>
      </c>
      <c r="M3386" s="2">
        <v>8</v>
      </c>
      <c r="N3386" s="2" t="s">
        <v>159</v>
      </c>
      <c r="O3386" s="2" t="str">
        <f>VLOOKUP(OrganizedData[[#This Row],[Product Code]],ProductData[[Code]:[Item]],2,FALSE)</f>
        <v>Ultrathing V3</v>
      </c>
      <c r="P3386" s="4">
        <f>OrganizedData[[#This Row],[Quantity]]*VLOOKUP(OrganizedData[[#This Row],[Product Code]],ProductData[],4,FALSE)</f>
        <v>192</v>
      </c>
      <c r="Q3386" s="6">
        <f>OrganizedData[[#This Row],[Total Items Ordered]]*VLOOKUP(OrganizedData[[#This Row],[Product Code]],ProductData[],3,FALSE)</f>
        <v>650.88</v>
      </c>
      <c r="R33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650.88</v>
      </c>
    </row>
    <row r="3387" spans="1:18" x14ac:dyDescent="0.3">
      <c r="A3387" s="2">
        <v>3380</v>
      </c>
      <c r="B3387" s="2" t="s">
        <v>245</v>
      </c>
      <c r="C3387" s="2" t="s">
        <v>8117</v>
      </c>
      <c r="D3387" s="2" t="s">
        <v>28</v>
      </c>
      <c r="E3387" s="2" t="s">
        <v>29</v>
      </c>
      <c r="F3387" s="2">
        <v>90</v>
      </c>
      <c r="G3387" s="2" t="s">
        <v>8118</v>
      </c>
      <c r="H3387" s="2" t="s">
        <v>1131</v>
      </c>
      <c r="I3387" s="2" t="s">
        <v>32</v>
      </c>
      <c r="J3387" s="3">
        <v>43856</v>
      </c>
      <c r="K3387" s="5">
        <f>YEAR(OrganizedData[[#This Row],[Order Date]])</f>
        <v>2020</v>
      </c>
      <c r="L3387" s="7" t="str">
        <f>TEXT(OrganizedData[[#This Row],[Order Date]],"mmm")</f>
        <v>Jan</v>
      </c>
      <c r="M3387" s="2">
        <v>85</v>
      </c>
      <c r="N3387" s="2" t="s">
        <v>45</v>
      </c>
      <c r="O3387" s="2" t="str">
        <f>VLOOKUP(OrganizedData[[#This Row],[Product Code]],ProductData[[Code]:[Item]],2,FALSE)</f>
        <v>Gigastuff</v>
      </c>
      <c r="P3387" s="4">
        <f>OrganizedData[[#This Row],[Quantity]]*VLOOKUP(OrganizedData[[#This Row],[Product Code]],ProductData[],4,FALSE)</f>
        <v>1530</v>
      </c>
      <c r="Q3387" s="6">
        <f>OrganizedData[[#This Row],[Total Items Ordered]]*VLOOKUP(OrganizedData[[#This Row],[Product Code]],ProductData[],3,FALSE)</f>
        <v>2891.7</v>
      </c>
      <c r="R33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3388" spans="1:18" x14ac:dyDescent="0.3">
      <c r="A3388" s="2">
        <v>3381</v>
      </c>
      <c r="B3388" s="2" t="s">
        <v>8119</v>
      </c>
      <c r="C3388" s="2" t="s">
        <v>983</v>
      </c>
      <c r="D3388" s="2" t="s">
        <v>28</v>
      </c>
      <c r="E3388" s="2" t="s">
        <v>29</v>
      </c>
      <c r="F3388" s="2">
        <v>30</v>
      </c>
      <c r="G3388" s="2" t="s">
        <v>8120</v>
      </c>
      <c r="H3388" s="2" t="s">
        <v>8121</v>
      </c>
      <c r="I3388" s="2" t="s">
        <v>44</v>
      </c>
      <c r="J3388" s="3">
        <v>43833</v>
      </c>
      <c r="K3388" s="5">
        <f>YEAR(OrganizedData[[#This Row],[Order Date]])</f>
        <v>2020</v>
      </c>
      <c r="L3388" s="7" t="str">
        <f>TEXT(OrganizedData[[#This Row],[Order Date]],"mmm")</f>
        <v>Jan</v>
      </c>
      <c r="M3388" s="2">
        <v>83</v>
      </c>
      <c r="N3388" s="2" t="s">
        <v>39</v>
      </c>
      <c r="O3388" s="2" t="str">
        <f>VLOOKUP(OrganizedData[[#This Row],[Product Code]],ProductData[[Code]:[Item]],2,FALSE)</f>
        <v>Ultrathing V1</v>
      </c>
      <c r="P3388" s="4">
        <f>OrganizedData[[#This Row],[Quantity]]*VLOOKUP(OrganizedData[[#This Row],[Product Code]],ProductData[],4,FALSE)</f>
        <v>1411</v>
      </c>
      <c r="Q3388" s="6">
        <f>OrganizedData[[#This Row],[Total Items Ordered]]*VLOOKUP(OrganizedData[[#This Row],[Product Code]],ProductData[],3,FALSE)</f>
        <v>2525.69</v>
      </c>
      <c r="R33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3389" spans="1:18" x14ac:dyDescent="0.3">
      <c r="A3389" s="2">
        <v>3382</v>
      </c>
      <c r="B3389" s="2" t="s">
        <v>1132</v>
      </c>
      <c r="C3389" s="2" t="s">
        <v>5968</v>
      </c>
      <c r="D3389" s="2" t="s">
        <v>28</v>
      </c>
      <c r="E3389" s="2" t="s">
        <v>29</v>
      </c>
      <c r="F3389" s="2">
        <v>60</v>
      </c>
      <c r="G3389" s="2" t="s">
        <v>8120</v>
      </c>
      <c r="H3389" s="2" t="s">
        <v>1258</v>
      </c>
      <c r="I3389" s="2" t="s">
        <v>32</v>
      </c>
      <c r="J3389" s="3">
        <v>44237</v>
      </c>
      <c r="K3389" s="5">
        <f>YEAR(OrganizedData[[#This Row],[Order Date]])</f>
        <v>2021</v>
      </c>
      <c r="L3389" s="7" t="str">
        <f>TEXT(OrganizedData[[#This Row],[Order Date]],"mmm")</f>
        <v>Feb</v>
      </c>
      <c r="M3389" s="2">
        <v>54</v>
      </c>
      <c r="N3389" s="2" t="s">
        <v>70</v>
      </c>
      <c r="O3389" s="2" t="str">
        <f>VLOOKUP(OrganizedData[[#This Row],[Product Code]],ProductData[[Code]:[Item]],2,FALSE)</f>
        <v>Megawidget M</v>
      </c>
      <c r="P3389" s="4">
        <f>OrganizedData[[#This Row],[Quantity]]*VLOOKUP(OrganizedData[[#This Row],[Product Code]],ProductData[],4,FALSE)</f>
        <v>1296</v>
      </c>
      <c r="Q3389" s="6">
        <f>OrganizedData[[#This Row],[Total Items Ordered]]*VLOOKUP(OrganizedData[[#This Row],[Product Code]],ProductData[],3,FALSE)</f>
        <v>1671.8400000000001</v>
      </c>
      <c r="R33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1588.248</v>
      </c>
    </row>
    <row r="3390" spans="1:18" x14ac:dyDescent="0.3">
      <c r="A3390" s="2">
        <v>3383</v>
      </c>
      <c r="B3390" s="2" t="s">
        <v>8122</v>
      </c>
      <c r="C3390" s="2" t="s">
        <v>2071</v>
      </c>
      <c r="D3390" s="2" t="s">
        <v>51</v>
      </c>
      <c r="E3390" s="2" t="s">
        <v>16</v>
      </c>
      <c r="F3390" s="2">
        <v>60</v>
      </c>
      <c r="G3390" s="2" t="s">
        <v>10549</v>
      </c>
      <c r="H3390" s="2" t="s">
        <v>3157</v>
      </c>
      <c r="I3390" s="2" t="s">
        <v>32</v>
      </c>
      <c r="J3390" s="3">
        <v>44446</v>
      </c>
      <c r="K3390" s="5">
        <f>YEAR(OrganizedData[[#This Row],[Order Date]])</f>
        <v>2021</v>
      </c>
      <c r="L3390" s="7" t="str">
        <f>TEXT(OrganizedData[[#This Row],[Order Date]],"mmm")</f>
        <v>Sep</v>
      </c>
      <c r="M3390" s="2">
        <v>3</v>
      </c>
      <c r="N3390" s="2" t="s">
        <v>54</v>
      </c>
      <c r="O3390" s="2" t="str">
        <f>VLOOKUP(OrganizedData[[#This Row],[Product Code]],ProductData[[Code]:[Item]],2,FALSE)</f>
        <v>Megawidget S</v>
      </c>
      <c r="P3390" s="4">
        <f>OrganizedData[[#This Row],[Quantity]]*VLOOKUP(OrganizedData[[#This Row],[Product Code]],ProductData[],4,FALSE)</f>
        <v>72</v>
      </c>
      <c r="Q3390" s="6">
        <f>OrganizedData[[#This Row],[Total Items Ordered]]*VLOOKUP(OrganizedData[[#This Row],[Product Code]],ProductData[],3,FALSE)</f>
        <v>49.679999999999993</v>
      </c>
      <c r="R33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49.679999999999993</v>
      </c>
    </row>
    <row r="3391" spans="1:18" x14ac:dyDescent="0.3">
      <c r="A3391" s="2">
        <v>3384</v>
      </c>
      <c r="B3391" s="2" t="s">
        <v>8124</v>
      </c>
      <c r="C3391" s="2" t="s">
        <v>7069</v>
      </c>
      <c r="D3391" s="2" t="s">
        <v>28</v>
      </c>
      <c r="E3391" s="2" t="s">
        <v>29</v>
      </c>
      <c r="F3391" s="2">
        <v>60</v>
      </c>
      <c r="G3391" s="2" t="s">
        <v>8125</v>
      </c>
      <c r="H3391" s="2" t="s">
        <v>1056</v>
      </c>
      <c r="I3391" s="2" t="s">
        <v>129</v>
      </c>
      <c r="J3391" s="3">
        <v>44897</v>
      </c>
      <c r="K3391" s="5">
        <f>YEAR(OrganizedData[[#This Row],[Order Date]])</f>
        <v>2022</v>
      </c>
      <c r="L3391" s="7" t="str">
        <f>TEXT(OrganizedData[[#This Row],[Order Date]],"mmm")</f>
        <v>Dec</v>
      </c>
      <c r="M3391" s="2">
        <v>77</v>
      </c>
      <c r="N3391" s="2" t="s">
        <v>101</v>
      </c>
      <c r="O3391" s="2" t="str">
        <f>VLOOKUP(OrganizedData[[#This Row],[Product Code]],ProductData[[Code]:[Item]],2,FALSE)</f>
        <v>Superwossname</v>
      </c>
      <c r="P3391" s="4">
        <f>OrganizedData[[#This Row],[Quantity]]*VLOOKUP(OrganizedData[[#This Row],[Product Code]],ProductData[],4,FALSE)</f>
        <v>1540</v>
      </c>
      <c r="Q3391" s="6">
        <f>OrganizedData[[#This Row],[Total Items Ordered]]*VLOOKUP(OrganizedData[[#This Row],[Product Code]],ProductData[],3,FALSE)</f>
        <v>5374.6</v>
      </c>
      <c r="R33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5105.87</v>
      </c>
    </row>
    <row r="3392" spans="1:18" x14ac:dyDescent="0.3">
      <c r="A3392" s="2">
        <v>3385</v>
      </c>
      <c r="B3392" s="2" t="s">
        <v>3629</v>
      </c>
      <c r="C3392" s="2" t="s">
        <v>8126</v>
      </c>
      <c r="D3392" s="2" t="s">
        <v>28</v>
      </c>
      <c r="E3392" s="2" t="s">
        <v>29</v>
      </c>
      <c r="F3392" s="2">
        <v>30</v>
      </c>
      <c r="G3392" s="2" t="s">
        <v>8127</v>
      </c>
      <c r="H3392" s="2" t="s">
        <v>6430</v>
      </c>
      <c r="I3392" s="2" t="s">
        <v>32</v>
      </c>
      <c r="J3392" s="3">
        <v>44874</v>
      </c>
      <c r="K3392" s="5">
        <f>YEAR(OrganizedData[[#This Row],[Order Date]])</f>
        <v>2022</v>
      </c>
      <c r="L3392" s="7" t="str">
        <f>TEXT(OrganizedData[[#This Row],[Order Date]],"mmm")</f>
        <v>Nov</v>
      </c>
      <c r="M3392" s="2">
        <v>88</v>
      </c>
      <c r="N3392" s="2" t="s">
        <v>80</v>
      </c>
      <c r="O3392" s="2" t="str">
        <f>VLOOKUP(OrganizedData[[#This Row],[Product Code]],ProductData[[Code]:[Item]],2,FALSE)</f>
        <v>Ultrathing V2</v>
      </c>
      <c r="P3392" s="4">
        <f>OrganizedData[[#This Row],[Quantity]]*VLOOKUP(OrganizedData[[#This Row],[Product Code]],ProductData[],4,FALSE)</f>
        <v>1760</v>
      </c>
      <c r="Q3392" s="6">
        <f>OrganizedData[[#This Row],[Total Items Ordered]]*VLOOKUP(OrganizedData[[#This Row],[Product Code]],ProductData[],3,FALSE)</f>
        <v>5192</v>
      </c>
      <c r="R33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4932.3999999999996</v>
      </c>
    </row>
    <row r="3393" spans="1:18" x14ac:dyDescent="0.3">
      <c r="A3393" s="2">
        <v>3386</v>
      </c>
      <c r="B3393" s="2" t="s">
        <v>5014</v>
      </c>
      <c r="C3393" s="2" t="s">
        <v>8128</v>
      </c>
      <c r="D3393" s="2" t="s">
        <v>15</v>
      </c>
      <c r="E3393" s="2" t="s">
        <v>16</v>
      </c>
      <c r="F3393" s="2">
        <v>60</v>
      </c>
      <c r="G3393" s="2" t="s">
        <v>8129</v>
      </c>
      <c r="H3393" s="2" t="s">
        <v>5521</v>
      </c>
      <c r="I3393" s="2" t="s">
        <v>25</v>
      </c>
      <c r="J3393" s="3">
        <v>44703</v>
      </c>
      <c r="K3393" s="5">
        <f>YEAR(OrganizedData[[#This Row],[Order Date]])</f>
        <v>2022</v>
      </c>
      <c r="L3393" s="7" t="str">
        <f>TEXT(OrganizedData[[#This Row],[Order Date]],"mmm")</f>
        <v>May</v>
      </c>
      <c r="M3393" s="2">
        <v>5</v>
      </c>
      <c r="N3393" s="2" t="s">
        <v>64</v>
      </c>
      <c r="O3393" s="2" t="str">
        <f>VLOOKUP(OrganizedData[[#This Row],[Product Code]],ProductData[[Code]:[Item]],2,FALSE)</f>
        <v>Ultrathing V4</v>
      </c>
      <c r="P3393" s="4">
        <f>OrganizedData[[#This Row],[Quantity]]*VLOOKUP(OrganizedData[[#This Row],[Product Code]],ProductData[],4,FALSE)</f>
        <v>120</v>
      </c>
      <c r="Q3393" s="6">
        <f>OrganizedData[[#This Row],[Total Items Ordered]]*VLOOKUP(OrganizedData[[#This Row],[Product Code]],ProductData[],3,FALSE)</f>
        <v>478.8</v>
      </c>
      <c r="R33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478.8</v>
      </c>
    </row>
    <row r="3394" spans="1:18" x14ac:dyDescent="0.3">
      <c r="A3394" s="2">
        <v>3387</v>
      </c>
      <c r="B3394" s="2" t="s">
        <v>6274</v>
      </c>
      <c r="C3394" s="2" t="s">
        <v>5764</v>
      </c>
      <c r="D3394" s="2" t="s">
        <v>28</v>
      </c>
      <c r="E3394" s="2" t="s">
        <v>29</v>
      </c>
      <c r="F3394" s="2">
        <v>60</v>
      </c>
      <c r="G3394" s="2" t="s">
        <v>8130</v>
      </c>
      <c r="H3394" s="2" t="s">
        <v>458</v>
      </c>
      <c r="I3394" s="2" t="s">
        <v>294</v>
      </c>
      <c r="J3394" s="3">
        <v>44257</v>
      </c>
      <c r="K3394" s="5">
        <f>YEAR(OrganizedData[[#This Row],[Order Date]])</f>
        <v>2021</v>
      </c>
      <c r="L3394" s="7" t="str">
        <f>TEXT(OrganizedData[[#This Row],[Order Date]],"mmm")</f>
        <v>Mar</v>
      </c>
      <c r="M3394" s="2">
        <v>48</v>
      </c>
      <c r="N3394" s="2" t="s">
        <v>20</v>
      </c>
      <c r="O3394" s="2" t="str">
        <f>VLOOKUP(OrganizedData[[#This Row],[Product Code]],ProductData[[Code]:[Item]],2,FALSE)</f>
        <v>Hyperwotsit</v>
      </c>
      <c r="P3394" s="4">
        <f>OrganizedData[[#This Row],[Quantity]]*VLOOKUP(OrganizedData[[#This Row],[Product Code]],ProductData[],4,FALSE)</f>
        <v>960</v>
      </c>
      <c r="Q3394" s="6">
        <f>OrganizedData[[#This Row],[Total Items Ordered]]*VLOOKUP(OrganizedData[[#This Row],[Product Code]],ProductData[],3,FALSE)</f>
        <v>1929.6</v>
      </c>
      <c r="R33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3395" spans="1:18" x14ac:dyDescent="0.3">
      <c r="A3395" s="2">
        <v>3388</v>
      </c>
      <c r="B3395" s="2" t="s">
        <v>4124</v>
      </c>
      <c r="C3395" s="2" t="s">
        <v>4422</v>
      </c>
      <c r="D3395" s="2" t="s">
        <v>51</v>
      </c>
      <c r="E3395" s="2" t="s">
        <v>16</v>
      </c>
      <c r="F3395" s="2">
        <v>30</v>
      </c>
      <c r="G3395" s="2" t="s">
        <v>8131</v>
      </c>
      <c r="H3395" s="2" t="s">
        <v>2552</v>
      </c>
      <c r="I3395" s="2" t="s">
        <v>32</v>
      </c>
      <c r="J3395" s="3">
        <v>44248</v>
      </c>
      <c r="K3395" s="5">
        <f>YEAR(OrganizedData[[#This Row],[Order Date]])</f>
        <v>2021</v>
      </c>
      <c r="L3395" s="7" t="str">
        <f>TEXT(OrganizedData[[#This Row],[Order Date]],"mmm")</f>
        <v>Feb</v>
      </c>
      <c r="M3395" s="2">
        <v>63</v>
      </c>
      <c r="N3395" s="2" t="s">
        <v>33</v>
      </c>
      <c r="O3395" s="2" t="str">
        <f>VLOOKUP(OrganizedData[[#This Row],[Product Code]],ProductData[[Code]:[Item]],2,FALSE)</f>
        <v>Megawidget L</v>
      </c>
      <c r="P3395" s="4">
        <f>OrganizedData[[#This Row],[Quantity]]*VLOOKUP(OrganizedData[[#This Row],[Product Code]],ProductData[],4,FALSE)</f>
        <v>1512</v>
      </c>
      <c r="Q3395" s="6">
        <f>OrganizedData[[#This Row],[Total Items Ordered]]*VLOOKUP(OrganizedData[[#This Row],[Product Code]],ProductData[],3,FALSE)</f>
        <v>2706.48</v>
      </c>
      <c r="R33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2571.1559999999999</v>
      </c>
    </row>
    <row r="3396" spans="1:18" x14ac:dyDescent="0.3">
      <c r="A3396" s="2">
        <v>3389</v>
      </c>
      <c r="B3396" s="2" t="s">
        <v>1002</v>
      </c>
      <c r="C3396" s="2" t="s">
        <v>3831</v>
      </c>
      <c r="D3396" s="2" t="s">
        <v>28</v>
      </c>
      <c r="E3396" s="2" t="s">
        <v>29</v>
      </c>
      <c r="F3396" s="2">
        <v>90</v>
      </c>
      <c r="G3396" s="2" t="s">
        <v>8132</v>
      </c>
      <c r="H3396" s="2" t="s">
        <v>2494</v>
      </c>
      <c r="I3396" s="2" t="s">
        <v>25</v>
      </c>
      <c r="J3396" s="3">
        <v>44376</v>
      </c>
      <c r="K3396" s="5">
        <f>YEAR(OrganizedData[[#This Row],[Order Date]])</f>
        <v>2021</v>
      </c>
      <c r="L3396" s="7" t="str">
        <f>TEXT(OrganizedData[[#This Row],[Order Date]],"mmm")</f>
        <v>Jun</v>
      </c>
      <c r="M3396" s="2">
        <v>7</v>
      </c>
      <c r="N3396" s="2" t="s">
        <v>45</v>
      </c>
      <c r="O3396" s="2" t="str">
        <f>VLOOKUP(OrganizedData[[#This Row],[Product Code]],ProductData[[Code]:[Item]],2,FALSE)</f>
        <v>Gigastuff</v>
      </c>
      <c r="P3396" s="4">
        <f>OrganizedData[[#This Row],[Quantity]]*VLOOKUP(OrganizedData[[#This Row],[Product Code]],ProductData[],4,FALSE)</f>
        <v>126</v>
      </c>
      <c r="Q3396" s="6">
        <f>OrganizedData[[#This Row],[Total Items Ordered]]*VLOOKUP(OrganizedData[[#This Row],[Product Code]],ProductData[],3,FALSE)</f>
        <v>238.14</v>
      </c>
      <c r="R33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3397" spans="1:18" x14ac:dyDescent="0.3">
      <c r="A3397" s="2">
        <v>3390</v>
      </c>
      <c r="B3397" s="2" t="s">
        <v>4290</v>
      </c>
      <c r="C3397" s="2" t="s">
        <v>3485</v>
      </c>
      <c r="D3397" s="2" t="s">
        <v>51</v>
      </c>
      <c r="E3397" s="2" t="s">
        <v>16</v>
      </c>
      <c r="F3397" s="2">
        <v>60</v>
      </c>
      <c r="G3397" s="2" t="s">
        <v>8133</v>
      </c>
      <c r="H3397" s="2" t="s">
        <v>288</v>
      </c>
      <c r="I3397" s="2" t="s">
        <v>32</v>
      </c>
      <c r="J3397" s="3">
        <v>44443</v>
      </c>
      <c r="K3397" s="5">
        <f>YEAR(OrganizedData[[#This Row],[Order Date]])</f>
        <v>2021</v>
      </c>
      <c r="L3397" s="7" t="str">
        <f>TEXT(OrganizedData[[#This Row],[Order Date]],"mmm")</f>
        <v>Sep</v>
      </c>
      <c r="M3397" s="2">
        <v>29</v>
      </c>
      <c r="N3397" s="2" t="s">
        <v>101</v>
      </c>
      <c r="O3397" s="2" t="str">
        <f>VLOOKUP(OrganizedData[[#This Row],[Product Code]],ProductData[[Code]:[Item]],2,FALSE)</f>
        <v>Superwossname</v>
      </c>
      <c r="P3397" s="4">
        <f>OrganizedData[[#This Row],[Quantity]]*VLOOKUP(OrganizedData[[#This Row],[Product Code]],ProductData[],4,FALSE)</f>
        <v>580</v>
      </c>
      <c r="Q3397" s="6">
        <f>OrganizedData[[#This Row],[Total Items Ordered]]*VLOOKUP(OrganizedData[[#This Row],[Product Code]],ProductData[],3,FALSE)</f>
        <v>2024.2</v>
      </c>
      <c r="R33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3398" spans="1:18" x14ac:dyDescent="0.3">
      <c r="A3398" s="2">
        <v>3391</v>
      </c>
      <c r="B3398" s="2" t="s">
        <v>4572</v>
      </c>
      <c r="C3398" s="2" t="s">
        <v>8134</v>
      </c>
      <c r="D3398" s="2" t="s">
        <v>28</v>
      </c>
      <c r="E3398" s="2" t="s">
        <v>29</v>
      </c>
      <c r="F3398" s="2">
        <v>30</v>
      </c>
      <c r="G3398" s="2" t="s">
        <v>8135</v>
      </c>
      <c r="H3398" s="2" t="s">
        <v>7572</v>
      </c>
      <c r="I3398" s="2" t="s">
        <v>886</v>
      </c>
      <c r="J3398" s="3">
        <v>44104</v>
      </c>
      <c r="K3398" s="5">
        <f>YEAR(OrganizedData[[#This Row],[Order Date]])</f>
        <v>2020</v>
      </c>
      <c r="L3398" s="7" t="str">
        <f>TEXT(OrganizedData[[#This Row],[Order Date]],"mmm")</f>
        <v>Sep</v>
      </c>
      <c r="M3398" s="2">
        <v>7</v>
      </c>
      <c r="N3398" s="2" t="s">
        <v>20</v>
      </c>
      <c r="O3398" s="2" t="str">
        <f>VLOOKUP(OrganizedData[[#This Row],[Product Code]],ProductData[[Code]:[Item]],2,FALSE)</f>
        <v>Hyperwotsit</v>
      </c>
      <c r="P3398" s="4">
        <f>OrganizedData[[#This Row],[Quantity]]*VLOOKUP(OrganizedData[[#This Row],[Product Code]],ProductData[],4,FALSE)</f>
        <v>140</v>
      </c>
      <c r="Q3398" s="6">
        <f>OrganizedData[[#This Row],[Total Items Ordered]]*VLOOKUP(OrganizedData[[#This Row],[Product Code]],ProductData[],3,FALSE)</f>
        <v>281.39999999999998</v>
      </c>
      <c r="R33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3399" spans="1:18" x14ac:dyDescent="0.3">
      <c r="A3399" s="2">
        <v>3392</v>
      </c>
      <c r="B3399" s="2" t="s">
        <v>872</v>
      </c>
      <c r="C3399" s="2" t="s">
        <v>8136</v>
      </c>
      <c r="D3399" s="2" t="s">
        <v>28</v>
      </c>
      <c r="E3399" s="2" t="s">
        <v>29</v>
      </c>
      <c r="F3399" s="2">
        <v>30</v>
      </c>
      <c r="G3399" s="2" t="s">
        <v>8137</v>
      </c>
      <c r="H3399" s="2" t="s">
        <v>412</v>
      </c>
      <c r="I3399" s="2" t="s">
        <v>187</v>
      </c>
      <c r="J3399" s="3">
        <v>44747</v>
      </c>
      <c r="K3399" s="5">
        <f>YEAR(OrganizedData[[#This Row],[Order Date]])</f>
        <v>2022</v>
      </c>
      <c r="L3399" s="7" t="str">
        <f>TEXT(OrganizedData[[#This Row],[Order Date]],"mmm")</f>
        <v>Jul</v>
      </c>
      <c r="M3399" s="2">
        <v>65</v>
      </c>
      <c r="N3399" s="2" t="s">
        <v>20</v>
      </c>
      <c r="O3399" s="2" t="str">
        <f>VLOOKUP(OrganizedData[[#This Row],[Product Code]],ProductData[[Code]:[Item]],2,FALSE)</f>
        <v>Hyperwotsit</v>
      </c>
      <c r="P3399" s="4">
        <f>OrganizedData[[#This Row],[Quantity]]*VLOOKUP(OrganizedData[[#This Row],[Product Code]],ProductData[],4,FALSE)</f>
        <v>1300</v>
      </c>
      <c r="Q3399" s="6">
        <f>OrganizedData[[#This Row],[Total Items Ordered]]*VLOOKUP(OrganizedData[[#This Row],[Product Code]],ProductData[],3,FALSE)</f>
        <v>2612.9999999999995</v>
      </c>
      <c r="R33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2482.3499999999995</v>
      </c>
    </row>
    <row r="3400" spans="1:18" x14ac:dyDescent="0.3">
      <c r="A3400" s="2">
        <v>3393</v>
      </c>
      <c r="B3400" s="2" t="s">
        <v>8138</v>
      </c>
      <c r="C3400" s="2" t="s">
        <v>906</v>
      </c>
      <c r="D3400" s="2" t="s">
        <v>15</v>
      </c>
      <c r="E3400" s="2" t="s">
        <v>16</v>
      </c>
      <c r="F3400" s="2">
        <v>30</v>
      </c>
      <c r="G3400" s="2" t="s">
        <v>8139</v>
      </c>
      <c r="H3400" s="2" t="s">
        <v>2742</v>
      </c>
      <c r="I3400" s="2" t="s">
        <v>124</v>
      </c>
      <c r="J3400" s="3">
        <v>44429</v>
      </c>
      <c r="K3400" s="5">
        <f>YEAR(OrganizedData[[#This Row],[Order Date]])</f>
        <v>2021</v>
      </c>
      <c r="L3400" s="7" t="str">
        <f>TEXT(OrganizedData[[#This Row],[Order Date]],"mmm")</f>
        <v>Aug</v>
      </c>
      <c r="M3400" s="2">
        <v>76</v>
      </c>
      <c r="N3400" s="2" t="s">
        <v>70</v>
      </c>
      <c r="O3400" s="2" t="str">
        <f>VLOOKUP(OrganizedData[[#This Row],[Product Code]],ProductData[[Code]:[Item]],2,FALSE)</f>
        <v>Megawidget M</v>
      </c>
      <c r="P3400" s="4">
        <f>OrganizedData[[#This Row],[Quantity]]*VLOOKUP(OrganizedData[[#This Row],[Product Code]],ProductData[],4,FALSE)</f>
        <v>1824</v>
      </c>
      <c r="Q3400" s="6">
        <f>OrganizedData[[#This Row],[Total Items Ordered]]*VLOOKUP(OrganizedData[[#This Row],[Product Code]],ProductData[],3,FALSE)</f>
        <v>2352.96</v>
      </c>
      <c r="R34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3401" spans="1:18" x14ac:dyDescent="0.3">
      <c r="A3401" s="2">
        <v>3394</v>
      </c>
      <c r="B3401" s="2" t="s">
        <v>2384</v>
      </c>
      <c r="C3401" s="2" t="s">
        <v>6727</v>
      </c>
      <c r="D3401" s="2" t="s">
        <v>28</v>
      </c>
      <c r="E3401" s="2" t="s">
        <v>29</v>
      </c>
      <c r="F3401" s="2">
        <v>60</v>
      </c>
      <c r="G3401" s="2" t="s">
        <v>8141</v>
      </c>
      <c r="H3401" s="2" t="s">
        <v>5886</v>
      </c>
      <c r="I3401" s="2" t="s">
        <v>187</v>
      </c>
      <c r="J3401" s="3">
        <v>44195</v>
      </c>
      <c r="K3401" s="5">
        <f>YEAR(OrganizedData[[#This Row],[Order Date]])</f>
        <v>2020</v>
      </c>
      <c r="L3401" s="7" t="str">
        <f>TEXT(OrganizedData[[#This Row],[Order Date]],"mmm")</f>
        <v>Dec</v>
      </c>
      <c r="M3401" s="2">
        <v>13</v>
      </c>
      <c r="N3401" s="2" t="s">
        <v>33</v>
      </c>
      <c r="O3401" s="2" t="str">
        <f>VLOOKUP(OrganizedData[[#This Row],[Product Code]],ProductData[[Code]:[Item]],2,FALSE)</f>
        <v>Megawidget L</v>
      </c>
      <c r="P3401" s="4">
        <f>OrganizedData[[#This Row],[Quantity]]*VLOOKUP(OrganizedData[[#This Row],[Product Code]],ProductData[],4,FALSE)</f>
        <v>312</v>
      </c>
      <c r="Q3401" s="6">
        <f>OrganizedData[[#This Row],[Total Items Ordered]]*VLOOKUP(OrganizedData[[#This Row],[Product Code]],ProductData[],3,FALSE)</f>
        <v>558.48</v>
      </c>
      <c r="R34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3402" spans="1:18" x14ac:dyDescent="0.3">
      <c r="A3402" s="2">
        <v>3395</v>
      </c>
      <c r="B3402" s="2" t="s">
        <v>8142</v>
      </c>
      <c r="C3402" s="2" t="s">
        <v>2492</v>
      </c>
      <c r="D3402" s="2" t="s">
        <v>51</v>
      </c>
      <c r="E3402" s="2" t="s">
        <v>16</v>
      </c>
      <c r="F3402" s="2">
        <v>60</v>
      </c>
      <c r="G3402" s="2" t="s">
        <v>8143</v>
      </c>
      <c r="H3402" s="2" t="s">
        <v>750</v>
      </c>
      <c r="I3402" s="2" t="s">
        <v>25</v>
      </c>
      <c r="J3402" s="3">
        <v>44097</v>
      </c>
      <c r="K3402" s="5">
        <f>YEAR(OrganizedData[[#This Row],[Order Date]])</f>
        <v>2020</v>
      </c>
      <c r="L3402" s="7" t="str">
        <f>TEXT(OrganizedData[[#This Row],[Order Date]],"mmm")</f>
        <v>Sep</v>
      </c>
      <c r="M3402" s="2">
        <v>36</v>
      </c>
      <c r="N3402" s="2" t="s">
        <v>159</v>
      </c>
      <c r="O3402" s="2" t="str">
        <f>VLOOKUP(OrganizedData[[#This Row],[Product Code]],ProductData[[Code]:[Item]],2,FALSE)</f>
        <v>Ultrathing V3</v>
      </c>
      <c r="P3402" s="4">
        <f>OrganizedData[[#This Row],[Quantity]]*VLOOKUP(OrganizedData[[#This Row],[Product Code]],ProductData[],4,FALSE)</f>
        <v>864</v>
      </c>
      <c r="Q3402" s="6">
        <f>OrganizedData[[#This Row],[Total Items Ordered]]*VLOOKUP(OrganizedData[[#This Row],[Product Code]],ProductData[],3,FALSE)</f>
        <v>2928.96</v>
      </c>
      <c r="R34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2841.0911999999998</v>
      </c>
    </row>
    <row r="3403" spans="1:18" x14ac:dyDescent="0.3">
      <c r="A3403" s="2">
        <v>3396</v>
      </c>
      <c r="B3403" s="2" t="s">
        <v>6476</v>
      </c>
      <c r="C3403" s="2" t="s">
        <v>8144</v>
      </c>
      <c r="D3403" s="2" t="s">
        <v>28</v>
      </c>
      <c r="E3403" s="2" t="s">
        <v>29</v>
      </c>
      <c r="F3403" s="2">
        <v>30</v>
      </c>
      <c r="G3403" s="2" t="s">
        <v>8145</v>
      </c>
      <c r="H3403" s="2" t="s">
        <v>3531</v>
      </c>
      <c r="I3403" s="2" t="s">
        <v>32</v>
      </c>
      <c r="J3403" s="3">
        <v>44386</v>
      </c>
      <c r="K3403" s="5">
        <f>YEAR(OrganizedData[[#This Row],[Order Date]])</f>
        <v>2021</v>
      </c>
      <c r="L3403" s="7" t="str">
        <f>TEXT(OrganizedData[[#This Row],[Order Date]],"mmm")</f>
        <v>Jul</v>
      </c>
      <c r="M3403" s="2">
        <v>65</v>
      </c>
      <c r="N3403" s="2" t="s">
        <v>45</v>
      </c>
      <c r="O3403" s="2" t="str">
        <f>VLOOKUP(OrganizedData[[#This Row],[Product Code]],ProductData[[Code]:[Item]],2,FALSE)</f>
        <v>Gigastuff</v>
      </c>
      <c r="P3403" s="4">
        <f>OrganizedData[[#This Row],[Quantity]]*VLOOKUP(OrganizedData[[#This Row],[Product Code]],ProductData[],4,FALSE)</f>
        <v>1170</v>
      </c>
      <c r="Q3403" s="6">
        <f>OrganizedData[[#This Row],[Total Items Ordered]]*VLOOKUP(OrganizedData[[#This Row],[Product Code]],ProductData[],3,FALSE)</f>
        <v>2211.2999999999997</v>
      </c>
      <c r="R34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2100.7349999999997</v>
      </c>
    </row>
    <row r="3404" spans="1:18" x14ac:dyDescent="0.3">
      <c r="A3404" s="2">
        <v>3397</v>
      </c>
      <c r="B3404" s="2" t="s">
        <v>8146</v>
      </c>
      <c r="C3404" s="2" t="s">
        <v>8147</v>
      </c>
      <c r="D3404" s="2" t="s">
        <v>15</v>
      </c>
      <c r="E3404" s="2" t="s">
        <v>16</v>
      </c>
      <c r="F3404" s="2">
        <v>60</v>
      </c>
      <c r="G3404" s="2" t="s">
        <v>8148</v>
      </c>
      <c r="H3404" s="2" t="s">
        <v>4299</v>
      </c>
      <c r="I3404" s="2" t="s">
        <v>32</v>
      </c>
      <c r="J3404" s="3">
        <v>43871</v>
      </c>
      <c r="K3404" s="5">
        <f>YEAR(OrganizedData[[#This Row],[Order Date]])</f>
        <v>2020</v>
      </c>
      <c r="L3404" s="7" t="str">
        <f>TEXT(OrganizedData[[#This Row],[Order Date]],"mmm")</f>
        <v>Feb</v>
      </c>
      <c r="M3404" s="2">
        <v>63</v>
      </c>
      <c r="N3404" s="2" t="s">
        <v>45</v>
      </c>
      <c r="O3404" s="2" t="str">
        <f>VLOOKUP(OrganizedData[[#This Row],[Product Code]],ProductData[[Code]:[Item]],2,FALSE)</f>
        <v>Gigastuff</v>
      </c>
      <c r="P3404" s="4">
        <f>OrganizedData[[#This Row],[Quantity]]*VLOOKUP(OrganizedData[[#This Row],[Product Code]],ProductData[],4,FALSE)</f>
        <v>1134</v>
      </c>
      <c r="Q3404" s="6">
        <f>OrganizedData[[#This Row],[Total Items Ordered]]*VLOOKUP(OrganizedData[[#This Row],[Product Code]],ProductData[],3,FALSE)</f>
        <v>2143.2599999999998</v>
      </c>
      <c r="R34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2036.0969999999998</v>
      </c>
    </row>
    <row r="3405" spans="1:18" x14ac:dyDescent="0.3">
      <c r="A3405" s="2">
        <v>3398</v>
      </c>
      <c r="B3405" s="2" t="s">
        <v>8149</v>
      </c>
      <c r="C3405" s="2" t="s">
        <v>281</v>
      </c>
      <c r="D3405" s="2" t="s">
        <v>28</v>
      </c>
      <c r="E3405" s="2" t="s">
        <v>29</v>
      </c>
      <c r="F3405" s="2">
        <v>90</v>
      </c>
      <c r="G3405" s="2" t="s">
        <v>8150</v>
      </c>
      <c r="H3405" s="2" t="s">
        <v>3909</v>
      </c>
      <c r="I3405" s="2" t="s">
        <v>32</v>
      </c>
      <c r="J3405" s="3">
        <v>44433</v>
      </c>
      <c r="K3405" s="5">
        <f>YEAR(OrganizedData[[#This Row],[Order Date]])</f>
        <v>2021</v>
      </c>
      <c r="L3405" s="7" t="str">
        <f>TEXT(OrganizedData[[#This Row],[Order Date]],"mmm")</f>
        <v>Aug</v>
      </c>
      <c r="M3405" s="2">
        <v>76</v>
      </c>
      <c r="N3405" s="2" t="s">
        <v>70</v>
      </c>
      <c r="O3405" s="2" t="str">
        <f>VLOOKUP(OrganizedData[[#This Row],[Product Code]],ProductData[[Code]:[Item]],2,FALSE)</f>
        <v>Megawidget M</v>
      </c>
      <c r="P3405" s="4">
        <f>OrganizedData[[#This Row],[Quantity]]*VLOOKUP(OrganizedData[[#This Row],[Product Code]],ProductData[],4,FALSE)</f>
        <v>1824</v>
      </c>
      <c r="Q3405" s="6">
        <f>OrganizedData[[#This Row],[Total Items Ordered]]*VLOOKUP(OrganizedData[[#This Row],[Product Code]],ProductData[],3,FALSE)</f>
        <v>2352.96</v>
      </c>
      <c r="R34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3406" spans="1:18" x14ac:dyDescent="0.3">
      <c r="A3406" s="2">
        <v>3399</v>
      </c>
      <c r="B3406" s="2" t="s">
        <v>8151</v>
      </c>
      <c r="C3406" s="2" t="s">
        <v>5534</v>
      </c>
      <c r="D3406" s="2" t="s">
        <v>28</v>
      </c>
      <c r="E3406" s="2" t="s">
        <v>29</v>
      </c>
      <c r="F3406" s="2">
        <v>90</v>
      </c>
      <c r="G3406" s="2" t="s">
        <v>10550</v>
      </c>
      <c r="H3406" s="2" t="s">
        <v>6618</v>
      </c>
      <c r="I3406" s="2" t="s">
        <v>32</v>
      </c>
      <c r="J3406" s="3">
        <v>44789</v>
      </c>
      <c r="K3406" s="5">
        <f>YEAR(OrganizedData[[#This Row],[Order Date]])</f>
        <v>2022</v>
      </c>
      <c r="L3406" s="7" t="str">
        <f>TEXT(OrganizedData[[#This Row],[Order Date]],"mmm")</f>
        <v>Aug</v>
      </c>
      <c r="M3406" s="2">
        <v>37</v>
      </c>
      <c r="N3406" s="2" t="s">
        <v>101</v>
      </c>
      <c r="O3406" s="2" t="str">
        <f>VLOOKUP(OrganizedData[[#This Row],[Product Code]],ProductData[[Code]:[Item]],2,FALSE)</f>
        <v>Superwossname</v>
      </c>
      <c r="P3406" s="4">
        <f>OrganizedData[[#This Row],[Quantity]]*VLOOKUP(OrganizedData[[#This Row],[Product Code]],ProductData[],4,FALSE)</f>
        <v>740</v>
      </c>
      <c r="Q3406" s="6">
        <f>OrganizedData[[#This Row],[Total Items Ordered]]*VLOOKUP(OrganizedData[[#This Row],[Product Code]],ProductData[],3,FALSE)</f>
        <v>2582.6000000000004</v>
      </c>
      <c r="R34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3407" spans="1:18" x14ac:dyDescent="0.3">
      <c r="A3407" s="2">
        <v>3400</v>
      </c>
      <c r="B3407" s="2" t="s">
        <v>8153</v>
      </c>
      <c r="C3407" s="2" t="s">
        <v>7180</v>
      </c>
      <c r="D3407" s="2" t="s">
        <v>51</v>
      </c>
      <c r="E3407" s="2" t="s">
        <v>16</v>
      </c>
      <c r="F3407" s="2">
        <v>30</v>
      </c>
      <c r="G3407" s="2" t="s">
        <v>8154</v>
      </c>
      <c r="H3407" s="2" t="s">
        <v>8155</v>
      </c>
      <c r="I3407" s="2" t="s">
        <v>32</v>
      </c>
      <c r="J3407" s="3">
        <v>43973</v>
      </c>
      <c r="K3407" s="5">
        <f>YEAR(OrganizedData[[#This Row],[Order Date]])</f>
        <v>2020</v>
      </c>
      <c r="L3407" s="7" t="str">
        <f>TEXT(OrganizedData[[#This Row],[Order Date]],"mmm")</f>
        <v>May</v>
      </c>
      <c r="M3407" s="2">
        <v>28</v>
      </c>
      <c r="N3407" s="2" t="s">
        <v>80</v>
      </c>
      <c r="O3407" s="2" t="str">
        <f>VLOOKUP(OrganizedData[[#This Row],[Product Code]],ProductData[[Code]:[Item]],2,FALSE)</f>
        <v>Ultrathing V2</v>
      </c>
      <c r="P3407" s="4">
        <f>OrganizedData[[#This Row],[Quantity]]*VLOOKUP(OrganizedData[[#This Row],[Product Code]],ProductData[],4,FALSE)</f>
        <v>560</v>
      </c>
      <c r="Q3407" s="6">
        <f>OrganizedData[[#This Row],[Total Items Ordered]]*VLOOKUP(OrganizedData[[#This Row],[Product Code]],ProductData[],3,FALSE)</f>
        <v>1652</v>
      </c>
      <c r="R34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1602.44</v>
      </c>
    </row>
    <row r="3408" spans="1:18" x14ac:dyDescent="0.3">
      <c r="A3408" s="2">
        <v>3401</v>
      </c>
      <c r="B3408" s="2" t="s">
        <v>567</v>
      </c>
      <c r="C3408" s="2" t="s">
        <v>8156</v>
      </c>
      <c r="D3408" s="2" t="s">
        <v>28</v>
      </c>
      <c r="E3408" s="2" t="s">
        <v>29</v>
      </c>
      <c r="F3408" s="2">
        <v>60</v>
      </c>
      <c r="G3408" s="2" t="s">
        <v>8157</v>
      </c>
      <c r="H3408" s="2" t="s">
        <v>4673</v>
      </c>
      <c r="I3408" s="2" t="s">
        <v>294</v>
      </c>
      <c r="J3408" s="3">
        <v>44230</v>
      </c>
      <c r="K3408" s="5">
        <f>YEAR(OrganizedData[[#This Row],[Order Date]])</f>
        <v>2021</v>
      </c>
      <c r="L3408" s="7" t="str">
        <f>TEXT(OrganizedData[[#This Row],[Order Date]],"mmm")</f>
        <v>Feb</v>
      </c>
      <c r="M3408" s="2">
        <v>44</v>
      </c>
      <c r="N3408" s="2" t="s">
        <v>33</v>
      </c>
      <c r="O3408" s="2" t="str">
        <f>VLOOKUP(OrganizedData[[#This Row],[Product Code]],ProductData[[Code]:[Item]],2,FALSE)</f>
        <v>Megawidget L</v>
      </c>
      <c r="P3408" s="4">
        <f>OrganizedData[[#This Row],[Quantity]]*VLOOKUP(OrganizedData[[#This Row],[Product Code]],ProductData[],4,FALSE)</f>
        <v>1056</v>
      </c>
      <c r="Q3408" s="6">
        <f>OrganizedData[[#This Row],[Total Items Ordered]]*VLOOKUP(OrganizedData[[#This Row],[Product Code]],ProductData[],3,FALSE)</f>
        <v>1890.24</v>
      </c>
      <c r="R34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1833.5328</v>
      </c>
    </row>
    <row r="3409" spans="1:18" x14ac:dyDescent="0.3">
      <c r="A3409" s="2">
        <v>3402</v>
      </c>
      <c r="B3409" s="2" t="s">
        <v>8158</v>
      </c>
      <c r="C3409" s="2" t="s">
        <v>4603</v>
      </c>
      <c r="D3409" s="2" t="s">
        <v>15</v>
      </c>
      <c r="E3409" s="2" t="s">
        <v>16</v>
      </c>
      <c r="F3409" s="2">
        <v>60</v>
      </c>
      <c r="G3409" s="2" t="s">
        <v>8159</v>
      </c>
      <c r="H3409" s="2" t="s">
        <v>917</v>
      </c>
      <c r="I3409" s="2" t="s">
        <v>32</v>
      </c>
      <c r="J3409" s="3">
        <v>44726</v>
      </c>
      <c r="K3409" s="5">
        <f>YEAR(OrganizedData[[#This Row],[Order Date]])</f>
        <v>2022</v>
      </c>
      <c r="L3409" s="7" t="str">
        <f>TEXT(OrganizedData[[#This Row],[Order Date]],"mmm")</f>
        <v>Jun</v>
      </c>
      <c r="M3409" s="2">
        <v>25</v>
      </c>
      <c r="N3409" s="2" t="s">
        <v>45</v>
      </c>
      <c r="O3409" s="2" t="str">
        <f>VLOOKUP(OrganizedData[[#This Row],[Product Code]],ProductData[[Code]:[Item]],2,FALSE)</f>
        <v>Gigastuff</v>
      </c>
      <c r="P3409" s="4">
        <f>OrganizedData[[#This Row],[Quantity]]*VLOOKUP(OrganizedData[[#This Row],[Product Code]],ProductData[],4,FALSE)</f>
        <v>450</v>
      </c>
      <c r="Q3409" s="6">
        <f>OrganizedData[[#This Row],[Total Items Ordered]]*VLOOKUP(OrganizedData[[#This Row],[Product Code]],ProductData[],3,FALSE)</f>
        <v>850.5</v>
      </c>
      <c r="R34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824.98500000000001</v>
      </c>
    </row>
    <row r="3410" spans="1:18" x14ac:dyDescent="0.3">
      <c r="A3410" s="2">
        <v>3403</v>
      </c>
      <c r="B3410" s="2" t="s">
        <v>1165</v>
      </c>
      <c r="C3410" s="2" t="s">
        <v>3336</v>
      </c>
      <c r="D3410" s="2" t="s">
        <v>41</v>
      </c>
      <c r="E3410" s="2" t="s">
        <v>16</v>
      </c>
      <c r="F3410" s="2">
        <v>60</v>
      </c>
      <c r="G3410" s="2" t="s">
        <v>8160</v>
      </c>
      <c r="H3410" s="2" t="s">
        <v>1022</v>
      </c>
      <c r="I3410" s="2" t="s">
        <v>164</v>
      </c>
      <c r="J3410" s="3">
        <v>44530</v>
      </c>
      <c r="K3410" s="5">
        <f>YEAR(OrganizedData[[#This Row],[Order Date]])</f>
        <v>2021</v>
      </c>
      <c r="L3410" s="7" t="str">
        <f>TEXT(OrganizedData[[#This Row],[Order Date]],"mmm")</f>
        <v>Nov</v>
      </c>
      <c r="M3410" s="2">
        <v>69</v>
      </c>
      <c r="N3410" s="2" t="s">
        <v>70</v>
      </c>
      <c r="O3410" s="2" t="str">
        <f>VLOOKUP(OrganizedData[[#This Row],[Product Code]],ProductData[[Code]:[Item]],2,FALSE)</f>
        <v>Megawidget M</v>
      </c>
      <c r="P3410" s="4">
        <f>OrganizedData[[#This Row],[Quantity]]*VLOOKUP(OrganizedData[[#This Row],[Product Code]],ProductData[],4,FALSE)</f>
        <v>1656</v>
      </c>
      <c r="Q3410" s="6">
        <f>OrganizedData[[#This Row],[Total Items Ordered]]*VLOOKUP(OrganizedData[[#This Row],[Product Code]],ProductData[],3,FALSE)</f>
        <v>2136.2400000000002</v>
      </c>
      <c r="R34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2029.4280000000001</v>
      </c>
    </row>
    <row r="3411" spans="1:18" x14ac:dyDescent="0.3">
      <c r="A3411" s="2">
        <v>3404</v>
      </c>
      <c r="B3411" s="2" t="s">
        <v>2828</v>
      </c>
      <c r="C3411" s="2" t="s">
        <v>1301</v>
      </c>
      <c r="D3411" s="2" t="s">
        <v>117</v>
      </c>
      <c r="E3411" s="2" t="s">
        <v>16</v>
      </c>
      <c r="F3411" s="2">
        <v>90</v>
      </c>
      <c r="G3411" s="2" t="s">
        <v>8161</v>
      </c>
      <c r="H3411" s="2" t="s">
        <v>7665</v>
      </c>
      <c r="I3411" s="2" t="s">
        <v>7666</v>
      </c>
      <c r="J3411" s="3">
        <v>44333</v>
      </c>
      <c r="K3411" s="5">
        <f>YEAR(OrganizedData[[#This Row],[Order Date]])</f>
        <v>2021</v>
      </c>
      <c r="L3411" s="7" t="str">
        <f>TEXT(OrganizedData[[#This Row],[Order Date]],"mmm")</f>
        <v>May</v>
      </c>
      <c r="M3411" s="2">
        <v>10</v>
      </c>
      <c r="N3411" s="2" t="s">
        <v>20</v>
      </c>
      <c r="O3411" s="2" t="str">
        <f>VLOOKUP(OrganizedData[[#This Row],[Product Code]],ProductData[[Code]:[Item]],2,FALSE)</f>
        <v>Hyperwotsit</v>
      </c>
      <c r="P3411" s="4">
        <f>OrganizedData[[#This Row],[Quantity]]*VLOOKUP(OrganizedData[[#This Row],[Product Code]],ProductData[],4,FALSE)</f>
        <v>200</v>
      </c>
      <c r="Q3411" s="6">
        <f>OrganizedData[[#This Row],[Total Items Ordered]]*VLOOKUP(OrganizedData[[#This Row],[Product Code]],ProductData[],3,FALSE)</f>
        <v>401.99999999999994</v>
      </c>
      <c r="R34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401.99999999999994</v>
      </c>
    </row>
    <row r="3412" spans="1:18" x14ac:dyDescent="0.3">
      <c r="A3412" s="2">
        <v>3405</v>
      </c>
      <c r="B3412" s="2" t="s">
        <v>8162</v>
      </c>
      <c r="C3412" s="2" t="s">
        <v>5689</v>
      </c>
      <c r="D3412" s="2" t="s">
        <v>28</v>
      </c>
      <c r="E3412" s="2" t="s">
        <v>29</v>
      </c>
      <c r="F3412" s="2">
        <v>90</v>
      </c>
      <c r="G3412" s="2" t="s">
        <v>8163</v>
      </c>
      <c r="H3412" s="2" t="s">
        <v>7763</v>
      </c>
      <c r="I3412" s="2" t="s">
        <v>129</v>
      </c>
      <c r="J3412" s="3">
        <v>44476</v>
      </c>
      <c r="K3412" s="5">
        <f>YEAR(OrganizedData[[#This Row],[Order Date]])</f>
        <v>2021</v>
      </c>
      <c r="L3412" s="7" t="str">
        <f>TEXT(OrganizedData[[#This Row],[Order Date]],"mmm")</f>
        <v>Oct</v>
      </c>
      <c r="M3412" s="2">
        <v>20</v>
      </c>
      <c r="N3412" s="2" t="s">
        <v>70</v>
      </c>
      <c r="O3412" s="2" t="str">
        <f>VLOOKUP(OrganizedData[[#This Row],[Product Code]],ProductData[[Code]:[Item]],2,FALSE)</f>
        <v>Megawidget M</v>
      </c>
      <c r="P3412" s="4">
        <f>OrganizedData[[#This Row],[Quantity]]*VLOOKUP(OrganizedData[[#This Row],[Product Code]],ProductData[],4,FALSE)</f>
        <v>480</v>
      </c>
      <c r="Q3412" s="6">
        <f>OrganizedData[[#This Row],[Total Items Ordered]]*VLOOKUP(OrganizedData[[#This Row],[Product Code]],ProductData[],3,FALSE)</f>
        <v>619.20000000000005</v>
      </c>
      <c r="R34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619.20000000000005</v>
      </c>
    </row>
    <row r="3413" spans="1:18" x14ac:dyDescent="0.3">
      <c r="A3413" s="2">
        <v>3406</v>
      </c>
      <c r="B3413" s="2" t="s">
        <v>4644</v>
      </c>
      <c r="C3413" s="2" t="s">
        <v>7290</v>
      </c>
      <c r="D3413" s="2" t="s">
        <v>28</v>
      </c>
      <c r="E3413" s="2" t="s">
        <v>29</v>
      </c>
      <c r="F3413" s="2">
        <v>30</v>
      </c>
      <c r="G3413" s="2" t="s">
        <v>8164</v>
      </c>
      <c r="H3413" s="2" t="s">
        <v>145</v>
      </c>
      <c r="I3413" s="2" t="s">
        <v>146</v>
      </c>
      <c r="J3413" s="3">
        <v>44219</v>
      </c>
      <c r="K3413" s="5">
        <f>YEAR(OrganizedData[[#This Row],[Order Date]])</f>
        <v>2021</v>
      </c>
      <c r="L3413" s="7" t="str">
        <f>TEXT(OrganizedData[[#This Row],[Order Date]],"mmm")</f>
        <v>Jan</v>
      </c>
      <c r="M3413" s="2">
        <v>73</v>
      </c>
      <c r="N3413" s="2" t="s">
        <v>101</v>
      </c>
      <c r="O3413" s="2" t="str">
        <f>VLOOKUP(OrganizedData[[#This Row],[Product Code]],ProductData[[Code]:[Item]],2,FALSE)</f>
        <v>Superwossname</v>
      </c>
      <c r="P3413" s="4">
        <f>OrganizedData[[#This Row],[Quantity]]*VLOOKUP(OrganizedData[[#This Row],[Product Code]],ProductData[],4,FALSE)</f>
        <v>1460</v>
      </c>
      <c r="Q3413" s="6">
        <f>OrganizedData[[#This Row],[Total Items Ordered]]*VLOOKUP(OrganizedData[[#This Row],[Product Code]],ProductData[],3,FALSE)</f>
        <v>5095.4000000000005</v>
      </c>
      <c r="R34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4840.63</v>
      </c>
    </row>
    <row r="3414" spans="1:18" x14ac:dyDescent="0.3">
      <c r="A3414" s="2">
        <v>3407</v>
      </c>
      <c r="B3414" s="2" t="s">
        <v>1591</v>
      </c>
      <c r="C3414" s="2" t="s">
        <v>2431</v>
      </c>
      <c r="D3414" s="2" t="s">
        <v>28</v>
      </c>
      <c r="E3414" s="2" t="s">
        <v>29</v>
      </c>
      <c r="F3414" s="2">
        <v>30</v>
      </c>
      <c r="G3414" s="2" t="s">
        <v>8165</v>
      </c>
      <c r="H3414" s="2" t="s">
        <v>1490</v>
      </c>
      <c r="I3414" s="2" t="s">
        <v>294</v>
      </c>
      <c r="J3414" s="3">
        <v>44225</v>
      </c>
      <c r="K3414" s="5">
        <f>YEAR(OrganizedData[[#This Row],[Order Date]])</f>
        <v>2021</v>
      </c>
      <c r="L3414" s="7" t="str">
        <f>TEXT(OrganizedData[[#This Row],[Order Date]],"mmm")</f>
        <v>Jan</v>
      </c>
      <c r="M3414" s="2">
        <v>59</v>
      </c>
      <c r="N3414" s="2" t="s">
        <v>54</v>
      </c>
      <c r="O3414" s="2" t="str">
        <f>VLOOKUP(OrganizedData[[#This Row],[Product Code]],ProductData[[Code]:[Item]],2,FALSE)</f>
        <v>Megawidget S</v>
      </c>
      <c r="P3414" s="4">
        <f>OrganizedData[[#This Row],[Quantity]]*VLOOKUP(OrganizedData[[#This Row],[Product Code]],ProductData[],4,FALSE)</f>
        <v>1416</v>
      </c>
      <c r="Q3414" s="6">
        <f>OrganizedData[[#This Row],[Total Items Ordered]]*VLOOKUP(OrganizedData[[#This Row],[Product Code]],ProductData[],3,FALSE)</f>
        <v>977.04</v>
      </c>
      <c r="R34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928.18799999999987</v>
      </c>
    </row>
    <row r="3415" spans="1:18" x14ac:dyDescent="0.3">
      <c r="A3415" s="2">
        <v>3408</v>
      </c>
      <c r="B3415" s="2" t="s">
        <v>4419</v>
      </c>
      <c r="C3415" s="2" t="s">
        <v>7889</v>
      </c>
      <c r="D3415" s="2" t="s">
        <v>28</v>
      </c>
      <c r="E3415" s="2" t="s">
        <v>29</v>
      </c>
      <c r="F3415" s="2">
        <v>30</v>
      </c>
      <c r="G3415" s="2" t="s">
        <v>8166</v>
      </c>
      <c r="H3415" s="2" t="s">
        <v>1228</v>
      </c>
      <c r="I3415" s="2" t="s">
        <v>25</v>
      </c>
      <c r="J3415" s="3">
        <v>44393</v>
      </c>
      <c r="K3415" s="5">
        <f>YEAR(OrganizedData[[#This Row],[Order Date]])</f>
        <v>2021</v>
      </c>
      <c r="L3415" s="7" t="str">
        <f>TEXT(OrganizedData[[#This Row],[Order Date]],"mmm")</f>
        <v>Jul</v>
      </c>
      <c r="M3415" s="2">
        <v>65</v>
      </c>
      <c r="N3415" s="2" t="s">
        <v>64</v>
      </c>
      <c r="O3415" s="2" t="str">
        <f>VLOOKUP(OrganizedData[[#This Row],[Product Code]],ProductData[[Code]:[Item]],2,FALSE)</f>
        <v>Ultrathing V4</v>
      </c>
      <c r="P3415" s="4">
        <f>OrganizedData[[#This Row],[Quantity]]*VLOOKUP(OrganizedData[[#This Row],[Product Code]],ProductData[],4,FALSE)</f>
        <v>1560</v>
      </c>
      <c r="Q3415" s="6">
        <f>OrganizedData[[#This Row],[Total Items Ordered]]*VLOOKUP(OrganizedData[[#This Row],[Product Code]],ProductData[],3,FALSE)</f>
        <v>6224.4000000000005</v>
      </c>
      <c r="R34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5913.18</v>
      </c>
    </row>
    <row r="3416" spans="1:18" x14ac:dyDescent="0.3">
      <c r="A3416" s="2">
        <v>3409</v>
      </c>
      <c r="B3416" s="2" t="s">
        <v>1464</v>
      </c>
      <c r="C3416" s="2" t="s">
        <v>2197</v>
      </c>
      <c r="D3416" s="2" t="s">
        <v>28</v>
      </c>
      <c r="E3416" s="2" t="s">
        <v>29</v>
      </c>
      <c r="F3416" s="2">
        <v>90</v>
      </c>
      <c r="G3416" s="2" t="s">
        <v>8167</v>
      </c>
      <c r="H3416" s="2" t="s">
        <v>2848</v>
      </c>
      <c r="I3416" s="2" t="s">
        <v>129</v>
      </c>
      <c r="J3416" s="3">
        <v>44578</v>
      </c>
      <c r="K3416" s="5">
        <f>YEAR(OrganizedData[[#This Row],[Order Date]])</f>
        <v>2022</v>
      </c>
      <c r="L3416" s="7" t="str">
        <f>TEXT(OrganizedData[[#This Row],[Order Date]],"mmm")</f>
        <v>Jan</v>
      </c>
      <c r="M3416" s="2">
        <v>77</v>
      </c>
      <c r="N3416" s="2" t="s">
        <v>20</v>
      </c>
      <c r="O3416" s="2" t="str">
        <f>VLOOKUP(OrganizedData[[#This Row],[Product Code]],ProductData[[Code]:[Item]],2,FALSE)</f>
        <v>Hyperwotsit</v>
      </c>
      <c r="P3416" s="4">
        <f>OrganizedData[[#This Row],[Quantity]]*VLOOKUP(OrganizedData[[#This Row],[Product Code]],ProductData[],4,FALSE)</f>
        <v>1540</v>
      </c>
      <c r="Q3416" s="6">
        <f>OrganizedData[[#This Row],[Total Items Ordered]]*VLOOKUP(OrganizedData[[#This Row],[Product Code]],ProductData[],3,FALSE)</f>
        <v>3095.3999999999996</v>
      </c>
      <c r="R34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2940.6299999999997</v>
      </c>
    </row>
    <row r="3417" spans="1:18" x14ac:dyDescent="0.3">
      <c r="A3417" s="2">
        <v>3410</v>
      </c>
      <c r="B3417" s="2" t="s">
        <v>8168</v>
      </c>
      <c r="C3417" s="2" t="s">
        <v>2139</v>
      </c>
      <c r="D3417" s="2" t="s">
        <v>92</v>
      </c>
      <c r="E3417" s="2" t="s">
        <v>16</v>
      </c>
      <c r="F3417" s="2">
        <v>90</v>
      </c>
      <c r="G3417" s="2" t="s">
        <v>8169</v>
      </c>
      <c r="H3417" s="2" t="s">
        <v>7269</v>
      </c>
      <c r="I3417" s="2" t="s">
        <v>187</v>
      </c>
      <c r="J3417" s="3">
        <v>43983</v>
      </c>
      <c r="K3417" s="5">
        <f>YEAR(OrganizedData[[#This Row],[Order Date]])</f>
        <v>2020</v>
      </c>
      <c r="L3417" s="7" t="str">
        <f>TEXT(OrganizedData[[#This Row],[Order Date]],"mmm")</f>
        <v>Jun</v>
      </c>
      <c r="M3417" s="2">
        <v>74</v>
      </c>
      <c r="N3417" s="2" t="s">
        <v>54</v>
      </c>
      <c r="O3417" s="2" t="str">
        <f>VLOOKUP(OrganizedData[[#This Row],[Product Code]],ProductData[[Code]:[Item]],2,FALSE)</f>
        <v>Megawidget S</v>
      </c>
      <c r="P3417" s="4">
        <f>OrganizedData[[#This Row],[Quantity]]*VLOOKUP(OrganizedData[[#This Row],[Product Code]],ProductData[],4,FALSE)</f>
        <v>1776</v>
      </c>
      <c r="Q3417" s="6">
        <f>OrganizedData[[#This Row],[Total Items Ordered]]*VLOOKUP(OrganizedData[[#This Row],[Product Code]],ProductData[],3,FALSE)</f>
        <v>1225.4399999999998</v>
      </c>
      <c r="R34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1164.1679999999999</v>
      </c>
    </row>
    <row r="3418" spans="1:18" x14ac:dyDescent="0.3">
      <c r="A3418" s="2">
        <v>3411</v>
      </c>
      <c r="B3418" s="2" t="s">
        <v>1881</v>
      </c>
      <c r="C3418" s="2" t="s">
        <v>2017</v>
      </c>
      <c r="D3418" s="2" t="s">
        <v>28</v>
      </c>
      <c r="E3418" s="2" t="s">
        <v>29</v>
      </c>
      <c r="F3418" s="2">
        <v>30</v>
      </c>
      <c r="G3418" s="2" t="s">
        <v>8170</v>
      </c>
      <c r="H3418" s="2" t="s">
        <v>6602</v>
      </c>
      <c r="I3418" s="2" t="s">
        <v>32</v>
      </c>
      <c r="J3418" s="3">
        <v>44110</v>
      </c>
      <c r="K3418" s="5">
        <f>YEAR(OrganizedData[[#This Row],[Order Date]])</f>
        <v>2020</v>
      </c>
      <c r="L3418" s="7" t="str">
        <f>TEXT(OrganizedData[[#This Row],[Order Date]],"mmm")</f>
        <v>Oct</v>
      </c>
      <c r="M3418" s="2">
        <v>41</v>
      </c>
      <c r="N3418" s="2" t="s">
        <v>54</v>
      </c>
      <c r="O3418" s="2" t="str">
        <f>VLOOKUP(OrganizedData[[#This Row],[Product Code]],ProductData[[Code]:[Item]],2,FALSE)</f>
        <v>Megawidget S</v>
      </c>
      <c r="P3418" s="4">
        <f>OrganizedData[[#This Row],[Quantity]]*VLOOKUP(OrganizedData[[#This Row],[Product Code]],ProductData[],4,FALSE)</f>
        <v>984</v>
      </c>
      <c r="Q3418" s="6">
        <f>OrganizedData[[#This Row],[Total Items Ordered]]*VLOOKUP(OrganizedData[[#This Row],[Product Code]],ProductData[],3,FALSE)</f>
        <v>678.95999999999992</v>
      </c>
      <c r="R34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658.59119999999996</v>
      </c>
    </row>
    <row r="3419" spans="1:18" x14ac:dyDescent="0.3">
      <c r="A3419" s="2">
        <v>3412</v>
      </c>
      <c r="B3419" s="2" t="s">
        <v>8171</v>
      </c>
      <c r="C3419" s="2" t="s">
        <v>2014</v>
      </c>
      <c r="D3419" s="2" t="s">
        <v>51</v>
      </c>
      <c r="E3419" s="2" t="s">
        <v>16</v>
      </c>
      <c r="F3419" s="2">
        <v>90</v>
      </c>
      <c r="G3419" s="2" t="s">
        <v>8172</v>
      </c>
      <c r="H3419" s="2" t="s">
        <v>8173</v>
      </c>
      <c r="I3419" s="2" t="s">
        <v>25</v>
      </c>
      <c r="J3419" s="3">
        <v>44201</v>
      </c>
      <c r="K3419" s="5">
        <f>YEAR(OrganizedData[[#This Row],[Order Date]])</f>
        <v>2021</v>
      </c>
      <c r="L3419" s="7" t="str">
        <f>TEXT(OrganizedData[[#This Row],[Order Date]],"mmm")</f>
        <v>Jan</v>
      </c>
      <c r="M3419" s="2">
        <v>5</v>
      </c>
      <c r="N3419" s="2" t="s">
        <v>54</v>
      </c>
      <c r="O3419" s="2" t="str">
        <f>VLOOKUP(OrganizedData[[#This Row],[Product Code]],ProductData[[Code]:[Item]],2,FALSE)</f>
        <v>Megawidget S</v>
      </c>
      <c r="P3419" s="4">
        <f>OrganizedData[[#This Row],[Quantity]]*VLOOKUP(OrganizedData[[#This Row],[Product Code]],ProductData[],4,FALSE)</f>
        <v>120</v>
      </c>
      <c r="Q3419" s="6">
        <f>OrganizedData[[#This Row],[Total Items Ordered]]*VLOOKUP(OrganizedData[[#This Row],[Product Code]],ProductData[],3,FALSE)</f>
        <v>82.8</v>
      </c>
      <c r="R34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82.8</v>
      </c>
    </row>
    <row r="3420" spans="1:18" x14ac:dyDescent="0.3">
      <c r="A3420" s="2">
        <v>3413</v>
      </c>
      <c r="B3420" s="2" t="s">
        <v>8174</v>
      </c>
      <c r="C3420" s="2" t="s">
        <v>6465</v>
      </c>
      <c r="D3420" s="2" t="s">
        <v>51</v>
      </c>
      <c r="E3420" s="2" t="s">
        <v>16</v>
      </c>
      <c r="F3420" s="2">
        <v>90</v>
      </c>
      <c r="G3420" s="2" t="s">
        <v>8175</v>
      </c>
      <c r="H3420" s="2" t="s">
        <v>7665</v>
      </c>
      <c r="I3420" s="2" t="s">
        <v>7666</v>
      </c>
      <c r="J3420" s="3">
        <v>43899</v>
      </c>
      <c r="K3420" s="5">
        <f>YEAR(OrganizedData[[#This Row],[Order Date]])</f>
        <v>2020</v>
      </c>
      <c r="L3420" s="7" t="str">
        <f>TEXT(OrganizedData[[#This Row],[Order Date]],"mmm")</f>
        <v>Mar</v>
      </c>
      <c r="M3420" s="2">
        <v>51</v>
      </c>
      <c r="N3420" s="2" t="s">
        <v>80</v>
      </c>
      <c r="O3420" s="2" t="str">
        <f>VLOOKUP(OrganizedData[[#This Row],[Product Code]],ProductData[[Code]:[Item]],2,FALSE)</f>
        <v>Ultrathing V2</v>
      </c>
      <c r="P3420" s="4">
        <f>OrganizedData[[#This Row],[Quantity]]*VLOOKUP(OrganizedData[[#This Row],[Product Code]],ProductData[],4,FALSE)</f>
        <v>1020</v>
      </c>
      <c r="Q3420" s="6">
        <f>OrganizedData[[#This Row],[Total Items Ordered]]*VLOOKUP(OrganizedData[[#This Row],[Product Code]],ProductData[],3,FALSE)</f>
        <v>3009</v>
      </c>
      <c r="R34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3421" spans="1:18" x14ac:dyDescent="0.3">
      <c r="A3421" s="2">
        <v>3414</v>
      </c>
      <c r="B3421" s="2" t="s">
        <v>357</v>
      </c>
      <c r="C3421" s="2" t="s">
        <v>1162</v>
      </c>
      <c r="D3421" s="2" t="s">
        <v>28</v>
      </c>
      <c r="E3421" s="2" t="s">
        <v>29</v>
      </c>
      <c r="F3421" s="2">
        <v>60</v>
      </c>
      <c r="G3421" s="2" t="s">
        <v>8176</v>
      </c>
      <c r="H3421" s="2" t="s">
        <v>5327</v>
      </c>
      <c r="I3421" s="2" t="s">
        <v>187</v>
      </c>
      <c r="J3421" s="3">
        <v>44219</v>
      </c>
      <c r="K3421" s="5">
        <f>YEAR(OrganizedData[[#This Row],[Order Date]])</f>
        <v>2021</v>
      </c>
      <c r="L3421" s="7" t="str">
        <f>TEXT(OrganizedData[[#This Row],[Order Date]],"mmm")</f>
        <v>Jan</v>
      </c>
      <c r="M3421" s="2">
        <v>4</v>
      </c>
      <c r="N3421" s="2" t="s">
        <v>45</v>
      </c>
      <c r="O3421" s="2" t="str">
        <f>VLOOKUP(OrganizedData[[#This Row],[Product Code]],ProductData[[Code]:[Item]],2,FALSE)</f>
        <v>Gigastuff</v>
      </c>
      <c r="P3421" s="4">
        <f>OrganizedData[[#This Row],[Quantity]]*VLOOKUP(OrganizedData[[#This Row],[Product Code]],ProductData[],4,FALSE)</f>
        <v>72</v>
      </c>
      <c r="Q3421" s="6">
        <f>OrganizedData[[#This Row],[Total Items Ordered]]*VLOOKUP(OrganizedData[[#This Row],[Product Code]],ProductData[],3,FALSE)</f>
        <v>136.07999999999998</v>
      </c>
      <c r="R34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3422" spans="1:18" x14ac:dyDescent="0.3">
      <c r="A3422" s="2">
        <v>3415</v>
      </c>
      <c r="B3422" s="2" t="s">
        <v>8177</v>
      </c>
      <c r="C3422" s="2" t="s">
        <v>1749</v>
      </c>
      <c r="D3422" s="2" t="s">
        <v>15</v>
      </c>
      <c r="E3422" s="2" t="s">
        <v>16</v>
      </c>
      <c r="F3422" s="2">
        <v>90</v>
      </c>
      <c r="G3422" s="2" t="s">
        <v>8178</v>
      </c>
      <c r="H3422" s="2" t="s">
        <v>5132</v>
      </c>
      <c r="I3422" s="2" t="s">
        <v>32</v>
      </c>
      <c r="J3422" s="3">
        <v>44866</v>
      </c>
      <c r="K3422" s="5">
        <f>YEAR(OrganizedData[[#This Row],[Order Date]])</f>
        <v>2022</v>
      </c>
      <c r="L3422" s="7" t="str">
        <f>TEXT(OrganizedData[[#This Row],[Order Date]],"mmm")</f>
        <v>Nov</v>
      </c>
      <c r="M3422" s="2">
        <v>60</v>
      </c>
      <c r="N3422" s="2" t="s">
        <v>101</v>
      </c>
      <c r="O3422" s="2" t="str">
        <f>VLOOKUP(OrganizedData[[#This Row],[Product Code]],ProductData[[Code]:[Item]],2,FALSE)</f>
        <v>Superwossname</v>
      </c>
      <c r="P3422" s="4">
        <f>OrganizedData[[#This Row],[Quantity]]*VLOOKUP(OrganizedData[[#This Row],[Product Code]],ProductData[],4,FALSE)</f>
        <v>1200</v>
      </c>
      <c r="Q3422" s="6">
        <f>OrganizedData[[#This Row],[Total Items Ordered]]*VLOOKUP(OrganizedData[[#This Row],[Product Code]],ProductData[],3,FALSE)</f>
        <v>4188</v>
      </c>
      <c r="R34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3978.6</v>
      </c>
    </row>
    <row r="3423" spans="1:18" x14ac:dyDescent="0.3">
      <c r="A3423" s="2">
        <v>3416</v>
      </c>
      <c r="B3423" s="2" t="s">
        <v>8179</v>
      </c>
      <c r="C3423" s="2" t="s">
        <v>1932</v>
      </c>
      <c r="D3423" s="2" t="s">
        <v>51</v>
      </c>
      <c r="E3423" s="2" t="s">
        <v>16</v>
      </c>
      <c r="F3423" s="2">
        <v>30</v>
      </c>
      <c r="G3423" s="2" t="s">
        <v>8180</v>
      </c>
      <c r="H3423" s="2" t="s">
        <v>7004</v>
      </c>
      <c r="I3423" s="2" t="s">
        <v>208</v>
      </c>
      <c r="J3423" s="3">
        <v>44655</v>
      </c>
      <c r="K3423" s="5">
        <f>YEAR(OrganizedData[[#This Row],[Order Date]])</f>
        <v>2022</v>
      </c>
      <c r="L3423" s="7" t="str">
        <f>TEXT(OrganizedData[[#This Row],[Order Date]],"mmm")</f>
        <v>Apr</v>
      </c>
      <c r="M3423" s="2">
        <v>72</v>
      </c>
      <c r="N3423" s="2" t="s">
        <v>39</v>
      </c>
      <c r="O3423" s="2" t="str">
        <f>VLOOKUP(OrganizedData[[#This Row],[Product Code]],ProductData[[Code]:[Item]],2,FALSE)</f>
        <v>Ultrathing V1</v>
      </c>
      <c r="P3423" s="4">
        <f>OrganizedData[[#This Row],[Quantity]]*VLOOKUP(OrganizedData[[#This Row],[Product Code]],ProductData[],4,FALSE)</f>
        <v>1224</v>
      </c>
      <c r="Q3423" s="6">
        <f>OrganizedData[[#This Row],[Total Items Ordered]]*VLOOKUP(OrganizedData[[#This Row],[Product Code]],ProductData[],3,FALSE)</f>
        <v>2190.96</v>
      </c>
      <c r="R34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3424" spans="1:18" x14ac:dyDescent="0.3">
      <c r="A3424" s="2">
        <v>3417</v>
      </c>
      <c r="B3424" s="2" t="s">
        <v>2571</v>
      </c>
      <c r="C3424" s="2" t="s">
        <v>1191</v>
      </c>
      <c r="D3424" s="2" t="s">
        <v>28</v>
      </c>
      <c r="E3424" s="2" t="s">
        <v>29</v>
      </c>
      <c r="F3424" s="2">
        <v>90</v>
      </c>
      <c r="G3424" s="2" t="s">
        <v>8181</v>
      </c>
      <c r="H3424" s="2" t="s">
        <v>1819</v>
      </c>
      <c r="I3424" s="2" t="s">
        <v>89</v>
      </c>
      <c r="J3424" s="3">
        <v>44197</v>
      </c>
      <c r="K3424" s="5">
        <f>YEAR(OrganizedData[[#This Row],[Order Date]])</f>
        <v>2021</v>
      </c>
      <c r="L3424" s="7" t="str">
        <f>TEXT(OrganizedData[[#This Row],[Order Date]],"mmm")</f>
        <v>Jan</v>
      </c>
      <c r="M3424" s="2">
        <v>78</v>
      </c>
      <c r="N3424" s="2" t="s">
        <v>101</v>
      </c>
      <c r="O3424" s="2" t="str">
        <f>VLOOKUP(OrganizedData[[#This Row],[Product Code]],ProductData[[Code]:[Item]],2,FALSE)</f>
        <v>Superwossname</v>
      </c>
      <c r="P3424" s="4">
        <f>OrganizedData[[#This Row],[Quantity]]*VLOOKUP(OrganizedData[[#This Row],[Product Code]],ProductData[],4,FALSE)</f>
        <v>1560</v>
      </c>
      <c r="Q3424" s="6">
        <f>OrganizedData[[#This Row],[Total Items Ordered]]*VLOOKUP(OrganizedData[[#This Row],[Product Code]],ProductData[],3,FALSE)</f>
        <v>5444.4000000000005</v>
      </c>
      <c r="R34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3425" spans="1:18" x14ac:dyDescent="0.3">
      <c r="A3425" s="2">
        <v>3418</v>
      </c>
      <c r="B3425" s="2" t="s">
        <v>8182</v>
      </c>
      <c r="C3425" s="2" t="s">
        <v>5764</v>
      </c>
      <c r="D3425" s="2" t="s">
        <v>51</v>
      </c>
      <c r="E3425" s="2" t="s">
        <v>16</v>
      </c>
      <c r="F3425" s="2">
        <v>90</v>
      </c>
      <c r="G3425" s="2" t="s">
        <v>8183</v>
      </c>
      <c r="H3425" s="2" t="s">
        <v>7642</v>
      </c>
      <c r="I3425" s="2" t="s">
        <v>32</v>
      </c>
      <c r="J3425" s="3">
        <v>44021</v>
      </c>
      <c r="K3425" s="5">
        <f>YEAR(OrganizedData[[#This Row],[Order Date]])</f>
        <v>2020</v>
      </c>
      <c r="L3425" s="7" t="str">
        <f>TEXT(OrganizedData[[#This Row],[Order Date]],"mmm")</f>
        <v>Jul</v>
      </c>
      <c r="M3425" s="2">
        <v>73</v>
      </c>
      <c r="N3425" s="2" t="s">
        <v>39</v>
      </c>
      <c r="O3425" s="2" t="str">
        <f>VLOOKUP(OrganizedData[[#This Row],[Product Code]],ProductData[[Code]:[Item]],2,FALSE)</f>
        <v>Ultrathing V1</v>
      </c>
      <c r="P3425" s="4">
        <f>OrganizedData[[#This Row],[Quantity]]*VLOOKUP(OrganizedData[[#This Row],[Product Code]],ProductData[],4,FALSE)</f>
        <v>1241</v>
      </c>
      <c r="Q3425" s="6">
        <f>OrganizedData[[#This Row],[Total Items Ordered]]*VLOOKUP(OrganizedData[[#This Row],[Product Code]],ProductData[],3,FALSE)</f>
        <v>2221.39</v>
      </c>
      <c r="R34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3426" spans="1:18" x14ac:dyDescent="0.3">
      <c r="A3426" s="2">
        <v>3419</v>
      </c>
      <c r="B3426" s="2" t="s">
        <v>8184</v>
      </c>
      <c r="C3426" s="2" t="s">
        <v>2507</v>
      </c>
      <c r="D3426" s="2" t="s">
        <v>51</v>
      </c>
      <c r="E3426" s="2" t="s">
        <v>16</v>
      </c>
      <c r="F3426" s="2">
        <v>90</v>
      </c>
      <c r="G3426" s="2" t="s">
        <v>8185</v>
      </c>
      <c r="H3426" s="2" t="s">
        <v>3866</v>
      </c>
      <c r="I3426" s="2" t="s">
        <v>32</v>
      </c>
      <c r="J3426" s="3">
        <v>44459</v>
      </c>
      <c r="K3426" s="5">
        <f>YEAR(OrganizedData[[#This Row],[Order Date]])</f>
        <v>2021</v>
      </c>
      <c r="L3426" s="7" t="str">
        <f>TEXT(OrganizedData[[#This Row],[Order Date]],"mmm")</f>
        <v>Sep</v>
      </c>
      <c r="M3426" s="2">
        <v>48</v>
      </c>
      <c r="N3426" s="2" t="s">
        <v>70</v>
      </c>
      <c r="O3426" s="2" t="str">
        <f>VLOOKUP(OrganizedData[[#This Row],[Product Code]],ProductData[[Code]:[Item]],2,FALSE)</f>
        <v>Megawidget M</v>
      </c>
      <c r="P3426" s="4">
        <f>OrganizedData[[#This Row],[Quantity]]*VLOOKUP(OrganizedData[[#This Row],[Product Code]],ProductData[],4,FALSE)</f>
        <v>1152</v>
      </c>
      <c r="Q3426" s="6">
        <f>OrganizedData[[#This Row],[Total Items Ordered]]*VLOOKUP(OrganizedData[[#This Row],[Product Code]],ProductData[],3,FALSE)</f>
        <v>1486.08</v>
      </c>
      <c r="R34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3427" spans="1:18" x14ac:dyDescent="0.3">
      <c r="A3427" s="2">
        <v>3420</v>
      </c>
      <c r="B3427" s="2" t="s">
        <v>555</v>
      </c>
      <c r="C3427" s="2" t="s">
        <v>1204</v>
      </c>
      <c r="D3427" s="2" t="s">
        <v>28</v>
      </c>
      <c r="E3427" s="2" t="s">
        <v>29</v>
      </c>
      <c r="F3427" s="2">
        <v>90</v>
      </c>
      <c r="G3427" s="2" t="s">
        <v>8186</v>
      </c>
      <c r="H3427" s="2" t="s">
        <v>1249</v>
      </c>
      <c r="I3427" s="2" t="s">
        <v>146</v>
      </c>
      <c r="J3427" s="3">
        <v>43900</v>
      </c>
      <c r="K3427" s="5">
        <f>YEAR(OrganizedData[[#This Row],[Order Date]])</f>
        <v>2020</v>
      </c>
      <c r="L3427" s="7" t="str">
        <f>TEXT(OrganizedData[[#This Row],[Order Date]],"mmm")</f>
        <v>Mar</v>
      </c>
      <c r="M3427" s="2">
        <v>73</v>
      </c>
      <c r="N3427" s="2" t="s">
        <v>39</v>
      </c>
      <c r="O3427" s="2" t="str">
        <f>VLOOKUP(OrganizedData[[#This Row],[Product Code]],ProductData[[Code]:[Item]],2,FALSE)</f>
        <v>Ultrathing V1</v>
      </c>
      <c r="P3427" s="4">
        <f>OrganizedData[[#This Row],[Quantity]]*VLOOKUP(OrganizedData[[#This Row],[Product Code]],ProductData[],4,FALSE)</f>
        <v>1241</v>
      </c>
      <c r="Q3427" s="6">
        <f>OrganizedData[[#This Row],[Total Items Ordered]]*VLOOKUP(OrganizedData[[#This Row],[Product Code]],ProductData[],3,FALSE)</f>
        <v>2221.39</v>
      </c>
      <c r="R34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3428" spans="1:18" x14ac:dyDescent="0.3">
      <c r="A3428" s="2">
        <v>3421</v>
      </c>
      <c r="B3428" s="2" t="s">
        <v>8187</v>
      </c>
      <c r="C3428" s="2" t="s">
        <v>2339</v>
      </c>
      <c r="D3428" s="2" t="s">
        <v>117</v>
      </c>
      <c r="E3428" s="2" t="s">
        <v>29</v>
      </c>
      <c r="F3428" s="2">
        <v>90</v>
      </c>
      <c r="G3428" s="2" t="s">
        <v>8188</v>
      </c>
      <c r="H3428" s="2" t="s">
        <v>8121</v>
      </c>
      <c r="I3428" s="2" t="s">
        <v>44</v>
      </c>
      <c r="J3428" s="3">
        <v>44714</v>
      </c>
      <c r="K3428" s="5">
        <f>YEAR(OrganizedData[[#This Row],[Order Date]])</f>
        <v>2022</v>
      </c>
      <c r="L3428" s="7" t="str">
        <f>TEXT(OrganizedData[[#This Row],[Order Date]],"mmm")</f>
        <v>Jun</v>
      </c>
      <c r="M3428" s="2">
        <v>55</v>
      </c>
      <c r="N3428" s="2" t="s">
        <v>45</v>
      </c>
      <c r="O3428" s="2" t="str">
        <f>VLOOKUP(OrganizedData[[#This Row],[Product Code]],ProductData[[Code]:[Item]],2,FALSE)</f>
        <v>Gigastuff</v>
      </c>
      <c r="P3428" s="4">
        <f>OrganizedData[[#This Row],[Quantity]]*VLOOKUP(OrganizedData[[#This Row],[Product Code]],ProductData[],4,FALSE)</f>
        <v>990</v>
      </c>
      <c r="Q3428" s="6">
        <f>OrganizedData[[#This Row],[Total Items Ordered]]*VLOOKUP(OrganizedData[[#This Row],[Product Code]],ProductData[],3,FALSE)</f>
        <v>1871.1</v>
      </c>
      <c r="R34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3429" spans="1:18" x14ac:dyDescent="0.3">
      <c r="A3429" s="2">
        <v>3422</v>
      </c>
      <c r="B3429" s="2" t="s">
        <v>8189</v>
      </c>
      <c r="C3429" s="2" t="s">
        <v>1247</v>
      </c>
      <c r="D3429" s="2" t="s">
        <v>51</v>
      </c>
      <c r="E3429" s="2" t="s">
        <v>16</v>
      </c>
      <c r="F3429" s="2">
        <v>30</v>
      </c>
      <c r="G3429" s="2" t="s">
        <v>8188</v>
      </c>
      <c r="H3429" s="2" t="s">
        <v>1575</v>
      </c>
      <c r="I3429" s="2" t="s">
        <v>1576</v>
      </c>
      <c r="J3429" s="3">
        <v>44533</v>
      </c>
      <c r="K3429" s="5">
        <f>YEAR(OrganizedData[[#This Row],[Order Date]])</f>
        <v>2021</v>
      </c>
      <c r="L3429" s="7" t="str">
        <f>TEXT(OrganizedData[[#This Row],[Order Date]],"mmm")</f>
        <v>Dec</v>
      </c>
      <c r="M3429" s="2">
        <v>2</v>
      </c>
      <c r="N3429" s="2" t="s">
        <v>45</v>
      </c>
      <c r="O3429" s="2" t="str">
        <f>VLOOKUP(OrganizedData[[#This Row],[Product Code]],ProductData[[Code]:[Item]],2,FALSE)</f>
        <v>Gigastuff</v>
      </c>
      <c r="P3429" s="4">
        <f>OrganizedData[[#This Row],[Quantity]]*VLOOKUP(OrganizedData[[#This Row],[Product Code]],ProductData[],4,FALSE)</f>
        <v>36</v>
      </c>
      <c r="Q3429" s="6">
        <f>OrganizedData[[#This Row],[Total Items Ordered]]*VLOOKUP(OrganizedData[[#This Row],[Product Code]],ProductData[],3,FALSE)</f>
        <v>68.039999999999992</v>
      </c>
      <c r="R34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68.039999999999992</v>
      </c>
    </row>
    <row r="3430" spans="1:18" x14ac:dyDescent="0.3">
      <c r="A3430" s="2">
        <v>3423</v>
      </c>
      <c r="B3430" s="2" t="s">
        <v>6837</v>
      </c>
      <c r="C3430" s="2" t="s">
        <v>5328</v>
      </c>
      <c r="D3430" s="2" t="s">
        <v>28</v>
      </c>
      <c r="E3430" s="2" t="s">
        <v>29</v>
      </c>
      <c r="F3430" s="2">
        <v>30</v>
      </c>
      <c r="G3430" s="2" t="s">
        <v>8190</v>
      </c>
      <c r="H3430" s="2" t="s">
        <v>8191</v>
      </c>
      <c r="I3430" s="2" t="s">
        <v>886</v>
      </c>
      <c r="J3430" s="3">
        <v>44414</v>
      </c>
      <c r="K3430" s="5">
        <f>YEAR(OrganizedData[[#This Row],[Order Date]])</f>
        <v>2021</v>
      </c>
      <c r="L3430" s="7" t="str">
        <f>TEXT(OrganizedData[[#This Row],[Order Date]],"mmm")</f>
        <v>Aug</v>
      </c>
      <c r="M3430" s="2">
        <v>37</v>
      </c>
      <c r="N3430" s="2" t="s">
        <v>101</v>
      </c>
      <c r="O3430" s="2" t="str">
        <f>VLOOKUP(OrganizedData[[#This Row],[Product Code]],ProductData[[Code]:[Item]],2,FALSE)</f>
        <v>Superwossname</v>
      </c>
      <c r="P3430" s="4">
        <f>OrganizedData[[#This Row],[Quantity]]*VLOOKUP(OrganizedData[[#This Row],[Product Code]],ProductData[],4,FALSE)</f>
        <v>740</v>
      </c>
      <c r="Q3430" s="6">
        <f>OrganizedData[[#This Row],[Total Items Ordered]]*VLOOKUP(OrganizedData[[#This Row],[Product Code]],ProductData[],3,FALSE)</f>
        <v>2582.6000000000004</v>
      </c>
      <c r="R34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2505.1220000000003</v>
      </c>
    </row>
    <row r="3431" spans="1:18" x14ac:dyDescent="0.3">
      <c r="A3431" s="2">
        <v>3424</v>
      </c>
      <c r="B3431" s="2" t="s">
        <v>967</v>
      </c>
      <c r="C3431" s="2" t="s">
        <v>940</v>
      </c>
      <c r="D3431" s="2" t="s">
        <v>28</v>
      </c>
      <c r="E3431" s="2" t="s">
        <v>29</v>
      </c>
      <c r="F3431" s="2">
        <v>60</v>
      </c>
      <c r="G3431" s="2" t="s">
        <v>8192</v>
      </c>
      <c r="H3431" s="2" t="s">
        <v>1743</v>
      </c>
      <c r="I3431" s="2" t="s">
        <v>1744</v>
      </c>
      <c r="J3431" s="3">
        <v>44095</v>
      </c>
      <c r="K3431" s="5">
        <f>YEAR(OrganizedData[[#This Row],[Order Date]])</f>
        <v>2020</v>
      </c>
      <c r="L3431" s="7" t="str">
        <f>TEXT(OrganizedData[[#This Row],[Order Date]],"mmm")</f>
        <v>Sep</v>
      </c>
      <c r="M3431" s="2">
        <v>81</v>
      </c>
      <c r="N3431" s="2" t="s">
        <v>159</v>
      </c>
      <c r="O3431" s="2" t="str">
        <f>VLOOKUP(OrganizedData[[#This Row],[Product Code]],ProductData[[Code]:[Item]],2,FALSE)</f>
        <v>Ultrathing V3</v>
      </c>
      <c r="P3431" s="4">
        <f>OrganizedData[[#This Row],[Quantity]]*VLOOKUP(OrganizedData[[#This Row],[Product Code]],ProductData[],4,FALSE)</f>
        <v>1944</v>
      </c>
      <c r="Q3431" s="6">
        <f>OrganizedData[[#This Row],[Total Items Ordered]]*VLOOKUP(OrganizedData[[#This Row],[Product Code]],ProductData[],3,FALSE)</f>
        <v>6590.16</v>
      </c>
      <c r="R34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3432" spans="1:18" x14ac:dyDescent="0.3">
      <c r="A3432" s="2">
        <v>3425</v>
      </c>
      <c r="B3432" s="2" t="s">
        <v>4916</v>
      </c>
      <c r="C3432" s="2" t="s">
        <v>5081</v>
      </c>
      <c r="D3432" s="2" t="s">
        <v>28</v>
      </c>
      <c r="E3432" s="2" t="s">
        <v>29</v>
      </c>
      <c r="F3432" s="2">
        <v>90</v>
      </c>
      <c r="G3432" s="2" t="s">
        <v>8193</v>
      </c>
      <c r="H3432" s="2" t="s">
        <v>2577</v>
      </c>
      <c r="I3432" s="2" t="s">
        <v>645</v>
      </c>
      <c r="J3432" s="3">
        <v>44781</v>
      </c>
      <c r="K3432" s="5">
        <f>YEAR(OrganizedData[[#This Row],[Order Date]])</f>
        <v>2022</v>
      </c>
      <c r="L3432" s="7" t="str">
        <f>TEXT(OrganizedData[[#This Row],[Order Date]],"mmm")</f>
        <v>Aug</v>
      </c>
      <c r="M3432" s="2">
        <v>41</v>
      </c>
      <c r="N3432" s="2" t="s">
        <v>45</v>
      </c>
      <c r="O3432" s="2" t="str">
        <f>VLOOKUP(OrganizedData[[#This Row],[Product Code]],ProductData[[Code]:[Item]],2,FALSE)</f>
        <v>Gigastuff</v>
      </c>
      <c r="P3432" s="4">
        <f>OrganizedData[[#This Row],[Quantity]]*VLOOKUP(OrganizedData[[#This Row],[Product Code]],ProductData[],4,FALSE)</f>
        <v>738</v>
      </c>
      <c r="Q3432" s="6">
        <f>OrganizedData[[#This Row],[Total Items Ordered]]*VLOOKUP(OrganizedData[[#This Row],[Product Code]],ProductData[],3,FALSE)</f>
        <v>1394.82</v>
      </c>
      <c r="R34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3433" spans="1:18" x14ac:dyDescent="0.3">
      <c r="A3433" s="2">
        <v>3426</v>
      </c>
      <c r="B3433" s="2" t="s">
        <v>6630</v>
      </c>
      <c r="C3433" s="2" t="s">
        <v>3719</v>
      </c>
      <c r="D3433" s="2" t="s">
        <v>51</v>
      </c>
      <c r="E3433" s="2" t="s">
        <v>16</v>
      </c>
      <c r="F3433" s="2">
        <v>30</v>
      </c>
      <c r="G3433" s="2" t="s">
        <v>8194</v>
      </c>
      <c r="H3433" s="2" t="s">
        <v>8195</v>
      </c>
      <c r="I3433" s="2" t="s">
        <v>32</v>
      </c>
      <c r="J3433" s="3">
        <v>44609</v>
      </c>
      <c r="K3433" s="5">
        <f>YEAR(OrganizedData[[#This Row],[Order Date]])</f>
        <v>2022</v>
      </c>
      <c r="L3433" s="7" t="str">
        <f>TEXT(OrganizedData[[#This Row],[Order Date]],"mmm")</f>
        <v>Feb</v>
      </c>
      <c r="M3433" s="2">
        <v>95</v>
      </c>
      <c r="N3433" s="2" t="s">
        <v>80</v>
      </c>
      <c r="O3433" s="2" t="str">
        <f>VLOOKUP(OrganizedData[[#This Row],[Product Code]],ProductData[[Code]:[Item]],2,FALSE)</f>
        <v>Ultrathing V2</v>
      </c>
      <c r="P3433" s="4">
        <f>OrganizedData[[#This Row],[Quantity]]*VLOOKUP(OrganizedData[[#This Row],[Product Code]],ProductData[],4,FALSE)</f>
        <v>1900</v>
      </c>
      <c r="Q3433" s="6">
        <f>OrganizedData[[#This Row],[Total Items Ordered]]*VLOOKUP(OrganizedData[[#This Row],[Product Code]],ProductData[],3,FALSE)</f>
        <v>5605</v>
      </c>
      <c r="R34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5324.75</v>
      </c>
    </row>
    <row r="3434" spans="1:18" x14ac:dyDescent="0.3">
      <c r="A3434" s="2">
        <v>3427</v>
      </c>
      <c r="B3434" s="2" t="s">
        <v>8196</v>
      </c>
      <c r="C3434" s="2" t="s">
        <v>1072</v>
      </c>
      <c r="D3434" s="2" t="s">
        <v>28</v>
      </c>
      <c r="E3434" s="2" t="s">
        <v>29</v>
      </c>
      <c r="F3434" s="2">
        <v>60</v>
      </c>
      <c r="G3434" s="2" t="s">
        <v>8197</v>
      </c>
      <c r="H3434" s="2" t="s">
        <v>3882</v>
      </c>
      <c r="I3434" s="2" t="s">
        <v>38</v>
      </c>
      <c r="J3434" s="3">
        <v>44154</v>
      </c>
      <c r="K3434" s="5">
        <f>YEAR(OrganizedData[[#This Row],[Order Date]])</f>
        <v>2020</v>
      </c>
      <c r="L3434" s="7" t="str">
        <f>TEXT(OrganizedData[[#This Row],[Order Date]],"mmm")</f>
        <v>Nov</v>
      </c>
      <c r="M3434" s="2">
        <v>24</v>
      </c>
      <c r="N3434" s="2" t="s">
        <v>54</v>
      </c>
      <c r="O3434" s="2" t="str">
        <f>VLOOKUP(OrganizedData[[#This Row],[Product Code]],ProductData[[Code]:[Item]],2,FALSE)</f>
        <v>Megawidget S</v>
      </c>
      <c r="P3434" s="4">
        <f>OrganizedData[[#This Row],[Quantity]]*VLOOKUP(OrganizedData[[#This Row],[Product Code]],ProductData[],4,FALSE)</f>
        <v>576</v>
      </c>
      <c r="Q3434" s="6">
        <f>OrganizedData[[#This Row],[Total Items Ordered]]*VLOOKUP(OrganizedData[[#This Row],[Product Code]],ProductData[],3,FALSE)</f>
        <v>397.43999999999994</v>
      </c>
      <c r="R34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385.51679999999993</v>
      </c>
    </row>
    <row r="3435" spans="1:18" x14ac:dyDescent="0.3">
      <c r="A3435" s="2">
        <v>3428</v>
      </c>
      <c r="B3435" s="2" t="s">
        <v>8198</v>
      </c>
      <c r="C3435" s="2" t="s">
        <v>4422</v>
      </c>
      <c r="D3435" s="2" t="s">
        <v>15</v>
      </c>
      <c r="E3435" s="2" t="s">
        <v>16</v>
      </c>
      <c r="F3435" s="2">
        <v>60</v>
      </c>
      <c r="G3435" s="2" t="s">
        <v>10449</v>
      </c>
      <c r="H3435" s="2" t="s">
        <v>3651</v>
      </c>
      <c r="I3435" s="2" t="s">
        <v>294</v>
      </c>
      <c r="J3435" s="3">
        <v>44658</v>
      </c>
      <c r="K3435" s="5">
        <f>YEAR(OrganizedData[[#This Row],[Order Date]])</f>
        <v>2022</v>
      </c>
      <c r="L3435" s="7" t="str">
        <f>TEXT(OrganizedData[[#This Row],[Order Date]],"mmm")</f>
        <v>Apr</v>
      </c>
      <c r="M3435" s="2">
        <v>48</v>
      </c>
      <c r="N3435" s="2" t="s">
        <v>20</v>
      </c>
      <c r="O3435" s="2" t="str">
        <f>VLOOKUP(OrganizedData[[#This Row],[Product Code]],ProductData[[Code]:[Item]],2,FALSE)</f>
        <v>Hyperwotsit</v>
      </c>
      <c r="P3435" s="4">
        <f>OrganizedData[[#This Row],[Quantity]]*VLOOKUP(OrganizedData[[#This Row],[Product Code]],ProductData[],4,FALSE)</f>
        <v>960</v>
      </c>
      <c r="Q3435" s="6">
        <f>OrganizedData[[#This Row],[Total Items Ordered]]*VLOOKUP(OrganizedData[[#This Row],[Product Code]],ProductData[],3,FALSE)</f>
        <v>1929.6</v>
      </c>
      <c r="R34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1871.7119999999998</v>
      </c>
    </row>
    <row r="3436" spans="1:18" x14ac:dyDescent="0.3">
      <c r="A3436" s="2">
        <v>3429</v>
      </c>
      <c r="B3436" s="2" t="s">
        <v>7498</v>
      </c>
      <c r="C3436" s="2" t="s">
        <v>8113</v>
      </c>
      <c r="D3436" s="2" t="s">
        <v>28</v>
      </c>
      <c r="E3436" s="2" t="s">
        <v>29</v>
      </c>
      <c r="F3436" s="2">
        <v>60</v>
      </c>
      <c r="G3436" s="2" t="s">
        <v>8200</v>
      </c>
      <c r="H3436" s="2" t="s">
        <v>1969</v>
      </c>
      <c r="I3436" s="2" t="s">
        <v>32</v>
      </c>
      <c r="J3436" s="3">
        <v>43865</v>
      </c>
      <c r="K3436" s="5">
        <f>YEAR(OrganizedData[[#This Row],[Order Date]])</f>
        <v>2020</v>
      </c>
      <c r="L3436" s="7" t="str">
        <f>TEXT(OrganizedData[[#This Row],[Order Date]],"mmm")</f>
        <v>Feb</v>
      </c>
      <c r="M3436" s="2">
        <v>19</v>
      </c>
      <c r="N3436" s="2" t="s">
        <v>33</v>
      </c>
      <c r="O3436" s="2" t="str">
        <f>VLOOKUP(OrganizedData[[#This Row],[Product Code]],ProductData[[Code]:[Item]],2,FALSE)</f>
        <v>Megawidget L</v>
      </c>
      <c r="P3436" s="4">
        <f>OrganizedData[[#This Row],[Quantity]]*VLOOKUP(OrganizedData[[#This Row],[Product Code]],ProductData[],4,FALSE)</f>
        <v>456</v>
      </c>
      <c r="Q3436" s="6">
        <f>OrganizedData[[#This Row],[Total Items Ordered]]*VLOOKUP(OrganizedData[[#This Row],[Product Code]],ProductData[],3,FALSE)</f>
        <v>816.24</v>
      </c>
      <c r="R34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3437" spans="1:18" x14ac:dyDescent="0.3">
      <c r="A3437" s="2">
        <v>3430</v>
      </c>
      <c r="B3437" s="2" t="s">
        <v>7136</v>
      </c>
      <c r="C3437" s="2" t="s">
        <v>5325</v>
      </c>
      <c r="D3437" s="2" t="s">
        <v>51</v>
      </c>
      <c r="E3437" s="2" t="s">
        <v>16</v>
      </c>
      <c r="F3437" s="2">
        <v>60</v>
      </c>
      <c r="G3437" s="2" t="s">
        <v>8200</v>
      </c>
      <c r="H3437" s="2" t="s">
        <v>3770</v>
      </c>
      <c r="I3437" s="2" t="s">
        <v>32</v>
      </c>
      <c r="J3437" s="3">
        <v>44031</v>
      </c>
      <c r="K3437" s="5">
        <f>YEAR(OrganizedData[[#This Row],[Order Date]])</f>
        <v>2020</v>
      </c>
      <c r="L3437" s="7" t="str">
        <f>TEXT(OrganizedData[[#This Row],[Order Date]],"mmm")</f>
        <v>Jul</v>
      </c>
      <c r="M3437" s="2">
        <v>36</v>
      </c>
      <c r="N3437" s="2" t="s">
        <v>101</v>
      </c>
      <c r="O3437" s="2" t="str">
        <f>VLOOKUP(OrganizedData[[#This Row],[Product Code]],ProductData[[Code]:[Item]],2,FALSE)</f>
        <v>Superwossname</v>
      </c>
      <c r="P3437" s="4">
        <f>OrganizedData[[#This Row],[Quantity]]*VLOOKUP(OrganizedData[[#This Row],[Product Code]],ProductData[],4,FALSE)</f>
        <v>720</v>
      </c>
      <c r="Q3437" s="6">
        <f>OrganizedData[[#This Row],[Total Items Ordered]]*VLOOKUP(OrganizedData[[#This Row],[Product Code]],ProductData[],3,FALSE)</f>
        <v>2512.8000000000002</v>
      </c>
      <c r="R34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2437.4160000000002</v>
      </c>
    </row>
    <row r="3438" spans="1:18" x14ac:dyDescent="0.3">
      <c r="A3438" s="2">
        <v>3431</v>
      </c>
      <c r="B3438" s="2" t="s">
        <v>7657</v>
      </c>
      <c r="C3438" s="2" t="s">
        <v>5211</v>
      </c>
      <c r="D3438" s="2" t="s">
        <v>28</v>
      </c>
      <c r="E3438" s="2" t="s">
        <v>29</v>
      </c>
      <c r="F3438" s="2">
        <v>30</v>
      </c>
      <c r="G3438" s="2" t="s">
        <v>8202</v>
      </c>
      <c r="H3438" s="2" t="s">
        <v>3673</v>
      </c>
      <c r="I3438" s="2" t="s">
        <v>777</v>
      </c>
      <c r="J3438" s="3">
        <v>44036</v>
      </c>
      <c r="K3438" s="5">
        <f>YEAR(OrganizedData[[#This Row],[Order Date]])</f>
        <v>2020</v>
      </c>
      <c r="L3438" s="7" t="str">
        <f>TEXT(OrganizedData[[#This Row],[Order Date]],"mmm")</f>
        <v>Jul</v>
      </c>
      <c r="M3438" s="2">
        <v>44</v>
      </c>
      <c r="N3438" s="2" t="s">
        <v>54</v>
      </c>
      <c r="O3438" s="2" t="str">
        <f>VLOOKUP(OrganizedData[[#This Row],[Product Code]],ProductData[[Code]:[Item]],2,FALSE)</f>
        <v>Megawidget S</v>
      </c>
      <c r="P3438" s="4">
        <f>OrganizedData[[#This Row],[Quantity]]*VLOOKUP(OrganizedData[[#This Row],[Product Code]],ProductData[],4,FALSE)</f>
        <v>1056</v>
      </c>
      <c r="Q3438" s="6">
        <f>OrganizedData[[#This Row],[Total Items Ordered]]*VLOOKUP(OrganizedData[[#This Row],[Product Code]],ProductData[],3,FALSE)</f>
        <v>728.64</v>
      </c>
      <c r="R34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3439" spans="1:18" x14ac:dyDescent="0.3">
      <c r="A3439" s="2">
        <v>3432</v>
      </c>
      <c r="B3439" s="2" t="s">
        <v>8203</v>
      </c>
      <c r="C3439" s="2" t="s">
        <v>1826</v>
      </c>
      <c r="D3439" s="2" t="s">
        <v>28</v>
      </c>
      <c r="E3439" s="2" t="s">
        <v>29</v>
      </c>
      <c r="F3439" s="2">
        <v>60</v>
      </c>
      <c r="G3439" s="2" t="s">
        <v>8204</v>
      </c>
      <c r="H3439" s="2" t="s">
        <v>8205</v>
      </c>
      <c r="I3439" s="2" t="s">
        <v>25</v>
      </c>
      <c r="J3439" s="3">
        <v>44855</v>
      </c>
      <c r="K3439" s="5">
        <f>YEAR(OrganizedData[[#This Row],[Order Date]])</f>
        <v>2022</v>
      </c>
      <c r="L3439" s="7" t="str">
        <f>TEXT(OrganizedData[[#This Row],[Order Date]],"mmm")</f>
        <v>Oct</v>
      </c>
      <c r="M3439" s="2">
        <v>17</v>
      </c>
      <c r="N3439" s="2" t="s">
        <v>39</v>
      </c>
      <c r="O3439" s="2" t="str">
        <f>VLOOKUP(OrganizedData[[#This Row],[Product Code]],ProductData[[Code]:[Item]],2,FALSE)</f>
        <v>Ultrathing V1</v>
      </c>
      <c r="P3439" s="4">
        <f>OrganizedData[[#This Row],[Quantity]]*VLOOKUP(OrganizedData[[#This Row],[Product Code]],ProductData[],4,FALSE)</f>
        <v>289</v>
      </c>
      <c r="Q3439" s="6">
        <f>OrganizedData[[#This Row],[Total Items Ordered]]*VLOOKUP(OrganizedData[[#This Row],[Product Code]],ProductData[],3,FALSE)</f>
        <v>517.31000000000006</v>
      </c>
      <c r="R34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517.31000000000006</v>
      </c>
    </row>
    <row r="3440" spans="1:18" x14ac:dyDescent="0.3">
      <c r="A3440" s="2">
        <v>3433</v>
      </c>
      <c r="B3440" s="2" t="s">
        <v>3370</v>
      </c>
      <c r="C3440" s="2" t="s">
        <v>551</v>
      </c>
      <c r="D3440" s="2" t="s">
        <v>28</v>
      </c>
      <c r="E3440" s="2" t="s">
        <v>29</v>
      </c>
      <c r="F3440" s="2">
        <v>60</v>
      </c>
      <c r="G3440" s="2" t="s">
        <v>10551</v>
      </c>
      <c r="H3440" s="2" t="s">
        <v>1937</v>
      </c>
      <c r="I3440" s="2" t="s">
        <v>25</v>
      </c>
      <c r="J3440" s="3">
        <v>44769</v>
      </c>
      <c r="K3440" s="5">
        <f>YEAR(OrganizedData[[#This Row],[Order Date]])</f>
        <v>2022</v>
      </c>
      <c r="L3440" s="7" t="str">
        <f>TEXT(OrganizedData[[#This Row],[Order Date]],"mmm")</f>
        <v>Jul</v>
      </c>
      <c r="M3440" s="2">
        <v>87</v>
      </c>
      <c r="N3440" s="2" t="s">
        <v>80</v>
      </c>
      <c r="O3440" s="2" t="str">
        <f>VLOOKUP(OrganizedData[[#This Row],[Product Code]],ProductData[[Code]:[Item]],2,FALSE)</f>
        <v>Ultrathing V2</v>
      </c>
      <c r="P3440" s="4">
        <f>OrganizedData[[#This Row],[Quantity]]*VLOOKUP(OrganizedData[[#This Row],[Product Code]],ProductData[],4,FALSE)</f>
        <v>1740</v>
      </c>
      <c r="Q3440" s="6">
        <f>OrganizedData[[#This Row],[Total Items Ordered]]*VLOOKUP(OrganizedData[[#This Row],[Product Code]],ProductData[],3,FALSE)</f>
        <v>5133</v>
      </c>
      <c r="R34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4876.3499999999995</v>
      </c>
    </row>
    <row r="3441" spans="1:18" x14ac:dyDescent="0.3">
      <c r="A3441" s="2">
        <v>3434</v>
      </c>
      <c r="B3441" s="2" t="s">
        <v>835</v>
      </c>
      <c r="C3441" s="2" t="s">
        <v>3019</v>
      </c>
      <c r="D3441" s="2" t="s">
        <v>51</v>
      </c>
      <c r="E3441" s="2" t="s">
        <v>16</v>
      </c>
      <c r="F3441" s="2">
        <v>30</v>
      </c>
      <c r="G3441" s="2" t="s">
        <v>8207</v>
      </c>
      <c r="H3441" s="2" t="s">
        <v>8030</v>
      </c>
      <c r="I3441" s="2" t="s">
        <v>32</v>
      </c>
      <c r="J3441" s="3">
        <v>44223</v>
      </c>
      <c r="K3441" s="5">
        <f>YEAR(OrganizedData[[#This Row],[Order Date]])</f>
        <v>2021</v>
      </c>
      <c r="L3441" s="7" t="str">
        <f>TEXT(OrganizedData[[#This Row],[Order Date]],"mmm")</f>
        <v>Jan</v>
      </c>
      <c r="M3441" s="2">
        <v>78</v>
      </c>
      <c r="N3441" s="2" t="s">
        <v>80</v>
      </c>
      <c r="O3441" s="2" t="str">
        <f>VLOOKUP(OrganizedData[[#This Row],[Product Code]],ProductData[[Code]:[Item]],2,FALSE)</f>
        <v>Ultrathing V2</v>
      </c>
      <c r="P3441" s="4">
        <f>OrganizedData[[#This Row],[Quantity]]*VLOOKUP(OrganizedData[[#This Row],[Product Code]],ProductData[],4,FALSE)</f>
        <v>1560</v>
      </c>
      <c r="Q3441" s="6">
        <f>OrganizedData[[#This Row],[Total Items Ordered]]*VLOOKUP(OrganizedData[[#This Row],[Product Code]],ProductData[],3,FALSE)</f>
        <v>4602</v>
      </c>
      <c r="R34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3442" spans="1:18" x14ac:dyDescent="0.3">
      <c r="A3442" s="2">
        <v>3435</v>
      </c>
      <c r="B3442" s="2" t="s">
        <v>8208</v>
      </c>
      <c r="C3442" s="2" t="s">
        <v>8209</v>
      </c>
      <c r="D3442" s="2" t="s">
        <v>15</v>
      </c>
      <c r="E3442" s="2" t="s">
        <v>16</v>
      </c>
      <c r="F3442" s="2">
        <v>30</v>
      </c>
      <c r="G3442" s="2" t="s">
        <v>8210</v>
      </c>
      <c r="H3442" s="2" t="s">
        <v>1042</v>
      </c>
      <c r="I3442" s="2" t="s">
        <v>32</v>
      </c>
      <c r="J3442" s="3">
        <v>44541</v>
      </c>
      <c r="K3442" s="5">
        <f>YEAR(OrganizedData[[#This Row],[Order Date]])</f>
        <v>2021</v>
      </c>
      <c r="L3442" s="7" t="str">
        <f>TEXT(OrganizedData[[#This Row],[Order Date]],"mmm")</f>
        <v>Dec</v>
      </c>
      <c r="M3442" s="2">
        <v>32</v>
      </c>
      <c r="N3442" s="2" t="s">
        <v>20</v>
      </c>
      <c r="O3442" s="2" t="str">
        <f>VLOOKUP(OrganizedData[[#This Row],[Product Code]],ProductData[[Code]:[Item]],2,FALSE)</f>
        <v>Hyperwotsit</v>
      </c>
      <c r="P3442" s="4">
        <f>OrganizedData[[#This Row],[Quantity]]*VLOOKUP(OrganizedData[[#This Row],[Product Code]],ProductData[],4,FALSE)</f>
        <v>640</v>
      </c>
      <c r="Q3442" s="6">
        <f>OrganizedData[[#This Row],[Total Items Ordered]]*VLOOKUP(OrganizedData[[#This Row],[Product Code]],ProductData[],3,FALSE)</f>
        <v>1286.3999999999999</v>
      </c>
      <c r="R34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3443" spans="1:18" x14ac:dyDescent="0.3">
      <c r="A3443" s="2">
        <v>3436</v>
      </c>
      <c r="B3443" s="2" t="s">
        <v>8211</v>
      </c>
      <c r="C3443" s="2" t="s">
        <v>2874</v>
      </c>
      <c r="D3443" s="2" t="s">
        <v>28</v>
      </c>
      <c r="E3443" s="2" t="s">
        <v>29</v>
      </c>
      <c r="F3443" s="2">
        <v>30</v>
      </c>
      <c r="G3443" s="2" t="s">
        <v>8212</v>
      </c>
      <c r="H3443" s="2" t="s">
        <v>8000</v>
      </c>
      <c r="I3443" s="2" t="s">
        <v>32</v>
      </c>
      <c r="J3443" s="3">
        <v>44299</v>
      </c>
      <c r="K3443" s="5">
        <f>YEAR(OrganizedData[[#This Row],[Order Date]])</f>
        <v>2021</v>
      </c>
      <c r="L3443" s="7" t="str">
        <f>TEXT(OrganizedData[[#This Row],[Order Date]],"mmm")</f>
        <v>Apr</v>
      </c>
      <c r="M3443" s="2">
        <v>84</v>
      </c>
      <c r="N3443" s="2" t="s">
        <v>45</v>
      </c>
      <c r="O3443" s="2" t="str">
        <f>VLOOKUP(OrganizedData[[#This Row],[Product Code]],ProductData[[Code]:[Item]],2,FALSE)</f>
        <v>Gigastuff</v>
      </c>
      <c r="P3443" s="4">
        <f>OrganizedData[[#This Row],[Quantity]]*VLOOKUP(OrganizedData[[#This Row],[Product Code]],ProductData[],4,FALSE)</f>
        <v>1512</v>
      </c>
      <c r="Q3443" s="6">
        <f>OrganizedData[[#This Row],[Total Items Ordered]]*VLOOKUP(OrganizedData[[#This Row],[Product Code]],ProductData[],3,FALSE)</f>
        <v>2857.68</v>
      </c>
      <c r="R34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3444" spans="1:18" x14ac:dyDescent="0.3">
      <c r="A3444" s="2">
        <v>3437</v>
      </c>
      <c r="B3444" s="2" t="s">
        <v>4909</v>
      </c>
      <c r="C3444" s="2" t="s">
        <v>4574</v>
      </c>
      <c r="D3444" s="2" t="s">
        <v>51</v>
      </c>
      <c r="E3444" s="2" t="s">
        <v>16</v>
      </c>
      <c r="F3444" s="2">
        <v>90</v>
      </c>
      <c r="G3444" s="2" t="s">
        <v>8213</v>
      </c>
      <c r="H3444" s="2" t="s">
        <v>191</v>
      </c>
      <c r="I3444" s="2" t="s">
        <v>89</v>
      </c>
      <c r="J3444" s="3">
        <v>44215</v>
      </c>
      <c r="K3444" s="5">
        <f>YEAR(OrganizedData[[#This Row],[Order Date]])</f>
        <v>2021</v>
      </c>
      <c r="L3444" s="7" t="str">
        <f>TEXT(OrganizedData[[#This Row],[Order Date]],"mmm")</f>
        <v>Jan</v>
      </c>
      <c r="M3444" s="2">
        <v>64</v>
      </c>
      <c r="N3444" s="2" t="s">
        <v>101</v>
      </c>
      <c r="O3444" s="2" t="str">
        <f>VLOOKUP(OrganizedData[[#This Row],[Product Code]],ProductData[[Code]:[Item]],2,FALSE)</f>
        <v>Superwossname</v>
      </c>
      <c r="P3444" s="4">
        <f>OrganizedData[[#This Row],[Quantity]]*VLOOKUP(OrganizedData[[#This Row],[Product Code]],ProductData[],4,FALSE)</f>
        <v>1280</v>
      </c>
      <c r="Q3444" s="6">
        <f>OrganizedData[[#This Row],[Total Items Ordered]]*VLOOKUP(OrganizedData[[#This Row],[Product Code]],ProductData[],3,FALSE)</f>
        <v>4467.2000000000007</v>
      </c>
      <c r="R34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3445" spans="1:18" x14ac:dyDescent="0.3">
      <c r="A3445" s="2">
        <v>3438</v>
      </c>
      <c r="B3445" s="2" t="s">
        <v>8214</v>
      </c>
      <c r="C3445" s="2" t="s">
        <v>1810</v>
      </c>
      <c r="D3445" s="2" t="s">
        <v>15</v>
      </c>
      <c r="E3445" s="2" t="s">
        <v>16</v>
      </c>
      <c r="F3445" s="2">
        <v>90</v>
      </c>
      <c r="G3445" s="2" t="s">
        <v>8213</v>
      </c>
      <c r="H3445" s="2" t="s">
        <v>4874</v>
      </c>
      <c r="I3445" s="2" t="s">
        <v>32</v>
      </c>
      <c r="J3445" s="3">
        <v>44339</v>
      </c>
      <c r="K3445" s="5">
        <f>YEAR(OrganizedData[[#This Row],[Order Date]])</f>
        <v>2021</v>
      </c>
      <c r="L3445" s="7" t="str">
        <f>TEXT(OrganizedData[[#This Row],[Order Date]],"mmm")</f>
        <v>May</v>
      </c>
      <c r="M3445" s="2">
        <v>28</v>
      </c>
      <c r="N3445" s="2" t="s">
        <v>101</v>
      </c>
      <c r="O3445" s="2" t="str">
        <f>VLOOKUP(OrganizedData[[#This Row],[Product Code]],ProductData[[Code]:[Item]],2,FALSE)</f>
        <v>Superwossname</v>
      </c>
      <c r="P3445" s="4">
        <f>OrganizedData[[#This Row],[Quantity]]*VLOOKUP(OrganizedData[[#This Row],[Product Code]],ProductData[],4,FALSE)</f>
        <v>560</v>
      </c>
      <c r="Q3445" s="6">
        <f>OrganizedData[[#This Row],[Total Items Ordered]]*VLOOKUP(OrganizedData[[#This Row],[Product Code]],ProductData[],3,FALSE)</f>
        <v>1954.4</v>
      </c>
      <c r="R34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3446" spans="1:18" x14ac:dyDescent="0.3">
      <c r="A3446" s="2">
        <v>3439</v>
      </c>
      <c r="B3446" s="2" t="s">
        <v>3443</v>
      </c>
      <c r="C3446" s="2" t="s">
        <v>6314</v>
      </c>
      <c r="D3446" s="2" t="s">
        <v>28</v>
      </c>
      <c r="E3446" s="2" t="s">
        <v>29</v>
      </c>
      <c r="F3446" s="2">
        <v>90</v>
      </c>
      <c r="G3446" s="2" t="s">
        <v>8215</v>
      </c>
      <c r="H3446" s="2" t="s">
        <v>726</v>
      </c>
      <c r="I3446" s="2" t="s">
        <v>32</v>
      </c>
      <c r="J3446" s="3">
        <v>44301</v>
      </c>
      <c r="K3446" s="5">
        <f>YEAR(OrganizedData[[#This Row],[Order Date]])</f>
        <v>2021</v>
      </c>
      <c r="L3446" s="7" t="str">
        <f>TEXT(OrganizedData[[#This Row],[Order Date]],"mmm")</f>
        <v>Apr</v>
      </c>
      <c r="M3446" s="2">
        <v>90</v>
      </c>
      <c r="N3446" s="2" t="s">
        <v>20</v>
      </c>
      <c r="O3446" s="2" t="str">
        <f>VLOOKUP(OrganizedData[[#This Row],[Product Code]],ProductData[[Code]:[Item]],2,FALSE)</f>
        <v>Hyperwotsit</v>
      </c>
      <c r="P3446" s="4">
        <f>OrganizedData[[#This Row],[Quantity]]*VLOOKUP(OrganizedData[[#This Row],[Product Code]],ProductData[],4,FALSE)</f>
        <v>1800</v>
      </c>
      <c r="Q3446" s="6">
        <f>OrganizedData[[#This Row],[Total Items Ordered]]*VLOOKUP(OrganizedData[[#This Row],[Product Code]],ProductData[],3,FALSE)</f>
        <v>3617.9999999999995</v>
      </c>
      <c r="R34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3437.0999999999995</v>
      </c>
    </row>
    <row r="3447" spans="1:18" x14ac:dyDescent="0.3">
      <c r="A3447" s="2">
        <v>3440</v>
      </c>
      <c r="B3447" s="2" t="s">
        <v>8216</v>
      </c>
      <c r="C3447" s="2" t="s">
        <v>2453</v>
      </c>
      <c r="D3447" s="2" t="s">
        <v>41</v>
      </c>
      <c r="E3447" s="2" t="s">
        <v>16</v>
      </c>
      <c r="F3447" s="2">
        <v>90</v>
      </c>
      <c r="G3447" s="2" t="s">
        <v>8217</v>
      </c>
      <c r="H3447" s="2" t="s">
        <v>7343</v>
      </c>
      <c r="I3447" s="2" t="s">
        <v>1126</v>
      </c>
      <c r="J3447" s="3">
        <v>44704</v>
      </c>
      <c r="K3447" s="5">
        <f>YEAR(OrganizedData[[#This Row],[Order Date]])</f>
        <v>2022</v>
      </c>
      <c r="L3447" s="7" t="str">
        <f>TEXT(OrganizedData[[#This Row],[Order Date]],"mmm")</f>
        <v>May</v>
      </c>
      <c r="M3447" s="2">
        <v>77</v>
      </c>
      <c r="N3447" s="2" t="s">
        <v>39</v>
      </c>
      <c r="O3447" s="2" t="str">
        <f>VLOOKUP(OrganizedData[[#This Row],[Product Code]],ProductData[[Code]:[Item]],2,FALSE)</f>
        <v>Ultrathing V1</v>
      </c>
      <c r="P3447" s="4">
        <f>OrganizedData[[#This Row],[Quantity]]*VLOOKUP(OrganizedData[[#This Row],[Product Code]],ProductData[],4,FALSE)</f>
        <v>1309</v>
      </c>
      <c r="Q3447" s="6">
        <f>OrganizedData[[#This Row],[Total Items Ordered]]*VLOOKUP(OrganizedData[[#This Row],[Product Code]],ProductData[],3,FALSE)</f>
        <v>2343.11</v>
      </c>
      <c r="R34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3448" spans="1:18" x14ac:dyDescent="0.3">
      <c r="A3448" s="2">
        <v>3441</v>
      </c>
      <c r="B3448" s="2" t="s">
        <v>3003</v>
      </c>
      <c r="C3448" s="2" t="s">
        <v>6216</v>
      </c>
      <c r="D3448" s="2" t="s">
        <v>51</v>
      </c>
      <c r="E3448" s="2" t="s">
        <v>16</v>
      </c>
      <c r="F3448" s="2">
        <v>60</v>
      </c>
      <c r="G3448" s="2" t="s">
        <v>8218</v>
      </c>
      <c r="H3448" s="2" t="s">
        <v>6</v>
      </c>
      <c r="I3448" s="2" t="s">
        <v>32</v>
      </c>
      <c r="J3448" s="3">
        <v>43840</v>
      </c>
      <c r="K3448" s="5">
        <f>YEAR(OrganizedData[[#This Row],[Order Date]])</f>
        <v>2020</v>
      </c>
      <c r="L3448" s="7" t="str">
        <f>TEXT(OrganizedData[[#This Row],[Order Date]],"mmm")</f>
        <v>Jan</v>
      </c>
      <c r="M3448" s="2">
        <v>19</v>
      </c>
      <c r="N3448" s="2" t="s">
        <v>64</v>
      </c>
      <c r="O3448" s="2" t="str">
        <f>VLOOKUP(OrganizedData[[#This Row],[Product Code]],ProductData[[Code]:[Item]],2,FALSE)</f>
        <v>Ultrathing V4</v>
      </c>
      <c r="P3448" s="4">
        <f>OrganizedData[[#This Row],[Quantity]]*VLOOKUP(OrganizedData[[#This Row],[Product Code]],ProductData[],4,FALSE)</f>
        <v>456</v>
      </c>
      <c r="Q3448" s="6">
        <f>OrganizedData[[#This Row],[Total Items Ordered]]*VLOOKUP(OrganizedData[[#This Row],[Product Code]],ProductData[],3,FALSE)</f>
        <v>1819.44</v>
      </c>
      <c r="R34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3449" spans="1:18" x14ac:dyDescent="0.3">
      <c r="A3449" s="2">
        <v>3442</v>
      </c>
      <c r="B3449" s="2" t="s">
        <v>8219</v>
      </c>
      <c r="C3449" s="2" t="s">
        <v>6789</v>
      </c>
      <c r="D3449" s="2" t="s">
        <v>15</v>
      </c>
      <c r="E3449" s="2" t="s">
        <v>16</v>
      </c>
      <c r="F3449" s="2">
        <v>30</v>
      </c>
      <c r="G3449" s="2" t="s">
        <v>8220</v>
      </c>
      <c r="H3449" s="2" t="s">
        <v>7642</v>
      </c>
      <c r="I3449" s="2" t="s">
        <v>32</v>
      </c>
      <c r="J3449" s="3">
        <v>43985</v>
      </c>
      <c r="K3449" s="5">
        <f>YEAR(OrganizedData[[#This Row],[Order Date]])</f>
        <v>2020</v>
      </c>
      <c r="L3449" s="7" t="str">
        <f>TEXT(OrganizedData[[#This Row],[Order Date]],"mmm")</f>
        <v>Jun</v>
      </c>
      <c r="M3449" s="2">
        <v>6</v>
      </c>
      <c r="N3449" s="2" t="s">
        <v>159</v>
      </c>
      <c r="O3449" s="2" t="str">
        <f>VLOOKUP(OrganizedData[[#This Row],[Product Code]],ProductData[[Code]:[Item]],2,FALSE)</f>
        <v>Ultrathing V3</v>
      </c>
      <c r="P3449" s="4">
        <f>OrganizedData[[#This Row],[Quantity]]*VLOOKUP(OrganizedData[[#This Row],[Product Code]],ProductData[],4,FALSE)</f>
        <v>144</v>
      </c>
      <c r="Q3449" s="6">
        <f>OrganizedData[[#This Row],[Total Items Ordered]]*VLOOKUP(OrganizedData[[#This Row],[Product Code]],ProductData[],3,FALSE)</f>
        <v>488.16</v>
      </c>
      <c r="R34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488.16</v>
      </c>
    </row>
    <row r="3450" spans="1:18" x14ac:dyDescent="0.3">
      <c r="A3450" s="2">
        <v>3443</v>
      </c>
      <c r="B3450" s="2" t="s">
        <v>8221</v>
      </c>
      <c r="C3450" s="2" t="s">
        <v>3413</v>
      </c>
      <c r="D3450" s="2" t="s">
        <v>15</v>
      </c>
      <c r="E3450" s="2" t="s">
        <v>16</v>
      </c>
      <c r="F3450" s="2">
        <v>90</v>
      </c>
      <c r="G3450" s="2" t="s">
        <v>8222</v>
      </c>
      <c r="H3450" s="2" t="s">
        <v>7700</v>
      </c>
      <c r="I3450" s="2" t="s">
        <v>32</v>
      </c>
      <c r="J3450" s="3">
        <v>44420</v>
      </c>
      <c r="K3450" s="5">
        <f>YEAR(OrganizedData[[#This Row],[Order Date]])</f>
        <v>2021</v>
      </c>
      <c r="L3450" s="7" t="str">
        <f>TEXT(OrganizedData[[#This Row],[Order Date]],"mmm")</f>
        <v>Aug</v>
      </c>
      <c r="M3450" s="2">
        <v>26</v>
      </c>
      <c r="N3450" s="2" t="s">
        <v>64</v>
      </c>
      <c r="O3450" s="2" t="str">
        <f>VLOOKUP(OrganizedData[[#This Row],[Product Code]],ProductData[[Code]:[Item]],2,FALSE)</f>
        <v>Ultrathing V4</v>
      </c>
      <c r="P3450" s="4">
        <f>OrganizedData[[#This Row],[Quantity]]*VLOOKUP(OrganizedData[[#This Row],[Product Code]],ProductData[],4,FALSE)</f>
        <v>624</v>
      </c>
      <c r="Q3450" s="6">
        <f>OrganizedData[[#This Row],[Total Items Ordered]]*VLOOKUP(OrganizedData[[#This Row],[Product Code]],ProductData[],3,FALSE)</f>
        <v>2489.7600000000002</v>
      </c>
      <c r="R34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3451" spans="1:18" x14ac:dyDescent="0.3">
      <c r="A3451" s="2">
        <v>3444</v>
      </c>
      <c r="B3451" s="2" t="s">
        <v>4803</v>
      </c>
      <c r="C3451" s="2" t="s">
        <v>372</v>
      </c>
      <c r="D3451" s="2" t="s">
        <v>28</v>
      </c>
      <c r="E3451" s="2" t="s">
        <v>29</v>
      </c>
      <c r="F3451" s="2">
        <v>60</v>
      </c>
      <c r="G3451" s="2" t="s">
        <v>8223</v>
      </c>
      <c r="H3451" s="2" t="s">
        <v>1541</v>
      </c>
      <c r="I3451" s="2" t="s">
        <v>32</v>
      </c>
      <c r="J3451" s="3">
        <v>44739</v>
      </c>
      <c r="K3451" s="5">
        <f>YEAR(OrganizedData[[#This Row],[Order Date]])</f>
        <v>2022</v>
      </c>
      <c r="L3451" s="7" t="str">
        <f>TEXT(OrganizedData[[#This Row],[Order Date]],"mmm")</f>
        <v>Jun</v>
      </c>
      <c r="M3451" s="2">
        <v>36</v>
      </c>
      <c r="N3451" s="2" t="s">
        <v>101</v>
      </c>
      <c r="O3451" s="2" t="str">
        <f>VLOOKUP(OrganizedData[[#This Row],[Product Code]],ProductData[[Code]:[Item]],2,FALSE)</f>
        <v>Superwossname</v>
      </c>
      <c r="P3451" s="4">
        <f>OrganizedData[[#This Row],[Quantity]]*VLOOKUP(OrganizedData[[#This Row],[Product Code]],ProductData[],4,FALSE)</f>
        <v>720</v>
      </c>
      <c r="Q3451" s="6">
        <f>OrganizedData[[#This Row],[Total Items Ordered]]*VLOOKUP(OrganizedData[[#This Row],[Product Code]],ProductData[],3,FALSE)</f>
        <v>2512.8000000000002</v>
      </c>
      <c r="R34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2437.4160000000002</v>
      </c>
    </row>
    <row r="3452" spans="1:18" x14ac:dyDescent="0.3">
      <c r="A3452" s="2">
        <v>3445</v>
      </c>
      <c r="B3452" s="2" t="s">
        <v>364</v>
      </c>
      <c r="C3452" s="2" t="s">
        <v>5100</v>
      </c>
      <c r="D3452" s="2" t="s">
        <v>15</v>
      </c>
      <c r="E3452" s="2" t="s">
        <v>16</v>
      </c>
      <c r="F3452" s="2">
        <v>90</v>
      </c>
      <c r="G3452" s="2" t="s">
        <v>8224</v>
      </c>
      <c r="H3452" s="2" t="s">
        <v>2875</v>
      </c>
      <c r="I3452" s="2" t="s">
        <v>32</v>
      </c>
      <c r="J3452" s="3">
        <v>44315</v>
      </c>
      <c r="K3452" s="5">
        <f>YEAR(OrganizedData[[#This Row],[Order Date]])</f>
        <v>2021</v>
      </c>
      <c r="L3452" s="7" t="str">
        <f>TEXT(OrganizedData[[#This Row],[Order Date]],"mmm")</f>
        <v>Apr</v>
      </c>
      <c r="M3452" s="2">
        <v>79</v>
      </c>
      <c r="N3452" s="2" t="s">
        <v>54</v>
      </c>
      <c r="O3452" s="2" t="str">
        <f>VLOOKUP(OrganizedData[[#This Row],[Product Code]],ProductData[[Code]:[Item]],2,FALSE)</f>
        <v>Megawidget S</v>
      </c>
      <c r="P3452" s="4">
        <f>OrganizedData[[#This Row],[Quantity]]*VLOOKUP(OrganizedData[[#This Row],[Product Code]],ProductData[],4,FALSE)</f>
        <v>1896</v>
      </c>
      <c r="Q3452" s="6">
        <f>OrganizedData[[#This Row],[Total Items Ordered]]*VLOOKUP(OrganizedData[[#This Row],[Product Code]],ProductData[],3,FALSE)</f>
        <v>1308.24</v>
      </c>
      <c r="R34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1242.828</v>
      </c>
    </row>
    <row r="3453" spans="1:18" x14ac:dyDescent="0.3">
      <c r="A3453" s="2">
        <v>3446</v>
      </c>
      <c r="B3453" s="2" t="s">
        <v>6401</v>
      </c>
      <c r="C3453" s="2" t="s">
        <v>4603</v>
      </c>
      <c r="D3453" s="2" t="s">
        <v>28</v>
      </c>
      <c r="E3453" s="2" t="s">
        <v>29</v>
      </c>
      <c r="F3453" s="2">
        <v>30</v>
      </c>
      <c r="G3453" s="2" t="s">
        <v>8225</v>
      </c>
      <c r="H3453" s="2" t="s">
        <v>2931</v>
      </c>
      <c r="I3453" s="2" t="s">
        <v>32</v>
      </c>
      <c r="J3453" s="3">
        <v>44803</v>
      </c>
      <c r="K3453" s="5">
        <f>YEAR(OrganizedData[[#This Row],[Order Date]])</f>
        <v>2022</v>
      </c>
      <c r="L3453" s="7" t="str">
        <f>TEXT(OrganizedData[[#This Row],[Order Date]],"mmm")</f>
        <v>Aug</v>
      </c>
      <c r="M3453" s="2">
        <v>94</v>
      </c>
      <c r="N3453" s="2" t="s">
        <v>80</v>
      </c>
      <c r="O3453" s="2" t="str">
        <f>VLOOKUP(OrganizedData[[#This Row],[Product Code]],ProductData[[Code]:[Item]],2,FALSE)</f>
        <v>Ultrathing V2</v>
      </c>
      <c r="P3453" s="4">
        <f>OrganizedData[[#This Row],[Quantity]]*VLOOKUP(OrganizedData[[#This Row],[Product Code]],ProductData[],4,FALSE)</f>
        <v>1880</v>
      </c>
      <c r="Q3453" s="6">
        <f>OrganizedData[[#This Row],[Total Items Ordered]]*VLOOKUP(OrganizedData[[#This Row],[Product Code]],ProductData[],3,FALSE)</f>
        <v>5546</v>
      </c>
      <c r="R34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5268.7</v>
      </c>
    </row>
    <row r="3454" spans="1:18" x14ac:dyDescent="0.3">
      <c r="A3454" s="2">
        <v>3447</v>
      </c>
      <c r="B3454" s="2" t="s">
        <v>8226</v>
      </c>
      <c r="C3454" s="2" t="s">
        <v>8227</v>
      </c>
      <c r="D3454" s="2" t="s">
        <v>15</v>
      </c>
      <c r="E3454" s="2" t="s">
        <v>16</v>
      </c>
      <c r="F3454" s="2">
        <v>30</v>
      </c>
      <c r="G3454" s="2" t="s">
        <v>8228</v>
      </c>
      <c r="H3454" s="2" t="s">
        <v>2599</v>
      </c>
      <c r="I3454" s="2" t="s">
        <v>25</v>
      </c>
      <c r="J3454" s="3">
        <v>43940</v>
      </c>
      <c r="K3454" s="5">
        <f>YEAR(OrganizedData[[#This Row],[Order Date]])</f>
        <v>2020</v>
      </c>
      <c r="L3454" s="7" t="str">
        <f>TEXT(OrganizedData[[#This Row],[Order Date]],"mmm")</f>
        <v>Apr</v>
      </c>
      <c r="M3454" s="2">
        <v>11</v>
      </c>
      <c r="N3454" s="2" t="s">
        <v>45</v>
      </c>
      <c r="O3454" s="2" t="str">
        <f>VLOOKUP(OrganizedData[[#This Row],[Product Code]],ProductData[[Code]:[Item]],2,FALSE)</f>
        <v>Gigastuff</v>
      </c>
      <c r="P3454" s="4">
        <f>OrganizedData[[#This Row],[Quantity]]*VLOOKUP(OrganizedData[[#This Row],[Product Code]],ProductData[],4,FALSE)</f>
        <v>198</v>
      </c>
      <c r="Q3454" s="6">
        <f>OrganizedData[[#This Row],[Total Items Ordered]]*VLOOKUP(OrganizedData[[#This Row],[Product Code]],ProductData[],3,FALSE)</f>
        <v>374.21999999999997</v>
      </c>
      <c r="R34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374.21999999999997</v>
      </c>
    </row>
    <row r="3455" spans="1:18" x14ac:dyDescent="0.3">
      <c r="A3455" s="2">
        <v>3448</v>
      </c>
      <c r="B3455" s="2" t="s">
        <v>8229</v>
      </c>
      <c r="C3455" s="2" t="s">
        <v>5332</v>
      </c>
      <c r="D3455" s="2" t="s">
        <v>15</v>
      </c>
      <c r="E3455" s="2" t="s">
        <v>16</v>
      </c>
      <c r="F3455" s="2">
        <v>60</v>
      </c>
      <c r="G3455" s="2" t="s">
        <v>8230</v>
      </c>
      <c r="H3455" s="2" t="s">
        <v>1082</v>
      </c>
      <c r="I3455" s="2" t="s">
        <v>1083</v>
      </c>
      <c r="J3455" s="3">
        <v>43971</v>
      </c>
      <c r="K3455" s="5">
        <f>YEAR(OrganizedData[[#This Row],[Order Date]])</f>
        <v>2020</v>
      </c>
      <c r="L3455" s="7" t="str">
        <f>TEXT(OrganizedData[[#This Row],[Order Date]],"mmm")</f>
        <v>May</v>
      </c>
      <c r="M3455" s="2">
        <v>64</v>
      </c>
      <c r="N3455" s="2" t="s">
        <v>20</v>
      </c>
      <c r="O3455" s="2" t="str">
        <f>VLOOKUP(OrganizedData[[#This Row],[Product Code]],ProductData[[Code]:[Item]],2,FALSE)</f>
        <v>Hyperwotsit</v>
      </c>
      <c r="P3455" s="4">
        <f>OrganizedData[[#This Row],[Quantity]]*VLOOKUP(OrganizedData[[#This Row],[Product Code]],ProductData[],4,FALSE)</f>
        <v>1280</v>
      </c>
      <c r="Q3455" s="6">
        <f>OrganizedData[[#This Row],[Total Items Ordered]]*VLOOKUP(OrganizedData[[#This Row],[Product Code]],ProductData[],3,FALSE)</f>
        <v>2572.7999999999997</v>
      </c>
      <c r="R34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2444.1599999999994</v>
      </c>
    </row>
    <row r="3456" spans="1:18" x14ac:dyDescent="0.3">
      <c r="A3456" s="2">
        <v>3449</v>
      </c>
      <c r="B3456" s="2" t="s">
        <v>1128</v>
      </c>
      <c r="C3456" s="2" t="s">
        <v>6296</v>
      </c>
      <c r="D3456" s="2" t="s">
        <v>28</v>
      </c>
      <c r="E3456" s="2" t="s">
        <v>29</v>
      </c>
      <c r="F3456" s="2">
        <v>30</v>
      </c>
      <c r="G3456" s="2" t="s">
        <v>8231</v>
      </c>
      <c r="H3456" s="2" t="s">
        <v>3666</v>
      </c>
      <c r="I3456" s="2" t="s">
        <v>1483</v>
      </c>
      <c r="J3456" s="3">
        <v>44497</v>
      </c>
      <c r="K3456" s="5">
        <f>YEAR(OrganizedData[[#This Row],[Order Date]])</f>
        <v>2021</v>
      </c>
      <c r="L3456" s="7" t="str">
        <f>TEXT(OrganizedData[[#This Row],[Order Date]],"mmm")</f>
        <v>Oct</v>
      </c>
      <c r="M3456" s="2">
        <v>56</v>
      </c>
      <c r="N3456" s="2" t="s">
        <v>101</v>
      </c>
      <c r="O3456" s="2" t="str">
        <f>VLOOKUP(OrganizedData[[#This Row],[Product Code]],ProductData[[Code]:[Item]],2,FALSE)</f>
        <v>Superwossname</v>
      </c>
      <c r="P3456" s="4">
        <f>OrganizedData[[#This Row],[Quantity]]*VLOOKUP(OrganizedData[[#This Row],[Product Code]],ProductData[],4,FALSE)</f>
        <v>1120</v>
      </c>
      <c r="Q3456" s="6">
        <f>OrganizedData[[#This Row],[Total Items Ordered]]*VLOOKUP(OrganizedData[[#This Row],[Product Code]],ProductData[],3,FALSE)</f>
        <v>3908.8</v>
      </c>
      <c r="R34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3713.36</v>
      </c>
    </row>
    <row r="3457" spans="1:18" x14ac:dyDescent="0.3">
      <c r="A3457" s="2">
        <v>3450</v>
      </c>
      <c r="B3457" s="2" t="s">
        <v>8232</v>
      </c>
      <c r="C3457" s="2" t="s">
        <v>2824</v>
      </c>
      <c r="D3457" s="2" t="s">
        <v>15</v>
      </c>
      <c r="E3457" s="2" t="s">
        <v>16</v>
      </c>
      <c r="F3457" s="2">
        <v>90</v>
      </c>
      <c r="G3457" s="2" t="s">
        <v>8233</v>
      </c>
      <c r="H3457" s="2" t="s">
        <v>1272</v>
      </c>
      <c r="I3457" s="2" t="s">
        <v>59</v>
      </c>
      <c r="J3457" s="3">
        <v>44415</v>
      </c>
      <c r="K3457" s="5">
        <f>YEAR(OrganizedData[[#This Row],[Order Date]])</f>
        <v>2021</v>
      </c>
      <c r="L3457" s="7" t="str">
        <f>TEXT(OrganizedData[[#This Row],[Order Date]],"mmm")</f>
        <v>Aug</v>
      </c>
      <c r="M3457" s="2">
        <v>53</v>
      </c>
      <c r="N3457" s="2" t="s">
        <v>159</v>
      </c>
      <c r="O3457" s="2" t="str">
        <f>VLOOKUP(OrganizedData[[#This Row],[Product Code]],ProductData[[Code]:[Item]],2,FALSE)</f>
        <v>Ultrathing V3</v>
      </c>
      <c r="P3457" s="4">
        <f>OrganizedData[[#This Row],[Quantity]]*VLOOKUP(OrganizedData[[#This Row],[Product Code]],ProductData[],4,FALSE)</f>
        <v>1272</v>
      </c>
      <c r="Q3457" s="6">
        <f>OrganizedData[[#This Row],[Total Items Ordered]]*VLOOKUP(OrganizedData[[#This Row],[Product Code]],ProductData[],3,FALSE)</f>
        <v>4312.08</v>
      </c>
      <c r="R34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4096.4759999999997</v>
      </c>
    </row>
    <row r="3458" spans="1:18" x14ac:dyDescent="0.3">
      <c r="A3458" s="2">
        <v>3451</v>
      </c>
      <c r="B3458" s="2" t="s">
        <v>5737</v>
      </c>
      <c r="C3458" s="2" t="s">
        <v>4583</v>
      </c>
      <c r="D3458" s="2" t="s">
        <v>28</v>
      </c>
      <c r="E3458" s="2" t="s">
        <v>29</v>
      </c>
      <c r="F3458" s="2">
        <v>90</v>
      </c>
      <c r="G3458" s="2" t="s">
        <v>8234</v>
      </c>
      <c r="H3458" s="2" t="s">
        <v>2408</v>
      </c>
      <c r="I3458" s="2" t="s">
        <v>187</v>
      </c>
      <c r="J3458" s="3">
        <v>44347</v>
      </c>
      <c r="K3458" s="5">
        <f>YEAR(OrganizedData[[#This Row],[Order Date]])</f>
        <v>2021</v>
      </c>
      <c r="L3458" s="7" t="str">
        <f>TEXT(OrganizedData[[#This Row],[Order Date]],"mmm")</f>
        <v>May</v>
      </c>
      <c r="M3458" s="2">
        <v>62</v>
      </c>
      <c r="N3458" s="2" t="s">
        <v>101</v>
      </c>
      <c r="O3458" s="2" t="str">
        <f>VLOOKUP(OrganizedData[[#This Row],[Product Code]],ProductData[[Code]:[Item]],2,FALSE)</f>
        <v>Superwossname</v>
      </c>
      <c r="P3458" s="4">
        <f>OrganizedData[[#This Row],[Quantity]]*VLOOKUP(OrganizedData[[#This Row],[Product Code]],ProductData[],4,FALSE)</f>
        <v>1240</v>
      </c>
      <c r="Q3458" s="6">
        <f>OrganizedData[[#This Row],[Total Items Ordered]]*VLOOKUP(OrganizedData[[#This Row],[Product Code]],ProductData[],3,FALSE)</f>
        <v>4327.6000000000004</v>
      </c>
      <c r="R34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4111.22</v>
      </c>
    </row>
    <row r="3459" spans="1:18" x14ac:dyDescent="0.3">
      <c r="A3459" s="2">
        <v>3452</v>
      </c>
      <c r="B3459" s="2" t="s">
        <v>3946</v>
      </c>
      <c r="C3459" s="2" t="s">
        <v>2561</v>
      </c>
      <c r="D3459" s="2" t="s">
        <v>28</v>
      </c>
      <c r="E3459" s="2" t="s">
        <v>29</v>
      </c>
      <c r="F3459" s="2">
        <v>30</v>
      </c>
      <c r="G3459" s="2" t="s">
        <v>8235</v>
      </c>
      <c r="H3459" s="2" t="s">
        <v>5420</v>
      </c>
      <c r="I3459" s="2" t="s">
        <v>32</v>
      </c>
      <c r="J3459" s="3">
        <v>43939</v>
      </c>
      <c r="K3459" s="5">
        <f>YEAR(OrganizedData[[#This Row],[Order Date]])</f>
        <v>2020</v>
      </c>
      <c r="L3459" s="7" t="str">
        <f>TEXT(OrganizedData[[#This Row],[Order Date]],"mmm")</f>
        <v>Apr</v>
      </c>
      <c r="M3459" s="2">
        <v>39</v>
      </c>
      <c r="N3459" s="2" t="s">
        <v>33</v>
      </c>
      <c r="O3459" s="2" t="str">
        <f>VLOOKUP(OrganizedData[[#This Row],[Product Code]],ProductData[[Code]:[Item]],2,FALSE)</f>
        <v>Megawidget L</v>
      </c>
      <c r="P3459" s="4">
        <f>OrganizedData[[#This Row],[Quantity]]*VLOOKUP(OrganizedData[[#This Row],[Product Code]],ProductData[],4,FALSE)</f>
        <v>936</v>
      </c>
      <c r="Q3459" s="6">
        <f>OrganizedData[[#This Row],[Total Items Ordered]]*VLOOKUP(OrganizedData[[#This Row],[Product Code]],ProductData[],3,FALSE)</f>
        <v>1675.44</v>
      </c>
      <c r="R34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1625.1768</v>
      </c>
    </row>
    <row r="3460" spans="1:18" x14ac:dyDescent="0.3">
      <c r="A3460" s="2">
        <v>3453</v>
      </c>
      <c r="B3460" s="2" t="s">
        <v>496</v>
      </c>
      <c r="C3460" s="2" t="s">
        <v>2928</v>
      </c>
      <c r="D3460" s="2" t="s">
        <v>28</v>
      </c>
      <c r="E3460" s="2" t="s">
        <v>29</v>
      </c>
      <c r="F3460" s="2">
        <v>90</v>
      </c>
      <c r="G3460" s="2" t="s">
        <v>3222</v>
      </c>
      <c r="H3460" s="2" t="s">
        <v>5736</v>
      </c>
      <c r="I3460" s="2" t="s">
        <v>95</v>
      </c>
      <c r="J3460" s="3">
        <v>44246</v>
      </c>
      <c r="K3460" s="5">
        <f>YEAR(OrganizedData[[#This Row],[Order Date]])</f>
        <v>2021</v>
      </c>
      <c r="L3460" s="7" t="str">
        <f>TEXT(OrganizedData[[#This Row],[Order Date]],"mmm")</f>
        <v>Feb</v>
      </c>
      <c r="M3460" s="2">
        <v>73</v>
      </c>
      <c r="N3460" s="2" t="s">
        <v>64</v>
      </c>
      <c r="O3460" s="2" t="str">
        <f>VLOOKUP(OrganizedData[[#This Row],[Product Code]],ProductData[[Code]:[Item]],2,FALSE)</f>
        <v>Ultrathing V4</v>
      </c>
      <c r="P3460" s="4">
        <f>OrganizedData[[#This Row],[Quantity]]*VLOOKUP(OrganizedData[[#This Row],[Product Code]],ProductData[],4,FALSE)</f>
        <v>1752</v>
      </c>
      <c r="Q3460" s="6">
        <f>OrganizedData[[#This Row],[Total Items Ordered]]*VLOOKUP(OrganizedData[[#This Row],[Product Code]],ProductData[],3,FALSE)</f>
        <v>6990.4800000000005</v>
      </c>
      <c r="R34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6640.9560000000001</v>
      </c>
    </row>
    <row r="3461" spans="1:18" x14ac:dyDescent="0.3">
      <c r="A3461" s="2">
        <v>3454</v>
      </c>
      <c r="B3461" s="2" t="s">
        <v>7864</v>
      </c>
      <c r="C3461" s="2" t="s">
        <v>8236</v>
      </c>
      <c r="D3461" s="2" t="s">
        <v>51</v>
      </c>
      <c r="E3461" s="2" t="s">
        <v>16</v>
      </c>
      <c r="F3461" s="2">
        <v>60</v>
      </c>
      <c r="G3461" s="2" t="s">
        <v>8237</v>
      </c>
      <c r="H3461" s="2" t="s">
        <v>4293</v>
      </c>
      <c r="I3461" s="2" t="s">
        <v>38</v>
      </c>
      <c r="J3461" s="3">
        <v>44158</v>
      </c>
      <c r="K3461" s="5">
        <f>YEAR(OrganizedData[[#This Row],[Order Date]])</f>
        <v>2020</v>
      </c>
      <c r="L3461" s="7" t="str">
        <f>TEXT(OrganizedData[[#This Row],[Order Date]],"mmm")</f>
        <v>Nov</v>
      </c>
      <c r="M3461" s="2">
        <v>5</v>
      </c>
      <c r="N3461" s="2" t="s">
        <v>45</v>
      </c>
      <c r="O3461" s="2" t="str">
        <f>VLOOKUP(OrganizedData[[#This Row],[Product Code]],ProductData[[Code]:[Item]],2,FALSE)</f>
        <v>Gigastuff</v>
      </c>
      <c r="P3461" s="4">
        <f>OrganizedData[[#This Row],[Quantity]]*VLOOKUP(OrganizedData[[#This Row],[Product Code]],ProductData[],4,FALSE)</f>
        <v>90</v>
      </c>
      <c r="Q3461" s="6">
        <f>OrganizedData[[#This Row],[Total Items Ordered]]*VLOOKUP(OrganizedData[[#This Row],[Product Code]],ProductData[],3,FALSE)</f>
        <v>170.1</v>
      </c>
      <c r="R34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3462" spans="1:18" x14ac:dyDescent="0.3">
      <c r="A3462" s="2">
        <v>3455</v>
      </c>
      <c r="B3462" s="2" t="s">
        <v>8238</v>
      </c>
      <c r="C3462" s="2" t="s">
        <v>3732</v>
      </c>
      <c r="D3462" s="2" t="s">
        <v>28</v>
      </c>
      <c r="E3462" s="2" t="s">
        <v>29</v>
      </c>
      <c r="F3462" s="2">
        <v>30</v>
      </c>
      <c r="G3462" s="2" t="s">
        <v>8239</v>
      </c>
      <c r="H3462" s="2" t="s">
        <v>3651</v>
      </c>
      <c r="I3462" s="2" t="s">
        <v>294</v>
      </c>
      <c r="J3462" s="3">
        <v>44767</v>
      </c>
      <c r="K3462" s="5">
        <f>YEAR(OrganizedData[[#This Row],[Order Date]])</f>
        <v>2022</v>
      </c>
      <c r="L3462" s="7" t="str">
        <f>TEXT(OrganizedData[[#This Row],[Order Date]],"mmm")</f>
        <v>Jul</v>
      </c>
      <c r="M3462" s="2">
        <v>52</v>
      </c>
      <c r="N3462" s="2" t="s">
        <v>20</v>
      </c>
      <c r="O3462" s="2" t="str">
        <f>VLOOKUP(OrganizedData[[#This Row],[Product Code]],ProductData[[Code]:[Item]],2,FALSE)</f>
        <v>Hyperwotsit</v>
      </c>
      <c r="P3462" s="4">
        <f>OrganizedData[[#This Row],[Quantity]]*VLOOKUP(OrganizedData[[#This Row],[Product Code]],ProductData[],4,FALSE)</f>
        <v>1040</v>
      </c>
      <c r="Q3462" s="6">
        <f>OrganizedData[[#This Row],[Total Items Ordered]]*VLOOKUP(OrganizedData[[#This Row],[Product Code]],ProductData[],3,FALSE)</f>
        <v>2090.3999999999996</v>
      </c>
      <c r="R34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1985.8799999999997</v>
      </c>
    </row>
    <row r="3463" spans="1:18" x14ac:dyDescent="0.3">
      <c r="A3463" s="2">
        <v>3456</v>
      </c>
      <c r="B3463" s="2" t="s">
        <v>8240</v>
      </c>
      <c r="C3463" s="2" t="s">
        <v>2257</v>
      </c>
      <c r="D3463" s="2" t="s">
        <v>51</v>
      </c>
      <c r="E3463" s="2" t="s">
        <v>16</v>
      </c>
      <c r="F3463" s="2">
        <v>90</v>
      </c>
      <c r="G3463" s="2" t="s">
        <v>8241</v>
      </c>
      <c r="H3463" s="2" t="s">
        <v>1612</v>
      </c>
      <c r="I3463" s="2" t="s">
        <v>240</v>
      </c>
      <c r="J3463" s="3">
        <v>44717</v>
      </c>
      <c r="K3463" s="5">
        <f>YEAR(OrganizedData[[#This Row],[Order Date]])</f>
        <v>2022</v>
      </c>
      <c r="L3463" s="7" t="str">
        <f>TEXT(OrganizedData[[#This Row],[Order Date]],"mmm")</f>
        <v>Jun</v>
      </c>
      <c r="M3463" s="2">
        <v>67</v>
      </c>
      <c r="N3463" s="2" t="s">
        <v>54</v>
      </c>
      <c r="O3463" s="2" t="str">
        <f>VLOOKUP(OrganizedData[[#This Row],[Product Code]],ProductData[[Code]:[Item]],2,FALSE)</f>
        <v>Megawidget S</v>
      </c>
      <c r="P3463" s="4">
        <f>OrganizedData[[#This Row],[Quantity]]*VLOOKUP(OrganizedData[[#This Row],[Product Code]],ProductData[],4,FALSE)</f>
        <v>1608</v>
      </c>
      <c r="Q3463" s="6">
        <f>OrganizedData[[#This Row],[Total Items Ordered]]*VLOOKUP(OrganizedData[[#This Row],[Product Code]],ProductData[],3,FALSE)</f>
        <v>1109.52</v>
      </c>
      <c r="R34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3464" spans="1:18" x14ac:dyDescent="0.3">
      <c r="A3464" s="2">
        <v>3457</v>
      </c>
      <c r="B3464" s="2" t="s">
        <v>8242</v>
      </c>
      <c r="C3464" s="2" t="s">
        <v>2037</v>
      </c>
      <c r="D3464" s="2" t="s">
        <v>15</v>
      </c>
      <c r="E3464" s="2" t="s">
        <v>16</v>
      </c>
      <c r="F3464" s="2">
        <v>30</v>
      </c>
      <c r="G3464" s="2" t="s">
        <v>8243</v>
      </c>
      <c r="H3464" s="2" t="s">
        <v>6687</v>
      </c>
      <c r="I3464" s="2" t="s">
        <v>32</v>
      </c>
      <c r="J3464" s="3">
        <v>43897</v>
      </c>
      <c r="K3464" s="5">
        <f>YEAR(OrganizedData[[#This Row],[Order Date]])</f>
        <v>2020</v>
      </c>
      <c r="L3464" s="7" t="str">
        <f>TEXT(OrganizedData[[#This Row],[Order Date]],"mmm")</f>
        <v>Mar</v>
      </c>
      <c r="M3464" s="2">
        <v>43</v>
      </c>
      <c r="N3464" s="2" t="s">
        <v>80</v>
      </c>
      <c r="O3464" s="2" t="str">
        <f>VLOOKUP(OrganizedData[[#This Row],[Product Code]],ProductData[[Code]:[Item]],2,FALSE)</f>
        <v>Ultrathing V2</v>
      </c>
      <c r="P3464" s="4">
        <f>OrganizedData[[#This Row],[Quantity]]*VLOOKUP(OrganizedData[[#This Row],[Product Code]],ProductData[],4,FALSE)</f>
        <v>860</v>
      </c>
      <c r="Q3464" s="6">
        <f>OrganizedData[[#This Row],[Total Items Ordered]]*VLOOKUP(OrganizedData[[#This Row],[Product Code]],ProductData[],3,FALSE)</f>
        <v>2537</v>
      </c>
      <c r="R34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3465" spans="1:18" x14ac:dyDescent="0.3">
      <c r="A3465" s="2">
        <v>3458</v>
      </c>
      <c r="B3465" s="2" t="s">
        <v>6459</v>
      </c>
      <c r="C3465" s="2" t="s">
        <v>7779</v>
      </c>
      <c r="D3465" s="2" t="s">
        <v>28</v>
      </c>
      <c r="E3465" s="2" t="s">
        <v>29</v>
      </c>
      <c r="F3465" s="2">
        <v>60</v>
      </c>
      <c r="G3465" s="2" t="s">
        <v>8244</v>
      </c>
      <c r="H3465" s="2" t="s">
        <v>894</v>
      </c>
      <c r="I3465" s="2" t="s">
        <v>38</v>
      </c>
      <c r="J3465" s="3">
        <v>44402</v>
      </c>
      <c r="K3465" s="5">
        <f>YEAR(OrganizedData[[#This Row],[Order Date]])</f>
        <v>2021</v>
      </c>
      <c r="L3465" s="7" t="str">
        <f>TEXT(OrganizedData[[#This Row],[Order Date]],"mmm")</f>
        <v>Jul</v>
      </c>
      <c r="M3465" s="2">
        <v>65</v>
      </c>
      <c r="N3465" s="2" t="s">
        <v>45</v>
      </c>
      <c r="O3465" s="2" t="str">
        <f>VLOOKUP(OrganizedData[[#This Row],[Product Code]],ProductData[[Code]:[Item]],2,FALSE)</f>
        <v>Gigastuff</v>
      </c>
      <c r="P3465" s="4">
        <f>OrganizedData[[#This Row],[Quantity]]*VLOOKUP(OrganizedData[[#This Row],[Product Code]],ProductData[],4,FALSE)</f>
        <v>1170</v>
      </c>
      <c r="Q3465" s="6">
        <f>OrganizedData[[#This Row],[Total Items Ordered]]*VLOOKUP(OrganizedData[[#This Row],[Product Code]],ProductData[],3,FALSE)</f>
        <v>2211.2999999999997</v>
      </c>
      <c r="R34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2100.7349999999997</v>
      </c>
    </row>
    <row r="3466" spans="1:18" x14ac:dyDescent="0.3">
      <c r="A3466" s="2">
        <v>3459</v>
      </c>
      <c r="B3466" s="2" t="s">
        <v>8245</v>
      </c>
      <c r="C3466" s="2" t="s">
        <v>4340</v>
      </c>
      <c r="D3466" s="2" t="s">
        <v>15</v>
      </c>
      <c r="E3466" s="2" t="s">
        <v>16</v>
      </c>
      <c r="F3466" s="2">
        <v>60</v>
      </c>
      <c r="G3466" s="2" t="s">
        <v>8246</v>
      </c>
      <c r="H3466" s="2" t="s">
        <v>3261</v>
      </c>
      <c r="I3466" s="2" t="s">
        <v>124</v>
      </c>
      <c r="J3466" s="3">
        <v>44882</v>
      </c>
      <c r="K3466" s="5">
        <f>YEAR(OrganizedData[[#This Row],[Order Date]])</f>
        <v>2022</v>
      </c>
      <c r="L3466" s="7" t="str">
        <f>TEXT(OrganizedData[[#This Row],[Order Date]],"mmm")</f>
        <v>Nov</v>
      </c>
      <c r="M3466" s="2">
        <v>75</v>
      </c>
      <c r="N3466" s="2" t="s">
        <v>159</v>
      </c>
      <c r="O3466" s="2" t="str">
        <f>VLOOKUP(OrganizedData[[#This Row],[Product Code]],ProductData[[Code]:[Item]],2,FALSE)</f>
        <v>Ultrathing V3</v>
      </c>
      <c r="P3466" s="4">
        <f>OrganizedData[[#This Row],[Quantity]]*VLOOKUP(OrganizedData[[#This Row],[Product Code]],ProductData[],4,FALSE)</f>
        <v>1800</v>
      </c>
      <c r="Q3466" s="6">
        <f>OrganizedData[[#This Row],[Total Items Ordered]]*VLOOKUP(OrganizedData[[#This Row],[Product Code]],ProductData[],3,FALSE)</f>
        <v>6102</v>
      </c>
      <c r="R34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3467" spans="1:18" x14ac:dyDescent="0.3">
      <c r="A3467" s="2">
        <v>3460</v>
      </c>
      <c r="B3467" s="2" t="s">
        <v>6847</v>
      </c>
      <c r="C3467" s="2" t="s">
        <v>6810</v>
      </c>
      <c r="D3467" s="2" t="s">
        <v>51</v>
      </c>
      <c r="E3467" s="2" t="s">
        <v>16</v>
      </c>
      <c r="F3467" s="2">
        <v>30</v>
      </c>
      <c r="G3467" s="2" t="s">
        <v>8247</v>
      </c>
      <c r="H3467" s="2" t="s">
        <v>1992</v>
      </c>
      <c r="I3467" s="2" t="s">
        <v>32</v>
      </c>
      <c r="J3467" s="3">
        <v>43959</v>
      </c>
      <c r="K3467" s="5">
        <f>YEAR(OrganizedData[[#This Row],[Order Date]])</f>
        <v>2020</v>
      </c>
      <c r="L3467" s="7" t="str">
        <f>TEXT(OrganizedData[[#This Row],[Order Date]],"mmm")</f>
        <v>May</v>
      </c>
      <c r="M3467" s="2">
        <v>28</v>
      </c>
      <c r="N3467" s="2" t="s">
        <v>101</v>
      </c>
      <c r="O3467" s="2" t="str">
        <f>VLOOKUP(OrganizedData[[#This Row],[Product Code]],ProductData[[Code]:[Item]],2,FALSE)</f>
        <v>Superwossname</v>
      </c>
      <c r="P3467" s="4">
        <f>OrganizedData[[#This Row],[Quantity]]*VLOOKUP(OrganizedData[[#This Row],[Product Code]],ProductData[],4,FALSE)</f>
        <v>560</v>
      </c>
      <c r="Q3467" s="6">
        <f>OrganizedData[[#This Row],[Total Items Ordered]]*VLOOKUP(OrganizedData[[#This Row],[Product Code]],ProductData[],3,FALSE)</f>
        <v>1954.4</v>
      </c>
      <c r="R34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3468" spans="1:18" x14ac:dyDescent="0.3">
      <c r="A3468" s="2">
        <v>3461</v>
      </c>
      <c r="B3468" s="2" t="s">
        <v>4233</v>
      </c>
      <c r="C3468" s="2" t="s">
        <v>2210</v>
      </c>
      <c r="D3468" s="2" t="s">
        <v>28</v>
      </c>
      <c r="E3468" s="2" t="s">
        <v>29</v>
      </c>
      <c r="F3468" s="2">
        <v>60</v>
      </c>
      <c r="G3468" s="2" t="s">
        <v>8248</v>
      </c>
      <c r="H3468" s="2" t="s">
        <v>8249</v>
      </c>
      <c r="I3468" s="2" t="s">
        <v>19</v>
      </c>
      <c r="J3468" s="3">
        <v>44868</v>
      </c>
      <c r="K3468" s="5">
        <f>YEAR(OrganizedData[[#This Row],[Order Date]])</f>
        <v>2022</v>
      </c>
      <c r="L3468" s="7" t="str">
        <f>TEXT(OrganizedData[[#This Row],[Order Date]],"mmm")</f>
        <v>Nov</v>
      </c>
      <c r="M3468" s="2">
        <v>69</v>
      </c>
      <c r="N3468" s="2" t="s">
        <v>39</v>
      </c>
      <c r="O3468" s="2" t="str">
        <f>VLOOKUP(OrganizedData[[#This Row],[Product Code]],ProductData[[Code]:[Item]],2,FALSE)</f>
        <v>Ultrathing V1</v>
      </c>
      <c r="P3468" s="4">
        <f>OrganizedData[[#This Row],[Quantity]]*VLOOKUP(OrganizedData[[#This Row],[Product Code]],ProductData[],4,FALSE)</f>
        <v>1173</v>
      </c>
      <c r="Q3468" s="6">
        <f>OrganizedData[[#This Row],[Total Items Ordered]]*VLOOKUP(OrganizedData[[#This Row],[Product Code]],ProductData[],3,FALSE)</f>
        <v>2099.67</v>
      </c>
      <c r="R34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3469" spans="1:18" x14ac:dyDescent="0.3">
      <c r="A3469" s="2">
        <v>3462</v>
      </c>
      <c r="B3469" s="2" t="s">
        <v>8250</v>
      </c>
      <c r="C3469" s="2" t="s">
        <v>2207</v>
      </c>
      <c r="D3469" s="2" t="s">
        <v>51</v>
      </c>
      <c r="E3469" s="2" t="s">
        <v>16</v>
      </c>
      <c r="F3469" s="2">
        <v>30</v>
      </c>
      <c r="G3469" s="2" t="s">
        <v>8248</v>
      </c>
      <c r="H3469" s="2" t="s">
        <v>350</v>
      </c>
      <c r="I3469" s="2" t="s">
        <v>25</v>
      </c>
      <c r="J3469" s="3">
        <v>44842</v>
      </c>
      <c r="K3469" s="5">
        <f>YEAR(OrganizedData[[#This Row],[Order Date]])</f>
        <v>2022</v>
      </c>
      <c r="L3469" s="7" t="str">
        <f>TEXT(OrganizedData[[#This Row],[Order Date]],"mmm")</f>
        <v>Oct</v>
      </c>
      <c r="M3469" s="2">
        <v>41</v>
      </c>
      <c r="N3469" s="2" t="s">
        <v>101</v>
      </c>
      <c r="O3469" s="2" t="str">
        <f>VLOOKUP(OrganizedData[[#This Row],[Product Code]],ProductData[[Code]:[Item]],2,FALSE)</f>
        <v>Superwossname</v>
      </c>
      <c r="P3469" s="4">
        <f>OrganizedData[[#This Row],[Quantity]]*VLOOKUP(OrganizedData[[#This Row],[Product Code]],ProductData[],4,FALSE)</f>
        <v>820</v>
      </c>
      <c r="Q3469" s="6">
        <f>OrganizedData[[#This Row],[Total Items Ordered]]*VLOOKUP(OrganizedData[[#This Row],[Product Code]],ProductData[],3,FALSE)</f>
        <v>2861.8</v>
      </c>
      <c r="R34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3470" spans="1:18" x14ac:dyDescent="0.3">
      <c r="A3470" s="2">
        <v>3463</v>
      </c>
      <c r="B3470" s="2" t="s">
        <v>8251</v>
      </c>
      <c r="C3470" s="2" t="s">
        <v>1384</v>
      </c>
      <c r="D3470" s="2" t="s">
        <v>51</v>
      </c>
      <c r="E3470" s="2" t="s">
        <v>16</v>
      </c>
      <c r="F3470" s="2">
        <v>90</v>
      </c>
      <c r="G3470" s="2" t="s">
        <v>8252</v>
      </c>
      <c r="H3470" s="2" t="s">
        <v>2982</v>
      </c>
      <c r="I3470" s="2" t="s">
        <v>2983</v>
      </c>
      <c r="J3470" s="3">
        <v>44907</v>
      </c>
      <c r="K3470" s="5">
        <f>YEAR(OrganizedData[[#This Row],[Order Date]])</f>
        <v>2022</v>
      </c>
      <c r="L3470" s="7" t="str">
        <f>TEXT(OrganizedData[[#This Row],[Order Date]],"mmm")</f>
        <v>Dec</v>
      </c>
      <c r="M3470" s="2">
        <v>46</v>
      </c>
      <c r="N3470" s="2" t="s">
        <v>80</v>
      </c>
      <c r="O3470" s="2" t="str">
        <f>VLOOKUP(OrganizedData[[#This Row],[Product Code]],ProductData[[Code]:[Item]],2,FALSE)</f>
        <v>Ultrathing V2</v>
      </c>
      <c r="P3470" s="4">
        <f>OrganizedData[[#This Row],[Quantity]]*VLOOKUP(OrganizedData[[#This Row],[Product Code]],ProductData[],4,FALSE)</f>
        <v>920</v>
      </c>
      <c r="Q3470" s="6">
        <f>OrganizedData[[#This Row],[Total Items Ordered]]*VLOOKUP(OrganizedData[[#This Row],[Product Code]],ProductData[],3,FALSE)</f>
        <v>2714</v>
      </c>
      <c r="R34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3471" spans="1:18" x14ac:dyDescent="0.3">
      <c r="A3471" s="2">
        <v>3464</v>
      </c>
      <c r="B3471" s="2" t="s">
        <v>8253</v>
      </c>
      <c r="C3471" s="2" t="s">
        <v>665</v>
      </c>
      <c r="D3471" s="2" t="s">
        <v>28</v>
      </c>
      <c r="E3471" s="2" t="s">
        <v>29</v>
      </c>
      <c r="F3471" s="2">
        <v>90</v>
      </c>
      <c r="G3471" s="2" t="s">
        <v>8254</v>
      </c>
      <c r="H3471" s="2" t="s">
        <v>288</v>
      </c>
      <c r="I3471" s="2" t="s">
        <v>32</v>
      </c>
      <c r="J3471" s="3">
        <v>44289</v>
      </c>
      <c r="K3471" s="5">
        <f>YEAR(OrganizedData[[#This Row],[Order Date]])</f>
        <v>2021</v>
      </c>
      <c r="L3471" s="7" t="str">
        <f>TEXT(OrganizedData[[#This Row],[Order Date]],"mmm")</f>
        <v>Apr</v>
      </c>
      <c r="M3471" s="2">
        <v>12</v>
      </c>
      <c r="N3471" s="2" t="s">
        <v>33</v>
      </c>
      <c r="O3471" s="2" t="str">
        <f>VLOOKUP(OrganizedData[[#This Row],[Product Code]],ProductData[[Code]:[Item]],2,FALSE)</f>
        <v>Megawidget L</v>
      </c>
      <c r="P3471" s="4">
        <f>OrganizedData[[#This Row],[Quantity]]*VLOOKUP(OrganizedData[[#This Row],[Product Code]],ProductData[],4,FALSE)</f>
        <v>288</v>
      </c>
      <c r="Q3471" s="6">
        <f>OrganizedData[[#This Row],[Total Items Ordered]]*VLOOKUP(OrganizedData[[#This Row],[Product Code]],ProductData[],3,FALSE)</f>
        <v>515.52</v>
      </c>
      <c r="R34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515.52</v>
      </c>
    </row>
    <row r="3472" spans="1:18" x14ac:dyDescent="0.3">
      <c r="A3472" s="2">
        <v>3465</v>
      </c>
      <c r="B3472" s="2" t="s">
        <v>1682</v>
      </c>
      <c r="C3472" s="2" t="s">
        <v>4352</v>
      </c>
      <c r="D3472" s="2" t="s">
        <v>28</v>
      </c>
      <c r="E3472" s="2" t="s">
        <v>29</v>
      </c>
      <c r="F3472" s="2">
        <v>30</v>
      </c>
      <c r="G3472" s="2" t="s">
        <v>8255</v>
      </c>
      <c r="H3472" s="2" t="s">
        <v>5214</v>
      </c>
      <c r="I3472" s="2" t="s">
        <v>95</v>
      </c>
      <c r="J3472" s="3">
        <v>44135</v>
      </c>
      <c r="K3472" s="5">
        <f>YEAR(OrganizedData[[#This Row],[Order Date]])</f>
        <v>2020</v>
      </c>
      <c r="L3472" s="7" t="str">
        <f>TEXT(OrganizedData[[#This Row],[Order Date]],"mmm")</f>
        <v>Oct</v>
      </c>
      <c r="M3472" s="2">
        <v>49</v>
      </c>
      <c r="N3472" s="2" t="s">
        <v>70</v>
      </c>
      <c r="O3472" s="2" t="str">
        <f>VLOOKUP(OrganizedData[[#This Row],[Product Code]],ProductData[[Code]:[Item]],2,FALSE)</f>
        <v>Megawidget M</v>
      </c>
      <c r="P3472" s="4">
        <f>OrganizedData[[#This Row],[Quantity]]*VLOOKUP(OrganizedData[[#This Row],[Product Code]],ProductData[],4,FALSE)</f>
        <v>1176</v>
      </c>
      <c r="Q3472" s="6">
        <f>OrganizedData[[#This Row],[Total Items Ordered]]*VLOOKUP(OrganizedData[[#This Row],[Product Code]],ProductData[],3,FALSE)</f>
        <v>1517.04</v>
      </c>
      <c r="R34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3473" spans="1:18" x14ac:dyDescent="0.3">
      <c r="A3473" s="2">
        <v>3466</v>
      </c>
      <c r="B3473" s="2" t="s">
        <v>8256</v>
      </c>
      <c r="C3473" s="2" t="s">
        <v>5891</v>
      </c>
      <c r="D3473" s="2" t="s">
        <v>51</v>
      </c>
      <c r="E3473" s="2" t="s">
        <v>16</v>
      </c>
      <c r="F3473" s="2">
        <v>60</v>
      </c>
      <c r="G3473" s="2" t="s">
        <v>8257</v>
      </c>
      <c r="H3473" s="2" t="s">
        <v>2742</v>
      </c>
      <c r="I3473" s="2" t="s">
        <v>124</v>
      </c>
      <c r="J3473" s="3">
        <v>44431</v>
      </c>
      <c r="K3473" s="5">
        <f>YEAR(OrganizedData[[#This Row],[Order Date]])</f>
        <v>2021</v>
      </c>
      <c r="L3473" s="7" t="str">
        <f>TEXT(OrganizedData[[#This Row],[Order Date]],"mmm")</f>
        <v>Aug</v>
      </c>
      <c r="M3473" s="2">
        <v>40</v>
      </c>
      <c r="N3473" s="2" t="s">
        <v>80</v>
      </c>
      <c r="O3473" s="2" t="str">
        <f>VLOOKUP(OrganizedData[[#This Row],[Product Code]],ProductData[[Code]:[Item]],2,FALSE)</f>
        <v>Ultrathing V2</v>
      </c>
      <c r="P3473" s="4">
        <f>OrganizedData[[#This Row],[Quantity]]*VLOOKUP(OrganizedData[[#This Row],[Product Code]],ProductData[],4,FALSE)</f>
        <v>800</v>
      </c>
      <c r="Q3473" s="6">
        <f>OrganizedData[[#This Row],[Total Items Ordered]]*VLOOKUP(OrganizedData[[#This Row],[Product Code]],ProductData[],3,FALSE)</f>
        <v>2360</v>
      </c>
      <c r="R34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2289.1999999999998</v>
      </c>
    </row>
    <row r="3474" spans="1:18" x14ac:dyDescent="0.3">
      <c r="A3474" s="2">
        <v>3467</v>
      </c>
      <c r="B3474" s="2" t="s">
        <v>6274</v>
      </c>
      <c r="C3474" s="2" t="s">
        <v>5653</v>
      </c>
      <c r="D3474" s="2" t="s">
        <v>28</v>
      </c>
      <c r="E3474" s="2" t="s">
        <v>29</v>
      </c>
      <c r="F3474" s="2">
        <v>60</v>
      </c>
      <c r="G3474" s="2" t="s">
        <v>8258</v>
      </c>
      <c r="H3474" s="2" t="s">
        <v>3462</v>
      </c>
      <c r="I3474" s="2" t="s">
        <v>32</v>
      </c>
      <c r="J3474" s="3">
        <v>44140</v>
      </c>
      <c r="K3474" s="5">
        <f>YEAR(OrganizedData[[#This Row],[Order Date]])</f>
        <v>2020</v>
      </c>
      <c r="L3474" s="7" t="str">
        <f>TEXT(OrganizedData[[#This Row],[Order Date]],"mmm")</f>
        <v>Nov</v>
      </c>
      <c r="M3474" s="2">
        <v>74</v>
      </c>
      <c r="N3474" s="2" t="s">
        <v>64</v>
      </c>
      <c r="O3474" s="2" t="str">
        <f>VLOOKUP(OrganizedData[[#This Row],[Product Code]],ProductData[[Code]:[Item]],2,FALSE)</f>
        <v>Ultrathing V4</v>
      </c>
      <c r="P3474" s="4">
        <f>OrganizedData[[#This Row],[Quantity]]*VLOOKUP(OrganizedData[[#This Row],[Product Code]],ProductData[],4,FALSE)</f>
        <v>1776</v>
      </c>
      <c r="Q3474" s="6">
        <f>OrganizedData[[#This Row],[Total Items Ordered]]*VLOOKUP(OrganizedData[[#This Row],[Product Code]],ProductData[],3,FALSE)</f>
        <v>7086.2400000000007</v>
      </c>
      <c r="R34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6731.9280000000008</v>
      </c>
    </row>
    <row r="3475" spans="1:18" x14ac:dyDescent="0.3">
      <c r="A3475" s="2">
        <v>3468</v>
      </c>
      <c r="B3475" s="2" t="s">
        <v>8259</v>
      </c>
      <c r="C3475" s="2" t="s">
        <v>5359</v>
      </c>
      <c r="D3475" s="2" t="s">
        <v>51</v>
      </c>
      <c r="E3475" s="2" t="s">
        <v>16</v>
      </c>
      <c r="F3475" s="2">
        <v>90</v>
      </c>
      <c r="G3475" s="2" t="s">
        <v>8260</v>
      </c>
      <c r="H3475" s="2" t="s">
        <v>1764</v>
      </c>
      <c r="I3475" s="2" t="s">
        <v>124</v>
      </c>
      <c r="J3475" s="3">
        <v>44148</v>
      </c>
      <c r="K3475" s="5">
        <f>YEAR(OrganizedData[[#This Row],[Order Date]])</f>
        <v>2020</v>
      </c>
      <c r="L3475" s="7" t="str">
        <f>TEXT(OrganizedData[[#This Row],[Order Date]],"mmm")</f>
        <v>Nov</v>
      </c>
      <c r="M3475" s="2">
        <v>71</v>
      </c>
      <c r="N3475" s="2" t="s">
        <v>45</v>
      </c>
      <c r="O3475" s="2" t="str">
        <f>VLOOKUP(OrganizedData[[#This Row],[Product Code]],ProductData[[Code]:[Item]],2,FALSE)</f>
        <v>Gigastuff</v>
      </c>
      <c r="P3475" s="4">
        <f>OrganizedData[[#This Row],[Quantity]]*VLOOKUP(OrganizedData[[#This Row],[Product Code]],ProductData[],4,FALSE)</f>
        <v>1278</v>
      </c>
      <c r="Q3475" s="6">
        <f>OrganizedData[[#This Row],[Total Items Ordered]]*VLOOKUP(OrganizedData[[#This Row],[Product Code]],ProductData[],3,FALSE)</f>
        <v>2415.42</v>
      </c>
      <c r="R34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3476" spans="1:18" x14ac:dyDescent="0.3">
      <c r="A3476" s="2">
        <v>3469</v>
      </c>
      <c r="B3476" s="2" t="s">
        <v>8261</v>
      </c>
      <c r="C3476" s="2" t="s">
        <v>5926</v>
      </c>
      <c r="D3476" s="2" t="s">
        <v>28</v>
      </c>
      <c r="E3476" s="2" t="s">
        <v>29</v>
      </c>
      <c r="F3476" s="2">
        <v>30</v>
      </c>
      <c r="G3476" s="2" t="s">
        <v>8262</v>
      </c>
      <c r="H3476" s="2" t="s">
        <v>5603</v>
      </c>
      <c r="I3476" s="2" t="s">
        <v>32</v>
      </c>
      <c r="J3476" s="3">
        <v>43913</v>
      </c>
      <c r="K3476" s="5">
        <f>YEAR(OrganizedData[[#This Row],[Order Date]])</f>
        <v>2020</v>
      </c>
      <c r="L3476" s="7" t="str">
        <f>TEXT(OrganizedData[[#This Row],[Order Date]],"mmm")</f>
        <v>Mar</v>
      </c>
      <c r="M3476" s="2">
        <v>58</v>
      </c>
      <c r="N3476" s="2" t="s">
        <v>54</v>
      </c>
      <c r="O3476" s="2" t="str">
        <f>VLOOKUP(OrganizedData[[#This Row],[Product Code]],ProductData[[Code]:[Item]],2,FALSE)</f>
        <v>Megawidget S</v>
      </c>
      <c r="P3476" s="4">
        <f>OrganizedData[[#This Row],[Quantity]]*VLOOKUP(OrganizedData[[#This Row],[Product Code]],ProductData[],4,FALSE)</f>
        <v>1392</v>
      </c>
      <c r="Q3476" s="6">
        <f>OrganizedData[[#This Row],[Total Items Ordered]]*VLOOKUP(OrganizedData[[#This Row],[Product Code]],ProductData[],3,FALSE)</f>
        <v>960.4799999999999</v>
      </c>
      <c r="R34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3477" spans="1:18" x14ac:dyDescent="0.3">
      <c r="A3477" s="2">
        <v>3470</v>
      </c>
      <c r="B3477" s="2" t="s">
        <v>8263</v>
      </c>
      <c r="C3477" s="2" t="s">
        <v>1072</v>
      </c>
      <c r="D3477" s="2" t="s">
        <v>15</v>
      </c>
      <c r="E3477" s="2" t="s">
        <v>16</v>
      </c>
      <c r="F3477" s="2">
        <v>60</v>
      </c>
      <c r="G3477" s="2" t="s">
        <v>8264</v>
      </c>
      <c r="H3477" s="2" t="s">
        <v>3387</v>
      </c>
      <c r="I3477" s="2" t="s">
        <v>2878</v>
      </c>
      <c r="J3477" s="3">
        <v>44650</v>
      </c>
      <c r="K3477" s="5">
        <f>YEAR(OrganizedData[[#This Row],[Order Date]])</f>
        <v>2022</v>
      </c>
      <c r="L3477" s="7" t="str">
        <f>TEXT(OrganizedData[[#This Row],[Order Date]],"mmm")</f>
        <v>Mar</v>
      </c>
      <c r="M3477" s="2">
        <v>10</v>
      </c>
      <c r="N3477" s="2" t="s">
        <v>80</v>
      </c>
      <c r="O3477" s="2" t="str">
        <f>VLOOKUP(OrganizedData[[#This Row],[Product Code]],ProductData[[Code]:[Item]],2,FALSE)</f>
        <v>Ultrathing V2</v>
      </c>
      <c r="P3477" s="4">
        <f>OrganizedData[[#This Row],[Quantity]]*VLOOKUP(OrganizedData[[#This Row],[Product Code]],ProductData[],4,FALSE)</f>
        <v>200</v>
      </c>
      <c r="Q3477" s="6">
        <f>OrganizedData[[#This Row],[Total Items Ordered]]*VLOOKUP(OrganizedData[[#This Row],[Product Code]],ProductData[],3,FALSE)</f>
        <v>590</v>
      </c>
      <c r="R34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v>
      </c>
    </row>
    <row r="3478" spans="1:18" x14ac:dyDescent="0.3">
      <c r="A3478" s="2">
        <v>3471</v>
      </c>
      <c r="B3478" s="2" t="s">
        <v>8265</v>
      </c>
      <c r="C3478" s="2" t="s">
        <v>736</v>
      </c>
      <c r="D3478" s="2" t="s">
        <v>41</v>
      </c>
      <c r="E3478" s="2" t="s">
        <v>16</v>
      </c>
      <c r="F3478" s="2">
        <v>60</v>
      </c>
      <c r="G3478" s="2" t="s">
        <v>8266</v>
      </c>
      <c r="H3478" s="2" t="s">
        <v>2649</v>
      </c>
      <c r="I3478" s="2" t="s">
        <v>32</v>
      </c>
      <c r="J3478" s="3">
        <v>44212</v>
      </c>
      <c r="K3478" s="5">
        <f>YEAR(OrganizedData[[#This Row],[Order Date]])</f>
        <v>2021</v>
      </c>
      <c r="L3478" s="7" t="str">
        <f>TEXT(OrganizedData[[#This Row],[Order Date]],"mmm")</f>
        <v>Jan</v>
      </c>
      <c r="M3478" s="2">
        <v>37</v>
      </c>
      <c r="N3478" s="2" t="s">
        <v>20</v>
      </c>
      <c r="O3478" s="2" t="str">
        <f>VLOOKUP(OrganizedData[[#This Row],[Product Code]],ProductData[[Code]:[Item]],2,FALSE)</f>
        <v>Hyperwotsit</v>
      </c>
      <c r="P3478" s="4">
        <f>OrganizedData[[#This Row],[Quantity]]*VLOOKUP(OrganizedData[[#This Row],[Product Code]],ProductData[],4,FALSE)</f>
        <v>740</v>
      </c>
      <c r="Q3478" s="6">
        <f>OrganizedData[[#This Row],[Total Items Ordered]]*VLOOKUP(OrganizedData[[#This Row],[Product Code]],ProductData[],3,FALSE)</f>
        <v>1487.3999999999999</v>
      </c>
      <c r="R34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1442.7779999999998</v>
      </c>
    </row>
    <row r="3479" spans="1:18" x14ac:dyDescent="0.3">
      <c r="A3479" s="2">
        <v>3472</v>
      </c>
      <c r="B3479" s="2" t="s">
        <v>8267</v>
      </c>
      <c r="C3479" s="2" t="s">
        <v>759</v>
      </c>
      <c r="D3479" s="2" t="s">
        <v>15</v>
      </c>
      <c r="E3479" s="2" t="s">
        <v>16</v>
      </c>
      <c r="F3479" s="2">
        <v>60</v>
      </c>
      <c r="G3479" s="2" t="s">
        <v>8268</v>
      </c>
      <c r="H3479" s="2" t="s">
        <v>1901</v>
      </c>
      <c r="I3479" s="2" t="s">
        <v>178</v>
      </c>
      <c r="J3479" s="3">
        <v>44717</v>
      </c>
      <c r="K3479" s="5">
        <f>YEAR(OrganizedData[[#This Row],[Order Date]])</f>
        <v>2022</v>
      </c>
      <c r="L3479" s="7" t="str">
        <f>TEXT(OrganizedData[[#This Row],[Order Date]],"mmm")</f>
        <v>Jun</v>
      </c>
      <c r="M3479" s="2">
        <v>60</v>
      </c>
      <c r="N3479" s="2" t="s">
        <v>159</v>
      </c>
      <c r="O3479" s="2" t="str">
        <f>VLOOKUP(OrganizedData[[#This Row],[Product Code]],ProductData[[Code]:[Item]],2,FALSE)</f>
        <v>Ultrathing V3</v>
      </c>
      <c r="P3479" s="4">
        <f>OrganizedData[[#This Row],[Quantity]]*VLOOKUP(OrganizedData[[#This Row],[Product Code]],ProductData[],4,FALSE)</f>
        <v>1440</v>
      </c>
      <c r="Q3479" s="6">
        <f>OrganizedData[[#This Row],[Total Items Ordered]]*VLOOKUP(OrganizedData[[#This Row],[Product Code]],ProductData[],3,FALSE)</f>
        <v>4881.6000000000004</v>
      </c>
      <c r="R34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4637.5200000000004</v>
      </c>
    </row>
    <row r="3480" spans="1:18" x14ac:dyDescent="0.3">
      <c r="A3480" s="2">
        <v>3473</v>
      </c>
      <c r="B3480" s="2" t="s">
        <v>3469</v>
      </c>
      <c r="C3480" s="2" t="s">
        <v>3430</v>
      </c>
      <c r="D3480" s="2" t="s">
        <v>28</v>
      </c>
      <c r="E3480" s="2" t="s">
        <v>29</v>
      </c>
      <c r="F3480" s="2">
        <v>30</v>
      </c>
      <c r="G3480" s="2" t="s">
        <v>8268</v>
      </c>
      <c r="H3480" s="2" t="s">
        <v>8269</v>
      </c>
      <c r="I3480" s="2" t="s">
        <v>146</v>
      </c>
      <c r="J3480" s="3">
        <v>43885</v>
      </c>
      <c r="K3480" s="5">
        <f>YEAR(OrganizedData[[#This Row],[Order Date]])</f>
        <v>2020</v>
      </c>
      <c r="L3480" s="7" t="str">
        <f>TEXT(OrganizedData[[#This Row],[Order Date]],"mmm")</f>
        <v>Feb</v>
      </c>
      <c r="M3480" s="2">
        <v>20</v>
      </c>
      <c r="N3480" s="2" t="s">
        <v>54</v>
      </c>
      <c r="O3480" s="2" t="str">
        <f>VLOOKUP(OrganizedData[[#This Row],[Product Code]],ProductData[[Code]:[Item]],2,FALSE)</f>
        <v>Megawidget S</v>
      </c>
      <c r="P3480" s="4">
        <f>OrganizedData[[#This Row],[Quantity]]*VLOOKUP(OrganizedData[[#This Row],[Product Code]],ProductData[],4,FALSE)</f>
        <v>480</v>
      </c>
      <c r="Q3480" s="6">
        <f>OrganizedData[[#This Row],[Total Items Ordered]]*VLOOKUP(OrganizedData[[#This Row],[Product Code]],ProductData[],3,FALSE)</f>
        <v>331.2</v>
      </c>
      <c r="R34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331.2</v>
      </c>
    </row>
    <row r="3481" spans="1:18" x14ac:dyDescent="0.3">
      <c r="A3481" s="2">
        <v>3474</v>
      </c>
      <c r="B3481" s="2" t="s">
        <v>8270</v>
      </c>
      <c r="C3481" s="2" t="s">
        <v>4444</v>
      </c>
      <c r="D3481" s="2" t="s">
        <v>28</v>
      </c>
      <c r="E3481" s="2" t="s">
        <v>29</v>
      </c>
      <c r="F3481" s="2">
        <v>30</v>
      </c>
      <c r="G3481" s="2" t="s">
        <v>8271</v>
      </c>
      <c r="H3481" s="2" t="s">
        <v>4111</v>
      </c>
      <c r="I3481" s="2" t="s">
        <v>95</v>
      </c>
      <c r="J3481" s="3">
        <v>44495</v>
      </c>
      <c r="K3481" s="5">
        <f>YEAR(OrganizedData[[#This Row],[Order Date]])</f>
        <v>2021</v>
      </c>
      <c r="L3481" s="7" t="str">
        <f>TEXT(OrganizedData[[#This Row],[Order Date]],"mmm")</f>
        <v>Oct</v>
      </c>
      <c r="M3481" s="2">
        <v>75</v>
      </c>
      <c r="N3481" s="2" t="s">
        <v>80</v>
      </c>
      <c r="O3481" s="2" t="str">
        <f>VLOOKUP(OrganizedData[[#This Row],[Product Code]],ProductData[[Code]:[Item]],2,FALSE)</f>
        <v>Ultrathing V2</v>
      </c>
      <c r="P3481" s="4">
        <f>OrganizedData[[#This Row],[Quantity]]*VLOOKUP(OrganizedData[[#This Row],[Product Code]],ProductData[],4,FALSE)</f>
        <v>1500</v>
      </c>
      <c r="Q3481" s="6">
        <f>OrganizedData[[#This Row],[Total Items Ordered]]*VLOOKUP(OrganizedData[[#This Row],[Product Code]],ProductData[],3,FALSE)</f>
        <v>4425</v>
      </c>
      <c r="R34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4203.75</v>
      </c>
    </row>
    <row r="3482" spans="1:18" x14ac:dyDescent="0.3">
      <c r="A3482" s="2">
        <v>3475</v>
      </c>
      <c r="B3482" s="2" t="s">
        <v>6932</v>
      </c>
      <c r="C3482" s="2" t="s">
        <v>508</v>
      </c>
      <c r="D3482" s="2" t="s">
        <v>28</v>
      </c>
      <c r="E3482" s="2" t="s">
        <v>29</v>
      </c>
      <c r="F3482" s="2">
        <v>60</v>
      </c>
      <c r="G3482" s="2" t="s">
        <v>8272</v>
      </c>
      <c r="H3482" s="2" t="s">
        <v>611</v>
      </c>
      <c r="I3482" s="2" t="s">
        <v>32</v>
      </c>
      <c r="J3482" s="3">
        <v>44157</v>
      </c>
      <c r="K3482" s="5">
        <f>YEAR(OrganizedData[[#This Row],[Order Date]])</f>
        <v>2020</v>
      </c>
      <c r="L3482" s="7" t="str">
        <f>TEXT(OrganizedData[[#This Row],[Order Date]],"mmm")</f>
        <v>Nov</v>
      </c>
      <c r="M3482" s="2">
        <v>11</v>
      </c>
      <c r="N3482" s="2" t="s">
        <v>39</v>
      </c>
      <c r="O3482" s="2" t="str">
        <f>VLOOKUP(OrganizedData[[#This Row],[Product Code]],ProductData[[Code]:[Item]],2,FALSE)</f>
        <v>Ultrathing V1</v>
      </c>
      <c r="P3482" s="4">
        <f>OrganizedData[[#This Row],[Quantity]]*VLOOKUP(OrganizedData[[#This Row],[Product Code]],ProductData[],4,FALSE)</f>
        <v>187</v>
      </c>
      <c r="Q3482" s="6">
        <f>OrganizedData[[#This Row],[Total Items Ordered]]*VLOOKUP(OrganizedData[[#This Row],[Product Code]],ProductData[],3,FALSE)</f>
        <v>334.73</v>
      </c>
      <c r="R34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334.73</v>
      </c>
    </row>
    <row r="3483" spans="1:18" x14ac:dyDescent="0.3">
      <c r="A3483" s="2">
        <v>3476</v>
      </c>
      <c r="B3483" s="2" t="s">
        <v>8273</v>
      </c>
      <c r="C3483" s="2" t="s">
        <v>4609</v>
      </c>
      <c r="D3483" s="2" t="s">
        <v>15</v>
      </c>
      <c r="E3483" s="2" t="s">
        <v>16</v>
      </c>
      <c r="F3483" s="2">
        <v>30</v>
      </c>
      <c r="G3483" s="2" t="s">
        <v>8274</v>
      </c>
      <c r="H3483" s="2" t="s">
        <v>7004</v>
      </c>
      <c r="I3483" s="2" t="s">
        <v>208</v>
      </c>
      <c r="J3483" s="3">
        <v>44146</v>
      </c>
      <c r="K3483" s="5">
        <f>YEAR(OrganizedData[[#This Row],[Order Date]])</f>
        <v>2020</v>
      </c>
      <c r="L3483" s="7" t="str">
        <f>TEXT(OrganizedData[[#This Row],[Order Date]],"mmm")</f>
        <v>Nov</v>
      </c>
      <c r="M3483" s="2">
        <v>52</v>
      </c>
      <c r="N3483" s="2" t="s">
        <v>64</v>
      </c>
      <c r="O3483" s="2" t="str">
        <f>VLOOKUP(OrganizedData[[#This Row],[Product Code]],ProductData[[Code]:[Item]],2,FALSE)</f>
        <v>Ultrathing V4</v>
      </c>
      <c r="P3483" s="4">
        <f>OrganizedData[[#This Row],[Quantity]]*VLOOKUP(OrganizedData[[#This Row],[Product Code]],ProductData[],4,FALSE)</f>
        <v>1248</v>
      </c>
      <c r="Q3483" s="6">
        <f>OrganizedData[[#This Row],[Total Items Ordered]]*VLOOKUP(OrganizedData[[#This Row],[Product Code]],ProductData[],3,FALSE)</f>
        <v>4979.5200000000004</v>
      </c>
      <c r="R34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4730.5439999999999</v>
      </c>
    </row>
    <row r="3484" spans="1:18" x14ac:dyDescent="0.3">
      <c r="A3484" s="2">
        <v>3477</v>
      </c>
      <c r="B3484" s="2" t="s">
        <v>8275</v>
      </c>
      <c r="C3484" s="2" t="s">
        <v>620</v>
      </c>
      <c r="D3484" s="2" t="s">
        <v>41</v>
      </c>
      <c r="E3484" s="2" t="s">
        <v>16</v>
      </c>
      <c r="F3484" s="2">
        <v>90</v>
      </c>
      <c r="G3484" s="2" t="s">
        <v>8276</v>
      </c>
      <c r="H3484" s="2" t="s">
        <v>4662</v>
      </c>
      <c r="I3484" s="2" t="s">
        <v>32</v>
      </c>
      <c r="J3484" s="3">
        <v>43942</v>
      </c>
      <c r="K3484" s="5">
        <f>YEAR(OrganizedData[[#This Row],[Order Date]])</f>
        <v>2020</v>
      </c>
      <c r="L3484" s="7" t="str">
        <f>TEXT(OrganizedData[[#This Row],[Order Date]],"mmm")</f>
        <v>Apr</v>
      </c>
      <c r="M3484" s="2">
        <v>6</v>
      </c>
      <c r="N3484" s="2" t="s">
        <v>39</v>
      </c>
      <c r="O3484" s="2" t="str">
        <f>VLOOKUP(OrganizedData[[#This Row],[Product Code]],ProductData[[Code]:[Item]],2,FALSE)</f>
        <v>Ultrathing V1</v>
      </c>
      <c r="P3484" s="4">
        <f>OrganizedData[[#This Row],[Quantity]]*VLOOKUP(OrganizedData[[#This Row],[Product Code]],ProductData[],4,FALSE)</f>
        <v>102</v>
      </c>
      <c r="Q3484" s="6">
        <f>OrganizedData[[#This Row],[Total Items Ordered]]*VLOOKUP(OrganizedData[[#This Row],[Product Code]],ProductData[],3,FALSE)</f>
        <v>182.58</v>
      </c>
      <c r="R34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3485" spans="1:18" x14ac:dyDescent="0.3">
      <c r="A3485" s="2">
        <v>3478</v>
      </c>
      <c r="B3485" s="2" t="s">
        <v>7611</v>
      </c>
      <c r="C3485" s="2" t="s">
        <v>152</v>
      </c>
      <c r="D3485" s="2" t="s">
        <v>15</v>
      </c>
      <c r="E3485" s="2" t="s">
        <v>16</v>
      </c>
      <c r="F3485" s="2">
        <v>60</v>
      </c>
      <c r="G3485" s="2" t="s">
        <v>8277</v>
      </c>
      <c r="H3485" s="2" t="s">
        <v>6000</v>
      </c>
      <c r="I3485" s="2" t="s">
        <v>178</v>
      </c>
      <c r="J3485" s="3">
        <v>44049</v>
      </c>
      <c r="K3485" s="5">
        <f>YEAR(OrganizedData[[#This Row],[Order Date]])</f>
        <v>2020</v>
      </c>
      <c r="L3485" s="7" t="str">
        <f>TEXT(OrganizedData[[#This Row],[Order Date]],"mmm")</f>
        <v>Aug</v>
      </c>
      <c r="M3485" s="2">
        <v>85</v>
      </c>
      <c r="N3485" s="2" t="s">
        <v>70</v>
      </c>
      <c r="O3485" s="2" t="str">
        <f>VLOOKUP(OrganizedData[[#This Row],[Product Code]],ProductData[[Code]:[Item]],2,FALSE)</f>
        <v>Megawidget M</v>
      </c>
      <c r="P3485" s="4">
        <f>OrganizedData[[#This Row],[Quantity]]*VLOOKUP(OrganizedData[[#This Row],[Product Code]],ProductData[],4,FALSE)</f>
        <v>2040</v>
      </c>
      <c r="Q3485" s="6">
        <f>OrganizedData[[#This Row],[Total Items Ordered]]*VLOOKUP(OrganizedData[[#This Row],[Product Code]],ProductData[],3,FALSE)</f>
        <v>2631.6</v>
      </c>
      <c r="R34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2500.02</v>
      </c>
    </row>
    <row r="3486" spans="1:18" x14ac:dyDescent="0.3">
      <c r="A3486" s="2">
        <v>3479</v>
      </c>
      <c r="B3486" s="2" t="s">
        <v>1850</v>
      </c>
      <c r="C3486" s="2" t="s">
        <v>4750</v>
      </c>
      <c r="D3486" s="2" t="s">
        <v>28</v>
      </c>
      <c r="E3486" s="2" t="s">
        <v>29</v>
      </c>
      <c r="F3486" s="2">
        <v>30</v>
      </c>
      <c r="G3486" s="2" t="s">
        <v>8278</v>
      </c>
      <c r="H3486" s="2" t="s">
        <v>2834</v>
      </c>
      <c r="I3486" s="2" t="s">
        <v>19</v>
      </c>
      <c r="J3486" s="3">
        <v>44712</v>
      </c>
      <c r="K3486" s="5">
        <f>YEAR(OrganizedData[[#This Row],[Order Date]])</f>
        <v>2022</v>
      </c>
      <c r="L3486" s="7" t="str">
        <f>TEXT(OrganizedData[[#This Row],[Order Date]],"mmm")</f>
        <v>May</v>
      </c>
      <c r="M3486" s="2">
        <v>63</v>
      </c>
      <c r="N3486" s="2" t="s">
        <v>80</v>
      </c>
      <c r="O3486" s="2" t="str">
        <f>VLOOKUP(OrganizedData[[#This Row],[Product Code]],ProductData[[Code]:[Item]],2,FALSE)</f>
        <v>Ultrathing V2</v>
      </c>
      <c r="P3486" s="4">
        <f>OrganizedData[[#This Row],[Quantity]]*VLOOKUP(OrganizedData[[#This Row],[Product Code]],ProductData[],4,FALSE)</f>
        <v>1260</v>
      </c>
      <c r="Q3486" s="6">
        <f>OrganizedData[[#This Row],[Total Items Ordered]]*VLOOKUP(OrganizedData[[#This Row],[Product Code]],ProductData[],3,FALSE)</f>
        <v>3717</v>
      </c>
      <c r="R34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3531.1499999999996</v>
      </c>
    </row>
    <row r="3487" spans="1:18" x14ac:dyDescent="0.3">
      <c r="A3487" s="2">
        <v>3480</v>
      </c>
      <c r="B3487" s="2" t="s">
        <v>8279</v>
      </c>
      <c r="C3487" s="2" t="s">
        <v>2191</v>
      </c>
      <c r="D3487" s="2" t="s">
        <v>51</v>
      </c>
      <c r="E3487" s="2" t="s">
        <v>16</v>
      </c>
      <c r="F3487" s="2">
        <v>60</v>
      </c>
      <c r="G3487" s="2" t="s">
        <v>8278</v>
      </c>
      <c r="H3487" s="2" t="s">
        <v>5915</v>
      </c>
      <c r="I3487" s="2" t="s">
        <v>32</v>
      </c>
      <c r="J3487" s="3">
        <v>43990</v>
      </c>
      <c r="K3487" s="5">
        <f>YEAR(OrganizedData[[#This Row],[Order Date]])</f>
        <v>2020</v>
      </c>
      <c r="L3487" s="7" t="str">
        <f>TEXT(OrganizedData[[#This Row],[Order Date]],"mmm")</f>
        <v>Jun</v>
      </c>
      <c r="M3487" s="2">
        <v>59</v>
      </c>
      <c r="N3487" s="2" t="s">
        <v>159</v>
      </c>
      <c r="O3487" s="2" t="str">
        <f>VLOOKUP(OrganizedData[[#This Row],[Product Code]],ProductData[[Code]:[Item]],2,FALSE)</f>
        <v>Ultrathing V3</v>
      </c>
      <c r="P3487" s="4">
        <f>OrganizedData[[#This Row],[Quantity]]*VLOOKUP(OrganizedData[[#This Row],[Product Code]],ProductData[],4,FALSE)</f>
        <v>1416</v>
      </c>
      <c r="Q3487" s="6">
        <f>OrganizedData[[#This Row],[Total Items Ordered]]*VLOOKUP(OrganizedData[[#This Row],[Product Code]],ProductData[],3,FALSE)</f>
        <v>4800.24</v>
      </c>
      <c r="R34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3488" spans="1:18" x14ac:dyDescent="0.3">
      <c r="A3488" s="2">
        <v>3481</v>
      </c>
      <c r="B3488" s="2" t="s">
        <v>8280</v>
      </c>
      <c r="C3488" s="2" t="s">
        <v>2367</v>
      </c>
      <c r="D3488" s="2" t="s">
        <v>15</v>
      </c>
      <c r="E3488" s="2" t="s">
        <v>16</v>
      </c>
      <c r="F3488" s="2">
        <v>60</v>
      </c>
      <c r="G3488" s="2" t="s">
        <v>8281</v>
      </c>
      <c r="H3488" s="2" t="s">
        <v>570</v>
      </c>
      <c r="I3488" s="2" t="s">
        <v>187</v>
      </c>
      <c r="J3488" s="3">
        <v>43995</v>
      </c>
      <c r="K3488" s="5">
        <f>YEAR(OrganizedData[[#This Row],[Order Date]])</f>
        <v>2020</v>
      </c>
      <c r="L3488" s="7" t="str">
        <f>TEXT(OrganizedData[[#This Row],[Order Date]],"mmm")</f>
        <v>Jun</v>
      </c>
      <c r="M3488" s="2">
        <v>20</v>
      </c>
      <c r="N3488" s="2" t="s">
        <v>33</v>
      </c>
      <c r="O3488" s="2" t="str">
        <f>VLOOKUP(OrganizedData[[#This Row],[Product Code]],ProductData[[Code]:[Item]],2,FALSE)</f>
        <v>Megawidget L</v>
      </c>
      <c r="P3488" s="4">
        <f>OrganizedData[[#This Row],[Quantity]]*VLOOKUP(OrganizedData[[#This Row],[Product Code]],ProductData[],4,FALSE)</f>
        <v>480</v>
      </c>
      <c r="Q3488" s="6">
        <f>OrganizedData[[#This Row],[Total Items Ordered]]*VLOOKUP(OrganizedData[[#This Row],[Product Code]],ProductData[],3,FALSE)</f>
        <v>859.2</v>
      </c>
      <c r="R34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3489" spans="1:18" x14ac:dyDescent="0.3">
      <c r="A3489" s="2">
        <v>3482</v>
      </c>
      <c r="B3489" s="2" t="s">
        <v>8282</v>
      </c>
      <c r="C3489" s="2" t="s">
        <v>237</v>
      </c>
      <c r="D3489" s="2" t="s">
        <v>51</v>
      </c>
      <c r="E3489" s="2" t="s">
        <v>16</v>
      </c>
      <c r="F3489" s="2">
        <v>30</v>
      </c>
      <c r="G3489" s="2" t="s">
        <v>8283</v>
      </c>
      <c r="H3489" s="2" t="s">
        <v>474</v>
      </c>
      <c r="I3489" s="2" t="s">
        <v>475</v>
      </c>
      <c r="J3489" s="3">
        <v>44924</v>
      </c>
      <c r="K3489" s="5">
        <f>YEAR(OrganizedData[[#This Row],[Order Date]])</f>
        <v>2022</v>
      </c>
      <c r="L3489" s="7" t="str">
        <f>TEXT(OrganizedData[[#This Row],[Order Date]],"mmm")</f>
        <v>Dec</v>
      </c>
      <c r="M3489" s="2">
        <v>90</v>
      </c>
      <c r="N3489" s="2" t="s">
        <v>101</v>
      </c>
      <c r="O3489" s="2" t="str">
        <f>VLOOKUP(OrganizedData[[#This Row],[Product Code]],ProductData[[Code]:[Item]],2,FALSE)</f>
        <v>Superwossname</v>
      </c>
      <c r="P3489" s="4">
        <f>OrganizedData[[#This Row],[Quantity]]*VLOOKUP(OrganizedData[[#This Row],[Product Code]],ProductData[],4,FALSE)</f>
        <v>1800</v>
      </c>
      <c r="Q3489" s="6">
        <f>OrganizedData[[#This Row],[Total Items Ordered]]*VLOOKUP(OrganizedData[[#This Row],[Product Code]],ProductData[],3,FALSE)</f>
        <v>6282</v>
      </c>
      <c r="R34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5967.9</v>
      </c>
    </row>
    <row r="3490" spans="1:18" x14ac:dyDescent="0.3">
      <c r="A3490" s="2">
        <v>3483</v>
      </c>
      <c r="B3490" s="2" t="s">
        <v>8284</v>
      </c>
      <c r="C3490" s="2" t="s">
        <v>1692</v>
      </c>
      <c r="D3490" s="2" t="s">
        <v>51</v>
      </c>
      <c r="E3490" s="2" t="s">
        <v>16</v>
      </c>
      <c r="F3490" s="2">
        <v>30</v>
      </c>
      <c r="G3490" s="2" t="s">
        <v>8285</v>
      </c>
      <c r="H3490" s="2" t="s">
        <v>2179</v>
      </c>
      <c r="I3490" s="2" t="s">
        <v>294</v>
      </c>
      <c r="J3490" s="3">
        <v>44803</v>
      </c>
      <c r="K3490" s="5">
        <f>YEAR(OrganizedData[[#This Row],[Order Date]])</f>
        <v>2022</v>
      </c>
      <c r="L3490" s="7" t="str">
        <f>TEXT(OrganizedData[[#This Row],[Order Date]],"mmm")</f>
        <v>Aug</v>
      </c>
      <c r="M3490" s="2">
        <v>96</v>
      </c>
      <c r="N3490" s="2" t="s">
        <v>39</v>
      </c>
      <c r="O3490" s="2" t="str">
        <f>VLOOKUP(OrganizedData[[#This Row],[Product Code]],ProductData[[Code]:[Item]],2,FALSE)</f>
        <v>Ultrathing V1</v>
      </c>
      <c r="P3490" s="4">
        <f>OrganizedData[[#This Row],[Quantity]]*VLOOKUP(OrganizedData[[#This Row],[Product Code]],ProductData[],4,FALSE)</f>
        <v>1632</v>
      </c>
      <c r="Q3490" s="6">
        <f>OrganizedData[[#This Row],[Total Items Ordered]]*VLOOKUP(OrganizedData[[#This Row],[Product Code]],ProductData[],3,FALSE)</f>
        <v>2921.28</v>
      </c>
      <c r="R34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3491" spans="1:18" x14ac:dyDescent="0.3">
      <c r="A3491" s="2">
        <v>3484</v>
      </c>
      <c r="B3491" s="2" t="s">
        <v>8286</v>
      </c>
      <c r="C3491" s="2" t="s">
        <v>3037</v>
      </c>
      <c r="D3491" s="2" t="s">
        <v>92</v>
      </c>
      <c r="E3491" s="2" t="s">
        <v>16</v>
      </c>
      <c r="F3491" s="2">
        <v>90</v>
      </c>
      <c r="G3491" s="2" t="s">
        <v>8287</v>
      </c>
      <c r="H3491" s="2" t="s">
        <v>4081</v>
      </c>
      <c r="I3491" s="2" t="s">
        <v>32</v>
      </c>
      <c r="J3491" s="3">
        <v>43906</v>
      </c>
      <c r="K3491" s="5">
        <f>YEAR(OrganizedData[[#This Row],[Order Date]])</f>
        <v>2020</v>
      </c>
      <c r="L3491" s="7" t="str">
        <f>TEXT(OrganizedData[[#This Row],[Order Date]],"mmm")</f>
        <v>Mar</v>
      </c>
      <c r="M3491" s="2">
        <v>42</v>
      </c>
      <c r="N3491" s="2" t="s">
        <v>159</v>
      </c>
      <c r="O3491" s="2" t="str">
        <f>VLOOKUP(OrganizedData[[#This Row],[Product Code]],ProductData[[Code]:[Item]],2,FALSE)</f>
        <v>Ultrathing V3</v>
      </c>
      <c r="P3491" s="4">
        <f>OrganizedData[[#This Row],[Quantity]]*VLOOKUP(OrganizedData[[#This Row],[Product Code]],ProductData[],4,FALSE)</f>
        <v>1008</v>
      </c>
      <c r="Q3491" s="6">
        <f>OrganizedData[[#This Row],[Total Items Ordered]]*VLOOKUP(OrganizedData[[#This Row],[Product Code]],ProductData[],3,FALSE)</f>
        <v>3417.1200000000003</v>
      </c>
      <c r="R34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3492" spans="1:18" x14ac:dyDescent="0.3">
      <c r="A3492" s="2">
        <v>3485</v>
      </c>
      <c r="B3492" s="2" t="s">
        <v>8288</v>
      </c>
      <c r="C3492" s="2" t="s">
        <v>367</v>
      </c>
      <c r="D3492" s="2" t="s">
        <v>28</v>
      </c>
      <c r="E3492" s="2" t="s">
        <v>29</v>
      </c>
      <c r="F3492" s="2">
        <v>30</v>
      </c>
      <c r="G3492" s="2" t="s">
        <v>10552</v>
      </c>
      <c r="H3492" s="2" t="s">
        <v>2218</v>
      </c>
      <c r="I3492" s="2" t="s">
        <v>173</v>
      </c>
      <c r="J3492" s="3">
        <v>44560</v>
      </c>
      <c r="K3492" s="5">
        <f>YEAR(OrganizedData[[#This Row],[Order Date]])</f>
        <v>2021</v>
      </c>
      <c r="L3492" s="7" t="str">
        <f>TEXT(OrganizedData[[#This Row],[Order Date]],"mmm")</f>
        <v>Dec</v>
      </c>
      <c r="M3492" s="2">
        <v>58</v>
      </c>
      <c r="N3492" s="2" t="s">
        <v>101</v>
      </c>
      <c r="O3492" s="2" t="str">
        <f>VLOOKUP(OrganizedData[[#This Row],[Product Code]],ProductData[[Code]:[Item]],2,FALSE)</f>
        <v>Superwossname</v>
      </c>
      <c r="P3492" s="4">
        <f>OrganizedData[[#This Row],[Quantity]]*VLOOKUP(OrganizedData[[#This Row],[Product Code]],ProductData[],4,FALSE)</f>
        <v>1160</v>
      </c>
      <c r="Q3492" s="6">
        <f>OrganizedData[[#This Row],[Total Items Ordered]]*VLOOKUP(OrganizedData[[#This Row],[Product Code]],ProductData[],3,FALSE)</f>
        <v>4048.4</v>
      </c>
      <c r="R34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3493" spans="1:18" x14ac:dyDescent="0.3">
      <c r="A3493" s="2">
        <v>3486</v>
      </c>
      <c r="B3493" s="2" t="s">
        <v>8290</v>
      </c>
      <c r="C3493" s="2" t="s">
        <v>8291</v>
      </c>
      <c r="D3493" s="2" t="s">
        <v>15</v>
      </c>
      <c r="E3493" s="2" t="s">
        <v>16</v>
      </c>
      <c r="F3493" s="2">
        <v>30</v>
      </c>
      <c r="G3493" s="2" t="s">
        <v>10553</v>
      </c>
      <c r="H3493" s="2" t="s">
        <v>1973</v>
      </c>
      <c r="I3493" s="2" t="s">
        <v>110</v>
      </c>
      <c r="J3493" s="3">
        <v>44078</v>
      </c>
      <c r="K3493" s="5">
        <f>YEAR(OrganizedData[[#This Row],[Order Date]])</f>
        <v>2020</v>
      </c>
      <c r="L3493" s="7" t="str">
        <f>TEXT(OrganizedData[[#This Row],[Order Date]],"mmm")</f>
        <v>Sep</v>
      </c>
      <c r="M3493" s="2">
        <v>19</v>
      </c>
      <c r="N3493" s="2" t="s">
        <v>54</v>
      </c>
      <c r="O3493" s="2" t="str">
        <f>VLOOKUP(OrganizedData[[#This Row],[Product Code]],ProductData[[Code]:[Item]],2,FALSE)</f>
        <v>Megawidget S</v>
      </c>
      <c r="P3493" s="4">
        <f>OrganizedData[[#This Row],[Quantity]]*VLOOKUP(OrganizedData[[#This Row],[Product Code]],ProductData[],4,FALSE)</f>
        <v>456</v>
      </c>
      <c r="Q3493" s="6">
        <f>OrganizedData[[#This Row],[Total Items Ordered]]*VLOOKUP(OrganizedData[[#This Row],[Product Code]],ProductData[],3,FALSE)</f>
        <v>314.64</v>
      </c>
      <c r="R34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314.64</v>
      </c>
    </row>
    <row r="3494" spans="1:18" x14ac:dyDescent="0.3">
      <c r="A3494" s="2">
        <v>3487</v>
      </c>
      <c r="B3494" s="2" t="s">
        <v>8293</v>
      </c>
      <c r="C3494" s="2" t="s">
        <v>8294</v>
      </c>
      <c r="D3494" s="2" t="s">
        <v>15</v>
      </c>
      <c r="E3494" s="2" t="s">
        <v>16</v>
      </c>
      <c r="F3494" s="2">
        <v>60</v>
      </c>
      <c r="G3494" s="2" t="s">
        <v>8295</v>
      </c>
      <c r="H3494" s="2" t="s">
        <v>3746</v>
      </c>
      <c r="I3494" s="2" t="s">
        <v>32</v>
      </c>
      <c r="J3494" s="3">
        <v>44660</v>
      </c>
      <c r="K3494" s="5">
        <f>YEAR(OrganizedData[[#This Row],[Order Date]])</f>
        <v>2022</v>
      </c>
      <c r="L3494" s="7" t="str">
        <f>TEXT(OrganizedData[[#This Row],[Order Date]],"mmm")</f>
        <v>Apr</v>
      </c>
      <c r="M3494" s="2">
        <v>61</v>
      </c>
      <c r="N3494" s="2" t="s">
        <v>80</v>
      </c>
      <c r="O3494" s="2" t="str">
        <f>VLOOKUP(OrganizedData[[#This Row],[Product Code]],ProductData[[Code]:[Item]],2,FALSE)</f>
        <v>Ultrathing V2</v>
      </c>
      <c r="P3494" s="4">
        <f>OrganizedData[[#This Row],[Quantity]]*VLOOKUP(OrganizedData[[#This Row],[Product Code]],ProductData[],4,FALSE)</f>
        <v>1220</v>
      </c>
      <c r="Q3494" s="6">
        <f>OrganizedData[[#This Row],[Total Items Ordered]]*VLOOKUP(OrganizedData[[#This Row],[Product Code]],ProductData[],3,FALSE)</f>
        <v>3599</v>
      </c>
      <c r="R34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3419.0499999999997</v>
      </c>
    </row>
    <row r="3495" spans="1:18" x14ac:dyDescent="0.3">
      <c r="A3495" s="2">
        <v>3488</v>
      </c>
      <c r="B3495" s="2" t="s">
        <v>5168</v>
      </c>
      <c r="C3495" s="2" t="s">
        <v>931</v>
      </c>
      <c r="D3495" s="2" t="s">
        <v>28</v>
      </c>
      <c r="E3495" s="2" t="s">
        <v>29</v>
      </c>
      <c r="F3495" s="2">
        <v>30</v>
      </c>
      <c r="G3495" s="2" t="s">
        <v>8296</v>
      </c>
      <c r="H3495" s="2" t="s">
        <v>1378</v>
      </c>
      <c r="I3495" s="2" t="s">
        <v>32</v>
      </c>
      <c r="J3495" s="3">
        <v>44317</v>
      </c>
      <c r="K3495" s="5">
        <f>YEAR(OrganizedData[[#This Row],[Order Date]])</f>
        <v>2021</v>
      </c>
      <c r="L3495" s="7" t="str">
        <f>TEXT(OrganizedData[[#This Row],[Order Date]],"mmm")</f>
        <v>May</v>
      </c>
      <c r="M3495" s="2">
        <v>11</v>
      </c>
      <c r="N3495" s="2" t="s">
        <v>101</v>
      </c>
      <c r="O3495" s="2" t="str">
        <f>VLOOKUP(OrganizedData[[#This Row],[Product Code]],ProductData[[Code]:[Item]],2,FALSE)</f>
        <v>Superwossname</v>
      </c>
      <c r="P3495" s="4">
        <f>OrganizedData[[#This Row],[Quantity]]*VLOOKUP(OrganizedData[[#This Row],[Product Code]],ProductData[],4,FALSE)</f>
        <v>220</v>
      </c>
      <c r="Q3495" s="6">
        <f>OrganizedData[[#This Row],[Total Items Ordered]]*VLOOKUP(OrganizedData[[#This Row],[Product Code]],ProductData[],3,FALSE)</f>
        <v>767.80000000000007</v>
      </c>
      <c r="R34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3496" spans="1:18" x14ac:dyDescent="0.3">
      <c r="A3496" s="2">
        <v>3489</v>
      </c>
      <c r="B3496" s="2" t="s">
        <v>3300</v>
      </c>
      <c r="C3496" s="2" t="s">
        <v>6073</v>
      </c>
      <c r="D3496" s="2" t="s">
        <v>28</v>
      </c>
      <c r="E3496" s="2" t="s">
        <v>29</v>
      </c>
      <c r="F3496" s="2">
        <v>30</v>
      </c>
      <c r="G3496" s="2" t="s">
        <v>8297</v>
      </c>
      <c r="H3496" s="2" t="s">
        <v>5376</v>
      </c>
      <c r="I3496" s="2" t="s">
        <v>32</v>
      </c>
      <c r="J3496" s="3">
        <v>43984</v>
      </c>
      <c r="K3496" s="5">
        <f>YEAR(OrganizedData[[#This Row],[Order Date]])</f>
        <v>2020</v>
      </c>
      <c r="L3496" s="7" t="str">
        <f>TEXT(OrganizedData[[#This Row],[Order Date]],"mmm")</f>
        <v>Jun</v>
      </c>
      <c r="M3496" s="2">
        <v>16</v>
      </c>
      <c r="N3496" s="2" t="s">
        <v>101</v>
      </c>
      <c r="O3496" s="2" t="str">
        <f>VLOOKUP(OrganizedData[[#This Row],[Product Code]],ProductData[[Code]:[Item]],2,FALSE)</f>
        <v>Superwossname</v>
      </c>
      <c r="P3496" s="4">
        <f>OrganizedData[[#This Row],[Quantity]]*VLOOKUP(OrganizedData[[#This Row],[Product Code]],ProductData[],4,FALSE)</f>
        <v>320</v>
      </c>
      <c r="Q3496" s="6">
        <f>OrganizedData[[#This Row],[Total Items Ordered]]*VLOOKUP(OrganizedData[[#This Row],[Product Code]],ProductData[],3,FALSE)</f>
        <v>1116.8000000000002</v>
      </c>
      <c r="R34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3497" spans="1:18" x14ac:dyDescent="0.3">
      <c r="A3497" s="2">
        <v>3490</v>
      </c>
      <c r="B3497" s="2" t="s">
        <v>1379</v>
      </c>
      <c r="C3497" s="2" t="s">
        <v>3014</v>
      </c>
      <c r="D3497" s="2" t="s">
        <v>28</v>
      </c>
      <c r="E3497" s="2" t="s">
        <v>29</v>
      </c>
      <c r="F3497" s="2">
        <v>30</v>
      </c>
      <c r="G3497" s="2" t="s">
        <v>8297</v>
      </c>
      <c r="H3497" s="2" t="s">
        <v>5686</v>
      </c>
      <c r="I3497" s="2" t="s">
        <v>32</v>
      </c>
      <c r="J3497" s="3">
        <v>43913</v>
      </c>
      <c r="K3497" s="5">
        <f>YEAR(OrganizedData[[#This Row],[Order Date]])</f>
        <v>2020</v>
      </c>
      <c r="L3497" s="7" t="str">
        <f>TEXT(OrganizedData[[#This Row],[Order Date]],"mmm")</f>
        <v>Mar</v>
      </c>
      <c r="M3497" s="2">
        <v>56</v>
      </c>
      <c r="N3497" s="2" t="s">
        <v>33</v>
      </c>
      <c r="O3497" s="2" t="str">
        <f>VLOOKUP(OrganizedData[[#This Row],[Product Code]],ProductData[[Code]:[Item]],2,FALSE)</f>
        <v>Megawidget L</v>
      </c>
      <c r="P3497" s="4">
        <f>OrganizedData[[#This Row],[Quantity]]*VLOOKUP(OrganizedData[[#This Row],[Product Code]],ProductData[],4,FALSE)</f>
        <v>1344</v>
      </c>
      <c r="Q3497" s="6">
        <f>OrganizedData[[#This Row],[Total Items Ordered]]*VLOOKUP(OrganizedData[[#This Row],[Product Code]],ProductData[],3,FALSE)</f>
        <v>2405.7600000000002</v>
      </c>
      <c r="R34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2285.4720000000002</v>
      </c>
    </row>
    <row r="3498" spans="1:18" x14ac:dyDescent="0.3">
      <c r="A3498" s="2">
        <v>3491</v>
      </c>
      <c r="B3498" s="2" t="s">
        <v>8298</v>
      </c>
      <c r="C3498" s="2" t="s">
        <v>7652</v>
      </c>
      <c r="D3498" s="2" t="s">
        <v>15</v>
      </c>
      <c r="E3498" s="2" t="s">
        <v>16</v>
      </c>
      <c r="F3498" s="2">
        <v>30</v>
      </c>
      <c r="G3498" s="2" t="s">
        <v>8299</v>
      </c>
      <c r="H3498" s="2" t="s">
        <v>5995</v>
      </c>
      <c r="I3498" s="2" t="s">
        <v>187</v>
      </c>
      <c r="J3498" s="3">
        <v>44244</v>
      </c>
      <c r="K3498" s="5">
        <f>YEAR(OrganizedData[[#This Row],[Order Date]])</f>
        <v>2021</v>
      </c>
      <c r="L3498" s="7" t="str">
        <f>TEXT(OrganizedData[[#This Row],[Order Date]],"mmm")</f>
        <v>Feb</v>
      </c>
      <c r="M3498" s="2">
        <v>70</v>
      </c>
      <c r="N3498" s="2" t="s">
        <v>70</v>
      </c>
      <c r="O3498" s="2" t="str">
        <f>VLOOKUP(OrganizedData[[#This Row],[Product Code]],ProductData[[Code]:[Item]],2,FALSE)</f>
        <v>Megawidget M</v>
      </c>
      <c r="P3498" s="4">
        <f>OrganizedData[[#This Row],[Quantity]]*VLOOKUP(OrganizedData[[#This Row],[Product Code]],ProductData[],4,FALSE)</f>
        <v>1680</v>
      </c>
      <c r="Q3498" s="6">
        <f>OrganizedData[[#This Row],[Total Items Ordered]]*VLOOKUP(OrganizedData[[#This Row],[Product Code]],ProductData[],3,FALSE)</f>
        <v>2167.2000000000003</v>
      </c>
      <c r="R34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2058.84</v>
      </c>
    </row>
    <row r="3499" spans="1:18" x14ac:dyDescent="0.3">
      <c r="A3499" s="2">
        <v>3492</v>
      </c>
      <c r="B3499" s="2" t="s">
        <v>7484</v>
      </c>
      <c r="C3499" s="2" t="s">
        <v>6534</v>
      </c>
      <c r="D3499" s="2" t="s">
        <v>41</v>
      </c>
      <c r="E3499" s="2" t="s">
        <v>16</v>
      </c>
      <c r="F3499" s="2">
        <v>90</v>
      </c>
      <c r="G3499" s="2" t="s">
        <v>8300</v>
      </c>
      <c r="H3499" s="2" t="s">
        <v>3984</v>
      </c>
      <c r="I3499" s="2" t="s">
        <v>32</v>
      </c>
      <c r="J3499" s="3">
        <v>44265</v>
      </c>
      <c r="K3499" s="5">
        <f>YEAR(OrganizedData[[#This Row],[Order Date]])</f>
        <v>2021</v>
      </c>
      <c r="L3499" s="7" t="str">
        <f>TEXT(OrganizedData[[#This Row],[Order Date]],"mmm")</f>
        <v>Mar</v>
      </c>
      <c r="M3499" s="2">
        <v>39</v>
      </c>
      <c r="N3499" s="2" t="s">
        <v>80</v>
      </c>
      <c r="O3499" s="2" t="str">
        <f>VLOOKUP(OrganizedData[[#This Row],[Product Code]],ProductData[[Code]:[Item]],2,FALSE)</f>
        <v>Ultrathing V2</v>
      </c>
      <c r="P3499" s="4">
        <f>OrganizedData[[#This Row],[Quantity]]*VLOOKUP(OrganizedData[[#This Row],[Product Code]],ProductData[],4,FALSE)</f>
        <v>780</v>
      </c>
      <c r="Q3499" s="6">
        <f>OrganizedData[[#This Row],[Total Items Ordered]]*VLOOKUP(OrganizedData[[#This Row],[Product Code]],ProductData[],3,FALSE)</f>
        <v>2301</v>
      </c>
      <c r="R34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3500" spans="1:18" x14ac:dyDescent="0.3">
      <c r="A3500" s="2">
        <v>3493</v>
      </c>
      <c r="B3500" s="2" t="s">
        <v>8301</v>
      </c>
      <c r="C3500" s="2" t="s">
        <v>4903</v>
      </c>
      <c r="D3500" s="2" t="s">
        <v>51</v>
      </c>
      <c r="E3500" s="2" t="s">
        <v>16</v>
      </c>
      <c r="F3500" s="2">
        <v>30</v>
      </c>
      <c r="G3500" s="2" t="s">
        <v>8302</v>
      </c>
      <c r="H3500" s="2" t="s">
        <v>2583</v>
      </c>
      <c r="I3500" s="2" t="s">
        <v>32</v>
      </c>
      <c r="J3500" s="3">
        <v>44562</v>
      </c>
      <c r="K3500" s="5">
        <f>YEAR(OrganizedData[[#This Row],[Order Date]])</f>
        <v>2022</v>
      </c>
      <c r="L3500" s="7" t="str">
        <f>TEXT(OrganizedData[[#This Row],[Order Date]],"mmm")</f>
        <v>Jan</v>
      </c>
      <c r="M3500" s="2">
        <v>26</v>
      </c>
      <c r="N3500" s="2" t="s">
        <v>45</v>
      </c>
      <c r="O3500" s="2" t="str">
        <f>VLOOKUP(OrganizedData[[#This Row],[Product Code]],ProductData[[Code]:[Item]],2,FALSE)</f>
        <v>Gigastuff</v>
      </c>
      <c r="P3500" s="4">
        <f>OrganizedData[[#This Row],[Quantity]]*VLOOKUP(OrganizedData[[#This Row],[Product Code]],ProductData[],4,FALSE)</f>
        <v>468</v>
      </c>
      <c r="Q3500" s="6">
        <f>OrganizedData[[#This Row],[Total Items Ordered]]*VLOOKUP(OrganizedData[[#This Row],[Product Code]],ProductData[],3,FALSE)</f>
        <v>884.52</v>
      </c>
      <c r="R35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3501" spans="1:18" x14ac:dyDescent="0.3">
      <c r="A3501" s="2">
        <v>3494</v>
      </c>
      <c r="B3501" s="2" t="s">
        <v>232</v>
      </c>
      <c r="C3501" s="2" t="s">
        <v>3493</v>
      </c>
      <c r="D3501" s="2" t="s">
        <v>28</v>
      </c>
      <c r="E3501" s="2" t="s">
        <v>29</v>
      </c>
      <c r="F3501" s="2">
        <v>30</v>
      </c>
      <c r="G3501" s="2" t="s">
        <v>8303</v>
      </c>
      <c r="H3501" s="2" t="s">
        <v>109</v>
      </c>
      <c r="I3501" s="2" t="s">
        <v>110</v>
      </c>
      <c r="J3501" s="3">
        <v>44225</v>
      </c>
      <c r="K3501" s="5">
        <f>YEAR(OrganizedData[[#This Row],[Order Date]])</f>
        <v>2021</v>
      </c>
      <c r="L3501" s="7" t="str">
        <f>TEXT(OrganizedData[[#This Row],[Order Date]],"mmm")</f>
        <v>Jan</v>
      </c>
      <c r="M3501" s="2">
        <v>13</v>
      </c>
      <c r="N3501" s="2" t="s">
        <v>20</v>
      </c>
      <c r="O3501" s="2" t="str">
        <f>VLOOKUP(OrganizedData[[#This Row],[Product Code]],ProductData[[Code]:[Item]],2,FALSE)</f>
        <v>Hyperwotsit</v>
      </c>
      <c r="P3501" s="4">
        <f>OrganizedData[[#This Row],[Quantity]]*VLOOKUP(OrganizedData[[#This Row],[Product Code]],ProductData[],4,FALSE)</f>
        <v>260</v>
      </c>
      <c r="Q3501" s="6">
        <f>OrganizedData[[#This Row],[Total Items Ordered]]*VLOOKUP(OrganizedData[[#This Row],[Product Code]],ProductData[],3,FALSE)</f>
        <v>522.59999999999991</v>
      </c>
      <c r="R35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3502" spans="1:18" x14ac:dyDescent="0.3">
      <c r="A3502" s="2">
        <v>3495</v>
      </c>
      <c r="B3502" s="2" t="s">
        <v>8304</v>
      </c>
      <c r="C3502" s="2" t="s">
        <v>3102</v>
      </c>
      <c r="D3502" s="2" t="s">
        <v>15</v>
      </c>
      <c r="E3502" s="2" t="s">
        <v>16</v>
      </c>
      <c r="F3502" s="2">
        <v>30</v>
      </c>
      <c r="G3502" s="2" t="s">
        <v>8303</v>
      </c>
      <c r="H3502" s="2" t="s">
        <v>6228</v>
      </c>
      <c r="I3502" s="2" t="s">
        <v>187</v>
      </c>
      <c r="J3502" s="3">
        <v>44141</v>
      </c>
      <c r="K3502" s="5">
        <f>YEAR(OrganizedData[[#This Row],[Order Date]])</f>
        <v>2020</v>
      </c>
      <c r="L3502" s="7" t="str">
        <f>TEXT(OrganizedData[[#This Row],[Order Date]],"mmm")</f>
        <v>Nov</v>
      </c>
      <c r="M3502" s="2">
        <v>83</v>
      </c>
      <c r="N3502" s="2" t="s">
        <v>101</v>
      </c>
      <c r="O3502" s="2" t="str">
        <f>VLOOKUP(OrganizedData[[#This Row],[Product Code]],ProductData[[Code]:[Item]],2,FALSE)</f>
        <v>Superwossname</v>
      </c>
      <c r="P3502" s="4">
        <f>OrganizedData[[#This Row],[Quantity]]*VLOOKUP(OrganizedData[[#This Row],[Product Code]],ProductData[],4,FALSE)</f>
        <v>1660</v>
      </c>
      <c r="Q3502" s="6">
        <f>OrganizedData[[#This Row],[Total Items Ordered]]*VLOOKUP(OrganizedData[[#This Row],[Product Code]],ProductData[],3,FALSE)</f>
        <v>5793.4000000000005</v>
      </c>
      <c r="R35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3503" spans="1:18" x14ac:dyDescent="0.3">
      <c r="A3503" s="2">
        <v>3496</v>
      </c>
      <c r="B3503" s="2" t="s">
        <v>752</v>
      </c>
      <c r="C3503" s="2" t="s">
        <v>1923</v>
      </c>
      <c r="D3503" s="2" t="s">
        <v>117</v>
      </c>
      <c r="E3503" s="2" t="s">
        <v>29</v>
      </c>
      <c r="F3503" s="2">
        <v>60</v>
      </c>
      <c r="G3503" s="2" t="s">
        <v>8305</v>
      </c>
      <c r="H3503" s="2" t="s">
        <v>1519</v>
      </c>
      <c r="I3503" s="2" t="s">
        <v>32</v>
      </c>
      <c r="J3503" s="3">
        <v>43936</v>
      </c>
      <c r="K3503" s="5">
        <f>YEAR(OrganizedData[[#This Row],[Order Date]])</f>
        <v>2020</v>
      </c>
      <c r="L3503" s="7" t="str">
        <f>TEXT(OrganizedData[[#This Row],[Order Date]],"mmm")</f>
        <v>Apr</v>
      </c>
      <c r="M3503" s="2">
        <v>2</v>
      </c>
      <c r="N3503" s="2" t="s">
        <v>54</v>
      </c>
      <c r="O3503" s="2" t="str">
        <f>VLOOKUP(OrganizedData[[#This Row],[Product Code]],ProductData[[Code]:[Item]],2,FALSE)</f>
        <v>Megawidget S</v>
      </c>
      <c r="P3503" s="4">
        <f>OrganizedData[[#This Row],[Quantity]]*VLOOKUP(OrganizedData[[#This Row],[Product Code]],ProductData[],4,FALSE)</f>
        <v>48</v>
      </c>
      <c r="Q3503" s="6">
        <f>OrganizedData[[#This Row],[Total Items Ordered]]*VLOOKUP(OrganizedData[[#This Row],[Product Code]],ProductData[],3,FALSE)</f>
        <v>33.119999999999997</v>
      </c>
      <c r="R35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33.119999999999997</v>
      </c>
    </row>
    <row r="3504" spans="1:18" x14ac:dyDescent="0.3">
      <c r="A3504" s="2">
        <v>3497</v>
      </c>
      <c r="B3504" s="2" t="s">
        <v>6172</v>
      </c>
      <c r="C3504" s="2" t="s">
        <v>8306</v>
      </c>
      <c r="D3504" s="2" t="s">
        <v>28</v>
      </c>
      <c r="E3504" s="2" t="s">
        <v>29</v>
      </c>
      <c r="F3504" s="2">
        <v>30</v>
      </c>
      <c r="G3504" s="2" t="s">
        <v>8307</v>
      </c>
      <c r="H3504" s="2" t="s">
        <v>7844</v>
      </c>
      <c r="I3504" s="2" t="s">
        <v>124</v>
      </c>
      <c r="J3504" s="3">
        <v>44545</v>
      </c>
      <c r="K3504" s="5">
        <f>YEAR(OrganizedData[[#This Row],[Order Date]])</f>
        <v>2021</v>
      </c>
      <c r="L3504" s="7" t="str">
        <f>TEXT(OrganizedData[[#This Row],[Order Date]],"mmm")</f>
        <v>Dec</v>
      </c>
      <c r="M3504" s="2">
        <v>43</v>
      </c>
      <c r="N3504" s="2" t="s">
        <v>80</v>
      </c>
      <c r="O3504" s="2" t="str">
        <f>VLOOKUP(OrganizedData[[#This Row],[Product Code]],ProductData[[Code]:[Item]],2,FALSE)</f>
        <v>Ultrathing V2</v>
      </c>
      <c r="P3504" s="4">
        <f>OrganizedData[[#This Row],[Quantity]]*VLOOKUP(OrganizedData[[#This Row],[Product Code]],ProductData[],4,FALSE)</f>
        <v>860</v>
      </c>
      <c r="Q3504" s="6">
        <f>OrganizedData[[#This Row],[Total Items Ordered]]*VLOOKUP(OrganizedData[[#This Row],[Product Code]],ProductData[],3,FALSE)</f>
        <v>2537</v>
      </c>
      <c r="R35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3505" spans="1:18" x14ac:dyDescent="0.3">
      <c r="A3505" s="2">
        <v>3498</v>
      </c>
      <c r="B3505" s="2" t="s">
        <v>8308</v>
      </c>
      <c r="C3505" s="2" t="s">
        <v>858</v>
      </c>
      <c r="D3505" s="2" t="s">
        <v>51</v>
      </c>
      <c r="E3505" s="2" t="s">
        <v>16</v>
      </c>
      <c r="F3505" s="2">
        <v>60</v>
      </c>
      <c r="G3505" s="2" t="s">
        <v>8309</v>
      </c>
      <c r="H3505" s="2" t="s">
        <v>4484</v>
      </c>
      <c r="I3505" s="2" t="s">
        <v>32</v>
      </c>
      <c r="J3505" s="3">
        <v>44848</v>
      </c>
      <c r="K3505" s="5">
        <f>YEAR(OrganizedData[[#This Row],[Order Date]])</f>
        <v>2022</v>
      </c>
      <c r="L3505" s="7" t="str">
        <f>TEXT(OrganizedData[[#This Row],[Order Date]],"mmm")</f>
        <v>Oct</v>
      </c>
      <c r="M3505" s="2">
        <v>22</v>
      </c>
      <c r="N3505" s="2" t="s">
        <v>80</v>
      </c>
      <c r="O3505" s="2" t="str">
        <f>VLOOKUP(OrganizedData[[#This Row],[Product Code]],ProductData[[Code]:[Item]],2,FALSE)</f>
        <v>Ultrathing V2</v>
      </c>
      <c r="P3505" s="4">
        <f>OrganizedData[[#This Row],[Quantity]]*VLOOKUP(OrganizedData[[#This Row],[Product Code]],ProductData[],4,FALSE)</f>
        <v>440</v>
      </c>
      <c r="Q3505" s="6">
        <f>OrganizedData[[#This Row],[Total Items Ordered]]*VLOOKUP(OrganizedData[[#This Row],[Product Code]],ProductData[],3,FALSE)</f>
        <v>1298</v>
      </c>
      <c r="R35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3506" spans="1:18" x14ac:dyDescent="0.3">
      <c r="A3506" s="2">
        <v>3499</v>
      </c>
      <c r="B3506" s="2" t="s">
        <v>7595</v>
      </c>
      <c r="C3506" s="2" t="s">
        <v>7204</v>
      </c>
      <c r="D3506" s="2" t="s">
        <v>28</v>
      </c>
      <c r="E3506" s="2" t="s">
        <v>29</v>
      </c>
      <c r="F3506" s="2">
        <v>90</v>
      </c>
      <c r="G3506" s="2" t="s">
        <v>8310</v>
      </c>
      <c r="H3506" s="2" t="s">
        <v>2696</v>
      </c>
      <c r="I3506" s="2" t="s">
        <v>95</v>
      </c>
      <c r="J3506" s="3">
        <v>44725</v>
      </c>
      <c r="K3506" s="5">
        <f>YEAR(OrganizedData[[#This Row],[Order Date]])</f>
        <v>2022</v>
      </c>
      <c r="L3506" s="7" t="str">
        <f>TEXT(OrganizedData[[#This Row],[Order Date]],"mmm")</f>
        <v>Jun</v>
      </c>
      <c r="M3506" s="2">
        <v>16</v>
      </c>
      <c r="N3506" s="2" t="s">
        <v>101</v>
      </c>
      <c r="O3506" s="2" t="str">
        <f>VLOOKUP(OrganizedData[[#This Row],[Product Code]],ProductData[[Code]:[Item]],2,FALSE)</f>
        <v>Superwossname</v>
      </c>
      <c r="P3506" s="4">
        <f>OrganizedData[[#This Row],[Quantity]]*VLOOKUP(OrganizedData[[#This Row],[Product Code]],ProductData[],4,FALSE)</f>
        <v>320</v>
      </c>
      <c r="Q3506" s="6">
        <f>OrganizedData[[#This Row],[Total Items Ordered]]*VLOOKUP(OrganizedData[[#This Row],[Product Code]],ProductData[],3,FALSE)</f>
        <v>1116.8000000000002</v>
      </c>
      <c r="R35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3507" spans="1:18" x14ac:dyDescent="0.3">
      <c r="A3507" s="2">
        <v>3500</v>
      </c>
      <c r="B3507" s="2" t="s">
        <v>5764</v>
      </c>
      <c r="C3507" s="2" t="s">
        <v>5258</v>
      </c>
      <c r="D3507" s="2" t="s">
        <v>28</v>
      </c>
      <c r="E3507" s="2" t="s">
        <v>29</v>
      </c>
      <c r="F3507" s="2">
        <v>60</v>
      </c>
      <c r="G3507" s="2" t="s">
        <v>8311</v>
      </c>
      <c r="H3507" s="2" t="s">
        <v>6951</v>
      </c>
      <c r="I3507" s="2" t="s">
        <v>38</v>
      </c>
      <c r="J3507" s="3">
        <v>44544</v>
      </c>
      <c r="K3507" s="5">
        <f>YEAR(OrganizedData[[#This Row],[Order Date]])</f>
        <v>2021</v>
      </c>
      <c r="L3507" s="7" t="str">
        <f>TEXT(OrganizedData[[#This Row],[Order Date]],"mmm")</f>
        <v>Dec</v>
      </c>
      <c r="M3507" s="2">
        <v>56</v>
      </c>
      <c r="N3507" s="2" t="s">
        <v>39</v>
      </c>
      <c r="O3507" s="2" t="str">
        <f>VLOOKUP(OrganizedData[[#This Row],[Product Code]],ProductData[[Code]:[Item]],2,FALSE)</f>
        <v>Ultrathing V1</v>
      </c>
      <c r="P3507" s="4">
        <f>OrganizedData[[#This Row],[Quantity]]*VLOOKUP(OrganizedData[[#This Row],[Product Code]],ProductData[],4,FALSE)</f>
        <v>952</v>
      </c>
      <c r="Q3507" s="6">
        <f>OrganizedData[[#This Row],[Total Items Ordered]]*VLOOKUP(OrganizedData[[#This Row],[Product Code]],ProductData[],3,FALSE)</f>
        <v>1704.08</v>
      </c>
      <c r="R35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1618.8759999999997</v>
      </c>
    </row>
    <row r="3508" spans="1:18" x14ac:dyDescent="0.3">
      <c r="A3508" s="2">
        <v>3501</v>
      </c>
      <c r="B3508" s="2" t="s">
        <v>2203</v>
      </c>
      <c r="C3508" s="2" t="s">
        <v>8312</v>
      </c>
      <c r="D3508" s="2" t="s">
        <v>51</v>
      </c>
      <c r="E3508" s="2" t="s">
        <v>16</v>
      </c>
      <c r="F3508" s="2">
        <v>60</v>
      </c>
      <c r="G3508" s="2" t="s">
        <v>8313</v>
      </c>
      <c r="H3508" s="2" t="s">
        <v>2053</v>
      </c>
      <c r="I3508" s="2" t="s">
        <v>187</v>
      </c>
      <c r="J3508" s="3">
        <v>44647</v>
      </c>
      <c r="K3508" s="5">
        <f>YEAR(OrganizedData[[#This Row],[Order Date]])</f>
        <v>2022</v>
      </c>
      <c r="L3508" s="7" t="str">
        <f>TEXT(OrganizedData[[#This Row],[Order Date]],"mmm")</f>
        <v>Mar</v>
      </c>
      <c r="M3508" s="2">
        <v>31</v>
      </c>
      <c r="N3508" s="2" t="s">
        <v>70</v>
      </c>
      <c r="O3508" s="2" t="str">
        <f>VLOOKUP(OrganizedData[[#This Row],[Product Code]],ProductData[[Code]:[Item]],2,FALSE)</f>
        <v>Megawidget M</v>
      </c>
      <c r="P3508" s="4">
        <f>OrganizedData[[#This Row],[Quantity]]*VLOOKUP(OrganizedData[[#This Row],[Product Code]],ProductData[],4,FALSE)</f>
        <v>744</v>
      </c>
      <c r="Q3508" s="6">
        <f>OrganizedData[[#This Row],[Total Items Ordered]]*VLOOKUP(OrganizedData[[#This Row],[Product Code]],ProductData[],3,FALSE)</f>
        <v>959.76</v>
      </c>
      <c r="R35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930.96719999999993</v>
      </c>
    </row>
    <row r="3509" spans="1:18" x14ac:dyDescent="0.3">
      <c r="A3509" s="2">
        <v>3502</v>
      </c>
      <c r="B3509" s="2" t="s">
        <v>6271</v>
      </c>
      <c r="C3509" s="2" t="s">
        <v>5428</v>
      </c>
      <c r="D3509" s="2" t="s">
        <v>15</v>
      </c>
      <c r="E3509" s="2" t="s">
        <v>16</v>
      </c>
      <c r="F3509" s="2">
        <v>90</v>
      </c>
      <c r="G3509" s="2" t="s">
        <v>8314</v>
      </c>
      <c r="H3509" s="2" t="s">
        <v>1295</v>
      </c>
      <c r="I3509" s="2" t="s">
        <v>32</v>
      </c>
      <c r="J3509" s="3">
        <v>44678</v>
      </c>
      <c r="K3509" s="5">
        <f>YEAR(OrganizedData[[#This Row],[Order Date]])</f>
        <v>2022</v>
      </c>
      <c r="L3509" s="7" t="str">
        <f>TEXT(OrganizedData[[#This Row],[Order Date]],"mmm")</f>
        <v>Apr</v>
      </c>
      <c r="M3509" s="2">
        <v>95</v>
      </c>
      <c r="N3509" s="2" t="s">
        <v>159</v>
      </c>
      <c r="O3509" s="2" t="str">
        <f>VLOOKUP(OrganizedData[[#This Row],[Product Code]],ProductData[[Code]:[Item]],2,FALSE)</f>
        <v>Ultrathing V3</v>
      </c>
      <c r="P3509" s="4">
        <f>OrganizedData[[#This Row],[Quantity]]*VLOOKUP(OrganizedData[[#This Row],[Product Code]],ProductData[],4,FALSE)</f>
        <v>2280</v>
      </c>
      <c r="Q3509" s="6">
        <f>OrganizedData[[#This Row],[Total Items Ordered]]*VLOOKUP(OrganizedData[[#This Row],[Product Code]],ProductData[],3,FALSE)</f>
        <v>7729.2000000000007</v>
      </c>
      <c r="R35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7342.7400000000007</v>
      </c>
    </row>
    <row r="3510" spans="1:18" x14ac:dyDescent="0.3">
      <c r="A3510" s="2">
        <v>3503</v>
      </c>
      <c r="B3510" s="2" t="s">
        <v>8315</v>
      </c>
      <c r="C3510" s="2" t="s">
        <v>4819</v>
      </c>
      <c r="D3510" s="2" t="s">
        <v>15</v>
      </c>
      <c r="E3510" s="2" t="s">
        <v>16</v>
      </c>
      <c r="F3510" s="2">
        <v>90</v>
      </c>
      <c r="G3510" s="2" t="s">
        <v>8316</v>
      </c>
      <c r="H3510" s="2" t="s">
        <v>1834</v>
      </c>
      <c r="I3510" s="2" t="s">
        <v>32</v>
      </c>
      <c r="J3510" s="3">
        <v>43853</v>
      </c>
      <c r="K3510" s="5">
        <f>YEAR(OrganizedData[[#This Row],[Order Date]])</f>
        <v>2020</v>
      </c>
      <c r="L3510" s="7" t="str">
        <f>TEXT(OrganizedData[[#This Row],[Order Date]],"mmm")</f>
        <v>Jan</v>
      </c>
      <c r="M3510" s="2">
        <v>42</v>
      </c>
      <c r="N3510" s="2" t="s">
        <v>159</v>
      </c>
      <c r="O3510" s="2" t="str">
        <f>VLOOKUP(OrganizedData[[#This Row],[Product Code]],ProductData[[Code]:[Item]],2,FALSE)</f>
        <v>Ultrathing V3</v>
      </c>
      <c r="P3510" s="4">
        <f>OrganizedData[[#This Row],[Quantity]]*VLOOKUP(OrganizedData[[#This Row],[Product Code]],ProductData[],4,FALSE)</f>
        <v>1008</v>
      </c>
      <c r="Q3510" s="6">
        <f>OrganizedData[[#This Row],[Total Items Ordered]]*VLOOKUP(OrganizedData[[#This Row],[Product Code]],ProductData[],3,FALSE)</f>
        <v>3417.1200000000003</v>
      </c>
      <c r="R35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3511" spans="1:18" x14ac:dyDescent="0.3">
      <c r="A3511" s="2">
        <v>3504</v>
      </c>
      <c r="B3511" s="2" t="s">
        <v>8317</v>
      </c>
      <c r="C3511" s="2" t="s">
        <v>7412</v>
      </c>
      <c r="D3511" s="2" t="s">
        <v>15</v>
      </c>
      <c r="E3511" s="2" t="s">
        <v>16</v>
      </c>
      <c r="F3511" s="2">
        <v>90</v>
      </c>
      <c r="G3511" s="2" t="s">
        <v>8318</v>
      </c>
      <c r="H3511" s="2" t="s">
        <v>6612</v>
      </c>
      <c r="I3511" s="2" t="s">
        <v>25</v>
      </c>
      <c r="J3511" s="3">
        <v>44356</v>
      </c>
      <c r="K3511" s="5">
        <f>YEAR(OrganizedData[[#This Row],[Order Date]])</f>
        <v>2021</v>
      </c>
      <c r="L3511" s="7" t="str">
        <f>TEXT(OrganizedData[[#This Row],[Order Date]],"mmm")</f>
        <v>Jun</v>
      </c>
      <c r="M3511" s="2">
        <v>47</v>
      </c>
      <c r="N3511" s="2" t="s">
        <v>20</v>
      </c>
      <c r="O3511" s="2" t="str">
        <f>VLOOKUP(OrganizedData[[#This Row],[Product Code]],ProductData[[Code]:[Item]],2,FALSE)</f>
        <v>Hyperwotsit</v>
      </c>
      <c r="P3511" s="4">
        <f>OrganizedData[[#This Row],[Quantity]]*VLOOKUP(OrganizedData[[#This Row],[Product Code]],ProductData[],4,FALSE)</f>
        <v>940</v>
      </c>
      <c r="Q3511" s="6">
        <f>OrganizedData[[#This Row],[Total Items Ordered]]*VLOOKUP(OrganizedData[[#This Row],[Product Code]],ProductData[],3,FALSE)</f>
        <v>1889.3999999999999</v>
      </c>
      <c r="R35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3512" spans="1:18" x14ac:dyDescent="0.3">
      <c r="A3512" s="2">
        <v>3505</v>
      </c>
      <c r="B3512" s="2" t="s">
        <v>8319</v>
      </c>
      <c r="C3512" s="2" t="s">
        <v>4439</v>
      </c>
      <c r="D3512" s="2" t="s">
        <v>51</v>
      </c>
      <c r="E3512" s="2" t="s">
        <v>16</v>
      </c>
      <c r="F3512" s="2">
        <v>90</v>
      </c>
      <c r="G3512" s="2" t="s">
        <v>8320</v>
      </c>
      <c r="H3512" s="2" t="s">
        <v>137</v>
      </c>
      <c r="I3512" s="2" t="s">
        <v>32</v>
      </c>
      <c r="J3512" s="3">
        <v>44909</v>
      </c>
      <c r="K3512" s="5">
        <f>YEAR(OrganizedData[[#This Row],[Order Date]])</f>
        <v>2022</v>
      </c>
      <c r="L3512" s="7" t="str">
        <f>TEXT(OrganizedData[[#This Row],[Order Date]],"mmm")</f>
        <v>Dec</v>
      </c>
      <c r="M3512" s="2">
        <v>95</v>
      </c>
      <c r="N3512" s="2" t="s">
        <v>101</v>
      </c>
      <c r="O3512" s="2" t="str">
        <f>VLOOKUP(OrganizedData[[#This Row],[Product Code]],ProductData[[Code]:[Item]],2,FALSE)</f>
        <v>Superwossname</v>
      </c>
      <c r="P3512" s="4">
        <f>OrganizedData[[#This Row],[Quantity]]*VLOOKUP(OrganizedData[[#This Row],[Product Code]],ProductData[],4,FALSE)</f>
        <v>1900</v>
      </c>
      <c r="Q3512" s="6">
        <f>OrganizedData[[#This Row],[Total Items Ordered]]*VLOOKUP(OrganizedData[[#This Row],[Product Code]],ProductData[],3,FALSE)</f>
        <v>6631</v>
      </c>
      <c r="R35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6299.45</v>
      </c>
    </row>
    <row r="3513" spans="1:18" x14ac:dyDescent="0.3">
      <c r="A3513" s="2">
        <v>3506</v>
      </c>
      <c r="B3513" s="2" t="s">
        <v>4596</v>
      </c>
      <c r="C3513" s="2" t="s">
        <v>7359</v>
      </c>
      <c r="D3513" s="2" t="s">
        <v>28</v>
      </c>
      <c r="E3513" s="2" t="s">
        <v>29</v>
      </c>
      <c r="F3513" s="2">
        <v>60</v>
      </c>
      <c r="G3513" s="2" t="s">
        <v>8321</v>
      </c>
      <c r="H3513" s="2" t="s">
        <v>279</v>
      </c>
      <c r="I3513" s="2" t="s">
        <v>213</v>
      </c>
      <c r="J3513" s="3">
        <v>44370</v>
      </c>
      <c r="K3513" s="5">
        <f>YEAR(OrganizedData[[#This Row],[Order Date]])</f>
        <v>2021</v>
      </c>
      <c r="L3513" s="7" t="str">
        <f>TEXT(OrganizedData[[#This Row],[Order Date]],"mmm")</f>
        <v>Jun</v>
      </c>
      <c r="M3513" s="2">
        <v>59</v>
      </c>
      <c r="N3513" s="2" t="s">
        <v>54</v>
      </c>
      <c r="O3513" s="2" t="str">
        <f>VLOOKUP(OrganizedData[[#This Row],[Product Code]],ProductData[[Code]:[Item]],2,FALSE)</f>
        <v>Megawidget S</v>
      </c>
      <c r="P3513" s="4">
        <f>OrganizedData[[#This Row],[Quantity]]*VLOOKUP(OrganizedData[[#This Row],[Product Code]],ProductData[],4,FALSE)</f>
        <v>1416</v>
      </c>
      <c r="Q3513" s="6">
        <f>OrganizedData[[#This Row],[Total Items Ordered]]*VLOOKUP(OrganizedData[[#This Row],[Product Code]],ProductData[],3,FALSE)</f>
        <v>977.04</v>
      </c>
      <c r="R35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928.18799999999987</v>
      </c>
    </row>
    <row r="3514" spans="1:18" x14ac:dyDescent="0.3">
      <c r="A3514" s="2">
        <v>3507</v>
      </c>
      <c r="B3514" s="2" t="s">
        <v>8322</v>
      </c>
      <c r="C3514" s="2" t="s">
        <v>791</v>
      </c>
      <c r="D3514" s="2" t="s">
        <v>51</v>
      </c>
      <c r="E3514" s="2" t="s">
        <v>16</v>
      </c>
      <c r="F3514" s="2">
        <v>90</v>
      </c>
      <c r="G3514" s="2" t="s">
        <v>8323</v>
      </c>
      <c r="H3514" s="2" t="s">
        <v>1206</v>
      </c>
      <c r="I3514" s="2" t="s">
        <v>294</v>
      </c>
      <c r="J3514" s="3">
        <v>44235</v>
      </c>
      <c r="K3514" s="5">
        <f>YEAR(OrganizedData[[#This Row],[Order Date]])</f>
        <v>2021</v>
      </c>
      <c r="L3514" s="7" t="str">
        <f>TEXT(OrganizedData[[#This Row],[Order Date]],"mmm")</f>
        <v>Feb</v>
      </c>
      <c r="M3514" s="2">
        <v>47</v>
      </c>
      <c r="N3514" s="2" t="s">
        <v>20</v>
      </c>
      <c r="O3514" s="2" t="str">
        <f>VLOOKUP(OrganizedData[[#This Row],[Product Code]],ProductData[[Code]:[Item]],2,FALSE)</f>
        <v>Hyperwotsit</v>
      </c>
      <c r="P3514" s="4">
        <f>OrganizedData[[#This Row],[Quantity]]*VLOOKUP(OrganizedData[[#This Row],[Product Code]],ProductData[],4,FALSE)</f>
        <v>940</v>
      </c>
      <c r="Q3514" s="6">
        <f>OrganizedData[[#This Row],[Total Items Ordered]]*VLOOKUP(OrganizedData[[#This Row],[Product Code]],ProductData[],3,FALSE)</f>
        <v>1889.3999999999999</v>
      </c>
      <c r="R35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3515" spans="1:18" x14ac:dyDescent="0.3">
      <c r="A3515" s="2">
        <v>3508</v>
      </c>
      <c r="B3515" s="2" t="s">
        <v>8168</v>
      </c>
      <c r="C3515" s="2" t="s">
        <v>1765</v>
      </c>
      <c r="D3515" s="2" t="s">
        <v>51</v>
      </c>
      <c r="E3515" s="2" t="s">
        <v>16</v>
      </c>
      <c r="F3515" s="2">
        <v>30</v>
      </c>
      <c r="G3515" s="2" t="s">
        <v>8324</v>
      </c>
      <c r="H3515" s="2" t="s">
        <v>429</v>
      </c>
      <c r="I3515" s="2" t="s">
        <v>32</v>
      </c>
      <c r="J3515" s="3">
        <v>44740</v>
      </c>
      <c r="K3515" s="5">
        <f>YEAR(OrganizedData[[#This Row],[Order Date]])</f>
        <v>2022</v>
      </c>
      <c r="L3515" s="7" t="str">
        <f>TEXT(OrganizedData[[#This Row],[Order Date]],"mmm")</f>
        <v>Jun</v>
      </c>
      <c r="M3515" s="2">
        <v>70</v>
      </c>
      <c r="N3515" s="2" t="s">
        <v>159</v>
      </c>
      <c r="O3515" s="2" t="str">
        <f>VLOOKUP(OrganizedData[[#This Row],[Product Code]],ProductData[[Code]:[Item]],2,FALSE)</f>
        <v>Ultrathing V3</v>
      </c>
      <c r="P3515" s="4">
        <f>OrganizedData[[#This Row],[Quantity]]*VLOOKUP(OrganizedData[[#This Row],[Product Code]],ProductData[],4,FALSE)</f>
        <v>1680</v>
      </c>
      <c r="Q3515" s="6">
        <f>OrganizedData[[#This Row],[Total Items Ordered]]*VLOOKUP(OrganizedData[[#This Row],[Product Code]],ProductData[],3,FALSE)</f>
        <v>5695.2</v>
      </c>
      <c r="R35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5410.44</v>
      </c>
    </row>
    <row r="3516" spans="1:18" x14ac:dyDescent="0.3">
      <c r="A3516" s="2">
        <v>3509</v>
      </c>
      <c r="B3516" s="2" t="s">
        <v>8325</v>
      </c>
      <c r="C3516" s="2" t="s">
        <v>5944</v>
      </c>
      <c r="D3516" s="2" t="s">
        <v>51</v>
      </c>
      <c r="E3516" s="2" t="s">
        <v>16</v>
      </c>
      <c r="F3516" s="2">
        <v>30</v>
      </c>
      <c r="G3516" s="2" t="s">
        <v>8326</v>
      </c>
      <c r="H3516" s="2" t="s">
        <v>8327</v>
      </c>
      <c r="I3516" s="2" t="s">
        <v>32</v>
      </c>
      <c r="J3516" s="3">
        <v>44842</v>
      </c>
      <c r="K3516" s="5">
        <f>YEAR(OrganizedData[[#This Row],[Order Date]])</f>
        <v>2022</v>
      </c>
      <c r="L3516" s="7" t="str">
        <f>TEXT(OrganizedData[[#This Row],[Order Date]],"mmm")</f>
        <v>Oct</v>
      </c>
      <c r="M3516" s="2">
        <v>40</v>
      </c>
      <c r="N3516" s="2" t="s">
        <v>20</v>
      </c>
      <c r="O3516" s="2" t="str">
        <f>VLOOKUP(OrganizedData[[#This Row],[Product Code]],ProductData[[Code]:[Item]],2,FALSE)</f>
        <v>Hyperwotsit</v>
      </c>
      <c r="P3516" s="4">
        <f>OrganizedData[[#This Row],[Quantity]]*VLOOKUP(OrganizedData[[#This Row],[Product Code]],ProductData[],4,FALSE)</f>
        <v>800</v>
      </c>
      <c r="Q3516" s="6">
        <f>OrganizedData[[#This Row],[Total Items Ordered]]*VLOOKUP(OrganizedData[[#This Row],[Product Code]],ProductData[],3,FALSE)</f>
        <v>1607.9999999999998</v>
      </c>
      <c r="R35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3517" spans="1:18" x14ac:dyDescent="0.3">
      <c r="A3517" s="2">
        <v>3510</v>
      </c>
      <c r="B3517" s="2" t="s">
        <v>3166</v>
      </c>
      <c r="C3517" s="2" t="s">
        <v>4876</v>
      </c>
      <c r="D3517" s="2" t="s">
        <v>28</v>
      </c>
      <c r="E3517" s="2" t="s">
        <v>29</v>
      </c>
      <c r="F3517" s="2">
        <v>60</v>
      </c>
      <c r="G3517" s="2" t="s">
        <v>8328</v>
      </c>
      <c r="H3517" s="2" t="s">
        <v>750</v>
      </c>
      <c r="I3517" s="2" t="s">
        <v>25</v>
      </c>
      <c r="J3517" s="3">
        <v>44864</v>
      </c>
      <c r="K3517" s="5">
        <f>YEAR(OrganizedData[[#This Row],[Order Date]])</f>
        <v>2022</v>
      </c>
      <c r="L3517" s="7" t="str">
        <f>TEXT(OrganizedData[[#This Row],[Order Date]],"mmm")</f>
        <v>Oct</v>
      </c>
      <c r="M3517" s="2">
        <v>63</v>
      </c>
      <c r="N3517" s="2" t="s">
        <v>70</v>
      </c>
      <c r="O3517" s="2" t="str">
        <f>VLOOKUP(OrganizedData[[#This Row],[Product Code]],ProductData[[Code]:[Item]],2,FALSE)</f>
        <v>Megawidget M</v>
      </c>
      <c r="P3517" s="4">
        <f>OrganizedData[[#This Row],[Quantity]]*VLOOKUP(OrganizedData[[#This Row],[Product Code]],ProductData[],4,FALSE)</f>
        <v>1512</v>
      </c>
      <c r="Q3517" s="6">
        <f>OrganizedData[[#This Row],[Total Items Ordered]]*VLOOKUP(OrganizedData[[#This Row],[Product Code]],ProductData[],3,FALSE)</f>
        <v>1950.48</v>
      </c>
      <c r="R35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1852.9559999999999</v>
      </c>
    </row>
    <row r="3518" spans="1:18" x14ac:dyDescent="0.3">
      <c r="A3518" s="2">
        <v>3511</v>
      </c>
      <c r="B3518" s="2" t="s">
        <v>3443</v>
      </c>
      <c r="C3518" s="2" t="s">
        <v>3279</v>
      </c>
      <c r="D3518" s="2" t="s">
        <v>28</v>
      </c>
      <c r="E3518" s="2" t="s">
        <v>29</v>
      </c>
      <c r="F3518" s="2">
        <v>30</v>
      </c>
      <c r="G3518" s="2" t="s">
        <v>8329</v>
      </c>
      <c r="H3518" s="2" t="s">
        <v>3134</v>
      </c>
      <c r="I3518" s="2" t="s">
        <v>294</v>
      </c>
      <c r="J3518" s="3">
        <v>43967</v>
      </c>
      <c r="K3518" s="5">
        <f>YEAR(OrganizedData[[#This Row],[Order Date]])</f>
        <v>2020</v>
      </c>
      <c r="L3518" s="7" t="str">
        <f>TEXT(OrganizedData[[#This Row],[Order Date]],"mmm")</f>
        <v>May</v>
      </c>
      <c r="M3518" s="2">
        <v>46</v>
      </c>
      <c r="N3518" s="2" t="s">
        <v>39</v>
      </c>
      <c r="O3518" s="2" t="str">
        <f>VLOOKUP(OrganizedData[[#This Row],[Product Code]],ProductData[[Code]:[Item]],2,FALSE)</f>
        <v>Ultrathing V1</v>
      </c>
      <c r="P3518" s="4">
        <f>OrganizedData[[#This Row],[Quantity]]*VLOOKUP(OrganizedData[[#This Row],[Product Code]],ProductData[],4,FALSE)</f>
        <v>782</v>
      </c>
      <c r="Q3518" s="6">
        <f>OrganizedData[[#This Row],[Total Items Ordered]]*VLOOKUP(OrganizedData[[#This Row],[Product Code]],ProductData[],3,FALSE)</f>
        <v>1399.78</v>
      </c>
      <c r="R35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3519" spans="1:18" x14ac:dyDescent="0.3">
      <c r="A3519" s="2">
        <v>3512</v>
      </c>
      <c r="B3519" s="2" t="s">
        <v>7657</v>
      </c>
      <c r="C3519" s="2" t="s">
        <v>4623</v>
      </c>
      <c r="D3519" s="2" t="s">
        <v>117</v>
      </c>
      <c r="E3519" s="2" t="s">
        <v>29</v>
      </c>
      <c r="F3519" s="2">
        <v>90</v>
      </c>
      <c r="G3519" s="2" t="s">
        <v>8330</v>
      </c>
      <c r="H3519" s="2" t="s">
        <v>8331</v>
      </c>
      <c r="I3519" s="2" t="s">
        <v>32</v>
      </c>
      <c r="J3519" s="3">
        <v>44115</v>
      </c>
      <c r="K3519" s="5">
        <f>YEAR(OrganizedData[[#This Row],[Order Date]])</f>
        <v>2020</v>
      </c>
      <c r="L3519" s="7" t="str">
        <f>TEXT(OrganizedData[[#This Row],[Order Date]],"mmm")</f>
        <v>Oct</v>
      </c>
      <c r="M3519" s="2">
        <v>5</v>
      </c>
      <c r="N3519" s="2" t="s">
        <v>45</v>
      </c>
      <c r="O3519" s="2" t="str">
        <f>VLOOKUP(OrganizedData[[#This Row],[Product Code]],ProductData[[Code]:[Item]],2,FALSE)</f>
        <v>Gigastuff</v>
      </c>
      <c r="P3519" s="4">
        <f>OrganizedData[[#This Row],[Quantity]]*VLOOKUP(OrganizedData[[#This Row],[Product Code]],ProductData[],4,FALSE)</f>
        <v>90</v>
      </c>
      <c r="Q3519" s="6">
        <f>OrganizedData[[#This Row],[Total Items Ordered]]*VLOOKUP(OrganizedData[[#This Row],[Product Code]],ProductData[],3,FALSE)</f>
        <v>170.1</v>
      </c>
      <c r="R35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3520" spans="1:18" x14ac:dyDescent="0.3">
      <c r="A3520" s="2">
        <v>3513</v>
      </c>
      <c r="B3520" s="2" t="s">
        <v>6198</v>
      </c>
      <c r="C3520" s="2" t="s">
        <v>35</v>
      </c>
      <c r="D3520" s="2" t="s">
        <v>28</v>
      </c>
      <c r="E3520" s="2" t="s">
        <v>29</v>
      </c>
      <c r="F3520" s="2">
        <v>60</v>
      </c>
      <c r="G3520" s="2" t="s">
        <v>8332</v>
      </c>
      <c r="H3520" s="2" t="s">
        <v>6675</v>
      </c>
      <c r="I3520" s="2" t="s">
        <v>32</v>
      </c>
      <c r="J3520" s="3">
        <v>44578</v>
      </c>
      <c r="K3520" s="5">
        <f>YEAR(OrganizedData[[#This Row],[Order Date]])</f>
        <v>2022</v>
      </c>
      <c r="L3520" s="7" t="str">
        <f>TEXT(OrganizedData[[#This Row],[Order Date]],"mmm")</f>
        <v>Jan</v>
      </c>
      <c r="M3520" s="2">
        <v>42</v>
      </c>
      <c r="N3520" s="2" t="s">
        <v>39</v>
      </c>
      <c r="O3520" s="2" t="str">
        <f>VLOOKUP(OrganizedData[[#This Row],[Product Code]],ProductData[[Code]:[Item]],2,FALSE)</f>
        <v>Ultrathing V1</v>
      </c>
      <c r="P3520" s="4">
        <f>OrganizedData[[#This Row],[Quantity]]*VLOOKUP(OrganizedData[[#This Row],[Product Code]],ProductData[],4,FALSE)</f>
        <v>714</v>
      </c>
      <c r="Q3520" s="6">
        <f>OrganizedData[[#This Row],[Total Items Ordered]]*VLOOKUP(OrganizedData[[#This Row],[Product Code]],ProductData[],3,FALSE)</f>
        <v>1278.06</v>
      </c>
      <c r="R35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1239.7182</v>
      </c>
    </row>
    <row r="3521" spans="1:18" x14ac:dyDescent="0.3">
      <c r="A3521" s="2">
        <v>3514</v>
      </c>
      <c r="B3521" s="2" t="s">
        <v>2371</v>
      </c>
      <c r="C3521" s="2" t="s">
        <v>669</v>
      </c>
      <c r="D3521" s="2" t="s">
        <v>28</v>
      </c>
      <c r="E3521" s="2" t="s">
        <v>29</v>
      </c>
      <c r="F3521" s="2">
        <v>60</v>
      </c>
      <c r="G3521" s="2" t="s">
        <v>8333</v>
      </c>
      <c r="H3521" s="2" t="s">
        <v>4851</v>
      </c>
      <c r="I3521" s="2" t="s">
        <v>2543</v>
      </c>
      <c r="J3521" s="3">
        <v>44781</v>
      </c>
      <c r="K3521" s="5">
        <f>YEAR(OrganizedData[[#This Row],[Order Date]])</f>
        <v>2022</v>
      </c>
      <c r="L3521" s="7" t="str">
        <f>TEXT(OrganizedData[[#This Row],[Order Date]],"mmm")</f>
        <v>Aug</v>
      </c>
      <c r="M3521" s="2">
        <v>80</v>
      </c>
      <c r="N3521" s="2" t="s">
        <v>33</v>
      </c>
      <c r="O3521" s="2" t="str">
        <f>VLOOKUP(OrganizedData[[#This Row],[Product Code]],ProductData[[Code]:[Item]],2,FALSE)</f>
        <v>Megawidget L</v>
      </c>
      <c r="P3521" s="4">
        <f>OrganizedData[[#This Row],[Quantity]]*VLOOKUP(OrganizedData[[#This Row],[Product Code]],ProductData[],4,FALSE)</f>
        <v>1920</v>
      </c>
      <c r="Q3521" s="6">
        <f>OrganizedData[[#This Row],[Total Items Ordered]]*VLOOKUP(OrganizedData[[#This Row],[Product Code]],ProductData[],3,FALSE)</f>
        <v>3436.8</v>
      </c>
      <c r="R35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3264.96</v>
      </c>
    </row>
    <row r="3522" spans="1:18" x14ac:dyDescent="0.3">
      <c r="A3522" s="2">
        <v>3515</v>
      </c>
      <c r="B3522" s="2" t="s">
        <v>232</v>
      </c>
      <c r="C3522" s="2" t="s">
        <v>6360</v>
      </c>
      <c r="D3522" s="2" t="s">
        <v>28</v>
      </c>
      <c r="E3522" s="2" t="s">
        <v>29</v>
      </c>
      <c r="F3522" s="2">
        <v>90</v>
      </c>
      <c r="G3522" s="2" t="s">
        <v>8334</v>
      </c>
      <c r="H3522" s="2" t="s">
        <v>2341</v>
      </c>
      <c r="I3522" s="2" t="s">
        <v>2342</v>
      </c>
      <c r="J3522" s="3">
        <v>43834</v>
      </c>
      <c r="K3522" s="5">
        <f>YEAR(OrganizedData[[#This Row],[Order Date]])</f>
        <v>2020</v>
      </c>
      <c r="L3522" s="7" t="str">
        <f>TEXT(OrganizedData[[#This Row],[Order Date]],"mmm")</f>
        <v>Jan</v>
      </c>
      <c r="M3522" s="2">
        <v>4</v>
      </c>
      <c r="N3522" s="2" t="s">
        <v>159</v>
      </c>
      <c r="O3522" s="2" t="str">
        <f>VLOOKUP(OrganizedData[[#This Row],[Product Code]],ProductData[[Code]:[Item]],2,FALSE)</f>
        <v>Ultrathing V3</v>
      </c>
      <c r="P3522" s="4">
        <f>OrganizedData[[#This Row],[Quantity]]*VLOOKUP(OrganizedData[[#This Row],[Product Code]],ProductData[],4,FALSE)</f>
        <v>96</v>
      </c>
      <c r="Q3522" s="6">
        <f>OrganizedData[[#This Row],[Total Items Ordered]]*VLOOKUP(OrganizedData[[#This Row],[Product Code]],ProductData[],3,FALSE)</f>
        <v>325.44</v>
      </c>
      <c r="R35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325.44</v>
      </c>
    </row>
    <row r="3523" spans="1:18" x14ac:dyDescent="0.3">
      <c r="A3523" s="2">
        <v>3516</v>
      </c>
      <c r="B3523" s="2" t="s">
        <v>4031</v>
      </c>
      <c r="C3523" s="2" t="s">
        <v>692</v>
      </c>
      <c r="D3523" s="2" t="s">
        <v>28</v>
      </c>
      <c r="E3523" s="2" t="s">
        <v>29</v>
      </c>
      <c r="F3523" s="2">
        <v>30</v>
      </c>
      <c r="G3523" s="2" t="s">
        <v>8335</v>
      </c>
      <c r="H3523" s="2" t="s">
        <v>3424</v>
      </c>
      <c r="I3523" s="2" t="s">
        <v>32</v>
      </c>
      <c r="J3523" s="3">
        <v>44760</v>
      </c>
      <c r="K3523" s="5">
        <f>YEAR(OrganizedData[[#This Row],[Order Date]])</f>
        <v>2022</v>
      </c>
      <c r="L3523" s="7" t="str">
        <f>TEXT(OrganizedData[[#This Row],[Order Date]],"mmm")</f>
        <v>Jul</v>
      </c>
      <c r="M3523" s="2">
        <v>25</v>
      </c>
      <c r="N3523" s="2" t="s">
        <v>45</v>
      </c>
      <c r="O3523" s="2" t="str">
        <f>VLOOKUP(OrganizedData[[#This Row],[Product Code]],ProductData[[Code]:[Item]],2,FALSE)</f>
        <v>Gigastuff</v>
      </c>
      <c r="P3523" s="4">
        <f>OrganizedData[[#This Row],[Quantity]]*VLOOKUP(OrganizedData[[#This Row],[Product Code]],ProductData[],4,FALSE)</f>
        <v>450</v>
      </c>
      <c r="Q3523" s="6">
        <f>OrganizedData[[#This Row],[Total Items Ordered]]*VLOOKUP(OrganizedData[[#This Row],[Product Code]],ProductData[],3,FALSE)</f>
        <v>850.5</v>
      </c>
      <c r="R35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824.98500000000001</v>
      </c>
    </row>
    <row r="3524" spans="1:18" x14ac:dyDescent="0.3">
      <c r="A3524" s="2">
        <v>3517</v>
      </c>
      <c r="B3524" s="2" t="s">
        <v>869</v>
      </c>
      <c r="C3524" s="2" t="s">
        <v>3803</v>
      </c>
      <c r="D3524" s="2" t="s">
        <v>28</v>
      </c>
      <c r="E3524" s="2" t="s">
        <v>29</v>
      </c>
      <c r="F3524" s="2">
        <v>60</v>
      </c>
      <c r="G3524" s="2" t="s">
        <v>8336</v>
      </c>
      <c r="H3524" s="2" t="s">
        <v>917</v>
      </c>
      <c r="I3524" s="2" t="s">
        <v>32</v>
      </c>
      <c r="J3524" s="3">
        <v>44805</v>
      </c>
      <c r="K3524" s="5">
        <f>YEAR(OrganizedData[[#This Row],[Order Date]])</f>
        <v>2022</v>
      </c>
      <c r="L3524" s="7" t="str">
        <f>TEXT(OrganizedData[[#This Row],[Order Date]],"mmm")</f>
        <v>Sep</v>
      </c>
      <c r="M3524" s="2">
        <v>6</v>
      </c>
      <c r="N3524" s="2" t="s">
        <v>80</v>
      </c>
      <c r="O3524" s="2" t="str">
        <f>VLOOKUP(OrganizedData[[#This Row],[Product Code]],ProductData[[Code]:[Item]],2,FALSE)</f>
        <v>Ultrathing V2</v>
      </c>
      <c r="P3524" s="4">
        <f>OrganizedData[[#This Row],[Quantity]]*VLOOKUP(OrganizedData[[#This Row],[Product Code]],ProductData[],4,FALSE)</f>
        <v>120</v>
      </c>
      <c r="Q3524" s="6">
        <f>OrganizedData[[#This Row],[Total Items Ordered]]*VLOOKUP(OrganizedData[[#This Row],[Product Code]],ProductData[],3,FALSE)</f>
        <v>354</v>
      </c>
      <c r="R35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354</v>
      </c>
    </row>
    <row r="3525" spans="1:18" x14ac:dyDescent="0.3">
      <c r="A3525" s="2">
        <v>3518</v>
      </c>
      <c r="B3525" s="2" t="s">
        <v>5567</v>
      </c>
      <c r="C3525" s="2" t="s">
        <v>5161</v>
      </c>
      <c r="D3525" s="2" t="s">
        <v>28</v>
      </c>
      <c r="E3525" s="2" t="s">
        <v>29</v>
      </c>
      <c r="F3525" s="2">
        <v>30</v>
      </c>
      <c r="G3525" s="2" t="s">
        <v>8337</v>
      </c>
      <c r="H3525" s="2" t="s">
        <v>3882</v>
      </c>
      <c r="I3525" s="2" t="s">
        <v>38</v>
      </c>
      <c r="J3525" s="3">
        <v>44700</v>
      </c>
      <c r="K3525" s="5">
        <f>YEAR(OrganizedData[[#This Row],[Order Date]])</f>
        <v>2022</v>
      </c>
      <c r="L3525" s="7" t="str">
        <f>TEXT(OrganizedData[[#This Row],[Order Date]],"mmm")</f>
        <v>May</v>
      </c>
      <c r="M3525" s="2">
        <v>44</v>
      </c>
      <c r="N3525" s="2" t="s">
        <v>20</v>
      </c>
      <c r="O3525" s="2" t="str">
        <f>VLOOKUP(OrganizedData[[#This Row],[Product Code]],ProductData[[Code]:[Item]],2,FALSE)</f>
        <v>Hyperwotsit</v>
      </c>
      <c r="P3525" s="4">
        <f>OrganizedData[[#This Row],[Quantity]]*VLOOKUP(OrganizedData[[#This Row],[Product Code]],ProductData[],4,FALSE)</f>
        <v>880</v>
      </c>
      <c r="Q3525" s="6">
        <f>OrganizedData[[#This Row],[Total Items Ordered]]*VLOOKUP(OrganizedData[[#This Row],[Product Code]],ProductData[],3,FALSE)</f>
        <v>1768.7999999999997</v>
      </c>
      <c r="R35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1715.7359999999996</v>
      </c>
    </row>
    <row r="3526" spans="1:18" x14ac:dyDescent="0.3">
      <c r="A3526" s="2">
        <v>3519</v>
      </c>
      <c r="B3526" s="2" t="s">
        <v>8338</v>
      </c>
      <c r="C3526" s="2" t="s">
        <v>8339</v>
      </c>
      <c r="D3526" s="2" t="s">
        <v>41</v>
      </c>
      <c r="E3526" s="2" t="s">
        <v>16</v>
      </c>
      <c r="F3526" s="2">
        <v>60</v>
      </c>
      <c r="G3526" s="2" t="s">
        <v>8340</v>
      </c>
      <c r="H3526" s="2" t="s">
        <v>2212</v>
      </c>
      <c r="I3526" s="2" t="s">
        <v>32</v>
      </c>
      <c r="J3526" s="3">
        <v>44456</v>
      </c>
      <c r="K3526" s="5">
        <f>YEAR(OrganizedData[[#This Row],[Order Date]])</f>
        <v>2021</v>
      </c>
      <c r="L3526" s="7" t="str">
        <f>TEXT(OrganizedData[[#This Row],[Order Date]],"mmm")</f>
        <v>Sep</v>
      </c>
      <c r="M3526" s="2">
        <v>82</v>
      </c>
      <c r="N3526" s="2" t="s">
        <v>45</v>
      </c>
      <c r="O3526" s="2" t="str">
        <f>VLOOKUP(OrganizedData[[#This Row],[Product Code]],ProductData[[Code]:[Item]],2,FALSE)</f>
        <v>Gigastuff</v>
      </c>
      <c r="P3526" s="4">
        <f>OrganizedData[[#This Row],[Quantity]]*VLOOKUP(OrganizedData[[#This Row],[Product Code]],ProductData[],4,FALSE)</f>
        <v>1476</v>
      </c>
      <c r="Q3526" s="6">
        <f>OrganizedData[[#This Row],[Total Items Ordered]]*VLOOKUP(OrganizedData[[#This Row],[Product Code]],ProductData[],3,FALSE)</f>
        <v>2789.64</v>
      </c>
      <c r="R35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3527" spans="1:18" x14ac:dyDescent="0.3">
      <c r="A3527" s="2">
        <v>3520</v>
      </c>
      <c r="B3527" s="2" t="s">
        <v>5975</v>
      </c>
      <c r="C3527" s="2" t="s">
        <v>5665</v>
      </c>
      <c r="D3527" s="2" t="s">
        <v>28</v>
      </c>
      <c r="E3527" s="2" t="s">
        <v>29</v>
      </c>
      <c r="F3527" s="2">
        <v>90</v>
      </c>
      <c r="G3527" s="2" t="s">
        <v>8341</v>
      </c>
      <c r="H3527" s="2" t="s">
        <v>5643</v>
      </c>
      <c r="I3527" s="2" t="s">
        <v>886</v>
      </c>
      <c r="J3527" s="3">
        <v>44329</v>
      </c>
      <c r="K3527" s="5">
        <f>YEAR(OrganizedData[[#This Row],[Order Date]])</f>
        <v>2021</v>
      </c>
      <c r="L3527" s="7" t="str">
        <f>TEXT(OrganizedData[[#This Row],[Order Date]],"mmm")</f>
        <v>May</v>
      </c>
      <c r="M3527" s="2">
        <v>90</v>
      </c>
      <c r="N3527" s="2" t="s">
        <v>33</v>
      </c>
      <c r="O3527" s="2" t="str">
        <f>VLOOKUP(OrganizedData[[#This Row],[Product Code]],ProductData[[Code]:[Item]],2,FALSE)</f>
        <v>Megawidget L</v>
      </c>
      <c r="P3527" s="4">
        <f>OrganizedData[[#This Row],[Quantity]]*VLOOKUP(OrganizedData[[#This Row],[Product Code]],ProductData[],4,FALSE)</f>
        <v>2160</v>
      </c>
      <c r="Q3527" s="6">
        <f>OrganizedData[[#This Row],[Total Items Ordered]]*VLOOKUP(OrganizedData[[#This Row],[Product Code]],ProductData[],3,FALSE)</f>
        <v>3866.4</v>
      </c>
      <c r="R35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3673.08</v>
      </c>
    </row>
    <row r="3528" spans="1:18" x14ac:dyDescent="0.3">
      <c r="A3528" s="2">
        <v>3521</v>
      </c>
      <c r="B3528" s="2" t="s">
        <v>8008</v>
      </c>
      <c r="C3528" s="2" t="s">
        <v>111</v>
      </c>
      <c r="D3528" s="2" t="s">
        <v>28</v>
      </c>
      <c r="E3528" s="2" t="s">
        <v>29</v>
      </c>
      <c r="F3528" s="2">
        <v>30</v>
      </c>
      <c r="G3528" s="2" t="s">
        <v>8342</v>
      </c>
      <c r="H3528" s="2" t="s">
        <v>7001</v>
      </c>
      <c r="I3528" s="2" t="s">
        <v>32</v>
      </c>
      <c r="J3528" s="3">
        <v>44747</v>
      </c>
      <c r="K3528" s="5">
        <f>YEAR(OrganizedData[[#This Row],[Order Date]])</f>
        <v>2022</v>
      </c>
      <c r="L3528" s="7" t="str">
        <f>TEXT(OrganizedData[[#This Row],[Order Date]],"mmm")</f>
        <v>Jul</v>
      </c>
      <c r="M3528" s="2">
        <v>51</v>
      </c>
      <c r="N3528" s="2" t="s">
        <v>54</v>
      </c>
      <c r="O3528" s="2" t="str">
        <f>VLOOKUP(OrganizedData[[#This Row],[Product Code]],ProductData[[Code]:[Item]],2,FALSE)</f>
        <v>Megawidget S</v>
      </c>
      <c r="P3528" s="4">
        <f>OrganizedData[[#This Row],[Quantity]]*VLOOKUP(OrganizedData[[#This Row],[Product Code]],ProductData[],4,FALSE)</f>
        <v>1224</v>
      </c>
      <c r="Q3528" s="6">
        <f>OrganizedData[[#This Row],[Total Items Ordered]]*VLOOKUP(OrganizedData[[#This Row],[Product Code]],ProductData[],3,FALSE)</f>
        <v>844.56</v>
      </c>
      <c r="R35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3529" spans="1:18" x14ac:dyDescent="0.3">
      <c r="A3529" s="2">
        <v>3522</v>
      </c>
      <c r="B3529" s="2" t="s">
        <v>4438</v>
      </c>
      <c r="C3529" s="2" t="s">
        <v>4366</v>
      </c>
      <c r="D3529" s="2" t="s">
        <v>28</v>
      </c>
      <c r="E3529" s="2" t="s">
        <v>29</v>
      </c>
      <c r="F3529" s="2">
        <v>30</v>
      </c>
      <c r="G3529" s="2" t="s">
        <v>8343</v>
      </c>
      <c r="H3529" s="2" t="s">
        <v>293</v>
      </c>
      <c r="I3529" s="2" t="s">
        <v>294</v>
      </c>
      <c r="J3529" s="3">
        <v>44864</v>
      </c>
      <c r="K3529" s="5">
        <f>YEAR(OrganizedData[[#This Row],[Order Date]])</f>
        <v>2022</v>
      </c>
      <c r="L3529" s="7" t="str">
        <f>TEXT(OrganizedData[[#This Row],[Order Date]],"mmm")</f>
        <v>Oct</v>
      </c>
      <c r="M3529" s="2">
        <v>98</v>
      </c>
      <c r="N3529" s="2" t="s">
        <v>39</v>
      </c>
      <c r="O3529" s="2" t="str">
        <f>VLOOKUP(OrganizedData[[#This Row],[Product Code]],ProductData[[Code]:[Item]],2,FALSE)</f>
        <v>Ultrathing V1</v>
      </c>
      <c r="P3529" s="4">
        <f>OrganizedData[[#This Row],[Quantity]]*VLOOKUP(OrganizedData[[#This Row],[Product Code]],ProductData[],4,FALSE)</f>
        <v>1666</v>
      </c>
      <c r="Q3529" s="6">
        <f>OrganizedData[[#This Row],[Total Items Ordered]]*VLOOKUP(OrganizedData[[#This Row],[Product Code]],ProductData[],3,FALSE)</f>
        <v>2982.14</v>
      </c>
      <c r="R35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2833.0329999999999</v>
      </c>
    </row>
    <row r="3530" spans="1:18" x14ac:dyDescent="0.3">
      <c r="A3530" s="2">
        <v>3523</v>
      </c>
      <c r="B3530" s="2" t="s">
        <v>1769</v>
      </c>
      <c r="C3530" s="2" t="s">
        <v>2991</v>
      </c>
      <c r="D3530" s="2" t="s">
        <v>28</v>
      </c>
      <c r="E3530" s="2" t="s">
        <v>29</v>
      </c>
      <c r="F3530" s="2">
        <v>90</v>
      </c>
      <c r="G3530" s="2" t="s">
        <v>8344</v>
      </c>
      <c r="H3530" s="2" t="s">
        <v>2265</v>
      </c>
      <c r="I3530" s="2" t="s">
        <v>1083</v>
      </c>
      <c r="J3530" s="3">
        <v>44367</v>
      </c>
      <c r="K3530" s="5">
        <f>YEAR(OrganizedData[[#This Row],[Order Date]])</f>
        <v>2021</v>
      </c>
      <c r="L3530" s="7" t="str">
        <f>TEXT(OrganizedData[[#This Row],[Order Date]],"mmm")</f>
        <v>Jun</v>
      </c>
      <c r="M3530" s="2">
        <v>93</v>
      </c>
      <c r="N3530" s="2" t="s">
        <v>20</v>
      </c>
      <c r="O3530" s="2" t="str">
        <f>VLOOKUP(OrganizedData[[#This Row],[Product Code]],ProductData[[Code]:[Item]],2,FALSE)</f>
        <v>Hyperwotsit</v>
      </c>
      <c r="P3530" s="4">
        <f>OrganizedData[[#This Row],[Quantity]]*VLOOKUP(OrganizedData[[#This Row],[Product Code]],ProductData[],4,FALSE)</f>
        <v>1860</v>
      </c>
      <c r="Q3530" s="6">
        <f>OrganizedData[[#This Row],[Total Items Ordered]]*VLOOKUP(OrganizedData[[#This Row],[Product Code]],ProductData[],3,FALSE)</f>
        <v>3738.5999999999995</v>
      </c>
      <c r="R35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3551.6699999999992</v>
      </c>
    </row>
    <row r="3531" spans="1:18" x14ac:dyDescent="0.3">
      <c r="A3531" s="2">
        <v>3524</v>
      </c>
      <c r="B3531" s="2" t="s">
        <v>8345</v>
      </c>
      <c r="C3531" s="2" t="s">
        <v>3527</v>
      </c>
      <c r="D3531" s="2" t="s">
        <v>15</v>
      </c>
      <c r="E3531" s="2" t="s">
        <v>16</v>
      </c>
      <c r="F3531" s="2">
        <v>60</v>
      </c>
      <c r="G3531" s="2" t="s">
        <v>8346</v>
      </c>
      <c r="H3531" s="2" t="s">
        <v>3224</v>
      </c>
      <c r="I3531" s="2" t="s">
        <v>2022</v>
      </c>
      <c r="J3531" s="3">
        <v>44338</v>
      </c>
      <c r="K3531" s="5">
        <f>YEAR(OrganizedData[[#This Row],[Order Date]])</f>
        <v>2021</v>
      </c>
      <c r="L3531" s="7" t="str">
        <f>TEXT(OrganizedData[[#This Row],[Order Date]],"mmm")</f>
        <v>May</v>
      </c>
      <c r="M3531" s="2">
        <v>22</v>
      </c>
      <c r="N3531" s="2" t="s">
        <v>45</v>
      </c>
      <c r="O3531" s="2" t="str">
        <f>VLOOKUP(OrganizedData[[#This Row],[Product Code]],ProductData[[Code]:[Item]],2,FALSE)</f>
        <v>Gigastuff</v>
      </c>
      <c r="P3531" s="4">
        <f>OrganizedData[[#This Row],[Quantity]]*VLOOKUP(OrganizedData[[#This Row],[Product Code]],ProductData[],4,FALSE)</f>
        <v>396</v>
      </c>
      <c r="Q3531" s="6">
        <f>OrganizedData[[#This Row],[Total Items Ordered]]*VLOOKUP(OrganizedData[[#This Row],[Product Code]],ProductData[],3,FALSE)</f>
        <v>748.43999999999994</v>
      </c>
      <c r="R35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725.9867999999999</v>
      </c>
    </row>
    <row r="3532" spans="1:18" x14ac:dyDescent="0.3">
      <c r="A3532" s="2">
        <v>3525</v>
      </c>
      <c r="B3532" s="2" t="s">
        <v>4635</v>
      </c>
      <c r="C3532" s="2" t="s">
        <v>8347</v>
      </c>
      <c r="D3532" s="2" t="s">
        <v>15</v>
      </c>
      <c r="E3532" s="2" t="s">
        <v>16</v>
      </c>
      <c r="F3532" s="2">
        <v>30</v>
      </c>
      <c r="G3532" s="2" t="s">
        <v>8348</v>
      </c>
      <c r="H3532" s="2" t="s">
        <v>2291</v>
      </c>
      <c r="I3532" s="2" t="s">
        <v>25</v>
      </c>
      <c r="J3532" s="3">
        <v>44495</v>
      </c>
      <c r="K3532" s="5">
        <f>YEAR(OrganizedData[[#This Row],[Order Date]])</f>
        <v>2021</v>
      </c>
      <c r="L3532" s="7" t="str">
        <f>TEXT(OrganizedData[[#This Row],[Order Date]],"mmm")</f>
        <v>Oct</v>
      </c>
      <c r="M3532" s="2">
        <v>56</v>
      </c>
      <c r="N3532" s="2" t="s">
        <v>20</v>
      </c>
      <c r="O3532" s="2" t="str">
        <f>VLOOKUP(OrganizedData[[#This Row],[Product Code]],ProductData[[Code]:[Item]],2,FALSE)</f>
        <v>Hyperwotsit</v>
      </c>
      <c r="P3532" s="4">
        <f>OrganizedData[[#This Row],[Quantity]]*VLOOKUP(OrganizedData[[#This Row],[Product Code]],ProductData[],4,FALSE)</f>
        <v>1120</v>
      </c>
      <c r="Q3532" s="6">
        <f>OrganizedData[[#This Row],[Total Items Ordered]]*VLOOKUP(OrganizedData[[#This Row],[Product Code]],ProductData[],3,FALSE)</f>
        <v>2251.1999999999998</v>
      </c>
      <c r="R35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3533" spans="1:18" x14ac:dyDescent="0.3">
      <c r="A3533" s="2">
        <v>3526</v>
      </c>
      <c r="B3533" s="2" t="s">
        <v>8349</v>
      </c>
      <c r="C3533" s="2" t="s">
        <v>4420</v>
      </c>
      <c r="D3533" s="2" t="s">
        <v>15</v>
      </c>
      <c r="E3533" s="2" t="s">
        <v>16</v>
      </c>
      <c r="F3533" s="2">
        <v>90</v>
      </c>
      <c r="G3533" s="2" t="s">
        <v>8350</v>
      </c>
      <c r="H3533" s="2" t="s">
        <v>4517</v>
      </c>
      <c r="I3533" s="2" t="s">
        <v>173</v>
      </c>
      <c r="J3533" s="3">
        <v>44360</v>
      </c>
      <c r="K3533" s="5">
        <f>YEAR(OrganizedData[[#This Row],[Order Date]])</f>
        <v>2021</v>
      </c>
      <c r="L3533" s="7" t="str">
        <f>TEXT(OrganizedData[[#This Row],[Order Date]],"mmm")</f>
        <v>Jun</v>
      </c>
      <c r="M3533" s="2">
        <v>43</v>
      </c>
      <c r="N3533" s="2" t="s">
        <v>159</v>
      </c>
      <c r="O3533" s="2" t="str">
        <f>VLOOKUP(OrganizedData[[#This Row],[Product Code]],ProductData[[Code]:[Item]],2,FALSE)</f>
        <v>Ultrathing V3</v>
      </c>
      <c r="P3533" s="4">
        <f>OrganizedData[[#This Row],[Quantity]]*VLOOKUP(OrganizedData[[#This Row],[Product Code]],ProductData[],4,FALSE)</f>
        <v>1032</v>
      </c>
      <c r="Q3533" s="6">
        <f>OrganizedData[[#This Row],[Total Items Ordered]]*VLOOKUP(OrganizedData[[#This Row],[Product Code]],ProductData[],3,FALSE)</f>
        <v>3498.48</v>
      </c>
      <c r="R35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3534" spans="1:18" x14ac:dyDescent="0.3">
      <c r="A3534" s="2">
        <v>3527</v>
      </c>
      <c r="B3534" s="2" t="s">
        <v>5364</v>
      </c>
      <c r="C3534" s="2" t="s">
        <v>7416</v>
      </c>
      <c r="D3534" s="2" t="s">
        <v>28</v>
      </c>
      <c r="E3534" s="2" t="s">
        <v>29</v>
      </c>
      <c r="F3534" s="2">
        <v>30</v>
      </c>
      <c r="G3534" s="2" t="s">
        <v>8351</v>
      </c>
      <c r="H3534" s="2" t="s">
        <v>6787</v>
      </c>
      <c r="I3534" s="2" t="s">
        <v>1035</v>
      </c>
      <c r="J3534" s="3">
        <v>43982</v>
      </c>
      <c r="K3534" s="5">
        <f>YEAR(OrganizedData[[#This Row],[Order Date]])</f>
        <v>2020</v>
      </c>
      <c r="L3534" s="7" t="str">
        <f>TEXT(OrganizedData[[#This Row],[Order Date]],"mmm")</f>
        <v>May</v>
      </c>
      <c r="M3534" s="2">
        <v>2</v>
      </c>
      <c r="N3534" s="2" t="s">
        <v>39</v>
      </c>
      <c r="O3534" s="2" t="str">
        <f>VLOOKUP(OrganizedData[[#This Row],[Product Code]],ProductData[[Code]:[Item]],2,FALSE)</f>
        <v>Ultrathing V1</v>
      </c>
      <c r="P3534" s="4">
        <f>OrganizedData[[#This Row],[Quantity]]*VLOOKUP(OrganizedData[[#This Row],[Product Code]],ProductData[],4,FALSE)</f>
        <v>34</v>
      </c>
      <c r="Q3534" s="6">
        <f>OrganizedData[[#This Row],[Total Items Ordered]]*VLOOKUP(OrganizedData[[#This Row],[Product Code]],ProductData[],3,FALSE)</f>
        <v>60.86</v>
      </c>
      <c r="R35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3535" spans="1:18" x14ac:dyDescent="0.3">
      <c r="A3535" s="2">
        <v>3528</v>
      </c>
      <c r="B3535" s="2" t="s">
        <v>2118</v>
      </c>
      <c r="C3535" s="2" t="s">
        <v>936</v>
      </c>
      <c r="D3535" s="2" t="s">
        <v>28</v>
      </c>
      <c r="E3535" s="2" t="s">
        <v>29</v>
      </c>
      <c r="F3535" s="2">
        <v>90</v>
      </c>
      <c r="G3535" s="2" t="s">
        <v>8352</v>
      </c>
      <c r="H3535" s="2" t="s">
        <v>2418</v>
      </c>
      <c r="I3535" s="2" t="s">
        <v>32</v>
      </c>
      <c r="J3535" s="3">
        <v>43862</v>
      </c>
      <c r="K3535" s="5">
        <f>YEAR(OrganizedData[[#This Row],[Order Date]])</f>
        <v>2020</v>
      </c>
      <c r="L3535" s="7" t="str">
        <f>TEXT(OrganizedData[[#This Row],[Order Date]],"mmm")</f>
        <v>Feb</v>
      </c>
      <c r="M3535" s="2">
        <v>54</v>
      </c>
      <c r="N3535" s="2" t="s">
        <v>39</v>
      </c>
      <c r="O3535" s="2" t="str">
        <f>VLOOKUP(OrganizedData[[#This Row],[Product Code]],ProductData[[Code]:[Item]],2,FALSE)</f>
        <v>Ultrathing V1</v>
      </c>
      <c r="P3535" s="4">
        <f>OrganizedData[[#This Row],[Quantity]]*VLOOKUP(OrganizedData[[#This Row],[Product Code]],ProductData[],4,FALSE)</f>
        <v>918</v>
      </c>
      <c r="Q3535" s="6">
        <f>OrganizedData[[#This Row],[Total Items Ordered]]*VLOOKUP(OrganizedData[[#This Row],[Product Code]],ProductData[],3,FALSE)</f>
        <v>1643.22</v>
      </c>
      <c r="R35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1561.059</v>
      </c>
    </row>
    <row r="3536" spans="1:18" x14ac:dyDescent="0.3">
      <c r="A3536" s="2">
        <v>3529</v>
      </c>
      <c r="B3536" s="2" t="s">
        <v>3623</v>
      </c>
      <c r="C3536" s="2" t="s">
        <v>5797</v>
      </c>
      <c r="D3536" s="2" t="s">
        <v>28</v>
      </c>
      <c r="E3536" s="2" t="s">
        <v>29</v>
      </c>
      <c r="F3536" s="2">
        <v>90</v>
      </c>
      <c r="G3536" s="2" t="s">
        <v>8354</v>
      </c>
      <c r="H3536" s="2" t="s">
        <v>5803</v>
      </c>
      <c r="I3536" s="2" t="s">
        <v>294</v>
      </c>
      <c r="J3536" s="3">
        <v>44659</v>
      </c>
      <c r="K3536" s="5">
        <f>YEAR(OrganizedData[[#This Row],[Order Date]])</f>
        <v>2022</v>
      </c>
      <c r="L3536" s="7" t="str">
        <f>TEXT(OrganizedData[[#This Row],[Order Date]],"mmm")</f>
        <v>Apr</v>
      </c>
      <c r="M3536" s="2">
        <v>90</v>
      </c>
      <c r="N3536" s="2" t="s">
        <v>80</v>
      </c>
      <c r="O3536" s="2" t="str">
        <f>VLOOKUP(OrganizedData[[#This Row],[Product Code]],ProductData[[Code]:[Item]],2,FALSE)</f>
        <v>Ultrathing V2</v>
      </c>
      <c r="P3536" s="4">
        <f>OrganizedData[[#This Row],[Quantity]]*VLOOKUP(OrganizedData[[#This Row],[Product Code]],ProductData[],4,FALSE)</f>
        <v>1800</v>
      </c>
      <c r="Q3536" s="6">
        <f>OrganizedData[[#This Row],[Total Items Ordered]]*VLOOKUP(OrganizedData[[#This Row],[Product Code]],ProductData[],3,FALSE)</f>
        <v>5310</v>
      </c>
      <c r="R35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5044.5</v>
      </c>
    </row>
    <row r="3537" spans="1:18" x14ac:dyDescent="0.3">
      <c r="A3537" s="2">
        <v>3530</v>
      </c>
      <c r="B3537" s="2" t="s">
        <v>3108</v>
      </c>
      <c r="C3537" s="2" t="s">
        <v>175</v>
      </c>
      <c r="D3537" s="2" t="s">
        <v>15</v>
      </c>
      <c r="E3537" s="2" t="s">
        <v>16</v>
      </c>
      <c r="F3537" s="2">
        <v>90</v>
      </c>
      <c r="G3537" s="2" t="s">
        <v>8354</v>
      </c>
      <c r="H3537" s="2" t="s">
        <v>1022</v>
      </c>
      <c r="I3537" s="2" t="s">
        <v>164</v>
      </c>
      <c r="J3537" s="3">
        <v>43912</v>
      </c>
      <c r="K3537" s="5">
        <f>YEAR(OrganizedData[[#This Row],[Order Date]])</f>
        <v>2020</v>
      </c>
      <c r="L3537" s="7" t="str">
        <f>TEXT(OrganizedData[[#This Row],[Order Date]],"mmm")</f>
        <v>Mar</v>
      </c>
      <c r="M3537" s="2">
        <v>21</v>
      </c>
      <c r="N3537" s="2" t="s">
        <v>64</v>
      </c>
      <c r="O3537" s="2" t="str">
        <f>VLOOKUP(OrganizedData[[#This Row],[Product Code]],ProductData[[Code]:[Item]],2,FALSE)</f>
        <v>Ultrathing V4</v>
      </c>
      <c r="P3537" s="4">
        <f>OrganizedData[[#This Row],[Quantity]]*VLOOKUP(OrganizedData[[#This Row],[Product Code]],ProductData[],4,FALSE)</f>
        <v>504</v>
      </c>
      <c r="Q3537" s="6">
        <f>OrganizedData[[#This Row],[Total Items Ordered]]*VLOOKUP(OrganizedData[[#This Row],[Product Code]],ProductData[],3,FALSE)</f>
        <v>2010.96</v>
      </c>
      <c r="R35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3538" spans="1:18" x14ac:dyDescent="0.3">
      <c r="A3538" s="2">
        <v>3531</v>
      </c>
      <c r="B3538" s="2" t="s">
        <v>8355</v>
      </c>
      <c r="C3538" s="2" t="s">
        <v>1215</v>
      </c>
      <c r="D3538" s="2" t="s">
        <v>51</v>
      </c>
      <c r="E3538" s="2" t="s">
        <v>16</v>
      </c>
      <c r="F3538" s="2">
        <v>90</v>
      </c>
      <c r="G3538" s="2" t="s">
        <v>8354</v>
      </c>
      <c r="H3538" s="2" t="s">
        <v>8022</v>
      </c>
      <c r="I3538" s="2" t="s">
        <v>294</v>
      </c>
      <c r="J3538" s="3">
        <v>43897</v>
      </c>
      <c r="K3538" s="5">
        <f>YEAR(OrganizedData[[#This Row],[Order Date]])</f>
        <v>2020</v>
      </c>
      <c r="L3538" s="7" t="str">
        <f>TEXT(OrganizedData[[#This Row],[Order Date]],"mmm")</f>
        <v>Mar</v>
      </c>
      <c r="M3538" s="2">
        <v>42</v>
      </c>
      <c r="N3538" s="2" t="s">
        <v>54</v>
      </c>
      <c r="O3538" s="2" t="str">
        <f>VLOOKUP(OrganizedData[[#This Row],[Product Code]],ProductData[[Code]:[Item]],2,FALSE)</f>
        <v>Megawidget S</v>
      </c>
      <c r="P3538" s="4">
        <f>OrganizedData[[#This Row],[Quantity]]*VLOOKUP(OrganizedData[[#This Row],[Product Code]],ProductData[],4,FALSE)</f>
        <v>1008</v>
      </c>
      <c r="Q3538" s="6">
        <f>OrganizedData[[#This Row],[Total Items Ordered]]*VLOOKUP(OrganizedData[[#This Row],[Product Code]],ProductData[],3,FALSE)</f>
        <v>695.52</v>
      </c>
      <c r="R35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674.65440000000001</v>
      </c>
    </row>
    <row r="3539" spans="1:18" x14ac:dyDescent="0.3">
      <c r="A3539" s="2">
        <v>3532</v>
      </c>
      <c r="B3539" s="2" t="s">
        <v>3726</v>
      </c>
      <c r="C3539" s="2" t="s">
        <v>915</v>
      </c>
      <c r="D3539" s="2" t="s">
        <v>15</v>
      </c>
      <c r="E3539" s="2" t="s">
        <v>16</v>
      </c>
      <c r="F3539" s="2">
        <v>30</v>
      </c>
      <c r="G3539" s="2" t="s">
        <v>8362</v>
      </c>
      <c r="H3539" s="2" t="s">
        <v>3826</v>
      </c>
      <c r="I3539" s="2" t="s">
        <v>20</v>
      </c>
      <c r="J3539" s="3">
        <v>43900</v>
      </c>
      <c r="K3539" s="5">
        <f>YEAR(OrganizedData[[#This Row],[Order Date]])</f>
        <v>2020</v>
      </c>
      <c r="L3539" s="7" t="str">
        <f>TEXT(OrganizedData[[#This Row],[Order Date]],"mmm")</f>
        <v>Mar</v>
      </c>
      <c r="M3539" s="2">
        <v>78</v>
      </c>
      <c r="N3539" s="2" t="s">
        <v>80</v>
      </c>
      <c r="O3539" s="2" t="str">
        <f>VLOOKUP(OrganizedData[[#This Row],[Product Code]],ProductData[[Code]:[Item]],2,FALSE)</f>
        <v>Ultrathing V2</v>
      </c>
      <c r="P3539" s="4">
        <f>OrganizedData[[#This Row],[Quantity]]*VLOOKUP(OrganizedData[[#This Row],[Product Code]],ProductData[],4,FALSE)</f>
        <v>1560</v>
      </c>
      <c r="Q3539" s="6">
        <f>OrganizedData[[#This Row],[Total Items Ordered]]*VLOOKUP(OrganizedData[[#This Row],[Product Code]],ProductData[],3,FALSE)</f>
        <v>4602</v>
      </c>
      <c r="R35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3540" spans="1:18" x14ac:dyDescent="0.3">
      <c r="A3540" s="2">
        <v>3533</v>
      </c>
      <c r="B3540" s="2" t="s">
        <v>2036</v>
      </c>
      <c r="C3540" s="2" t="s">
        <v>1891</v>
      </c>
      <c r="D3540" s="2" t="s">
        <v>15</v>
      </c>
      <c r="E3540" s="2" t="s">
        <v>16</v>
      </c>
      <c r="F3540" s="2">
        <v>90</v>
      </c>
      <c r="G3540" s="2" t="s">
        <v>8363</v>
      </c>
      <c r="H3540" s="2" t="s">
        <v>1082</v>
      </c>
      <c r="I3540" s="2" t="s">
        <v>1083</v>
      </c>
      <c r="J3540" s="3">
        <v>43971</v>
      </c>
      <c r="K3540" s="5">
        <f>YEAR(OrganizedData[[#This Row],[Order Date]])</f>
        <v>2020</v>
      </c>
      <c r="L3540" s="7" t="str">
        <f>TEXT(OrganizedData[[#This Row],[Order Date]],"mmm")</f>
        <v>May</v>
      </c>
      <c r="M3540" s="2">
        <v>33</v>
      </c>
      <c r="N3540" s="2" t="s">
        <v>159</v>
      </c>
      <c r="O3540" s="2" t="str">
        <f>VLOOKUP(OrganizedData[[#This Row],[Product Code]],ProductData[[Code]:[Item]],2,FALSE)</f>
        <v>Ultrathing V3</v>
      </c>
      <c r="P3540" s="4">
        <f>OrganizedData[[#This Row],[Quantity]]*VLOOKUP(OrganizedData[[#This Row],[Product Code]],ProductData[],4,FALSE)</f>
        <v>792</v>
      </c>
      <c r="Q3540" s="6">
        <f>OrganizedData[[#This Row],[Total Items Ordered]]*VLOOKUP(OrganizedData[[#This Row],[Product Code]],ProductData[],3,FALSE)</f>
        <v>2684.88</v>
      </c>
      <c r="R35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2604.3335999999999</v>
      </c>
    </row>
    <row r="3541" spans="1:18" x14ac:dyDescent="0.3">
      <c r="A3541" s="2">
        <v>3534</v>
      </c>
      <c r="B3541" s="2" t="s">
        <v>2750</v>
      </c>
      <c r="C3541" s="2" t="s">
        <v>2399</v>
      </c>
      <c r="D3541" s="2" t="s">
        <v>28</v>
      </c>
      <c r="E3541" s="2" t="s">
        <v>29</v>
      </c>
      <c r="F3541" s="2">
        <v>30</v>
      </c>
      <c r="G3541" s="2" t="s">
        <v>10554</v>
      </c>
      <c r="H3541" s="2" t="s">
        <v>641</v>
      </c>
      <c r="I3541" s="2" t="s">
        <v>294</v>
      </c>
      <c r="J3541" s="3">
        <v>44209</v>
      </c>
      <c r="K3541" s="5">
        <f>YEAR(OrganizedData[[#This Row],[Order Date]])</f>
        <v>2021</v>
      </c>
      <c r="L3541" s="7" t="str">
        <f>TEXT(OrganizedData[[#This Row],[Order Date]],"mmm")</f>
        <v>Jan</v>
      </c>
      <c r="M3541" s="2">
        <v>68</v>
      </c>
      <c r="N3541" s="2" t="s">
        <v>54</v>
      </c>
      <c r="O3541" s="2" t="str">
        <f>VLOOKUP(OrganizedData[[#This Row],[Product Code]],ProductData[[Code]:[Item]],2,FALSE)</f>
        <v>Megawidget S</v>
      </c>
      <c r="P3541" s="4">
        <f>OrganizedData[[#This Row],[Quantity]]*VLOOKUP(OrganizedData[[#This Row],[Product Code]],ProductData[],4,FALSE)</f>
        <v>1632</v>
      </c>
      <c r="Q3541" s="6">
        <f>OrganizedData[[#This Row],[Total Items Ordered]]*VLOOKUP(OrganizedData[[#This Row],[Product Code]],ProductData[],3,FALSE)</f>
        <v>1126.08</v>
      </c>
      <c r="R35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1069.7759999999998</v>
      </c>
    </row>
    <row r="3542" spans="1:18" x14ac:dyDescent="0.3">
      <c r="A3542" s="2">
        <v>3535</v>
      </c>
      <c r="B3542" s="2" t="s">
        <v>8365</v>
      </c>
      <c r="C3542" s="2" t="s">
        <v>4828</v>
      </c>
      <c r="D3542" s="2" t="s">
        <v>41</v>
      </c>
      <c r="E3542" s="2" t="s">
        <v>16</v>
      </c>
      <c r="F3542" s="2">
        <v>90</v>
      </c>
      <c r="G3542" s="2" t="s">
        <v>10554</v>
      </c>
      <c r="H3542" s="2" t="s">
        <v>4729</v>
      </c>
      <c r="I3542" s="2" t="s">
        <v>32</v>
      </c>
      <c r="J3542" s="3">
        <v>44305</v>
      </c>
      <c r="K3542" s="5">
        <f>YEAR(OrganizedData[[#This Row],[Order Date]])</f>
        <v>2021</v>
      </c>
      <c r="L3542" s="7" t="str">
        <f>TEXT(OrganizedData[[#This Row],[Order Date]],"mmm")</f>
        <v>Apr</v>
      </c>
      <c r="M3542" s="2">
        <v>90</v>
      </c>
      <c r="N3542" s="2" t="s">
        <v>159</v>
      </c>
      <c r="O3542" s="2" t="str">
        <f>VLOOKUP(OrganizedData[[#This Row],[Product Code]],ProductData[[Code]:[Item]],2,FALSE)</f>
        <v>Ultrathing V3</v>
      </c>
      <c r="P3542" s="4">
        <f>OrganizedData[[#This Row],[Quantity]]*VLOOKUP(OrganizedData[[#This Row],[Product Code]],ProductData[],4,FALSE)</f>
        <v>2160</v>
      </c>
      <c r="Q3542" s="6">
        <f>OrganizedData[[#This Row],[Total Items Ordered]]*VLOOKUP(OrganizedData[[#This Row],[Product Code]],ProductData[],3,FALSE)</f>
        <v>7322.4000000000005</v>
      </c>
      <c r="R35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6956.28</v>
      </c>
    </row>
    <row r="3543" spans="1:18" x14ac:dyDescent="0.3">
      <c r="A3543" s="2">
        <v>3536</v>
      </c>
      <c r="B3543" s="2" t="s">
        <v>612</v>
      </c>
      <c r="C3543" s="2" t="s">
        <v>4635</v>
      </c>
      <c r="D3543" s="2" t="s">
        <v>28</v>
      </c>
      <c r="E3543" s="2" t="s">
        <v>29</v>
      </c>
      <c r="F3543" s="2">
        <v>30</v>
      </c>
      <c r="G3543" s="2" t="s">
        <v>8366</v>
      </c>
      <c r="H3543" s="2" t="s">
        <v>634</v>
      </c>
      <c r="I3543" s="2" t="s">
        <v>32</v>
      </c>
      <c r="J3543" s="3">
        <v>44179</v>
      </c>
      <c r="K3543" s="5">
        <f>YEAR(OrganizedData[[#This Row],[Order Date]])</f>
        <v>2020</v>
      </c>
      <c r="L3543" s="7" t="str">
        <f>TEXT(OrganizedData[[#This Row],[Order Date]],"mmm")</f>
        <v>Dec</v>
      </c>
      <c r="M3543" s="2">
        <v>35</v>
      </c>
      <c r="N3543" s="2" t="s">
        <v>54</v>
      </c>
      <c r="O3543" s="2" t="str">
        <f>VLOOKUP(OrganizedData[[#This Row],[Product Code]],ProductData[[Code]:[Item]],2,FALSE)</f>
        <v>Megawidget S</v>
      </c>
      <c r="P3543" s="4">
        <f>OrganizedData[[#This Row],[Quantity]]*VLOOKUP(OrganizedData[[#This Row],[Product Code]],ProductData[],4,FALSE)</f>
        <v>840</v>
      </c>
      <c r="Q3543" s="6">
        <f>OrganizedData[[#This Row],[Total Items Ordered]]*VLOOKUP(OrganizedData[[#This Row],[Product Code]],ProductData[],3,FALSE)</f>
        <v>579.59999999999991</v>
      </c>
      <c r="R35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562.21199999999988</v>
      </c>
    </row>
    <row r="3544" spans="1:18" x14ac:dyDescent="0.3">
      <c r="A3544" s="2">
        <v>3537</v>
      </c>
      <c r="B3544" s="2" t="s">
        <v>964</v>
      </c>
      <c r="C3544" s="2" t="s">
        <v>3369</v>
      </c>
      <c r="D3544" s="2" t="s">
        <v>28</v>
      </c>
      <c r="E3544" s="2" t="s">
        <v>29</v>
      </c>
      <c r="F3544" s="2">
        <v>30</v>
      </c>
      <c r="G3544" s="2" t="s">
        <v>8367</v>
      </c>
      <c r="H3544" s="2" t="s">
        <v>7898</v>
      </c>
      <c r="I3544" s="2" t="s">
        <v>425</v>
      </c>
      <c r="J3544" s="3">
        <v>43895</v>
      </c>
      <c r="K3544" s="5">
        <f>YEAR(OrganizedData[[#This Row],[Order Date]])</f>
        <v>2020</v>
      </c>
      <c r="L3544" s="7" t="str">
        <f>TEXT(OrganizedData[[#This Row],[Order Date]],"mmm")</f>
        <v>Mar</v>
      </c>
      <c r="M3544" s="2">
        <v>33</v>
      </c>
      <c r="N3544" s="2" t="s">
        <v>101</v>
      </c>
      <c r="O3544" s="2" t="str">
        <f>VLOOKUP(OrganizedData[[#This Row],[Product Code]],ProductData[[Code]:[Item]],2,FALSE)</f>
        <v>Superwossname</v>
      </c>
      <c r="P3544" s="4">
        <f>OrganizedData[[#This Row],[Quantity]]*VLOOKUP(OrganizedData[[#This Row],[Product Code]],ProductData[],4,FALSE)</f>
        <v>660</v>
      </c>
      <c r="Q3544" s="6">
        <f>OrganizedData[[#This Row],[Total Items Ordered]]*VLOOKUP(OrganizedData[[#This Row],[Product Code]],ProductData[],3,FALSE)</f>
        <v>2303.4</v>
      </c>
      <c r="R35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2234.2980000000002</v>
      </c>
    </row>
    <row r="3545" spans="1:18" x14ac:dyDescent="0.3">
      <c r="A3545" s="2">
        <v>3538</v>
      </c>
      <c r="B3545" s="2" t="s">
        <v>3886</v>
      </c>
      <c r="C3545" s="2" t="s">
        <v>4396</v>
      </c>
      <c r="D3545" s="2" t="s">
        <v>51</v>
      </c>
      <c r="E3545" s="2" t="s">
        <v>16</v>
      </c>
      <c r="F3545" s="2">
        <v>60</v>
      </c>
      <c r="G3545" s="2" t="s">
        <v>8368</v>
      </c>
      <c r="H3545" s="2" t="s">
        <v>4030</v>
      </c>
      <c r="I3545" s="2" t="s">
        <v>32</v>
      </c>
      <c r="J3545" s="3">
        <v>44017</v>
      </c>
      <c r="K3545" s="5">
        <f>YEAR(OrganizedData[[#This Row],[Order Date]])</f>
        <v>2020</v>
      </c>
      <c r="L3545" s="7" t="str">
        <f>TEXT(OrganizedData[[#This Row],[Order Date]],"mmm")</f>
        <v>Jul</v>
      </c>
      <c r="M3545" s="2">
        <v>54</v>
      </c>
      <c r="N3545" s="2" t="s">
        <v>45</v>
      </c>
      <c r="O3545" s="2" t="str">
        <f>VLOOKUP(OrganizedData[[#This Row],[Product Code]],ProductData[[Code]:[Item]],2,FALSE)</f>
        <v>Gigastuff</v>
      </c>
      <c r="P3545" s="4">
        <f>OrganizedData[[#This Row],[Quantity]]*VLOOKUP(OrganizedData[[#This Row],[Product Code]],ProductData[],4,FALSE)</f>
        <v>972</v>
      </c>
      <c r="Q3545" s="6">
        <f>OrganizedData[[#This Row],[Total Items Ordered]]*VLOOKUP(OrganizedData[[#This Row],[Product Code]],ProductData[],3,FALSE)</f>
        <v>1837.08</v>
      </c>
      <c r="R35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1745.2259999999999</v>
      </c>
    </row>
    <row r="3546" spans="1:18" x14ac:dyDescent="0.3">
      <c r="A3546" s="2">
        <v>3539</v>
      </c>
      <c r="B3546" s="2" t="s">
        <v>8369</v>
      </c>
      <c r="C3546" s="2" t="s">
        <v>4797</v>
      </c>
      <c r="D3546" s="2" t="s">
        <v>41</v>
      </c>
      <c r="E3546" s="2" t="s">
        <v>16</v>
      </c>
      <c r="F3546" s="2">
        <v>90</v>
      </c>
      <c r="G3546" s="2" t="s">
        <v>8370</v>
      </c>
      <c r="H3546" s="2" t="s">
        <v>574</v>
      </c>
      <c r="I3546" s="2" t="s">
        <v>575</v>
      </c>
      <c r="J3546" s="3">
        <v>43903</v>
      </c>
      <c r="K3546" s="5">
        <f>YEAR(OrganizedData[[#This Row],[Order Date]])</f>
        <v>2020</v>
      </c>
      <c r="L3546" s="7" t="str">
        <f>TEXT(OrganizedData[[#This Row],[Order Date]],"mmm")</f>
        <v>Mar</v>
      </c>
      <c r="M3546" s="2">
        <v>15</v>
      </c>
      <c r="N3546" s="2" t="s">
        <v>80</v>
      </c>
      <c r="O3546" s="2" t="str">
        <f>VLOOKUP(OrganizedData[[#This Row],[Product Code]],ProductData[[Code]:[Item]],2,FALSE)</f>
        <v>Ultrathing V2</v>
      </c>
      <c r="P3546" s="4">
        <f>OrganizedData[[#This Row],[Quantity]]*VLOOKUP(OrganizedData[[#This Row],[Product Code]],ProductData[],4,FALSE)</f>
        <v>300</v>
      </c>
      <c r="Q3546" s="6">
        <f>OrganizedData[[#This Row],[Total Items Ordered]]*VLOOKUP(OrganizedData[[#This Row],[Product Code]],ProductData[],3,FALSE)</f>
        <v>885</v>
      </c>
      <c r="R35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3547" spans="1:18" x14ac:dyDescent="0.3">
      <c r="A3547" s="2">
        <v>3540</v>
      </c>
      <c r="B3547" s="2" t="s">
        <v>8371</v>
      </c>
      <c r="C3547" s="2" t="s">
        <v>2431</v>
      </c>
      <c r="D3547" s="2" t="s">
        <v>51</v>
      </c>
      <c r="E3547" s="2" t="s">
        <v>16</v>
      </c>
      <c r="F3547" s="2">
        <v>30</v>
      </c>
      <c r="G3547" s="2" t="s">
        <v>8372</v>
      </c>
      <c r="H3547" s="2" t="s">
        <v>603</v>
      </c>
      <c r="I3547" s="2" t="s">
        <v>187</v>
      </c>
      <c r="J3547" s="3">
        <v>44765</v>
      </c>
      <c r="K3547" s="5">
        <f>YEAR(OrganizedData[[#This Row],[Order Date]])</f>
        <v>2022</v>
      </c>
      <c r="L3547" s="7" t="str">
        <f>TEXT(OrganizedData[[#This Row],[Order Date]],"mmm")</f>
        <v>Jul</v>
      </c>
      <c r="M3547" s="2">
        <v>53</v>
      </c>
      <c r="N3547" s="2" t="s">
        <v>159</v>
      </c>
      <c r="O3547" s="2" t="str">
        <f>VLOOKUP(OrganizedData[[#This Row],[Product Code]],ProductData[[Code]:[Item]],2,FALSE)</f>
        <v>Ultrathing V3</v>
      </c>
      <c r="P3547" s="4">
        <f>OrganizedData[[#This Row],[Quantity]]*VLOOKUP(OrganizedData[[#This Row],[Product Code]],ProductData[],4,FALSE)</f>
        <v>1272</v>
      </c>
      <c r="Q3547" s="6">
        <f>OrganizedData[[#This Row],[Total Items Ordered]]*VLOOKUP(OrganizedData[[#This Row],[Product Code]],ProductData[],3,FALSE)</f>
        <v>4312.08</v>
      </c>
      <c r="R35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4096.4759999999997</v>
      </c>
    </row>
    <row r="3548" spans="1:18" x14ac:dyDescent="0.3">
      <c r="A3548" s="2">
        <v>3541</v>
      </c>
      <c r="B3548" s="2" t="s">
        <v>5916</v>
      </c>
      <c r="C3548" s="2" t="s">
        <v>949</v>
      </c>
      <c r="D3548" s="2" t="s">
        <v>28</v>
      </c>
      <c r="E3548" s="2" t="s">
        <v>29</v>
      </c>
      <c r="F3548" s="2">
        <v>90</v>
      </c>
      <c r="G3548" s="2" t="s">
        <v>8373</v>
      </c>
      <c r="H3548" s="2" t="s">
        <v>6080</v>
      </c>
      <c r="I3548" s="2" t="s">
        <v>32</v>
      </c>
      <c r="J3548" s="3">
        <v>44170</v>
      </c>
      <c r="K3548" s="5">
        <f>YEAR(OrganizedData[[#This Row],[Order Date]])</f>
        <v>2020</v>
      </c>
      <c r="L3548" s="7" t="str">
        <f>TEXT(OrganizedData[[#This Row],[Order Date]],"mmm")</f>
        <v>Dec</v>
      </c>
      <c r="M3548" s="2">
        <v>34</v>
      </c>
      <c r="N3548" s="2" t="s">
        <v>20</v>
      </c>
      <c r="O3548" s="2" t="str">
        <f>VLOOKUP(OrganizedData[[#This Row],[Product Code]],ProductData[[Code]:[Item]],2,FALSE)</f>
        <v>Hyperwotsit</v>
      </c>
      <c r="P3548" s="4">
        <f>OrganizedData[[#This Row],[Quantity]]*VLOOKUP(OrganizedData[[#This Row],[Product Code]],ProductData[],4,FALSE)</f>
        <v>680</v>
      </c>
      <c r="Q3548" s="6">
        <f>OrganizedData[[#This Row],[Total Items Ordered]]*VLOOKUP(OrganizedData[[#This Row],[Product Code]],ProductData[],3,FALSE)</f>
        <v>1366.8</v>
      </c>
      <c r="R35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1325.7959999999998</v>
      </c>
    </row>
    <row r="3549" spans="1:18" x14ac:dyDescent="0.3">
      <c r="A3549" s="2">
        <v>3542</v>
      </c>
      <c r="B3549" s="2" t="s">
        <v>5878</v>
      </c>
      <c r="C3549" s="2" t="s">
        <v>2378</v>
      </c>
      <c r="D3549" s="2" t="s">
        <v>28</v>
      </c>
      <c r="E3549" s="2" t="s">
        <v>29</v>
      </c>
      <c r="F3549" s="2">
        <v>90</v>
      </c>
      <c r="G3549" s="2" t="s">
        <v>8374</v>
      </c>
      <c r="H3549" s="2" t="s">
        <v>6714</v>
      </c>
      <c r="I3549" s="2" t="s">
        <v>129</v>
      </c>
      <c r="J3549" s="3">
        <v>44734</v>
      </c>
      <c r="K3549" s="5">
        <f>YEAR(OrganizedData[[#This Row],[Order Date]])</f>
        <v>2022</v>
      </c>
      <c r="L3549" s="7" t="str">
        <f>TEXT(OrganizedData[[#This Row],[Order Date]],"mmm")</f>
        <v>Jun</v>
      </c>
      <c r="M3549" s="2">
        <v>61</v>
      </c>
      <c r="N3549" s="2" t="s">
        <v>159</v>
      </c>
      <c r="O3549" s="2" t="str">
        <f>VLOOKUP(OrganizedData[[#This Row],[Product Code]],ProductData[[Code]:[Item]],2,FALSE)</f>
        <v>Ultrathing V3</v>
      </c>
      <c r="P3549" s="4">
        <f>OrganizedData[[#This Row],[Quantity]]*VLOOKUP(OrganizedData[[#This Row],[Product Code]],ProductData[],4,FALSE)</f>
        <v>1464</v>
      </c>
      <c r="Q3549" s="6">
        <f>OrganizedData[[#This Row],[Total Items Ordered]]*VLOOKUP(OrganizedData[[#This Row],[Product Code]],ProductData[],3,FALSE)</f>
        <v>4962.96</v>
      </c>
      <c r="R35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3550" spans="1:18" x14ac:dyDescent="0.3">
      <c r="A3550" s="2">
        <v>3543</v>
      </c>
      <c r="B3550" s="2" t="s">
        <v>6557</v>
      </c>
      <c r="C3550" s="2" t="s">
        <v>6663</v>
      </c>
      <c r="D3550" s="2" t="s">
        <v>28</v>
      </c>
      <c r="E3550" s="2" t="s">
        <v>29</v>
      </c>
      <c r="F3550" s="2">
        <v>90</v>
      </c>
      <c r="G3550" s="2" t="s">
        <v>8375</v>
      </c>
      <c r="H3550" s="2" t="s">
        <v>3206</v>
      </c>
      <c r="I3550" s="2" t="s">
        <v>1199</v>
      </c>
      <c r="J3550" s="3">
        <v>44349</v>
      </c>
      <c r="K3550" s="5">
        <f>YEAR(OrganizedData[[#This Row],[Order Date]])</f>
        <v>2021</v>
      </c>
      <c r="L3550" s="7" t="str">
        <f>TEXT(OrganizedData[[#This Row],[Order Date]],"mmm")</f>
        <v>Jun</v>
      </c>
      <c r="M3550" s="2">
        <v>92</v>
      </c>
      <c r="N3550" s="2" t="s">
        <v>64</v>
      </c>
      <c r="O3550" s="2" t="str">
        <f>VLOOKUP(OrganizedData[[#This Row],[Product Code]],ProductData[[Code]:[Item]],2,FALSE)</f>
        <v>Ultrathing V4</v>
      </c>
      <c r="P3550" s="4">
        <f>OrganizedData[[#This Row],[Quantity]]*VLOOKUP(OrganizedData[[#This Row],[Product Code]],ProductData[],4,FALSE)</f>
        <v>2208</v>
      </c>
      <c r="Q3550" s="6">
        <f>OrganizedData[[#This Row],[Total Items Ordered]]*VLOOKUP(OrganizedData[[#This Row],[Product Code]],ProductData[],3,FALSE)</f>
        <v>8809.92</v>
      </c>
      <c r="R35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8369.4239999999991</v>
      </c>
    </row>
    <row r="3551" spans="1:18" x14ac:dyDescent="0.3">
      <c r="A3551" s="2">
        <v>3544</v>
      </c>
      <c r="B3551" s="2" t="s">
        <v>8376</v>
      </c>
      <c r="C3551" s="2" t="s">
        <v>8377</v>
      </c>
      <c r="D3551" s="2" t="s">
        <v>51</v>
      </c>
      <c r="E3551" s="2" t="s">
        <v>16</v>
      </c>
      <c r="F3551" s="2">
        <v>60</v>
      </c>
      <c r="G3551" s="2" t="s">
        <v>8378</v>
      </c>
      <c r="H3551" s="2" t="s">
        <v>908</v>
      </c>
      <c r="I3551" s="2" t="s">
        <v>575</v>
      </c>
      <c r="J3551" s="3">
        <v>44045</v>
      </c>
      <c r="K3551" s="5">
        <f>YEAR(OrganizedData[[#This Row],[Order Date]])</f>
        <v>2020</v>
      </c>
      <c r="L3551" s="7" t="str">
        <f>TEXT(OrganizedData[[#This Row],[Order Date]],"mmm")</f>
        <v>Aug</v>
      </c>
      <c r="M3551" s="2">
        <v>51</v>
      </c>
      <c r="N3551" s="2" t="s">
        <v>64</v>
      </c>
      <c r="O3551" s="2" t="str">
        <f>VLOOKUP(OrganizedData[[#This Row],[Product Code]],ProductData[[Code]:[Item]],2,FALSE)</f>
        <v>Ultrathing V4</v>
      </c>
      <c r="P3551" s="4">
        <f>OrganizedData[[#This Row],[Quantity]]*VLOOKUP(OrganizedData[[#This Row],[Product Code]],ProductData[],4,FALSE)</f>
        <v>1224</v>
      </c>
      <c r="Q3551" s="6">
        <f>OrganizedData[[#This Row],[Total Items Ordered]]*VLOOKUP(OrganizedData[[#This Row],[Product Code]],ProductData[],3,FALSE)</f>
        <v>4883.76</v>
      </c>
      <c r="R35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4639.5720000000001</v>
      </c>
    </row>
    <row r="3552" spans="1:18" x14ac:dyDescent="0.3">
      <c r="A3552" s="2">
        <v>3545</v>
      </c>
      <c r="B3552" s="2" t="s">
        <v>8379</v>
      </c>
      <c r="C3552" s="2" t="s">
        <v>770</v>
      </c>
      <c r="D3552" s="2" t="s">
        <v>15</v>
      </c>
      <c r="E3552" s="2" t="s">
        <v>16</v>
      </c>
      <c r="F3552" s="2">
        <v>90</v>
      </c>
      <c r="G3552" s="2" t="s">
        <v>8380</v>
      </c>
      <c r="H3552" s="2" t="s">
        <v>172</v>
      </c>
      <c r="I3552" s="2" t="s">
        <v>173</v>
      </c>
      <c r="J3552" s="3">
        <v>44596</v>
      </c>
      <c r="K3552" s="5">
        <f>YEAR(OrganizedData[[#This Row],[Order Date]])</f>
        <v>2022</v>
      </c>
      <c r="L3552" s="7" t="str">
        <f>TEXT(OrganizedData[[#This Row],[Order Date]],"mmm")</f>
        <v>Feb</v>
      </c>
      <c r="M3552" s="2">
        <v>16</v>
      </c>
      <c r="N3552" s="2" t="s">
        <v>20</v>
      </c>
      <c r="O3552" s="2" t="str">
        <f>VLOOKUP(OrganizedData[[#This Row],[Product Code]],ProductData[[Code]:[Item]],2,FALSE)</f>
        <v>Hyperwotsit</v>
      </c>
      <c r="P3552" s="4">
        <f>OrganizedData[[#This Row],[Quantity]]*VLOOKUP(OrganizedData[[#This Row],[Product Code]],ProductData[],4,FALSE)</f>
        <v>320</v>
      </c>
      <c r="Q3552" s="6">
        <f>OrganizedData[[#This Row],[Total Items Ordered]]*VLOOKUP(OrganizedData[[#This Row],[Product Code]],ProductData[],3,FALSE)</f>
        <v>643.19999999999993</v>
      </c>
      <c r="R35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643.19999999999993</v>
      </c>
    </row>
    <row r="3553" spans="1:18" x14ac:dyDescent="0.3">
      <c r="A3553" s="2">
        <v>3546</v>
      </c>
      <c r="B3553" s="2" t="s">
        <v>6717</v>
      </c>
      <c r="C3553" s="2" t="s">
        <v>4306</v>
      </c>
      <c r="D3553" s="2" t="s">
        <v>51</v>
      </c>
      <c r="E3553" s="2" t="s">
        <v>16</v>
      </c>
      <c r="F3553" s="2">
        <v>90</v>
      </c>
      <c r="G3553" s="2" t="s">
        <v>8381</v>
      </c>
      <c r="H3553" s="2" t="s">
        <v>4924</v>
      </c>
      <c r="I3553" s="2" t="s">
        <v>32</v>
      </c>
      <c r="J3553" s="3">
        <v>44119</v>
      </c>
      <c r="K3553" s="5">
        <f>YEAR(OrganizedData[[#This Row],[Order Date]])</f>
        <v>2020</v>
      </c>
      <c r="L3553" s="7" t="str">
        <f>TEXT(OrganizedData[[#This Row],[Order Date]],"mmm")</f>
        <v>Oct</v>
      </c>
      <c r="M3553" s="2">
        <v>10</v>
      </c>
      <c r="N3553" s="2" t="s">
        <v>39</v>
      </c>
      <c r="O3553" s="2" t="str">
        <f>VLOOKUP(OrganizedData[[#This Row],[Product Code]],ProductData[[Code]:[Item]],2,FALSE)</f>
        <v>Ultrathing V1</v>
      </c>
      <c r="P3553" s="4">
        <f>OrganizedData[[#This Row],[Quantity]]*VLOOKUP(OrganizedData[[#This Row],[Product Code]],ProductData[],4,FALSE)</f>
        <v>170</v>
      </c>
      <c r="Q3553" s="6">
        <f>OrganizedData[[#This Row],[Total Items Ordered]]*VLOOKUP(OrganizedData[[#This Row],[Product Code]],ProductData[],3,FALSE)</f>
        <v>304.3</v>
      </c>
      <c r="R35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3554" spans="1:18" x14ac:dyDescent="0.3">
      <c r="A3554" s="2">
        <v>3547</v>
      </c>
      <c r="B3554" s="2" t="s">
        <v>2922</v>
      </c>
      <c r="C3554" s="2" t="s">
        <v>858</v>
      </c>
      <c r="D3554" s="2" t="s">
        <v>15</v>
      </c>
      <c r="E3554" s="2" t="s">
        <v>16</v>
      </c>
      <c r="F3554" s="2">
        <v>60</v>
      </c>
      <c r="G3554" s="2" t="s">
        <v>8382</v>
      </c>
      <c r="H3554" s="2" t="s">
        <v>244</v>
      </c>
      <c r="I3554" s="2" t="s">
        <v>240</v>
      </c>
      <c r="J3554" s="3">
        <v>44016</v>
      </c>
      <c r="K3554" s="5">
        <f>YEAR(OrganizedData[[#This Row],[Order Date]])</f>
        <v>2020</v>
      </c>
      <c r="L3554" s="7" t="str">
        <f>TEXT(OrganizedData[[#This Row],[Order Date]],"mmm")</f>
        <v>Jul</v>
      </c>
      <c r="M3554" s="2">
        <v>51</v>
      </c>
      <c r="N3554" s="2" t="s">
        <v>33</v>
      </c>
      <c r="O3554" s="2" t="str">
        <f>VLOOKUP(OrganizedData[[#This Row],[Product Code]],ProductData[[Code]:[Item]],2,FALSE)</f>
        <v>Megawidget L</v>
      </c>
      <c r="P3554" s="4">
        <f>OrganizedData[[#This Row],[Quantity]]*VLOOKUP(OrganizedData[[#This Row],[Product Code]],ProductData[],4,FALSE)</f>
        <v>1224</v>
      </c>
      <c r="Q3554" s="6">
        <f>OrganizedData[[#This Row],[Total Items Ordered]]*VLOOKUP(OrganizedData[[#This Row],[Product Code]],ProductData[],3,FALSE)</f>
        <v>2190.96</v>
      </c>
      <c r="R35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3555" spans="1:18" x14ac:dyDescent="0.3">
      <c r="A3555" s="2">
        <v>3548</v>
      </c>
      <c r="B3555" s="2" t="s">
        <v>2164</v>
      </c>
      <c r="C3555" s="2" t="s">
        <v>3435</v>
      </c>
      <c r="D3555" s="2" t="s">
        <v>51</v>
      </c>
      <c r="E3555" s="2" t="s">
        <v>16</v>
      </c>
      <c r="F3555" s="2">
        <v>90</v>
      </c>
      <c r="G3555" s="2" t="s">
        <v>8383</v>
      </c>
      <c r="H3555" s="2" t="s">
        <v>7598</v>
      </c>
      <c r="I3555" s="2" t="s">
        <v>187</v>
      </c>
      <c r="J3555" s="3">
        <v>43886</v>
      </c>
      <c r="K3555" s="5">
        <f>YEAR(OrganizedData[[#This Row],[Order Date]])</f>
        <v>2020</v>
      </c>
      <c r="L3555" s="7" t="str">
        <f>TEXT(OrganizedData[[#This Row],[Order Date]],"mmm")</f>
        <v>Feb</v>
      </c>
      <c r="M3555" s="2">
        <v>85</v>
      </c>
      <c r="N3555" s="2" t="s">
        <v>70</v>
      </c>
      <c r="O3555" s="2" t="str">
        <f>VLOOKUP(OrganizedData[[#This Row],[Product Code]],ProductData[[Code]:[Item]],2,FALSE)</f>
        <v>Megawidget M</v>
      </c>
      <c r="P3555" s="4">
        <f>OrganizedData[[#This Row],[Quantity]]*VLOOKUP(OrganizedData[[#This Row],[Product Code]],ProductData[],4,FALSE)</f>
        <v>2040</v>
      </c>
      <c r="Q3555" s="6">
        <f>OrganizedData[[#This Row],[Total Items Ordered]]*VLOOKUP(OrganizedData[[#This Row],[Product Code]],ProductData[],3,FALSE)</f>
        <v>2631.6</v>
      </c>
      <c r="R35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2500.02</v>
      </c>
    </row>
    <row r="3556" spans="1:18" x14ac:dyDescent="0.3">
      <c r="A3556" s="2">
        <v>3549</v>
      </c>
      <c r="B3556" s="2" t="s">
        <v>3805</v>
      </c>
      <c r="C3556" s="2" t="s">
        <v>1212</v>
      </c>
      <c r="D3556" s="2" t="s">
        <v>28</v>
      </c>
      <c r="E3556" s="2" t="s">
        <v>29</v>
      </c>
      <c r="F3556" s="2">
        <v>60</v>
      </c>
      <c r="G3556" s="2" t="s">
        <v>8383</v>
      </c>
      <c r="H3556" s="2" t="s">
        <v>957</v>
      </c>
      <c r="I3556" s="2" t="s">
        <v>95</v>
      </c>
      <c r="J3556" s="3">
        <v>44883</v>
      </c>
      <c r="K3556" s="5">
        <f>YEAR(OrganizedData[[#This Row],[Order Date]])</f>
        <v>2022</v>
      </c>
      <c r="L3556" s="7" t="str">
        <f>TEXT(OrganizedData[[#This Row],[Order Date]],"mmm")</f>
        <v>Nov</v>
      </c>
      <c r="M3556" s="2">
        <v>57</v>
      </c>
      <c r="N3556" s="2" t="s">
        <v>80</v>
      </c>
      <c r="O3556" s="2" t="str">
        <f>VLOOKUP(OrganizedData[[#This Row],[Product Code]],ProductData[[Code]:[Item]],2,FALSE)</f>
        <v>Ultrathing V2</v>
      </c>
      <c r="P3556" s="4">
        <f>OrganizedData[[#This Row],[Quantity]]*VLOOKUP(OrganizedData[[#This Row],[Product Code]],ProductData[],4,FALSE)</f>
        <v>1140</v>
      </c>
      <c r="Q3556" s="6">
        <f>OrganizedData[[#This Row],[Total Items Ordered]]*VLOOKUP(OrganizedData[[#This Row],[Product Code]],ProductData[],3,FALSE)</f>
        <v>3363</v>
      </c>
      <c r="R35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3194.85</v>
      </c>
    </row>
    <row r="3557" spans="1:18" x14ac:dyDescent="0.3">
      <c r="A3557" s="2">
        <v>3550</v>
      </c>
      <c r="B3557" s="2" t="s">
        <v>6419</v>
      </c>
      <c r="C3557" s="2" t="s">
        <v>2246</v>
      </c>
      <c r="D3557" s="2" t="s">
        <v>28</v>
      </c>
      <c r="E3557" s="2" t="s">
        <v>29</v>
      </c>
      <c r="F3557" s="2">
        <v>90</v>
      </c>
      <c r="G3557" s="2" t="s">
        <v>8384</v>
      </c>
      <c r="H3557" s="2" t="s">
        <v>694</v>
      </c>
      <c r="I3557" s="2" t="s">
        <v>32</v>
      </c>
      <c r="J3557" s="3">
        <v>44873</v>
      </c>
      <c r="K3557" s="5">
        <f>YEAR(OrganizedData[[#This Row],[Order Date]])</f>
        <v>2022</v>
      </c>
      <c r="L3557" s="7" t="str">
        <f>TEXT(OrganizedData[[#This Row],[Order Date]],"mmm")</f>
        <v>Nov</v>
      </c>
      <c r="M3557" s="2">
        <v>61</v>
      </c>
      <c r="N3557" s="2" t="s">
        <v>20</v>
      </c>
      <c r="O3557" s="2" t="str">
        <f>VLOOKUP(OrganizedData[[#This Row],[Product Code]],ProductData[[Code]:[Item]],2,FALSE)</f>
        <v>Hyperwotsit</v>
      </c>
      <c r="P3557" s="4">
        <f>OrganizedData[[#This Row],[Quantity]]*VLOOKUP(OrganizedData[[#This Row],[Product Code]],ProductData[],4,FALSE)</f>
        <v>1220</v>
      </c>
      <c r="Q3557" s="6">
        <f>OrganizedData[[#This Row],[Total Items Ordered]]*VLOOKUP(OrganizedData[[#This Row],[Product Code]],ProductData[],3,FALSE)</f>
        <v>2452.1999999999998</v>
      </c>
      <c r="R35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2329.5899999999997</v>
      </c>
    </row>
    <row r="3558" spans="1:18" x14ac:dyDescent="0.3">
      <c r="A3558" s="2">
        <v>3551</v>
      </c>
      <c r="B3558" s="2" t="s">
        <v>3519</v>
      </c>
      <c r="C3558" s="2" t="s">
        <v>8385</v>
      </c>
      <c r="D3558" s="2" t="s">
        <v>28</v>
      </c>
      <c r="E3558" s="2" t="s">
        <v>29</v>
      </c>
      <c r="F3558" s="2">
        <v>90</v>
      </c>
      <c r="G3558" s="2" t="s">
        <v>8386</v>
      </c>
      <c r="H3558" s="2" t="s">
        <v>5427</v>
      </c>
      <c r="I3558" s="2" t="s">
        <v>32</v>
      </c>
      <c r="J3558" s="3">
        <v>44335</v>
      </c>
      <c r="K3558" s="5">
        <f>YEAR(OrganizedData[[#This Row],[Order Date]])</f>
        <v>2021</v>
      </c>
      <c r="L3558" s="7" t="str">
        <f>TEXT(OrganizedData[[#This Row],[Order Date]],"mmm")</f>
        <v>May</v>
      </c>
      <c r="M3558" s="2">
        <v>39</v>
      </c>
      <c r="N3558" s="2" t="s">
        <v>39</v>
      </c>
      <c r="O3558" s="2" t="str">
        <f>VLOOKUP(OrganizedData[[#This Row],[Product Code]],ProductData[[Code]:[Item]],2,FALSE)</f>
        <v>Ultrathing V1</v>
      </c>
      <c r="P3558" s="4">
        <f>OrganizedData[[#This Row],[Quantity]]*VLOOKUP(OrganizedData[[#This Row],[Product Code]],ProductData[],4,FALSE)</f>
        <v>663</v>
      </c>
      <c r="Q3558" s="6">
        <f>OrganizedData[[#This Row],[Total Items Ordered]]*VLOOKUP(OrganizedData[[#This Row],[Product Code]],ProductData[],3,FALSE)</f>
        <v>1186.77</v>
      </c>
      <c r="R35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1151.1668999999999</v>
      </c>
    </row>
    <row r="3559" spans="1:18" x14ac:dyDescent="0.3">
      <c r="A3559" s="2">
        <v>3552</v>
      </c>
      <c r="B3559" s="2" t="s">
        <v>612</v>
      </c>
      <c r="C3559" s="2" t="s">
        <v>972</v>
      </c>
      <c r="D3559" s="2" t="s">
        <v>15</v>
      </c>
      <c r="E3559" s="2" t="s">
        <v>16</v>
      </c>
      <c r="F3559" s="2">
        <v>90</v>
      </c>
      <c r="G3559" s="2" t="s">
        <v>8387</v>
      </c>
      <c r="H3559" s="2" t="s">
        <v>4631</v>
      </c>
      <c r="I3559" s="2" t="s">
        <v>187</v>
      </c>
      <c r="J3559" s="3">
        <v>44573</v>
      </c>
      <c r="K3559" s="5">
        <f>YEAR(OrganizedData[[#This Row],[Order Date]])</f>
        <v>2022</v>
      </c>
      <c r="L3559" s="7" t="str">
        <f>TEXT(OrganizedData[[#This Row],[Order Date]],"mmm")</f>
        <v>Jan</v>
      </c>
      <c r="M3559" s="2">
        <v>86</v>
      </c>
      <c r="N3559" s="2" t="s">
        <v>20</v>
      </c>
      <c r="O3559" s="2" t="str">
        <f>VLOOKUP(OrganizedData[[#This Row],[Product Code]],ProductData[[Code]:[Item]],2,FALSE)</f>
        <v>Hyperwotsit</v>
      </c>
      <c r="P3559" s="4">
        <f>OrganizedData[[#This Row],[Quantity]]*VLOOKUP(OrganizedData[[#This Row],[Product Code]],ProductData[],4,FALSE)</f>
        <v>1720</v>
      </c>
      <c r="Q3559" s="6">
        <f>OrganizedData[[#This Row],[Total Items Ordered]]*VLOOKUP(OrganizedData[[#This Row],[Product Code]],ProductData[],3,FALSE)</f>
        <v>3457.2</v>
      </c>
      <c r="R35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3284.3399999999997</v>
      </c>
    </row>
    <row r="3560" spans="1:18" x14ac:dyDescent="0.3">
      <c r="A3560" s="2">
        <v>3553</v>
      </c>
      <c r="B3560" s="2" t="s">
        <v>8388</v>
      </c>
      <c r="C3560" s="2" t="s">
        <v>5431</v>
      </c>
      <c r="D3560" s="2" t="s">
        <v>51</v>
      </c>
      <c r="E3560" s="2" t="s">
        <v>16</v>
      </c>
      <c r="F3560" s="2">
        <v>30</v>
      </c>
      <c r="G3560" s="2" t="s">
        <v>8389</v>
      </c>
      <c r="H3560" s="2" t="s">
        <v>6249</v>
      </c>
      <c r="I3560" s="2" t="s">
        <v>38</v>
      </c>
      <c r="J3560" s="3">
        <v>44497</v>
      </c>
      <c r="K3560" s="5">
        <f>YEAR(OrganizedData[[#This Row],[Order Date]])</f>
        <v>2021</v>
      </c>
      <c r="L3560" s="7" t="str">
        <f>TEXT(OrganizedData[[#This Row],[Order Date]],"mmm")</f>
        <v>Oct</v>
      </c>
      <c r="M3560" s="2">
        <v>50</v>
      </c>
      <c r="N3560" s="2" t="s">
        <v>101</v>
      </c>
      <c r="O3560" s="2" t="str">
        <f>VLOOKUP(OrganizedData[[#This Row],[Product Code]],ProductData[[Code]:[Item]],2,FALSE)</f>
        <v>Superwossname</v>
      </c>
      <c r="P3560" s="4">
        <f>OrganizedData[[#This Row],[Quantity]]*VLOOKUP(OrganizedData[[#This Row],[Product Code]],ProductData[],4,FALSE)</f>
        <v>1000</v>
      </c>
      <c r="Q3560" s="6">
        <f>OrganizedData[[#This Row],[Total Items Ordered]]*VLOOKUP(OrganizedData[[#This Row],[Product Code]],ProductData[],3,FALSE)</f>
        <v>3490</v>
      </c>
      <c r="R35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3385.2999999999997</v>
      </c>
    </row>
    <row r="3561" spans="1:18" x14ac:dyDescent="0.3">
      <c r="A3561" s="2">
        <v>3554</v>
      </c>
      <c r="B3561" s="2" t="s">
        <v>3811</v>
      </c>
      <c r="C3561" s="2" t="s">
        <v>2829</v>
      </c>
      <c r="D3561" s="2" t="s">
        <v>28</v>
      </c>
      <c r="E3561" s="2" t="s">
        <v>29</v>
      </c>
      <c r="F3561" s="2">
        <v>30</v>
      </c>
      <c r="G3561" s="2" t="s">
        <v>8390</v>
      </c>
      <c r="H3561" s="2" t="s">
        <v>3433</v>
      </c>
      <c r="I3561" s="2" t="s">
        <v>1199</v>
      </c>
      <c r="J3561" s="3">
        <v>44670</v>
      </c>
      <c r="K3561" s="5">
        <f>YEAR(OrganizedData[[#This Row],[Order Date]])</f>
        <v>2022</v>
      </c>
      <c r="L3561" s="7" t="str">
        <f>TEXT(OrganizedData[[#This Row],[Order Date]],"mmm")</f>
        <v>Apr</v>
      </c>
      <c r="M3561" s="2">
        <v>8</v>
      </c>
      <c r="N3561" s="2" t="s">
        <v>64</v>
      </c>
      <c r="O3561" s="2" t="str">
        <f>VLOOKUP(OrganizedData[[#This Row],[Product Code]],ProductData[[Code]:[Item]],2,FALSE)</f>
        <v>Ultrathing V4</v>
      </c>
      <c r="P3561" s="4">
        <f>OrganizedData[[#This Row],[Quantity]]*VLOOKUP(OrganizedData[[#This Row],[Product Code]],ProductData[],4,FALSE)</f>
        <v>192</v>
      </c>
      <c r="Q3561" s="6">
        <f>OrganizedData[[#This Row],[Total Items Ordered]]*VLOOKUP(OrganizedData[[#This Row],[Product Code]],ProductData[],3,FALSE)</f>
        <v>766.08</v>
      </c>
      <c r="R35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3562" spans="1:18" x14ac:dyDescent="0.3">
      <c r="A3562" s="2">
        <v>3555</v>
      </c>
      <c r="B3562" s="2" t="s">
        <v>657</v>
      </c>
      <c r="C3562" s="2" t="s">
        <v>8377</v>
      </c>
      <c r="D3562" s="2" t="s">
        <v>28</v>
      </c>
      <c r="E3562" s="2" t="s">
        <v>29</v>
      </c>
      <c r="F3562" s="2">
        <v>30</v>
      </c>
      <c r="G3562" s="2" t="s">
        <v>8391</v>
      </c>
      <c r="H3562" s="2" t="s">
        <v>8392</v>
      </c>
      <c r="I3562" s="2" t="s">
        <v>32</v>
      </c>
      <c r="J3562" s="3">
        <v>43951</v>
      </c>
      <c r="K3562" s="5">
        <f>YEAR(OrganizedData[[#This Row],[Order Date]])</f>
        <v>2020</v>
      </c>
      <c r="L3562" s="7" t="str">
        <f>TEXT(OrganizedData[[#This Row],[Order Date]],"mmm")</f>
        <v>Apr</v>
      </c>
      <c r="M3562" s="2">
        <v>9</v>
      </c>
      <c r="N3562" s="2" t="s">
        <v>39</v>
      </c>
      <c r="O3562" s="2" t="str">
        <f>VLOOKUP(OrganizedData[[#This Row],[Product Code]],ProductData[[Code]:[Item]],2,FALSE)</f>
        <v>Ultrathing V1</v>
      </c>
      <c r="P3562" s="4">
        <f>OrganizedData[[#This Row],[Quantity]]*VLOOKUP(OrganizedData[[#This Row],[Product Code]],ProductData[],4,FALSE)</f>
        <v>153</v>
      </c>
      <c r="Q3562" s="6">
        <f>OrganizedData[[#This Row],[Total Items Ordered]]*VLOOKUP(OrganizedData[[#This Row],[Product Code]],ProductData[],3,FALSE)</f>
        <v>273.87</v>
      </c>
      <c r="R35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3563" spans="1:18" x14ac:dyDescent="0.3">
      <c r="A3563" s="2">
        <v>3556</v>
      </c>
      <c r="B3563" s="2" t="s">
        <v>8393</v>
      </c>
      <c r="C3563" s="2" t="s">
        <v>1700</v>
      </c>
      <c r="D3563" s="2" t="s">
        <v>51</v>
      </c>
      <c r="E3563" s="2" t="s">
        <v>16</v>
      </c>
      <c r="F3563" s="2">
        <v>60</v>
      </c>
      <c r="G3563" s="2" t="s">
        <v>8394</v>
      </c>
      <c r="H3563" s="2" t="s">
        <v>4955</v>
      </c>
      <c r="I3563" s="2" t="s">
        <v>645</v>
      </c>
      <c r="J3563" s="3">
        <v>44018</v>
      </c>
      <c r="K3563" s="5">
        <f>YEAR(OrganizedData[[#This Row],[Order Date]])</f>
        <v>2020</v>
      </c>
      <c r="L3563" s="7" t="str">
        <f>TEXT(OrganizedData[[#This Row],[Order Date]],"mmm")</f>
        <v>Jul</v>
      </c>
      <c r="M3563" s="2">
        <v>52</v>
      </c>
      <c r="N3563" s="2" t="s">
        <v>33</v>
      </c>
      <c r="O3563" s="2" t="str">
        <f>VLOOKUP(OrganizedData[[#This Row],[Product Code]],ProductData[[Code]:[Item]],2,FALSE)</f>
        <v>Megawidget L</v>
      </c>
      <c r="P3563" s="4">
        <f>OrganizedData[[#This Row],[Quantity]]*VLOOKUP(OrganizedData[[#This Row],[Product Code]],ProductData[],4,FALSE)</f>
        <v>1248</v>
      </c>
      <c r="Q3563" s="6">
        <f>OrganizedData[[#This Row],[Total Items Ordered]]*VLOOKUP(OrganizedData[[#This Row],[Product Code]],ProductData[],3,FALSE)</f>
        <v>2233.92</v>
      </c>
      <c r="R35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2122.2240000000002</v>
      </c>
    </row>
    <row r="3564" spans="1:18" x14ac:dyDescent="0.3">
      <c r="A3564" s="2">
        <v>3557</v>
      </c>
      <c r="B3564" s="2" t="s">
        <v>6605</v>
      </c>
      <c r="C3564" s="2" t="s">
        <v>840</v>
      </c>
      <c r="D3564" s="2" t="s">
        <v>28</v>
      </c>
      <c r="E3564" s="2" t="s">
        <v>29</v>
      </c>
      <c r="F3564" s="2">
        <v>90</v>
      </c>
      <c r="G3564" s="2" t="s">
        <v>8395</v>
      </c>
      <c r="H3564" s="2" t="s">
        <v>526</v>
      </c>
      <c r="I3564" s="2" t="s">
        <v>32</v>
      </c>
      <c r="J3564" s="3">
        <v>44378</v>
      </c>
      <c r="K3564" s="5">
        <f>YEAR(OrganizedData[[#This Row],[Order Date]])</f>
        <v>2021</v>
      </c>
      <c r="L3564" s="7" t="str">
        <f>TEXT(OrganizedData[[#This Row],[Order Date]],"mmm")</f>
        <v>Jul</v>
      </c>
      <c r="M3564" s="2">
        <v>43</v>
      </c>
      <c r="N3564" s="2" t="s">
        <v>159</v>
      </c>
      <c r="O3564" s="2" t="str">
        <f>VLOOKUP(OrganizedData[[#This Row],[Product Code]],ProductData[[Code]:[Item]],2,FALSE)</f>
        <v>Ultrathing V3</v>
      </c>
      <c r="P3564" s="4">
        <f>OrganizedData[[#This Row],[Quantity]]*VLOOKUP(OrganizedData[[#This Row],[Product Code]],ProductData[],4,FALSE)</f>
        <v>1032</v>
      </c>
      <c r="Q3564" s="6">
        <f>OrganizedData[[#This Row],[Total Items Ordered]]*VLOOKUP(OrganizedData[[#This Row],[Product Code]],ProductData[],3,FALSE)</f>
        <v>3498.48</v>
      </c>
      <c r="R35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3565" spans="1:18" x14ac:dyDescent="0.3">
      <c r="A3565" s="2">
        <v>3558</v>
      </c>
      <c r="B3565" s="2" t="s">
        <v>7992</v>
      </c>
      <c r="C3565" s="2" t="s">
        <v>131</v>
      </c>
      <c r="D3565" s="2" t="s">
        <v>28</v>
      </c>
      <c r="E3565" s="2" t="s">
        <v>29</v>
      </c>
      <c r="F3565" s="2">
        <v>90</v>
      </c>
      <c r="G3565" s="2" t="s">
        <v>8396</v>
      </c>
      <c r="H3565" s="2" t="s">
        <v>2233</v>
      </c>
      <c r="I3565" s="2" t="s">
        <v>187</v>
      </c>
      <c r="J3565" s="3">
        <v>44376</v>
      </c>
      <c r="K3565" s="5">
        <f>YEAR(OrganizedData[[#This Row],[Order Date]])</f>
        <v>2021</v>
      </c>
      <c r="L3565" s="7" t="str">
        <f>TEXT(OrganizedData[[#This Row],[Order Date]],"mmm")</f>
        <v>Jun</v>
      </c>
      <c r="M3565" s="2">
        <v>44</v>
      </c>
      <c r="N3565" s="2" t="s">
        <v>159</v>
      </c>
      <c r="O3565" s="2" t="str">
        <f>VLOOKUP(OrganizedData[[#This Row],[Product Code]],ProductData[[Code]:[Item]],2,FALSE)</f>
        <v>Ultrathing V3</v>
      </c>
      <c r="P3565" s="4">
        <f>OrganizedData[[#This Row],[Quantity]]*VLOOKUP(OrganizedData[[#This Row],[Product Code]],ProductData[],4,FALSE)</f>
        <v>1056</v>
      </c>
      <c r="Q3565" s="6">
        <f>OrganizedData[[#This Row],[Total Items Ordered]]*VLOOKUP(OrganizedData[[#This Row],[Product Code]],ProductData[],3,FALSE)</f>
        <v>3579.84</v>
      </c>
      <c r="R35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3566" spans="1:18" x14ac:dyDescent="0.3">
      <c r="A3566" s="2">
        <v>3559</v>
      </c>
      <c r="B3566" s="2" t="s">
        <v>8397</v>
      </c>
      <c r="C3566" s="2" t="s">
        <v>3416</v>
      </c>
      <c r="D3566" s="2" t="s">
        <v>51</v>
      </c>
      <c r="E3566" s="2" t="s">
        <v>16</v>
      </c>
      <c r="F3566" s="2">
        <v>60</v>
      </c>
      <c r="G3566" s="2" t="s">
        <v>8398</v>
      </c>
      <c r="H3566" s="2" t="s">
        <v>1819</v>
      </c>
      <c r="I3566" s="2" t="s">
        <v>89</v>
      </c>
      <c r="J3566" s="3">
        <v>44014</v>
      </c>
      <c r="K3566" s="5">
        <f>YEAR(OrganizedData[[#This Row],[Order Date]])</f>
        <v>2020</v>
      </c>
      <c r="L3566" s="7" t="str">
        <f>TEXT(OrganizedData[[#This Row],[Order Date]],"mmm")</f>
        <v>Jul</v>
      </c>
      <c r="M3566" s="2">
        <v>50</v>
      </c>
      <c r="N3566" s="2" t="s">
        <v>159</v>
      </c>
      <c r="O3566" s="2" t="str">
        <f>VLOOKUP(OrganizedData[[#This Row],[Product Code]],ProductData[[Code]:[Item]],2,FALSE)</f>
        <v>Ultrathing V3</v>
      </c>
      <c r="P3566" s="4">
        <f>OrganizedData[[#This Row],[Quantity]]*VLOOKUP(OrganizedData[[#This Row],[Product Code]],ProductData[],4,FALSE)</f>
        <v>1200</v>
      </c>
      <c r="Q3566" s="6">
        <f>OrganizedData[[#This Row],[Total Items Ordered]]*VLOOKUP(OrganizedData[[#This Row],[Product Code]],ProductData[],3,FALSE)</f>
        <v>4068</v>
      </c>
      <c r="R35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3567" spans="1:18" x14ac:dyDescent="0.3">
      <c r="A3567" s="2">
        <v>3560</v>
      </c>
      <c r="B3567" s="2" t="s">
        <v>5662</v>
      </c>
      <c r="C3567" s="2" t="s">
        <v>629</v>
      </c>
      <c r="D3567" s="2" t="s">
        <v>28</v>
      </c>
      <c r="E3567" s="2" t="s">
        <v>29</v>
      </c>
      <c r="F3567" s="2">
        <v>90</v>
      </c>
      <c r="G3567" s="2" t="s">
        <v>8399</v>
      </c>
      <c r="H3567" s="2" t="s">
        <v>3730</v>
      </c>
      <c r="I3567" s="2" t="s">
        <v>32</v>
      </c>
      <c r="J3567" s="3">
        <v>44847</v>
      </c>
      <c r="K3567" s="5">
        <f>YEAR(OrganizedData[[#This Row],[Order Date]])</f>
        <v>2022</v>
      </c>
      <c r="L3567" s="7" t="str">
        <f>TEXT(OrganizedData[[#This Row],[Order Date]],"mmm")</f>
        <v>Oct</v>
      </c>
      <c r="M3567" s="2">
        <v>82</v>
      </c>
      <c r="N3567" s="2" t="s">
        <v>33</v>
      </c>
      <c r="O3567" s="2" t="str">
        <f>VLOOKUP(OrganizedData[[#This Row],[Product Code]],ProductData[[Code]:[Item]],2,FALSE)</f>
        <v>Megawidget L</v>
      </c>
      <c r="P3567" s="4">
        <f>OrganizedData[[#This Row],[Quantity]]*VLOOKUP(OrganizedData[[#This Row],[Product Code]],ProductData[],4,FALSE)</f>
        <v>1968</v>
      </c>
      <c r="Q3567" s="6">
        <f>OrganizedData[[#This Row],[Total Items Ordered]]*VLOOKUP(OrganizedData[[#This Row],[Product Code]],ProductData[],3,FALSE)</f>
        <v>3522.7200000000003</v>
      </c>
      <c r="R35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3346.5840000000003</v>
      </c>
    </row>
    <row r="3568" spans="1:18" x14ac:dyDescent="0.3">
      <c r="A3568" s="2">
        <v>3561</v>
      </c>
      <c r="B3568" s="2" t="s">
        <v>8400</v>
      </c>
      <c r="C3568" s="2" t="s">
        <v>2054</v>
      </c>
      <c r="D3568" s="2" t="s">
        <v>28</v>
      </c>
      <c r="E3568" s="2" t="s">
        <v>29</v>
      </c>
      <c r="F3568" s="2">
        <v>30</v>
      </c>
      <c r="G3568" s="2" t="s">
        <v>8401</v>
      </c>
      <c r="H3568" s="2" t="s">
        <v>4030</v>
      </c>
      <c r="I3568" s="2" t="s">
        <v>32</v>
      </c>
      <c r="J3568" s="3">
        <v>44565</v>
      </c>
      <c r="K3568" s="5">
        <f>YEAR(OrganizedData[[#This Row],[Order Date]])</f>
        <v>2022</v>
      </c>
      <c r="L3568" s="7" t="str">
        <f>TEXT(OrganizedData[[#This Row],[Order Date]],"mmm")</f>
        <v>Jan</v>
      </c>
      <c r="M3568" s="2">
        <v>93</v>
      </c>
      <c r="N3568" s="2" t="s">
        <v>70</v>
      </c>
      <c r="O3568" s="2" t="str">
        <f>VLOOKUP(OrganizedData[[#This Row],[Product Code]],ProductData[[Code]:[Item]],2,FALSE)</f>
        <v>Megawidget M</v>
      </c>
      <c r="P3568" s="4">
        <f>OrganizedData[[#This Row],[Quantity]]*VLOOKUP(OrganizedData[[#This Row],[Product Code]],ProductData[],4,FALSE)</f>
        <v>2232</v>
      </c>
      <c r="Q3568" s="6">
        <f>OrganizedData[[#This Row],[Total Items Ordered]]*VLOOKUP(OrganizedData[[#This Row],[Product Code]],ProductData[],3,FALSE)</f>
        <v>2879.28</v>
      </c>
      <c r="R35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2735.3160000000003</v>
      </c>
    </row>
    <row r="3569" spans="1:18" x14ac:dyDescent="0.3">
      <c r="A3569" s="2">
        <v>3562</v>
      </c>
      <c r="B3569" s="2" t="s">
        <v>2746</v>
      </c>
      <c r="C3569" s="2" t="s">
        <v>1131</v>
      </c>
      <c r="D3569" s="2" t="s">
        <v>51</v>
      </c>
      <c r="E3569" s="2" t="s">
        <v>16</v>
      </c>
      <c r="F3569" s="2">
        <v>60</v>
      </c>
      <c r="G3569" s="2" t="s">
        <v>8402</v>
      </c>
      <c r="H3569" s="2" t="s">
        <v>1834</v>
      </c>
      <c r="I3569" s="2" t="s">
        <v>32</v>
      </c>
      <c r="J3569" s="3">
        <v>44215</v>
      </c>
      <c r="K3569" s="5">
        <f>YEAR(OrganizedData[[#This Row],[Order Date]])</f>
        <v>2021</v>
      </c>
      <c r="L3569" s="7" t="str">
        <f>TEXT(OrganizedData[[#This Row],[Order Date]],"mmm")</f>
        <v>Jan</v>
      </c>
      <c r="M3569" s="2">
        <v>14</v>
      </c>
      <c r="N3569" s="2" t="s">
        <v>45</v>
      </c>
      <c r="O3569" s="2" t="str">
        <f>VLOOKUP(OrganizedData[[#This Row],[Product Code]],ProductData[[Code]:[Item]],2,FALSE)</f>
        <v>Gigastuff</v>
      </c>
      <c r="P3569" s="4">
        <f>OrganizedData[[#This Row],[Quantity]]*VLOOKUP(OrganizedData[[#This Row],[Product Code]],ProductData[],4,FALSE)</f>
        <v>252</v>
      </c>
      <c r="Q3569" s="6">
        <f>OrganizedData[[#This Row],[Total Items Ordered]]*VLOOKUP(OrganizedData[[#This Row],[Product Code]],ProductData[],3,FALSE)</f>
        <v>476.28</v>
      </c>
      <c r="R35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476.28</v>
      </c>
    </row>
    <row r="3570" spans="1:18" x14ac:dyDescent="0.3">
      <c r="A3570" s="2">
        <v>3563</v>
      </c>
      <c r="B3570" s="2" t="s">
        <v>8403</v>
      </c>
      <c r="C3570" s="2" t="s">
        <v>1840</v>
      </c>
      <c r="D3570" s="2" t="s">
        <v>51</v>
      </c>
      <c r="E3570" s="2" t="s">
        <v>16</v>
      </c>
      <c r="F3570" s="2">
        <v>30</v>
      </c>
      <c r="G3570" s="2" t="s">
        <v>8404</v>
      </c>
      <c r="H3570" s="2" t="s">
        <v>1625</v>
      </c>
      <c r="I3570" s="2" t="s">
        <v>32</v>
      </c>
      <c r="J3570" s="3">
        <v>44149</v>
      </c>
      <c r="K3570" s="5">
        <f>YEAR(OrganizedData[[#This Row],[Order Date]])</f>
        <v>2020</v>
      </c>
      <c r="L3570" s="7" t="str">
        <f>TEXT(OrganizedData[[#This Row],[Order Date]],"mmm")</f>
        <v>Nov</v>
      </c>
      <c r="M3570" s="2">
        <v>14</v>
      </c>
      <c r="N3570" s="2" t="s">
        <v>64</v>
      </c>
      <c r="O3570" s="2" t="str">
        <f>VLOOKUP(OrganizedData[[#This Row],[Product Code]],ProductData[[Code]:[Item]],2,FALSE)</f>
        <v>Ultrathing V4</v>
      </c>
      <c r="P3570" s="4">
        <f>OrganizedData[[#This Row],[Quantity]]*VLOOKUP(OrganizedData[[#This Row],[Product Code]],ProductData[],4,FALSE)</f>
        <v>336</v>
      </c>
      <c r="Q3570" s="6">
        <f>OrganizedData[[#This Row],[Total Items Ordered]]*VLOOKUP(OrganizedData[[#This Row],[Product Code]],ProductData[],3,FALSE)</f>
        <v>1340.64</v>
      </c>
      <c r="R35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1340.64</v>
      </c>
    </row>
    <row r="3571" spans="1:18" x14ac:dyDescent="0.3">
      <c r="A3571" s="2">
        <v>3564</v>
      </c>
      <c r="B3571" s="2" t="s">
        <v>8405</v>
      </c>
      <c r="C3571" s="2" t="s">
        <v>5786</v>
      </c>
      <c r="D3571" s="2" t="s">
        <v>15</v>
      </c>
      <c r="E3571" s="2" t="s">
        <v>16</v>
      </c>
      <c r="F3571" s="2">
        <v>60</v>
      </c>
      <c r="G3571" s="2" t="s">
        <v>8406</v>
      </c>
      <c r="H3571" s="2" t="s">
        <v>3261</v>
      </c>
      <c r="I3571" s="2" t="s">
        <v>124</v>
      </c>
      <c r="J3571" s="3">
        <v>44742</v>
      </c>
      <c r="K3571" s="5">
        <f>YEAR(OrganizedData[[#This Row],[Order Date]])</f>
        <v>2022</v>
      </c>
      <c r="L3571" s="7" t="str">
        <f>TEXT(OrganizedData[[#This Row],[Order Date]],"mmm")</f>
        <v>Jun</v>
      </c>
      <c r="M3571" s="2">
        <v>25</v>
      </c>
      <c r="N3571" s="2" t="s">
        <v>39</v>
      </c>
      <c r="O3571" s="2" t="str">
        <f>VLOOKUP(OrganizedData[[#This Row],[Product Code]],ProductData[[Code]:[Item]],2,FALSE)</f>
        <v>Ultrathing V1</v>
      </c>
      <c r="P3571" s="4">
        <f>OrganizedData[[#This Row],[Quantity]]*VLOOKUP(OrganizedData[[#This Row],[Product Code]],ProductData[],4,FALSE)</f>
        <v>425</v>
      </c>
      <c r="Q3571" s="6">
        <f>OrganizedData[[#This Row],[Total Items Ordered]]*VLOOKUP(OrganizedData[[#This Row],[Product Code]],ProductData[],3,FALSE)</f>
        <v>760.75</v>
      </c>
      <c r="R35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737.92750000000001</v>
      </c>
    </row>
    <row r="3572" spans="1:18" x14ac:dyDescent="0.3">
      <c r="A3572" s="2">
        <v>3565</v>
      </c>
      <c r="B3572" s="2" t="s">
        <v>8407</v>
      </c>
      <c r="C3572" s="2" t="s">
        <v>1392</v>
      </c>
      <c r="D3572" s="2" t="s">
        <v>28</v>
      </c>
      <c r="E3572" s="2" t="s">
        <v>29</v>
      </c>
      <c r="F3572" s="2">
        <v>90</v>
      </c>
      <c r="G3572" s="2" t="s">
        <v>8408</v>
      </c>
      <c r="H3572" s="2" t="s">
        <v>793</v>
      </c>
      <c r="I3572" s="2" t="s">
        <v>178</v>
      </c>
      <c r="J3572" s="3">
        <v>44291</v>
      </c>
      <c r="K3572" s="5">
        <f>YEAR(OrganizedData[[#This Row],[Order Date]])</f>
        <v>2021</v>
      </c>
      <c r="L3572" s="7" t="str">
        <f>TEXT(OrganizedData[[#This Row],[Order Date]],"mmm")</f>
        <v>Apr</v>
      </c>
      <c r="M3572" s="2">
        <v>44</v>
      </c>
      <c r="N3572" s="2" t="s">
        <v>54</v>
      </c>
      <c r="O3572" s="2" t="str">
        <f>VLOOKUP(OrganizedData[[#This Row],[Product Code]],ProductData[[Code]:[Item]],2,FALSE)</f>
        <v>Megawidget S</v>
      </c>
      <c r="P3572" s="4">
        <f>OrganizedData[[#This Row],[Quantity]]*VLOOKUP(OrganizedData[[#This Row],[Product Code]],ProductData[],4,FALSE)</f>
        <v>1056</v>
      </c>
      <c r="Q3572" s="6">
        <f>OrganizedData[[#This Row],[Total Items Ordered]]*VLOOKUP(OrganizedData[[#This Row],[Product Code]],ProductData[],3,FALSE)</f>
        <v>728.64</v>
      </c>
      <c r="R35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3573" spans="1:18" x14ac:dyDescent="0.3">
      <c r="A3573" s="2">
        <v>3566</v>
      </c>
      <c r="B3573" s="2" t="s">
        <v>6378</v>
      </c>
      <c r="C3573" s="2" t="s">
        <v>6425</v>
      </c>
      <c r="D3573" s="2" t="s">
        <v>28</v>
      </c>
      <c r="E3573" s="2" t="s">
        <v>29</v>
      </c>
      <c r="F3573" s="2">
        <v>90</v>
      </c>
      <c r="G3573" s="2" t="s">
        <v>8409</v>
      </c>
      <c r="H3573" s="2" t="s">
        <v>3854</v>
      </c>
      <c r="I3573" s="2" t="s">
        <v>38</v>
      </c>
      <c r="J3573" s="3">
        <v>44363</v>
      </c>
      <c r="K3573" s="5">
        <f>YEAR(OrganizedData[[#This Row],[Order Date]])</f>
        <v>2021</v>
      </c>
      <c r="L3573" s="7" t="str">
        <f>TEXT(OrganizedData[[#This Row],[Order Date]],"mmm")</f>
        <v>Jun</v>
      </c>
      <c r="M3573" s="2">
        <v>17</v>
      </c>
      <c r="N3573" s="2" t="s">
        <v>33</v>
      </c>
      <c r="O3573" s="2" t="str">
        <f>VLOOKUP(OrganizedData[[#This Row],[Product Code]],ProductData[[Code]:[Item]],2,FALSE)</f>
        <v>Megawidget L</v>
      </c>
      <c r="P3573" s="4">
        <f>OrganizedData[[#This Row],[Quantity]]*VLOOKUP(OrganizedData[[#This Row],[Product Code]],ProductData[],4,FALSE)</f>
        <v>408</v>
      </c>
      <c r="Q3573" s="6">
        <f>OrganizedData[[#This Row],[Total Items Ordered]]*VLOOKUP(OrganizedData[[#This Row],[Product Code]],ProductData[],3,FALSE)</f>
        <v>730.32</v>
      </c>
      <c r="R35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3574" spans="1:18" x14ac:dyDescent="0.3">
      <c r="A3574" s="2">
        <v>3567</v>
      </c>
      <c r="B3574" s="2" t="s">
        <v>8410</v>
      </c>
      <c r="C3574" s="2" t="s">
        <v>5928</v>
      </c>
      <c r="D3574" s="2" t="s">
        <v>51</v>
      </c>
      <c r="E3574" s="2" t="s">
        <v>16</v>
      </c>
      <c r="F3574" s="2">
        <v>90</v>
      </c>
      <c r="G3574" s="2" t="s">
        <v>8411</v>
      </c>
      <c r="H3574" s="2" t="s">
        <v>1070</v>
      </c>
      <c r="I3574" s="2" t="s">
        <v>32</v>
      </c>
      <c r="J3574" s="3">
        <v>43837</v>
      </c>
      <c r="K3574" s="5">
        <f>YEAR(OrganizedData[[#This Row],[Order Date]])</f>
        <v>2020</v>
      </c>
      <c r="L3574" s="7" t="str">
        <f>TEXT(OrganizedData[[#This Row],[Order Date]],"mmm")</f>
        <v>Jan</v>
      </c>
      <c r="M3574" s="2">
        <v>45</v>
      </c>
      <c r="N3574" s="2" t="s">
        <v>54</v>
      </c>
      <c r="O3574" s="2" t="str">
        <f>VLOOKUP(OrganizedData[[#This Row],[Product Code]],ProductData[[Code]:[Item]],2,FALSE)</f>
        <v>Megawidget S</v>
      </c>
      <c r="P3574" s="4">
        <f>OrganizedData[[#This Row],[Quantity]]*VLOOKUP(OrganizedData[[#This Row],[Product Code]],ProductData[],4,FALSE)</f>
        <v>1080</v>
      </c>
      <c r="Q3574" s="6">
        <f>OrganizedData[[#This Row],[Total Items Ordered]]*VLOOKUP(OrganizedData[[#This Row],[Product Code]],ProductData[],3,FALSE)</f>
        <v>745.19999999999993</v>
      </c>
      <c r="R35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722.84399999999994</v>
      </c>
    </row>
    <row r="3575" spans="1:18" x14ac:dyDescent="0.3">
      <c r="A3575" s="2">
        <v>3568</v>
      </c>
      <c r="B3575" s="2" t="s">
        <v>7690</v>
      </c>
      <c r="C3575" s="2" t="s">
        <v>8412</v>
      </c>
      <c r="D3575" s="2" t="s">
        <v>28</v>
      </c>
      <c r="E3575" s="2" t="s">
        <v>29</v>
      </c>
      <c r="F3575" s="2">
        <v>60</v>
      </c>
      <c r="G3575" s="2" t="s">
        <v>8413</v>
      </c>
      <c r="H3575" s="2" t="s">
        <v>5867</v>
      </c>
      <c r="I3575" s="2" t="s">
        <v>32</v>
      </c>
      <c r="J3575" s="3">
        <v>44308</v>
      </c>
      <c r="K3575" s="5">
        <f>YEAR(OrganizedData[[#This Row],[Order Date]])</f>
        <v>2021</v>
      </c>
      <c r="L3575" s="7" t="str">
        <f>TEXT(OrganizedData[[#This Row],[Order Date]],"mmm")</f>
        <v>Apr</v>
      </c>
      <c r="M3575" s="2">
        <v>85</v>
      </c>
      <c r="N3575" s="2" t="s">
        <v>33</v>
      </c>
      <c r="O3575" s="2" t="str">
        <f>VLOOKUP(OrganizedData[[#This Row],[Product Code]],ProductData[[Code]:[Item]],2,FALSE)</f>
        <v>Megawidget L</v>
      </c>
      <c r="P3575" s="4">
        <f>OrganizedData[[#This Row],[Quantity]]*VLOOKUP(OrganizedData[[#This Row],[Product Code]],ProductData[],4,FALSE)</f>
        <v>2040</v>
      </c>
      <c r="Q3575" s="6">
        <f>OrganizedData[[#This Row],[Total Items Ordered]]*VLOOKUP(OrganizedData[[#This Row],[Product Code]],ProductData[],3,FALSE)</f>
        <v>3651.6</v>
      </c>
      <c r="R35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3469.0199999999995</v>
      </c>
    </row>
    <row r="3576" spans="1:18" x14ac:dyDescent="0.3">
      <c r="A3576" s="2">
        <v>3569</v>
      </c>
      <c r="B3576" s="2" t="s">
        <v>1616</v>
      </c>
      <c r="C3576" s="2" t="s">
        <v>680</v>
      </c>
      <c r="D3576" s="2" t="s">
        <v>15</v>
      </c>
      <c r="E3576" s="2" t="s">
        <v>16</v>
      </c>
      <c r="F3576" s="2">
        <v>30</v>
      </c>
      <c r="G3576" s="2" t="s">
        <v>8414</v>
      </c>
      <c r="H3576" s="2" t="s">
        <v>1422</v>
      </c>
      <c r="I3576" s="2" t="s">
        <v>575</v>
      </c>
      <c r="J3576" s="3">
        <v>43939</v>
      </c>
      <c r="K3576" s="5">
        <f>YEAR(OrganizedData[[#This Row],[Order Date]])</f>
        <v>2020</v>
      </c>
      <c r="L3576" s="7" t="str">
        <f>TEXT(OrganizedData[[#This Row],[Order Date]],"mmm")</f>
        <v>Apr</v>
      </c>
      <c r="M3576" s="2">
        <v>15</v>
      </c>
      <c r="N3576" s="2" t="s">
        <v>33</v>
      </c>
      <c r="O3576" s="2" t="str">
        <f>VLOOKUP(OrganizedData[[#This Row],[Product Code]],ProductData[[Code]:[Item]],2,FALSE)</f>
        <v>Megawidget L</v>
      </c>
      <c r="P3576" s="4">
        <f>OrganizedData[[#This Row],[Quantity]]*VLOOKUP(OrganizedData[[#This Row],[Product Code]],ProductData[],4,FALSE)</f>
        <v>360</v>
      </c>
      <c r="Q3576" s="6">
        <f>OrganizedData[[#This Row],[Total Items Ordered]]*VLOOKUP(OrganizedData[[#This Row],[Product Code]],ProductData[],3,FALSE)</f>
        <v>644.4</v>
      </c>
      <c r="R35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644.4</v>
      </c>
    </row>
    <row r="3577" spans="1:18" x14ac:dyDescent="0.3">
      <c r="A3577" s="2">
        <v>3570</v>
      </c>
      <c r="B3577" s="2" t="s">
        <v>8415</v>
      </c>
      <c r="C3577" s="2" t="s">
        <v>354</v>
      </c>
      <c r="D3577" s="2" t="s">
        <v>41</v>
      </c>
      <c r="E3577" s="2" t="s">
        <v>16</v>
      </c>
      <c r="F3577" s="2">
        <v>30</v>
      </c>
      <c r="G3577" s="2" t="s">
        <v>8416</v>
      </c>
      <c r="H3577" s="2" t="s">
        <v>1292</v>
      </c>
      <c r="I3577" s="2" t="s">
        <v>32</v>
      </c>
      <c r="J3577" s="3">
        <v>44051</v>
      </c>
      <c r="K3577" s="5">
        <f>YEAR(OrganizedData[[#This Row],[Order Date]])</f>
        <v>2020</v>
      </c>
      <c r="L3577" s="7" t="str">
        <f>TEXT(OrganizedData[[#This Row],[Order Date]],"mmm")</f>
        <v>Aug</v>
      </c>
      <c r="M3577" s="2">
        <v>51</v>
      </c>
      <c r="N3577" s="2" t="s">
        <v>54</v>
      </c>
      <c r="O3577" s="2" t="str">
        <f>VLOOKUP(OrganizedData[[#This Row],[Product Code]],ProductData[[Code]:[Item]],2,FALSE)</f>
        <v>Megawidget S</v>
      </c>
      <c r="P3577" s="4">
        <f>OrganizedData[[#This Row],[Quantity]]*VLOOKUP(OrganizedData[[#This Row],[Product Code]],ProductData[],4,FALSE)</f>
        <v>1224</v>
      </c>
      <c r="Q3577" s="6">
        <f>OrganizedData[[#This Row],[Total Items Ordered]]*VLOOKUP(OrganizedData[[#This Row],[Product Code]],ProductData[],3,FALSE)</f>
        <v>844.56</v>
      </c>
      <c r="R35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3578" spans="1:18" x14ac:dyDescent="0.3">
      <c r="A3578" s="2">
        <v>3571</v>
      </c>
      <c r="B3578" s="2" t="s">
        <v>4257</v>
      </c>
      <c r="C3578" s="2" t="s">
        <v>1688</v>
      </c>
      <c r="D3578" s="2" t="s">
        <v>28</v>
      </c>
      <c r="E3578" s="2" t="s">
        <v>29</v>
      </c>
      <c r="F3578" s="2">
        <v>30</v>
      </c>
      <c r="G3578" s="2" t="s">
        <v>10450</v>
      </c>
      <c r="H3578" s="2" t="s">
        <v>5473</v>
      </c>
      <c r="I3578" s="2" t="s">
        <v>240</v>
      </c>
      <c r="J3578" s="3">
        <v>43888</v>
      </c>
      <c r="K3578" s="5">
        <f>YEAR(OrganizedData[[#This Row],[Order Date]])</f>
        <v>2020</v>
      </c>
      <c r="L3578" s="7" t="str">
        <f>TEXT(OrganizedData[[#This Row],[Order Date]],"mmm")</f>
        <v>Feb</v>
      </c>
      <c r="M3578" s="2">
        <v>7</v>
      </c>
      <c r="N3578" s="2" t="s">
        <v>45</v>
      </c>
      <c r="O3578" s="2" t="str">
        <f>VLOOKUP(OrganizedData[[#This Row],[Product Code]],ProductData[[Code]:[Item]],2,FALSE)</f>
        <v>Gigastuff</v>
      </c>
      <c r="P3578" s="4">
        <f>OrganizedData[[#This Row],[Quantity]]*VLOOKUP(OrganizedData[[#This Row],[Product Code]],ProductData[],4,FALSE)</f>
        <v>126</v>
      </c>
      <c r="Q3578" s="6">
        <f>OrganizedData[[#This Row],[Total Items Ordered]]*VLOOKUP(OrganizedData[[#This Row],[Product Code]],ProductData[],3,FALSE)</f>
        <v>238.14</v>
      </c>
      <c r="R35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3579" spans="1:18" x14ac:dyDescent="0.3">
      <c r="A3579" s="2">
        <v>3572</v>
      </c>
      <c r="B3579" s="2" t="s">
        <v>8418</v>
      </c>
      <c r="C3579" s="2" t="s">
        <v>8419</v>
      </c>
      <c r="D3579" s="2" t="s">
        <v>28</v>
      </c>
      <c r="E3579" s="2" t="s">
        <v>29</v>
      </c>
      <c r="F3579" s="2">
        <v>30</v>
      </c>
      <c r="G3579" s="2" t="s">
        <v>8420</v>
      </c>
      <c r="H3579" s="2" t="s">
        <v>6080</v>
      </c>
      <c r="I3579" s="2" t="s">
        <v>32</v>
      </c>
      <c r="J3579" s="3">
        <v>43877</v>
      </c>
      <c r="K3579" s="5">
        <f>YEAR(OrganizedData[[#This Row],[Order Date]])</f>
        <v>2020</v>
      </c>
      <c r="L3579" s="7" t="str">
        <f>TEXT(OrganizedData[[#This Row],[Order Date]],"mmm")</f>
        <v>Feb</v>
      </c>
      <c r="M3579" s="2">
        <v>43</v>
      </c>
      <c r="N3579" s="2" t="s">
        <v>159</v>
      </c>
      <c r="O3579" s="2" t="str">
        <f>VLOOKUP(OrganizedData[[#This Row],[Product Code]],ProductData[[Code]:[Item]],2,FALSE)</f>
        <v>Ultrathing V3</v>
      </c>
      <c r="P3579" s="4">
        <f>OrganizedData[[#This Row],[Quantity]]*VLOOKUP(OrganizedData[[#This Row],[Product Code]],ProductData[],4,FALSE)</f>
        <v>1032</v>
      </c>
      <c r="Q3579" s="6">
        <f>OrganizedData[[#This Row],[Total Items Ordered]]*VLOOKUP(OrganizedData[[#This Row],[Product Code]],ProductData[],3,FALSE)</f>
        <v>3498.48</v>
      </c>
      <c r="R35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3580" spans="1:18" x14ac:dyDescent="0.3">
      <c r="A3580" s="2">
        <v>3573</v>
      </c>
      <c r="B3580" s="2" t="s">
        <v>8421</v>
      </c>
      <c r="C3580" s="2" t="s">
        <v>6477</v>
      </c>
      <c r="D3580" s="2" t="s">
        <v>15</v>
      </c>
      <c r="E3580" s="2" t="s">
        <v>16</v>
      </c>
      <c r="F3580" s="2">
        <v>60</v>
      </c>
      <c r="G3580" s="2" t="s">
        <v>8420</v>
      </c>
      <c r="H3580" s="2" t="s">
        <v>8422</v>
      </c>
      <c r="I3580" s="2" t="s">
        <v>32</v>
      </c>
      <c r="J3580" s="3">
        <v>43834</v>
      </c>
      <c r="K3580" s="5">
        <f>YEAR(OrganizedData[[#This Row],[Order Date]])</f>
        <v>2020</v>
      </c>
      <c r="L3580" s="7" t="str">
        <f>TEXT(OrganizedData[[#This Row],[Order Date]],"mmm")</f>
        <v>Jan</v>
      </c>
      <c r="M3580" s="2">
        <v>31</v>
      </c>
      <c r="N3580" s="2" t="s">
        <v>39</v>
      </c>
      <c r="O3580" s="2" t="str">
        <f>VLOOKUP(OrganizedData[[#This Row],[Product Code]],ProductData[[Code]:[Item]],2,FALSE)</f>
        <v>Ultrathing V1</v>
      </c>
      <c r="P3580" s="4">
        <f>OrganizedData[[#This Row],[Quantity]]*VLOOKUP(OrganizedData[[#This Row],[Product Code]],ProductData[],4,FALSE)</f>
        <v>527</v>
      </c>
      <c r="Q3580" s="6">
        <f>OrganizedData[[#This Row],[Total Items Ordered]]*VLOOKUP(OrganizedData[[#This Row],[Product Code]],ProductData[],3,FALSE)</f>
        <v>943.33</v>
      </c>
      <c r="R35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3581" spans="1:18" x14ac:dyDescent="0.3">
      <c r="A3581" s="2">
        <v>3574</v>
      </c>
      <c r="B3581" s="2" t="s">
        <v>5623</v>
      </c>
      <c r="C3581" s="2" t="s">
        <v>2051</v>
      </c>
      <c r="D3581" s="2" t="s">
        <v>28</v>
      </c>
      <c r="E3581" s="2" t="s">
        <v>29</v>
      </c>
      <c r="F3581" s="2">
        <v>60</v>
      </c>
      <c r="G3581" s="2" t="s">
        <v>8423</v>
      </c>
      <c r="H3581" s="2" t="s">
        <v>514</v>
      </c>
      <c r="I3581" s="2" t="s">
        <v>19</v>
      </c>
      <c r="J3581" s="3">
        <v>44508</v>
      </c>
      <c r="K3581" s="5">
        <f>YEAR(OrganizedData[[#This Row],[Order Date]])</f>
        <v>2021</v>
      </c>
      <c r="L3581" s="7" t="str">
        <f>TEXT(OrganizedData[[#This Row],[Order Date]],"mmm")</f>
        <v>Nov</v>
      </c>
      <c r="M3581" s="2">
        <v>92</v>
      </c>
      <c r="N3581" s="2" t="s">
        <v>39</v>
      </c>
      <c r="O3581" s="2" t="str">
        <f>VLOOKUP(OrganizedData[[#This Row],[Product Code]],ProductData[[Code]:[Item]],2,FALSE)</f>
        <v>Ultrathing V1</v>
      </c>
      <c r="P3581" s="4">
        <f>OrganizedData[[#This Row],[Quantity]]*VLOOKUP(OrganizedData[[#This Row],[Product Code]],ProductData[],4,FALSE)</f>
        <v>1564</v>
      </c>
      <c r="Q3581" s="6">
        <f>OrganizedData[[#This Row],[Total Items Ordered]]*VLOOKUP(OrganizedData[[#This Row],[Product Code]],ProductData[],3,FALSE)</f>
        <v>2799.56</v>
      </c>
      <c r="R35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2659.5819999999999</v>
      </c>
    </row>
    <row r="3582" spans="1:18" x14ac:dyDescent="0.3">
      <c r="A3582" s="2">
        <v>3575</v>
      </c>
      <c r="B3582" s="2" t="s">
        <v>4494</v>
      </c>
      <c r="C3582" s="2" t="s">
        <v>5876</v>
      </c>
      <c r="D3582" s="2" t="s">
        <v>117</v>
      </c>
      <c r="E3582" s="2" t="s">
        <v>29</v>
      </c>
      <c r="F3582" s="2">
        <v>90</v>
      </c>
      <c r="G3582" s="2" t="s">
        <v>8424</v>
      </c>
      <c r="H3582" s="2" t="s">
        <v>3449</v>
      </c>
      <c r="I3582" s="2" t="s">
        <v>187</v>
      </c>
      <c r="J3582" s="3">
        <v>44054</v>
      </c>
      <c r="K3582" s="5">
        <f>YEAR(OrganizedData[[#This Row],[Order Date]])</f>
        <v>2020</v>
      </c>
      <c r="L3582" s="7" t="str">
        <f>TEXT(OrganizedData[[#This Row],[Order Date]],"mmm")</f>
        <v>Aug</v>
      </c>
      <c r="M3582" s="2">
        <v>82</v>
      </c>
      <c r="N3582" s="2" t="s">
        <v>54</v>
      </c>
      <c r="O3582" s="2" t="str">
        <f>VLOOKUP(OrganizedData[[#This Row],[Product Code]],ProductData[[Code]:[Item]],2,FALSE)</f>
        <v>Megawidget S</v>
      </c>
      <c r="P3582" s="4">
        <f>OrganizedData[[#This Row],[Quantity]]*VLOOKUP(OrganizedData[[#This Row],[Product Code]],ProductData[],4,FALSE)</f>
        <v>1968</v>
      </c>
      <c r="Q3582" s="6">
        <f>OrganizedData[[#This Row],[Total Items Ordered]]*VLOOKUP(OrganizedData[[#This Row],[Product Code]],ProductData[],3,FALSE)</f>
        <v>1357.9199999999998</v>
      </c>
      <c r="R35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3583" spans="1:18" x14ac:dyDescent="0.3">
      <c r="A3583" s="2">
        <v>3576</v>
      </c>
      <c r="B3583" s="2" t="s">
        <v>8425</v>
      </c>
      <c r="C3583" s="2" t="s">
        <v>8426</v>
      </c>
      <c r="D3583" s="2" t="s">
        <v>15</v>
      </c>
      <c r="E3583" s="2" t="s">
        <v>16</v>
      </c>
      <c r="F3583" s="2">
        <v>30</v>
      </c>
      <c r="G3583" s="2" t="s">
        <v>8427</v>
      </c>
      <c r="H3583" s="2" t="s">
        <v>412</v>
      </c>
      <c r="I3583" s="2" t="s">
        <v>187</v>
      </c>
      <c r="J3583" s="3">
        <v>44253</v>
      </c>
      <c r="K3583" s="5">
        <f>YEAR(OrganizedData[[#This Row],[Order Date]])</f>
        <v>2021</v>
      </c>
      <c r="L3583" s="7" t="str">
        <f>TEXT(OrganizedData[[#This Row],[Order Date]],"mmm")</f>
        <v>Feb</v>
      </c>
      <c r="M3583" s="2">
        <v>44</v>
      </c>
      <c r="N3583" s="2" t="s">
        <v>64</v>
      </c>
      <c r="O3583" s="2" t="str">
        <f>VLOOKUP(OrganizedData[[#This Row],[Product Code]],ProductData[[Code]:[Item]],2,FALSE)</f>
        <v>Ultrathing V4</v>
      </c>
      <c r="P3583" s="4">
        <f>OrganizedData[[#This Row],[Quantity]]*VLOOKUP(OrganizedData[[#This Row],[Product Code]],ProductData[],4,FALSE)</f>
        <v>1056</v>
      </c>
      <c r="Q3583" s="6">
        <f>OrganizedData[[#This Row],[Total Items Ordered]]*VLOOKUP(OrganizedData[[#This Row],[Product Code]],ProductData[],3,FALSE)</f>
        <v>4213.4400000000005</v>
      </c>
      <c r="R35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4087.0368000000003</v>
      </c>
    </row>
    <row r="3584" spans="1:18" x14ac:dyDescent="0.3">
      <c r="A3584" s="2">
        <v>3577</v>
      </c>
      <c r="B3584" s="2" t="s">
        <v>8428</v>
      </c>
      <c r="C3584" s="2" t="s">
        <v>3301</v>
      </c>
      <c r="D3584" s="2" t="s">
        <v>51</v>
      </c>
      <c r="E3584" s="2" t="s">
        <v>16</v>
      </c>
      <c r="F3584" s="2">
        <v>90</v>
      </c>
      <c r="G3584" s="2" t="s">
        <v>8429</v>
      </c>
      <c r="H3584" s="2" t="s">
        <v>2997</v>
      </c>
      <c r="I3584" s="2" t="s">
        <v>32</v>
      </c>
      <c r="J3584" s="3">
        <v>44756</v>
      </c>
      <c r="K3584" s="5">
        <f>YEAR(OrganizedData[[#This Row],[Order Date]])</f>
        <v>2022</v>
      </c>
      <c r="L3584" s="7" t="str">
        <f>TEXT(OrganizedData[[#This Row],[Order Date]],"mmm")</f>
        <v>Jul</v>
      </c>
      <c r="M3584" s="2">
        <v>22</v>
      </c>
      <c r="N3584" s="2" t="s">
        <v>80</v>
      </c>
      <c r="O3584" s="2" t="str">
        <f>VLOOKUP(OrganizedData[[#This Row],[Product Code]],ProductData[[Code]:[Item]],2,FALSE)</f>
        <v>Ultrathing V2</v>
      </c>
      <c r="P3584" s="4">
        <f>OrganizedData[[#This Row],[Quantity]]*VLOOKUP(OrganizedData[[#This Row],[Product Code]],ProductData[],4,FALSE)</f>
        <v>440</v>
      </c>
      <c r="Q3584" s="6">
        <f>OrganizedData[[#This Row],[Total Items Ordered]]*VLOOKUP(OrganizedData[[#This Row],[Product Code]],ProductData[],3,FALSE)</f>
        <v>1298</v>
      </c>
      <c r="R35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1259.06</v>
      </c>
    </row>
    <row r="3585" spans="1:18" x14ac:dyDescent="0.3">
      <c r="A3585" s="2">
        <v>3578</v>
      </c>
      <c r="B3585" s="2" t="s">
        <v>3904</v>
      </c>
      <c r="C3585" s="2" t="s">
        <v>1172</v>
      </c>
      <c r="D3585" s="2" t="s">
        <v>15</v>
      </c>
      <c r="E3585" s="2" t="s">
        <v>16</v>
      </c>
      <c r="F3585" s="2">
        <v>30</v>
      </c>
      <c r="G3585" s="2" t="s">
        <v>8430</v>
      </c>
      <c r="H3585" s="2" t="s">
        <v>4870</v>
      </c>
      <c r="I3585" s="2" t="s">
        <v>146</v>
      </c>
      <c r="J3585" s="3">
        <v>43850</v>
      </c>
      <c r="K3585" s="5">
        <f>YEAR(OrganizedData[[#This Row],[Order Date]])</f>
        <v>2020</v>
      </c>
      <c r="L3585" s="7" t="str">
        <f>TEXT(OrganizedData[[#This Row],[Order Date]],"mmm")</f>
        <v>Jan</v>
      </c>
      <c r="M3585" s="2">
        <v>43</v>
      </c>
      <c r="N3585" s="2" t="s">
        <v>70</v>
      </c>
      <c r="O3585" s="2" t="str">
        <f>VLOOKUP(OrganizedData[[#This Row],[Product Code]],ProductData[[Code]:[Item]],2,FALSE)</f>
        <v>Megawidget M</v>
      </c>
      <c r="P3585" s="4">
        <f>OrganizedData[[#This Row],[Quantity]]*VLOOKUP(OrganizedData[[#This Row],[Product Code]],ProductData[],4,FALSE)</f>
        <v>1032</v>
      </c>
      <c r="Q3585" s="6">
        <f>OrganizedData[[#This Row],[Total Items Ordered]]*VLOOKUP(OrganizedData[[#This Row],[Product Code]],ProductData[],3,FALSE)</f>
        <v>1331.28</v>
      </c>
      <c r="R35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3586" spans="1:18" x14ac:dyDescent="0.3">
      <c r="A3586" s="2">
        <v>3579</v>
      </c>
      <c r="B3586" s="2" t="s">
        <v>7243</v>
      </c>
      <c r="C3586" s="2" t="s">
        <v>2977</v>
      </c>
      <c r="D3586" s="2" t="s">
        <v>15</v>
      </c>
      <c r="E3586" s="2" t="s">
        <v>16</v>
      </c>
      <c r="F3586" s="2">
        <v>60</v>
      </c>
      <c r="G3586" s="2" t="s">
        <v>8431</v>
      </c>
      <c r="H3586" s="2" t="s">
        <v>1575</v>
      </c>
      <c r="I3586" s="2" t="s">
        <v>1576</v>
      </c>
      <c r="J3586" s="3">
        <v>44861</v>
      </c>
      <c r="K3586" s="5">
        <f>YEAR(OrganizedData[[#This Row],[Order Date]])</f>
        <v>2022</v>
      </c>
      <c r="L3586" s="7" t="str">
        <f>TEXT(OrganizedData[[#This Row],[Order Date]],"mmm")</f>
        <v>Oct</v>
      </c>
      <c r="M3586" s="2">
        <v>50</v>
      </c>
      <c r="N3586" s="2" t="s">
        <v>159</v>
      </c>
      <c r="O3586" s="2" t="str">
        <f>VLOOKUP(OrganizedData[[#This Row],[Product Code]],ProductData[[Code]:[Item]],2,FALSE)</f>
        <v>Ultrathing V3</v>
      </c>
      <c r="P3586" s="4">
        <f>OrganizedData[[#This Row],[Quantity]]*VLOOKUP(OrganizedData[[#This Row],[Product Code]],ProductData[],4,FALSE)</f>
        <v>1200</v>
      </c>
      <c r="Q3586" s="6">
        <f>OrganizedData[[#This Row],[Total Items Ordered]]*VLOOKUP(OrganizedData[[#This Row],[Product Code]],ProductData[],3,FALSE)</f>
        <v>4068</v>
      </c>
      <c r="R35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3945.96</v>
      </c>
    </row>
    <row r="3587" spans="1:18" x14ac:dyDescent="0.3">
      <c r="A3587" s="2">
        <v>3580</v>
      </c>
      <c r="B3587" s="2" t="s">
        <v>8432</v>
      </c>
      <c r="C3587" s="2" t="s">
        <v>3173</v>
      </c>
      <c r="D3587" s="2" t="s">
        <v>41</v>
      </c>
      <c r="E3587" s="2" t="s">
        <v>16</v>
      </c>
      <c r="F3587" s="2">
        <v>30</v>
      </c>
      <c r="G3587" s="2" t="s">
        <v>8433</v>
      </c>
      <c r="H3587" s="2" t="s">
        <v>5477</v>
      </c>
      <c r="I3587" s="2" t="s">
        <v>187</v>
      </c>
      <c r="J3587" s="3">
        <v>44566</v>
      </c>
      <c r="K3587" s="5">
        <f>YEAR(OrganizedData[[#This Row],[Order Date]])</f>
        <v>2022</v>
      </c>
      <c r="L3587" s="7" t="str">
        <f>TEXT(OrganizedData[[#This Row],[Order Date]],"mmm")</f>
        <v>Jan</v>
      </c>
      <c r="M3587" s="2">
        <v>98</v>
      </c>
      <c r="N3587" s="2" t="s">
        <v>45</v>
      </c>
      <c r="O3587" s="2" t="str">
        <f>VLOOKUP(OrganizedData[[#This Row],[Product Code]],ProductData[[Code]:[Item]],2,FALSE)</f>
        <v>Gigastuff</v>
      </c>
      <c r="P3587" s="4">
        <f>OrganizedData[[#This Row],[Quantity]]*VLOOKUP(OrganizedData[[#This Row],[Product Code]],ProductData[],4,FALSE)</f>
        <v>1764</v>
      </c>
      <c r="Q3587" s="6">
        <f>OrganizedData[[#This Row],[Total Items Ordered]]*VLOOKUP(OrganizedData[[#This Row],[Product Code]],ProductData[],3,FALSE)</f>
        <v>3333.96</v>
      </c>
      <c r="R35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3167.2619999999997</v>
      </c>
    </row>
    <row r="3588" spans="1:18" x14ac:dyDescent="0.3">
      <c r="A3588" s="2">
        <v>3581</v>
      </c>
      <c r="B3588" s="2" t="s">
        <v>4247</v>
      </c>
      <c r="C3588" s="2" t="s">
        <v>581</v>
      </c>
      <c r="D3588" s="2" t="s">
        <v>51</v>
      </c>
      <c r="E3588" s="2" t="s">
        <v>16</v>
      </c>
      <c r="F3588" s="2">
        <v>30</v>
      </c>
      <c r="G3588" s="2" t="s">
        <v>8434</v>
      </c>
      <c r="H3588" s="2" t="s">
        <v>738</v>
      </c>
      <c r="I3588" s="2" t="s">
        <v>38</v>
      </c>
      <c r="J3588" s="3">
        <v>44381</v>
      </c>
      <c r="K3588" s="5">
        <f>YEAR(OrganizedData[[#This Row],[Order Date]])</f>
        <v>2021</v>
      </c>
      <c r="L3588" s="7" t="str">
        <f>TEXT(OrganizedData[[#This Row],[Order Date]],"mmm")</f>
        <v>Jul</v>
      </c>
      <c r="M3588" s="2">
        <v>14</v>
      </c>
      <c r="N3588" s="2" t="s">
        <v>33</v>
      </c>
      <c r="O3588" s="2" t="str">
        <f>VLOOKUP(OrganizedData[[#This Row],[Product Code]],ProductData[[Code]:[Item]],2,FALSE)</f>
        <v>Megawidget L</v>
      </c>
      <c r="P3588" s="4">
        <f>OrganizedData[[#This Row],[Quantity]]*VLOOKUP(OrganizedData[[#This Row],[Product Code]],ProductData[],4,FALSE)</f>
        <v>336</v>
      </c>
      <c r="Q3588" s="6">
        <f>OrganizedData[[#This Row],[Total Items Ordered]]*VLOOKUP(OrganizedData[[#This Row],[Product Code]],ProductData[],3,FALSE)</f>
        <v>601.44000000000005</v>
      </c>
      <c r="R35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601.44000000000005</v>
      </c>
    </row>
    <row r="3589" spans="1:18" x14ac:dyDescent="0.3">
      <c r="A3589" s="2">
        <v>3582</v>
      </c>
      <c r="B3589" s="2" t="s">
        <v>5287</v>
      </c>
      <c r="C3589" s="2" t="s">
        <v>4005</v>
      </c>
      <c r="D3589" s="2" t="s">
        <v>51</v>
      </c>
      <c r="E3589" s="2" t="s">
        <v>16</v>
      </c>
      <c r="F3589" s="2">
        <v>30</v>
      </c>
      <c r="G3589" s="2" t="s">
        <v>8435</v>
      </c>
      <c r="H3589" s="2" t="s">
        <v>5148</v>
      </c>
      <c r="I3589" s="2" t="s">
        <v>32</v>
      </c>
      <c r="J3589" s="3">
        <v>44575</v>
      </c>
      <c r="K3589" s="5">
        <f>YEAR(OrganizedData[[#This Row],[Order Date]])</f>
        <v>2022</v>
      </c>
      <c r="L3589" s="7" t="str">
        <f>TEXT(OrganizedData[[#This Row],[Order Date]],"mmm")</f>
        <v>Jan</v>
      </c>
      <c r="M3589" s="2">
        <v>49</v>
      </c>
      <c r="N3589" s="2" t="s">
        <v>39</v>
      </c>
      <c r="O3589" s="2" t="str">
        <f>VLOOKUP(OrganizedData[[#This Row],[Product Code]],ProductData[[Code]:[Item]],2,FALSE)</f>
        <v>Ultrathing V1</v>
      </c>
      <c r="P3589" s="4">
        <f>OrganizedData[[#This Row],[Quantity]]*VLOOKUP(OrganizedData[[#This Row],[Product Code]],ProductData[],4,FALSE)</f>
        <v>833</v>
      </c>
      <c r="Q3589" s="6">
        <f>OrganizedData[[#This Row],[Total Items Ordered]]*VLOOKUP(OrganizedData[[#This Row],[Product Code]],ProductData[],3,FALSE)</f>
        <v>1491.07</v>
      </c>
      <c r="R35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1446.3379</v>
      </c>
    </row>
    <row r="3590" spans="1:18" x14ac:dyDescent="0.3">
      <c r="A3590" s="2">
        <v>3583</v>
      </c>
      <c r="B3590" s="2" t="s">
        <v>1405</v>
      </c>
      <c r="C3590" s="2" t="s">
        <v>1109</v>
      </c>
      <c r="D3590" s="2" t="s">
        <v>28</v>
      </c>
      <c r="E3590" s="2" t="s">
        <v>29</v>
      </c>
      <c r="F3590" s="2">
        <v>60</v>
      </c>
      <c r="G3590" s="2" t="s">
        <v>8436</v>
      </c>
      <c r="H3590" s="2" t="s">
        <v>3208</v>
      </c>
      <c r="I3590" s="2" t="s">
        <v>32</v>
      </c>
      <c r="J3590" s="3">
        <v>43940</v>
      </c>
      <c r="K3590" s="5">
        <f>YEAR(OrganizedData[[#This Row],[Order Date]])</f>
        <v>2020</v>
      </c>
      <c r="L3590" s="7" t="str">
        <f>TEXT(OrganizedData[[#This Row],[Order Date]],"mmm")</f>
        <v>Apr</v>
      </c>
      <c r="M3590" s="2">
        <v>60</v>
      </c>
      <c r="N3590" s="2" t="s">
        <v>54</v>
      </c>
      <c r="O3590" s="2" t="str">
        <f>VLOOKUP(OrganizedData[[#This Row],[Product Code]],ProductData[[Code]:[Item]],2,FALSE)</f>
        <v>Megawidget S</v>
      </c>
      <c r="P3590" s="4">
        <f>OrganizedData[[#This Row],[Quantity]]*VLOOKUP(OrganizedData[[#This Row],[Product Code]],ProductData[],4,FALSE)</f>
        <v>1440</v>
      </c>
      <c r="Q3590" s="6">
        <f>OrganizedData[[#This Row],[Total Items Ordered]]*VLOOKUP(OrganizedData[[#This Row],[Product Code]],ProductData[],3,FALSE)</f>
        <v>993.59999999999991</v>
      </c>
      <c r="R35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3591" spans="1:18" x14ac:dyDescent="0.3">
      <c r="A3591" s="2">
        <v>3584</v>
      </c>
      <c r="B3591" s="2" t="s">
        <v>5147</v>
      </c>
      <c r="C3591" s="2" t="s">
        <v>5534</v>
      </c>
      <c r="D3591" s="2" t="s">
        <v>28</v>
      </c>
      <c r="E3591" s="2" t="s">
        <v>29</v>
      </c>
      <c r="F3591" s="2">
        <v>60</v>
      </c>
      <c r="G3591" s="2" t="s">
        <v>8437</v>
      </c>
      <c r="H3591" s="2" t="s">
        <v>3396</v>
      </c>
      <c r="I3591" s="2" t="s">
        <v>32</v>
      </c>
      <c r="J3591" s="3">
        <v>44323</v>
      </c>
      <c r="K3591" s="5">
        <f>YEAR(OrganizedData[[#This Row],[Order Date]])</f>
        <v>2021</v>
      </c>
      <c r="L3591" s="7" t="str">
        <f>TEXT(OrganizedData[[#This Row],[Order Date]],"mmm")</f>
        <v>May</v>
      </c>
      <c r="M3591" s="2">
        <v>54</v>
      </c>
      <c r="N3591" s="2" t="s">
        <v>64</v>
      </c>
      <c r="O3591" s="2" t="str">
        <f>VLOOKUP(OrganizedData[[#This Row],[Product Code]],ProductData[[Code]:[Item]],2,FALSE)</f>
        <v>Ultrathing V4</v>
      </c>
      <c r="P3591" s="4">
        <f>OrganizedData[[#This Row],[Quantity]]*VLOOKUP(OrganizedData[[#This Row],[Product Code]],ProductData[],4,FALSE)</f>
        <v>1296</v>
      </c>
      <c r="Q3591" s="6">
        <f>OrganizedData[[#This Row],[Total Items Ordered]]*VLOOKUP(OrganizedData[[#This Row],[Product Code]],ProductData[],3,FALSE)</f>
        <v>5171.04</v>
      </c>
      <c r="R35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3592" spans="1:18" x14ac:dyDescent="0.3">
      <c r="A3592" s="2">
        <v>3585</v>
      </c>
      <c r="B3592" s="2" t="s">
        <v>402</v>
      </c>
      <c r="C3592" s="2" t="s">
        <v>1105</v>
      </c>
      <c r="D3592" s="2" t="s">
        <v>15</v>
      </c>
      <c r="E3592" s="2" t="s">
        <v>16</v>
      </c>
      <c r="F3592" s="2">
        <v>60</v>
      </c>
      <c r="G3592" s="2" t="s">
        <v>8437</v>
      </c>
      <c r="H3592" s="2" t="s">
        <v>5099</v>
      </c>
      <c r="I3592" s="2" t="s">
        <v>32</v>
      </c>
      <c r="J3592" s="3">
        <v>44350</v>
      </c>
      <c r="K3592" s="5">
        <f>YEAR(OrganizedData[[#This Row],[Order Date]])</f>
        <v>2021</v>
      </c>
      <c r="L3592" s="7" t="str">
        <f>TEXT(OrganizedData[[#This Row],[Order Date]],"mmm")</f>
        <v>Jun</v>
      </c>
      <c r="M3592" s="2">
        <v>38</v>
      </c>
      <c r="N3592" s="2" t="s">
        <v>64</v>
      </c>
      <c r="O3592" s="2" t="str">
        <f>VLOOKUP(OrganizedData[[#This Row],[Product Code]],ProductData[[Code]:[Item]],2,FALSE)</f>
        <v>Ultrathing V4</v>
      </c>
      <c r="P3592" s="4">
        <f>OrganizedData[[#This Row],[Quantity]]*VLOOKUP(OrganizedData[[#This Row],[Product Code]],ProductData[],4,FALSE)</f>
        <v>912</v>
      </c>
      <c r="Q3592" s="6">
        <f>OrganizedData[[#This Row],[Total Items Ordered]]*VLOOKUP(OrganizedData[[#This Row],[Product Code]],ProductData[],3,FALSE)</f>
        <v>3638.88</v>
      </c>
      <c r="R35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3593" spans="1:18" x14ac:dyDescent="0.3">
      <c r="A3593" s="2">
        <v>3586</v>
      </c>
      <c r="B3593" s="2" t="s">
        <v>8438</v>
      </c>
      <c r="C3593" s="2" t="s">
        <v>3621</v>
      </c>
      <c r="D3593" s="2" t="s">
        <v>51</v>
      </c>
      <c r="E3593" s="2" t="s">
        <v>16</v>
      </c>
      <c r="F3593" s="2">
        <v>60</v>
      </c>
      <c r="G3593" s="2" t="s">
        <v>8439</v>
      </c>
      <c r="H3593" s="2" t="s">
        <v>2183</v>
      </c>
      <c r="I3593" s="2" t="s">
        <v>124</v>
      </c>
      <c r="J3593" s="3">
        <v>44450</v>
      </c>
      <c r="K3593" s="5">
        <f>YEAR(OrganizedData[[#This Row],[Order Date]])</f>
        <v>2021</v>
      </c>
      <c r="L3593" s="7" t="str">
        <f>TEXT(OrganizedData[[#This Row],[Order Date]],"mmm")</f>
        <v>Sep</v>
      </c>
      <c r="M3593" s="2">
        <v>41</v>
      </c>
      <c r="N3593" s="2" t="s">
        <v>45</v>
      </c>
      <c r="O3593" s="2" t="str">
        <f>VLOOKUP(OrganizedData[[#This Row],[Product Code]],ProductData[[Code]:[Item]],2,FALSE)</f>
        <v>Gigastuff</v>
      </c>
      <c r="P3593" s="4">
        <f>OrganizedData[[#This Row],[Quantity]]*VLOOKUP(OrganizedData[[#This Row],[Product Code]],ProductData[],4,FALSE)</f>
        <v>738</v>
      </c>
      <c r="Q3593" s="6">
        <f>OrganizedData[[#This Row],[Total Items Ordered]]*VLOOKUP(OrganizedData[[#This Row],[Product Code]],ProductData[],3,FALSE)</f>
        <v>1394.82</v>
      </c>
      <c r="R35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3594" spans="1:18" x14ac:dyDescent="0.3">
      <c r="A3594" s="2">
        <v>3587</v>
      </c>
      <c r="B3594" s="2" t="s">
        <v>1333</v>
      </c>
      <c r="C3594" s="2" t="s">
        <v>4974</v>
      </c>
      <c r="D3594" s="2" t="s">
        <v>28</v>
      </c>
      <c r="E3594" s="2" t="s">
        <v>29</v>
      </c>
      <c r="F3594" s="2">
        <v>30</v>
      </c>
      <c r="G3594" s="2" t="s">
        <v>8440</v>
      </c>
      <c r="H3594" s="2" t="s">
        <v>793</v>
      </c>
      <c r="I3594" s="2" t="s">
        <v>178</v>
      </c>
      <c r="J3594" s="3">
        <v>44110</v>
      </c>
      <c r="K3594" s="5">
        <f>YEAR(OrganizedData[[#This Row],[Order Date]])</f>
        <v>2020</v>
      </c>
      <c r="L3594" s="7" t="str">
        <f>TEXT(OrganizedData[[#This Row],[Order Date]],"mmm")</f>
        <v>Oct</v>
      </c>
      <c r="M3594" s="2">
        <v>70</v>
      </c>
      <c r="N3594" s="2" t="s">
        <v>33</v>
      </c>
      <c r="O3594" s="2" t="str">
        <f>VLOOKUP(OrganizedData[[#This Row],[Product Code]],ProductData[[Code]:[Item]],2,FALSE)</f>
        <v>Megawidget L</v>
      </c>
      <c r="P3594" s="4">
        <f>OrganizedData[[#This Row],[Quantity]]*VLOOKUP(OrganizedData[[#This Row],[Product Code]],ProductData[],4,FALSE)</f>
        <v>1680</v>
      </c>
      <c r="Q3594" s="6">
        <f>OrganizedData[[#This Row],[Total Items Ordered]]*VLOOKUP(OrganizedData[[#This Row],[Product Code]],ProductData[],3,FALSE)</f>
        <v>3007.2000000000003</v>
      </c>
      <c r="R35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3595" spans="1:18" x14ac:dyDescent="0.3">
      <c r="A3595" s="2">
        <v>3588</v>
      </c>
      <c r="B3595" s="2" t="s">
        <v>8441</v>
      </c>
      <c r="C3595" s="2" t="s">
        <v>5970</v>
      </c>
      <c r="D3595" s="2" t="s">
        <v>15</v>
      </c>
      <c r="E3595" s="2" t="s">
        <v>16</v>
      </c>
      <c r="F3595" s="2">
        <v>30</v>
      </c>
      <c r="G3595" s="2" t="s">
        <v>8442</v>
      </c>
      <c r="H3595" s="2" t="s">
        <v>6080</v>
      </c>
      <c r="I3595" s="2" t="s">
        <v>32</v>
      </c>
      <c r="J3595" s="3">
        <v>43987</v>
      </c>
      <c r="K3595" s="5">
        <f>YEAR(OrganizedData[[#This Row],[Order Date]])</f>
        <v>2020</v>
      </c>
      <c r="L3595" s="7" t="str">
        <f>TEXT(OrganizedData[[#This Row],[Order Date]],"mmm")</f>
        <v>Jun</v>
      </c>
      <c r="M3595" s="2">
        <v>44</v>
      </c>
      <c r="N3595" s="2" t="s">
        <v>64</v>
      </c>
      <c r="O3595" s="2" t="str">
        <f>VLOOKUP(OrganizedData[[#This Row],[Product Code]],ProductData[[Code]:[Item]],2,FALSE)</f>
        <v>Ultrathing V4</v>
      </c>
      <c r="P3595" s="4">
        <f>OrganizedData[[#This Row],[Quantity]]*VLOOKUP(OrganizedData[[#This Row],[Product Code]],ProductData[],4,FALSE)</f>
        <v>1056</v>
      </c>
      <c r="Q3595" s="6">
        <f>OrganizedData[[#This Row],[Total Items Ordered]]*VLOOKUP(OrganizedData[[#This Row],[Product Code]],ProductData[],3,FALSE)</f>
        <v>4213.4400000000005</v>
      </c>
      <c r="R35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4087.0368000000003</v>
      </c>
    </row>
    <row r="3596" spans="1:18" x14ac:dyDescent="0.3">
      <c r="A3596" s="2">
        <v>3589</v>
      </c>
      <c r="B3596" s="2" t="s">
        <v>2442</v>
      </c>
      <c r="C3596" s="2" t="s">
        <v>5211</v>
      </c>
      <c r="D3596" s="2" t="s">
        <v>51</v>
      </c>
      <c r="E3596" s="2" t="s">
        <v>16</v>
      </c>
      <c r="F3596" s="2">
        <v>90</v>
      </c>
      <c r="G3596" s="2" t="s">
        <v>8443</v>
      </c>
      <c r="H3596" s="2" t="s">
        <v>2351</v>
      </c>
      <c r="I3596" s="2" t="s">
        <v>32</v>
      </c>
      <c r="J3596" s="3">
        <v>44126</v>
      </c>
      <c r="K3596" s="5">
        <f>YEAR(OrganizedData[[#This Row],[Order Date]])</f>
        <v>2020</v>
      </c>
      <c r="L3596" s="7" t="str">
        <f>TEXT(OrganizedData[[#This Row],[Order Date]],"mmm")</f>
        <v>Oct</v>
      </c>
      <c r="M3596" s="2">
        <v>54</v>
      </c>
      <c r="N3596" s="2" t="s">
        <v>39</v>
      </c>
      <c r="O3596" s="2" t="str">
        <f>VLOOKUP(OrganizedData[[#This Row],[Product Code]],ProductData[[Code]:[Item]],2,FALSE)</f>
        <v>Ultrathing V1</v>
      </c>
      <c r="P3596" s="4">
        <f>OrganizedData[[#This Row],[Quantity]]*VLOOKUP(OrganizedData[[#This Row],[Product Code]],ProductData[],4,FALSE)</f>
        <v>918</v>
      </c>
      <c r="Q3596" s="6">
        <f>OrganizedData[[#This Row],[Total Items Ordered]]*VLOOKUP(OrganizedData[[#This Row],[Product Code]],ProductData[],3,FALSE)</f>
        <v>1643.22</v>
      </c>
      <c r="R35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1561.059</v>
      </c>
    </row>
    <row r="3597" spans="1:18" x14ac:dyDescent="0.3">
      <c r="A3597" s="2">
        <v>3590</v>
      </c>
      <c r="B3597" s="2" t="s">
        <v>3378</v>
      </c>
      <c r="C3597" s="2" t="s">
        <v>5267</v>
      </c>
      <c r="D3597" s="2" t="s">
        <v>15</v>
      </c>
      <c r="E3597" s="2" t="s">
        <v>16</v>
      </c>
      <c r="F3597" s="2">
        <v>30</v>
      </c>
      <c r="G3597" s="2" t="s">
        <v>8444</v>
      </c>
      <c r="H3597" s="2" t="s">
        <v>659</v>
      </c>
      <c r="I3597" s="2" t="s">
        <v>32</v>
      </c>
      <c r="J3597" s="3">
        <v>43840</v>
      </c>
      <c r="K3597" s="5">
        <f>YEAR(OrganizedData[[#This Row],[Order Date]])</f>
        <v>2020</v>
      </c>
      <c r="L3597" s="7" t="str">
        <f>TEXT(OrganizedData[[#This Row],[Order Date]],"mmm")</f>
        <v>Jan</v>
      </c>
      <c r="M3597" s="2">
        <v>59</v>
      </c>
      <c r="N3597" s="2" t="s">
        <v>64</v>
      </c>
      <c r="O3597" s="2" t="str">
        <f>VLOOKUP(OrganizedData[[#This Row],[Product Code]],ProductData[[Code]:[Item]],2,FALSE)</f>
        <v>Ultrathing V4</v>
      </c>
      <c r="P3597" s="4">
        <f>OrganizedData[[#This Row],[Quantity]]*VLOOKUP(OrganizedData[[#This Row],[Product Code]],ProductData[],4,FALSE)</f>
        <v>1416</v>
      </c>
      <c r="Q3597" s="6">
        <f>OrganizedData[[#This Row],[Total Items Ordered]]*VLOOKUP(OrganizedData[[#This Row],[Product Code]],ProductData[],3,FALSE)</f>
        <v>5649.84</v>
      </c>
      <c r="R35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5367.348</v>
      </c>
    </row>
    <row r="3598" spans="1:18" x14ac:dyDescent="0.3">
      <c r="A3598" s="2">
        <v>3591</v>
      </c>
      <c r="B3598" s="2" t="s">
        <v>2823</v>
      </c>
      <c r="C3598" s="2" t="s">
        <v>4181</v>
      </c>
      <c r="D3598" s="2" t="s">
        <v>92</v>
      </c>
      <c r="E3598" s="2" t="s">
        <v>29</v>
      </c>
      <c r="F3598" s="2">
        <v>30</v>
      </c>
      <c r="G3598" s="2" t="s">
        <v>8445</v>
      </c>
      <c r="H3598" s="2" t="s">
        <v>5069</v>
      </c>
      <c r="I3598" s="2" t="s">
        <v>32</v>
      </c>
      <c r="J3598" s="3">
        <v>43972</v>
      </c>
      <c r="K3598" s="5">
        <f>YEAR(OrganizedData[[#This Row],[Order Date]])</f>
        <v>2020</v>
      </c>
      <c r="L3598" s="7" t="str">
        <f>TEXT(OrganizedData[[#This Row],[Order Date]],"mmm")</f>
        <v>May</v>
      </c>
      <c r="M3598" s="2">
        <v>50</v>
      </c>
      <c r="N3598" s="2" t="s">
        <v>39</v>
      </c>
      <c r="O3598" s="2" t="str">
        <f>VLOOKUP(OrganizedData[[#This Row],[Product Code]],ProductData[[Code]:[Item]],2,FALSE)</f>
        <v>Ultrathing V1</v>
      </c>
      <c r="P3598" s="4">
        <f>OrganizedData[[#This Row],[Quantity]]*VLOOKUP(OrganizedData[[#This Row],[Product Code]],ProductData[],4,FALSE)</f>
        <v>850</v>
      </c>
      <c r="Q3598" s="6">
        <f>OrganizedData[[#This Row],[Total Items Ordered]]*VLOOKUP(OrganizedData[[#This Row],[Product Code]],ProductData[],3,FALSE)</f>
        <v>1521.5</v>
      </c>
      <c r="R35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3599" spans="1:18" x14ac:dyDescent="0.3">
      <c r="A3599" s="2">
        <v>3592</v>
      </c>
      <c r="B3599" s="2" t="s">
        <v>7314</v>
      </c>
      <c r="C3599" s="2" t="s">
        <v>5716</v>
      </c>
      <c r="D3599" s="2" t="s">
        <v>28</v>
      </c>
      <c r="E3599" s="2" t="s">
        <v>29</v>
      </c>
      <c r="F3599" s="2">
        <v>90</v>
      </c>
      <c r="G3599" s="2" t="s">
        <v>8446</v>
      </c>
      <c r="H3599" s="2" t="s">
        <v>985</v>
      </c>
      <c r="I3599" s="2" t="s">
        <v>38</v>
      </c>
      <c r="J3599" s="3">
        <v>43845</v>
      </c>
      <c r="K3599" s="5">
        <f>YEAR(OrganizedData[[#This Row],[Order Date]])</f>
        <v>2020</v>
      </c>
      <c r="L3599" s="7" t="str">
        <f>TEXT(OrganizedData[[#This Row],[Order Date]],"mmm")</f>
        <v>Jan</v>
      </c>
      <c r="M3599" s="2">
        <v>79</v>
      </c>
      <c r="N3599" s="2" t="s">
        <v>45</v>
      </c>
      <c r="O3599" s="2" t="str">
        <f>VLOOKUP(OrganizedData[[#This Row],[Product Code]],ProductData[[Code]:[Item]],2,FALSE)</f>
        <v>Gigastuff</v>
      </c>
      <c r="P3599" s="4">
        <f>OrganizedData[[#This Row],[Quantity]]*VLOOKUP(OrganizedData[[#This Row],[Product Code]],ProductData[],4,FALSE)</f>
        <v>1422</v>
      </c>
      <c r="Q3599" s="6">
        <f>OrganizedData[[#This Row],[Total Items Ordered]]*VLOOKUP(OrganizedData[[#This Row],[Product Code]],ProductData[],3,FALSE)</f>
        <v>2687.58</v>
      </c>
      <c r="R35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3600" spans="1:18" x14ac:dyDescent="0.3">
      <c r="A3600" s="2">
        <v>3593</v>
      </c>
      <c r="B3600" s="2" t="s">
        <v>550</v>
      </c>
      <c r="C3600" s="2" t="s">
        <v>1774</v>
      </c>
      <c r="D3600" s="2" t="s">
        <v>28</v>
      </c>
      <c r="E3600" s="2" t="s">
        <v>29</v>
      </c>
      <c r="F3600" s="2">
        <v>90</v>
      </c>
      <c r="G3600" s="2" t="s">
        <v>8447</v>
      </c>
      <c r="H3600" s="2" t="s">
        <v>4594</v>
      </c>
      <c r="I3600" s="2" t="s">
        <v>38</v>
      </c>
      <c r="J3600" s="3">
        <v>44838</v>
      </c>
      <c r="K3600" s="5">
        <f>YEAR(OrganizedData[[#This Row],[Order Date]])</f>
        <v>2022</v>
      </c>
      <c r="L3600" s="7" t="str">
        <f>TEXT(OrganizedData[[#This Row],[Order Date]],"mmm")</f>
        <v>Oct</v>
      </c>
      <c r="M3600" s="2">
        <v>96</v>
      </c>
      <c r="N3600" s="2" t="s">
        <v>80</v>
      </c>
      <c r="O3600" s="2" t="str">
        <f>VLOOKUP(OrganizedData[[#This Row],[Product Code]],ProductData[[Code]:[Item]],2,FALSE)</f>
        <v>Ultrathing V2</v>
      </c>
      <c r="P3600" s="4">
        <f>OrganizedData[[#This Row],[Quantity]]*VLOOKUP(OrganizedData[[#This Row],[Product Code]],ProductData[],4,FALSE)</f>
        <v>1920</v>
      </c>
      <c r="Q3600" s="6">
        <f>OrganizedData[[#This Row],[Total Items Ordered]]*VLOOKUP(OrganizedData[[#This Row],[Product Code]],ProductData[],3,FALSE)</f>
        <v>5664</v>
      </c>
      <c r="R36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5380.8</v>
      </c>
    </row>
    <row r="3601" spans="1:18" x14ac:dyDescent="0.3">
      <c r="A3601" s="2">
        <v>3594</v>
      </c>
      <c r="B3601" s="2" t="s">
        <v>1356</v>
      </c>
      <c r="C3601" s="2" t="s">
        <v>7168</v>
      </c>
      <c r="D3601" s="2" t="s">
        <v>28</v>
      </c>
      <c r="E3601" s="2" t="s">
        <v>29</v>
      </c>
      <c r="F3601" s="2">
        <v>30</v>
      </c>
      <c r="G3601" s="2" t="s">
        <v>8448</v>
      </c>
      <c r="H3601" s="2" t="s">
        <v>5158</v>
      </c>
      <c r="I3601" s="2" t="s">
        <v>5159</v>
      </c>
      <c r="J3601" s="3">
        <v>44551</v>
      </c>
      <c r="K3601" s="5">
        <f>YEAR(OrganizedData[[#This Row],[Order Date]])</f>
        <v>2021</v>
      </c>
      <c r="L3601" s="7" t="str">
        <f>TEXT(OrganizedData[[#This Row],[Order Date]],"mmm")</f>
        <v>Dec</v>
      </c>
      <c r="M3601" s="2">
        <v>63</v>
      </c>
      <c r="N3601" s="2" t="s">
        <v>20</v>
      </c>
      <c r="O3601" s="2" t="str">
        <f>VLOOKUP(OrganizedData[[#This Row],[Product Code]],ProductData[[Code]:[Item]],2,FALSE)</f>
        <v>Hyperwotsit</v>
      </c>
      <c r="P3601" s="4">
        <f>OrganizedData[[#This Row],[Quantity]]*VLOOKUP(OrganizedData[[#This Row],[Product Code]],ProductData[],4,FALSE)</f>
        <v>1260</v>
      </c>
      <c r="Q3601" s="6">
        <f>OrganizedData[[#This Row],[Total Items Ordered]]*VLOOKUP(OrganizedData[[#This Row],[Product Code]],ProductData[],3,FALSE)</f>
        <v>2532.6</v>
      </c>
      <c r="R36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2405.9699999999998</v>
      </c>
    </row>
    <row r="3602" spans="1:18" x14ac:dyDescent="0.3">
      <c r="A3602" s="2">
        <v>3595</v>
      </c>
      <c r="B3602" s="2" t="s">
        <v>2513</v>
      </c>
      <c r="C3602" s="2" t="s">
        <v>4173</v>
      </c>
      <c r="D3602" s="2" t="s">
        <v>28</v>
      </c>
      <c r="E3602" s="2" t="s">
        <v>29</v>
      </c>
      <c r="F3602" s="2">
        <v>60</v>
      </c>
      <c r="G3602" s="2" t="s">
        <v>8449</v>
      </c>
      <c r="H3602" s="2" t="s">
        <v>2696</v>
      </c>
      <c r="I3602" s="2" t="s">
        <v>95</v>
      </c>
      <c r="J3602" s="3">
        <v>43917</v>
      </c>
      <c r="K3602" s="5">
        <f>YEAR(OrganizedData[[#This Row],[Order Date]])</f>
        <v>2020</v>
      </c>
      <c r="L3602" s="7" t="str">
        <f>TEXT(OrganizedData[[#This Row],[Order Date]],"mmm")</f>
        <v>Mar</v>
      </c>
      <c r="M3602" s="2">
        <v>18</v>
      </c>
      <c r="N3602" s="2" t="s">
        <v>39</v>
      </c>
      <c r="O3602" s="2" t="str">
        <f>VLOOKUP(OrganizedData[[#This Row],[Product Code]],ProductData[[Code]:[Item]],2,FALSE)</f>
        <v>Ultrathing V1</v>
      </c>
      <c r="P3602" s="4">
        <f>OrganizedData[[#This Row],[Quantity]]*VLOOKUP(OrganizedData[[#This Row],[Product Code]],ProductData[],4,FALSE)</f>
        <v>306</v>
      </c>
      <c r="Q3602" s="6">
        <f>OrganizedData[[#This Row],[Total Items Ordered]]*VLOOKUP(OrganizedData[[#This Row],[Product Code]],ProductData[],3,FALSE)</f>
        <v>547.74</v>
      </c>
      <c r="R36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547.74</v>
      </c>
    </row>
    <row r="3603" spans="1:18" x14ac:dyDescent="0.3">
      <c r="A3603" s="2">
        <v>3596</v>
      </c>
      <c r="B3603" s="2" t="s">
        <v>1371</v>
      </c>
      <c r="C3603" s="2" t="s">
        <v>1826</v>
      </c>
      <c r="D3603" s="2" t="s">
        <v>28</v>
      </c>
      <c r="E3603" s="2" t="s">
        <v>29</v>
      </c>
      <c r="F3603" s="2">
        <v>90</v>
      </c>
      <c r="G3603" s="2" t="s">
        <v>8450</v>
      </c>
      <c r="H3603" s="2" t="s">
        <v>1336</v>
      </c>
      <c r="I3603" s="2" t="s">
        <v>129</v>
      </c>
      <c r="J3603" s="3">
        <v>43873</v>
      </c>
      <c r="K3603" s="5">
        <f>YEAR(OrganizedData[[#This Row],[Order Date]])</f>
        <v>2020</v>
      </c>
      <c r="L3603" s="7" t="str">
        <f>TEXT(OrganizedData[[#This Row],[Order Date]],"mmm")</f>
        <v>Feb</v>
      </c>
      <c r="M3603" s="2">
        <v>76</v>
      </c>
      <c r="N3603" s="2" t="s">
        <v>159</v>
      </c>
      <c r="O3603" s="2" t="str">
        <f>VLOOKUP(OrganizedData[[#This Row],[Product Code]],ProductData[[Code]:[Item]],2,FALSE)</f>
        <v>Ultrathing V3</v>
      </c>
      <c r="P3603" s="4">
        <f>OrganizedData[[#This Row],[Quantity]]*VLOOKUP(OrganizedData[[#This Row],[Product Code]],ProductData[],4,FALSE)</f>
        <v>1824</v>
      </c>
      <c r="Q3603" s="6">
        <f>OrganizedData[[#This Row],[Total Items Ordered]]*VLOOKUP(OrganizedData[[#This Row],[Product Code]],ProductData[],3,FALSE)</f>
        <v>6183.3600000000006</v>
      </c>
      <c r="R36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5874.192</v>
      </c>
    </row>
    <row r="3604" spans="1:18" x14ac:dyDescent="0.3">
      <c r="A3604" s="2">
        <v>3597</v>
      </c>
      <c r="B3604" s="2" t="s">
        <v>8451</v>
      </c>
      <c r="C3604" s="2" t="s">
        <v>1222</v>
      </c>
      <c r="D3604" s="2" t="s">
        <v>15</v>
      </c>
      <c r="E3604" s="2" t="s">
        <v>16</v>
      </c>
      <c r="F3604" s="2">
        <v>30</v>
      </c>
      <c r="G3604" s="2" t="s">
        <v>8452</v>
      </c>
      <c r="H3604" s="2" t="s">
        <v>1768</v>
      </c>
      <c r="I3604" s="2" t="s">
        <v>32</v>
      </c>
      <c r="J3604" s="3">
        <v>44755</v>
      </c>
      <c r="K3604" s="5">
        <f>YEAR(OrganizedData[[#This Row],[Order Date]])</f>
        <v>2022</v>
      </c>
      <c r="L3604" s="7" t="str">
        <f>TEXT(OrganizedData[[#This Row],[Order Date]],"mmm")</f>
        <v>Jul</v>
      </c>
      <c r="M3604" s="2">
        <v>42</v>
      </c>
      <c r="N3604" s="2" t="s">
        <v>70</v>
      </c>
      <c r="O3604" s="2" t="str">
        <f>VLOOKUP(OrganizedData[[#This Row],[Product Code]],ProductData[[Code]:[Item]],2,FALSE)</f>
        <v>Megawidget M</v>
      </c>
      <c r="P3604" s="4">
        <f>OrganizedData[[#This Row],[Quantity]]*VLOOKUP(OrganizedData[[#This Row],[Product Code]],ProductData[],4,FALSE)</f>
        <v>1008</v>
      </c>
      <c r="Q3604" s="6">
        <f>OrganizedData[[#This Row],[Total Items Ordered]]*VLOOKUP(OrganizedData[[#This Row],[Product Code]],ProductData[],3,FALSE)</f>
        <v>1300.32</v>
      </c>
      <c r="R36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3605" spans="1:18" x14ac:dyDescent="0.3">
      <c r="A3605" s="2">
        <v>3598</v>
      </c>
      <c r="B3605" s="2" t="s">
        <v>8453</v>
      </c>
      <c r="C3605" s="2" t="s">
        <v>35</v>
      </c>
      <c r="D3605" s="2" t="s">
        <v>117</v>
      </c>
      <c r="E3605" s="2" t="s">
        <v>16</v>
      </c>
      <c r="F3605" s="2">
        <v>90</v>
      </c>
      <c r="G3605" s="2" t="s">
        <v>8454</v>
      </c>
      <c r="H3605" s="2" t="s">
        <v>2533</v>
      </c>
      <c r="I3605" s="2" t="s">
        <v>2534</v>
      </c>
      <c r="J3605" s="3">
        <v>44649</v>
      </c>
      <c r="K3605" s="5">
        <f>YEAR(OrganizedData[[#This Row],[Order Date]])</f>
        <v>2022</v>
      </c>
      <c r="L3605" s="7" t="str">
        <f>TEXT(OrganizedData[[#This Row],[Order Date]],"mmm")</f>
        <v>Mar</v>
      </c>
      <c r="M3605" s="2">
        <v>22</v>
      </c>
      <c r="N3605" s="2" t="s">
        <v>39</v>
      </c>
      <c r="O3605" s="2" t="str">
        <f>VLOOKUP(OrganizedData[[#This Row],[Product Code]],ProductData[[Code]:[Item]],2,FALSE)</f>
        <v>Ultrathing V1</v>
      </c>
      <c r="P3605" s="4">
        <f>OrganizedData[[#This Row],[Quantity]]*VLOOKUP(OrganizedData[[#This Row],[Product Code]],ProductData[],4,FALSE)</f>
        <v>374</v>
      </c>
      <c r="Q3605" s="6">
        <f>OrganizedData[[#This Row],[Total Items Ordered]]*VLOOKUP(OrganizedData[[#This Row],[Product Code]],ProductData[],3,FALSE)</f>
        <v>669.46</v>
      </c>
      <c r="R36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3606" spans="1:18" x14ac:dyDescent="0.3">
      <c r="A3606" s="2">
        <v>3599</v>
      </c>
      <c r="B3606" s="2" t="s">
        <v>8455</v>
      </c>
      <c r="C3606" s="2" t="s">
        <v>6016</v>
      </c>
      <c r="D3606" s="2" t="s">
        <v>15</v>
      </c>
      <c r="E3606" s="2" t="s">
        <v>16</v>
      </c>
      <c r="F3606" s="2">
        <v>30</v>
      </c>
      <c r="G3606" s="2" t="s">
        <v>8456</v>
      </c>
      <c r="H3606" s="2" t="s">
        <v>2766</v>
      </c>
      <c r="I3606" s="2" t="s">
        <v>294</v>
      </c>
      <c r="J3606" s="3">
        <v>44863</v>
      </c>
      <c r="K3606" s="5">
        <f>YEAR(OrganizedData[[#This Row],[Order Date]])</f>
        <v>2022</v>
      </c>
      <c r="L3606" s="7" t="str">
        <f>TEXT(OrganizedData[[#This Row],[Order Date]],"mmm")</f>
        <v>Oct</v>
      </c>
      <c r="M3606" s="2">
        <v>47</v>
      </c>
      <c r="N3606" s="2" t="s">
        <v>101</v>
      </c>
      <c r="O3606" s="2" t="str">
        <f>VLOOKUP(OrganizedData[[#This Row],[Product Code]],ProductData[[Code]:[Item]],2,FALSE)</f>
        <v>Superwossname</v>
      </c>
      <c r="P3606" s="4">
        <f>OrganizedData[[#This Row],[Quantity]]*VLOOKUP(OrganizedData[[#This Row],[Product Code]],ProductData[],4,FALSE)</f>
        <v>940</v>
      </c>
      <c r="Q3606" s="6">
        <f>OrganizedData[[#This Row],[Total Items Ordered]]*VLOOKUP(OrganizedData[[#This Row],[Product Code]],ProductData[],3,FALSE)</f>
        <v>3280.6000000000004</v>
      </c>
      <c r="R36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3182.1820000000002</v>
      </c>
    </row>
    <row r="3607" spans="1:18" x14ac:dyDescent="0.3">
      <c r="A3607" s="2">
        <v>3600</v>
      </c>
      <c r="B3607" s="2" t="s">
        <v>758</v>
      </c>
      <c r="C3607" s="2" t="s">
        <v>653</v>
      </c>
      <c r="D3607" s="2" t="s">
        <v>15</v>
      </c>
      <c r="E3607" s="2" t="s">
        <v>16</v>
      </c>
      <c r="F3607" s="2">
        <v>30</v>
      </c>
      <c r="G3607" s="2" t="s">
        <v>8457</v>
      </c>
      <c r="H3607" s="2" t="s">
        <v>4028</v>
      </c>
      <c r="I3607" s="2" t="s">
        <v>32</v>
      </c>
      <c r="J3607" s="3">
        <v>43902</v>
      </c>
      <c r="K3607" s="5">
        <f>YEAR(OrganizedData[[#This Row],[Order Date]])</f>
        <v>2020</v>
      </c>
      <c r="L3607" s="7" t="str">
        <f>TEXT(OrganizedData[[#This Row],[Order Date]],"mmm")</f>
        <v>Mar</v>
      </c>
      <c r="M3607" s="2">
        <v>29</v>
      </c>
      <c r="N3607" s="2" t="s">
        <v>159</v>
      </c>
      <c r="O3607" s="2" t="str">
        <f>VLOOKUP(OrganizedData[[#This Row],[Product Code]],ProductData[[Code]:[Item]],2,FALSE)</f>
        <v>Ultrathing V3</v>
      </c>
      <c r="P3607" s="4">
        <f>OrganizedData[[#This Row],[Quantity]]*VLOOKUP(OrganizedData[[#This Row],[Product Code]],ProductData[],4,FALSE)</f>
        <v>696</v>
      </c>
      <c r="Q3607" s="6">
        <f>OrganizedData[[#This Row],[Total Items Ordered]]*VLOOKUP(OrganizedData[[#This Row],[Product Code]],ProductData[],3,FALSE)</f>
        <v>2359.44</v>
      </c>
      <c r="R36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2288.6568000000002</v>
      </c>
    </row>
    <row r="3608" spans="1:18" x14ac:dyDescent="0.3">
      <c r="A3608" s="2">
        <v>3601</v>
      </c>
      <c r="B3608" s="2" t="s">
        <v>8458</v>
      </c>
      <c r="C3608" s="2" t="s">
        <v>472</v>
      </c>
      <c r="D3608" s="2" t="s">
        <v>92</v>
      </c>
      <c r="E3608" s="2" t="s">
        <v>16</v>
      </c>
      <c r="F3608" s="2">
        <v>60</v>
      </c>
      <c r="G3608" s="2" t="s">
        <v>8459</v>
      </c>
      <c r="H3608" s="2" t="s">
        <v>8460</v>
      </c>
      <c r="I3608" s="2" t="s">
        <v>19</v>
      </c>
      <c r="J3608" s="3">
        <v>44489</v>
      </c>
      <c r="K3608" s="5">
        <f>YEAR(OrganizedData[[#This Row],[Order Date]])</f>
        <v>2021</v>
      </c>
      <c r="L3608" s="7" t="str">
        <f>TEXT(OrganizedData[[#This Row],[Order Date]],"mmm")</f>
        <v>Oct</v>
      </c>
      <c r="M3608" s="2">
        <v>53</v>
      </c>
      <c r="N3608" s="2" t="s">
        <v>33</v>
      </c>
      <c r="O3608" s="2" t="str">
        <f>VLOOKUP(OrganizedData[[#This Row],[Product Code]],ProductData[[Code]:[Item]],2,FALSE)</f>
        <v>Megawidget L</v>
      </c>
      <c r="P3608" s="4">
        <f>OrganizedData[[#This Row],[Quantity]]*VLOOKUP(OrganizedData[[#This Row],[Product Code]],ProductData[],4,FALSE)</f>
        <v>1272</v>
      </c>
      <c r="Q3608" s="6">
        <f>OrganizedData[[#This Row],[Total Items Ordered]]*VLOOKUP(OrganizedData[[#This Row],[Product Code]],ProductData[],3,FALSE)</f>
        <v>2276.88</v>
      </c>
      <c r="R36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2163.0360000000001</v>
      </c>
    </row>
    <row r="3609" spans="1:18" x14ac:dyDescent="0.3">
      <c r="A3609" s="2">
        <v>3602</v>
      </c>
      <c r="B3609" s="2" t="s">
        <v>8461</v>
      </c>
      <c r="C3609" s="2" t="s">
        <v>3066</v>
      </c>
      <c r="D3609" s="2" t="s">
        <v>51</v>
      </c>
      <c r="E3609" s="2" t="s">
        <v>16</v>
      </c>
      <c r="F3609" s="2">
        <v>30</v>
      </c>
      <c r="G3609" s="2" t="s">
        <v>8462</v>
      </c>
      <c r="H3609" s="2" t="s">
        <v>1729</v>
      </c>
      <c r="I3609" s="2" t="s">
        <v>32</v>
      </c>
      <c r="J3609" s="3">
        <v>44212</v>
      </c>
      <c r="K3609" s="5">
        <f>YEAR(OrganizedData[[#This Row],[Order Date]])</f>
        <v>2021</v>
      </c>
      <c r="L3609" s="7" t="str">
        <f>TEXT(OrganizedData[[#This Row],[Order Date]],"mmm")</f>
        <v>Jan</v>
      </c>
      <c r="M3609" s="2">
        <v>77</v>
      </c>
      <c r="N3609" s="2" t="s">
        <v>64</v>
      </c>
      <c r="O3609" s="2" t="str">
        <f>VLOOKUP(OrganizedData[[#This Row],[Product Code]],ProductData[[Code]:[Item]],2,FALSE)</f>
        <v>Ultrathing V4</v>
      </c>
      <c r="P3609" s="4">
        <f>OrganizedData[[#This Row],[Quantity]]*VLOOKUP(OrganizedData[[#This Row],[Product Code]],ProductData[],4,FALSE)</f>
        <v>1848</v>
      </c>
      <c r="Q3609" s="6">
        <f>OrganizedData[[#This Row],[Total Items Ordered]]*VLOOKUP(OrganizedData[[#This Row],[Product Code]],ProductData[],3,FALSE)</f>
        <v>7373.52</v>
      </c>
      <c r="R36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7004.8440000000001</v>
      </c>
    </row>
    <row r="3610" spans="1:18" x14ac:dyDescent="0.3">
      <c r="A3610" s="2">
        <v>3603</v>
      </c>
      <c r="B3610" s="2" t="s">
        <v>7643</v>
      </c>
      <c r="C3610" s="2" t="s">
        <v>5359</v>
      </c>
      <c r="D3610" s="2" t="s">
        <v>28</v>
      </c>
      <c r="E3610" s="2" t="s">
        <v>29</v>
      </c>
      <c r="F3610" s="2">
        <v>30</v>
      </c>
      <c r="G3610" s="2" t="s">
        <v>8463</v>
      </c>
      <c r="H3610" s="2" t="s">
        <v>781</v>
      </c>
      <c r="I3610" s="2" t="s">
        <v>294</v>
      </c>
      <c r="J3610" s="3">
        <v>43916</v>
      </c>
      <c r="K3610" s="5">
        <f>YEAR(OrganizedData[[#This Row],[Order Date]])</f>
        <v>2020</v>
      </c>
      <c r="L3610" s="7" t="str">
        <f>TEXT(OrganizedData[[#This Row],[Order Date]],"mmm")</f>
        <v>Mar</v>
      </c>
      <c r="M3610" s="2">
        <v>61</v>
      </c>
      <c r="N3610" s="2" t="s">
        <v>20</v>
      </c>
      <c r="O3610" s="2" t="str">
        <f>VLOOKUP(OrganizedData[[#This Row],[Product Code]],ProductData[[Code]:[Item]],2,FALSE)</f>
        <v>Hyperwotsit</v>
      </c>
      <c r="P3610" s="4">
        <f>OrganizedData[[#This Row],[Quantity]]*VLOOKUP(OrganizedData[[#This Row],[Product Code]],ProductData[],4,FALSE)</f>
        <v>1220</v>
      </c>
      <c r="Q3610" s="6">
        <f>OrganizedData[[#This Row],[Total Items Ordered]]*VLOOKUP(OrganizedData[[#This Row],[Product Code]],ProductData[],3,FALSE)</f>
        <v>2452.1999999999998</v>
      </c>
      <c r="R36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2329.5899999999997</v>
      </c>
    </row>
    <row r="3611" spans="1:18" x14ac:dyDescent="0.3">
      <c r="A3611" s="2">
        <v>3604</v>
      </c>
      <c r="B3611" s="2" t="s">
        <v>8464</v>
      </c>
      <c r="C3611" s="2" t="s">
        <v>3930</v>
      </c>
      <c r="D3611" s="2" t="s">
        <v>15</v>
      </c>
      <c r="E3611" s="2" t="s">
        <v>16</v>
      </c>
      <c r="F3611" s="2">
        <v>60</v>
      </c>
      <c r="G3611" s="2" t="s">
        <v>8465</v>
      </c>
      <c r="H3611" s="2" t="s">
        <v>270</v>
      </c>
      <c r="I3611" s="2" t="s">
        <v>187</v>
      </c>
      <c r="J3611" s="3">
        <v>44494</v>
      </c>
      <c r="K3611" s="5">
        <f>YEAR(OrganizedData[[#This Row],[Order Date]])</f>
        <v>2021</v>
      </c>
      <c r="L3611" s="7" t="str">
        <f>TEXT(OrganizedData[[#This Row],[Order Date]],"mmm")</f>
        <v>Oct</v>
      </c>
      <c r="M3611" s="2">
        <v>10</v>
      </c>
      <c r="N3611" s="2" t="s">
        <v>45</v>
      </c>
      <c r="O3611" s="2" t="str">
        <f>VLOOKUP(OrganizedData[[#This Row],[Product Code]],ProductData[[Code]:[Item]],2,FALSE)</f>
        <v>Gigastuff</v>
      </c>
      <c r="P3611" s="4">
        <f>OrganizedData[[#This Row],[Quantity]]*VLOOKUP(OrganizedData[[#This Row],[Product Code]],ProductData[],4,FALSE)</f>
        <v>180</v>
      </c>
      <c r="Q3611" s="6">
        <f>OrganizedData[[#This Row],[Total Items Ordered]]*VLOOKUP(OrganizedData[[#This Row],[Product Code]],ProductData[],3,FALSE)</f>
        <v>340.2</v>
      </c>
      <c r="R36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3612" spans="1:18" x14ac:dyDescent="0.3">
      <c r="A3612" s="2">
        <v>3605</v>
      </c>
      <c r="B3612" s="2" t="s">
        <v>8466</v>
      </c>
      <c r="C3612" s="2" t="s">
        <v>8467</v>
      </c>
      <c r="D3612" s="2" t="s">
        <v>51</v>
      </c>
      <c r="E3612" s="2" t="s">
        <v>16</v>
      </c>
      <c r="F3612" s="2">
        <v>90</v>
      </c>
      <c r="G3612" s="2" t="s">
        <v>8468</v>
      </c>
      <c r="H3612" s="2" t="s">
        <v>1168</v>
      </c>
      <c r="I3612" s="2" t="s">
        <v>32</v>
      </c>
      <c r="J3612" s="3">
        <v>44137</v>
      </c>
      <c r="K3612" s="5">
        <f>YEAR(OrganizedData[[#This Row],[Order Date]])</f>
        <v>2020</v>
      </c>
      <c r="L3612" s="7" t="str">
        <f>TEXT(OrganizedData[[#This Row],[Order Date]],"mmm")</f>
        <v>Nov</v>
      </c>
      <c r="M3612" s="2">
        <v>12</v>
      </c>
      <c r="N3612" s="2" t="s">
        <v>39</v>
      </c>
      <c r="O3612" s="2" t="str">
        <f>VLOOKUP(OrganizedData[[#This Row],[Product Code]],ProductData[[Code]:[Item]],2,FALSE)</f>
        <v>Ultrathing V1</v>
      </c>
      <c r="P3612" s="4">
        <f>OrganizedData[[#This Row],[Quantity]]*VLOOKUP(OrganizedData[[#This Row],[Product Code]],ProductData[],4,FALSE)</f>
        <v>204</v>
      </c>
      <c r="Q3612" s="6">
        <f>OrganizedData[[#This Row],[Total Items Ordered]]*VLOOKUP(OrganizedData[[#This Row],[Product Code]],ProductData[],3,FALSE)</f>
        <v>365.16</v>
      </c>
      <c r="R36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3613" spans="1:18" x14ac:dyDescent="0.3">
      <c r="A3613" s="2">
        <v>3606</v>
      </c>
      <c r="B3613" s="2" t="s">
        <v>798</v>
      </c>
      <c r="C3613" s="2" t="s">
        <v>2064</v>
      </c>
      <c r="D3613" s="2" t="s">
        <v>28</v>
      </c>
      <c r="E3613" s="2" t="s">
        <v>29</v>
      </c>
      <c r="F3613" s="2">
        <v>60</v>
      </c>
      <c r="G3613" s="2" t="s">
        <v>8469</v>
      </c>
      <c r="H3613" s="2" t="s">
        <v>2397</v>
      </c>
      <c r="I3613" s="2" t="s">
        <v>187</v>
      </c>
      <c r="J3613" s="3">
        <v>44785</v>
      </c>
      <c r="K3613" s="5">
        <f>YEAR(OrganizedData[[#This Row],[Order Date]])</f>
        <v>2022</v>
      </c>
      <c r="L3613" s="7" t="str">
        <f>TEXT(OrganizedData[[#This Row],[Order Date]],"mmm")</f>
        <v>Aug</v>
      </c>
      <c r="M3613" s="2">
        <v>50</v>
      </c>
      <c r="N3613" s="2" t="s">
        <v>54</v>
      </c>
      <c r="O3613" s="2" t="str">
        <f>VLOOKUP(OrganizedData[[#This Row],[Product Code]],ProductData[[Code]:[Item]],2,FALSE)</f>
        <v>Megawidget S</v>
      </c>
      <c r="P3613" s="4">
        <f>OrganizedData[[#This Row],[Quantity]]*VLOOKUP(OrganizedData[[#This Row],[Product Code]],ProductData[],4,FALSE)</f>
        <v>1200</v>
      </c>
      <c r="Q3613" s="6">
        <f>OrganizedData[[#This Row],[Total Items Ordered]]*VLOOKUP(OrganizedData[[#This Row],[Product Code]],ProductData[],3,FALSE)</f>
        <v>827.99999999999989</v>
      </c>
      <c r="R36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803.15999999999985</v>
      </c>
    </row>
    <row r="3614" spans="1:18" x14ac:dyDescent="0.3">
      <c r="A3614" s="2">
        <v>3607</v>
      </c>
      <c r="B3614" s="2" t="s">
        <v>4407</v>
      </c>
      <c r="C3614" s="2" t="s">
        <v>5742</v>
      </c>
      <c r="D3614" s="2" t="s">
        <v>15</v>
      </c>
      <c r="E3614" s="2" t="s">
        <v>16</v>
      </c>
      <c r="F3614" s="2">
        <v>30</v>
      </c>
      <c r="G3614" s="2" t="s">
        <v>8470</v>
      </c>
      <c r="H3614" s="2" t="s">
        <v>518</v>
      </c>
      <c r="I3614" s="2" t="s">
        <v>32</v>
      </c>
      <c r="J3614" s="3">
        <v>43848</v>
      </c>
      <c r="K3614" s="5">
        <f>YEAR(OrganizedData[[#This Row],[Order Date]])</f>
        <v>2020</v>
      </c>
      <c r="L3614" s="7" t="str">
        <f>TEXT(OrganizedData[[#This Row],[Order Date]],"mmm")</f>
        <v>Jan</v>
      </c>
      <c r="M3614" s="2">
        <v>43</v>
      </c>
      <c r="N3614" s="2" t="s">
        <v>70</v>
      </c>
      <c r="O3614" s="2" t="str">
        <f>VLOOKUP(OrganizedData[[#This Row],[Product Code]],ProductData[[Code]:[Item]],2,FALSE)</f>
        <v>Megawidget M</v>
      </c>
      <c r="P3614" s="4">
        <f>OrganizedData[[#This Row],[Quantity]]*VLOOKUP(OrganizedData[[#This Row],[Product Code]],ProductData[],4,FALSE)</f>
        <v>1032</v>
      </c>
      <c r="Q3614" s="6">
        <f>OrganizedData[[#This Row],[Total Items Ordered]]*VLOOKUP(OrganizedData[[#This Row],[Product Code]],ProductData[],3,FALSE)</f>
        <v>1331.28</v>
      </c>
      <c r="R36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3615" spans="1:18" x14ac:dyDescent="0.3">
      <c r="A3615" s="2">
        <v>3608</v>
      </c>
      <c r="B3615" s="2" t="s">
        <v>828</v>
      </c>
      <c r="C3615" s="2" t="s">
        <v>1101</v>
      </c>
      <c r="D3615" s="2" t="s">
        <v>28</v>
      </c>
      <c r="E3615" s="2" t="s">
        <v>29</v>
      </c>
      <c r="F3615" s="2">
        <v>30</v>
      </c>
      <c r="G3615" s="2" t="s">
        <v>8471</v>
      </c>
      <c r="H3615" s="2" t="s">
        <v>3991</v>
      </c>
      <c r="I3615" s="2" t="s">
        <v>32</v>
      </c>
      <c r="J3615" s="3">
        <v>43865</v>
      </c>
      <c r="K3615" s="5">
        <f>YEAR(OrganizedData[[#This Row],[Order Date]])</f>
        <v>2020</v>
      </c>
      <c r="L3615" s="7" t="str">
        <f>TEXT(OrganizedData[[#This Row],[Order Date]],"mmm")</f>
        <v>Feb</v>
      </c>
      <c r="M3615" s="2">
        <v>23</v>
      </c>
      <c r="N3615" s="2" t="s">
        <v>101</v>
      </c>
      <c r="O3615" s="2" t="str">
        <f>VLOOKUP(OrganizedData[[#This Row],[Product Code]],ProductData[[Code]:[Item]],2,FALSE)</f>
        <v>Superwossname</v>
      </c>
      <c r="P3615" s="4">
        <f>OrganizedData[[#This Row],[Quantity]]*VLOOKUP(OrganizedData[[#This Row],[Product Code]],ProductData[],4,FALSE)</f>
        <v>460</v>
      </c>
      <c r="Q3615" s="6">
        <f>OrganizedData[[#This Row],[Total Items Ordered]]*VLOOKUP(OrganizedData[[#This Row],[Product Code]],ProductData[],3,FALSE)</f>
        <v>1605.4</v>
      </c>
      <c r="R36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1557.2380000000001</v>
      </c>
    </row>
    <row r="3616" spans="1:18" x14ac:dyDescent="0.3">
      <c r="A3616" s="2">
        <v>3609</v>
      </c>
      <c r="B3616" s="2" t="s">
        <v>8472</v>
      </c>
      <c r="C3616" s="2" t="s">
        <v>1212</v>
      </c>
      <c r="D3616" s="2" t="s">
        <v>28</v>
      </c>
      <c r="E3616" s="2" t="s">
        <v>29</v>
      </c>
      <c r="F3616" s="2">
        <v>30</v>
      </c>
      <c r="G3616" s="2" t="s">
        <v>8473</v>
      </c>
      <c r="H3616" s="2" t="s">
        <v>2552</v>
      </c>
      <c r="I3616" s="2" t="s">
        <v>32</v>
      </c>
      <c r="J3616" s="3">
        <v>44729</v>
      </c>
      <c r="K3616" s="5">
        <f>YEAR(OrganizedData[[#This Row],[Order Date]])</f>
        <v>2022</v>
      </c>
      <c r="L3616" s="7" t="str">
        <f>TEXT(OrganizedData[[#This Row],[Order Date]],"mmm")</f>
        <v>Jun</v>
      </c>
      <c r="M3616" s="2">
        <v>55</v>
      </c>
      <c r="N3616" s="2" t="s">
        <v>80</v>
      </c>
      <c r="O3616" s="2" t="str">
        <f>VLOOKUP(OrganizedData[[#This Row],[Product Code]],ProductData[[Code]:[Item]],2,FALSE)</f>
        <v>Ultrathing V2</v>
      </c>
      <c r="P3616" s="4">
        <f>OrganizedData[[#This Row],[Quantity]]*VLOOKUP(OrganizedData[[#This Row],[Product Code]],ProductData[],4,FALSE)</f>
        <v>1100</v>
      </c>
      <c r="Q3616" s="6">
        <f>OrganizedData[[#This Row],[Total Items Ordered]]*VLOOKUP(OrganizedData[[#This Row],[Product Code]],ProductData[],3,FALSE)</f>
        <v>3245</v>
      </c>
      <c r="R36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3082.75</v>
      </c>
    </row>
    <row r="3617" spans="1:18" x14ac:dyDescent="0.3">
      <c r="A3617" s="2">
        <v>3610</v>
      </c>
      <c r="B3617" s="2" t="s">
        <v>8474</v>
      </c>
      <c r="C3617" s="2" t="s">
        <v>3171</v>
      </c>
      <c r="D3617" s="2" t="s">
        <v>51</v>
      </c>
      <c r="E3617" s="2" t="s">
        <v>16</v>
      </c>
      <c r="F3617" s="2">
        <v>60</v>
      </c>
      <c r="G3617" s="2" t="s">
        <v>8475</v>
      </c>
      <c r="H3617" s="2" t="s">
        <v>963</v>
      </c>
      <c r="I3617" s="2" t="s">
        <v>25</v>
      </c>
      <c r="J3617" s="3">
        <v>44647</v>
      </c>
      <c r="K3617" s="5">
        <f>YEAR(OrganizedData[[#This Row],[Order Date]])</f>
        <v>2022</v>
      </c>
      <c r="L3617" s="7" t="str">
        <f>TEXT(OrganizedData[[#This Row],[Order Date]],"mmm")</f>
        <v>Mar</v>
      </c>
      <c r="M3617" s="2">
        <v>71</v>
      </c>
      <c r="N3617" s="2" t="s">
        <v>64</v>
      </c>
      <c r="O3617" s="2" t="str">
        <f>VLOOKUP(OrganizedData[[#This Row],[Product Code]],ProductData[[Code]:[Item]],2,FALSE)</f>
        <v>Ultrathing V4</v>
      </c>
      <c r="P3617" s="4">
        <f>OrganizedData[[#This Row],[Quantity]]*VLOOKUP(OrganizedData[[#This Row],[Product Code]],ProductData[],4,FALSE)</f>
        <v>1704</v>
      </c>
      <c r="Q3617" s="6">
        <f>OrganizedData[[#This Row],[Total Items Ordered]]*VLOOKUP(OrganizedData[[#This Row],[Product Code]],ProductData[],3,FALSE)</f>
        <v>6798.96</v>
      </c>
      <c r="R36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6459.0119999999997</v>
      </c>
    </row>
    <row r="3618" spans="1:18" x14ac:dyDescent="0.3">
      <c r="A3618" s="2">
        <v>3611</v>
      </c>
      <c r="B3618" s="2" t="s">
        <v>2523</v>
      </c>
      <c r="C3618" s="2" t="s">
        <v>4504</v>
      </c>
      <c r="D3618" s="2" t="s">
        <v>28</v>
      </c>
      <c r="E3618" s="2" t="s">
        <v>29</v>
      </c>
      <c r="F3618" s="2">
        <v>60</v>
      </c>
      <c r="G3618" s="2" t="s">
        <v>8476</v>
      </c>
      <c r="H3618" s="2" t="s">
        <v>2893</v>
      </c>
      <c r="I3618" s="2" t="s">
        <v>32</v>
      </c>
      <c r="J3618" s="3">
        <v>44191</v>
      </c>
      <c r="K3618" s="5">
        <f>YEAR(OrganizedData[[#This Row],[Order Date]])</f>
        <v>2020</v>
      </c>
      <c r="L3618" s="7" t="str">
        <f>TEXT(OrganizedData[[#This Row],[Order Date]],"mmm")</f>
        <v>Dec</v>
      </c>
      <c r="M3618" s="2">
        <v>37</v>
      </c>
      <c r="N3618" s="2" t="s">
        <v>70</v>
      </c>
      <c r="O3618" s="2" t="str">
        <f>VLOOKUP(OrganizedData[[#This Row],[Product Code]],ProductData[[Code]:[Item]],2,FALSE)</f>
        <v>Megawidget M</v>
      </c>
      <c r="P3618" s="4">
        <f>OrganizedData[[#This Row],[Quantity]]*VLOOKUP(OrganizedData[[#This Row],[Product Code]],ProductData[],4,FALSE)</f>
        <v>888</v>
      </c>
      <c r="Q3618" s="6">
        <f>OrganizedData[[#This Row],[Total Items Ordered]]*VLOOKUP(OrganizedData[[#This Row],[Product Code]],ProductData[],3,FALSE)</f>
        <v>1145.52</v>
      </c>
      <c r="R36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3619" spans="1:18" x14ac:dyDescent="0.3">
      <c r="A3619" s="2">
        <v>3612</v>
      </c>
      <c r="B3619" s="2" t="s">
        <v>8477</v>
      </c>
      <c r="C3619" s="2" t="s">
        <v>3429</v>
      </c>
      <c r="D3619" s="2" t="s">
        <v>51</v>
      </c>
      <c r="E3619" s="2" t="s">
        <v>16</v>
      </c>
      <c r="F3619" s="2">
        <v>30</v>
      </c>
      <c r="G3619" s="2" t="s">
        <v>8478</v>
      </c>
      <c r="H3619" s="2" t="s">
        <v>2284</v>
      </c>
      <c r="I3619" s="2" t="s">
        <v>32</v>
      </c>
      <c r="J3619" s="3">
        <v>44534</v>
      </c>
      <c r="K3619" s="5">
        <f>YEAR(OrganizedData[[#This Row],[Order Date]])</f>
        <v>2021</v>
      </c>
      <c r="L3619" s="7" t="str">
        <f>TEXT(OrganizedData[[#This Row],[Order Date]],"mmm")</f>
        <v>Dec</v>
      </c>
      <c r="M3619" s="2">
        <v>62</v>
      </c>
      <c r="N3619" s="2" t="s">
        <v>45</v>
      </c>
      <c r="O3619" s="2" t="str">
        <f>VLOOKUP(OrganizedData[[#This Row],[Product Code]],ProductData[[Code]:[Item]],2,FALSE)</f>
        <v>Gigastuff</v>
      </c>
      <c r="P3619" s="4">
        <f>OrganizedData[[#This Row],[Quantity]]*VLOOKUP(OrganizedData[[#This Row],[Product Code]],ProductData[],4,FALSE)</f>
        <v>1116</v>
      </c>
      <c r="Q3619" s="6">
        <f>OrganizedData[[#This Row],[Total Items Ordered]]*VLOOKUP(OrganizedData[[#This Row],[Product Code]],ProductData[],3,FALSE)</f>
        <v>2109.2399999999998</v>
      </c>
      <c r="R36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3620" spans="1:18" x14ac:dyDescent="0.3">
      <c r="A3620" s="2">
        <v>3613</v>
      </c>
      <c r="B3620" s="2" t="s">
        <v>8479</v>
      </c>
      <c r="C3620" s="2" t="s">
        <v>6635</v>
      </c>
      <c r="D3620" s="2" t="s">
        <v>15</v>
      </c>
      <c r="E3620" s="2" t="s">
        <v>16</v>
      </c>
      <c r="F3620" s="2">
        <v>90</v>
      </c>
      <c r="G3620" s="2" t="s">
        <v>8480</v>
      </c>
      <c r="H3620" s="2" t="s">
        <v>5376</v>
      </c>
      <c r="I3620" s="2" t="s">
        <v>32</v>
      </c>
      <c r="J3620" s="3">
        <v>43949</v>
      </c>
      <c r="K3620" s="5">
        <f>YEAR(OrganizedData[[#This Row],[Order Date]])</f>
        <v>2020</v>
      </c>
      <c r="L3620" s="7" t="str">
        <f>TEXT(OrganizedData[[#This Row],[Order Date]],"mmm")</f>
        <v>Apr</v>
      </c>
      <c r="M3620" s="2">
        <v>63</v>
      </c>
      <c r="N3620" s="2" t="s">
        <v>159</v>
      </c>
      <c r="O3620" s="2" t="str">
        <f>VLOOKUP(OrganizedData[[#This Row],[Product Code]],ProductData[[Code]:[Item]],2,FALSE)</f>
        <v>Ultrathing V3</v>
      </c>
      <c r="P3620" s="4">
        <f>OrganizedData[[#This Row],[Quantity]]*VLOOKUP(OrganizedData[[#This Row],[Product Code]],ProductData[],4,FALSE)</f>
        <v>1512</v>
      </c>
      <c r="Q3620" s="6">
        <f>OrganizedData[[#This Row],[Total Items Ordered]]*VLOOKUP(OrganizedData[[#This Row],[Product Code]],ProductData[],3,FALSE)</f>
        <v>5125.68</v>
      </c>
      <c r="R36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4869.3959999999997</v>
      </c>
    </row>
    <row r="3621" spans="1:18" x14ac:dyDescent="0.3">
      <c r="A3621" s="2">
        <v>3614</v>
      </c>
      <c r="B3621" s="2" t="s">
        <v>8481</v>
      </c>
      <c r="C3621" s="2" t="s">
        <v>376</v>
      </c>
      <c r="D3621" s="2" t="s">
        <v>15</v>
      </c>
      <c r="E3621" s="2" t="s">
        <v>16</v>
      </c>
      <c r="F3621" s="2">
        <v>60</v>
      </c>
      <c r="G3621" s="2" t="s">
        <v>8482</v>
      </c>
      <c r="H3621" s="2" t="s">
        <v>8483</v>
      </c>
      <c r="I3621" s="2" t="s">
        <v>32</v>
      </c>
      <c r="J3621" s="3">
        <v>44111</v>
      </c>
      <c r="K3621" s="5">
        <f>YEAR(OrganizedData[[#This Row],[Order Date]])</f>
        <v>2020</v>
      </c>
      <c r="L3621" s="7" t="str">
        <f>TEXT(OrganizedData[[#This Row],[Order Date]],"mmm")</f>
        <v>Oct</v>
      </c>
      <c r="M3621" s="2">
        <v>13</v>
      </c>
      <c r="N3621" s="2" t="s">
        <v>45</v>
      </c>
      <c r="O3621" s="2" t="str">
        <f>VLOOKUP(OrganizedData[[#This Row],[Product Code]],ProductData[[Code]:[Item]],2,FALSE)</f>
        <v>Gigastuff</v>
      </c>
      <c r="P3621" s="4">
        <f>OrganizedData[[#This Row],[Quantity]]*VLOOKUP(OrganizedData[[#This Row],[Product Code]],ProductData[],4,FALSE)</f>
        <v>234</v>
      </c>
      <c r="Q3621" s="6">
        <f>OrganizedData[[#This Row],[Total Items Ordered]]*VLOOKUP(OrganizedData[[#This Row],[Product Code]],ProductData[],3,FALSE)</f>
        <v>442.26</v>
      </c>
      <c r="R36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3622" spans="1:18" x14ac:dyDescent="0.3">
      <c r="A3622" s="2">
        <v>3615</v>
      </c>
      <c r="B3622" s="2" t="s">
        <v>8486</v>
      </c>
      <c r="C3622" s="2" t="s">
        <v>8487</v>
      </c>
      <c r="D3622" s="2" t="s">
        <v>51</v>
      </c>
      <c r="E3622" s="2" t="s">
        <v>16</v>
      </c>
      <c r="F3622" s="2">
        <v>90</v>
      </c>
      <c r="G3622" s="2" t="s">
        <v>8488</v>
      </c>
      <c r="H3622" s="2" t="s">
        <v>3100</v>
      </c>
      <c r="I3622" s="2" t="s">
        <v>32</v>
      </c>
      <c r="J3622" s="3">
        <v>44869</v>
      </c>
      <c r="K3622" s="5">
        <f>YEAR(OrganizedData[[#This Row],[Order Date]])</f>
        <v>2022</v>
      </c>
      <c r="L3622" s="7" t="str">
        <f>TEXT(OrganizedData[[#This Row],[Order Date]],"mmm")</f>
        <v>Nov</v>
      </c>
      <c r="M3622" s="2">
        <v>64</v>
      </c>
      <c r="N3622" s="2" t="s">
        <v>64</v>
      </c>
      <c r="O3622" s="2" t="str">
        <f>VLOOKUP(OrganizedData[[#This Row],[Product Code]],ProductData[[Code]:[Item]],2,FALSE)</f>
        <v>Ultrathing V4</v>
      </c>
      <c r="P3622" s="4">
        <f>OrganizedData[[#This Row],[Quantity]]*VLOOKUP(OrganizedData[[#This Row],[Product Code]],ProductData[],4,FALSE)</f>
        <v>1536</v>
      </c>
      <c r="Q3622" s="6">
        <f>OrganizedData[[#This Row],[Total Items Ordered]]*VLOOKUP(OrganizedData[[#This Row],[Product Code]],ProductData[],3,FALSE)</f>
        <v>6128.64</v>
      </c>
      <c r="R36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5822.2079999999996</v>
      </c>
    </row>
    <row r="3623" spans="1:18" x14ac:dyDescent="0.3">
      <c r="A3623" s="2">
        <v>3616</v>
      </c>
      <c r="B3623" s="2" t="s">
        <v>8492</v>
      </c>
      <c r="C3623" s="2" t="s">
        <v>8493</v>
      </c>
      <c r="D3623" s="2" t="s">
        <v>51</v>
      </c>
      <c r="E3623" s="2" t="s">
        <v>16</v>
      </c>
      <c r="F3623" s="2">
        <v>60</v>
      </c>
      <c r="G3623" s="2" t="s">
        <v>8494</v>
      </c>
      <c r="H3623" s="2" t="s">
        <v>5379</v>
      </c>
      <c r="I3623" s="2" t="s">
        <v>1199</v>
      </c>
      <c r="J3623" s="3">
        <v>44294</v>
      </c>
      <c r="K3623" s="5">
        <f>YEAR(OrganizedData[[#This Row],[Order Date]])</f>
        <v>2021</v>
      </c>
      <c r="L3623" s="7" t="str">
        <f>TEXT(OrganizedData[[#This Row],[Order Date]],"mmm")</f>
        <v>Apr</v>
      </c>
      <c r="M3623" s="2">
        <v>57</v>
      </c>
      <c r="N3623" s="2" t="s">
        <v>33</v>
      </c>
      <c r="O3623" s="2" t="str">
        <f>VLOOKUP(OrganizedData[[#This Row],[Product Code]],ProductData[[Code]:[Item]],2,FALSE)</f>
        <v>Megawidget L</v>
      </c>
      <c r="P3623" s="4">
        <f>OrganizedData[[#This Row],[Quantity]]*VLOOKUP(OrganizedData[[#This Row],[Product Code]],ProductData[],4,FALSE)</f>
        <v>1368</v>
      </c>
      <c r="Q3623" s="6">
        <f>OrganizedData[[#This Row],[Total Items Ordered]]*VLOOKUP(OrganizedData[[#This Row],[Product Code]],ProductData[],3,FALSE)</f>
        <v>2448.7200000000003</v>
      </c>
      <c r="R36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2326.2840000000001</v>
      </c>
    </row>
    <row r="3624" spans="1:18" x14ac:dyDescent="0.3">
      <c r="A3624" s="2">
        <v>3617</v>
      </c>
      <c r="B3624" s="2" t="s">
        <v>4438</v>
      </c>
      <c r="C3624" s="2" t="s">
        <v>2692</v>
      </c>
      <c r="D3624" s="2" t="s">
        <v>28</v>
      </c>
      <c r="E3624" s="2" t="s">
        <v>29</v>
      </c>
      <c r="F3624" s="2">
        <v>60</v>
      </c>
      <c r="G3624" s="2" t="s">
        <v>8495</v>
      </c>
      <c r="H3624" s="2" t="s">
        <v>4196</v>
      </c>
      <c r="I3624" s="2" t="s">
        <v>240</v>
      </c>
      <c r="J3624" s="3">
        <v>43838</v>
      </c>
      <c r="K3624" s="5">
        <f>YEAR(OrganizedData[[#This Row],[Order Date]])</f>
        <v>2020</v>
      </c>
      <c r="L3624" s="7" t="str">
        <f>TEXT(OrganizedData[[#This Row],[Order Date]],"mmm")</f>
        <v>Jan</v>
      </c>
      <c r="M3624" s="2">
        <v>56</v>
      </c>
      <c r="N3624" s="2" t="s">
        <v>33</v>
      </c>
      <c r="O3624" s="2" t="str">
        <f>VLOOKUP(OrganizedData[[#This Row],[Product Code]],ProductData[[Code]:[Item]],2,FALSE)</f>
        <v>Megawidget L</v>
      </c>
      <c r="P3624" s="4">
        <f>OrganizedData[[#This Row],[Quantity]]*VLOOKUP(OrganizedData[[#This Row],[Product Code]],ProductData[],4,FALSE)</f>
        <v>1344</v>
      </c>
      <c r="Q3624" s="6">
        <f>OrganizedData[[#This Row],[Total Items Ordered]]*VLOOKUP(OrganizedData[[#This Row],[Product Code]],ProductData[],3,FALSE)</f>
        <v>2405.7600000000002</v>
      </c>
      <c r="R36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2285.4720000000002</v>
      </c>
    </row>
    <row r="3625" spans="1:18" x14ac:dyDescent="0.3">
      <c r="A3625" s="2">
        <v>3618</v>
      </c>
      <c r="B3625" s="2" t="s">
        <v>4550</v>
      </c>
      <c r="C3625" s="2" t="s">
        <v>8496</v>
      </c>
      <c r="D3625" s="2" t="s">
        <v>28</v>
      </c>
      <c r="E3625" s="2" t="s">
        <v>29</v>
      </c>
      <c r="F3625" s="2">
        <v>30</v>
      </c>
      <c r="G3625" s="2" t="s">
        <v>8497</v>
      </c>
      <c r="H3625" s="2" t="s">
        <v>2673</v>
      </c>
      <c r="I3625" s="2" t="s">
        <v>19</v>
      </c>
      <c r="J3625" s="3">
        <v>44480</v>
      </c>
      <c r="K3625" s="5">
        <f>YEAR(OrganizedData[[#This Row],[Order Date]])</f>
        <v>2021</v>
      </c>
      <c r="L3625" s="7" t="str">
        <f>TEXT(OrganizedData[[#This Row],[Order Date]],"mmm")</f>
        <v>Oct</v>
      </c>
      <c r="M3625" s="2">
        <v>62</v>
      </c>
      <c r="N3625" s="2" t="s">
        <v>64</v>
      </c>
      <c r="O3625" s="2" t="str">
        <f>VLOOKUP(OrganizedData[[#This Row],[Product Code]],ProductData[[Code]:[Item]],2,FALSE)</f>
        <v>Ultrathing V4</v>
      </c>
      <c r="P3625" s="4">
        <f>OrganizedData[[#This Row],[Quantity]]*VLOOKUP(OrganizedData[[#This Row],[Product Code]],ProductData[],4,FALSE)</f>
        <v>1488</v>
      </c>
      <c r="Q3625" s="6">
        <f>OrganizedData[[#This Row],[Total Items Ordered]]*VLOOKUP(OrganizedData[[#This Row],[Product Code]],ProductData[],3,FALSE)</f>
        <v>5937.12</v>
      </c>
      <c r="R36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3626" spans="1:18" x14ac:dyDescent="0.3">
      <c r="A3626" s="2">
        <v>3619</v>
      </c>
      <c r="B3626" s="2" t="s">
        <v>8498</v>
      </c>
      <c r="C3626" s="2" t="s">
        <v>6594</v>
      </c>
      <c r="D3626" s="2" t="s">
        <v>28</v>
      </c>
      <c r="E3626" s="2" t="s">
        <v>29</v>
      </c>
      <c r="F3626" s="2">
        <v>60</v>
      </c>
      <c r="G3626" s="2" t="s">
        <v>8499</v>
      </c>
      <c r="H3626" s="2" t="s">
        <v>4587</v>
      </c>
      <c r="I3626" s="2" t="s">
        <v>32</v>
      </c>
      <c r="J3626" s="3">
        <v>44621</v>
      </c>
      <c r="K3626" s="5">
        <f>YEAR(OrganizedData[[#This Row],[Order Date]])</f>
        <v>2022</v>
      </c>
      <c r="L3626" s="7" t="str">
        <f>TEXT(OrganizedData[[#This Row],[Order Date]],"mmm")</f>
        <v>Mar</v>
      </c>
      <c r="M3626" s="2">
        <v>21</v>
      </c>
      <c r="N3626" s="2" t="s">
        <v>54</v>
      </c>
      <c r="O3626" s="2" t="str">
        <f>VLOOKUP(OrganizedData[[#This Row],[Product Code]],ProductData[[Code]:[Item]],2,FALSE)</f>
        <v>Megawidget S</v>
      </c>
      <c r="P3626" s="4">
        <f>OrganizedData[[#This Row],[Quantity]]*VLOOKUP(OrganizedData[[#This Row],[Product Code]],ProductData[],4,FALSE)</f>
        <v>504</v>
      </c>
      <c r="Q3626" s="6">
        <f>OrganizedData[[#This Row],[Total Items Ordered]]*VLOOKUP(OrganizedData[[#This Row],[Product Code]],ProductData[],3,FALSE)</f>
        <v>347.76</v>
      </c>
      <c r="R36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337.3272</v>
      </c>
    </row>
    <row r="3627" spans="1:18" x14ac:dyDescent="0.3">
      <c r="A3627" s="2">
        <v>3620</v>
      </c>
      <c r="B3627" s="2" t="s">
        <v>1894</v>
      </c>
      <c r="C3627" s="2" t="s">
        <v>7618</v>
      </c>
      <c r="D3627" s="2" t="s">
        <v>117</v>
      </c>
      <c r="E3627" s="2" t="s">
        <v>29</v>
      </c>
      <c r="F3627" s="2">
        <v>90</v>
      </c>
      <c r="G3627" s="2" t="s">
        <v>8500</v>
      </c>
      <c r="H3627" s="2" t="s">
        <v>5399</v>
      </c>
      <c r="I3627" s="2" t="s">
        <v>32</v>
      </c>
      <c r="J3627" s="3">
        <v>44688</v>
      </c>
      <c r="K3627" s="5">
        <f>YEAR(OrganizedData[[#This Row],[Order Date]])</f>
        <v>2022</v>
      </c>
      <c r="L3627" s="7" t="str">
        <f>TEXT(OrganizedData[[#This Row],[Order Date]],"mmm")</f>
        <v>May</v>
      </c>
      <c r="M3627" s="2">
        <v>65</v>
      </c>
      <c r="N3627" s="2" t="s">
        <v>159</v>
      </c>
      <c r="O3627" s="2" t="str">
        <f>VLOOKUP(OrganizedData[[#This Row],[Product Code]],ProductData[[Code]:[Item]],2,FALSE)</f>
        <v>Ultrathing V3</v>
      </c>
      <c r="P3627" s="4">
        <f>OrganizedData[[#This Row],[Quantity]]*VLOOKUP(OrganizedData[[#This Row],[Product Code]],ProductData[],4,FALSE)</f>
        <v>1560</v>
      </c>
      <c r="Q3627" s="6">
        <f>OrganizedData[[#This Row],[Total Items Ordered]]*VLOOKUP(OrganizedData[[#This Row],[Product Code]],ProductData[],3,FALSE)</f>
        <v>5288.4000000000005</v>
      </c>
      <c r="R36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3628" spans="1:18" x14ac:dyDescent="0.3">
      <c r="A3628" s="2">
        <v>3621</v>
      </c>
      <c r="B3628" s="2" t="s">
        <v>2367</v>
      </c>
      <c r="C3628" s="2" t="s">
        <v>1105</v>
      </c>
      <c r="D3628" s="2" t="s">
        <v>28</v>
      </c>
      <c r="E3628" s="2" t="s">
        <v>29</v>
      </c>
      <c r="F3628" s="2">
        <v>60</v>
      </c>
      <c r="G3628" s="2" t="s">
        <v>8501</v>
      </c>
      <c r="H3628" s="2" t="s">
        <v>3628</v>
      </c>
      <c r="I3628" s="2" t="s">
        <v>32</v>
      </c>
      <c r="J3628" s="3">
        <v>44343</v>
      </c>
      <c r="K3628" s="5">
        <f>YEAR(OrganizedData[[#This Row],[Order Date]])</f>
        <v>2021</v>
      </c>
      <c r="L3628" s="7" t="str">
        <f>TEXT(OrganizedData[[#This Row],[Order Date]],"mmm")</f>
        <v>May</v>
      </c>
      <c r="M3628" s="2">
        <v>4</v>
      </c>
      <c r="N3628" s="2" t="s">
        <v>101</v>
      </c>
      <c r="O3628" s="2" t="str">
        <f>VLOOKUP(OrganizedData[[#This Row],[Product Code]],ProductData[[Code]:[Item]],2,FALSE)</f>
        <v>Superwossname</v>
      </c>
      <c r="P3628" s="4">
        <f>OrganizedData[[#This Row],[Quantity]]*VLOOKUP(OrganizedData[[#This Row],[Product Code]],ProductData[],4,FALSE)</f>
        <v>80</v>
      </c>
      <c r="Q3628" s="6">
        <f>OrganizedData[[#This Row],[Total Items Ordered]]*VLOOKUP(OrganizedData[[#This Row],[Product Code]],ProductData[],3,FALSE)</f>
        <v>279.20000000000005</v>
      </c>
      <c r="R36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279.20000000000005</v>
      </c>
    </row>
    <row r="3629" spans="1:18" x14ac:dyDescent="0.3">
      <c r="A3629" s="2">
        <v>3622</v>
      </c>
      <c r="B3629" s="2" t="s">
        <v>6072</v>
      </c>
      <c r="C3629" s="2" t="s">
        <v>2496</v>
      </c>
      <c r="D3629" s="2" t="s">
        <v>28</v>
      </c>
      <c r="E3629" s="2" t="s">
        <v>29</v>
      </c>
      <c r="F3629" s="2">
        <v>90</v>
      </c>
      <c r="G3629" s="2" t="s">
        <v>8501</v>
      </c>
      <c r="H3629" s="2" t="s">
        <v>1534</v>
      </c>
      <c r="I3629" s="2" t="s">
        <v>32</v>
      </c>
      <c r="J3629" s="3">
        <v>44815</v>
      </c>
      <c r="K3629" s="5">
        <f>YEAR(OrganizedData[[#This Row],[Order Date]])</f>
        <v>2022</v>
      </c>
      <c r="L3629" s="7" t="str">
        <f>TEXT(OrganizedData[[#This Row],[Order Date]],"mmm")</f>
        <v>Sep</v>
      </c>
      <c r="M3629" s="2">
        <v>49</v>
      </c>
      <c r="N3629" s="2" t="s">
        <v>64</v>
      </c>
      <c r="O3629" s="2" t="str">
        <f>VLOOKUP(OrganizedData[[#This Row],[Product Code]],ProductData[[Code]:[Item]],2,FALSE)</f>
        <v>Ultrathing V4</v>
      </c>
      <c r="P3629" s="4">
        <f>OrganizedData[[#This Row],[Quantity]]*VLOOKUP(OrganizedData[[#This Row],[Product Code]],ProductData[],4,FALSE)</f>
        <v>1176</v>
      </c>
      <c r="Q3629" s="6">
        <f>OrganizedData[[#This Row],[Total Items Ordered]]*VLOOKUP(OrganizedData[[#This Row],[Product Code]],ProductData[],3,FALSE)</f>
        <v>4692.2400000000007</v>
      </c>
      <c r="R36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4551.4728000000005</v>
      </c>
    </row>
    <row r="3630" spans="1:18" x14ac:dyDescent="0.3">
      <c r="A3630" s="2">
        <v>3623</v>
      </c>
      <c r="B3630" s="2" t="s">
        <v>8502</v>
      </c>
      <c r="C3630" s="2" t="s">
        <v>5389</v>
      </c>
      <c r="D3630" s="2" t="s">
        <v>15</v>
      </c>
      <c r="E3630" s="2" t="s">
        <v>16</v>
      </c>
      <c r="F3630" s="2">
        <v>90</v>
      </c>
      <c r="G3630" s="2" t="s">
        <v>8503</v>
      </c>
      <c r="H3630" s="2" t="s">
        <v>2993</v>
      </c>
      <c r="I3630" s="2" t="s">
        <v>32</v>
      </c>
      <c r="J3630" s="3">
        <v>43839</v>
      </c>
      <c r="K3630" s="5">
        <f>YEAR(OrganizedData[[#This Row],[Order Date]])</f>
        <v>2020</v>
      </c>
      <c r="L3630" s="7" t="str">
        <f>TEXT(OrganizedData[[#This Row],[Order Date]],"mmm")</f>
        <v>Jan</v>
      </c>
      <c r="M3630" s="2">
        <v>67</v>
      </c>
      <c r="N3630" s="2" t="s">
        <v>70</v>
      </c>
      <c r="O3630" s="2" t="str">
        <f>VLOOKUP(OrganizedData[[#This Row],[Product Code]],ProductData[[Code]:[Item]],2,FALSE)</f>
        <v>Megawidget M</v>
      </c>
      <c r="P3630" s="4">
        <f>OrganizedData[[#This Row],[Quantity]]*VLOOKUP(OrganizedData[[#This Row],[Product Code]],ProductData[],4,FALSE)</f>
        <v>1608</v>
      </c>
      <c r="Q3630" s="6">
        <f>OrganizedData[[#This Row],[Total Items Ordered]]*VLOOKUP(OrganizedData[[#This Row],[Product Code]],ProductData[],3,FALSE)</f>
        <v>2074.3200000000002</v>
      </c>
      <c r="R36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3631" spans="1:18" x14ac:dyDescent="0.3">
      <c r="A3631" s="2">
        <v>3624</v>
      </c>
      <c r="B3631" s="2" t="s">
        <v>8504</v>
      </c>
      <c r="C3631" s="2" t="s">
        <v>7556</v>
      </c>
      <c r="D3631" s="2" t="s">
        <v>15</v>
      </c>
      <c r="E3631" s="2" t="s">
        <v>16</v>
      </c>
      <c r="F3631" s="2">
        <v>60</v>
      </c>
      <c r="G3631" s="2" t="s">
        <v>8505</v>
      </c>
      <c r="H3631" s="2" t="s">
        <v>1490</v>
      </c>
      <c r="I3631" s="2" t="s">
        <v>294</v>
      </c>
      <c r="J3631" s="3">
        <v>44562</v>
      </c>
      <c r="K3631" s="5">
        <f>YEAR(OrganizedData[[#This Row],[Order Date]])</f>
        <v>2022</v>
      </c>
      <c r="L3631" s="7" t="str">
        <f>TEXT(OrganizedData[[#This Row],[Order Date]],"mmm")</f>
        <v>Jan</v>
      </c>
      <c r="M3631" s="2">
        <v>68</v>
      </c>
      <c r="N3631" s="2" t="s">
        <v>39</v>
      </c>
      <c r="O3631" s="2" t="str">
        <f>VLOOKUP(OrganizedData[[#This Row],[Product Code]],ProductData[[Code]:[Item]],2,FALSE)</f>
        <v>Ultrathing V1</v>
      </c>
      <c r="P3631" s="4">
        <f>OrganizedData[[#This Row],[Quantity]]*VLOOKUP(OrganizedData[[#This Row],[Product Code]],ProductData[],4,FALSE)</f>
        <v>1156</v>
      </c>
      <c r="Q3631" s="6">
        <f>OrganizedData[[#This Row],[Total Items Ordered]]*VLOOKUP(OrganizedData[[#This Row],[Product Code]],ProductData[],3,FALSE)</f>
        <v>2069.2400000000002</v>
      </c>
      <c r="R36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3632" spans="1:18" x14ac:dyDescent="0.3">
      <c r="A3632" s="2">
        <v>3625</v>
      </c>
      <c r="B3632" s="2" t="s">
        <v>1946</v>
      </c>
      <c r="C3632" s="2" t="s">
        <v>1985</v>
      </c>
      <c r="D3632" s="2" t="s">
        <v>28</v>
      </c>
      <c r="E3632" s="2" t="s">
        <v>29</v>
      </c>
      <c r="F3632" s="2">
        <v>60</v>
      </c>
      <c r="G3632" s="2" t="s">
        <v>8506</v>
      </c>
      <c r="H3632" s="2" t="s">
        <v>6659</v>
      </c>
      <c r="I3632" s="2" t="s">
        <v>208</v>
      </c>
      <c r="J3632" s="3">
        <v>44896</v>
      </c>
      <c r="K3632" s="5">
        <f>YEAR(OrganizedData[[#This Row],[Order Date]])</f>
        <v>2022</v>
      </c>
      <c r="L3632" s="7" t="str">
        <f>TEXT(OrganizedData[[#This Row],[Order Date]],"mmm")</f>
        <v>Dec</v>
      </c>
      <c r="M3632" s="2">
        <v>29</v>
      </c>
      <c r="N3632" s="2" t="s">
        <v>101</v>
      </c>
      <c r="O3632" s="2" t="str">
        <f>VLOOKUP(OrganizedData[[#This Row],[Product Code]],ProductData[[Code]:[Item]],2,FALSE)</f>
        <v>Superwossname</v>
      </c>
      <c r="P3632" s="4">
        <f>OrganizedData[[#This Row],[Quantity]]*VLOOKUP(OrganizedData[[#This Row],[Product Code]],ProductData[],4,FALSE)</f>
        <v>580</v>
      </c>
      <c r="Q3632" s="6">
        <f>OrganizedData[[#This Row],[Total Items Ordered]]*VLOOKUP(OrganizedData[[#This Row],[Product Code]],ProductData[],3,FALSE)</f>
        <v>2024.2</v>
      </c>
      <c r="R36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3633" spans="1:18" x14ac:dyDescent="0.3">
      <c r="A3633" s="2">
        <v>3626</v>
      </c>
      <c r="B3633" s="2" t="s">
        <v>8507</v>
      </c>
      <c r="C3633" s="2" t="s">
        <v>3569</v>
      </c>
      <c r="D3633" s="2" t="s">
        <v>51</v>
      </c>
      <c r="E3633" s="2" t="s">
        <v>16</v>
      </c>
      <c r="F3633" s="2">
        <v>30</v>
      </c>
      <c r="G3633" s="2" t="s">
        <v>8508</v>
      </c>
      <c r="H3633" s="2" t="s">
        <v>4071</v>
      </c>
      <c r="I3633" s="2" t="s">
        <v>886</v>
      </c>
      <c r="J3633" s="3">
        <v>44381</v>
      </c>
      <c r="K3633" s="5">
        <f>YEAR(OrganizedData[[#This Row],[Order Date]])</f>
        <v>2021</v>
      </c>
      <c r="L3633" s="7" t="str">
        <f>TEXT(OrganizedData[[#This Row],[Order Date]],"mmm")</f>
        <v>Jul</v>
      </c>
      <c r="M3633" s="2">
        <v>8</v>
      </c>
      <c r="N3633" s="2" t="s">
        <v>101</v>
      </c>
      <c r="O3633" s="2" t="str">
        <f>VLOOKUP(OrganizedData[[#This Row],[Product Code]],ProductData[[Code]:[Item]],2,FALSE)</f>
        <v>Superwossname</v>
      </c>
      <c r="P3633" s="4">
        <f>OrganizedData[[#This Row],[Quantity]]*VLOOKUP(OrganizedData[[#This Row],[Product Code]],ProductData[],4,FALSE)</f>
        <v>160</v>
      </c>
      <c r="Q3633" s="6">
        <f>OrganizedData[[#This Row],[Total Items Ordered]]*VLOOKUP(OrganizedData[[#This Row],[Product Code]],ProductData[],3,FALSE)</f>
        <v>558.40000000000009</v>
      </c>
      <c r="R36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558.40000000000009</v>
      </c>
    </row>
    <row r="3634" spans="1:18" x14ac:dyDescent="0.3">
      <c r="A3634" s="2">
        <v>3627</v>
      </c>
      <c r="B3634" s="2" t="s">
        <v>7675</v>
      </c>
      <c r="C3634" s="2" t="s">
        <v>1798</v>
      </c>
      <c r="D3634" s="2" t="s">
        <v>51</v>
      </c>
      <c r="E3634" s="2" t="s">
        <v>16</v>
      </c>
      <c r="F3634" s="2">
        <v>90</v>
      </c>
      <c r="G3634" s="2" t="s">
        <v>8509</v>
      </c>
      <c r="H3634" s="2" t="s">
        <v>1173</v>
      </c>
      <c r="I3634" s="2" t="s">
        <v>32</v>
      </c>
      <c r="J3634" s="3">
        <v>44046</v>
      </c>
      <c r="K3634" s="5">
        <f>YEAR(OrganizedData[[#This Row],[Order Date]])</f>
        <v>2020</v>
      </c>
      <c r="L3634" s="7" t="str">
        <f>TEXT(OrganizedData[[#This Row],[Order Date]],"mmm")</f>
        <v>Aug</v>
      </c>
      <c r="M3634" s="2">
        <v>71</v>
      </c>
      <c r="N3634" s="2" t="s">
        <v>39</v>
      </c>
      <c r="O3634" s="2" t="str">
        <f>VLOOKUP(OrganizedData[[#This Row],[Product Code]],ProductData[[Code]:[Item]],2,FALSE)</f>
        <v>Ultrathing V1</v>
      </c>
      <c r="P3634" s="4">
        <f>OrganizedData[[#This Row],[Quantity]]*VLOOKUP(OrganizedData[[#This Row],[Product Code]],ProductData[],4,FALSE)</f>
        <v>1207</v>
      </c>
      <c r="Q3634" s="6">
        <f>OrganizedData[[#This Row],[Total Items Ordered]]*VLOOKUP(OrganizedData[[#This Row],[Product Code]],ProductData[],3,FALSE)</f>
        <v>2160.5300000000002</v>
      </c>
      <c r="R36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2052.5035000000003</v>
      </c>
    </row>
    <row r="3635" spans="1:18" x14ac:dyDescent="0.3">
      <c r="A3635" s="2">
        <v>3628</v>
      </c>
      <c r="B3635" s="2" t="s">
        <v>4808</v>
      </c>
      <c r="C3635" s="2" t="s">
        <v>1749</v>
      </c>
      <c r="D3635" s="2" t="s">
        <v>15</v>
      </c>
      <c r="E3635" s="2" t="s">
        <v>16</v>
      </c>
      <c r="F3635" s="2">
        <v>60</v>
      </c>
      <c r="G3635" s="2" t="s">
        <v>8510</v>
      </c>
      <c r="H3635" s="2" t="s">
        <v>1785</v>
      </c>
      <c r="I3635" s="2" t="s">
        <v>32</v>
      </c>
      <c r="J3635" s="3">
        <v>44566</v>
      </c>
      <c r="K3635" s="5">
        <f>YEAR(OrganizedData[[#This Row],[Order Date]])</f>
        <v>2022</v>
      </c>
      <c r="L3635" s="7" t="str">
        <f>TEXT(OrganizedData[[#This Row],[Order Date]],"mmm")</f>
        <v>Jan</v>
      </c>
      <c r="M3635" s="2">
        <v>54</v>
      </c>
      <c r="N3635" s="2" t="s">
        <v>39</v>
      </c>
      <c r="O3635" s="2" t="str">
        <f>VLOOKUP(OrganizedData[[#This Row],[Product Code]],ProductData[[Code]:[Item]],2,FALSE)</f>
        <v>Ultrathing V1</v>
      </c>
      <c r="P3635" s="4">
        <f>OrganizedData[[#This Row],[Quantity]]*VLOOKUP(OrganizedData[[#This Row],[Product Code]],ProductData[],4,FALSE)</f>
        <v>918</v>
      </c>
      <c r="Q3635" s="6">
        <f>OrganizedData[[#This Row],[Total Items Ordered]]*VLOOKUP(OrganizedData[[#This Row],[Product Code]],ProductData[],3,FALSE)</f>
        <v>1643.22</v>
      </c>
      <c r="R36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1561.059</v>
      </c>
    </row>
    <row r="3636" spans="1:18" x14ac:dyDescent="0.3">
      <c r="A3636" s="2">
        <v>3629</v>
      </c>
      <c r="B3636" s="2" t="s">
        <v>6967</v>
      </c>
      <c r="C3636" s="2" t="s">
        <v>4473</v>
      </c>
      <c r="D3636" s="2" t="s">
        <v>15</v>
      </c>
      <c r="E3636" s="2" t="s">
        <v>16</v>
      </c>
      <c r="F3636" s="2">
        <v>60</v>
      </c>
      <c r="G3636" s="2" t="s">
        <v>8511</v>
      </c>
      <c r="H3636" s="2" t="s">
        <v>8512</v>
      </c>
      <c r="I3636" s="2" t="s">
        <v>32</v>
      </c>
      <c r="J3636" s="3">
        <v>44279</v>
      </c>
      <c r="K3636" s="5">
        <f>YEAR(OrganizedData[[#This Row],[Order Date]])</f>
        <v>2021</v>
      </c>
      <c r="L3636" s="7" t="str">
        <f>TEXT(OrganizedData[[#This Row],[Order Date]],"mmm")</f>
        <v>Mar</v>
      </c>
      <c r="M3636" s="2">
        <v>78</v>
      </c>
      <c r="N3636" s="2" t="s">
        <v>64</v>
      </c>
      <c r="O3636" s="2" t="str">
        <f>VLOOKUP(OrganizedData[[#This Row],[Product Code]],ProductData[[Code]:[Item]],2,FALSE)</f>
        <v>Ultrathing V4</v>
      </c>
      <c r="P3636" s="4">
        <f>OrganizedData[[#This Row],[Quantity]]*VLOOKUP(OrganizedData[[#This Row],[Product Code]],ProductData[],4,FALSE)</f>
        <v>1872</v>
      </c>
      <c r="Q3636" s="6">
        <f>OrganizedData[[#This Row],[Total Items Ordered]]*VLOOKUP(OrganizedData[[#This Row],[Product Code]],ProductData[],3,FALSE)</f>
        <v>7469.2800000000007</v>
      </c>
      <c r="R36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3637" spans="1:18" x14ac:dyDescent="0.3">
      <c r="A3637" s="2">
        <v>3630</v>
      </c>
      <c r="B3637" s="2" t="s">
        <v>8513</v>
      </c>
      <c r="C3637" s="2" t="s">
        <v>8514</v>
      </c>
      <c r="D3637" s="2" t="s">
        <v>15</v>
      </c>
      <c r="E3637" s="2" t="s">
        <v>16</v>
      </c>
      <c r="F3637" s="2">
        <v>90</v>
      </c>
      <c r="G3637" s="2" t="s">
        <v>8515</v>
      </c>
      <c r="H3637" s="2" t="s">
        <v>2411</v>
      </c>
      <c r="I3637" s="2" t="s">
        <v>25</v>
      </c>
      <c r="J3637" s="3">
        <v>44127</v>
      </c>
      <c r="K3637" s="5">
        <f>YEAR(OrganizedData[[#This Row],[Order Date]])</f>
        <v>2020</v>
      </c>
      <c r="L3637" s="7" t="str">
        <f>TEXT(OrganizedData[[#This Row],[Order Date]],"mmm")</f>
        <v>Oct</v>
      </c>
      <c r="M3637" s="2">
        <v>8</v>
      </c>
      <c r="N3637" s="2" t="s">
        <v>70</v>
      </c>
      <c r="O3637" s="2" t="str">
        <f>VLOOKUP(OrganizedData[[#This Row],[Product Code]],ProductData[[Code]:[Item]],2,FALSE)</f>
        <v>Megawidget M</v>
      </c>
      <c r="P3637" s="4">
        <f>OrganizedData[[#This Row],[Quantity]]*VLOOKUP(OrganizedData[[#This Row],[Product Code]],ProductData[],4,FALSE)</f>
        <v>192</v>
      </c>
      <c r="Q3637" s="6">
        <f>OrganizedData[[#This Row],[Total Items Ordered]]*VLOOKUP(OrganizedData[[#This Row],[Product Code]],ProductData[],3,FALSE)</f>
        <v>247.68</v>
      </c>
      <c r="R36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247.68</v>
      </c>
    </row>
    <row r="3638" spans="1:18" x14ac:dyDescent="0.3">
      <c r="A3638" s="2">
        <v>3631</v>
      </c>
      <c r="B3638" s="2" t="s">
        <v>1207</v>
      </c>
      <c r="C3638" s="2" t="s">
        <v>7078</v>
      </c>
      <c r="D3638" s="2" t="s">
        <v>28</v>
      </c>
      <c r="E3638" s="2" t="s">
        <v>29</v>
      </c>
      <c r="F3638" s="2">
        <v>60</v>
      </c>
      <c r="G3638" s="2" t="s">
        <v>8516</v>
      </c>
      <c r="H3638" s="2" t="s">
        <v>2035</v>
      </c>
      <c r="I3638" s="2" t="s">
        <v>32</v>
      </c>
      <c r="J3638" s="3">
        <v>44298</v>
      </c>
      <c r="K3638" s="5">
        <f>YEAR(OrganizedData[[#This Row],[Order Date]])</f>
        <v>2021</v>
      </c>
      <c r="L3638" s="7" t="str">
        <f>TEXT(OrganizedData[[#This Row],[Order Date]],"mmm")</f>
        <v>Apr</v>
      </c>
      <c r="M3638" s="2">
        <v>19</v>
      </c>
      <c r="N3638" s="2" t="s">
        <v>39</v>
      </c>
      <c r="O3638" s="2" t="str">
        <f>VLOOKUP(OrganizedData[[#This Row],[Product Code]],ProductData[[Code]:[Item]],2,FALSE)</f>
        <v>Ultrathing V1</v>
      </c>
      <c r="P3638" s="4">
        <f>OrganizedData[[#This Row],[Quantity]]*VLOOKUP(OrganizedData[[#This Row],[Product Code]],ProductData[],4,FALSE)</f>
        <v>323</v>
      </c>
      <c r="Q3638" s="6">
        <f>OrganizedData[[#This Row],[Total Items Ordered]]*VLOOKUP(OrganizedData[[#This Row],[Product Code]],ProductData[],3,FALSE)</f>
        <v>578.16999999999996</v>
      </c>
      <c r="R36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578.16999999999996</v>
      </c>
    </row>
    <row r="3639" spans="1:18" x14ac:dyDescent="0.3">
      <c r="A3639" s="2">
        <v>3632</v>
      </c>
      <c r="B3639" s="2" t="s">
        <v>4072</v>
      </c>
      <c r="C3639" s="2" t="s">
        <v>1326</v>
      </c>
      <c r="D3639" s="2" t="s">
        <v>28</v>
      </c>
      <c r="E3639" s="2" t="s">
        <v>29</v>
      </c>
      <c r="F3639" s="2">
        <v>60</v>
      </c>
      <c r="G3639" s="2" t="s">
        <v>8517</v>
      </c>
      <c r="H3639" s="2" t="s">
        <v>6087</v>
      </c>
      <c r="I3639" s="2" t="s">
        <v>124</v>
      </c>
      <c r="J3639" s="3">
        <v>44522</v>
      </c>
      <c r="K3639" s="5">
        <f>YEAR(OrganizedData[[#This Row],[Order Date]])</f>
        <v>2021</v>
      </c>
      <c r="L3639" s="7" t="str">
        <f>TEXT(OrganizedData[[#This Row],[Order Date]],"mmm")</f>
        <v>Nov</v>
      </c>
      <c r="M3639" s="2">
        <v>56</v>
      </c>
      <c r="N3639" s="2" t="s">
        <v>159</v>
      </c>
      <c r="O3639" s="2" t="str">
        <f>VLOOKUP(OrganizedData[[#This Row],[Product Code]],ProductData[[Code]:[Item]],2,FALSE)</f>
        <v>Ultrathing V3</v>
      </c>
      <c r="P3639" s="4">
        <f>OrganizedData[[#This Row],[Quantity]]*VLOOKUP(OrganizedData[[#This Row],[Product Code]],ProductData[],4,FALSE)</f>
        <v>1344</v>
      </c>
      <c r="Q3639" s="6">
        <f>OrganizedData[[#This Row],[Total Items Ordered]]*VLOOKUP(OrganizedData[[#This Row],[Product Code]],ProductData[],3,FALSE)</f>
        <v>4556.16</v>
      </c>
      <c r="R36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4328.3519999999999</v>
      </c>
    </row>
    <row r="3640" spans="1:18" x14ac:dyDescent="0.3">
      <c r="A3640" s="2">
        <v>3633</v>
      </c>
      <c r="B3640" s="2" t="s">
        <v>6721</v>
      </c>
      <c r="C3640" s="2" t="s">
        <v>1532</v>
      </c>
      <c r="D3640" s="2" t="s">
        <v>15</v>
      </c>
      <c r="E3640" s="2" t="s">
        <v>16</v>
      </c>
      <c r="F3640" s="2">
        <v>90</v>
      </c>
      <c r="G3640" s="2" t="s">
        <v>8518</v>
      </c>
      <c r="H3640" s="2" t="s">
        <v>4320</v>
      </c>
      <c r="I3640" s="2" t="s">
        <v>240</v>
      </c>
      <c r="J3640" s="3">
        <v>44629</v>
      </c>
      <c r="K3640" s="5">
        <f>YEAR(OrganizedData[[#This Row],[Order Date]])</f>
        <v>2022</v>
      </c>
      <c r="L3640" s="7" t="str">
        <f>TEXT(OrganizedData[[#This Row],[Order Date]],"mmm")</f>
        <v>Mar</v>
      </c>
      <c r="M3640" s="2">
        <v>10</v>
      </c>
      <c r="N3640" s="2" t="s">
        <v>101</v>
      </c>
      <c r="O3640" s="2" t="str">
        <f>VLOOKUP(OrganizedData[[#This Row],[Product Code]],ProductData[[Code]:[Item]],2,FALSE)</f>
        <v>Superwossname</v>
      </c>
      <c r="P3640" s="4">
        <f>OrganizedData[[#This Row],[Quantity]]*VLOOKUP(OrganizedData[[#This Row],[Product Code]],ProductData[],4,FALSE)</f>
        <v>200</v>
      </c>
      <c r="Q3640" s="6">
        <f>OrganizedData[[#This Row],[Total Items Ordered]]*VLOOKUP(OrganizedData[[#This Row],[Product Code]],ProductData[],3,FALSE)</f>
        <v>698</v>
      </c>
      <c r="R36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698</v>
      </c>
    </row>
    <row r="3641" spans="1:18" x14ac:dyDescent="0.3">
      <c r="A3641" s="2">
        <v>3634</v>
      </c>
      <c r="B3641" s="2" t="s">
        <v>4363</v>
      </c>
      <c r="C3641" s="2" t="s">
        <v>2509</v>
      </c>
      <c r="D3641" s="2" t="s">
        <v>28</v>
      </c>
      <c r="E3641" s="2" t="s">
        <v>29</v>
      </c>
      <c r="F3641" s="2">
        <v>30</v>
      </c>
      <c r="G3641" s="2" t="s">
        <v>8519</v>
      </c>
      <c r="H3641" s="2" t="s">
        <v>7118</v>
      </c>
      <c r="I3641" s="2" t="s">
        <v>2022</v>
      </c>
      <c r="J3641" s="3">
        <v>43978</v>
      </c>
      <c r="K3641" s="5">
        <f>YEAR(OrganizedData[[#This Row],[Order Date]])</f>
        <v>2020</v>
      </c>
      <c r="L3641" s="7" t="str">
        <f>TEXT(OrganizedData[[#This Row],[Order Date]],"mmm")</f>
        <v>May</v>
      </c>
      <c r="M3641" s="2">
        <v>76</v>
      </c>
      <c r="N3641" s="2" t="s">
        <v>70</v>
      </c>
      <c r="O3641" s="2" t="str">
        <f>VLOOKUP(OrganizedData[[#This Row],[Product Code]],ProductData[[Code]:[Item]],2,FALSE)</f>
        <v>Megawidget M</v>
      </c>
      <c r="P3641" s="4">
        <f>OrganizedData[[#This Row],[Quantity]]*VLOOKUP(OrganizedData[[#This Row],[Product Code]],ProductData[],4,FALSE)</f>
        <v>1824</v>
      </c>
      <c r="Q3641" s="6">
        <f>OrganizedData[[#This Row],[Total Items Ordered]]*VLOOKUP(OrganizedData[[#This Row],[Product Code]],ProductData[],3,FALSE)</f>
        <v>2352.96</v>
      </c>
      <c r="R36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3642" spans="1:18" x14ac:dyDescent="0.3">
      <c r="A3642" s="2">
        <v>3635</v>
      </c>
      <c r="B3642" s="2" t="s">
        <v>7800</v>
      </c>
      <c r="C3642" s="2" t="s">
        <v>1390</v>
      </c>
      <c r="D3642" s="2" t="s">
        <v>15</v>
      </c>
      <c r="E3642" s="2" t="s">
        <v>16</v>
      </c>
      <c r="F3642" s="2">
        <v>60</v>
      </c>
      <c r="G3642" s="2" t="s">
        <v>8520</v>
      </c>
      <c r="H3642" s="2" t="s">
        <v>7480</v>
      </c>
      <c r="I3642" s="2" t="s">
        <v>129</v>
      </c>
      <c r="J3642" s="3">
        <v>43860</v>
      </c>
      <c r="K3642" s="5">
        <f>YEAR(OrganizedData[[#This Row],[Order Date]])</f>
        <v>2020</v>
      </c>
      <c r="L3642" s="7" t="str">
        <f>TEXT(OrganizedData[[#This Row],[Order Date]],"mmm")</f>
        <v>Jan</v>
      </c>
      <c r="M3642" s="2">
        <v>16</v>
      </c>
      <c r="N3642" s="2" t="s">
        <v>64</v>
      </c>
      <c r="O3642" s="2" t="str">
        <f>VLOOKUP(OrganizedData[[#This Row],[Product Code]],ProductData[[Code]:[Item]],2,FALSE)</f>
        <v>Ultrathing V4</v>
      </c>
      <c r="P3642" s="4">
        <f>OrganizedData[[#This Row],[Quantity]]*VLOOKUP(OrganizedData[[#This Row],[Product Code]],ProductData[],4,FALSE)</f>
        <v>384</v>
      </c>
      <c r="Q3642" s="6">
        <f>OrganizedData[[#This Row],[Total Items Ordered]]*VLOOKUP(OrganizedData[[#This Row],[Product Code]],ProductData[],3,FALSE)</f>
        <v>1532.16</v>
      </c>
      <c r="R36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3643" spans="1:18" x14ac:dyDescent="0.3">
      <c r="A3643" s="2">
        <v>3636</v>
      </c>
      <c r="B3643" s="2" t="s">
        <v>8521</v>
      </c>
      <c r="C3643" s="2" t="s">
        <v>748</v>
      </c>
      <c r="D3643" s="2" t="s">
        <v>15</v>
      </c>
      <c r="E3643" s="2" t="s">
        <v>16</v>
      </c>
      <c r="F3643" s="2">
        <v>30</v>
      </c>
      <c r="G3643" s="2" t="s">
        <v>8522</v>
      </c>
      <c r="H3643" s="2" t="s">
        <v>5957</v>
      </c>
      <c r="I3643" s="2" t="s">
        <v>187</v>
      </c>
      <c r="J3643" s="3">
        <v>44792</v>
      </c>
      <c r="K3643" s="5">
        <f>YEAR(OrganizedData[[#This Row],[Order Date]])</f>
        <v>2022</v>
      </c>
      <c r="L3643" s="7" t="str">
        <f>TEXT(OrganizedData[[#This Row],[Order Date]],"mmm")</f>
        <v>Aug</v>
      </c>
      <c r="M3643" s="2">
        <v>57</v>
      </c>
      <c r="N3643" s="2" t="s">
        <v>80</v>
      </c>
      <c r="O3643" s="2" t="str">
        <f>VLOOKUP(OrganizedData[[#This Row],[Product Code]],ProductData[[Code]:[Item]],2,FALSE)</f>
        <v>Ultrathing V2</v>
      </c>
      <c r="P3643" s="4">
        <f>OrganizedData[[#This Row],[Quantity]]*VLOOKUP(OrganizedData[[#This Row],[Product Code]],ProductData[],4,FALSE)</f>
        <v>1140</v>
      </c>
      <c r="Q3643" s="6">
        <f>OrganizedData[[#This Row],[Total Items Ordered]]*VLOOKUP(OrganizedData[[#This Row],[Product Code]],ProductData[],3,FALSE)</f>
        <v>3363</v>
      </c>
      <c r="R36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3194.85</v>
      </c>
    </row>
    <row r="3644" spans="1:18" x14ac:dyDescent="0.3">
      <c r="A3644" s="2">
        <v>3637</v>
      </c>
      <c r="B3644" s="2" t="s">
        <v>3209</v>
      </c>
      <c r="C3644" s="2" t="s">
        <v>1013</v>
      </c>
      <c r="D3644" s="2" t="s">
        <v>51</v>
      </c>
      <c r="E3644" s="2" t="s">
        <v>16</v>
      </c>
      <c r="F3644" s="2">
        <v>90</v>
      </c>
      <c r="G3644" s="2" t="s">
        <v>8523</v>
      </c>
      <c r="H3644" s="2" t="s">
        <v>1761</v>
      </c>
      <c r="I3644" s="2" t="s">
        <v>38</v>
      </c>
      <c r="J3644" s="3">
        <v>44166</v>
      </c>
      <c r="K3644" s="5">
        <f>YEAR(OrganizedData[[#This Row],[Order Date]])</f>
        <v>2020</v>
      </c>
      <c r="L3644" s="7" t="str">
        <f>TEXT(OrganizedData[[#This Row],[Order Date]],"mmm")</f>
        <v>Dec</v>
      </c>
      <c r="M3644" s="2">
        <v>53</v>
      </c>
      <c r="N3644" s="2" t="s">
        <v>33</v>
      </c>
      <c r="O3644" s="2" t="str">
        <f>VLOOKUP(OrganizedData[[#This Row],[Product Code]],ProductData[[Code]:[Item]],2,FALSE)</f>
        <v>Megawidget L</v>
      </c>
      <c r="P3644" s="4">
        <f>OrganizedData[[#This Row],[Quantity]]*VLOOKUP(OrganizedData[[#This Row],[Product Code]],ProductData[],4,FALSE)</f>
        <v>1272</v>
      </c>
      <c r="Q3644" s="6">
        <f>OrganizedData[[#This Row],[Total Items Ordered]]*VLOOKUP(OrganizedData[[#This Row],[Product Code]],ProductData[],3,FALSE)</f>
        <v>2276.88</v>
      </c>
      <c r="R36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2163.0360000000001</v>
      </c>
    </row>
    <row r="3645" spans="1:18" x14ac:dyDescent="0.3">
      <c r="A3645" s="2">
        <v>3638</v>
      </c>
      <c r="B3645" s="2" t="s">
        <v>7955</v>
      </c>
      <c r="C3645" s="2" t="s">
        <v>4173</v>
      </c>
      <c r="D3645" s="2" t="s">
        <v>28</v>
      </c>
      <c r="E3645" s="2" t="s">
        <v>29</v>
      </c>
      <c r="F3645" s="2">
        <v>90</v>
      </c>
      <c r="G3645" s="2" t="s">
        <v>8524</v>
      </c>
      <c r="H3645" s="2" t="s">
        <v>3446</v>
      </c>
      <c r="I3645" s="2" t="s">
        <v>32</v>
      </c>
      <c r="J3645" s="3">
        <v>43880</v>
      </c>
      <c r="K3645" s="5">
        <f>YEAR(OrganizedData[[#This Row],[Order Date]])</f>
        <v>2020</v>
      </c>
      <c r="L3645" s="7" t="str">
        <f>TEXT(OrganizedData[[#This Row],[Order Date]],"mmm")</f>
        <v>Feb</v>
      </c>
      <c r="M3645" s="2">
        <v>20</v>
      </c>
      <c r="N3645" s="2" t="s">
        <v>54</v>
      </c>
      <c r="O3645" s="2" t="str">
        <f>VLOOKUP(OrganizedData[[#This Row],[Product Code]],ProductData[[Code]:[Item]],2,FALSE)</f>
        <v>Megawidget S</v>
      </c>
      <c r="P3645" s="4">
        <f>OrganizedData[[#This Row],[Quantity]]*VLOOKUP(OrganizedData[[#This Row],[Product Code]],ProductData[],4,FALSE)</f>
        <v>480</v>
      </c>
      <c r="Q3645" s="6">
        <f>OrganizedData[[#This Row],[Total Items Ordered]]*VLOOKUP(OrganizedData[[#This Row],[Product Code]],ProductData[],3,FALSE)</f>
        <v>331.2</v>
      </c>
      <c r="R36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331.2</v>
      </c>
    </row>
    <row r="3646" spans="1:18" x14ac:dyDescent="0.3">
      <c r="A3646" s="2">
        <v>3639</v>
      </c>
      <c r="B3646" s="2" t="s">
        <v>1661</v>
      </c>
      <c r="C3646" s="2" t="s">
        <v>1496</v>
      </c>
      <c r="D3646" s="2" t="s">
        <v>621</v>
      </c>
      <c r="E3646" s="2" t="s">
        <v>29</v>
      </c>
      <c r="F3646" s="2">
        <v>60</v>
      </c>
      <c r="G3646" s="2" t="s">
        <v>8525</v>
      </c>
      <c r="H3646" s="2" t="s">
        <v>1915</v>
      </c>
      <c r="I3646" s="2" t="s">
        <v>19</v>
      </c>
      <c r="J3646" s="3">
        <v>43924</v>
      </c>
      <c r="K3646" s="5">
        <f>YEAR(OrganizedData[[#This Row],[Order Date]])</f>
        <v>2020</v>
      </c>
      <c r="L3646" s="7" t="str">
        <f>TEXT(OrganizedData[[#This Row],[Order Date]],"mmm")</f>
        <v>Apr</v>
      </c>
      <c r="M3646" s="2">
        <v>58</v>
      </c>
      <c r="N3646" s="2" t="s">
        <v>64</v>
      </c>
      <c r="O3646" s="2" t="str">
        <f>VLOOKUP(OrganizedData[[#This Row],[Product Code]],ProductData[[Code]:[Item]],2,FALSE)</f>
        <v>Ultrathing V4</v>
      </c>
      <c r="P3646" s="4">
        <f>OrganizedData[[#This Row],[Quantity]]*VLOOKUP(OrganizedData[[#This Row],[Product Code]],ProductData[],4,FALSE)</f>
        <v>1392</v>
      </c>
      <c r="Q3646" s="6">
        <f>OrganizedData[[#This Row],[Total Items Ordered]]*VLOOKUP(OrganizedData[[#This Row],[Product Code]],ProductData[],3,FALSE)</f>
        <v>5554.08</v>
      </c>
      <c r="R36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5276.3759999999993</v>
      </c>
    </row>
    <row r="3647" spans="1:18" x14ac:dyDescent="0.3">
      <c r="A3647" s="2">
        <v>3640</v>
      </c>
      <c r="B3647" s="2" t="s">
        <v>3880</v>
      </c>
      <c r="C3647" s="2" t="s">
        <v>755</v>
      </c>
      <c r="D3647" s="2" t="s">
        <v>28</v>
      </c>
      <c r="E3647" s="2" t="s">
        <v>29</v>
      </c>
      <c r="F3647" s="2">
        <v>90</v>
      </c>
      <c r="G3647" s="2" t="s">
        <v>8526</v>
      </c>
      <c r="H3647" s="2" t="s">
        <v>1643</v>
      </c>
      <c r="I3647" s="2" t="s">
        <v>124</v>
      </c>
      <c r="J3647" s="3">
        <v>43988</v>
      </c>
      <c r="K3647" s="5">
        <f>YEAR(OrganizedData[[#This Row],[Order Date]])</f>
        <v>2020</v>
      </c>
      <c r="L3647" s="7" t="str">
        <f>TEXT(OrganizedData[[#This Row],[Order Date]],"mmm")</f>
        <v>Jun</v>
      </c>
      <c r="M3647" s="2">
        <v>41</v>
      </c>
      <c r="N3647" s="2" t="s">
        <v>20</v>
      </c>
      <c r="O3647" s="2" t="str">
        <f>VLOOKUP(OrganizedData[[#This Row],[Product Code]],ProductData[[Code]:[Item]],2,FALSE)</f>
        <v>Hyperwotsit</v>
      </c>
      <c r="P3647" s="4">
        <f>OrganizedData[[#This Row],[Quantity]]*VLOOKUP(OrganizedData[[#This Row],[Product Code]],ProductData[],4,FALSE)</f>
        <v>820</v>
      </c>
      <c r="Q3647" s="6">
        <f>OrganizedData[[#This Row],[Total Items Ordered]]*VLOOKUP(OrganizedData[[#This Row],[Product Code]],ProductData[],3,FALSE)</f>
        <v>1648.1999999999998</v>
      </c>
      <c r="R36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1598.7539999999997</v>
      </c>
    </row>
    <row r="3648" spans="1:18" x14ac:dyDescent="0.3">
      <c r="A3648" s="2">
        <v>3641</v>
      </c>
      <c r="B3648" s="2" t="s">
        <v>8226</v>
      </c>
      <c r="C3648" s="2" t="s">
        <v>4512</v>
      </c>
      <c r="D3648" s="2" t="s">
        <v>15</v>
      </c>
      <c r="E3648" s="2" t="s">
        <v>16</v>
      </c>
      <c r="F3648" s="2">
        <v>60</v>
      </c>
      <c r="G3648" s="2" t="s">
        <v>8527</v>
      </c>
      <c r="H3648" s="2" t="s">
        <v>3002</v>
      </c>
      <c r="I3648" s="2" t="s">
        <v>32</v>
      </c>
      <c r="J3648" s="3">
        <v>44474</v>
      </c>
      <c r="K3648" s="5">
        <f>YEAR(OrganizedData[[#This Row],[Order Date]])</f>
        <v>2021</v>
      </c>
      <c r="L3648" s="7" t="str">
        <f>TEXT(OrganizedData[[#This Row],[Order Date]],"mmm")</f>
        <v>Oct</v>
      </c>
      <c r="M3648" s="2">
        <v>58</v>
      </c>
      <c r="N3648" s="2" t="s">
        <v>33</v>
      </c>
      <c r="O3648" s="2" t="str">
        <f>VLOOKUP(OrganizedData[[#This Row],[Product Code]],ProductData[[Code]:[Item]],2,FALSE)</f>
        <v>Megawidget L</v>
      </c>
      <c r="P3648" s="4">
        <f>OrganizedData[[#This Row],[Quantity]]*VLOOKUP(OrganizedData[[#This Row],[Product Code]],ProductData[],4,FALSE)</f>
        <v>1392</v>
      </c>
      <c r="Q3648" s="6">
        <f>OrganizedData[[#This Row],[Total Items Ordered]]*VLOOKUP(OrganizedData[[#This Row],[Product Code]],ProductData[],3,FALSE)</f>
        <v>2491.6799999999998</v>
      </c>
      <c r="R36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3649" spans="1:18" x14ac:dyDescent="0.3">
      <c r="A3649" s="2">
        <v>3642</v>
      </c>
      <c r="B3649" s="2" t="s">
        <v>8528</v>
      </c>
      <c r="C3649" s="2" t="s">
        <v>449</v>
      </c>
      <c r="D3649" s="2" t="s">
        <v>15</v>
      </c>
      <c r="E3649" s="2" t="s">
        <v>16</v>
      </c>
      <c r="F3649" s="2">
        <v>30</v>
      </c>
      <c r="G3649" s="2" t="s">
        <v>8529</v>
      </c>
      <c r="H3649" s="2" t="s">
        <v>8110</v>
      </c>
      <c r="I3649" s="2" t="s">
        <v>173</v>
      </c>
      <c r="J3649" s="3">
        <v>43940</v>
      </c>
      <c r="K3649" s="5">
        <f>YEAR(OrganizedData[[#This Row],[Order Date]])</f>
        <v>2020</v>
      </c>
      <c r="L3649" s="7" t="str">
        <f>TEXT(OrganizedData[[#This Row],[Order Date]],"mmm")</f>
        <v>Apr</v>
      </c>
      <c r="M3649" s="2">
        <v>69</v>
      </c>
      <c r="N3649" s="2" t="s">
        <v>39</v>
      </c>
      <c r="O3649" s="2" t="str">
        <f>VLOOKUP(OrganizedData[[#This Row],[Product Code]],ProductData[[Code]:[Item]],2,FALSE)</f>
        <v>Ultrathing V1</v>
      </c>
      <c r="P3649" s="4">
        <f>OrganizedData[[#This Row],[Quantity]]*VLOOKUP(OrganizedData[[#This Row],[Product Code]],ProductData[],4,FALSE)</f>
        <v>1173</v>
      </c>
      <c r="Q3649" s="6">
        <f>OrganizedData[[#This Row],[Total Items Ordered]]*VLOOKUP(OrganizedData[[#This Row],[Product Code]],ProductData[],3,FALSE)</f>
        <v>2099.67</v>
      </c>
      <c r="R36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3650" spans="1:18" x14ac:dyDescent="0.3">
      <c r="A3650" s="2">
        <v>3643</v>
      </c>
      <c r="B3650" s="2" t="s">
        <v>7787</v>
      </c>
      <c r="C3650" s="2" t="s">
        <v>4131</v>
      </c>
      <c r="D3650" s="2" t="s">
        <v>51</v>
      </c>
      <c r="E3650" s="2" t="s">
        <v>16</v>
      </c>
      <c r="F3650" s="2">
        <v>60</v>
      </c>
      <c r="G3650" s="2" t="s">
        <v>8529</v>
      </c>
      <c r="H3650" s="2" t="s">
        <v>2121</v>
      </c>
      <c r="I3650" s="2" t="s">
        <v>38</v>
      </c>
      <c r="J3650" s="3">
        <v>44063</v>
      </c>
      <c r="K3650" s="5">
        <f>YEAR(OrganizedData[[#This Row],[Order Date]])</f>
        <v>2020</v>
      </c>
      <c r="L3650" s="7" t="str">
        <f>TEXT(OrganizedData[[#This Row],[Order Date]],"mmm")</f>
        <v>Aug</v>
      </c>
      <c r="M3650" s="2">
        <v>37</v>
      </c>
      <c r="N3650" s="2" t="s">
        <v>39</v>
      </c>
      <c r="O3650" s="2" t="str">
        <f>VLOOKUP(OrganizedData[[#This Row],[Product Code]],ProductData[[Code]:[Item]],2,FALSE)</f>
        <v>Ultrathing V1</v>
      </c>
      <c r="P3650" s="4">
        <f>OrganizedData[[#This Row],[Quantity]]*VLOOKUP(OrganizedData[[#This Row],[Product Code]],ProductData[],4,FALSE)</f>
        <v>629</v>
      </c>
      <c r="Q3650" s="6">
        <f>OrganizedData[[#This Row],[Total Items Ordered]]*VLOOKUP(OrganizedData[[#This Row],[Product Code]],ProductData[],3,FALSE)</f>
        <v>1125.9100000000001</v>
      </c>
      <c r="R36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1092.1327000000001</v>
      </c>
    </row>
    <row r="3651" spans="1:18" x14ac:dyDescent="0.3">
      <c r="A3651" s="2">
        <v>3644</v>
      </c>
      <c r="B3651" s="2" t="s">
        <v>6328</v>
      </c>
      <c r="C3651" s="2" t="s">
        <v>138</v>
      </c>
      <c r="D3651" s="2" t="s">
        <v>28</v>
      </c>
      <c r="E3651" s="2" t="s">
        <v>29</v>
      </c>
      <c r="F3651" s="2">
        <v>30</v>
      </c>
      <c r="G3651" s="2" t="s">
        <v>8529</v>
      </c>
      <c r="H3651" s="2" t="s">
        <v>1537</v>
      </c>
      <c r="I3651" s="2" t="s">
        <v>294</v>
      </c>
      <c r="J3651" s="3">
        <v>43952</v>
      </c>
      <c r="K3651" s="5">
        <f>YEAR(OrganizedData[[#This Row],[Order Date]])</f>
        <v>2020</v>
      </c>
      <c r="L3651" s="7" t="str">
        <f>TEXT(OrganizedData[[#This Row],[Order Date]],"mmm")</f>
        <v>May</v>
      </c>
      <c r="M3651" s="2">
        <v>75</v>
      </c>
      <c r="N3651" s="2" t="s">
        <v>159</v>
      </c>
      <c r="O3651" s="2" t="str">
        <f>VLOOKUP(OrganizedData[[#This Row],[Product Code]],ProductData[[Code]:[Item]],2,FALSE)</f>
        <v>Ultrathing V3</v>
      </c>
      <c r="P3651" s="4">
        <f>OrganizedData[[#This Row],[Quantity]]*VLOOKUP(OrganizedData[[#This Row],[Product Code]],ProductData[],4,FALSE)</f>
        <v>1800</v>
      </c>
      <c r="Q3651" s="6">
        <f>OrganizedData[[#This Row],[Total Items Ordered]]*VLOOKUP(OrganizedData[[#This Row],[Product Code]],ProductData[],3,FALSE)</f>
        <v>6102</v>
      </c>
      <c r="R36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3652" spans="1:18" x14ac:dyDescent="0.3">
      <c r="A3652" s="2">
        <v>3645</v>
      </c>
      <c r="B3652" s="2" t="s">
        <v>5749</v>
      </c>
      <c r="C3652" s="2" t="s">
        <v>3419</v>
      </c>
      <c r="D3652" s="2" t="s">
        <v>28</v>
      </c>
      <c r="E3652" s="2" t="s">
        <v>29</v>
      </c>
      <c r="F3652" s="2">
        <v>60</v>
      </c>
      <c r="G3652" s="2" t="s">
        <v>8530</v>
      </c>
      <c r="H3652" s="2" t="s">
        <v>4678</v>
      </c>
      <c r="I3652" s="2" t="s">
        <v>886</v>
      </c>
      <c r="J3652" s="3">
        <v>44458</v>
      </c>
      <c r="K3652" s="5">
        <f>YEAR(OrganizedData[[#This Row],[Order Date]])</f>
        <v>2021</v>
      </c>
      <c r="L3652" s="7" t="str">
        <f>TEXT(OrganizedData[[#This Row],[Order Date]],"mmm")</f>
        <v>Sep</v>
      </c>
      <c r="M3652" s="2">
        <v>18</v>
      </c>
      <c r="N3652" s="2" t="s">
        <v>101</v>
      </c>
      <c r="O3652" s="2" t="str">
        <f>VLOOKUP(OrganizedData[[#This Row],[Product Code]],ProductData[[Code]:[Item]],2,FALSE)</f>
        <v>Superwossname</v>
      </c>
      <c r="P3652" s="4">
        <f>OrganizedData[[#This Row],[Quantity]]*VLOOKUP(OrganizedData[[#This Row],[Product Code]],ProductData[],4,FALSE)</f>
        <v>360</v>
      </c>
      <c r="Q3652" s="6">
        <f>OrganizedData[[#This Row],[Total Items Ordered]]*VLOOKUP(OrganizedData[[#This Row],[Product Code]],ProductData[],3,FALSE)</f>
        <v>1256.4000000000001</v>
      </c>
      <c r="R36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3653" spans="1:18" x14ac:dyDescent="0.3">
      <c r="A3653" s="2">
        <v>3646</v>
      </c>
      <c r="B3653" s="2" t="s">
        <v>8531</v>
      </c>
      <c r="C3653" s="2" t="s">
        <v>2942</v>
      </c>
      <c r="D3653" s="2" t="s">
        <v>28</v>
      </c>
      <c r="E3653" s="2" t="s">
        <v>29</v>
      </c>
      <c r="F3653" s="2">
        <v>30</v>
      </c>
      <c r="G3653" s="2" t="s">
        <v>8532</v>
      </c>
      <c r="H3653" s="2" t="s">
        <v>864</v>
      </c>
      <c r="I3653" s="2" t="s">
        <v>19</v>
      </c>
      <c r="J3653" s="3">
        <v>44808</v>
      </c>
      <c r="K3653" s="5">
        <f>YEAR(OrganizedData[[#This Row],[Order Date]])</f>
        <v>2022</v>
      </c>
      <c r="L3653" s="7" t="str">
        <f>TEXT(OrganizedData[[#This Row],[Order Date]],"mmm")</f>
        <v>Sep</v>
      </c>
      <c r="M3653" s="2">
        <v>8</v>
      </c>
      <c r="N3653" s="2" t="s">
        <v>70</v>
      </c>
      <c r="O3653" s="2" t="str">
        <f>VLOOKUP(OrganizedData[[#This Row],[Product Code]],ProductData[[Code]:[Item]],2,FALSE)</f>
        <v>Megawidget M</v>
      </c>
      <c r="P3653" s="4">
        <f>OrganizedData[[#This Row],[Quantity]]*VLOOKUP(OrganizedData[[#This Row],[Product Code]],ProductData[],4,FALSE)</f>
        <v>192</v>
      </c>
      <c r="Q3653" s="6">
        <f>OrganizedData[[#This Row],[Total Items Ordered]]*VLOOKUP(OrganizedData[[#This Row],[Product Code]],ProductData[],3,FALSE)</f>
        <v>247.68</v>
      </c>
      <c r="R36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247.68</v>
      </c>
    </row>
    <row r="3654" spans="1:18" x14ac:dyDescent="0.3">
      <c r="A3654" s="2">
        <v>3647</v>
      </c>
      <c r="B3654" s="2" t="s">
        <v>6721</v>
      </c>
      <c r="C3654" s="2" t="s">
        <v>4469</v>
      </c>
      <c r="D3654" s="2" t="s">
        <v>15</v>
      </c>
      <c r="E3654" s="2" t="s">
        <v>16</v>
      </c>
      <c r="F3654" s="2">
        <v>60</v>
      </c>
      <c r="G3654" s="2" t="s">
        <v>8535</v>
      </c>
      <c r="H3654" s="2" t="s">
        <v>8534</v>
      </c>
      <c r="I3654" s="2" t="s">
        <v>294</v>
      </c>
      <c r="J3654" s="3">
        <v>44018</v>
      </c>
      <c r="K3654" s="5">
        <f>YEAR(OrganizedData[[#This Row],[Order Date]])</f>
        <v>2020</v>
      </c>
      <c r="L3654" s="7" t="str">
        <f>TEXT(OrganizedData[[#This Row],[Order Date]],"mmm")</f>
        <v>Jul</v>
      </c>
      <c r="M3654" s="2">
        <v>43</v>
      </c>
      <c r="N3654" s="2" t="s">
        <v>159</v>
      </c>
      <c r="O3654" s="2" t="str">
        <f>VLOOKUP(OrganizedData[[#This Row],[Product Code]],ProductData[[Code]:[Item]],2,FALSE)</f>
        <v>Ultrathing V3</v>
      </c>
      <c r="P3654" s="4">
        <f>OrganizedData[[#This Row],[Quantity]]*VLOOKUP(OrganizedData[[#This Row],[Product Code]],ProductData[],4,FALSE)</f>
        <v>1032</v>
      </c>
      <c r="Q3654" s="6">
        <f>OrganizedData[[#This Row],[Total Items Ordered]]*VLOOKUP(OrganizedData[[#This Row],[Product Code]],ProductData[],3,FALSE)</f>
        <v>3498.48</v>
      </c>
      <c r="R36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3655" spans="1:18" x14ac:dyDescent="0.3">
      <c r="A3655" s="2">
        <v>3648</v>
      </c>
      <c r="B3655" s="2" t="s">
        <v>5567</v>
      </c>
      <c r="C3655" s="2" t="s">
        <v>7073</v>
      </c>
      <c r="D3655" s="2" t="s">
        <v>28</v>
      </c>
      <c r="E3655" s="2" t="s">
        <v>29</v>
      </c>
      <c r="F3655" s="2">
        <v>60</v>
      </c>
      <c r="G3655" s="2" t="s">
        <v>8535</v>
      </c>
      <c r="H3655" s="2" t="s">
        <v>3695</v>
      </c>
      <c r="I3655" s="2" t="s">
        <v>173</v>
      </c>
      <c r="J3655" s="3">
        <v>43838</v>
      </c>
      <c r="K3655" s="5">
        <f>YEAR(OrganizedData[[#This Row],[Order Date]])</f>
        <v>2020</v>
      </c>
      <c r="L3655" s="7" t="str">
        <f>TEXT(OrganizedData[[#This Row],[Order Date]],"mmm")</f>
        <v>Jan</v>
      </c>
      <c r="M3655" s="2">
        <v>47</v>
      </c>
      <c r="N3655" s="2" t="s">
        <v>33</v>
      </c>
      <c r="O3655" s="2" t="str">
        <f>VLOOKUP(OrganizedData[[#This Row],[Product Code]],ProductData[[Code]:[Item]],2,FALSE)</f>
        <v>Megawidget L</v>
      </c>
      <c r="P3655" s="4">
        <f>OrganizedData[[#This Row],[Quantity]]*VLOOKUP(OrganizedData[[#This Row],[Product Code]],ProductData[],4,FALSE)</f>
        <v>1128</v>
      </c>
      <c r="Q3655" s="6">
        <f>OrganizedData[[#This Row],[Total Items Ordered]]*VLOOKUP(OrganizedData[[#This Row],[Product Code]],ProductData[],3,FALSE)</f>
        <v>2019.1200000000001</v>
      </c>
      <c r="R36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3656" spans="1:18" x14ac:dyDescent="0.3">
      <c r="A3656" s="2">
        <v>3649</v>
      </c>
      <c r="B3656" s="2" t="s">
        <v>3101</v>
      </c>
      <c r="C3656" s="2" t="s">
        <v>6139</v>
      </c>
      <c r="D3656" s="2" t="s">
        <v>28</v>
      </c>
      <c r="E3656" s="2" t="s">
        <v>29</v>
      </c>
      <c r="F3656" s="2">
        <v>30</v>
      </c>
      <c r="G3656" s="2" t="s">
        <v>8536</v>
      </c>
      <c r="H3656" s="2" t="s">
        <v>6621</v>
      </c>
      <c r="I3656" s="2" t="s">
        <v>38</v>
      </c>
      <c r="J3656" s="3">
        <v>44851</v>
      </c>
      <c r="K3656" s="5">
        <f>YEAR(OrganizedData[[#This Row],[Order Date]])</f>
        <v>2022</v>
      </c>
      <c r="L3656" s="7" t="str">
        <f>TEXT(OrganizedData[[#This Row],[Order Date]],"mmm")</f>
        <v>Oct</v>
      </c>
      <c r="M3656" s="2">
        <v>3</v>
      </c>
      <c r="N3656" s="2" t="s">
        <v>33</v>
      </c>
      <c r="O3656" s="2" t="str">
        <f>VLOOKUP(OrganizedData[[#This Row],[Product Code]],ProductData[[Code]:[Item]],2,FALSE)</f>
        <v>Megawidget L</v>
      </c>
      <c r="P3656" s="4">
        <f>OrganizedData[[#This Row],[Quantity]]*VLOOKUP(OrganizedData[[#This Row],[Product Code]],ProductData[],4,FALSE)</f>
        <v>72</v>
      </c>
      <c r="Q3656" s="6">
        <f>OrganizedData[[#This Row],[Total Items Ordered]]*VLOOKUP(OrganizedData[[#This Row],[Product Code]],ProductData[],3,FALSE)</f>
        <v>128.88</v>
      </c>
      <c r="R36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128.88</v>
      </c>
    </row>
    <row r="3657" spans="1:18" x14ac:dyDescent="0.3">
      <c r="A3657" s="2">
        <v>3650</v>
      </c>
      <c r="B3657" s="2" t="s">
        <v>7176</v>
      </c>
      <c r="C3657" s="2" t="s">
        <v>4583</v>
      </c>
      <c r="D3657" s="2" t="s">
        <v>28</v>
      </c>
      <c r="E3657" s="2" t="s">
        <v>29</v>
      </c>
      <c r="F3657" s="2">
        <v>60</v>
      </c>
      <c r="G3657" s="2" t="s">
        <v>8537</v>
      </c>
      <c r="H3657" s="2" t="s">
        <v>710</v>
      </c>
      <c r="I3657" s="2" t="s">
        <v>187</v>
      </c>
      <c r="J3657" s="3">
        <v>44913</v>
      </c>
      <c r="K3657" s="5">
        <f>YEAR(OrganizedData[[#This Row],[Order Date]])</f>
        <v>2022</v>
      </c>
      <c r="L3657" s="7" t="str">
        <f>TEXT(OrganizedData[[#This Row],[Order Date]],"mmm")</f>
        <v>Dec</v>
      </c>
      <c r="M3657" s="2">
        <v>62</v>
      </c>
      <c r="N3657" s="2" t="s">
        <v>159</v>
      </c>
      <c r="O3657" s="2" t="str">
        <f>VLOOKUP(OrganizedData[[#This Row],[Product Code]],ProductData[[Code]:[Item]],2,FALSE)</f>
        <v>Ultrathing V3</v>
      </c>
      <c r="P3657" s="4">
        <f>OrganizedData[[#This Row],[Quantity]]*VLOOKUP(OrganizedData[[#This Row],[Product Code]],ProductData[],4,FALSE)</f>
        <v>1488</v>
      </c>
      <c r="Q3657" s="6">
        <f>OrganizedData[[#This Row],[Total Items Ordered]]*VLOOKUP(OrganizedData[[#This Row],[Product Code]],ProductData[],3,FALSE)</f>
        <v>5044.3200000000006</v>
      </c>
      <c r="R36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4792.1040000000003</v>
      </c>
    </row>
    <row r="3658" spans="1:18" x14ac:dyDescent="0.3">
      <c r="A3658" s="2">
        <v>3651</v>
      </c>
      <c r="B3658" s="2" t="s">
        <v>1170</v>
      </c>
      <c r="C3658" s="2" t="s">
        <v>5428</v>
      </c>
      <c r="D3658" s="2" t="s">
        <v>28</v>
      </c>
      <c r="E3658" s="2" t="s">
        <v>29</v>
      </c>
      <c r="F3658" s="2">
        <v>60</v>
      </c>
      <c r="G3658" s="2" t="s">
        <v>8538</v>
      </c>
      <c r="H3658" s="2" t="s">
        <v>378</v>
      </c>
      <c r="I3658" s="2" t="s">
        <v>146</v>
      </c>
      <c r="J3658" s="3">
        <v>44316</v>
      </c>
      <c r="K3658" s="5">
        <f>YEAR(OrganizedData[[#This Row],[Order Date]])</f>
        <v>2021</v>
      </c>
      <c r="L3658" s="7" t="str">
        <f>TEXT(OrganizedData[[#This Row],[Order Date]],"mmm")</f>
        <v>Apr</v>
      </c>
      <c r="M3658" s="2">
        <v>58</v>
      </c>
      <c r="N3658" s="2" t="s">
        <v>20</v>
      </c>
      <c r="O3658" s="2" t="str">
        <f>VLOOKUP(OrganizedData[[#This Row],[Product Code]],ProductData[[Code]:[Item]],2,FALSE)</f>
        <v>Hyperwotsit</v>
      </c>
      <c r="P3658" s="4">
        <f>OrganizedData[[#This Row],[Quantity]]*VLOOKUP(OrganizedData[[#This Row],[Product Code]],ProductData[],4,FALSE)</f>
        <v>1160</v>
      </c>
      <c r="Q3658" s="6">
        <f>OrganizedData[[#This Row],[Total Items Ordered]]*VLOOKUP(OrganizedData[[#This Row],[Product Code]],ProductData[],3,FALSE)</f>
        <v>2331.6</v>
      </c>
      <c r="R36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2215.02</v>
      </c>
    </row>
    <row r="3659" spans="1:18" x14ac:dyDescent="0.3">
      <c r="A3659" s="2">
        <v>3652</v>
      </c>
      <c r="B3659" s="2" t="s">
        <v>8539</v>
      </c>
      <c r="C3659" s="2" t="s">
        <v>4998</v>
      </c>
      <c r="D3659" s="2" t="s">
        <v>15</v>
      </c>
      <c r="E3659" s="2" t="s">
        <v>16</v>
      </c>
      <c r="F3659" s="2">
        <v>90</v>
      </c>
      <c r="G3659" s="2" t="s">
        <v>8540</v>
      </c>
      <c r="H3659" s="2" t="s">
        <v>1719</v>
      </c>
      <c r="I3659" s="2" t="s">
        <v>38</v>
      </c>
      <c r="J3659" s="3">
        <v>44378</v>
      </c>
      <c r="K3659" s="5">
        <f>YEAR(OrganizedData[[#This Row],[Order Date]])</f>
        <v>2021</v>
      </c>
      <c r="L3659" s="7" t="str">
        <f>TEXT(OrganizedData[[#This Row],[Order Date]],"mmm")</f>
        <v>Jul</v>
      </c>
      <c r="M3659" s="2">
        <v>5</v>
      </c>
      <c r="N3659" s="2" t="s">
        <v>45</v>
      </c>
      <c r="O3659" s="2" t="str">
        <f>VLOOKUP(OrganizedData[[#This Row],[Product Code]],ProductData[[Code]:[Item]],2,FALSE)</f>
        <v>Gigastuff</v>
      </c>
      <c r="P3659" s="4">
        <f>OrganizedData[[#This Row],[Quantity]]*VLOOKUP(OrganizedData[[#This Row],[Product Code]],ProductData[],4,FALSE)</f>
        <v>90</v>
      </c>
      <c r="Q3659" s="6">
        <f>OrganizedData[[#This Row],[Total Items Ordered]]*VLOOKUP(OrganizedData[[#This Row],[Product Code]],ProductData[],3,FALSE)</f>
        <v>170.1</v>
      </c>
      <c r="R36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3660" spans="1:18" x14ac:dyDescent="0.3">
      <c r="A3660" s="2">
        <v>3653</v>
      </c>
      <c r="B3660" s="2" t="s">
        <v>7827</v>
      </c>
      <c r="C3660" s="2" t="s">
        <v>1259</v>
      </c>
      <c r="D3660" s="2" t="s">
        <v>15</v>
      </c>
      <c r="E3660" s="2" t="s">
        <v>16</v>
      </c>
      <c r="F3660" s="2">
        <v>90</v>
      </c>
      <c r="G3660" s="2" t="s">
        <v>8540</v>
      </c>
      <c r="H3660" s="2" t="s">
        <v>734</v>
      </c>
      <c r="I3660" s="2" t="s">
        <v>32</v>
      </c>
      <c r="J3660" s="3">
        <v>44656</v>
      </c>
      <c r="K3660" s="5">
        <f>YEAR(OrganizedData[[#This Row],[Order Date]])</f>
        <v>2022</v>
      </c>
      <c r="L3660" s="7" t="str">
        <f>TEXT(OrganizedData[[#This Row],[Order Date]],"mmm")</f>
        <v>Apr</v>
      </c>
      <c r="M3660" s="2">
        <v>36</v>
      </c>
      <c r="N3660" s="2" t="s">
        <v>101</v>
      </c>
      <c r="O3660" s="2" t="str">
        <f>VLOOKUP(OrganizedData[[#This Row],[Product Code]],ProductData[[Code]:[Item]],2,FALSE)</f>
        <v>Superwossname</v>
      </c>
      <c r="P3660" s="4">
        <f>OrganizedData[[#This Row],[Quantity]]*VLOOKUP(OrganizedData[[#This Row],[Product Code]],ProductData[],4,FALSE)</f>
        <v>720</v>
      </c>
      <c r="Q3660" s="6">
        <f>OrganizedData[[#This Row],[Total Items Ordered]]*VLOOKUP(OrganizedData[[#This Row],[Product Code]],ProductData[],3,FALSE)</f>
        <v>2512.8000000000002</v>
      </c>
      <c r="R36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2437.4160000000002</v>
      </c>
    </row>
    <row r="3661" spans="1:18" x14ac:dyDescent="0.3">
      <c r="A3661" s="2">
        <v>3654</v>
      </c>
      <c r="B3661" s="2" t="s">
        <v>3216</v>
      </c>
      <c r="C3661" s="2" t="s">
        <v>4037</v>
      </c>
      <c r="D3661" s="2" t="s">
        <v>28</v>
      </c>
      <c r="E3661" s="2" t="s">
        <v>29</v>
      </c>
      <c r="F3661" s="2">
        <v>60</v>
      </c>
      <c r="G3661" s="2" t="s">
        <v>8541</v>
      </c>
      <c r="H3661" s="2" t="s">
        <v>1754</v>
      </c>
      <c r="I3661" s="2" t="s">
        <v>25</v>
      </c>
      <c r="J3661" s="3">
        <v>44299</v>
      </c>
      <c r="K3661" s="5">
        <f>YEAR(OrganizedData[[#This Row],[Order Date]])</f>
        <v>2021</v>
      </c>
      <c r="L3661" s="7" t="str">
        <f>TEXT(OrganizedData[[#This Row],[Order Date]],"mmm")</f>
        <v>Apr</v>
      </c>
      <c r="M3661" s="2">
        <v>65</v>
      </c>
      <c r="N3661" s="2" t="s">
        <v>54</v>
      </c>
      <c r="O3661" s="2" t="str">
        <f>VLOOKUP(OrganizedData[[#This Row],[Product Code]],ProductData[[Code]:[Item]],2,FALSE)</f>
        <v>Megawidget S</v>
      </c>
      <c r="P3661" s="4">
        <f>OrganizedData[[#This Row],[Quantity]]*VLOOKUP(OrganizedData[[#This Row],[Product Code]],ProductData[],4,FALSE)</f>
        <v>1560</v>
      </c>
      <c r="Q3661" s="6">
        <f>OrganizedData[[#This Row],[Total Items Ordered]]*VLOOKUP(OrganizedData[[#This Row],[Product Code]],ProductData[],3,FALSE)</f>
        <v>1076.3999999999999</v>
      </c>
      <c r="R36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3662" spans="1:18" x14ac:dyDescent="0.3">
      <c r="A3662" s="2">
        <v>3655</v>
      </c>
      <c r="B3662" s="2" t="s">
        <v>8542</v>
      </c>
      <c r="C3662" s="2" t="s">
        <v>946</v>
      </c>
      <c r="D3662" s="2" t="s">
        <v>51</v>
      </c>
      <c r="E3662" s="2" t="s">
        <v>16</v>
      </c>
      <c r="F3662" s="2">
        <v>60</v>
      </c>
      <c r="G3662" s="2" t="s">
        <v>8543</v>
      </c>
      <c r="H3662" s="2" t="s">
        <v>8028</v>
      </c>
      <c r="I3662" s="2" t="s">
        <v>294</v>
      </c>
      <c r="J3662" s="3">
        <v>44172</v>
      </c>
      <c r="K3662" s="5">
        <f>YEAR(OrganizedData[[#This Row],[Order Date]])</f>
        <v>2020</v>
      </c>
      <c r="L3662" s="7" t="str">
        <f>TEXT(OrganizedData[[#This Row],[Order Date]],"mmm")</f>
        <v>Dec</v>
      </c>
      <c r="M3662" s="2">
        <v>44</v>
      </c>
      <c r="N3662" s="2" t="s">
        <v>39</v>
      </c>
      <c r="O3662" s="2" t="str">
        <f>VLOOKUP(OrganizedData[[#This Row],[Product Code]],ProductData[[Code]:[Item]],2,FALSE)</f>
        <v>Ultrathing V1</v>
      </c>
      <c r="P3662" s="4">
        <f>OrganizedData[[#This Row],[Quantity]]*VLOOKUP(OrganizedData[[#This Row],[Product Code]],ProductData[],4,FALSE)</f>
        <v>748</v>
      </c>
      <c r="Q3662" s="6">
        <f>OrganizedData[[#This Row],[Total Items Ordered]]*VLOOKUP(OrganizedData[[#This Row],[Product Code]],ProductData[],3,FALSE)</f>
        <v>1338.92</v>
      </c>
      <c r="R36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3663" spans="1:18" x14ac:dyDescent="0.3">
      <c r="A3663" s="2">
        <v>3656</v>
      </c>
      <c r="B3663" s="2" t="s">
        <v>3374</v>
      </c>
      <c r="C3663" s="2" t="s">
        <v>8544</v>
      </c>
      <c r="D3663" s="2" t="s">
        <v>15</v>
      </c>
      <c r="E3663" s="2" t="s">
        <v>16</v>
      </c>
      <c r="F3663" s="2">
        <v>30</v>
      </c>
      <c r="G3663" s="2" t="s">
        <v>8545</v>
      </c>
      <c r="H3663" s="2" t="s">
        <v>128</v>
      </c>
      <c r="I3663" s="2" t="s">
        <v>129</v>
      </c>
      <c r="J3663" s="3">
        <v>44867</v>
      </c>
      <c r="K3663" s="5">
        <f>YEAR(OrganizedData[[#This Row],[Order Date]])</f>
        <v>2022</v>
      </c>
      <c r="L3663" s="7" t="str">
        <f>TEXT(OrganizedData[[#This Row],[Order Date]],"mmm")</f>
        <v>Nov</v>
      </c>
      <c r="M3663" s="2">
        <v>63</v>
      </c>
      <c r="N3663" s="2" t="s">
        <v>20</v>
      </c>
      <c r="O3663" s="2" t="str">
        <f>VLOOKUP(OrganizedData[[#This Row],[Product Code]],ProductData[[Code]:[Item]],2,FALSE)</f>
        <v>Hyperwotsit</v>
      </c>
      <c r="P3663" s="4">
        <f>OrganizedData[[#This Row],[Quantity]]*VLOOKUP(OrganizedData[[#This Row],[Product Code]],ProductData[],4,FALSE)</f>
        <v>1260</v>
      </c>
      <c r="Q3663" s="6">
        <f>OrganizedData[[#This Row],[Total Items Ordered]]*VLOOKUP(OrganizedData[[#This Row],[Product Code]],ProductData[],3,FALSE)</f>
        <v>2532.6</v>
      </c>
      <c r="R36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2405.9699999999998</v>
      </c>
    </row>
    <row r="3664" spans="1:18" x14ac:dyDescent="0.3">
      <c r="A3664" s="2">
        <v>3657</v>
      </c>
      <c r="B3664" s="2" t="s">
        <v>5594</v>
      </c>
      <c r="C3664" s="2" t="s">
        <v>3947</v>
      </c>
      <c r="D3664" s="2" t="s">
        <v>51</v>
      </c>
      <c r="E3664" s="2" t="s">
        <v>16</v>
      </c>
      <c r="F3664" s="2">
        <v>60</v>
      </c>
      <c r="G3664" s="2" t="s">
        <v>8546</v>
      </c>
      <c r="H3664" s="2" t="s">
        <v>8547</v>
      </c>
      <c r="I3664" s="2" t="s">
        <v>32</v>
      </c>
      <c r="J3664" s="3">
        <v>44343</v>
      </c>
      <c r="K3664" s="5">
        <f>YEAR(OrganizedData[[#This Row],[Order Date]])</f>
        <v>2021</v>
      </c>
      <c r="L3664" s="7" t="str">
        <f>TEXT(OrganizedData[[#This Row],[Order Date]],"mmm")</f>
        <v>May</v>
      </c>
      <c r="M3664" s="2">
        <v>7</v>
      </c>
      <c r="N3664" s="2" t="s">
        <v>33</v>
      </c>
      <c r="O3664" s="2" t="str">
        <f>VLOOKUP(OrganizedData[[#This Row],[Product Code]],ProductData[[Code]:[Item]],2,FALSE)</f>
        <v>Megawidget L</v>
      </c>
      <c r="P3664" s="4">
        <f>OrganizedData[[#This Row],[Quantity]]*VLOOKUP(OrganizedData[[#This Row],[Product Code]],ProductData[],4,FALSE)</f>
        <v>168</v>
      </c>
      <c r="Q3664" s="6">
        <f>OrganizedData[[#This Row],[Total Items Ordered]]*VLOOKUP(OrganizedData[[#This Row],[Product Code]],ProductData[],3,FALSE)</f>
        <v>300.72000000000003</v>
      </c>
      <c r="R36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3665" spans="1:18" x14ac:dyDescent="0.3">
      <c r="A3665" s="2">
        <v>3658</v>
      </c>
      <c r="B3665" s="2" t="s">
        <v>138</v>
      </c>
      <c r="C3665" s="2" t="s">
        <v>8548</v>
      </c>
      <c r="D3665" s="2" t="s">
        <v>28</v>
      </c>
      <c r="E3665" s="2" t="s">
        <v>29</v>
      </c>
      <c r="F3665" s="2">
        <v>60</v>
      </c>
      <c r="G3665" s="2" t="s">
        <v>8549</v>
      </c>
      <c r="H3665" s="2" t="s">
        <v>2084</v>
      </c>
      <c r="I3665" s="2" t="s">
        <v>294</v>
      </c>
      <c r="J3665" s="3">
        <v>44475</v>
      </c>
      <c r="K3665" s="5">
        <f>YEAR(OrganizedData[[#This Row],[Order Date]])</f>
        <v>2021</v>
      </c>
      <c r="L3665" s="7" t="str">
        <f>TEXT(OrganizedData[[#This Row],[Order Date]],"mmm")</f>
        <v>Oct</v>
      </c>
      <c r="M3665" s="2">
        <v>27</v>
      </c>
      <c r="N3665" s="2" t="s">
        <v>39</v>
      </c>
      <c r="O3665" s="2" t="str">
        <f>VLOOKUP(OrganizedData[[#This Row],[Product Code]],ProductData[[Code]:[Item]],2,FALSE)</f>
        <v>Ultrathing V1</v>
      </c>
      <c r="P3665" s="4">
        <f>OrganizedData[[#This Row],[Quantity]]*VLOOKUP(OrganizedData[[#This Row],[Product Code]],ProductData[],4,FALSE)</f>
        <v>459</v>
      </c>
      <c r="Q3665" s="6">
        <f>OrganizedData[[#This Row],[Total Items Ordered]]*VLOOKUP(OrganizedData[[#This Row],[Product Code]],ProductData[],3,FALSE)</f>
        <v>821.61</v>
      </c>
      <c r="R36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796.96169999999995</v>
      </c>
    </row>
    <row r="3666" spans="1:18" x14ac:dyDescent="0.3">
      <c r="A3666" s="2">
        <v>3659</v>
      </c>
      <c r="B3666" s="2" t="s">
        <v>5594</v>
      </c>
      <c r="C3666" s="2" t="s">
        <v>1023</v>
      </c>
      <c r="D3666" s="2" t="s">
        <v>28</v>
      </c>
      <c r="E3666" s="2" t="s">
        <v>29</v>
      </c>
      <c r="F3666" s="2">
        <v>60</v>
      </c>
      <c r="G3666" s="2" t="s">
        <v>8549</v>
      </c>
      <c r="H3666" s="2" t="s">
        <v>3200</v>
      </c>
      <c r="I3666" s="2" t="s">
        <v>32</v>
      </c>
      <c r="J3666" s="3">
        <v>44629</v>
      </c>
      <c r="K3666" s="5">
        <f>YEAR(OrganizedData[[#This Row],[Order Date]])</f>
        <v>2022</v>
      </c>
      <c r="L3666" s="7" t="str">
        <f>TEXT(OrganizedData[[#This Row],[Order Date]],"mmm")</f>
        <v>Mar</v>
      </c>
      <c r="M3666" s="2">
        <v>42</v>
      </c>
      <c r="N3666" s="2" t="s">
        <v>101</v>
      </c>
      <c r="O3666" s="2" t="str">
        <f>VLOOKUP(OrganizedData[[#This Row],[Product Code]],ProductData[[Code]:[Item]],2,FALSE)</f>
        <v>Superwossname</v>
      </c>
      <c r="P3666" s="4">
        <f>OrganizedData[[#This Row],[Quantity]]*VLOOKUP(OrganizedData[[#This Row],[Product Code]],ProductData[],4,FALSE)</f>
        <v>840</v>
      </c>
      <c r="Q3666" s="6">
        <f>OrganizedData[[#This Row],[Total Items Ordered]]*VLOOKUP(OrganizedData[[#This Row],[Product Code]],ProductData[],3,FALSE)</f>
        <v>2931.6000000000004</v>
      </c>
      <c r="R36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3667" spans="1:18" x14ac:dyDescent="0.3">
      <c r="A3667" s="2">
        <v>3660</v>
      </c>
      <c r="B3667" s="2" t="s">
        <v>6242</v>
      </c>
      <c r="C3667" s="2" t="s">
        <v>6638</v>
      </c>
      <c r="D3667" s="2" t="s">
        <v>15</v>
      </c>
      <c r="E3667" s="2" t="s">
        <v>16</v>
      </c>
      <c r="F3667" s="2">
        <v>90</v>
      </c>
      <c r="G3667" s="2" t="s">
        <v>8550</v>
      </c>
      <c r="H3667" s="2" t="s">
        <v>2613</v>
      </c>
      <c r="I3667" s="2" t="s">
        <v>32</v>
      </c>
      <c r="J3667" s="3">
        <v>44787</v>
      </c>
      <c r="K3667" s="5">
        <f>YEAR(OrganizedData[[#This Row],[Order Date]])</f>
        <v>2022</v>
      </c>
      <c r="L3667" s="7" t="str">
        <f>TEXT(OrganizedData[[#This Row],[Order Date]],"mmm")</f>
        <v>Aug</v>
      </c>
      <c r="M3667" s="2">
        <v>91</v>
      </c>
      <c r="N3667" s="2" t="s">
        <v>80</v>
      </c>
      <c r="O3667" s="2" t="str">
        <f>VLOOKUP(OrganizedData[[#This Row],[Product Code]],ProductData[[Code]:[Item]],2,FALSE)</f>
        <v>Ultrathing V2</v>
      </c>
      <c r="P3667" s="4">
        <f>OrganizedData[[#This Row],[Quantity]]*VLOOKUP(OrganizedData[[#This Row],[Product Code]],ProductData[],4,FALSE)</f>
        <v>1820</v>
      </c>
      <c r="Q3667" s="6">
        <f>OrganizedData[[#This Row],[Total Items Ordered]]*VLOOKUP(OrganizedData[[#This Row],[Product Code]],ProductData[],3,FALSE)</f>
        <v>5369</v>
      </c>
      <c r="R36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3668" spans="1:18" x14ac:dyDescent="0.3">
      <c r="A3668" s="2">
        <v>3661</v>
      </c>
      <c r="B3668" s="2" t="s">
        <v>6070</v>
      </c>
      <c r="C3668" s="2" t="s">
        <v>8551</v>
      </c>
      <c r="D3668" s="2" t="s">
        <v>51</v>
      </c>
      <c r="E3668" s="2" t="s">
        <v>16</v>
      </c>
      <c r="F3668" s="2">
        <v>60</v>
      </c>
      <c r="G3668" s="2" t="s">
        <v>8552</v>
      </c>
      <c r="H3668" s="2" t="s">
        <v>8022</v>
      </c>
      <c r="I3668" s="2" t="s">
        <v>294</v>
      </c>
      <c r="J3668" s="3">
        <v>44371</v>
      </c>
      <c r="K3668" s="5">
        <f>YEAR(OrganizedData[[#This Row],[Order Date]])</f>
        <v>2021</v>
      </c>
      <c r="L3668" s="7" t="str">
        <f>TEXT(OrganizedData[[#This Row],[Order Date]],"mmm")</f>
        <v>Jun</v>
      </c>
      <c r="M3668" s="2">
        <v>38</v>
      </c>
      <c r="N3668" s="2" t="s">
        <v>70</v>
      </c>
      <c r="O3668" s="2" t="str">
        <f>VLOOKUP(OrganizedData[[#This Row],[Product Code]],ProductData[[Code]:[Item]],2,FALSE)</f>
        <v>Megawidget M</v>
      </c>
      <c r="P3668" s="4">
        <f>OrganizedData[[#This Row],[Quantity]]*VLOOKUP(OrganizedData[[#This Row],[Product Code]],ProductData[],4,FALSE)</f>
        <v>912</v>
      </c>
      <c r="Q3668" s="6">
        <f>OrganizedData[[#This Row],[Total Items Ordered]]*VLOOKUP(OrganizedData[[#This Row],[Product Code]],ProductData[],3,FALSE)</f>
        <v>1176.48</v>
      </c>
      <c r="R36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1141.1856</v>
      </c>
    </row>
    <row r="3669" spans="1:18" x14ac:dyDescent="0.3">
      <c r="A3669" s="2">
        <v>3662</v>
      </c>
      <c r="B3669" s="2" t="s">
        <v>8553</v>
      </c>
      <c r="C3669" s="2" t="s">
        <v>8554</v>
      </c>
      <c r="D3669" s="2" t="s">
        <v>15</v>
      </c>
      <c r="E3669" s="2" t="s">
        <v>16</v>
      </c>
      <c r="F3669" s="2">
        <v>60</v>
      </c>
      <c r="G3669" s="2" t="s">
        <v>8555</v>
      </c>
      <c r="H3669" s="2" t="s">
        <v>5167</v>
      </c>
      <c r="I3669" s="2" t="s">
        <v>32</v>
      </c>
      <c r="J3669" s="3">
        <v>44359</v>
      </c>
      <c r="K3669" s="5">
        <f>YEAR(OrganizedData[[#This Row],[Order Date]])</f>
        <v>2021</v>
      </c>
      <c r="L3669" s="7" t="str">
        <f>TEXT(OrganizedData[[#This Row],[Order Date]],"mmm")</f>
        <v>Jun</v>
      </c>
      <c r="M3669" s="2">
        <v>31</v>
      </c>
      <c r="N3669" s="2" t="s">
        <v>101</v>
      </c>
      <c r="O3669" s="2" t="str">
        <f>VLOOKUP(OrganizedData[[#This Row],[Product Code]],ProductData[[Code]:[Item]],2,FALSE)</f>
        <v>Superwossname</v>
      </c>
      <c r="P3669" s="4">
        <f>OrganizedData[[#This Row],[Quantity]]*VLOOKUP(OrganizedData[[#This Row],[Product Code]],ProductData[],4,FALSE)</f>
        <v>620</v>
      </c>
      <c r="Q3669" s="6">
        <f>OrganizedData[[#This Row],[Total Items Ordered]]*VLOOKUP(OrganizedData[[#This Row],[Product Code]],ProductData[],3,FALSE)</f>
        <v>2163.8000000000002</v>
      </c>
      <c r="R36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2098.886</v>
      </c>
    </row>
    <row r="3670" spans="1:18" x14ac:dyDescent="0.3">
      <c r="A3670" s="2">
        <v>3663</v>
      </c>
      <c r="B3670" s="2" t="s">
        <v>4703</v>
      </c>
      <c r="C3670" s="2" t="s">
        <v>4570</v>
      </c>
      <c r="D3670" s="2" t="s">
        <v>28</v>
      </c>
      <c r="E3670" s="2" t="s">
        <v>29</v>
      </c>
      <c r="F3670" s="2">
        <v>60</v>
      </c>
      <c r="G3670" s="2" t="s">
        <v>8556</v>
      </c>
      <c r="H3670" s="2" t="s">
        <v>920</v>
      </c>
      <c r="I3670" s="2" t="s">
        <v>178</v>
      </c>
      <c r="J3670" s="3">
        <v>43835</v>
      </c>
      <c r="K3670" s="5">
        <f>YEAR(OrganizedData[[#This Row],[Order Date]])</f>
        <v>2020</v>
      </c>
      <c r="L3670" s="7" t="str">
        <f>TEXT(OrganizedData[[#This Row],[Order Date]],"mmm")</f>
        <v>Jan</v>
      </c>
      <c r="M3670" s="2">
        <v>30</v>
      </c>
      <c r="N3670" s="2" t="s">
        <v>20</v>
      </c>
      <c r="O3670" s="2" t="str">
        <f>VLOOKUP(OrganizedData[[#This Row],[Product Code]],ProductData[[Code]:[Item]],2,FALSE)</f>
        <v>Hyperwotsit</v>
      </c>
      <c r="P3670" s="4">
        <f>OrganizedData[[#This Row],[Quantity]]*VLOOKUP(OrganizedData[[#This Row],[Product Code]],ProductData[],4,FALSE)</f>
        <v>600</v>
      </c>
      <c r="Q3670" s="6">
        <f>OrganizedData[[#This Row],[Total Items Ordered]]*VLOOKUP(OrganizedData[[#This Row],[Product Code]],ProductData[],3,FALSE)</f>
        <v>1205.9999999999998</v>
      </c>
      <c r="R36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1169.8199999999997</v>
      </c>
    </row>
    <row r="3671" spans="1:18" x14ac:dyDescent="0.3">
      <c r="A3671" s="2">
        <v>3664</v>
      </c>
      <c r="B3671" s="2" t="s">
        <v>6411</v>
      </c>
      <c r="C3671" s="2" t="s">
        <v>197</v>
      </c>
      <c r="D3671" s="2" t="s">
        <v>28</v>
      </c>
      <c r="E3671" s="2" t="s">
        <v>29</v>
      </c>
      <c r="F3671" s="2">
        <v>90</v>
      </c>
      <c r="G3671" s="2" t="s">
        <v>8557</v>
      </c>
      <c r="H3671" s="2" t="s">
        <v>3261</v>
      </c>
      <c r="I3671" s="2" t="s">
        <v>124</v>
      </c>
      <c r="J3671" s="3">
        <v>44816</v>
      </c>
      <c r="K3671" s="5">
        <f>YEAR(OrganizedData[[#This Row],[Order Date]])</f>
        <v>2022</v>
      </c>
      <c r="L3671" s="7" t="str">
        <f>TEXT(OrganizedData[[#This Row],[Order Date]],"mmm")</f>
        <v>Sep</v>
      </c>
      <c r="M3671" s="2">
        <v>74</v>
      </c>
      <c r="N3671" s="2" t="s">
        <v>39</v>
      </c>
      <c r="O3671" s="2" t="str">
        <f>VLOOKUP(OrganizedData[[#This Row],[Product Code]],ProductData[[Code]:[Item]],2,FALSE)</f>
        <v>Ultrathing V1</v>
      </c>
      <c r="P3671" s="4">
        <f>OrganizedData[[#This Row],[Quantity]]*VLOOKUP(OrganizedData[[#This Row],[Product Code]],ProductData[],4,FALSE)</f>
        <v>1258</v>
      </c>
      <c r="Q3671" s="6">
        <f>OrganizedData[[#This Row],[Total Items Ordered]]*VLOOKUP(OrganizedData[[#This Row],[Product Code]],ProductData[],3,FALSE)</f>
        <v>2251.8200000000002</v>
      </c>
      <c r="R36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2139.2290000000003</v>
      </c>
    </row>
    <row r="3672" spans="1:18" x14ac:dyDescent="0.3">
      <c r="A3672" s="2">
        <v>3665</v>
      </c>
      <c r="B3672" s="2" t="s">
        <v>8216</v>
      </c>
      <c r="C3672" s="2" t="s">
        <v>410</v>
      </c>
      <c r="D3672" s="2" t="s">
        <v>51</v>
      </c>
      <c r="E3672" s="2" t="s">
        <v>16</v>
      </c>
      <c r="F3672" s="2">
        <v>60</v>
      </c>
      <c r="G3672" s="2" t="s">
        <v>8558</v>
      </c>
      <c r="H3672" s="2" t="s">
        <v>920</v>
      </c>
      <c r="I3672" s="2" t="s">
        <v>178</v>
      </c>
      <c r="J3672" s="3">
        <v>44224</v>
      </c>
      <c r="K3672" s="5">
        <f>YEAR(OrganizedData[[#This Row],[Order Date]])</f>
        <v>2021</v>
      </c>
      <c r="L3672" s="7" t="str">
        <f>TEXT(OrganizedData[[#This Row],[Order Date]],"mmm")</f>
        <v>Jan</v>
      </c>
      <c r="M3672" s="2">
        <v>7</v>
      </c>
      <c r="N3672" s="2" t="s">
        <v>33</v>
      </c>
      <c r="O3672" s="2" t="str">
        <f>VLOOKUP(OrganizedData[[#This Row],[Product Code]],ProductData[[Code]:[Item]],2,FALSE)</f>
        <v>Megawidget L</v>
      </c>
      <c r="P3672" s="4">
        <f>OrganizedData[[#This Row],[Quantity]]*VLOOKUP(OrganizedData[[#This Row],[Product Code]],ProductData[],4,FALSE)</f>
        <v>168</v>
      </c>
      <c r="Q3672" s="6">
        <f>OrganizedData[[#This Row],[Total Items Ordered]]*VLOOKUP(OrganizedData[[#This Row],[Product Code]],ProductData[],3,FALSE)</f>
        <v>300.72000000000003</v>
      </c>
      <c r="R36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3673" spans="1:18" x14ac:dyDescent="0.3">
      <c r="A3673" s="2">
        <v>3666</v>
      </c>
      <c r="B3673" s="2" t="s">
        <v>8288</v>
      </c>
      <c r="C3673" s="2" t="s">
        <v>7226</v>
      </c>
      <c r="D3673" s="2" t="s">
        <v>28</v>
      </c>
      <c r="E3673" s="2" t="s">
        <v>29</v>
      </c>
      <c r="F3673" s="2">
        <v>30</v>
      </c>
      <c r="G3673" s="2" t="s">
        <v>8559</v>
      </c>
      <c r="H3673" s="2" t="s">
        <v>2745</v>
      </c>
      <c r="I3673" s="2" t="s">
        <v>32</v>
      </c>
      <c r="J3673" s="3">
        <v>44907</v>
      </c>
      <c r="K3673" s="5">
        <f>YEAR(OrganizedData[[#This Row],[Order Date]])</f>
        <v>2022</v>
      </c>
      <c r="L3673" s="7" t="str">
        <f>TEXT(OrganizedData[[#This Row],[Order Date]],"mmm")</f>
        <v>Dec</v>
      </c>
      <c r="M3673" s="2">
        <v>9</v>
      </c>
      <c r="N3673" s="2" t="s">
        <v>101</v>
      </c>
      <c r="O3673" s="2" t="str">
        <f>VLOOKUP(OrganizedData[[#This Row],[Product Code]],ProductData[[Code]:[Item]],2,FALSE)</f>
        <v>Superwossname</v>
      </c>
      <c r="P3673" s="4">
        <f>OrganizedData[[#This Row],[Quantity]]*VLOOKUP(OrganizedData[[#This Row],[Product Code]],ProductData[],4,FALSE)</f>
        <v>180</v>
      </c>
      <c r="Q3673" s="6">
        <f>OrganizedData[[#This Row],[Total Items Ordered]]*VLOOKUP(OrganizedData[[#This Row],[Product Code]],ProductData[],3,FALSE)</f>
        <v>628.20000000000005</v>
      </c>
      <c r="R36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628.20000000000005</v>
      </c>
    </row>
    <row r="3674" spans="1:18" x14ac:dyDescent="0.3">
      <c r="A3674" s="2">
        <v>3667</v>
      </c>
      <c r="B3674" s="2" t="s">
        <v>8560</v>
      </c>
      <c r="C3674" s="2" t="s">
        <v>8561</v>
      </c>
      <c r="D3674" s="2" t="s">
        <v>51</v>
      </c>
      <c r="E3674" s="2" t="s">
        <v>16</v>
      </c>
      <c r="F3674" s="2">
        <v>60</v>
      </c>
      <c r="G3674" s="2" t="s">
        <v>8562</v>
      </c>
      <c r="H3674" s="2" t="s">
        <v>6353</v>
      </c>
      <c r="I3674" s="2" t="s">
        <v>32</v>
      </c>
      <c r="J3674" s="3">
        <v>44565</v>
      </c>
      <c r="K3674" s="5">
        <f>YEAR(OrganizedData[[#This Row],[Order Date]])</f>
        <v>2022</v>
      </c>
      <c r="L3674" s="7" t="str">
        <f>TEXT(OrganizedData[[#This Row],[Order Date]],"mmm")</f>
        <v>Jan</v>
      </c>
      <c r="M3674" s="2">
        <v>38</v>
      </c>
      <c r="N3674" s="2" t="s">
        <v>33</v>
      </c>
      <c r="O3674" s="2" t="str">
        <f>VLOOKUP(OrganizedData[[#This Row],[Product Code]],ProductData[[Code]:[Item]],2,FALSE)</f>
        <v>Megawidget L</v>
      </c>
      <c r="P3674" s="4">
        <f>OrganizedData[[#This Row],[Quantity]]*VLOOKUP(OrganizedData[[#This Row],[Product Code]],ProductData[],4,FALSE)</f>
        <v>912</v>
      </c>
      <c r="Q3674" s="6">
        <f>OrganizedData[[#This Row],[Total Items Ordered]]*VLOOKUP(OrganizedData[[#This Row],[Product Code]],ProductData[],3,FALSE)</f>
        <v>1632.48</v>
      </c>
      <c r="R36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3675" spans="1:18" x14ac:dyDescent="0.3">
      <c r="A3675" s="2">
        <v>3668</v>
      </c>
      <c r="B3675" s="2" t="s">
        <v>5614</v>
      </c>
      <c r="C3675" s="2" t="s">
        <v>8563</v>
      </c>
      <c r="D3675" s="2" t="s">
        <v>28</v>
      </c>
      <c r="E3675" s="2" t="s">
        <v>29</v>
      </c>
      <c r="F3675" s="2">
        <v>90</v>
      </c>
      <c r="G3675" s="2" t="s">
        <v>8564</v>
      </c>
      <c r="H3675" s="2" t="s">
        <v>2397</v>
      </c>
      <c r="I3675" s="2" t="s">
        <v>187</v>
      </c>
      <c r="J3675" s="3">
        <v>44791</v>
      </c>
      <c r="K3675" s="5">
        <f>YEAR(OrganizedData[[#This Row],[Order Date]])</f>
        <v>2022</v>
      </c>
      <c r="L3675" s="7" t="str">
        <f>TEXT(OrganizedData[[#This Row],[Order Date]],"mmm")</f>
        <v>Aug</v>
      </c>
      <c r="M3675" s="2">
        <v>72</v>
      </c>
      <c r="N3675" s="2" t="s">
        <v>101</v>
      </c>
      <c r="O3675" s="2" t="str">
        <f>VLOOKUP(OrganizedData[[#This Row],[Product Code]],ProductData[[Code]:[Item]],2,FALSE)</f>
        <v>Superwossname</v>
      </c>
      <c r="P3675" s="4">
        <f>OrganizedData[[#This Row],[Quantity]]*VLOOKUP(OrganizedData[[#This Row],[Product Code]],ProductData[],4,FALSE)</f>
        <v>1440</v>
      </c>
      <c r="Q3675" s="6">
        <f>OrganizedData[[#This Row],[Total Items Ordered]]*VLOOKUP(OrganizedData[[#This Row],[Product Code]],ProductData[],3,FALSE)</f>
        <v>5025.6000000000004</v>
      </c>
      <c r="R36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3676" spans="1:18" x14ac:dyDescent="0.3">
      <c r="A3676" s="2">
        <v>3669</v>
      </c>
      <c r="B3676" s="2" t="s">
        <v>1057</v>
      </c>
      <c r="C3676" s="2" t="s">
        <v>8565</v>
      </c>
      <c r="D3676" s="2" t="s">
        <v>51</v>
      </c>
      <c r="E3676" s="2" t="s">
        <v>16</v>
      </c>
      <c r="F3676" s="2">
        <v>30</v>
      </c>
      <c r="G3676" s="2" t="s">
        <v>8566</v>
      </c>
      <c r="H3676" s="2" t="s">
        <v>1272</v>
      </c>
      <c r="I3676" s="2" t="s">
        <v>59</v>
      </c>
      <c r="J3676" s="3">
        <v>44056</v>
      </c>
      <c r="K3676" s="5">
        <f>YEAR(OrganizedData[[#This Row],[Order Date]])</f>
        <v>2020</v>
      </c>
      <c r="L3676" s="7" t="str">
        <f>TEXT(OrganizedData[[#This Row],[Order Date]],"mmm")</f>
        <v>Aug</v>
      </c>
      <c r="M3676" s="2">
        <v>76</v>
      </c>
      <c r="N3676" s="2" t="s">
        <v>39</v>
      </c>
      <c r="O3676" s="2" t="str">
        <f>VLOOKUP(OrganizedData[[#This Row],[Product Code]],ProductData[[Code]:[Item]],2,FALSE)</f>
        <v>Ultrathing V1</v>
      </c>
      <c r="P3676" s="4">
        <f>OrganizedData[[#This Row],[Quantity]]*VLOOKUP(OrganizedData[[#This Row],[Product Code]],ProductData[],4,FALSE)</f>
        <v>1292</v>
      </c>
      <c r="Q3676" s="6">
        <f>OrganizedData[[#This Row],[Total Items Ordered]]*VLOOKUP(OrganizedData[[#This Row],[Product Code]],ProductData[],3,FALSE)</f>
        <v>2312.6799999999998</v>
      </c>
      <c r="R36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3677" spans="1:18" x14ac:dyDescent="0.3">
      <c r="A3677" s="2">
        <v>3670</v>
      </c>
      <c r="B3677" s="2" t="s">
        <v>1376</v>
      </c>
      <c r="C3677" s="2" t="s">
        <v>5391</v>
      </c>
      <c r="D3677" s="2" t="s">
        <v>92</v>
      </c>
      <c r="E3677" s="2" t="s">
        <v>29</v>
      </c>
      <c r="F3677" s="2">
        <v>90</v>
      </c>
      <c r="G3677" s="2" t="s">
        <v>8566</v>
      </c>
      <c r="H3677" s="2" t="s">
        <v>5934</v>
      </c>
      <c r="I3677" s="2" t="s">
        <v>173</v>
      </c>
      <c r="J3677" s="3">
        <v>44498</v>
      </c>
      <c r="K3677" s="5">
        <f>YEAR(OrganizedData[[#This Row],[Order Date]])</f>
        <v>2021</v>
      </c>
      <c r="L3677" s="7" t="str">
        <f>TEXT(OrganizedData[[#This Row],[Order Date]],"mmm")</f>
        <v>Oct</v>
      </c>
      <c r="M3677" s="2">
        <v>78</v>
      </c>
      <c r="N3677" s="2" t="s">
        <v>159</v>
      </c>
      <c r="O3677" s="2" t="str">
        <f>VLOOKUP(OrganizedData[[#This Row],[Product Code]],ProductData[[Code]:[Item]],2,FALSE)</f>
        <v>Ultrathing V3</v>
      </c>
      <c r="P3677" s="4">
        <f>OrganizedData[[#This Row],[Quantity]]*VLOOKUP(OrganizedData[[#This Row],[Product Code]],ProductData[],4,FALSE)</f>
        <v>1872</v>
      </c>
      <c r="Q3677" s="6">
        <f>OrganizedData[[#This Row],[Total Items Ordered]]*VLOOKUP(OrganizedData[[#This Row],[Product Code]],ProductData[],3,FALSE)</f>
        <v>6346.08</v>
      </c>
      <c r="R36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3678" spans="1:18" x14ac:dyDescent="0.3">
      <c r="A3678" s="2">
        <v>3671</v>
      </c>
      <c r="B3678" s="2" t="s">
        <v>8567</v>
      </c>
      <c r="C3678" s="2" t="s">
        <v>215</v>
      </c>
      <c r="D3678" s="2" t="s">
        <v>15</v>
      </c>
      <c r="E3678" s="2" t="s">
        <v>16</v>
      </c>
      <c r="F3678" s="2">
        <v>90</v>
      </c>
      <c r="G3678" s="2" t="s">
        <v>8568</v>
      </c>
      <c r="H3678" s="2" t="s">
        <v>1115</v>
      </c>
      <c r="I3678" s="2" t="s">
        <v>32</v>
      </c>
      <c r="J3678" s="3">
        <v>43856</v>
      </c>
      <c r="K3678" s="5">
        <f>YEAR(OrganizedData[[#This Row],[Order Date]])</f>
        <v>2020</v>
      </c>
      <c r="L3678" s="7" t="str">
        <f>TEXT(OrganizedData[[#This Row],[Order Date]],"mmm")</f>
        <v>Jan</v>
      </c>
      <c r="M3678" s="2">
        <v>3</v>
      </c>
      <c r="N3678" s="2" t="s">
        <v>159</v>
      </c>
      <c r="O3678" s="2" t="str">
        <f>VLOOKUP(OrganizedData[[#This Row],[Product Code]],ProductData[[Code]:[Item]],2,FALSE)</f>
        <v>Ultrathing V3</v>
      </c>
      <c r="P3678" s="4">
        <f>OrganizedData[[#This Row],[Quantity]]*VLOOKUP(OrganizedData[[#This Row],[Product Code]],ProductData[],4,FALSE)</f>
        <v>72</v>
      </c>
      <c r="Q3678" s="6">
        <f>OrganizedData[[#This Row],[Total Items Ordered]]*VLOOKUP(OrganizedData[[#This Row],[Product Code]],ProductData[],3,FALSE)</f>
        <v>244.08</v>
      </c>
      <c r="R36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3679" spans="1:18" x14ac:dyDescent="0.3">
      <c r="A3679" s="2">
        <v>3672</v>
      </c>
      <c r="B3679" s="2" t="s">
        <v>2605</v>
      </c>
      <c r="C3679" s="2" t="s">
        <v>4318</v>
      </c>
      <c r="D3679" s="2" t="s">
        <v>28</v>
      </c>
      <c r="E3679" s="2" t="s">
        <v>29</v>
      </c>
      <c r="F3679" s="2">
        <v>30</v>
      </c>
      <c r="G3679" s="2" t="s">
        <v>8569</v>
      </c>
      <c r="H3679" s="2" t="s">
        <v>1370</v>
      </c>
      <c r="I3679" s="2" t="s">
        <v>32</v>
      </c>
      <c r="J3679" s="3">
        <v>43950</v>
      </c>
      <c r="K3679" s="5">
        <f>YEAR(OrganizedData[[#This Row],[Order Date]])</f>
        <v>2020</v>
      </c>
      <c r="L3679" s="7" t="str">
        <f>TEXT(OrganizedData[[#This Row],[Order Date]],"mmm")</f>
        <v>Apr</v>
      </c>
      <c r="M3679" s="2">
        <v>71</v>
      </c>
      <c r="N3679" s="2" t="s">
        <v>159</v>
      </c>
      <c r="O3679" s="2" t="str">
        <f>VLOOKUP(OrganizedData[[#This Row],[Product Code]],ProductData[[Code]:[Item]],2,FALSE)</f>
        <v>Ultrathing V3</v>
      </c>
      <c r="P3679" s="4">
        <f>OrganizedData[[#This Row],[Quantity]]*VLOOKUP(OrganizedData[[#This Row],[Product Code]],ProductData[],4,FALSE)</f>
        <v>1704</v>
      </c>
      <c r="Q3679" s="6">
        <f>OrganizedData[[#This Row],[Total Items Ordered]]*VLOOKUP(OrganizedData[[#This Row],[Product Code]],ProductData[],3,FALSE)</f>
        <v>5776.56</v>
      </c>
      <c r="R36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5487.732</v>
      </c>
    </row>
    <row r="3680" spans="1:18" x14ac:dyDescent="0.3">
      <c r="A3680" s="2">
        <v>3673</v>
      </c>
      <c r="B3680" s="2" t="s">
        <v>2734</v>
      </c>
      <c r="C3680" s="2" t="s">
        <v>3968</v>
      </c>
      <c r="D3680" s="2" t="s">
        <v>51</v>
      </c>
      <c r="E3680" s="2" t="s">
        <v>16</v>
      </c>
      <c r="F3680" s="2">
        <v>60</v>
      </c>
      <c r="G3680" s="2" t="s">
        <v>8570</v>
      </c>
      <c r="H3680" s="2" t="s">
        <v>2893</v>
      </c>
      <c r="I3680" s="2" t="s">
        <v>32</v>
      </c>
      <c r="J3680" s="3">
        <v>43935</v>
      </c>
      <c r="K3680" s="5">
        <f>YEAR(OrganizedData[[#This Row],[Order Date]])</f>
        <v>2020</v>
      </c>
      <c r="L3680" s="7" t="str">
        <f>TEXT(OrganizedData[[#This Row],[Order Date]],"mmm")</f>
        <v>Apr</v>
      </c>
      <c r="M3680" s="2">
        <v>71</v>
      </c>
      <c r="N3680" s="2" t="s">
        <v>45</v>
      </c>
      <c r="O3680" s="2" t="str">
        <f>VLOOKUP(OrganizedData[[#This Row],[Product Code]],ProductData[[Code]:[Item]],2,FALSE)</f>
        <v>Gigastuff</v>
      </c>
      <c r="P3680" s="4">
        <f>OrganizedData[[#This Row],[Quantity]]*VLOOKUP(OrganizedData[[#This Row],[Product Code]],ProductData[],4,FALSE)</f>
        <v>1278</v>
      </c>
      <c r="Q3680" s="6">
        <f>OrganizedData[[#This Row],[Total Items Ordered]]*VLOOKUP(OrganizedData[[#This Row],[Product Code]],ProductData[],3,FALSE)</f>
        <v>2415.42</v>
      </c>
      <c r="R36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3681" spans="1:18" x14ac:dyDescent="0.3">
      <c r="A3681" s="2">
        <v>3674</v>
      </c>
      <c r="B3681" s="2" t="s">
        <v>8571</v>
      </c>
      <c r="C3681" s="2" t="s">
        <v>788</v>
      </c>
      <c r="D3681" s="2" t="s">
        <v>51</v>
      </c>
      <c r="E3681" s="2" t="s">
        <v>16</v>
      </c>
      <c r="F3681" s="2">
        <v>30</v>
      </c>
      <c r="G3681" s="2" t="s">
        <v>8572</v>
      </c>
      <c r="H3681" s="2" t="s">
        <v>1292</v>
      </c>
      <c r="I3681" s="2" t="s">
        <v>32</v>
      </c>
      <c r="J3681" s="3">
        <v>44125</v>
      </c>
      <c r="K3681" s="5">
        <f>YEAR(OrganizedData[[#This Row],[Order Date]])</f>
        <v>2020</v>
      </c>
      <c r="L3681" s="7" t="str">
        <f>TEXT(OrganizedData[[#This Row],[Order Date]],"mmm")</f>
        <v>Oct</v>
      </c>
      <c r="M3681" s="2">
        <v>6</v>
      </c>
      <c r="N3681" s="2" t="s">
        <v>101</v>
      </c>
      <c r="O3681" s="2" t="str">
        <f>VLOOKUP(OrganizedData[[#This Row],[Product Code]],ProductData[[Code]:[Item]],2,FALSE)</f>
        <v>Superwossname</v>
      </c>
      <c r="P3681" s="4">
        <f>OrganizedData[[#This Row],[Quantity]]*VLOOKUP(OrganizedData[[#This Row],[Product Code]],ProductData[],4,FALSE)</f>
        <v>120</v>
      </c>
      <c r="Q3681" s="6">
        <f>OrganizedData[[#This Row],[Total Items Ordered]]*VLOOKUP(OrganizedData[[#This Row],[Product Code]],ProductData[],3,FALSE)</f>
        <v>418.8</v>
      </c>
      <c r="R36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418.8</v>
      </c>
    </row>
    <row r="3682" spans="1:18" x14ac:dyDescent="0.3">
      <c r="A3682" s="2">
        <v>3675</v>
      </c>
      <c r="B3682" s="2" t="s">
        <v>8573</v>
      </c>
      <c r="C3682" s="2" t="s">
        <v>896</v>
      </c>
      <c r="D3682" s="2" t="s">
        <v>41</v>
      </c>
      <c r="E3682" s="2" t="s">
        <v>16</v>
      </c>
      <c r="F3682" s="2">
        <v>60</v>
      </c>
      <c r="G3682" s="2" t="s">
        <v>10555</v>
      </c>
      <c r="H3682" s="2" t="s">
        <v>2190</v>
      </c>
      <c r="I3682" s="2" t="s">
        <v>32</v>
      </c>
      <c r="J3682" s="3">
        <v>44768</v>
      </c>
      <c r="K3682" s="5">
        <f>YEAR(OrganizedData[[#This Row],[Order Date]])</f>
        <v>2022</v>
      </c>
      <c r="L3682" s="7" t="str">
        <f>TEXT(OrganizedData[[#This Row],[Order Date]],"mmm")</f>
        <v>Jul</v>
      </c>
      <c r="M3682" s="2">
        <v>98</v>
      </c>
      <c r="N3682" s="2" t="s">
        <v>39</v>
      </c>
      <c r="O3682" s="2" t="str">
        <f>VLOOKUP(OrganizedData[[#This Row],[Product Code]],ProductData[[Code]:[Item]],2,FALSE)</f>
        <v>Ultrathing V1</v>
      </c>
      <c r="P3682" s="4">
        <f>OrganizedData[[#This Row],[Quantity]]*VLOOKUP(OrganizedData[[#This Row],[Product Code]],ProductData[],4,FALSE)</f>
        <v>1666</v>
      </c>
      <c r="Q3682" s="6">
        <f>OrganizedData[[#This Row],[Total Items Ordered]]*VLOOKUP(OrganizedData[[#This Row],[Product Code]],ProductData[],3,FALSE)</f>
        <v>2982.14</v>
      </c>
      <c r="R36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2833.0329999999999</v>
      </c>
    </row>
    <row r="3683" spans="1:18" x14ac:dyDescent="0.3">
      <c r="A3683" s="2">
        <v>3676</v>
      </c>
      <c r="B3683" s="2" t="s">
        <v>2405</v>
      </c>
      <c r="C3683" s="2" t="s">
        <v>8575</v>
      </c>
      <c r="D3683" s="2" t="s">
        <v>28</v>
      </c>
      <c r="E3683" s="2" t="s">
        <v>29</v>
      </c>
      <c r="F3683" s="2">
        <v>30</v>
      </c>
      <c r="G3683" s="2" t="s">
        <v>8576</v>
      </c>
      <c r="H3683" s="2" t="s">
        <v>5711</v>
      </c>
      <c r="I3683" s="2" t="s">
        <v>25</v>
      </c>
      <c r="J3683" s="3">
        <v>44669</v>
      </c>
      <c r="K3683" s="5">
        <f>YEAR(OrganizedData[[#This Row],[Order Date]])</f>
        <v>2022</v>
      </c>
      <c r="L3683" s="7" t="str">
        <f>TEXT(OrganizedData[[#This Row],[Order Date]],"mmm")</f>
        <v>Apr</v>
      </c>
      <c r="M3683" s="2">
        <v>43</v>
      </c>
      <c r="N3683" s="2" t="s">
        <v>33</v>
      </c>
      <c r="O3683" s="2" t="str">
        <f>VLOOKUP(OrganizedData[[#This Row],[Product Code]],ProductData[[Code]:[Item]],2,FALSE)</f>
        <v>Megawidget L</v>
      </c>
      <c r="P3683" s="4">
        <f>OrganizedData[[#This Row],[Quantity]]*VLOOKUP(OrganizedData[[#This Row],[Product Code]],ProductData[],4,FALSE)</f>
        <v>1032</v>
      </c>
      <c r="Q3683" s="6">
        <f>OrganizedData[[#This Row],[Total Items Ordered]]*VLOOKUP(OrganizedData[[#This Row],[Product Code]],ProductData[],3,FALSE)</f>
        <v>1847.28</v>
      </c>
      <c r="R36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3684" spans="1:18" x14ac:dyDescent="0.3">
      <c r="A3684" s="2">
        <v>3677</v>
      </c>
      <c r="B3684" s="2" t="s">
        <v>5425</v>
      </c>
      <c r="C3684" s="2" t="s">
        <v>8577</v>
      </c>
      <c r="D3684" s="2" t="s">
        <v>51</v>
      </c>
      <c r="E3684" s="2" t="s">
        <v>16</v>
      </c>
      <c r="F3684" s="2">
        <v>90</v>
      </c>
      <c r="G3684" s="2" t="s">
        <v>8578</v>
      </c>
      <c r="H3684" s="2" t="s">
        <v>3242</v>
      </c>
      <c r="I3684" s="2" t="s">
        <v>32</v>
      </c>
      <c r="J3684" s="3">
        <v>44060</v>
      </c>
      <c r="K3684" s="5">
        <f>YEAR(OrganizedData[[#This Row],[Order Date]])</f>
        <v>2020</v>
      </c>
      <c r="L3684" s="7" t="str">
        <f>TEXT(OrganizedData[[#This Row],[Order Date]],"mmm")</f>
        <v>Aug</v>
      </c>
      <c r="M3684" s="2">
        <v>77</v>
      </c>
      <c r="N3684" s="2" t="s">
        <v>33</v>
      </c>
      <c r="O3684" s="2" t="str">
        <f>VLOOKUP(OrganizedData[[#This Row],[Product Code]],ProductData[[Code]:[Item]],2,FALSE)</f>
        <v>Megawidget L</v>
      </c>
      <c r="P3684" s="4">
        <f>OrganizedData[[#This Row],[Quantity]]*VLOOKUP(OrganizedData[[#This Row],[Product Code]],ProductData[],4,FALSE)</f>
        <v>1848</v>
      </c>
      <c r="Q3684" s="6">
        <f>OrganizedData[[#This Row],[Total Items Ordered]]*VLOOKUP(OrganizedData[[#This Row],[Product Code]],ProductData[],3,FALSE)</f>
        <v>3307.92</v>
      </c>
      <c r="R36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3142.5239999999999</v>
      </c>
    </row>
    <row r="3685" spans="1:18" x14ac:dyDescent="0.3">
      <c r="A3685" s="2">
        <v>3678</v>
      </c>
      <c r="B3685" s="2" t="s">
        <v>588</v>
      </c>
      <c r="C3685" s="2" t="s">
        <v>5428</v>
      </c>
      <c r="D3685" s="2" t="s">
        <v>28</v>
      </c>
      <c r="E3685" s="2" t="s">
        <v>29</v>
      </c>
      <c r="F3685" s="2">
        <v>60</v>
      </c>
      <c r="G3685" s="2" t="s">
        <v>8579</v>
      </c>
      <c r="H3685" s="2" t="s">
        <v>6772</v>
      </c>
      <c r="I3685" s="2" t="s">
        <v>32</v>
      </c>
      <c r="J3685" s="3">
        <v>44145</v>
      </c>
      <c r="K3685" s="5">
        <f>YEAR(OrganizedData[[#This Row],[Order Date]])</f>
        <v>2020</v>
      </c>
      <c r="L3685" s="7" t="str">
        <f>TEXT(OrganizedData[[#This Row],[Order Date]],"mmm")</f>
        <v>Nov</v>
      </c>
      <c r="M3685" s="2">
        <v>49</v>
      </c>
      <c r="N3685" s="2" t="s">
        <v>159</v>
      </c>
      <c r="O3685" s="2" t="str">
        <f>VLOOKUP(OrganizedData[[#This Row],[Product Code]],ProductData[[Code]:[Item]],2,FALSE)</f>
        <v>Ultrathing V3</v>
      </c>
      <c r="P3685" s="4">
        <f>OrganizedData[[#This Row],[Quantity]]*VLOOKUP(OrganizedData[[#This Row],[Product Code]],ProductData[],4,FALSE)</f>
        <v>1176</v>
      </c>
      <c r="Q3685" s="6">
        <f>OrganizedData[[#This Row],[Total Items Ordered]]*VLOOKUP(OrganizedData[[#This Row],[Product Code]],ProductData[],3,FALSE)</f>
        <v>3986.6400000000003</v>
      </c>
      <c r="R36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3867.0408000000002</v>
      </c>
    </row>
    <row r="3686" spans="1:18" x14ac:dyDescent="0.3">
      <c r="A3686" s="2">
        <v>3679</v>
      </c>
      <c r="B3686" s="2" t="s">
        <v>899</v>
      </c>
      <c r="C3686" s="2" t="s">
        <v>3928</v>
      </c>
      <c r="D3686" s="2" t="s">
        <v>621</v>
      </c>
      <c r="E3686" s="2" t="s">
        <v>29</v>
      </c>
      <c r="F3686" s="2">
        <v>30</v>
      </c>
      <c r="G3686" s="2" t="s">
        <v>8580</v>
      </c>
      <c r="H3686" s="2" t="s">
        <v>3245</v>
      </c>
      <c r="I3686" s="2" t="s">
        <v>32</v>
      </c>
      <c r="J3686" s="3">
        <v>44452</v>
      </c>
      <c r="K3686" s="5">
        <f>YEAR(OrganizedData[[#This Row],[Order Date]])</f>
        <v>2021</v>
      </c>
      <c r="L3686" s="7" t="str">
        <f>TEXT(OrganizedData[[#This Row],[Order Date]],"mmm")</f>
        <v>Sep</v>
      </c>
      <c r="M3686" s="2">
        <v>25</v>
      </c>
      <c r="N3686" s="2" t="s">
        <v>70</v>
      </c>
      <c r="O3686" s="2" t="str">
        <f>VLOOKUP(OrganizedData[[#This Row],[Product Code]],ProductData[[Code]:[Item]],2,FALSE)</f>
        <v>Megawidget M</v>
      </c>
      <c r="P3686" s="4">
        <f>OrganizedData[[#This Row],[Quantity]]*VLOOKUP(OrganizedData[[#This Row],[Product Code]],ProductData[],4,FALSE)</f>
        <v>600</v>
      </c>
      <c r="Q3686" s="6">
        <f>OrganizedData[[#This Row],[Total Items Ordered]]*VLOOKUP(OrganizedData[[#This Row],[Product Code]],ProductData[],3,FALSE)</f>
        <v>774</v>
      </c>
      <c r="R36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750.78</v>
      </c>
    </row>
    <row r="3687" spans="1:18" x14ac:dyDescent="0.3">
      <c r="A3687" s="2">
        <v>3680</v>
      </c>
      <c r="B3687" s="2" t="s">
        <v>1371</v>
      </c>
      <c r="C3687" s="2" t="s">
        <v>8581</v>
      </c>
      <c r="D3687" s="2" t="s">
        <v>28</v>
      </c>
      <c r="E3687" s="2" t="s">
        <v>29</v>
      </c>
      <c r="F3687" s="2">
        <v>30</v>
      </c>
      <c r="G3687" s="2" t="s">
        <v>8582</v>
      </c>
      <c r="H3687" s="2" t="s">
        <v>1598</v>
      </c>
      <c r="I3687" s="2" t="s">
        <v>32</v>
      </c>
      <c r="J3687" s="3">
        <v>44129</v>
      </c>
      <c r="K3687" s="5">
        <f>YEAR(OrganizedData[[#This Row],[Order Date]])</f>
        <v>2020</v>
      </c>
      <c r="L3687" s="7" t="str">
        <f>TEXT(OrganizedData[[#This Row],[Order Date]],"mmm")</f>
        <v>Oct</v>
      </c>
      <c r="M3687" s="2">
        <v>76</v>
      </c>
      <c r="N3687" s="2" t="s">
        <v>20</v>
      </c>
      <c r="O3687" s="2" t="str">
        <f>VLOOKUP(OrganizedData[[#This Row],[Product Code]],ProductData[[Code]:[Item]],2,FALSE)</f>
        <v>Hyperwotsit</v>
      </c>
      <c r="P3687" s="4">
        <f>OrganizedData[[#This Row],[Quantity]]*VLOOKUP(OrganizedData[[#This Row],[Product Code]],ProductData[],4,FALSE)</f>
        <v>1520</v>
      </c>
      <c r="Q3687" s="6">
        <f>OrganizedData[[#This Row],[Total Items Ordered]]*VLOOKUP(OrganizedData[[#This Row],[Product Code]],ProductData[],3,FALSE)</f>
        <v>3055.2</v>
      </c>
      <c r="R36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2902.4399999999996</v>
      </c>
    </row>
    <row r="3688" spans="1:18" x14ac:dyDescent="0.3">
      <c r="A3688" s="2">
        <v>3681</v>
      </c>
      <c r="B3688" s="2" t="s">
        <v>8369</v>
      </c>
      <c r="C3688" s="2" t="s">
        <v>4402</v>
      </c>
      <c r="D3688" s="2" t="s">
        <v>15</v>
      </c>
      <c r="E3688" s="2" t="s">
        <v>16</v>
      </c>
      <c r="F3688" s="2">
        <v>90</v>
      </c>
      <c r="G3688" s="2" t="s">
        <v>8583</v>
      </c>
      <c r="H3688" s="2" t="s">
        <v>2498</v>
      </c>
      <c r="I3688" s="2" t="s">
        <v>913</v>
      </c>
      <c r="J3688" s="3">
        <v>43979</v>
      </c>
      <c r="K3688" s="5">
        <f>YEAR(OrganizedData[[#This Row],[Order Date]])</f>
        <v>2020</v>
      </c>
      <c r="L3688" s="7" t="str">
        <f>TEXT(OrganizedData[[#This Row],[Order Date]],"mmm")</f>
        <v>May</v>
      </c>
      <c r="M3688" s="2">
        <v>38</v>
      </c>
      <c r="N3688" s="2" t="s">
        <v>20</v>
      </c>
      <c r="O3688" s="2" t="str">
        <f>VLOOKUP(OrganizedData[[#This Row],[Product Code]],ProductData[[Code]:[Item]],2,FALSE)</f>
        <v>Hyperwotsit</v>
      </c>
      <c r="P3688" s="4">
        <f>OrganizedData[[#This Row],[Quantity]]*VLOOKUP(OrganizedData[[#This Row],[Product Code]],ProductData[],4,FALSE)</f>
        <v>760</v>
      </c>
      <c r="Q3688" s="6">
        <f>OrganizedData[[#This Row],[Total Items Ordered]]*VLOOKUP(OrganizedData[[#This Row],[Product Code]],ProductData[],3,FALSE)</f>
        <v>1527.6</v>
      </c>
      <c r="R36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1481.7719999999999</v>
      </c>
    </row>
    <row r="3689" spans="1:18" x14ac:dyDescent="0.3">
      <c r="A3689" s="2">
        <v>3682</v>
      </c>
      <c r="B3689" s="2" t="s">
        <v>8584</v>
      </c>
      <c r="C3689" s="2" t="s">
        <v>5328</v>
      </c>
      <c r="D3689" s="2" t="s">
        <v>51</v>
      </c>
      <c r="E3689" s="2" t="s">
        <v>16</v>
      </c>
      <c r="F3689" s="2">
        <v>30</v>
      </c>
      <c r="G3689" s="2" t="s">
        <v>8585</v>
      </c>
      <c r="H3689" s="2" t="s">
        <v>7546</v>
      </c>
      <c r="I3689" s="2" t="s">
        <v>187</v>
      </c>
      <c r="J3689" s="3">
        <v>44164</v>
      </c>
      <c r="K3689" s="5">
        <f>YEAR(OrganizedData[[#This Row],[Order Date]])</f>
        <v>2020</v>
      </c>
      <c r="L3689" s="7" t="str">
        <f>TEXT(OrganizedData[[#This Row],[Order Date]],"mmm")</f>
        <v>Nov</v>
      </c>
      <c r="M3689" s="2">
        <v>59</v>
      </c>
      <c r="N3689" s="2" t="s">
        <v>20</v>
      </c>
      <c r="O3689" s="2" t="str">
        <f>VLOOKUP(OrganizedData[[#This Row],[Product Code]],ProductData[[Code]:[Item]],2,FALSE)</f>
        <v>Hyperwotsit</v>
      </c>
      <c r="P3689" s="4">
        <f>OrganizedData[[#This Row],[Quantity]]*VLOOKUP(OrganizedData[[#This Row],[Product Code]],ProductData[],4,FALSE)</f>
        <v>1180</v>
      </c>
      <c r="Q3689" s="6">
        <f>OrganizedData[[#This Row],[Total Items Ordered]]*VLOOKUP(OrganizedData[[#This Row],[Product Code]],ProductData[],3,FALSE)</f>
        <v>2371.7999999999997</v>
      </c>
      <c r="R36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2253.2099999999996</v>
      </c>
    </row>
    <row r="3690" spans="1:18" x14ac:dyDescent="0.3">
      <c r="A3690" s="2">
        <v>3683</v>
      </c>
      <c r="B3690" s="2" t="s">
        <v>8586</v>
      </c>
      <c r="C3690" s="2" t="s">
        <v>7472</v>
      </c>
      <c r="D3690" s="2" t="s">
        <v>28</v>
      </c>
      <c r="E3690" s="2" t="s">
        <v>29</v>
      </c>
      <c r="F3690" s="2">
        <v>60</v>
      </c>
      <c r="G3690" s="2" t="s">
        <v>8587</v>
      </c>
      <c r="H3690" s="2" t="s">
        <v>4567</v>
      </c>
      <c r="I3690" s="2" t="s">
        <v>38</v>
      </c>
      <c r="J3690" s="3">
        <v>44071</v>
      </c>
      <c r="K3690" s="5">
        <f>YEAR(OrganizedData[[#This Row],[Order Date]])</f>
        <v>2020</v>
      </c>
      <c r="L3690" s="7" t="str">
        <f>TEXT(OrganizedData[[#This Row],[Order Date]],"mmm")</f>
        <v>Aug</v>
      </c>
      <c r="M3690" s="2">
        <v>12</v>
      </c>
      <c r="N3690" s="2" t="s">
        <v>20</v>
      </c>
      <c r="O3690" s="2" t="str">
        <f>VLOOKUP(OrganizedData[[#This Row],[Product Code]],ProductData[[Code]:[Item]],2,FALSE)</f>
        <v>Hyperwotsit</v>
      </c>
      <c r="P3690" s="4">
        <f>OrganizedData[[#This Row],[Quantity]]*VLOOKUP(OrganizedData[[#This Row],[Product Code]],ProductData[],4,FALSE)</f>
        <v>240</v>
      </c>
      <c r="Q3690" s="6">
        <f>OrganizedData[[#This Row],[Total Items Ordered]]*VLOOKUP(OrganizedData[[#This Row],[Product Code]],ProductData[],3,FALSE)</f>
        <v>482.4</v>
      </c>
      <c r="R36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482.4</v>
      </c>
    </row>
    <row r="3691" spans="1:18" x14ac:dyDescent="0.3">
      <c r="A3691" s="2">
        <v>3684</v>
      </c>
      <c r="B3691" s="2" t="s">
        <v>8588</v>
      </c>
      <c r="C3691" s="2" t="s">
        <v>305</v>
      </c>
      <c r="D3691" s="2" t="s">
        <v>15</v>
      </c>
      <c r="E3691" s="2" t="s">
        <v>16</v>
      </c>
      <c r="F3691" s="2">
        <v>30</v>
      </c>
      <c r="G3691" s="2" t="s">
        <v>8587</v>
      </c>
      <c r="H3691" s="2" t="s">
        <v>1347</v>
      </c>
      <c r="I3691" s="2" t="s">
        <v>32</v>
      </c>
      <c r="J3691" s="3">
        <v>44336</v>
      </c>
      <c r="K3691" s="5">
        <f>YEAR(OrganizedData[[#This Row],[Order Date]])</f>
        <v>2021</v>
      </c>
      <c r="L3691" s="7" t="str">
        <f>TEXT(OrganizedData[[#This Row],[Order Date]],"mmm")</f>
        <v>May</v>
      </c>
      <c r="M3691" s="2">
        <v>76</v>
      </c>
      <c r="N3691" s="2" t="s">
        <v>159</v>
      </c>
      <c r="O3691" s="2" t="str">
        <f>VLOOKUP(OrganizedData[[#This Row],[Product Code]],ProductData[[Code]:[Item]],2,FALSE)</f>
        <v>Ultrathing V3</v>
      </c>
      <c r="P3691" s="4">
        <f>OrganizedData[[#This Row],[Quantity]]*VLOOKUP(OrganizedData[[#This Row],[Product Code]],ProductData[],4,FALSE)</f>
        <v>1824</v>
      </c>
      <c r="Q3691" s="6">
        <f>OrganizedData[[#This Row],[Total Items Ordered]]*VLOOKUP(OrganizedData[[#This Row],[Product Code]],ProductData[],3,FALSE)</f>
        <v>6183.3600000000006</v>
      </c>
      <c r="R36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5874.192</v>
      </c>
    </row>
    <row r="3692" spans="1:18" x14ac:dyDescent="0.3">
      <c r="A3692" s="2">
        <v>3685</v>
      </c>
      <c r="B3692" s="2" t="s">
        <v>8589</v>
      </c>
      <c r="C3692" s="2" t="s">
        <v>5199</v>
      </c>
      <c r="D3692" s="2" t="s">
        <v>15</v>
      </c>
      <c r="E3692" s="2" t="s">
        <v>16</v>
      </c>
      <c r="F3692" s="2">
        <v>30</v>
      </c>
      <c r="G3692" s="2" t="s">
        <v>8590</v>
      </c>
      <c r="H3692" s="2" t="s">
        <v>599</v>
      </c>
      <c r="I3692" s="2" t="s">
        <v>32</v>
      </c>
      <c r="J3692" s="3">
        <v>44299</v>
      </c>
      <c r="K3692" s="5">
        <f>YEAR(OrganizedData[[#This Row],[Order Date]])</f>
        <v>2021</v>
      </c>
      <c r="L3692" s="7" t="str">
        <f>TEXT(OrganizedData[[#This Row],[Order Date]],"mmm")</f>
        <v>Apr</v>
      </c>
      <c r="M3692" s="2">
        <v>73</v>
      </c>
      <c r="N3692" s="2" t="s">
        <v>80</v>
      </c>
      <c r="O3692" s="2" t="str">
        <f>VLOOKUP(OrganizedData[[#This Row],[Product Code]],ProductData[[Code]:[Item]],2,FALSE)</f>
        <v>Ultrathing V2</v>
      </c>
      <c r="P3692" s="4">
        <f>OrganizedData[[#This Row],[Quantity]]*VLOOKUP(OrganizedData[[#This Row],[Product Code]],ProductData[],4,FALSE)</f>
        <v>1460</v>
      </c>
      <c r="Q3692" s="6">
        <f>OrganizedData[[#This Row],[Total Items Ordered]]*VLOOKUP(OrganizedData[[#This Row],[Product Code]],ProductData[],3,FALSE)</f>
        <v>4307</v>
      </c>
      <c r="R36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3693" spans="1:18" x14ac:dyDescent="0.3">
      <c r="A3693" s="2">
        <v>3686</v>
      </c>
      <c r="B3693" s="2" t="s">
        <v>8591</v>
      </c>
      <c r="C3693" s="2" t="s">
        <v>4819</v>
      </c>
      <c r="D3693" s="2" t="s">
        <v>41</v>
      </c>
      <c r="E3693" s="2" t="s">
        <v>16</v>
      </c>
      <c r="F3693" s="2">
        <v>60</v>
      </c>
      <c r="G3693" s="2" t="s">
        <v>8592</v>
      </c>
      <c r="H3693" s="2" t="s">
        <v>6907</v>
      </c>
      <c r="I3693" s="2" t="s">
        <v>32</v>
      </c>
      <c r="J3693" s="3">
        <v>44606</v>
      </c>
      <c r="K3693" s="5">
        <f>YEAR(OrganizedData[[#This Row],[Order Date]])</f>
        <v>2022</v>
      </c>
      <c r="L3693" s="7" t="str">
        <f>TEXT(OrganizedData[[#This Row],[Order Date]],"mmm")</f>
        <v>Feb</v>
      </c>
      <c r="M3693" s="2">
        <v>54</v>
      </c>
      <c r="N3693" s="2" t="s">
        <v>80</v>
      </c>
      <c r="O3693" s="2" t="str">
        <f>VLOOKUP(OrganizedData[[#This Row],[Product Code]],ProductData[[Code]:[Item]],2,FALSE)</f>
        <v>Ultrathing V2</v>
      </c>
      <c r="P3693" s="4">
        <f>OrganizedData[[#This Row],[Quantity]]*VLOOKUP(OrganizedData[[#This Row],[Product Code]],ProductData[],4,FALSE)</f>
        <v>1080</v>
      </c>
      <c r="Q3693" s="6">
        <f>OrganizedData[[#This Row],[Total Items Ordered]]*VLOOKUP(OrganizedData[[#This Row],[Product Code]],ProductData[],3,FALSE)</f>
        <v>3186</v>
      </c>
      <c r="R36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3026.7</v>
      </c>
    </row>
    <row r="3694" spans="1:18" x14ac:dyDescent="0.3">
      <c r="A3694" s="2">
        <v>3687</v>
      </c>
      <c r="B3694" s="2" t="s">
        <v>8593</v>
      </c>
      <c r="C3694" s="2" t="s">
        <v>4045</v>
      </c>
      <c r="D3694" s="2" t="s">
        <v>28</v>
      </c>
      <c r="E3694" s="2" t="s">
        <v>29</v>
      </c>
      <c r="F3694" s="2">
        <v>60</v>
      </c>
      <c r="G3694" s="2" t="s">
        <v>8594</v>
      </c>
      <c r="H3694" s="2" t="s">
        <v>7829</v>
      </c>
      <c r="I3694" s="2" t="s">
        <v>934</v>
      </c>
      <c r="J3694" s="3">
        <v>44098</v>
      </c>
      <c r="K3694" s="5">
        <f>YEAR(OrganizedData[[#This Row],[Order Date]])</f>
        <v>2020</v>
      </c>
      <c r="L3694" s="7" t="str">
        <f>TEXT(OrganizedData[[#This Row],[Order Date]],"mmm")</f>
        <v>Sep</v>
      </c>
      <c r="M3694" s="2">
        <v>67</v>
      </c>
      <c r="N3694" s="2" t="s">
        <v>159</v>
      </c>
      <c r="O3694" s="2" t="str">
        <f>VLOOKUP(OrganizedData[[#This Row],[Product Code]],ProductData[[Code]:[Item]],2,FALSE)</f>
        <v>Ultrathing V3</v>
      </c>
      <c r="P3694" s="4">
        <f>OrganizedData[[#This Row],[Quantity]]*VLOOKUP(OrganizedData[[#This Row],[Product Code]],ProductData[],4,FALSE)</f>
        <v>1608</v>
      </c>
      <c r="Q3694" s="6">
        <f>OrganizedData[[#This Row],[Total Items Ordered]]*VLOOKUP(OrganizedData[[#This Row],[Product Code]],ProductData[],3,FALSE)</f>
        <v>5451.12</v>
      </c>
      <c r="R36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5178.5639999999994</v>
      </c>
    </row>
    <row r="3695" spans="1:18" x14ac:dyDescent="0.3">
      <c r="A3695" s="2">
        <v>3688</v>
      </c>
      <c r="B3695" s="2" t="s">
        <v>8595</v>
      </c>
      <c r="C3695" s="2" t="s">
        <v>188</v>
      </c>
      <c r="D3695" s="2" t="s">
        <v>51</v>
      </c>
      <c r="E3695" s="2" t="s">
        <v>16</v>
      </c>
      <c r="F3695" s="2">
        <v>60</v>
      </c>
      <c r="G3695" s="2" t="s">
        <v>8596</v>
      </c>
      <c r="H3695" s="2" t="s">
        <v>141</v>
      </c>
      <c r="I3695" s="2" t="s">
        <v>32</v>
      </c>
      <c r="J3695" s="3">
        <v>44001</v>
      </c>
      <c r="K3695" s="5">
        <f>YEAR(OrganizedData[[#This Row],[Order Date]])</f>
        <v>2020</v>
      </c>
      <c r="L3695" s="7" t="str">
        <f>TEXT(OrganizedData[[#This Row],[Order Date]],"mmm")</f>
        <v>Jun</v>
      </c>
      <c r="M3695" s="2">
        <v>7</v>
      </c>
      <c r="N3695" s="2" t="s">
        <v>54</v>
      </c>
      <c r="O3695" s="2" t="str">
        <f>VLOOKUP(OrganizedData[[#This Row],[Product Code]],ProductData[[Code]:[Item]],2,FALSE)</f>
        <v>Megawidget S</v>
      </c>
      <c r="P3695" s="4">
        <f>OrganizedData[[#This Row],[Quantity]]*VLOOKUP(OrganizedData[[#This Row],[Product Code]],ProductData[],4,FALSE)</f>
        <v>168</v>
      </c>
      <c r="Q3695" s="6">
        <f>OrganizedData[[#This Row],[Total Items Ordered]]*VLOOKUP(OrganizedData[[#This Row],[Product Code]],ProductData[],3,FALSE)</f>
        <v>115.91999999999999</v>
      </c>
      <c r="R36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3696" spans="1:18" x14ac:dyDescent="0.3">
      <c r="A3696" s="2">
        <v>3689</v>
      </c>
      <c r="B3696" s="2" t="s">
        <v>1748</v>
      </c>
      <c r="C3696" s="2" t="s">
        <v>2677</v>
      </c>
      <c r="D3696" s="2" t="s">
        <v>28</v>
      </c>
      <c r="E3696" s="2" t="s">
        <v>29</v>
      </c>
      <c r="F3696" s="2">
        <v>90</v>
      </c>
      <c r="G3696" s="2" t="s">
        <v>8597</v>
      </c>
      <c r="H3696" s="2" t="s">
        <v>6770</v>
      </c>
      <c r="I3696" s="2" t="s">
        <v>124</v>
      </c>
      <c r="J3696" s="3">
        <v>44230</v>
      </c>
      <c r="K3696" s="5">
        <f>YEAR(OrganizedData[[#This Row],[Order Date]])</f>
        <v>2021</v>
      </c>
      <c r="L3696" s="7" t="str">
        <f>TEXT(OrganizedData[[#This Row],[Order Date]],"mmm")</f>
        <v>Feb</v>
      </c>
      <c r="M3696" s="2">
        <v>7</v>
      </c>
      <c r="N3696" s="2" t="s">
        <v>33</v>
      </c>
      <c r="O3696" s="2" t="str">
        <f>VLOOKUP(OrganizedData[[#This Row],[Product Code]],ProductData[[Code]:[Item]],2,FALSE)</f>
        <v>Megawidget L</v>
      </c>
      <c r="P3696" s="4">
        <f>OrganizedData[[#This Row],[Quantity]]*VLOOKUP(OrganizedData[[#This Row],[Product Code]],ProductData[],4,FALSE)</f>
        <v>168</v>
      </c>
      <c r="Q3696" s="6">
        <f>OrganizedData[[#This Row],[Total Items Ordered]]*VLOOKUP(OrganizedData[[#This Row],[Product Code]],ProductData[],3,FALSE)</f>
        <v>300.72000000000003</v>
      </c>
      <c r="R36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3697" spans="1:18" x14ac:dyDescent="0.3">
      <c r="A3697" s="2">
        <v>3690</v>
      </c>
      <c r="B3697" s="2" t="s">
        <v>8598</v>
      </c>
      <c r="C3697" s="2" t="s">
        <v>3700</v>
      </c>
      <c r="D3697" s="2" t="s">
        <v>28</v>
      </c>
      <c r="E3697" s="2" t="s">
        <v>29</v>
      </c>
      <c r="F3697" s="2">
        <v>60</v>
      </c>
      <c r="G3697" s="2" t="s">
        <v>8599</v>
      </c>
      <c r="H3697" s="2" t="s">
        <v>5794</v>
      </c>
      <c r="I3697" s="2" t="s">
        <v>294</v>
      </c>
      <c r="J3697" s="3">
        <v>43929</v>
      </c>
      <c r="K3697" s="5">
        <f>YEAR(OrganizedData[[#This Row],[Order Date]])</f>
        <v>2020</v>
      </c>
      <c r="L3697" s="7" t="str">
        <f>TEXT(OrganizedData[[#This Row],[Order Date]],"mmm")</f>
        <v>Apr</v>
      </c>
      <c r="M3697" s="2">
        <v>32</v>
      </c>
      <c r="N3697" s="2" t="s">
        <v>45</v>
      </c>
      <c r="O3697" s="2" t="str">
        <f>VLOOKUP(OrganizedData[[#This Row],[Product Code]],ProductData[[Code]:[Item]],2,FALSE)</f>
        <v>Gigastuff</v>
      </c>
      <c r="P3697" s="4">
        <f>OrganizedData[[#This Row],[Quantity]]*VLOOKUP(OrganizedData[[#This Row],[Product Code]],ProductData[],4,FALSE)</f>
        <v>576</v>
      </c>
      <c r="Q3697" s="6">
        <f>OrganizedData[[#This Row],[Total Items Ordered]]*VLOOKUP(OrganizedData[[#This Row],[Product Code]],ProductData[],3,FALSE)</f>
        <v>1088.6399999999999</v>
      </c>
      <c r="R36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3698" spans="1:18" x14ac:dyDescent="0.3">
      <c r="A3698" s="2">
        <v>3691</v>
      </c>
      <c r="B3698" s="2" t="s">
        <v>3400</v>
      </c>
      <c r="C3698" s="2" t="s">
        <v>1596</v>
      </c>
      <c r="D3698" s="2" t="s">
        <v>51</v>
      </c>
      <c r="E3698" s="2" t="s">
        <v>16</v>
      </c>
      <c r="F3698" s="2">
        <v>30</v>
      </c>
      <c r="G3698" s="2" t="s">
        <v>8600</v>
      </c>
      <c r="H3698" s="2" t="s">
        <v>1729</v>
      </c>
      <c r="I3698" s="2" t="s">
        <v>32</v>
      </c>
      <c r="J3698" s="3">
        <v>43881</v>
      </c>
      <c r="K3698" s="5">
        <f>YEAR(OrganizedData[[#This Row],[Order Date]])</f>
        <v>2020</v>
      </c>
      <c r="L3698" s="7" t="str">
        <f>TEXT(OrganizedData[[#This Row],[Order Date]],"mmm")</f>
        <v>Feb</v>
      </c>
      <c r="M3698" s="2">
        <v>54</v>
      </c>
      <c r="N3698" s="2" t="s">
        <v>80</v>
      </c>
      <c r="O3698" s="2" t="str">
        <f>VLOOKUP(OrganizedData[[#This Row],[Product Code]],ProductData[[Code]:[Item]],2,FALSE)</f>
        <v>Ultrathing V2</v>
      </c>
      <c r="P3698" s="4">
        <f>OrganizedData[[#This Row],[Quantity]]*VLOOKUP(OrganizedData[[#This Row],[Product Code]],ProductData[],4,FALSE)</f>
        <v>1080</v>
      </c>
      <c r="Q3698" s="6">
        <f>OrganizedData[[#This Row],[Total Items Ordered]]*VLOOKUP(OrganizedData[[#This Row],[Product Code]],ProductData[],3,FALSE)</f>
        <v>3186</v>
      </c>
      <c r="R36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3026.7</v>
      </c>
    </row>
    <row r="3699" spans="1:18" x14ac:dyDescent="0.3">
      <c r="A3699" s="2">
        <v>3692</v>
      </c>
      <c r="B3699" s="2" t="s">
        <v>7804</v>
      </c>
      <c r="C3699" s="2" t="s">
        <v>2499</v>
      </c>
      <c r="D3699" s="2" t="s">
        <v>28</v>
      </c>
      <c r="E3699" s="2" t="s">
        <v>29</v>
      </c>
      <c r="F3699" s="2">
        <v>30</v>
      </c>
      <c r="G3699" s="2" t="s">
        <v>8601</v>
      </c>
      <c r="H3699" s="2" t="s">
        <v>5843</v>
      </c>
      <c r="I3699" s="2" t="s">
        <v>25</v>
      </c>
      <c r="J3699" s="3">
        <v>44653</v>
      </c>
      <c r="K3699" s="5">
        <f>YEAR(OrganizedData[[#This Row],[Order Date]])</f>
        <v>2022</v>
      </c>
      <c r="L3699" s="7" t="str">
        <f>TEXT(OrganizedData[[#This Row],[Order Date]],"mmm")</f>
        <v>Apr</v>
      </c>
      <c r="M3699" s="2">
        <v>94</v>
      </c>
      <c r="N3699" s="2" t="s">
        <v>64</v>
      </c>
      <c r="O3699" s="2" t="str">
        <f>VLOOKUP(OrganizedData[[#This Row],[Product Code]],ProductData[[Code]:[Item]],2,FALSE)</f>
        <v>Ultrathing V4</v>
      </c>
      <c r="P3699" s="4">
        <f>OrganizedData[[#This Row],[Quantity]]*VLOOKUP(OrganizedData[[#This Row],[Product Code]],ProductData[],4,FALSE)</f>
        <v>2256</v>
      </c>
      <c r="Q3699" s="6">
        <f>OrganizedData[[#This Row],[Total Items Ordered]]*VLOOKUP(OrganizedData[[#This Row],[Product Code]],ProductData[],3,FALSE)</f>
        <v>9001.44</v>
      </c>
      <c r="R36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8551.3680000000004</v>
      </c>
    </row>
    <row r="3700" spans="1:18" x14ac:dyDescent="0.3">
      <c r="A3700" s="2">
        <v>3693</v>
      </c>
      <c r="B3700" s="2" t="s">
        <v>909</v>
      </c>
      <c r="C3700" s="2" t="s">
        <v>272</v>
      </c>
      <c r="D3700" s="2" t="s">
        <v>41</v>
      </c>
      <c r="E3700" s="2" t="s">
        <v>16</v>
      </c>
      <c r="F3700" s="2">
        <v>60</v>
      </c>
      <c r="G3700" s="2" t="s">
        <v>8602</v>
      </c>
      <c r="H3700" s="2" t="s">
        <v>685</v>
      </c>
      <c r="I3700" s="2" t="s">
        <v>686</v>
      </c>
      <c r="J3700" s="3">
        <v>44265</v>
      </c>
      <c r="K3700" s="5">
        <f>YEAR(OrganizedData[[#This Row],[Order Date]])</f>
        <v>2021</v>
      </c>
      <c r="L3700" s="7" t="str">
        <f>TEXT(OrganizedData[[#This Row],[Order Date]],"mmm")</f>
        <v>Mar</v>
      </c>
      <c r="M3700" s="2">
        <v>77</v>
      </c>
      <c r="N3700" s="2" t="s">
        <v>45</v>
      </c>
      <c r="O3700" s="2" t="str">
        <f>VLOOKUP(OrganizedData[[#This Row],[Product Code]],ProductData[[Code]:[Item]],2,FALSE)</f>
        <v>Gigastuff</v>
      </c>
      <c r="P3700" s="4">
        <f>OrganizedData[[#This Row],[Quantity]]*VLOOKUP(OrganizedData[[#This Row],[Product Code]],ProductData[],4,FALSE)</f>
        <v>1386</v>
      </c>
      <c r="Q3700" s="6">
        <f>OrganizedData[[#This Row],[Total Items Ordered]]*VLOOKUP(OrganizedData[[#This Row],[Product Code]],ProductData[],3,FALSE)</f>
        <v>2619.54</v>
      </c>
      <c r="R37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2488.5629999999996</v>
      </c>
    </row>
    <row r="3701" spans="1:18" x14ac:dyDescent="0.3">
      <c r="A3701" s="2">
        <v>3694</v>
      </c>
      <c r="B3701" s="2" t="s">
        <v>8603</v>
      </c>
      <c r="C3701" s="2" t="s">
        <v>8604</v>
      </c>
      <c r="D3701" s="2" t="s">
        <v>41</v>
      </c>
      <c r="E3701" s="2" t="s">
        <v>16</v>
      </c>
      <c r="F3701" s="2">
        <v>30</v>
      </c>
      <c r="G3701" s="2" t="s">
        <v>8605</v>
      </c>
      <c r="H3701" s="2" t="s">
        <v>641</v>
      </c>
      <c r="I3701" s="2" t="s">
        <v>294</v>
      </c>
      <c r="J3701" s="3">
        <v>44287</v>
      </c>
      <c r="K3701" s="5">
        <f>YEAR(OrganizedData[[#This Row],[Order Date]])</f>
        <v>2021</v>
      </c>
      <c r="L3701" s="7" t="str">
        <f>TEXT(OrganizedData[[#This Row],[Order Date]],"mmm")</f>
        <v>Apr</v>
      </c>
      <c r="M3701" s="2">
        <v>74</v>
      </c>
      <c r="N3701" s="2" t="s">
        <v>159</v>
      </c>
      <c r="O3701" s="2" t="str">
        <f>VLOOKUP(OrganizedData[[#This Row],[Product Code]],ProductData[[Code]:[Item]],2,FALSE)</f>
        <v>Ultrathing V3</v>
      </c>
      <c r="P3701" s="4">
        <f>OrganizedData[[#This Row],[Quantity]]*VLOOKUP(OrganizedData[[#This Row],[Product Code]],ProductData[],4,FALSE)</f>
        <v>1776</v>
      </c>
      <c r="Q3701" s="6">
        <f>OrganizedData[[#This Row],[Total Items Ordered]]*VLOOKUP(OrganizedData[[#This Row],[Product Code]],ProductData[],3,FALSE)</f>
        <v>6020.64</v>
      </c>
      <c r="R37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3702" spans="1:18" x14ac:dyDescent="0.3">
      <c r="A3702" s="2">
        <v>3695</v>
      </c>
      <c r="B3702" s="2" t="s">
        <v>8606</v>
      </c>
      <c r="C3702" s="2" t="s">
        <v>2434</v>
      </c>
      <c r="D3702" s="2" t="s">
        <v>28</v>
      </c>
      <c r="E3702" s="2" t="s">
        <v>29</v>
      </c>
      <c r="F3702" s="2">
        <v>60</v>
      </c>
      <c r="G3702" s="2" t="s">
        <v>8607</v>
      </c>
      <c r="H3702" s="2" t="s">
        <v>3894</v>
      </c>
      <c r="I3702" s="2" t="s">
        <v>110</v>
      </c>
      <c r="J3702" s="3">
        <v>44005</v>
      </c>
      <c r="K3702" s="5">
        <f>YEAR(OrganizedData[[#This Row],[Order Date]])</f>
        <v>2020</v>
      </c>
      <c r="L3702" s="7" t="str">
        <f>TEXT(OrganizedData[[#This Row],[Order Date]],"mmm")</f>
        <v>Jun</v>
      </c>
      <c r="M3702" s="2">
        <v>75</v>
      </c>
      <c r="N3702" s="2" t="s">
        <v>80</v>
      </c>
      <c r="O3702" s="2" t="str">
        <f>VLOOKUP(OrganizedData[[#This Row],[Product Code]],ProductData[[Code]:[Item]],2,FALSE)</f>
        <v>Ultrathing V2</v>
      </c>
      <c r="P3702" s="4">
        <f>OrganizedData[[#This Row],[Quantity]]*VLOOKUP(OrganizedData[[#This Row],[Product Code]],ProductData[],4,FALSE)</f>
        <v>1500</v>
      </c>
      <c r="Q3702" s="6">
        <f>OrganizedData[[#This Row],[Total Items Ordered]]*VLOOKUP(OrganizedData[[#This Row],[Product Code]],ProductData[],3,FALSE)</f>
        <v>4425</v>
      </c>
      <c r="R37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4203.75</v>
      </c>
    </row>
    <row r="3703" spans="1:18" x14ac:dyDescent="0.3">
      <c r="A3703" s="2">
        <v>3696</v>
      </c>
      <c r="B3703" s="2" t="s">
        <v>8608</v>
      </c>
      <c r="C3703" s="2" t="s">
        <v>481</v>
      </c>
      <c r="D3703" s="2" t="s">
        <v>51</v>
      </c>
      <c r="E3703" s="2" t="s">
        <v>16</v>
      </c>
      <c r="F3703" s="2">
        <v>60</v>
      </c>
      <c r="G3703" s="2" t="s">
        <v>8609</v>
      </c>
      <c r="H3703" s="2" t="s">
        <v>3666</v>
      </c>
      <c r="I3703" s="2" t="s">
        <v>1483</v>
      </c>
      <c r="J3703" s="3">
        <v>44209</v>
      </c>
      <c r="K3703" s="5">
        <f>YEAR(OrganizedData[[#This Row],[Order Date]])</f>
        <v>2021</v>
      </c>
      <c r="L3703" s="7" t="str">
        <f>TEXT(OrganizedData[[#This Row],[Order Date]],"mmm")</f>
        <v>Jan</v>
      </c>
      <c r="M3703" s="2">
        <v>17</v>
      </c>
      <c r="N3703" s="2" t="s">
        <v>45</v>
      </c>
      <c r="O3703" s="2" t="str">
        <f>VLOOKUP(OrganizedData[[#This Row],[Product Code]],ProductData[[Code]:[Item]],2,FALSE)</f>
        <v>Gigastuff</v>
      </c>
      <c r="P3703" s="4">
        <f>OrganizedData[[#This Row],[Quantity]]*VLOOKUP(OrganizedData[[#This Row],[Product Code]],ProductData[],4,FALSE)</f>
        <v>306</v>
      </c>
      <c r="Q3703" s="6">
        <f>OrganizedData[[#This Row],[Total Items Ordered]]*VLOOKUP(OrganizedData[[#This Row],[Product Code]],ProductData[],3,FALSE)</f>
        <v>578.33999999999992</v>
      </c>
      <c r="R37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3704" spans="1:18" x14ac:dyDescent="0.3">
      <c r="A3704" s="2">
        <v>3697</v>
      </c>
      <c r="B3704" s="2" t="s">
        <v>7311</v>
      </c>
      <c r="C3704" s="2" t="s">
        <v>2332</v>
      </c>
      <c r="D3704" s="2" t="s">
        <v>51</v>
      </c>
      <c r="E3704" s="2" t="s">
        <v>16</v>
      </c>
      <c r="F3704" s="2">
        <v>30</v>
      </c>
      <c r="G3704" s="2" t="s">
        <v>8610</v>
      </c>
      <c r="H3704" s="2" t="s">
        <v>5934</v>
      </c>
      <c r="I3704" s="2" t="s">
        <v>173</v>
      </c>
      <c r="J3704" s="3">
        <v>44427</v>
      </c>
      <c r="K3704" s="5">
        <f>YEAR(OrganizedData[[#This Row],[Order Date]])</f>
        <v>2021</v>
      </c>
      <c r="L3704" s="7" t="str">
        <f>TEXT(OrganizedData[[#This Row],[Order Date]],"mmm")</f>
        <v>Aug</v>
      </c>
      <c r="M3704" s="2">
        <v>21</v>
      </c>
      <c r="N3704" s="2" t="s">
        <v>101</v>
      </c>
      <c r="O3704" s="2" t="str">
        <f>VLOOKUP(OrganizedData[[#This Row],[Product Code]],ProductData[[Code]:[Item]],2,FALSE)</f>
        <v>Superwossname</v>
      </c>
      <c r="P3704" s="4">
        <f>OrganizedData[[#This Row],[Quantity]]*VLOOKUP(OrganizedData[[#This Row],[Product Code]],ProductData[],4,FALSE)</f>
        <v>420</v>
      </c>
      <c r="Q3704" s="6">
        <f>OrganizedData[[#This Row],[Total Items Ordered]]*VLOOKUP(OrganizedData[[#This Row],[Product Code]],ProductData[],3,FALSE)</f>
        <v>1465.8000000000002</v>
      </c>
      <c r="R37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1421.8260000000002</v>
      </c>
    </row>
    <row r="3705" spans="1:18" x14ac:dyDescent="0.3">
      <c r="A3705" s="2">
        <v>3698</v>
      </c>
      <c r="B3705" s="2" t="s">
        <v>441</v>
      </c>
      <c r="C3705" s="2" t="s">
        <v>3467</v>
      </c>
      <c r="D3705" s="2" t="s">
        <v>28</v>
      </c>
      <c r="E3705" s="2" t="s">
        <v>29</v>
      </c>
      <c r="F3705" s="2">
        <v>60</v>
      </c>
      <c r="G3705" s="2" t="s">
        <v>8611</v>
      </c>
      <c r="H3705" s="2" t="s">
        <v>1859</v>
      </c>
      <c r="I3705" s="2" t="s">
        <v>89</v>
      </c>
      <c r="J3705" s="3">
        <v>44135</v>
      </c>
      <c r="K3705" s="5">
        <f>YEAR(OrganizedData[[#This Row],[Order Date]])</f>
        <v>2020</v>
      </c>
      <c r="L3705" s="7" t="str">
        <f>TEXT(OrganizedData[[#This Row],[Order Date]],"mmm")</f>
        <v>Oct</v>
      </c>
      <c r="M3705" s="2">
        <v>10</v>
      </c>
      <c r="N3705" s="2" t="s">
        <v>159</v>
      </c>
      <c r="O3705" s="2" t="str">
        <f>VLOOKUP(OrganizedData[[#This Row],[Product Code]],ProductData[[Code]:[Item]],2,FALSE)</f>
        <v>Ultrathing V3</v>
      </c>
      <c r="P3705" s="4">
        <f>OrganizedData[[#This Row],[Quantity]]*VLOOKUP(OrganizedData[[#This Row],[Product Code]],ProductData[],4,FALSE)</f>
        <v>240</v>
      </c>
      <c r="Q3705" s="6">
        <f>OrganizedData[[#This Row],[Total Items Ordered]]*VLOOKUP(OrganizedData[[#This Row],[Product Code]],ProductData[],3,FALSE)</f>
        <v>813.6</v>
      </c>
      <c r="R37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3706" spans="1:18" x14ac:dyDescent="0.3">
      <c r="A3706" s="2">
        <v>3699</v>
      </c>
      <c r="B3706" s="2" t="s">
        <v>8612</v>
      </c>
      <c r="C3706" s="2" t="s">
        <v>1851</v>
      </c>
      <c r="D3706" s="2" t="s">
        <v>51</v>
      </c>
      <c r="E3706" s="2" t="s">
        <v>16</v>
      </c>
      <c r="F3706" s="2">
        <v>90</v>
      </c>
      <c r="G3706" s="2" t="s">
        <v>8611</v>
      </c>
      <c r="H3706" s="2" t="s">
        <v>1382</v>
      </c>
      <c r="I3706" s="2" t="s">
        <v>32</v>
      </c>
      <c r="J3706" s="3">
        <v>44704</v>
      </c>
      <c r="K3706" s="5">
        <f>YEAR(OrganizedData[[#This Row],[Order Date]])</f>
        <v>2022</v>
      </c>
      <c r="L3706" s="7" t="str">
        <f>TEXT(OrganizedData[[#This Row],[Order Date]],"mmm")</f>
        <v>May</v>
      </c>
      <c r="M3706" s="2">
        <v>94</v>
      </c>
      <c r="N3706" s="2" t="s">
        <v>101</v>
      </c>
      <c r="O3706" s="2" t="str">
        <f>VLOOKUP(OrganizedData[[#This Row],[Product Code]],ProductData[[Code]:[Item]],2,FALSE)</f>
        <v>Superwossname</v>
      </c>
      <c r="P3706" s="4">
        <f>OrganizedData[[#This Row],[Quantity]]*VLOOKUP(OrganizedData[[#This Row],[Product Code]],ProductData[],4,FALSE)</f>
        <v>1880</v>
      </c>
      <c r="Q3706" s="6">
        <f>OrganizedData[[#This Row],[Total Items Ordered]]*VLOOKUP(OrganizedData[[#This Row],[Product Code]],ProductData[],3,FALSE)</f>
        <v>6561.2000000000007</v>
      </c>
      <c r="R37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6233.14</v>
      </c>
    </row>
    <row r="3707" spans="1:18" x14ac:dyDescent="0.3">
      <c r="A3707" s="2">
        <v>3700</v>
      </c>
      <c r="B3707" s="2" t="s">
        <v>7624</v>
      </c>
      <c r="C3707" s="2" t="s">
        <v>5032</v>
      </c>
      <c r="D3707" s="2" t="s">
        <v>15</v>
      </c>
      <c r="E3707" s="2" t="s">
        <v>16</v>
      </c>
      <c r="F3707" s="2">
        <v>90</v>
      </c>
      <c r="G3707" s="2" t="s">
        <v>8613</v>
      </c>
      <c r="H3707" s="2" t="s">
        <v>1077</v>
      </c>
      <c r="I3707" s="2" t="s">
        <v>1078</v>
      </c>
      <c r="J3707" s="3">
        <v>44863</v>
      </c>
      <c r="K3707" s="5">
        <f>YEAR(OrganizedData[[#This Row],[Order Date]])</f>
        <v>2022</v>
      </c>
      <c r="L3707" s="7" t="str">
        <f>TEXT(OrganizedData[[#This Row],[Order Date]],"mmm")</f>
        <v>Oct</v>
      </c>
      <c r="M3707" s="2">
        <v>97</v>
      </c>
      <c r="N3707" s="2" t="s">
        <v>54</v>
      </c>
      <c r="O3707" s="2" t="str">
        <f>VLOOKUP(OrganizedData[[#This Row],[Product Code]],ProductData[[Code]:[Item]],2,FALSE)</f>
        <v>Megawidget S</v>
      </c>
      <c r="P3707" s="4">
        <f>OrganizedData[[#This Row],[Quantity]]*VLOOKUP(OrganizedData[[#This Row],[Product Code]],ProductData[],4,FALSE)</f>
        <v>2328</v>
      </c>
      <c r="Q3707" s="6">
        <f>OrganizedData[[#This Row],[Total Items Ordered]]*VLOOKUP(OrganizedData[[#This Row],[Product Code]],ProductData[],3,FALSE)</f>
        <v>1606.32</v>
      </c>
      <c r="R37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1526.0039999999999</v>
      </c>
    </row>
    <row r="3708" spans="1:18" x14ac:dyDescent="0.3">
      <c r="A3708" s="2">
        <v>3701</v>
      </c>
      <c r="B3708" s="2" t="s">
        <v>5849</v>
      </c>
      <c r="C3708" s="2" t="s">
        <v>841</v>
      </c>
      <c r="D3708" s="2" t="s">
        <v>28</v>
      </c>
      <c r="E3708" s="2" t="s">
        <v>29</v>
      </c>
      <c r="F3708" s="2">
        <v>90</v>
      </c>
      <c r="G3708" s="2" t="s">
        <v>8614</v>
      </c>
      <c r="H3708" s="2" t="s">
        <v>4081</v>
      </c>
      <c r="I3708" s="2" t="s">
        <v>32</v>
      </c>
      <c r="J3708" s="3">
        <v>44233</v>
      </c>
      <c r="K3708" s="5">
        <f>YEAR(OrganizedData[[#This Row],[Order Date]])</f>
        <v>2021</v>
      </c>
      <c r="L3708" s="7" t="str">
        <f>TEXT(OrganizedData[[#This Row],[Order Date]],"mmm")</f>
        <v>Feb</v>
      </c>
      <c r="M3708" s="2">
        <v>20</v>
      </c>
      <c r="N3708" s="2" t="s">
        <v>33</v>
      </c>
      <c r="O3708" s="2" t="str">
        <f>VLOOKUP(OrganizedData[[#This Row],[Product Code]],ProductData[[Code]:[Item]],2,FALSE)</f>
        <v>Megawidget L</v>
      </c>
      <c r="P3708" s="4">
        <f>OrganizedData[[#This Row],[Quantity]]*VLOOKUP(OrganizedData[[#This Row],[Product Code]],ProductData[],4,FALSE)</f>
        <v>480</v>
      </c>
      <c r="Q3708" s="6">
        <f>OrganizedData[[#This Row],[Total Items Ordered]]*VLOOKUP(OrganizedData[[#This Row],[Product Code]],ProductData[],3,FALSE)</f>
        <v>859.2</v>
      </c>
      <c r="R37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3709" spans="1:18" x14ac:dyDescent="0.3">
      <c r="A3709" s="2">
        <v>3702</v>
      </c>
      <c r="B3709" s="2" t="s">
        <v>8615</v>
      </c>
      <c r="C3709" s="2" t="s">
        <v>1054</v>
      </c>
      <c r="D3709" s="2" t="s">
        <v>51</v>
      </c>
      <c r="E3709" s="2" t="s">
        <v>16</v>
      </c>
      <c r="F3709" s="2">
        <v>30</v>
      </c>
      <c r="G3709" s="2" t="s">
        <v>8616</v>
      </c>
      <c r="H3709" s="2" t="s">
        <v>853</v>
      </c>
      <c r="I3709" s="2" t="s">
        <v>32</v>
      </c>
      <c r="J3709" s="3">
        <v>44042</v>
      </c>
      <c r="K3709" s="5">
        <f>YEAR(OrganizedData[[#This Row],[Order Date]])</f>
        <v>2020</v>
      </c>
      <c r="L3709" s="7" t="str">
        <f>TEXT(OrganizedData[[#This Row],[Order Date]],"mmm")</f>
        <v>Jul</v>
      </c>
      <c r="M3709" s="2">
        <v>42</v>
      </c>
      <c r="N3709" s="2" t="s">
        <v>54</v>
      </c>
      <c r="O3709" s="2" t="str">
        <f>VLOOKUP(OrganizedData[[#This Row],[Product Code]],ProductData[[Code]:[Item]],2,FALSE)</f>
        <v>Megawidget S</v>
      </c>
      <c r="P3709" s="4">
        <f>OrganizedData[[#This Row],[Quantity]]*VLOOKUP(OrganizedData[[#This Row],[Product Code]],ProductData[],4,FALSE)</f>
        <v>1008</v>
      </c>
      <c r="Q3709" s="6">
        <f>OrganizedData[[#This Row],[Total Items Ordered]]*VLOOKUP(OrganizedData[[#This Row],[Product Code]],ProductData[],3,FALSE)</f>
        <v>695.52</v>
      </c>
      <c r="R37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674.65440000000001</v>
      </c>
    </row>
    <row r="3710" spans="1:18" x14ac:dyDescent="0.3">
      <c r="A3710" s="2">
        <v>3703</v>
      </c>
      <c r="B3710" s="2" t="s">
        <v>8617</v>
      </c>
      <c r="C3710" s="2" t="s">
        <v>97</v>
      </c>
      <c r="D3710" s="2" t="s">
        <v>51</v>
      </c>
      <c r="E3710" s="2" t="s">
        <v>16</v>
      </c>
      <c r="F3710" s="2">
        <v>90</v>
      </c>
      <c r="G3710" s="2" t="s">
        <v>8618</v>
      </c>
      <c r="H3710" s="2" t="s">
        <v>5723</v>
      </c>
      <c r="I3710" s="2" t="s">
        <v>187</v>
      </c>
      <c r="J3710" s="3">
        <v>43994</v>
      </c>
      <c r="K3710" s="5">
        <f>YEAR(OrganizedData[[#This Row],[Order Date]])</f>
        <v>2020</v>
      </c>
      <c r="L3710" s="7" t="str">
        <f>TEXT(OrganizedData[[#This Row],[Order Date]],"mmm")</f>
        <v>Jun</v>
      </c>
      <c r="M3710" s="2">
        <v>80</v>
      </c>
      <c r="N3710" s="2" t="s">
        <v>33</v>
      </c>
      <c r="O3710" s="2" t="str">
        <f>VLOOKUP(OrganizedData[[#This Row],[Product Code]],ProductData[[Code]:[Item]],2,FALSE)</f>
        <v>Megawidget L</v>
      </c>
      <c r="P3710" s="4">
        <f>OrganizedData[[#This Row],[Quantity]]*VLOOKUP(OrganizedData[[#This Row],[Product Code]],ProductData[],4,FALSE)</f>
        <v>1920</v>
      </c>
      <c r="Q3710" s="6">
        <f>OrganizedData[[#This Row],[Total Items Ordered]]*VLOOKUP(OrganizedData[[#This Row],[Product Code]],ProductData[],3,FALSE)</f>
        <v>3436.8</v>
      </c>
      <c r="R37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3264.96</v>
      </c>
    </row>
    <row r="3711" spans="1:18" x14ac:dyDescent="0.3">
      <c r="A3711" s="2">
        <v>3704</v>
      </c>
      <c r="B3711" s="2" t="s">
        <v>3924</v>
      </c>
      <c r="C3711" s="2" t="s">
        <v>7860</v>
      </c>
      <c r="D3711" s="2" t="s">
        <v>15</v>
      </c>
      <c r="E3711" s="2" t="s">
        <v>16</v>
      </c>
      <c r="F3711" s="2">
        <v>60</v>
      </c>
      <c r="G3711" s="2" t="s">
        <v>8621</v>
      </c>
      <c r="H3711" s="2" t="s">
        <v>4587</v>
      </c>
      <c r="I3711" s="2" t="s">
        <v>32</v>
      </c>
      <c r="J3711" s="3">
        <v>44587</v>
      </c>
      <c r="K3711" s="5">
        <f>YEAR(OrganizedData[[#This Row],[Order Date]])</f>
        <v>2022</v>
      </c>
      <c r="L3711" s="7" t="str">
        <f>TEXT(OrganizedData[[#This Row],[Order Date]],"mmm")</f>
        <v>Jan</v>
      </c>
      <c r="M3711" s="2">
        <v>66</v>
      </c>
      <c r="N3711" s="2" t="s">
        <v>101</v>
      </c>
      <c r="O3711" s="2" t="str">
        <f>VLOOKUP(OrganizedData[[#This Row],[Product Code]],ProductData[[Code]:[Item]],2,FALSE)</f>
        <v>Superwossname</v>
      </c>
      <c r="P3711" s="4">
        <f>OrganizedData[[#This Row],[Quantity]]*VLOOKUP(OrganizedData[[#This Row],[Product Code]],ProductData[],4,FALSE)</f>
        <v>1320</v>
      </c>
      <c r="Q3711" s="6">
        <f>OrganizedData[[#This Row],[Total Items Ordered]]*VLOOKUP(OrganizedData[[#This Row],[Product Code]],ProductData[],3,FALSE)</f>
        <v>4606.8</v>
      </c>
      <c r="R37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3712" spans="1:18" x14ac:dyDescent="0.3">
      <c r="A3712" s="2">
        <v>3705</v>
      </c>
      <c r="B3712" s="2" t="s">
        <v>4250</v>
      </c>
      <c r="C3712" s="2" t="s">
        <v>268</v>
      </c>
      <c r="D3712" s="2" t="s">
        <v>41</v>
      </c>
      <c r="E3712" s="2" t="s">
        <v>16</v>
      </c>
      <c r="F3712" s="2">
        <v>90</v>
      </c>
      <c r="G3712" s="2" t="s">
        <v>8622</v>
      </c>
      <c r="H3712" s="2" t="s">
        <v>6343</v>
      </c>
      <c r="I3712" s="2" t="s">
        <v>32</v>
      </c>
      <c r="J3712" s="3">
        <v>44925</v>
      </c>
      <c r="K3712" s="5">
        <f>YEAR(OrganizedData[[#This Row],[Order Date]])</f>
        <v>2022</v>
      </c>
      <c r="L3712" s="7" t="str">
        <f>TEXT(OrganizedData[[#This Row],[Order Date]],"mmm")</f>
        <v>Dec</v>
      </c>
      <c r="M3712" s="2">
        <v>26</v>
      </c>
      <c r="N3712" s="2" t="s">
        <v>80</v>
      </c>
      <c r="O3712" s="2" t="str">
        <f>VLOOKUP(OrganizedData[[#This Row],[Product Code]],ProductData[[Code]:[Item]],2,FALSE)</f>
        <v>Ultrathing V2</v>
      </c>
      <c r="P3712" s="4">
        <f>OrganizedData[[#This Row],[Quantity]]*VLOOKUP(OrganizedData[[#This Row],[Product Code]],ProductData[],4,FALSE)</f>
        <v>520</v>
      </c>
      <c r="Q3712" s="6">
        <f>OrganizedData[[#This Row],[Total Items Ordered]]*VLOOKUP(OrganizedData[[#This Row],[Product Code]],ProductData[],3,FALSE)</f>
        <v>1534</v>
      </c>
      <c r="R37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3713" spans="1:18" x14ac:dyDescent="0.3">
      <c r="A3713" s="2">
        <v>3706</v>
      </c>
      <c r="B3713" s="2" t="s">
        <v>8623</v>
      </c>
      <c r="C3713" s="2" t="s">
        <v>5431</v>
      </c>
      <c r="D3713" s="2" t="s">
        <v>28</v>
      </c>
      <c r="E3713" s="2" t="s">
        <v>29</v>
      </c>
      <c r="F3713" s="2">
        <v>60</v>
      </c>
      <c r="G3713" s="2" t="s">
        <v>8624</v>
      </c>
      <c r="H3713" s="2" t="s">
        <v>1969</v>
      </c>
      <c r="I3713" s="2" t="s">
        <v>32</v>
      </c>
      <c r="J3713" s="3">
        <v>44496</v>
      </c>
      <c r="K3713" s="5">
        <f>YEAR(OrganizedData[[#This Row],[Order Date]])</f>
        <v>2021</v>
      </c>
      <c r="L3713" s="7" t="str">
        <f>TEXT(OrganizedData[[#This Row],[Order Date]],"mmm")</f>
        <v>Oct</v>
      </c>
      <c r="M3713" s="2">
        <v>14</v>
      </c>
      <c r="N3713" s="2" t="s">
        <v>39</v>
      </c>
      <c r="O3713" s="2" t="str">
        <f>VLOOKUP(OrganizedData[[#This Row],[Product Code]],ProductData[[Code]:[Item]],2,FALSE)</f>
        <v>Ultrathing V1</v>
      </c>
      <c r="P3713" s="4">
        <f>OrganizedData[[#This Row],[Quantity]]*VLOOKUP(OrganizedData[[#This Row],[Product Code]],ProductData[],4,FALSE)</f>
        <v>238</v>
      </c>
      <c r="Q3713" s="6">
        <f>OrganizedData[[#This Row],[Total Items Ordered]]*VLOOKUP(OrganizedData[[#This Row],[Product Code]],ProductData[],3,FALSE)</f>
        <v>426.02</v>
      </c>
      <c r="R37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3714" spans="1:18" x14ac:dyDescent="0.3">
      <c r="A3714" s="2">
        <v>3707</v>
      </c>
      <c r="B3714" s="2" t="s">
        <v>8625</v>
      </c>
      <c r="C3714" s="2" t="s">
        <v>605</v>
      </c>
      <c r="D3714" s="2" t="s">
        <v>51</v>
      </c>
      <c r="E3714" s="2" t="s">
        <v>16</v>
      </c>
      <c r="F3714" s="2">
        <v>60</v>
      </c>
      <c r="G3714" s="2" t="s">
        <v>8626</v>
      </c>
      <c r="H3714" s="2" t="s">
        <v>663</v>
      </c>
      <c r="I3714" s="2" t="s">
        <v>32</v>
      </c>
      <c r="J3714" s="3">
        <v>43962</v>
      </c>
      <c r="K3714" s="5">
        <f>YEAR(OrganizedData[[#This Row],[Order Date]])</f>
        <v>2020</v>
      </c>
      <c r="L3714" s="7" t="str">
        <f>TEXT(OrganizedData[[#This Row],[Order Date]],"mmm")</f>
        <v>May</v>
      </c>
      <c r="M3714" s="2">
        <v>81</v>
      </c>
      <c r="N3714" s="2" t="s">
        <v>159</v>
      </c>
      <c r="O3714" s="2" t="str">
        <f>VLOOKUP(OrganizedData[[#This Row],[Product Code]],ProductData[[Code]:[Item]],2,FALSE)</f>
        <v>Ultrathing V3</v>
      </c>
      <c r="P3714" s="4">
        <f>OrganizedData[[#This Row],[Quantity]]*VLOOKUP(OrganizedData[[#This Row],[Product Code]],ProductData[],4,FALSE)</f>
        <v>1944</v>
      </c>
      <c r="Q3714" s="6">
        <f>OrganizedData[[#This Row],[Total Items Ordered]]*VLOOKUP(OrganizedData[[#This Row],[Product Code]],ProductData[],3,FALSE)</f>
        <v>6590.16</v>
      </c>
      <c r="R37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3715" spans="1:18" x14ac:dyDescent="0.3">
      <c r="A3715" s="2">
        <v>3708</v>
      </c>
      <c r="B3715" s="2" t="s">
        <v>7566</v>
      </c>
      <c r="C3715" s="2" t="s">
        <v>8627</v>
      </c>
      <c r="D3715" s="2" t="s">
        <v>28</v>
      </c>
      <c r="E3715" s="2" t="s">
        <v>29</v>
      </c>
      <c r="F3715" s="2">
        <v>90</v>
      </c>
      <c r="G3715" s="2" t="s">
        <v>8628</v>
      </c>
      <c r="H3715" s="2" t="s">
        <v>2183</v>
      </c>
      <c r="I3715" s="2" t="s">
        <v>124</v>
      </c>
      <c r="J3715" s="3">
        <v>44745</v>
      </c>
      <c r="K3715" s="5">
        <f>YEAR(OrganizedData[[#This Row],[Order Date]])</f>
        <v>2022</v>
      </c>
      <c r="L3715" s="7" t="str">
        <f>TEXT(OrganizedData[[#This Row],[Order Date]],"mmm")</f>
        <v>Jul</v>
      </c>
      <c r="M3715" s="2">
        <v>98</v>
      </c>
      <c r="N3715" s="2" t="s">
        <v>54</v>
      </c>
      <c r="O3715" s="2" t="str">
        <f>VLOOKUP(OrganizedData[[#This Row],[Product Code]],ProductData[[Code]:[Item]],2,FALSE)</f>
        <v>Megawidget S</v>
      </c>
      <c r="P3715" s="4">
        <f>OrganizedData[[#This Row],[Quantity]]*VLOOKUP(OrganizedData[[#This Row],[Product Code]],ProductData[],4,FALSE)</f>
        <v>2352</v>
      </c>
      <c r="Q3715" s="6">
        <f>OrganizedData[[#This Row],[Total Items Ordered]]*VLOOKUP(OrganizedData[[#This Row],[Product Code]],ProductData[],3,FALSE)</f>
        <v>1622.8799999999999</v>
      </c>
      <c r="R37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1541.7359999999999</v>
      </c>
    </row>
    <row r="3716" spans="1:18" x14ac:dyDescent="0.3">
      <c r="A3716" s="2">
        <v>3709</v>
      </c>
      <c r="B3716" s="2" t="s">
        <v>6203</v>
      </c>
      <c r="C3716" s="2" t="s">
        <v>3552</v>
      </c>
      <c r="D3716" s="2" t="s">
        <v>28</v>
      </c>
      <c r="E3716" s="2" t="s">
        <v>29</v>
      </c>
      <c r="F3716" s="2">
        <v>90</v>
      </c>
      <c r="G3716" s="2" t="s">
        <v>8629</v>
      </c>
      <c r="H3716" s="2" t="s">
        <v>1315</v>
      </c>
      <c r="I3716" s="2" t="s">
        <v>32</v>
      </c>
      <c r="J3716" s="3">
        <v>44020</v>
      </c>
      <c r="K3716" s="5">
        <f>YEAR(OrganizedData[[#This Row],[Order Date]])</f>
        <v>2020</v>
      </c>
      <c r="L3716" s="7" t="str">
        <f>TEXT(OrganizedData[[#This Row],[Order Date]],"mmm")</f>
        <v>Jul</v>
      </c>
      <c r="M3716" s="2">
        <v>62</v>
      </c>
      <c r="N3716" s="2" t="s">
        <v>80</v>
      </c>
      <c r="O3716" s="2" t="str">
        <f>VLOOKUP(OrganizedData[[#This Row],[Product Code]],ProductData[[Code]:[Item]],2,FALSE)</f>
        <v>Ultrathing V2</v>
      </c>
      <c r="P3716" s="4">
        <f>OrganizedData[[#This Row],[Quantity]]*VLOOKUP(OrganizedData[[#This Row],[Product Code]],ProductData[],4,FALSE)</f>
        <v>1240</v>
      </c>
      <c r="Q3716" s="6">
        <f>OrganizedData[[#This Row],[Total Items Ordered]]*VLOOKUP(OrganizedData[[#This Row],[Product Code]],ProductData[],3,FALSE)</f>
        <v>3658</v>
      </c>
      <c r="R37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3717" spans="1:18" x14ac:dyDescent="0.3">
      <c r="A3717" s="2">
        <v>3710</v>
      </c>
      <c r="B3717" s="2" t="s">
        <v>8630</v>
      </c>
      <c r="C3717" s="2" t="s">
        <v>6004</v>
      </c>
      <c r="D3717" s="2" t="s">
        <v>15</v>
      </c>
      <c r="E3717" s="2" t="s">
        <v>16</v>
      </c>
      <c r="F3717" s="2">
        <v>60</v>
      </c>
      <c r="G3717" s="2" t="s">
        <v>8631</v>
      </c>
      <c r="H3717" s="2" t="s">
        <v>1253</v>
      </c>
      <c r="I3717" s="2" t="s">
        <v>32</v>
      </c>
      <c r="J3717" s="3">
        <v>44253</v>
      </c>
      <c r="K3717" s="5">
        <f>YEAR(OrganizedData[[#This Row],[Order Date]])</f>
        <v>2021</v>
      </c>
      <c r="L3717" s="7" t="str">
        <f>TEXT(OrganizedData[[#This Row],[Order Date]],"mmm")</f>
        <v>Feb</v>
      </c>
      <c r="M3717" s="2">
        <v>50</v>
      </c>
      <c r="N3717" s="2" t="s">
        <v>20</v>
      </c>
      <c r="O3717" s="2" t="str">
        <f>VLOOKUP(OrganizedData[[#This Row],[Product Code]],ProductData[[Code]:[Item]],2,FALSE)</f>
        <v>Hyperwotsit</v>
      </c>
      <c r="P3717" s="4">
        <f>OrganizedData[[#This Row],[Quantity]]*VLOOKUP(OrganizedData[[#This Row],[Product Code]],ProductData[],4,FALSE)</f>
        <v>1000</v>
      </c>
      <c r="Q3717" s="6">
        <f>OrganizedData[[#This Row],[Total Items Ordered]]*VLOOKUP(OrganizedData[[#This Row],[Product Code]],ProductData[],3,FALSE)</f>
        <v>2009.9999999999998</v>
      </c>
      <c r="R37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3718" spans="1:18" x14ac:dyDescent="0.3">
      <c r="A3718" s="2">
        <v>3711</v>
      </c>
      <c r="B3718" s="2" t="s">
        <v>2174</v>
      </c>
      <c r="C3718" s="2" t="s">
        <v>8632</v>
      </c>
      <c r="D3718" s="2" t="s">
        <v>28</v>
      </c>
      <c r="E3718" s="2" t="s">
        <v>29</v>
      </c>
      <c r="F3718" s="2">
        <v>90</v>
      </c>
      <c r="G3718" s="2" t="s">
        <v>10556</v>
      </c>
      <c r="H3718" s="2" t="s">
        <v>8634</v>
      </c>
      <c r="I3718" s="2" t="s">
        <v>32</v>
      </c>
      <c r="J3718" s="3">
        <v>44496</v>
      </c>
      <c r="K3718" s="5">
        <f>YEAR(OrganizedData[[#This Row],[Order Date]])</f>
        <v>2021</v>
      </c>
      <c r="L3718" s="7" t="str">
        <f>TEXT(OrganizedData[[#This Row],[Order Date]],"mmm")</f>
        <v>Oct</v>
      </c>
      <c r="M3718" s="2">
        <v>86</v>
      </c>
      <c r="N3718" s="2" t="s">
        <v>20</v>
      </c>
      <c r="O3718" s="2" t="str">
        <f>VLOOKUP(OrganizedData[[#This Row],[Product Code]],ProductData[[Code]:[Item]],2,FALSE)</f>
        <v>Hyperwotsit</v>
      </c>
      <c r="P3718" s="4">
        <f>OrganizedData[[#This Row],[Quantity]]*VLOOKUP(OrganizedData[[#This Row],[Product Code]],ProductData[],4,FALSE)</f>
        <v>1720</v>
      </c>
      <c r="Q3718" s="6">
        <f>OrganizedData[[#This Row],[Total Items Ordered]]*VLOOKUP(OrganizedData[[#This Row],[Product Code]],ProductData[],3,FALSE)</f>
        <v>3457.2</v>
      </c>
      <c r="R37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3284.3399999999997</v>
      </c>
    </row>
    <row r="3719" spans="1:18" x14ac:dyDescent="0.3">
      <c r="A3719" s="2">
        <v>3712</v>
      </c>
      <c r="B3719" s="2" t="s">
        <v>7802</v>
      </c>
      <c r="C3719" s="2" t="s">
        <v>8035</v>
      </c>
      <c r="D3719" s="2" t="s">
        <v>41</v>
      </c>
      <c r="E3719" s="2" t="s">
        <v>16</v>
      </c>
      <c r="F3719" s="2">
        <v>90</v>
      </c>
      <c r="G3719" s="2" t="s">
        <v>8635</v>
      </c>
      <c r="H3719" s="2" t="s">
        <v>4673</v>
      </c>
      <c r="I3719" s="2" t="s">
        <v>294</v>
      </c>
      <c r="J3719" s="3">
        <v>44382</v>
      </c>
      <c r="K3719" s="5">
        <f>YEAR(OrganizedData[[#This Row],[Order Date]])</f>
        <v>2021</v>
      </c>
      <c r="L3719" s="7" t="str">
        <f>TEXT(OrganizedData[[#This Row],[Order Date]],"mmm")</f>
        <v>Jul</v>
      </c>
      <c r="M3719" s="2">
        <v>13</v>
      </c>
      <c r="N3719" s="2" t="s">
        <v>39</v>
      </c>
      <c r="O3719" s="2" t="str">
        <f>VLOOKUP(OrganizedData[[#This Row],[Product Code]],ProductData[[Code]:[Item]],2,FALSE)</f>
        <v>Ultrathing V1</v>
      </c>
      <c r="P3719" s="4">
        <f>OrganizedData[[#This Row],[Quantity]]*VLOOKUP(OrganizedData[[#This Row],[Product Code]],ProductData[],4,FALSE)</f>
        <v>221</v>
      </c>
      <c r="Q3719" s="6">
        <f>OrganizedData[[#This Row],[Total Items Ordered]]*VLOOKUP(OrganizedData[[#This Row],[Product Code]],ProductData[],3,FALSE)</f>
        <v>395.59000000000003</v>
      </c>
      <c r="R37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395.59000000000003</v>
      </c>
    </row>
    <row r="3720" spans="1:18" x14ac:dyDescent="0.3">
      <c r="A3720" s="2">
        <v>3713</v>
      </c>
      <c r="B3720" s="2" t="s">
        <v>8636</v>
      </c>
      <c r="C3720" s="2" t="s">
        <v>4356</v>
      </c>
      <c r="D3720" s="2" t="s">
        <v>41</v>
      </c>
      <c r="E3720" s="2" t="s">
        <v>16</v>
      </c>
      <c r="F3720" s="2">
        <v>90</v>
      </c>
      <c r="G3720" s="2" t="s">
        <v>8637</v>
      </c>
      <c r="H3720" s="2" t="s">
        <v>1221</v>
      </c>
      <c r="I3720" s="2" t="s">
        <v>124</v>
      </c>
      <c r="J3720" s="3">
        <v>43892</v>
      </c>
      <c r="K3720" s="5">
        <f>YEAR(OrganizedData[[#This Row],[Order Date]])</f>
        <v>2020</v>
      </c>
      <c r="L3720" s="7" t="str">
        <f>TEXT(OrganizedData[[#This Row],[Order Date]],"mmm")</f>
        <v>Mar</v>
      </c>
      <c r="M3720" s="2">
        <v>71</v>
      </c>
      <c r="N3720" s="2" t="s">
        <v>45</v>
      </c>
      <c r="O3720" s="2" t="str">
        <f>VLOOKUP(OrganizedData[[#This Row],[Product Code]],ProductData[[Code]:[Item]],2,FALSE)</f>
        <v>Gigastuff</v>
      </c>
      <c r="P3720" s="4">
        <f>OrganizedData[[#This Row],[Quantity]]*VLOOKUP(OrganizedData[[#This Row],[Product Code]],ProductData[],4,FALSE)</f>
        <v>1278</v>
      </c>
      <c r="Q3720" s="6">
        <f>OrganizedData[[#This Row],[Total Items Ordered]]*VLOOKUP(OrganizedData[[#This Row],[Product Code]],ProductData[],3,FALSE)</f>
        <v>2415.42</v>
      </c>
      <c r="R37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3721" spans="1:18" x14ac:dyDescent="0.3">
      <c r="A3721" s="2">
        <v>3714</v>
      </c>
      <c r="B3721" s="2" t="s">
        <v>4721</v>
      </c>
      <c r="C3721" s="2" t="s">
        <v>3602</v>
      </c>
      <c r="D3721" s="2" t="s">
        <v>28</v>
      </c>
      <c r="E3721" s="2" t="s">
        <v>29</v>
      </c>
      <c r="F3721" s="2">
        <v>90</v>
      </c>
      <c r="G3721" s="2" t="s">
        <v>8638</v>
      </c>
      <c r="H3721" s="2" t="s">
        <v>4889</v>
      </c>
      <c r="I3721" s="2" t="s">
        <v>110</v>
      </c>
      <c r="J3721" s="3">
        <v>44785</v>
      </c>
      <c r="K3721" s="5">
        <f>YEAR(OrganizedData[[#This Row],[Order Date]])</f>
        <v>2022</v>
      </c>
      <c r="L3721" s="7" t="str">
        <f>TEXT(OrganizedData[[#This Row],[Order Date]],"mmm")</f>
        <v>Aug</v>
      </c>
      <c r="M3721" s="2">
        <v>77</v>
      </c>
      <c r="N3721" s="2" t="s">
        <v>101</v>
      </c>
      <c r="O3721" s="2" t="str">
        <f>VLOOKUP(OrganizedData[[#This Row],[Product Code]],ProductData[[Code]:[Item]],2,FALSE)</f>
        <v>Superwossname</v>
      </c>
      <c r="P3721" s="4">
        <f>OrganizedData[[#This Row],[Quantity]]*VLOOKUP(OrganizedData[[#This Row],[Product Code]],ProductData[],4,FALSE)</f>
        <v>1540</v>
      </c>
      <c r="Q3721" s="6">
        <f>OrganizedData[[#This Row],[Total Items Ordered]]*VLOOKUP(OrganizedData[[#This Row],[Product Code]],ProductData[],3,FALSE)</f>
        <v>5374.6</v>
      </c>
      <c r="R37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5105.87</v>
      </c>
    </row>
    <row r="3722" spans="1:18" x14ac:dyDescent="0.3">
      <c r="A3722" s="2">
        <v>3715</v>
      </c>
      <c r="B3722" s="2" t="s">
        <v>4224</v>
      </c>
      <c r="C3722" s="2" t="s">
        <v>3118</v>
      </c>
      <c r="D3722" s="2" t="s">
        <v>28</v>
      </c>
      <c r="E3722" s="2" t="s">
        <v>29</v>
      </c>
      <c r="F3722" s="2">
        <v>90</v>
      </c>
      <c r="G3722" s="2" t="s">
        <v>8639</v>
      </c>
      <c r="H3722" s="2" t="s">
        <v>1473</v>
      </c>
      <c r="I3722" s="2" t="s">
        <v>38</v>
      </c>
      <c r="J3722" s="3">
        <v>43964</v>
      </c>
      <c r="K3722" s="5">
        <f>YEAR(OrganizedData[[#This Row],[Order Date]])</f>
        <v>2020</v>
      </c>
      <c r="L3722" s="7" t="str">
        <f>TEXT(OrganizedData[[#This Row],[Order Date]],"mmm")</f>
        <v>May</v>
      </c>
      <c r="M3722" s="2">
        <v>5</v>
      </c>
      <c r="N3722" s="2" t="s">
        <v>101</v>
      </c>
      <c r="O3722" s="2" t="str">
        <f>VLOOKUP(OrganizedData[[#This Row],[Product Code]],ProductData[[Code]:[Item]],2,FALSE)</f>
        <v>Superwossname</v>
      </c>
      <c r="P3722" s="4">
        <f>OrganizedData[[#This Row],[Quantity]]*VLOOKUP(OrganizedData[[#This Row],[Product Code]],ProductData[],4,FALSE)</f>
        <v>100</v>
      </c>
      <c r="Q3722" s="6">
        <f>OrganizedData[[#This Row],[Total Items Ordered]]*VLOOKUP(OrganizedData[[#This Row],[Product Code]],ProductData[],3,FALSE)</f>
        <v>349</v>
      </c>
      <c r="R37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3723" spans="1:18" x14ac:dyDescent="0.3">
      <c r="A3723" s="2">
        <v>3716</v>
      </c>
      <c r="B3723" s="2" t="s">
        <v>8640</v>
      </c>
      <c r="C3723" s="2" t="s">
        <v>2838</v>
      </c>
      <c r="D3723" s="2" t="s">
        <v>51</v>
      </c>
      <c r="E3723" s="2" t="s">
        <v>16</v>
      </c>
      <c r="F3723" s="2">
        <v>90</v>
      </c>
      <c r="G3723" s="2" t="s">
        <v>8641</v>
      </c>
      <c r="H3723" s="2" t="s">
        <v>8642</v>
      </c>
      <c r="I3723" s="2" t="s">
        <v>294</v>
      </c>
      <c r="J3723" s="3">
        <v>44330</v>
      </c>
      <c r="K3723" s="5">
        <f>YEAR(OrganizedData[[#This Row],[Order Date]])</f>
        <v>2021</v>
      </c>
      <c r="L3723" s="7" t="str">
        <f>TEXT(OrganizedData[[#This Row],[Order Date]],"mmm")</f>
        <v>May</v>
      </c>
      <c r="M3723" s="2">
        <v>29</v>
      </c>
      <c r="N3723" s="2" t="s">
        <v>101</v>
      </c>
      <c r="O3723" s="2" t="str">
        <f>VLOOKUP(OrganizedData[[#This Row],[Product Code]],ProductData[[Code]:[Item]],2,FALSE)</f>
        <v>Superwossname</v>
      </c>
      <c r="P3723" s="4">
        <f>OrganizedData[[#This Row],[Quantity]]*VLOOKUP(OrganizedData[[#This Row],[Product Code]],ProductData[],4,FALSE)</f>
        <v>580</v>
      </c>
      <c r="Q3723" s="6">
        <f>OrganizedData[[#This Row],[Total Items Ordered]]*VLOOKUP(OrganizedData[[#This Row],[Product Code]],ProductData[],3,FALSE)</f>
        <v>2024.2</v>
      </c>
      <c r="R37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3724" spans="1:18" x14ac:dyDescent="0.3">
      <c r="A3724" s="2">
        <v>3717</v>
      </c>
      <c r="B3724" s="2" t="s">
        <v>1403</v>
      </c>
      <c r="C3724" s="2" t="s">
        <v>8643</v>
      </c>
      <c r="D3724" s="2" t="s">
        <v>28</v>
      </c>
      <c r="E3724" s="2" t="s">
        <v>29</v>
      </c>
      <c r="F3724" s="2">
        <v>60</v>
      </c>
      <c r="G3724" s="2" t="s">
        <v>8644</v>
      </c>
      <c r="H3724" s="2" t="s">
        <v>7092</v>
      </c>
      <c r="I3724" s="2" t="s">
        <v>32</v>
      </c>
      <c r="J3724" s="3">
        <v>43994</v>
      </c>
      <c r="K3724" s="5">
        <f>YEAR(OrganizedData[[#This Row],[Order Date]])</f>
        <v>2020</v>
      </c>
      <c r="L3724" s="7" t="str">
        <f>TEXT(OrganizedData[[#This Row],[Order Date]],"mmm")</f>
        <v>Jun</v>
      </c>
      <c r="M3724" s="2">
        <v>63</v>
      </c>
      <c r="N3724" s="2" t="s">
        <v>101</v>
      </c>
      <c r="O3724" s="2" t="str">
        <f>VLOOKUP(OrganizedData[[#This Row],[Product Code]],ProductData[[Code]:[Item]],2,FALSE)</f>
        <v>Superwossname</v>
      </c>
      <c r="P3724" s="4">
        <f>OrganizedData[[#This Row],[Quantity]]*VLOOKUP(OrganizedData[[#This Row],[Product Code]],ProductData[],4,FALSE)</f>
        <v>1260</v>
      </c>
      <c r="Q3724" s="6">
        <f>OrganizedData[[#This Row],[Total Items Ordered]]*VLOOKUP(OrganizedData[[#This Row],[Product Code]],ProductData[],3,FALSE)</f>
        <v>4397.4000000000005</v>
      </c>
      <c r="R37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3725" spans="1:18" x14ac:dyDescent="0.3">
      <c r="A3725" s="2">
        <v>3718</v>
      </c>
      <c r="B3725" s="2" t="s">
        <v>2911</v>
      </c>
      <c r="C3725" s="2" t="s">
        <v>6574</v>
      </c>
      <c r="D3725" s="2" t="s">
        <v>15</v>
      </c>
      <c r="E3725" s="2" t="s">
        <v>16</v>
      </c>
      <c r="F3725" s="2">
        <v>60</v>
      </c>
      <c r="G3725" s="2" t="s">
        <v>8645</v>
      </c>
      <c r="H3725" s="2" t="s">
        <v>5758</v>
      </c>
      <c r="I3725" s="2" t="s">
        <v>32</v>
      </c>
      <c r="J3725" s="3">
        <v>44897</v>
      </c>
      <c r="K3725" s="5">
        <f>YEAR(OrganizedData[[#This Row],[Order Date]])</f>
        <v>2022</v>
      </c>
      <c r="L3725" s="7" t="str">
        <f>TEXT(OrganizedData[[#This Row],[Order Date]],"mmm")</f>
        <v>Dec</v>
      </c>
      <c r="M3725" s="2">
        <v>76</v>
      </c>
      <c r="N3725" s="2" t="s">
        <v>33</v>
      </c>
      <c r="O3725" s="2" t="str">
        <f>VLOOKUP(OrganizedData[[#This Row],[Product Code]],ProductData[[Code]:[Item]],2,FALSE)</f>
        <v>Megawidget L</v>
      </c>
      <c r="P3725" s="4">
        <f>OrganizedData[[#This Row],[Quantity]]*VLOOKUP(OrganizedData[[#This Row],[Product Code]],ProductData[],4,FALSE)</f>
        <v>1824</v>
      </c>
      <c r="Q3725" s="6">
        <f>OrganizedData[[#This Row],[Total Items Ordered]]*VLOOKUP(OrganizedData[[#This Row],[Product Code]],ProductData[],3,FALSE)</f>
        <v>3264.96</v>
      </c>
      <c r="R37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3726" spans="1:18" x14ac:dyDescent="0.3">
      <c r="A3726" s="2">
        <v>3719</v>
      </c>
      <c r="B3726" s="2" t="s">
        <v>4044</v>
      </c>
      <c r="C3726" s="2" t="s">
        <v>715</v>
      </c>
      <c r="D3726" s="2" t="s">
        <v>51</v>
      </c>
      <c r="E3726" s="2" t="s">
        <v>16</v>
      </c>
      <c r="F3726" s="2">
        <v>30</v>
      </c>
      <c r="G3726" s="2" t="s">
        <v>8646</v>
      </c>
      <c r="H3726" s="2" t="s">
        <v>1848</v>
      </c>
      <c r="I3726" s="2" t="s">
        <v>839</v>
      </c>
      <c r="J3726" s="3">
        <v>44646</v>
      </c>
      <c r="K3726" s="5">
        <f>YEAR(OrganizedData[[#This Row],[Order Date]])</f>
        <v>2022</v>
      </c>
      <c r="L3726" s="7" t="str">
        <f>TEXT(OrganizedData[[#This Row],[Order Date]],"mmm")</f>
        <v>Mar</v>
      </c>
      <c r="M3726" s="2">
        <v>46</v>
      </c>
      <c r="N3726" s="2" t="s">
        <v>159</v>
      </c>
      <c r="O3726" s="2" t="str">
        <f>VLOOKUP(OrganizedData[[#This Row],[Product Code]],ProductData[[Code]:[Item]],2,FALSE)</f>
        <v>Ultrathing V3</v>
      </c>
      <c r="P3726" s="4">
        <f>OrganizedData[[#This Row],[Quantity]]*VLOOKUP(OrganizedData[[#This Row],[Product Code]],ProductData[],4,FALSE)</f>
        <v>1104</v>
      </c>
      <c r="Q3726" s="6">
        <f>OrganizedData[[#This Row],[Total Items Ordered]]*VLOOKUP(OrganizedData[[#This Row],[Product Code]],ProductData[],3,FALSE)</f>
        <v>3742.56</v>
      </c>
      <c r="R37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3630.2831999999999</v>
      </c>
    </row>
    <row r="3727" spans="1:18" x14ac:dyDescent="0.3">
      <c r="A3727" s="2">
        <v>3720</v>
      </c>
      <c r="B3727" s="2" t="s">
        <v>8647</v>
      </c>
      <c r="C3727" s="2" t="s">
        <v>1517</v>
      </c>
      <c r="D3727" s="2" t="s">
        <v>28</v>
      </c>
      <c r="E3727" s="2" t="s">
        <v>29</v>
      </c>
      <c r="F3727" s="2">
        <v>90</v>
      </c>
      <c r="G3727" s="2" t="s">
        <v>8648</v>
      </c>
      <c r="H3727" s="2" t="s">
        <v>3053</v>
      </c>
      <c r="I3727" s="2" t="s">
        <v>32</v>
      </c>
      <c r="J3727" s="3">
        <v>44481</v>
      </c>
      <c r="K3727" s="5">
        <f>YEAR(OrganizedData[[#This Row],[Order Date]])</f>
        <v>2021</v>
      </c>
      <c r="L3727" s="7" t="str">
        <f>TEXT(OrganizedData[[#This Row],[Order Date]],"mmm")</f>
        <v>Oct</v>
      </c>
      <c r="M3727" s="2">
        <v>42</v>
      </c>
      <c r="N3727" s="2" t="s">
        <v>39</v>
      </c>
      <c r="O3727" s="2" t="str">
        <f>VLOOKUP(OrganizedData[[#This Row],[Product Code]],ProductData[[Code]:[Item]],2,FALSE)</f>
        <v>Ultrathing V1</v>
      </c>
      <c r="P3727" s="4">
        <f>OrganizedData[[#This Row],[Quantity]]*VLOOKUP(OrganizedData[[#This Row],[Product Code]],ProductData[],4,FALSE)</f>
        <v>714</v>
      </c>
      <c r="Q3727" s="6">
        <f>OrganizedData[[#This Row],[Total Items Ordered]]*VLOOKUP(OrganizedData[[#This Row],[Product Code]],ProductData[],3,FALSE)</f>
        <v>1278.06</v>
      </c>
      <c r="R37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1239.7182</v>
      </c>
    </row>
    <row r="3728" spans="1:18" x14ac:dyDescent="0.3">
      <c r="A3728" s="2">
        <v>3721</v>
      </c>
      <c r="B3728" s="2" t="s">
        <v>8649</v>
      </c>
      <c r="C3728" s="2" t="s">
        <v>8650</v>
      </c>
      <c r="D3728" s="2" t="s">
        <v>51</v>
      </c>
      <c r="E3728" s="2" t="s">
        <v>16</v>
      </c>
      <c r="F3728" s="2">
        <v>30</v>
      </c>
      <c r="G3728" s="2" t="s">
        <v>8651</v>
      </c>
      <c r="H3728" s="2" t="s">
        <v>4567</v>
      </c>
      <c r="I3728" s="2" t="s">
        <v>38</v>
      </c>
      <c r="J3728" s="3">
        <v>44543</v>
      </c>
      <c r="K3728" s="5">
        <f>YEAR(OrganizedData[[#This Row],[Order Date]])</f>
        <v>2021</v>
      </c>
      <c r="L3728" s="7" t="str">
        <f>TEXT(OrganizedData[[#This Row],[Order Date]],"mmm")</f>
        <v>Dec</v>
      </c>
      <c r="M3728" s="2">
        <v>6</v>
      </c>
      <c r="N3728" s="2" t="s">
        <v>39</v>
      </c>
      <c r="O3728" s="2" t="str">
        <f>VLOOKUP(OrganizedData[[#This Row],[Product Code]],ProductData[[Code]:[Item]],2,FALSE)</f>
        <v>Ultrathing V1</v>
      </c>
      <c r="P3728" s="4">
        <f>OrganizedData[[#This Row],[Quantity]]*VLOOKUP(OrganizedData[[#This Row],[Product Code]],ProductData[],4,FALSE)</f>
        <v>102</v>
      </c>
      <c r="Q3728" s="6">
        <f>OrganizedData[[#This Row],[Total Items Ordered]]*VLOOKUP(OrganizedData[[#This Row],[Product Code]],ProductData[],3,FALSE)</f>
        <v>182.58</v>
      </c>
      <c r="R37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3729" spans="1:18" x14ac:dyDescent="0.3">
      <c r="A3729" s="2">
        <v>3722</v>
      </c>
      <c r="B3729" s="2" t="s">
        <v>3031</v>
      </c>
      <c r="C3729" s="2" t="s">
        <v>2252</v>
      </c>
      <c r="D3729" s="2" t="s">
        <v>51</v>
      </c>
      <c r="E3729" s="2" t="s">
        <v>16</v>
      </c>
      <c r="F3729" s="2">
        <v>30</v>
      </c>
      <c r="G3729" s="2" t="s">
        <v>8652</v>
      </c>
      <c r="H3729" s="2" t="s">
        <v>2591</v>
      </c>
      <c r="I3729" s="2" t="s">
        <v>38</v>
      </c>
      <c r="J3729" s="3">
        <v>44030</v>
      </c>
      <c r="K3729" s="5">
        <f>YEAR(OrganizedData[[#This Row],[Order Date]])</f>
        <v>2020</v>
      </c>
      <c r="L3729" s="7" t="str">
        <f>TEXT(OrganizedData[[#This Row],[Order Date]],"mmm")</f>
        <v>Jul</v>
      </c>
      <c r="M3729" s="2">
        <v>67</v>
      </c>
      <c r="N3729" s="2" t="s">
        <v>101</v>
      </c>
      <c r="O3729" s="2" t="str">
        <f>VLOOKUP(OrganizedData[[#This Row],[Product Code]],ProductData[[Code]:[Item]],2,FALSE)</f>
        <v>Superwossname</v>
      </c>
      <c r="P3729" s="4">
        <f>OrganizedData[[#This Row],[Quantity]]*VLOOKUP(OrganizedData[[#This Row],[Product Code]],ProductData[],4,FALSE)</f>
        <v>1340</v>
      </c>
      <c r="Q3729" s="6">
        <f>OrganizedData[[#This Row],[Total Items Ordered]]*VLOOKUP(OrganizedData[[#This Row],[Product Code]],ProductData[],3,FALSE)</f>
        <v>4676.6000000000004</v>
      </c>
      <c r="R37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4442.7700000000004</v>
      </c>
    </row>
    <row r="3730" spans="1:18" x14ac:dyDescent="0.3">
      <c r="A3730" s="2">
        <v>3723</v>
      </c>
      <c r="B3730" s="2" t="s">
        <v>3979</v>
      </c>
      <c r="C3730" s="2" t="s">
        <v>3046</v>
      </c>
      <c r="D3730" s="2" t="s">
        <v>15</v>
      </c>
      <c r="E3730" s="2" t="s">
        <v>16</v>
      </c>
      <c r="F3730" s="2">
        <v>90</v>
      </c>
      <c r="G3730" s="2" t="s">
        <v>8653</v>
      </c>
      <c r="H3730" s="2" t="s">
        <v>5603</v>
      </c>
      <c r="I3730" s="2" t="s">
        <v>32</v>
      </c>
      <c r="J3730" s="3">
        <v>44574</v>
      </c>
      <c r="K3730" s="5">
        <f>YEAR(OrganizedData[[#This Row],[Order Date]])</f>
        <v>2022</v>
      </c>
      <c r="L3730" s="7" t="str">
        <f>TEXT(OrganizedData[[#This Row],[Order Date]],"mmm")</f>
        <v>Jan</v>
      </c>
      <c r="M3730" s="2">
        <v>46</v>
      </c>
      <c r="N3730" s="2" t="s">
        <v>101</v>
      </c>
      <c r="O3730" s="2" t="str">
        <f>VLOOKUP(OrganizedData[[#This Row],[Product Code]],ProductData[[Code]:[Item]],2,FALSE)</f>
        <v>Superwossname</v>
      </c>
      <c r="P3730" s="4">
        <f>OrganizedData[[#This Row],[Quantity]]*VLOOKUP(OrganizedData[[#This Row],[Product Code]],ProductData[],4,FALSE)</f>
        <v>920</v>
      </c>
      <c r="Q3730" s="6">
        <f>OrganizedData[[#This Row],[Total Items Ordered]]*VLOOKUP(OrganizedData[[#This Row],[Product Code]],ProductData[],3,FALSE)</f>
        <v>3210.8</v>
      </c>
      <c r="R37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3731" spans="1:18" x14ac:dyDescent="0.3">
      <c r="A3731" s="2">
        <v>3724</v>
      </c>
      <c r="B3731" s="2" t="s">
        <v>2384</v>
      </c>
      <c r="C3731" s="2" t="s">
        <v>8654</v>
      </c>
      <c r="D3731" s="2" t="s">
        <v>28</v>
      </c>
      <c r="E3731" s="2" t="s">
        <v>29</v>
      </c>
      <c r="F3731" s="2">
        <v>60</v>
      </c>
      <c r="G3731" s="2" t="s">
        <v>8655</v>
      </c>
      <c r="H3731" s="2" t="s">
        <v>207</v>
      </c>
      <c r="I3731" s="2" t="s">
        <v>208</v>
      </c>
      <c r="J3731" s="3">
        <v>44371</v>
      </c>
      <c r="K3731" s="5">
        <f>YEAR(OrganizedData[[#This Row],[Order Date]])</f>
        <v>2021</v>
      </c>
      <c r="L3731" s="7" t="str">
        <f>TEXT(OrganizedData[[#This Row],[Order Date]],"mmm")</f>
        <v>Jun</v>
      </c>
      <c r="M3731" s="2">
        <v>85</v>
      </c>
      <c r="N3731" s="2" t="s">
        <v>80</v>
      </c>
      <c r="O3731" s="2" t="str">
        <f>VLOOKUP(OrganizedData[[#This Row],[Product Code]],ProductData[[Code]:[Item]],2,FALSE)</f>
        <v>Ultrathing V2</v>
      </c>
      <c r="P3731" s="4">
        <f>OrganizedData[[#This Row],[Quantity]]*VLOOKUP(OrganizedData[[#This Row],[Product Code]],ProductData[],4,FALSE)</f>
        <v>1700</v>
      </c>
      <c r="Q3731" s="6">
        <f>OrganizedData[[#This Row],[Total Items Ordered]]*VLOOKUP(OrganizedData[[#This Row],[Product Code]],ProductData[],3,FALSE)</f>
        <v>5015</v>
      </c>
      <c r="R37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4764.25</v>
      </c>
    </row>
    <row r="3732" spans="1:18" x14ac:dyDescent="0.3">
      <c r="A3732" s="2">
        <v>3725</v>
      </c>
      <c r="B3732" s="2" t="s">
        <v>6161</v>
      </c>
      <c r="C3732" s="2" t="s">
        <v>5225</v>
      </c>
      <c r="D3732" s="2" t="s">
        <v>51</v>
      </c>
      <c r="E3732" s="2" t="s">
        <v>16</v>
      </c>
      <c r="F3732" s="2">
        <v>90</v>
      </c>
      <c r="G3732" s="2" t="s">
        <v>8656</v>
      </c>
      <c r="H3732" s="2" t="s">
        <v>48</v>
      </c>
      <c r="I3732" s="2" t="s">
        <v>25</v>
      </c>
      <c r="J3732" s="3">
        <v>43979</v>
      </c>
      <c r="K3732" s="5">
        <f>YEAR(OrganizedData[[#This Row],[Order Date]])</f>
        <v>2020</v>
      </c>
      <c r="L3732" s="7" t="str">
        <f>TEXT(OrganizedData[[#This Row],[Order Date]],"mmm")</f>
        <v>May</v>
      </c>
      <c r="M3732" s="2">
        <v>48</v>
      </c>
      <c r="N3732" s="2" t="s">
        <v>159</v>
      </c>
      <c r="O3732" s="2" t="str">
        <f>VLOOKUP(OrganizedData[[#This Row],[Product Code]],ProductData[[Code]:[Item]],2,FALSE)</f>
        <v>Ultrathing V3</v>
      </c>
      <c r="P3732" s="4">
        <f>OrganizedData[[#This Row],[Quantity]]*VLOOKUP(OrganizedData[[#This Row],[Product Code]],ProductData[],4,FALSE)</f>
        <v>1152</v>
      </c>
      <c r="Q3732" s="6">
        <f>OrganizedData[[#This Row],[Total Items Ordered]]*VLOOKUP(OrganizedData[[#This Row],[Product Code]],ProductData[],3,FALSE)</f>
        <v>3905.28</v>
      </c>
      <c r="R37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3733" spans="1:18" x14ac:dyDescent="0.3">
      <c r="A3733" s="2">
        <v>3726</v>
      </c>
      <c r="B3733" s="2" t="s">
        <v>8657</v>
      </c>
      <c r="C3733" s="2" t="s">
        <v>8658</v>
      </c>
      <c r="D3733" s="2" t="s">
        <v>28</v>
      </c>
      <c r="E3733" s="2" t="s">
        <v>29</v>
      </c>
      <c r="F3733" s="2">
        <v>60</v>
      </c>
      <c r="G3733" s="2" t="s">
        <v>8659</v>
      </c>
      <c r="H3733" s="2" t="s">
        <v>2334</v>
      </c>
      <c r="I3733" s="2" t="s">
        <v>32</v>
      </c>
      <c r="J3733" s="3">
        <v>44005</v>
      </c>
      <c r="K3733" s="5">
        <f>YEAR(OrganizedData[[#This Row],[Order Date]])</f>
        <v>2020</v>
      </c>
      <c r="L3733" s="7" t="str">
        <f>TEXT(OrganizedData[[#This Row],[Order Date]],"mmm")</f>
        <v>Jun</v>
      </c>
      <c r="M3733" s="2">
        <v>66</v>
      </c>
      <c r="N3733" s="2" t="s">
        <v>80</v>
      </c>
      <c r="O3733" s="2" t="str">
        <f>VLOOKUP(OrganizedData[[#This Row],[Product Code]],ProductData[[Code]:[Item]],2,FALSE)</f>
        <v>Ultrathing V2</v>
      </c>
      <c r="P3733" s="4">
        <f>OrganizedData[[#This Row],[Quantity]]*VLOOKUP(OrganizedData[[#This Row],[Product Code]],ProductData[],4,FALSE)</f>
        <v>1320</v>
      </c>
      <c r="Q3733" s="6">
        <f>OrganizedData[[#This Row],[Total Items Ordered]]*VLOOKUP(OrganizedData[[#This Row],[Product Code]],ProductData[],3,FALSE)</f>
        <v>3894.0000000000005</v>
      </c>
      <c r="R37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3699.3</v>
      </c>
    </row>
    <row r="3734" spans="1:18" x14ac:dyDescent="0.3">
      <c r="A3734" s="2">
        <v>3727</v>
      </c>
      <c r="B3734" s="2" t="s">
        <v>8660</v>
      </c>
      <c r="C3734" s="2" t="s">
        <v>2751</v>
      </c>
      <c r="D3734" s="2" t="s">
        <v>15</v>
      </c>
      <c r="E3734" s="2" t="s">
        <v>16</v>
      </c>
      <c r="F3734" s="2">
        <v>30</v>
      </c>
      <c r="G3734" s="2" t="s">
        <v>8661</v>
      </c>
      <c r="H3734" s="2" t="s">
        <v>1605</v>
      </c>
      <c r="I3734" s="2" t="s">
        <v>32</v>
      </c>
      <c r="J3734" s="3">
        <v>44321</v>
      </c>
      <c r="K3734" s="5">
        <f>YEAR(OrganizedData[[#This Row],[Order Date]])</f>
        <v>2021</v>
      </c>
      <c r="L3734" s="7" t="str">
        <f>TEXT(OrganizedData[[#This Row],[Order Date]],"mmm")</f>
        <v>May</v>
      </c>
      <c r="M3734" s="2">
        <v>17</v>
      </c>
      <c r="N3734" s="2" t="s">
        <v>33</v>
      </c>
      <c r="O3734" s="2" t="str">
        <f>VLOOKUP(OrganizedData[[#This Row],[Product Code]],ProductData[[Code]:[Item]],2,FALSE)</f>
        <v>Megawidget L</v>
      </c>
      <c r="P3734" s="4">
        <f>OrganizedData[[#This Row],[Quantity]]*VLOOKUP(OrganizedData[[#This Row],[Product Code]],ProductData[],4,FALSE)</f>
        <v>408</v>
      </c>
      <c r="Q3734" s="6">
        <f>OrganizedData[[#This Row],[Total Items Ordered]]*VLOOKUP(OrganizedData[[#This Row],[Product Code]],ProductData[],3,FALSE)</f>
        <v>730.32</v>
      </c>
      <c r="R37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3735" spans="1:18" x14ac:dyDescent="0.3">
      <c r="A3735" s="2">
        <v>3728</v>
      </c>
      <c r="B3735" s="2" t="s">
        <v>1797</v>
      </c>
      <c r="C3735" s="2" t="s">
        <v>3812</v>
      </c>
      <c r="D3735" s="2" t="s">
        <v>41</v>
      </c>
      <c r="E3735" s="2" t="s">
        <v>16</v>
      </c>
      <c r="F3735" s="2">
        <v>30</v>
      </c>
      <c r="G3735" s="2" t="s">
        <v>8662</v>
      </c>
      <c r="H3735" s="2" t="s">
        <v>5207</v>
      </c>
      <c r="I3735" s="2" t="s">
        <v>38</v>
      </c>
      <c r="J3735" s="3">
        <v>43990</v>
      </c>
      <c r="K3735" s="5">
        <f>YEAR(OrganizedData[[#This Row],[Order Date]])</f>
        <v>2020</v>
      </c>
      <c r="L3735" s="7" t="str">
        <f>TEXT(OrganizedData[[#This Row],[Order Date]],"mmm")</f>
        <v>Jun</v>
      </c>
      <c r="M3735" s="2">
        <v>61</v>
      </c>
      <c r="N3735" s="2" t="s">
        <v>33</v>
      </c>
      <c r="O3735" s="2" t="str">
        <f>VLOOKUP(OrganizedData[[#This Row],[Product Code]],ProductData[[Code]:[Item]],2,FALSE)</f>
        <v>Megawidget L</v>
      </c>
      <c r="P3735" s="4">
        <f>OrganizedData[[#This Row],[Quantity]]*VLOOKUP(OrganizedData[[#This Row],[Product Code]],ProductData[],4,FALSE)</f>
        <v>1464</v>
      </c>
      <c r="Q3735" s="6">
        <f>OrganizedData[[#This Row],[Total Items Ordered]]*VLOOKUP(OrganizedData[[#This Row],[Product Code]],ProductData[],3,FALSE)</f>
        <v>2620.56</v>
      </c>
      <c r="R37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2489.5319999999997</v>
      </c>
    </row>
    <row r="3736" spans="1:18" x14ac:dyDescent="0.3">
      <c r="A3736" s="2">
        <v>3729</v>
      </c>
      <c r="B3736" s="2" t="s">
        <v>638</v>
      </c>
      <c r="C3736" s="2" t="s">
        <v>7618</v>
      </c>
      <c r="D3736" s="2" t="s">
        <v>15</v>
      </c>
      <c r="E3736" s="2" t="s">
        <v>16</v>
      </c>
      <c r="F3736" s="2">
        <v>60</v>
      </c>
      <c r="G3736" s="2" t="s">
        <v>8663</v>
      </c>
      <c r="H3736" s="2" t="s">
        <v>1590</v>
      </c>
      <c r="I3736" s="2" t="s">
        <v>32</v>
      </c>
      <c r="J3736" s="3">
        <v>43939</v>
      </c>
      <c r="K3736" s="5">
        <f>YEAR(OrganizedData[[#This Row],[Order Date]])</f>
        <v>2020</v>
      </c>
      <c r="L3736" s="7" t="str">
        <f>TEXT(OrganizedData[[#This Row],[Order Date]],"mmm")</f>
        <v>Apr</v>
      </c>
      <c r="M3736" s="2">
        <v>63</v>
      </c>
      <c r="N3736" s="2" t="s">
        <v>101</v>
      </c>
      <c r="O3736" s="2" t="str">
        <f>VLOOKUP(OrganizedData[[#This Row],[Product Code]],ProductData[[Code]:[Item]],2,FALSE)</f>
        <v>Superwossname</v>
      </c>
      <c r="P3736" s="4">
        <f>OrganizedData[[#This Row],[Quantity]]*VLOOKUP(OrganizedData[[#This Row],[Product Code]],ProductData[],4,FALSE)</f>
        <v>1260</v>
      </c>
      <c r="Q3736" s="6">
        <f>OrganizedData[[#This Row],[Total Items Ordered]]*VLOOKUP(OrganizedData[[#This Row],[Product Code]],ProductData[],3,FALSE)</f>
        <v>4397.4000000000005</v>
      </c>
      <c r="R37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3737" spans="1:18" x14ac:dyDescent="0.3">
      <c r="A3737" s="2">
        <v>3730</v>
      </c>
      <c r="B3737" s="2" t="s">
        <v>8664</v>
      </c>
      <c r="C3737" s="2" t="s">
        <v>1810</v>
      </c>
      <c r="D3737" s="2" t="s">
        <v>51</v>
      </c>
      <c r="E3737" s="2" t="s">
        <v>16</v>
      </c>
      <c r="F3737" s="2">
        <v>30</v>
      </c>
      <c r="G3737" s="2" t="s">
        <v>8665</v>
      </c>
      <c r="H3737" s="2" t="s">
        <v>7720</v>
      </c>
      <c r="I3737" s="2" t="s">
        <v>38</v>
      </c>
      <c r="J3737" s="3">
        <v>44261</v>
      </c>
      <c r="K3737" s="5">
        <f>YEAR(OrganizedData[[#This Row],[Order Date]])</f>
        <v>2021</v>
      </c>
      <c r="L3737" s="7" t="str">
        <f>TEXT(OrganizedData[[#This Row],[Order Date]],"mmm")</f>
        <v>Mar</v>
      </c>
      <c r="M3737" s="2">
        <v>17</v>
      </c>
      <c r="N3737" s="2" t="s">
        <v>70</v>
      </c>
      <c r="O3737" s="2" t="str">
        <f>VLOOKUP(OrganizedData[[#This Row],[Product Code]],ProductData[[Code]:[Item]],2,FALSE)</f>
        <v>Megawidget M</v>
      </c>
      <c r="P3737" s="4">
        <f>OrganizedData[[#This Row],[Quantity]]*VLOOKUP(OrganizedData[[#This Row],[Product Code]],ProductData[],4,FALSE)</f>
        <v>408</v>
      </c>
      <c r="Q3737" s="6">
        <f>OrganizedData[[#This Row],[Total Items Ordered]]*VLOOKUP(OrganizedData[[#This Row],[Product Code]],ProductData[],3,FALSE)</f>
        <v>526.32000000000005</v>
      </c>
      <c r="R37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526.32000000000005</v>
      </c>
    </row>
    <row r="3738" spans="1:18" x14ac:dyDescent="0.3">
      <c r="A3738" s="2">
        <v>3731</v>
      </c>
      <c r="B3738" s="2" t="s">
        <v>4469</v>
      </c>
      <c r="C3738" s="2" t="s">
        <v>7449</v>
      </c>
      <c r="D3738" s="2" t="s">
        <v>117</v>
      </c>
      <c r="E3738" s="2" t="s">
        <v>29</v>
      </c>
      <c r="F3738" s="2">
        <v>90</v>
      </c>
      <c r="G3738" s="2" t="s">
        <v>8665</v>
      </c>
      <c r="H3738" s="2" t="s">
        <v>3343</v>
      </c>
      <c r="I3738" s="2" t="s">
        <v>1199</v>
      </c>
      <c r="J3738" s="3">
        <v>43860</v>
      </c>
      <c r="K3738" s="5">
        <f>YEAR(OrganizedData[[#This Row],[Order Date]])</f>
        <v>2020</v>
      </c>
      <c r="L3738" s="7" t="str">
        <f>TEXT(OrganizedData[[#This Row],[Order Date]],"mmm")</f>
        <v>Jan</v>
      </c>
      <c r="M3738" s="2">
        <v>23</v>
      </c>
      <c r="N3738" s="2" t="s">
        <v>54</v>
      </c>
      <c r="O3738" s="2" t="str">
        <f>VLOOKUP(OrganizedData[[#This Row],[Product Code]],ProductData[[Code]:[Item]],2,FALSE)</f>
        <v>Megawidget S</v>
      </c>
      <c r="P3738" s="4">
        <f>OrganizedData[[#This Row],[Quantity]]*VLOOKUP(OrganizedData[[#This Row],[Product Code]],ProductData[],4,FALSE)</f>
        <v>552</v>
      </c>
      <c r="Q3738" s="6">
        <f>OrganizedData[[#This Row],[Total Items Ordered]]*VLOOKUP(OrganizedData[[#This Row],[Product Code]],ProductData[],3,FALSE)</f>
        <v>380.88</v>
      </c>
      <c r="R37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369.45359999999999</v>
      </c>
    </row>
    <row r="3739" spans="1:18" x14ac:dyDescent="0.3">
      <c r="A3739" s="2">
        <v>3732</v>
      </c>
      <c r="B3739" s="2" t="s">
        <v>8666</v>
      </c>
      <c r="C3739" s="2" t="s">
        <v>1677</v>
      </c>
      <c r="D3739" s="2" t="s">
        <v>41</v>
      </c>
      <c r="E3739" s="2" t="s">
        <v>16</v>
      </c>
      <c r="F3739" s="2">
        <v>30</v>
      </c>
      <c r="G3739" s="2" t="s">
        <v>8667</v>
      </c>
      <c r="H3739" s="2" t="s">
        <v>1537</v>
      </c>
      <c r="I3739" s="2" t="s">
        <v>294</v>
      </c>
      <c r="J3739" s="3">
        <v>44726</v>
      </c>
      <c r="K3739" s="5">
        <f>YEAR(OrganizedData[[#This Row],[Order Date]])</f>
        <v>2022</v>
      </c>
      <c r="L3739" s="7" t="str">
        <f>TEXT(OrganizedData[[#This Row],[Order Date]],"mmm")</f>
        <v>Jun</v>
      </c>
      <c r="M3739" s="2">
        <v>68</v>
      </c>
      <c r="N3739" s="2" t="s">
        <v>64</v>
      </c>
      <c r="O3739" s="2" t="str">
        <f>VLOOKUP(OrganizedData[[#This Row],[Product Code]],ProductData[[Code]:[Item]],2,FALSE)</f>
        <v>Ultrathing V4</v>
      </c>
      <c r="P3739" s="4">
        <f>OrganizedData[[#This Row],[Quantity]]*VLOOKUP(OrganizedData[[#This Row],[Product Code]],ProductData[],4,FALSE)</f>
        <v>1632</v>
      </c>
      <c r="Q3739" s="6">
        <f>OrganizedData[[#This Row],[Total Items Ordered]]*VLOOKUP(OrganizedData[[#This Row],[Product Code]],ProductData[],3,FALSE)</f>
        <v>6511.68</v>
      </c>
      <c r="R37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3740" spans="1:18" x14ac:dyDescent="0.3">
      <c r="A3740" s="2">
        <v>3733</v>
      </c>
      <c r="B3740" s="2" t="s">
        <v>4307</v>
      </c>
      <c r="C3740" s="2" t="s">
        <v>8668</v>
      </c>
      <c r="D3740" s="2" t="s">
        <v>15</v>
      </c>
      <c r="E3740" s="2" t="s">
        <v>16</v>
      </c>
      <c r="F3740" s="2">
        <v>90</v>
      </c>
      <c r="G3740" s="2" t="s">
        <v>8667</v>
      </c>
      <c r="H3740" s="2" t="s">
        <v>5427</v>
      </c>
      <c r="I3740" s="2" t="s">
        <v>32</v>
      </c>
      <c r="J3740" s="3">
        <v>44269</v>
      </c>
      <c r="K3740" s="5">
        <f>YEAR(OrganizedData[[#This Row],[Order Date]])</f>
        <v>2021</v>
      </c>
      <c r="L3740" s="7" t="str">
        <f>TEXT(OrganizedData[[#This Row],[Order Date]],"mmm")</f>
        <v>Mar</v>
      </c>
      <c r="M3740" s="2">
        <v>38</v>
      </c>
      <c r="N3740" s="2" t="s">
        <v>33</v>
      </c>
      <c r="O3740" s="2" t="str">
        <f>VLOOKUP(OrganizedData[[#This Row],[Product Code]],ProductData[[Code]:[Item]],2,FALSE)</f>
        <v>Megawidget L</v>
      </c>
      <c r="P3740" s="4">
        <f>OrganizedData[[#This Row],[Quantity]]*VLOOKUP(OrganizedData[[#This Row],[Product Code]],ProductData[],4,FALSE)</f>
        <v>912</v>
      </c>
      <c r="Q3740" s="6">
        <f>OrganizedData[[#This Row],[Total Items Ordered]]*VLOOKUP(OrganizedData[[#This Row],[Product Code]],ProductData[],3,FALSE)</f>
        <v>1632.48</v>
      </c>
      <c r="R37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1583.5056</v>
      </c>
    </row>
    <row r="3741" spans="1:18" x14ac:dyDescent="0.3">
      <c r="A3741" s="2">
        <v>3734</v>
      </c>
      <c r="B3741" s="2" t="s">
        <v>8669</v>
      </c>
      <c r="C3741" s="2" t="s">
        <v>4949</v>
      </c>
      <c r="D3741" s="2" t="s">
        <v>51</v>
      </c>
      <c r="E3741" s="2" t="s">
        <v>16</v>
      </c>
      <c r="F3741" s="2">
        <v>90</v>
      </c>
      <c r="G3741" s="2" t="s">
        <v>10557</v>
      </c>
      <c r="H3741" s="2" t="s">
        <v>2552</v>
      </c>
      <c r="I3741" s="2" t="s">
        <v>32</v>
      </c>
      <c r="J3741" s="3">
        <v>44329</v>
      </c>
      <c r="K3741" s="5">
        <f>YEAR(OrganizedData[[#This Row],[Order Date]])</f>
        <v>2021</v>
      </c>
      <c r="L3741" s="7" t="str">
        <f>TEXT(OrganizedData[[#This Row],[Order Date]],"mmm")</f>
        <v>May</v>
      </c>
      <c r="M3741" s="2">
        <v>68</v>
      </c>
      <c r="N3741" s="2" t="s">
        <v>64</v>
      </c>
      <c r="O3741" s="2" t="str">
        <f>VLOOKUP(OrganizedData[[#This Row],[Product Code]],ProductData[[Code]:[Item]],2,FALSE)</f>
        <v>Ultrathing V4</v>
      </c>
      <c r="P3741" s="4">
        <f>OrganizedData[[#This Row],[Quantity]]*VLOOKUP(OrganizedData[[#This Row],[Product Code]],ProductData[],4,FALSE)</f>
        <v>1632</v>
      </c>
      <c r="Q3741" s="6">
        <f>OrganizedData[[#This Row],[Total Items Ordered]]*VLOOKUP(OrganizedData[[#This Row],[Product Code]],ProductData[],3,FALSE)</f>
        <v>6511.68</v>
      </c>
      <c r="R37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3742" spans="1:18" x14ac:dyDescent="0.3">
      <c r="A3742" s="2">
        <v>3735</v>
      </c>
      <c r="B3742" s="2" t="s">
        <v>8671</v>
      </c>
      <c r="C3742" s="2" t="s">
        <v>6439</v>
      </c>
      <c r="D3742" s="2" t="s">
        <v>15</v>
      </c>
      <c r="E3742" s="2" t="s">
        <v>16</v>
      </c>
      <c r="F3742" s="2">
        <v>30</v>
      </c>
      <c r="G3742" s="2" t="s">
        <v>8672</v>
      </c>
      <c r="H3742" s="2" t="s">
        <v>6710</v>
      </c>
      <c r="I3742" s="2" t="s">
        <v>32</v>
      </c>
      <c r="J3742" s="3">
        <v>44811</v>
      </c>
      <c r="K3742" s="5">
        <f>YEAR(OrganizedData[[#This Row],[Order Date]])</f>
        <v>2022</v>
      </c>
      <c r="L3742" s="7" t="str">
        <f>TEXT(OrganizedData[[#This Row],[Order Date]],"mmm")</f>
        <v>Sep</v>
      </c>
      <c r="M3742" s="2">
        <v>78</v>
      </c>
      <c r="N3742" s="2" t="s">
        <v>80</v>
      </c>
      <c r="O3742" s="2" t="str">
        <f>VLOOKUP(OrganizedData[[#This Row],[Product Code]],ProductData[[Code]:[Item]],2,FALSE)</f>
        <v>Ultrathing V2</v>
      </c>
      <c r="P3742" s="4">
        <f>OrganizedData[[#This Row],[Quantity]]*VLOOKUP(OrganizedData[[#This Row],[Product Code]],ProductData[],4,FALSE)</f>
        <v>1560</v>
      </c>
      <c r="Q3742" s="6">
        <f>OrganizedData[[#This Row],[Total Items Ordered]]*VLOOKUP(OrganizedData[[#This Row],[Product Code]],ProductData[],3,FALSE)</f>
        <v>4602</v>
      </c>
      <c r="R37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3743" spans="1:18" x14ac:dyDescent="0.3">
      <c r="A3743" s="2">
        <v>3736</v>
      </c>
      <c r="B3743" s="2" t="s">
        <v>8673</v>
      </c>
      <c r="C3743" s="2" t="s">
        <v>267</v>
      </c>
      <c r="D3743" s="2" t="s">
        <v>28</v>
      </c>
      <c r="E3743" s="2" t="s">
        <v>29</v>
      </c>
      <c r="F3743" s="2">
        <v>90</v>
      </c>
      <c r="G3743" s="2" t="s">
        <v>10558</v>
      </c>
      <c r="H3743" s="2" t="s">
        <v>3274</v>
      </c>
      <c r="I3743" s="2" t="s">
        <v>32</v>
      </c>
      <c r="J3743" s="3">
        <v>44779</v>
      </c>
      <c r="K3743" s="5">
        <f>YEAR(OrganizedData[[#This Row],[Order Date]])</f>
        <v>2022</v>
      </c>
      <c r="L3743" s="7" t="str">
        <f>TEXT(OrganizedData[[#This Row],[Order Date]],"mmm")</f>
        <v>Aug</v>
      </c>
      <c r="M3743" s="2">
        <v>27</v>
      </c>
      <c r="N3743" s="2" t="s">
        <v>54</v>
      </c>
      <c r="O3743" s="2" t="str">
        <f>VLOOKUP(OrganizedData[[#This Row],[Product Code]],ProductData[[Code]:[Item]],2,FALSE)</f>
        <v>Megawidget S</v>
      </c>
      <c r="P3743" s="4">
        <f>OrganizedData[[#This Row],[Quantity]]*VLOOKUP(OrganizedData[[#This Row],[Product Code]],ProductData[],4,FALSE)</f>
        <v>648</v>
      </c>
      <c r="Q3743" s="6">
        <f>OrganizedData[[#This Row],[Total Items Ordered]]*VLOOKUP(OrganizedData[[#This Row],[Product Code]],ProductData[],3,FALSE)</f>
        <v>447.11999999999995</v>
      </c>
      <c r="R37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433.70639999999992</v>
      </c>
    </row>
    <row r="3744" spans="1:18" x14ac:dyDescent="0.3">
      <c r="A3744" s="2">
        <v>3737</v>
      </c>
      <c r="B3744" s="2" t="s">
        <v>6300</v>
      </c>
      <c r="C3744" s="2" t="s">
        <v>2883</v>
      </c>
      <c r="D3744" s="2" t="s">
        <v>51</v>
      </c>
      <c r="E3744" s="2" t="s">
        <v>16</v>
      </c>
      <c r="F3744" s="2">
        <v>90</v>
      </c>
      <c r="G3744" s="2" t="s">
        <v>8675</v>
      </c>
      <c r="H3744" s="2" t="s">
        <v>4484</v>
      </c>
      <c r="I3744" s="2" t="s">
        <v>32</v>
      </c>
      <c r="J3744" s="3">
        <v>44559</v>
      </c>
      <c r="K3744" s="5">
        <f>YEAR(OrganizedData[[#This Row],[Order Date]])</f>
        <v>2021</v>
      </c>
      <c r="L3744" s="7" t="str">
        <f>TEXT(OrganizedData[[#This Row],[Order Date]],"mmm")</f>
        <v>Dec</v>
      </c>
      <c r="M3744" s="2">
        <v>75</v>
      </c>
      <c r="N3744" s="2" t="s">
        <v>20</v>
      </c>
      <c r="O3744" s="2" t="str">
        <f>VLOOKUP(OrganizedData[[#This Row],[Product Code]],ProductData[[Code]:[Item]],2,FALSE)</f>
        <v>Hyperwotsit</v>
      </c>
      <c r="P3744" s="4">
        <f>OrganizedData[[#This Row],[Quantity]]*VLOOKUP(OrganizedData[[#This Row],[Product Code]],ProductData[],4,FALSE)</f>
        <v>1500</v>
      </c>
      <c r="Q3744" s="6">
        <f>OrganizedData[[#This Row],[Total Items Ordered]]*VLOOKUP(OrganizedData[[#This Row],[Product Code]],ProductData[],3,FALSE)</f>
        <v>3014.9999999999995</v>
      </c>
      <c r="R37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2864.2499999999995</v>
      </c>
    </row>
    <row r="3745" spans="1:18" x14ac:dyDescent="0.3">
      <c r="A3745" s="2">
        <v>3738</v>
      </c>
      <c r="B3745" s="2" t="s">
        <v>8676</v>
      </c>
      <c r="C3745" s="2" t="s">
        <v>6534</v>
      </c>
      <c r="D3745" s="2" t="s">
        <v>28</v>
      </c>
      <c r="E3745" s="2" t="s">
        <v>29</v>
      </c>
      <c r="F3745" s="2">
        <v>30</v>
      </c>
      <c r="G3745" s="2" t="s">
        <v>10559</v>
      </c>
      <c r="H3745" s="2" t="s">
        <v>258</v>
      </c>
      <c r="I3745" s="2" t="s">
        <v>32</v>
      </c>
      <c r="J3745" s="3">
        <v>44874</v>
      </c>
      <c r="K3745" s="5">
        <f>YEAR(OrganizedData[[#This Row],[Order Date]])</f>
        <v>2022</v>
      </c>
      <c r="L3745" s="7" t="str">
        <f>TEXT(OrganizedData[[#This Row],[Order Date]],"mmm")</f>
        <v>Nov</v>
      </c>
      <c r="M3745" s="2">
        <v>91</v>
      </c>
      <c r="N3745" s="2" t="s">
        <v>80</v>
      </c>
      <c r="O3745" s="2" t="str">
        <f>VLOOKUP(OrganizedData[[#This Row],[Product Code]],ProductData[[Code]:[Item]],2,FALSE)</f>
        <v>Ultrathing V2</v>
      </c>
      <c r="P3745" s="4">
        <f>OrganizedData[[#This Row],[Quantity]]*VLOOKUP(OrganizedData[[#This Row],[Product Code]],ProductData[],4,FALSE)</f>
        <v>1820</v>
      </c>
      <c r="Q3745" s="6">
        <f>OrganizedData[[#This Row],[Total Items Ordered]]*VLOOKUP(OrganizedData[[#This Row],[Product Code]],ProductData[],3,FALSE)</f>
        <v>5369</v>
      </c>
      <c r="R37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3746" spans="1:18" x14ac:dyDescent="0.3">
      <c r="A3746" s="2">
        <v>3739</v>
      </c>
      <c r="B3746" s="2" t="s">
        <v>2650</v>
      </c>
      <c r="C3746" s="2" t="s">
        <v>8678</v>
      </c>
      <c r="D3746" s="2" t="s">
        <v>28</v>
      </c>
      <c r="E3746" s="2" t="s">
        <v>29</v>
      </c>
      <c r="F3746" s="2">
        <v>30</v>
      </c>
      <c r="G3746" s="2" t="s">
        <v>8679</v>
      </c>
      <c r="H3746" s="2" t="s">
        <v>1896</v>
      </c>
      <c r="I3746" s="2" t="s">
        <v>294</v>
      </c>
      <c r="J3746" s="3">
        <v>44822</v>
      </c>
      <c r="K3746" s="5">
        <f>YEAR(OrganizedData[[#This Row],[Order Date]])</f>
        <v>2022</v>
      </c>
      <c r="L3746" s="7" t="str">
        <f>TEXT(OrganizedData[[#This Row],[Order Date]],"mmm")</f>
        <v>Sep</v>
      </c>
      <c r="M3746" s="2">
        <v>10</v>
      </c>
      <c r="N3746" s="2" t="s">
        <v>159</v>
      </c>
      <c r="O3746" s="2" t="str">
        <f>VLOOKUP(OrganizedData[[#This Row],[Product Code]],ProductData[[Code]:[Item]],2,FALSE)</f>
        <v>Ultrathing V3</v>
      </c>
      <c r="P3746" s="4">
        <f>OrganizedData[[#This Row],[Quantity]]*VLOOKUP(OrganizedData[[#This Row],[Product Code]],ProductData[],4,FALSE)</f>
        <v>240</v>
      </c>
      <c r="Q3746" s="6">
        <f>OrganizedData[[#This Row],[Total Items Ordered]]*VLOOKUP(OrganizedData[[#This Row],[Product Code]],ProductData[],3,FALSE)</f>
        <v>813.6</v>
      </c>
      <c r="R37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3747" spans="1:18" x14ac:dyDescent="0.3">
      <c r="A3747" s="2">
        <v>3740</v>
      </c>
      <c r="B3747" s="2" t="s">
        <v>8680</v>
      </c>
      <c r="C3747" s="2" t="s">
        <v>1710</v>
      </c>
      <c r="D3747" s="2" t="s">
        <v>51</v>
      </c>
      <c r="E3747" s="2" t="s">
        <v>16</v>
      </c>
      <c r="F3747" s="2">
        <v>90</v>
      </c>
      <c r="G3747" s="2" t="s">
        <v>8681</v>
      </c>
      <c r="H3747" s="2" t="s">
        <v>5025</v>
      </c>
      <c r="I3747" s="2" t="s">
        <v>32</v>
      </c>
      <c r="J3747" s="3">
        <v>44056</v>
      </c>
      <c r="K3747" s="5">
        <f>YEAR(OrganizedData[[#This Row],[Order Date]])</f>
        <v>2020</v>
      </c>
      <c r="L3747" s="7" t="str">
        <f>TEXT(OrganizedData[[#This Row],[Order Date]],"mmm")</f>
        <v>Aug</v>
      </c>
      <c r="M3747" s="2">
        <v>47</v>
      </c>
      <c r="N3747" s="2" t="s">
        <v>80</v>
      </c>
      <c r="O3747" s="2" t="str">
        <f>VLOOKUP(OrganizedData[[#This Row],[Product Code]],ProductData[[Code]:[Item]],2,FALSE)</f>
        <v>Ultrathing V2</v>
      </c>
      <c r="P3747" s="4">
        <f>OrganizedData[[#This Row],[Quantity]]*VLOOKUP(OrganizedData[[#This Row],[Product Code]],ProductData[],4,FALSE)</f>
        <v>940</v>
      </c>
      <c r="Q3747" s="6">
        <f>OrganizedData[[#This Row],[Total Items Ordered]]*VLOOKUP(OrganizedData[[#This Row],[Product Code]],ProductData[],3,FALSE)</f>
        <v>2773</v>
      </c>
      <c r="R37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2689.81</v>
      </c>
    </row>
    <row r="3748" spans="1:18" x14ac:dyDescent="0.3">
      <c r="A3748" s="2">
        <v>3741</v>
      </c>
      <c r="B3748" s="2" t="s">
        <v>3021</v>
      </c>
      <c r="C3748" s="2" t="s">
        <v>6082</v>
      </c>
      <c r="D3748" s="2" t="s">
        <v>28</v>
      </c>
      <c r="E3748" s="2" t="s">
        <v>29</v>
      </c>
      <c r="F3748" s="2">
        <v>30</v>
      </c>
      <c r="G3748" s="2" t="s">
        <v>10560</v>
      </c>
      <c r="H3748" s="2" t="s">
        <v>168</v>
      </c>
      <c r="I3748" s="2" t="s">
        <v>32</v>
      </c>
      <c r="J3748" s="3">
        <v>44362</v>
      </c>
      <c r="K3748" s="5">
        <f>YEAR(OrganizedData[[#This Row],[Order Date]])</f>
        <v>2021</v>
      </c>
      <c r="L3748" s="7" t="str">
        <f>TEXT(OrganizedData[[#This Row],[Order Date]],"mmm")</f>
        <v>Jun</v>
      </c>
      <c r="M3748" s="2">
        <v>94</v>
      </c>
      <c r="N3748" s="2" t="s">
        <v>54</v>
      </c>
      <c r="O3748" s="2" t="str">
        <f>VLOOKUP(OrganizedData[[#This Row],[Product Code]],ProductData[[Code]:[Item]],2,FALSE)</f>
        <v>Megawidget S</v>
      </c>
      <c r="P3748" s="4">
        <f>OrganizedData[[#This Row],[Quantity]]*VLOOKUP(OrganizedData[[#This Row],[Product Code]],ProductData[],4,FALSE)</f>
        <v>2256</v>
      </c>
      <c r="Q3748" s="6">
        <f>OrganizedData[[#This Row],[Total Items Ordered]]*VLOOKUP(OrganizedData[[#This Row],[Product Code]],ProductData[],3,FALSE)</f>
        <v>1556.6399999999999</v>
      </c>
      <c r="R37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1478.8079999999998</v>
      </c>
    </row>
    <row r="3749" spans="1:18" x14ac:dyDescent="0.3">
      <c r="A3749" s="2">
        <v>3742</v>
      </c>
      <c r="B3749" s="2" t="s">
        <v>4644</v>
      </c>
      <c r="C3749" s="2" t="s">
        <v>7123</v>
      </c>
      <c r="D3749" s="2" t="s">
        <v>28</v>
      </c>
      <c r="E3749" s="2" t="s">
        <v>29</v>
      </c>
      <c r="F3749" s="2">
        <v>90</v>
      </c>
      <c r="G3749" s="2" t="s">
        <v>10561</v>
      </c>
      <c r="H3749" s="2" t="s">
        <v>361</v>
      </c>
      <c r="I3749" s="2" t="s">
        <v>25</v>
      </c>
      <c r="J3749" s="3">
        <v>44770</v>
      </c>
      <c r="K3749" s="5">
        <f>YEAR(OrganizedData[[#This Row],[Order Date]])</f>
        <v>2022</v>
      </c>
      <c r="L3749" s="7" t="str">
        <f>TEXT(OrganizedData[[#This Row],[Order Date]],"mmm")</f>
        <v>Jul</v>
      </c>
      <c r="M3749" s="2">
        <v>40</v>
      </c>
      <c r="N3749" s="2" t="s">
        <v>33</v>
      </c>
      <c r="O3749" s="2" t="str">
        <f>VLOOKUP(OrganizedData[[#This Row],[Product Code]],ProductData[[Code]:[Item]],2,FALSE)</f>
        <v>Megawidget L</v>
      </c>
      <c r="P3749" s="4">
        <f>OrganizedData[[#This Row],[Quantity]]*VLOOKUP(OrganizedData[[#This Row],[Product Code]],ProductData[],4,FALSE)</f>
        <v>960</v>
      </c>
      <c r="Q3749" s="6">
        <f>OrganizedData[[#This Row],[Total Items Ordered]]*VLOOKUP(OrganizedData[[#This Row],[Product Code]],ProductData[],3,FALSE)</f>
        <v>1718.4</v>
      </c>
      <c r="R37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1666.848</v>
      </c>
    </row>
    <row r="3750" spans="1:18" x14ac:dyDescent="0.3">
      <c r="A3750" s="2">
        <v>3743</v>
      </c>
      <c r="B3750" s="2" t="s">
        <v>7540</v>
      </c>
      <c r="C3750" s="2" t="s">
        <v>8685</v>
      </c>
      <c r="D3750" s="2" t="s">
        <v>28</v>
      </c>
      <c r="E3750" s="2" t="s">
        <v>29</v>
      </c>
      <c r="F3750" s="2">
        <v>60</v>
      </c>
      <c r="G3750" s="2" t="s">
        <v>8686</v>
      </c>
      <c r="H3750" s="2" t="s">
        <v>3619</v>
      </c>
      <c r="I3750" s="2" t="s">
        <v>575</v>
      </c>
      <c r="J3750" s="3">
        <v>44164</v>
      </c>
      <c r="K3750" s="5">
        <f>YEAR(OrganizedData[[#This Row],[Order Date]])</f>
        <v>2020</v>
      </c>
      <c r="L3750" s="7" t="str">
        <f>TEXT(OrganizedData[[#This Row],[Order Date]],"mmm")</f>
        <v>Nov</v>
      </c>
      <c r="M3750" s="2">
        <v>17</v>
      </c>
      <c r="N3750" s="2" t="s">
        <v>64</v>
      </c>
      <c r="O3750" s="2" t="str">
        <f>VLOOKUP(OrganizedData[[#This Row],[Product Code]],ProductData[[Code]:[Item]],2,FALSE)</f>
        <v>Ultrathing V4</v>
      </c>
      <c r="P3750" s="4">
        <f>OrganizedData[[#This Row],[Quantity]]*VLOOKUP(OrganizedData[[#This Row],[Product Code]],ProductData[],4,FALSE)</f>
        <v>408</v>
      </c>
      <c r="Q3750" s="6">
        <f>OrganizedData[[#This Row],[Total Items Ordered]]*VLOOKUP(OrganizedData[[#This Row],[Product Code]],ProductData[],3,FALSE)</f>
        <v>1627.92</v>
      </c>
      <c r="R37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1627.92</v>
      </c>
    </row>
    <row r="3751" spans="1:18" x14ac:dyDescent="0.3">
      <c r="A3751" s="2">
        <v>3744</v>
      </c>
      <c r="B3751" s="2" t="s">
        <v>7037</v>
      </c>
      <c r="C3751" s="2" t="s">
        <v>8687</v>
      </c>
      <c r="D3751" s="2" t="s">
        <v>28</v>
      </c>
      <c r="E3751" s="2" t="s">
        <v>29</v>
      </c>
      <c r="F3751" s="2">
        <v>90</v>
      </c>
      <c r="G3751" s="2" t="s">
        <v>8688</v>
      </c>
      <c r="H3751" s="2" t="s">
        <v>4924</v>
      </c>
      <c r="I3751" s="2" t="s">
        <v>32</v>
      </c>
      <c r="J3751" s="3">
        <v>44420</v>
      </c>
      <c r="K3751" s="5">
        <f>YEAR(OrganizedData[[#This Row],[Order Date]])</f>
        <v>2021</v>
      </c>
      <c r="L3751" s="7" t="str">
        <f>TEXT(OrganizedData[[#This Row],[Order Date]],"mmm")</f>
        <v>Aug</v>
      </c>
      <c r="M3751" s="2">
        <v>90</v>
      </c>
      <c r="N3751" s="2" t="s">
        <v>39</v>
      </c>
      <c r="O3751" s="2" t="str">
        <f>VLOOKUP(OrganizedData[[#This Row],[Product Code]],ProductData[[Code]:[Item]],2,FALSE)</f>
        <v>Ultrathing V1</v>
      </c>
      <c r="P3751" s="4">
        <f>OrganizedData[[#This Row],[Quantity]]*VLOOKUP(OrganizedData[[#This Row],[Product Code]],ProductData[],4,FALSE)</f>
        <v>1530</v>
      </c>
      <c r="Q3751" s="6">
        <f>OrganizedData[[#This Row],[Total Items Ordered]]*VLOOKUP(OrganizedData[[#This Row],[Product Code]],ProductData[],3,FALSE)</f>
        <v>2738.7000000000003</v>
      </c>
      <c r="R37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2601.7650000000003</v>
      </c>
    </row>
    <row r="3752" spans="1:18" x14ac:dyDescent="0.3">
      <c r="A3752" s="2">
        <v>3745</v>
      </c>
      <c r="B3752" s="2" t="s">
        <v>8689</v>
      </c>
      <c r="C3752" s="2" t="s">
        <v>6062</v>
      </c>
      <c r="D3752" s="2" t="s">
        <v>51</v>
      </c>
      <c r="E3752" s="2" t="s">
        <v>16</v>
      </c>
      <c r="F3752" s="2">
        <v>90</v>
      </c>
      <c r="G3752" s="2" t="s">
        <v>8690</v>
      </c>
      <c r="H3752" s="2" t="s">
        <v>5173</v>
      </c>
      <c r="I3752" s="2" t="s">
        <v>686</v>
      </c>
      <c r="J3752" s="3">
        <v>44260</v>
      </c>
      <c r="K3752" s="5">
        <f>YEAR(OrganizedData[[#This Row],[Order Date]])</f>
        <v>2021</v>
      </c>
      <c r="L3752" s="7" t="str">
        <f>TEXT(OrganizedData[[#This Row],[Order Date]],"mmm")</f>
        <v>Mar</v>
      </c>
      <c r="M3752" s="2">
        <v>11</v>
      </c>
      <c r="N3752" s="2" t="s">
        <v>64</v>
      </c>
      <c r="O3752" s="2" t="str">
        <f>VLOOKUP(OrganizedData[[#This Row],[Product Code]],ProductData[[Code]:[Item]],2,FALSE)</f>
        <v>Ultrathing V4</v>
      </c>
      <c r="P3752" s="4">
        <f>OrganizedData[[#This Row],[Quantity]]*VLOOKUP(OrganizedData[[#This Row],[Product Code]],ProductData[],4,FALSE)</f>
        <v>264</v>
      </c>
      <c r="Q3752" s="6">
        <f>OrganizedData[[#This Row],[Total Items Ordered]]*VLOOKUP(OrganizedData[[#This Row],[Product Code]],ProductData[],3,FALSE)</f>
        <v>1053.3600000000001</v>
      </c>
      <c r="R37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1053.3600000000001</v>
      </c>
    </row>
    <row r="3753" spans="1:18" x14ac:dyDescent="0.3">
      <c r="A3753" s="2">
        <v>3746</v>
      </c>
      <c r="B3753" s="2" t="s">
        <v>3501</v>
      </c>
      <c r="C3753" s="2" t="s">
        <v>8064</v>
      </c>
      <c r="D3753" s="2" t="s">
        <v>28</v>
      </c>
      <c r="E3753" s="2" t="s">
        <v>29</v>
      </c>
      <c r="F3753" s="2">
        <v>90</v>
      </c>
      <c r="G3753" s="2" t="s">
        <v>8691</v>
      </c>
      <c r="H3753" s="2" t="s">
        <v>334</v>
      </c>
      <c r="I3753" s="2" t="s">
        <v>124</v>
      </c>
      <c r="J3753" s="3">
        <v>44647</v>
      </c>
      <c r="K3753" s="5">
        <f>YEAR(OrganizedData[[#This Row],[Order Date]])</f>
        <v>2022</v>
      </c>
      <c r="L3753" s="7" t="str">
        <f>TEXT(OrganizedData[[#This Row],[Order Date]],"mmm")</f>
        <v>Mar</v>
      </c>
      <c r="M3753" s="2">
        <v>3</v>
      </c>
      <c r="N3753" s="2" t="s">
        <v>70</v>
      </c>
      <c r="O3753" s="2" t="str">
        <f>VLOOKUP(OrganizedData[[#This Row],[Product Code]],ProductData[[Code]:[Item]],2,FALSE)</f>
        <v>Megawidget M</v>
      </c>
      <c r="P3753" s="4">
        <f>OrganizedData[[#This Row],[Quantity]]*VLOOKUP(OrganizedData[[#This Row],[Product Code]],ProductData[],4,FALSE)</f>
        <v>72</v>
      </c>
      <c r="Q3753" s="6">
        <f>OrganizedData[[#This Row],[Total Items Ordered]]*VLOOKUP(OrganizedData[[#This Row],[Product Code]],ProductData[],3,FALSE)</f>
        <v>92.88</v>
      </c>
      <c r="R37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92.88</v>
      </c>
    </row>
    <row r="3754" spans="1:18" x14ac:dyDescent="0.3">
      <c r="A3754" s="2">
        <v>3747</v>
      </c>
      <c r="B3754" s="2" t="s">
        <v>828</v>
      </c>
      <c r="C3754" s="2" t="s">
        <v>8650</v>
      </c>
      <c r="D3754" s="2" t="s">
        <v>28</v>
      </c>
      <c r="E3754" s="2" t="s">
        <v>29</v>
      </c>
      <c r="F3754" s="2">
        <v>30</v>
      </c>
      <c r="G3754" s="2" t="s">
        <v>8692</v>
      </c>
      <c r="H3754" s="2" t="s">
        <v>3713</v>
      </c>
      <c r="I3754" s="2" t="s">
        <v>32</v>
      </c>
      <c r="J3754" s="3">
        <v>43968</v>
      </c>
      <c r="K3754" s="5">
        <f>YEAR(OrganizedData[[#This Row],[Order Date]])</f>
        <v>2020</v>
      </c>
      <c r="L3754" s="7" t="str">
        <f>TEXT(OrganizedData[[#This Row],[Order Date]],"mmm")</f>
        <v>May</v>
      </c>
      <c r="M3754" s="2">
        <v>85</v>
      </c>
      <c r="N3754" s="2" t="s">
        <v>39</v>
      </c>
      <c r="O3754" s="2" t="str">
        <f>VLOOKUP(OrganizedData[[#This Row],[Product Code]],ProductData[[Code]:[Item]],2,FALSE)</f>
        <v>Ultrathing V1</v>
      </c>
      <c r="P3754" s="4">
        <f>OrganizedData[[#This Row],[Quantity]]*VLOOKUP(OrganizedData[[#This Row],[Product Code]],ProductData[],4,FALSE)</f>
        <v>1445</v>
      </c>
      <c r="Q3754" s="6">
        <f>OrganizedData[[#This Row],[Total Items Ordered]]*VLOOKUP(OrganizedData[[#This Row],[Product Code]],ProductData[],3,FALSE)</f>
        <v>2586.5500000000002</v>
      </c>
      <c r="R37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3755" spans="1:18" x14ac:dyDescent="0.3">
      <c r="A3755" s="2">
        <v>3748</v>
      </c>
      <c r="B3755" s="2" t="s">
        <v>6837</v>
      </c>
      <c r="C3755" s="2" t="s">
        <v>3140</v>
      </c>
      <c r="D3755" s="2" t="s">
        <v>28</v>
      </c>
      <c r="E3755" s="2" t="s">
        <v>29</v>
      </c>
      <c r="F3755" s="2">
        <v>90</v>
      </c>
      <c r="G3755" s="2" t="s">
        <v>8693</v>
      </c>
      <c r="H3755" s="2" t="s">
        <v>5718</v>
      </c>
      <c r="I3755" s="2" t="s">
        <v>294</v>
      </c>
      <c r="J3755" s="3">
        <v>43913</v>
      </c>
      <c r="K3755" s="5">
        <f>YEAR(OrganizedData[[#This Row],[Order Date]])</f>
        <v>2020</v>
      </c>
      <c r="L3755" s="7" t="str">
        <f>TEXT(OrganizedData[[#This Row],[Order Date]],"mmm")</f>
        <v>Mar</v>
      </c>
      <c r="M3755" s="2">
        <v>67</v>
      </c>
      <c r="N3755" s="2" t="s">
        <v>54</v>
      </c>
      <c r="O3755" s="2" t="str">
        <f>VLOOKUP(OrganizedData[[#This Row],[Product Code]],ProductData[[Code]:[Item]],2,FALSE)</f>
        <v>Megawidget S</v>
      </c>
      <c r="P3755" s="4">
        <f>OrganizedData[[#This Row],[Quantity]]*VLOOKUP(OrganizedData[[#This Row],[Product Code]],ProductData[],4,FALSE)</f>
        <v>1608</v>
      </c>
      <c r="Q3755" s="6">
        <f>OrganizedData[[#This Row],[Total Items Ordered]]*VLOOKUP(OrganizedData[[#This Row],[Product Code]],ProductData[],3,FALSE)</f>
        <v>1109.52</v>
      </c>
      <c r="R37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3756" spans="1:18" x14ac:dyDescent="0.3">
      <c r="A3756" s="2">
        <v>3749</v>
      </c>
      <c r="B3756" s="2" t="s">
        <v>2160</v>
      </c>
      <c r="C3756" s="2" t="s">
        <v>3346</v>
      </c>
      <c r="D3756" s="2" t="s">
        <v>15</v>
      </c>
      <c r="E3756" s="2" t="s">
        <v>16</v>
      </c>
      <c r="F3756" s="2">
        <v>30</v>
      </c>
      <c r="G3756" s="2" t="s">
        <v>8694</v>
      </c>
      <c r="H3756" s="2" t="s">
        <v>8000</v>
      </c>
      <c r="I3756" s="2" t="s">
        <v>32</v>
      </c>
      <c r="J3756" s="3">
        <v>44705</v>
      </c>
      <c r="K3756" s="5">
        <f>YEAR(OrganizedData[[#This Row],[Order Date]])</f>
        <v>2022</v>
      </c>
      <c r="L3756" s="7" t="str">
        <f>TEXT(OrganizedData[[#This Row],[Order Date]],"mmm")</f>
        <v>May</v>
      </c>
      <c r="M3756" s="2">
        <v>44</v>
      </c>
      <c r="N3756" s="2" t="s">
        <v>54</v>
      </c>
      <c r="O3756" s="2" t="str">
        <f>VLOOKUP(OrganizedData[[#This Row],[Product Code]],ProductData[[Code]:[Item]],2,FALSE)</f>
        <v>Megawidget S</v>
      </c>
      <c r="P3756" s="4">
        <f>OrganizedData[[#This Row],[Quantity]]*VLOOKUP(OrganizedData[[#This Row],[Product Code]],ProductData[],4,FALSE)</f>
        <v>1056</v>
      </c>
      <c r="Q3756" s="6">
        <f>OrganizedData[[#This Row],[Total Items Ordered]]*VLOOKUP(OrganizedData[[#This Row],[Product Code]],ProductData[],3,FALSE)</f>
        <v>728.64</v>
      </c>
      <c r="R37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3757" spans="1:18" x14ac:dyDescent="0.3">
      <c r="A3757" s="2">
        <v>3750</v>
      </c>
      <c r="B3757" s="2" t="s">
        <v>8695</v>
      </c>
      <c r="C3757" s="2" t="s">
        <v>4218</v>
      </c>
      <c r="D3757" s="2" t="s">
        <v>28</v>
      </c>
      <c r="E3757" s="2" t="s">
        <v>29</v>
      </c>
      <c r="F3757" s="2">
        <v>60</v>
      </c>
      <c r="G3757" s="2" t="s">
        <v>8696</v>
      </c>
      <c r="H3757" s="2" t="s">
        <v>6377</v>
      </c>
      <c r="I3757" s="2" t="s">
        <v>164</v>
      </c>
      <c r="J3757" s="3">
        <v>43938</v>
      </c>
      <c r="K3757" s="5">
        <f>YEAR(OrganizedData[[#This Row],[Order Date]])</f>
        <v>2020</v>
      </c>
      <c r="L3757" s="7" t="str">
        <f>TEXT(OrganizedData[[#This Row],[Order Date]],"mmm")</f>
        <v>Apr</v>
      </c>
      <c r="M3757" s="2">
        <v>38</v>
      </c>
      <c r="N3757" s="2" t="s">
        <v>39</v>
      </c>
      <c r="O3757" s="2" t="str">
        <f>VLOOKUP(OrganizedData[[#This Row],[Product Code]],ProductData[[Code]:[Item]],2,FALSE)</f>
        <v>Ultrathing V1</v>
      </c>
      <c r="P3757" s="4">
        <f>OrganizedData[[#This Row],[Quantity]]*VLOOKUP(OrganizedData[[#This Row],[Product Code]],ProductData[],4,FALSE)</f>
        <v>646</v>
      </c>
      <c r="Q3757" s="6">
        <f>OrganizedData[[#This Row],[Total Items Ordered]]*VLOOKUP(OrganizedData[[#This Row],[Product Code]],ProductData[],3,FALSE)</f>
        <v>1156.3399999999999</v>
      </c>
      <c r="R37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1121.6497999999999</v>
      </c>
    </row>
    <row r="3758" spans="1:18" x14ac:dyDescent="0.3">
      <c r="A3758" s="2">
        <v>3751</v>
      </c>
      <c r="B3758" s="2" t="s">
        <v>7250</v>
      </c>
      <c r="C3758" s="2" t="s">
        <v>6845</v>
      </c>
      <c r="D3758" s="2" t="s">
        <v>51</v>
      </c>
      <c r="E3758" s="2" t="s">
        <v>16</v>
      </c>
      <c r="F3758" s="2">
        <v>90</v>
      </c>
      <c r="G3758" s="2" t="s">
        <v>8697</v>
      </c>
      <c r="H3758" s="2" t="s">
        <v>386</v>
      </c>
      <c r="I3758" s="2" t="s">
        <v>294</v>
      </c>
      <c r="J3758" s="3">
        <v>44604</v>
      </c>
      <c r="K3758" s="5">
        <f>YEAR(OrganizedData[[#This Row],[Order Date]])</f>
        <v>2022</v>
      </c>
      <c r="L3758" s="7" t="str">
        <f>TEXT(OrganizedData[[#This Row],[Order Date]],"mmm")</f>
        <v>Feb</v>
      </c>
      <c r="M3758" s="2">
        <v>81</v>
      </c>
      <c r="N3758" s="2" t="s">
        <v>45</v>
      </c>
      <c r="O3758" s="2" t="str">
        <f>VLOOKUP(OrganizedData[[#This Row],[Product Code]],ProductData[[Code]:[Item]],2,FALSE)</f>
        <v>Gigastuff</v>
      </c>
      <c r="P3758" s="4">
        <f>OrganizedData[[#This Row],[Quantity]]*VLOOKUP(OrganizedData[[#This Row],[Product Code]],ProductData[],4,FALSE)</f>
        <v>1458</v>
      </c>
      <c r="Q3758" s="6">
        <f>OrganizedData[[#This Row],[Total Items Ordered]]*VLOOKUP(OrganizedData[[#This Row],[Product Code]],ProductData[],3,FALSE)</f>
        <v>2755.62</v>
      </c>
      <c r="R37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3759" spans="1:18" x14ac:dyDescent="0.3">
      <c r="A3759" s="2">
        <v>3752</v>
      </c>
      <c r="B3759" s="2" t="s">
        <v>8698</v>
      </c>
      <c r="C3759" s="2" t="s">
        <v>7099</v>
      </c>
      <c r="D3759" s="2" t="s">
        <v>15</v>
      </c>
      <c r="E3759" s="2" t="s">
        <v>16</v>
      </c>
      <c r="F3759" s="2">
        <v>60</v>
      </c>
      <c r="G3759" s="2" t="s">
        <v>8697</v>
      </c>
      <c r="H3759" s="2" t="s">
        <v>3116</v>
      </c>
      <c r="I3759" s="2" t="s">
        <v>32</v>
      </c>
      <c r="J3759" s="3">
        <v>44520</v>
      </c>
      <c r="K3759" s="5">
        <f>YEAR(OrganizedData[[#This Row],[Order Date]])</f>
        <v>2021</v>
      </c>
      <c r="L3759" s="7" t="str">
        <f>TEXT(OrganizedData[[#This Row],[Order Date]],"mmm")</f>
        <v>Nov</v>
      </c>
      <c r="M3759" s="2">
        <v>6</v>
      </c>
      <c r="N3759" s="2" t="s">
        <v>101</v>
      </c>
      <c r="O3759" s="2" t="str">
        <f>VLOOKUP(OrganizedData[[#This Row],[Product Code]],ProductData[[Code]:[Item]],2,FALSE)</f>
        <v>Superwossname</v>
      </c>
      <c r="P3759" s="4">
        <f>OrganizedData[[#This Row],[Quantity]]*VLOOKUP(OrganizedData[[#This Row],[Product Code]],ProductData[],4,FALSE)</f>
        <v>120</v>
      </c>
      <c r="Q3759" s="6">
        <f>OrganizedData[[#This Row],[Total Items Ordered]]*VLOOKUP(OrganizedData[[#This Row],[Product Code]],ProductData[],3,FALSE)</f>
        <v>418.8</v>
      </c>
      <c r="R37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418.8</v>
      </c>
    </row>
    <row r="3760" spans="1:18" x14ac:dyDescent="0.3">
      <c r="A3760" s="2">
        <v>3753</v>
      </c>
      <c r="B3760" s="2" t="s">
        <v>8699</v>
      </c>
      <c r="C3760" s="2" t="s">
        <v>4577</v>
      </c>
      <c r="D3760" s="2" t="s">
        <v>51</v>
      </c>
      <c r="E3760" s="2" t="s">
        <v>16</v>
      </c>
      <c r="F3760" s="2">
        <v>90</v>
      </c>
      <c r="G3760" s="2" t="s">
        <v>8700</v>
      </c>
      <c r="H3760" s="2" t="s">
        <v>5277</v>
      </c>
      <c r="I3760" s="2" t="s">
        <v>32</v>
      </c>
      <c r="J3760" s="3">
        <v>44800</v>
      </c>
      <c r="K3760" s="5">
        <f>YEAR(OrganizedData[[#This Row],[Order Date]])</f>
        <v>2022</v>
      </c>
      <c r="L3760" s="7" t="str">
        <f>TEXT(OrganizedData[[#This Row],[Order Date]],"mmm")</f>
        <v>Aug</v>
      </c>
      <c r="M3760" s="2">
        <v>102</v>
      </c>
      <c r="N3760" s="2" t="s">
        <v>54</v>
      </c>
      <c r="O3760" s="2" t="str">
        <f>VLOOKUP(OrganizedData[[#This Row],[Product Code]],ProductData[[Code]:[Item]],2,FALSE)</f>
        <v>Megawidget S</v>
      </c>
      <c r="P3760" s="4">
        <f>OrganizedData[[#This Row],[Quantity]]*VLOOKUP(OrganizedData[[#This Row],[Product Code]],ProductData[],4,FALSE)</f>
        <v>2448</v>
      </c>
      <c r="Q3760" s="6">
        <f>OrganizedData[[#This Row],[Total Items Ordered]]*VLOOKUP(OrganizedData[[#This Row],[Product Code]],ProductData[],3,FALSE)</f>
        <v>1689.12</v>
      </c>
      <c r="R37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1570.8815999999999</v>
      </c>
    </row>
    <row r="3761" spans="1:18" x14ac:dyDescent="0.3">
      <c r="A3761" s="2">
        <v>3754</v>
      </c>
      <c r="B3761" s="2" t="s">
        <v>2292</v>
      </c>
      <c r="C3761" s="2" t="s">
        <v>1243</v>
      </c>
      <c r="D3761" s="2" t="s">
        <v>28</v>
      </c>
      <c r="E3761" s="2" t="s">
        <v>29</v>
      </c>
      <c r="F3761" s="2">
        <v>60</v>
      </c>
      <c r="G3761" s="2" t="s">
        <v>10562</v>
      </c>
      <c r="H3761" s="2" t="s">
        <v>2950</v>
      </c>
      <c r="I3761" s="2" t="s">
        <v>38</v>
      </c>
      <c r="J3761" s="3">
        <v>44916</v>
      </c>
      <c r="K3761" s="5">
        <f>YEAR(OrganizedData[[#This Row],[Order Date]])</f>
        <v>2022</v>
      </c>
      <c r="L3761" s="7" t="str">
        <f>TEXT(OrganizedData[[#This Row],[Order Date]],"mmm")</f>
        <v>Dec</v>
      </c>
      <c r="M3761" s="2">
        <v>33</v>
      </c>
      <c r="N3761" s="2" t="s">
        <v>39</v>
      </c>
      <c r="O3761" s="2" t="str">
        <f>VLOOKUP(OrganizedData[[#This Row],[Product Code]],ProductData[[Code]:[Item]],2,FALSE)</f>
        <v>Ultrathing V1</v>
      </c>
      <c r="P3761" s="4">
        <f>OrganizedData[[#This Row],[Quantity]]*VLOOKUP(OrganizedData[[#This Row],[Product Code]],ProductData[],4,FALSE)</f>
        <v>561</v>
      </c>
      <c r="Q3761" s="6">
        <f>OrganizedData[[#This Row],[Total Items Ordered]]*VLOOKUP(OrganizedData[[#This Row],[Product Code]],ProductData[],3,FALSE)</f>
        <v>1004.19</v>
      </c>
      <c r="R37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3762" spans="1:18" x14ac:dyDescent="0.3">
      <c r="A3762" s="2">
        <v>3755</v>
      </c>
      <c r="B3762" s="2" t="s">
        <v>8702</v>
      </c>
      <c r="C3762" s="2" t="s">
        <v>5932</v>
      </c>
      <c r="D3762" s="2" t="s">
        <v>15</v>
      </c>
      <c r="E3762" s="2" t="s">
        <v>16</v>
      </c>
      <c r="F3762" s="2">
        <v>90</v>
      </c>
      <c r="G3762" s="2" t="s">
        <v>8703</v>
      </c>
      <c r="H3762" s="2" t="s">
        <v>8512</v>
      </c>
      <c r="I3762" s="2" t="s">
        <v>32</v>
      </c>
      <c r="J3762" s="3">
        <v>44834</v>
      </c>
      <c r="K3762" s="5">
        <f>YEAR(OrganizedData[[#This Row],[Order Date]])</f>
        <v>2022</v>
      </c>
      <c r="L3762" s="7" t="str">
        <f>TEXT(OrganizedData[[#This Row],[Order Date]],"mmm")</f>
        <v>Sep</v>
      </c>
      <c r="M3762" s="2">
        <v>17</v>
      </c>
      <c r="N3762" s="2" t="s">
        <v>54</v>
      </c>
      <c r="O3762" s="2" t="str">
        <f>VLOOKUP(OrganizedData[[#This Row],[Product Code]],ProductData[[Code]:[Item]],2,FALSE)</f>
        <v>Megawidget S</v>
      </c>
      <c r="P3762" s="4">
        <f>OrganizedData[[#This Row],[Quantity]]*VLOOKUP(OrganizedData[[#This Row],[Product Code]],ProductData[],4,FALSE)</f>
        <v>408</v>
      </c>
      <c r="Q3762" s="6">
        <f>OrganizedData[[#This Row],[Total Items Ordered]]*VLOOKUP(OrganizedData[[#This Row],[Product Code]],ProductData[],3,FALSE)</f>
        <v>281.52</v>
      </c>
      <c r="R37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3763" spans="1:18" x14ac:dyDescent="0.3">
      <c r="A3763" s="2">
        <v>3756</v>
      </c>
      <c r="B3763" s="2" t="s">
        <v>8704</v>
      </c>
      <c r="C3763" s="2" t="s">
        <v>6134</v>
      </c>
      <c r="D3763" s="2" t="s">
        <v>51</v>
      </c>
      <c r="E3763" s="2" t="s">
        <v>16</v>
      </c>
      <c r="F3763" s="2">
        <v>90</v>
      </c>
      <c r="G3763" s="2" t="s">
        <v>8705</v>
      </c>
      <c r="H3763" s="2" t="s">
        <v>818</v>
      </c>
      <c r="I3763" s="2" t="s">
        <v>819</v>
      </c>
      <c r="J3763" s="3">
        <v>44766</v>
      </c>
      <c r="K3763" s="5">
        <f>YEAR(OrganizedData[[#This Row],[Order Date]])</f>
        <v>2022</v>
      </c>
      <c r="L3763" s="7" t="str">
        <f>TEXT(OrganizedData[[#This Row],[Order Date]],"mmm")</f>
        <v>Jul</v>
      </c>
      <c r="M3763" s="2">
        <v>99</v>
      </c>
      <c r="N3763" s="2" t="s">
        <v>101</v>
      </c>
      <c r="O3763" s="2" t="str">
        <f>VLOOKUP(OrganizedData[[#This Row],[Product Code]],ProductData[[Code]:[Item]],2,FALSE)</f>
        <v>Superwossname</v>
      </c>
      <c r="P3763" s="4">
        <f>OrganizedData[[#This Row],[Quantity]]*VLOOKUP(OrganizedData[[#This Row],[Product Code]],ProductData[],4,FALSE)</f>
        <v>1980</v>
      </c>
      <c r="Q3763" s="6">
        <f>OrganizedData[[#This Row],[Total Items Ordered]]*VLOOKUP(OrganizedData[[#This Row],[Product Code]],ProductData[],3,FALSE)</f>
        <v>6910.2000000000007</v>
      </c>
      <c r="R37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6564.6900000000005</v>
      </c>
    </row>
    <row r="3764" spans="1:18" x14ac:dyDescent="0.3">
      <c r="A3764" s="2">
        <v>3757</v>
      </c>
      <c r="B3764" s="2" t="s">
        <v>3068</v>
      </c>
      <c r="C3764" s="2" t="s">
        <v>2301</v>
      </c>
      <c r="D3764" s="2" t="s">
        <v>15</v>
      </c>
      <c r="E3764" s="2" t="s">
        <v>16</v>
      </c>
      <c r="F3764" s="2">
        <v>60</v>
      </c>
      <c r="G3764" s="2" t="s">
        <v>8706</v>
      </c>
      <c r="H3764" s="2" t="s">
        <v>3759</v>
      </c>
      <c r="I3764" s="2" t="s">
        <v>3760</v>
      </c>
      <c r="J3764" s="3">
        <v>44713</v>
      </c>
      <c r="K3764" s="5">
        <f>YEAR(OrganizedData[[#This Row],[Order Date]])</f>
        <v>2022</v>
      </c>
      <c r="L3764" s="7" t="str">
        <f>TEXT(OrganizedData[[#This Row],[Order Date]],"mmm")</f>
        <v>Jun</v>
      </c>
      <c r="M3764" s="2">
        <v>89</v>
      </c>
      <c r="N3764" s="2" t="s">
        <v>80</v>
      </c>
      <c r="O3764" s="2" t="str">
        <f>VLOOKUP(OrganizedData[[#This Row],[Product Code]],ProductData[[Code]:[Item]],2,FALSE)</f>
        <v>Ultrathing V2</v>
      </c>
      <c r="P3764" s="4">
        <f>OrganizedData[[#This Row],[Quantity]]*VLOOKUP(OrganizedData[[#This Row],[Product Code]],ProductData[],4,FALSE)</f>
        <v>1780</v>
      </c>
      <c r="Q3764" s="6">
        <f>OrganizedData[[#This Row],[Total Items Ordered]]*VLOOKUP(OrganizedData[[#This Row],[Product Code]],ProductData[],3,FALSE)</f>
        <v>5251</v>
      </c>
      <c r="R37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4988.45</v>
      </c>
    </row>
    <row r="3765" spans="1:18" x14ac:dyDescent="0.3">
      <c r="A3765" s="2">
        <v>3758</v>
      </c>
      <c r="B3765" s="2" t="s">
        <v>6306</v>
      </c>
      <c r="C3765" s="2" t="s">
        <v>4410</v>
      </c>
      <c r="D3765" s="2" t="s">
        <v>28</v>
      </c>
      <c r="E3765" s="2" t="s">
        <v>29</v>
      </c>
      <c r="F3765" s="2">
        <v>90</v>
      </c>
      <c r="G3765" s="2" t="s">
        <v>8707</v>
      </c>
      <c r="H3765" s="2" t="s">
        <v>2664</v>
      </c>
      <c r="I3765" s="2" t="s">
        <v>32</v>
      </c>
      <c r="J3765" s="3">
        <v>44161</v>
      </c>
      <c r="K3765" s="5">
        <f>YEAR(OrganizedData[[#This Row],[Order Date]])</f>
        <v>2020</v>
      </c>
      <c r="L3765" s="7" t="str">
        <f>TEXT(OrganizedData[[#This Row],[Order Date]],"mmm")</f>
        <v>Nov</v>
      </c>
      <c r="M3765" s="2">
        <v>74</v>
      </c>
      <c r="N3765" s="2" t="s">
        <v>39</v>
      </c>
      <c r="O3765" s="2" t="str">
        <f>VLOOKUP(OrganizedData[[#This Row],[Product Code]],ProductData[[Code]:[Item]],2,FALSE)</f>
        <v>Ultrathing V1</v>
      </c>
      <c r="P3765" s="4">
        <f>OrganizedData[[#This Row],[Quantity]]*VLOOKUP(OrganizedData[[#This Row],[Product Code]],ProductData[],4,FALSE)</f>
        <v>1258</v>
      </c>
      <c r="Q3765" s="6">
        <f>OrganizedData[[#This Row],[Total Items Ordered]]*VLOOKUP(OrganizedData[[#This Row],[Product Code]],ProductData[],3,FALSE)</f>
        <v>2251.8200000000002</v>
      </c>
      <c r="R37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2139.2290000000003</v>
      </c>
    </row>
    <row r="3766" spans="1:18" x14ac:dyDescent="0.3">
      <c r="A3766" s="2">
        <v>3759</v>
      </c>
      <c r="B3766" s="2" t="s">
        <v>8708</v>
      </c>
      <c r="C3766" s="2" t="s">
        <v>2181</v>
      </c>
      <c r="D3766" s="2" t="s">
        <v>51</v>
      </c>
      <c r="E3766" s="2" t="s">
        <v>16</v>
      </c>
      <c r="F3766" s="2">
        <v>30</v>
      </c>
      <c r="G3766" s="2" t="s">
        <v>8709</v>
      </c>
      <c r="H3766" s="2" t="s">
        <v>2664</v>
      </c>
      <c r="I3766" s="2" t="s">
        <v>32</v>
      </c>
      <c r="J3766" s="3">
        <v>44423</v>
      </c>
      <c r="K3766" s="5">
        <f>YEAR(OrganizedData[[#This Row],[Order Date]])</f>
        <v>2021</v>
      </c>
      <c r="L3766" s="7" t="str">
        <f>TEXT(OrganizedData[[#This Row],[Order Date]],"mmm")</f>
        <v>Aug</v>
      </c>
      <c r="M3766" s="2">
        <v>65</v>
      </c>
      <c r="N3766" s="2" t="s">
        <v>159</v>
      </c>
      <c r="O3766" s="2" t="str">
        <f>VLOOKUP(OrganizedData[[#This Row],[Product Code]],ProductData[[Code]:[Item]],2,FALSE)</f>
        <v>Ultrathing V3</v>
      </c>
      <c r="P3766" s="4">
        <f>OrganizedData[[#This Row],[Quantity]]*VLOOKUP(OrganizedData[[#This Row],[Product Code]],ProductData[],4,FALSE)</f>
        <v>1560</v>
      </c>
      <c r="Q3766" s="6">
        <f>OrganizedData[[#This Row],[Total Items Ordered]]*VLOOKUP(OrganizedData[[#This Row],[Product Code]],ProductData[],3,FALSE)</f>
        <v>5288.4000000000005</v>
      </c>
      <c r="R37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3767" spans="1:18" x14ac:dyDescent="0.3">
      <c r="A3767" s="2">
        <v>3760</v>
      </c>
      <c r="B3767" s="2" t="s">
        <v>902</v>
      </c>
      <c r="C3767" s="2" t="s">
        <v>8654</v>
      </c>
      <c r="D3767" s="2" t="s">
        <v>92</v>
      </c>
      <c r="E3767" s="2" t="s">
        <v>29</v>
      </c>
      <c r="F3767" s="2">
        <v>60</v>
      </c>
      <c r="G3767" s="2" t="s">
        <v>10563</v>
      </c>
      <c r="H3767" s="2" t="s">
        <v>2366</v>
      </c>
      <c r="I3767" s="2" t="s">
        <v>1367</v>
      </c>
      <c r="J3767" s="3">
        <v>43855</v>
      </c>
      <c r="K3767" s="5">
        <f>YEAR(OrganizedData[[#This Row],[Order Date]])</f>
        <v>2020</v>
      </c>
      <c r="L3767" s="7" t="str">
        <f>TEXT(OrganizedData[[#This Row],[Order Date]],"mmm")</f>
        <v>Jan</v>
      </c>
      <c r="M3767" s="2">
        <v>81</v>
      </c>
      <c r="N3767" s="2" t="s">
        <v>45</v>
      </c>
      <c r="O3767" s="2" t="str">
        <f>VLOOKUP(OrganizedData[[#This Row],[Product Code]],ProductData[[Code]:[Item]],2,FALSE)</f>
        <v>Gigastuff</v>
      </c>
      <c r="P3767" s="4">
        <f>OrganizedData[[#This Row],[Quantity]]*VLOOKUP(OrganizedData[[#This Row],[Product Code]],ProductData[],4,FALSE)</f>
        <v>1458</v>
      </c>
      <c r="Q3767" s="6">
        <f>OrganizedData[[#This Row],[Total Items Ordered]]*VLOOKUP(OrganizedData[[#This Row],[Product Code]],ProductData[],3,FALSE)</f>
        <v>2755.62</v>
      </c>
      <c r="R37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3768" spans="1:18" x14ac:dyDescent="0.3">
      <c r="A3768" s="2">
        <v>3761</v>
      </c>
      <c r="B3768" s="2" t="s">
        <v>6549</v>
      </c>
      <c r="C3768" s="2" t="s">
        <v>1270</v>
      </c>
      <c r="D3768" s="2" t="s">
        <v>51</v>
      </c>
      <c r="E3768" s="2" t="s">
        <v>16</v>
      </c>
      <c r="F3768" s="2">
        <v>30</v>
      </c>
      <c r="G3768" s="2" t="s">
        <v>8711</v>
      </c>
      <c r="H3768" s="2" t="s">
        <v>3373</v>
      </c>
      <c r="I3768" s="2" t="s">
        <v>32</v>
      </c>
      <c r="J3768" s="3">
        <v>44097</v>
      </c>
      <c r="K3768" s="5">
        <f>YEAR(OrganizedData[[#This Row],[Order Date]])</f>
        <v>2020</v>
      </c>
      <c r="L3768" s="7" t="str">
        <f>TEXT(OrganizedData[[#This Row],[Order Date]],"mmm")</f>
        <v>Sep</v>
      </c>
      <c r="M3768" s="2">
        <v>66</v>
      </c>
      <c r="N3768" s="2" t="s">
        <v>33</v>
      </c>
      <c r="O3768" s="2" t="str">
        <f>VLOOKUP(OrganizedData[[#This Row],[Product Code]],ProductData[[Code]:[Item]],2,FALSE)</f>
        <v>Megawidget L</v>
      </c>
      <c r="P3768" s="4">
        <f>OrganizedData[[#This Row],[Quantity]]*VLOOKUP(OrganizedData[[#This Row],[Product Code]],ProductData[],4,FALSE)</f>
        <v>1584</v>
      </c>
      <c r="Q3768" s="6">
        <f>OrganizedData[[#This Row],[Total Items Ordered]]*VLOOKUP(OrganizedData[[#This Row],[Product Code]],ProductData[],3,FALSE)</f>
        <v>2835.36</v>
      </c>
      <c r="R37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2693.5920000000001</v>
      </c>
    </row>
    <row r="3769" spans="1:18" x14ac:dyDescent="0.3">
      <c r="A3769" s="2">
        <v>3762</v>
      </c>
      <c r="B3769" s="2" t="s">
        <v>3300</v>
      </c>
      <c r="C3769" s="2" t="s">
        <v>8712</v>
      </c>
      <c r="D3769" s="2" t="s">
        <v>28</v>
      </c>
      <c r="E3769" s="2" t="s">
        <v>29</v>
      </c>
      <c r="F3769" s="2">
        <v>30</v>
      </c>
      <c r="G3769" s="2" t="s">
        <v>8713</v>
      </c>
      <c r="H3769" s="2" t="s">
        <v>5952</v>
      </c>
      <c r="I3769" s="2" t="s">
        <v>32</v>
      </c>
      <c r="J3769" s="3">
        <v>44547</v>
      </c>
      <c r="K3769" s="5">
        <f>YEAR(OrganizedData[[#This Row],[Order Date]])</f>
        <v>2021</v>
      </c>
      <c r="L3769" s="7" t="str">
        <f>TEXT(OrganizedData[[#This Row],[Order Date]],"mmm")</f>
        <v>Dec</v>
      </c>
      <c r="M3769" s="2">
        <v>47</v>
      </c>
      <c r="N3769" s="2" t="s">
        <v>70</v>
      </c>
      <c r="O3769" s="2" t="str">
        <f>VLOOKUP(OrganizedData[[#This Row],[Product Code]],ProductData[[Code]:[Item]],2,FALSE)</f>
        <v>Megawidget M</v>
      </c>
      <c r="P3769" s="4">
        <f>OrganizedData[[#This Row],[Quantity]]*VLOOKUP(OrganizedData[[#This Row],[Product Code]],ProductData[],4,FALSE)</f>
        <v>1128</v>
      </c>
      <c r="Q3769" s="6">
        <f>OrganizedData[[#This Row],[Total Items Ordered]]*VLOOKUP(OrganizedData[[#This Row],[Product Code]],ProductData[],3,FALSE)</f>
        <v>1455.1200000000001</v>
      </c>
      <c r="R37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3770" spans="1:18" x14ac:dyDescent="0.3">
      <c r="A3770" s="2">
        <v>3763</v>
      </c>
      <c r="B3770" s="2" t="s">
        <v>8714</v>
      </c>
      <c r="C3770" s="2" t="s">
        <v>2920</v>
      </c>
      <c r="D3770" s="2" t="s">
        <v>51</v>
      </c>
      <c r="E3770" s="2" t="s">
        <v>16</v>
      </c>
      <c r="F3770" s="2">
        <v>90</v>
      </c>
      <c r="G3770" s="2" t="s">
        <v>8715</v>
      </c>
      <c r="H3770" s="2" t="s">
        <v>3206</v>
      </c>
      <c r="I3770" s="2" t="s">
        <v>1199</v>
      </c>
      <c r="J3770" s="3">
        <v>44746</v>
      </c>
      <c r="K3770" s="5">
        <f>YEAR(OrganizedData[[#This Row],[Order Date]])</f>
        <v>2022</v>
      </c>
      <c r="L3770" s="7" t="str">
        <f>TEXT(OrganizedData[[#This Row],[Order Date]],"mmm")</f>
        <v>Jul</v>
      </c>
      <c r="M3770" s="2">
        <v>97</v>
      </c>
      <c r="N3770" s="2" t="s">
        <v>20</v>
      </c>
      <c r="O3770" s="2" t="str">
        <f>VLOOKUP(OrganizedData[[#This Row],[Product Code]],ProductData[[Code]:[Item]],2,FALSE)</f>
        <v>Hyperwotsit</v>
      </c>
      <c r="P3770" s="4">
        <f>OrganizedData[[#This Row],[Quantity]]*VLOOKUP(OrganizedData[[#This Row],[Product Code]],ProductData[],4,FALSE)</f>
        <v>1940</v>
      </c>
      <c r="Q3770" s="6">
        <f>OrganizedData[[#This Row],[Total Items Ordered]]*VLOOKUP(OrganizedData[[#This Row],[Product Code]],ProductData[],3,FALSE)</f>
        <v>3899.3999999999996</v>
      </c>
      <c r="R37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3704.4299999999994</v>
      </c>
    </row>
    <row r="3771" spans="1:18" x14ac:dyDescent="0.3">
      <c r="A3771" s="2">
        <v>3764</v>
      </c>
      <c r="B3771" s="2" t="s">
        <v>1721</v>
      </c>
      <c r="C3771" s="2" t="s">
        <v>2006</v>
      </c>
      <c r="D3771" s="2" t="s">
        <v>28</v>
      </c>
      <c r="E3771" s="2" t="s">
        <v>29</v>
      </c>
      <c r="F3771" s="2">
        <v>90</v>
      </c>
      <c r="G3771" s="2" t="s">
        <v>8716</v>
      </c>
      <c r="H3771" s="2" t="s">
        <v>451</v>
      </c>
      <c r="I3771" s="2" t="s">
        <v>294</v>
      </c>
      <c r="J3771" s="3">
        <v>44003</v>
      </c>
      <c r="K3771" s="5">
        <f>YEAR(OrganizedData[[#This Row],[Order Date]])</f>
        <v>2020</v>
      </c>
      <c r="L3771" s="7" t="str">
        <f>TEXT(OrganizedData[[#This Row],[Order Date]],"mmm")</f>
        <v>Jun</v>
      </c>
      <c r="M3771" s="2">
        <v>42</v>
      </c>
      <c r="N3771" s="2" t="s">
        <v>70</v>
      </c>
      <c r="O3771" s="2" t="str">
        <f>VLOOKUP(OrganizedData[[#This Row],[Product Code]],ProductData[[Code]:[Item]],2,FALSE)</f>
        <v>Megawidget M</v>
      </c>
      <c r="P3771" s="4">
        <f>OrganizedData[[#This Row],[Quantity]]*VLOOKUP(OrganizedData[[#This Row],[Product Code]],ProductData[],4,FALSE)</f>
        <v>1008</v>
      </c>
      <c r="Q3771" s="6">
        <f>OrganizedData[[#This Row],[Total Items Ordered]]*VLOOKUP(OrganizedData[[#This Row],[Product Code]],ProductData[],3,FALSE)</f>
        <v>1300.32</v>
      </c>
      <c r="R37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3772" spans="1:18" x14ac:dyDescent="0.3">
      <c r="A3772" s="2">
        <v>3765</v>
      </c>
      <c r="B3772" s="2" t="s">
        <v>4092</v>
      </c>
      <c r="C3772" s="2" t="s">
        <v>1428</v>
      </c>
      <c r="D3772" s="2" t="s">
        <v>28</v>
      </c>
      <c r="E3772" s="2" t="s">
        <v>29</v>
      </c>
      <c r="F3772" s="2">
        <v>60</v>
      </c>
      <c r="G3772" s="2" t="s">
        <v>8717</v>
      </c>
      <c r="H3772" s="2" t="s">
        <v>63</v>
      </c>
      <c r="I3772" s="2" t="s">
        <v>32</v>
      </c>
      <c r="J3772" s="3">
        <v>44547</v>
      </c>
      <c r="K3772" s="5">
        <f>YEAR(OrganizedData[[#This Row],[Order Date]])</f>
        <v>2021</v>
      </c>
      <c r="L3772" s="7" t="str">
        <f>TEXT(OrganizedData[[#This Row],[Order Date]],"mmm")</f>
        <v>Dec</v>
      </c>
      <c r="M3772" s="2">
        <v>54</v>
      </c>
      <c r="N3772" s="2" t="s">
        <v>80</v>
      </c>
      <c r="O3772" s="2" t="str">
        <f>VLOOKUP(OrganizedData[[#This Row],[Product Code]],ProductData[[Code]:[Item]],2,FALSE)</f>
        <v>Ultrathing V2</v>
      </c>
      <c r="P3772" s="4">
        <f>OrganizedData[[#This Row],[Quantity]]*VLOOKUP(OrganizedData[[#This Row],[Product Code]],ProductData[],4,FALSE)</f>
        <v>1080</v>
      </c>
      <c r="Q3772" s="6">
        <f>OrganizedData[[#This Row],[Total Items Ordered]]*VLOOKUP(OrganizedData[[#This Row],[Product Code]],ProductData[],3,FALSE)</f>
        <v>3186</v>
      </c>
      <c r="R37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3026.7</v>
      </c>
    </row>
    <row r="3773" spans="1:18" x14ac:dyDescent="0.3">
      <c r="A3773" s="2">
        <v>3766</v>
      </c>
      <c r="B3773" s="2" t="s">
        <v>8162</v>
      </c>
      <c r="C3773" s="2" t="s">
        <v>6349</v>
      </c>
      <c r="D3773" s="2" t="s">
        <v>28</v>
      </c>
      <c r="E3773" s="2" t="s">
        <v>29</v>
      </c>
      <c r="F3773" s="2">
        <v>60</v>
      </c>
      <c r="G3773" s="2" t="s">
        <v>8718</v>
      </c>
      <c r="H3773" s="2" t="s">
        <v>8534</v>
      </c>
      <c r="I3773" s="2" t="s">
        <v>294</v>
      </c>
      <c r="J3773" s="3">
        <v>44165</v>
      </c>
      <c r="K3773" s="5">
        <f>YEAR(OrganizedData[[#This Row],[Order Date]])</f>
        <v>2020</v>
      </c>
      <c r="L3773" s="7" t="str">
        <f>TEXT(OrganizedData[[#This Row],[Order Date]],"mmm")</f>
        <v>Nov</v>
      </c>
      <c r="M3773" s="2">
        <v>18</v>
      </c>
      <c r="N3773" s="2" t="s">
        <v>45</v>
      </c>
      <c r="O3773" s="2" t="str">
        <f>VLOOKUP(OrganizedData[[#This Row],[Product Code]],ProductData[[Code]:[Item]],2,FALSE)</f>
        <v>Gigastuff</v>
      </c>
      <c r="P3773" s="4">
        <f>OrganizedData[[#This Row],[Quantity]]*VLOOKUP(OrganizedData[[#This Row],[Product Code]],ProductData[],4,FALSE)</f>
        <v>324</v>
      </c>
      <c r="Q3773" s="6">
        <f>OrganizedData[[#This Row],[Total Items Ordered]]*VLOOKUP(OrganizedData[[#This Row],[Product Code]],ProductData[],3,FALSE)</f>
        <v>612.36</v>
      </c>
      <c r="R37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612.36</v>
      </c>
    </row>
    <row r="3774" spans="1:18" x14ac:dyDescent="0.3">
      <c r="A3774" s="2">
        <v>3767</v>
      </c>
      <c r="B3774" s="2" t="s">
        <v>7595</v>
      </c>
      <c r="C3774" s="2" t="s">
        <v>205</v>
      </c>
      <c r="D3774" s="2" t="s">
        <v>117</v>
      </c>
      <c r="E3774" s="2" t="s">
        <v>29</v>
      </c>
      <c r="F3774" s="2">
        <v>90</v>
      </c>
      <c r="G3774" s="2" t="s">
        <v>8719</v>
      </c>
      <c r="H3774" s="2" t="s">
        <v>186</v>
      </c>
      <c r="I3774" s="2" t="s">
        <v>187</v>
      </c>
      <c r="J3774" s="3">
        <v>44351</v>
      </c>
      <c r="K3774" s="5">
        <f>YEAR(OrganizedData[[#This Row],[Order Date]])</f>
        <v>2021</v>
      </c>
      <c r="L3774" s="7" t="str">
        <f>TEXT(OrganizedData[[#This Row],[Order Date]],"mmm")</f>
        <v>Jun</v>
      </c>
      <c r="M3774" s="2">
        <v>95</v>
      </c>
      <c r="N3774" s="2" t="s">
        <v>20</v>
      </c>
      <c r="O3774" s="2" t="str">
        <f>VLOOKUP(OrganizedData[[#This Row],[Product Code]],ProductData[[Code]:[Item]],2,FALSE)</f>
        <v>Hyperwotsit</v>
      </c>
      <c r="P3774" s="4">
        <f>OrganizedData[[#This Row],[Quantity]]*VLOOKUP(OrganizedData[[#This Row],[Product Code]],ProductData[],4,FALSE)</f>
        <v>1900</v>
      </c>
      <c r="Q3774" s="6">
        <f>OrganizedData[[#This Row],[Total Items Ordered]]*VLOOKUP(OrganizedData[[#This Row],[Product Code]],ProductData[],3,FALSE)</f>
        <v>3818.9999999999995</v>
      </c>
      <c r="R37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3628.0499999999993</v>
      </c>
    </row>
    <row r="3775" spans="1:18" x14ac:dyDescent="0.3">
      <c r="A3775" s="2">
        <v>3768</v>
      </c>
      <c r="B3775" s="2" t="s">
        <v>8720</v>
      </c>
      <c r="C3775" s="2" t="s">
        <v>8721</v>
      </c>
      <c r="D3775" s="2" t="s">
        <v>15</v>
      </c>
      <c r="E3775" s="2" t="s">
        <v>16</v>
      </c>
      <c r="F3775" s="2">
        <v>60</v>
      </c>
      <c r="G3775" s="2" t="s">
        <v>8722</v>
      </c>
      <c r="H3775" s="2" t="s">
        <v>1712</v>
      </c>
      <c r="I3775" s="2" t="s">
        <v>187</v>
      </c>
      <c r="J3775" s="3">
        <v>44224</v>
      </c>
      <c r="K3775" s="5">
        <f>YEAR(OrganizedData[[#This Row],[Order Date]])</f>
        <v>2021</v>
      </c>
      <c r="L3775" s="7" t="str">
        <f>TEXT(OrganizedData[[#This Row],[Order Date]],"mmm")</f>
        <v>Jan</v>
      </c>
      <c r="M3775" s="2">
        <v>33</v>
      </c>
      <c r="N3775" s="2" t="s">
        <v>64</v>
      </c>
      <c r="O3775" s="2" t="str">
        <f>VLOOKUP(OrganizedData[[#This Row],[Product Code]],ProductData[[Code]:[Item]],2,FALSE)</f>
        <v>Ultrathing V4</v>
      </c>
      <c r="P3775" s="4">
        <f>OrganizedData[[#This Row],[Quantity]]*VLOOKUP(OrganizedData[[#This Row],[Product Code]],ProductData[],4,FALSE)</f>
        <v>792</v>
      </c>
      <c r="Q3775" s="6">
        <f>OrganizedData[[#This Row],[Total Items Ordered]]*VLOOKUP(OrganizedData[[#This Row],[Product Code]],ProductData[],3,FALSE)</f>
        <v>3160.0800000000004</v>
      </c>
      <c r="R37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3065.2776000000003</v>
      </c>
    </row>
    <row r="3776" spans="1:18" x14ac:dyDescent="0.3">
      <c r="A3776" s="2">
        <v>3769</v>
      </c>
      <c r="B3776" s="2" t="s">
        <v>2051</v>
      </c>
      <c r="C3776" s="2" t="s">
        <v>8723</v>
      </c>
      <c r="D3776" s="2" t="s">
        <v>28</v>
      </c>
      <c r="E3776" s="2" t="s">
        <v>29</v>
      </c>
      <c r="F3776" s="2">
        <v>30</v>
      </c>
      <c r="G3776" s="2" t="s">
        <v>8724</v>
      </c>
      <c r="H3776" s="2" t="s">
        <v>2685</v>
      </c>
      <c r="I3776" s="2" t="s">
        <v>32</v>
      </c>
      <c r="J3776" s="3">
        <v>44201</v>
      </c>
      <c r="K3776" s="5">
        <f>YEAR(OrganizedData[[#This Row],[Order Date]])</f>
        <v>2021</v>
      </c>
      <c r="L3776" s="7" t="str">
        <f>TEXT(OrganizedData[[#This Row],[Order Date]],"mmm")</f>
        <v>Jan</v>
      </c>
      <c r="M3776" s="2">
        <v>42</v>
      </c>
      <c r="N3776" s="2" t="s">
        <v>20</v>
      </c>
      <c r="O3776" s="2" t="str">
        <f>VLOOKUP(OrganizedData[[#This Row],[Product Code]],ProductData[[Code]:[Item]],2,FALSE)</f>
        <v>Hyperwotsit</v>
      </c>
      <c r="P3776" s="4">
        <f>OrganizedData[[#This Row],[Quantity]]*VLOOKUP(OrganizedData[[#This Row],[Product Code]],ProductData[],4,FALSE)</f>
        <v>840</v>
      </c>
      <c r="Q3776" s="6">
        <f>OrganizedData[[#This Row],[Total Items Ordered]]*VLOOKUP(OrganizedData[[#This Row],[Product Code]],ProductData[],3,FALSE)</f>
        <v>1688.3999999999999</v>
      </c>
      <c r="R37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1637.7479999999998</v>
      </c>
    </row>
    <row r="3777" spans="1:18" x14ac:dyDescent="0.3">
      <c r="A3777" s="2">
        <v>3770</v>
      </c>
      <c r="B3777" s="2" t="s">
        <v>8725</v>
      </c>
      <c r="C3777" s="2" t="s">
        <v>3201</v>
      </c>
      <c r="D3777" s="2" t="s">
        <v>28</v>
      </c>
      <c r="E3777" s="2" t="s">
        <v>29</v>
      </c>
      <c r="F3777" s="2">
        <v>60</v>
      </c>
      <c r="G3777" s="2" t="s">
        <v>8726</v>
      </c>
      <c r="H3777" s="2" t="s">
        <v>5277</v>
      </c>
      <c r="I3777" s="2" t="s">
        <v>32</v>
      </c>
      <c r="J3777" s="3">
        <v>44472</v>
      </c>
      <c r="K3777" s="5">
        <f>YEAR(OrganizedData[[#This Row],[Order Date]])</f>
        <v>2021</v>
      </c>
      <c r="L3777" s="7" t="str">
        <f>TEXT(OrganizedData[[#This Row],[Order Date]],"mmm")</f>
        <v>Oct</v>
      </c>
      <c r="M3777" s="2">
        <v>49</v>
      </c>
      <c r="N3777" s="2" t="s">
        <v>33</v>
      </c>
      <c r="O3777" s="2" t="str">
        <f>VLOOKUP(OrganizedData[[#This Row],[Product Code]],ProductData[[Code]:[Item]],2,FALSE)</f>
        <v>Megawidget L</v>
      </c>
      <c r="P3777" s="4">
        <f>OrganizedData[[#This Row],[Quantity]]*VLOOKUP(OrganizedData[[#This Row],[Product Code]],ProductData[],4,FALSE)</f>
        <v>1176</v>
      </c>
      <c r="Q3777" s="6">
        <f>OrganizedData[[#This Row],[Total Items Ordered]]*VLOOKUP(OrganizedData[[#This Row],[Product Code]],ProductData[],3,FALSE)</f>
        <v>2105.04</v>
      </c>
      <c r="R37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2041.8887999999999</v>
      </c>
    </row>
    <row r="3778" spans="1:18" x14ac:dyDescent="0.3">
      <c r="A3778" s="2">
        <v>3771</v>
      </c>
      <c r="B3778" s="2" t="s">
        <v>2184</v>
      </c>
      <c r="C3778" s="2" t="s">
        <v>3509</v>
      </c>
      <c r="D3778" s="2" t="s">
        <v>28</v>
      </c>
      <c r="E3778" s="2" t="s">
        <v>29</v>
      </c>
      <c r="F3778" s="2">
        <v>60</v>
      </c>
      <c r="G3778" s="2" t="s">
        <v>8727</v>
      </c>
      <c r="H3778" s="2" t="s">
        <v>1757</v>
      </c>
      <c r="I3778" s="2" t="s">
        <v>294</v>
      </c>
      <c r="J3778" s="3">
        <v>44828</v>
      </c>
      <c r="K3778" s="5">
        <f>YEAR(OrganizedData[[#This Row],[Order Date]])</f>
        <v>2022</v>
      </c>
      <c r="L3778" s="7" t="str">
        <f>TEXT(OrganizedData[[#This Row],[Order Date]],"mmm")</f>
        <v>Sep</v>
      </c>
      <c r="M3778" s="2">
        <v>59</v>
      </c>
      <c r="N3778" s="2" t="s">
        <v>54</v>
      </c>
      <c r="O3778" s="2" t="str">
        <f>VLOOKUP(OrganizedData[[#This Row],[Product Code]],ProductData[[Code]:[Item]],2,FALSE)</f>
        <v>Megawidget S</v>
      </c>
      <c r="P3778" s="4">
        <f>OrganizedData[[#This Row],[Quantity]]*VLOOKUP(OrganizedData[[#This Row],[Product Code]],ProductData[],4,FALSE)</f>
        <v>1416</v>
      </c>
      <c r="Q3778" s="6">
        <f>OrganizedData[[#This Row],[Total Items Ordered]]*VLOOKUP(OrganizedData[[#This Row],[Product Code]],ProductData[],3,FALSE)</f>
        <v>977.04</v>
      </c>
      <c r="R37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928.18799999999987</v>
      </c>
    </row>
    <row r="3779" spans="1:18" x14ac:dyDescent="0.3">
      <c r="A3779" s="2">
        <v>3772</v>
      </c>
      <c r="B3779" s="2" t="s">
        <v>1104</v>
      </c>
      <c r="C3779" s="2" t="s">
        <v>7278</v>
      </c>
      <c r="D3779" s="2" t="s">
        <v>28</v>
      </c>
      <c r="E3779" s="2" t="s">
        <v>29</v>
      </c>
      <c r="F3779" s="2">
        <v>90</v>
      </c>
      <c r="G3779" s="2" t="s">
        <v>10564</v>
      </c>
      <c r="H3779" s="2" t="s">
        <v>8547</v>
      </c>
      <c r="I3779" s="2" t="s">
        <v>32</v>
      </c>
      <c r="J3779" s="3">
        <v>44637</v>
      </c>
      <c r="K3779" s="5">
        <f>YEAR(OrganizedData[[#This Row],[Order Date]])</f>
        <v>2022</v>
      </c>
      <c r="L3779" s="7" t="str">
        <f>TEXT(OrganizedData[[#This Row],[Order Date]],"mmm")</f>
        <v>Mar</v>
      </c>
      <c r="M3779" s="2">
        <v>101</v>
      </c>
      <c r="N3779" s="2" t="s">
        <v>101</v>
      </c>
      <c r="O3779" s="2" t="str">
        <f>VLOOKUP(OrganizedData[[#This Row],[Product Code]],ProductData[[Code]:[Item]],2,FALSE)</f>
        <v>Superwossname</v>
      </c>
      <c r="P3779" s="4">
        <f>OrganizedData[[#This Row],[Quantity]]*VLOOKUP(OrganizedData[[#This Row],[Product Code]],ProductData[],4,FALSE)</f>
        <v>2020</v>
      </c>
      <c r="Q3779" s="6">
        <f>OrganizedData[[#This Row],[Total Items Ordered]]*VLOOKUP(OrganizedData[[#This Row],[Product Code]],ProductData[],3,FALSE)</f>
        <v>7049.8</v>
      </c>
      <c r="R37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6556.3140000000003</v>
      </c>
    </row>
    <row r="3780" spans="1:18" x14ac:dyDescent="0.3">
      <c r="A3780" s="2">
        <v>3773</v>
      </c>
      <c r="B3780" s="2" t="s">
        <v>7958</v>
      </c>
      <c r="C3780" s="2" t="s">
        <v>4387</v>
      </c>
      <c r="D3780" s="2" t="s">
        <v>28</v>
      </c>
      <c r="E3780" s="2" t="s">
        <v>29</v>
      </c>
      <c r="F3780" s="2">
        <v>30</v>
      </c>
      <c r="G3780" s="2" t="s">
        <v>8729</v>
      </c>
      <c r="H3780" s="2" t="s">
        <v>1401</v>
      </c>
      <c r="I3780" s="2" t="s">
        <v>1402</v>
      </c>
      <c r="J3780" s="3">
        <v>44053</v>
      </c>
      <c r="K3780" s="5">
        <f>YEAR(OrganizedData[[#This Row],[Order Date]])</f>
        <v>2020</v>
      </c>
      <c r="L3780" s="7" t="str">
        <f>TEXT(OrganizedData[[#This Row],[Order Date]],"mmm")</f>
        <v>Aug</v>
      </c>
      <c r="M3780" s="2">
        <v>38</v>
      </c>
      <c r="N3780" s="2" t="s">
        <v>64</v>
      </c>
      <c r="O3780" s="2" t="str">
        <f>VLOOKUP(OrganizedData[[#This Row],[Product Code]],ProductData[[Code]:[Item]],2,FALSE)</f>
        <v>Ultrathing V4</v>
      </c>
      <c r="P3780" s="4">
        <f>OrganizedData[[#This Row],[Quantity]]*VLOOKUP(OrganizedData[[#This Row],[Product Code]],ProductData[],4,FALSE)</f>
        <v>912</v>
      </c>
      <c r="Q3780" s="6">
        <f>OrganizedData[[#This Row],[Total Items Ordered]]*VLOOKUP(OrganizedData[[#This Row],[Product Code]],ProductData[],3,FALSE)</f>
        <v>3638.88</v>
      </c>
      <c r="R37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3781" spans="1:18" x14ac:dyDescent="0.3">
      <c r="A3781" s="2">
        <v>3774</v>
      </c>
      <c r="B3781" s="2" t="s">
        <v>1684</v>
      </c>
      <c r="C3781" s="2" t="s">
        <v>5968</v>
      </c>
      <c r="D3781" s="2" t="s">
        <v>28</v>
      </c>
      <c r="E3781" s="2" t="s">
        <v>29</v>
      </c>
      <c r="F3781" s="2">
        <v>90</v>
      </c>
      <c r="G3781" s="2" t="s">
        <v>8729</v>
      </c>
      <c r="H3781" s="2" t="s">
        <v>3882</v>
      </c>
      <c r="I3781" s="2" t="s">
        <v>38</v>
      </c>
      <c r="J3781" s="3">
        <v>44343</v>
      </c>
      <c r="K3781" s="5">
        <f>YEAR(OrganizedData[[#This Row],[Order Date]])</f>
        <v>2021</v>
      </c>
      <c r="L3781" s="7" t="str">
        <f>TEXT(OrganizedData[[#This Row],[Order Date]],"mmm")</f>
        <v>May</v>
      </c>
      <c r="M3781" s="2">
        <v>36</v>
      </c>
      <c r="N3781" s="2" t="s">
        <v>80</v>
      </c>
      <c r="O3781" s="2" t="str">
        <f>VLOOKUP(OrganizedData[[#This Row],[Product Code]],ProductData[[Code]:[Item]],2,FALSE)</f>
        <v>Ultrathing V2</v>
      </c>
      <c r="P3781" s="4">
        <f>OrganizedData[[#This Row],[Quantity]]*VLOOKUP(OrganizedData[[#This Row],[Product Code]],ProductData[],4,FALSE)</f>
        <v>720</v>
      </c>
      <c r="Q3781" s="6">
        <f>OrganizedData[[#This Row],[Total Items Ordered]]*VLOOKUP(OrganizedData[[#This Row],[Product Code]],ProductData[],3,FALSE)</f>
        <v>2124</v>
      </c>
      <c r="R37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3782" spans="1:18" x14ac:dyDescent="0.3">
      <c r="A3782" s="2">
        <v>3775</v>
      </c>
      <c r="B3782" s="2" t="s">
        <v>8730</v>
      </c>
      <c r="C3782" s="2" t="s">
        <v>3700</v>
      </c>
      <c r="D3782" s="2" t="s">
        <v>92</v>
      </c>
      <c r="E3782" s="2" t="s">
        <v>29</v>
      </c>
      <c r="F3782" s="2">
        <v>30</v>
      </c>
      <c r="G3782" s="2" t="s">
        <v>8731</v>
      </c>
      <c r="H3782" s="2" t="s">
        <v>7642</v>
      </c>
      <c r="I3782" s="2" t="s">
        <v>32</v>
      </c>
      <c r="J3782" s="3">
        <v>44870</v>
      </c>
      <c r="K3782" s="5">
        <f>YEAR(OrganizedData[[#This Row],[Order Date]])</f>
        <v>2022</v>
      </c>
      <c r="L3782" s="7" t="str">
        <f>TEXT(OrganizedData[[#This Row],[Order Date]],"mmm")</f>
        <v>Nov</v>
      </c>
      <c r="M3782" s="2">
        <v>49</v>
      </c>
      <c r="N3782" s="2" t="s">
        <v>70</v>
      </c>
      <c r="O3782" s="2" t="str">
        <f>VLOOKUP(OrganizedData[[#This Row],[Product Code]],ProductData[[Code]:[Item]],2,FALSE)</f>
        <v>Megawidget M</v>
      </c>
      <c r="P3782" s="4">
        <f>OrganizedData[[#This Row],[Quantity]]*VLOOKUP(OrganizedData[[#This Row],[Product Code]],ProductData[],4,FALSE)</f>
        <v>1176</v>
      </c>
      <c r="Q3782" s="6">
        <f>OrganizedData[[#This Row],[Total Items Ordered]]*VLOOKUP(OrganizedData[[#This Row],[Product Code]],ProductData[],3,FALSE)</f>
        <v>1517.04</v>
      </c>
      <c r="R37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3783" spans="1:18" x14ac:dyDescent="0.3">
      <c r="A3783" s="2">
        <v>3776</v>
      </c>
      <c r="B3783" s="2" t="s">
        <v>8732</v>
      </c>
      <c r="C3783" s="2" t="s">
        <v>3394</v>
      </c>
      <c r="D3783" s="2" t="s">
        <v>28</v>
      </c>
      <c r="E3783" s="2" t="s">
        <v>29</v>
      </c>
      <c r="F3783" s="2">
        <v>30</v>
      </c>
      <c r="G3783" s="2" t="s">
        <v>8733</v>
      </c>
      <c r="H3783" s="2" t="s">
        <v>2261</v>
      </c>
      <c r="I3783" s="2" t="s">
        <v>32</v>
      </c>
      <c r="J3783" s="3">
        <v>44721</v>
      </c>
      <c r="K3783" s="5">
        <f>YEAR(OrganizedData[[#This Row],[Order Date]])</f>
        <v>2022</v>
      </c>
      <c r="L3783" s="7" t="str">
        <f>TEXT(OrganizedData[[#This Row],[Order Date]],"mmm")</f>
        <v>Jun</v>
      </c>
      <c r="M3783" s="2">
        <v>35</v>
      </c>
      <c r="N3783" s="2" t="s">
        <v>159</v>
      </c>
      <c r="O3783" s="2" t="str">
        <f>VLOOKUP(OrganizedData[[#This Row],[Product Code]],ProductData[[Code]:[Item]],2,FALSE)</f>
        <v>Ultrathing V3</v>
      </c>
      <c r="P3783" s="4">
        <f>OrganizedData[[#This Row],[Quantity]]*VLOOKUP(OrganizedData[[#This Row],[Product Code]],ProductData[],4,FALSE)</f>
        <v>840</v>
      </c>
      <c r="Q3783" s="6">
        <f>OrganizedData[[#This Row],[Total Items Ordered]]*VLOOKUP(OrganizedData[[#This Row],[Product Code]],ProductData[],3,FALSE)</f>
        <v>2847.6</v>
      </c>
      <c r="R37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2762.172</v>
      </c>
    </row>
    <row r="3784" spans="1:18" x14ac:dyDescent="0.3">
      <c r="A3784" s="2">
        <v>3777</v>
      </c>
      <c r="B3784" s="2" t="s">
        <v>2815</v>
      </c>
      <c r="C3784" s="2" t="s">
        <v>6594</v>
      </c>
      <c r="D3784" s="2" t="s">
        <v>28</v>
      </c>
      <c r="E3784" s="2" t="s">
        <v>29</v>
      </c>
      <c r="F3784" s="2">
        <v>60</v>
      </c>
      <c r="G3784" s="2" t="s">
        <v>8734</v>
      </c>
      <c r="H3784" s="2" t="s">
        <v>5609</v>
      </c>
      <c r="I3784" s="2" t="s">
        <v>19</v>
      </c>
      <c r="J3784" s="3">
        <v>44187</v>
      </c>
      <c r="K3784" s="5">
        <f>YEAR(OrganizedData[[#This Row],[Order Date]])</f>
        <v>2020</v>
      </c>
      <c r="L3784" s="7" t="str">
        <f>TEXT(OrganizedData[[#This Row],[Order Date]],"mmm")</f>
        <v>Dec</v>
      </c>
      <c r="M3784" s="2">
        <v>50</v>
      </c>
      <c r="N3784" s="2" t="s">
        <v>39</v>
      </c>
      <c r="O3784" s="2" t="str">
        <f>VLOOKUP(OrganizedData[[#This Row],[Product Code]],ProductData[[Code]:[Item]],2,FALSE)</f>
        <v>Ultrathing V1</v>
      </c>
      <c r="P3784" s="4">
        <f>OrganizedData[[#This Row],[Quantity]]*VLOOKUP(OrganizedData[[#This Row],[Product Code]],ProductData[],4,FALSE)</f>
        <v>850</v>
      </c>
      <c r="Q3784" s="6">
        <f>OrganizedData[[#This Row],[Total Items Ordered]]*VLOOKUP(OrganizedData[[#This Row],[Product Code]],ProductData[],3,FALSE)</f>
        <v>1521.5</v>
      </c>
      <c r="R37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1475.855</v>
      </c>
    </row>
    <row r="3785" spans="1:18" x14ac:dyDescent="0.3">
      <c r="A3785" s="2">
        <v>3778</v>
      </c>
      <c r="B3785" s="2" t="s">
        <v>8735</v>
      </c>
      <c r="C3785" s="2" t="s">
        <v>5214</v>
      </c>
      <c r="D3785" s="2" t="s">
        <v>51</v>
      </c>
      <c r="E3785" s="2" t="s">
        <v>16</v>
      </c>
      <c r="F3785" s="2">
        <v>90</v>
      </c>
      <c r="G3785" s="2" t="s">
        <v>8736</v>
      </c>
      <c r="H3785" s="2" t="s">
        <v>6249</v>
      </c>
      <c r="I3785" s="2" t="s">
        <v>38</v>
      </c>
      <c r="J3785" s="3">
        <v>44607</v>
      </c>
      <c r="K3785" s="5">
        <f>YEAR(OrganizedData[[#This Row],[Order Date]])</f>
        <v>2022</v>
      </c>
      <c r="L3785" s="7" t="str">
        <f>TEXT(OrganizedData[[#This Row],[Order Date]],"mmm")</f>
        <v>Feb</v>
      </c>
      <c r="M3785" s="2">
        <v>84</v>
      </c>
      <c r="N3785" s="2" t="s">
        <v>64</v>
      </c>
      <c r="O3785" s="2" t="str">
        <f>VLOOKUP(OrganizedData[[#This Row],[Product Code]],ProductData[[Code]:[Item]],2,FALSE)</f>
        <v>Ultrathing V4</v>
      </c>
      <c r="P3785" s="4">
        <f>OrganizedData[[#This Row],[Quantity]]*VLOOKUP(OrganizedData[[#This Row],[Product Code]],ProductData[],4,FALSE)</f>
        <v>2016</v>
      </c>
      <c r="Q3785" s="6">
        <f>OrganizedData[[#This Row],[Total Items Ordered]]*VLOOKUP(OrganizedData[[#This Row],[Product Code]],ProductData[],3,FALSE)</f>
        <v>8043.84</v>
      </c>
      <c r="R37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7641.6480000000001</v>
      </c>
    </row>
    <row r="3786" spans="1:18" x14ac:dyDescent="0.3">
      <c r="A3786" s="2">
        <v>3779</v>
      </c>
      <c r="B3786" s="2" t="s">
        <v>8737</v>
      </c>
      <c r="C3786" s="2" t="s">
        <v>1821</v>
      </c>
      <c r="D3786" s="2" t="s">
        <v>15</v>
      </c>
      <c r="E3786" s="2" t="s">
        <v>16</v>
      </c>
      <c r="F3786" s="2">
        <v>60</v>
      </c>
      <c r="G3786" s="2" t="s">
        <v>8738</v>
      </c>
      <c r="H3786" s="2" t="s">
        <v>5751</v>
      </c>
      <c r="I3786" s="2" t="s">
        <v>178</v>
      </c>
      <c r="J3786" s="3">
        <v>44681</v>
      </c>
      <c r="K3786" s="5">
        <f>YEAR(OrganizedData[[#This Row],[Order Date]])</f>
        <v>2022</v>
      </c>
      <c r="L3786" s="7" t="str">
        <f>TEXT(OrganizedData[[#This Row],[Order Date]],"mmm")</f>
        <v>Apr</v>
      </c>
      <c r="M3786" s="2">
        <v>73</v>
      </c>
      <c r="N3786" s="2" t="s">
        <v>39</v>
      </c>
      <c r="O3786" s="2" t="str">
        <f>VLOOKUP(OrganizedData[[#This Row],[Product Code]],ProductData[[Code]:[Item]],2,FALSE)</f>
        <v>Ultrathing V1</v>
      </c>
      <c r="P3786" s="4">
        <f>OrganizedData[[#This Row],[Quantity]]*VLOOKUP(OrganizedData[[#This Row],[Product Code]],ProductData[],4,FALSE)</f>
        <v>1241</v>
      </c>
      <c r="Q3786" s="6">
        <f>OrganizedData[[#This Row],[Total Items Ordered]]*VLOOKUP(OrganizedData[[#This Row],[Product Code]],ProductData[],3,FALSE)</f>
        <v>2221.39</v>
      </c>
      <c r="R37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3787" spans="1:18" x14ac:dyDescent="0.3">
      <c r="A3787" s="2">
        <v>3780</v>
      </c>
      <c r="B3787" s="2" t="s">
        <v>4805</v>
      </c>
      <c r="C3787" s="2" t="s">
        <v>1692</v>
      </c>
      <c r="D3787" s="2" t="s">
        <v>28</v>
      </c>
      <c r="E3787" s="2" t="s">
        <v>29</v>
      </c>
      <c r="F3787" s="2">
        <v>60</v>
      </c>
      <c r="G3787" s="2" t="s">
        <v>8739</v>
      </c>
      <c r="H3787" s="2" t="s">
        <v>8740</v>
      </c>
      <c r="I3787" s="2" t="s">
        <v>913</v>
      </c>
      <c r="J3787" s="3">
        <v>44099</v>
      </c>
      <c r="K3787" s="5">
        <f>YEAR(OrganizedData[[#This Row],[Order Date]])</f>
        <v>2020</v>
      </c>
      <c r="L3787" s="7" t="str">
        <f>TEXT(OrganizedData[[#This Row],[Order Date]],"mmm")</f>
        <v>Sep</v>
      </c>
      <c r="M3787" s="2">
        <v>82</v>
      </c>
      <c r="N3787" s="2" t="s">
        <v>45</v>
      </c>
      <c r="O3787" s="2" t="str">
        <f>VLOOKUP(OrganizedData[[#This Row],[Product Code]],ProductData[[Code]:[Item]],2,FALSE)</f>
        <v>Gigastuff</v>
      </c>
      <c r="P3787" s="4">
        <f>OrganizedData[[#This Row],[Quantity]]*VLOOKUP(OrganizedData[[#This Row],[Product Code]],ProductData[],4,FALSE)</f>
        <v>1476</v>
      </c>
      <c r="Q3787" s="6">
        <f>OrganizedData[[#This Row],[Total Items Ordered]]*VLOOKUP(OrganizedData[[#This Row],[Product Code]],ProductData[],3,FALSE)</f>
        <v>2789.64</v>
      </c>
      <c r="R37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3788" spans="1:18" x14ac:dyDescent="0.3">
      <c r="A3788" s="2">
        <v>3781</v>
      </c>
      <c r="B3788" s="2" t="s">
        <v>6264</v>
      </c>
      <c r="C3788" s="2" t="s">
        <v>3111</v>
      </c>
      <c r="D3788" s="2" t="s">
        <v>28</v>
      </c>
      <c r="E3788" s="2" t="s">
        <v>29</v>
      </c>
      <c r="F3788" s="2">
        <v>90</v>
      </c>
      <c r="G3788" s="2" t="s">
        <v>8741</v>
      </c>
      <c r="H3788" s="2" t="s">
        <v>6951</v>
      </c>
      <c r="I3788" s="2" t="s">
        <v>38</v>
      </c>
      <c r="J3788" s="3">
        <v>44550</v>
      </c>
      <c r="K3788" s="5">
        <f>YEAR(OrganizedData[[#This Row],[Order Date]])</f>
        <v>2021</v>
      </c>
      <c r="L3788" s="7" t="str">
        <f>TEXT(OrganizedData[[#This Row],[Order Date]],"mmm")</f>
        <v>Dec</v>
      </c>
      <c r="M3788" s="2">
        <v>41</v>
      </c>
      <c r="N3788" s="2" t="s">
        <v>64</v>
      </c>
      <c r="O3788" s="2" t="str">
        <f>VLOOKUP(OrganizedData[[#This Row],[Product Code]],ProductData[[Code]:[Item]],2,FALSE)</f>
        <v>Ultrathing V4</v>
      </c>
      <c r="P3788" s="4">
        <f>OrganizedData[[#This Row],[Quantity]]*VLOOKUP(OrganizedData[[#This Row],[Product Code]],ProductData[],4,FALSE)</f>
        <v>984</v>
      </c>
      <c r="Q3788" s="6">
        <f>OrganizedData[[#This Row],[Total Items Ordered]]*VLOOKUP(OrganizedData[[#This Row],[Product Code]],ProductData[],3,FALSE)</f>
        <v>3926.1600000000003</v>
      </c>
      <c r="R37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3808.3752000000004</v>
      </c>
    </row>
    <row r="3789" spans="1:18" x14ac:dyDescent="0.3">
      <c r="A3789" s="2">
        <v>3782</v>
      </c>
      <c r="B3789" s="2" t="s">
        <v>831</v>
      </c>
      <c r="C3789" s="2" t="s">
        <v>4609</v>
      </c>
      <c r="D3789" s="2" t="s">
        <v>15</v>
      </c>
      <c r="E3789" s="2" t="s">
        <v>16</v>
      </c>
      <c r="F3789" s="2">
        <v>60</v>
      </c>
      <c r="G3789" s="2" t="s">
        <v>8742</v>
      </c>
      <c r="H3789" s="2" t="s">
        <v>5271</v>
      </c>
      <c r="I3789" s="2" t="s">
        <v>187</v>
      </c>
      <c r="J3789" s="3">
        <v>43851</v>
      </c>
      <c r="K3789" s="5">
        <f>YEAR(OrganizedData[[#This Row],[Order Date]])</f>
        <v>2020</v>
      </c>
      <c r="L3789" s="7" t="str">
        <f>TEXT(OrganizedData[[#This Row],[Order Date]],"mmm")</f>
        <v>Jan</v>
      </c>
      <c r="M3789" s="2">
        <v>21</v>
      </c>
      <c r="N3789" s="2" t="s">
        <v>64</v>
      </c>
      <c r="O3789" s="2" t="str">
        <f>VLOOKUP(OrganizedData[[#This Row],[Product Code]],ProductData[[Code]:[Item]],2,FALSE)</f>
        <v>Ultrathing V4</v>
      </c>
      <c r="P3789" s="4">
        <f>OrganizedData[[#This Row],[Quantity]]*VLOOKUP(OrganizedData[[#This Row],[Product Code]],ProductData[],4,FALSE)</f>
        <v>504</v>
      </c>
      <c r="Q3789" s="6">
        <f>OrganizedData[[#This Row],[Total Items Ordered]]*VLOOKUP(OrganizedData[[#This Row],[Product Code]],ProductData[],3,FALSE)</f>
        <v>2010.96</v>
      </c>
      <c r="R37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3790" spans="1:18" x14ac:dyDescent="0.3">
      <c r="A3790" s="2">
        <v>3783</v>
      </c>
      <c r="B3790" s="2" t="s">
        <v>8743</v>
      </c>
      <c r="C3790" s="2" t="s">
        <v>3938</v>
      </c>
      <c r="D3790" s="2" t="s">
        <v>51</v>
      </c>
      <c r="E3790" s="2" t="s">
        <v>16</v>
      </c>
      <c r="F3790" s="2">
        <v>60</v>
      </c>
      <c r="G3790" s="2" t="s">
        <v>8744</v>
      </c>
      <c r="H3790" s="2" t="s">
        <v>3678</v>
      </c>
      <c r="I3790" s="2" t="s">
        <v>32</v>
      </c>
      <c r="J3790" s="3">
        <v>44532</v>
      </c>
      <c r="K3790" s="5">
        <f>YEAR(OrganizedData[[#This Row],[Order Date]])</f>
        <v>2021</v>
      </c>
      <c r="L3790" s="7" t="str">
        <f>TEXT(OrganizedData[[#This Row],[Order Date]],"mmm")</f>
        <v>Dec</v>
      </c>
      <c r="M3790" s="2">
        <v>8</v>
      </c>
      <c r="N3790" s="2" t="s">
        <v>45</v>
      </c>
      <c r="O3790" s="2" t="str">
        <f>VLOOKUP(OrganizedData[[#This Row],[Product Code]],ProductData[[Code]:[Item]],2,FALSE)</f>
        <v>Gigastuff</v>
      </c>
      <c r="P3790" s="4">
        <f>OrganizedData[[#This Row],[Quantity]]*VLOOKUP(OrganizedData[[#This Row],[Product Code]],ProductData[],4,FALSE)</f>
        <v>144</v>
      </c>
      <c r="Q3790" s="6">
        <f>OrganizedData[[#This Row],[Total Items Ordered]]*VLOOKUP(OrganizedData[[#This Row],[Product Code]],ProductData[],3,FALSE)</f>
        <v>272.15999999999997</v>
      </c>
      <c r="R37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3791" spans="1:18" x14ac:dyDescent="0.3">
      <c r="A3791" s="2">
        <v>3784</v>
      </c>
      <c r="B3791" s="2" t="s">
        <v>8745</v>
      </c>
      <c r="C3791" s="2" t="s">
        <v>8746</v>
      </c>
      <c r="D3791" s="2" t="s">
        <v>15</v>
      </c>
      <c r="E3791" s="2" t="s">
        <v>16</v>
      </c>
      <c r="F3791" s="2">
        <v>30</v>
      </c>
      <c r="G3791" s="2" t="s">
        <v>8747</v>
      </c>
      <c r="H3791" s="2" t="s">
        <v>443</v>
      </c>
      <c r="I3791" s="2" t="s">
        <v>294</v>
      </c>
      <c r="J3791" s="3">
        <v>44327</v>
      </c>
      <c r="K3791" s="5">
        <f>YEAR(OrganizedData[[#This Row],[Order Date]])</f>
        <v>2021</v>
      </c>
      <c r="L3791" s="7" t="str">
        <f>TEXT(OrganizedData[[#This Row],[Order Date]],"mmm")</f>
        <v>May</v>
      </c>
      <c r="M3791" s="2">
        <v>17</v>
      </c>
      <c r="N3791" s="2" t="s">
        <v>80</v>
      </c>
      <c r="O3791" s="2" t="str">
        <f>VLOOKUP(OrganizedData[[#This Row],[Product Code]],ProductData[[Code]:[Item]],2,FALSE)</f>
        <v>Ultrathing V2</v>
      </c>
      <c r="P3791" s="4">
        <f>OrganizedData[[#This Row],[Quantity]]*VLOOKUP(OrganizedData[[#This Row],[Product Code]],ProductData[],4,FALSE)</f>
        <v>340</v>
      </c>
      <c r="Q3791" s="6">
        <f>OrganizedData[[#This Row],[Total Items Ordered]]*VLOOKUP(OrganizedData[[#This Row],[Product Code]],ProductData[],3,FALSE)</f>
        <v>1003.0000000000001</v>
      </c>
      <c r="R37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3792" spans="1:18" x14ac:dyDescent="0.3">
      <c r="A3792" s="2">
        <v>3785</v>
      </c>
      <c r="B3792" s="2" t="s">
        <v>2600</v>
      </c>
      <c r="C3792" s="2" t="s">
        <v>8748</v>
      </c>
      <c r="D3792" s="2" t="s">
        <v>51</v>
      </c>
      <c r="E3792" s="2" t="s">
        <v>16</v>
      </c>
      <c r="F3792" s="2">
        <v>60</v>
      </c>
      <c r="G3792" s="2" t="s">
        <v>10565</v>
      </c>
      <c r="H3792" s="2" t="s">
        <v>1764</v>
      </c>
      <c r="I3792" s="2" t="s">
        <v>124</v>
      </c>
      <c r="J3792" s="3">
        <v>44780</v>
      </c>
      <c r="K3792" s="5">
        <f>YEAR(OrganizedData[[#This Row],[Order Date]])</f>
        <v>2022</v>
      </c>
      <c r="L3792" s="7" t="str">
        <f>TEXT(OrganizedData[[#This Row],[Order Date]],"mmm")</f>
        <v>Aug</v>
      </c>
      <c r="M3792" s="2">
        <v>39</v>
      </c>
      <c r="N3792" s="2" t="s">
        <v>39</v>
      </c>
      <c r="O3792" s="2" t="str">
        <f>VLOOKUP(OrganizedData[[#This Row],[Product Code]],ProductData[[Code]:[Item]],2,FALSE)</f>
        <v>Ultrathing V1</v>
      </c>
      <c r="P3792" s="4">
        <f>OrganizedData[[#This Row],[Quantity]]*VLOOKUP(OrganizedData[[#This Row],[Product Code]],ProductData[],4,FALSE)</f>
        <v>663</v>
      </c>
      <c r="Q3792" s="6">
        <f>OrganizedData[[#This Row],[Total Items Ordered]]*VLOOKUP(OrganizedData[[#This Row],[Product Code]],ProductData[],3,FALSE)</f>
        <v>1186.77</v>
      </c>
      <c r="R37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1151.1668999999999</v>
      </c>
    </row>
    <row r="3793" spans="1:18" x14ac:dyDescent="0.3">
      <c r="A3793" s="2">
        <v>3786</v>
      </c>
      <c r="B3793" s="2" t="s">
        <v>5285</v>
      </c>
      <c r="C3793" s="2" t="s">
        <v>328</v>
      </c>
      <c r="D3793" s="2" t="s">
        <v>92</v>
      </c>
      <c r="E3793" s="2" t="s">
        <v>29</v>
      </c>
      <c r="F3793" s="2">
        <v>90</v>
      </c>
      <c r="G3793" s="2" t="s">
        <v>8750</v>
      </c>
      <c r="H3793" s="2" t="s">
        <v>1194</v>
      </c>
      <c r="I3793" s="2" t="s">
        <v>38</v>
      </c>
      <c r="J3793" s="3">
        <v>44683</v>
      </c>
      <c r="K3793" s="5">
        <f>YEAR(OrganizedData[[#This Row],[Order Date]])</f>
        <v>2022</v>
      </c>
      <c r="L3793" s="7" t="str">
        <f>TEXT(OrganizedData[[#This Row],[Order Date]],"mmm")</f>
        <v>May</v>
      </c>
      <c r="M3793" s="2">
        <v>81</v>
      </c>
      <c r="N3793" s="2" t="s">
        <v>45</v>
      </c>
      <c r="O3793" s="2" t="str">
        <f>VLOOKUP(OrganizedData[[#This Row],[Product Code]],ProductData[[Code]:[Item]],2,FALSE)</f>
        <v>Gigastuff</v>
      </c>
      <c r="P3793" s="4">
        <f>OrganizedData[[#This Row],[Quantity]]*VLOOKUP(OrganizedData[[#This Row],[Product Code]],ProductData[],4,FALSE)</f>
        <v>1458</v>
      </c>
      <c r="Q3793" s="6">
        <f>OrganizedData[[#This Row],[Total Items Ordered]]*VLOOKUP(OrganizedData[[#This Row],[Product Code]],ProductData[],3,FALSE)</f>
        <v>2755.62</v>
      </c>
      <c r="R37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3794" spans="1:18" x14ac:dyDescent="0.3">
      <c r="A3794" s="2">
        <v>3787</v>
      </c>
      <c r="B3794" s="2" t="s">
        <v>8317</v>
      </c>
      <c r="C3794" s="2" t="s">
        <v>4795</v>
      </c>
      <c r="D3794" s="2" t="s">
        <v>28</v>
      </c>
      <c r="E3794" s="2" t="s">
        <v>29</v>
      </c>
      <c r="F3794" s="2">
        <v>90</v>
      </c>
      <c r="G3794" s="2" t="s">
        <v>8751</v>
      </c>
      <c r="H3794" s="2" t="s">
        <v>7261</v>
      </c>
      <c r="I3794" s="2" t="s">
        <v>32</v>
      </c>
      <c r="J3794" s="3">
        <v>43832</v>
      </c>
      <c r="K3794" s="5">
        <f>YEAR(OrganizedData[[#This Row],[Order Date]])</f>
        <v>2020</v>
      </c>
      <c r="L3794" s="7" t="str">
        <f>TEXT(OrganizedData[[#This Row],[Order Date]],"mmm")</f>
        <v>Jan</v>
      </c>
      <c r="M3794" s="2">
        <v>24</v>
      </c>
      <c r="N3794" s="2" t="s">
        <v>45</v>
      </c>
      <c r="O3794" s="2" t="str">
        <f>VLOOKUP(OrganizedData[[#This Row],[Product Code]],ProductData[[Code]:[Item]],2,FALSE)</f>
        <v>Gigastuff</v>
      </c>
      <c r="P3794" s="4">
        <f>OrganizedData[[#This Row],[Quantity]]*VLOOKUP(OrganizedData[[#This Row],[Product Code]],ProductData[],4,FALSE)</f>
        <v>432</v>
      </c>
      <c r="Q3794" s="6">
        <f>OrganizedData[[#This Row],[Total Items Ordered]]*VLOOKUP(OrganizedData[[#This Row],[Product Code]],ProductData[],3,FALSE)</f>
        <v>816.4799999999999</v>
      </c>
      <c r="R37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791.98559999999986</v>
      </c>
    </row>
    <row r="3795" spans="1:18" x14ac:dyDescent="0.3">
      <c r="A3795" s="2">
        <v>3788</v>
      </c>
      <c r="B3795" s="2" t="s">
        <v>3345</v>
      </c>
      <c r="C3795" s="2" t="s">
        <v>3325</v>
      </c>
      <c r="D3795" s="2" t="s">
        <v>28</v>
      </c>
      <c r="E3795" s="2" t="s">
        <v>29</v>
      </c>
      <c r="F3795" s="2">
        <v>90</v>
      </c>
      <c r="G3795" s="2" t="s">
        <v>8752</v>
      </c>
      <c r="H3795" s="2" t="s">
        <v>6181</v>
      </c>
      <c r="I3795" s="2" t="s">
        <v>32</v>
      </c>
      <c r="J3795" s="3">
        <v>44672</v>
      </c>
      <c r="K3795" s="5">
        <f>YEAR(OrganizedData[[#This Row],[Order Date]])</f>
        <v>2022</v>
      </c>
      <c r="L3795" s="7" t="str">
        <f>TEXT(OrganizedData[[#This Row],[Order Date]],"mmm")</f>
        <v>Apr</v>
      </c>
      <c r="M3795" s="2">
        <v>41</v>
      </c>
      <c r="N3795" s="2" t="s">
        <v>70</v>
      </c>
      <c r="O3795" s="2" t="str">
        <f>VLOOKUP(OrganizedData[[#This Row],[Product Code]],ProductData[[Code]:[Item]],2,FALSE)</f>
        <v>Megawidget M</v>
      </c>
      <c r="P3795" s="4">
        <f>OrganizedData[[#This Row],[Quantity]]*VLOOKUP(OrganizedData[[#This Row],[Product Code]],ProductData[],4,FALSE)</f>
        <v>984</v>
      </c>
      <c r="Q3795" s="6">
        <f>OrganizedData[[#This Row],[Total Items Ordered]]*VLOOKUP(OrganizedData[[#This Row],[Product Code]],ProductData[],3,FALSE)</f>
        <v>1269.3600000000001</v>
      </c>
      <c r="R37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1231.2792000000002</v>
      </c>
    </row>
    <row r="3796" spans="1:18" x14ac:dyDescent="0.3">
      <c r="A3796" s="2">
        <v>3789</v>
      </c>
      <c r="B3796" s="2" t="s">
        <v>8753</v>
      </c>
      <c r="C3796" s="2" t="s">
        <v>4191</v>
      </c>
      <c r="D3796" s="2" t="s">
        <v>51</v>
      </c>
      <c r="E3796" s="2" t="s">
        <v>16</v>
      </c>
      <c r="F3796" s="2">
        <v>30</v>
      </c>
      <c r="G3796" s="2" t="s">
        <v>8754</v>
      </c>
      <c r="H3796" s="2" t="s">
        <v>641</v>
      </c>
      <c r="I3796" s="2" t="s">
        <v>294</v>
      </c>
      <c r="J3796" s="3">
        <v>43842</v>
      </c>
      <c r="K3796" s="5">
        <f>YEAR(OrganizedData[[#This Row],[Order Date]])</f>
        <v>2020</v>
      </c>
      <c r="L3796" s="7" t="str">
        <f>TEXT(OrganizedData[[#This Row],[Order Date]],"mmm")</f>
        <v>Jan</v>
      </c>
      <c r="M3796" s="2">
        <v>78</v>
      </c>
      <c r="N3796" s="2" t="s">
        <v>39</v>
      </c>
      <c r="O3796" s="2" t="str">
        <f>VLOOKUP(OrganizedData[[#This Row],[Product Code]],ProductData[[Code]:[Item]],2,FALSE)</f>
        <v>Ultrathing V1</v>
      </c>
      <c r="P3796" s="4">
        <f>OrganizedData[[#This Row],[Quantity]]*VLOOKUP(OrganizedData[[#This Row],[Product Code]],ProductData[],4,FALSE)</f>
        <v>1326</v>
      </c>
      <c r="Q3796" s="6">
        <f>OrganizedData[[#This Row],[Total Items Ordered]]*VLOOKUP(OrganizedData[[#This Row],[Product Code]],ProductData[],3,FALSE)</f>
        <v>2373.54</v>
      </c>
      <c r="R37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2254.8629999999998</v>
      </c>
    </row>
    <row r="3797" spans="1:18" x14ac:dyDescent="0.3">
      <c r="A3797" s="2">
        <v>3790</v>
      </c>
      <c r="B3797" s="2" t="s">
        <v>8755</v>
      </c>
      <c r="C3797" s="2" t="s">
        <v>1451</v>
      </c>
      <c r="D3797" s="2" t="s">
        <v>28</v>
      </c>
      <c r="E3797" s="2" t="s">
        <v>29</v>
      </c>
      <c r="F3797" s="2">
        <v>90</v>
      </c>
      <c r="G3797" s="2" t="s">
        <v>10566</v>
      </c>
      <c r="H3797" s="2" t="s">
        <v>1008</v>
      </c>
      <c r="I3797" s="2" t="s">
        <v>32</v>
      </c>
      <c r="J3797" s="3">
        <v>44034</v>
      </c>
      <c r="K3797" s="5">
        <f>YEAR(OrganizedData[[#This Row],[Order Date]])</f>
        <v>2020</v>
      </c>
      <c r="L3797" s="7" t="str">
        <f>TEXT(OrganizedData[[#This Row],[Order Date]],"mmm")</f>
        <v>Jul</v>
      </c>
      <c r="M3797" s="2">
        <v>70</v>
      </c>
      <c r="N3797" s="2" t="s">
        <v>54</v>
      </c>
      <c r="O3797" s="2" t="str">
        <f>VLOOKUP(OrganizedData[[#This Row],[Product Code]],ProductData[[Code]:[Item]],2,FALSE)</f>
        <v>Megawidget S</v>
      </c>
      <c r="P3797" s="4">
        <f>OrganizedData[[#This Row],[Quantity]]*VLOOKUP(OrganizedData[[#This Row],[Product Code]],ProductData[],4,FALSE)</f>
        <v>1680</v>
      </c>
      <c r="Q3797" s="6">
        <f>OrganizedData[[#This Row],[Total Items Ordered]]*VLOOKUP(OrganizedData[[#This Row],[Product Code]],ProductData[],3,FALSE)</f>
        <v>1159.1999999999998</v>
      </c>
      <c r="R37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1101.2399999999998</v>
      </c>
    </row>
    <row r="3798" spans="1:18" x14ac:dyDescent="0.3">
      <c r="A3798" s="2">
        <v>3791</v>
      </c>
      <c r="B3798" s="2" t="s">
        <v>5072</v>
      </c>
      <c r="C3798" s="2" t="s">
        <v>8117</v>
      </c>
      <c r="D3798" s="2" t="s">
        <v>28</v>
      </c>
      <c r="E3798" s="2" t="s">
        <v>29</v>
      </c>
      <c r="F3798" s="2">
        <v>90</v>
      </c>
      <c r="G3798" s="2" t="s">
        <v>8757</v>
      </c>
      <c r="H3798" s="2" t="s">
        <v>8758</v>
      </c>
      <c r="I3798" s="2" t="s">
        <v>178</v>
      </c>
      <c r="J3798" s="3">
        <v>44686</v>
      </c>
      <c r="K3798" s="5">
        <f>YEAR(OrganizedData[[#This Row],[Order Date]])</f>
        <v>2022</v>
      </c>
      <c r="L3798" s="7" t="str">
        <f>TEXT(OrganizedData[[#This Row],[Order Date]],"mmm")</f>
        <v>May</v>
      </c>
      <c r="M3798" s="2">
        <v>101</v>
      </c>
      <c r="N3798" s="2" t="s">
        <v>33</v>
      </c>
      <c r="O3798" s="2" t="str">
        <f>VLOOKUP(OrganizedData[[#This Row],[Product Code]],ProductData[[Code]:[Item]],2,FALSE)</f>
        <v>Megawidget L</v>
      </c>
      <c r="P3798" s="4">
        <f>OrganizedData[[#This Row],[Quantity]]*VLOOKUP(OrganizedData[[#This Row],[Product Code]],ProductData[],4,FALSE)</f>
        <v>2424</v>
      </c>
      <c r="Q3798" s="6">
        <f>OrganizedData[[#This Row],[Total Items Ordered]]*VLOOKUP(OrganizedData[[#This Row],[Product Code]],ProductData[],3,FALSE)</f>
        <v>4338.96</v>
      </c>
      <c r="R37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4035.2328000000002</v>
      </c>
    </row>
    <row r="3799" spans="1:18" x14ac:dyDescent="0.3">
      <c r="A3799" s="2">
        <v>3792</v>
      </c>
      <c r="B3799" s="2" t="s">
        <v>8759</v>
      </c>
      <c r="C3799" s="2" t="s">
        <v>8760</v>
      </c>
      <c r="D3799" s="2" t="s">
        <v>28</v>
      </c>
      <c r="E3799" s="2" t="s">
        <v>29</v>
      </c>
      <c r="F3799" s="2">
        <v>60</v>
      </c>
      <c r="G3799" s="2" t="s">
        <v>8761</v>
      </c>
      <c r="H3799" s="2" t="s">
        <v>2133</v>
      </c>
      <c r="I3799" s="2" t="s">
        <v>32</v>
      </c>
      <c r="J3799" s="3">
        <v>43925</v>
      </c>
      <c r="K3799" s="5">
        <f>YEAR(OrganizedData[[#This Row],[Order Date]])</f>
        <v>2020</v>
      </c>
      <c r="L3799" s="7" t="str">
        <f>TEXT(OrganizedData[[#This Row],[Order Date]],"mmm")</f>
        <v>Apr</v>
      </c>
      <c r="M3799" s="2">
        <v>9</v>
      </c>
      <c r="N3799" s="2" t="s">
        <v>64</v>
      </c>
      <c r="O3799" s="2" t="str">
        <f>VLOOKUP(OrganizedData[[#This Row],[Product Code]],ProductData[[Code]:[Item]],2,FALSE)</f>
        <v>Ultrathing V4</v>
      </c>
      <c r="P3799" s="4">
        <f>OrganizedData[[#This Row],[Quantity]]*VLOOKUP(OrganizedData[[#This Row],[Product Code]],ProductData[],4,FALSE)</f>
        <v>216</v>
      </c>
      <c r="Q3799" s="6">
        <f>OrganizedData[[#This Row],[Total Items Ordered]]*VLOOKUP(OrganizedData[[#This Row],[Product Code]],ProductData[],3,FALSE)</f>
        <v>861.84</v>
      </c>
      <c r="R37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861.84</v>
      </c>
    </row>
    <row r="3800" spans="1:18" x14ac:dyDescent="0.3">
      <c r="A3800" s="2">
        <v>3793</v>
      </c>
      <c r="B3800" s="2" t="s">
        <v>3567</v>
      </c>
      <c r="C3800" s="2" t="s">
        <v>4399</v>
      </c>
      <c r="D3800" s="2" t="s">
        <v>28</v>
      </c>
      <c r="E3800" s="2" t="s">
        <v>29</v>
      </c>
      <c r="F3800" s="2">
        <v>60</v>
      </c>
      <c r="G3800" s="2" t="s">
        <v>8762</v>
      </c>
      <c r="H3800" s="2" t="s">
        <v>2555</v>
      </c>
      <c r="I3800" s="2" t="s">
        <v>32</v>
      </c>
      <c r="J3800" s="3">
        <v>43877</v>
      </c>
      <c r="K3800" s="5">
        <f>YEAR(OrganizedData[[#This Row],[Order Date]])</f>
        <v>2020</v>
      </c>
      <c r="L3800" s="7" t="str">
        <f>TEXT(OrganizedData[[#This Row],[Order Date]],"mmm")</f>
        <v>Feb</v>
      </c>
      <c r="M3800" s="2">
        <v>31</v>
      </c>
      <c r="N3800" s="2" t="s">
        <v>39</v>
      </c>
      <c r="O3800" s="2" t="str">
        <f>VLOOKUP(OrganizedData[[#This Row],[Product Code]],ProductData[[Code]:[Item]],2,FALSE)</f>
        <v>Ultrathing V1</v>
      </c>
      <c r="P3800" s="4">
        <f>OrganizedData[[#This Row],[Quantity]]*VLOOKUP(OrganizedData[[#This Row],[Product Code]],ProductData[],4,FALSE)</f>
        <v>527</v>
      </c>
      <c r="Q3800" s="6">
        <f>OrganizedData[[#This Row],[Total Items Ordered]]*VLOOKUP(OrganizedData[[#This Row],[Product Code]],ProductData[],3,FALSE)</f>
        <v>943.33</v>
      </c>
      <c r="R38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915.03010000000006</v>
      </c>
    </row>
    <row r="3801" spans="1:18" x14ac:dyDescent="0.3">
      <c r="A3801" s="2">
        <v>3794</v>
      </c>
      <c r="B3801" s="2" t="s">
        <v>8763</v>
      </c>
      <c r="C3801" s="2" t="s">
        <v>6216</v>
      </c>
      <c r="D3801" s="2" t="s">
        <v>51</v>
      </c>
      <c r="E3801" s="2" t="s">
        <v>16</v>
      </c>
      <c r="F3801" s="2">
        <v>90</v>
      </c>
      <c r="G3801" s="2" t="s">
        <v>8764</v>
      </c>
      <c r="H3801" s="2" t="s">
        <v>1206</v>
      </c>
      <c r="I3801" s="2" t="s">
        <v>294</v>
      </c>
      <c r="J3801" s="3">
        <v>43965</v>
      </c>
      <c r="K3801" s="5">
        <f>YEAR(OrganizedData[[#This Row],[Order Date]])</f>
        <v>2020</v>
      </c>
      <c r="L3801" s="7" t="str">
        <f>TEXT(OrganizedData[[#This Row],[Order Date]],"mmm")</f>
        <v>May</v>
      </c>
      <c r="M3801" s="2">
        <v>64</v>
      </c>
      <c r="N3801" s="2" t="s">
        <v>101</v>
      </c>
      <c r="O3801" s="2" t="str">
        <f>VLOOKUP(OrganizedData[[#This Row],[Product Code]],ProductData[[Code]:[Item]],2,FALSE)</f>
        <v>Superwossname</v>
      </c>
      <c r="P3801" s="4">
        <f>OrganizedData[[#This Row],[Quantity]]*VLOOKUP(OrganizedData[[#This Row],[Product Code]],ProductData[],4,FALSE)</f>
        <v>1280</v>
      </c>
      <c r="Q3801" s="6">
        <f>OrganizedData[[#This Row],[Total Items Ordered]]*VLOOKUP(OrganizedData[[#This Row],[Product Code]],ProductData[],3,FALSE)</f>
        <v>4467.2000000000007</v>
      </c>
      <c r="R38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3802" spans="1:18" x14ac:dyDescent="0.3">
      <c r="A3802" s="2">
        <v>3795</v>
      </c>
      <c r="B3802" s="2" t="s">
        <v>6653</v>
      </c>
      <c r="C3802" s="2" t="s">
        <v>1459</v>
      </c>
      <c r="D3802" s="2" t="s">
        <v>15</v>
      </c>
      <c r="E3802" s="2" t="s">
        <v>16</v>
      </c>
      <c r="F3802" s="2">
        <v>90</v>
      </c>
      <c r="G3802" s="2" t="s">
        <v>8765</v>
      </c>
      <c r="H3802" s="2" t="s">
        <v>8000</v>
      </c>
      <c r="I3802" s="2" t="s">
        <v>32</v>
      </c>
      <c r="J3802" s="3">
        <v>44856</v>
      </c>
      <c r="K3802" s="5">
        <f>YEAR(OrganizedData[[#This Row],[Order Date]])</f>
        <v>2022</v>
      </c>
      <c r="L3802" s="7" t="str">
        <f>TEXT(OrganizedData[[#This Row],[Order Date]],"mmm")</f>
        <v>Oct</v>
      </c>
      <c r="M3802" s="2">
        <v>88</v>
      </c>
      <c r="N3802" s="2" t="s">
        <v>80</v>
      </c>
      <c r="O3802" s="2" t="str">
        <f>VLOOKUP(OrganizedData[[#This Row],[Product Code]],ProductData[[Code]:[Item]],2,FALSE)</f>
        <v>Ultrathing V2</v>
      </c>
      <c r="P3802" s="4">
        <f>OrganizedData[[#This Row],[Quantity]]*VLOOKUP(OrganizedData[[#This Row],[Product Code]],ProductData[],4,FALSE)</f>
        <v>1760</v>
      </c>
      <c r="Q3802" s="6">
        <f>OrganizedData[[#This Row],[Total Items Ordered]]*VLOOKUP(OrganizedData[[#This Row],[Product Code]],ProductData[],3,FALSE)</f>
        <v>5192</v>
      </c>
      <c r="R38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4932.3999999999996</v>
      </c>
    </row>
    <row r="3803" spans="1:18" x14ac:dyDescent="0.3">
      <c r="A3803" s="2">
        <v>3796</v>
      </c>
      <c r="B3803" s="2" t="s">
        <v>8766</v>
      </c>
      <c r="C3803" s="2" t="s">
        <v>551</v>
      </c>
      <c r="D3803" s="2" t="s">
        <v>28</v>
      </c>
      <c r="E3803" s="2" t="s">
        <v>29</v>
      </c>
      <c r="F3803" s="2">
        <v>60</v>
      </c>
      <c r="G3803" s="2" t="s">
        <v>8767</v>
      </c>
      <c r="H3803" s="2" t="s">
        <v>1426</v>
      </c>
      <c r="I3803" s="2" t="s">
        <v>32</v>
      </c>
      <c r="J3803" s="3">
        <v>44096</v>
      </c>
      <c r="K3803" s="5">
        <f>YEAR(OrganizedData[[#This Row],[Order Date]])</f>
        <v>2020</v>
      </c>
      <c r="L3803" s="7" t="str">
        <f>TEXT(OrganizedData[[#This Row],[Order Date]],"mmm")</f>
        <v>Sep</v>
      </c>
      <c r="M3803" s="2">
        <v>29</v>
      </c>
      <c r="N3803" s="2" t="s">
        <v>54</v>
      </c>
      <c r="O3803" s="2" t="str">
        <f>VLOOKUP(OrganizedData[[#This Row],[Product Code]],ProductData[[Code]:[Item]],2,FALSE)</f>
        <v>Megawidget S</v>
      </c>
      <c r="P3803" s="4">
        <f>OrganizedData[[#This Row],[Quantity]]*VLOOKUP(OrganizedData[[#This Row],[Product Code]],ProductData[],4,FALSE)</f>
        <v>696</v>
      </c>
      <c r="Q3803" s="6">
        <f>OrganizedData[[#This Row],[Total Items Ordered]]*VLOOKUP(OrganizedData[[#This Row],[Product Code]],ProductData[],3,FALSE)</f>
        <v>480.23999999999995</v>
      </c>
      <c r="R38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465.83279999999996</v>
      </c>
    </row>
    <row r="3804" spans="1:18" x14ac:dyDescent="0.3">
      <c r="A3804" s="2">
        <v>3797</v>
      </c>
      <c r="B3804" s="2" t="s">
        <v>1464</v>
      </c>
      <c r="C3804" s="2" t="s">
        <v>2252</v>
      </c>
      <c r="D3804" s="2" t="s">
        <v>28</v>
      </c>
      <c r="E3804" s="2" t="s">
        <v>29</v>
      </c>
      <c r="F3804" s="2">
        <v>60</v>
      </c>
      <c r="G3804" s="2" t="s">
        <v>8767</v>
      </c>
      <c r="H3804" s="2" t="s">
        <v>3236</v>
      </c>
      <c r="I3804" s="2" t="s">
        <v>32</v>
      </c>
      <c r="J3804" s="3">
        <v>44427</v>
      </c>
      <c r="K3804" s="5">
        <f>YEAR(OrganizedData[[#This Row],[Order Date]])</f>
        <v>2021</v>
      </c>
      <c r="L3804" s="7" t="str">
        <f>TEXT(OrganizedData[[#This Row],[Order Date]],"mmm")</f>
        <v>Aug</v>
      </c>
      <c r="M3804" s="2">
        <v>28</v>
      </c>
      <c r="N3804" s="2" t="s">
        <v>101</v>
      </c>
      <c r="O3804" s="2" t="str">
        <f>VLOOKUP(OrganizedData[[#This Row],[Product Code]],ProductData[[Code]:[Item]],2,FALSE)</f>
        <v>Superwossname</v>
      </c>
      <c r="P3804" s="4">
        <f>OrganizedData[[#This Row],[Quantity]]*VLOOKUP(OrganizedData[[#This Row],[Product Code]],ProductData[],4,FALSE)</f>
        <v>560</v>
      </c>
      <c r="Q3804" s="6">
        <f>OrganizedData[[#This Row],[Total Items Ordered]]*VLOOKUP(OrganizedData[[#This Row],[Product Code]],ProductData[],3,FALSE)</f>
        <v>1954.4</v>
      </c>
      <c r="R38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3805" spans="1:18" x14ac:dyDescent="0.3">
      <c r="A3805" s="2">
        <v>3798</v>
      </c>
      <c r="B3805" s="2" t="s">
        <v>8768</v>
      </c>
      <c r="C3805" s="2" t="s">
        <v>1746</v>
      </c>
      <c r="D3805" s="2" t="s">
        <v>15</v>
      </c>
      <c r="E3805" s="2" t="s">
        <v>16</v>
      </c>
      <c r="F3805" s="2">
        <v>90</v>
      </c>
      <c r="G3805" s="2" t="s">
        <v>8769</v>
      </c>
      <c r="H3805" s="2" t="s">
        <v>611</v>
      </c>
      <c r="I3805" s="2" t="s">
        <v>32</v>
      </c>
      <c r="J3805" s="3">
        <v>44639</v>
      </c>
      <c r="K3805" s="5">
        <f>YEAR(OrganizedData[[#This Row],[Order Date]])</f>
        <v>2022</v>
      </c>
      <c r="L3805" s="7" t="str">
        <f>TEXT(OrganizedData[[#This Row],[Order Date]],"mmm")</f>
        <v>Mar</v>
      </c>
      <c r="M3805" s="2">
        <v>90</v>
      </c>
      <c r="N3805" s="2" t="s">
        <v>101</v>
      </c>
      <c r="O3805" s="2" t="str">
        <f>VLOOKUP(OrganizedData[[#This Row],[Product Code]],ProductData[[Code]:[Item]],2,FALSE)</f>
        <v>Superwossname</v>
      </c>
      <c r="P3805" s="4">
        <f>OrganizedData[[#This Row],[Quantity]]*VLOOKUP(OrganizedData[[#This Row],[Product Code]],ProductData[],4,FALSE)</f>
        <v>1800</v>
      </c>
      <c r="Q3805" s="6">
        <f>OrganizedData[[#This Row],[Total Items Ordered]]*VLOOKUP(OrganizedData[[#This Row],[Product Code]],ProductData[],3,FALSE)</f>
        <v>6282</v>
      </c>
      <c r="R38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5967.9</v>
      </c>
    </row>
    <row r="3806" spans="1:18" x14ac:dyDescent="0.3">
      <c r="A3806" s="2">
        <v>3799</v>
      </c>
      <c r="B3806" s="2" t="s">
        <v>2051</v>
      </c>
      <c r="C3806" s="2" t="s">
        <v>543</v>
      </c>
      <c r="D3806" s="2" t="s">
        <v>28</v>
      </c>
      <c r="E3806" s="2" t="s">
        <v>29</v>
      </c>
      <c r="F3806" s="2">
        <v>30</v>
      </c>
      <c r="G3806" s="2" t="s">
        <v>8770</v>
      </c>
      <c r="H3806" s="2" t="s">
        <v>7758</v>
      </c>
      <c r="I3806" s="2" t="s">
        <v>819</v>
      </c>
      <c r="J3806" s="3">
        <v>44170</v>
      </c>
      <c r="K3806" s="5">
        <f>YEAR(OrganizedData[[#This Row],[Order Date]])</f>
        <v>2020</v>
      </c>
      <c r="L3806" s="7" t="str">
        <f>TEXT(OrganizedData[[#This Row],[Order Date]],"mmm")</f>
        <v>Dec</v>
      </c>
      <c r="M3806" s="2">
        <v>9</v>
      </c>
      <c r="N3806" s="2" t="s">
        <v>64</v>
      </c>
      <c r="O3806" s="2" t="str">
        <f>VLOOKUP(OrganizedData[[#This Row],[Product Code]],ProductData[[Code]:[Item]],2,FALSE)</f>
        <v>Ultrathing V4</v>
      </c>
      <c r="P3806" s="4">
        <f>OrganizedData[[#This Row],[Quantity]]*VLOOKUP(OrganizedData[[#This Row],[Product Code]],ProductData[],4,FALSE)</f>
        <v>216</v>
      </c>
      <c r="Q3806" s="6">
        <f>OrganizedData[[#This Row],[Total Items Ordered]]*VLOOKUP(OrganizedData[[#This Row],[Product Code]],ProductData[],3,FALSE)</f>
        <v>861.84</v>
      </c>
      <c r="R38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861.84</v>
      </c>
    </row>
    <row r="3807" spans="1:18" x14ac:dyDescent="0.3">
      <c r="A3807" s="2">
        <v>3800</v>
      </c>
      <c r="B3807" s="2" t="s">
        <v>2346</v>
      </c>
      <c r="C3807" s="2" t="s">
        <v>8771</v>
      </c>
      <c r="D3807" s="2" t="s">
        <v>28</v>
      </c>
      <c r="E3807" s="2" t="s">
        <v>29</v>
      </c>
      <c r="F3807" s="2">
        <v>30</v>
      </c>
      <c r="G3807" s="2" t="s">
        <v>8770</v>
      </c>
      <c r="H3807" s="2" t="s">
        <v>538</v>
      </c>
      <c r="I3807" s="2" t="s">
        <v>32</v>
      </c>
      <c r="J3807" s="3">
        <v>44879</v>
      </c>
      <c r="K3807" s="5">
        <f>YEAR(OrganizedData[[#This Row],[Order Date]])</f>
        <v>2022</v>
      </c>
      <c r="L3807" s="7" t="str">
        <f>TEXT(OrganizedData[[#This Row],[Order Date]],"mmm")</f>
        <v>Nov</v>
      </c>
      <c r="M3807" s="2">
        <v>40</v>
      </c>
      <c r="N3807" s="2" t="s">
        <v>45</v>
      </c>
      <c r="O3807" s="2" t="str">
        <f>VLOOKUP(OrganizedData[[#This Row],[Product Code]],ProductData[[Code]:[Item]],2,FALSE)</f>
        <v>Gigastuff</v>
      </c>
      <c r="P3807" s="4">
        <f>OrganizedData[[#This Row],[Quantity]]*VLOOKUP(OrganizedData[[#This Row],[Product Code]],ProductData[],4,FALSE)</f>
        <v>720</v>
      </c>
      <c r="Q3807" s="6">
        <f>OrganizedData[[#This Row],[Total Items Ordered]]*VLOOKUP(OrganizedData[[#This Row],[Product Code]],ProductData[],3,FALSE)</f>
        <v>1360.8</v>
      </c>
      <c r="R38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1319.9759999999999</v>
      </c>
    </row>
    <row r="3808" spans="1:18" x14ac:dyDescent="0.3">
      <c r="A3808" s="2">
        <v>3801</v>
      </c>
      <c r="B3808" s="2" t="s">
        <v>5623</v>
      </c>
      <c r="C3808" s="2" t="s">
        <v>7435</v>
      </c>
      <c r="D3808" s="2" t="s">
        <v>28</v>
      </c>
      <c r="E3808" s="2" t="s">
        <v>29</v>
      </c>
      <c r="F3808" s="2">
        <v>30</v>
      </c>
      <c r="G3808" s="2" t="s">
        <v>8772</v>
      </c>
      <c r="H3808" s="2" t="s">
        <v>1868</v>
      </c>
      <c r="I3808" s="2" t="s">
        <v>1869</v>
      </c>
      <c r="J3808" s="3">
        <v>44357</v>
      </c>
      <c r="K3808" s="5">
        <f>YEAR(OrganizedData[[#This Row],[Order Date]])</f>
        <v>2021</v>
      </c>
      <c r="L3808" s="7" t="str">
        <f>TEXT(OrganizedData[[#This Row],[Order Date]],"mmm")</f>
        <v>Jun</v>
      </c>
      <c r="M3808" s="2">
        <v>44</v>
      </c>
      <c r="N3808" s="2" t="s">
        <v>64</v>
      </c>
      <c r="O3808" s="2" t="str">
        <f>VLOOKUP(OrganizedData[[#This Row],[Product Code]],ProductData[[Code]:[Item]],2,FALSE)</f>
        <v>Ultrathing V4</v>
      </c>
      <c r="P3808" s="4">
        <f>OrganizedData[[#This Row],[Quantity]]*VLOOKUP(OrganizedData[[#This Row],[Product Code]],ProductData[],4,FALSE)</f>
        <v>1056</v>
      </c>
      <c r="Q3808" s="6">
        <f>OrganizedData[[#This Row],[Total Items Ordered]]*VLOOKUP(OrganizedData[[#This Row],[Product Code]],ProductData[],3,FALSE)</f>
        <v>4213.4400000000005</v>
      </c>
      <c r="R38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4087.0368000000003</v>
      </c>
    </row>
    <row r="3809" spans="1:18" x14ac:dyDescent="0.3">
      <c r="A3809" s="2">
        <v>3802</v>
      </c>
      <c r="B3809" s="2" t="s">
        <v>8773</v>
      </c>
      <c r="C3809" s="2" t="s">
        <v>472</v>
      </c>
      <c r="D3809" s="2" t="s">
        <v>15</v>
      </c>
      <c r="E3809" s="2" t="s">
        <v>16</v>
      </c>
      <c r="F3809" s="2">
        <v>30</v>
      </c>
      <c r="G3809" s="2" t="s">
        <v>10451</v>
      </c>
      <c r="H3809" s="2" t="s">
        <v>3334</v>
      </c>
      <c r="I3809" s="2" t="s">
        <v>32</v>
      </c>
      <c r="J3809" s="3">
        <v>44195</v>
      </c>
      <c r="K3809" s="5">
        <f>YEAR(OrganizedData[[#This Row],[Order Date]])</f>
        <v>2020</v>
      </c>
      <c r="L3809" s="7" t="str">
        <f>TEXT(OrganizedData[[#This Row],[Order Date]],"mmm")</f>
        <v>Dec</v>
      </c>
      <c r="M3809" s="2">
        <v>80</v>
      </c>
      <c r="N3809" s="2" t="s">
        <v>159</v>
      </c>
      <c r="O3809" s="2" t="str">
        <f>VLOOKUP(OrganizedData[[#This Row],[Product Code]],ProductData[[Code]:[Item]],2,FALSE)</f>
        <v>Ultrathing V3</v>
      </c>
      <c r="P3809" s="4">
        <f>OrganizedData[[#This Row],[Quantity]]*VLOOKUP(OrganizedData[[#This Row],[Product Code]],ProductData[],4,FALSE)</f>
        <v>1920</v>
      </c>
      <c r="Q3809" s="6">
        <f>OrganizedData[[#This Row],[Total Items Ordered]]*VLOOKUP(OrganizedData[[#This Row],[Product Code]],ProductData[],3,FALSE)</f>
        <v>6508.8</v>
      </c>
      <c r="R38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6183.36</v>
      </c>
    </row>
    <row r="3810" spans="1:18" x14ac:dyDescent="0.3">
      <c r="A3810" s="2">
        <v>3803</v>
      </c>
      <c r="B3810" s="2" t="s">
        <v>4407</v>
      </c>
      <c r="C3810" s="2" t="s">
        <v>4596</v>
      </c>
      <c r="D3810" s="2" t="s">
        <v>15</v>
      </c>
      <c r="E3810" s="2" t="s">
        <v>16</v>
      </c>
      <c r="F3810" s="2">
        <v>30</v>
      </c>
      <c r="G3810" s="2" t="s">
        <v>8775</v>
      </c>
      <c r="H3810" s="2" t="s">
        <v>3882</v>
      </c>
      <c r="I3810" s="2" t="s">
        <v>38</v>
      </c>
      <c r="J3810" s="3">
        <v>44418</v>
      </c>
      <c r="K3810" s="5">
        <f>YEAR(OrganizedData[[#This Row],[Order Date]])</f>
        <v>2021</v>
      </c>
      <c r="L3810" s="7" t="str">
        <f>TEXT(OrganizedData[[#This Row],[Order Date]],"mmm")</f>
        <v>Aug</v>
      </c>
      <c r="M3810" s="2">
        <v>56</v>
      </c>
      <c r="N3810" s="2" t="s">
        <v>64</v>
      </c>
      <c r="O3810" s="2" t="str">
        <f>VLOOKUP(OrganizedData[[#This Row],[Product Code]],ProductData[[Code]:[Item]],2,FALSE)</f>
        <v>Ultrathing V4</v>
      </c>
      <c r="P3810" s="4">
        <f>OrganizedData[[#This Row],[Quantity]]*VLOOKUP(OrganizedData[[#This Row],[Product Code]],ProductData[],4,FALSE)</f>
        <v>1344</v>
      </c>
      <c r="Q3810" s="6">
        <f>OrganizedData[[#This Row],[Total Items Ordered]]*VLOOKUP(OrganizedData[[#This Row],[Product Code]],ProductData[],3,FALSE)</f>
        <v>5362.56</v>
      </c>
      <c r="R38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5094.4319999999998</v>
      </c>
    </row>
    <row r="3811" spans="1:18" x14ac:dyDescent="0.3">
      <c r="A3811" s="2">
        <v>3804</v>
      </c>
      <c r="B3811" s="2" t="s">
        <v>665</v>
      </c>
      <c r="C3811" s="2" t="s">
        <v>3341</v>
      </c>
      <c r="D3811" s="2" t="s">
        <v>28</v>
      </c>
      <c r="E3811" s="2" t="s">
        <v>29</v>
      </c>
      <c r="F3811" s="2">
        <v>60</v>
      </c>
      <c r="G3811" s="2" t="s">
        <v>8775</v>
      </c>
      <c r="H3811" s="2" t="s">
        <v>1855</v>
      </c>
      <c r="I3811" s="2" t="s">
        <v>25</v>
      </c>
      <c r="J3811" s="3">
        <v>44878</v>
      </c>
      <c r="K3811" s="5">
        <f>YEAR(OrganizedData[[#This Row],[Order Date]])</f>
        <v>2022</v>
      </c>
      <c r="L3811" s="7" t="str">
        <f>TEXT(OrganizedData[[#This Row],[Order Date]],"mmm")</f>
        <v>Nov</v>
      </c>
      <c r="M3811" s="2">
        <v>53</v>
      </c>
      <c r="N3811" s="2" t="s">
        <v>45</v>
      </c>
      <c r="O3811" s="2" t="str">
        <f>VLOOKUP(OrganizedData[[#This Row],[Product Code]],ProductData[[Code]:[Item]],2,FALSE)</f>
        <v>Gigastuff</v>
      </c>
      <c r="P3811" s="4">
        <f>OrganizedData[[#This Row],[Quantity]]*VLOOKUP(OrganizedData[[#This Row],[Product Code]],ProductData[],4,FALSE)</f>
        <v>954</v>
      </c>
      <c r="Q3811" s="6">
        <f>OrganizedData[[#This Row],[Total Items Ordered]]*VLOOKUP(OrganizedData[[#This Row],[Product Code]],ProductData[],3,FALSE)</f>
        <v>1803.06</v>
      </c>
      <c r="R38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1712.9069999999999</v>
      </c>
    </row>
    <row r="3812" spans="1:18" x14ac:dyDescent="0.3">
      <c r="A3812" s="2">
        <v>3805</v>
      </c>
      <c r="B3812" s="2" t="s">
        <v>4329</v>
      </c>
      <c r="C3812" s="2" t="s">
        <v>1727</v>
      </c>
      <c r="D3812" s="2" t="s">
        <v>51</v>
      </c>
      <c r="E3812" s="2" t="s">
        <v>16</v>
      </c>
      <c r="F3812" s="2">
        <v>60</v>
      </c>
      <c r="G3812" s="2" t="s">
        <v>8778</v>
      </c>
      <c r="H3812" s="2" t="s">
        <v>3215</v>
      </c>
      <c r="I3812" s="2" t="s">
        <v>32</v>
      </c>
      <c r="J3812" s="3">
        <v>43951</v>
      </c>
      <c r="K3812" s="5">
        <f>YEAR(OrganizedData[[#This Row],[Order Date]])</f>
        <v>2020</v>
      </c>
      <c r="L3812" s="7" t="str">
        <f>TEXT(OrganizedData[[#This Row],[Order Date]],"mmm")</f>
        <v>Apr</v>
      </c>
      <c r="M3812" s="2">
        <v>2</v>
      </c>
      <c r="N3812" s="2" t="s">
        <v>54</v>
      </c>
      <c r="O3812" s="2" t="str">
        <f>VLOOKUP(OrganizedData[[#This Row],[Product Code]],ProductData[[Code]:[Item]],2,FALSE)</f>
        <v>Megawidget S</v>
      </c>
      <c r="P3812" s="4">
        <f>OrganizedData[[#This Row],[Quantity]]*VLOOKUP(OrganizedData[[#This Row],[Product Code]],ProductData[],4,FALSE)</f>
        <v>48</v>
      </c>
      <c r="Q3812" s="6">
        <f>OrganizedData[[#This Row],[Total Items Ordered]]*VLOOKUP(OrganizedData[[#This Row],[Product Code]],ProductData[],3,FALSE)</f>
        <v>33.119999999999997</v>
      </c>
      <c r="R38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33.119999999999997</v>
      </c>
    </row>
    <row r="3813" spans="1:18" x14ac:dyDescent="0.3">
      <c r="A3813" s="2">
        <v>3806</v>
      </c>
      <c r="B3813" s="2" t="s">
        <v>6947</v>
      </c>
      <c r="C3813" s="2" t="s">
        <v>3584</v>
      </c>
      <c r="D3813" s="2" t="s">
        <v>51</v>
      </c>
      <c r="E3813" s="2" t="s">
        <v>16</v>
      </c>
      <c r="F3813" s="2">
        <v>30</v>
      </c>
      <c r="G3813" s="2" t="s">
        <v>8779</v>
      </c>
      <c r="H3813" s="2" t="s">
        <v>8780</v>
      </c>
      <c r="I3813" s="2" t="s">
        <v>32</v>
      </c>
      <c r="J3813" s="3">
        <v>44873</v>
      </c>
      <c r="K3813" s="5">
        <f>YEAR(OrganizedData[[#This Row],[Order Date]])</f>
        <v>2022</v>
      </c>
      <c r="L3813" s="7" t="str">
        <f>TEXT(OrganizedData[[#This Row],[Order Date]],"mmm")</f>
        <v>Nov</v>
      </c>
      <c r="M3813" s="2">
        <v>102</v>
      </c>
      <c r="N3813" s="2" t="s">
        <v>70</v>
      </c>
      <c r="O3813" s="2" t="str">
        <f>VLOOKUP(OrganizedData[[#This Row],[Product Code]],ProductData[[Code]:[Item]],2,FALSE)</f>
        <v>Megawidget M</v>
      </c>
      <c r="P3813" s="4">
        <f>OrganizedData[[#This Row],[Quantity]]*VLOOKUP(OrganizedData[[#This Row],[Product Code]],ProductData[],4,FALSE)</f>
        <v>2448</v>
      </c>
      <c r="Q3813" s="6">
        <f>OrganizedData[[#This Row],[Total Items Ordered]]*VLOOKUP(OrganizedData[[#This Row],[Product Code]],ProductData[],3,FALSE)</f>
        <v>3157.92</v>
      </c>
      <c r="R38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2936.8656000000001</v>
      </c>
    </row>
    <row r="3814" spans="1:18" x14ac:dyDescent="0.3">
      <c r="A3814" s="2">
        <v>3807</v>
      </c>
      <c r="B3814" s="2" t="s">
        <v>8781</v>
      </c>
      <c r="C3814" s="2" t="s">
        <v>3253</v>
      </c>
      <c r="D3814" s="2" t="s">
        <v>28</v>
      </c>
      <c r="E3814" s="2" t="s">
        <v>29</v>
      </c>
      <c r="F3814" s="2">
        <v>60</v>
      </c>
      <c r="G3814" s="2" t="s">
        <v>8782</v>
      </c>
      <c r="H3814" s="2" t="s">
        <v>5301</v>
      </c>
      <c r="I3814" s="2" t="s">
        <v>173</v>
      </c>
      <c r="J3814" s="3">
        <v>44443</v>
      </c>
      <c r="K3814" s="5">
        <f>YEAR(OrganizedData[[#This Row],[Order Date]])</f>
        <v>2021</v>
      </c>
      <c r="L3814" s="7" t="str">
        <f>TEXT(OrganizedData[[#This Row],[Order Date]],"mmm")</f>
        <v>Sep</v>
      </c>
      <c r="M3814" s="2">
        <v>95</v>
      </c>
      <c r="N3814" s="2" t="s">
        <v>54</v>
      </c>
      <c r="O3814" s="2" t="str">
        <f>VLOOKUP(OrganizedData[[#This Row],[Product Code]],ProductData[[Code]:[Item]],2,FALSE)</f>
        <v>Megawidget S</v>
      </c>
      <c r="P3814" s="4">
        <f>OrganizedData[[#This Row],[Quantity]]*VLOOKUP(OrganizedData[[#This Row],[Product Code]],ProductData[],4,FALSE)</f>
        <v>2280</v>
      </c>
      <c r="Q3814" s="6">
        <f>OrganizedData[[#This Row],[Total Items Ordered]]*VLOOKUP(OrganizedData[[#This Row],[Product Code]],ProductData[],3,FALSE)</f>
        <v>1573.1999999999998</v>
      </c>
      <c r="R38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1494.5399999999997</v>
      </c>
    </row>
    <row r="3815" spans="1:18" x14ac:dyDescent="0.3">
      <c r="A3815" s="2">
        <v>3808</v>
      </c>
      <c r="B3815" s="2" t="s">
        <v>8783</v>
      </c>
      <c r="C3815" s="2" t="s">
        <v>4681</v>
      </c>
      <c r="D3815" s="2" t="s">
        <v>51</v>
      </c>
      <c r="E3815" s="2" t="s">
        <v>16</v>
      </c>
      <c r="F3815" s="2">
        <v>60</v>
      </c>
      <c r="G3815" s="2" t="s">
        <v>8784</v>
      </c>
      <c r="H3815" s="2" t="s">
        <v>5874</v>
      </c>
      <c r="I3815" s="2" t="s">
        <v>839</v>
      </c>
      <c r="J3815" s="3">
        <v>44709</v>
      </c>
      <c r="K3815" s="5">
        <f>YEAR(OrganizedData[[#This Row],[Order Date]])</f>
        <v>2022</v>
      </c>
      <c r="L3815" s="7" t="str">
        <f>TEXT(OrganizedData[[#This Row],[Order Date]],"mmm")</f>
        <v>May</v>
      </c>
      <c r="M3815" s="2">
        <v>76</v>
      </c>
      <c r="N3815" s="2" t="s">
        <v>101</v>
      </c>
      <c r="O3815" s="2" t="str">
        <f>VLOOKUP(OrganizedData[[#This Row],[Product Code]],ProductData[[Code]:[Item]],2,FALSE)</f>
        <v>Superwossname</v>
      </c>
      <c r="P3815" s="4">
        <f>OrganizedData[[#This Row],[Quantity]]*VLOOKUP(OrganizedData[[#This Row],[Product Code]],ProductData[],4,FALSE)</f>
        <v>1520</v>
      </c>
      <c r="Q3815" s="6">
        <f>OrganizedData[[#This Row],[Total Items Ordered]]*VLOOKUP(OrganizedData[[#This Row],[Product Code]],ProductData[],3,FALSE)</f>
        <v>5304.8</v>
      </c>
      <c r="R38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5039.5599999999995</v>
      </c>
    </row>
    <row r="3816" spans="1:18" x14ac:dyDescent="0.3">
      <c r="A3816" s="2">
        <v>3809</v>
      </c>
      <c r="B3816" s="2" t="s">
        <v>8785</v>
      </c>
      <c r="C3816" s="2" t="s">
        <v>6635</v>
      </c>
      <c r="D3816" s="2" t="s">
        <v>15</v>
      </c>
      <c r="E3816" s="2" t="s">
        <v>16</v>
      </c>
      <c r="F3816" s="2">
        <v>90</v>
      </c>
      <c r="G3816" s="2" t="s">
        <v>8786</v>
      </c>
      <c r="H3816" s="2" t="s">
        <v>1095</v>
      </c>
      <c r="I3816" s="2" t="s">
        <v>178</v>
      </c>
      <c r="J3816" s="3">
        <v>44239</v>
      </c>
      <c r="K3816" s="5">
        <f>YEAR(OrganizedData[[#This Row],[Order Date]])</f>
        <v>2021</v>
      </c>
      <c r="L3816" s="7" t="str">
        <f>TEXT(OrganizedData[[#This Row],[Order Date]],"mmm")</f>
        <v>Feb</v>
      </c>
      <c r="M3816" s="2">
        <v>33</v>
      </c>
      <c r="N3816" s="2" t="s">
        <v>159</v>
      </c>
      <c r="O3816" s="2" t="str">
        <f>VLOOKUP(OrganizedData[[#This Row],[Product Code]],ProductData[[Code]:[Item]],2,FALSE)</f>
        <v>Ultrathing V3</v>
      </c>
      <c r="P3816" s="4">
        <f>OrganizedData[[#This Row],[Quantity]]*VLOOKUP(OrganizedData[[#This Row],[Product Code]],ProductData[],4,FALSE)</f>
        <v>792</v>
      </c>
      <c r="Q3816" s="6">
        <f>OrganizedData[[#This Row],[Total Items Ordered]]*VLOOKUP(OrganizedData[[#This Row],[Product Code]],ProductData[],3,FALSE)</f>
        <v>2684.88</v>
      </c>
      <c r="R38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2604.3335999999999</v>
      </c>
    </row>
    <row r="3817" spans="1:18" x14ac:dyDescent="0.3">
      <c r="A3817" s="2">
        <v>3810</v>
      </c>
      <c r="B3817" s="2" t="s">
        <v>5034</v>
      </c>
      <c r="C3817" s="2" t="s">
        <v>3011</v>
      </c>
      <c r="D3817" s="2" t="s">
        <v>28</v>
      </c>
      <c r="E3817" s="2" t="s">
        <v>29</v>
      </c>
      <c r="F3817" s="2">
        <v>30</v>
      </c>
      <c r="G3817" s="2" t="s">
        <v>8787</v>
      </c>
      <c r="H3817" s="2" t="s">
        <v>1186</v>
      </c>
      <c r="I3817" s="2" t="s">
        <v>32</v>
      </c>
      <c r="J3817" s="3">
        <v>43981</v>
      </c>
      <c r="K3817" s="5">
        <f>YEAR(OrganizedData[[#This Row],[Order Date]])</f>
        <v>2020</v>
      </c>
      <c r="L3817" s="7" t="str">
        <f>TEXT(OrganizedData[[#This Row],[Order Date]],"mmm")</f>
        <v>May</v>
      </c>
      <c r="M3817" s="2">
        <v>62</v>
      </c>
      <c r="N3817" s="2" t="s">
        <v>45</v>
      </c>
      <c r="O3817" s="2" t="str">
        <f>VLOOKUP(OrganizedData[[#This Row],[Product Code]],ProductData[[Code]:[Item]],2,FALSE)</f>
        <v>Gigastuff</v>
      </c>
      <c r="P3817" s="4">
        <f>OrganizedData[[#This Row],[Quantity]]*VLOOKUP(OrganizedData[[#This Row],[Product Code]],ProductData[],4,FALSE)</f>
        <v>1116</v>
      </c>
      <c r="Q3817" s="6">
        <f>OrganizedData[[#This Row],[Total Items Ordered]]*VLOOKUP(OrganizedData[[#This Row],[Product Code]],ProductData[],3,FALSE)</f>
        <v>2109.2399999999998</v>
      </c>
      <c r="R38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3818" spans="1:18" x14ac:dyDescent="0.3">
      <c r="A3818" s="2">
        <v>3811</v>
      </c>
      <c r="B3818" s="2" t="s">
        <v>8788</v>
      </c>
      <c r="C3818" s="2" t="s">
        <v>4287</v>
      </c>
      <c r="D3818" s="2" t="s">
        <v>28</v>
      </c>
      <c r="E3818" s="2" t="s">
        <v>29</v>
      </c>
      <c r="F3818" s="2">
        <v>60</v>
      </c>
      <c r="G3818" s="2" t="s">
        <v>8789</v>
      </c>
      <c r="H3818" s="2" t="s">
        <v>6105</v>
      </c>
      <c r="I3818" s="2" t="s">
        <v>32</v>
      </c>
      <c r="J3818" s="3">
        <v>44481</v>
      </c>
      <c r="K3818" s="5">
        <f>YEAR(OrganizedData[[#This Row],[Order Date]])</f>
        <v>2021</v>
      </c>
      <c r="L3818" s="7" t="str">
        <f>TEXT(OrganizedData[[#This Row],[Order Date]],"mmm")</f>
        <v>Oct</v>
      </c>
      <c r="M3818" s="2">
        <v>94</v>
      </c>
      <c r="N3818" s="2" t="s">
        <v>80</v>
      </c>
      <c r="O3818" s="2" t="str">
        <f>VLOOKUP(OrganizedData[[#This Row],[Product Code]],ProductData[[Code]:[Item]],2,FALSE)</f>
        <v>Ultrathing V2</v>
      </c>
      <c r="P3818" s="4">
        <f>OrganizedData[[#This Row],[Quantity]]*VLOOKUP(OrganizedData[[#This Row],[Product Code]],ProductData[],4,FALSE)</f>
        <v>1880</v>
      </c>
      <c r="Q3818" s="6">
        <f>OrganizedData[[#This Row],[Total Items Ordered]]*VLOOKUP(OrganizedData[[#This Row],[Product Code]],ProductData[],3,FALSE)</f>
        <v>5546</v>
      </c>
      <c r="R38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5268.7</v>
      </c>
    </row>
    <row r="3819" spans="1:18" x14ac:dyDescent="0.3">
      <c r="A3819" s="2">
        <v>3812</v>
      </c>
      <c r="B3819" s="2" t="s">
        <v>8790</v>
      </c>
      <c r="C3819" s="2" t="s">
        <v>3843</v>
      </c>
      <c r="D3819" s="2" t="s">
        <v>15</v>
      </c>
      <c r="E3819" s="2" t="s">
        <v>16</v>
      </c>
      <c r="F3819" s="2">
        <v>60</v>
      </c>
      <c r="G3819" s="2" t="s">
        <v>8791</v>
      </c>
      <c r="H3819" s="2" t="s">
        <v>1426</v>
      </c>
      <c r="I3819" s="2" t="s">
        <v>32</v>
      </c>
      <c r="J3819" s="3">
        <v>44058</v>
      </c>
      <c r="K3819" s="5">
        <f>YEAR(OrganizedData[[#This Row],[Order Date]])</f>
        <v>2020</v>
      </c>
      <c r="L3819" s="7" t="str">
        <f>TEXT(OrganizedData[[#This Row],[Order Date]],"mmm")</f>
        <v>Aug</v>
      </c>
      <c r="M3819" s="2">
        <v>47</v>
      </c>
      <c r="N3819" s="2" t="s">
        <v>54</v>
      </c>
      <c r="O3819" s="2" t="str">
        <f>VLOOKUP(OrganizedData[[#This Row],[Product Code]],ProductData[[Code]:[Item]],2,FALSE)</f>
        <v>Megawidget S</v>
      </c>
      <c r="P3819" s="4">
        <f>OrganizedData[[#This Row],[Quantity]]*VLOOKUP(OrganizedData[[#This Row],[Product Code]],ProductData[],4,FALSE)</f>
        <v>1128</v>
      </c>
      <c r="Q3819" s="6">
        <f>OrganizedData[[#This Row],[Total Items Ordered]]*VLOOKUP(OrganizedData[[#This Row],[Product Code]],ProductData[],3,FALSE)</f>
        <v>778.31999999999994</v>
      </c>
      <c r="R38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3820" spans="1:18" x14ac:dyDescent="0.3">
      <c r="A3820" s="2">
        <v>3813</v>
      </c>
      <c r="B3820" s="2" t="s">
        <v>6003</v>
      </c>
      <c r="C3820" s="2" t="s">
        <v>7369</v>
      </c>
      <c r="D3820" s="2" t="s">
        <v>15</v>
      </c>
      <c r="E3820" s="2" t="s">
        <v>16</v>
      </c>
      <c r="F3820" s="2">
        <v>90</v>
      </c>
      <c r="G3820" s="2" t="s">
        <v>10452</v>
      </c>
      <c r="H3820" s="2" t="s">
        <v>3774</v>
      </c>
      <c r="I3820" s="2" t="s">
        <v>187</v>
      </c>
      <c r="J3820" s="3">
        <v>44121</v>
      </c>
      <c r="K3820" s="5">
        <f>YEAR(OrganizedData[[#This Row],[Order Date]])</f>
        <v>2020</v>
      </c>
      <c r="L3820" s="7" t="str">
        <f>TEXT(OrganizedData[[#This Row],[Order Date]],"mmm")</f>
        <v>Oct</v>
      </c>
      <c r="M3820" s="2">
        <v>83</v>
      </c>
      <c r="N3820" s="2" t="s">
        <v>80</v>
      </c>
      <c r="O3820" s="2" t="str">
        <f>VLOOKUP(OrganizedData[[#This Row],[Product Code]],ProductData[[Code]:[Item]],2,FALSE)</f>
        <v>Ultrathing V2</v>
      </c>
      <c r="P3820" s="4">
        <f>OrganizedData[[#This Row],[Quantity]]*VLOOKUP(OrganizedData[[#This Row],[Product Code]],ProductData[],4,FALSE)</f>
        <v>1660</v>
      </c>
      <c r="Q3820" s="6">
        <f>OrganizedData[[#This Row],[Total Items Ordered]]*VLOOKUP(OrganizedData[[#This Row],[Product Code]],ProductData[],3,FALSE)</f>
        <v>4897</v>
      </c>
      <c r="R38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4652.1499999999996</v>
      </c>
    </row>
    <row r="3821" spans="1:18" x14ac:dyDescent="0.3">
      <c r="A3821" s="2">
        <v>3814</v>
      </c>
      <c r="B3821" s="2" t="s">
        <v>232</v>
      </c>
      <c r="C3821" s="2" t="s">
        <v>617</v>
      </c>
      <c r="D3821" s="2" t="s">
        <v>28</v>
      </c>
      <c r="E3821" s="2" t="s">
        <v>29</v>
      </c>
      <c r="F3821" s="2">
        <v>60</v>
      </c>
      <c r="G3821" s="2" t="s">
        <v>8793</v>
      </c>
      <c r="H3821" s="2" t="s">
        <v>105</v>
      </c>
      <c r="I3821" s="2" t="s">
        <v>32</v>
      </c>
      <c r="J3821" s="3">
        <v>44134</v>
      </c>
      <c r="K3821" s="5">
        <f>YEAR(OrganizedData[[#This Row],[Order Date]])</f>
        <v>2020</v>
      </c>
      <c r="L3821" s="7" t="str">
        <f>TEXT(OrganizedData[[#This Row],[Order Date]],"mmm")</f>
        <v>Oct</v>
      </c>
      <c r="M3821" s="2">
        <v>11</v>
      </c>
      <c r="N3821" s="2" t="s">
        <v>20</v>
      </c>
      <c r="O3821" s="2" t="str">
        <f>VLOOKUP(OrganizedData[[#This Row],[Product Code]],ProductData[[Code]:[Item]],2,FALSE)</f>
        <v>Hyperwotsit</v>
      </c>
      <c r="P3821" s="4">
        <f>OrganizedData[[#This Row],[Quantity]]*VLOOKUP(OrganizedData[[#This Row],[Product Code]],ProductData[],4,FALSE)</f>
        <v>220</v>
      </c>
      <c r="Q3821" s="6">
        <f>OrganizedData[[#This Row],[Total Items Ordered]]*VLOOKUP(OrganizedData[[#This Row],[Product Code]],ProductData[],3,FALSE)</f>
        <v>442.19999999999993</v>
      </c>
      <c r="R38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442.19999999999993</v>
      </c>
    </row>
    <row r="3822" spans="1:18" x14ac:dyDescent="0.3">
      <c r="A3822" s="2">
        <v>3815</v>
      </c>
      <c r="B3822" s="2" t="s">
        <v>5623</v>
      </c>
      <c r="C3822" s="2" t="s">
        <v>8794</v>
      </c>
      <c r="D3822" s="2" t="s">
        <v>28</v>
      </c>
      <c r="E3822" s="2" t="s">
        <v>29</v>
      </c>
      <c r="F3822" s="2">
        <v>90</v>
      </c>
      <c r="G3822" s="2" t="s">
        <v>8795</v>
      </c>
      <c r="H3822" s="2" t="s">
        <v>1444</v>
      </c>
      <c r="I3822" s="2" t="s">
        <v>1199</v>
      </c>
      <c r="J3822" s="3">
        <v>44536</v>
      </c>
      <c r="K3822" s="5">
        <f>YEAR(OrganizedData[[#This Row],[Order Date]])</f>
        <v>2021</v>
      </c>
      <c r="L3822" s="7" t="str">
        <f>TEXT(OrganizedData[[#This Row],[Order Date]],"mmm")</f>
        <v>Dec</v>
      </c>
      <c r="M3822" s="2">
        <v>51</v>
      </c>
      <c r="N3822" s="2" t="s">
        <v>20</v>
      </c>
      <c r="O3822" s="2" t="str">
        <f>VLOOKUP(OrganizedData[[#This Row],[Product Code]],ProductData[[Code]:[Item]],2,FALSE)</f>
        <v>Hyperwotsit</v>
      </c>
      <c r="P3822" s="4">
        <f>OrganizedData[[#This Row],[Quantity]]*VLOOKUP(OrganizedData[[#This Row],[Product Code]],ProductData[],4,FALSE)</f>
        <v>1020</v>
      </c>
      <c r="Q3822" s="6">
        <f>OrganizedData[[#This Row],[Total Items Ordered]]*VLOOKUP(OrganizedData[[#This Row],[Product Code]],ProductData[],3,FALSE)</f>
        <v>2050.1999999999998</v>
      </c>
      <c r="R38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1947.6899999999998</v>
      </c>
    </row>
    <row r="3823" spans="1:18" x14ac:dyDescent="0.3">
      <c r="A3823" s="2">
        <v>3816</v>
      </c>
      <c r="B3823" s="2" t="s">
        <v>8796</v>
      </c>
      <c r="C3823" s="2" t="s">
        <v>736</v>
      </c>
      <c r="D3823" s="2" t="s">
        <v>51</v>
      </c>
      <c r="E3823" s="2" t="s">
        <v>16</v>
      </c>
      <c r="F3823" s="2">
        <v>60</v>
      </c>
      <c r="G3823" s="2" t="s">
        <v>8797</v>
      </c>
      <c r="H3823" s="2" t="s">
        <v>1834</v>
      </c>
      <c r="I3823" s="2" t="s">
        <v>32</v>
      </c>
      <c r="J3823" s="3">
        <v>44191</v>
      </c>
      <c r="K3823" s="5">
        <f>YEAR(OrganizedData[[#This Row],[Order Date]])</f>
        <v>2020</v>
      </c>
      <c r="L3823" s="7" t="str">
        <f>TEXT(OrganizedData[[#This Row],[Order Date]],"mmm")</f>
        <v>Dec</v>
      </c>
      <c r="M3823" s="2">
        <v>33</v>
      </c>
      <c r="N3823" s="2" t="s">
        <v>33</v>
      </c>
      <c r="O3823" s="2" t="str">
        <f>VLOOKUP(OrganizedData[[#This Row],[Product Code]],ProductData[[Code]:[Item]],2,FALSE)</f>
        <v>Megawidget L</v>
      </c>
      <c r="P3823" s="4">
        <f>OrganizedData[[#This Row],[Quantity]]*VLOOKUP(OrganizedData[[#This Row],[Product Code]],ProductData[],4,FALSE)</f>
        <v>792</v>
      </c>
      <c r="Q3823" s="6">
        <f>OrganizedData[[#This Row],[Total Items Ordered]]*VLOOKUP(OrganizedData[[#This Row],[Product Code]],ProductData[],3,FALSE)</f>
        <v>1417.68</v>
      </c>
      <c r="R38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1375.1496</v>
      </c>
    </row>
    <row r="3824" spans="1:18" x14ac:dyDescent="0.3">
      <c r="A3824" s="2">
        <v>3817</v>
      </c>
      <c r="B3824" s="2" t="s">
        <v>8798</v>
      </c>
      <c r="C3824" s="2" t="s">
        <v>2082</v>
      </c>
      <c r="D3824" s="2" t="s">
        <v>51</v>
      </c>
      <c r="E3824" s="2" t="s">
        <v>16</v>
      </c>
      <c r="F3824" s="2">
        <v>30</v>
      </c>
      <c r="G3824" s="2" t="s">
        <v>8799</v>
      </c>
      <c r="H3824" s="2" t="s">
        <v>730</v>
      </c>
      <c r="I3824" s="2" t="s">
        <v>187</v>
      </c>
      <c r="J3824" s="3">
        <v>44106</v>
      </c>
      <c r="K3824" s="5">
        <f>YEAR(OrganizedData[[#This Row],[Order Date]])</f>
        <v>2020</v>
      </c>
      <c r="L3824" s="7" t="str">
        <f>TEXT(OrganizedData[[#This Row],[Order Date]],"mmm")</f>
        <v>Oct</v>
      </c>
      <c r="M3824" s="2">
        <v>73</v>
      </c>
      <c r="N3824" s="2" t="s">
        <v>64</v>
      </c>
      <c r="O3824" s="2" t="str">
        <f>VLOOKUP(OrganizedData[[#This Row],[Product Code]],ProductData[[Code]:[Item]],2,FALSE)</f>
        <v>Ultrathing V4</v>
      </c>
      <c r="P3824" s="4">
        <f>OrganizedData[[#This Row],[Quantity]]*VLOOKUP(OrganizedData[[#This Row],[Product Code]],ProductData[],4,FALSE)</f>
        <v>1752</v>
      </c>
      <c r="Q3824" s="6">
        <f>OrganizedData[[#This Row],[Total Items Ordered]]*VLOOKUP(OrganizedData[[#This Row],[Product Code]],ProductData[],3,FALSE)</f>
        <v>6990.4800000000005</v>
      </c>
      <c r="R38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6640.9560000000001</v>
      </c>
    </row>
    <row r="3825" spans="1:18" x14ac:dyDescent="0.3">
      <c r="A3825" s="2">
        <v>3818</v>
      </c>
      <c r="B3825" s="2" t="s">
        <v>3532</v>
      </c>
      <c r="C3825" s="2" t="s">
        <v>2119</v>
      </c>
      <c r="D3825" s="2" t="s">
        <v>28</v>
      </c>
      <c r="E3825" s="2" t="s">
        <v>29</v>
      </c>
      <c r="F3825" s="2">
        <v>90</v>
      </c>
      <c r="G3825" s="2" t="s">
        <v>8800</v>
      </c>
      <c r="H3825" s="2" t="s">
        <v>8801</v>
      </c>
      <c r="I3825" s="2" t="s">
        <v>32</v>
      </c>
      <c r="J3825" s="3">
        <v>44837</v>
      </c>
      <c r="K3825" s="5">
        <f>YEAR(OrganizedData[[#This Row],[Order Date]])</f>
        <v>2022</v>
      </c>
      <c r="L3825" s="7" t="str">
        <f>TEXT(OrganizedData[[#This Row],[Order Date]],"mmm")</f>
        <v>Oct</v>
      </c>
      <c r="M3825" s="2">
        <v>12</v>
      </c>
      <c r="N3825" s="2" t="s">
        <v>64</v>
      </c>
      <c r="O3825" s="2" t="str">
        <f>VLOOKUP(OrganizedData[[#This Row],[Product Code]],ProductData[[Code]:[Item]],2,FALSE)</f>
        <v>Ultrathing V4</v>
      </c>
      <c r="P3825" s="4">
        <f>OrganizedData[[#This Row],[Quantity]]*VLOOKUP(OrganizedData[[#This Row],[Product Code]],ProductData[],4,FALSE)</f>
        <v>288</v>
      </c>
      <c r="Q3825" s="6">
        <f>OrganizedData[[#This Row],[Total Items Ordered]]*VLOOKUP(OrganizedData[[#This Row],[Product Code]],ProductData[],3,FALSE)</f>
        <v>1149.1200000000001</v>
      </c>
      <c r="R38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1149.1200000000001</v>
      </c>
    </row>
    <row r="3826" spans="1:18" x14ac:dyDescent="0.3">
      <c r="A3826" s="2">
        <v>3819</v>
      </c>
      <c r="B3826" s="2" t="s">
        <v>4842</v>
      </c>
      <c r="C3826" s="2" t="s">
        <v>1409</v>
      </c>
      <c r="D3826" s="2" t="s">
        <v>28</v>
      </c>
      <c r="E3826" s="2" t="s">
        <v>29</v>
      </c>
      <c r="F3826" s="2">
        <v>30</v>
      </c>
      <c r="G3826" s="2" t="s">
        <v>8802</v>
      </c>
      <c r="H3826" s="2" t="s">
        <v>8803</v>
      </c>
      <c r="I3826" s="2" t="s">
        <v>187</v>
      </c>
      <c r="J3826" s="3">
        <v>44832</v>
      </c>
      <c r="K3826" s="5">
        <f>YEAR(OrganizedData[[#This Row],[Order Date]])</f>
        <v>2022</v>
      </c>
      <c r="L3826" s="7" t="str">
        <f>TEXT(OrganizedData[[#This Row],[Order Date]],"mmm")</f>
        <v>Sep</v>
      </c>
      <c r="M3826" s="2">
        <v>54</v>
      </c>
      <c r="N3826" s="2" t="s">
        <v>64</v>
      </c>
      <c r="O3826" s="2" t="str">
        <f>VLOOKUP(OrganizedData[[#This Row],[Product Code]],ProductData[[Code]:[Item]],2,FALSE)</f>
        <v>Ultrathing V4</v>
      </c>
      <c r="P3826" s="4">
        <f>OrganizedData[[#This Row],[Quantity]]*VLOOKUP(OrganizedData[[#This Row],[Product Code]],ProductData[],4,FALSE)</f>
        <v>1296</v>
      </c>
      <c r="Q3826" s="6">
        <f>OrganizedData[[#This Row],[Total Items Ordered]]*VLOOKUP(OrganizedData[[#This Row],[Product Code]],ProductData[],3,FALSE)</f>
        <v>5171.04</v>
      </c>
      <c r="R38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3827" spans="1:18" x14ac:dyDescent="0.3">
      <c r="A3827" s="2">
        <v>3820</v>
      </c>
      <c r="B3827" s="2" t="s">
        <v>3443</v>
      </c>
      <c r="C3827" s="2" t="s">
        <v>6817</v>
      </c>
      <c r="D3827" s="2" t="s">
        <v>28</v>
      </c>
      <c r="E3827" s="2" t="s">
        <v>29</v>
      </c>
      <c r="F3827" s="2">
        <v>60</v>
      </c>
      <c r="G3827" s="2" t="s">
        <v>8804</v>
      </c>
      <c r="H3827" s="2" t="s">
        <v>2931</v>
      </c>
      <c r="I3827" s="2" t="s">
        <v>32</v>
      </c>
      <c r="J3827" s="3">
        <v>44629</v>
      </c>
      <c r="K3827" s="5">
        <f>YEAR(OrganizedData[[#This Row],[Order Date]])</f>
        <v>2022</v>
      </c>
      <c r="L3827" s="7" t="str">
        <f>TEXT(OrganizedData[[#This Row],[Order Date]],"mmm")</f>
        <v>Mar</v>
      </c>
      <c r="M3827" s="2">
        <v>76</v>
      </c>
      <c r="N3827" s="2" t="s">
        <v>20</v>
      </c>
      <c r="O3827" s="2" t="str">
        <f>VLOOKUP(OrganizedData[[#This Row],[Product Code]],ProductData[[Code]:[Item]],2,FALSE)</f>
        <v>Hyperwotsit</v>
      </c>
      <c r="P3827" s="4">
        <f>OrganizedData[[#This Row],[Quantity]]*VLOOKUP(OrganizedData[[#This Row],[Product Code]],ProductData[],4,FALSE)</f>
        <v>1520</v>
      </c>
      <c r="Q3827" s="6">
        <f>OrganizedData[[#This Row],[Total Items Ordered]]*VLOOKUP(OrganizedData[[#This Row],[Product Code]],ProductData[],3,FALSE)</f>
        <v>3055.2</v>
      </c>
      <c r="R38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2902.4399999999996</v>
      </c>
    </row>
    <row r="3828" spans="1:18" x14ac:dyDescent="0.3">
      <c r="A3828" s="2">
        <v>3821</v>
      </c>
      <c r="B3828" s="2" t="s">
        <v>305</v>
      </c>
      <c r="C3828" s="2" t="s">
        <v>8227</v>
      </c>
      <c r="D3828" s="2" t="s">
        <v>28</v>
      </c>
      <c r="E3828" s="2" t="s">
        <v>29</v>
      </c>
      <c r="F3828" s="2">
        <v>90</v>
      </c>
      <c r="G3828" s="2" t="s">
        <v>10567</v>
      </c>
      <c r="H3828" s="2" t="s">
        <v>655</v>
      </c>
      <c r="I3828" s="2" t="s">
        <v>32</v>
      </c>
      <c r="J3828" s="3">
        <v>44417</v>
      </c>
      <c r="K3828" s="5">
        <f>YEAR(OrganizedData[[#This Row],[Order Date]])</f>
        <v>2021</v>
      </c>
      <c r="L3828" s="7" t="str">
        <f>TEXT(OrganizedData[[#This Row],[Order Date]],"mmm")</f>
        <v>Aug</v>
      </c>
      <c r="M3828" s="2">
        <v>51</v>
      </c>
      <c r="N3828" s="2" t="s">
        <v>20</v>
      </c>
      <c r="O3828" s="2" t="str">
        <f>VLOOKUP(OrganizedData[[#This Row],[Product Code]],ProductData[[Code]:[Item]],2,FALSE)</f>
        <v>Hyperwotsit</v>
      </c>
      <c r="P3828" s="4">
        <f>OrganizedData[[#This Row],[Quantity]]*VLOOKUP(OrganizedData[[#This Row],[Product Code]],ProductData[],4,FALSE)</f>
        <v>1020</v>
      </c>
      <c r="Q3828" s="6">
        <f>OrganizedData[[#This Row],[Total Items Ordered]]*VLOOKUP(OrganizedData[[#This Row],[Product Code]],ProductData[],3,FALSE)</f>
        <v>2050.1999999999998</v>
      </c>
      <c r="R38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1947.6899999999998</v>
      </c>
    </row>
    <row r="3829" spans="1:18" x14ac:dyDescent="0.3">
      <c r="A3829" s="2">
        <v>3822</v>
      </c>
      <c r="B3829" s="2" t="s">
        <v>555</v>
      </c>
      <c r="C3829" s="2" t="s">
        <v>8678</v>
      </c>
      <c r="D3829" s="2" t="s">
        <v>28</v>
      </c>
      <c r="E3829" s="2" t="s">
        <v>29</v>
      </c>
      <c r="F3829" s="2">
        <v>30</v>
      </c>
      <c r="G3829" s="2" t="s">
        <v>8806</v>
      </c>
      <c r="H3829" s="2" t="s">
        <v>674</v>
      </c>
      <c r="I3829" s="2" t="s">
        <v>32</v>
      </c>
      <c r="J3829" s="3">
        <v>44873</v>
      </c>
      <c r="K3829" s="5">
        <f>YEAR(OrganizedData[[#This Row],[Order Date]])</f>
        <v>2022</v>
      </c>
      <c r="L3829" s="7" t="str">
        <f>TEXT(OrganizedData[[#This Row],[Order Date]],"mmm")</f>
        <v>Nov</v>
      </c>
      <c r="M3829" s="2">
        <v>19</v>
      </c>
      <c r="N3829" s="2" t="s">
        <v>64</v>
      </c>
      <c r="O3829" s="2" t="str">
        <f>VLOOKUP(OrganizedData[[#This Row],[Product Code]],ProductData[[Code]:[Item]],2,FALSE)</f>
        <v>Ultrathing V4</v>
      </c>
      <c r="P3829" s="4">
        <f>OrganizedData[[#This Row],[Quantity]]*VLOOKUP(OrganizedData[[#This Row],[Product Code]],ProductData[],4,FALSE)</f>
        <v>456</v>
      </c>
      <c r="Q3829" s="6">
        <f>OrganizedData[[#This Row],[Total Items Ordered]]*VLOOKUP(OrganizedData[[#This Row],[Product Code]],ProductData[],3,FALSE)</f>
        <v>1819.44</v>
      </c>
      <c r="R38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3830" spans="1:18" x14ac:dyDescent="0.3">
      <c r="A3830" s="2">
        <v>3823</v>
      </c>
      <c r="B3830" s="2" t="s">
        <v>4318</v>
      </c>
      <c r="C3830" s="2" t="s">
        <v>2951</v>
      </c>
      <c r="D3830" s="2" t="s">
        <v>28</v>
      </c>
      <c r="E3830" s="2" t="s">
        <v>29</v>
      </c>
      <c r="F3830" s="2">
        <v>60</v>
      </c>
      <c r="G3830" s="2" t="s">
        <v>8807</v>
      </c>
      <c r="H3830" s="2" t="s">
        <v>5178</v>
      </c>
      <c r="I3830" s="2" t="s">
        <v>25</v>
      </c>
      <c r="J3830" s="3">
        <v>44839</v>
      </c>
      <c r="K3830" s="5">
        <f>YEAR(OrganizedData[[#This Row],[Order Date]])</f>
        <v>2022</v>
      </c>
      <c r="L3830" s="7" t="str">
        <f>TEXT(OrganizedData[[#This Row],[Order Date]],"mmm")</f>
        <v>Oct</v>
      </c>
      <c r="M3830" s="2">
        <v>66</v>
      </c>
      <c r="N3830" s="2" t="s">
        <v>159</v>
      </c>
      <c r="O3830" s="2" t="str">
        <f>VLOOKUP(OrganizedData[[#This Row],[Product Code]],ProductData[[Code]:[Item]],2,FALSE)</f>
        <v>Ultrathing V3</v>
      </c>
      <c r="P3830" s="4">
        <f>OrganizedData[[#This Row],[Quantity]]*VLOOKUP(OrganizedData[[#This Row],[Product Code]],ProductData[],4,FALSE)</f>
        <v>1584</v>
      </c>
      <c r="Q3830" s="6">
        <f>OrganizedData[[#This Row],[Total Items Ordered]]*VLOOKUP(OrganizedData[[#This Row],[Product Code]],ProductData[],3,FALSE)</f>
        <v>5369.76</v>
      </c>
      <c r="R38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5101.2719999999999</v>
      </c>
    </row>
    <row r="3831" spans="1:18" x14ac:dyDescent="0.3">
      <c r="A3831" s="2">
        <v>3824</v>
      </c>
      <c r="B3831" s="2" t="s">
        <v>7425</v>
      </c>
      <c r="C3831" s="2" t="s">
        <v>4226</v>
      </c>
      <c r="D3831" s="2" t="s">
        <v>51</v>
      </c>
      <c r="E3831" s="2" t="s">
        <v>16</v>
      </c>
      <c r="F3831" s="2">
        <v>30</v>
      </c>
      <c r="G3831" s="2" t="s">
        <v>8808</v>
      </c>
      <c r="H3831" s="2" t="s">
        <v>3695</v>
      </c>
      <c r="I3831" s="2" t="s">
        <v>173</v>
      </c>
      <c r="J3831" s="3">
        <v>44246</v>
      </c>
      <c r="K3831" s="5">
        <f>YEAR(OrganizedData[[#This Row],[Order Date]])</f>
        <v>2021</v>
      </c>
      <c r="L3831" s="7" t="str">
        <f>TEXT(OrganizedData[[#This Row],[Order Date]],"mmm")</f>
        <v>Feb</v>
      </c>
      <c r="M3831" s="2">
        <v>66</v>
      </c>
      <c r="N3831" s="2" t="s">
        <v>101</v>
      </c>
      <c r="O3831" s="2" t="str">
        <f>VLOOKUP(OrganizedData[[#This Row],[Product Code]],ProductData[[Code]:[Item]],2,FALSE)</f>
        <v>Superwossname</v>
      </c>
      <c r="P3831" s="4">
        <f>OrganizedData[[#This Row],[Quantity]]*VLOOKUP(OrganizedData[[#This Row],[Product Code]],ProductData[],4,FALSE)</f>
        <v>1320</v>
      </c>
      <c r="Q3831" s="6">
        <f>OrganizedData[[#This Row],[Total Items Ordered]]*VLOOKUP(OrganizedData[[#This Row],[Product Code]],ProductData[],3,FALSE)</f>
        <v>4606.8</v>
      </c>
      <c r="R38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3832" spans="1:18" x14ac:dyDescent="0.3">
      <c r="A3832" s="2">
        <v>3825</v>
      </c>
      <c r="B3832" s="2" t="s">
        <v>1239</v>
      </c>
      <c r="C3832" s="2" t="s">
        <v>7889</v>
      </c>
      <c r="D3832" s="2" t="s">
        <v>28</v>
      </c>
      <c r="E3832" s="2" t="s">
        <v>29</v>
      </c>
      <c r="F3832" s="2">
        <v>60</v>
      </c>
      <c r="G3832" s="2" t="s">
        <v>8809</v>
      </c>
      <c r="H3832" s="2" t="s">
        <v>842</v>
      </c>
      <c r="I3832" s="2" t="s">
        <v>32</v>
      </c>
      <c r="J3832" s="3">
        <v>44873</v>
      </c>
      <c r="K3832" s="5">
        <f>YEAR(OrganizedData[[#This Row],[Order Date]])</f>
        <v>2022</v>
      </c>
      <c r="L3832" s="7" t="str">
        <f>TEXT(OrganizedData[[#This Row],[Order Date]],"mmm")</f>
        <v>Nov</v>
      </c>
      <c r="M3832" s="2">
        <v>13</v>
      </c>
      <c r="N3832" s="2" t="s">
        <v>33</v>
      </c>
      <c r="O3832" s="2" t="str">
        <f>VLOOKUP(OrganizedData[[#This Row],[Product Code]],ProductData[[Code]:[Item]],2,FALSE)</f>
        <v>Megawidget L</v>
      </c>
      <c r="P3832" s="4">
        <f>OrganizedData[[#This Row],[Quantity]]*VLOOKUP(OrganizedData[[#This Row],[Product Code]],ProductData[],4,FALSE)</f>
        <v>312</v>
      </c>
      <c r="Q3832" s="6">
        <f>OrganizedData[[#This Row],[Total Items Ordered]]*VLOOKUP(OrganizedData[[#This Row],[Product Code]],ProductData[],3,FALSE)</f>
        <v>558.48</v>
      </c>
      <c r="R38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3833" spans="1:18" x14ac:dyDescent="0.3">
      <c r="A3833" s="2">
        <v>3826</v>
      </c>
      <c r="B3833" s="2" t="s">
        <v>5725</v>
      </c>
      <c r="C3833" s="2" t="s">
        <v>4609</v>
      </c>
      <c r="D3833" s="2" t="s">
        <v>28</v>
      </c>
      <c r="E3833" s="2" t="s">
        <v>29</v>
      </c>
      <c r="F3833" s="2">
        <v>30</v>
      </c>
      <c r="G3833" s="2" t="s">
        <v>8810</v>
      </c>
      <c r="H3833" s="2" t="s">
        <v>3002</v>
      </c>
      <c r="I3833" s="2" t="s">
        <v>32</v>
      </c>
      <c r="J3833" s="3">
        <v>44043</v>
      </c>
      <c r="K3833" s="5">
        <f>YEAR(OrganizedData[[#This Row],[Order Date]])</f>
        <v>2020</v>
      </c>
      <c r="L3833" s="7" t="str">
        <f>TEXT(OrganizedData[[#This Row],[Order Date]],"mmm")</f>
        <v>Jul</v>
      </c>
      <c r="M3833" s="2">
        <v>51</v>
      </c>
      <c r="N3833" s="2" t="s">
        <v>54</v>
      </c>
      <c r="O3833" s="2" t="str">
        <f>VLOOKUP(OrganizedData[[#This Row],[Product Code]],ProductData[[Code]:[Item]],2,FALSE)</f>
        <v>Megawidget S</v>
      </c>
      <c r="P3833" s="4">
        <f>OrganizedData[[#This Row],[Quantity]]*VLOOKUP(OrganizedData[[#This Row],[Product Code]],ProductData[],4,FALSE)</f>
        <v>1224</v>
      </c>
      <c r="Q3833" s="6">
        <f>OrganizedData[[#This Row],[Total Items Ordered]]*VLOOKUP(OrganizedData[[#This Row],[Product Code]],ProductData[],3,FALSE)</f>
        <v>844.56</v>
      </c>
      <c r="R38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3834" spans="1:18" x14ac:dyDescent="0.3">
      <c r="A3834" s="2">
        <v>3827</v>
      </c>
      <c r="B3834" s="2" t="s">
        <v>5062</v>
      </c>
      <c r="C3834" s="2" t="s">
        <v>8811</v>
      </c>
      <c r="D3834" s="2" t="s">
        <v>28</v>
      </c>
      <c r="E3834" s="2" t="s">
        <v>29</v>
      </c>
      <c r="F3834" s="2">
        <v>30</v>
      </c>
      <c r="G3834" s="2" t="s">
        <v>8812</v>
      </c>
      <c r="H3834" s="2" t="s">
        <v>8033</v>
      </c>
      <c r="I3834" s="2" t="s">
        <v>32</v>
      </c>
      <c r="J3834" s="3">
        <v>44695</v>
      </c>
      <c r="K3834" s="5">
        <f>YEAR(OrganizedData[[#This Row],[Order Date]])</f>
        <v>2022</v>
      </c>
      <c r="L3834" s="7" t="str">
        <f>TEXT(OrganizedData[[#This Row],[Order Date]],"mmm")</f>
        <v>May</v>
      </c>
      <c r="M3834" s="2">
        <v>97</v>
      </c>
      <c r="N3834" s="2" t="s">
        <v>64</v>
      </c>
      <c r="O3834" s="2" t="str">
        <f>VLOOKUP(OrganizedData[[#This Row],[Product Code]],ProductData[[Code]:[Item]],2,FALSE)</f>
        <v>Ultrathing V4</v>
      </c>
      <c r="P3834" s="4">
        <f>OrganizedData[[#This Row],[Quantity]]*VLOOKUP(OrganizedData[[#This Row],[Product Code]],ProductData[],4,FALSE)</f>
        <v>2328</v>
      </c>
      <c r="Q3834" s="6">
        <f>OrganizedData[[#This Row],[Total Items Ordered]]*VLOOKUP(OrganizedData[[#This Row],[Product Code]],ProductData[],3,FALSE)</f>
        <v>9288.7200000000012</v>
      </c>
      <c r="R38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8824.2840000000015</v>
      </c>
    </row>
    <row r="3835" spans="1:18" x14ac:dyDescent="0.3">
      <c r="A3835" s="2">
        <v>3828</v>
      </c>
      <c r="B3835" s="2" t="s">
        <v>8813</v>
      </c>
      <c r="C3835" s="2" t="s">
        <v>4181</v>
      </c>
      <c r="D3835" s="2" t="s">
        <v>51</v>
      </c>
      <c r="E3835" s="2" t="s">
        <v>16</v>
      </c>
      <c r="F3835" s="2">
        <v>60</v>
      </c>
      <c r="G3835" s="2" t="s">
        <v>8814</v>
      </c>
      <c r="H3835" s="2" t="s">
        <v>2622</v>
      </c>
      <c r="I3835" s="2" t="s">
        <v>294</v>
      </c>
      <c r="J3835" s="3">
        <v>44114</v>
      </c>
      <c r="K3835" s="5">
        <f>YEAR(OrganizedData[[#This Row],[Order Date]])</f>
        <v>2020</v>
      </c>
      <c r="L3835" s="7" t="str">
        <f>TEXT(OrganizedData[[#This Row],[Order Date]],"mmm")</f>
        <v>Oct</v>
      </c>
      <c r="M3835" s="2">
        <v>6</v>
      </c>
      <c r="N3835" s="2" t="s">
        <v>70</v>
      </c>
      <c r="O3835" s="2" t="str">
        <f>VLOOKUP(OrganizedData[[#This Row],[Product Code]],ProductData[[Code]:[Item]],2,FALSE)</f>
        <v>Megawidget M</v>
      </c>
      <c r="P3835" s="4">
        <f>OrganizedData[[#This Row],[Quantity]]*VLOOKUP(OrganizedData[[#This Row],[Product Code]],ProductData[],4,FALSE)</f>
        <v>144</v>
      </c>
      <c r="Q3835" s="6">
        <f>OrganizedData[[#This Row],[Total Items Ordered]]*VLOOKUP(OrganizedData[[#This Row],[Product Code]],ProductData[],3,FALSE)</f>
        <v>185.76</v>
      </c>
      <c r="R38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185.76</v>
      </c>
    </row>
    <row r="3836" spans="1:18" x14ac:dyDescent="0.3">
      <c r="A3836" s="2">
        <v>3829</v>
      </c>
      <c r="B3836" s="2" t="s">
        <v>4126</v>
      </c>
      <c r="C3836" s="2" t="s">
        <v>8347</v>
      </c>
      <c r="D3836" s="2" t="s">
        <v>28</v>
      </c>
      <c r="E3836" s="2" t="s">
        <v>29</v>
      </c>
      <c r="F3836" s="2">
        <v>90</v>
      </c>
      <c r="G3836" s="2" t="s">
        <v>8815</v>
      </c>
      <c r="H3836" s="2" t="s">
        <v>412</v>
      </c>
      <c r="I3836" s="2" t="s">
        <v>187</v>
      </c>
      <c r="J3836" s="3">
        <v>44774</v>
      </c>
      <c r="K3836" s="5">
        <f>YEAR(OrganizedData[[#This Row],[Order Date]])</f>
        <v>2022</v>
      </c>
      <c r="L3836" s="7" t="str">
        <f>TEXT(OrganizedData[[#This Row],[Order Date]],"mmm")</f>
        <v>Aug</v>
      </c>
      <c r="M3836" s="2">
        <v>25</v>
      </c>
      <c r="N3836" s="2" t="s">
        <v>101</v>
      </c>
      <c r="O3836" s="2" t="str">
        <f>VLOOKUP(OrganizedData[[#This Row],[Product Code]],ProductData[[Code]:[Item]],2,FALSE)</f>
        <v>Superwossname</v>
      </c>
      <c r="P3836" s="4">
        <f>OrganizedData[[#This Row],[Quantity]]*VLOOKUP(OrganizedData[[#This Row],[Product Code]],ProductData[],4,FALSE)</f>
        <v>500</v>
      </c>
      <c r="Q3836" s="6">
        <f>OrganizedData[[#This Row],[Total Items Ordered]]*VLOOKUP(OrganizedData[[#This Row],[Product Code]],ProductData[],3,FALSE)</f>
        <v>1745</v>
      </c>
      <c r="R38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3837" spans="1:18" x14ac:dyDescent="0.3">
      <c r="A3837" s="2">
        <v>3830</v>
      </c>
      <c r="B3837" s="2" t="s">
        <v>8816</v>
      </c>
      <c r="C3837" s="2" t="s">
        <v>2276</v>
      </c>
      <c r="D3837" s="2" t="s">
        <v>15</v>
      </c>
      <c r="E3837" s="2" t="s">
        <v>16</v>
      </c>
      <c r="F3837" s="2">
        <v>60</v>
      </c>
      <c r="G3837" s="2" t="s">
        <v>8815</v>
      </c>
      <c r="H3837" s="2" t="s">
        <v>655</v>
      </c>
      <c r="I3837" s="2" t="s">
        <v>32</v>
      </c>
      <c r="J3837" s="3">
        <v>43983</v>
      </c>
      <c r="K3837" s="5">
        <f>YEAR(OrganizedData[[#This Row],[Order Date]])</f>
        <v>2020</v>
      </c>
      <c r="L3837" s="7" t="str">
        <f>TEXT(OrganizedData[[#This Row],[Order Date]],"mmm")</f>
        <v>Jun</v>
      </c>
      <c r="M3837" s="2">
        <v>78</v>
      </c>
      <c r="N3837" s="2" t="s">
        <v>80</v>
      </c>
      <c r="O3837" s="2" t="str">
        <f>VLOOKUP(OrganizedData[[#This Row],[Product Code]],ProductData[[Code]:[Item]],2,FALSE)</f>
        <v>Ultrathing V2</v>
      </c>
      <c r="P3837" s="4">
        <f>OrganizedData[[#This Row],[Quantity]]*VLOOKUP(OrganizedData[[#This Row],[Product Code]],ProductData[],4,FALSE)</f>
        <v>1560</v>
      </c>
      <c r="Q3837" s="6">
        <f>OrganizedData[[#This Row],[Total Items Ordered]]*VLOOKUP(OrganizedData[[#This Row],[Product Code]],ProductData[],3,FALSE)</f>
        <v>4602</v>
      </c>
      <c r="R38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3838" spans="1:18" x14ac:dyDescent="0.3">
      <c r="A3838" s="2">
        <v>3831</v>
      </c>
      <c r="B3838" s="2" t="s">
        <v>8817</v>
      </c>
      <c r="C3838" s="2" t="s">
        <v>1488</v>
      </c>
      <c r="D3838" s="2" t="s">
        <v>28</v>
      </c>
      <c r="E3838" s="2" t="s">
        <v>29</v>
      </c>
      <c r="F3838" s="2">
        <v>30</v>
      </c>
      <c r="G3838" s="2" t="s">
        <v>8818</v>
      </c>
      <c r="H3838" s="2" t="s">
        <v>2250</v>
      </c>
      <c r="I3838" s="2" t="s">
        <v>187</v>
      </c>
      <c r="J3838" s="3">
        <v>44118</v>
      </c>
      <c r="K3838" s="5">
        <f>YEAR(OrganizedData[[#This Row],[Order Date]])</f>
        <v>2020</v>
      </c>
      <c r="L3838" s="7" t="str">
        <f>TEXT(OrganizedData[[#This Row],[Order Date]],"mmm")</f>
        <v>Oct</v>
      </c>
      <c r="M3838" s="2">
        <v>68</v>
      </c>
      <c r="N3838" s="2" t="s">
        <v>33</v>
      </c>
      <c r="O3838" s="2" t="str">
        <f>VLOOKUP(OrganizedData[[#This Row],[Product Code]],ProductData[[Code]:[Item]],2,FALSE)</f>
        <v>Megawidget L</v>
      </c>
      <c r="P3838" s="4">
        <f>OrganizedData[[#This Row],[Quantity]]*VLOOKUP(OrganizedData[[#This Row],[Product Code]],ProductData[],4,FALSE)</f>
        <v>1632</v>
      </c>
      <c r="Q3838" s="6">
        <f>OrganizedData[[#This Row],[Total Items Ordered]]*VLOOKUP(OrganizedData[[#This Row],[Product Code]],ProductData[],3,FALSE)</f>
        <v>2921.28</v>
      </c>
      <c r="R38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3839" spans="1:18" x14ac:dyDescent="0.3">
      <c r="A3839" s="2">
        <v>3832</v>
      </c>
      <c r="B3839" s="2" t="s">
        <v>1015</v>
      </c>
      <c r="C3839" s="2" t="s">
        <v>5330</v>
      </c>
      <c r="D3839" s="2" t="s">
        <v>28</v>
      </c>
      <c r="E3839" s="2" t="s">
        <v>29</v>
      </c>
      <c r="F3839" s="2">
        <v>60</v>
      </c>
      <c r="G3839" s="2" t="s">
        <v>8819</v>
      </c>
      <c r="H3839" s="2" t="s">
        <v>3396</v>
      </c>
      <c r="I3839" s="2" t="s">
        <v>32</v>
      </c>
      <c r="J3839" s="3">
        <v>44040</v>
      </c>
      <c r="K3839" s="5">
        <f>YEAR(OrganizedData[[#This Row],[Order Date]])</f>
        <v>2020</v>
      </c>
      <c r="L3839" s="7" t="str">
        <f>TEXT(OrganizedData[[#This Row],[Order Date]],"mmm")</f>
        <v>Jul</v>
      </c>
      <c r="M3839" s="2">
        <v>84</v>
      </c>
      <c r="N3839" s="2" t="s">
        <v>101</v>
      </c>
      <c r="O3839" s="2" t="str">
        <f>VLOOKUP(OrganizedData[[#This Row],[Product Code]],ProductData[[Code]:[Item]],2,FALSE)</f>
        <v>Superwossname</v>
      </c>
      <c r="P3839" s="4">
        <f>OrganizedData[[#This Row],[Quantity]]*VLOOKUP(OrganizedData[[#This Row],[Product Code]],ProductData[],4,FALSE)</f>
        <v>1680</v>
      </c>
      <c r="Q3839" s="6">
        <f>OrganizedData[[#This Row],[Total Items Ordered]]*VLOOKUP(OrganizedData[[#This Row],[Product Code]],ProductData[],3,FALSE)</f>
        <v>5863.2000000000007</v>
      </c>
      <c r="R38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5570.0400000000009</v>
      </c>
    </row>
    <row r="3840" spans="1:18" x14ac:dyDescent="0.3">
      <c r="A3840" s="2">
        <v>3833</v>
      </c>
      <c r="B3840" s="2" t="s">
        <v>960</v>
      </c>
      <c r="C3840" s="2" t="s">
        <v>391</v>
      </c>
      <c r="D3840" s="2" t="s">
        <v>28</v>
      </c>
      <c r="E3840" s="2" t="s">
        <v>29</v>
      </c>
      <c r="F3840" s="2">
        <v>30</v>
      </c>
      <c r="G3840" s="2" t="s">
        <v>8820</v>
      </c>
      <c r="H3840" s="2" t="s">
        <v>5736</v>
      </c>
      <c r="I3840" s="2" t="s">
        <v>95</v>
      </c>
      <c r="J3840" s="3">
        <v>44331</v>
      </c>
      <c r="K3840" s="5">
        <f>YEAR(OrganizedData[[#This Row],[Order Date]])</f>
        <v>2021</v>
      </c>
      <c r="L3840" s="7" t="str">
        <f>TEXT(OrganizedData[[#This Row],[Order Date]],"mmm")</f>
        <v>May</v>
      </c>
      <c r="M3840" s="2">
        <v>41</v>
      </c>
      <c r="N3840" s="2" t="s">
        <v>159</v>
      </c>
      <c r="O3840" s="2" t="str">
        <f>VLOOKUP(OrganizedData[[#This Row],[Product Code]],ProductData[[Code]:[Item]],2,FALSE)</f>
        <v>Ultrathing V3</v>
      </c>
      <c r="P3840" s="4">
        <f>OrganizedData[[#This Row],[Quantity]]*VLOOKUP(OrganizedData[[#This Row],[Product Code]],ProductData[],4,FALSE)</f>
        <v>984</v>
      </c>
      <c r="Q3840" s="6">
        <f>OrganizedData[[#This Row],[Total Items Ordered]]*VLOOKUP(OrganizedData[[#This Row],[Product Code]],ProductData[],3,FALSE)</f>
        <v>3335.76</v>
      </c>
      <c r="R38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3235.6872000000003</v>
      </c>
    </row>
    <row r="3841" spans="1:18" x14ac:dyDescent="0.3">
      <c r="A3841" s="2">
        <v>3834</v>
      </c>
      <c r="B3841" s="2" t="s">
        <v>707</v>
      </c>
      <c r="C3841" s="2" t="s">
        <v>1635</v>
      </c>
      <c r="D3841" s="2" t="s">
        <v>28</v>
      </c>
      <c r="E3841" s="2" t="s">
        <v>29</v>
      </c>
      <c r="F3841" s="2">
        <v>60</v>
      </c>
      <c r="G3841" s="2" t="s">
        <v>8820</v>
      </c>
      <c r="H3841" s="2" t="s">
        <v>5843</v>
      </c>
      <c r="I3841" s="2" t="s">
        <v>25</v>
      </c>
      <c r="J3841" s="3">
        <v>44732</v>
      </c>
      <c r="K3841" s="5">
        <f>YEAR(OrganizedData[[#This Row],[Order Date]])</f>
        <v>2022</v>
      </c>
      <c r="L3841" s="7" t="str">
        <f>TEXT(OrganizedData[[#This Row],[Order Date]],"mmm")</f>
        <v>Jun</v>
      </c>
      <c r="M3841" s="2">
        <v>36</v>
      </c>
      <c r="N3841" s="2" t="s">
        <v>64</v>
      </c>
      <c r="O3841" s="2" t="str">
        <f>VLOOKUP(OrganizedData[[#This Row],[Product Code]],ProductData[[Code]:[Item]],2,FALSE)</f>
        <v>Ultrathing V4</v>
      </c>
      <c r="P3841" s="4">
        <f>OrganizedData[[#This Row],[Quantity]]*VLOOKUP(OrganizedData[[#This Row],[Product Code]],ProductData[],4,FALSE)</f>
        <v>864</v>
      </c>
      <c r="Q3841" s="6">
        <f>OrganizedData[[#This Row],[Total Items Ordered]]*VLOOKUP(OrganizedData[[#This Row],[Product Code]],ProductData[],3,FALSE)</f>
        <v>3447.36</v>
      </c>
      <c r="R38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3343.9392000000003</v>
      </c>
    </row>
    <row r="3842" spans="1:18" x14ac:dyDescent="0.3">
      <c r="A3842" s="2">
        <v>3835</v>
      </c>
      <c r="B3842" s="2" t="s">
        <v>6295</v>
      </c>
      <c r="C3842" s="2" t="s">
        <v>588</v>
      </c>
      <c r="D3842" s="2" t="s">
        <v>28</v>
      </c>
      <c r="E3842" s="2" t="s">
        <v>29</v>
      </c>
      <c r="F3842" s="2">
        <v>30</v>
      </c>
      <c r="G3842" s="2" t="s">
        <v>8821</v>
      </c>
      <c r="H3842" s="2" t="s">
        <v>933</v>
      </c>
      <c r="I3842" s="2" t="s">
        <v>934</v>
      </c>
      <c r="J3842" s="3">
        <v>44598</v>
      </c>
      <c r="K3842" s="5">
        <f>YEAR(OrganizedData[[#This Row],[Order Date]])</f>
        <v>2022</v>
      </c>
      <c r="L3842" s="7" t="str">
        <f>TEXT(OrganizedData[[#This Row],[Order Date]],"mmm")</f>
        <v>Feb</v>
      </c>
      <c r="M3842" s="2">
        <v>22</v>
      </c>
      <c r="N3842" s="2" t="s">
        <v>54</v>
      </c>
      <c r="O3842" s="2" t="str">
        <f>VLOOKUP(OrganizedData[[#This Row],[Product Code]],ProductData[[Code]:[Item]],2,FALSE)</f>
        <v>Megawidget S</v>
      </c>
      <c r="P3842" s="4">
        <f>OrganizedData[[#This Row],[Quantity]]*VLOOKUP(OrganizedData[[#This Row],[Product Code]],ProductData[],4,FALSE)</f>
        <v>528</v>
      </c>
      <c r="Q3842" s="6">
        <f>OrganizedData[[#This Row],[Total Items Ordered]]*VLOOKUP(OrganizedData[[#This Row],[Product Code]],ProductData[],3,FALSE)</f>
        <v>364.32</v>
      </c>
      <c r="R38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353.3904</v>
      </c>
    </row>
    <row r="3843" spans="1:18" x14ac:dyDescent="0.3">
      <c r="A3843" s="2">
        <v>3836</v>
      </c>
      <c r="B3843" s="2" t="s">
        <v>8822</v>
      </c>
      <c r="C3843" s="2" t="s">
        <v>1137</v>
      </c>
      <c r="D3843" s="2" t="s">
        <v>15</v>
      </c>
      <c r="E3843" s="2" t="s">
        <v>16</v>
      </c>
      <c r="F3843" s="2">
        <v>60</v>
      </c>
      <c r="G3843" s="2" t="s">
        <v>8823</v>
      </c>
      <c r="H3843" s="2" t="s">
        <v>8824</v>
      </c>
      <c r="I3843" s="2" t="s">
        <v>3898</v>
      </c>
      <c r="J3843" s="3">
        <v>44805</v>
      </c>
      <c r="K3843" s="5">
        <f>YEAR(OrganizedData[[#This Row],[Order Date]])</f>
        <v>2022</v>
      </c>
      <c r="L3843" s="7" t="str">
        <f>TEXT(OrganizedData[[#This Row],[Order Date]],"mmm")</f>
        <v>Sep</v>
      </c>
      <c r="M3843" s="2">
        <v>45</v>
      </c>
      <c r="N3843" s="2" t="s">
        <v>101</v>
      </c>
      <c r="O3843" s="2" t="str">
        <f>VLOOKUP(OrganizedData[[#This Row],[Product Code]],ProductData[[Code]:[Item]],2,FALSE)</f>
        <v>Superwossname</v>
      </c>
      <c r="P3843" s="4">
        <f>OrganizedData[[#This Row],[Quantity]]*VLOOKUP(OrganizedData[[#This Row],[Product Code]],ProductData[],4,FALSE)</f>
        <v>900</v>
      </c>
      <c r="Q3843" s="6">
        <f>OrganizedData[[#This Row],[Total Items Ordered]]*VLOOKUP(OrganizedData[[#This Row],[Product Code]],ProductData[],3,FALSE)</f>
        <v>3141</v>
      </c>
      <c r="R38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3046.77</v>
      </c>
    </row>
    <row r="3844" spans="1:18" x14ac:dyDescent="0.3">
      <c r="A3844" s="2">
        <v>3837</v>
      </c>
      <c r="B3844" s="2" t="s">
        <v>8825</v>
      </c>
      <c r="C3844" s="2" t="s">
        <v>1058</v>
      </c>
      <c r="D3844" s="2" t="s">
        <v>15</v>
      </c>
      <c r="E3844" s="2" t="s">
        <v>16</v>
      </c>
      <c r="F3844" s="2">
        <v>30</v>
      </c>
      <c r="G3844" s="2" t="s">
        <v>8826</v>
      </c>
      <c r="H3844" s="2" t="s">
        <v>203</v>
      </c>
      <c r="I3844" s="2" t="s">
        <v>32</v>
      </c>
      <c r="J3844" s="3">
        <v>44280</v>
      </c>
      <c r="K3844" s="5">
        <f>YEAR(OrganizedData[[#This Row],[Order Date]])</f>
        <v>2021</v>
      </c>
      <c r="L3844" s="7" t="str">
        <f>TEXT(OrganizedData[[#This Row],[Order Date]],"mmm")</f>
        <v>Mar</v>
      </c>
      <c r="M3844" s="2">
        <v>32</v>
      </c>
      <c r="N3844" s="2" t="s">
        <v>33</v>
      </c>
      <c r="O3844" s="2" t="str">
        <f>VLOOKUP(OrganizedData[[#This Row],[Product Code]],ProductData[[Code]:[Item]],2,FALSE)</f>
        <v>Megawidget L</v>
      </c>
      <c r="P3844" s="4">
        <f>OrganizedData[[#This Row],[Quantity]]*VLOOKUP(OrganizedData[[#This Row],[Product Code]],ProductData[],4,FALSE)</f>
        <v>768</v>
      </c>
      <c r="Q3844" s="6">
        <f>OrganizedData[[#This Row],[Total Items Ordered]]*VLOOKUP(OrganizedData[[#This Row],[Product Code]],ProductData[],3,FALSE)</f>
        <v>1374.72</v>
      </c>
      <c r="R38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1333.4784</v>
      </c>
    </row>
    <row r="3845" spans="1:18" x14ac:dyDescent="0.3">
      <c r="A3845" s="2">
        <v>3838</v>
      </c>
      <c r="B3845" s="2" t="s">
        <v>8827</v>
      </c>
      <c r="C3845" s="2" t="s">
        <v>3591</v>
      </c>
      <c r="D3845" s="2" t="s">
        <v>51</v>
      </c>
      <c r="E3845" s="2" t="s">
        <v>16</v>
      </c>
      <c r="F3845" s="2">
        <v>60</v>
      </c>
      <c r="G3845" s="2" t="s">
        <v>8828</v>
      </c>
      <c r="H3845" s="2" t="s">
        <v>1224</v>
      </c>
      <c r="I3845" s="2" t="s">
        <v>25</v>
      </c>
      <c r="J3845" s="3">
        <v>44891</v>
      </c>
      <c r="K3845" s="5">
        <f>YEAR(OrganizedData[[#This Row],[Order Date]])</f>
        <v>2022</v>
      </c>
      <c r="L3845" s="7" t="str">
        <f>TEXT(OrganizedData[[#This Row],[Order Date]],"mmm")</f>
        <v>Nov</v>
      </c>
      <c r="M3845" s="2">
        <v>22</v>
      </c>
      <c r="N3845" s="2" t="s">
        <v>20</v>
      </c>
      <c r="O3845" s="2" t="str">
        <f>VLOOKUP(OrganizedData[[#This Row],[Product Code]],ProductData[[Code]:[Item]],2,FALSE)</f>
        <v>Hyperwotsit</v>
      </c>
      <c r="P3845" s="4">
        <f>OrganizedData[[#This Row],[Quantity]]*VLOOKUP(OrganizedData[[#This Row],[Product Code]],ProductData[],4,FALSE)</f>
        <v>440</v>
      </c>
      <c r="Q3845" s="6">
        <f>OrganizedData[[#This Row],[Total Items Ordered]]*VLOOKUP(OrganizedData[[#This Row],[Product Code]],ProductData[],3,FALSE)</f>
        <v>884.39999999999986</v>
      </c>
      <c r="R38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857.86799999999982</v>
      </c>
    </row>
    <row r="3846" spans="1:18" x14ac:dyDescent="0.3">
      <c r="A3846" s="2">
        <v>3839</v>
      </c>
      <c r="B3846" s="2" t="s">
        <v>1319</v>
      </c>
      <c r="C3846" s="2" t="s">
        <v>4168</v>
      </c>
      <c r="D3846" s="2" t="s">
        <v>41</v>
      </c>
      <c r="E3846" s="2" t="s">
        <v>16</v>
      </c>
      <c r="F3846" s="2">
        <v>60</v>
      </c>
      <c r="G3846" s="2" t="s">
        <v>8829</v>
      </c>
      <c r="H3846" s="2" t="s">
        <v>920</v>
      </c>
      <c r="I3846" s="2" t="s">
        <v>178</v>
      </c>
      <c r="J3846" s="3">
        <v>44242</v>
      </c>
      <c r="K3846" s="5">
        <f>YEAR(OrganizedData[[#This Row],[Order Date]])</f>
        <v>2021</v>
      </c>
      <c r="L3846" s="7" t="str">
        <f>TEXT(OrganizedData[[#This Row],[Order Date]],"mmm")</f>
        <v>Feb</v>
      </c>
      <c r="M3846" s="2">
        <v>83</v>
      </c>
      <c r="N3846" s="2" t="s">
        <v>159</v>
      </c>
      <c r="O3846" s="2" t="str">
        <f>VLOOKUP(OrganizedData[[#This Row],[Product Code]],ProductData[[Code]:[Item]],2,FALSE)</f>
        <v>Ultrathing V3</v>
      </c>
      <c r="P3846" s="4">
        <f>OrganizedData[[#This Row],[Quantity]]*VLOOKUP(OrganizedData[[#This Row],[Product Code]],ProductData[],4,FALSE)</f>
        <v>1992</v>
      </c>
      <c r="Q3846" s="6">
        <f>OrganizedData[[#This Row],[Total Items Ordered]]*VLOOKUP(OrganizedData[[#This Row],[Product Code]],ProductData[],3,FALSE)</f>
        <v>6752.88</v>
      </c>
      <c r="R38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6415.2359999999999</v>
      </c>
    </row>
    <row r="3847" spans="1:18" x14ac:dyDescent="0.3">
      <c r="A3847" s="2">
        <v>3840</v>
      </c>
      <c r="B3847" s="2" t="s">
        <v>5990</v>
      </c>
      <c r="C3847" s="2" t="s">
        <v>1030</v>
      </c>
      <c r="D3847" s="2" t="s">
        <v>28</v>
      </c>
      <c r="E3847" s="2" t="s">
        <v>29</v>
      </c>
      <c r="F3847" s="2">
        <v>60</v>
      </c>
      <c r="G3847" s="2" t="s">
        <v>8830</v>
      </c>
      <c r="H3847" s="2" t="s">
        <v>3449</v>
      </c>
      <c r="I3847" s="2" t="s">
        <v>187</v>
      </c>
      <c r="J3847" s="3">
        <v>44282</v>
      </c>
      <c r="K3847" s="5">
        <f>YEAR(OrganizedData[[#This Row],[Order Date]])</f>
        <v>2021</v>
      </c>
      <c r="L3847" s="7" t="str">
        <f>TEXT(OrganizedData[[#This Row],[Order Date]],"mmm")</f>
        <v>Mar</v>
      </c>
      <c r="M3847" s="2">
        <v>9</v>
      </c>
      <c r="N3847" s="2" t="s">
        <v>33</v>
      </c>
      <c r="O3847" s="2" t="str">
        <f>VLOOKUP(OrganizedData[[#This Row],[Product Code]],ProductData[[Code]:[Item]],2,FALSE)</f>
        <v>Megawidget L</v>
      </c>
      <c r="P3847" s="4">
        <f>OrganizedData[[#This Row],[Quantity]]*VLOOKUP(OrganizedData[[#This Row],[Product Code]],ProductData[],4,FALSE)</f>
        <v>216</v>
      </c>
      <c r="Q3847" s="6">
        <f>OrganizedData[[#This Row],[Total Items Ordered]]*VLOOKUP(OrganizedData[[#This Row],[Product Code]],ProductData[],3,FALSE)</f>
        <v>386.64</v>
      </c>
      <c r="R38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386.64</v>
      </c>
    </row>
    <row r="3848" spans="1:18" x14ac:dyDescent="0.3">
      <c r="A3848" s="2">
        <v>3841</v>
      </c>
      <c r="B3848" s="2" t="s">
        <v>8831</v>
      </c>
      <c r="C3848" s="2" t="s">
        <v>5526</v>
      </c>
      <c r="D3848" s="2" t="s">
        <v>51</v>
      </c>
      <c r="E3848" s="2" t="s">
        <v>16</v>
      </c>
      <c r="F3848" s="2">
        <v>60</v>
      </c>
      <c r="G3848" s="2" t="s">
        <v>8832</v>
      </c>
      <c r="H3848" s="2" t="s">
        <v>3053</v>
      </c>
      <c r="I3848" s="2" t="s">
        <v>32</v>
      </c>
      <c r="J3848" s="3">
        <v>44739</v>
      </c>
      <c r="K3848" s="5">
        <f>YEAR(OrganizedData[[#This Row],[Order Date]])</f>
        <v>2022</v>
      </c>
      <c r="L3848" s="7" t="str">
        <f>TEXT(OrganizedData[[#This Row],[Order Date]],"mmm")</f>
        <v>Jun</v>
      </c>
      <c r="M3848" s="2">
        <v>55</v>
      </c>
      <c r="N3848" s="2" t="s">
        <v>33</v>
      </c>
      <c r="O3848" s="2" t="str">
        <f>VLOOKUP(OrganizedData[[#This Row],[Product Code]],ProductData[[Code]:[Item]],2,FALSE)</f>
        <v>Megawidget L</v>
      </c>
      <c r="P3848" s="4">
        <f>OrganizedData[[#This Row],[Quantity]]*VLOOKUP(OrganizedData[[#This Row],[Product Code]],ProductData[],4,FALSE)</f>
        <v>1320</v>
      </c>
      <c r="Q3848" s="6">
        <f>OrganizedData[[#This Row],[Total Items Ordered]]*VLOOKUP(OrganizedData[[#This Row],[Product Code]],ProductData[],3,FALSE)</f>
        <v>2362.8000000000002</v>
      </c>
      <c r="R38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2244.66</v>
      </c>
    </row>
    <row r="3849" spans="1:18" x14ac:dyDescent="0.3">
      <c r="A3849" s="2">
        <v>3842</v>
      </c>
      <c r="B3849" s="2" t="s">
        <v>8766</v>
      </c>
      <c r="C3849" s="2" t="s">
        <v>5383</v>
      </c>
      <c r="D3849" s="2" t="s">
        <v>28</v>
      </c>
      <c r="E3849" s="2" t="s">
        <v>29</v>
      </c>
      <c r="F3849" s="2">
        <v>60</v>
      </c>
      <c r="G3849" s="2" t="s">
        <v>8833</v>
      </c>
      <c r="H3849" s="2" t="s">
        <v>2542</v>
      </c>
      <c r="I3849" s="2" t="s">
        <v>2543</v>
      </c>
      <c r="J3849" s="3">
        <v>44493</v>
      </c>
      <c r="K3849" s="5">
        <f>YEAR(OrganizedData[[#This Row],[Order Date]])</f>
        <v>2021</v>
      </c>
      <c r="L3849" s="7" t="str">
        <f>TEXT(OrganizedData[[#This Row],[Order Date]],"mmm")</f>
        <v>Oct</v>
      </c>
      <c r="M3849" s="2">
        <v>4</v>
      </c>
      <c r="N3849" s="2" t="s">
        <v>33</v>
      </c>
      <c r="O3849" s="2" t="str">
        <f>VLOOKUP(OrganizedData[[#This Row],[Product Code]],ProductData[[Code]:[Item]],2,FALSE)</f>
        <v>Megawidget L</v>
      </c>
      <c r="P3849" s="4">
        <f>OrganizedData[[#This Row],[Quantity]]*VLOOKUP(OrganizedData[[#This Row],[Product Code]],ProductData[],4,FALSE)</f>
        <v>96</v>
      </c>
      <c r="Q3849" s="6">
        <f>OrganizedData[[#This Row],[Total Items Ordered]]*VLOOKUP(OrganizedData[[#This Row],[Product Code]],ProductData[],3,FALSE)</f>
        <v>171.84</v>
      </c>
      <c r="R38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171.84</v>
      </c>
    </row>
    <row r="3850" spans="1:18" x14ac:dyDescent="0.3">
      <c r="A3850" s="2">
        <v>3843</v>
      </c>
      <c r="B3850" s="2" t="s">
        <v>8834</v>
      </c>
      <c r="C3850" s="2" t="s">
        <v>3706</v>
      </c>
      <c r="D3850" s="2" t="s">
        <v>51</v>
      </c>
      <c r="E3850" s="2" t="s">
        <v>16</v>
      </c>
      <c r="F3850" s="2">
        <v>90</v>
      </c>
      <c r="G3850" s="2" t="s">
        <v>8835</v>
      </c>
      <c r="H3850" s="2" t="s">
        <v>3699</v>
      </c>
      <c r="I3850" s="2" t="s">
        <v>2983</v>
      </c>
      <c r="J3850" s="3">
        <v>44571</v>
      </c>
      <c r="K3850" s="5">
        <f>YEAR(OrganizedData[[#This Row],[Order Date]])</f>
        <v>2022</v>
      </c>
      <c r="L3850" s="7" t="str">
        <f>TEXT(OrganizedData[[#This Row],[Order Date]],"mmm")</f>
        <v>Jan</v>
      </c>
      <c r="M3850" s="2">
        <v>62</v>
      </c>
      <c r="N3850" s="2" t="s">
        <v>39</v>
      </c>
      <c r="O3850" s="2" t="str">
        <f>VLOOKUP(OrganizedData[[#This Row],[Product Code]],ProductData[[Code]:[Item]],2,FALSE)</f>
        <v>Ultrathing V1</v>
      </c>
      <c r="P3850" s="4">
        <f>OrganizedData[[#This Row],[Quantity]]*VLOOKUP(OrganizedData[[#This Row],[Product Code]],ProductData[],4,FALSE)</f>
        <v>1054</v>
      </c>
      <c r="Q3850" s="6">
        <f>OrganizedData[[#This Row],[Total Items Ordered]]*VLOOKUP(OrganizedData[[#This Row],[Product Code]],ProductData[],3,FALSE)</f>
        <v>1886.66</v>
      </c>
      <c r="R38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1792.327</v>
      </c>
    </row>
    <row r="3851" spans="1:18" x14ac:dyDescent="0.3">
      <c r="A3851" s="2">
        <v>3844</v>
      </c>
      <c r="B3851" s="2" t="s">
        <v>7709</v>
      </c>
      <c r="C3851" s="2" t="s">
        <v>8836</v>
      </c>
      <c r="D3851" s="2" t="s">
        <v>28</v>
      </c>
      <c r="E3851" s="2" t="s">
        <v>29</v>
      </c>
      <c r="F3851" s="2">
        <v>30</v>
      </c>
      <c r="G3851" s="2" t="s">
        <v>8837</v>
      </c>
      <c r="H3851" s="2" t="s">
        <v>2121</v>
      </c>
      <c r="I3851" s="2" t="s">
        <v>38</v>
      </c>
      <c r="J3851" s="3">
        <v>44434</v>
      </c>
      <c r="K3851" s="5">
        <f>YEAR(OrganizedData[[#This Row],[Order Date]])</f>
        <v>2021</v>
      </c>
      <c r="L3851" s="7" t="str">
        <f>TEXT(OrganizedData[[#This Row],[Order Date]],"mmm")</f>
        <v>Aug</v>
      </c>
      <c r="M3851" s="2">
        <v>74</v>
      </c>
      <c r="N3851" s="2" t="s">
        <v>33</v>
      </c>
      <c r="O3851" s="2" t="str">
        <f>VLOOKUP(OrganizedData[[#This Row],[Product Code]],ProductData[[Code]:[Item]],2,FALSE)</f>
        <v>Megawidget L</v>
      </c>
      <c r="P3851" s="4">
        <f>OrganizedData[[#This Row],[Quantity]]*VLOOKUP(OrganizedData[[#This Row],[Product Code]],ProductData[],4,FALSE)</f>
        <v>1776</v>
      </c>
      <c r="Q3851" s="6">
        <f>OrganizedData[[#This Row],[Total Items Ordered]]*VLOOKUP(OrganizedData[[#This Row],[Product Code]],ProductData[],3,FALSE)</f>
        <v>3179.04</v>
      </c>
      <c r="R38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3852" spans="1:18" x14ac:dyDescent="0.3">
      <c r="A3852" s="2">
        <v>3845</v>
      </c>
      <c r="B3852" s="2" t="s">
        <v>929</v>
      </c>
      <c r="C3852" s="2" t="s">
        <v>4410</v>
      </c>
      <c r="D3852" s="2" t="s">
        <v>28</v>
      </c>
      <c r="E3852" s="2" t="s">
        <v>29</v>
      </c>
      <c r="F3852" s="2">
        <v>90</v>
      </c>
      <c r="G3852" s="2" t="s">
        <v>8838</v>
      </c>
      <c r="H3852" s="2" t="s">
        <v>6087</v>
      </c>
      <c r="I3852" s="2" t="s">
        <v>124</v>
      </c>
      <c r="J3852" s="3">
        <v>43912</v>
      </c>
      <c r="K3852" s="5">
        <f>YEAR(OrganizedData[[#This Row],[Order Date]])</f>
        <v>2020</v>
      </c>
      <c r="L3852" s="7" t="str">
        <f>TEXT(OrganizedData[[#This Row],[Order Date]],"mmm")</f>
        <v>Mar</v>
      </c>
      <c r="M3852" s="2">
        <v>78</v>
      </c>
      <c r="N3852" s="2" t="s">
        <v>159</v>
      </c>
      <c r="O3852" s="2" t="str">
        <f>VLOOKUP(OrganizedData[[#This Row],[Product Code]],ProductData[[Code]:[Item]],2,FALSE)</f>
        <v>Ultrathing V3</v>
      </c>
      <c r="P3852" s="4">
        <f>OrganizedData[[#This Row],[Quantity]]*VLOOKUP(OrganizedData[[#This Row],[Product Code]],ProductData[],4,FALSE)</f>
        <v>1872</v>
      </c>
      <c r="Q3852" s="6">
        <f>OrganizedData[[#This Row],[Total Items Ordered]]*VLOOKUP(OrganizedData[[#This Row],[Product Code]],ProductData[],3,FALSE)</f>
        <v>6346.08</v>
      </c>
      <c r="R38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3853" spans="1:18" x14ac:dyDescent="0.3">
      <c r="A3853" s="2">
        <v>3846</v>
      </c>
      <c r="B3853" s="2" t="s">
        <v>922</v>
      </c>
      <c r="C3853" s="2" t="s">
        <v>2154</v>
      </c>
      <c r="D3853" s="2" t="s">
        <v>28</v>
      </c>
      <c r="E3853" s="2" t="s">
        <v>29</v>
      </c>
      <c r="F3853" s="2">
        <v>60</v>
      </c>
      <c r="G3853" s="2" t="s">
        <v>8839</v>
      </c>
      <c r="H3853" s="2" t="s">
        <v>6516</v>
      </c>
      <c r="I3853" s="2" t="s">
        <v>32</v>
      </c>
      <c r="J3853" s="3">
        <v>44637</v>
      </c>
      <c r="K3853" s="5">
        <f>YEAR(OrganizedData[[#This Row],[Order Date]])</f>
        <v>2022</v>
      </c>
      <c r="L3853" s="7" t="str">
        <f>TEXT(OrganizedData[[#This Row],[Order Date]],"mmm")</f>
        <v>Mar</v>
      </c>
      <c r="M3853" s="2">
        <v>48</v>
      </c>
      <c r="N3853" s="2" t="s">
        <v>80</v>
      </c>
      <c r="O3853" s="2" t="str">
        <f>VLOOKUP(OrganizedData[[#This Row],[Product Code]],ProductData[[Code]:[Item]],2,FALSE)</f>
        <v>Ultrathing V2</v>
      </c>
      <c r="P3853" s="4">
        <f>OrganizedData[[#This Row],[Quantity]]*VLOOKUP(OrganizedData[[#This Row],[Product Code]],ProductData[],4,FALSE)</f>
        <v>960</v>
      </c>
      <c r="Q3853" s="6">
        <f>OrganizedData[[#This Row],[Total Items Ordered]]*VLOOKUP(OrganizedData[[#This Row],[Product Code]],ProductData[],3,FALSE)</f>
        <v>2832</v>
      </c>
      <c r="R38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2747.04</v>
      </c>
    </row>
    <row r="3854" spans="1:18" x14ac:dyDescent="0.3">
      <c r="A3854" s="2">
        <v>3847</v>
      </c>
      <c r="B3854" s="2" t="s">
        <v>8203</v>
      </c>
      <c r="C3854" s="2" t="s">
        <v>2019</v>
      </c>
      <c r="D3854" s="2" t="s">
        <v>28</v>
      </c>
      <c r="E3854" s="2" t="s">
        <v>29</v>
      </c>
      <c r="F3854" s="2">
        <v>30</v>
      </c>
      <c r="G3854" s="2" t="s">
        <v>8840</v>
      </c>
      <c r="H3854" s="2" t="s">
        <v>3987</v>
      </c>
      <c r="I3854" s="2" t="s">
        <v>554</v>
      </c>
      <c r="J3854" s="3">
        <v>43923</v>
      </c>
      <c r="K3854" s="5">
        <f>YEAR(OrganizedData[[#This Row],[Order Date]])</f>
        <v>2020</v>
      </c>
      <c r="L3854" s="7" t="str">
        <f>TEXT(OrganizedData[[#This Row],[Order Date]],"mmm")</f>
        <v>Apr</v>
      </c>
      <c r="M3854" s="2">
        <v>7</v>
      </c>
      <c r="N3854" s="2" t="s">
        <v>33</v>
      </c>
      <c r="O3854" s="2" t="str">
        <f>VLOOKUP(OrganizedData[[#This Row],[Product Code]],ProductData[[Code]:[Item]],2,FALSE)</f>
        <v>Megawidget L</v>
      </c>
      <c r="P3854" s="4">
        <f>OrganizedData[[#This Row],[Quantity]]*VLOOKUP(OrganizedData[[#This Row],[Product Code]],ProductData[],4,FALSE)</f>
        <v>168</v>
      </c>
      <c r="Q3854" s="6">
        <f>OrganizedData[[#This Row],[Total Items Ordered]]*VLOOKUP(OrganizedData[[#This Row],[Product Code]],ProductData[],3,FALSE)</f>
        <v>300.72000000000003</v>
      </c>
      <c r="R38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3855" spans="1:18" x14ac:dyDescent="0.3">
      <c r="A3855" s="2">
        <v>3848</v>
      </c>
      <c r="B3855" s="2" t="s">
        <v>8841</v>
      </c>
      <c r="C3855" s="2" t="s">
        <v>6449</v>
      </c>
      <c r="D3855" s="2" t="s">
        <v>51</v>
      </c>
      <c r="E3855" s="2" t="s">
        <v>16</v>
      </c>
      <c r="F3855" s="2">
        <v>30</v>
      </c>
      <c r="G3855" s="2" t="s">
        <v>8840</v>
      </c>
      <c r="H3855" s="2" t="s">
        <v>6202</v>
      </c>
      <c r="I3855" s="2" t="s">
        <v>294</v>
      </c>
      <c r="J3855" s="3">
        <v>44162</v>
      </c>
      <c r="K3855" s="5">
        <f>YEAR(OrganizedData[[#This Row],[Order Date]])</f>
        <v>2020</v>
      </c>
      <c r="L3855" s="7" t="str">
        <f>TEXT(OrganizedData[[#This Row],[Order Date]],"mmm")</f>
        <v>Nov</v>
      </c>
      <c r="M3855" s="2">
        <v>40</v>
      </c>
      <c r="N3855" s="2" t="s">
        <v>70</v>
      </c>
      <c r="O3855" s="2" t="str">
        <f>VLOOKUP(OrganizedData[[#This Row],[Product Code]],ProductData[[Code]:[Item]],2,FALSE)</f>
        <v>Megawidget M</v>
      </c>
      <c r="P3855" s="4">
        <f>OrganizedData[[#This Row],[Quantity]]*VLOOKUP(OrganizedData[[#This Row],[Product Code]],ProductData[],4,FALSE)</f>
        <v>960</v>
      </c>
      <c r="Q3855" s="6">
        <f>OrganizedData[[#This Row],[Total Items Ordered]]*VLOOKUP(OrganizedData[[#This Row],[Product Code]],ProductData[],3,FALSE)</f>
        <v>1238.4000000000001</v>
      </c>
      <c r="R38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1201.248</v>
      </c>
    </row>
    <row r="3856" spans="1:18" x14ac:dyDescent="0.3">
      <c r="A3856" s="2">
        <v>3849</v>
      </c>
      <c r="B3856" s="2" t="s">
        <v>8842</v>
      </c>
      <c r="C3856" s="2" t="s">
        <v>5668</v>
      </c>
      <c r="D3856" s="2" t="s">
        <v>15</v>
      </c>
      <c r="E3856" s="2" t="s">
        <v>16</v>
      </c>
      <c r="F3856" s="2">
        <v>60</v>
      </c>
      <c r="G3856" s="2" t="s">
        <v>8843</v>
      </c>
      <c r="H3856" s="2" t="s">
        <v>619</v>
      </c>
      <c r="I3856" s="2" t="s">
        <v>187</v>
      </c>
      <c r="J3856" s="3">
        <v>44497</v>
      </c>
      <c r="K3856" s="5">
        <f>YEAR(OrganizedData[[#This Row],[Order Date]])</f>
        <v>2021</v>
      </c>
      <c r="L3856" s="7" t="str">
        <f>TEXT(OrganizedData[[#This Row],[Order Date]],"mmm")</f>
        <v>Oct</v>
      </c>
      <c r="M3856" s="2">
        <v>34</v>
      </c>
      <c r="N3856" s="2" t="s">
        <v>159</v>
      </c>
      <c r="O3856" s="2" t="str">
        <f>VLOOKUP(OrganizedData[[#This Row],[Product Code]],ProductData[[Code]:[Item]],2,FALSE)</f>
        <v>Ultrathing V3</v>
      </c>
      <c r="P3856" s="4">
        <f>OrganizedData[[#This Row],[Quantity]]*VLOOKUP(OrganizedData[[#This Row],[Product Code]],ProductData[],4,FALSE)</f>
        <v>816</v>
      </c>
      <c r="Q3856" s="6">
        <f>OrganizedData[[#This Row],[Total Items Ordered]]*VLOOKUP(OrganizedData[[#This Row],[Product Code]],ProductData[],3,FALSE)</f>
        <v>2766.2400000000002</v>
      </c>
      <c r="R38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2683.2528000000002</v>
      </c>
    </row>
    <row r="3857" spans="1:18" x14ac:dyDescent="0.3">
      <c r="A3857" s="2">
        <v>3850</v>
      </c>
      <c r="B3857" s="2" t="s">
        <v>1591</v>
      </c>
      <c r="C3857" s="2" t="s">
        <v>367</v>
      </c>
      <c r="D3857" s="2" t="s">
        <v>28</v>
      </c>
      <c r="E3857" s="2" t="s">
        <v>29</v>
      </c>
      <c r="F3857" s="2">
        <v>90</v>
      </c>
      <c r="G3857" s="2" t="s">
        <v>8844</v>
      </c>
      <c r="H3857" s="2" t="s">
        <v>2336</v>
      </c>
      <c r="I3857" s="2" t="s">
        <v>32</v>
      </c>
      <c r="J3857" s="3">
        <v>44436</v>
      </c>
      <c r="K3857" s="5">
        <f>YEAR(OrganizedData[[#This Row],[Order Date]])</f>
        <v>2021</v>
      </c>
      <c r="L3857" s="7" t="str">
        <f>TEXT(OrganizedData[[#This Row],[Order Date]],"mmm")</f>
        <v>Aug</v>
      </c>
      <c r="M3857" s="2">
        <v>92</v>
      </c>
      <c r="N3857" s="2" t="s">
        <v>159</v>
      </c>
      <c r="O3857" s="2" t="str">
        <f>VLOOKUP(OrganizedData[[#This Row],[Product Code]],ProductData[[Code]:[Item]],2,FALSE)</f>
        <v>Ultrathing V3</v>
      </c>
      <c r="P3857" s="4">
        <f>OrganizedData[[#This Row],[Quantity]]*VLOOKUP(OrganizedData[[#This Row],[Product Code]],ProductData[],4,FALSE)</f>
        <v>2208</v>
      </c>
      <c r="Q3857" s="6">
        <f>OrganizedData[[#This Row],[Total Items Ordered]]*VLOOKUP(OrganizedData[[#This Row],[Product Code]],ProductData[],3,FALSE)</f>
        <v>7485.12</v>
      </c>
      <c r="R38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7110.8639999999996</v>
      </c>
    </row>
    <row r="3858" spans="1:18" x14ac:dyDescent="0.3">
      <c r="A3858" s="2">
        <v>3851</v>
      </c>
      <c r="B3858" s="2" t="s">
        <v>8845</v>
      </c>
      <c r="C3858" s="2" t="s">
        <v>4558</v>
      </c>
      <c r="D3858" s="2" t="s">
        <v>41</v>
      </c>
      <c r="E3858" s="2" t="s">
        <v>16</v>
      </c>
      <c r="F3858" s="2">
        <v>90</v>
      </c>
      <c r="G3858" s="2" t="s">
        <v>8846</v>
      </c>
      <c r="H3858" s="2" t="s">
        <v>3399</v>
      </c>
      <c r="I3858" s="2" t="s">
        <v>124</v>
      </c>
      <c r="J3858" s="3">
        <v>44115</v>
      </c>
      <c r="K3858" s="5">
        <f>YEAR(OrganizedData[[#This Row],[Order Date]])</f>
        <v>2020</v>
      </c>
      <c r="L3858" s="7" t="str">
        <f>TEXT(OrganizedData[[#This Row],[Order Date]],"mmm")</f>
        <v>Oct</v>
      </c>
      <c r="M3858" s="2">
        <v>10</v>
      </c>
      <c r="N3858" s="2" t="s">
        <v>45</v>
      </c>
      <c r="O3858" s="2" t="str">
        <f>VLOOKUP(OrganizedData[[#This Row],[Product Code]],ProductData[[Code]:[Item]],2,FALSE)</f>
        <v>Gigastuff</v>
      </c>
      <c r="P3858" s="4">
        <f>OrganizedData[[#This Row],[Quantity]]*VLOOKUP(OrganizedData[[#This Row],[Product Code]],ProductData[],4,FALSE)</f>
        <v>180</v>
      </c>
      <c r="Q3858" s="6">
        <f>OrganizedData[[#This Row],[Total Items Ordered]]*VLOOKUP(OrganizedData[[#This Row],[Product Code]],ProductData[],3,FALSE)</f>
        <v>340.2</v>
      </c>
      <c r="R38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3859" spans="1:18" x14ac:dyDescent="0.3">
      <c r="A3859" s="2">
        <v>3852</v>
      </c>
      <c r="B3859" s="2" t="s">
        <v>8847</v>
      </c>
      <c r="C3859" s="2" t="s">
        <v>8848</v>
      </c>
      <c r="D3859" s="2" t="s">
        <v>51</v>
      </c>
      <c r="E3859" s="2" t="s">
        <v>16</v>
      </c>
      <c r="F3859" s="2">
        <v>60</v>
      </c>
      <c r="G3859" s="2" t="s">
        <v>8849</v>
      </c>
      <c r="H3859" s="2" t="s">
        <v>4299</v>
      </c>
      <c r="I3859" s="2" t="s">
        <v>32</v>
      </c>
      <c r="J3859" s="3">
        <v>44908</v>
      </c>
      <c r="K3859" s="5">
        <f>YEAR(OrganizedData[[#This Row],[Order Date]])</f>
        <v>2022</v>
      </c>
      <c r="L3859" s="7" t="str">
        <f>TEXT(OrganizedData[[#This Row],[Order Date]],"mmm")</f>
        <v>Dec</v>
      </c>
      <c r="M3859" s="2">
        <v>20</v>
      </c>
      <c r="N3859" s="2" t="s">
        <v>20</v>
      </c>
      <c r="O3859" s="2" t="str">
        <f>VLOOKUP(OrganizedData[[#This Row],[Product Code]],ProductData[[Code]:[Item]],2,FALSE)</f>
        <v>Hyperwotsit</v>
      </c>
      <c r="P3859" s="4">
        <f>OrganizedData[[#This Row],[Quantity]]*VLOOKUP(OrganizedData[[#This Row],[Product Code]],ProductData[],4,FALSE)</f>
        <v>400</v>
      </c>
      <c r="Q3859" s="6">
        <f>OrganizedData[[#This Row],[Total Items Ordered]]*VLOOKUP(OrganizedData[[#This Row],[Product Code]],ProductData[],3,FALSE)</f>
        <v>803.99999999999989</v>
      </c>
      <c r="R38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3860" spans="1:18" x14ac:dyDescent="0.3">
      <c r="A3860" s="2">
        <v>3853</v>
      </c>
      <c r="B3860" s="2" t="s">
        <v>8850</v>
      </c>
      <c r="C3860" s="2" t="s">
        <v>4858</v>
      </c>
      <c r="D3860" s="2" t="s">
        <v>15</v>
      </c>
      <c r="E3860" s="2" t="s">
        <v>16</v>
      </c>
      <c r="F3860" s="2">
        <v>60</v>
      </c>
      <c r="G3860" s="2" t="s">
        <v>8851</v>
      </c>
      <c r="H3860" s="2" t="s">
        <v>1915</v>
      </c>
      <c r="I3860" s="2" t="s">
        <v>19</v>
      </c>
      <c r="J3860" s="3">
        <v>44259</v>
      </c>
      <c r="K3860" s="5">
        <f>YEAR(OrganizedData[[#This Row],[Order Date]])</f>
        <v>2021</v>
      </c>
      <c r="L3860" s="7" t="str">
        <f>TEXT(OrganizedData[[#This Row],[Order Date]],"mmm")</f>
        <v>Mar</v>
      </c>
      <c r="M3860" s="2">
        <v>22</v>
      </c>
      <c r="N3860" s="2" t="s">
        <v>159</v>
      </c>
      <c r="O3860" s="2" t="str">
        <f>VLOOKUP(OrganizedData[[#This Row],[Product Code]],ProductData[[Code]:[Item]],2,FALSE)</f>
        <v>Ultrathing V3</v>
      </c>
      <c r="P3860" s="4">
        <f>OrganizedData[[#This Row],[Quantity]]*VLOOKUP(OrganizedData[[#This Row],[Product Code]],ProductData[],4,FALSE)</f>
        <v>528</v>
      </c>
      <c r="Q3860" s="6">
        <f>OrganizedData[[#This Row],[Total Items Ordered]]*VLOOKUP(OrganizedData[[#This Row],[Product Code]],ProductData[],3,FALSE)</f>
        <v>1789.92</v>
      </c>
      <c r="R38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1736.2224000000001</v>
      </c>
    </row>
    <row r="3861" spans="1:18" x14ac:dyDescent="0.3">
      <c r="A3861" s="2">
        <v>3854</v>
      </c>
      <c r="B3861" s="2" t="s">
        <v>2523</v>
      </c>
      <c r="C3861" s="2" t="s">
        <v>8852</v>
      </c>
      <c r="D3861" s="2" t="s">
        <v>28</v>
      </c>
      <c r="E3861" s="2" t="s">
        <v>29</v>
      </c>
      <c r="F3861" s="2">
        <v>60</v>
      </c>
      <c r="G3861" s="2" t="s">
        <v>8853</v>
      </c>
      <c r="H3861" s="2" t="s">
        <v>298</v>
      </c>
      <c r="I3861" s="2" t="s">
        <v>25</v>
      </c>
      <c r="J3861" s="3">
        <v>44191</v>
      </c>
      <c r="K3861" s="5">
        <f>YEAR(OrganizedData[[#This Row],[Order Date]])</f>
        <v>2020</v>
      </c>
      <c r="L3861" s="7" t="str">
        <f>TEXT(OrganizedData[[#This Row],[Order Date]],"mmm")</f>
        <v>Dec</v>
      </c>
      <c r="M3861" s="2">
        <v>32</v>
      </c>
      <c r="N3861" s="2" t="s">
        <v>80</v>
      </c>
      <c r="O3861" s="2" t="str">
        <f>VLOOKUP(OrganizedData[[#This Row],[Product Code]],ProductData[[Code]:[Item]],2,FALSE)</f>
        <v>Ultrathing V2</v>
      </c>
      <c r="P3861" s="4">
        <f>OrganizedData[[#This Row],[Quantity]]*VLOOKUP(OrganizedData[[#This Row],[Product Code]],ProductData[],4,FALSE)</f>
        <v>640</v>
      </c>
      <c r="Q3861" s="6">
        <f>OrganizedData[[#This Row],[Total Items Ordered]]*VLOOKUP(OrganizedData[[#This Row],[Product Code]],ProductData[],3,FALSE)</f>
        <v>1888</v>
      </c>
      <c r="R38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1831.36</v>
      </c>
    </row>
    <row r="3862" spans="1:18" x14ac:dyDescent="0.3">
      <c r="A3862" s="2">
        <v>3855</v>
      </c>
      <c r="B3862" s="2" t="s">
        <v>7029</v>
      </c>
      <c r="C3862" s="2" t="s">
        <v>4373</v>
      </c>
      <c r="D3862" s="2" t="s">
        <v>28</v>
      </c>
      <c r="E3862" s="2" t="s">
        <v>29</v>
      </c>
      <c r="F3862" s="2">
        <v>90</v>
      </c>
      <c r="G3862" s="2" t="s">
        <v>8854</v>
      </c>
      <c r="H3862" s="2" t="s">
        <v>412</v>
      </c>
      <c r="I3862" s="2" t="s">
        <v>187</v>
      </c>
      <c r="J3862" s="3">
        <v>43894</v>
      </c>
      <c r="K3862" s="5">
        <f>YEAR(OrganizedData[[#This Row],[Order Date]])</f>
        <v>2020</v>
      </c>
      <c r="L3862" s="7" t="str">
        <f>TEXT(OrganizedData[[#This Row],[Order Date]],"mmm")</f>
        <v>Mar</v>
      </c>
      <c r="M3862" s="2">
        <v>61</v>
      </c>
      <c r="N3862" s="2" t="s">
        <v>159</v>
      </c>
      <c r="O3862" s="2" t="str">
        <f>VLOOKUP(OrganizedData[[#This Row],[Product Code]],ProductData[[Code]:[Item]],2,FALSE)</f>
        <v>Ultrathing V3</v>
      </c>
      <c r="P3862" s="4">
        <f>OrganizedData[[#This Row],[Quantity]]*VLOOKUP(OrganizedData[[#This Row],[Product Code]],ProductData[],4,FALSE)</f>
        <v>1464</v>
      </c>
      <c r="Q3862" s="6">
        <f>OrganizedData[[#This Row],[Total Items Ordered]]*VLOOKUP(OrganizedData[[#This Row],[Product Code]],ProductData[],3,FALSE)</f>
        <v>4962.96</v>
      </c>
      <c r="R38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3863" spans="1:18" x14ac:dyDescent="0.3">
      <c r="A3863" s="2">
        <v>3856</v>
      </c>
      <c r="B3863" s="2" t="s">
        <v>4313</v>
      </c>
      <c r="C3863" s="2" t="s">
        <v>3944</v>
      </c>
      <c r="D3863" s="2" t="s">
        <v>51</v>
      </c>
      <c r="E3863" s="2" t="s">
        <v>16</v>
      </c>
      <c r="F3863" s="2">
        <v>90</v>
      </c>
      <c r="G3863" s="2" t="s">
        <v>8854</v>
      </c>
      <c r="H3863" s="2" t="s">
        <v>6675</v>
      </c>
      <c r="I3863" s="2" t="s">
        <v>32</v>
      </c>
      <c r="J3863" s="3">
        <v>44296</v>
      </c>
      <c r="K3863" s="5">
        <f>YEAR(OrganizedData[[#This Row],[Order Date]])</f>
        <v>2021</v>
      </c>
      <c r="L3863" s="7" t="str">
        <f>TEXT(OrganizedData[[#This Row],[Order Date]],"mmm")</f>
        <v>Apr</v>
      </c>
      <c r="M3863" s="2">
        <v>19</v>
      </c>
      <c r="N3863" s="2" t="s">
        <v>33</v>
      </c>
      <c r="O3863" s="2" t="str">
        <f>VLOOKUP(OrganizedData[[#This Row],[Product Code]],ProductData[[Code]:[Item]],2,FALSE)</f>
        <v>Megawidget L</v>
      </c>
      <c r="P3863" s="4">
        <f>OrganizedData[[#This Row],[Quantity]]*VLOOKUP(OrganizedData[[#This Row],[Product Code]],ProductData[],4,FALSE)</f>
        <v>456</v>
      </c>
      <c r="Q3863" s="6">
        <f>OrganizedData[[#This Row],[Total Items Ordered]]*VLOOKUP(OrganizedData[[#This Row],[Product Code]],ProductData[],3,FALSE)</f>
        <v>816.24</v>
      </c>
      <c r="R38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3864" spans="1:18" x14ac:dyDescent="0.3">
      <c r="A3864" s="2">
        <v>3857</v>
      </c>
      <c r="B3864" s="2" t="s">
        <v>8855</v>
      </c>
      <c r="C3864" s="2" t="s">
        <v>7123</v>
      </c>
      <c r="D3864" s="2" t="s">
        <v>51</v>
      </c>
      <c r="E3864" s="2" t="s">
        <v>16</v>
      </c>
      <c r="F3864" s="2">
        <v>60</v>
      </c>
      <c r="G3864" s="2" t="s">
        <v>8856</v>
      </c>
      <c r="H3864" s="2" t="s">
        <v>772</v>
      </c>
      <c r="I3864" s="2" t="s">
        <v>32</v>
      </c>
      <c r="J3864" s="3">
        <v>44329</v>
      </c>
      <c r="K3864" s="5">
        <f>YEAR(OrganizedData[[#This Row],[Order Date]])</f>
        <v>2021</v>
      </c>
      <c r="L3864" s="7" t="str">
        <f>TEXT(OrganizedData[[#This Row],[Order Date]],"mmm")</f>
        <v>May</v>
      </c>
      <c r="M3864" s="2">
        <v>13</v>
      </c>
      <c r="N3864" s="2" t="s">
        <v>33</v>
      </c>
      <c r="O3864" s="2" t="str">
        <f>VLOOKUP(OrganizedData[[#This Row],[Product Code]],ProductData[[Code]:[Item]],2,FALSE)</f>
        <v>Megawidget L</v>
      </c>
      <c r="P3864" s="4">
        <f>OrganizedData[[#This Row],[Quantity]]*VLOOKUP(OrganizedData[[#This Row],[Product Code]],ProductData[],4,FALSE)</f>
        <v>312</v>
      </c>
      <c r="Q3864" s="6">
        <f>OrganizedData[[#This Row],[Total Items Ordered]]*VLOOKUP(OrganizedData[[#This Row],[Product Code]],ProductData[],3,FALSE)</f>
        <v>558.48</v>
      </c>
      <c r="R38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3865" spans="1:18" x14ac:dyDescent="0.3">
      <c r="A3865" s="2">
        <v>3858</v>
      </c>
      <c r="B3865" s="2" t="s">
        <v>8857</v>
      </c>
      <c r="C3865" s="2" t="s">
        <v>8858</v>
      </c>
      <c r="D3865" s="2" t="s">
        <v>51</v>
      </c>
      <c r="E3865" s="2" t="s">
        <v>16</v>
      </c>
      <c r="F3865" s="2">
        <v>30</v>
      </c>
      <c r="G3865" s="2" t="s">
        <v>8859</v>
      </c>
      <c r="H3865" s="2" t="s">
        <v>4944</v>
      </c>
      <c r="I3865" s="2" t="s">
        <v>839</v>
      </c>
      <c r="J3865" s="3">
        <v>44367</v>
      </c>
      <c r="K3865" s="5">
        <f>YEAR(OrganizedData[[#This Row],[Order Date]])</f>
        <v>2021</v>
      </c>
      <c r="L3865" s="7" t="str">
        <f>TEXT(OrganizedData[[#This Row],[Order Date]],"mmm")</f>
        <v>Jun</v>
      </c>
      <c r="M3865" s="2">
        <v>21</v>
      </c>
      <c r="N3865" s="2" t="s">
        <v>45</v>
      </c>
      <c r="O3865" s="2" t="str">
        <f>VLOOKUP(OrganizedData[[#This Row],[Product Code]],ProductData[[Code]:[Item]],2,FALSE)</f>
        <v>Gigastuff</v>
      </c>
      <c r="P3865" s="4">
        <f>OrganizedData[[#This Row],[Quantity]]*VLOOKUP(OrganizedData[[#This Row],[Product Code]],ProductData[],4,FALSE)</f>
        <v>378</v>
      </c>
      <c r="Q3865" s="6">
        <f>OrganizedData[[#This Row],[Total Items Ordered]]*VLOOKUP(OrganizedData[[#This Row],[Product Code]],ProductData[],3,FALSE)</f>
        <v>714.42</v>
      </c>
      <c r="R38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692.98739999999998</v>
      </c>
    </row>
    <row r="3866" spans="1:18" x14ac:dyDescent="0.3">
      <c r="A3866" s="2">
        <v>3859</v>
      </c>
      <c r="B3866" s="2" t="s">
        <v>8860</v>
      </c>
      <c r="C3866" s="2" t="s">
        <v>8551</v>
      </c>
      <c r="D3866" s="2" t="s">
        <v>15</v>
      </c>
      <c r="E3866" s="2" t="s">
        <v>16</v>
      </c>
      <c r="F3866" s="2">
        <v>60</v>
      </c>
      <c r="G3866" s="2" t="s">
        <v>8861</v>
      </c>
      <c r="H3866" s="2" t="s">
        <v>8862</v>
      </c>
      <c r="I3866" s="2" t="s">
        <v>187</v>
      </c>
      <c r="J3866" s="3">
        <v>43956</v>
      </c>
      <c r="K3866" s="5">
        <f>YEAR(OrganizedData[[#This Row],[Order Date]])</f>
        <v>2020</v>
      </c>
      <c r="L3866" s="7" t="str">
        <f>TEXT(OrganizedData[[#This Row],[Order Date]],"mmm")</f>
        <v>May</v>
      </c>
      <c r="M3866" s="2">
        <v>9</v>
      </c>
      <c r="N3866" s="2" t="s">
        <v>159</v>
      </c>
      <c r="O3866" s="2" t="str">
        <f>VLOOKUP(OrganizedData[[#This Row],[Product Code]],ProductData[[Code]:[Item]],2,FALSE)</f>
        <v>Ultrathing V3</v>
      </c>
      <c r="P3866" s="4">
        <f>OrganizedData[[#This Row],[Quantity]]*VLOOKUP(OrganizedData[[#This Row],[Product Code]],ProductData[],4,FALSE)</f>
        <v>216</v>
      </c>
      <c r="Q3866" s="6">
        <f>OrganizedData[[#This Row],[Total Items Ordered]]*VLOOKUP(OrganizedData[[#This Row],[Product Code]],ProductData[],3,FALSE)</f>
        <v>732.24</v>
      </c>
      <c r="R38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732.24</v>
      </c>
    </row>
    <row r="3867" spans="1:18" x14ac:dyDescent="0.3">
      <c r="A3867" s="2">
        <v>3860</v>
      </c>
      <c r="B3867" s="2" t="s">
        <v>8863</v>
      </c>
      <c r="C3867" s="2" t="s">
        <v>2197</v>
      </c>
      <c r="D3867" s="2" t="s">
        <v>15</v>
      </c>
      <c r="E3867" s="2" t="s">
        <v>16</v>
      </c>
      <c r="F3867" s="2">
        <v>30</v>
      </c>
      <c r="G3867" s="2" t="s">
        <v>8864</v>
      </c>
      <c r="H3867" s="2" t="s">
        <v>8865</v>
      </c>
      <c r="I3867" s="2" t="s">
        <v>32</v>
      </c>
      <c r="J3867" s="3">
        <v>44420</v>
      </c>
      <c r="K3867" s="5">
        <f>YEAR(OrganizedData[[#This Row],[Order Date]])</f>
        <v>2021</v>
      </c>
      <c r="L3867" s="7" t="str">
        <f>TEXT(OrganizedData[[#This Row],[Order Date]],"mmm")</f>
        <v>Aug</v>
      </c>
      <c r="M3867" s="2">
        <v>43</v>
      </c>
      <c r="N3867" s="2" t="s">
        <v>33</v>
      </c>
      <c r="O3867" s="2" t="str">
        <f>VLOOKUP(OrganizedData[[#This Row],[Product Code]],ProductData[[Code]:[Item]],2,FALSE)</f>
        <v>Megawidget L</v>
      </c>
      <c r="P3867" s="4">
        <f>OrganizedData[[#This Row],[Quantity]]*VLOOKUP(OrganizedData[[#This Row],[Product Code]],ProductData[],4,FALSE)</f>
        <v>1032</v>
      </c>
      <c r="Q3867" s="6">
        <f>OrganizedData[[#This Row],[Total Items Ordered]]*VLOOKUP(OrganizedData[[#This Row],[Product Code]],ProductData[],3,FALSE)</f>
        <v>1847.28</v>
      </c>
      <c r="R38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3868" spans="1:18" x14ac:dyDescent="0.3">
      <c r="A3868" s="2">
        <v>3861</v>
      </c>
      <c r="B3868" s="2" t="s">
        <v>7080</v>
      </c>
      <c r="C3868" s="2" t="s">
        <v>651</v>
      </c>
      <c r="D3868" s="2" t="s">
        <v>51</v>
      </c>
      <c r="E3868" s="2" t="s">
        <v>16</v>
      </c>
      <c r="F3868" s="2">
        <v>30</v>
      </c>
      <c r="G3868" s="2" t="s">
        <v>8866</v>
      </c>
      <c r="H3868" s="2" t="s">
        <v>659</v>
      </c>
      <c r="I3868" s="2" t="s">
        <v>32</v>
      </c>
      <c r="J3868" s="3">
        <v>44872</v>
      </c>
      <c r="K3868" s="5">
        <f>YEAR(OrganizedData[[#This Row],[Order Date]])</f>
        <v>2022</v>
      </c>
      <c r="L3868" s="7" t="str">
        <f>TEXT(OrganizedData[[#This Row],[Order Date]],"mmm")</f>
        <v>Nov</v>
      </c>
      <c r="M3868" s="2">
        <v>18</v>
      </c>
      <c r="N3868" s="2" t="s">
        <v>54</v>
      </c>
      <c r="O3868" s="2" t="str">
        <f>VLOOKUP(OrganizedData[[#This Row],[Product Code]],ProductData[[Code]:[Item]],2,FALSE)</f>
        <v>Megawidget S</v>
      </c>
      <c r="P3868" s="4">
        <f>OrganizedData[[#This Row],[Quantity]]*VLOOKUP(OrganizedData[[#This Row],[Product Code]],ProductData[],4,FALSE)</f>
        <v>432</v>
      </c>
      <c r="Q3868" s="6">
        <f>OrganizedData[[#This Row],[Total Items Ordered]]*VLOOKUP(OrganizedData[[#This Row],[Product Code]],ProductData[],3,FALSE)</f>
        <v>298.08</v>
      </c>
      <c r="R38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298.08</v>
      </c>
    </row>
    <row r="3869" spans="1:18" x14ac:dyDescent="0.3">
      <c r="A3869" s="2">
        <v>3862</v>
      </c>
      <c r="B3869" s="2" t="s">
        <v>8867</v>
      </c>
      <c r="C3869" s="2" t="s">
        <v>3572</v>
      </c>
      <c r="D3869" s="2" t="s">
        <v>51</v>
      </c>
      <c r="E3869" s="2" t="s">
        <v>16</v>
      </c>
      <c r="F3869" s="2">
        <v>90</v>
      </c>
      <c r="G3869" s="2" t="s">
        <v>8868</v>
      </c>
      <c r="H3869" s="2" t="s">
        <v>1265</v>
      </c>
      <c r="I3869" s="2" t="s">
        <v>32</v>
      </c>
      <c r="J3869" s="3">
        <v>44905</v>
      </c>
      <c r="K3869" s="5">
        <f>YEAR(OrganizedData[[#This Row],[Order Date]])</f>
        <v>2022</v>
      </c>
      <c r="L3869" s="7" t="str">
        <f>TEXT(OrganizedData[[#This Row],[Order Date]],"mmm")</f>
        <v>Dec</v>
      </c>
      <c r="M3869" s="2">
        <v>95</v>
      </c>
      <c r="N3869" s="2" t="s">
        <v>159</v>
      </c>
      <c r="O3869" s="2" t="str">
        <f>VLOOKUP(OrganizedData[[#This Row],[Product Code]],ProductData[[Code]:[Item]],2,FALSE)</f>
        <v>Ultrathing V3</v>
      </c>
      <c r="P3869" s="4">
        <f>OrganizedData[[#This Row],[Quantity]]*VLOOKUP(OrganizedData[[#This Row],[Product Code]],ProductData[],4,FALSE)</f>
        <v>2280</v>
      </c>
      <c r="Q3869" s="6">
        <f>OrganizedData[[#This Row],[Total Items Ordered]]*VLOOKUP(OrganizedData[[#This Row],[Product Code]],ProductData[],3,FALSE)</f>
        <v>7729.2000000000007</v>
      </c>
      <c r="R38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7342.7400000000007</v>
      </c>
    </row>
    <row r="3870" spans="1:18" x14ac:dyDescent="0.3">
      <c r="A3870" s="2">
        <v>3863</v>
      </c>
      <c r="B3870" s="2" t="s">
        <v>921</v>
      </c>
      <c r="C3870" s="2" t="s">
        <v>8869</v>
      </c>
      <c r="D3870" s="2" t="s">
        <v>28</v>
      </c>
      <c r="E3870" s="2" t="s">
        <v>29</v>
      </c>
      <c r="F3870" s="2">
        <v>90</v>
      </c>
      <c r="G3870" s="2" t="s">
        <v>8868</v>
      </c>
      <c r="H3870" s="2" t="s">
        <v>1534</v>
      </c>
      <c r="I3870" s="2" t="s">
        <v>32</v>
      </c>
      <c r="J3870" s="3">
        <v>44680</v>
      </c>
      <c r="K3870" s="5">
        <f>YEAR(OrganizedData[[#This Row],[Order Date]])</f>
        <v>2022</v>
      </c>
      <c r="L3870" s="7" t="str">
        <f>TEXT(OrganizedData[[#This Row],[Order Date]],"mmm")</f>
        <v>Apr</v>
      </c>
      <c r="M3870" s="2">
        <v>74</v>
      </c>
      <c r="N3870" s="2" t="s">
        <v>101</v>
      </c>
      <c r="O3870" s="2" t="str">
        <f>VLOOKUP(OrganizedData[[#This Row],[Product Code]],ProductData[[Code]:[Item]],2,FALSE)</f>
        <v>Superwossname</v>
      </c>
      <c r="P3870" s="4">
        <f>OrganizedData[[#This Row],[Quantity]]*VLOOKUP(OrganizedData[[#This Row],[Product Code]],ProductData[],4,FALSE)</f>
        <v>1480</v>
      </c>
      <c r="Q3870" s="6">
        <f>OrganizedData[[#This Row],[Total Items Ordered]]*VLOOKUP(OrganizedData[[#This Row],[Product Code]],ProductData[],3,FALSE)</f>
        <v>5165.2000000000007</v>
      </c>
      <c r="R38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4906.9400000000005</v>
      </c>
    </row>
    <row r="3871" spans="1:18" x14ac:dyDescent="0.3">
      <c r="A3871" s="2">
        <v>3864</v>
      </c>
      <c r="B3871" s="2" t="s">
        <v>8870</v>
      </c>
      <c r="C3871" s="2" t="s">
        <v>1957</v>
      </c>
      <c r="D3871" s="2" t="s">
        <v>51</v>
      </c>
      <c r="E3871" s="2" t="s">
        <v>16</v>
      </c>
      <c r="F3871" s="2">
        <v>90</v>
      </c>
      <c r="G3871" s="2" t="s">
        <v>8871</v>
      </c>
      <c r="H3871" s="2" t="s">
        <v>2706</v>
      </c>
      <c r="I3871" s="2" t="s">
        <v>294</v>
      </c>
      <c r="J3871" s="3">
        <v>44411</v>
      </c>
      <c r="K3871" s="5">
        <f>YEAR(OrganizedData[[#This Row],[Order Date]])</f>
        <v>2021</v>
      </c>
      <c r="L3871" s="7" t="str">
        <f>TEXT(OrganizedData[[#This Row],[Order Date]],"mmm")</f>
        <v>Aug</v>
      </c>
      <c r="M3871" s="2">
        <v>60</v>
      </c>
      <c r="N3871" s="2" t="s">
        <v>101</v>
      </c>
      <c r="O3871" s="2" t="str">
        <f>VLOOKUP(OrganizedData[[#This Row],[Product Code]],ProductData[[Code]:[Item]],2,FALSE)</f>
        <v>Superwossname</v>
      </c>
      <c r="P3871" s="4">
        <f>OrganizedData[[#This Row],[Quantity]]*VLOOKUP(OrganizedData[[#This Row],[Product Code]],ProductData[],4,FALSE)</f>
        <v>1200</v>
      </c>
      <c r="Q3871" s="6">
        <f>OrganizedData[[#This Row],[Total Items Ordered]]*VLOOKUP(OrganizedData[[#This Row],[Product Code]],ProductData[],3,FALSE)</f>
        <v>4188</v>
      </c>
      <c r="R38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3978.6</v>
      </c>
    </row>
    <row r="3872" spans="1:18" x14ac:dyDescent="0.3">
      <c r="A3872" s="2">
        <v>3865</v>
      </c>
      <c r="B3872" s="2" t="s">
        <v>8872</v>
      </c>
      <c r="C3872" s="2" t="s">
        <v>4113</v>
      </c>
      <c r="D3872" s="2" t="s">
        <v>15</v>
      </c>
      <c r="E3872" s="2" t="s">
        <v>16</v>
      </c>
      <c r="F3872" s="2">
        <v>30</v>
      </c>
      <c r="G3872" s="2" t="s">
        <v>8873</v>
      </c>
      <c r="H3872" s="2" t="s">
        <v>8874</v>
      </c>
      <c r="I3872" s="2" t="s">
        <v>32</v>
      </c>
      <c r="J3872" s="3">
        <v>44096</v>
      </c>
      <c r="K3872" s="5">
        <f>YEAR(OrganizedData[[#This Row],[Order Date]])</f>
        <v>2020</v>
      </c>
      <c r="L3872" s="7" t="str">
        <f>TEXT(OrganizedData[[#This Row],[Order Date]],"mmm")</f>
        <v>Sep</v>
      </c>
      <c r="M3872" s="2">
        <v>46</v>
      </c>
      <c r="N3872" s="2" t="s">
        <v>45</v>
      </c>
      <c r="O3872" s="2" t="str">
        <f>VLOOKUP(OrganizedData[[#This Row],[Product Code]],ProductData[[Code]:[Item]],2,FALSE)</f>
        <v>Gigastuff</v>
      </c>
      <c r="P3872" s="4">
        <f>OrganizedData[[#This Row],[Quantity]]*VLOOKUP(OrganizedData[[#This Row],[Product Code]],ProductData[],4,FALSE)</f>
        <v>828</v>
      </c>
      <c r="Q3872" s="6">
        <f>OrganizedData[[#This Row],[Total Items Ordered]]*VLOOKUP(OrganizedData[[#This Row],[Product Code]],ProductData[],3,FALSE)</f>
        <v>1564.9199999999998</v>
      </c>
      <c r="R38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1517.9723999999999</v>
      </c>
    </row>
    <row r="3873" spans="1:18" x14ac:dyDescent="0.3">
      <c r="A3873" s="2">
        <v>3866</v>
      </c>
      <c r="B3873" s="2" t="s">
        <v>8875</v>
      </c>
      <c r="C3873" s="2" t="s">
        <v>4828</v>
      </c>
      <c r="D3873" s="2" t="s">
        <v>28</v>
      </c>
      <c r="E3873" s="2" t="s">
        <v>29</v>
      </c>
      <c r="F3873" s="2">
        <v>30</v>
      </c>
      <c r="G3873" s="2" t="s">
        <v>8876</v>
      </c>
      <c r="H3873" s="2" t="s">
        <v>641</v>
      </c>
      <c r="I3873" s="2" t="s">
        <v>294</v>
      </c>
      <c r="J3873" s="3">
        <v>44908</v>
      </c>
      <c r="K3873" s="5">
        <f>YEAR(OrganizedData[[#This Row],[Order Date]])</f>
        <v>2022</v>
      </c>
      <c r="L3873" s="7" t="str">
        <f>TEXT(OrganizedData[[#This Row],[Order Date]],"mmm")</f>
        <v>Dec</v>
      </c>
      <c r="M3873" s="2">
        <v>55</v>
      </c>
      <c r="N3873" s="2" t="s">
        <v>159</v>
      </c>
      <c r="O3873" s="2" t="str">
        <f>VLOOKUP(OrganizedData[[#This Row],[Product Code]],ProductData[[Code]:[Item]],2,FALSE)</f>
        <v>Ultrathing V3</v>
      </c>
      <c r="P3873" s="4">
        <f>OrganizedData[[#This Row],[Quantity]]*VLOOKUP(OrganizedData[[#This Row],[Product Code]],ProductData[],4,FALSE)</f>
        <v>1320</v>
      </c>
      <c r="Q3873" s="6">
        <f>OrganizedData[[#This Row],[Total Items Ordered]]*VLOOKUP(OrganizedData[[#This Row],[Product Code]],ProductData[],3,FALSE)</f>
        <v>4474.8</v>
      </c>
      <c r="R38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4251.0600000000004</v>
      </c>
    </row>
    <row r="3874" spans="1:18" x14ac:dyDescent="0.3">
      <c r="A3874" s="2">
        <v>3867</v>
      </c>
      <c r="B3874" s="2" t="s">
        <v>7239</v>
      </c>
      <c r="C3874" s="2" t="s">
        <v>76</v>
      </c>
      <c r="D3874" s="2" t="s">
        <v>28</v>
      </c>
      <c r="E3874" s="2" t="s">
        <v>29</v>
      </c>
      <c r="F3874" s="2">
        <v>90</v>
      </c>
      <c r="G3874" s="2" t="s">
        <v>8877</v>
      </c>
      <c r="H3874" s="2" t="s">
        <v>8878</v>
      </c>
      <c r="I3874" s="2" t="s">
        <v>32</v>
      </c>
      <c r="J3874" s="3">
        <v>43992</v>
      </c>
      <c r="K3874" s="5">
        <f>YEAR(OrganizedData[[#This Row],[Order Date]])</f>
        <v>2020</v>
      </c>
      <c r="L3874" s="7" t="str">
        <f>TEXT(OrganizedData[[#This Row],[Order Date]],"mmm")</f>
        <v>Jun</v>
      </c>
      <c r="M3874" s="2">
        <v>20</v>
      </c>
      <c r="N3874" s="2" t="s">
        <v>54</v>
      </c>
      <c r="O3874" s="2" t="str">
        <f>VLOOKUP(OrganizedData[[#This Row],[Product Code]],ProductData[[Code]:[Item]],2,FALSE)</f>
        <v>Megawidget S</v>
      </c>
      <c r="P3874" s="4">
        <f>OrganizedData[[#This Row],[Quantity]]*VLOOKUP(OrganizedData[[#This Row],[Product Code]],ProductData[],4,FALSE)</f>
        <v>480</v>
      </c>
      <c r="Q3874" s="6">
        <f>OrganizedData[[#This Row],[Total Items Ordered]]*VLOOKUP(OrganizedData[[#This Row],[Product Code]],ProductData[],3,FALSE)</f>
        <v>331.2</v>
      </c>
      <c r="R38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331.2</v>
      </c>
    </row>
    <row r="3875" spans="1:18" x14ac:dyDescent="0.3">
      <c r="A3875" s="2">
        <v>3868</v>
      </c>
      <c r="B3875" s="2" t="s">
        <v>8879</v>
      </c>
      <c r="C3875" s="2" t="s">
        <v>5907</v>
      </c>
      <c r="D3875" s="2" t="s">
        <v>28</v>
      </c>
      <c r="E3875" s="2" t="s">
        <v>29</v>
      </c>
      <c r="F3875" s="2">
        <v>60</v>
      </c>
      <c r="G3875" s="2" t="s">
        <v>8880</v>
      </c>
      <c r="H3875" s="2" t="s">
        <v>1845</v>
      </c>
      <c r="I3875" s="2" t="s">
        <v>294</v>
      </c>
      <c r="J3875" s="3">
        <v>44702</v>
      </c>
      <c r="K3875" s="5">
        <f>YEAR(OrganizedData[[#This Row],[Order Date]])</f>
        <v>2022</v>
      </c>
      <c r="L3875" s="7" t="str">
        <f>TEXT(OrganizedData[[#This Row],[Order Date]],"mmm")</f>
        <v>May</v>
      </c>
      <c r="M3875" s="2">
        <v>7</v>
      </c>
      <c r="N3875" s="2" t="s">
        <v>64</v>
      </c>
      <c r="O3875" s="2" t="str">
        <f>VLOOKUP(OrganizedData[[#This Row],[Product Code]],ProductData[[Code]:[Item]],2,FALSE)</f>
        <v>Ultrathing V4</v>
      </c>
      <c r="P3875" s="4">
        <f>OrganizedData[[#This Row],[Quantity]]*VLOOKUP(OrganizedData[[#This Row],[Product Code]],ProductData[],4,FALSE)</f>
        <v>168</v>
      </c>
      <c r="Q3875" s="6">
        <f>OrganizedData[[#This Row],[Total Items Ordered]]*VLOOKUP(OrganizedData[[#This Row],[Product Code]],ProductData[],3,FALSE)</f>
        <v>670.32</v>
      </c>
      <c r="R38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670.32</v>
      </c>
    </row>
    <row r="3876" spans="1:18" x14ac:dyDescent="0.3">
      <c r="A3876" s="2">
        <v>3869</v>
      </c>
      <c r="B3876" s="2" t="s">
        <v>4858</v>
      </c>
      <c r="C3876" s="2" t="s">
        <v>295</v>
      </c>
      <c r="D3876" s="2" t="s">
        <v>28</v>
      </c>
      <c r="E3876" s="2" t="s">
        <v>29</v>
      </c>
      <c r="F3876" s="2">
        <v>30</v>
      </c>
      <c r="G3876" s="2" t="s">
        <v>8881</v>
      </c>
      <c r="H3876" s="2" t="s">
        <v>890</v>
      </c>
      <c r="I3876" s="2" t="s">
        <v>178</v>
      </c>
      <c r="J3876" s="3">
        <v>43837</v>
      </c>
      <c r="K3876" s="5">
        <f>YEAR(OrganizedData[[#This Row],[Order Date]])</f>
        <v>2020</v>
      </c>
      <c r="L3876" s="7" t="str">
        <f>TEXT(OrganizedData[[#This Row],[Order Date]],"mmm")</f>
        <v>Jan</v>
      </c>
      <c r="M3876" s="2">
        <v>15</v>
      </c>
      <c r="N3876" s="2" t="s">
        <v>54</v>
      </c>
      <c r="O3876" s="2" t="str">
        <f>VLOOKUP(OrganizedData[[#This Row],[Product Code]],ProductData[[Code]:[Item]],2,FALSE)</f>
        <v>Megawidget S</v>
      </c>
      <c r="P3876" s="4">
        <f>OrganizedData[[#This Row],[Quantity]]*VLOOKUP(OrganizedData[[#This Row],[Product Code]],ProductData[],4,FALSE)</f>
        <v>360</v>
      </c>
      <c r="Q3876" s="6">
        <f>OrganizedData[[#This Row],[Total Items Ordered]]*VLOOKUP(OrganizedData[[#This Row],[Product Code]],ProductData[],3,FALSE)</f>
        <v>248.39999999999998</v>
      </c>
      <c r="R38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3877" spans="1:18" x14ac:dyDescent="0.3">
      <c r="A3877" s="2">
        <v>3870</v>
      </c>
      <c r="B3877" s="2" t="s">
        <v>1581</v>
      </c>
      <c r="C3877" s="2" t="s">
        <v>6804</v>
      </c>
      <c r="D3877" s="2" t="s">
        <v>28</v>
      </c>
      <c r="E3877" s="2" t="s">
        <v>29</v>
      </c>
      <c r="F3877" s="2">
        <v>30</v>
      </c>
      <c r="G3877" s="2" t="s">
        <v>8882</v>
      </c>
      <c r="H3877" s="2" t="s">
        <v>288</v>
      </c>
      <c r="I3877" s="2" t="s">
        <v>32</v>
      </c>
      <c r="J3877" s="3">
        <v>44205</v>
      </c>
      <c r="K3877" s="5">
        <f>YEAR(OrganizedData[[#This Row],[Order Date]])</f>
        <v>2021</v>
      </c>
      <c r="L3877" s="7" t="str">
        <f>TEXT(OrganizedData[[#This Row],[Order Date]],"mmm")</f>
        <v>Jan</v>
      </c>
      <c r="M3877" s="2">
        <v>10</v>
      </c>
      <c r="N3877" s="2" t="s">
        <v>80</v>
      </c>
      <c r="O3877" s="2" t="str">
        <f>VLOOKUP(OrganizedData[[#This Row],[Product Code]],ProductData[[Code]:[Item]],2,FALSE)</f>
        <v>Ultrathing V2</v>
      </c>
      <c r="P3877" s="4">
        <f>OrganizedData[[#This Row],[Quantity]]*VLOOKUP(OrganizedData[[#This Row],[Product Code]],ProductData[],4,FALSE)</f>
        <v>200</v>
      </c>
      <c r="Q3877" s="6">
        <f>OrganizedData[[#This Row],[Total Items Ordered]]*VLOOKUP(OrganizedData[[#This Row],[Product Code]],ProductData[],3,FALSE)</f>
        <v>590</v>
      </c>
      <c r="R38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590</v>
      </c>
    </row>
    <row r="3878" spans="1:18" x14ac:dyDescent="0.3">
      <c r="A3878" s="2">
        <v>3871</v>
      </c>
      <c r="B3878" s="2" t="s">
        <v>312</v>
      </c>
      <c r="C3878" s="2" t="s">
        <v>2301</v>
      </c>
      <c r="D3878" s="2" t="s">
        <v>15</v>
      </c>
      <c r="E3878" s="2" t="s">
        <v>16</v>
      </c>
      <c r="F3878" s="2">
        <v>90</v>
      </c>
      <c r="G3878" s="2" t="s">
        <v>8883</v>
      </c>
      <c r="H3878" s="2" t="s">
        <v>3882</v>
      </c>
      <c r="I3878" s="2" t="s">
        <v>38</v>
      </c>
      <c r="J3878" s="3">
        <v>44677</v>
      </c>
      <c r="K3878" s="5">
        <f>YEAR(OrganizedData[[#This Row],[Order Date]])</f>
        <v>2022</v>
      </c>
      <c r="L3878" s="7" t="str">
        <f>TEXT(OrganizedData[[#This Row],[Order Date]],"mmm")</f>
        <v>Apr</v>
      </c>
      <c r="M3878" s="2">
        <v>5</v>
      </c>
      <c r="N3878" s="2" t="s">
        <v>33</v>
      </c>
      <c r="O3878" s="2" t="str">
        <f>VLOOKUP(OrganizedData[[#This Row],[Product Code]],ProductData[[Code]:[Item]],2,FALSE)</f>
        <v>Megawidget L</v>
      </c>
      <c r="P3878" s="4">
        <f>OrganizedData[[#This Row],[Quantity]]*VLOOKUP(OrganizedData[[#This Row],[Product Code]],ProductData[],4,FALSE)</f>
        <v>120</v>
      </c>
      <c r="Q3878" s="6">
        <f>OrganizedData[[#This Row],[Total Items Ordered]]*VLOOKUP(OrganizedData[[#This Row],[Product Code]],ProductData[],3,FALSE)</f>
        <v>214.8</v>
      </c>
      <c r="R38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214.8</v>
      </c>
    </row>
    <row r="3879" spans="1:18" x14ac:dyDescent="0.3">
      <c r="A3879" s="2">
        <v>3872</v>
      </c>
      <c r="B3879" s="2" t="s">
        <v>1591</v>
      </c>
      <c r="C3879" s="2" t="s">
        <v>3090</v>
      </c>
      <c r="D3879" s="2" t="s">
        <v>28</v>
      </c>
      <c r="E3879" s="2" t="s">
        <v>29</v>
      </c>
      <c r="F3879" s="2">
        <v>30</v>
      </c>
      <c r="G3879" s="2" t="s">
        <v>8884</v>
      </c>
      <c r="H3879" s="2" t="s">
        <v>3245</v>
      </c>
      <c r="I3879" s="2" t="s">
        <v>32</v>
      </c>
      <c r="J3879" s="3">
        <v>44019</v>
      </c>
      <c r="K3879" s="5">
        <f>YEAR(OrganizedData[[#This Row],[Order Date]])</f>
        <v>2020</v>
      </c>
      <c r="L3879" s="7" t="str">
        <f>TEXT(OrganizedData[[#This Row],[Order Date]],"mmm")</f>
        <v>Jul</v>
      </c>
      <c r="M3879" s="2">
        <v>53</v>
      </c>
      <c r="N3879" s="2" t="s">
        <v>39</v>
      </c>
      <c r="O3879" s="2" t="str">
        <f>VLOOKUP(OrganizedData[[#This Row],[Product Code]],ProductData[[Code]:[Item]],2,FALSE)</f>
        <v>Ultrathing V1</v>
      </c>
      <c r="P3879" s="4">
        <f>OrganizedData[[#This Row],[Quantity]]*VLOOKUP(OrganizedData[[#This Row],[Product Code]],ProductData[],4,FALSE)</f>
        <v>901</v>
      </c>
      <c r="Q3879" s="6">
        <f>OrganizedData[[#This Row],[Total Items Ordered]]*VLOOKUP(OrganizedData[[#This Row],[Product Code]],ProductData[],3,FALSE)</f>
        <v>1612.79</v>
      </c>
      <c r="R38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1532.1505</v>
      </c>
    </row>
    <row r="3880" spans="1:18" x14ac:dyDescent="0.3">
      <c r="A3880" s="2">
        <v>3873</v>
      </c>
      <c r="B3880" s="2" t="s">
        <v>4647</v>
      </c>
      <c r="C3880" s="2" t="s">
        <v>2279</v>
      </c>
      <c r="D3880" s="2" t="s">
        <v>28</v>
      </c>
      <c r="E3880" s="2" t="s">
        <v>29</v>
      </c>
      <c r="F3880" s="2">
        <v>60</v>
      </c>
      <c r="G3880" s="2" t="s">
        <v>8885</v>
      </c>
      <c r="H3880" s="2" t="s">
        <v>8886</v>
      </c>
      <c r="I3880" s="2" t="s">
        <v>1311</v>
      </c>
      <c r="J3880" s="3">
        <v>44606</v>
      </c>
      <c r="K3880" s="5">
        <f>YEAR(OrganizedData[[#This Row],[Order Date]])</f>
        <v>2022</v>
      </c>
      <c r="L3880" s="7" t="str">
        <f>TEXT(OrganizedData[[#This Row],[Order Date]],"mmm")</f>
        <v>Feb</v>
      </c>
      <c r="M3880" s="2">
        <v>88</v>
      </c>
      <c r="N3880" s="2" t="s">
        <v>54</v>
      </c>
      <c r="O3880" s="2" t="str">
        <f>VLOOKUP(OrganizedData[[#This Row],[Product Code]],ProductData[[Code]:[Item]],2,FALSE)</f>
        <v>Megawidget S</v>
      </c>
      <c r="P3880" s="4">
        <f>OrganizedData[[#This Row],[Quantity]]*VLOOKUP(OrganizedData[[#This Row],[Product Code]],ProductData[],4,FALSE)</f>
        <v>2112</v>
      </c>
      <c r="Q3880" s="6">
        <f>OrganizedData[[#This Row],[Total Items Ordered]]*VLOOKUP(OrganizedData[[#This Row],[Product Code]],ProductData[],3,FALSE)</f>
        <v>1457.28</v>
      </c>
      <c r="R38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1384.4159999999999</v>
      </c>
    </row>
    <row r="3881" spans="1:18" x14ac:dyDescent="0.3">
      <c r="A3881" s="2">
        <v>3874</v>
      </c>
      <c r="B3881" s="2" t="s">
        <v>7018</v>
      </c>
      <c r="C3881" s="2" t="s">
        <v>8887</v>
      </c>
      <c r="D3881" s="2" t="s">
        <v>15</v>
      </c>
      <c r="E3881" s="2" t="s">
        <v>16</v>
      </c>
      <c r="F3881" s="2">
        <v>30</v>
      </c>
      <c r="G3881" s="2" t="s">
        <v>8888</v>
      </c>
      <c r="H3881" s="2" t="s">
        <v>927</v>
      </c>
      <c r="I3881" s="2" t="s">
        <v>129</v>
      </c>
      <c r="J3881" s="3">
        <v>44871</v>
      </c>
      <c r="K3881" s="5">
        <f>YEAR(OrganizedData[[#This Row],[Order Date]])</f>
        <v>2022</v>
      </c>
      <c r="L3881" s="7" t="str">
        <f>TEXT(OrganizedData[[#This Row],[Order Date]],"mmm")</f>
        <v>Nov</v>
      </c>
      <c r="M3881" s="2">
        <v>86</v>
      </c>
      <c r="N3881" s="2" t="s">
        <v>101</v>
      </c>
      <c r="O3881" s="2" t="str">
        <f>VLOOKUP(OrganizedData[[#This Row],[Product Code]],ProductData[[Code]:[Item]],2,FALSE)</f>
        <v>Superwossname</v>
      </c>
      <c r="P3881" s="4">
        <f>OrganizedData[[#This Row],[Quantity]]*VLOOKUP(OrganizedData[[#This Row],[Product Code]],ProductData[],4,FALSE)</f>
        <v>1720</v>
      </c>
      <c r="Q3881" s="6">
        <f>OrganizedData[[#This Row],[Total Items Ordered]]*VLOOKUP(OrganizedData[[#This Row],[Product Code]],ProductData[],3,FALSE)</f>
        <v>6002.8</v>
      </c>
      <c r="R38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5702.66</v>
      </c>
    </row>
    <row r="3882" spans="1:18" x14ac:dyDescent="0.3">
      <c r="A3882" s="2">
        <v>3875</v>
      </c>
      <c r="B3882" s="2" t="s">
        <v>7011</v>
      </c>
      <c r="C3882" s="2" t="s">
        <v>8236</v>
      </c>
      <c r="D3882" s="2" t="s">
        <v>15</v>
      </c>
      <c r="E3882" s="2" t="s">
        <v>16</v>
      </c>
      <c r="F3882" s="2">
        <v>90</v>
      </c>
      <c r="G3882" s="2" t="s">
        <v>8889</v>
      </c>
      <c r="H3882" s="2" t="s">
        <v>1708</v>
      </c>
      <c r="I3882" s="2" t="s">
        <v>124</v>
      </c>
      <c r="J3882" s="3">
        <v>44464</v>
      </c>
      <c r="K3882" s="5">
        <f>YEAR(OrganizedData[[#This Row],[Order Date]])</f>
        <v>2021</v>
      </c>
      <c r="L3882" s="7" t="str">
        <f>TEXT(OrganizedData[[#This Row],[Order Date]],"mmm")</f>
        <v>Sep</v>
      </c>
      <c r="M3882" s="2">
        <v>18</v>
      </c>
      <c r="N3882" s="2" t="s">
        <v>64</v>
      </c>
      <c r="O3882" s="2" t="str">
        <f>VLOOKUP(OrganizedData[[#This Row],[Product Code]],ProductData[[Code]:[Item]],2,FALSE)</f>
        <v>Ultrathing V4</v>
      </c>
      <c r="P3882" s="4">
        <f>OrganizedData[[#This Row],[Quantity]]*VLOOKUP(OrganizedData[[#This Row],[Product Code]],ProductData[],4,FALSE)</f>
        <v>432</v>
      </c>
      <c r="Q3882" s="6">
        <f>OrganizedData[[#This Row],[Total Items Ordered]]*VLOOKUP(OrganizedData[[#This Row],[Product Code]],ProductData[],3,FALSE)</f>
        <v>1723.68</v>
      </c>
      <c r="R38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1723.68</v>
      </c>
    </row>
    <row r="3883" spans="1:18" x14ac:dyDescent="0.3">
      <c r="A3883" s="2">
        <v>3876</v>
      </c>
      <c r="B3883" s="2" t="s">
        <v>3195</v>
      </c>
      <c r="C3883" s="2" t="s">
        <v>1465</v>
      </c>
      <c r="D3883" s="2" t="s">
        <v>15</v>
      </c>
      <c r="E3883" s="2" t="s">
        <v>16</v>
      </c>
      <c r="F3883" s="2">
        <v>30</v>
      </c>
      <c r="G3883" s="2" t="s">
        <v>8890</v>
      </c>
      <c r="H3883" s="2" t="s">
        <v>1486</v>
      </c>
      <c r="I3883" s="2" t="s">
        <v>32</v>
      </c>
      <c r="J3883" s="3">
        <v>44265</v>
      </c>
      <c r="K3883" s="5">
        <f>YEAR(OrganizedData[[#This Row],[Order Date]])</f>
        <v>2021</v>
      </c>
      <c r="L3883" s="7" t="str">
        <f>TEXT(OrganizedData[[#This Row],[Order Date]],"mmm")</f>
        <v>Mar</v>
      </c>
      <c r="M3883" s="2">
        <v>42</v>
      </c>
      <c r="N3883" s="2" t="s">
        <v>101</v>
      </c>
      <c r="O3883" s="2" t="str">
        <f>VLOOKUP(OrganizedData[[#This Row],[Product Code]],ProductData[[Code]:[Item]],2,FALSE)</f>
        <v>Superwossname</v>
      </c>
      <c r="P3883" s="4">
        <f>OrganizedData[[#This Row],[Quantity]]*VLOOKUP(OrganizedData[[#This Row],[Product Code]],ProductData[],4,FALSE)</f>
        <v>840</v>
      </c>
      <c r="Q3883" s="6">
        <f>OrganizedData[[#This Row],[Total Items Ordered]]*VLOOKUP(OrganizedData[[#This Row],[Product Code]],ProductData[],3,FALSE)</f>
        <v>2931.6000000000004</v>
      </c>
      <c r="R38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2843.6520000000005</v>
      </c>
    </row>
    <row r="3884" spans="1:18" x14ac:dyDescent="0.3">
      <c r="A3884" s="2">
        <v>3877</v>
      </c>
      <c r="B3884" s="2" t="s">
        <v>8891</v>
      </c>
      <c r="C3884" s="2" t="s">
        <v>3419</v>
      </c>
      <c r="D3884" s="2" t="s">
        <v>51</v>
      </c>
      <c r="E3884" s="2" t="s">
        <v>16</v>
      </c>
      <c r="F3884" s="2">
        <v>30</v>
      </c>
      <c r="G3884" s="2" t="s">
        <v>8892</v>
      </c>
      <c r="H3884" s="2" t="s">
        <v>1827</v>
      </c>
      <c r="I3884" s="2" t="s">
        <v>25</v>
      </c>
      <c r="J3884" s="3">
        <v>44849</v>
      </c>
      <c r="K3884" s="5">
        <f>YEAR(OrganizedData[[#This Row],[Order Date]])</f>
        <v>2022</v>
      </c>
      <c r="L3884" s="7" t="str">
        <f>TEXT(OrganizedData[[#This Row],[Order Date]],"mmm")</f>
        <v>Oct</v>
      </c>
      <c r="M3884" s="2">
        <v>56</v>
      </c>
      <c r="N3884" s="2" t="s">
        <v>80</v>
      </c>
      <c r="O3884" s="2" t="str">
        <f>VLOOKUP(OrganizedData[[#This Row],[Product Code]],ProductData[[Code]:[Item]],2,FALSE)</f>
        <v>Ultrathing V2</v>
      </c>
      <c r="P3884" s="4">
        <f>OrganizedData[[#This Row],[Quantity]]*VLOOKUP(OrganizedData[[#This Row],[Product Code]],ProductData[],4,FALSE)</f>
        <v>1120</v>
      </c>
      <c r="Q3884" s="6">
        <f>OrganizedData[[#This Row],[Total Items Ordered]]*VLOOKUP(OrganizedData[[#This Row],[Product Code]],ProductData[],3,FALSE)</f>
        <v>3304</v>
      </c>
      <c r="R38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3138.7999999999997</v>
      </c>
    </row>
    <row r="3885" spans="1:18" x14ac:dyDescent="0.3">
      <c r="A3885" s="2">
        <v>3878</v>
      </c>
      <c r="B3885" s="2" t="s">
        <v>1010</v>
      </c>
      <c r="C3885" s="2" t="s">
        <v>6447</v>
      </c>
      <c r="D3885" s="2" t="s">
        <v>28</v>
      </c>
      <c r="E3885" s="2" t="s">
        <v>29</v>
      </c>
      <c r="F3885" s="2">
        <v>60</v>
      </c>
      <c r="G3885" s="2" t="s">
        <v>8893</v>
      </c>
      <c r="H3885" s="2" t="s">
        <v>1969</v>
      </c>
      <c r="I3885" s="2" t="s">
        <v>32</v>
      </c>
      <c r="J3885" s="3">
        <v>44101</v>
      </c>
      <c r="K3885" s="5">
        <f>YEAR(OrganizedData[[#This Row],[Order Date]])</f>
        <v>2020</v>
      </c>
      <c r="L3885" s="7" t="str">
        <f>TEXT(OrganizedData[[#This Row],[Order Date]],"mmm")</f>
        <v>Sep</v>
      </c>
      <c r="M3885" s="2">
        <v>26</v>
      </c>
      <c r="N3885" s="2" t="s">
        <v>64</v>
      </c>
      <c r="O3885" s="2" t="str">
        <f>VLOOKUP(OrganizedData[[#This Row],[Product Code]],ProductData[[Code]:[Item]],2,FALSE)</f>
        <v>Ultrathing V4</v>
      </c>
      <c r="P3885" s="4">
        <f>OrganizedData[[#This Row],[Quantity]]*VLOOKUP(OrganizedData[[#This Row],[Product Code]],ProductData[],4,FALSE)</f>
        <v>624</v>
      </c>
      <c r="Q3885" s="6">
        <f>OrganizedData[[#This Row],[Total Items Ordered]]*VLOOKUP(OrganizedData[[#This Row],[Product Code]],ProductData[],3,FALSE)</f>
        <v>2489.7600000000002</v>
      </c>
      <c r="R38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3886" spans="1:18" x14ac:dyDescent="0.3">
      <c r="A3886" s="2">
        <v>3879</v>
      </c>
      <c r="B3886" s="2" t="s">
        <v>6845</v>
      </c>
      <c r="C3886" s="2" t="s">
        <v>8514</v>
      </c>
      <c r="D3886" s="2" t="s">
        <v>51</v>
      </c>
      <c r="E3886" s="2" t="s">
        <v>16</v>
      </c>
      <c r="F3886" s="2">
        <v>90</v>
      </c>
      <c r="G3886" s="2" t="s">
        <v>8894</v>
      </c>
      <c r="H3886" s="2" t="s">
        <v>4034</v>
      </c>
      <c r="I3886" s="2" t="s">
        <v>178</v>
      </c>
      <c r="J3886" s="3">
        <v>44051</v>
      </c>
      <c r="K3886" s="5">
        <f>YEAR(OrganizedData[[#This Row],[Order Date]])</f>
        <v>2020</v>
      </c>
      <c r="L3886" s="7" t="str">
        <f>TEXT(OrganizedData[[#This Row],[Order Date]],"mmm")</f>
        <v>Aug</v>
      </c>
      <c r="M3886" s="2">
        <v>54</v>
      </c>
      <c r="N3886" s="2" t="s">
        <v>45</v>
      </c>
      <c r="O3886" s="2" t="str">
        <f>VLOOKUP(OrganizedData[[#This Row],[Product Code]],ProductData[[Code]:[Item]],2,FALSE)</f>
        <v>Gigastuff</v>
      </c>
      <c r="P3886" s="4">
        <f>OrganizedData[[#This Row],[Quantity]]*VLOOKUP(OrganizedData[[#This Row],[Product Code]],ProductData[],4,FALSE)</f>
        <v>972</v>
      </c>
      <c r="Q3886" s="6">
        <f>OrganizedData[[#This Row],[Total Items Ordered]]*VLOOKUP(OrganizedData[[#This Row],[Product Code]],ProductData[],3,FALSE)</f>
        <v>1837.08</v>
      </c>
      <c r="R38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1745.2259999999999</v>
      </c>
    </row>
    <row r="3887" spans="1:18" x14ac:dyDescent="0.3">
      <c r="A3887" s="2">
        <v>3880</v>
      </c>
      <c r="B3887" s="2" t="s">
        <v>6328</v>
      </c>
      <c r="C3887" s="2" t="s">
        <v>8685</v>
      </c>
      <c r="D3887" s="2" t="s">
        <v>28</v>
      </c>
      <c r="E3887" s="2" t="s">
        <v>29</v>
      </c>
      <c r="F3887" s="2">
        <v>90</v>
      </c>
      <c r="G3887" s="2" t="s">
        <v>8895</v>
      </c>
      <c r="H3887" s="2" t="s">
        <v>2875</v>
      </c>
      <c r="I3887" s="2" t="s">
        <v>32</v>
      </c>
      <c r="J3887" s="3">
        <v>43886</v>
      </c>
      <c r="K3887" s="5">
        <f>YEAR(OrganizedData[[#This Row],[Order Date]])</f>
        <v>2020</v>
      </c>
      <c r="L3887" s="7" t="str">
        <f>TEXT(OrganizedData[[#This Row],[Order Date]],"mmm")</f>
        <v>Feb</v>
      </c>
      <c r="M3887" s="2">
        <v>37</v>
      </c>
      <c r="N3887" s="2" t="s">
        <v>70</v>
      </c>
      <c r="O3887" s="2" t="str">
        <f>VLOOKUP(OrganizedData[[#This Row],[Product Code]],ProductData[[Code]:[Item]],2,FALSE)</f>
        <v>Megawidget M</v>
      </c>
      <c r="P3887" s="4">
        <f>OrganizedData[[#This Row],[Quantity]]*VLOOKUP(OrganizedData[[#This Row],[Product Code]],ProductData[],4,FALSE)</f>
        <v>888</v>
      </c>
      <c r="Q3887" s="6">
        <f>OrganizedData[[#This Row],[Total Items Ordered]]*VLOOKUP(OrganizedData[[#This Row],[Product Code]],ProductData[],3,FALSE)</f>
        <v>1145.52</v>
      </c>
      <c r="R38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1111.1543999999999</v>
      </c>
    </row>
    <row r="3888" spans="1:18" x14ac:dyDescent="0.3">
      <c r="A3888" s="2">
        <v>3881</v>
      </c>
      <c r="B3888" s="2" t="s">
        <v>1158</v>
      </c>
      <c r="C3888" s="2" t="s">
        <v>8896</v>
      </c>
      <c r="D3888" s="2" t="s">
        <v>28</v>
      </c>
      <c r="E3888" s="2" t="s">
        <v>29</v>
      </c>
      <c r="F3888" s="2">
        <v>60</v>
      </c>
      <c r="G3888" s="2" t="s">
        <v>8897</v>
      </c>
      <c r="H3888" s="2" t="s">
        <v>3157</v>
      </c>
      <c r="I3888" s="2" t="s">
        <v>32</v>
      </c>
      <c r="J3888" s="3">
        <v>44863</v>
      </c>
      <c r="K3888" s="5">
        <f>YEAR(OrganizedData[[#This Row],[Order Date]])</f>
        <v>2022</v>
      </c>
      <c r="L3888" s="7" t="str">
        <f>TEXT(OrganizedData[[#This Row],[Order Date]],"mmm")</f>
        <v>Oct</v>
      </c>
      <c r="M3888" s="2">
        <v>38</v>
      </c>
      <c r="N3888" s="2" t="s">
        <v>64</v>
      </c>
      <c r="O3888" s="2" t="str">
        <f>VLOOKUP(OrganizedData[[#This Row],[Product Code]],ProductData[[Code]:[Item]],2,FALSE)</f>
        <v>Ultrathing V4</v>
      </c>
      <c r="P3888" s="4">
        <f>OrganizedData[[#This Row],[Quantity]]*VLOOKUP(OrganizedData[[#This Row],[Product Code]],ProductData[],4,FALSE)</f>
        <v>912</v>
      </c>
      <c r="Q3888" s="6">
        <f>OrganizedData[[#This Row],[Total Items Ordered]]*VLOOKUP(OrganizedData[[#This Row],[Product Code]],ProductData[],3,FALSE)</f>
        <v>3638.88</v>
      </c>
      <c r="R38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3889" spans="1:18" x14ac:dyDescent="0.3">
      <c r="A3889" s="2">
        <v>3882</v>
      </c>
      <c r="B3889" s="2" t="s">
        <v>1758</v>
      </c>
      <c r="C3889" s="2" t="s">
        <v>4994</v>
      </c>
      <c r="D3889" s="2" t="s">
        <v>15</v>
      </c>
      <c r="E3889" s="2" t="s">
        <v>16</v>
      </c>
      <c r="F3889" s="2">
        <v>30</v>
      </c>
      <c r="G3889" s="2" t="s">
        <v>8898</v>
      </c>
      <c r="H3889" s="2" t="s">
        <v>3666</v>
      </c>
      <c r="I3889" s="2" t="s">
        <v>1483</v>
      </c>
      <c r="J3889" s="3">
        <v>44068</v>
      </c>
      <c r="K3889" s="5">
        <f>YEAR(OrganizedData[[#This Row],[Order Date]])</f>
        <v>2020</v>
      </c>
      <c r="L3889" s="7" t="str">
        <f>TEXT(OrganizedData[[#This Row],[Order Date]],"mmm")</f>
        <v>Aug</v>
      </c>
      <c r="M3889" s="2">
        <v>17</v>
      </c>
      <c r="N3889" s="2" t="s">
        <v>70</v>
      </c>
      <c r="O3889" s="2" t="str">
        <f>VLOOKUP(OrganizedData[[#This Row],[Product Code]],ProductData[[Code]:[Item]],2,FALSE)</f>
        <v>Megawidget M</v>
      </c>
      <c r="P3889" s="4">
        <f>OrganizedData[[#This Row],[Quantity]]*VLOOKUP(OrganizedData[[#This Row],[Product Code]],ProductData[],4,FALSE)</f>
        <v>408</v>
      </c>
      <c r="Q3889" s="6">
        <f>OrganizedData[[#This Row],[Total Items Ordered]]*VLOOKUP(OrganizedData[[#This Row],[Product Code]],ProductData[],3,FALSE)</f>
        <v>526.32000000000005</v>
      </c>
      <c r="R38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526.32000000000005</v>
      </c>
    </row>
    <row r="3890" spans="1:18" x14ac:dyDescent="0.3">
      <c r="A3890" s="2">
        <v>3883</v>
      </c>
      <c r="B3890" s="2" t="s">
        <v>8899</v>
      </c>
      <c r="C3890" s="2" t="s">
        <v>1058</v>
      </c>
      <c r="D3890" s="2" t="s">
        <v>15</v>
      </c>
      <c r="E3890" s="2" t="s">
        <v>16</v>
      </c>
      <c r="F3890" s="2">
        <v>60</v>
      </c>
      <c r="G3890" s="2" t="s">
        <v>8900</v>
      </c>
      <c r="H3890" s="2" t="s">
        <v>1674</v>
      </c>
      <c r="I3890" s="2" t="s">
        <v>25</v>
      </c>
      <c r="J3890" s="3">
        <v>44669</v>
      </c>
      <c r="K3890" s="5">
        <f>YEAR(OrganizedData[[#This Row],[Order Date]])</f>
        <v>2022</v>
      </c>
      <c r="L3890" s="7" t="str">
        <f>TEXT(OrganizedData[[#This Row],[Order Date]],"mmm")</f>
        <v>Apr</v>
      </c>
      <c r="M3890" s="2">
        <v>18</v>
      </c>
      <c r="N3890" s="2" t="s">
        <v>80</v>
      </c>
      <c r="O3890" s="2" t="str">
        <f>VLOOKUP(OrganizedData[[#This Row],[Product Code]],ProductData[[Code]:[Item]],2,FALSE)</f>
        <v>Ultrathing V2</v>
      </c>
      <c r="P3890" s="4">
        <f>OrganizedData[[#This Row],[Quantity]]*VLOOKUP(OrganizedData[[#This Row],[Product Code]],ProductData[],4,FALSE)</f>
        <v>360</v>
      </c>
      <c r="Q3890" s="6">
        <f>OrganizedData[[#This Row],[Total Items Ordered]]*VLOOKUP(OrganizedData[[#This Row],[Product Code]],ProductData[],3,FALSE)</f>
        <v>1062</v>
      </c>
      <c r="R38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v>
      </c>
    </row>
    <row r="3891" spans="1:18" x14ac:dyDescent="0.3">
      <c r="A3891" s="2">
        <v>3884</v>
      </c>
      <c r="B3891" s="2" t="s">
        <v>6540</v>
      </c>
      <c r="C3891" s="2" t="s">
        <v>358</v>
      </c>
      <c r="D3891" s="2" t="s">
        <v>28</v>
      </c>
      <c r="E3891" s="2" t="s">
        <v>29</v>
      </c>
      <c r="F3891" s="2">
        <v>90</v>
      </c>
      <c r="G3891" s="2" t="s">
        <v>8901</v>
      </c>
      <c r="H3891" s="2" t="s">
        <v>5974</v>
      </c>
      <c r="I3891" s="2" t="s">
        <v>19</v>
      </c>
      <c r="J3891" s="3">
        <v>44240</v>
      </c>
      <c r="K3891" s="5">
        <f>YEAR(OrganizedData[[#This Row],[Order Date]])</f>
        <v>2021</v>
      </c>
      <c r="L3891" s="7" t="str">
        <f>TEXT(OrganizedData[[#This Row],[Order Date]],"mmm")</f>
        <v>Feb</v>
      </c>
      <c r="M3891" s="2">
        <v>94</v>
      </c>
      <c r="N3891" s="2" t="s">
        <v>101</v>
      </c>
      <c r="O3891" s="2" t="str">
        <f>VLOOKUP(OrganizedData[[#This Row],[Product Code]],ProductData[[Code]:[Item]],2,FALSE)</f>
        <v>Superwossname</v>
      </c>
      <c r="P3891" s="4">
        <f>OrganizedData[[#This Row],[Quantity]]*VLOOKUP(OrganizedData[[#This Row],[Product Code]],ProductData[],4,FALSE)</f>
        <v>1880</v>
      </c>
      <c r="Q3891" s="6">
        <f>OrganizedData[[#This Row],[Total Items Ordered]]*VLOOKUP(OrganizedData[[#This Row],[Product Code]],ProductData[],3,FALSE)</f>
        <v>6561.2000000000007</v>
      </c>
      <c r="R38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6233.14</v>
      </c>
    </row>
    <row r="3892" spans="1:18" x14ac:dyDescent="0.3">
      <c r="A3892" s="2">
        <v>3885</v>
      </c>
      <c r="B3892" s="2" t="s">
        <v>6624</v>
      </c>
      <c r="C3892" s="2" t="s">
        <v>403</v>
      </c>
      <c r="D3892" s="2" t="s">
        <v>51</v>
      </c>
      <c r="E3892" s="2" t="s">
        <v>16</v>
      </c>
      <c r="F3892" s="2">
        <v>90</v>
      </c>
      <c r="G3892" s="2" t="s">
        <v>8901</v>
      </c>
      <c r="H3892" s="2" t="s">
        <v>526</v>
      </c>
      <c r="I3892" s="2" t="s">
        <v>32</v>
      </c>
      <c r="J3892" s="3">
        <v>44210</v>
      </c>
      <c r="K3892" s="5">
        <f>YEAR(OrganizedData[[#This Row],[Order Date]])</f>
        <v>2021</v>
      </c>
      <c r="L3892" s="7" t="str">
        <f>TEXT(OrganizedData[[#This Row],[Order Date]],"mmm")</f>
        <v>Jan</v>
      </c>
      <c r="M3892" s="2">
        <v>47</v>
      </c>
      <c r="N3892" s="2" t="s">
        <v>39</v>
      </c>
      <c r="O3892" s="2" t="str">
        <f>VLOOKUP(OrganizedData[[#This Row],[Product Code]],ProductData[[Code]:[Item]],2,FALSE)</f>
        <v>Ultrathing V1</v>
      </c>
      <c r="P3892" s="4">
        <f>OrganizedData[[#This Row],[Quantity]]*VLOOKUP(OrganizedData[[#This Row],[Product Code]],ProductData[],4,FALSE)</f>
        <v>799</v>
      </c>
      <c r="Q3892" s="6">
        <f>OrganizedData[[#This Row],[Total Items Ordered]]*VLOOKUP(OrganizedData[[#This Row],[Product Code]],ProductData[],3,FALSE)</f>
        <v>1430.21</v>
      </c>
      <c r="R38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1387.3036999999999</v>
      </c>
    </row>
    <row r="3893" spans="1:18" x14ac:dyDescent="0.3">
      <c r="A3893" s="2">
        <v>3886</v>
      </c>
      <c r="B3893" s="2" t="s">
        <v>4368</v>
      </c>
      <c r="C3893" s="2" t="s">
        <v>4469</v>
      </c>
      <c r="D3893" s="2" t="s">
        <v>117</v>
      </c>
      <c r="E3893" s="2" t="s">
        <v>29</v>
      </c>
      <c r="F3893" s="2">
        <v>60</v>
      </c>
      <c r="G3893" s="2" t="s">
        <v>8902</v>
      </c>
      <c r="H3893" s="2" t="s">
        <v>7642</v>
      </c>
      <c r="I3893" s="2" t="s">
        <v>32</v>
      </c>
      <c r="J3893" s="3">
        <v>44363</v>
      </c>
      <c r="K3893" s="5">
        <f>YEAR(OrganizedData[[#This Row],[Order Date]])</f>
        <v>2021</v>
      </c>
      <c r="L3893" s="7" t="str">
        <f>TEXT(OrganizedData[[#This Row],[Order Date]],"mmm")</f>
        <v>Jun</v>
      </c>
      <c r="M3893" s="2">
        <v>94</v>
      </c>
      <c r="N3893" s="2" t="s">
        <v>101</v>
      </c>
      <c r="O3893" s="2" t="str">
        <f>VLOOKUP(OrganizedData[[#This Row],[Product Code]],ProductData[[Code]:[Item]],2,FALSE)</f>
        <v>Superwossname</v>
      </c>
      <c r="P3893" s="4">
        <f>OrganizedData[[#This Row],[Quantity]]*VLOOKUP(OrganizedData[[#This Row],[Product Code]],ProductData[],4,FALSE)</f>
        <v>1880</v>
      </c>
      <c r="Q3893" s="6">
        <f>OrganizedData[[#This Row],[Total Items Ordered]]*VLOOKUP(OrganizedData[[#This Row],[Product Code]],ProductData[],3,FALSE)</f>
        <v>6561.2000000000007</v>
      </c>
      <c r="R38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6233.14</v>
      </c>
    </row>
    <row r="3894" spans="1:18" x14ac:dyDescent="0.3">
      <c r="A3894" s="2">
        <v>3887</v>
      </c>
      <c r="B3894" s="2" t="s">
        <v>1229</v>
      </c>
      <c r="C3894" s="2" t="s">
        <v>4143</v>
      </c>
      <c r="D3894" s="2" t="s">
        <v>28</v>
      </c>
      <c r="E3894" s="2" t="s">
        <v>29</v>
      </c>
      <c r="F3894" s="2">
        <v>60</v>
      </c>
      <c r="G3894" s="2" t="s">
        <v>8903</v>
      </c>
      <c r="H3894" s="2" t="s">
        <v>7763</v>
      </c>
      <c r="I3894" s="2" t="s">
        <v>129</v>
      </c>
      <c r="J3894" s="3">
        <v>44782</v>
      </c>
      <c r="K3894" s="5">
        <f>YEAR(OrganizedData[[#This Row],[Order Date]])</f>
        <v>2022</v>
      </c>
      <c r="L3894" s="7" t="str">
        <f>TEXT(OrganizedData[[#This Row],[Order Date]],"mmm")</f>
        <v>Aug</v>
      </c>
      <c r="M3894" s="2">
        <v>56</v>
      </c>
      <c r="N3894" s="2" t="s">
        <v>64</v>
      </c>
      <c r="O3894" s="2" t="str">
        <f>VLOOKUP(OrganizedData[[#This Row],[Product Code]],ProductData[[Code]:[Item]],2,FALSE)</f>
        <v>Ultrathing V4</v>
      </c>
      <c r="P3894" s="4">
        <f>OrganizedData[[#This Row],[Quantity]]*VLOOKUP(OrganizedData[[#This Row],[Product Code]],ProductData[],4,FALSE)</f>
        <v>1344</v>
      </c>
      <c r="Q3894" s="6">
        <f>OrganizedData[[#This Row],[Total Items Ordered]]*VLOOKUP(OrganizedData[[#This Row],[Product Code]],ProductData[],3,FALSE)</f>
        <v>5362.56</v>
      </c>
      <c r="R38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5094.4319999999998</v>
      </c>
    </row>
    <row r="3895" spans="1:18" x14ac:dyDescent="0.3">
      <c r="A3895" s="2">
        <v>3888</v>
      </c>
      <c r="B3895" s="2" t="s">
        <v>5789</v>
      </c>
      <c r="C3895" s="2" t="s">
        <v>4994</v>
      </c>
      <c r="D3895" s="2" t="s">
        <v>28</v>
      </c>
      <c r="E3895" s="2" t="s">
        <v>29</v>
      </c>
      <c r="F3895" s="2">
        <v>90</v>
      </c>
      <c r="G3895" s="2" t="s">
        <v>8904</v>
      </c>
      <c r="H3895" s="2" t="s">
        <v>7008</v>
      </c>
      <c r="I3895" s="2" t="s">
        <v>25</v>
      </c>
      <c r="J3895" s="3">
        <v>44881</v>
      </c>
      <c r="K3895" s="5">
        <f>YEAR(OrganizedData[[#This Row],[Order Date]])</f>
        <v>2022</v>
      </c>
      <c r="L3895" s="7" t="str">
        <f>TEXT(OrganizedData[[#This Row],[Order Date]],"mmm")</f>
        <v>Nov</v>
      </c>
      <c r="M3895" s="2">
        <v>7</v>
      </c>
      <c r="N3895" s="2" t="s">
        <v>45</v>
      </c>
      <c r="O3895" s="2" t="str">
        <f>VLOOKUP(OrganizedData[[#This Row],[Product Code]],ProductData[[Code]:[Item]],2,FALSE)</f>
        <v>Gigastuff</v>
      </c>
      <c r="P3895" s="4">
        <f>OrganizedData[[#This Row],[Quantity]]*VLOOKUP(OrganizedData[[#This Row],[Product Code]],ProductData[],4,FALSE)</f>
        <v>126</v>
      </c>
      <c r="Q3895" s="6">
        <f>OrganizedData[[#This Row],[Total Items Ordered]]*VLOOKUP(OrganizedData[[#This Row],[Product Code]],ProductData[],3,FALSE)</f>
        <v>238.14</v>
      </c>
      <c r="R38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3896" spans="1:18" x14ac:dyDescent="0.3">
      <c r="A3896" s="2">
        <v>3889</v>
      </c>
      <c r="B3896" s="2" t="s">
        <v>3537</v>
      </c>
      <c r="C3896" s="2" t="s">
        <v>7138</v>
      </c>
      <c r="D3896" s="2" t="s">
        <v>15</v>
      </c>
      <c r="E3896" s="2" t="s">
        <v>16</v>
      </c>
      <c r="F3896" s="2">
        <v>60</v>
      </c>
      <c r="G3896" s="2" t="s">
        <v>8905</v>
      </c>
      <c r="H3896" s="2" t="s">
        <v>8906</v>
      </c>
      <c r="I3896" s="2" t="s">
        <v>240</v>
      </c>
      <c r="J3896" s="3">
        <v>43994</v>
      </c>
      <c r="K3896" s="5">
        <f>YEAR(OrganizedData[[#This Row],[Order Date]])</f>
        <v>2020</v>
      </c>
      <c r="L3896" s="7" t="str">
        <f>TEXT(OrganizedData[[#This Row],[Order Date]],"mmm")</f>
        <v>Jun</v>
      </c>
      <c r="M3896" s="2">
        <v>3</v>
      </c>
      <c r="N3896" s="2" t="s">
        <v>64</v>
      </c>
      <c r="O3896" s="2" t="str">
        <f>VLOOKUP(OrganizedData[[#This Row],[Product Code]],ProductData[[Code]:[Item]],2,FALSE)</f>
        <v>Ultrathing V4</v>
      </c>
      <c r="P3896" s="4">
        <f>OrganizedData[[#This Row],[Quantity]]*VLOOKUP(OrganizedData[[#This Row],[Product Code]],ProductData[],4,FALSE)</f>
        <v>72</v>
      </c>
      <c r="Q3896" s="6">
        <f>OrganizedData[[#This Row],[Total Items Ordered]]*VLOOKUP(OrganizedData[[#This Row],[Product Code]],ProductData[],3,FALSE)</f>
        <v>287.28000000000003</v>
      </c>
      <c r="R38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287.28000000000003</v>
      </c>
    </row>
    <row r="3897" spans="1:18" x14ac:dyDescent="0.3">
      <c r="A3897" s="2">
        <v>3890</v>
      </c>
      <c r="B3897" s="2" t="s">
        <v>8908</v>
      </c>
      <c r="C3897" s="2" t="s">
        <v>481</v>
      </c>
      <c r="D3897" s="2" t="s">
        <v>15</v>
      </c>
      <c r="E3897" s="2" t="s">
        <v>16</v>
      </c>
      <c r="F3897" s="2">
        <v>30</v>
      </c>
      <c r="G3897" s="2" t="s">
        <v>8909</v>
      </c>
      <c r="H3897" s="2" t="s">
        <v>917</v>
      </c>
      <c r="I3897" s="2" t="s">
        <v>32</v>
      </c>
      <c r="J3897" s="3">
        <v>44645</v>
      </c>
      <c r="K3897" s="5">
        <f>YEAR(OrganizedData[[#This Row],[Order Date]])</f>
        <v>2022</v>
      </c>
      <c r="L3897" s="7" t="str">
        <f>TEXT(OrganizedData[[#This Row],[Order Date]],"mmm")</f>
        <v>Mar</v>
      </c>
      <c r="M3897" s="2">
        <v>6</v>
      </c>
      <c r="N3897" s="2" t="s">
        <v>45</v>
      </c>
      <c r="O3897" s="2" t="str">
        <f>VLOOKUP(OrganizedData[[#This Row],[Product Code]],ProductData[[Code]:[Item]],2,FALSE)</f>
        <v>Gigastuff</v>
      </c>
      <c r="P3897" s="4">
        <f>OrganizedData[[#This Row],[Quantity]]*VLOOKUP(OrganizedData[[#This Row],[Product Code]],ProductData[],4,FALSE)</f>
        <v>108</v>
      </c>
      <c r="Q3897" s="6">
        <f>OrganizedData[[#This Row],[Total Items Ordered]]*VLOOKUP(OrganizedData[[#This Row],[Product Code]],ProductData[],3,FALSE)</f>
        <v>204.11999999999998</v>
      </c>
      <c r="R38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204.11999999999998</v>
      </c>
    </row>
    <row r="3898" spans="1:18" x14ac:dyDescent="0.3">
      <c r="A3898" s="2">
        <v>3891</v>
      </c>
      <c r="B3898" s="2" t="s">
        <v>8910</v>
      </c>
      <c r="C3898" s="2" t="s">
        <v>2773</v>
      </c>
      <c r="D3898" s="2" t="s">
        <v>15</v>
      </c>
      <c r="E3898" s="2" t="s">
        <v>16</v>
      </c>
      <c r="F3898" s="2">
        <v>60</v>
      </c>
      <c r="G3898" s="2" t="s">
        <v>8909</v>
      </c>
      <c r="H3898" s="2" t="s">
        <v>6826</v>
      </c>
      <c r="I3898" s="2" t="s">
        <v>32</v>
      </c>
      <c r="J3898" s="3">
        <v>44437</v>
      </c>
      <c r="K3898" s="5">
        <f>YEAR(OrganizedData[[#This Row],[Order Date]])</f>
        <v>2021</v>
      </c>
      <c r="L3898" s="7" t="str">
        <f>TEXT(OrganizedData[[#This Row],[Order Date]],"mmm")</f>
        <v>Aug</v>
      </c>
      <c r="M3898" s="2">
        <v>68</v>
      </c>
      <c r="N3898" s="2" t="s">
        <v>101</v>
      </c>
      <c r="O3898" s="2" t="str">
        <f>VLOOKUP(OrganizedData[[#This Row],[Product Code]],ProductData[[Code]:[Item]],2,FALSE)</f>
        <v>Superwossname</v>
      </c>
      <c r="P3898" s="4">
        <f>OrganizedData[[#This Row],[Quantity]]*VLOOKUP(OrganizedData[[#This Row],[Product Code]],ProductData[],4,FALSE)</f>
        <v>1360</v>
      </c>
      <c r="Q3898" s="6">
        <f>OrganizedData[[#This Row],[Total Items Ordered]]*VLOOKUP(OrganizedData[[#This Row],[Product Code]],ProductData[],3,FALSE)</f>
        <v>4746.4000000000005</v>
      </c>
      <c r="R38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4509.08</v>
      </c>
    </row>
    <row r="3899" spans="1:18" x14ac:dyDescent="0.3">
      <c r="A3899" s="2">
        <v>3892</v>
      </c>
      <c r="B3899" s="2" t="s">
        <v>8911</v>
      </c>
      <c r="C3899" s="2" t="s">
        <v>7226</v>
      </c>
      <c r="D3899" s="2" t="s">
        <v>28</v>
      </c>
      <c r="E3899" s="2" t="s">
        <v>29</v>
      </c>
      <c r="F3899" s="2">
        <v>30</v>
      </c>
      <c r="G3899" s="2" t="s">
        <v>8912</v>
      </c>
      <c r="H3899" s="2" t="s">
        <v>2380</v>
      </c>
      <c r="I3899" s="2" t="s">
        <v>173</v>
      </c>
      <c r="J3899" s="3">
        <v>44302</v>
      </c>
      <c r="K3899" s="5">
        <f>YEAR(OrganizedData[[#This Row],[Order Date]])</f>
        <v>2021</v>
      </c>
      <c r="L3899" s="7" t="str">
        <f>TEXT(OrganizedData[[#This Row],[Order Date]],"mmm")</f>
        <v>Apr</v>
      </c>
      <c r="M3899" s="2">
        <v>3</v>
      </c>
      <c r="N3899" s="2" t="s">
        <v>64</v>
      </c>
      <c r="O3899" s="2" t="str">
        <f>VLOOKUP(OrganizedData[[#This Row],[Product Code]],ProductData[[Code]:[Item]],2,FALSE)</f>
        <v>Ultrathing V4</v>
      </c>
      <c r="P3899" s="4">
        <f>OrganizedData[[#This Row],[Quantity]]*VLOOKUP(OrganizedData[[#This Row],[Product Code]],ProductData[],4,FALSE)</f>
        <v>72</v>
      </c>
      <c r="Q3899" s="6">
        <f>OrganizedData[[#This Row],[Total Items Ordered]]*VLOOKUP(OrganizedData[[#This Row],[Product Code]],ProductData[],3,FALSE)</f>
        <v>287.28000000000003</v>
      </c>
      <c r="R38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287.28000000000003</v>
      </c>
    </row>
    <row r="3900" spans="1:18" x14ac:dyDescent="0.3">
      <c r="A3900" s="2">
        <v>3893</v>
      </c>
      <c r="B3900" s="2" t="s">
        <v>1985</v>
      </c>
      <c r="C3900" s="2" t="s">
        <v>8913</v>
      </c>
      <c r="D3900" s="2" t="s">
        <v>28</v>
      </c>
      <c r="E3900" s="2" t="s">
        <v>29</v>
      </c>
      <c r="F3900" s="2">
        <v>60</v>
      </c>
      <c r="G3900" s="2" t="s">
        <v>8912</v>
      </c>
      <c r="H3900" s="2" t="s">
        <v>408</v>
      </c>
      <c r="I3900" s="2" t="s">
        <v>25</v>
      </c>
      <c r="J3900" s="3">
        <v>44038</v>
      </c>
      <c r="K3900" s="5">
        <f>YEAR(OrganizedData[[#This Row],[Order Date]])</f>
        <v>2020</v>
      </c>
      <c r="L3900" s="7" t="str">
        <f>TEXT(OrganizedData[[#This Row],[Order Date]],"mmm")</f>
        <v>Jul</v>
      </c>
      <c r="M3900" s="2">
        <v>78</v>
      </c>
      <c r="N3900" s="2" t="s">
        <v>101</v>
      </c>
      <c r="O3900" s="2" t="str">
        <f>VLOOKUP(OrganizedData[[#This Row],[Product Code]],ProductData[[Code]:[Item]],2,FALSE)</f>
        <v>Superwossname</v>
      </c>
      <c r="P3900" s="4">
        <f>OrganizedData[[#This Row],[Quantity]]*VLOOKUP(OrganizedData[[#This Row],[Product Code]],ProductData[],4,FALSE)</f>
        <v>1560</v>
      </c>
      <c r="Q3900" s="6">
        <f>OrganizedData[[#This Row],[Total Items Ordered]]*VLOOKUP(OrganizedData[[#This Row],[Product Code]],ProductData[],3,FALSE)</f>
        <v>5444.4000000000005</v>
      </c>
      <c r="R39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3901" spans="1:18" x14ac:dyDescent="0.3">
      <c r="A3901" s="2">
        <v>3894</v>
      </c>
      <c r="B3901" s="2" t="s">
        <v>8914</v>
      </c>
      <c r="C3901" s="2" t="s">
        <v>8915</v>
      </c>
      <c r="D3901" s="2" t="s">
        <v>51</v>
      </c>
      <c r="E3901" s="2" t="s">
        <v>16</v>
      </c>
      <c r="F3901" s="2">
        <v>90</v>
      </c>
      <c r="G3901" s="2" t="s">
        <v>8916</v>
      </c>
      <c r="H3901" s="2" t="s">
        <v>6736</v>
      </c>
      <c r="I3901" s="2" t="s">
        <v>32</v>
      </c>
      <c r="J3901" s="3">
        <v>44116</v>
      </c>
      <c r="K3901" s="5">
        <f>YEAR(OrganizedData[[#This Row],[Order Date]])</f>
        <v>2020</v>
      </c>
      <c r="L3901" s="7" t="str">
        <f>TEXT(OrganizedData[[#This Row],[Order Date]],"mmm")</f>
        <v>Oct</v>
      </c>
      <c r="M3901" s="2">
        <v>77</v>
      </c>
      <c r="N3901" s="2" t="s">
        <v>159</v>
      </c>
      <c r="O3901" s="2" t="str">
        <f>VLOOKUP(OrganizedData[[#This Row],[Product Code]],ProductData[[Code]:[Item]],2,FALSE)</f>
        <v>Ultrathing V3</v>
      </c>
      <c r="P3901" s="4">
        <f>OrganizedData[[#This Row],[Quantity]]*VLOOKUP(OrganizedData[[#This Row],[Product Code]],ProductData[],4,FALSE)</f>
        <v>1848</v>
      </c>
      <c r="Q3901" s="6">
        <f>OrganizedData[[#This Row],[Total Items Ordered]]*VLOOKUP(OrganizedData[[#This Row],[Product Code]],ProductData[],3,FALSE)</f>
        <v>6264.72</v>
      </c>
      <c r="R39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5951.4840000000004</v>
      </c>
    </row>
    <row r="3902" spans="1:18" x14ac:dyDescent="0.3">
      <c r="A3902" s="2">
        <v>3895</v>
      </c>
      <c r="B3902" s="2" t="s">
        <v>2650</v>
      </c>
      <c r="C3902" s="2" t="s">
        <v>8917</v>
      </c>
      <c r="D3902" s="2" t="s">
        <v>28</v>
      </c>
      <c r="E3902" s="2" t="s">
        <v>29</v>
      </c>
      <c r="F3902" s="2">
        <v>90</v>
      </c>
      <c r="G3902" s="2" t="s">
        <v>8918</v>
      </c>
      <c r="H3902" s="2" t="s">
        <v>2163</v>
      </c>
      <c r="I3902" s="2" t="s">
        <v>1824</v>
      </c>
      <c r="J3902" s="3">
        <v>44012</v>
      </c>
      <c r="K3902" s="5">
        <f>YEAR(OrganizedData[[#This Row],[Order Date]])</f>
        <v>2020</v>
      </c>
      <c r="L3902" s="7" t="str">
        <f>TEXT(OrganizedData[[#This Row],[Order Date]],"mmm")</f>
        <v>Jun</v>
      </c>
      <c r="M3902" s="2">
        <v>45</v>
      </c>
      <c r="N3902" s="2" t="s">
        <v>39</v>
      </c>
      <c r="O3902" s="2" t="str">
        <f>VLOOKUP(OrganizedData[[#This Row],[Product Code]],ProductData[[Code]:[Item]],2,FALSE)</f>
        <v>Ultrathing V1</v>
      </c>
      <c r="P3902" s="4">
        <f>OrganizedData[[#This Row],[Quantity]]*VLOOKUP(OrganizedData[[#This Row],[Product Code]],ProductData[],4,FALSE)</f>
        <v>765</v>
      </c>
      <c r="Q3902" s="6">
        <f>OrganizedData[[#This Row],[Total Items Ordered]]*VLOOKUP(OrganizedData[[#This Row],[Product Code]],ProductData[],3,FALSE)</f>
        <v>1369.3500000000001</v>
      </c>
      <c r="R39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1328.2695000000001</v>
      </c>
    </row>
    <row r="3903" spans="1:18" x14ac:dyDescent="0.3">
      <c r="A3903" s="2">
        <v>3896</v>
      </c>
      <c r="B3903" s="2" t="s">
        <v>8919</v>
      </c>
      <c r="C3903" s="2" t="s">
        <v>7485</v>
      </c>
      <c r="D3903" s="2" t="s">
        <v>15</v>
      </c>
      <c r="E3903" s="2" t="s">
        <v>16</v>
      </c>
      <c r="F3903" s="2">
        <v>60</v>
      </c>
      <c r="G3903" s="2" t="s">
        <v>8920</v>
      </c>
      <c r="H3903" s="2" t="s">
        <v>6787</v>
      </c>
      <c r="I3903" s="2" t="s">
        <v>1035</v>
      </c>
      <c r="J3903" s="3">
        <v>44063</v>
      </c>
      <c r="K3903" s="5">
        <f>YEAR(OrganizedData[[#This Row],[Order Date]])</f>
        <v>2020</v>
      </c>
      <c r="L3903" s="7" t="str">
        <f>TEXT(OrganizedData[[#This Row],[Order Date]],"mmm")</f>
        <v>Aug</v>
      </c>
      <c r="M3903" s="2">
        <v>59</v>
      </c>
      <c r="N3903" s="2" t="s">
        <v>33</v>
      </c>
      <c r="O3903" s="2" t="str">
        <f>VLOOKUP(OrganizedData[[#This Row],[Product Code]],ProductData[[Code]:[Item]],2,FALSE)</f>
        <v>Megawidget L</v>
      </c>
      <c r="P3903" s="4">
        <f>OrganizedData[[#This Row],[Quantity]]*VLOOKUP(OrganizedData[[#This Row],[Product Code]],ProductData[],4,FALSE)</f>
        <v>1416</v>
      </c>
      <c r="Q3903" s="6">
        <f>OrganizedData[[#This Row],[Total Items Ordered]]*VLOOKUP(OrganizedData[[#This Row],[Product Code]],ProductData[],3,FALSE)</f>
        <v>2534.64</v>
      </c>
      <c r="R39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2407.9079999999999</v>
      </c>
    </row>
    <row r="3904" spans="1:18" x14ac:dyDescent="0.3">
      <c r="A3904" s="2">
        <v>3897</v>
      </c>
      <c r="B3904" s="2" t="s">
        <v>5559</v>
      </c>
      <c r="C3904" s="2" t="s">
        <v>3269</v>
      </c>
      <c r="D3904" s="2" t="s">
        <v>28</v>
      </c>
      <c r="E3904" s="2" t="s">
        <v>29</v>
      </c>
      <c r="F3904" s="2">
        <v>60</v>
      </c>
      <c r="G3904" s="2" t="s">
        <v>10568</v>
      </c>
      <c r="H3904" s="2" t="s">
        <v>4077</v>
      </c>
      <c r="I3904" s="2" t="s">
        <v>554</v>
      </c>
      <c r="J3904" s="3">
        <v>43902</v>
      </c>
      <c r="K3904" s="5">
        <f>YEAR(OrganizedData[[#This Row],[Order Date]])</f>
        <v>2020</v>
      </c>
      <c r="L3904" s="7" t="str">
        <f>TEXT(OrganizedData[[#This Row],[Order Date]],"mmm")</f>
        <v>Mar</v>
      </c>
      <c r="M3904" s="2">
        <v>11</v>
      </c>
      <c r="N3904" s="2" t="s">
        <v>80</v>
      </c>
      <c r="O3904" s="2" t="str">
        <f>VLOOKUP(OrganizedData[[#This Row],[Product Code]],ProductData[[Code]:[Item]],2,FALSE)</f>
        <v>Ultrathing V2</v>
      </c>
      <c r="P3904" s="4">
        <f>OrganizedData[[#This Row],[Quantity]]*VLOOKUP(OrganizedData[[#This Row],[Product Code]],ProductData[],4,FALSE)</f>
        <v>220</v>
      </c>
      <c r="Q3904" s="6">
        <f>OrganizedData[[#This Row],[Total Items Ordered]]*VLOOKUP(OrganizedData[[#This Row],[Product Code]],ProductData[],3,FALSE)</f>
        <v>649</v>
      </c>
      <c r="R39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v>
      </c>
    </row>
    <row r="3905" spans="1:18" x14ac:dyDescent="0.3">
      <c r="A3905" s="2">
        <v>3898</v>
      </c>
      <c r="B3905" s="2" t="s">
        <v>3696</v>
      </c>
      <c r="C3905" s="2" t="s">
        <v>7149</v>
      </c>
      <c r="D3905" s="2" t="s">
        <v>41</v>
      </c>
      <c r="E3905" s="2" t="s">
        <v>16</v>
      </c>
      <c r="F3905" s="2">
        <v>30</v>
      </c>
      <c r="G3905" s="2" t="s">
        <v>8922</v>
      </c>
      <c r="H3905" s="2" t="s">
        <v>917</v>
      </c>
      <c r="I3905" s="2" t="s">
        <v>32</v>
      </c>
      <c r="J3905" s="3">
        <v>44903</v>
      </c>
      <c r="K3905" s="5">
        <f>YEAR(OrganizedData[[#This Row],[Order Date]])</f>
        <v>2022</v>
      </c>
      <c r="L3905" s="7" t="str">
        <f>TEXT(OrganizedData[[#This Row],[Order Date]],"mmm")</f>
        <v>Dec</v>
      </c>
      <c r="M3905" s="2">
        <v>73</v>
      </c>
      <c r="N3905" s="2" t="s">
        <v>39</v>
      </c>
      <c r="O3905" s="2" t="str">
        <f>VLOOKUP(OrganizedData[[#This Row],[Product Code]],ProductData[[Code]:[Item]],2,FALSE)</f>
        <v>Ultrathing V1</v>
      </c>
      <c r="P3905" s="4">
        <f>OrganizedData[[#This Row],[Quantity]]*VLOOKUP(OrganizedData[[#This Row],[Product Code]],ProductData[],4,FALSE)</f>
        <v>1241</v>
      </c>
      <c r="Q3905" s="6">
        <f>OrganizedData[[#This Row],[Total Items Ordered]]*VLOOKUP(OrganizedData[[#This Row],[Product Code]],ProductData[],3,FALSE)</f>
        <v>2221.39</v>
      </c>
      <c r="R39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3906" spans="1:18" x14ac:dyDescent="0.3">
      <c r="A3906" s="2">
        <v>3899</v>
      </c>
      <c r="B3906" s="2" t="s">
        <v>8923</v>
      </c>
      <c r="C3906" s="2" t="s">
        <v>1765</v>
      </c>
      <c r="D3906" s="2" t="s">
        <v>51</v>
      </c>
      <c r="E3906" s="2" t="s">
        <v>16</v>
      </c>
      <c r="F3906" s="2">
        <v>90</v>
      </c>
      <c r="G3906" s="2" t="s">
        <v>8924</v>
      </c>
      <c r="H3906" s="2" t="s">
        <v>2893</v>
      </c>
      <c r="I3906" s="2" t="s">
        <v>32</v>
      </c>
      <c r="J3906" s="3">
        <v>44785</v>
      </c>
      <c r="K3906" s="5">
        <f>YEAR(OrganizedData[[#This Row],[Order Date]])</f>
        <v>2022</v>
      </c>
      <c r="L3906" s="7" t="str">
        <f>TEXT(OrganizedData[[#This Row],[Order Date]],"mmm")</f>
        <v>Aug</v>
      </c>
      <c r="M3906" s="2">
        <v>46</v>
      </c>
      <c r="N3906" s="2" t="s">
        <v>80</v>
      </c>
      <c r="O3906" s="2" t="str">
        <f>VLOOKUP(OrganizedData[[#This Row],[Product Code]],ProductData[[Code]:[Item]],2,FALSE)</f>
        <v>Ultrathing V2</v>
      </c>
      <c r="P3906" s="4">
        <f>OrganizedData[[#This Row],[Quantity]]*VLOOKUP(OrganizedData[[#This Row],[Product Code]],ProductData[],4,FALSE)</f>
        <v>920</v>
      </c>
      <c r="Q3906" s="6">
        <f>OrganizedData[[#This Row],[Total Items Ordered]]*VLOOKUP(OrganizedData[[#This Row],[Product Code]],ProductData[],3,FALSE)</f>
        <v>2714</v>
      </c>
      <c r="R39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3907" spans="1:18" x14ac:dyDescent="0.3">
      <c r="A3907" s="2">
        <v>3900</v>
      </c>
      <c r="B3907" s="2" t="s">
        <v>4460</v>
      </c>
      <c r="C3907" s="2" t="s">
        <v>391</v>
      </c>
      <c r="D3907" s="2" t="s">
        <v>28</v>
      </c>
      <c r="E3907" s="2" t="s">
        <v>29</v>
      </c>
      <c r="F3907" s="2">
        <v>30</v>
      </c>
      <c r="G3907" s="2" t="s">
        <v>8925</v>
      </c>
      <c r="H3907" s="2" t="s">
        <v>1272</v>
      </c>
      <c r="I3907" s="2" t="s">
        <v>59</v>
      </c>
      <c r="J3907" s="3">
        <v>44213</v>
      </c>
      <c r="K3907" s="5">
        <f>YEAR(OrganizedData[[#This Row],[Order Date]])</f>
        <v>2021</v>
      </c>
      <c r="L3907" s="7" t="str">
        <f>TEXT(OrganizedData[[#This Row],[Order Date]],"mmm")</f>
        <v>Jan</v>
      </c>
      <c r="M3907" s="2">
        <v>16</v>
      </c>
      <c r="N3907" s="2" t="s">
        <v>70</v>
      </c>
      <c r="O3907" s="2" t="str">
        <f>VLOOKUP(OrganizedData[[#This Row],[Product Code]],ProductData[[Code]:[Item]],2,FALSE)</f>
        <v>Megawidget M</v>
      </c>
      <c r="P3907" s="4">
        <f>OrganizedData[[#This Row],[Quantity]]*VLOOKUP(OrganizedData[[#This Row],[Product Code]],ProductData[],4,FALSE)</f>
        <v>384</v>
      </c>
      <c r="Q3907" s="6">
        <f>OrganizedData[[#This Row],[Total Items Ordered]]*VLOOKUP(OrganizedData[[#This Row],[Product Code]],ProductData[],3,FALSE)</f>
        <v>495.36</v>
      </c>
      <c r="R39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495.36</v>
      </c>
    </row>
    <row r="3908" spans="1:18" x14ac:dyDescent="0.3">
      <c r="A3908" s="2">
        <v>3901</v>
      </c>
      <c r="B3908" s="2" t="s">
        <v>8926</v>
      </c>
      <c r="C3908" s="2" t="s">
        <v>1813</v>
      </c>
      <c r="D3908" s="2" t="s">
        <v>51</v>
      </c>
      <c r="E3908" s="2" t="s">
        <v>16</v>
      </c>
      <c r="F3908" s="2">
        <v>60</v>
      </c>
      <c r="G3908" s="2" t="s">
        <v>8925</v>
      </c>
      <c r="H3908" s="2" t="s">
        <v>2076</v>
      </c>
      <c r="I3908" s="2" t="s">
        <v>2077</v>
      </c>
      <c r="J3908" s="3">
        <v>44241</v>
      </c>
      <c r="K3908" s="5">
        <f>YEAR(OrganizedData[[#This Row],[Order Date]])</f>
        <v>2021</v>
      </c>
      <c r="L3908" s="7" t="str">
        <f>TEXT(OrganizedData[[#This Row],[Order Date]],"mmm")</f>
        <v>Feb</v>
      </c>
      <c r="M3908" s="2">
        <v>11</v>
      </c>
      <c r="N3908" s="2" t="s">
        <v>70</v>
      </c>
      <c r="O3908" s="2" t="str">
        <f>VLOOKUP(OrganizedData[[#This Row],[Product Code]],ProductData[[Code]:[Item]],2,FALSE)</f>
        <v>Megawidget M</v>
      </c>
      <c r="P3908" s="4">
        <f>OrganizedData[[#This Row],[Quantity]]*VLOOKUP(OrganizedData[[#This Row],[Product Code]],ProductData[],4,FALSE)</f>
        <v>264</v>
      </c>
      <c r="Q3908" s="6">
        <f>OrganizedData[[#This Row],[Total Items Ordered]]*VLOOKUP(OrganizedData[[#This Row],[Product Code]],ProductData[],3,FALSE)</f>
        <v>340.56</v>
      </c>
      <c r="R39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340.56</v>
      </c>
    </row>
    <row r="3909" spans="1:18" x14ac:dyDescent="0.3">
      <c r="A3909" s="2">
        <v>3902</v>
      </c>
      <c r="B3909" s="2" t="s">
        <v>7734</v>
      </c>
      <c r="C3909" s="2" t="s">
        <v>8134</v>
      </c>
      <c r="D3909" s="2" t="s">
        <v>15</v>
      </c>
      <c r="E3909" s="2" t="s">
        <v>16</v>
      </c>
      <c r="F3909" s="2">
        <v>90</v>
      </c>
      <c r="G3909" s="2" t="s">
        <v>8927</v>
      </c>
      <c r="H3909" s="2" t="s">
        <v>2831</v>
      </c>
      <c r="I3909" s="2" t="s">
        <v>32</v>
      </c>
      <c r="J3909" s="3">
        <v>44340</v>
      </c>
      <c r="K3909" s="5">
        <f>YEAR(OrganizedData[[#This Row],[Order Date]])</f>
        <v>2021</v>
      </c>
      <c r="L3909" s="7" t="str">
        <f>TEXT(OrganizedData[[#This Row],[Order Date]],"mmm")</f>
        <v>May</v>
      </c>
      <c r="M3909" s="2">
        <v>72</v>
      </c>
      <c r="N3909" s="2" t="s">
        <v>33</v>
      </c>
      <c r="O3909" s="2" t="str">
        <f>VLOOKUP(OrganizedData[[#This Row],[Product Code]],ProductData[[Code]:[Item]],2,FALSE)</f>
        <v>Megawidget L</v>
      </c>
      <c r="P3909" s="4">
        <f>OrganizedData[[#This Row],[Quantity]]*VLOOKUP(OrganizedData[[#This Row],[Product Code]],ProductData[],4,FALSE)</f>
        <v>1728</v>
      </c>
      <c r="Q3909" s="6">
        <f>OrganizedData[[#This Row],[Total Items Ordered]]*VLOOKUP(OrganizedData[[#This Row],[Product Code]],ProductData[],3,FALSE)</f>
        <v>3093.12</v>
      </c>
      <c r="R39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2938.4639999999999</v>
      </c>
    </row>
    <row r="3910" spans="1:18" x14ac:dyDescent="0.3">
      <c r="A3910" s="2">
        <v>3903</v>
      </c>
      <c r="B3910" s="2" t="s">
        <v>7896</v>
      </c>
      <c r="C3910" s="2" t="s">
        <v>2480</v>
      </c>
      <c r="D3910" s="2" t="s">
        <v>92</v>
      </c>
      <c r="E3910" s="2" t="s">
        <v>16</v>
      </c>
      <c r="F3910" s="2">
        <v>30</v>
      </c>
      <c r="G3910" s="2" t="s">
        <v>8928</v>
      </c>
      <c r="H3910" s="2" t="s">
        <v>7689</v>
      </c>
      <c r="I3910" s="2" t="s">
        <v>38</v>
      </c>
      <c r="J3910" s="3">
        <v>44752</v>
      </c>
      <c r="K3910" s="5">
        <f>YEAR(OrganizedData[[#This Row],[Order Date]])</f>
        <v>2022</v>
      </c>
      <c r="L3910" s="7" t="str">
        <f>TEXT(OrganizedData[[#This Row],[Order Date]],"mmm")</f>
        <v>Jul</v>
      </c>
      <c r="M3910" s="2">
        <v>41</v>
      </c>
      <c r="N3910" s="2" t="s">
        <v>39</v>
      </c>
      <c r="O3910" s="2" t="str">
        <f>VLOOKUP(OrganizedData[[#This Row],[Product Code]],ProductData[[Code]:[Item]],2,FALSE)</f>
        <v>Ultrathing V1</v>
      </c>
      <c r="P3910" s="4">
        <f>OrganizedData[[#This Row],[Quantity]]*VLOOKUP(OrganizedData[[#This Row],[Product Code]],ProductData[],4,FALSE)</f>
        <v>697</v>
      </c>
      <c r="Q3910" s="6">
        <f>OrganizedData[[#This Row],[Total Items Ordered]]*VLOOKUP(OrganizedData[[#This Row],[Product Code]],ProductData[],3,FALSE)</f>
        <v>1247.6300000000001</v>
      </c>
      <c r="R39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1210.2011</v>
      </c>
    </row>
    <row r="3911" spans="1:18" x14ac:dyDescent="0.3">
      <c r="A3911" s="2">
        <v>3904</v>
      </c>
      <c r="B3911" s="2" t="s">
        <v>8929</v>
      </c>
      <c r="C3911" s="2" t="s">
        <v>2125</v>
      </c>
      <c r="D3911" s="2" t="s">
        <v>51</v>
      </c>
      <c r="E3911" s="2" t="s">
        <v>16</v>
      </c>
      <c r="F3911" s="2">
        <v>60</v>
      </c>
      <c r="G3911" s="2" t="s">
        <v>8930</v>
      </c>
      <c r="H3911" s="2" t="s">
        <v>270</v>
      </c>
      <c r="I3911" s="2" t="s">
        <v>187</v>
      </c>
      <c r="J3911" s="3">
        <v>43961</v>
      </c>
      <c r="K3911" s="5">
        <f>YEAR(OrganizedData[[#This Row],[Order Date]])</f>
        <v>2020</v>
      </c>
      <c r="L3911" s="7" t="str">
        <f>TEXT(OrganizedData[[#This Row],[Order Date]],"mmm")</f>
        <v>May</v>
      </c>
      <c r="M3911" s="2">
        <v>23</v>
      </c>
      <c r="N3911" s="2" t="s">
        <v>39</v>
      </c>
      <c r="O3911" s="2" t="str">
        <f>VLOOKUP(OrganizedData[[#This Row],[Product Code]],ProductData[[Code]:[Item]],2,FALSE)</f>
        <v>Ultrathing V1</v>
      </c>
      <c r="P3911" s="4">
        <f>OrganizedData[[#This Row],[Quantity]]*VLOOKUP(OrganizedData[[#This Row],[Product Code]],ProductData[],4,FALSE)</f>
        <v>391</v>
      </c>
      <c r="Q3911" s="6">
        <f>OrganizedData[[#This Row],[Total Items Ordered]]*VLOOKUP(OrganizedData[[#This Row],[Product Code]],ProductData[],3,FALSE)</f>
        <v>699.89</v>
      </c>
      <c r="R39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3912" spans="1:18" x14ac:dyDescent="0.3">
      <c r="A3912" s="2">
        <v>3905</v>
      </c>
      <c r="B3912" s="2" t="s">
        <v>7006</v>
      </c>
      <c r="C3912" s="2" t="s">
        <v>328</v>
      </c>
      <c r="D3912" s="2" t="s">
        <v>28</v>
      </c>
      <c r="E3912" s="2" t="s">
        <v>29</v>
      </c>
      <c r="F3912" s="2">
        <v>90</v>
      </c>
      <c r="G3912" s="2" t="s">
        <v>8931</v>
      </c>
      <c r="H3912" s="2" t="s">
        <v>5778</v>
      </c>
      <c r="I3912" s="2" t="s">
        <v>1311</v>
      </c>
      <c r="J3912" s="3">
        <v>43932</v>
      </c>
      <c r="K3912" s="5">
        <f>YEAR(OrganizedData[[#This Row],[Order Date]])</f>
        <v>2020</v>
      </c>
      <c r="L3912" s="7" t="str">
        <f>TEXT(OrganizedData[[#This Row],[Order Date]],"mmm")</f>
        <v>Apr</v>
      </c>
      <c r="M3912" s="2">
        <v>7</v>
      </c>
      <c r="N3912" s="2" t="s">
        <v>39</v>
      </c>
      <c r="O3912" s="2" t="str">
        <f>VLOOKUP(OrganizedData[[#This Row],[Product Code]],ProductData[[Code]:[Item]],2,FALSE)</f>
        <v>Ultrathing V1</v>
      </c>
      <c r="P3912" s="4">
        <f>OrganizedData[[#This Row],[Quantity]]*VLOOKUP(OrganizedData[[#This Row],[Product Code]],ProductData[],4,FALSE)</f>
        <v>119</v>
      </c>
      <c r="Q3912" s="6">
        <f>OrganizedData[[#This Row],[Total Items Ordered]]*VLOOKUP(OrganizedData[[#This Row],[Product Code]],ProductData[],3,FALSE)</f>
        <v>213.01</v>
      </c>
      <c r="R39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213.01</v>
      </c>
    </row>
    <row r="3913" spans="1:18" x14ac:dyDescent="0.3">
      <c r="A3913" s="2">
        <v>3906</v>
      </c>
      <c r="B3913" s="2" t="s">
        <v>8932</v>
      </c>
      <c r="C3913" s="2" t="s">
        <v>4324</v>
      </c>
      <c r="D3913" s="2" t="s">
        <v>15</v>
      </c>
      <c r="E3913" s="2" t="s">
        <v>16</v>
      </c>
      <c r="F3913" s="2">
        <v>30</v>
      </c>
      <c r="G3913" s="2" t="s">
        <v>8933</v>
      </c>
      <c r="H3913" s="2" t="s">
        <v>8019</v>
      </c>
      <c r="I3913" s="2" t="s">
        <v>32</v>
      </c>
      <c r="J3913" s="3">
        <v>44037</v>
      </c>
      <c r="K3913" s="5">
        <f>YEAR(OrganizedData[[#This Row],[Order Date]])</f>
        <v>2020</v>
      </c>
      <c r="L3913" s="7" t="str">
        <f>TEXT(OrganizedData[[#This Row],[Order Date]],"mmm")</f>
        <v>Jul</v>
      </c>
      <c r="M3913" s="2">
        <v>76</v>
      </c>
      <c r="N3913" s="2" t="s">
        <v>33</v>
      </c>
      <c r="O3913" s="2" t="str">
        <f>VLOOKUP(OrganizedData[[#This Row],[Product Code]],ProductData[[Code]:[Item]],2,FALSE)</f>
        <v>Megawidget L</v>
      </c>
      <c r="P3913" s="4">
        <f>OrganizedData[[#This Row],[Quantity]]*VLOOKUP(OrganizedData[[#This Row],[Product Code]],ProductData[],4,FALSE)</f>
        <v>1824</v>
      </c>
      <c r="Q3913" s="6">
        <f>OrganizedData[[#This Row],[Total Items Ordered]]*VLOOKUP(OrganizedData[[#This Row],[Product Code]],ProductData[],3,FALSE)</f>
        <v>3264.96</v>
      </c>
      <c r="R39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3914" spans="1:18" x14ac:dyDescent="0.3">
      <c r="A3914" s="2">
        <v>3907</v>
      </c>
      <c r="B3914" s="2" t="s">
        <v>8934</v>
      </c>
      <c r="C3914" s="2" t="s">
        <v>34</v>
      </c>
      <c r="D3914" s="2" t="s">
        <v>51</v>
      </c>
      <c r="E3914" s="2" t="s">
        <v>16</v>
      </c>
      <c r="F3914" s="2">
        <v>60</v>
      </c>
      <c r="G3914" s="2" t="s">
        <v>8935</v>
      </c>
      <c r="H3914" s="2" t="s">
        <v>4678</v>
      </c>
      <c r="I3914" s="2" t="s">
        <v>886</v>
      </c>
      <c r="J3914" s="3">
        <v>44838</v>
      </c>
      <c r="K3914" s="5">
        <f>YEAR(OrganizedData[[#This Row],[Order Date]])</f>
        <v>2022</v>
      </c>
      <c r="L3914" s="7" t="str">
        <f>TEXT(OrganizedData[[#This Row],[Order Date]],"mmm")</f>
        <v>Oct</v>
      </c>
      <c r="M3914" s="2">
        <v>12</v>
      </c>
      <c r="N3914" s="2" t="s">
        <v>20</v>
      </c>
      <c r="O3914" s="2" t="str">
        <f>VLOOKUP(OrganizedData[[#This Row],[Product Code]],ProductData[[Code]:[Item]],2,FALSE)</f>
        <v>Hyperwotsit</v>
      </c>
      <c r="P3914" s="4">
        <f>OrganizedData[[#This Row],[Quantity]]*VLOOKUP(OrganizedData[[#This Row],[Product Code]],ProductData[],4,FALSE)</f>
        <v>240</v>
      </c>
      <c r="Q3914" s="6">
        <f>OrganizedData[[#This Row],[Total Items Ordered]]*VLOOKUP(OrganizedData[[#This Row],[Product Code]],ProductData[],3,FALSE)</f>
        <v>482.4</v>
      </c>
      <c r="R39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482.4</v>
      </c>
    </row>
    <row r="3915" spans="1:18" x14ac:dyDescent="0.3">
      <c r="A3915" s="2">
        <v>3908</v>
      </c>
      <c r="B3915" s="2" t="s">
        <v>8936</v>
      </c>
      <c r="C3915" s="2" t="s">
        <v>367</v>
      </c>
      <c r="D3915" s="2" t="s">
        <v>51</v>
      </c>
      <c r="E3915" s="2" t="s">
        <v>16</v>
      </c>
      <c r="F3915" s="2">
        <v>30</v>
      </c>
      <c r="G3915" s="2" t="s">
        <v>8937</v>
      </c>
      <c r="H3915" s="2" t="s">
        <v>4334</v>
      </c>
      <c r="I3915" s="2" t="s">
        <v>1199</v>
      </c>
      <c r="J3915" s="3">
        <v>44361</v>
      </c>
      <c r="K3915" s="5">
        <f>YEAR(OrganizedData[[#This Row],[Order Date]])</f>
        <v>2021</v>
      </c>
      <c r="L3915" s="7" t="str">
        <f>TEXT(OrganizedData[[#This Row],[Order Date]],"mmm")</f>
        <v>Jun</v>
      </c>
      <c r="M3915" s="2">
        <v>25</v>
      </c>
      <c r="N3915" s="2" t="s">
        <v>101</v>
      </c>
      <c r="O3915" s="2" t="str">
        <f>VLOOKUP(OrganizedData[[#This Row],[Product Code]],ProductData[[Code]:[Item]],2,FALSE)</f>
        <v>Superwossname</v>
      </c>
      <c r="P3915" s="4">
        <f>OrganizedData[[#This Row],[Quantity]]*VLOOKUP(OrganizedData[[#This Row],[Product Code]],ProductData[],4,FALSE)</f>
        <v>500</v>
      </c>
      <c r="Q3915" s="6">
        <f>OrganizedData[[#This Row],[Total Items Ordered]]*VLOOKUP(OrganizedData[[#This Row],[Product Code]],ProductData[],3,FALSE)</f>
        <v>1745</v>
      </c>
      <c r="R39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3916" spans="1:18" x14ac:dyDescent="0.3">
      <c r="A3916" s="2">
        <v>3909</v>
      </c>
      <c r="B3916" s="2" t="s">
        <v>6075</v>
      </c>
      <c r="C3916" s="2" t="s">
        <v>8551</v>
      </c>
      <c r="D3916" s="2" t="s">
        <v>28</v>
      </c>
      <c r="E3916" s="2" t="s">
        <v>29</v>
      </c>
      <c r="F3916" s="2">
        <v>90</v>
      </c>
      <c r="G3916" s="2" t="s">
        <v>8938</v>
      </c>
      <c r="H3916" s="2" t="s">
        <v>2179</v>
      </c>
      <c r="I3916" s="2" t="s">
        <v>294</v>
      </c>
      <c r="J3916" s="3">
        <v>44235</v>
      </c>
      <c r="K3916" s="5">
        <f>YEAR(OrganizedData[[#This Row],[Order Date]])</f>
        <v>2021</v>
      </c>
      <c r="L3916" s="7" t="str">
        <f>TEXT(OrganizedData[[#This Row],[Order Date]],"mmm")</f>
        <v>Feb</v>
      </c>
      <c r="M3916" s="2">
        <v>62</v>
      </c>
      <c r="N3916" s="2" t="s">
        <v>45</v>
      </c>
      <c r="O3916" s="2" t="str">
        <f>VLOOKUP(OrganizedData[[#This Row],[Product Code]],ProductData[[Code]:[Item]],2,FALSE)</f>
        <v>Gigastuff</v>
      </c>
      <c r="P3916" s="4">
        <f>OrganizedData[[#This Row],[Quantity]]*VLOOKUP(OrganizedData[[#This Row],[Product Code]],ProductData[],4,FALSE)</f>
        <v>1116</v>
      </c>
      <c r="Q3916" s="6">
        <f>OrganizedData[[#This Row],[Total Items Ordered]]*VLOOKUP(OrganizedData[[#This Row],[Product Code]],ProductData[],3,FALSE)</f>
        <v>2109.2399999999998</v>
      </c>
      <c r="R39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3917" spans="1:18" x14ac:dyDescent="0.3">
      <c r="A3917" s="2">
        <v>3910</v>
      </c>
      <c r="B3917" s="2" t="s">
        <v>8939</v>
      </c>
      <c r="C3917" s="2" t="s">
        <v>2903</v>
      </c>
      <c r="D3917" s="2" t="s">
        <v>51</v>
      </c>
      <c r="E3917" s="2" t="s">
        <v>16</v>
      </c>
      <c r="F3917" s="2">
        <v>90</v>
      </c>
      <c r="G3917" s="2" t="s">
        <v>8940</v>
      </c>
      <c r="H3917" s="2" t="s">
        <v>1609</v>
      </c>
      <c r="I3917" s="2" t="s">
        <v>32</v>
      </c>
      <c r="J3917" s="3">
        <v>44914</v>
      </c>
      <c r="K3917" s="5">
        <f>YEAR(OrganizedData[[#This Row],[Order Date]])</f>
        <v>2022</v>
      </c>
      <c r="L3917" s="7" t="str">
        <f>TEXT(OrganizedData[[#This Row],[Order Date]],"mmm")</f>
        <v>Dec</v>
      </c>
      <c r="M3917" s="2">
        <v>65</v>
      </c>
      <c r="N3917" s="2" t="s">
        <v>54</v>
      </c>
      <c r="O3917" s="2" t="str">
        <f>VLOOKUP(OrganizedData[[#This Row],[Product Code]],ProductData[[Code]:[Item]],2,FALSE)</f>
        <v>Megawidget S</v>
      </c>
      <c r="P3917" s="4">
        <f>OrganizedData[[#This Row],[Quantity]]*VLOOKUP(OrganizedData[[#This Row],[Product Code]],ProductData[],4,FALSE)</f>
        <v>1560</v>
      </c>
      <c r="Q3917" s="6">
        <f>OrganizedData[[#This Row],[Total Items Ordered]]*VLOOKUP(OrganizedData[[#This Row],[Product Code]],ProductData[],3,FALSE)</f>
        <v>1076.3999999999999</v>
      </c>
      <c r="R39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1022.5799999999998</v>
      </c>
    </row>
    <row r="3918" spans="1:18" x14ac:dyDescent="0.3">
      <c r="A3918" s="2">
        <v>3911</v>
      </c>
      <c r="B3918" s="2" t="s">
        <v>5518</v>
      </c>
      <c r="C3918" s="2" t="s">
        <v>665</v>
      </c>
      <c r="D3918" s="2" t="s">
        <v>28</v>
      </c>
      <c r="E3918" s="2" t="s">
        <v>29</v>
      </c>
      <c r="F3918" s="2">
        <v>30</v>
      </c>
      <c r="G3918" s="2" t="s">
        <v>8941</v>
      </c>
      <c r="H3918" s="2" t="s">
        <v>7154</v>
      </c>
      <c r="I3918" s="2" t="s">
        <v>32</v>
      </c>
      <c r="J3918" s="3">
        <v>44319</v>
      </c>
      <c r="K3918" s="5">
        <f>YEAR(OrganizedData[[#This Row],[Order Date]])</f>
        <v>2021</v>
      </c>
      <c r="L3918" s="7" t="str">
        <f>TEXT(OrganizedData[[#This Row],[Order Date]],"mmm")</f>
        <v>May</v>
      </c>
      <c r="M3918" s="2">
        <v>53</v>
      </c>
      <c r="N3918" s="2" t="s">
        <v>33</v>
      </c>
      <c r="O3918" s="2" t="str">
        <f>VLOOKUP(OrganizedData[[#This Row],[Product Code]],ProductData[[Code]:[Item]],2,FALSE)</f>
        <v>Megawidget L</v>
      </c>
      <c r="P3918" s="4">
        <f>OrganizedData[[#This Row],[Quantity]]*VLOOKUP(OrganizedData[[#This Row],[Product Code]],ProductData[],4,FALSE)</f>
        <v>1272</v>
      </c>
      <c r="Q3918" s="6">
        <f>OrganizedData[[#This Row],[Total Items Ordered]]*VLOOKUP(OrganizedData[[#This Row],[Product Code]],ProductData[],3,FALSE)</f>
        <v>2276.88</v>
      </c>
      <c r="R39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2163.0360000000001</v>
      </c>
    </row>
    <row r="3919" spans="1:18" x14ac:dyDescent="0.3">
      <c r="A3919" s="2">
        <v>3912</v>
      </c>
      <c r="B3919" s="2" t="s">
        <v>8942</v>
      </c>
      <c r="C3919" s="2" t="s">
        <v>8467</v>
      </c>
      <c r="D3919" s="2" t="s">
        <v>28</v>
      </c>
      <c r="E3919" s="2" t="s">
        <v>29</v>
      </c>
      <c r="F3919" s="2">
        <v>60</v>
      </c>
      <c r="G3919" s="2" t="s">
        <v>8943</v>
      </c>
      <c r="H3919" s="2" t="s">
        <v>43</v>
      </c>
      <c r="I3919" s="2" t="s">
        <v>44</v>
      </c>
      <c r="J3919" s="3">
        <v>44437</v>
      </c>
      <c r="K3919" s="5">
        <f>YEAR(OrganizedData[[#This Row],[Order Date]])</f>
        <v>2021</v>
      </c>
      <c r="L3919" s="7" t="str">
        <f>TEXT(OrganizedData[[#This Row],[Order Date]],"mmm")</f>
        <v>Aug</v>
      </c>
      <c r="M3919" s="2">
        <v>91</v>
      </c>
      <c r="N3919" s="2" t="s">
        <v>70</v>
      </c>
      <c r="O3919" s="2" t="str">
        <f>VLOOKUP(OrganizedData[[#This Row],[Product Code]],ProductData[[Code]:[Item]],2,FALSE)</f>
        <v>Megawidget M</v>
      </c>
      <c r="P3919" s="4">
        <f>OrganizedData[[#This Row],[Quantity]]*VLOOKUP(OrganizedData[[#This Row],[Product Code]],ProductData[],4,FALSE)</f>
        <v>2184</v>
      </c>
      <c r="Q3919" s="6">
        <f>OrganizedData[[#This Row],[Total Items Ordered]]*VLOOKUP(OrganizedData[[#This Row],[Product Code]],ProductData[],3,FALSE)</f>
        <v>2817.36</v>
      </c>
      <c r="R39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2676.4920000000002</v>
      </c>
    </row>
    <row r="3920" spans="1:18" x14ac:dyDescent="0.3">
      <c r="A3920" s="2">
        <v>3913</v>
      </c>
      <c r="B3920" s="2" t="s">
        <v>8944</v>
      </c>
      <c r="C3920" s="2" t="s">
        <v>1386</v>
      </c>
      <c r="D3920" s="2" t="s">
        <v>41</v>
      </c>
      <c r="E3920" s="2" t="s">
        <v>16</v>
      </c>
      <c r="F3920" s="2">
        <v>60</v>
      </c>
      <c r="G3920" s="2" t="s">
        <v>8945</v>
      </c>
      <c r="H3920" s="2" t="s">
        <v>8946</v>
      </c>
      <c r="I3920" s="2" t="s">
        <v>95</v>
      </c>
      <c r="J3920" s="3">
        <v>44262</v>
      </c>
      <c r="K3920" s="5">
        <f>YEAR(OrganizedData[[#This Row],[Order Date]])</f>
        <v>2021</v>
      </c>
      <c r="L3920" s="7" t="str">
        <f>TEXT(OrganizedData[[#This Row],[Order Date]],"mmm")</f>
        <v>Mar</v>
      </c>
      <c r="M3920" s="2">
        <v>35</v>
      </c>
      <c r="N3920" s="2" t="s">
        <v>64</v>
      </c>
      <c r="O3920" s="2" t="str">
        <f>VLOOKUP(OrganizedData[[#This Row],[Product Code]],ProductData[[Code]:[Item]],2,FALSE)</f>
        <v>Ultrathing V4</v>
      </c>
      <c r="P3920" s="4">
        <f>OrganizedData[[#This Row],[Quantity]]*VLOOKUP(OrganizedData[[#This Row],[Product Code]],ProductData[],4,FALSE)</f>
        <v>840</v>
      </c>
      <c r="Q3920" s="6">
        <f>OrganizedData[[#This Row],[Total Items Ordered]]*VLOOKUP(OrganizedData[[#This Row],[Product Code]],ProductData[],3,FALSE)</f>
        <v>3351.6000000000004</v>
      </c>
      <c r="R39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3251.0520000000001</v>
      </c>
    </row>
    <row r="3921" spans="1:18" x14ac:dyDescent="0.3">
      <c r="A3921" s="2">
        <v>3914</v>
      </c>
      <c r="B3921" s="2" t="s">
        <v>2951</v>
      </c>
      <c r="C3921" s="2" t="s">
        <v>232</v>
      </c>
      <c r="D3921" s="2" t="s">
        <v>15</v>
      </c>
      <c r="E3921" s="2" t="s">
        <v>16</v>
      </c>
      <c r="F3921" s="2">
        <v>30</v>
      </c>
      <c r="G3921" s="2" t="s">
        <v>8947</v>
      </c>
      <c r="H3921" s="2" t="s">
        <v>764</v>
      </c>
      <c r="I3921" s="2" t="s">
        <v>32</v>
      </c>
      <c r="J3921" s="3">
        <v>43934</v>
      </c>
      <c r="K3921" s="5">
        <f>YEAR(OrganizedData[[#This Row],[Order Date]])</f>
        <v>2020</v>
      </c>
      <c r="L3921" s="7" t="str">
        <f>TEXT(OrganizedData[[#This Row],[Order Date]],"mmm")</f>
        <v>Apr</v>
      </c>
      <c r="M3921" s="2">
        <v>71</v>
      </c>
      <c r="N3921" s="2" t="s">
        <v>20</v>
      </c>
      <c r="O3921" s="2" t="str">
        <f>VLOOKUP(OrganizedData[[#This Row],[Product Code]],ProductData[[Code]:[Item]],2,FALSE)</f>
        <v>Hyperwotsit</v>
      </c>
      <c r="P3921" s="4">
        <f>OrganizedData[[#This Row],[Quantity]]*VLOOKUP(OrganizedData[[#This Row],[Product Code]],ProductData[],4,FALSE)</f>
        <v>1420</v>
      </c>
      <c r="Q3921" s="6">
        <f>OrganizedData[[#This Row],[Total Items Ordered]]*VLOOKUP(OrganizedData[[#This Row],[Product Code]],ProductData[],3,FALSE)</f>
        <v>2854.2</v>
      </c>
      <c r="R39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3922" spans="1:18" x14ac:dyDescent="0.3">
      <c r="A3922" s="2">
        <v>3915</v>
      </c>
      <c r="B3922" s="2" t="s">
        <v>3999</v>
      </c>
      <c r="C3922" s="2" t="s">
        <v>851</v>
      </c>
      <c r="D3922" s="2" t="s">
        <v>28</v>
      </c>
      <c r="E3922" s="2" t="s">
        <v>29</v>
      </c>
      <c r="F3922" s="2">
        <v>30</v>
      </c>
      <c r="G3922" s="2" t="s">
        <v>8948</v>
      </c>
      <c r="H3922" s="2" t="s">
        <v>5173</v>
      </c>
      <c r="I3922" s="2" t="s">
        <v>686</v>
      </c>
      <c r="J3922" s="3">
        <v>44707</v>
      </c>
      <c r="K3922" s="5">
        <f>YEAR(OrganizedData[[#This Row],[Order Date]])</f>
        <v>2022</v>
      </c>
      <c r="L3922" s="7" t="str">
        <f>TEXT(OrganizedData[[#This Row],[Order Date]],"mmm")</f>
        <v>May</v>
      </c>
      <c r="M3922" s="2">
        <v>44</v>
      </c>
      <c r="N3922" s="2" t="s">
        <v>54</v>
      </c>
      <c r="O3922" s="2" t="str">
        <f>VLOOKUP(OrganizedData[[#This Row],[Product Code]],ProductData[[Code]:[Item]],2,FALSE)</f>
        <v>Megawidget S</v>
      </c>
      <c r="P3922" s="4">
        <f>OrganizedData[[#This Row],[Quantity]]*VLOOKUP(OrganizedData[[#This Row],[Product Code]],ProductData[],4,FALSE)</f>
        <v>1056</v>
      </c>
      <c r="Q3922" s="6">
        <f>OrganizedData[[#This Row],[Total Items Ordered]]*VLOOKUP(OrganizedData[[#This Row],[Product Code]],ProductData[],3,FALSE)</f>
        <v>728.64</v>
      </c>
      <c r="R39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3923" spans="1:18" x14ac:dyDescent="0.3">
      <c r="A3923" s="2">
        <v>3916</v>
      </c>
      <c r="B3923" s="2" t="s">
        <v>8949</v>
      </c>
      <c r="C3923" s="2" t="s">
        <v>4153</v>
      </c>
      <c r="D3923" s="2" t="s">
        <v>15</v>
      </c>
      <c r="E3923" s="2" t="s">
        <v>16</v>
      </c>
      <c r="F3923" s="2">
        <v>30</v>
      </c>
      <c r="G3923" s="2" t="s">
        <v>8948</v>
      </c>
      <c r="H3923" s="2" t="s">
        <v>1318</v>
      </c>
      <c r="I3923" s="2" t="s">
        <v>32</v>
      </c>
      <c r="J3923" s="3">
        <v>43933</v>
      </c>
      <c r="K3923" s="5">
        <f>YEAR(OrganizedData[[#This Row],[Order Date]])</f>
        <v>2020</v>
      </c>
      <c r="L3923" s="7" t="str">
        <f>TEXT(OrganizedData[[#This Row],[Order Date]],"mmm")</f>
        <v>Apr</v>
      </c>
      <c r="M3923" s="2">
        <v>82</v>
      </c>
      <c r="N3923" s="2" t="s">
        <v>20</v>
      </c>
      <c r="O3923" s="2" t="str">
        <f>VLOOKUP(OrganizedData[[#This Row],[Product Code]],ProductData[[Code]:[Item]],2,FALSE)</f>
        <v>Hyperwotsit</v>
      </c>
      <c r="P3923" s="4">
        <f>OrganizedData[[#This Row],[Quantity]]*VLOOKUP(OrganizedData[[#This Row],[Product Code]],ProductData[],4,FALSE)</f>
        <v>1640</v>
      </c>
      <c r="Q3923" s="6">
        <f>OrganizedData[[#This Row],[Total Items Ordered]]*VLOOKUP(OrganizedData[[#This Row],[Product Code]],ProductData[],3,FALSE)</f>
        <v>3296.3999999999996</v>
      </c>
      <c r="R39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3131.5799999999995</v>
      </c>
    </row>
    <row r="3924" spans="1:18" x14ac:dyDescent="0.3">
      <c r="A3924" s="2">
        <v>3917</v>
      </c>
      <c r="B3924" s="2" t="s">
        <v>8950</v>
      </c>
      <c r="C3924" s="2" t="s">
        <v>2928</v>
      </c>
      <c r="D3924" s="2" t="s">
        <v>28</v>
      </c>
      <c r="E3924" s="2" t="s">
        <v>29</v>
      </c>
      <c r="F3924" s="2">
        <v>30</v>
      </c>
      <c r="G3924" s="2" t="s">
        <v>8951</v>
      </c>
      <c r="H3924" s="2" t="s">
        <v>389</v>
      </c>
      <c r="I3924" s="2" t="s">
        <v>32</v>
      </c>
      <c r="J3924" s="3">
        <v>44431</v>
      </c>
      <c r="K3924" s="5">
        <f>YEAR(OrganizedData[[#This Row],[Order Date]])</f>
        <v>2021</v>
      </c>
      <c r="L3924" s="7" t="str">
        <f>TEXT(OrganizedData[[#This Row],[Order Date]],"mmm")</f>
        <v>Aug</v>
      </c>
      <c r="M3924" s="2">
        <v>41</v>
      </c>
      <c r="N3924" s="2" t="s">
        <v>80</v>
      </c>
      <c r="O3924" s="2" t="str">
        <f>VLOOKUP(OrganizedData[[#This Row],[Product Code]],ProductData[[Code]:[Item]],2,FALSE)</f>
        <v>Ultrathing V2</v>
      </c>
      <c r="P3924" s="4">
        <f>OrganizedData[[#This Row],[Quantity]]*VLOOKUP(OrganizedData[[#This Row],[Product Code]],ProductData[],4,FALSE)</f>
        <v>820</v>
      </c>
      <c r="Q3924" s="6">
        <f>OrganizedData[[#This Row],[Total Items Ordered]]*VLOOKUP(OrganizedData[[#This Row],[Product Code]],ProductData[],3,FALSE)</f>
        <v>2419</v>
      </c>
      <c r="R39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2346.4299999999998</v>
      </c>
    </row>
    <row r="3925" spans="1:18" x14ac:dyDescent="0.3">
      <c r="A3925" s="2">
        <v>3918</v>
      </c>
      <c r="B3925" s="2" t="s">
        <v>6096</v>
      </c>
      <c r="C3925" s="2" t="s">
        <v>1212</v>
      </c>
      <c r="D3925" s="2" t="s">
        <v>28</v>
      </c>
      <c r="E3925" s="2" t="s">
        <v>29</v>
      </c>
      <c r="F3925" s="2">
        <v>60</v>
      </c>
      <c r="G3925" s="2" t="s">
        <v>8952</v>
      </c>
      <c r="H3925" s="2" t="s">
        <v>6069</v>
      </c>
      <c r="I3925" s="2" t="s">
        <v>294</v>
      </c>
      <c r="J3925" s="3">
        <v>44489</v>
      </c>
      <c r="K3925" s="5">
        <f>YEAR(OrganizedData[[#This Row],[Order Date]])</f>
        <v>2021</v>
      </c>
      <c r="L3925" s="7" t="str">
        <f>TEXT(OrganizedData[[#This Row],[Order Date]],"mmm")</f>
        <v>Oct</v>
      </c>
      <c r="M3925" s="2">
        <v>83</v>
      </c>
      <c r="N3925" s="2" t="s">
        <v>101</v>
      </c>
      <c r="O3925" s="2" t="str">
        <f>VLOOKUP(OrganizedData[[#This Row],[Product Code]],ProductData[[Code]:[Item]],2,FALSE)</f>
        <v>Superwossname</v>
      </c>
      <c r="P3925" s="4">
        <f>OrganizedData[[#This Row],[Quantity]]*VLOOKUP(OrganizedData[[#This Row],[Product Code]],ProductData[],4,FALSE)</f>
        <v>1660</v>
      </c>
      <c r="Q3925" s="6">
        <f>OrganizedData[[#This Row],[Total Items Ordered]]*VLOOKUP(OrganizedData[[#This Row],[Product Code]],ProductData[],3,FALSE)</f>
        <v>5793.4000000000005</v>
      </c>
      <c r="R39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3926" spans="1:18" x14ac:dyDescent="0.3">
      <c r="A3926" s="2">
        <v>3919</v>
      </c>
      <c r="B3926" s="2" t="s">
        <v>2009</v>
      </c>
      <c r="C3926" s="2" t="s">
        <v>3941</v>
      </c>
      <c r="D3926" s="2" t="s">
        <v>28</v>
      </c>
      <c r="E3926" s="2" t="s">
        <v>29</v>
      </c>
      <c r="F3926" s="2">
        <v>90</v>
      </c>
      <c r="G3926" s="2" t="s">
        <v>8953</v>
      </c>
      <c r="H3926" s="2" t="s">
        <v>5664</v>
      </c>
      <c r="I3926" s="2" t="s">
        <v>187</v>
      </c>
      <c r="J3926" s="3">
        <v>44464</v>
      </c>
      <c r="K3926" s="5">
        <f>YEAR(OrganizedData[[#This Row],[Order Date]])</f>
        <v>2021</v>
      </c>
      <c r="L3926" s="7" t="str">
        <f>TEXT(OrganizedData[[#This Row],[Order Date]],"mmm")</f>
        <v>Sep</v>
      </c>
      <c r="M3926" s="2">
        <v>16</v>
      </c>
      <c r="N3926" s="2" t="s">
        <v>54</v>
      </c>
      <c r="O3926" s="2" t="str">
        <f>VLOOKUP(OrganizedData[[#This Row],[Product Code]],ProductData[[Code]:[Item]],2,FALSE)</f>
        <v>Megawidget S</v>
      </c>
      <c r="P3926" s="4">
        <f>OrganizedData[[#This Row],[Quantity]]*VLOOKUP(OrganizedData[[#This Row],[Product Code]],ProductData[],4,FALSE)</f>
        <v>384</v>
      </c>
      <c r="Q3926" s="6">
        <f>OrganizedData[[#This Row],[Total Items Ordered]]*VLOOKUP(OrganizedData[[#This Row],[Product Code]],ProductData[],3,FALSE)</f>
        <v>264.95999999999998</v>
      </c>
      <c r="R39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3927" spans="1:18" x14ac:dyDescent="0.3">
      <c r="A3927" s="2">
        <v>3920</v>
      </c>
      <c r="B3927" s="2" t="s">
        <v>2887</v>
      </c>
      <c r="C3927" s="2" t="s">
        <v>8954</v>
      </c>
      <c r="D3927" s="2" t="s">
        <v>28</v>
      </c>
      <c r="E3927" s="2" t="s">
        <v>29</v>
      </c>
      <c r="F3927" s="2">
        <v>90</v>
      </c>
      <c r="G3927" s="2" t="s">
        <v>8955</v>
      </c>
      <c r="H3927" s="2" t="s">
        <v>938</v>
      </c>
      <c r="I3927" s="2" t="s">
        <v>25</v>
      </c>
      <c r="J3927" s="3">
        <v>44863</v>
      </c>
      <c r="K3927" s="5">
        <f>YEAR(OrganizedData[[#This Row],[Order Date]])</f>
        <v>2022</v>
      </c>
      <c r="L3927" s="7" t="str">
        <f>TEXT(OrganizedData[[#This Row],[Order Date]],"mmm")</f>
        <v>Oct</v>
      </c>
      <c r="M3927" s="2">
        <v>17</v>
      </c>
      <c r="N3927" s="2" t="s">
        <v>80</v>
      </c>
      <c r="O3927" s="2" t="str">
        <f>VLOOKUP(OrganizedData[[#This Row],[Product Code]],ProductData[[Code]:[Item]],2,FALSE)</f>
        <v>Ultrathing V2</v>
      </c>
      <c r="P3927" s="4">
        <f>OrganizedData[[#This Row],[Quantity]]*VLOOKUP(OrganizedData[[#This Row],[Product Code]],ProductData[],4,FALSE)</f>
        <v>340</v>
      </c>
      <c r="Q3927" s="6">
        <f>OrganizedData[[#This Row],[Total Items Ordered]]*VLOOKUP(OrganizedData[[#This Row],[Product Code]],ProductData[],3,FALSE)</f>
        <v>1003.0000000000001</v>
      </c>
      <c r="R39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1003.0000000000001</v>
      </c>
    </row>
    <row r="3928" spans="1:18" x14ac:dyDescent="0.3">
      <c r="A3928" s="2">
        <v>3921</v>
      </c>
      <c r="B3928" s="2" t="s">
        <v>4775</v>
      </c>
      <c r="C3928" s="2" t="s">
        <v>5001</v>
      </c>
      <c r="D3928" s="2" t="s">
        <v>28</v>
      </c>
      <c r="E3928" s="2" t="s">
        <v>29</v>
      </c>
      <c r="F3928" s="2">
        <v>60</v>
      </c>
      <c r="G3928" s="2" t="s">
        <v>8956</v>
      </c>
      <c r="H3928" s="2" t="s">
        <v>8642</v>
      </c>
      <c r="I3928" s="2" t="s">
        <v>294</v>
      </c>
      <c r="J3928" s="3">
        <v>44703</v>
      </c>
      <c r="K3928" s="5">
        <f>YEAR(OrganizedData[[#This Row],[Order Date]])</f>
        <v>2022</v>
      </c>
      <c r="L3928" s="7" t="str">
        <f>TEXT(OrganizedData[[#This Row],[Order Date]],"mmm")</f>
        <v>May</v>
      </c>
      <c r="M3928" s="2">
        <v>105</v>
      </c>
      <c r="N3928" s="2" t="s">
        <v>39</v>
      </c>
      <c r="O3928" s="2" t="str">
        <f>VLOOKUP(OrganizedData[[#This Row],[Product Code]],ProductData[[Code]:[Item]],2,FALSE)</f>
        <v>Ultrathing V1</v>
      </c>
      <c r="P3928" s="4">
        <f>OrganizedData[[#This Row],[Quantity]]*VLOOKUP(OrganizedData[[#This Row],[Product Code]],ProductData[],4,FALSE)</f>
        <v>1785</v>
      </c>
      <c r="Q3928" s="6">
        <f>OrganizedData[[#This Row],[Total Items Ordered]]*VLOOKUP(OrganizedData[[#This Row],[Product Code]],ProductData[],3,FALSE)</f>
        <v>3195.15</v>
      </c>
      <c r="R39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2971.4895000000001</v>
      </c>
    </row>
    <row r="3929" spans="1:18" x14ac:dyDescent="0.3">
      <c r="A3929" s="2">
        <v>3922</v>
      </c>
      <c r="B3929" s="2" t="s">
        <v>3501</v>
      </c>
      <c r="C3929" s="2" t="s">
        <v>4116</v>
      </c>
      <c r="D3929" s="2" t="s">
        <v>28</v>
      </c>
      <c r="E3929" s="2" t="s">
        <v>29</v>
      </c>
      <c r="F3929" s="2">
        <v>30</v>
      </c>
      <c r="G3929" s="2" t="s">
        <v>8957</v>
      </c>
      <c r="H3929" s="2" t="s">
        <v>389</v>
      </c>
      <c r="I3929" s="2" t="s">
        <v>32</v>
      </c>
      <c r="J3929" s="3">
        <v>43858</v>
      </c>
      <c r="K3929" s="5">
        <f>YEAR(OrganizedData[[#This Row],[Order Date]])</f>
        <v>2020</v>
      </c>
      <c r="L3929" s="7" t="str">
        <f>TEXT(OrganizedData[[#This Row],[Order Date]],"mmm")</f>
        <v>Jan</v>
      </c>
      <c r="M3929" s="2">
        <v>20</v>
      </c>
      <c r="N3929" s="2" t="s">
        <v>80</v>
      </c>
      <c r="O3929" s="2" t="str">
        <f>VLOOKUP(OrganizedData[[#This Row],[Product Code]],ProductData[[Code]:[Item]],2,FALSE)</f>
        <v>Ultrathing V2</v>
      </c>
      <c r="P3929" s="4">
        <f>OrganizedData[[#This Row],[Quantity]]*VLOOKUP(OrganizedData[[#This Row],[Product Code]],ProductData[],4,FALSE)</f>
        <v>400</v>
      </c>
      <c r="Q3929" s="6">
        <f>OrganizedData[[#This Row],[Total Items Ordered]]*VLOOKUP(OrganizedData[[#This Row],[Product Code]],ProductData[],3,FALSE)</f>
        <v>1180</v>
      </c>
      <c r="R39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v>
      </c>
    </row>
    <row r="3930" spans="1:18" x14ac:dyDescent="0.3">
      <c r="A3930" s="2">
        <v>3923</v>
      </c>
      <c r="B3930" s="2" t="s">
        <v>3563</v>
      </c>
      <c r="C3930" s="2" t="s">
        <v>6291</v>
      </c>
      <c r="D3930" s="2" t="s">
        <v>28</v>
      </c>
      <c r="E3930" s="2" t="s">
        <v>29</v>
      </c>
      <c r="F3930" s="2">
        <v>30</v>
      </c>
      <c r="G3930" s="2" t="s">
        <v>8958</v>
      </c>
      <c r="H3930" s="2" t="s">
        <v>396</v>
      </c>
      <c r="I3930" s="2" t="s">
        <v>32</v>
      </c>
      <c r="J3930" s="3">
        <v>44283</v>
      </c>
      <c r="K3930" s="5">
        <f>YEAR(OrganizedData[[#This Row],[Order Date]])</f>
        <v>2021</v>
      </c>
      <c r="L3930" s="7" t="str">
        <f>TEXT(OrganizedData[[#This Row],[Order Date]],"mmm")</f>
        <v>Mar</v>
      </c>
      <c r="M3930" s="2">
        <v>46</v>
      </c>
      <c r="N3930" s="2" t="s">
        <v>39</v>
      </c>
      <c r="O3930" s="2" t="str">
        <f>VLOOKUP(OrganizedData[[#This Row],[Product Code]],ProductData[[Code]:[Item]],2,FALSE)</f>
        <v>Ultrathing V1</v>
      </c>
      <c r="P3930" s="4">
        <f>OrganizedData[[#This Row],[Quantity]]*VLOOKUP(OrganizedData[[#This Row],[Product Code]],ProductData[],4,FALSE)</f>
        <v>782</v>
      </c>
      <c r="Q3930" s="6">
        <f>OrganizedData[[#This Row],[Total Items Ordered]]*VLOOKUP(OrganizedData[[#This Row],[Product Code]],ProductData[],3,FALSE)</f>
        <v>1399.78</v>
      </c>
      <c r="R39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1357.7865999999999</v>
      </c>
    </row>
    <row r="3931" spans="1:18" x14ac:dyDescent="0.3">
      <c r="A3931" s="2">
        <v>3924</v>
      </c>
      <c r="B3931" s="2" t="s">
        <v>8959</v>
      </c>
      <c r="C3931" s="2" t="s">
        <v>3071</v>
      </c>
      <c r="D3931" s="2" t="s">
        <v>51</v>
      </c>
      <c r="E3931" s="2" t="s">
        <v>16</v>
      </c>
      <c r="F3931" s="2">
        <v>60</v>
      </c>
      <c r="G3931" s="2" t="s">
        <v>8960</v>
      </c>
      <c r="H3931" s="2" t="s">
        <v>4098</v>
      </c>
      <c r="I3931" s="2" t="s">
        <v>1889</v>
      </c>
      <c r="J3931" s="3">
        <v>44669</v>
      </c>
      <c r="K3931" s="5">
        <f>YEAR(OrganizedData[[#This Row],[Order Date]])</f>
        <v>2022</v>
      </c>
      <c r="L3931" s="7" t="str">
        <f>TEXT(OrganizedData[[#This Row],[Order Date]],"mmm")</f>
        <v>Apr</v>
      </c>
      <c r="M3931" s="2">
        <v>82</v>
      </c>
      <c r="N3931" s="2" t="s">
        <v>64</v>
      </c>
      <c r="O3931" s="2" t="str">
        <f>VLOOKUP(OrganizedData[[#This Row],[Product Code]],ProductData[[Code]:[Item]],2,FALSE)</f>
        <v>Ultrathing V4</v>
      </c>
      <c r="P3931" s="4">
        <f>OrganizedData[[#This Row],[Quantity]]*VLOOKUP(OrganizedData[[#This Row],[Product Code]],ProductData[],4,FALSE)</f>
        <v>1968</v>
      </c>
      <c r="Q3931" s="6">
        <f>OrganizedData[[#This Row],[Total Items Ordered]]*VLOOKUP(OrganizedData[[#This Row],[Product Code]],ProductData[],3,FALSE)</f>
        <v>7852.3200000000006</v>
      </c>
      <c r="R39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7459.7040000000006</v>
      </c>
    </row>
    <row r="3932" spans="1:18" x14ac:dyDescent="0.3">
      <c r="A3932" s="2">
        <v>3925</v>
      </c>
      <c r="B3932" s="2" t="s">
        <v>6737</v>
      </c>
      <c r="C3932" s="2" t="s">
        <v>6793</v>
      </c>
      <c r="D3932" s="2" t="s">
        <v>51</v>
      </c>
      <c r="E3932" s="2" t="s">
        <v>16</v>
      </c>
      <c r="F3932" s="2">
        <v>30</v>
      </c>
      <c r="G3932" s="2" t="s">
        <v>8961</v>
      </c>
      <c r="H3932" s="2" t="s">
        <v>3194</v>
      </c>
      <c r="I3932" s="2" t="s">
        <v>819</v>
      </c>
      <c r="J3932" s="3">
        <v>44342</v>
      </c>
      <c r="K3932" s="5">
        <f>YEAR(OrganizedData[[#This Row],[Order Date]])</f>
        <v>2021</v>
      </c>
      <c r="L3932" s="7" t="str">
        <f>TEXT(OrganizedData[[#This Row],[Order Date]],"mmm")</f>
        <v>May</v>
      </c>
      <c r="M3932" s="2">
        <v>12</v>
      </c>
      <c r="N3932" s="2" t="s">
        <v>39</v>
      </c>
      <c r="O3932" s="2" t="str">
        <f>VLOOKUP(OrganizedData[[#This Row],[Product Code]],ProductData[[Code]:[Item]],2,FALSE)</f>
        <v>Ultrathing V1</v>
      </c>
      <c r="P3932" s="4">
        <f>OrganizedData[[#This Row],[Quantity]]*VLOOKUP(OrganizedData[[#This Row],[Product Code]],ProductData[],4,FALSE)</f>
        <v>204</v>
      </c>
      <c r="Q3932" s="6">
        <f>OrganizedData[[#This Row],[Total Items Ordered]]*VLOOKUP(OrganizedData[[#This Row],[Product Code]],ProductData[],3,FALSE)</f>
        <v>365.16</v>
      </c>
      <c r="R39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3933" spans="1:18" x14ac:dyDescent="0.3">
      <c r="A3933" s="2">
        <v>3926</v>
      </c>
      <c r="B3933" s="2" t="s">
        <v>6532</v>
      </c>
      <c r="C3933" s="2" t="s">
        <v>2750</v>
      </c>
      <c r="D3933" s="2" t="s">
        <v>28</v>
      </c>
      <c r="E3933" s="2" t="s">
        <v>29</v>
      </c>
      <c r="F3933" s="2">
        <v>30</v>
      </c>
      <c r="G3933" s="2" t="s">
        <v>8962</v>
      </c>
      <c r="H3933" s="2" t="s">
        <v>4090</v>
      </c>
      <c r="I3933" s="2" t="s">
        <v>32</v>
      </c>
      <c r="J3933" s="3">
        <v>44623</v>
      </c>
      <c r="K3933" s="5">
        <f>YEAR(OrganizedData[[#This Row],[Order Date]])</f>
        <v>2022</v>
      </c>
      <c r="L3933" s="7" t="str">
        <f>TEXT(OrganizedData[[#This Row],[Order Date]],"mmm")</f>
        <v>Mar</v>
      </c>
      <c r="M3933" s="2">
        <v>63</v>
      </c>
      <c r="N3933" s="2" t="s">
        <v>101</v>
      </c>
      <c r="O3933" s="2" t="str">
        <f>VLOOKUP(OrganizedData[[#This Row],[Product Code]],ProductData[[Code]:[Item]],2,FALSE)</f>
        <v>Superwossname</v>
      </c>
      <c r="P3933" s="4">
        <f>OrganizedData[[#This Row],[Quantity]]*VLOOKUP(OrganizedData[[#This Row],[Product Code]],ProductData[],4,FALSE)</f>
        <v>1260</v>
      </c>
      <c r="Q3933" s="6">
        <f>OrganizedData[[#This Row],[Total Items Ordered]]*VLOOKUP(OrganizedData[[#This Row],[Product Code]],ProductData[],3,FALSE)</f>
        <v>4397.4000000000005</v>
      </c>
      <c r="R39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3934" spans="1:18" x14ac:dyDescent="0.3">
      <c r="A3934" s="2">
        <v>3927</v>
      </c>
      <c r="B3934" s="2" t="s">
        <v>4605</v>
      </c>
      <c r="C3934" s="2" t="s">
        <v>3584</v>
      </c>
      <c r="D3934" s="2" t="s">
        <v>28</v>
      </c>
      <c r="E3934" s="2" t="s">
        <v>29</v>
      </c>
      <c r="F3934" s="2">
        <v>60</v>
      </c>
      <c r="G3934" s="2" t="s">
        <v>8963</v>
      </c>
      <c r="H3934" s="2" t="s">
        <v>4911</v>
      </c>
      <c r="I3934" s="2" t="s">
        <v>95</v>
      </c>
      <c r="J3934" s="3">
        <v>44767</v>
      </c>
      <c r="K3934" s="5">
        <f>YEAR(OrganizedData[[#This Row],[Order Date]])</f>
        <v>2022</v>
      </c>
      <c r="L3934" s="7" t="str">
        <f>TEXT(OrganizedData[[#This Row],[Order Date]],"mmm")</f>
        <v>Jul</v>
      </c>
      <c r="M3934" s="2">
        <v>48</v>
      </c>
      <c r="N3934" s="2" t="s">
        <v>45</v>
      </c>
      <c r="O3934" s="2" t="str">
        <f>VLOOKUP(OrganizedData[[#This Row],[Product Code]],ProductData[[Code]:[Item]],2,FALSE)</f>
        <v>Gigastuff</v>
      </c>
      <c r="P3934" s="4">
        <f>OrganizedData[[#This Row],[Quantity]]*VLOOKUP(OrganizedData[[#This Row],[Product Code]],ProductData[],4,FALSE)</f>
        <v>864</v>
      </c>
      <c r="Q3934" s="6">
        <f>OrganizedData[[#This Row],[Total Items Ordered]]*VLOOKUP(OrganizedData[[#This Row],[Product Code]],ProductData[],3,FALSE)</f>
        <v>1632.9599999999998</v>
      </c>
      <c r="R39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1583.9711999999997</v>
      </c>
    </row>
    <row r="3935" spans="1:18" x14ac:dyDescent="0.3">
      <c r="A3935" s="2">
        <v>3928</v>
      </c>
      <c r="B3935" s="2" t="s">
        <v>8964</v>
      </c>
      <c r="C3935" s="2" t="s">
        <v>8156</v>
      </c>
      <c r="D3935" s="2" t="s">
        <v>51</v>
      </c>
      <c r="E3935" s="2" t="s">
        <v>16</v>
      </c>
      <c r="F3935" s="2">
        <v>30</v>
      </c>
      <c r="G3935" s="2" t="s">
        <v>8965</v>
      </c>
      <c r="H3935" s="2" t="s">
        <v>1448</v>
      </c>
      <c r="I3935" s="2" t="s">
        <v>1449</v>
      </c>
      <c r="J3935" s="3">
        <v>44560</v>
      </c>
      <c r="K3935" s="5">
        <f>YEAR(OrganizedData[[#This Row],[Order Date]])</f>
        <v>2021</v>
      </c>
      <c r="L3935" s="7" t="str">
        <f>TEXT(OrganizedData[[#This Row],[Order Date]],"mmm")</f>
        <v>Dec</v>
      </c>
      <c r="M3935" s="2">
        <v>23</v>
      </c>
      <c r="N3935" s="2" t="s">
        <v>101</v>
      </c>
      <c r="O3935" s="2" t="str">
        <f>VLOOKUP(OrganizedData[[#This Row],[Product Code]],ProductData[[Code]:[Item]],2,FALSE)</f>
        <v>Superwossname</v>
      </c>
      <c r="P3935" s="4">
        <f>OrganizedData[[#This Row],[Quantity]]*VLOOKUP(OrganizedData[[#This Row],[Product Code]],ProductData[],4,FALSE)</f>
        <v>460</v>
      </c>
      <c r="Q3935" s="6">
        <f>OrganizedData[[#This Row],[Total Items Ordered]]*VLOOKUP(OrganizedData[[#This Row],[Product Code]],ProductData[],3,FALSE)</f>
        <v>1605.4</v>
      </c>
      <c r="R39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1557.2380000000001</v>
      </c>
    </row>
    <row r="3936" spans="1:18" x14ac:dyDescent="0.3">
      <c r="A3936" s="2">
        <v>3929</v>
      </c>
      <c r="B3936" s="2" t="s">
        <v>6411</v>
      </c>
      <c r="C3936" s="2" t="s">
        <v>8966</v>
      </c>
      <c r="D3936" s="2" t="s">
        <v>28</v>
      </c>
      <c r="E3936" s="2" t="s">
        <v>29</v>
      </c>
      <c r="F3936" s="2">
        <v>60</v>
      </c>
      <c r="G3936" s="2" t="s">
        <v>8967</v>
      </c>
      <c r="H3936" s="2" t="s">
        <v>3343</v>
      </c>
      <c r="I3936" s="2" t="s">
        <v>1199</v>
      </c>
      <c r="J3936" s="3">
        <v>44236</v>
      </c>
      <c r="K3936" s="5">
        <f>YEAR(OrganizedData[[#This Row],[Order Date]])</f>
        <v>2021</v>
      </c>
      <c r="L3936" s="7" t="str">
        <f>TEXT(OrganizedData[[#This Row],[Order Date]],"mmm")</f>
        <v>Feb</v>
      </c>
      <c r="M3936" s="2">
        <v>90</v>
      </c>
      <c r="N3936" s="2" t="s">
        <v>80</v>
      </c>
      <c r="O3936" s="2" t="str">
        <f>VLOOKUP(OrganizedData[[#This Row],[Product Code]],ProductData[[Code]:[Item]],2,FALSE)</f>
        <v>Ultrathing V2</v>
      </c>
      <c r="P3936" s="4">
        <f>OrganizedData[[#This Row],[Quantity]]*VLOOKUP(OrganizedData[[#This Row],[Product Code]],ProductData[],4,FALSE)</f>
        <v>1800</v>
      </c>
      <c r="Q3936" s="6">
        <f>OrganizedData[[#This Row],[Total Items Ordered]]*VLOOKUP(OrganizedData[[#This Row],[Product Code]],ProductData[],3,FALSE)</f>
        <v>5310</v>
      </c>
      <c r="R39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5044.5</v>
      </c>
    </row>
    <row r="3937" spans="1:18" x14ac:dyDescent="0.3">
      <c r="A3937" s="2">
        <v>3930</v>
      </c>
      <c r="B3937" s="2" t="s">
        <v>7195</v>
      </c>
      <c r="C3937" s="2" t="s">
        <v>983</v>
      </c>
      <c r="D3937" s="2" t="s">
        <v>51</v>
      </c>
      <c r="E3937" s="2" t="s">
        <v>16</v>
      </c>
      <c r="F3937" s="2">
        <v>60</v>
      </c>
      <c r="G3937" s="2" t="s">
        <v>8968</v>
      </c>
      <c r="H3937" s="2" t="s">
        <v>8155</v>
      </c>
      <c r="I3937" s="2" t="s">
        <v>32</v>
      </c>
      <c r="J3937" s="3">
        <v>44319</v>
      </c>
      <c r="K3937" s="5">
        <f>YEAR(OrganizedData[[#This Row],[Order Date]])</f>
        <v>2021</v>
      </c>
      <c r="L3937" s="7" t="str">
        <f>TEXT(OrganizedData[[#This Row],[Order Date]],"mmm")</f>
        <v>May</v>
      </c>
      <c r="M3937" s="2">
        <v>6</v>
      </c>
      <c r="N3937" s="2" t="s">
        <v>39</v>
      </c>
      <c r="O3937" s="2" t="str">
        <f>VLOOKUP(OrganizedData[[#This Row],[Product Code]],ProductData[[Code]:[Item]],2,FALSE)</f>
        <v>Ultrathing V1</v>
      </c>
      <c r="P3937" s="4">
        <f>OrganizedData[[#This Row],[Quantity]]*VLOOKUP(OrganizedData[[#This Row],[Product Code]],ProductData[],4,FALSE)</f>
        <v>102</v>
      </c>
      <c r="Q3937" s="6">
        <f>OrganizedData[[#This Row],[Total Items Ordered]]*VLOOKUP(OrganizedData[[#This Row],[Product Code]],ProductData[],3,FALSE)</f>
        <v>182.58</v>
      </c>
      <c r="R39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3938" spans="1:18" x14ac:dyDescent="0.3">
      <c r="A3938" s="2">
        <v>3931</v>
      </c>
      <c r="B3938" s="2" t="s">
        <v>5042</v>
      </c>
      <c r="C3938" s="2" t="s">
        <v>6</v>
      </c>
      <c r="D3938" s="2" t="s">
        <v>28</v>
      </c>
      <c r="E3938" s="2" t="s">
        <v>29</v>
      </c>
      <c r="F3938" s="2">
        <v>30</v>
      </c>
      <c r="G3938" s="2" t="s">
        <v>8969</v>
      </c>
      <c r="H3938" s="2" t="s">
        <v>4621</v>
      </c>
      <c r="I3938" s="2" t="s">
        <v>178</v>
      </c>
      <c r="J3938" s="3">
        <v>44084</v>
      </c>
      <c r="K3938" s="5">
        <f>YEAR(OrganizedData[[#This Row],[Order Date]])</f>
        <v>2020</v>
      </c>
      <c r="L3938" s="7" t="str">
        <f>TEXT(OrganizedData[[#This Row],[Order Date]],"mmm")</f>
        <v>Sep</v>
      </c>
      <c r="M3938" s="2">
        <v>76</v>
      </c>
      <c r="N3938" s="2" t="s">
        <v>80</v>
      </c>
      <c r="O3938" s="2" t="str">
        <f>VLOOKUP(OrganizedData[[#This Row],[Product Code]],ProductData[[Code]:[Item]],2,FALSE)</f>
        <v>Ultrathing V2</v>
      </c>
      <c r="P3938" s="4">
        <f>OrganizedData[[#This Row],[Quantity]]*VLOOKUP(OrganizedData[[#This Row],[Product Code]],ProductData[],4,FALSE)</f>
        <v>1520</v>
      </c>
      <c r="Q3938" s="6">
        <f>OrganizedData[[#This Row],[Total Items Ordered]]*VLOOKUP(OrganizedData[[#This Row],[Product Code]],ProductData[],3,FALSE)</f>
        <v>4484</v>
      </c>
      <c r="R39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4259.8</v>
      </c>
    </row>
    <row r="3939" spans="1:18" x14ac:dyDescent="0.3">
      <c r="A3939" s="2">
        <v>3932</v>
      </c>
      <c r="B3939" s="2" t="s">
        <v>1144</v>
      </c>
      <c r="C3939" s="2" t="s">
        <v>8970</v>
      </c>
      <c r="D3939" s="2" t="s">
        <v>15</v>
      </c>
      <c r="E3939" s="2" t="s">
        <v>16</v>
      </c>
      <c r="F3939" s="2">
        <v>30</v>
      </c>
      <c r="G3939" s="2" t="s">
        <v>8971</v>
      </c>
      <c r="H3939" s="2" t="s">
        <v>2093</v>
      </c>
      <c r="I3939" s="2" t="s">
        <v>32</v>
      </c>
      <c r="J3939" s="3">
        <v>44783</v>
      </c>
      <c r="K3939" s="5">
        <f>YEAR(OrganizedData[[#This Row],[Order Date]])</f>
        <v>2022</v>
      </c>
      <c r="L3939" s="7" t="str">
        <f>TEXT(OrganizedData[[#This Row],[Order Date]],"mmm")</f>
        <v>Aug</v>
      </c>
      <c r="M3939" s="2">
        <v>42</v>
      </c>
      <c r="N3939" s="2" t="s">
        <v>54</v>
      </c>
      <c r="O3939" s="2" t="str">
        <f>VLOOKUP(OrganizedData[[#This Row],[Product Code]],ProductData[[Code]:[Item]],2,FALSE)</f>
        <v>Megawidget S</v>
      </c>
      <c r="P3939" s="4">
        <f>OrganizedData[[#This Row],[Quantity]]*VLOOKUP(OrganizedData[[#This Row],[Product Code]],ProductData[],4,FALSE)</f>
        <v>1008</v>
      </c>
      <c r="Q3939" s="6">
        <f>OrganizedData[[#This Row],[Total Items Ordered]]*VLOOKUP(OrganizedData[[#This Row],[Product Code]],ProductData[],3,FALSE)</f>
        <v>695.52</v>
      </c>
      <c r="R39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674.65440000000001</v>
      </c>
    </row>
    <row r="3940" spans="1:18" x14ac:dyDescent="0.3">
      <c r="A3940" s="2">
        <v>3933</v>
      </c>
      <c r="B3940" s="2" t="s">
        <v>6641</v>
      </c>
      <c r="C3940" s="2" t="s">
        <v>8852</v>
      </c>
      <c r="D3940" s="2" t="s">
        <v>28</v>
      </c>
      <c r="E3940" s="2" t="s">
        <v>29</v>
      </c>
      <c r="F3940" s="2">
        <v>30</v>
      </c>
      <c r="G3940" s="2" t="s">
        <v>8972</v>
      </c>
      <c r="H3940" s="2" t="s">
        <v>7400</v>
      </c>
      <c r="I3940" s="2" t="s">
        <v>178</v>
      </c>
      <c r="J3940" s="3">
        <v>44082</v>
      </c>
      <c r="K3940" s="5">
        <f>YEAR(OrganizedData[[#This Row],[Order Date]])</f>
        <v>2020</v>
      </c>
      <c r="L3940" s="7" t="str">
        <f>TEXT(OrganizedData[[#This Row],[Order Date]],"mmm")</f>
        <v>Sep</v>
      </c>
      <c r="M3940" s="2">
        <v>14</v>
      </c>
      <c r="N3940" s="2" t="s">
        <v>39</v>
      </c>
      <c r="O3940" s="2" t="str">
        <f>VLOOKUP(OrganizedData[[#This Row],[Product Code]],ProductData[[Code]:[Item]],2,FALSE)</f>
        <v>Ultrathing V1</v>
      </c>
      <c r="P3940" s="4">
        <f>OrganizedData[[#This Row],[Quantity]]*VLOOKUP(OrganizedData[[#This Row],[Product Code]],ProductData[],4,FALSE)</f>
        <v>238</v>
      </c>
      <c r="Q3940" s="6">
        <f>OrganizedData[[#This Row],[Total Items Ordered]]*VLOOKUP(OrganizedData[[#This Row],[Product Code]],ProductData[],3,FALSE)</f>
        <v>426.02</v>
      </c>
      <c r="R39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426.02</v>
      </c>
    </row>
    <row r="3941" spans="1:18" x14ac:dyDescent="0.3">
      <c r="A3941" s="2">
        <v>3934</v>
      </c>
      <c r="B3941" s="2" t="s">
        <v>6264</v>
      </c>
      <c r="C3941" s="2" t="s">
        <v>8760</v>
      </c>
      <c r="D3941" s="2" t="s">
        <v>28</v>
      </c>
      <c r="E3941" s="2" t="s">
        <v>29</v>
      </c>
      <c r="F3941" s="2">
        <v>60</v>
      </c>
      <c r="G3941" s="2" t="s">
        <v>8972</v>
      </c>
      <c r="H3941" s="2" t="s">
        <v>4967</v>
      </c>
      <c r="I3941" s="2" t="s">
        <v>32</v>
      </c>
      <c r="J3941" s="3">
        <v>44025</v>
      </c>
      <c r="K3941" s="5">
        <f>YEAR(OrganizedData[[#This Row],[Order Date]])</f>
        <v>2020</v>
      </c>
      <c r="L3941" s="7" t="str">
        <f>TEXT(OrganizedData[[#This Row],[Order Date]],"mmm")</f>
        <v>Jul</v>
      </c>
      <c r="M3941" s="2">
        <v>70</v>
      </c>
      <c r="N3941" s="2" t="s">
        <v>54</v>
      </c>
      <c r="O3941" s="2" t="str">
        <f>VLOOKUP(OrganizedData[[#This Row],[Product Code]],ProductData[[Code]:[Item]],2,FALSE)</f>
        <v>Megawidget S</v>
      </c>
      <c r="P3941" s="4">
        <f>OrganizedData[[#This Row],[Quantity]]*VLOOKUP(OrganizedData[[#This Row],[Product Code]],ProductData[],4,FALSE)</f>
        <v>1680</v>
      </c>
      <c r="Q3941" s="6">
        <f>OrganizedData[[#This Row],[Total Items Ordered]]*VLOOKUP(OrganizedData[[#This Row],[Product Code]],ProductData[],3,FALSE)</f>
        <v>1159.1999999999998</v>
      </c>
      <c r="R39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1101.2399999999998</v>
      </c>
    </row>
    <row r="3942" spans="1:18" x14ac:dyDescent="0.3">
      <c r="A3942" s="2">
        <v>3935</v>
      </c>
      <c r="B3942" s="2" t="s">
        <v>3105</v>
      </c>
      <c r="C3942" s="2" t="s">
        <v>5295</v>
      </c>
      <c r="D3942" s="2" t="s">
        <v>15</v>
      </c>
      <c r="E3942" s="2" t="s">
        <v>16</v>
      </c>
      <c r="F3942" s="2">
        <v>90</v>
      </c>
      <c r="G3942" s="2" t="s">
        <v>8973</v>
      </c>
      <c r="H3942" s="2" t="s">
        <v>420</v>
      </c>
      <c r="I3942" s="2" t="s">
        <v>32</v>
      </c>
      <c r="J3942" s="3">
        <v>43938</v>
      </c>
      <c r="K3942" s="5">
        <f>YEAR(OrganizedData[[#This Row],[Order Date]])</f>
        <v>2020</v>
      </c>
      <c r="L3942" s="7" t="str">
        <f>TEXT(OrganizedData[[#This Row],[Order Date]],"mmm")</f>
        <v>Apr</v>
      </c>
      <c r="M3942" s="2">
        <v>53</v>
      </c>
      <c r="N3942" s="2" t="s">
        <v>70</v>
      </c>
      <c r="O3942" s="2" t="str">
        <f>VLOOKUP(OrganizedData[[#This Row],[Product Code]],ProductData[[Code]:[Item]],2,FALSE)</f>
        <v>Megawidget M</v>
      </c>
      <c r="P3942" s="4">
        <f>OrganizedData[[#This Row],[Quantity]]*VLOOKUP(OrganizedData[[#This Row],[Product Code]],ProductData[],4,FALSE)</f>
        <v>1272</v>
      </c>
      <c r="Q3942" s="6">
        <f>OrganizedData[[#This Row],[Total Items Ordered]]*VLOOKUP(OrganizedData[[#This Row],[Product Code]],ProductData[],3,FALSE)</f>
        <v>1640.88</v>
      </c>
      <c r="R39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1558.836</v>
      </c>
    </row>
    <row r="3943" spans="1:18" x14ac:dyDescent="0.3">
      <c r="A3943" s="2">
        <v>3936</v>
      </c>
      <c r="B3943" s="2" t="s">
        <v>1752</v>
      </c>
      <c r="C3943" s="2" t="s">
        <v>4865</v>
      </c>
      <c r="D3943" s="2" t="s">
        <v>28</v>
      </c>
      <c r="E3943" s="2" t="s">
        <v>29</v>
      </c>
      <c r="F3943" s="2">
        <v>90</v>
      </c>
      <c r="G3943" s="2" t="s">
        <v>8974</v>
      </c>
      <c r="H3943" s="2" t="s">
        <v>3770</v>
      </c>
      <c r="I3943" s="2" t="s">
        <v>32</v>
      </c>
      <c r="J3943" s="3">
        <v>44561</v>
      </c>
      <c r="K3943" s="5">
        <f>YEAR(OrganizedData[[#This Row],[Order Date]])</f>
        <v>2021</v>
      </c>
      <c r="L3943" s="7" t="str">
        <f>TEXT(OrganizedData[[#This Row],[Order Date]],"mmm")</f>
        <v>Dec</v>
      </c>
      <c r="M3943" s="2">
        <v>72</v>
      </c>
      <c r="N3943" s="2" t="s">
        <v>45</v>
      </c>
      <c r="O3943" s="2" t="str">
        <f>VLOOKUP(OrganizedData[[#This Row],[Product Code]],ProductData[[Code]:[Item]],2,FALSE)</f>
        <v>Gigastuff</v>
      </c>
      <c r="P3943" s="4">
        <f>OrganizedData[[#This Row],[Quantity]]*VLOOKUP(OrganizedData[[#This Row],[Product Code]],ProductData[],4,FALSE)</f>
        <v>1296</v>
      </c>
      <c r="Q3943" s="6">
        <f>OrganizedData[[#This Row],[Total Items Ordered]]*VLOOKUP(OrganizedData[[#This Row],[Product Code]],ProductData[],3,FALSE)</f>
        <v>2449.44</v>
      </c>
      <c r="R39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2326.9679999999998</v>
      </c>
    </row>
    <row r="3944" spans="1:18" x14ac:dyDescent="0.3">
      <c r="A3944" s="2">
        <v>3937</v>
      </c>
      <c r="B3944" s="2" t="s">
        <v>7245</v>
      </c>
      <c r="C3944" s="2" t="s">
        <v>2998</v>
      </c>
      <c r="D3944" s="2" t="s">
        <v>15</v>
      </c>
      <c r="E3944" s="2" t="s">
        <v>16</v>
      </c>
      <c r="F3944" s="2">
        <v>60</v>
      </c>
      <c r="G3944" s="2" t="s">
        <v>8977</v>
      </c>
      <c r="H3944" s="2" t="s">
        <v>5628</v>
      </c>
      <c r="I3944" s="2" t="s">
        <v>32</v>
      </c>
      <c r="J3944" s="3">
        <v>44277</v>
      </c>
      <c r="K3944" s="5">
        <f>YEAR(OrganizedData[[#This Row],[Order Date]])</f>
        <v>2021</v>
      </c>
      <c r="L3944" s="7" t="str">
        <f>TEXT(OrganizedData[[#This Row],[Order Date]],"mmm")</f>
        <v>Mar</v>
      </c>
      <c r="M3944" s="2">
        <v>29</v>
      </c>
      <c r="N3944" s="2" t="s">
        <v>70</v>
      </c>
      <c r="O3944" s="2" t="str">
        <f>VLOOKUP(OrganizedData[[#This Row],[Product Code]],ProductData[[Code]:[Item]],2,FALSE)</f>
        <v>Megawidget M</v>
      </c>
      <c r="P3944" s="4">
        <f>OrganizedData[[#This Row],[Quantity]]*VLOOKUP(OrganizedData[[#This Row],[Product Code]],ProductData[],4,FALSE)</f>
        <v>696</v>
      </c>
      <c r="Q3944" s="6">
        <f>OrganizedData[[#This Row],[Total Items Ordered]]*VLOOKUP(OrganizedData[[#This Row],[Product Code]],ProductData[],3,FALSE)</f>
        <v>897.84</v>
      </c>
      <c r="R39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870.90480000000002</v>
      </c>
    </row>
    <row r="3945" spans="1:18" x14ac:dyDescent="0.3">
      <c r="A3945" s="2">
        <v>3938</v>
      </c>
      <c r="B3945" s="2" t="s">
        <v>8149</v>
      </c>
      <c r="C3945" s="2" t="s">
        <v>1116</v>
      </c>
      <c r="D3945" s="2" t="s">
        <v>28</v>
      </c>
      <c r="E3945" s="2" t="s">
        <v>29</v>
      </c>
      <c r="F3945" s="2">
        <v>90</v>
      </c>
      <c r="G3945" s="2" t="s">
        <v>8978</v>
      </c>
      <c r="H3945" s="2" t="s">
        <v>8979</v>
      </c>
      <c r="I3945" s="2" t="s">
        <v>32</v>
      </c>
      <c r="J3945" s="3">
        <v>44825</v>
      </c>
      <c r="K3945" s="5">
        <f>YEAR(OrganizedData[[#This Row],[Order Date]])</f>
        <v>2022</v>
      </c>
      <c r="L3945" s="7" t="str">
        <f>TEXT(OrganizedData[[#This Row],[Order Date]],"mmm")</f>
        <v>Sep</v>
      </c>
      <c r="M3945" s="2">
        <v>19</v>
      </c>
      <c r="N3945" s="2" t="s">
        <v>70</v>
      </c>
      <c r="O3945" s="2" t="str">
        <f>VLOOKUP(OrganizedData[[#This Row],[Product Code]],ProductData[[Code]:[Item]],2,FALSE)</f>
        <v>Megawidget M</v>
      </c>
      <c r="P3945" s="4">
        <f>OrganizedData[[#This Row],[Quantity]]*VLOOKUP(OrganizedData[[#This Row],[Product Code]],ProductData[],4,FALSE)</f>
        <v>456</v>
      </c>
      <c r="Q3945" s="6">
        <f>OrganizedData[[#This Row],[Total Items Ordered]]*VLOOKUP(OrganizedData[[#This Row],[Product Code]],ProductData[],3,FALSE)</f>
        <v>588.24</v>
      </c>
      <c r="R39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3946" spans="1:18" x14ac:dyDescent="0.3">
      <c r="A3946" s="2">
        <v>3939</v>
      </c>
      <c r="B3946" s="2" t="s">
        <v>3731</v>
      </c>
      <c r="C3946" s="2" t="s">
        <v>7691</v>
      </c>
      <c r="D3946" s="2" t="s">
        <v>28</v>
      </c>
      <c r="E3946" s="2" t="s">
        <v>29</v>
      </c>
      <c r="F3946" s="2">
        <v>90</v>
      </c>
      <c r="G3946" s="2" t="s">
        <v>8980</v>
      </c>
      <c r="H3946" s="2" t="s">
        <v>5624</v>
      </c>
      <c r="I3946" s="2" t="s">
        <v>32</v>
      </c>
      <c r="J3946" s="3">
        <v>44526</v>
      </c>
      <c r="K3946" s="5">
        <f>YEAR(OrganizedData[[#This Row],[Order Date]])</f>
        <v>2021</v>
      </c>
      <c r="L3946" s="7" t="str">
        <f>TEXT(OrganizedData[[#This Row],[Order Date]],"mmm")</f>
        <v>Nov</v>
      </c>
      <c r="M3946" s="2">
        <v>57</v>
      </c>
      <c r="N3946" s="2" t="s">
        <v>64</v>
      </c>
      <c r="O3946" s="2" t="str">
        <f>VLOOKUP(OrganizedData[[#This Row],[Product Code]],ProductData[[Code]:[Item]],2,FALSE)</f>
        <v>Ultrathing V4</v>
      </c>
      <c r="P3946" s="4">
        <f>OrganizedData[[#This Row],[Quantity]]*VLOOKUP(OrganizedData[[#This Row],[Product Code]],ProductData[],4,FALSE)</f>
        <v>1368</v>
      </c>
      <c r="Q3946" s="6">
        <f>OrganizedData[[#This Row],[Total Items Ordered]]*VLOOKUP(OrganizedData[[#This Row],[Product Code]],ProductData[],3,FALSE)</f>
        <v>5458.3200000000006</v>
      </c>
      <c r="R39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5185.4040000000005</v>
      </c>
    </row>
    <row r="3947" spans="1:18" x14ac:dyDescent="0.3">
      <c r="A3947" s="2">
        <v>3940</v>
      </c>
      <c r="B3947" s="2" t="s">
        <v>6719</v>
      </c>
      <c r="C3947" s="2" t="s">
        <v>2563</v>
      </c>
      <c r="D3947" s="2" t="s">
        <v>15</v>
      </c>
      <c r="E3947" s="2" t="s">
        <v>16</v>
      </c>
      <c r="F3947" s="2">
        <v>90</v>
      </c>
      <c r="G3947" s="2" t="s">
        <v>8981</v>
      </c>
      <c r="H3947" s="2" t="s">
        <v>5811</v>
      </c>
      <c r="I3947" s="2" t="s">
        <v>294</v>
      </c>
      <c r="J3947" s="3">
        <v>44443</v>
      </c>
      <c r="K3947" s="5">
        <f>YEAR(OrganizedData[[#This Row],[Order Date]])</f>
        <v>2021</v>
      </c>
      <c r="L3947" s="7" t="str">
        <f>TEXT(OrganizedData[[#This Row],[Order Date]],"mmm")</f>
        <v>Sep</v>
      </c>
      <c r="M3947" s="2">
        <v>94</v>
      </c>
      <c r="N3947" s="2" t="s">
        <v>45</v>
      </c>
      <c r="O3947" s="2" t="str">
        <f>VLOOKUP(OrganizedData[[#This Row],[Product Code]],ProductData[[Code]:[Item]],2,FALSE)</f>
        <v>Gigastuff</v>
      </c>
      <c r="P3947" s="4">
        <f>OrganizedData[[#This Row],[Quantity]]*VLOOKUP(OrganizedData[[#This Row],[Product Code]],ProductData[],4,FALSE)</f>
        <v>1692</v>
      </c>
      <c r="Q3947" s="6">
        <f>OrganizedData[[#This Row],[Total Items Ordered]]*VLOOKUP(OrganizedData[[#This Row],[Product Code]],ProductData[],3,FALSE)</f>
        <v>3197.8799999999997</v>
      </c>
      <c r="R39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3037.9859999999994</v>
      </c>
    </row>
    <row r="3948" spans="1:18" x14ac:dyDescent="0.3">
      <c r="A3948" s="2">
        <v>3941</v>
      </c>
      <c r="B3948" s="2" t="s">
        <v>4628</v>
      </c>
      <c r="C3948" s="2" t="s">
        <v>2832</v>
      </c>
      <c r="D3948" s="2" t="s">
        <v>28</v>
      </c>
      <c r="E3948" s="2" t="s">
        <v>29</v>
      </c>
      <c r="F3948" s="2">
        <v>30</v>
      </c>
      <c r="G3948" s="2" t="s">
        <v>8982</v>
      </c>
      <c r="H3948" s="2" t="s">
        <v>3194</v>
      </c>
      <c r="I3948" s="2" t="s">
        <v>819</v>
      </c>
      <c r="J3948" s="3">
        <v>44453</v>
      </c>
      <c r="K3948" s="5">
        <f>YEAR(OrganizedData[[#This Row],[Order Date]])</f>
        <v>2021</v>
      </c>
      <c r="L3948" s="7" t="str">
        <f>TEXT(OrganizedData[[#This Row],[Order Date]],"mmm")</f>
        <v>Sep</v>
      </c>
      <c r="M3948" s="2">
        <v>14</v>
      </c>
      <c r="N3948" s="2" t="s">
        <v>80</v>
      </c>
      <c r="O3948" s="2" t="str">
        <f>VLOOKUP(OrganizedData[[#This Row],[Product Code]],ProductData[[Code]:[Item]],2,FALSE)</f>
        <v>Ultrathing V2</v>
      </c>
      <c r="P3948" s="4">
        <f>OrganizedData[[#This Row],[Quantity]]*VLOOKUP(OrganizedData[[#This Row],[Product Code]],ProductData[],4,FALSE)</f>
        <v>280</v>
      </c>
      <c r="Q3948" s="6">
        <f>OrganizedData[[#This Row],[Total Items Ordered]]*VLOOKUP(OrganizedData[[#This Row],[Product Code]],ProductData[],3,FALSE)</f>
        <v>826</v>
      </c>
      <c r="R39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v>
      </c>
    </row>
    <row r="3949" spans="1:18" x14ac:dyDescent="0.3">
      <c r="A3949" s="2">
        <v>3942</v>
      </c>
      <c r="B3949" s="2" t="s">
        <v>5364</v>
      </c>
      <c r="C3949" s="2" t="s">
        <v>5529</v>
      </c>
      <c r="D3949" s="2" t="s">
        <v>28</v>
      </c>
      <c r="E3949" s="2" t="s">
        <v>29</v>
      </c>
      <c r="F3949" s="2">
        <v>90</v>
      </c>
      <c r="G3949" s="2" t="s">
        <v>8983</v>
      </c>
      <c r="H3949" s="2" t="s">
        <v>4098</v>
      </c>
      <c r="I3949" s="2" t="s">
        <v>1889</v>
      </c>
      <c r="J3949" s="3">
        <v>44633</v>
      </c>
      <c r="K3949" s="5">
        <f>YEAR(OrganizedData[[#This Row],[Order Date]])</f>
        <v>2022</v>
      </c>
      <c r="L3949" s="7" t="str">
        <f>TEXT(OrganizedData[[#This Row],[Order Date]],"mmm")</f>
        <v>Mar</v>
      </c>
      <c r="M3949" s="2">
        <v>102</v>
      </c>
      <c r="N3949" s="2" t="s">
        <v>101</v>
      </c>
      <c r="O3949" s="2" t="str">
        <f>VLOOKUP(OrganizedData[[#This Row],[Product Code]],ProductData[[Code]:[Item]],2,FALSE)</f>
        <v>Superwossname</v>
      </c>
      <c r="P3949" s="4">
        <f>OrganizedData[[#This Row],[Quantity]]*VLOOKUP(OrganizedData[[#This Row],[Product Code]],ProductData[],4,FALSE)</f>
        <v>2040</v>
      </c>
      <c r="Q3949" s="6">
        <f>OrganizedData[[#This Row],[Total Items Ordered]]*VLOOKUP(OrganizedData[[#This Row],[Product Code]],ProductData[],3,FALSE)</f>
        <v>7119.6</v>
      </c>
      <c r="R39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6621.228000000001</v>
      </c>
    </row>
    <row r="3950" spans="1:18" x14ac:dyDescent="0.3">
      <c r="A3950" s="2">
        <v>3943</v>
      </c>
      <c r="B3950" s="2" t="s">
        <v>3515</v>
      </c>
      <c r="C3950" s="2" t="s">
        <v>5972</v>
      </c>
      <c r="D3950" s="2" t="s">
        <v>28</v>
      </c>
      <c r="E3950" s="2" t="s">
        <v>29</v>
      </c>
      <c r="F3950" s="2">
        <v>60</v>
      </c>
      <c r="G3950" s="2" t="s">
        <v>8984</v>
      </c>
      <c r="H3950" s="2" t="s">
        <v>591</v>
      </c>
      <c r="I3950" s="2" t="s">
        <v>32</v>
      </c>
      <c r="J3950" s="3">
        <v>44214</v>
      </c>
      <c r="K3950" s="5">
        <f>YEAR(OrganizedData[[#This Row],[Order Date]])</f>
        <v>2021</v>
      </c>
      <c r="L3950" s="7" t="str">
        <f>TEXT(OrganizedData[[#This Row],[Order Date]],"mmm")</f>
        <v>Jan</v>
      </c>
      <c r="M3950" s="2">
        <v>73</v>
      </c>
      <c r="N3950" s="2" t="s">
        <v>80</v>
      </c>
      <c r="O3950" s="2" t="str">
        <f>VLOOKUP(OrganizedData[[#This Row],[Product Code]],ProductData[[Code]:[Item]],2,FALSE)</f>
        <v>Ultrathing V2</v>
      </c>
      <c r="P3950" s="4">
        <f>OrganizedData[[#This Row],[Quantity]]*VLOOKUP(OrganizedData[[#This Row],[Product Code]],ProductData[],4,FALSE)</f>
        <v>1460</v>
      </c>
      <c r="Q3950" s="6">
        <f>OrganizedData[[#This Row],[Total Items Ordered]]*VLOOKUP(OrganizedData[[#This Row],[Product Code]],ProductData[],3,FALSE)</f>
        <v>4307</v>
      </c>
      <c r="R39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3951" spans="1:18" x14ac:dyDescent="0.3">
      <c r="A3951" s="2">
        <v>3944</v>
      </c>
      <c r="B3951" s="2" t="s">
        <v>8985</v>
      </c>
      <c r="C3951" s="2" t="s">
        <v>5832</v>
      </c>
      <c r="D3951" s="2" t="s">
        <v>15</v>
      </c>
      <c r="E3951" s="2" t="s">
        <v>16</v>
      </c>
      <c r="F3951" s="2">
        <v>90</v>
      </c>
      <c r="G3951" s="2" t="s">
        <v>8986</v>
      </c>
      <c r="H3951" s="2" t="s">
        <v>483</v>
      </c>
      <c r="I3951" s="2" t="s">
        <v>32</v>
      </c>
      <c r="J3951" s="3">
        <v>44593</v>
      </c>
      <c r="K3951" s="5">
        <f>YEAR(OrganizedData[[#This Row],[Order Date]])</f>
        <v>2022</v>
      </c>
      <c r="L3951" s="7" t="str">
        <f>TEXT(OrganizedData[[#This Row],[Order Date]],"mmm")</f>
        <v>Feb</v>
      </c>
      <c r="M3951" s="2">
        <v>10</v>
      </c>
      <c r="N3951" s="2" t="s">
        <v>159</v>
      </c>
      <c r="O3951" s="2" t="str">
        <f>VLOOKUP(OrganizedData[[#This Row],[Product Code]],ProductData[[Code]:[Item]],2,FALSE)</f>
        <v>Ultrathing V3</v>
      </c>
      <c r="P3951" s="4">
        <f>OrganizedData[[#This Row],[Quantity]]*VLOOKUP(OrganizedData[[#This Row],[Product Code]],ProductData[],4,FALSE)</f>
        <v>240</v>
      </c>
      <c r="Q3951" s="6">
        <f>OrganizedData[[#This Row],[Total Items Ordered]]*VLOOKUP(OrganizedData[[#This Row],[Product Code]],ProductData[],3,FALSE)</f>
        <v>813.6</v>
      </c>
      <c r="R39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813.6</v>
      </c>
    </row>
    <row r="3952" spans="1:18" x14ac:dyDescent="0.3">
      <c r="A3952" s="2">
        <v>3945</v>
      </c>
      <c r="B3952" s="2" t="s">
        <v>8987</v>
      </c>
      <c r="C3952" s="2" t="s">
        <v>3057</v>
      </c>
      <c r="D3952" s="2" t="s">
        <v>15</v>
      </c>
      <c r="E3952" s="2" t="s">
        <v>16</v>
      </c>
      <c r="F3952" s="2">
        <v>30</v>
      </c>
      <c r="G3952" s="2" t="s">
        <v>8988</v>
      </c>
      <c r="H3952" s="2" t="s">
        <v>3495</v>
      </c>
      <c r="I3952" s="2" t="s">
        <v>1083</v>
      </c>
      <c r="J3952" s="3">
        <v>44131</v>
      </c>
      <c r="K3952" s="5">
        <f>YEAR(OrganizedData[[#This Row],[Order Date]])</f>
        <v>2020</v>
      </c>
      <c r="L3952" s="7" t="str">
        <f>TEXT(OrganizedData[[#This Row],[Order Date]],"mmm")</f>
        <v>Oct</v>
      </c>
      <c r="M3952" s="2">
        <v>43</v>
      </c>
      <c r="N3952" s="2" t="s">
        <v>101</v>
      </c>
      <c r="O3952" s="2" t="str">
        <f>VLOOKUP(OrganizedData[[#This Row],[Product Code]],ProductData[[Code]:[Item]],2,FALSE)</f>
        <v>Superwossname</v>
      </c>
      <c r="P3952" s="4">
        <f>OrganizedData[[#This Row],[Quantity]]*VLOOKUP(OrganizedData[[#This Row],[Product Code]],ProductData[],4,FALSE)</f>
        <v>860</v>
      </c>
      <c r="Q3952" s="6">
        <f>OrganizedData[[#This Row],[Total Items Ordered]]*VLOOKUP(OrganizedData[[#This Row],[Product Code]],ProductData[],3,FALSE)</f>
        <v>3001.4</v>
      </c>
      <c r="R39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3953" spans="1:18" x14ac:dyDescent="0.3">
      <c r="A3953" s="2">
        <v>3946</v>
      </c>
      <c r="B3953" s="2" t="s">
        <v>5314</v>
      </c>
      <c r="C3953" s="2" t="s">
        <v>4410</v>
      </c>
      <c r="D3953" s="2" t="s">
        <v>28</v>
      </c>
      <c r="E3953" s="2" t="s">
        <v>29</v>
      </c>
      <c r="F3953" s="2">
        <v>90</v>
      </c>
      <c r="G3953" s="2" t="s">
        <v>8988</v>
      </c>
      <c r="H3953" s="2" t="s">
        <v>3324</v>
      </c>
      <c r="I3953" s="2" t="s">
        <v>32</v>
      </c>
      <c r="J3953" s="3">
        <v>44880</v>
      </c>
      <c r="K3953" s="5">
        <f>YEAR(OrganizedData[[#This Row],[Order Date]])</f>
        <v>2022</v>
      </c>
      <c r="L3953" s="7" t="str">
        <f>TEXT(OrganizedData[[#This Row],[Order Date]],"mmm")</f>
        <v>Nov</v>
      </c>
      <c r="M3953" s="2">
        <v>26</v>
      </c>
      <c r="N3953" s="2" t="s">
        <v>64</v>
      </c>
      <c r="O3953" s="2" t="str">
        <f>VLOOKUP(OrganizedData[[#This Row],[Product Code]],ProductData[[Code]:[Item]],2,FALSE)</f>
        <v>Ultrathing V4</v>
      </c>
      <c r="P3953" s="4">
        <f>OrganizedData[[#This Row],[Quantity]]*VLOOKUP(OrganizedData[[#This Row],[Product Code]],ProductData[],4,FALSE)</f>
        <v>624</v>
      </c>
      <c r="Q3953" s="6">
        <f>OrganizedData[[#This Row],[Total Items Ordered]]*VLOOKUP(OrganizedData[[#This Row],[Product Code]],ProductData[],3,FALSE)</f>
        <v>2489.7600000000002</v>
      </c>
      <c r="R39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3954" spans="1:18" x14ac:dyDescent="0.3">
      <c r="A3954" s="2">
        <v>3947</v>
      </c>
      <c r="B3954" s="2" t="s">
        <v>527</v>
      </c>
      <c r="C3954" s="2" t="s">
        <v>6814</v>
      </c>
      <c r="D3954" s="2" t="s">
        <v>28</v>
      </c>
      <c r="E3954" s="2" t="s">
        <v>29</v>
      </c>
      <c r="F3954" s="2">
        <v>30</v>
      </c>
      <c r="G3954" s="2" t="s">
        <v>8989</v>
      </c>
      <c r="H3954" s="2" t="s">
        <v>6770</v>
      </c>
      <c r="I3954" s="2" t="s">
        <v>124</v>
      </c>
      <c r="J3954" s="3">
        <v>44205</v>
      </c>
      <c r="K3954" s="5">
        <f>YEAR(OrganizedData[[#This Row],[Order Date]])</f>
        <v>2021</v>
      </c>
      <c r="L3954" s="7" t="str">
        <f>TEXT(OrganizedData[[#This Row],[Order Date]],"mmm")</f>
        <v>Jan</v>
      </c>
      <c r="M3954" s="2">
        <v>67</v>
      </c>
      <c r="N3954" s="2" t="s">
        <v>70</v>
      </c>
      <c r="O3954" s="2" t="str">
        <f>VLOOKUP(OrganizedData[[#This Row],[Product Code]],ProductData[[Code]:[Item]],2,FALSE)</f>
        <v>Megawidget M</v>
      </c>
      <c r="P3954" s="4">
        <f>OrganizedData[[#This Row],[Quantity]]*VLOOKUP(OrganizedData[[#This Row],[Product Code]],ProductData[],4,FALSE)</f>
        <v>1608</v>
      </c>
      <c r="Q3954" s="6">
        <f>OrganizedData[[#This Row],[Total Items Ordered]]*VLOOKUP(OrganizedData[[#This Row],[Product Code]],ProductData[],3,FALSE)</f>
        <v>2074.3200000000002</v>
      </c>
      <c r="R39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3955" spans="1:18" x14ac:dyDescent="0.3">
      <c r="A3955" s="2">
        <v>3948</v>
      </c>
      <c r="B3955" s="2" t="s">
        <v>8990</v>
      </c>
      <c r="C3955" s="2" t="s">
        <v>5215</v>
      </c>
      <c r="D3955" s="2" t="s">
        <v>51</v>
      </c>
      <c r="E3955" s="2" t="s">
        <v>16</v>
      </c>
      <c r="F3955" s="2">
        <v>30</v>
      </c>
      <c r="G3955" s="2" t="s">
        <v>8991</v>
      </c>
      <c r="H3955" s="2" t="s">
        <v>7829</v>
      </c>
      <c r="I3955" s="2" t="s">
        <v>934</v>
      </c>
      <c r="J3955" s="3">
        <v>43927</v>
      </c>
      <c r="K3955" s="5">
        <f>YEAR(OrganizedData[[#This Row],[Order Date]])</f>
        <v>2020</v>
      </c>
      <c r="L3955" s="7" t="str">
        <f>TEXT(OrganizedData[[#This Row],[Order Date]],"mmm")</f>
        <v>Apr</v>
      </c>
      <c r="M3955" s="2">
        <v>51</v>
      </c>
      <c r="N3955" s="2" t="s">
        <v>80</v>
      </c>
      <c r="O3955" s="2" t="str">
        <f>VLOOKUP(OrganizedData[[#This Row],[Product Code]],ProductData[[Code]:[Item]],2,FALSE)</f>
        <v>Ultrathing V2</v>
      </c>
      <c r="P3955" s="4">
        <f>OrganizedData[[#This Row],[Quantity]]*VLOOKUP(OrganizedData[[#This Row],[Product Code]],ProductData[],4,FALSE)</f>
        <v>1020</v>
      </c>
      <c r="Q3955" s="6">
        <f>OrganizedData[[#This Row],[Total Items Ordered]]*VLOOKUP(OrganizedData[[#This Row],[Product Code]],ProductData[],3,FALSE)</f>
        <v>3009</v>
      </c>
      <c r="R39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3956" spans="1:18" x14ac:dyDescent="0.3">
      <c r="A3956" s="2">
        <v>3949</v>
      </c>
      <c r="B3956" s="2" t="s">
        <v>7303</v>
      </c>
      <c r="C3956" s="2" t="s">
        <v>3389</v>
      </c>
      <c r="D3956" s="2" t="s">
        <v>28</v>
      </c>
      <c r="E3956" s="2" t="s">
        <v>29</v>
      </c>
      <c r="F3956" s="2">
        <v>90</v>
      </c>
      <c r="G3956" s="2" t="s">
        <v>8992</v>
      </c>
      <c r="H3956" s="2" t="s">
        <v>3876</v>
      </c>
      <c r="I3956" s="2" t="s">
        <v>32</v>
      </c>
      <c r="J3956" s="3">
        <v>44077</v>
      </c>
      <c r="K3956" s="5">
        <f>YEAR(OrganizedData[[#This Row],[Order Date]])</f>
        <v>2020</v>
      </c>
      <c r="L3956" s="7" t="str">
        <f>TEXT(OrganizedData[[#This Row],[Order Date]],"mmm")</f>
        <v>Sep</v>
      </c>
      <c r="M3956" s="2">
        <v>68</v>
      </c>
      <c r="N3956" s="2" t="s">
        <v>80</v>
      </c>
      <c r="O3956" s="2" t="str">
        <f>VLOOKUP(OrganizedData[[#This Row],[Product Code]],ProductData[[Code]:[Item]],2,FALSE)</f>
        <v>Ultrathing V2</v>
      </c>
      <c r="P3956" s="4">
        <f>OrganizedData[[#This Row],[Quantity]]*VLOOKUP(OrganizedData[[#This Row],[Product Code]],ProductData[],4,FALSE)</f>
        <v>1360</v>
      </c>
      <c r="Q3956" s="6">
        <f>OrganizedData[[#This Row],[Total Items Ordered]]*VLOOKUP(OrganizedData[[#This Row],[Product Code]],ProductData[],3,FALSE)</f>
        <v>4012.0000000000005</v>
      </c>
      <c r="R39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3957" spans="1:18" x14ac:dyDescent="0.3">
      <c r="A3957" s="2">
        <v>3950</v>
      </c>
      <c r="B3957" s="2" t="s">
        <v>4058</v>
      </c>
      <c r="C3957" s="2" t="s">
        <v>4137</v>
      </c>
      <c r="D3957" s="2" t="s">
        <v>15</v>
      </c>
      <c r="E3957" s="2" t="s">
        <v>16</v>
      </c>
      <c r="F3957" s="2">
        <v>90</v>
      </c>
      <c r="G3957" s="2" t="s">
        <v>8993</v>
      </c>
      <c r="H3957" s="2" t="s">
        <v>1318</v>
      </c>
      <c r="I3957" s="2" t="s">
        <v>32</v>
      </c>
      <c r="J3957" s="3">
        <v>44260</v>
      </c>
      <c r="K3957" s="5">
        <f>YEAR(OrganizedData[[#This Row],[Order Date]])</f>
        <v>2021</v>
      </c>
      <c r="L3957" s="7" t="str">
        <f>TEXT(OrganizedData[[#This Row],[Order Date]],"mmm")</f>
        <v>Mar</v>
      </c>
      <c r="M3957" s="2">
        <v>6</v>
      </c>
      <c r="N3957" s="2" t="s">
        <v>80</v>
      </c>
      <c r="O3957" s="2" t="str">
        <f>VLOOKUP(OrganizedData[[#This Row],[Product Code]],ProductData[[Code]:[Item]],2,FALSE)</f>
        <v>Ultrathing V2</v>
      </c>
      <c r="P3957" s="4">
        <f>OrganizedData[[#This Row],[Quantity]]*VLOOKUP(OrganizedData[[#This Row],[Product Code]],ProductData[],4,FALSE)</f>
        <v>120</v>
      </c>
      <c r="Q3957" s="6">
        <f>OrganizedData[[#This Row],[Total Items Ordered]]*VLOOKUP(OrganizedData[[#This Row],[Product Code]],ProductData[],3,FALSE)</f>
        <v>354</v>
      </c>
      <c r="R39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354</v>
      </c>
    </row>
    <row r="3958" spans="1:18" x14ac:dyDescent="0.3">
      <c r="A3958" s="2">
        <v>3951</v>
      </c>
      <c r="B3958" s="2" t="s">
        <v>2391</v>
      </c>
      <c r="C3958" s="2" t="s">
        <v>1003</v>
      </c>
      <c r="D3958" s="2" t="s">
        <v>51</v>
      </c>
      <c r="E3958" s="2" t="s">
        <v>16</v>
      </c>
      <c r="F3958" s="2">
        <v>30</v>
      </c>
      <c r="G3958" s="2" t="s">
        <v>8994</v>
      </c>
      <c r="H3958" s="2" t="s">
        <v>5301</v>
      </c>
      <c r="I3958" s="2" t="s">
        <v>173</v>
      </c>
      <c r="J3958" s="3">
        <v>44407</v>
      </c>
      <c r="K3958" s="5">
        <f>YEAR(OrganizedData[[#This Row],[Order Date]])</f>
        <v>2021</v>
      </c>
      <c r="L3958" s="7" t="str">
        <f>TEXT(OrganizedData[[#This Row],[Order Date]],"mmm")</f>
        <v>Jul</v>
      </c>
      <c r="M3958" s="2">
        <v>44</v>
      </c>
      <c r="N3958" s="2" t="s">
        <v>101</v>
      </c>
      <c r="O3958" s="2" t="str">
        <f>VLOOKUP(OrganizedData[[#This Row],[Product Code]],ProductData[[Code]:[Item]],2,FALSE)</f>
        <v>Superwossname</v>
      </c>
      <c r="P3958" s="4">
        <f>OrganizedData[[#This Row],[Quantity]]*VLOOKUP(OrganizedData[[#This Row],[Product Code]],ProductData[],4,FALSE)</f>
        <v>880</v>
      </c>
      <c r="Q3958" s="6">
        <f>OrganizedData[[#This Row],[Total Items Ordered]]*VLOOKUP(OrganizedData[[#This Row],[Product Code]],ProductData[],3,FALSE)</f>
        <v>3071.2000000000003</v>
      </c>
      <c r="R39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3959" spans="1:18" x14ac:dyDescent="0.3">
      <c r="A3959" s="2">
        <v>3952</v>
      </c>
      <c r="B3959" s="2" t="s">
        <v>120</v>
      </c>
      <c r="C3959" s="2" t="s">
        <v>3928</v>
      </c>
      <c r="D3959" s="2" t="s">
        <v>15</v>
      </c>
      <c r="E3959" s="2" t="s">
        <v>16</v>
      </c>
      <c r="F3959" s="2">
        <v>60</v>
      </c>
      <c r="G3959" s="2" t="s">
        <v>8995</v>
      </c>
      <c r="H3959" s="2" t="s">
        <v>3682</v>
      </c>
      <c r="I3959" s="2" t="s">
        <v>178</v>
      </c>
      <c r="J3959" s="3">
        <v>44063</v>
      </c>
      <c r="K3959" s="5">
        <f>YEAR(OrganizedData[[#This Row],[Order Date]])</f>
        <v>2020</v>
      </c>
      <c r="L3959" s="7" t="str">
        <f>TEXT(OrganizedData[[#This Row],[Order Date]],"mmm")</f>
        <v>Aug</v>
      </c>
      <c r="M3959" s="2">
        <v>32</v>
      </c>
      <c r="N3959" s="2" t="s">
        <v>33</v>
      </c>
      <c r="O3959" s="2" t="str">
        <f>VLOOKUP(OrganizedData[[#This Row],[Product Code]],ProductData[[Code]:[Item]],2,FALSE)</f>
        <v>Megawidget L</v>
      </c>
      <c r="P3959" s="4">
        <f>OrganizedData[[#This Row],[Quantity]]*VLOOKUP(OrganizedData[[#This Row],[Product Code]],ProductData[],4,FALSE)</f>
        <v>768</v>
      </c>
      <c r="Q3959" s="6">
        <f>OrganizedData[[#This Row],[Total Items Ordered]]*VLOOKUP(OrganizedData[[#This Row],[Product Code]],ProductData[],3,FALSE)</f>
        <v>1374.72</v>
      </c>
      <c r="R39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1333.4784</v>
      </c>
    </row>
    <row r="3960" spans="1:18" x14ac:dyDescent="0.3">
      <c r="A3960" s="2">
        <v>3953</v>
      </c>
      <c r="B3960" s="2" t="s">
        <v>3967</v>
      </c>
      <c r="C3960" s="2" t="s">
        <v>5417</v>
      </c>
      <c r="D3960" s="2" t="s">
        <v>28</v>
      </c>
      <c r="E3960" s="2" t="s">
        <v>29</v>
      </c>
      <c r="F3960" s="2">
        <v>60</v>
      </c>
      <c r="G3960" s="2" t="s">
        <v>8996</v>
      </c>
      <c r="H3960" s="2" t="s">
        <v>4748</v>
      </c>
      <c r="I3960" s="2" t="s">
        <v>32</v>
      </c>
      <c r="J3960" s="3">
        <v>44442</v>
      </c>
      <c r="K3960" s="5">
        <f>YEAR(OrganizedData[[#This Row],[Order Date]])</f>
        <v>2021</v>
      </c>
      <c r="L3960" s="7" t="str">
        <f>TEXT(OrganizedData[[#This Row],[Order Date]],"mmm")</f>
        <v>Sep</v>
      </c>
      <c r="M3960" s="2">
        <v>25</v>
      </c>
      <c r="N3960" s="2" t="s">
        <v>101</v>
      </c>
      <c r="O3960" s="2" t="str">
        <f>VLOOKUP(OrganizedData[[#This Row],[Product Code]],ProductData[[Code]:[Item]],2,FALSE)</f>
        <v>Superwossname</v>
      </c>
      <c r="P3960" s="4">
        <f>OrganizedData[[#This Row],[Quantity]]*VLOOKUP(OrganizedData[[#This Row],[Product Code]],ProductData[],4,FALSE)</f>
        <v>500</v>
      </c>
      <c r="Q3960" s="6">
        <f>OrganizedData[[#This Row],[Total Items Ordered]]*VLOOKUP(OrganizedData[[#This Row],[Product Code]],ProductData[],3,FALSE)</f>
        <v>1745</v>
      </c>
      <c r="R39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3961" spans="1:18" x14ac:dyDescent="0.3">
      <c r="A3961" s="2">
        <v>3954</v>
      </c>
      <c r="B3961" s="2" t="s">
        <v>8788</v>
      </c>
      <c r="C3961" s="2" t="s">
        <v>1985</v>
      </c>
      <c r="D3961" s="2" t="s">
        <v>28</v>
      </c>
      <c r="E3961" s="2" t="s">
        <v>29</v>
      </c>
      <c r="F3961" s="2">
        <v>90</v>
      </c>
      <c r="G3961" s="2" t="s">
        <v>8996</v>
      </c>
      <c r="H3961" s="2" t="s">
        <v>1791</v>
      </c>
      <c r="I3961" s="2" t="s">
        <v>32</v>
      </c>
      <c r="J3961" s="3">
        <v>44426</v>
      </c>
      <c r="K3961" s="5">
        <f>YEAR(OrganizedData[[#This Row],[Order Date]])</f>
        <v>2021</v>
      </c>
      <c r="L3961" s="7" t="str">
        <f>TEXT(OrganizedData[[#This Row],[Order Date]],"mmm")</f>
        <v>Aug</v>
      </c>
      <c r="M3961" s="2">
        <v>89</v>
      </c>
      <c r="N3961" s="2" t="s">
        <v>159</v>
      </c>
      <c r="O3961" s="2" t="str">
        <f>VLOOKUP(OrganizedData[[#This Row],[Product Code]],ProductData[[Code]:[Item]],2,FALSE)</f>
        <v>Ultrathing V3</v>
      </c>
      <c r="P3961" s="4">
        <f>OrganizedData[[#This Row],[Quantity]]*VLOOKUP(OrganizedData[[#This Row],[Product Code]],ProductData[],4,FALSE)</f>
        <v>2136</v>
      </c>
      <c r="Q3961" s="6">
        <f>OrganizedData[[#This Row],[Total Items Ordered]]*VLOOKUP(OrganizedData[[#This Row],[Product Code]],ProductData[],3,FALSE)</f>
        <v>7241.04</v>
      </c>
      <c r="R39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6878.9879999999994</v>
      </c>
    </row>
    <row r="3962" spans="1:18" x14ac:dyDescent="0.3">
      <c r="A3962" s="2">
        <v>3955</v>
      </c>
      <c r="B3962" s="2" t="s">
        <v>2223</v>
      </c>
      <c r="C3962" s="2" t="s">
        <v>1853</v>
      </c>
      <c r="D3962" s="2" t="s">
        <v>28</v>
      </c>
      <c r="E3962" s="2" t="s">
        <v>29</v>
      </c>
      <c r="F3962" s="2">
        <v>60</v>
      </c>
      <c r="G3962" s="2" t="s">
        <v>8996</v>
      </c>
      <c r="H3962" s="2" t="s">
        <v>3424</v>
      </c>
      <c r="I3962" s="2" t="s">
        <v>32</v>
      </c>
      <c r="J3962" s="3">
        <v>44149</v>
      </c>
      <c r="K3962" s="5">
        <f>YEAR(OrganizedData[[#This Row],[Order Date]])</f>
        <v>2020</v>
      </c>
      <c r="L3962" s="7" t="str">
        <f>TEXT(OrganizedData[[#This Row],[Order Date]],"mmm")</f>
        <v>Nov</v>
      </c>
      <c r="M3962" s="2">
        <v>18</v>
      </c>
      <c r="N3962" s="2" t="s">
        <v>70</v>
      </c>
      <c r="O3962" s="2" t="str">
        <f>VLOOKUP(OrganizedData[[#This Row],[Product Code]],ProductData[[Code]:[Item]],2,FALSE)</f>
        <v>Megawidget M</v>
      </c>
      <c r="P3962" s="4">
        <f>OrganizedData[[#This Row],[Quantity]]*VLOOKUP(OrganizedData[[#This Row],[Product Code]],ProductData[],4,FALSE)</f>
        <v>432</v>
      </c>
      <c r="Q3962" s="6">
        <f>OrganizedData[[#This Row],[Total Items Ordered]]*VLOOKUP(OrganizedData[[#This Row],[Product Code]],ProductData[],3,FALSE)</f>
        <v>557.28</v>
      </c>
      <c r="R39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3963" spans="1:18" x14ac:dyDescent="0.3">
      <c r="A3963" s="2">
        <v>3956</v>
      </c>
      <c r="B3963" s="2" t="s">
        <v>979</v>
      </c>
      <c r="C3963" s="2" t="s">
        <v>2228</v>
      </c>
      <c r="D3963" s="2" t="s">
        <v>28</v>
      </c>
      <c r="E3963" s="2" t="s">
        <v>29</v>
      </c>
      <c r="F3963" s="2">
        <v>60</v>
      </c>
      <c r="G3963" s="2" t="s">
        <v>8997</v>
      </c>
      <c r="H3963" s="2" t="s">
        <v>3361</v>
      </c>
      <c r="I3963" s="2" t="s">
        <v>95</v>
      </c>
      <c r="J3963" s="3">
        <v>43928</v>
      </c>
      <c r="K3963" s="5">
        <f>YEAR(OrganizedData[[#This Row],[Order Date]])</f>
        <v>2020</v>
      </c>
      <c r="L3963" s="7" t="str">
        <f>TEXT(OrganizedData[[#This Row],[Order Date]],"mmm")</f>
        <v>Apr</v>
      </c>
      <c r="M3963" s="2">
        <v>16</v>
      </c>
      <c r="N3963" s="2" t="s">
        <v>101</v>
      </c>
      <c r="O3963" s="2" t="str">
        <f>VLOOKUP(OrganizedData[[#This Row],[Product Code]],ProductData[[Code]:[Item]],2,FALSE)</f>
        <v>Superwossname</v>
      </c>
      <c r="P3963" s="4">
        <f>OrganizedData[[#This Row],[Quantity]]*VLOOKUP(OrganizedData[[#This Row],[Product Code]],ProductData[],4,FALSE)</f>
        <v>320</v>
      </c>
      <c r="Q3963" s="6">
        <f>OrganizedData[[#This Row],[Total Items Ordered]]*VLOOKUP(OrganizedData[[#This Row],[Product Code]],ProductData[],3,FALSE)</f>
        <v>1116.8000000000002</v>
      </c>
      <c r="R39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1116.8000000000002</v>
      </c>
    </row>
    <row r="3964" spans="1:18" x14ac:dyDescent="0.3">
      <c r="A3964" s="2">
        <v>3957</v>
      </c>
      <c r="B3964" s="2" t="s">
        <v>8998</v>
      </c>
      <c r="C3964" s="2" t="s">
        <v>388</v>
      </c>
      <c r="D3964" s="2" t="s">
        <v>41</v>
      </c>
      <c r="E3964" s="2" t="s">
        <v>16</v>
      </c>
      <c r="F3964" s="2">
        <v>60</v>
      </c>
      <c r="G3964" s="2" t="s">
        <v>8999</v>
      </c>
      <c r="H3964" s="2" t="s">
        <v>2818</v>
      </c>
      <c r="I3964" s="2" t="s">
        <v>32</v>
      </c>
      <c r="J3964" s="3">
        <v>44214</v>
      </c>
      <c r="K3964" s="5">
        <f>YEAR(OrganizedData[[#This Row],[Order Date]])</f>
        <v>2021</v>
      </c>
      <c r="L3964" s="7" t="str">
        <f>TEXT(OrganizedData[[#This Row],[Order Date]],"mmm")</f>
        <v>Jan</v>
      </c>
      <c r="M3964" s="2">
        <v>48</v>
      </c>
      <c r="N3964" s="2" t="s">
        <v>159</v>
      </c>
      <c r="O3964" s="2" t="str">
        <f>VLOOKUP(OrganizedData[[#This Row],[Product Code]],ProductData[[Code]:[Item]],2,FALSE)</f>
        <v>Ultrathing V3</v>
      </c>
      <c r="P3964" s="4">
        <f>OrganizedData[[#This Row],[Quantity]]*VLOOKUP(OrganizedData[[#This Row],[Product Code]],ProductData[],4,FALSE)</f>
        <v>1152</v>
      </c>
      <c r="Q3964" s="6">
        <f>OrganizedData[[#This Row],[Total Items Ordered]]*VLOOKUP(OrganizedData[[#This Row],[Product Code]],ProductData[],3,FALSE)</f>
        <v>3905.28</v>
      </c>
      <c r="R39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3965" spans="1:18" x14ac:dyDescent="0.3">
      <c r="A3965" s="2">
        <v>3958</v>
      </c>
      <c r="B3965" s="2" t="s">
        <v>2415</v>
      </c>
      <c r="C3965" s="2" t="s">
        <v>1779</v>
      </c>
      <c r="D3965" s="2" t="s">
        <v>92</v>
      </c>
      <c r="E3965" s="2" t="s">
        <v>29</v>
      </c>
      <c r="F3965" s="2">
        <v>60</v>
      </c>
      <c r="G3965" s="2" t="s">
        <v>9000</v>
      </c>
      <c r="H3965" s="2" t="s">
        <v>53</v>
      </c>
      <c r="I3965" s="2" t="s">
        <v>32</v>
      </c>
      <c r="J3965" s="3">
        <v>44563</v>
      </c>
      <c r="K3965" s="5">
        <f>YEAR(OrganizedData[[#This Row],[Order Date]])</f>
        <v>2022</v>
      </c>
      <c r="L3965" s="7" t="str">
        <f>TEXT(OrganizedData[[#This Row],[Order Date]],"mmm")</f>
        <v>Jan</v>
      </c>
      <c r="M3965" s="2">
        <v>93</v>
      </c>
      <c r="N3965" s="2" t="s">
        <v>101</v>
      </c>
      <c r="O3965" s="2" t="str">
        <f>VLOOKUP(OrganizedData[[#This Row],[Product Code]],ProductData[[Code]:[Item]],2,FALSE)</f>
        <v>Superwossname</v>
      </c>
      <c r="P3965" s="4">
        <f>OrganizedData[[#This Row],[Quantity]]*VLOOKUP(OrganizedData[[#This Row],[Product Code]],ProductData[],4,FALSE)</f>
        <v>1860</v>
      </c>
      <c r="Q3965" s="6">
        <f>OrganizedData[[#This Row],[Total Items Ordered]]*VLOOKUP(OrganizedData[[#This Row],[Product Code]],ProductData[],3,FALSE)</f>
        <v>6491.4000000000005</v>
      </c>
      <c r="R39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6166.83</v>
      </c>
    </row>
    <row r="3966" spans="1:18" x14ac:dyDescent="0.3">
      <c r="A3966" s="2">
        <v>3959</v>
      </c>
      <c r="B3966" s="2" t="s">
        <v>3213</v>
      </c>
      <c r="C3966" s="2" t="s">
        <v>4933</v>
      </c>
      <c r="D3966" s="2" t="s">
        <v>15</v>
      </c>
      <c r="E3966" s="2" t="s">
        <v>16</v>
      </c>
      <c r="F3966" s="2">
        <v>60</v>
      </c>
      <c r="G3966" s="2" t="s">
        <v>9001</v>
      </c>
      <c r="H3966" s="2" t="s">
        <v>138</v>
      </c>
      <c r="I3966" s="2" t="s">
        <v>294</v>
      </c>
      <c r="J3966" s="3">
        <v>44775</v>
      </c>
      <c r="K3966" s="5">
        <f>YEAR(OrganizedData[[#This Row],[Order Date]])</f>
        <v>2022</v>
      </c>
      <c r="L3966" s="7" t="str">
        <f>TEXT(OrganizedData[[#This Row],[Order Date]],"mmm")</f>
        <v>Aug</v>
      </c>
      <c r="M3966" s="2">
        <v>2</v>
      </c>
      <c r="N3966" s="2" t="s">
        <v>20</v>
      </c>
      <c r="O3966" s="2" t="str">
        <f>VLOOKUP(OrganizedData[[#This Row],[Product Code]],ProductData[[Code]:[Item]],2,FALSE)</f>
        <v>Hyperwotsit</v>
      </c>
      <c r="P3966" s="4">
        <f>OrganizedData[[#This Row],[Quantity]]*VLOOKUP(OrganizedData[[#This Row],[Product Code]],ProductData[],4,FALSE)</f>
        <v>40</v>
      </c>
      <c r="Q3966" s="6">
        <f>OrganizedData[[#This Row],[Total Items Ordered]]*VLOOKUP(OrganizedData[[#This Row],[Product Code]],ProductData[],3,FALSE)</f>
        <v>80.399999999999991</v>
      </c>
      <c r="R39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3967" spans="1:18" x14ac:dyDescent="0.3">
      <c r="A3967" s="2">
        <v>3960</v>
      </c>
      <c r="B3967" s="2" t="s">
        <v>8293</v>
      </c>
      <c r="C3967" s="2" t="s">
        <v>5258</v>
      </c>
      <c r="D3967" s="2" t="s">
        <v>15</v>
      </c>
      <c r="E3967" s="2" t="s">
        <v>16</v>
      </c>
      <c r="F3967" s="2">
        <v>30</v>
      </c>
      <c r="G3967" s="2" t="s">
        <v>9002</v>
      </c>
      <c r="H3967" s="2" t="s">
        <v>5189</v>
      </c>
      <c r="I3967" s="2" t="s">
        <v>32</v>
      </c>
      <c r="J3967" s="3">
        <v>44002</v>
      </c>
      <c r="K3967" s="5">
        <f>YEAR(OrganizedData[[#This Row],[Order Date]])</f>
        <v>2020</v>
      </c>
      <c r="L3967" s="7" t="str">
        <f>TEXT(OrganizedData[[#This Row],[Order Date]],"mmm")</f>
        <v>Jun</v>
      </c>
      <c r="M3967" s="2">
        <v>12</v>
      </c>
      <c r="N3967" s="2" t="s">
        <v>70</v>
      </c>
      <c r="O3967" s="2" t="str">
        <f>VLOOKUP(OrganizedData[[#This Row],[Product Code]],ProductData[[Code]:[Item]],2,FALSE)</f>
        <v>Megawidget M</v>
      </c>
      <c r="P3967" s="4">
        <f>OrganizedData[[#This Row],[Quantity]]*VLOOKUP(OrganizedData[[#This Row],[Product Code]],ProductData[],4,FALSE)</f>
        <v>288</v>
      </c>
      <c r="Q3967" s="6">
        <f>OrganizedData[[#This Row],[Total Items Ordered]]*VLOOKUP(OrganizedData[[#This Row],[Product Code]],ProductData[],3,FALSE)</f>
        <v>371.52</v>
      </c>
      <c r="R39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371.52</v>
      </c>
    </row>
    <row r="3968" spans="1:18" x14ac:dyDescent="0.3">
      <c r="A3968" s="2">
        <v>3961</v>
      </c>
      <c r="B3968" s="2" t="s">
        <v>3716</v>
      </c>
      <c r="C3968" s="2" t="s">
        <v>9003</v>
      </c>
      <c r="D3968" s="2" t="s">
        <v>51</v>
      </c>
      <c r="E3968" s="2" t="s">
        <v>16</v>
      </c>
      <c r="F3968" s="2">
        <v>30</v>
      </c>
      <c r="G3968" s="2" t="s">
        <v>9004</v>
      </c>
      <c r="H3968" s="2" t="s">
        <v>6228</v>
      </c>
      <c r="I3968" s="2" t="s">
        <v>187</v>
      </c>
      <c r="J3968" s="3">
        <v>44447</v>
      </c>
      <c r="K3968" s="5">
        <f>YEAR(OrganizedData[[#This Row],[Order Date]])</f>
        <v>2021</v>
      </c>
      <c r="L3968" s="7" t="str">
        <f>TEXT(OrganizedData[[#This Row],[Order Date]],"mmm")</f>
        <v>Sep</v>
      </c>
      <c r="M3968" s="2">
        <v>29</v>
      </c>
      <c r="N3968" s="2" t="s">
        <v>80</v>
      </c>
      <c r="O3968" s="2" t="str">
        <f>VLOOKUP(OrganizedData[[#This Row],[Product Code]],ProductData[[Code]:[Item]],2,FALSE)</f>
        <v>Ultrathing V2</v>
      </c>
      <c r="P3968" s="4">
        <f>OrganizedData[[#This Row],[Quantity]]*VLOOKUP(OrganizedData[[#This Row],[Product Code]],ProductData[],4,FALSE)</f>
        <v>580</v>
      </c>
      <c r="Q3968" s="6">
        <f>OrganizedData[[#This Row],[Total Items Ordered]]*VLOOKUP(OrganizedData[[#This Row],[Product Code]],ProductData[],3,FALSE)</f>
        <v>1711</v>
      </c>
      <c r="R39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1659.6699999999998</v>
      </c>
    </row>
    <row r="3969" spans="1:18" x14ac:dyDescent="0.3">
      <c r="A3969" s="2">
        <v>3962</v>
      </c>
      <c r="B3969" s="2" t="s">
        <v>4151</v>
      </c>
      <c r="C3969" s="2" t="s">
        <v>2844</v>
      </c>
      <c r="D3969" s="2" t="s">
        <v>51</v>
      </c>
      <c r="E3969" s="2" t="s">
        <v>16</v>
      </c>
      <c r="F3969" s="2">
        <v>60</v>
      </c>
      <c r="G3969" s="2" t="s">
        <v>9005</v>
      </c>
      <c r="H3969" s="2" t="s">
        <v>6736</v>
      </c>
      <c r="I3969" s="2" t="s">
        <v>32</v>
      </c>
      <c r="J3969" s="3">
        <v>44523</v>
      </c>
      <c r="K3969" s="5">
        <f>YEAR(OrganizedData[[#This Row],[Order Date]])</f>
        <v>2021</v>
      </c>
      <c r="L3969" s="7" t="str">
        <f>TEXT(OrganizedData[[#This Row],[Order Date]],"mmm")</f>
        <v>Nov</v>
      </c>
      <c r="M3969" s="2">
        <v>17</v>
      </c>
      <c r="N3969" s="2" t="s">
        <v>33</v>
      </c>
      <c r="O3969" s="2" t="str">
        <f>VLOOKUP(OrganizedData[[#This Row],[Product Code]],ProductData[[Code]:[Item]],2,FALSE)</f>
        <v>Megawidget L</v>
      </c>
      <c r="P3969" s="4">
        <f>OrganizedData[[#This Row],[Quantity]]*VLOOKUP(OrganizedData[[#This Row],[Product Code]],ProductData[],4,FALSE)</f>
        <v>408</v>
      </c>
      <c r="Q3969" s="6">
        <f>OrganizedData[[#This Row],[Total Items Ordered]]*VLOOKUP(OrganizedData[[#This Row],[Product Code]],ProductData[],3,FALSE)</f>
        <v>730.32</v>
      </c>
      <c r="R39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3970" spans="1:18" x14ac:dyDescent="0.3">
      <c r="A3970" s="2">
        <v>3963</v>
      </c>
      <c r="B3970" s="2" t="s">
        <v>2584</v>
      </c>
      <c r="C3970" s="2" t="s">
        <v>3564</v>
      </c>
      <c r="D3970" s="2" t="s">
        <v>28</v>
      </c>
      <c r="E3970" s="2" t="s">
        <v>29</v>
      </c>
      <c r="F3970" s="2">
        <v>60</v>
      </c>
      <c r="G3970" s="2" t="s">
        <v>9006</v>
      </c>
      <c r="H3970" s="2" t="s">
        <v>2199</v>
      </c>
      <c r="I3970" s="2" t="s">
        <v>32</v>
      </c>
      <c r="J3970" s="3">
        <v>44131</v>
      </c>
      <c r="K3970" s="5">
        <f>YEAR(OrganizedData[[#This Row],[Order Date]])</f>
        <v>2020</v>
      </c>
      <c r="L3970" s="7" t="str">
        <f>TEXT(OrganizedData[[#This Row],[Order Date]],"mmm")</f>
        <v>Oct</v>
      </c>
      <c r="M3970" s="2">
        <v>4</v>
      </c>
      <c r="N3970" s="2" t="s">
        <v>64</v>
      </c>
      <c r="O3970" s="2" t="str">
        <f>VLOOKUP(OrganizedData[[#This Row],[Product Code]],ProductData[[Code]:[Item]],2,FALSE)</f>
        <v>Ultrathing V4</v>
      </c>
      <c r="P3970" s="4">
        <f>OrganizedData[[#This Row],[Quantity]]*VLOOKUP(OrganizedData[[#This Row],[Product Code]],ProductData[],4,FALSE)</f>
        <v>96</v>
      </c>
      <c r="Q3970" s="6">
        <f>OrganizedData[[#This Row],[Total Items Ordered]]*VLOOKUP(OrganizedData[[#This Row],[Product Code]],ProductData[],3,FALSE)</f>
        <v>383.04</v>
      </c>
      <c r="R39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3971" spans="1:18" x14ac:dyDescent="0.3">
      <c r="A3971" s="2">
        <v>3964</v>
      </c>
      <c r="B3971" s="2" t="s">
        <v>3574</v>
      </c>
      <c r="C3971" s="2" t="s">
        <v>1273</v>
      </c>
      <c r="D3971" s="2" t="s">
        <v>15</v>
      </c>
      <c r="E3971" s="2" t="s">
        <v>16</v>
      </c>
      <c r="F3971" s="2">
        <v>90</v>
      </c>
      <c r="G3971" s="2" t="s">
        <v>9007</v>
      </c>
      <c r="H3971" s="2" t="s">
        <v>9008</v>
      </c>
      <c r="I3971" s="2" t="s">
        <v>32</v>
      </c>
      <c r="J3971" s="3">
        <v>44669</v>
      </c>
      <c r="K3971" s="5">
        <f>YEAR(OrganizedData[[#This Row],[Order Date]])</f>
        <v>2022</v>
      </c>
      <c r="L3971" s="7" t="str">
        <f>TEXT(OrganizedData[[#This Row],[Order Date]],"mmm")</f>
        <v>Apr</v>
      </c>
      <c r="M3971" s="2">
        <v>75</v>
      </c>
      <c r="N3971" s="2" t="s">
        <v>80</v>
      </c>
      <c r="O3971" s="2" t="str">
        <f>VLOOKUP(OrganizedData[[#This Row],[Product Code]],ProductData[[Code]:[Item]],2,FALSE)</f>
        <v>Ultrathing V2</v>
      </c>
      <c r="P3971" s="4">
        <f>OrganizedData[[#This Row],[Quantity]]*VLOOKUP(OrganizedData[[#This Row],[Product Code]],ProductData[],4,FALSE)</f>
        <v>1500</v>
      </c>
      <c r="Q3971" s="6">
        <f>OrganizedData[[#This Row],[Total Items Ordered]]*VLOOKUP(OrganizedData[[#This Row],[Product Code]],ProductData[],3,FALSE)</f>
        <v>4425</v>
      </c>
      <c r="R39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4203.75</v>
      </c>
    </row>
    <row r="3972" spans="1:18" x14ac:dyDescent="0.3">
      <c r="A3972" s="2">
        <v>3965</v>
      </c>
      <c r="B3972" s="2" t="s">
        <v>9009</v>
      </c>
      <c r="C3972" s="2" t="s">
        <v>296</v>
      </c>
      <c r="D3972" s="2" t="s">
        <v>51</v>
      </c>
      <c r="E3972" s="2" t="s">
        <v>16</v>
      </c>
      <c r="F3972" s="2">
        <v>90</v>
      </c>
      <c r="G3972" s="2" t="s">
        <v>9010</v>
      </c>
      <c r="H3972" s="2" t="s">
        <v>1430</v>
      </c>
      <c r="I3972" s="2" t="s">
        <v>32</v>
      </c>
      <c r="J3972" s="3">
        <v>44300</v>
      </c>
      <c r="K3972" s="5">
        <f>YEAR(OrganizedData[[#This Row],[Order Date]])</f>
        <v>2021</v>
      </c>
      <c r="L3972" s="7" t="str">
        <f>TEXT(OrganizedData[[#This Row],[Order Date]],"mmm")</f>
        <v>Apr</v>
      </c>
      <c r="M3972" s="2">
        <v>40</v>
      </c>
      <c r="N3972" s="2" t="s">
        <v>54</v>
      </c>
      <c r="O3972" s="2" t="str">
        <f>VLOOKUP(OrganizedData[[#This Row],[Product Code]],ProductData[[Code]:[Item]],2,FALSE)</f>
        <v>Megawidget S</v>
      </c>
      <c r="P3972" s="4">
        <f>OrganizedData[[#This Row],[Quantity]]*VLOOKUP(OrganizedData[[#This Row],[Product Code]],ProductData[],4,FALSE)</f>
        <v>960</v>
      </c>
      <c r="Q3972" s="6">
        <f>OrganizedData[[#This Row],[Total Items Ordered]]*VLOOKUP(OrganizedData[[#This Row],[Product Code]],ProductData[],3,FALSE)</f>
        <v>662.4</v>
      </c>
      <c r="R39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3973" spans="1:18" x14ac:dyDescent="0.3">
      <c r="A3973" s="2">
        <v>3966</v>
      </c>
      <c r="B3973" s="2" t="s">
        <v>1262</v>
      </c>
      <c r="C3973" s="2" t="s">
        <v>3251</v>
      </c>
      <c r="D3973" s="2" t="s">
        <v>15</v>
      </c>
      <c r="E3973" s="2" t="s">
        <v>16</v>
      </c>
      <c r="F3973" s="2">
        <v>60</v>
      </c>
      <c r="G3973" s="2" t="s">
        <v>9011</v>
      </c>
      <c r="H3973" s="2" t="s">
        <v>4901</v>
      </c>
      <c r="I3973" s="2" t="s">
        <v>32</v>
      </c>
      <c r="J3973" s="3">
        <v>44016</v>
      </c>
      <c r="K3973" s="5">
        <f>YEAR(OrganizedData[[#This Row],[Order Date]])</f>
        <v>2020</v>
      </c>
      <c r="L3973" s="7" t="str">
        <f>TEXT(OrganizedData[[#This Row],[Order Date]],"mmm")</f>
        <v>Jul</v>
      </c>
      <c r="M3973" s="2">
        <v>81</v>
      </c>
      <c r="N3973" s="2" t="s">
        <v>20</v>
      </c>
      <c r="O3973" s="2" t="str">
        <f>VLOOKUP(OrganizedData[[#This Row],[Product Code]],ProductData[[Code]:[Item]],2,FALSE)</f>
        <v>Hyperwotsit</v>
      </c>
      <c r="P3973" s="4">
        <f>OrganizedData[[#This Row],[Quantity]]*VLOOKUP(OrganizedData[[#This Row],[Product Code]],ProductData[],4,FALSE)</f>
        <v>1620</v>
      </c>
      <c r="Q3973" s="6">
        <f>OrganizedData[[#This Row],[Total Items Ordered]]*VLOOKUP(OrganizedData[[#This Row],[Product Code]],ProductData[],3,FALSE)</f>
        <v>3256.2</v>
      </c>
      <c r="R39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3974" spans="1:18" x14ac:dyDescent="0.3">
      <c r="A3974" s="2">
        <v>3967</v>
      </c>
      <c r="B3974" s="2" t="s">
        <v>1838</v>
      </c>
      <c r="C3974" s="2" t="s">
        <v>9012</v>
      </c>
      <c r="D3974" s="2" t="s">
        <v>28</v>
      </c>
      <c r="E3974" s="2" t="s">
        <v>29</v>
      </c>
      <c r="F3974" s="2">
        <v>30</v>
      </c>
      <c r="G3974" s="2" t="s">
        <v>9013</v>
      </c>
      <c r="H3974" s="2" t="s">
        <v>957</v>
      </c>
      <c r="I3974" s="2" t="s">
        <v>95</v>
      </c>
      <c r="J3974" s="3">
        <v>44164</v>
      </c>
      <c r="K3974" s="5">
        <f>YEAR(OrganizedData[[#This Row],[Order Date]])</f>
        <v>2020</v>
      </c>
      <c r="L3974" s="7" t="str">
        <f>TEXT(OrganizedData[[#This Row],[Order Date]],"mmm")</f>
        <v>Nov</v>
      </c>
      <c r="M3974" s="2">
        <v>41</v>
      </c>
      <c r="N3974" s="2" t="s">
        <v>64</v>
      </c>
      <c r="O3974" s="2" t="str">
        <f>VLOOKUP(OrganizedData[[#This Row],[Product Code]],ProductData[[Code]:[Item]],2,FALSE)</f>
        <v>Ultrathing V4</v>
      </c>
      <c r="P3974" s="4">
        <f>OrganizedData[[#This Row],[Quantity]]*VLOOKUP(OrganizedData[[#This Row],[Product Code]],ProductData[],4,FALSE)</f>
        <v>984</v>
      </c>
      <c r="Q3974" s="6">
        <f>OrganizedData[[#This Row],[Total Items Ordered]]*VLOOKUP(OrganizedData[[#This Row],[Product Code]],ProductData[],3,FALSE)</f>
        <v>3926.1600000000003</v>
      </c>
      <c r="R39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3808.3752000000004</v>
      </c>
    </row>
    <row r="3975" spans="1:18" x14ac:dyDescent="0.3">
      <c r="A3975" s="2">
        <v>3968</v>
      </c>
      <c r="B3975" s="2" t="s">
        <v>9014</v>
      </c>
      <c r="C3975" s="2" t="s">
        <v>4782</v>
      </c>
      <c r="D3975" s="2" t="s">
        <v>51</v>
      </c>
      <c r="E3975" s="2" t="s">
        <v>16</v>
      </c>
      <c r="F3975" s="2">
        <v>90</v>
      </c>
      <c r="G3975" s="2" t="s">
        <v>9015</v>
      </c>
      <c r="H3975" s="2" t="s">
        <v>1168</v>
      </c>
      <c r="I3975" s="2" t="s">
        <v>32</v>
      </c>
      <c r="J3975" s="3">
        <v>44330</v>
      </c>
      <c r="K3975" s="5">
        <f>YEAR(OrganizedData[[#This Row],[Order Date]])</f>
        <v>2021</v>
      </c>
      <c r="L3975" s="7" t="str">
        <f>TEXT(OrganizedData[[#This Row],[Order Date]],"mmm")</f>
        <v>May</v>
      </c>
      <c r="M3975" s="2">
        <v>40</v>
      </c>
      <c r="N3975" s="2" t="s">
        <v>39</v>
      </c>
      <c r="O3975" s="2" t="str">
        <f>VLOOKUP(OrganizedData[[#This Row],[Product Code]],ProductData[[Code]:[Item]],2,FALSE)</f>
        <v>Ultrathing V1</v>
      </c>
      <c r="P3975" s="4">
        <f>OrganizedData[[#This Row],[Quantity]]*VLOOKUP(OrganizedData[[#This Row],[Product Code]],ProductData[],4,FALSE)</f>
        <v>680</v>
      </c>
      <c r="Q3975" s="6">
        <f>OrganizedData[[#This Row],[Total Items Ordered]]*VLOOKUP(OrganizedData[[#This Row],[Product Code]],ProductData[],3,FALSE)</f>
        <v>1217.2</v>
      </c>
      <c r="R39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1180.684</v>
      </c>
    </row>
    <row r="3976" spans="1:18" x14ac:dyDescent="0.3">
      <c r="A3976" s="2">
        <v>3969</v>
      </c>
      <c r="B3976" s="2" t="s">
        <v>9016</v>
      </c>
      <c r="C3976" s="2" t="s">
        <v>1635</v>
      </c>
      <c r="D3976" s="2" t="s">
        <v>15</v>
      </c>
      <c r="E3976" s="2" t="s">
        <v>16</v>
      </c>
      <c r="F3976" s="2">
        <v>90</v>
      </c>
      <c r="G3976" s="2" t="s">
        <v>9017</v>
      </c>
      <c r="H3976" s="2" t="s">
        <v>4825</v>
      </c>
      <c r="I3976" s="2" t="s">
        <v>32</v>
      </c>
      <c r="J3976" s="3">
        <v>44656</v>
      </c>
      <c r="K3976" s="5">
        <f>YEAR(OrganizedData[[#This Row],[Order Date]])</f>
        <v>2022</v>
      </c>
      <c r="L3976" s="7" t="str">
        <f>TEXT(OrganizedData[[#This Row],[Order Date]],"mmm")</f>
        <v>Apr</v>
      </c>
      <c r="M3976" s="2">
        <v>81</v>
      </c>
      <c r="N3976" s="2" t="s">
        <v>20</v>
      </c>
      <c r="O3976" s="2" t="str">
        <f>VLOOKUP(OrganizedData[[#This Row],[Product Code]],ProductData[[Code]:[Item]],2,FALSE)</f>
        <v>Hyperwotsit</v>
      </c>
      <c r="P3976" s="4">
        <f>OrganizedData[[#This Row],[Quantity]]*VLOOKUP(OrganizedData[[#This Row],[Product Code]],ProductData[],4,FALSE)</f>
        <v>1620</v>
      </c>
      <c r="Q3976" s="6">
        <f>OrganizedData[[#This Row],[Total Items Ordered]]*VLOOKUP(OrganizedData[[#This Row],[Product Code]],ProductData[],3,FALSE)</f>
        <v>3256.2</v>
      </c>
      <c r="R39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3977" spans="1:18" x14ac:dyDescent="0.3">
      <c r="A3977" s="2">
        <v>3970</v>
      </c>
      <c r="B3977" s="2" t="s">
        <v>9018</v>
      </c>
      <c r="C3977" s="2" t="s">
        <v>321</v>
      </c>
      <c r="D3977" s="2" t="s">
        <v>51</v>
      </c>
      <c r="E3977" s="2" t="s">
        <v>16</v>
      </c>
      <c r="F3977" s="2">
        <v>90</v>
      </c>
      <c r="G3977" s="2" t="s">
        <v>9019</v>
      </c>
      <c r="H3977" s="2" t="s">
        <v>724</v>
      </c>
      <c r="I3977" s="2" t="s">
        <v>240</v>
      </c>
      <c r="J3977" s="3">
        <v>44585</v>
      </c>
      <c r="K3977" s="5">
        <f>YEAR(OrganizedData[[#This Row],[Order Date]])</f>
        <v>2022</v>
      </c>
      <c r="L3977" s="7" t="str">
        <f>TEXT(OrganizedData[[#This Row],[Order Date]],"mmm")</f>
        <v>Jan</v>
      </c>
      <c r="M3977" s="2">
        <v>46</v>
      </c>
      <c r="N3977" s="2" t="s">
        <v>70</v>
      </c>
      <c r="O3977" s="2" t="str">
        <f>VLOOKUP(OrganizedData[[#This Row],[Product Code]],ProductData[[Code]:[Item]],2,FALSE)</f>
        <v>Megawidget M</v>
      </c>
      <c r="P3977" s="4">
        <f>OrganizedData[[#This Row],[Quantity]]*VLOOKUP(OrganizedData[[#This Row],[Product Code]],ProductData[],4,FALSE)</f>
        <v>1104</v>
      </c>
      <c r="Q3977" s="6">
        <f>OrganizedData[[#This Row],[Total Items Ordered]]*VLOOKUP(OrganizedData[[#This Row],[Product Code]],ProductData[],3,FALSE)</f>
        <v>1424.16</v>
      </c>
      <c r="R39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3978" spans="1:18" x14ac:dyDescent="0.3">
      <c r="A3978" s="2">
        <v>3971</v>
      </c>
      <c r="B3978" s="2" t="s">
        <v>9020</v>
      </c>
      <c r="C3978" s="2" t="s">
        <v>6203</v>
      </c>
      <c r="D3978" s="2" t="s">
        <v>15</v>
      </c>
      <c r="E3978" s="2" t="s">
        <v>16</v>
      </c>
      <c r="F3978" s="2">
        <v>90</v>
      </c>
      <c r="G3978" s="2" t="s">
        <v>9021</v>
      </c>
      <c r="H3978" s="2" t="s">
        <v>9022</v>
      </c>
      <c r="I3978" s="2" t="s">
        <v>187</v>
      </c>
      <c r="J3978" s="3">
        <v>44277</v>
      </c>
      <c r="K3978" s="5">
        <f>YEAR(OrganizedData[[#This Row],[Order Date]])</f>
        <v>2021</v>
      </c>
      <c r="L3978" s="7" t="str">
        <f>TEXT(OrganizedData[[#This Row],[Order Date]],"mmm")</f>
        <v>Mar</v>
      </c>
      <c r="M3978" s="2">
        <v>26</v>
      </c>
      <c r="N3978" s="2" t="s">
        <v>80</v>
      </c>
      <c r="O3978" s="2" t="str">
        <f>VLOOKUP(OrganizedData[[#This Row],[Product Code]],ProductData[[Code]:[Item]],2,FALSE)</f>
        <v>Ultrathing V2</v>
      </c>
      <c r="P3978" s="4">
        <f>OrganizedData[[#This Row],[Quantity]]*VLOOKUP(OrganizedData[[#This Row],[Product Code]],ProductData[],4,FALSE)</f>
        <v>520</v>
      </c>
      <c r="Q3978" s="6">
        <f>OrganizedData[[#This Row],[Total Items Ordered]]*VLOOKUP(OrganizedData[[#This Row],[Product Code]],ProductData[],3,FALSE)</f>
        <v>1534</v>
      </c>
      <c r="R39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3979" spans="1:18" x14ac:dyDescent="0.3">
      <c r="A3979" s="2">
        <v>3972</v>
      </c>
      <c r="B3979" s="2" t="s">
        <v>5257</v>
      </c>
      <c r="C3979" s="2" t="s">
        <v>3345</v>
      </c>
      <c r="D3979" s="2" t="s">
        <v>51</v>
      </c>
      <c r="E3979" s="2" t="s">
        <v>16</v>
      </c>
      <c r="F3979" s="2">
        <v>90</v>
      </c>
      <c r="G3979" s="2" t="s">
        <v>9023</v>
      </c>
      <c r="H3979" s="2" t="s">
        <v>8110</v>
      </c>
      <c r="I3979" s="2" t="s">
        <v>173</v>
      </c>
      <c r="J3979" s="3">
        <v>44606</v>
      </c>
      <c r="K3979" s="5">
        <f>YEAR(OrganizedData[[#This Row],[Order Date]])</f>
        <v>2022</v>
      </c>
      <c r="L3979" s="7" t="str">
        <f>TEXT(OrganizedData[[#This Row],[Order Date]],"mmm")</f>
        <v>Feb</v>
      </c>
      <c r="M3979" s="2">
        <v>5</v>
      </c>
      <c r="N3979" s="2" t="s">
        <v>101</v>
      </c>
      <c r="O3979" s="2" t="str">
        <f>VLOOKUP(OrganizedData[[#This Row],[Product Code]],ProductData[[Code]:[Item]],2,FALSE)</f>
        <v>Superwossname</v>
      </c>
      <c r="P3979" s="4">
        <f>OrganizedData[[#This Row],[Quantity]]*VLOOKUP(OrganizedData[[#This Row],[Product Code]],ProductData[],4,FALSE)</f>
        <v>100</v>
      </c>
      <c r="Q3979" s="6">
        <f>OrganizedData[[#This Row],[Total Items Ordered]]*VLOOKUP(OrganizedData[[#This Row],[Product Code]],ProductData[],3,FALSE)</f>
        <v>349</v>
      </c>
      <c r="R39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3980" spans="1:18" x14ac:dyDescent="0.3">
      <c r="A3980" s="2">
        <v>3973</v>
      </c>
      <c r="B3980" s="2" t="s">
        <v>9024</v>
      </c>
      <c r="C3980" s="2" t="s">
        <v>135</v>
      </c>
      <c r="D3980" s="2" t="s">
        <v>28</v>
      </c>
      <c r="E3980" s="2" t="s">
        <v>29</v>
      </c>
      <c r="F3980" s="2">
        <v>90</v>
      </c>
      <c r="G3980" s="2" t="s">
        <v>9025</v>
      </c>
      <c r="H3980" s="2" t="s">
        <v>641</v>
      </c>
      <c r="I3980" s="2" t="s">
        <v>294</v>
      </c>
      <c r="J3980" s="3">
        <v>44372</v>
      </c>
      <c r="K3980" s="5">
        <f>YEAR(OrganizedData[[#This Row],[Order Date]])</f>
        <v>2021</v>
      </c>
      <c r="L3980" s="7" t="str">
        <f>TEXT(OrganizedData[[#This Row],[Order Date]],"mmm")</f>
        <v>Jun</v>
      </c>
      <c r="M3980" s="2">
        <v>42</v>
      </c>
      <c r="N3980" s="2" t="s">
        <v>159</v>
      </c>
      <c r="O3980" s="2" t="str">
        <f>VLOOKUP(OrganizedData[[#This Row],[Product Code]],ProductData[[Code]:[Item]],2,FALSE)</f>
        <v>Ultrathing V3</v>
      </c>
      <c r="P3980" s="4">
        <f>OrganizedData[[#This Row],[Quantity]]*VLOOKUP(OrganizedData[[#This Row],[Product Code]],ProductData[],4,FALSE)</f>
        <v>1008</v>
      </c>
      <c r="Q3980" s="6">
        <f>OrganizedData[[#This Row],[Total Items Ordered]]*VLOOKUP(OrganizedData[[#This Row],[Product Code]],ProductData[],3,FALSE)</f>
        <v>3417.1200000000003</v>
      </c>
      <c r="R39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3981" spans="1:18" x14ac:dyDescent="0.3">
      <c r="A3981" s="2">
        <v>3974</v>
      </c>
      <c r="B3981" s="2" t="s">
        <v>1699</v>
      </c>
      <c r="C3981" s="2" t="s">
        <v>4324</v>
      </c>
      <c r="D3981" s="2" t="s">
        <v>28</v>
      </c>
      <c r="E3981" s="2" t="s">
        <v>29</v>
      </c>
      <c r="F3981" s="2">
        <v>90</v>
      </c>
      <c r="G3981" s="2" t="s">
        <v>9026</v>
      </c>
      <c r="H3981" s="2" t="s">
        <v>1601</v>
      </c>
      <c r="I3981" s="2" t="s">
        <v>32</v>
      </c>
      <c r="J3981" s="3">
        <v>44631</v>
      </c>
      <c r="K3981" s="5">
        <f>YEAR(OrganizedData[[#This Row],[Order Date]])</f>
        <v>2022</v>
      </c>
      <c r="L3981" s="7" t="str">
        <f>TEXT(OrganizedData[[#This Row],[Order Date]],"mmm")</f>
        <v>Mar</v>
      </c>
      <c r="M3981" s="2">
        <v>67</v>
      </c>
      <c r="N3981" s="2" t="s">
        <v>45</v>
      </c>
      <c r="O3981" s="2" t="str">
        <f>VLOOKUP(OrganizedData[[#This Row],[Product Code]],ProductData[[Code]:[Item]],2,FALSE)</f>
        <v>Gigastuff</v>
      </c>
      <c r="P3981" s="4">
        <f>OrganizedData[[#This Row],[Quantity]]*VLOOKUP(OrganizedData[[#This Row],[Product Code]],ProductData[],4,FALSE)</f>
        <v>1206</v>
      </c>
      <c r="Q3981" s="6">
        <f>OrganizedData[[#This Row],[Total Items Ordered]]*VLOOKUP(OrganizedData[[#This Row],[Product Code]],ProductData[],3,FALSE)</f>
        <v>2279.3399999999997</v>
      </c>
      <c r="R39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2165.3729999999996</v>
      </c>
    </row>
    <row r="3982" spans="1:18" x14ac:dyDescent="0.3">
      <c r="A3982" s="2">
        <v>3975</v>
      </c>
      <c r="B3982" s="2" t="s">
        <v>96</v>
      </c>
      <c r="C3982" s="2" t="s">
        <v>5164</v>
      </c>
      <c r="D3982" s="2" t="s">
        <v>28</v>
      </c>
      <c r="E3982" s="2" t="s">
        <v>29</v>
      </c>
      <c r="F3982" s="2">
        <v>30</v>
      </c>
      <c r="G3982" s="2" t="s">
        <v>9027</v>
      </c>
      <c r="H3982" s="2" t="s">
        <v>326</v>
      </c>
      <c r="I3982" s="2" t="s">
        <v>25</v>
      </c>
      <c r="J3982" s="3">
        <v>43895</v>
      </c>
      <c r="K3982" s="5">
        <f>YEAR(OrganizedData[[#This Row],[Order Date]])</f>
        <v>2020</v>
      </c>
      <c r="L3982" s="7" t="str">
        <f>TEXT(OrganizedData[[#This Row],[Order Date]],"mmm")</f>
        <v>Mar</v>
      </c>
      <c r="M3982" s="2">
        <v>41</v>
      </c>
      <c r="N3982" s="2" t="s">
        <v>33</v>
      </c>
      <c r="O3982" s="2" t="str">
        <f>VLOOKUP(OrganizedData[[#This Row],[Product Code]],ProductData[[Code]:[Item]],2,FALSE)</f>
        <v>Megawidget L</v>
      </c>
      <c r="P3982" s="4">
        <f>OrganizedData[[#This Row],[Quantity]]*VLOOKUP(OrganizedData[[#This Row],[Product Code]],ProductData[],4,FALSE)</f>
        <v>984</v>
      </c>
      <c r="Q3982" s="6">
        <f>OrganizedData[[#This Row],[Total Items Ordered]]*VLOOKUP(OrganizedData[[#This Row],[Product Code]],ProductData[],3,FALSE)</f>
        <v>1761.3600000000001</v>
      </c>
      <c r="R39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1708.5192000000002</v>
      </c>
    </row>
    <row r="3983" spans="1:18" x14ac:dyDescent="0.3">
      <c r="A3983" s="2">
        <v>3976</v>
      </c>
      <c r="B3983" s="2" t="s">
        <v>588</v>
      </c>
      <c r="C3983" s="2" t="s">
        <v>9028</v>
      </c>
      <c r="D3983" s="2" t="s">
        <v>51</v>
      </c>
      <c r="E3983" s="2" t="s">
        <v>16</v>
      </c>
      <c r="F3983" s="2">
        <v>90</v>
      </c>
      <c r="G3983" s="2" t="s">
        <v>9029</v>
      </c>
      <c r="H3983" s="2" t="s">
        <v>4607</v>
      </c>
      <c r="I3983" s="2" t="s">
        <v>25</v>
      </c>
      <c r="J3983" s="3">
        <v>43982</v>
      </c>
      <c r="K3983" s="5">
        <f>YEAR(OrganizedData[[#This Row],[Order Date]])</f>
        <v>2020</v>
      </c>
      <c r="L3983" s="7" t="str">
        <f>TEXT(OrganizedData[[#This Row],[Order Date]],"mmm")</f>
        <v>May</v>
      </c>
      <c r="M3983" s="2">
        <v>85</v>
      </c>
      <c r="N3983" s="2" t="s">
        <v>159</v>
      </c>
      <c r="O3983" s="2" t="str">
        <f>VLOOKUP(OrganizedData[[#This Row],[Product Code]],ProductData[[Code]:[Item]],2,FALSE)</f>
        <v>Ultrathing V3</v>
      </c>
      <c r="P3983" s="4">
        <f>OrganizedData[[#This Row],[Quantity]]*VLOOKUP(OrganizedData[[#This Row],[Product Code]],ProductData[],4,FALSE)</f>
        <v>2040</v>
      </c>
      <c r="Q3983" s="6">
        <f>OrganizedData[[#This Row],[Total Items Ordered]]*VLOOKUP(OrganizedData[[#This Row],[Product Code]],ProductData[],3,FALSE)</f>
        <v>6915.6</v>
      </c>
      <c r="R39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6569.82</v>
      </c>
    </row>
    <row r="3984" spans="1:18" x14ac:dyDescent="0.3">
      <c r="A3984" s="2">
        <v>3977</v>
      </c>
      <c r="B3984" s="2" t="s">
        <v>9030</v>
      </c>
      <c r="C3984" s="2" t="s">
        <v>2561</v>
      </c>
      <c r="D3984" s="2" t="s">
        <v>51</v>
      </c>
      <c r="E3984" s="2" t="s">
        <v>16</v>
      </c>
      <c r="F3984" s="2">
        <v>90</v>
      </c>
      <c r="G3984" s="2" t="s">
        <v>9031</v>
      </c>
      <c r="H3984" s="2" t="s">
        <v>806</v>
      </c>
      <c r="I3984" s="2" t="s">
        <v>178</v>
      </c>
      <c r="J3984" s="3">
        <v>44016</v>
      </c>
      <c r="K3984" s="5">
        <f>YEAR(OrganizedData[[#This Row],[Order Date]])</f>
        <v>2020</v>
      </c>
      <c r="L3984" s="7" t="str">
        <f>TEXT(OrganizedData[[#This Row],[Order Date]],"mmm")</f>
        <v>Jul</v>
      </c>
      <c r="M3984" s="2">
        <v>42</v>
      </c>
      <c r="N3984" s="2" t="s">
        <v>70</v>
      </c>
      <c r="O3984" s="2" t="str">
        <f>VLOOKUP(OrganizedData[[#This Row],[Product Code]],ProductData[[Code]:[Item]],2,FALSE)</f>
        <v>Megawidget M</v>
      </c>
      <c r="P3984" s="4">
        <f>OrganizedData[[#This Row],[Quantity]]*VLOOKUP(OrganizedData[[#This Row],[Product Code]],ProductData[],4,FALSE)</f>
        <v>1008</v>
      </c>
      <c r="Q3984" s="6">
        <f>OrganizedData[[#This Row],[Total Items Ordered]]*VLOOKUP(OrganizedData[[#This Row],[Product Code]],ProductData[],3,FALSE)</f>
        <v>1300.32</v>
      </c>
      <c r="R39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3985" spans="1:18" x14ac:dyDescent="0.3">
      <c r="A3985" s="2">
        <v>3978</v>
      </c>
      <c r="B3985" s="2" t="s">
        <v>4452</v>
      </c>
      <c r="C3985" s="2" t="s">
        <v>2650</v>
      </c>
      <c r="D3985" s="2" t="s">
        <v>92</v>
      </c>
      <c r="E3985" s="2" t="s">
        <v>29</v>
      </c>
      <c r="F3985" s="2">
        <v>60</v>
      </c>
      <c r="G3985" s="2" t="s">
        <v>9032</v>
      </c>
      <c r="H3985" s="2" t="s">
        <v>1039</v>
      </c>
      <c r="I3985" s="2" t="s">
        <v>25</v>
      </c>
      <c r="J3985" s="3">
        <v>44587</v>
      </c>
      <c r="K3985" s="5">
        <f>YEAR(OrganizedData[[#This Row],[Order Date]])</f>
        <v>2022</v>
      </c>
      <c r="L3985" s="7" t="str">
        <f>TEXT(OrganizedData[[#This Row],[Order Date]],"mmm")</f>
        <v>Jan</v>
      </c>
      <c r="M3985" s="2">
        <v>100</v>
      </c>
      <c r="N3985" s="2" t="s">
        <v>54</v>
      </c>
      <c r="O3985" s="2" t="str">
        <f>VLOOKUP(OrganizedData[[#This Row],[Product Code]],ProductData[[Code]:[Item]],2,FALSE)</f>
        <v>Megawidget S</v>
      </c>
      <c r="P3985" s="4">
        <f>OrganizedData[[#This Row],[Quantity]]*VLOOKUP(OrganizedData[[#This Row],[Product Code]],ProductData[],4,FALSE)</f>
        <v>2400</v>
      </c>
      <c r="Q3985" s="6">
        <f>OrganizedData[[#This Row],[Total Items Ordered]]*VLOOKUP(OrganizedData[[#This Row],[Product Code]],ProductData[],3,FALSE)</f>
        <v>1655.9999999999998</v>
      </c>
      <c r="R39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1573.1999999999998</v>
      </c>
    </row>
    <row r="3986" spans="1:18" x14ac:dyDescent="0.3">
      <c r="A3986" s="2">
        <v>3979</v>
      </c>
      <c r="B3986" s="2" t="s">
        <v>6559</v>
      </c>
      <c r="C3986" s="2" t="s">
        <v>3803</v>
      </c>
      <c r="D3986" s="2" t="s">
        <v>15</v>
      </c>
      <c r="E3986" s="2" t="s">
        <v>16</v>
      </c>
      <c r="F3986" s="2">
        <v>90</v>
      </c>
      <c r="G3986" s="2" t="s">
        <v>9033</v>
      </c>
      <c r="H3986" s="2" t="s">
        <v>957</v>
      </c>
      <c r="I3986" s="2" t="s">
        <v>95</v>
      </c>
      <c r="J3986" s="3">
        <v>44824</v>
      </c>
      <c r="K3986" s="5">
        <f>YEAR(OrganizedData[[#This Row],[Order Date]])</f>
        <v>2022</v>
      </c>
      <c r="L3986" s="7" t="str">
        <f>TEXT(OrganizedData[[#This Row],[Order Date]],"mmm")</f>
        <v>Sep</v>
      </c>
      <c r="M3986" s="2">
        <v>103</v>
      </c>
      <c r="N3986" s="2" t="s">
        <v>101</v>
      </c>
      <c r="O3986" s="2" t="str">
        <f>VLOOKUP(OrganizedData[[#This Row],[Product Code]],ProductData[[Code]:[Item]],2,FALSE)</f>
        <v>Superwossname</v>
      </c>
      <c r="P3986" s="4">
        <f>OrganizedData[[#This Row],[Quantity]]*VLOOKUP(OrganizedData[[#This Row],[Product Code]],ProductData[],4,FALSE)</f>
        <v>2060</v>
      </c>
      <c r="Q3986" s="6">
        <f>OrganizedData[[#This Row],[Total Items Ordered]]*VLOOKUP(OrganizedData[[#This Row],[Product Code]],ProductData[],3,FALSE)</f>
        <v>7189.4000000000005</v>
      </c>
      <c r="R39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6686.1420000000007</v>
      </c>
    </row>
    <row r="3987" spans="1:18" x14ac:dyDescent="0.3">
      <c r="A3987" s="2">
        <v>3980</v>
      </c>
      <c r="B3987" s="2" t="s">
        <v>1108</v>
      </c>
      <c r="C3987" s="2" t="s">
        <v>3941</v>
      </c>
      <c r="D3987" s="2" t="s">
        <v>28</v>
      </c>
      <c r="E3987" s="2" t="s">
        <v>29</v>
      </c>
      <c r="F3987" s="2">
        <v>30</v>
      </c>
      <c r="G3987" s="2" t="s">
        <v>9034</v>
      </c>
      <c r="H3987" s="2" t="s">
        <v>455</v>
      </c>
      <c r="I3987" s="2" t="s">
        <v>187</v>
      </c>
      <c r="J3987" s="3">
        <v>44382</v>
      </c>
      <c r="K3987" s="5">
        <f>YEAR(OrganizedData[[#This Row],[Order Date]])</f>
        <v>2021</v>
      </c>
      <c r="L3987" s="7" t="str">
        <f>TEXT(OrganizedData[[#This Row],[Order Date]],"mmm")</f>
        <v>Jul</v>
      </c>
      <c r="M3987" s="2">
        <v>5</v>
      </c>
      <c r="N3987" s="2" t="s">
        <v>159</v>
      </c>
      <c r="O3987" s="2" t="str">
        <f>VLOOKUP(OrganizedData[[#This Row],[Product Code]],ProductData[[Code]:[Item]],2,FALSE)</f>
        <v>Ultrathing V3</v>
      </c>
      <c r="P3987" s="4">
        <f>OrganizedData[[#This Row],[Quantity]]*VLOOKUP(OrganizedData[[#This Row],[Product Code]],ProductData[],4,FALSE)</f>
        <v>120</v>
      </c>
      <c r="Q3987" s="6">
        <f>OrganizedData[[#This Row],[Total Items Ordered]]*VLOOKUP(OrganizedData[[#This Row],[Product Code]],ProductData[],3,FALSE)</f>
        <v>406.8</v>
      </c>
      <c r="R39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406.8</v>
      </c>
    </row>
    <row r="3988" spans="1:18" x14ac:dyDescent="0.3">
      <c r="A3988" s="2">
        <v>3981</v>
      </c>
      <c r="B3988" s="2" t="s">
        <v>2009</v>
      </c>
      <c r="C3988" s="2" t="s">
        <v>3009</v>
      </c>
      <c r="D3988" s="2" t="s">
        <v>28</v>
      </c>
      <c r="E3988" s="2" t="s">
        <v>29</v>
      </c>
      <c r="F3988" s="2">
        <v>60</v>
      </c>
      <c r="G3988" s="2" t="s">
        <v>9035</v>
      </c>
      <c r="H3988" s="2" t="s">
        <v>2737</v>
      </c>
      <c r="I3988" s="2" t="s">
        <v>32</v>
      </c>
      <c r="J3988" s="3">
        <v>43872</v>
      </c>
      <c r="K3988" s="5">
        <f>YEAR(OrganizedData[[#This Row],[Order Date]])</f>
        <v>2020</v>
      </c>
      <c r="L3988" s="7" t="str">
        <f>TEXT(OrganizedData[[#This Row],[Order Date]],"mmm")</f>
        <v>Feb</v>
      </c>
      <c r="M3988" s="2">
        <v>39</v>
      </c>
      <c r="N3988" s="2" t="s">
        <v>64</v>
      </c>
      <c r="O3988" s="2" t="str">
        <f>VLOOKUP(OrganizedData[[#This Row],[Product Code]],ProductData[[Code]:[Item]],2,FALSE)</f>
        <v>Ultrathing V4</v>
      </c>
      <c r="P3988" s="4">
        <f>OrganizedData[[#This Row],[Quantity]]*VLOOKUP(OrganizedData[[#This Row],[Product Code]],ProductData[],4,FALSE)</f>
        <v>936</v>
      </c>
      <c r="Q3988" s="6">
        <f>OrganizedData[[#This Row],[Total Items Ordered]]*VLOOKUP(OrganizedData[[#This Row],[Product Code]],ProductData[],3,FALSE)</f>
        <v>3734.6400000000003</v>
      </c>
      <c r="R39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3622.6008000000002</v>
      </c>
    </row>
    <row r="3989" spans="1:18" x14ac:dyDescent="0.3">
      <c r="A3989" s="2">
        <v>3982</v>
      </c>
      <c r="B3989" s="2" t="s">
        <v>9036</v>
      </c>
      <c r="C3989" s="2" t="s">
        <v>1109</v>
      </c>
      <c r="D3989" s="2" t="s">
        <v>15</v>
      </c>
      <c r="E3989" s="2" t="s">
        <v>16</v>
      </c>
      <c r="F3989" s="2">
        <v>30</v>
      </c>
      <c r="G3989" s="2" t="s">
        <v>9037</v>
      </c>
      <c r="H3989" s="2" t="s">
        <v>3682</v>
      </c>
      <c r="I3989" s="2" t="s">
        <v>178</v>
      </c>
      <c r="J3989" s="3">
        <v>44572</v>
      </c>
      <c r="K3989" s="5">
        <f>YEAR(OrganizedData[[#This Row],[Order Date]])</f>
        <v>2022</v>
      </c>
      <c r="L3989" s="7" t="str">
        <f>TEXT(OrganizedData[[#This Row],[Order Date]],"mmm")</f>
        <v>Jan</v>
      </c>
      <c r="M3989" s="2">
        <v>10</v>
      </c>
      <c r="N3989" s="2" t="s">
        <v>33</v>
      </c>
      <c r="O3989" s="2" t="str">
        <f>VLOOKUP(OrganizedData[[#This Row],[Product Code]],ProductData[[Code]:[Item]],2,FALSE)</f>
        <v>Megawidget L</v>
      </c>
      <c r="P3989" s="4">
        <f>OrganizedData[[#This Row],[Quantity]]*VLOOKUP(OrganizedData[[#This Row],[Product Code]],ProductData[],4,FALSE)</f>
        <v>240</v>
      </c>
      <c r="Q3989" s="6">
        <f>OrganizedData[[#This Row],[Total Items Ordered]]*VLOOKUP(OrganizedData[[#This Row],[Product Code]],ProductData[],3,FALSE)</f>
        <v>429.6</v>
      </c>
      <c r="R39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429.6</v>
      </c>
    </row>
    <row r="3990" spans="1:18" x14ac:dyDescent="0.3">
      <c r="A3990" s="2">
        <v>3983</v>
      </c>
      <c r="B3990" s="2" t="s">
        <v>9038</v>
      </c>
      <c r="C3990" s="2" t="s">
        <v>8794</v>
      </c>
      <c r="D3990" s="2" t="s">
        <v>15</v>
      </c>
      <c r="E3990" s="2" t="s">
        <v>16</v>
      </c>
      <c r="F3990" s="2">
        <v>30</v>
      </c>
      <c r="G3990" s="2" t="s">
        <v>9039</v>
      </c>
      <c r="H3990" s="2" t="s">
        <v>2418</v>
      </c>
      <c r="I3990" s="2" t="s">
        <v>32</v>
      </c>
      <c r="J3990" s="3">
        <v>44459</v>
      </c>
      <c r="K3990" s="5">
        <f>YEAR(OrganizedData[[#This Row],[Order Date]])</f>
        <v>2021</v>
      </c>
      <c r="L3990" s="7" t="str">
        <f>TEXT(OrganizedData[[#This Row],[Order Date]],"mmm")</f>
        <v>Sep</v>
      </c>
      <c r="M3990" s="2">
        <v>59</v>
      </c>
      <c r="N3990" s="2" t="s">
        <v>45</v>
      </c>
      <c r="O3990" s="2" t="str">
        <f>VLOOKUP(OrganizedData[[#This Row],[Product Code]],ProductData[[Code]:[Item]],2,FALSE)</f>
        <v>Gigastuff</v>
      </c>
      <c r="P3990" s="4">
        <f>OrganizedData[[#This Row],[Quantity]]*VLOOKUP(OrganizedData[[#This Row],[Product Code]],ProductData[],4,FALSE)</f>
        <v>1062</v>
      </c>
      <c r="Q3990" s="6">
        <f>OrganizedData[[#This Row],[Total Items Ordered]]*VLOOKUP(OrganizedData[[#This Row],[Product Code]],ProductData[],3,FALSE)</f>
        <v>2007.1799999999998</v>
      </c>
      <c r="R39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1906.8209999999997</v>
      </c>
    </row>
    <row r="3991" spans="1:18" x14ac:dyDescent="0.3">
      <c r="A3991" s="2">
        <v>3984</v>
      </c>
      <c r="B3991" s="2" t="s">
        <v>46</v>
      </c>
      <c r="C3991" s="2" t="s">
        <v>375</v>
      </c>
      <c r="D3991" s="2" t="s">
        <v>28</v>
      </c>
      <c r="E3991" s="2" t="s">
        <v>29</v>
      </c>
      <c r="F3991" s="2">
        <v>60</v>
      </c>
      <c r="G3991" s="2" t="s">
        <v>9040</v>
      </c>
      <c r="H3991" s="2" t="s">
        <v>3157</v>
      </c>
      <c r="I3991" s="2" t="s">
        <v>32</v>
      </c>
      <c r="J3991" s="3">
        <v>44794</v>
      </c>
      <c r="K3991" s="5">
        <f>YEAR(OrganizedData[[#This Row],[Order Date]])</f>
        <v>2022</v>
      </c>
      <c r="L3991" s="7" t="str">
        <f>TEXT(OrganizedData[[#This Row],[Order Date]],"mmm")</f>
        <v>Aug</v>
      </c>
      <c r="M3991" s="2">
        <v>38</v>
      </c>
      <c r="N3991" s="2" t="s">
        <v>20</v>
      </c>
      <c r="O3991" s="2" t="str">
        <f>VLOOKUP(OrganizedData[[#This Row],[Product Code]],ProductData[[Code]:[Item]],2,FALSE)</f>
        <v>Hyperwotsit</v>
      </c>
      <c r="P3991" s="4">
        <f>OrganizedData[[#This Row],[Quantity]]*VLOOKUP(OrganizedData[[#This Row],[Product Code]],ProductData[],4,FALSE)</f>
        <v>760</v>
      </c>
      <c r="Q3991" s="6">
        <f>OrganizedData[[#This Row],[Total Items Ordered]]*VLOOKUP(OrganizedData[[#This Row],[Product Code]],ProductData[],3,FALSE)</f>
        <v>1527.6</v>
      </c>
      <c r="R39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1481.7719999999999</v>
      </c>
    </row>
    <row r="3992" spans="1:18" x14ac:dyDescent="0.3">
      <c r="A3992" s="2">
        <v>3985</v>
      </c>
      <c r="B3992" s="2" t="s">
        <v>9041</v>
      </c>
      <c r="C3992" s="2" t="s">
        <v>3422</v>
      </c>
      <c r="D3992" s="2" t="s">
        <v>117</v>
      </c>
      <c r="E3992" s="2" t="s">
        <v>16</v>
      </c>
      <c r="F3992" s="2">
        <v>90</v>
      </c>
      <c r="G3992" s="2" t="s">
        <v>9042</v>
      </c>
      <c r="H3992" s="2" t="s">
        <v>898</v>
      </c>
      <c r="I3992" s="2" t="s">
        <v>32</v>
      </c>
      <c r="J3992" s="3">
        <v>44425</v>
      </c>
      <c r="K3992" s="5">
        <f>YEAR(OrganizedData[[#This Row],[Order Date]])</f>
        <v>2021</v>
      </c>
      <c r="L3992" s="7" t="str">
        <f>TEXT(OrganizedData[[#This Row],[Order Date]],"mmm")</f>
        <v>Aug</v>
      </c>
      <c r="M3992" s="2">
        <v>78</v>
      </c>
      <c r="N3992" s="2" t="s">
        <v>45</v>
      </c>
      <c r="O3992" s="2" t="str">
        <f>VLOOKUP(OrganizedData[[#This Row],[Product Code]],ProductData[[Code]:[Item]],2,FALSE)</f>
        <v>Gigastuff</v>
      </c>
      <c r="P3992" s="4">
        <f>OrganizedData[[#This Row],[Quantity]]*VLOOKUP(OrganizedData[[#This Row],[Product Code]],ProductData[],4,FALSE)</f>
        <v>1404</v>
      </c>
      <c r="Q3992" s="6">
        <f>OrganizedData[[#This Row],[Total Items Ordered]]*VLOOKUP(OrganizedData[[#This Row],[Product Code]],ProductData[],3,FALSE)</f>
        <v>2653.56</v>
      </c>
      <c r="R39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3993" spans="1:18" x14ac:dyDescent="0.3">
      <c r="A3993" s="2">
        <v>3986</v>
      </c>
      <c r="B3993" s="2" t="s">
        <v>5950</v>
      </c>
      <c r="C3993" s="2" t="s">
        <v>5113</v>
      </c>
      <c r="D3993" s="2" t="s">
        <v>51</v>
      </c>
      <c r="E3993" s="2" t="s">
        <v>16</v>
      </c>
      <c r="F3993" s="2">
        <v>60</v>
      </c>
      <c r="G3993" s="2" t="s">
        <v>9043</v>
      </c>
      <c r="H3993" s="2" t="s">
        <v>84</v>
      </c>
      <c r="I3993" s="2" t="s">
        <v>32</v>
      </c>
      <c r="J3993" s="3">
        <v>43859</v>
      </c>
      <c r="K3993" s="5">
        <f>YEAR(OrganizedData[[#This Row],[Order Date]])</f>
        <v>2020</v>
      </c>
      <c r="L3993" s="7" t="str">
        <f>TEXT(OrganizedData[[#This Row],[Order Date]],"mmm")</f>
        <v>Jan</v>
      </c>
      <c r="M3993" s="2">
        <v>60</v>
      </c>
      <c r="N3993" s="2" t="s">
        <v>54</v>
      </c>
      <c r="O3993" s="2" t="str">
        <f>VLOOKUP(OrganizedData[[#This Row],[Product Code]],ProductData[[Code]:[Item]],2,FALSE)</f>
        <v>Megawidget S</v>
      </c>
      <c r="P3993" s="4">
        <f>OrganizedData[[#This Row],[Quantity]]*VLOOKUP(OrganizedData[[#This Row],[Product Code]],ProductData[],4,FALSE)</f>
        <v>1440</v>
      </c>
      <c r="Q3993" s="6">
        <f>OrganizedData[[#This Row],[Total Items Ordered]]*VLOOKUP(OrganizedData[[#This Row],[Product Code]],ProductData[],3,FALSE)</f>
        <v>993.59999999999991</v>
      </c>
      <c r="R39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943.91999999999985</v>
      </c>
    </row>
    <row r="3994" spans="1:18" x14ac:dyDescent="0.3">
      <c r="A3994" s="2">
        <v>3987</v>
      </c>
      <c r="B3994" s="2" t="s">
        <v>986</v>
      </c>
      <c r="C3994" s="2" t="s">
        <v>1101</v>
      </c>
      <c r="D3994" s="2" t="s">
        <v>28</v>
      </c>
      <c r="E3994" s="2" t="s">
        <v>29</v>
      </c>
      <c r="F3994" s="2">
        <v>60</v>
      </c>
      <c r="G3994" s="2" t="s">
        <v>9044</v>
      </c>
      <c r="H3994" s="2" t="s">
        <v>7343</v>
      </c>
      <c r="I3994" s="2" t="s">
        <v>1126</v>
      </c>
      <c r="J3994" s="3">
        <v>44609</v>
      </c>
      <c r="K3994" s="5">
        <f>YEAR(OrganizedData[[#This Row],[Order Date]])</f>
        <v>2022</v>
      </c>
      <c r="L3994" s="7" t="str">
        <f>TEXT(OrganizedData[[#This Row],[Order Date]],"mmm")</f>
        <v>Feb</v>
      </c>
      <c r="M3994" s="2">
        <v>105</v>
      </c>
      <c r="N3994" s="2" t="s">
        <v>20</v>
      </c>
      <c r="O3994" s="2" t="str">
        <f>VLOOKUP(OrganizedData[[#This Row],[Product Code]],ProductData[[Code]:[Item]],2,FALSE)</f>
        <v>Hyperwotsit</v>
      </c>
      <c r="P3994" s="4">
        <f>OrganizedData[[#This Row],[Quantity]]*VLOOKUP(OrganizedData[[#This Row],[Product Code]],ProductData[],4,FALSE)</f>
        <v>2100</v>
      </c>
      <c r="Q3994" s="6">
        <f>OrganizedData[[#This Row],[Total Items Ordered]]*VLOOKUP(OrganizedData[[#This Row],[Product Code]],ProductData[],3,FALSE)</f>
        <v>4221</v>
      </c>
      <c r="R39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3925.53</v>
      </c>
    </row>
    <row r="3995" spans="1:18" x14ac:dyDescent="0.3">
      <c r="A3995" s="2">
        <v>3988</v>
      </c>
      <c r="B3995" s="2" t="s">
        <v>7034</v>
      </c>
      <c r="C3995" s="2" t="s">
        <v>3917</v>
      </c>
      <c r="D3995" s="2" t="s">
        <v>28</v>
      </c>
      <c r="E3995" s="2" t="s">
        <v>29</v>
      </c>
      <c r="F3995" s="2">
        <v>60</v>
      </c>
      <c r="G3995" s="2" t="s">
        <v>9045</v>
      </c>
      <c r="H3995" s="2" t="s">
        <v>462</v>
      </c>
      <c r="I3995" s="2" t="s">
        <v>32</v>
      </c>
      <c r="J3995" s="3">
        <v>44629</v>
      </c>
      <c r="K3995" s="5">
        <f>YEAR(OrganizedData[[#This Row],[Order Date]])</f>
        <v>2022</v>
      </c>
      <c r="L3995" s="7" t="str">
        <f>TEXT(OrganizedData[[#This Row],[Order Date]],"mmm")</f>
        <v>Mar</v>
      </c>
      <c r="M3995" s="2">
        <v>32</v>
      </c>
      <c r="N3995" s="2" t="s">
        <v>159</v>
      </c>
      <c r="O3995" s="2" t="str">
        <f>VLOOKUP(OrganizedData[[#This Row],[Product Code]],ProductData[[Code]:[Item]],2,FALSE)</f>
        <v>Ultrathing V3</v>
      </c>
      <c r="P3995" s="4">
        <f>OrganizedData[[#This Row],[Quantity]]*VLOOKUP(OrganizedData[[#This Row],[Product Code]],ProductData[],4,FALSE)</f>
        <v>768</v>
      </c>
      <c r="Q3995" s="6">
        <f>OrganizedData[[#This Row],[Total Items Ordered]]*VLOOKUP(OrganizedData[[#This Row],[Product Code]],ProductData[],3,FALSE)</f>
        <v>2603.52</v>
      </c>
      <c r="R39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2525.4144000000001</v>
      </c>
    </row>
    <row r="3996" spans="1:18" x14ac:dyDescent="0.3">
      <c r="A3996" s="2">
        <v>3989</v>
      </c>
      <c r="B3996" s="2" t="s">
        <v>9046</v>
      </c>
      <c r="C3996" s="2" t="s">
        <v>1475</v>
      </c>
      <c r="D3996" s="2" t="s">
        <v>28</v>
      </c>
      <c r="E3996" s="2" t="s">
        <v>29</v>
      </c>
      <c r="F3996" s="2">
        <v>60</v>
      </c>
      <c r="G3996" s="2" t="s">
        <v>9047</v>
      </c>
      <c r="H3996" s="2" t="s">
        <v>5751</v>
      </c>
      <c r="I3996" s="2" t="s">
        <v>178</v>
      </c>
      <c r="J3996" s="3">
        <v>44802</v>
      </c>
      <c r="K3996" s="5">
        <f>YEAR(OrganizedData[[#This Row],[Order Date]])</f>
        <v>2022</v>
      </c>
      <c r="L3996" s="7" t="str">
        <f>TEXT(OrganizedData[[#This Row],[Order Date]],"mmm")</f>
        <v>Aug</v>
      </c>
      <c r="M3996" s="2">
        <v>56</v>
      </c>
      <c r="N3996" s="2" t="s">
        <v>101</v>
      </c>
      <c r="O3996" s="2" t="str">
        <f>VLOOKUP(OrganizedData[[#This Row],[Product Code]],ProductData[[Code]:[Item]],2,FALSE)</f>
        <v>Superwossname</v>
      </c>
      <c r="P3996" s="4">
        <f>OrganizedData[[#This Row],[Quantity]]*VLOOKUP(OrganizedData[[#This Row],[Product Code]],ProductData[],4,FALSE)</f>
        <v>1120</v>
      </c>
      <c r="Q3996" s="6">
        <f>OrganizedData[[#This Row],[Total Items Ordered]]*VLOOKUP(OrganizedData[[#This Row],[Product Code]],ProductData[],3,FALSE)</f>
        <v>3908.8</v>
      </c>
      <c r="R39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3713.36</v>
      </c>
    </row>
    <row r="3997" spans="1:18" x14ac:dyDescent="0.3">
      <c r="A3997" s="2">
        <v>3990</v>
      </c>
      <c r="B3997" s="2" t="s">
        <v>7561</v>
      </c>
      <c r="C3997" s="2" t="s">
        <v>3095</v>
      </c>
      <c r="D3997" s="2" t="s">
        <v>28</v>
      </c>
      <c r="E3997" s="2" t="s">
        <v>29</v>
      </c>
      <c r="F3997" s="2">
        <v>30</v>
      </c>
      <c r="G3997" s="2" t="s">
        <v>9048</v>
      </c>
      <c r="H3997" s="2" t="s">
        <v>8121</v>
      </c>
      <c r="I3997" s="2" t="s">
        <v>44</v>
      </c>
      <c r="J3997" s="3">
        <v>44035</v>
      </c>
      <c r="K3997" s="5">
        <f>YEAR(OrganizedData[[#This Row],[Order Date]])</f>
        <v>2020</v>
      </c>
      <c r="L3997" s="7" t="str">
        <f>TEXT(OrganizedData[[#This Row],[Order Date]],"mmm")</f>
        <v>Jul</v>
      </c>
      <c r="M3997" s="2">
        <v>42</v>
      </c>
      <c r="N3997" s="2" t="s">
        <v>45</v>
      </c>
      <c r="O3997" s="2" t="str">
        <f>VLOOKUP(OrganizedData[[#This Row],[Product Code]],ProductData[[Code]:[Item]],2,FALSE)</f>
        <v>Gigastuff</v>
      </c>
      <c r="P3997" s="4">
        <f>OrganizedData[[#This Row],[Quantity]]*VLOOKUP(OrganizedData[[#This Row],[Product Code]],ProductData[],4,FALSE)</f>
        <v>756</v>
      </c>
      <c r="Q3997" s="6">
        <f>OrganizedData[[#This Row],[Total Items Ordered]]*VLOOKUP(OrganizedData[[#This Row],[Product Code]],ProductData[],3,FALSE)</f>
        <v>1428.84</v>
      </c>
      <c r="R39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1385.9748</v>
      </c>
    </row>
    <row r="3998" spans="1:18" x14ac:dyDescent="0.3">
      <c r="A3998" s="2">
        <v>3991</v>
      </c>
      <c r="B3998" s="2" t="s">
        <v>811</v>
      </c>
      <c r="C3998" s="2" t="s">
        <v>1928</v>
      </c>
      <c r="D3998" s="2" t="s">
        <v>28</v>
      </c>
      <c r="E3998" s="2" t="s">
        <v>29</v>
      </c>
      <c r="F3998" s="2">
        <v>30</v>
      </c>
      <c r="G3998" s="2" t="s">
        <v>9049</v>
      </c>
      <c r="H3998" s="2" t="s">
        <v>9050</v>
      </c>
      <c r="I3998" s="2" t="s">
        <v>32</v>
      </c>
      <c r="J3998" s="3">
        <v>44587</v>
      </c>
      <c r="K3998" s="5">
        <f>YEAR(OrganizedData[[#This Row],[Order Date]])</f>
        <v>2022</v>
      </c>
      <c r="L3998" s="7" t="str">
        <f>TEXT(OrganizedData[[#This Row],[Order Date]],"mmm")</f>
        <v>Jan</v>
      </c>
      <c r="M3998" s="2">
        <v>64</v>
      </c>
      <c r="N3998" s="2" t="s">
        <v>45</v>
      </c>
      <c r="O3998" s="2" t="str">
        <f>VLOOKUP(OrganizedData[[#This Row],[Product Code]],ProductData[[Code]:[Item]],2,FALSE)</f>
        <v>Gigastuff</v>
      </c>
      <c r="P3998" s="4">
        <f>OrganizedData[[#This Row],[Quantity]]*VLOOKUP(OrganizedData[[#This Row],[Product Code]],ProductData[],4,FALSE)</f>
        <v>1152</v>
      </c>
      <c r="Q3998" s="6">
        <f>OrganizedData[[#This Row],[Total Items Ordered]]*VLOOKUP(OrganizedData[[#This Row],[Product Code]],ProductData[],3,FALSE)</f>
        <v>2177.2799999999997</v>
      </c>
      <c r="R39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2068.4159999999997</v>
      </c>
    </row>
    <row r="3999" spans="1:18" x14ac:dyDescent="0.3">
      <c r="A3999" s="2">
        <v>3992</v>
      </c>
      <c r="B3999" s="2" t="s">
        <v>9051</v>
      </c>
      <c r="C3999" s="2" t="s">
        <v>7556</v>
      </c>
      <c r="D3999" s="2" t="s">
        <v>15</v>
      </c>
      <c r="E3999" s="2" t="s">
        <v>16</v>
      </c>
      <c r="F3999" s="2">
        <v>60</v>
      </c>
      <c r="G3999" s="2" t="s">
        <v>9052</v>
      </c>
      <c r="H3999" s="2" t="s">
        <v>3194</v>
      </c>
      <c r="I3999" s="2" t="s">
        <v>819</v>
      </c>
      <c r="J3999" s="3">
        <v>44491</v>
      </c>
      <c r="K3999" s="5">
        <f>YEAR(OrganizedData[[#This Row],[Order Date]])</f>
        <v>2021</v>
      </c>
      <c r="L3999" s="7" t="str">
        <f>TEXT(OrganizedData[[#This Row],[Order Date]],"mmm")</f>
        <v>Oct</v>
      </c>
      <c r="M3999" s="2">
        <v>54</v>
      </c>
      <c r="N3999" s="2" t="s">
        <v>45</v>
      </c>
      <c r="O3999" s="2" t="str">
        <f>VLOOKUP(OrganizedData[[#This Row],[Product Code]],ProductData[[Code]:[Item]],2,FALSE)</f>
        <v>Gigastuff</v>
      </c>
      <c r="P3999" s="4">
        <f>OrganizedData[[#This Row],[Quantity]]*VLOOKUP(OrganizedData[[#This Row],[Product Code]],ProductData[],4,FALSE)</f>
        <v>972</v>
      </c>
      <c r="Q3999" s="6">
        <f>OrganizedData[[#This Row],[Total Items Ordered]]*VLOOKUP(OrganizedData[[#This Row],[Product Code]],ProductData[],3,FALSE)</f>
        <v>1837.08</v>
      </c>
      <c r="R39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1745.2259999999999</v>
      </c>
    </row>
    <row r="4000" spans="1:18" x14ac:dyDescent="0.3">
      <c r="A4000" s="2">
        <v>3993</v>
      </c>
      <c r="B4000" s="2" t="s">
        <v>6942</v>
      </c>
      <c r="C4000" s="2" t="s">
        <v>1010</v>
      </c>
      <c r="D4000" s="2" t="s">
        <v>28</v>
      </c>
      <c r="E4000" s="2" t="s">
        <v>29</v>
      </c>
      <c r="F4000" s="2">
        <v>30</v>
      </c>
      <c r="G4000" s="2" t="s">
        <v>9053</v>
      </c>
      <c r="H4000" s="2" t="s">
        <v>2834</v>
      </c>
      <c r="I4000" s="2" t="s">
        <v>19</v>
      </c>
      <c r="J4000" s="3">
        <v>43849</v>
      </c>
      <c r="K4000" s="5">
        <f>YEAR(OrganizedData[[#This Row],[Order Date]])</f>
        <v>2020</v>
      </c>
      <c r="L4000" s="7" t="str">
        <f>TEXT(OrganizedData[[#This Row],[Order Date]],"mmm")</f>
        <v>Jan</v>
      </c>
      <c r="M4000" s="2">
        <v>28</v>
      </c>
      <c r="N4000" s="2" t="s">
        <v>33</v>
      </c>
      <c r="O4000" s="2" t="str">
        <f>VLOOKUP(OrganizedData[[#This Row],[Product Code]],ProductData[[Code]:[Item]],2,FALSE)</f>
        <v>Megawidget L</v>
      </c>
      <c r="P4000" s="4">
        <f>OrganizedData[[#This Row],[Quantity]]*VLOOKUP(OrganizedData[[#This Row],[Product Code]],ProductData[],4,FALSE)</f>
        <v>672</v>
      </c>
      <c r="Q4000" s="6">
        <f>OrganizedData[[#This Row],[Total Items Ordered]]*VLOOKUP(OrganizedData[[#This Row],[Product Code]],ProductData[],3,FALSE)</f>
        <v>1202.8800000000001</v>
      </c>
      <c r="R40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1166.7936</v>
      </c>
    </row>
    <row r="4001" spans="1:18" x14ac:dyDescent="0.3">
      <c r="A4001" s="2">
        <v>3994</v>
      </c>
      <c r="B4001" s="2" t="s">
        <v>9054</v>
      </c>
      <c r="C4001" s="2" t="s">
        <v>9055</v>
      </c>
      <c r="D4001" s="2" t="s">
        <v>15</v>
      </c>
      <c r="E4001" s="2" t="s">
        <v>16</v>
      </c>
      <c r="F4001" s="2">
        <v>60</v>
      </c>
      <c r="G4001" s="2" t="s">
        <v>9056</v>
      </c>
      <c r="H4001" s="2" t="s">
        <v>2506</v>
      </c>
      <c r="I4001" s="2" t="s">
        <v>32</v>
      </c>
      <c r="J4001" s="3">
        <v>43881</v>
      </c>
      <c r="K4001" s="5">
        <f>YEAR(OrganizedData[[#This Row],[Order Date]])</f>
        <v>2020</v>
      </c>
      <c r="L4001" s="7" t="str">
        <f>TEXT(OrganizedData[[#This Row],[Order Date]],"mmm")</f>
        <v>Feb</v>
      </c>
      <c r="M4001" s="2">
        <v>55</v>
      </c>
      <c r="N4001" s="2" t="s">
        <v>33</v>
      </c>
      <c r="O4001" s="2" t="str">
        <f>VLOOKUP(OrganizedData[[#This Row],[Product Code]],ProductData[[Code]:[Item]],2,FALSE)</f>
        <v>Megawidget L</v>
      </c>
      <c r="P4001" s="4">
        <f>OrganizedData[[#This Row],[Quantity]]*VLOOKUP(OrganizedData[[#This Row],[Product Code]],ProductData[],4,FALSE)</f>
        <v>1320</v>
      </c>
      <c r="Q4001" s="6">
        <f>OrganizedData[[#This Row],[Total Items Ordered]]*VLOOKUP(OrganizedData[[#This Row],[Product Code]],ProductData[],3,FALSE)</f>
        <v>2362.8000000000002</v>
      </c>
      <c r="R40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2244.66</v>
      </c>
    </row>
    <row r="4002" spans="1:18" x14ac:dyDescent="0.3">
      <c r="A4002" s="2">
        <v>3995</v>
      </c>
      <c r="B4002" s="2" t="s">
        <v>5088</v>
      </c>
      <c r="C4002" s="2" t="s">
        <v>5174</v>
      </c>
      <c r="D4002" s="2" t="s">
        <v>28</v>
      </c>
      <c r="E4002" s="2" t="s">
        <v>29</v>
      </c>
      <c r="F4002" s="2">
        <v>60</v>
      </c>
      <c r="G4002" s="2" t="s">
        <v>9057</v>
      </c>
      <c r="H4002" s="2" t="s">
        <v>5962</v>
      </c>
      <c r="I4002" s="2" t="s">
        <v>32</v>
      </c>
      <c r="J4002" s="3">
        <v>44778</v>
      </c>
      <c r="K4002" s="5">
        <f>YEAR(OrganizedData[[#This Row],[Order Date]])</f>
        <v>2022</v>
      </c>
      <c r="L4002" s="7" t="str">
        <f>TEXT(OrganizedData[[#This Row],[Order Date]],"mmm")</f>
        <v>Aug</v>
      </c>
      <c r="M4002" s="2">
        <v>94</v>
      </c>
      <c r="N4002" s="2" t="s">
        <v>39</v>
      </c>
      <c r="O4002" s="2" t="str">
        <f>VLOOKUP(OrganizedData[[#This Row],[Product Code]],ProductData[[Code]:[Item]],2,FALSE)</f>
        <v>Ultrathing V1</v>
      </c>
      <c r="P4002" s="4">
        <f>OrganizedData[[#This Row],[Quantity]]*VLOOKUP(OrganizedData[[#This Row],[Product Code]],ProductData[],4,FALSE)</f>
        <v>1598</v>
      </c>
      <c r="Q4002" s="6">
        <f>OrganizedData[[#This Row],[Total Items Ordered]]*VLOOKUP(OrganizedData[[#This Row],[Product Code]],ProductData[],3,FALSE)</f>
        <v>2860.42</v>
      </c>
      <c r="R40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4003" spans="1:18" x14ac:dyDescent="0.3">
      <c r="A4003" s="2">
        <v>3996</v>
      </c>
      <c r="B4003" s="2" t="s">
        <v>9058</v>
      </c>
      <c r="C4003" s="2" t="s">
        <v>4173</v>
      </c>
      <c r="D4003" s="2" t="s">
        <v>15</v>
      </c>
      <c r="E4003" s="2" t="s">
        <v>16</v>
      </c>
      <c r="F4003" s="2">
        <v>60</v>
      </c>
      <c r="G4003" s="2" t="s">
        <v>9059</v>
      </c>
      <c r="H4003" s="2" t="s">
        <v>6036</v>
      </c>
      <c r="I4003" s="2" t="s">
        <v>32</v>
      </c>
      <c r="J4003" s="3">
        <v>44101</v>
      </c>
      <c r="K4003" s="5">
        <f>YEAR(OrganizedData[[#This Row],[Order Date]])</f>
        <v>2020</v>
      </c>
      <c r="L4003" s="7" t="str">
        <f>TEXT(OrganizedData[[#This Row],[Order Date]],"mmm")</f>
        <v>Sep</v>
      </c>
      <c r="M4003" s="2">
        <v>68</v>
      </c>
      <c r="N4003" s="2" t="s">
        <v>20</v>
      </c>
      <c r="O4003" s="2" t="str">
        <f>VLOOKUP(OrganizedData[[#This Row],[Product Code]],ProductData[[Code]:[Item]],2,FALSE)</f>
        <v>Hyperwotsit</v>
      </c>
      <c r="P4003" s="4">
        <f>OrganizedData[[#This Row],[Quantity]]*VLOOKUP(OrganizedData[[#This Row],[Product Code]],ProductData[],4,FALSE)</f>
        <v>1360</v>
      </c>
      <c r="Q4003" s="6">
        <f>OrganizedData[[#This Row],[Total Items Ordered]]*VLOOKUP(OrganizedData[[#This Row],[Product Code]],ProductData[],3,FALSE)</f>
        <v>2733.6</v>
      </c>
      <c r="R40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2596.9199999999996</v>
      </c>
    </row>
    <row r="4004" spans="1:18" x14ac:dyDescent="0.3">
      <c r="A4004" s="2">
        <v>3997</v>
      </c>
      <c r="B4004" s="2" t="s">
        <v>9060</v>
      </c>
      <c r="C4004" s="2" t="s">
        <v>3237</v>
      </c>
      <c r="D4004" s="2" t="s">
        <v>51</v>
      </c>
      <c r="E4004" s="2" t="s">
        <v>16</v>
      </c>
      <c r="F4004" s="2">
        <v>30</v>
      </c>
      <c r="G4004" s="2" t="s">
        <v>9061</v>
      </c>
      <c r="H4004" s="2" t="s">
        <v>105</v>
      </c>
      <c r="I4004" s="2" t="s">
        <v>32</v>
      </c>
      <c r="J4004" s="3">
        <v>44327</v>
      </c>
      <c r="K4004" s="5">
        <f>YEAR(OrganizedData[[#This Row],[Order Date]])</f>
        <v>2021</v>
      </c>
      <c r="L4004" s="7" t="str">
        <f>TEXT(OrganizedData[[#This Row],[Order Date]],"mmm")</f>
        <v>May</v>
      </c>
      <c r="M4004" s="2">
        <v>53</v>
      </c>
      <c r="N4004" s="2" t="s">
        <v>80</v>
      </c>
      <c r="O4004" s="2" t="str">
        <f>VLOOKUP(OrganizedData[[#This Row],[Product Code]],ProductData[[Code]:[Item]],2,FALSE)</f>
        <v>Ultrathing V2</v>
      </c>
      <c r="P4004" s="4">
        <f>OrganizedData[[#This Row],[Quantity]]*VLOOKUP(OrganizedData[[#This Row],[Product Code]],ProductData[],4,FALSE)</f>
        <v>1060</v>
      </c>
      <c r="Q4004" s="6">
        <f>OrganizedData[[#This Row],[Total Items Ordered]]*VLOOKUP(OrganizedData[[#This Row],[Product Code]],ProductData[],3,FALSE)</f>
        <v>3127</v>
      </c>
      <c r="R40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2970.6499999999996</v>
      </c>
    </row>
    <row r="4005" spans="1:18" x14ac:dyDescent="0.3">
      <c r="A4005" s="2">
        <v>3998</v>
      </c>
      <c r="B4005" s="2" t="s">
        <v>9062</v>
      </c>
      <c r="C4005" s="2" t="s">
        <v>3588</v>
      </c>
      <c r="D4005" s="2" t="s">
        <v>51</v>
      </c>
      <c r="E4005" s="2" t="s">
        <v>16</v>
      </c>
      <c r="F4005" s="2">
        <v>30</v>
      </c>
      <c r="G4005" s="2" t="s">
        <v>9063</v>
      </c>
      <c r="H4005" s="2" t="s">
        <v>6772</v>
      </c>
      <c r="I4005" s="2" t="s">
        <v>32</v>
      </c>
      <c r="J4005" s="3">
        <v>44155</v>
      </c>
      <c r="K4005" s="5">
        <f>YEAR(OrganizedData[[#This Row],[Order Date]])</f>
        <v>2020</v>
      </c>
      <c r="L4005" s="7" t="str">
        <f>TEXT(OrganizedData[[#This Row],[Order Date]],"mmm")</f>
        <v>Nov</v>
      </c>
      <c r="M4005" s="2">
        <v>55</v>
      </c>
      <c r="N4005" s="2" t="s">
        <v>64</v>
      </c>
      <c r="O4005" s="2" t="str">
        <f>VLOOKUP(OrganizedData[[#This Row],[Product Code]],ProductData[[Code]:[Item]],2,FALSE)</f>
        <v>Ultrathing V4</v>
      </c>
      <c r="P4005" s="4">
        <f>OrganizedData[[#This Row],[Quantity]]*VLOOKUP(OrganizedData[[#This Row],[Product Code]],ProductData[],4,FALSE)</f>
        <v>1320</v>
      </c>
      <c r="Q4005" s="6">
        <f>OrganizedData[[#This Row],[Total Items Ordered]]*VLOOKUP(OrganizedData[[#This Row],[Product Code]],ProductData[],3,FALSE)</f>
        <v>5266.8</v>
      </c>
      <c r="R40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4006" spans="1:18" x14ac:dyDescent="0.3">
      <c r="A4006" s="2">
        <v>3999</v>
      </c>
      <c r="B4006" s="2" t="s">
        <v>9064</v>
      </c>
      <c r="C4006" s="2" t="s">
        <v>2286</v>
      </c>
      <c r="D4006" s="2" t="s">
        <v>28</v>
      </c>
      <c r="E4006" s="2" t="s">
        <v>29</v>
      </c>
      <c r="F4006" s="2">
        <v>60</v>
      </c>
      <c r="G4006" s="2" t="s">
        <v>9065</v>
      </c>
      <c r="H4006" s="2" t="s">
        <v>4675</v>
      </c>
      <c r="I4006" s="2" t="s">
        <v>178</v>
      </c>
      <c r="J4006" s="3">
        <v>44886</v>
      </c>
      <c r="K4006" s="5">
        <f>YEAR(OrganizedData[[#This Row],[Order Date]])</f>
        <v>2022</v>
      </c>
      <c r="L4006" s="7" t="str">
        <f>TEXT(OrganizedData[[#This Row],[Order Date]],"mmm")</f>
        <v>Nov</v>
      </c>
      <c r="M4006" s="2">
        <v>68</v>
      </c>
      <c r="N4006" s="2" t="s">
        <v>64</v>
      </c>
      <c r="O4006" s="2" t="str">
        <f>VLOOKUP(OrganizedData[[#This Row],[Product Code]],ProductData[[Code]:[Item]],2,FALSE)</f>
        <v>Ultrathing V4</v>
      </c>
      <c r="P4006" s="4">
        <f>OrganizedData[[#This Row],[Quantity]]*VLOOKUP(OrganizedData[[#This Row],[Product Code]],ProductData[],4,FALSE)</f>
        <v>1632</v>
      </c>
      <c r="Q4006" s="6">
        <f>OrganizedData[[#This Row],[Total Items Ordered]]*VLOOKUP(OrganizedData[[#This Row],[Product Code]],ProductData[],3,FALSE)</f>
        <v>6511.68</v>
      </c>
      <c r="R40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4007" spans="1:18" x14ac:dyDescent="0.3">
      <c r="A4007" s="2">
        <v>4000</v>
      </c>
      <c r="B4007" s="2" t="s">
        <v>184</v>
      </c>
      <c r="C4007" s="2" t="s">
        <v>9066</v>
      </c>
      <c r="D4007" s="2" t="s">
        <v>28</v>
      </c>
      <c r="E4007" s="2" t="s">
        <v>29</v>
      </c>
      <c r="F4007" s="2">
        <v>30</v>
      </c>
      <c r="G4007" s="2" t="s">
        <v>9067</v>
      </c>
      <c r="H4007" s="2" t="s">
        <v>574</v>
      </c>
      <c r="I4007" s="2" t="s">
        <v>575</v>
      </c>
      <c r="J4007" s="3">
        <v>44759</v>
      </c>
      <c r="K4007" s="5">
        <f>YEAR(OrganizedData[[#This Row],[Order Date]])</f>
        <v>2022</v>
      </c>
      <c r="L4007" s="7" t="str">
        <f>TEXT(OrganizedData[[#This Row],[Order Date]],"mmm")</f>
        <v>Jul</v>
      </c>
      <c r="M4007" s="2">
        <v>103</v>
      </c>
      <c r="N4007" s="2" t="s">
        <v>70</v>
      </c>
      <c r="O4007" s="2" t="str">
        <f>VLOOKUP(OrganizedData[[#This Row],[Product Code]],ProductData[[Code]:[Item]],2,FALSE)</f>
        <v>Megawidget M</v>
      </c>
      <c r="P4007" s="4">
        <f>OrganizedData[[#This Row],[Quantity]]*VLOOKUP(OrganizedData[[#This Row],[Product Code]],ProductData[],4,FALSE)</f>
        <v>2472</v>
      </c>
      <c r="Q4007" s="6">
        <f>OrganizedData[[#This Row],[Total Items Ordered]]*VLOOKUP(OrganizedData[[#This Row],[Product Code]],ProductData[],3,FALSE)</f>
        <v>3188.88</v>
      </c>
      <c r="R40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2965.6584000000003</v>
      </c>
    </row>
    <row r="4008" spans="1:18" x14ac:dyDescent="0.3">
      <c r="A4008" s="2">
        <v>4001</v>
      </c>
      <c r="B4008" s="2" t="s">
        <v>2426</v>
      </c>
      <c r="C4008" s="2" t="s">
        <v>237</v>
      </c>
      <c r="D4008" s="2" t="s">
        <v>28</v>
      </c>
      <c r="E4008" s="2" t="s">
        <v>29</v>
      </c>
      <c r="F4008" s="2">
        <v>60</v>
      </c>
      <c r="G4008" s="2" t="s">
        <v>9068</v>
      </c>
      <c r="H4008" s="2" t="s">
        <v>5316</v>
      </c>
      <c r="I4008" s="2" t="s">
        <v>25</v>
      </c>
      <c r="J4008" s="3">
        <v>44716</v>
      </c>
      <c r="K4008" s="5">
        <f>YEAR(OrganizedData[[#This Row],[Order Date]])</f>
        <v>2022</v>
      </c>
      <c r="L4008" s="7" t="str">
        <f>TEXT(OrganizedData[[#This Row],[Order Date]],"mmm")</f>
        <v>Jun</v>
      </c>
      <c r="M4008" s="2">
        <v>4</v>
      </c>
      <c r="N4008" s="2" t="s">
        <v>20</v>
      </c>
      <c r="O4008" s="2" t="str">
        <f>VLOOKUP(OrganizedData[[#This Row],[Product Code]],ProductData[[Code]:[Item]],2,FALSE)</f>
        <v>Hyperwotsit</v>
      </c>
      <c r="P4008" s="4">
        <f>OrganizedData[[#This Row],[Quantity]]*VLOOKUP(OrganizedData[[#This Row],[Product Code]],ProductData[],4,FALSE)</f>
        <v>80</v>
      </c>
      <c r="Q4008" s="6">
        <f>OrganizedData[[#This Row],[Total Items Ordered]]*VLOOKUP(OrganizedData[[#This Row],[Product Code]],ProductData[],3,FALSE)</f>
        <v>160.79999999999998</v>
      </c>
      <c r="R40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160.79999999999998</v>
      </c>
    </row>
    <row r="4009" spans="1:18" x14ac:dyDescent="0.3">
      <c r="A4009" s="2">
        <v>4002</v>
      </c>
      <c r="B4009" s="2" t="s">
        <v>3073</v>
      </c>
      <c r="C4009" s="2" t="s">
        <v>7774</v>
      </c>
      <c r="D4009" s="2" t="s">
        <v>28</v>
      </c>
      <c r="E4009" s="2" t="s">
        <v>29</v>
      </c>
      <c r="F4009" s="2">
        <v>60</v>
      </c>
      <c r="G4009" s="2" t="s">
        <v>9069</v>
      </c>
      <c r="H4009" s="2" t="s">
        <v>1629</v>
      </c>
      <c r="I4009" s="2" t="s">
        <v>32</v>
      </c>
      <c r="J4009" s="3">
        <v>44434</v>
      </c>
      <c r="K4009" s="5">
        <f>YEAR(OrganizedData[[#This Row],[Order Date]])</f>
        <v>2021</v>
      </c>
      <c r="L4009" s="7" t="str">
        <f>TEXT(OrganizedData[[#This Row],[Order Date]],"mmm")</f>
        <v>Aug</v>
      </c>
      <c r="M4009" s="2">
        <v>66</v>
      </c>
      <c r="N4009" s="2" t="s">
        <v>64</v>
      </c>
      <c r="O4009" s="2" t="str">
        <f>VLOOKUP(OrganizedData[[#This Row],[Product Code]],ProductData[[Code]:[Item]],2,FALSE)</f>
        <v>Ultrathing V4</v>
      </c>
      <c r="P4009" s="4">
        <f>OrganizedData[[#This Row],[Quantity]]*VLOOKUP(OrganizedData[[#This Row],[Product Code]],ProductData[],4,FALSE)</f>
        <v>1584</v>
      </c>
      <c r="Q4009" s="6">
        <f>OrganizedData[[#This Row],[Total Items Ordered]]*VLOOKUP(OrganizedData[[#This Row],[Product Code]],ProductData[],3,FALSE)</f>
        <v>6320.1600000000008</v>
      </c>
      <c r="R40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6004.152</v>
      </c>
    </row>
    <row r="4010" spans="1:18" x14ac:dyDescent="0.3">
      <c r="A4010" s="2">
        <v>4003</v>
      </c>
      <c r="B4010" s="2" t="s">
        <v>5128</v>
      </c>
      <c r="C4010" s="2" t="s">
        <v>2945</v>
      </c>
      <c r="D4010" s="2" t="s">
        <v>28</v>
      </c>
      <c r="E4010" s="2" t="s">
        <v>29</v>
      </c>
      <c r="F4010" s="2">
        <v>30</v>
      </c>
      <c r="G4010" s="2" t="s">
        <v>10453</v>
      </c>
      <c r="H4010" s="2" t="s">
        <v>6249</v>
      </c>
      <c r="I4010" s="2" t="s">
        <v>38</v>
      </c>
      <c r="J4010" s="3">
        <v>44290</v>
      </c>
      <c r="K4010" s="5">
        <f>YEAR(OrganizedData[[#This Row],[Order Date]])</f>
        <v>2021</v>
      </c>
      <c r="L4010" s="7" t="str">
        <f>TEXT(OrganizedData[[#This Row],[Order Date]],"mmm")</f>
        <v>Apr</v>
      </c>
      <c r="M4010" s="2">
        <v>16</v>
      </c>
      <c r="N4010" s="2" t="s">
        <v>20</v>
      </c>
      <c r="O4010" s="2" t="str">
        <f>VLOOKUP(OrganizedData[[#This Row],[Product Code]],ProductData[[Code]:[Item]],2,FALSE)</f>
        <v>Hyperwotsit</v>
      </c>
      <c r="P4010" s="4">
        <f>OrganizedData[[#This Row],[Quantity]]*VLOOKUP(OrganizedData[[#This Row],[Product Code]],ProductData[],4,FALSE)</f>
        <v>320</v>
      </c>
      <c r="Q4010" s="6">
        <f>OrganizedData[[#This Row],[Total Items Ordered]]*VLOOKUP(OrganizedData[[#This Row],[Product Code]],ProductData[],3,FALSE)</f>
        <v>643.19999999999993</v>
      </c>
      <c r="R40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643.19999999999993</v>
      </c>
    </row>
    <row r="4011" spans="1:18" x14ac:dyDescent="0.3">
      <c r="A4011" s="2">
        <v>4004</v>
      </c>
      <c r="B4011" s="2" t="s">
        <v>504</v>
      </c>
      <c r="C4011" s="2" t="s">
        <v>6454</v>
      </c>
      <c r="D4011" s="2" t="s">
        <v>28</v>
      </c>
      <c r="E4011" s="2" t="s">
        <v>29</v>
      </c>
      <c r="F4011" s="2">
        <v>30</v>
      </c>
      <c r="G4011" s="2" t="s">
        <v>9071</v>
      </c>
      <c r="H4011" s="2" t="s">
        <v>2172</v>
      </c>
      <c r="I4011" s="2" t="s">
        <v>32</v>
      </c>
      <c r="J4011" s="3">
        <v>44861</v>
      </c>
      <c r="K4011" s="5">
        <f>YEAR(OrganizedData[[#This Row],[Order Date]])</f>
        <v>2022</v>
      </c>
      <c r="L4011" s="7" t="str">
        <f>TEXT(OrganizedData[[#This Row],[Order Date]],"mmm")</f>
        <v>Oct</v>
      </c>
      <c r="M4011" s="2">
        <v>54</v>
      </c>
      <c r="N4011" s="2" t="s">
        <v>33</v>
      </c>
      <c r="O4011" s="2" t="str">
        <f>VLOOKUP(OrganizedData[[#This Row],[Product Code]],ProductData[[Code]:[Item]],2,FALSE)</f>
        <v>Megawidget L</v>
      </c>
      <c r="P4011" s="4">
        <f>OrganizedData[[#This Row],[Quantity]]*VLOOKUP(OrganizedData[[#This Row],[Product Code]],ProductData[],4,FALSE)</f>
        <v>1296</v>
      </c>
      <c r="Q4011" s="6">
        <f>OrganizedData[[#This Row],[Total Items Ordered]]*VLOOKUP(OrganizedData[[#This Row],[Product Code]],ProductData[],3,FALSE)</f>
        <v>2319.84</v>
      </c>
      <c r="R40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2203.848</v>
      </c>
    </row>
    <row r="4012" spans="1:18" x14ac:dyDescent="0.3">
      <c r="A4012" s="2">
        <v>4005</v>
      </c>
      <c r="B4012" s="2" t="s">
        <v>9072</v>
      </c>
      <c r="C4012" s="2" t="s">
        <v>2566</v>
      </c>
      <c r="D4012" s="2" t="s">
        <v>28</v>
      </c>
      <c r="E4012" s="2" t="s">
        <v>29</v>
      </c>
      <c r="F4012" s="2">
        <v>60</v>
      </c>
      <c r="G4012" s="2" t="s">
        <v>9073</v>
      </c>
      <c r="H4012" s="2" t="s">
        <v>3991</v>
      </c>
      <c r="I4012" s="2" t="s">
        <v>32</v>
      </c>
      <c r="J4012" s="3">
        <v>44389</v>
      </c>
      <c r="K4012" s="5">
        <f>YEAR(OrganizedData[[#This Row],[Order Date]])</f>
        <v>2021</v>
      </c>
      <c r="L4012" s="7" t="str">
        <f>TEXT(OrganizedData[[#This Row],[Order Date]],"mmm")</f>
        <v>Jul</v>
      </c>
      <c r="M4012" s="2">
        <v>25</v>
      </c>
      <c r="N4012" s="2" t="s">
        <v>101</v>
      </c>
      <c r="O4012" s="2" t="str">
        <f>VLOOKUP(OrganizedData[[#This Row],[Product Code]],ProductData[[Code]:[Item]],2,FALSE)</f>
        <v>Superwossname</v>
      </c>
      <c r="P4012" s="4">
        <f>OrganizedData[[#This Row],[Quantity]]*VLOOKUP(OrganizedData[[#This Row],[Product Code]],ProductData[],4,FALSE)</f>
        <v>500</v>
      </c>
      <c r="Q4012" s="6">
        <f>OrganizedData[[#This Row],[Total Items Ordered]]*VLOOKUP(OrganizedData[[#This Row],[Product Code]],ProductData[],3,FALSE)</f>
        <v>1745</v>
      </c>
      <c r="R40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4013" spans="1:18" x14ac:dyDescent="0.3">
      <c r="A4013" s="2">
        <v>4006</v>
      </c>
      <c r="B4013" s="2" t="s">
        <v>9074</v>
      </c>
      <c r="C4013" s="2" t="s">
        <v>1798</v>
      </c>
      <c r="D4013" s="2" t="s">
        <v>15</v>
      </c>
      <c r="E4013" s="2" t="s">
        <v>16</v>
      </c>
      <c r="F4013" s="2">
        <v>30</v>
      </c>
      <c r="G4013" s="2" t="s">
        <v>9075</v>
      </c>
      <c r="H4013" s="2" t="s">
        <v>4451</v>
      </c>
      <c r="I4013" s="2" t="s">
        <v>32</v>
      </c>
      <c r="J4013" s="3">
        <v>44822</v>
      </c>
      <c r="K4013" s="5">
        <f>YEAR(OrganizedData[[#This Row],[Order Date]])</f>
        <v>2022</v>
      </c>
      <c r="L4013" s="7" t="str">
        <f>TEXT(OrganizedData[[#This Row],[Order Date]],"mmm")</f>
        <v>Sep</v>
      </c>
      <c r="M4013" s="2">
        <v>84</v>
      </c>
      <c r="N4013" s="2" t="s">
        <v>80</v>
      </c>
      <c r="O4013" s="2" t="str">
        <f>VLOOKUP(OrganizedData[[#This Row],[Product Code]],ProductData[[Code]:[Item]],2,FALSE)</f>
        <v>Ultrathing V2</v>
      </c>
      <c r="P4013" s="4">
        <f>OrganizedData[[#This Row],[Quantity]]*VLOOKUP(OrganizedData[[#This Row],[Product Code]],ProductData[],4,FALSE)</f>
        <v>1680</v>
      </c>
      <c r="Q4013" s="6">
        <f>OrganizedData[[#This Row],[Total Items Ordered]]*VLOOKUP(OrganizedData[[#This Row],[Product Code]],ProductData[],3,FALSE)</f>
        <v>4956</v>
      </c>
      <c r="R40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4014" spans="1:18" x14ac:dyDescent="0.3">
      <c r="A4014" s="2">
        <v>4007</v>
      </c>
      <c r="B4014" s="2" t="s">
        <v>2562</v>
      </c>
      <c r="C4014" s="2" t="s">
        <v>2505</v>
      </c>
      <c r="D4014" s="2" t="s">
        <v>28</v>
      </c>
      <c r="E4014" s="2" t="s">
        <v>29</v>
      </c>
      <c r="F4014" s="2">
        <v>60</v>
      </c>
      <c r="G4014" s="2" t="s">
        <v>9076</v>
      </c>
      <c r="H4014" s="2" t="s">
        <v>2026</v>
      </c>
      <c r="I4014" s="2" t="s">
        <v>1078</v>
      </c>
      <c r="J4014" s="3">
        <v>44274</v>
      </c>
      <c r="K4014" s="5">
        <f>YEAR(OrganizedData[[#This Row],[Order Date]])</f>
        <v>2021</v>
      </c>
      <c r="L4014" s="7" t="str">
        <f>TEXT(OrganizedData[[#This Row],[Order Date]],"mmm")</f>
        <v>Mar</v>
      </c>
      <c r="M4014" s="2">
        <v>64</v>
      </c>
      <c r="N4014" s="2" t="s">
        <v>80</v>
      </c>
      <c r="O4014" s="2" t="str">
        <f>VLOOKUP(OrganizedData[[#This Row],[Product Code]],ProductData[[Code]:[Item]],2,FALSE)</f>
        <v>Ultrathing V2</v>
      </c>
      <c r="P4014" s="4">
        <f>OrganizedData[[#This Row],[Quantity]]*VLOOKUP(OrganizedData[[#This Row],[Product Code]],ProductData[],4,FALSE)</f>
        <v>1280</v>
      </c>
      <c r="Q4014" s="6">
        <f>OrganizedData[[#This Row],[Total Items Ordered]]*VLOOKUP(OrganizedData[[#This Row],[Product Code]],ProductData[],3,FALSE)</f>
        <v>3776</v>
      </c>
      <c r="R40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3587.2</v>
      </c>
    </row>
    <row r="4015" spans="1:18" x14ac:dyDescent="0.3">
      <c r="A4015" s="2">
        <v>4008</v>
      </c>
      <c r="B4015" s="2" t="s">
        <v>9077</v>
      </c>
      <c r="C4015" s="2" t="s">
        <v>5910</v>
      </c>
      <c r="D4015" s="2" t="s">
        <v>15</v>
      </c>
      <c r="E4015" s="2" t="s">
        <v>16</v>
      </c>
      <c r="F4015" s="2">
        <v>30</v>
      </c>
      <c r="G4015" s="2" t="s">
        <v>9078</v>
      </c>
      <c r="H4015" s="2" t="s">
        <v>4567</v>
      </c>
      <c r="I4015" s="2" t="s">
        <v>38</v>
      </c>
      <c r="J4015" s="3">
        <v>43935</v>
      </c>
      <c r="K4015" s="5">
        <f>YEAR(OrganizedData[[#This Row],[Order Date]])</f>
        <v>2020</v>
      </c>
      <c r="L4015" s="7" t="str">
        <f>TEXT(OrganizedData[[#This Row],[Order Date]],"mmm")</f>
        <v>Apr</v>
      </c>
      <c r="M4015" s="2">
        <v>33</v>
      </c>
      <c r="N4015" s="2" t="s">
        <v>39</v>
      </c>
      <c r="O4015" s="2" t="str">
        <f>VLOOKUP(OrganizedData[[#This Row],[Product Code]],ProductData[[Code]:[Item]],2,FALSE)</f>
        <v>Ultrathing V1</v>
      </c>
      <c r="P4015" s="4">
        <f>OrganizedData[[#This Row],[Quantity]]*VLOOKUP(OrganizedData[[#This Row],[Product Code]],ProductData[],4,FALSE)</f>
        <v>561</v>
      </c>
      <c r="Q4015" s="6">
        <f>OrganizedData[[#This Row],[Total Items Ordered]]*VLOOKUP(OrganizedData[[#This Row],[Product Code]],ProductData[],3,FALSE)</f>
        <v>1004.19</v>
      </c>
      <c r="R40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4016" spans="1:18" x14ac:dyDescent="0.3">
      <c r="A4016" s="2">
        <v>4009</v>
      </c>
      <c r="B4016" s="2" t="s">
        <v>705</v>
      </c>
      <c r="C4016" s="2" t="s">
        <v>6425</v>
      </c>
      <c r="D4016" s="2" t="s">
        <v>28</v>
      </c>
      <c r="E4016" s="2" t="s">
        <v>29</v>
      </c>
      <c r="F4016" s="2">
        <v>60</v>
      </c>
      <c r="G4016" s="2" t="s">
        <v>9079</v>
      </c>
      <c r="H4016" s="2" t="s">
        <v>1173</v>
      </c>
      <c r="I4016" s="2" t="s">
        <v>32</v>
      </c>
      <c r="J4016" s="3">
        <v>44059</v>
      </c>
      <c r="K4016" s="5">
        <f>YEAR(OrganizedData[[#This Row],[Order Date]])</f>
        <v>2020</v>
      </c>
      <c r="L4016" s="7" t="str">
        <f>TEXT(OrganizedData[[#This Row],[Order Date]],"mmm")</f>
        <v>Aug</v>
      </c>
      <c r="M4016" s="2">
        <v>12</v>
      </c>
      <c r="N4016" s="2" t="s">
        <v>39</v>
      </c>
      <c r="O4016" s="2" t="str">
        <f>VLOOKUP(OrganizedData[[#This Row],[Product Code]],ProductData[[Code]:[Item]],2,FALSE)</f>
        <v>Ultrathing V1</v>
      </c>
      <c r="P4016" s="4">
        <f>OrganizedData[[#This Row],[Quantity]]*VLOOKUP(OrganizedData[[#This Row],[Product Code]],ProductData[],4,FALSE)</f>
        <v>204</v>
      </c>
      <c r="Q4016" s="6">
        <f>OrganizedData[[#This Row],[Total Items Ordered]]*VLOOKUP(OrganizedData[[#This Row],[Product Code]],ProductData[],3,FALSE)</f>
        <v>365.16</v>
      </c>
      <c r="R40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4017" spans="1:18" x14ac:dyDescent="0.3">
      <c r="A4017" s="2">
        <v>4010</v>
      </c>
      <c r="B4017" s="2" t="s">
        <v>2868</v>
      </c>
      <c r="C4017" s="2" t="s">
        <v>7379</v>
      </c>
      <c r="D4017" s="2" t="s">
        <v>51</v>
      </c>
      <c r="E4017" s="2" t="s">
        <v>16</v>
      </c>
      <c r="F4017" s="2">
        <v>60</v>
      </c>
      <c r="G4017" s="2" t="s">
        <v>9080</v>
      </c>
      <c r="H4017" s="2" t="s">
        <v>6442</v>
      </c>
      <c r="I4017" s="2" t="s">
        <v>294</v>
      </c>
      <c r="J4017" s="3">
        <v>44708</v>
      </c>
      <c r="K4017" s="5">
        <f>YEAR(OrganizedData[[#This Row],[Order Date]])</f>
        <v>2022</v>
      </c>
      <c r="L4017" s="7" t="str">
        <f>TEXT(OrganizedData[[#This Row],[Order Date]],"mmm")</f>
        <v>May</v>
      </c>
      <c r="M4017" s="2">
        <v>83</v>
      </c>
      <c r="N4017" s="2" t="s">
        <v>80</v>
      </c>
      <c r="O4017" s="2" t="str">
        <f>VLOOKUP(OrganizedData[[#This Row],[Product Code]],ProductData[[Code]:[Item]],2,FALSE)</f>
        <v>Ultrathing V2</v>
      </c>
      <c r="P4017" s="4">
        <f>OrganizedData[[#This Row],[Quantity]]*VLOOKUP(OrganizedData[[#This Row],[Product Code]],ProductData[],4,FALSE)</f>
        <v>1660</v>
      </c>
      <c r="Q4017" s="6">
        <f>OrganizedData[[#This Row],[Total Items Ordered]]*VLOOKUP(OrganizedData[[#This Row],[Product Code]],ProductData[],3,FALSE)</f>
        <v>4897</v>
      </c>
      <c r="R40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4652.1499999999996</v>
      </c>
    </row>
    <row r="4018" spans="1:18" x14ac:dyDescent="0.3">
      <c r="A4018" s="2">
        <v>4011</v>
      </c>
      <c r="B4018" s="2" t="s">
        <v>9081</v>
      </c>
      <c r="C4018" s="2" t="s">
        <v>2773</v>
      </c>
      <c r="D4018" s="2" t="s">
        <v>28</v>
      </c>
      <c r="E4018" s="2" t="s">
        <v>29</v>
      </c>
      <c r="F4018" s="2">
        <v>60</v>
      </c>
      <c r="G4018" s="2" t="s">
        <v>9082</v>
      </c>
      <c r="H4018" s="2" t="s">
        <v>2645</v>
      </c>
      <c r="I4018" s="2" t="s">
        <v>32</v>
      </c>
      <c r="J4018" s="3">
        <v>44892</v>
      </c>
      <c r="K4018" s="5">
        <f>YEAR(OrganizedData[[#This Row],[Order Date]])</f>
        <v>2022</v>
      </c>
      <c r="L4018" s="7" t="str">
        <f>TEXT(OrganizedData[[#This Row],[Order Date]],"mmm")</f>
        <v>Nov</v>
      </c>
      <c r="M4018" s="2">
        <v>76</v>
      </c>
      <c r="N4018" s="2" t="s">
        <v>54</v>
      </c>
      <c r="O4018" s="2" t="str">
        <f>VLOOKUP(OrganizedData[[#This Row],[Product Code]],ProductData[[Code]:[Item]],2,FALSE)</f>
        <v>Megawidget S</v>
      </c>
      <c r="P4018" s="4">
        <f>OrganizedData[[#This Row],[Quantity]]*VLOOKUP(OrganizedData[[#This Row],[Product Code]],ProductData[],4,FALSE)</f>
        <v>1824</v>
      </c>
      <c r="Q4018" s="6">
        <f>OrganizedData[[#This Row],[Total Items Ordered]]*VLOOKUP(OrganizedData[[#This Row],[Product Code]],ProductData[],3,FALSE)</f>
        <v>1258.56</v>
      </c>
      <c r="R40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1195.6319999999998</v>
      </c>
    </row>
    <row r="4019" spans="1:18" x14ac:dyDescent="0.3">
      <c r="A4019" s="2">
        <v>4012</v>
      </c>
      <c r="B4019" s="2" t="s">
        <v>4750</v>
      </c>
      <c r="C4019" s="2" t="s">
        <v>106</v>
      </c>
      <c r="D4019" s="2" t="s">
        <v>28</v>
      </c>
      <c r="E4019" s="2" t="s">
        <v>29</v>
      </c>
      <c r="F4019" s="2">
        <v>30</v>
      </c>
      <c r="G4019" s="2" t="s">
        <v>9083</v>
      </c>
      <c r="H4019" s="2" t="s">
        <v>3724</v>
      </c>
      <c r="I4019" s="2" t="s">
        <v>1078</v>
      </c>
      <c r="J4019" s="3">
        <v>43866</v>
      </c>
      <c r="K4019" s="5">
        <f>YEAR(OrganizedData[[#This Row],[Order Date]])</f>
        <v>2020</v>
      </c>
      <c r="L4019" s="7" t="str">
        <f>TEXT(OrganizedData[[#This Row],[Order Date]],"mmm")</f>
        <v>Feb</v>
      </c>
      <c r="M4019" s="2">
        <v>59</v>
      </c>
      <c r="N4019" s="2" t="s">
        <v>70</v>
      </c>
      <c r="O4019" s="2" t="str">
        <f>VLOOKUP(OrganizedData[[#This Row],[Product Code]],ProductData[[Code]:[Item]],2,FALSE)</f>
        <v>Megawidget M</v>
      </c>
      <c r="P4019" s="4">
        <f>OrganizedData[[#This Row],[Quantity]]*VLOOKUP(OrganizedData[[#This Row],[Product Code]],ProductData[],4,FALSE)</f>
        <v>1416</v>
      </c>
      <c r="Q4019" s="6">
        <f>OrganizedData[[#This Row],[Total Items Ordered]]*VLOOKUP(OrganizedData[[#This Row],[Product Code]],ProductData[],3,FALSE)</f>
        <v>1826.64</v>
      </c>
      <c r="R40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4020" spans="1:18" x14ac:dyDescent="0.3">
      <c r="A4020" s="2">
        <v>4013</v>
      </c>
      <c r="B4020" s="2" t="s">
        <v>6790</v>
      </c>
      <c r="C4020" s="2" t="s">
        <v>6741</v>
      </c>
      <c r="D4020" s="2" t="s">
        <v>28</v>
      </c>
      <c r="E4020" s="2" t="s">
        <v>29</v>
      </c>
      <c r="F4020" s="2">
        <v>90</v>
      </c>
      <c r="G4020" s="2" t="s">
        <v>9084</v>
      </c>
      <c r="H4020" s="2" t="s">
        <v>2965</v>
      </c>
      <c r="I4020" s="2" t="s">
        <v>25</v>
      </c>
      <c r="J4020" s="3">
        <v>43933</v>
      </c>
      <c r="K4020" s="5">
        <f>YEAR(OrganizedData[[#This Row],[Order Date]])</f>
        <v>2020</v>
      </c>
      <c r="L4020" s="7" t="str">
        <f>TEXT(OrganizedData[[#This Row],[Order Date]],"mmm")</f>
        <v>Apr</v>
      </c>
      <c r="M4020" s="2">
        <v>62</v>
      </c>
      <c r="N4020" s="2" t="s">
        <v>64</v>
      </c>
      <c r="O4020" s="2" t="str">
        <f>VLOOKUP(OrganizedData[[#This Row],[Product Code]],ProductData[[Code]:[Item]],2,FALSE)</f>
        <v>Ultrathing V4</v>
      </c>
      <c r="P4020" s="4">
        <f>OrganizedData[[#This Row],[Quantity]]*VLOOKUP(OrganizedData[[#This Row],[Product Code]],ProductData[],4,FALSE)</f>
        <v>1488</v>
      </c>
      <c r="Q4020" s="6">
        <f>OrganizedData[[#This Row],[Total Items Ordered]]*VLOOKUP(OrganizedData[[#This Row],[Product Code]],ProductData[],3,FALSE)</f>
        <v>5937.12</v>
      </c>
      <c r="R40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4021" spans="1:18" x14ac:dyDescent="0.3">
      <c r="A4021" s="2">
        <v>4014</v>
      </c>
      <c r="B4021" s="2" t="s">
        <v>9085</v>
      </c>
      <c r="C4021" s="2" t="s">
        <v>3848</v>
      </c>
      <c r="D4021" s="2" t="s">
        <v>15</v>
      </c>
      <c r="E4021" s="2" t="s">
        <v>16</v>
      </c>
      <c r="F4021" s="2">
        <v>30</v>
      </c>
      <c r="G4021" s="2" t="s">
        <v>9086</v>
      </c>
      <c r="H4021" s="2" t="s">
        <v>3399</v>
      </c>
      <c r="I4021" s="2" t="s">
        <v>124</v>
      </c>
      <c r="J4021" s="3">
        <v>43937</v>
      </c>
      <c r="K4021" s="5">
        <f>YEAR(OrganizedData[[#This Row],[Order Date]])</f>
        <v>2020</v>
      </c>
      <c r="L4021" s="7" t="str">
        <f>TEXT(OrganizedData[[#This Row],[Order Date]],"mmm")</f>
        <v>Apr</v>
      </c>
      <c r="M4021" s="2">
        <v>61</v>
      </c>
      <c r="N4021" s="2" t="s">
        <v>45</v>
      </c>
      <c r="O4021" s="2" t="str">
        <f>VLOOKUP(OrganizedData[[#This Row],[Product Code]],ProductData[[Code]:[Item]],2,FALSE)</f>
        <v>Gigastuff</v>
      </c>
      <c r="P4021" s="4">
        <f>OrganizedData[[#This Row],[Quantity]]*VLOOKUP(OrganizedData[[#This Row],[Product Code]],ProductData[],4,FALSE)</f>
        <v>1098</v>
      </c>
      <c r="Q4021" s="6">
        <f>OrganizedData[[#This Row],[Total Items Ordered]]*VLOOKUP(OrganizedData[[#This Row],[Product Code]],ProductData[],3,FALSE)</f>
        <v>2075.2199999999998</v>
      </c>
      <c r="R40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1971.4589999999996</v>
      </c>
    </row>
    <row r="4022" spans="1:18" x14ac:dyDescent="0.3">
      <c r="A4022" s="2">
        <v>4015</v>
      </c>
      <c r="B4022" s="2" t="s">
        <v>9087</v>
      </c>
      <c r="C4022" s="2" t="s">
        <v>2349</v>
      </c>
      <c r="D4022" s="2" t="s">
        <v>15</v>
      </c>
      <c r="E4022" s="2" t="s">
        <v>16</v>
      </c>
      <c r="F4022" s="2">
        <v>30</v>
      </c>
      <c r="G4022" s="2" t="s">
        <v>9088</v>
      </c>
      <c r="H4022" s="2" t="s">
        <v>710</v>
      </c>
      <c r="I4022" s="2" t="s">
        <v>187</v>
      </c>
      <c r="J4022" s="3">
        <v>44413</v>
      </c>
      <c r="K4022" s="5">
        <f>YEAR(OrganizedData[[#This Row],[Order Date]])</f>
        <v>2021</v>
      </c>
      <c r="L4022" s="7" t="str">
        <f>TEXT(OrganizedData[[#This Row],[Order Date]],"mmm")</f>
        <v>Aug</v>
      </c>
      <c r="M4022" s="2">
        <v>55</v>
      </c>
      <c r="N4022" s="2" t="s">
        <v>54</v>
      </c>
      <c r="O4022" s="2" t="str">
        <f>VLOOKUP(OrganizedData[[#This Row],[Product Code]],ProductData[[Code]:[Item]],2,FALSE)</f>
        <v>Megawidget S</v>
      </c>
      <c r="P4022" s="4">
        <f>OrganizedData[[#This Row],[Quantity]]*VLOOKUP(OrganizedData[[#This Row],[Product Code]],ProductData[],4,FALSE)</f>
        <v>1320</v>
      </c>
      <c r="Q4022" s="6">
        <f>OrganizedData[[#This Row],[Total Items Ordered]]*VLOOKUP(OrganizedData[[#This Row],[Product Code]],ProductData[],3,FALSE)</f>
        <v>910.8</v>
      </c>
      <c r="R40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865.25999999999988</v>
      </c>
    </row>
    <row r="4023" spans="1:18" x14ac:dyDescent="0.3">
      <c r="A4023" s="2">
        <v>4016</v>
      </c>
      <c r="B4023" s="2" t="s">
        <v>1424</v>
      </c>
      <c r="C4023" s="2" t="s">
        <v>1259</v>
      </c>
      <c r="D4023" s="2" t="s">
        <v>28</v>
      </c>
      <c r="E4023" s="2" t="s">
        <v>29</v>
      </c>
      <c r="F4023" s="2">
        <v>30</v>
      </c>
      <c r="G4023" s="2" t="s">
        <v>9089</v>
      </c>
      <c r="H4023" s="2" t="s">
        <v>3783</v>
      </c>
      <c r="I4023" s="2" t="s">
        <v>124</v>
      </c>
      <c r="J4023" s="3">
        <v>44289</v>
      </c>
      <c r="K4023" s="5">
        <f>YEAR(OrganizedData[[#This Row],[Order Date]])</f>
        <v>2021</v>
      </c>
      <c r="L4023" s="7" t="str">
        <f>TEXT(OrganizedData[[#This Row],[Order Date]],"mmm")</f>
        <v>Apr</v>
      </c>
      <c r="M4023" s="2">
        <v>39</v>
      </c>
      <c r="N4023" s="2" t="s">
        <v>80</v>
      </c>
      <c r="O4023" s="2" t="str">
        <f>VLOOKUP(OrganizedData[[#This Row],[Product Code]],ProductData[[Code]:[Item]],2,FALSE)</f>
        <v>Ultrathing V2</v>
      </c>
      <c r="P4023" s="4">
        <f>OrganizedData[[#This Row],[Quantity]]*VLOOKUP(OrganizedData[[#This Row],[Product Code]],ProductData[],4,FALSE)</f>
        <v>780</v>
      </c>
      <c r="Q4023" s="6">
        <f>OrganizedData[[#This Row],[Total Items Ordered]]*VLOOKUP(OrganizedData[[#This Row],[Product Code]],ProductData[],3,FALSE)</f>
        <v>2301</v>
      </c>
      <c r="R40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4024" spans="1:18" x14ac:dyDescent="0.3">
      <c r="A4024" s="2">
        <v>4017</v>
      </c>
      <c r="B4024" s="2" t="s">
        <v>1755</v>
      </c>
      <c r="C4024" s="2" t="s">
        <v>7443</v>
      </c>
      <c r="D4024" s="2" t="s">
        <v>28</v>
      </c>
      <c r="E4024" s="2" t="s">
        <v>29</v>
      </c>
      <c r="F4024" s="2">
        <v>30</v>
      </c>
      <c r="G4024" s="2" t="s">
        <v>9090</v>
      </c>
      <c r="H4024" s="2" t="s">
        <v>3814</v>
      </c>
      <c r="I4024" s="2" t="s">
        <v>32</v>
      </c>
      <c r="J4024" s="3">
        <v>44599</v>
      </c>
      <c r="K4024" s="5">
        <f>YEAR(OrganizedData[[#This Row],[Order Date]])</f>
        <v>2022</v>
      </c>
      <c r="L4024" s="7" t="str">
        <f>TEXT(OrganizedData[[#This Row],[Order Date]],"mmm")</f>
        <v>Feb</v>
      </c>
      <c r="M4024" s="2">
        <v>92</v>
      </c>
      <c r="N4024" s="2" t="s">
        <v>159</v>
      </c>
      <c r="O4024" s="2" t="str">
        <f>VLOOKUP(OrganizedData[[#This Row],[Product Code]],ProductData[[Code]:[Item]],2,FALSE)</f>
        <v>Ultrathing V3</v>
      </c>
      <c r="P4024" s="4">
        <f>OrganizedData[[#This Row],[Quantity]]*VLOOKUP(OrganizedData[[#This Row],[Product Code]],ProductData[],4,FALSE)</f>
        <v>2208</v>
      </c>
      <c r="Q4024" s="6">
        <f>OrganizedData[[#This Row],[Total Items Ordered]]*VLOOKUP(OrganizedData[[#This Row],[Product Code]],ProductData[],3,FALSE)</f>
        <v>7485.12</v>
      </c>
      <c r="R40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7110.8639999999996</v>
      </c>
    </row>
    <row r="4025" spans="1:18" x14ac:dyDescent="0.3">
      <c r="A4025" s="2">
        <v>4018</v>
      </c>
      <c r="B4025" s="2" t="s">
        <v>1379</v>
      </c>
      <c r="C4025" s="2" t="s">
        <v>3542</v>
      </c>
      <c r="D4025" s="2" t="s">
        <v>117</v>
      </c>
      <c r="E4025" s="2" t="s">
        <v>29</v>
      </c>
      <c r="F4025" s="2">
        <v>60</v>
      </c>
      <c r="G4025" s="2" t="s">
        <v>9091</v>
      </c>
      <c r="H4025" s="2" t="s">
        <v>781</v>
      </c>
      <c r="I4025" s="2" t="s">
        <v>294</v>
      </c>
      <c r="J4025" s="3">
        <v>44806</v>
      </c>
      <c r="K4025" s="5">
        <f>YEAR(OrganizedData[[#This Row],[Order Date]])</f>
        <v>2022</v>
      </c>
      <c r="L4025" s="7" t="str">
        <f>TEXT(OrganizedData[[#This Row],[Order Date]],"mmm")</f>
        <v>Sep</v>
      </c>
      <c r="M4025" s="2">
        <v>63</v>
      </c>
      <c r="N4025" s="2" t="s">
        <v>80</v>
      </c>
      <c r="O4025" s="2" t="str">
        <f>VLOOKUP(OrganizedData[[#This Row],[Product Code]],ProductData[[Code]:[Item]],2,FALSE)</f>
        <v>Ultrathing V2</v>
      </c>
      <c r="P4025" s="4">
        <f>OrganizedData[[#This Row],[Quantity]]*VLOOKUP(OrganizedData[[#This Row],[Product Code]],ProductData[],4,FALSE)</f>
        <v>1260</v>
      </c>
      <c r="Q4025" s="6">
        <f>OrganizedData[[#This Row],[Total Items Ordered]]*VLOOKUP(OrganizedData[[#This Row],[Product Code]],ProductData[],3,FALSE)</f>
        <v>3717</v>
      </c>
      <c r="R40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3531.1499999999996</v>
      </c>
    </row>
    <row r="4026" spans="1:18" x14ac:dyDescent="0.3">
      <c r="A4026" s="2">
        <v>4019</v>
      </c>
      <c r="B4026" s="2" t="s">
        <v>828</v>
      </c>
      <c r="C4026" s="2" t="s">
        <v>1424</v>
      </c>
      <c r="D4026" s="2" t="s">
        <v>28</v>
      </c>
      <c r="E4026" s="2" t="s">
        <v>29</v>
      </c>
      <c r="F4026" s="2">
        <v>30</v>
      </c>
      <c r="G4026" s="2" t="s">
        <v>9092</v>
      </c>
      <c r="H4026" s="2" t="s">
        <v>5803</v>
      </c>
      <c r="I4026" s="2" t="s">
        <v>294</v>
      </c>
      <c r="J4026" s="3">
        <v>44635</v>
      </c>
      <c r="K4026" s="5">
        <f>YEAR(OrganizedData[[#This Row],[Order Date]])</f>
        <v>2022</v>
      </c>
      <c r="L4026" s="7" t="str">
        <f>TEXT(OrganizedData[[#This Row],[Order Date]],"mmm")</f>
        <v>Mar</v>
      </c>
      <c r="M4026" s="2">
        <v>78</v>
      </c>
      <c r="N4026" s="2" t="s">
        <v>70</v>
      </c>
      <c r="O4026" s="2" t="str">
        <f>VLOOKUP(OrganizedData[[#This Row],[Product Code]],ProductData[[Code]:[Item]],2,FALSE)</f>
        <v>Megawidget M</v>
      </c>
      <c r="P4026" s="4">
        <f>OrganizedData[[#This Row],[Quantity]]*VLOOKUP(OrganizedData[[#This Row],[Product Code]],ProductData[],4,FALSE)</f>
        <v>1872</v>
      </c>
      <c r="Q4026" s="6">
        <f>OrganizedData[[#This Row],[Total Items Ordered]]*VLOOKUP(OrganizedData[[#This Row],[Product Code]],ProductData[],3,FALSE)</f>
        <v>2414.88</v>
      </c>
      <c r="R40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2294.136</v>
      </c>
    </row>
    <row r="4027" spans="1:18" x14ac:dyDescent="0.3">
      <c r="A4027" s="2">
        <v>4020</v>
      </c>
      <c r="B4027" s="2" t="s">
        <v>9093</v>
      </c>
      <c r="C4027" s="2" t="s">
        <v>2557</v>
      </c>
      <c r="D4027" s="2" t="s">
        <v>15</v>
      </c>
      <c r="E4027" s="2" t="s">
        <v>16</v>
      </c>
      <c r="F4027" s="2">
        <v>90</v>
      </c>
      <c r="G4027" s="2" t="s">
        <v>9094</v>
      </c>
      <c r="H4027" s="2" t="s">
        <v>9095</v>
      </c>
      <c r="I4027" s="2" t="s">
        <v>32</v>
      </c>
      <c r="J4027" s="3">
        <v>44740</v>
      </c>
      <c r="K4027" s="5">
        <f>YEAR(OrganizedData[[#This Row],[Order Date]])</f>
        <v>2022</v>
      </c>
      <c r="L4027" s="7" t="str">
        <f>TEXT(OrganizedData[[#This Row],[Order Date]],"mmm")</f>
        <v>Jun</v>
      </c>
      <c r="M4027" s="2">
        <v>33</v>
      </c>
      <c r="N4027" s="2" t="s">
        <v>45</v>
      </c>
      <c r="O4027" s="2" t="str">
        <f>VLOOKUP(OrganizedData[[#This Row],[Product Code]],ProductData[[Code]:[Item]],2,FALSE)</f>
        <v>Gigastuff</v>
      </c>
      <c r="P4027" s="4">
        <f>OrganizedData[[#This Row],[Quantity]]*VLOOKUP(OrganizedData[[#This Row],[Product Code]],ProductData[],4,FALSE)</f>
        <v>594</v>
      </c>
      <c r="Q4027" s="6">
        <f>OrganizedData[[#This Row],[Total Items Ordered]]*VLOOKUP(OrganizedData[[#This Row],[Product Code]],ProductData[],3,FALSE)</f>
        <v>1122.6599999999999</v>
      </c>
      <c r="R40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4028" spans="1:18" x14ac:dyDescent="0.3">
      <c r="A4028" s="2">
        <v>4021</v>
      </c>
      <c r="B4028" s="2" t="s">
        <v>9096</v>
      </c>
      <c r="C4028" s="2" t="s">
        <v>1243</v>
      </c>
      <c r="D4028" s="2" t="s">
        <v>15</v>
      </c>
      <c r="E4028" s="2" t="s">
        <v>16</v>
      </c>
      <c r="F4028" s="2">
        <v>30</v>
      </c>
      <c r="G4028" s="2" t="s">
        <v>9097</v>
      </c>
      <c r="H4028" s="2" t="s">
        <v>9098</v>
      </c>
      <c r="I4028" s="2" t="s">
        <v>38</v>
      </c>
      <c r="J4028" s="3">
        <v>44675</v>
      </c>
      <c r="K4028" s="5">
        <f>YEAR(OrganizedData[[#This Row],[Order Date]])</f>
        <v>2022</v>
      </c>
      <c r="L4028" s="7" t="str">
        <f>TEXT(OrganizedData[[#This Row],[Order Date]],"mmm")</f>
        <v>Apr</v>
      </c>
      <c r="M4028" s="2">
        <v>29</v>
      </c>
      <c r="N4028" s="2" t="s">
        <v>33</v>
      </c>
      <c r="O4028" s="2" t="str">
        <f>VLOOKUP(OrganizedData[[#This Row],[Product Code]],ProductData[[Code]:[Item]],2,FALSE)</f>
        <v>Megawidget L</v>
      </c>
      <c r="P4028" s="4">
        <f>OrganizedData[[#This Row],[Quantity]]*VLOOKUP(OrganizedData[[#This Row],[Product Code]],ProductData[],4,FALSE)</f>
        <v>696</v>
      </c>
      <c r="Q4028" s="6">
        <f>OrganizedData[[#This Row],[Total Items Ordered]]*VLOOKUP(OrganizedData[[#This Row],[Product Code]],ProductData[],3,FALSE)</f>
        <v>1245.8399999999999</v>
      </c>
      <c r="R40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1208.4648</v>
      </c>
    </row>
    <row r="4029" spans="1:18" x14ac:dyDescent="0.3">
      <c r="A4029" s="2">
        <v>4022</v>
      </c>
      <c r="B4029" s="2" t="s">
        <v>6603</v>
      </c>
      <c r="C4029" s="2" t="s">
        <v>9099</v>
      </c>
      <c r="D4029" s="2" t="s">
        <v>51</v>
      </c>
      <c r="E4029" s="2" t="s">
        <v>16</v>
      </c>
      <c r="F4029" s="2">
        <v>90</v>
      </c>
      <c r="G4029" s="2" t="s">
        <v>9100</v>
      </c>
      <c r="H4029" s="2" t="s">
        <v>1667</v>
      </c>
      <c r="I4029" s="2" t="s">
        <v>32</v>
      </c>
      <c r="J4029" s="3">
        <v>44090</v>
      </c>
      <c r="K4029" s="5">
        <f>YEAR(OrganizedData[[#This Row],[Order Date]])</f>
        <v>2020</v>
      </c>
      <c r="L4029" s="7" t="str">
        <f>TEXT(OrganizedData[[#This Row],[Order Date]],"mmm")</f>
        <v>Sep</v>
      </c>
      <c r="M4029" s="2">
        <v>32</v>
      </c>
      <c r="N4029" s="2" t="s">
        <v>70</v>
      </c>
      <c r="O4029" s="2" t="str">
        <f>VLOOKUP(OrganizedData[[#This Row],[Product Code]],ProductData[[Code]:[Item]],2,FALSE)</f>
        <v>Megawidget M</v>
      </c>
      <c r="P4029" s="4">
        <f>OrganizedData[[#This Row],[Quantity]]*VLOOKUP(OrganizedData[[#This Row],[Product Code]],ProductData[],4,FALSE)</f>
        <v>768</v>
      </c>
      <c r="Q4029" s="6">
        <f>OrganizedData[[#This Row],[Total Items Ordered]]*VLOOKUP(OrganizedData[[#This Row],[Product Code]],ProductData[],3,FALSE)</f>
        <v>990.72</v>
      </c>
      <c r="R40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960.99839999999995</v>
      </c>
    </row>
    <row r="4030" spans="1:18" x14ac:dyDescent="0.3">
      <c r="A4030" s="2">
        <v>4023</v>
      </c>
      <c r="B4030" s="2" t="s">
        <v>1792</v>
      </c>
      <c r="C4030" s="2" t="s">
        <v>4858</v>
      </c>
      <c r="D4030" s="2" t="s">
        <v>28</v>
      </c>
      <c r="E4030" s="2" t="s">
        <v>29</v>
      </c>
      <c r="F4030" s="2">
        <v>90</v>
      </c>
      <c r="G4030" s="2" t="s">
        <v>9101</v>
      </c>
      <c r="H4030" s="2" t="s">
        <v>3506</v>
      </c>
      <c r="I4030" s="2" t="s">
        <v>124</v>
      </c>
      <c r="J4030" s="3">
        <v>43938</v>
      </c>
      <c r="K4030" s="5">
        <f>YEAR(OrganizedData[[#This Row],[Order Date]])</f>
        <v>2020</v>
      </c>
      <c r="L4030" s="7" t="str">
        <f>TEXT(OrganizedData[[#This Row],[Order Date]],"mmm")</f>
        <v>Apr</v>
      </c>
      <c r="M4030" s="2">
        <v>48</v>
      </c>
      <c r="N4030" s="2" t="s">
        <v>70</v>
      </c>
      <c r="O4030" s="2" t="str">
        <f>VLOOKUP(OrganizedData[[#This Row],[Product Code]],ProductData[[Code]:[Item]],2,FALSE)</f>
        <v>Megawidget M</v>
      </c>
      <c r="P4030" s="4">
        <f>OrganizedData[[#This Row],[Quantity]]*VLOOKUP(OrganizedData[[#This Row],[Product Code]],ProductData[],4,FALSE)</f>
        <v>1152</v>
      </c>
      <c r="Q4030" s="6">
        <f>OrganizedData[[#This Row],[Total Items Ordered]]*VLOOKUP(OrganizedData[[#This Row],[Product Code]],ProductData[],3,FALSE)</f>
        <v>1486.08</v>
      </c>
      <c r="R40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4031" spans="1:18" x14ac:dyDescent="0.3">
      <c r="A4031" s="2">
        <v>4024</v>
      </c>
      <c r="B4031" s="2" t="s">
        <v>9102</v>
      </c>
      <c r="C4031" s="2" t="s">
        <v>6708</v>
      </c>
      <c r="D4031" s="2" t="s">
        <v>28</v>
      </c>
      <c r="E4031" s="2" t="s">
        <v>29</v>
      </c>
      <c r="F4031" s="2">
        <v>30</v>
      </c>
      <c r="G4031" s="2" t="s">
        <v>9103</v>
      </c>
      <c r="H4031" s="2" t="s">
        <v>2199</v>
      </c>
      <c r="I4031" s="2" t="s">
        <v>32</v>
      </c>
      <c r="J4031" s="3">
        <v>43876</v>
      </c>
      <c r="K4031" s="5">
        <f>YEAR(OrganizedData[[#This Row],[Order Date]])</f>
        <v>2020</v>
      </c>
      <c r="L4031" s="7" t="str">
        <f>TEXT(OrganizedData[[#This Row],[Order Date]],"mmm")</f>
        <v>Feb</v>
      </c>
      <c r="M4031" s="2">
        <v>69</v>
      </c>
      <c r="N4031" s="2" t="s">
        <v>70</v>
      </c>
      <c r="O4031" s="2" t="str">
        <f>VLOOKUP(OrganizedData[[#This Row],[Product Code]],ProductData[[Code]:[Item]],2,FALSE)</f>
        <v>Megawidget M</v>
      </c>
      <c r="P4031" s="4">
        <f>OrganizedData[[#This Row],[Quantity]]*VLOOKUP(OrganizedData[[#This Row],[Product Code]],ProductData[],4,FALSE)</f>
        <v>1656</v>
      </c>
      <c r="Q4031" s="6">
        <f>OrganizedData[[#This Row],[Total Items Ordered]]*VLOOKUP(OrganizedData[[#This Row],[Product Code]],ProductData[],3,FALSE)</f>
        <v>2136.2400000000002</v>
      </c>
      <c r="R40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2029.4280000000001</v>
      </c>
    </row>
    <row r="4032" spans="1:18" x14ac:dyDescent="0.3">
      <c r="A4032" s="2">
        <v>4025</v>
      </c>
      <c r="B4032" s="2" t="s">
        <v>9104</v>
      </c>
      <c r="C4032" s="2" t="s">
        <v>7433</v>
      </c>
      <c r="D4032" s="2" t="s">
        <v>15</v>
      </c>
      <c r="E4032" s="2" t="s">
        <v>16</v>
      </c>
      <c r="F4032" s="2">
        <v>30</v>
      </c>
      <c r="G4032" s="2" t="s">
        <v>9105</v>
      </c>
      <c r="H4032" s="2" t="s">
        <v>2066</v>
      </c>
      <c r="I4032" s="2" t="s">
        <v>294</v>
      </c>
      <c r="J4032" s="3">
        <v>44867</v>
      </c>
      <c r="K4032" s="5">
        <f>YEAR(OrganizedData[[#This Row],[Order Date]])</f>
        <v>2022</v>
      </c>
      <c r="L4032" s="7" t="str">
        <f>TEXT(OrganizedData[[#This Row],[Order Date]],"mmm")</f>
        <v>Nov</v>
      </c>
      <c r="M4032" s="2">
        <v>98</v>
      </c>
      <c r="N4032" s="2" t="s">
        <v>45</v>
      </c>
      <c r="O4032" s="2" t="str">
        <f>VLOOKUP(OrganizedData[[#This Row],[Product Code]],ProductData[[Code]:[Item]],2,FALSE)</f>
        <v>Gigastuff</v>
      </c>
      <c r="P4032" s="4">
        <f>OrganizedData[[#This Row],[Quantity]]*VLOOKUP(OrganizedData[[#This Row],[Product Code]],ProductData[],4,FALSE)</f>
        <v>1764</v>
      </c>
      <c r="Q4032" s="6">
        <f>OrganizedData[[#This Row],[Total Items Ordered]]*VLOOKUP(OrganizedData[[#This Row],[Product Code]],ProductData[],3,FALSE)</f>
        <v>3333.96</v>
      </c>
      <c r="R40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3167.2619999999997</v>
      </c>
    </row>
    <row r="4033" spans="1:18" x14ac:dyDescent="0.3">
      <c r="A4033" s="2">
        <v>4026</v>
      </c>
      <c r="B4033" s="2" t="s">
        <v>5125</v>
      </c>
      <c r="C4033" s="2" t="s">
        <v>460</v>
      </c>
      <c r="D4033" s="2" t="s">
        <v>28</v>
      </c>
      <c r="E4033" s="2" t="s">
        <v>29</v>
      </c>
      <c r="F4033" s="2">
        <v>30</v>
      </c>
      <c r="G4033" s="2" t="s">
        <v>9105</v>
      </c>
      <c r="H4033" s="2" t="s">
        <v>2230</v>
      </c>
      <c r="I4033" s="2" t="s">
        <v>32</v>
      </c>
      <c r="J4033" s="3">
        <v>43993</v>
      </c>
      <c r="K4033" s="5">
        <f>YEAR(OrganizedData[[#This Row],[Order Date]])</f>
        <v>2020</v>
      </c>
      <c r="L4033" s="7" t="str">
        <f>TEXT(OrganizedData[[#This Row],[Order Date]],"mmm")</f>
        <v>Jun</v>
      </c>
      <c r="M4033" s="2">
        <v>39</v>
      </c>
      <c r="N4033" s="2" t="s">
        <v>54</v>
      </c>
      <c r="O4033" s="2" t="str">
        <f>VLOOKUP(OrganizedData[[#This Row],[Product Code]],ProductData[[Code]:[Item]],2,FALSE)</f>
        <v>Megawidget S</v>
      </c>
      <c r="P4033" s="4">
        <f>OrganizedData[[#This Row],[Quantity]]*VLOOKUP(OrganizedData[[#This Row],[Product Code]],ProductData[],4,FALSE)</f>
        <v>936</v>
      </c>
      <c r="Q4033" s="6">
        <f>OrganizedData[[#This Row],[Total Items Ordered]]*VLOOKUP(OrganizedData[[#This Row],[Product Code]],ProductData[],3,FALSE)</f>
        <v>645.83999999999992</v>
      </c>
      <c r="R40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626.46479999999985</v>
      </c>
    </row>
    <row r="4034" spans="1:18" x14ac:dyDescent="0.3">
      <c r="A4034" s="2">
        <v>4027</v>
      </c>
      <c r="B4034" s="2" t="s">
        <v>5567</v>
      </c>
      <c r="C4034" s="2" t="s">
        <v>121</v>
      </c>
      <c r="D4034" s="2" t="s">
        <v>28</v>
      </c>
      <c r="E4034" s="2" t="s">
        <v>29</v>
      </c>
      <c r="F4034" s="2">
        <v>90</v>
      </c>
      <c r="G4034" s="2" t="s">
        <v>9106</v>
      </c>
      <c r="H4034" s="2" t="s">
        <v>5122</v>
      </c>
      <c r="I4034" s="2" t="s">
        <v>25</v>
      </c>
      <c r="J4034" s="3">
        <v>44082</v>
      </c>
      <c r="K4034" s="5">
        <f>YEAR(OrganizedData[[#This Row],[Order Date]])</f>
        <v>2020</v>
      </c>
      <c r="L4034" s="7" t="str">
        <f>TEXT(OrganizedData[[#This Row],[Order Date]],"mmm")</f>
        <v>Sep</v>
      </c>
      <c r="M4034" s="2">
        <v>82</v>
      </c>
      <c r="N4034" s="2" t="s">
        <v>39</v>
      </c>
      <c r="O4034" s="2" t="str">
        <f>VLOOKUP(OrganizedData[[#This Row],[Product Code]],ProductData[[Code]:[Item]],2,FALSE)</f>
        <v>Ultrathing V1</v>
      </c>
      <c r="P4034" s="4">
        <f>OrganizedData[[#This Row],[Quantity]]*VLOOKUP(OrganizedData[[#This Row],[Product Code]],ProductData[],4,FALSE)</f>
        <v>1394</v>
      </c>
      <c r="Q4034" s="6">
        <f>OrganizedData[[#This Row],[Total Items Ordered]]*VLOOKUP(OrganizedData[[#This Row],[Product Code]],ProductData[],3,FALSE)</f>
        <v>2495.2600000000002</v>
      </c>
      <c r="R40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2370.4970000000003</v>
      </c>
    </row>
    <row r="4035" spans="1:18" x14ac:dyDescent="0.3">
      <c r="A4035" s="2">
        <v>4028</v>
      </c>
      <c r="B4035" s="2" t="s">
        <v>9107</v>
      </c>
      <c r="C4035" s="2" t="s">
        <v>2402</v>
      </c>
      <c r="D4035" s="2" t="s">
        <v>15</v>
      </c>
      <c r="E4035" s="2" t="s">
        <v>16</v>
      </c>
      <c r="F4035" s="2">
        <v>90</v>
      </c>
      <c r="G4035" s="2" t="s">
        <v>9106</v>
      </c>
      <c r="H4035" s="2" t="s">
        <v>2724</v>
      </c>
      <c r="I4035" s="2" t="s">
        <v>32</v>
      </c>
      <c r="J4035" s="3">
        <v>44304</v>
      </c>
      <c r="K4035" s="5">
        <f>YEAR(OrganizedData[[#This Row],[Order Date]])</f>
        <v>2021</v>
      </c>
      <c r="L4035" s="7" t="str">
        <f>TEXT(OrganizedData[[#This Row],[Order Date]],"mmm")</f>
        <v>Apr</v>
      </c>
      <c r="M4035" s="2">
        <v>48</v>
      </c>
      <c r="N4035" s="2" t="s">
        <v>159</v>
      </c>
      <c r="O4035" s="2" t="str">
        <f>VLOOKUP(OrganizedData[[#This Row],[Product Code]],ProductData[[Code]:[Item]],2,FALSE)</f>
        <v>Ultrathing V3</v>
      </c>
      <c r="P4035" s="4">
        <f>OrganizedData[[#This Row],[Quantity]]*VLOOKUP(OrganizedData[[#This Row],[Product Code]],ProductData[],4,FALSE)</f>
        <v>1152</v>
      </c>
      <c r="Q4035" s="6">
        <f>OrganizedData[[#This Row],[Total Items Ordered]]*VLOOKUP(OrganizedData[[#This Row],[Product Code]],ProductData[],3,FALSE)</f>
        <v>3905.28</v>
      </c>
      <c r="R40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4036" spans="1:18" x14ac:dyDescent="0.3">
      <c r="A4036" s="2">
        <v>4029</v>
      </c>
      <c r="B4036" s="2" t="s">
        <v>6522</v>
      </c>
      <c r="C4036" s="2" t="s">
        <v>2995</v>
      </c>
      <c r="D4036" s="2" t="s">
        <v>28</v>
      </c>
      <c r="E4036" s="2" t="s">
        <v>29</v>
      </c>
      <c r="F4036" s="2">
        <v>60</v>
      </c>
      <c r="G4036" s="2" t="s">
        <v>9108</v>
      </c>
      <c r="H4036" s="2" t="s">
        <v>2329</v>
      </c>
      <c r="I4036" s="2" t="s">
        <v>2330</v>
      </c>
      <c r="J4036" s="3">
        <v>44003</v>
      </c>
      <c r="K4036" s="5">
        <f>YEAR(OrganizedData[[#This Row],[Order Date]])</f>
        <v>2020</v>
      </c>
      <c r="L4036" s="7" t="str">
        <f>TEXT(OrganizedData[[#This Row],[Order Date]],"mmm")</f>
        <v>Jun</v>
      </c>
      <c r="M4036" s="2">
        <v>52</v>
      </c>
      <c r="N4036" s="2" t="s">
        <v>159</v>
      </c>
      <c r="O4036" s="2" t="str">
        <f>VLOOKUP(OrganizedData[[#This Row],[Product Code]],ProductData[[Code]:[Item]],2,FALSE)</f>
        <v>Ultrathing V3</v>
      </c>
      <c r="P4036" s="4">
        <f>OrganizedData[[#This Row],[Quantity]]*VLOOKUP(OrganizedData[[#This Row],[Product Code]],ProductData[],4,FALSE)</f>
        <v>1248</v>
      </c>
      <c r="Q4036" s="6">
        <f>OrganizedData[[#This Row],[Total Items Ordered]]*VLOOKUP(OrganizedData[[#This Row],[Product Code]],ProductData[],3,FALSE)</f>
        <v>4230.72</v>
      </c>
      <c r="R40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4019.1840000000002</v>
      </c>
    </row>
    <row r="4037" spans="1:18" x14ac:dyDescent="0.3">
      <c r="A4037" s="2">
        <v>4030</v>
      </c>
      <c r="B4037" s="2" t="s">
        <v>9109</v>
      </c>
      <c r="C4037" s="2" t="s">
        <v>9110</v>
      </c>
      <c r="D4037" s="2" t="s">
        <v>51</v>
      </c>
      <c r="E4037" s="2" t="s">
        <v>16</v>
      </c>
      <c r="F4037" s="2">
        <v>60</v>
      </c>
      <c r="G4037" s="2" t="s">
        <v>9111</v>
      </c>
      <c r="H4037" s="2" t="s">
        <v>302</v>
      </c>
      <c r="I4037" s="2" t="s">
        <v>303</v>
      </c>
      <c r="J4037" s="3">
        <v>43881</v>
      </c>
      <c r="K4037" s="5">
        <f>YEAR(OrganizedData[[#This Row],[Order Date]])</f>
        <v>2020</v>
      </c>
      <c r="L4037" s="7" t="str">
        <f>TEXT(OrganizedData[[#This Row],[Order Date]],"mmm")</f>
        <v>Feb</v>
      </c>
      <c r="M4037" s="2">
        <v>68</v>
      </c>
      <c r="N4037" s="2" t="s">
        <v>70</v>
      </c>
      <c r="O4037" s="2" t="str">
        <f>VLOOKUP(OrganizedData[[#This Row],[Product Code]],ProductData[[Code]:[Item]],2,FALSE)</f>
        <v>Megawidget M</v>
      </c>
      <c r="P4037" s="4">
        <f>OrganizedData[[#This Row],[Quantity]]*VLOOKUP(OrganizedData[[#This Row],[Product Code]],ProductData[],4,FALSE)</f>
        <v>1632</v>
      </c>
      <c r="Q4037" s="6">
        <f>OrganizedData[[#This Row],[Total Items Ordered]]*VLOOKUP(OrganizedData[[#This Row],[Product Code]],ProductData[],3,FALSE)</f>
        <v>2105.2800000000002</v>
      </c>
      <c r="R40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2000.0160000000001</v>
      </c>
    </row>
    <row r="4038" spans="1:18" x14ac:dyDescent="0.3">
      <c r="A4038" s="2">
        <v>4031</v>
      </c>
      <c r="B4038" s="2" t="s">
        <v>6773</v>
      </c>
      <c r="C4038" s="2" t="s">
        <v>6363</v>
      </c>
      <c r="D4038" s="2" t="s">
        <v>51</v>
      </c>
      <c r="E4038" s="2" t="s">
        <v>16</v>
      </c>
      <c r="F4038" s="2">
        <v>90</v>
      </c>
      <c r="G4038" s="2" t="s">
        <v>9112</v>
      </c>
      <c r="H4038" s="2" t="s">
        <v>4770</v>
      </c>
      <c r="I4038" s="2" t="s">
        <v>294</v>
      </c>
      <c r="J4038" s="3">
        <v>44383</v>
      </c>
      <c r="K4038" s="5">
        <f>YEAR(OrganizedData[[#This Row],[Order Date]])</f>
        <v>2021</v>
      </c>
      <c r="L4038" s="7" t="str">
        <f>TEXT(OrganizedData[[#This Row],[Order Date]],"mmm")</f>
        <v>Jul</v>
      </c>
      <c r="M4038" s="2">
        <v>24</v>
      </c>
      <c r="N4038" s="2" t="s">
        <v>20</v>
      </c>
      <c r="O4038" s="2" t="str">
        <f>VLOOKUP(OrganizedData[[#This Row],[Product Code]],ProductData[[Code]:[Item]],2,FALSE)</f>
        <v>Hyperwotsit</v>
      </c>
      <c r="P4038" s="4">
        <f>OrganizedData[[#This Row],[Quantity]]*VLOOKUP(OrganizedData[[#This Row],[Product Code]],ProductData[],4,FALSE)</f>
        <v>480</v>
      </c>
      <c r="Q4038" s="6">
        <f>OrganizedData[[#This Row],[Total Items Ordered]]*VLOOKUP(OrganizedData[[#This Row],[Product Code]],ProductData[],3,FALSE)</f>
        <v>964.8</v>
      </c>
      <c r="R40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935.85599999999988</v>
      </c>
    </row>
    <row r="4039" spans="1:18" x14ac:dyDescent="0.3">
      <c r="A4039" s="2">
        <v>4032</v>
      </c>
      <c r="B4039" s="2" t="s">
        <v>9113</v>
      </c>
      <c r="C4039" s="2" t="s">
        <v>5174</v>
      </c>
      <c r="D4039" s="2" t="s">
        <v>51</v>
      </c>
      <c r="E4039" s="2" t="s">
        <v>16</v>
      </c>
      <c r="F4039" s="2">
        <v>60</v>
      </c>
      <c r="G4039" s="2" t="s">
        <v>9112</v>
      </c>
      <c r="H4039" s="2" t="s">
        <v>9114</v>
      </c>
      <c r="I4039" s="2" t="s">
        <v>294</v>
      </c>
      <c r="J4039" s="3">
        <v>44520</v>
      </c>
      <c r="K4039" s="5">
        <f>YEAR(OrganizedData[[#This Row],[Order Date]])</f>
        <v>2021</v>
      </c>
      <c r="L4039" s="7" t="str">
        <f>TEXT(OrganizedData[[#This Row],[Order Date]],"mmm")</f>
        <v>Nov</v>
      </c>
      <c r="M4039" s="2">
        <v>47</v>
      </c>
      <c r="N4039" s="2" t="s">
        <v>70</v>
      </c>
      <c r="O4039" s="2" t="str">
        <f>VLOOKUP(OrganizedData[[#This Row],[Product Code]],ProductData[[Code]:[Item]],2,FALSE)</f>
        <v>Megawidget M</v>
      </c>
      <c r="P4039" s="4">
        <f>OrganizedData[[#This Row],[Quantity]]*VLOOKUP(OrganizedData[[#This Row],[Product Code]],ProductData[],4,FALSE)</f>
        <v>1128</v>
      </c>
      <c r="Q4039" s="6">
        <f>OrganizedData[[#This Row],[Total Items Ordered]]*VLOOKUP(OrganizedData[[#This Row],[Product Code]],ProductData[],3,FALSE)</f>
        <v>1455.1200000000001</v>
      </c>
      <c r="R40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4040" spans="1:18" x14ac:dyDescent="0.3">
      <c r="A4040" s="2">
        <v>4033</v>
      </c>
      <c r="B4040" s="2" t="s">
        <v>2656</v>
      </c>
      <c r="C4040" s="2" t="s">
        <v>7728</v>
      </c>
      <c r="D4040" s="2" t="s">
        <v>51</v>
      </c>
      <c r="E4040" s="2" t="s">
        <v>16</v>
      </c>
      <c r="F4040" s="2">
        <v>90</v>
      </c>
      <c r="G4040" s="2" t="s">
        <v>9115</v>
      </c>
      <c r="H4040" s="2" t="s">
        <v>1265</v>
      </c>
      <c r="I4040" s="2" t="s">
        <v>32</v>
      </c>
      <c r="J4040" s="3">
        <v>44437</v>
      </c>
      <c r="K4040" s="5">
        <f>YEAR(OrganizedData[[#This Row],[Order Date]])</f>
        <v>2021</v>
      </c>
      <c r="L4040" s="7" t="str">
        <f>TEXT(OrganizedData[[#This Row],[Order Date]],"mmm")</f>
        <v>Aug</v>
      </c>
      <c r="M4040" s="2">
        <v>80</v>
      </c>
      <c r="N4040" s="2" t="s">
        <v>64</v>
      </c>
      <c r="O4040" s="2" t="str">
        <f>VLOOKUP(OrganizedData[[#This Row],[Product Code]],ProductData[[Code]:[Item]],2,FALSE)</f>
        <v>Ultrathing V4</v>
      </c>
      <c r="P4040" s="4">
        <f>OrganizedData[[#This Row],[Quantity]]*VLOOKUP(OrganizedData[[#This Row],[Product Code]],ProductData[],4,FALSE)</f>
        <v>1920</v>
      </c>
      <c r="Q4040" s="6">
        <f>OrganizedData[[#This Row],[Total Items Ordered]]*VLOOKUP(OrganizedData[[#This Row],[Product Code]],ProductData[],3,FALSE)</f>
        <v>7660.8</v>
      </c>
      <c r="R40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4041" spans="1:18" x14ac:dyDescent="0.3">
      <c r="A4041" s="2">
        <v>4034</v>
      </c>
      <c r="B4041" s="2" t="s">
        <v>9116</v>
      </c>
      <c r="C4041" s="2" t="s">
        <v>7721</v>
      </c>
      <c r="D4041" s="2" t="s">
        <v>51</v>
      </c>
      <c r="E4041" s="2" t="s">
        <v>16</v>
      </c>
      <c r="F4041" s="2">
        <v>60</v>
      </c>
      <c r="G4041" s="2" t="s">
        <v>9117</v>
      </c>
      <c r="H4041" s="2" t="s">
        <v>5647</v>
      </c>
      <c r="I4041" s="2" t="s">
        <v>38</v>
      </c>
      <c r="J4041" s="3">
        <v>44753</v>
      </c>
      <c r="K4041" s="5">
        <f>YEAR(OrganizedData[[#This Row],[Order Date]])</f>
        <v>2022</v>
      </c>
      <c r="L4041" s="7" t="str">
        <f>TEXT(OrganizedData[[#This Row],[Order Date]],"mmm")</f>
        <v>Jul</v>
      </c>
      <c r="M4041" s="2">
        <v>45</v>
      </c>
      <c r="N4041" s="2" t="s">
        <v>45</v>
      </c>
      <c r="O4041" s="2" t="str">
        <f>VLOOKUP(OrganizedData[[#This Row],[Product Code]],ProductData[[Code]:[Item]],2,FALSE)</f>
        <v>Gigastuff</v>
      </c>
      <c r="P4041" s="4">
        <f>OrganizedData[[#This Row],[Quantity]]*VLOOKUP(OrganizedData[[#This Row],[Product Code]],ProductData[],4,FALSE)</f>
        <v>810</v>
      </c>
      <c r="Q4041" s="6">
        <f>OrganizedData[[#This Row],[Total Items Ordered]]*VLOOKUP(OrganizedData[[#This Row],[Product Code]],ProductData[],3,FALSE)</f>
        <v>1530.8999999999999</v>
      </c>
      <c r="R40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1484.9729999999997</v>
      </c>
    </row>
    <row r="4042" spans="1:18" x14ac:dyDescent="0.3">
      <c r="A4042" s="2">
        <v>4035</v>
      </c>
      <c r="B4042" s="2" t="s">
        <v>6085</v>
      </c>
      <c r="C4042" s="2" t="s">
        <v>1117</v>
      </c>
      <c r="D4042" s="2" t="s">
        <v>28</v>
      </c>
      <c r="E4042" s="2" t="s">
        <v>29</v>
      </c>
      <c r="F4042" s="2">
        <v>30</v>
      </c>
      <c r="G4042" s="2" t="s">
        <v>9118</v>
      </c>
      <c r="H4042" s="2" t="s">
        <v>2696</v>
      </c>
      <c r="I4042" s="2" t="s">
        <v>95</v>
      </c>
      <c r="J4042" s="3">
        <v>44628</v>
      </c>
      <c r="K4042" s="5">
        <f>YEAR(OrganizedData[[#This Row],[Order Date]])</f>
        <v>2022</v>
      </c>
      <c r="L4042" s="7" t="str">
        <f>TEXT(OrganizedData[[#This Row],[Order Date]],"mmm")</f>
        <v>Mar</v>
      </c>
      <c r="M4042" s="2">
        <v>46</v>
      </c>
      <c r="N4042" s="2" t="s">
        <v>45</v>
      </c>
      <c r="O4042" s="2" t="str">
        <f>VLOOKUP(OrganizedData[[#This Row],[Product Code]],ProductData[[Code]:[Item]],2,FALSE)</f>
        <v>Gigastuff</v>
      </c>
      <c r="P4042" s="4">
        <f>OrganizedData[[#This Row],[Quantity]]*VLOOKUP(OrganizedData[[#This Row],[Product Code]],ProductData[],4,FALSE)</f>
        <v>828</v>
      </c>
      <c r="Q4042" s="6">
        <f>OrganizedData[[#This Row],[Total Items Ordered]]*VLOOKUP(OrganizedData[[#This Row],[Product Code]],ProductData[],3,FALSE)</f>
        <v>1564.9199999999998</v>
      </c>
      <c r="R40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1517.9723999999999</v>
      </c>
    </row>
    <row r="4043" spans="1:18" x14ac:dyDescent="0.3">
      <c r="A4043" s="2">
        <v>4036</v>
      </c>
      <c r="B4043" s="2" t="s">
        <v>9119</v>
      </c>
      <c r="C4043" s="2" t="s">
        <v>5452</v>
      </c>
      <c r="D4043" s="2" t="s">
        <v>15</v>
      </c>
      <c r="E4043" s="2" t="s">
        <v>16</v>
      </c>
      <c r="F4043" s="2">
        <v>60</v>
      </c>
      <c r="G4043" s="2" t="s">
        <v>9120</v>
      </c>
      <c r="H4043" s="2" t="s">
        <v>1482</v>
      </c>
      <c r="I4043" s="2" t="s">
        <v>1483</v>
      </c>
      <c r="J4043" s="3">
        <v>44539</v>
      </c>
      <c r="K4043" s="5">
        <f>YEAR(OrganizedData[[#This Row],[Order Date]])</f>
        <v>2021</v>
      </c>
      <c r="L4043" s="7" t="str">
        <f>TEXT(OrganizedData[[#This Row],[Order Date]],"mmm")</f>
        <v>Dec</v>
      </c>
      <c r="M4043" s="2">
        <v>12</v>
      </c>
      <c r="N4043" s="2" t="s">
        <v>45</v>
      </c>
      <c r="O4043" s="2" t="str">
        <f>VLOOKUP(OrganizedData[[#This Row],[Product Code]],ProductData[[Code]:[Item]],2,FALSE)</f>
        <v>Gigastuff</v>
      </c>
      <c r="P4043" s="4">
        <f>OrganizedData[[#This Row],[Quantity]]*VLOOKUP(OrganizedData[[#This Row],[Product Code]],ProductData[],4,FALSE)</f>
        <v>216</v>
      </c>
      <c r="Q4043" s="6">
        <f>OrganizedData[[#This Row],[Total Items Ordered]]*VLOOKUP(OrganizedData[[#This Row],[Product Code]],ProductData[],3,FALSE)</f>
        <v>408.23999999999995</v>
      </c>
      <c r="R40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408.23999999999995</v>
      </c>
    </row>
    <row r="4044" spans="1:18" x14ac:dyDescent="0.3">
      <c r="A4044" s="2">
        <v>4037</v>
      </c>
      <c r="B4044" s="2" t="s">
        <v>9121</v>
      </c>
      <c r="C4044" s="2" t="s">
        <v>3493</v>
      </c>
      <c r="D4044" s="2" t="s">
        <v>51</v>
      </c>
      <c r="E4044" s="2" t="s">
        <v>16</v>
      </c>
      <c r="F4044" s="2">
        <v>30</v>
      </c>
      <c r="G4044" s="2" t="s">
        <v>9122</v>
      </c>
      <c r="H4044" s="2" t="s">
        <v>4870</v>
      </c>
      <c r="I4044" s="2" t="s">
        <v>146</v>
      </c>
      <c r="J4044" s="3">
        <v>43834</v>
      </c>
      <c r="K4044" s="5">
        <f>YEAR(OrganizedData[[#This Row],[Order Date]])</f>
        <v>2020</v>
      </c>
      <c r="L4044" s="7" t="str">
        <f>TEXT(OrganizedData[[#This Row],[Order Date]],"mmm")</f>
        <v>Jan</v>
      </c>
      <c r="M4044" s="2">
        <v>49</v>
      </c>
      <c r="N4044" s="2" t="s">
        <v>64</v>
      </c>
      <c r="O4044" s="2" t="str">
        <f>VLOOKUP(OrganizedData[[#This Row],[Product Code]],ProductData[[Code]:[Item]],2,FALSE)</f>
        <v>Ultrathing V4</v>
      </c>
      <c r="P4044" s="4">
        <f>OrganizedData[[#This Row],[Quantity]]*VLOOKUP(OrganizedData[[#This Row],[Product Code]],ProductData[],4,FALSE)</f>
        <v>1176</v>
      </c>
      <c r="Q4044" s="6">
        <f>OrganizedData[[#This Row],[Total Items Ordered]]*VLOOKUP(OrganizedData[[#This Row],[Product Code]],ProductData[],3,FALSE)</f>
        <v>4692.2400000000007</v>
      </c>
      <c r="R40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4551.4728000000005</v>
      </c>
    </row>
    <row r="4045" spans="1:18" x14ac:dyDescent="0.3">
      <c r="A4045" s="2">
        <v>4038</v>
      </c>
      <c r="B4045" s="2" t="s">
        <v>735</v>
      </c>
      <c r="C4045" s="2" t="s">
        <v>3222</v>
      </c>
      <c r="D4045" s="2" t="s">
        <v>28</v>
      </c>
      <c r="E4045" s="2" t="s">
        <v>29</v>
      </c>
      <c r="F4045" s="2">
        <v>60</v>
      </c>
      <c r="G4045" s="2" t="s">
        <v>9123</v>
      </c>
      <c r="H4045" s="2" t="s">
        <v>5974</v>
      </c>
      <c r="I4045" s="2" t="s">
        <v>19</v>
      </c>
      <c r="J4045" s="3">
        <v>44350</v>
      </c>
      <c r="K4045" s="5">
        <f>YEAR(OrganizedData[[#This Row],[Order Date]])</f>
        <v>2021</v>
      </c>
      <c r="L4045" s="7" t="str">
        <f>TEXT(OrganizedData[[#This Row],[Order Date]],"mmm")</f>
        <v>Jun</v>
      </c>
      <c r="M4045" s="2">
        <v>26</v>
      </c>
      <c r="N4045" s="2" t="s">
        <v>64</v>
      </c>
      <c r="O4045" s="2" t="str">
        <f>VLOOKUP(OrganizedData[[#This Row],[Product Code]],ProductData[[Code]:[Item]],2,FALSE)</f>
        <v>Ultrathing V4</v>
      </c>
      <c r="P4045" s="4">
        <f>OrganizedData[[#This Row],[Quantity]]*VLOOKUP(OrganizedData[[#This Row],[Product Code]],ProductData[],4,FALSE)</f>
        <v>624</v>
      </c>
      <c r="Q4045" s="6">
        <f>OrganizedData[[#This Row],[Total Items Ordered]]*VLOOKUP(OrganizedData[[#This Row],[Product Code]],ProductData[],3,FALSE)</f>
        <v>2489.7600000000002</v>
      </c>
      <c r="R40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4046" spans="1:18" x14ac:dyDescent="0.3">
      <c r="A4046" s="2">
        <v>4039</v>
      </c>
      <c r="B4046" s="2" t="s">
        <v>6858</v>
      </c>
      <c r="C4046" s="2" t="s">
        <v>5214</v>
      </c>
      <c r="D4046" s="2" t="s">
        <v>28</v>
      </c>
      <c r="E4046" s="2" t="s">
        <v>29</v>
      </c>
      <c r="F4046" s="2">
        <v>90</v>
      </c>
      <c r="G4046" s="2" t="s">
        <v>10569</v>
      </c>
      <c r="H4046" s="2" t="s">
        <v>3894</v>
      </c>
      <c r="I4046" s="2" t="s">
        <v>110</v>
      </c>
      <c r="J4046" s="3">
        <v>44785</v>
      </c>
      <c r="K4046" s="5">
        <f>YEAR(OrganizedData[[#This Row],[Order Date]])</f>
        <v>2022</v>
      </c>
      <c r="L4046" s="7" t="str">
        <f>TEXT(OrganizedData[[#This Row],[Order Date]],"mmm")</f>
        <v>Aug</v>
      </c>
      <c r="M4046" s="2">
        <v>51</v>
      </c>
      <c r="N4046" s="2" t="s">
        <v>45</v>
      </c>
      <c r="O4046" s="2" t="str">
        <f>VLOOKUP(OrganizedData[[#This Row],[Product Code]],ProductData[[Code]:[Item]],2,FALSE)</f>
        <v>Gigastuff</v>
      </c>
      <c r="P4046" s="4">
        <f>OrganizedData[[#This Row],[Quantity]]*VLOOKUP(OrganizedData[[#This Row],[Product Code]],ProductData[],4,FALSE)</f>
        <v>918</v>
      </c>
      <c r="Q4046" s="6">
        <f>OrganizedData[[#This Row],[Total Items Ordered]]*VLOOKUP(OrganizedData[[#This Row],[Product Code]],ProductData[],3,FALSE)</f>
        <v>1735.02</v>
      </c>
      <c r="R40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1648.269</v>
      </c>
    </row>
    <row r="4047" spans="1:18" x14ac:dyDescent="0.3">
      <c r="A4047" s="2">
        <v>4040</v>
      </c>
      <c r="B4047" s="2" t="s">
        <v>4579</v>
      </c>
      <c r="C4047" s="2" t="s">
        <v>2747</v>
      </c>
      <c r="D4047" s="2" t="s">
        <v>15</v>
      </c>
      <c r="E4047" s="2" t="s">
        <v>16</v>
      </c>
      <c r="F4047" s="2">
        <v>30</v>
      </c>
      <c r="G4047" s="2" t="s">
        <v>10569</v>
      </c>
      <c r="H4047" s="2" t="s">
        <v>2509</v>
      </c>
      <c r="I4047" s="2" t="s">
        <v>32</v>
      </c>
      <c r="J4047" s="3">
        <v>44093</v>
      </c>
      <c r="K4047" s="5">
        <f>YEAR(OrganizedData[[#This Row],[Order Date]])</f>
        <v>2020</v>
      </c>
      <c r="L4047" s="7" t="str">
        <f>TEXT(OrganizedData[[#This Row],[Order Date]],"mmm")</f>
        <v>Sep</v>
      </c>
      <c r="M4047" s="2">
        <v>7</v>
      </c>
      <c r="N4047" s="2" t="s">
        <v>39</v>
      </c>
      <c r="O4047" s="2" t="str">
        <f>VLOOKUP(OrganizedData[[#This Row],[Product Code]],ProductData[[Code]:[Item]],2,FALSE)</f>
        <v>Ultrathing V1</v>
      </c>
      <c r="P4047" s="4">
        <f>OrganizedData[[#This Row],[Quantity]]*VLOOKUP(OrganizedData[[#This Row],[Product Code]],ProductData[],4,FALSE)</f>
        <v>119</v>
      </c>
      <c r="Q4047" s="6">
        <f>OrganizedData[[#This Row],[Total Items Ordered]]*VLOOKUP(OrganizedData[[#This Row],[Product Code]],ProductData[],3,FALSE)</f>
        <v>213.01</v>
      </c>
      <c r="R40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213.01</v>
      </c>
    </row>
    <row r="4048" spans="1:18" x14ac:dyDescent="0.3">
      <c r="A4048" s="2">
        <v>4041</v>
      </c>
      <c r="B4048" s="2" t="s">
        <v>9125</v>
      </c>
      <c r="C4048" s="2" t="s">
        <v>4014</v>
      </c>
      <c r="D4048" s="2" t="s">
        <v>51</v>
      </c>
      <c r="E4048" s="2" t="s">
        <v>16</v>
      </c>
      <c r="F4048" s="2">
        <v>60</v>
      </c>
      <c r="G4048" s="2" t="s">
        <v>9126</v>
      </c>
      <c r="H4048" s="2" t="s">
        <v>217</v>
      </c>
      <c r="I4048" s="2" t="s">
        <v>124</v>
      </c>
      <c r="J4048" s="3">
        <v>44206</v>
      </c>
      <c r="K4048" s="5">
        <f>YEAR(OrganizedData[[#This Row],[Order Date]])</f>
        <v>2021</v>
      </c>
      <c r="L4048" s="7" t="str">
        <f>TEXT(OrganizedData[[#This Row],[Order Date]],"mmm")</f>
        <v>Jan</v>
      </c>
      <c r="M4048" s="2">
        <v>47</v>
      </c>
      <c r="N4048" s="2" t="s">
        <v>20</v>
      </c>
      <c r="O4048" s="2" t="str">
        <f>VLOOKUP(OrganizedData[[#This Row],[Product Code]],ProductData[[Code]:[Item]],2,FALSE)</f>
        <v>Hyperwotsit</v>
      </c>
      <c r="P4048" s="4">
        <f>OrganizedData[[#This Row],[Quantity]]*VLOOKUP(OrganizedData[[#This Row],[Product Code]],ProductData[],4,FALSE)</f>
        <v>940</v>
      </c>
      <c r="Q4048" s="6">
        <f>OrganizedData[[#This Row],[Total Items Ordered]]*VLOOKUP(OrganizedData[[#This Row],[Product Code]],ProductData[],3,FALSE)</f>
        <v>1889.3999999999999</v>
      </c>
      <c r="R40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4049" spans="1:18" x14ac:dyDescent="0.3">
      <c r="A4049" s="2">
        <v>4042</v>
      </c>
      <c r="B4049" s="2" t="s">
        <v>6310</v>
      </c>
      <c r="C4049" s="2" t="s">
        <v>7180</v>
      </c>
      <c r="D4049" s="2" t="s">
        <v>28</v>
      </c>
      <c r="E4049" s="2" t="s">
        <v>29</v>
      </c>
      <c r="F4049" s="2">
        <v>30</v>
      </c>
      <c r="G4049" s="2" t="s">
        <v>9127</v>
      </c>
      <c r="H4049" s="2" t="s">
        <v>1224</v>
      </c>
      <c r="I4049" s="2" t="s">
        <v>25</v>
      </c>
      <c r="J4049" s="3">
        <v>43950</v>
      </c>
      <c r="K4049" s="5">
        <f>YEAR(OrganizedData[[#This Row],[Order Date]])</f>
        <v>2020</v>
      </c>
      <c r="L4049" s="7" t="str">
        <f>TEXT(OrganizedData[[#This Row],[Order Date]],"mmm")</f>
        <v>Apr</v>
      </c>
      <c r="M4049" s="2">
        <v>73</v>
      </c>
      <c r="N4049" s="2" t="s">
        <v>159</v>
      </c>
      <c r="O4049" s="2" t="str">
        <f>VLOOKUP(OrganizedData[[#This Row],[Product Code]],ProductData[[Code]:[Item]],2,FALSE)</f>
        <v>Ultrathing V3</v>
      </c>
      <c r="P4049" s="4">
        <f>OrganizedData[[#This Row],[Quantity]]*VLOOKUP(OrganizedData[[#This Row],[Product Code]],ProductData[],4,FALSE)</f>
        <v>1752</v>
      </c>
      <c r="Q4049" s="6">
        <f>OrganizedData[[#This Row],[Total Items Ordered]]*VLOOKUP(OrganizedData[[#This Row],[Product Code]],ProductData[],3,FALSE)</f>
        <v>5939.2800000000007</v>
      </c>
      <c r="R40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4050" spans="1:18" x14ac:dyDescent="0.3">
      <c r="A4050" s="2">
        <v>4043</v>
      </c>
      <c r="B4050" s="2" t="s">
        <v>9128</v>
      </c>
      <c r="C4050" s="2" t="s">
        <v>8913</v>
      </c>
      <c r="D4050" s="2" t="s">
        <v>15</v>
      </c>
      <c r="E4050" s="2" t="s">
        <v>16</v>
      </c>
      <c r="F4050" s="2">
        <v>30</v>
      </c>
      <c r="G4050" s="2" t="s">
        <v>10570</v>
      </c>
      <c r="H4050" s="2" t="s">
        <v>462</v>
      </c>
      <c r="I4050" s="2" t="s">
        <v>32</v>
      </c>
      <c r="J4050" s="3">
        <v>44522</v>
      </c>
      <c r="K4050" s="5">
        <f>YEAR(OrganizedData[[#This Row],[Order Date]])</f>
        <v>2021</v>
      </c>
      <c r="L4050" s="7" t="str">
        <f>TEXT(OrganizedData[[#This Row],[Order Date]],"mmm")</f>
        <v>Nov</v>
      </c>
      <c r="M4050" s="2">
        <v>84</v>
      </c>
      <c r="N4050" s="2" t="s">
        <v>54</v>
      </c>
      <c r="O4050" s="2" t="str">
        <f>VLOOKUP(OrganizedData[[#This Row],[Product Code]],ProductData[[Code]:[Item]],2,FALSE)</f>
        <v>Megawidget S</v>
      </c>
      <c r="P4050" s="4">
        <f>OrganizedData[[#This Row],[Quantity]]*VLOOKUP(OrganizedData[[#This Row],[Product Code]],ProductData[],4,FALSE)</f>
        <v>2016</v>
      </c>
      <c r="Q4050" s="6">
        <f>OrganizedData[[#This Row],[Total Items Ordered]]*VLOOKUP(OrganizedData[[#This Row],[Product Code]],ProductData[],3,FALSE)</f>
        <v>1391.04</v>
      </c>
      <c r="R40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1321.4879999999998</v>
      </c>
    </row>
    <row r="4051" spans="1:18" x14ac:dyDescent="0.3">
      <c r="A4051" s="2">
        <v>4044</v>
      </c>
      <c r="B4051" s="2" t="s">
        <v>2994</v>
      </c>
      <c r="C4051" s="2" t="s">
        <v>1746</v>
      </c>
      <c r="D4051" s="2" t="s">
        <v>28</v>
      </c>
      <c r="E4051" s="2" t="s">
        <v>29</v>
      </c>
      <c r="F4051" s="2">
        <v>30</v>
      </c>
      <c r="G4051" s="2" t="s">
        <v>9130</v>
      </c>
      <c r="H4051" s="2" t="s">
        <v>2105</v>
      </c>
      <c r="I4051" s="2" t="s">
        <v>110</v>
      </c>
      <c r="J4051" s="3">
        <v>44478</v>
      </c>
      <c r="K4051" s="5">
        <f>YEAR(OrganizedData[[#This Row],[Order Date]])</f>
        <v>2021</v>
      </c>
      <c r="L4051" s="7" t="str">
        <f>TEXT(OrganizedData[[#This Row],[Order Date]],"mmm")</f>
        <v>Oct</v>
      </c>
      <c r="M4051" s="2">
        <v>31</v>
      </c>
      <c r="N4051" s="2" t="s">
        <v>33</v>
      </c>
      <c r="O4051" s="2" t="str">
        <f>VLOOKUP(OrganizedData[[#This Row],[Product Code]],ProductData[[Code]:[Item]],2,FALSE)</f>
        <v>Megawidget L</v>
      </c>
      <c r="P4051" s="4">
        <f>OrganizedData[[#This Row],[Quantity]]*VLOOKUP(OrganizedData[[#This Row],[Product Code]],ProductData[],4,FALSE)</f>
        <v>744</v>
      </c>
      <c r="Q4051" s="6">
        <f>OrganizedData[[#This Row],[Total Items Ordered]]*VLOOKUP(OrganizedData[[#This Row],[Product Code]],ProductData[],3,FALSE)</f>
        <v>1331.76</v>
      </c>
      <c r="R40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1291.8072</v>
      </c>
    </row>
    <row r="4052" spans="1:18" x14ac:dyDescent="0.3">
      <c r="A4052" s="2">
        <v>4045</v>
      </c>
      <c r="B4052" s="2" t="s">
        <v>9131</v>
      </c>
      <c r="C4052" s="2" t="s">
        <v>9132</v>
      </c>
      <c r="D4052" s="2" t="s">
        <v>51</v>
      </c>
      <c r="E4052" s="2" t="s">
        <v>16</v>
      </c>
      <c r="F4052" s="2">
        <v>90</v>
      </c>
      <c r="G4052" s="2" t="s">
        <v>9133</v>
      </c>
      <c r="H4052" s="2" t="s">
        <v>2194</v>
      </c>
      <c r="I4052" s="2" t="s">
        <v>32</v>
      </c>
      <c r="J4052" s="3">
        <v>44369</v>
      </c>
      <c r="K4052" s="5">
        <f>YEAR(OrganizedData[[#This Row],[Order Date]])</f>
        <v>2021</v>
      </c>
      <c r="L4052" s="7" t="str">
        <f>TEXT(OrganizedData[[#This Row],[Order Date]],"mmm")</f>
        <v>Jun</v>
      </c>
      <c r="M4052" s="2">
        <v>43</v>
      </c>
      <c r="N4052" s="2" t="s">
        <v>101</v>
      </c>
      <c r="O4052" s="2" t="str">
        <f>VLOOKUP(OrganizedData[[#This Row],[Product Code]],ProductData[[Code]:[Item]],2,FALSE)</f>
        <v>Superwossname</v>
      </c>
      <c r="P4052" s="4">
        <f>OrganizedData[[#This Row],[Quantity]]*VLOOKUP(OrganizedData[[#This Row],[Product Code]],ProductData[],4,FALSE)</f>
        <v>860</v>
      </c>
      <c r="Q4052" s="6">
        <f>OrganizedData[[#This Row],[Total Items Ordered]]*VLOOKUP(OrganizedData[[#This Row],[Product Code]],ProductData[],3,FALSE)</f>
        <v>3001.4</v>
      </c>
      <c r="R40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4053" spans="1:18" x14ac:dyDescent="0.3">
      <c r="A4053" s="2">
        <v>4046</v>
      </c>
      <c r="B4053" s="2" t="s">
        <v>3611</v>
      </c>
      <c r="C4053" s="2" t="s">
        <v>9134</v>
      </c>
      <c r="D4053" s="2" t="s">
        <v>28</v>
      </c>
      <c r="E4053" s="2" t="s">
        <v>29</v>
      </c>
      <c r="F4053" s="2">
        <v>30</v>
      </c>
      <c r="G4053" s="2" t="s">
        <v>9135</v>
      </c>
      <c r="H4053" s="2" t="s">
        <v>258</v>
      </c>
      <c r="I4053" s="2" t="s">
        <v>32</v>
      </c>
      <c r="J4053" s="3">
        <v>44226</v>
      </c>
      <c r="K4053" s="5">
        <f>YEAR(OrganizedData[[#This Row],[Order Date]])</f>
        <v>2021</v>
      </c>
      <c r="L4053" s="7" t="str">
        <f>TEXT(OrganizedData[[#This Row],[Order Date]],"mmm")</f>
        <v>Jan</v>
      </c>
      <c r="M4053" s="2">
        <v>40</v>
      </c>
      <c r="N4053" s="2" t="s">
        <v>80</v>
      </c>
      <c r="O4053" s="2" t="str">
        <f>VLOOKUP(OrganizedData[[#This Row],[Product Code]],ProductData[[Code]:[Item]],2,FALSE)</f>
        <v>Ultrathing V2</v>
      </c>
      <c r="P4053" s="4">
        <f>OrganizedData[[#This Row],[Quantity]]*VLOOKUP(OrganizedData[[#This Row],[Product Code]],ProductData[],4,FALSE)</f>
        <v>800</v>
      </c>
      <c r="Q4053" s="6">
        <f>OrganizedData[[#This Row],[Total Items Ordered]]*VLOOKUP(OrganizedData[[#This Row],[Product Code]],ProductData[],3,FALSE)</f>
        <v>2360</v>
      </c>
      <c r="R40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2289.1999999999998</v>
      </c>
    </row>
    <row r="4054" spans="1:18" x14ac:dyDescent="0.3">
      <c r="A4054" s="2">
        <v>4047</v>
      </c>
      <c r="B4054" s="2" t="s">
        <v>9136</v>
      </c>
      <c r="C4054" s="2" t="s">
        <v>9137</v>
      </c>
      <c r="D4054" s="2" t="s">
        <v>15</v>
      </c>
      <c r="E4054" s="2" t="s">
        <v>16</v>
      </c>
      <c r="F4054" s="2">
        <v>60</v>
      </c>
      <c r="G4054" s="2" t="s">
        <v>9138</v>
      </c>
      <c r="H4054" s="2" t="s">
        <v>4543</v>
      </c>
      <c r="I4054" s="2" t="s">
        <v>173</v>
      </c>
      <c r="J4054" s="3">
        <v>44244</v>
      </c>
      <c r="K4054" s="5">
        <f>YEAR(OrganizedData[[#This Row],[Order Date]])</f>
        <v>2021</v>
      </c>
      <c r="L4054" s="7" t="str">
        <f>TEXT(OrganizedData[[#This Row],[Order Date]],"mmm")</f>
        <v>Feb</v>
      </c>
      <c r="M4054" s="2">
        <v>75</v>
      </c>
      <c r="N4054" s="2" t="s">
        <v>20</v>
      </c>
      <c r="O4054" s="2" t="str">
        <f>VLOOKUP(OrganizedData[[#This Row],[Product Code]],ProductData[[Code]:[Item]],2,FALSE)</f>
        <v>Hyperwotsit</v>
      </c>
      <c r="P4054" s="4">
        <f>OrganizedData[[#This Row],[Quantity]]*VLOOKUP(OrganizedData[[#This Row],[Product Code]],ProductData[],4,FALSE)</f>
        <v>1500</v>
      </c>
      <c r="Q4054" s="6">
        <f>OrganizedData[[#This Row],[Total Items Ordered]]*VLOOKUP(OrganizedData[[#This Row],[Product Code]],ProductData[],3,FALSE)</f>
        <v>3014.9999999999995</v>
      </c>
      <c r="R40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2864.2499999999995</v>
      </c>
    </row>
    <row r="4055" spans="1:18" x14ac:dyDescent="0.3">
      <c r="A4055" s="2">
        <v>4048</v>
      </c>
      <c r="B4055" s="2" t="s">
        <v>7660</v>
      </c>
      <c r="C4055" s="2" t="s">
        <v>2980</v>
      </c>
      <c r="D4055" s="2" t="s">
        <v>117</v>
      </c>
      <c r="E4055" s="2" t="s">
        <v>16</v>
      </c>
      <c r="F4055" s="2">
        <v>60</v>
      </c>
      <c r="G4055" s="2" t="s">
        <v>9139</v>
      </c>
      <c r="H4055" s="2" t="s">
        <v>5232</v>
      </c>
      <c r="I4055" s="2" t="s">
        <v>146</v>
      </c>
      <c r="J4055" s="3">
        <v>44211</v>
      </c>
      <c r="K4055" s="5">
        <f>YEAR(OrganizedData[[#This Row],[Order Date]])</f>
        <v>2021</v>
      </c>
      <c r="L4055" s="7" t="str">
        <f>TEXT(OrganizedData[[#This Row],[Order Date]],"mmm")</f>
        <v>Jan</v>
      </c>
      <c r="M4055" s="2">
        <v>76</v>
      </c>
      <c r="N4055" s="2" t="s">
        <v>45</v>
      </c>
      <c r="O4055" s="2" t="str">
        <f>VLOOKUP(OrganizedData[[#This Row],[Product Code]],ProductData[[Code]:[Item]],2,FALSE)</f>
        <v>Gigastuff</v>
      </c>
      <c r="P4055" s="4">
        <f>OrganizedData[[#This Row],[Quantity]]*VLOOKUP(OrganizedData[[#This Row],[Product Code]],ProductData[],4,FALSE)</f>
        <v>1368</v>
      </c>
      <c r="Q4055" s="6">
        <f>OrganizedData[[#This Row],[Total Items Ordered]]*VLOOKUP(OrganizedData[[#This Row],[Product Code]],ProductData[],3,FALSE)</f>
        <v>2585.52</v>
      </c>
      <c r="R40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2456.2439999999997</v>
      </c>
    </row>
    <row r="4056" spans="1:18" x14ac:dyDescent="0.3">
      <c r="A4056" s="2">
        <v>4049</v>
      </c>
      <c r="B4056" s="2" t="s">
        <v>4599</v>
      </c>
      <c r="C4056" s="2" t="s">
        <v>1766</v>
      </c>
      <c r="D4056" s="2" t="s">
        <v>28</v>
      </c>
      <c r="E4056" s="2" t="s">
        <v>29</v>
      </c>
      <c r="F4056" s="2">
        <v>60</v>
      </c>
      <c r="G4056" s="2" t="s">
        <v>9140</v>
      </c>
      <c r="H4056" s="2" t="s">
        <v>8979</v>
      </c>
      <c r="I4056" s="2" t="s">
        <v>32</v>
      </c>
      <c r="J4056" s="3">
        <v>44469</v>
      </c>
      <c r="K4056" s="5">
        <f>YEAR(OrganizedData[[#This Row],[Order Date]])</f>
        <v>2021</v>
      </c>
      <c r="L4056" s="7" t="str">
        <f>TEXT(OrganizedData[[#This Row],[Order Date]],"mmm")</f>
        <v>Sep</v>
      </c>
      <c r="M4056" s="2">
        <v>47</v>
      </c>
      <c r="N4056" s="2" t="s">
        <v>54</v>
      </c>
      <c r="O4056" s="2" t="str">
        <f>VLOOKUP(OrganizedData[[#This Row],[Product Code]],ProductData[[Code]:[Item]],2,FALSE)</f>
        <v>Megawidget S</v>
      </c>
      <c r="P4056" s="4">
        <f>OrganizedData[[#This Row],[Quantity]]*VLOOKUP(OrganizedData[[#This Row],[Product Code]],ProductData[],4,FALSE)</f>
        <v>1128</v>
      </c>
      <c r="Q4056" s="6">
        <f>OrganizedData[[#This Row],[Total Items Ordered]]*VLOOKUP(OrganizedData[[#This Row],[Product Code]],ProductData[],3,FALSE)</f>
        <v>778.31999999999994</v>
      </c>
      <c r="R40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754.97039999999993</v>
      </c>
    </row>
    <row r="4057" spans="1:18" x14ac:dyDescent="0.3">
      <c r="A4057" s="2">
        <v>4050</v>
      </c>
      <c r="B4057" s="2" t="s">
        <v>9141</v>
      </c>
      <c r="C4057" s="2" t="s">
        <v>3243</v>
      </c>
      <c r="D4057" s="2" t="s">
        <v>51</v>
      </c>
      <c r="E4057" s="2" t="s">
        <v>16</v>
      </c>
      <c r="F4057" s="2">
        <v>30</v>
      </c>
      <c r="G4057" s="2" t="s">
        <v>9142</v>
      </c>
      <c r="H4057" s="2" t="s">
        <v>659</v>
      </c>
      <c r="I4057" s="2" t="s">
        <v>32</v>
      </c>
      <c r="J4057" s="3">
        <v>44920</v>
      </c>
      <c r="K4057" s="5">
        <f>YEAR(OrganizedData[[#This Row],[Order Date]])</f>
        <v>2022</v>
      </c>
      <c r="L4057" s="7" t="str">
        <f>TEXT(OrganizedData[[#This Row],[Order Date]],"mmm")</f>
        <v>Dec</v>
      </c>
      <c r="M4057" s="2">
        <v>81</v>
      </c>
      <c r="N4057" s="2" t="s">
        <v>39</v>
      </c>
      <c r="O4057" s="2" t="str">
        <f>VLOOKUP(OrganizedData[[#This Row],[Product Code]],ProductData[[Code]:[Item]],2,FALSE)</f>
        <v>Ultrathing V1</v>
      </c>
      <c r="P4057" s="4">
        <f>OrganizedData[[#This Row],[Quantity]]*VLOOKUP(OrganizedData[[#This Row],[Product Code]],ProductData[],4,FALSE)</f>
        <v>1377</v>
      </c>
      <c r="Q4057" s="6">
        <f>OrganizedData[[#This Row],[Total Items Ordered]]*VLOOKUP(OrganizedData[[#This Row],[Product Code]],ProductData[],3,FALSE)</f>
        <v>2464.83</v>
      </c>
      <c r="R40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2341.5884999999998</v>
      </c>
    </row>
    <row r="4058" spans="1:18" x14ac:dyDescent="0.3">
      <c r="A4058" s="2">
        <v>4051</v>
      </c>
      <c r="B4058" s="2" t="s">
        <v>9143</v>
      </c>
      <c r="C4058" s="2" t="s">
        <v>2398</v>
      </c>
      <c r="D4058" s="2" t="s">
        <v>51</v>
      </c>
      <c r="E4058" s="2" t="s">
        <v>16</v>
      </c>
      <c r="F4058" s="2">
        <v>60</v>
      </c>
      <c r="G4058" s="2" t="s">
        <v>9144</v>
      </c>
      <c r="H4058" s="2" t="s">
        <v>3041</v>
      </c>
      <c r="I4058" s="2" t="s">
        <v>124</v>
      </c>
      <c r="J4058" s="3">
        <v>44472</v>
      </c>
      <c r="K4058" s="5">
        <f>YEAR(OrganizedData[[#This Row],[Order Date]])</f>
        <v>2021</v>
      </c>
      <c r="L4058" s="7" t="str">
        <f>TEXT(OrganizedData[[#This Row],[Order Date]],"mmm")</f>
        <v>Oct</v>
      </c>
      <c r="M4058" s="2">
        <v>64</v>
      </c>
      <c r="N4058" s="2" t="s">
        <v>80</v>
      </c>
      <c r="O4058" s="2" t="str">
        <f>VLOOKUP(OrganizedData[[#This Row],[Product Code]],ProductData[[Code]:[Item]],2,FALSE)</f>
        <v>Ultrathing V2</v>
      </c>
      <c r="P4058" s="4">
        <f>OrganizedData[[#This Row],[Quantity]]*VLOOKUP(OrganizedData[[#This Row],[Product Code]],ProductData[],4,FALSE)</f>
        <v>1280</v>
      </c>
      <c r="Q4058" s="6">
        <f>OrganizedData[[#This Row],[Total Items Ordered]]*VLOOKUP(OrganizedData[[#This Row],[Product Code]],ProductData[],3,FALSE)</f>
        <v>3776</v>
      </c>
      <c r="R40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3587.2</v>
      </c>
    </row>
    <row r="4059" spans="1:18" x14ac:dyDescent="0.3">
      <c r="A4059" s="2">
        <v>4052</v>
      </c>
      <c r="B4059" s="2" t="s">
        <v>9145</v>
      </c>
      <c r="C4059" s="2" t="s">
        <v>4836</v>
      </c>
      <c r="D4059" s="2" t="s">
        <v>15</v>
      </c>
      <c r="E4059" s="2" t="s">
        <v>16</v>
      </c>
      <c r="F4059" s="2">
        <v>60</v>
      </c>
      <c r="G4059" s="2" t="s">
        <v>9146</v>
      </c>
      <c r="H4059" s="2" t="s">
        <v>2305</v>
      </c>
      <c r="I4059" s="2" t="s">
        <v>25</v>
      </c>
      <c r="J4059" s="3">
        <v>44480</v>
      </c>
      <c r="K4059" s="5">
        <f>YEAR(OrganizedData[[#This Row],[Order Date]])</f>
        <v>2021</v>
      </c>
      <c r="L4059" s="7" t="str">
        <f>TEXT(OrganizedData[[#This Row],[Order Date]],"mmm")</f>
        <v>Oct</v>
      </c>
      <c r="M4059" s="2">
        <v>67</v>
      </c>
      <c r="N4059" s="2" t="s">
        <v>70</v>
      </c>
      <c r="O4059" s="2" t="str">
        <f>VLOOKUP(OrganizedData[[#This Row],[Product Code]],ProductData[[Code]:[Item]],2,FALSE)</f>
        <v>Megawidget M</v>
      </c>
      <c r="P4059" s="4">
        <f>OrganizedData[[#This Row],[Quantity]]*VLOOKUP(OrganizedData[[#This Row],[Product Code]],ProductData[],4,FALSE)</f>
        <v>1608</v>
      </c>
      <c r="Q4059" s="6">
        <f>OrganizedData[[#This Row],[Total Items Ordered]]*VLOOKUP(OrganizedData[[#This Row],[Product Code]],ProductData[],3,FALSE)</f>
        <v>2074.3200000000002</v>
      </c>
      <c r="R40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4060" spans="1:18" x14ac:dyDescent="0.3">
      <c r="A4060" s="2">
        <v>4053</v>
      </c>
      <c r="B4060" s="2" t="s">
        <v>9147</v>
      </c>
      <c r="C4060" s="2" t="s">
        <v>2606</v>
      </c>
      <c r="D4060" s="2" t="s">
        <v>51</v>
      </c>
      <c r="E4060" s="2" t="s">
        <v>16</v>
      </c>
      <c r="F4060" s="2">
        <v>90</v>
      </c>
      <c r="G4060" s="2" t="s">
        <v>9148</v>
      </c>
      <c r="H4060" s="2" t="s">
        <v>1206</v>
      </c>
      <c r="I4060" s="2" t="s">
        <v>294</v>
      </c>
      <c r="J4060" s="3">
        <v>44818</v>
      </c>
      <c r="K4060" s="5">
        <f>YEAR(OrganizedData[[#This Row],[Order Date]])</f>
        <v>2022</v>
      </c>
      <c r="L4060" s="7" t="str">
        <f>TEXT(OrganizedData[[#This Row],[Order Date]],"mmm")</f>
        <v>Sep</v>
      </c>
      <c r="M4060" s="2">
        <v>34</v>
      </c>
      <c r="N4060" s="2" t="s">
        <v>64</v>
      </c>
      <c r="O4060" s="2" t="str">
        <f>VLOOKUP(OrganizedData[[#This Row],[Product Code]],ProductData[[Code]:[Item]],2,FALSE)</f>
        <v>Ultrathing V4</v>
      </c>
      <c r="P4060" s="4">
        <f>OrganizedData[[#This Row],[Quantity]]*VLOOKUP(OrganizedData[[#This Row],[Product Code]],ProductData[],4,FALSE)</f>
        <v>816</v>
      </c>
      <c r="Q4060" s="6">
        <f>OrganizedData[[#This Row],[Total Items Ordered]]*VLOOKUP(OrganizedData[[#This Row],[Product Code]],ProductData[],3,FALSE)</f>
        <v>3255.84</v>
      </c>
      <c r="R40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4061" spans="1:18" x14ac:dyDescent="0.3">
      <c r="A4061" s="2">
        <v>4054</v>
      </c>
      <c r="B4061" s="2" t="s">
        <v>9149</v>
      </c>
      <c r="C4061" s="2" t="s">
        <v>5575</v>
      </c>
      <c r="D4061" s="2" t="s">
        <v>51</v>
      </c>
      <c r="E4061" s="2" t="s">
        <v>16</v>
      </c>
      <c r="F4061" s="2">
        <v>30</v>
      </c>
      <c r="G4061" s="2" t="s">
        <v>9150</v>
      </c>
      <c r="H4061" s="2" t="s">
        <v>4760</v>
      </c>
      <c r="I4061" s="2" t="s">
        <v>32</v>
      </c>
      <c r="J4061" s="3">
        <v>44818</v>
      </c>
      <c r="K4061" s="5">
        <f>YEAR(OrganizedData[[#This Row],[Order Date]])</f>
        <v>2022</v>
      </c>
      <c r="L4061" s="7" t="str">
        <f>TEXT(OrganizedData[[#This Row],[Order Date]],"mmm")</f>
        <v>Sep</v>
      </c>
      <c r="M4061" s="2">
        <v>74</v>
      </c>
      <c r="N4061" s="2" t="s">
        <v>159</v>
      </c>
      <c r="O4061" s="2" t="str">
        <f>VLOOKUP(OrganizedData[[#This Row],[Product Code]],ProductData[[Code]:[Item]],2,FALSE)</f>
        <v>Ultrathing V3</v>
      </c>
      <c r="P4061" s="4">
        <f>OrganizedData[[#This Row],[Quantity]]*VLOOKUP(OrganizedData[[#This Row],[Product Code]],ProductData[],4,FALSE)</f>
        <v>1776</v>
      </c>
      <c r="Q4061" s="6">
        <f>OrganizedData[[#This Row],[Total Items Ordered]]*VLOOKUP(OrganizedData[[#This Row],[Product Code]],ProductData[],3,FALSE)</f>
        <v>6020.64</v>
      </c>
      <c r="R40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4062" spans="1:18" x14ac:dyDescent="0.3">
      <c r="A4062" s="2">
        <v>4055</v>
      </c>
      <c r="B4062" s="2" t="s">
        <v>6158</v>
      </c>
      <c r="C4062" s="2" t="s">
        <v>2395</v>
      </c>
      <c r="D4062" s="2" t="s">
        <v>51</v>
      </c>
      <c r="E4062" s="2" t="s">
        <v>16</v>
      </c>
      <c r="F4062" s="2">
        <v>30</v>
      </c>
      <c r="G4062" s="2" t="s">
        <v>9151</v>
      </c>
      <c r="H4062" s="2" t="s">
        <v>3215</v>
      </c>
      <c r="I4062" s="2" t="s">
        <v>32</v>
      </c>
      <c r="J4062" s="3">
        <v>44138</v>
      </c>
      <c r="K4062" s="5">
        <f>YEAR(OrganizedData[[#This Row],[Order Date]])</f>
        <v>2020</v>
      </c>
      <c r="L4062" s="7" t="str">
        <f>TEXT(OrganizedData[[#This Row],[Order Date]],"mmm")</f>
        <v>Nov</v>
      </c>
      <c r="M4062" s="2">
        <v>11</v>
      </c>
      <c r="N4062" s="2" t="s">
        <v>80</v>
      </c>
      <c r="O4062" s="2" t="str">
        <f>VLOOKUP(OrganizedData[[#This Row],[Product Code]],ProductData[[Code]:[Item]],2,FALSE)</f>
        <v>Ultrathing V2</v>
      </c>
      <c r="P4062" s="4">
        <f>OrganizedData[[#This Row],[Quantity]]*VLOOKUP(OrganizedData[[#This Row],[Product Code]],ProductData[],4,FALSE)</f>
        <v>220</v>
      </c>
      <c r="Q4062" s="6">
        <f>OrganizedData[[#This Row],[Total Items Ordered]]*VLOOKUP(OrganizedData[[#This Row],[Product Code]],ProductData[],3,FALSE)</f>
        <v>649</v>
      </c>
      <c r="R40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v>
      </c>
    </row>
    <row r="4063" spans="1:18" x14ac:dyDescent="0.3">
      <c r="A4063" s="2">
        <v>4056</v>
      </c>
      <c r="B4063" s="2" t="s">
        <v>6764</v>
      </c>
      <c r="C4063" s="2" t="s">
        <v>9152</v>
      </c>
      <c r="D4063" s="2" t="s">
        <v>28</v>
      </c>
      <c r="E4063" s="2" t="s">
        <v>29</v>
      </c>
      <c r="F4063" s="2">
        <v>90</v>
      </c>
      <c r="G4063" s="2" t="s">
        <v>9153</v>
      </c>
      <c r="H4063" s="2" t="s">
        <v>917</v>
      </c>
      <c r="I4063" s="2" t="s">
        <v>32</v>
      </c>
      <c r="J4063" s="3">
        <v>43919</v>
      </c>
      <c r="K4063" s="5">
        <f>YEAR(OrganizedData[[#This Row],[Order Date]])</f>
        <v>2020</v>
      </c>
      <c r="L4063" s="7" t="str">
        <f>TEXT(OrganizedData[[#This Row],[Order Date]],"mmm")</f>
        <v>Mar</v>
      </c>
      <c r="M4063" s="2">
        <v>82</v>
      </c>
      <c r="N4063" s="2" t="s">
        <v>20</v>
      </c>
      <c r="O4063" s="2" t="str">
        <f>VLOOKUP(OrganizedData[[#This Row],[Product Code]],ProductData[[Code]:[Item]],2,FALSE)</f>
        <v>Hyperwotsit</v>
      </c>
      <c r="P4063" s="4">
        <f>OrganizedData[[#This Row],[Quantity]]*VLOOKUP(OrganizedData[[#This Row],[Product Code]],ProductData[],4,FALSE)</f>
        <v>1640</v>
      </c>
      <c r="Q4063" s="6">
        <f>OrganizedData[[#This Row],[Total Items Ordered]]*VLOOKUP(OrganizedData[[#This Row],[Product Code]],ProductData[],3,FALSE)</f>
        <v>3296.3999999999996</v>
      </c>
      <c r="R40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3131.5799999999995</v>
      </c>
    </row>
    <row r="4064" spans="1:18" x14ac:dyDescent="0.3">
      <c r="A4064" s="2">
        <v>4057</v>
      </c>
      <c r="B4064" s="2" t="s">
        <v>9154</v>
      </c>
      <c r="C4064" s="2" t="s">
        <v>6237</v>
      </c>
      <c r="D4064" s="2" t="s">
        <v>51</v>
      </c>
      <c r="E4064" s="2" t="s">
        <v>16</v>
      </c>
      <c r="F4064" s="2">
        <v>60</v>
      </c>
      <c r="G4064" s="2" t="s">
        <v>9155</v>
      </c>
      <c r="H4064" s="2" t="s">
        <v>4669</v>
      </c>
      <c r="I4064" s="2" t="s">
        <v>187</v>
      </c>
      <c r="J4064" s="3">
        <v>44038</v>
      </c>
      <c r="K4064" s="5">
        <f>YEAR(OrganizedData[[#This Row],[Order Date]])</f>
        <v>2020</v>
      </c>
      <c r="L4064" s="7" t="str">
        <f>TEXT(OrganizedData[[#This Row],[Order Date]],"mmm")</f>
        <v>Jul</v>
      </c>
      <c r="M4064" s="2">
        <v>41</v>
      </c>
      <c r="N4064" s="2" t="s">
        <v>33</v>
      </c>
      <c r="O4064" s="2" t="str">
        <f>VLOOKUP(OrganizedData[[#This Row],[Product Code]],ProductData[[Code]:[Item]],2,FALSE)</f>
        <v>Megawidget L</v>
      </c>
      <c r="P4064" s="4">
        <f>OrganizedData[[#This Row],[Quantity]]*VLOOKUP(OrganizedData[[#This Row],[Product Code]],ProductData[],4,FALSE)</f>
        <v>984</v>
      </c>
      <c r="Q4064" s="6">
        <f>OrganizedData[[#This Row],[Total Items Ordered]]*VLOOKUP(OrganizedData[[#This Row],[Product Code]],ProductData[],3,FALSE)</f>
        <v>1761.3600000000001</v>
      </c>
      <c r="R40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1708.5192000000002</v>
      </c>
    </row>
    <row r="4065" spans="1:18" x14ac:dyDescent="0.3">
      <c r="A4065" s="2">
        <v>4058</v>
      </c>
      <c r="B4065" s="2" t="s">
        <v>125</v>
      </c>
      <c r="C4065" s="2" t="s">
        <v>3824</v>
      </c>
      <c r="D4065" s="2" t="s">
        <v>51</v>
      </c>
      <c r="E4065" s="2" t="s">
        <v>16</v>
      </c>
      <c r="F4065" s="2">
        <v>60</v>
      </c>
      <c r="G4065" s="2" t="s">
        <v>9156</v>
      </c>
      <c r="H4065" s="2" t="s">
        <v>583</v>
      </c>
      <c r="I4065" s="2" t="s">
        <v>32</v>
      </c>
      <c r="J4065" s="3">
        <v>44706</v>
      </c>
      <c r="K4065" s="5">
        <f>YEAR(OrganizedData[[#This Row],[Order Date]])</f>
        <v>2022</v>
      </c>
      <c r="L4065" s="7" t="str">
        <f>TEXT(OrganizedData[[#This Row],[Order Date]],"mmm")</f>
        <v>May</v>
      </c>
      <c r="M4065" s="2">
        <v>77</v>
      </c>
      <c r="N4065" s="2" t="s">
        <v>33</v>
      </c>
      <c r="O4065" s="2" t="str">
        <f>VLOOKUP(OrganizedData[[#This Row],[Product Code]],ProductData[[Code]:[Item]],2,FALSE)</f>
        <v>Megawidget L</v>
      </c>
      <c r="P4065" s="4">
        <f>OrganizedData[[#This Row],[Quantity]]*VLOOKUP(OrganizedData[[#This Row],[Product Code]],ProductData[],4,FALSE)</f>
        <v>1848</v>
      </c>
      <c r="Q4065" s="6">
        <f>OrganizedData[[#This Row],[Total Items Ordered]]*VLOOKUP(OrganizedData[[#This Row],[Product Code]],ProductData[],3,FALSE)</f>
        <v>3307.92</v>
      </c>
      <c r="R40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3142.5239999999999</v>
      </c>
    </row>
    <row r="4066" spans="1:18" x14ac:dyDescent="0.3">
      <c r="A4066" s="2">
        <v>4059</v>
      </c>
      <c r="B4066" s="2" t="s">
        <v>4977</v>
      </c>
      <c r="C4066" s="2" t="s">
        <v>1727</v>
      </c>
      <c r="D4066" s="2" t="s">
        <v>41</v>
      </c>
      <c r="E4066" s="2" t="s">
        <v>16</v>
      </c>
      <c r="F4066" s="2">
        <v>60</v>
      </c>
      <c r="G4066" s="2" t="s">
        <v>9157</v>
      </c>
      <c r="H4066" s="2" t="s">
        <v>4386</v>
      </c>
      <c r="I4066" s="2" t="s">
        <v>32</v>
      </c>
      <c r="J4066" s="3">
        <v>43968</v>
      </c>
      <c r="K4066" s="5">
        <f>YEAR(OrganizedData[[#This Row],[Order Date]])</f>
        <v>2020</v>
      </c>
      <c r="L4066" s="7" t="str">
        <f>TEXT(OrganizedData[[#This Row],[Order Date]],"mmm")</f>
        <v>May</v>
      </c>
      <c r="M4066" s="2">
        <v>55</v>
      </c>
      <c r="N4066" s="2" t="s">
        <v>70</v>
      </c>
      <c r="O4066" s="2" t="str">
        <f>VLOOKUP(OrganizedData[[#This Row],[Product Code]],ProductData[[Code]:[Item]],2,FALSE)</f>
        <v>Megawidget M</v>
      </c>
      <c r="P4066" s="4">
        <f>OrganizedData[[#This Row],[Quantity]]*VLOOKUP(OrganizedData[[#This Row],[Product Code]],ProductData[],4,FALSE)</f>
        <v>1320</v>
      </c>
      <c r="Q4066" s="6">
        <f>OrganizedData[[#This Row],[Total Items Ordered]]*VLOOKUP(OrganizedData[[#This Row],[Product Code]],ProductData[],3,FALSE)</f>
        <v>1702.8</v>
      </c>
      <c r="R40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1617.6599999999999</v>
      </c>
    </row>
    <row r="4067" spans="1:18" x14ac:dyDescent="0.3">
      <c r="A4067" s="2">
        <v>4060</v>
      </c>
      <c r="B4067" s="2" t="s">
        <v>2115</v>
      </c>
      <c r="C4067" s="2" t="s">
        <v>2041</v>
      </c>
      <c r="D4067" s="2" t="s">
        <v>28</v>
      </c>
      <c r="E4067" s="2" t="s">
        <v>29</v>
      </c>
      <c r="F4067" s="2">
        <v>30</v>
      </c>
      <c r="G4067" s="2" t="s">
        <v>9158</v>
      </c>
      <c r="H4067" s="2" t="s">
        <v>389</v>
      </c>
      <c r="I4067" s="2" t="s">
        <v>32</v>
      </c>
      <c r="J4067" s="3">
        <v>44267</v>
      </c>
      <c r="K4067" s="5">
        <f>YEAR(OrganizedData[[#This Row],[Order Date]])</f>
        <v>2021</v>
      </c>
      <c r="L4067" s="7" t="str">
        <f>TEXT(OrganizedData[[#This Row],[Order Date]],"mmm")</f>
        <v>Mar</v>
      </c>
      <c r="M4067" s="2">
        <v>11</v>
      </c>
      <c r="N4067" s="2" t="s">
        <v>39</v>
      </c>
      <c r="O4067" s="2" t="str">
        <f>VLOOKUP(OrganizedData[[#This Row],[Product Code]],ProductData[[Code]:[Item]],2,FALSE)</f>
        <v>Ultrathing V1</v>
      </c>
      <c r="P4067" s="4">
        <f>OrganizedData[[#This Row],[Quantity]]*VLOOKUP(OrganizedData[[#This Row],[Product Code]],ProductData[],4,FALSE)</f>
        <v>187</v>
      </c>
      <c r="Q4067" s="6">
        <f>OrganizedData[[#This Row],[Total Items Ordered]]*VLOOKUP(OrganizedData[[#This Row],[Product Code]],ProductData[],3,FALSE)</f>
        <v>334.73</v>
      </c>
      <c r="R40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334.73</v>
      </c>
    </row>
    <row r="4068" spans="1:18" x14ac:dyDescent="0.3">
      <c r="A4068" s="2">
        <v>4061</v>
      </c>
      <c r="B4068" s="2" t="s">
        <v>1120</v>
      </c>
      <c r="C4068" s="2" t="s">
        <v>8852</v>
      </c>
      <c r="D4068" s="2" t="s">
        <v>28</v>
      </c>
      <c r="E4068" s="2" t="s">
        <v>29</v>
      </c>
      <c r="F4068" s="2">
        <v>30</v>
      </c>
      <c r="G4068" s="2" t="s">
        <v>9159</v>
      </c>
      <c r="H4068" s="2" t="s">
        <v>2834</v>
      </c>
      <c r="I4068" s="2" t="s">
        <v>19</v>
      </c>
      <c r="J4068" s="3">
        <v>44803</v>
      </c>
      <c r="K4068" s="5">
        <f>YEAR(OrganizedData[[#This Row],[Order Date]])</f>
        <v>2022</v>
      </c>
      <c r="L4068" s="7" t="str">
        <f>TEXT(OrganizedData[[#This Row],[Order Date]],"mmm")</f>
        <v>Aug</v>
      </c>
      <c r="M4068" s="2">
        <v>11</v>
      </c>
      <c r="N4068" s="2" t="s">
        <v>64</v>
      </c>
      <c r="O4068" s="2" t="str">
        <f>VLOOKUP(OrganizedData[[#This Row],[Product Code]],ProductData[[Code]:[Item]],2,FALSE)</f>
        <v>Ultrathing V4</v>
      </c>
      <c r="P4068" s="4">
        <f>OrganizedData[[#This Row],[Quantity]]*VLOOKUP(OrganizedData[[#This Row],[Product Code]],ProductData[],4,FALSE)</f>
        <v>264</v>
      </c>
      <c r="Q4068" s="6">
        <f>OrganizedData[[#This Row],[Total Items Ordered]]*VLOOKUP(OrganizedData[[#This Row],[Product Code]],ProductData[],3,FALSE)</f>
        <v>1053.3600000000001</v>
      </c>
      <c r="R40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1053.3600000000001</v>
      </c>
    </row>
    <row r="4069" spans="1:18" x14ac:dyDescent="0.3">
      <c r="A4069" s="2">
        <v>4062</v>
      </c>
      <c r="B4069" s="2" t="s">
        <v>1016</v>
      </c>
      <c r="C4069" s="2" t="s">
        <v>5081</v>
      </c>
      <c r="D4069" s="2" t="s">
        <v>51</v>
      </c>
      <c r="E4069" s="2" t="s">
        <v>16</v>
      </c>
      <c r="F4069" s="2">
        <v>90</v>
      </c>
      <c r="G4069" s="2" t="s">
        <v>9160</v>
      </c>
      <c r="H4069" s="2" t="s">
        <v>346</v>
      </c>
      <c r="I4069" s="2" t="s">
        <v>32</v>
      </c>
      <c r="J4069" s="3">
        <v>44067</v>
      </c>
      <c r="K4069" s="5">
        <f>YEAR(OrganizedData[[#This Row],[Order Date]])</f>
        <v>2020</v>
      </c>
      <c r="L4069" s="7" t="str">
        <f>TEXT(OrganizedData[[#This Row],[Order Date]],"mmm")</f>
        <v>Aug</v>
      </c>
      <c r="M4069" s="2">
        <v>7</v>
      </c>
      <c r="N4069" s="2" t="s">
        <v>70</v>
      </c>
      <c r="O4069" s="2" t="str">
        <f>VLOOKUP(OrganizedData[[#This Row],[Product Code]],ProductData[[Code]:[Item]],2,FALSE)</f>
        <v>Megawidget M</v>
      </c>
      <c r="P4069" s="4">
        <f>OrganizedData[[#This Row],[Quantity]]*VLOOKUP(OrganizedData[[#This Row],[Product Code]],ProductData[],4,FALSE)</f>
        <v>168</v>
      </c>
      <c r="Q4069" s="6">
        <f>OrganizedData[[#This Row],[Total Items Ordered]]*VLOOKUP(OrganizedData[[#This Row],[Product Code]],ProductData[],3,FALSE)</f>
        <v>216.72</v>
      </c>
      <c r="R40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216.72</v>
      </c>
    </row>
    <row r="4070" spans="1:18" x14ac:dyDescent="0.3">
      <c r="A4070" s="2">
        <v>4063</v>
      </c>
      <c r="B4070" s="2" t="s">
        <v>7795</v>
      </c>
      <c r="C4070" s="2" t="s">
        <v>9161</v>
      </c>
      <c r="D4070" s="2" t="s">
        <v>28</v>
      </c>
      <c r="E4070" s="2" t="s">
        <v>29</v>
      </c>
      <c r="F4070" s="2">
        <v>30</v>
      </c>
      <c r="G4070" s="2" t="s">
        <v>9162</v>
      </c>
      <c r="H4070" s="2" t="s">
        <v>4293</v>
      </c>
      <c r="I4070" s="2" t="s">
        <v>38</v>
      </c>
      <c r="J4070" s="3">
        <v>44466</v>
      </c>
      <c r="K4070" s="5">
        <f>YEAR(OrganizedData[[#This Row],[Order Date]])</f>
        <v>2021</v>
      </c>
      <c r="L4070" s="7" t="str">
        <f>TEXT(OrganizedData[[#This Row],[Order Date]],"mmm")</f>
        <v>Sep</v>
      </c>
      <c r="M4070" s="2">
        <v>59</v>
      </c>
      <c r="N4070" s="2" t="s">
        <v>70</v>
      </c>
      <c r="O4070" s="2" t="str">
        <f>VLOOKUP(OrganizedData[[#This Row],[Product Code]],ProductData[[Code]:[Item]],2,FALSE)</f>
        <v>Megawidget M</v>
      </c>
      <c r="P4070" s="4">
        <f>OrganizedData[[#This Row],[Quantity]]*VLOOKUP(OrganizedData[[#This Row],[Product Code]],ProductData[],4,FALSE)</f>
        <v>1416</v>
      </c>
      <c r="Q4070" s="6">
        <f>OrganizedData[[#This Row],[Total Items Ordered]]*VLOOKUP(OrganizedData[[#This Row],[Product Code]],ProductData[],3,FALSE)</f>
        <v>1826.64</v>
      </c>
      <c r="R40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1735.308</v>
      </c>
    </row>
    <row r="4071" spans="1:18" x14ac:dyDescent="0.3">
      <c r="A4071" s="2">
        <v>4064</v>
      </c>
      <c r="B4071" s="2" t="s">
        <v>8492</v>
      </c>
      <c r="C4071" s="2" t="s">
        <v>2991</v>
      </c>
      <c r="D4071" s="2" t="s">
        <v>51</v>
      </c>
      <c r="E4071" s="2" t="s">
        <v>16</v>
      </c>
      <c r="F4071" s="2">
        <v>90</v>
      </c>
      <c r="G4071" s="2" t="s">
        <v>9163</v>
      </c>
      <c r="H4071" s="2" t="s">
        <v>4145</v>
      </c>
      <c r="I4071" s="2" t="s">
        <v>32</v>
      </c>
      <c r="J4071" s="3">
        <v>44825</v>
      </c>
      <c r="K4071" s="5">
        <f>YEAR(OrganizedData[[#This Row],[Order Date]])</f>
        <v>2022</v>
      </c>
      <c r="L4071" s="7" t="str">
        <f>TEXT(OrganizedData[[#This Row],[Order Date]],"mmm")</f>
        <v>Sep</v>
      </c>
      <c r="M4071" s="2">
        <v>94</v>
      </c>
      <c r="N4071" s="2" t="s">
        <v>54</v>
      </c>
      <c r="O4071" s="2" t="str">
        <f>VLOOKUP(OrganizedData[[#This Row],[Product Code]],ProductData[[Code]:[Item]],2,FALSE)</f>
        <v>Megawidget S</v>
      </c>
      <c r="P4071" s="4">
        <f>OrganizedData[[#This Row],[Quantity]]*VLOOKUP(OrganizedData[[#This Row],[Product Code]],ProductData[],4,FALSE)</f>
        <v>2256</v>
      </c>
      <c r="Q4071" s="6">
        <f>OrganizedData[[#This Row],[Total Items Ordered]]*VLOOKUP(OrganizedData[[#This Row],[Product Code]],ProductData[],3,FALSE)</f>
        <v>1556.6399999999999</v>
      </c>
      <c r="R40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1478.8079999999998</v>
      </c>
    </row>
    <row r="4072" spans="1:18" x14ac:dyDescent="0.3">
      <c r="A4072" s="2">
        <v>4065</v>
      </c>
      <c r="B4072" s="2" t="s">
        <v>8998</v>
      </c>
      <c r="C4072" s="2" t="s">
        <v>3137</v>
      </c>
      <c r="D4072" s="2" t="s">
        <v>51</v>
      </c>
      <c r="E4072" s="2" t="s">
        <v>16</v>
      </c>
      <c r="F4072" s="2">
        <v>60</v>
      </c>
      <c r="G4072" s="2" t="s">
        <v>9164</v>
      </c>
      <c r="H4072" s="2" t="s">
        <v>3303</v>
      </c>
      <c r="I4072" s="2" t="s">
        <v>294</v>
      </c>
      <c r="J4072" s="3">
        <v>44285</v>
      </c>
      <c r="K4072" s="5">
        <f>YEAR(OrganizedData[[#This Row],[Order Date]])</f>
        <v>2021</v>
      </c>
      <c r="L4072" s="7" t="str">
        <f>TEXT(OrganizedData[[#This Row],[Order Date]],"mmm")</f>
        <v>Mar</v>
      </c>
      <c r="M4072" s="2">
        <v>89</v>
      </c>
      <c r="N4072" s="2" t="s">
        <v>159</v>
      </c>
      <c r="O4072" s="2" t="str">
        <f>VLOOKUP(OrganizedData[[#This Row],[Product Code]],ProductData[[Code]:[Item]],2,FALSE)</f>
        <v>Ultrathing V3</v>
      </c>
      <c r="P4072" s="4">
        <f>OrganizedData[[#This Row],[Quantity]]*VLOOKUP(OrganizedData[[#This Row],[Product Code]],ProductData[],4,FALSE)</f>
        <v>2136</v>
      </c>
      <c r="Q4072" s="6">
        <f>OrganizedData[[#This Row],[Total Items Ordered]]*VLOOKUP(OrganizedData[[#This Row],[Product Code]],ProductData[],3,FALSE)</f>
        <v>7241.04</v>
      </c>
      <c r="R40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6878.9879999999994</v>
      </c>
    </row>
    <row r="4073" spans="1:18" x14ac:dyDescent="0.3">
      <c r="A4073" s="2">
        <v>4066</v>
      </c>
      <c r="B4073" s="2" t="s">
        <v>7351</v>
      </c>
      <c r="C4073" s="2" t="s">
        <v>3016</v>
      </c>
      <c r="D4073" s="2" t="s">
        <v>51</v>
      </c>
      <c r="E4073" s="2" t="s">
        <v>16</v>
      </c>
      <c r="F4073" s="2">
        <v>60</v>
      </c>
      <c r="G4073" s="2" t="s">
        <v>9164</v>
      </c>
      <c r="H4073" s="2" t="s">
        <v>9166</v>
      </c>
      <c r="I4073" s="2" t="s">
        <v>32</v>
      </c>
      <c r="J4073" s="3">
        <v>44397</v>
      </c>
      <c r="K4073" s="5">
        <f>YEAR(OrganizedData[[#This Row],[Order Date]])</f>
        <v>2021</v>
      </c>
      <c r="L4073" s="7" t="str">
        <f>TEXT(OrganizedData[[#This Row],[Order Date]],"mmm")</f>
        <v>Jul</v>
      </c>
      <c r="M4073" s="2">
        <v>5</v>
      </c>
      <c r="N4073" s="2" t="s">
        <v>101</v>
      </c>
      <c r="O4073" s="2" t="str">
        <f>VLOOKUP(OrganizedData[[#This Row],[Product Code]],ProductData[[Code]:[Item]],2,FALSE)</f>
        <v>Superwossname</v>
      </c>
      <c r="P4073" s="4">
        <f>OrganizedData[[#This Row],[Quantity]]*VLOOKUP(OrganizedData[[#This Row],[Product Code]],ProductData[],4,FALSE)</f>
        <v>100</v>
      </c>
      <c r="Q4073" s="6">
        <f>OrganizedData[[#This Row],[Total Items Ordered]]*VLOOKUP(OrganizedData[[#This Row],[Product Code]],ProductData[],3,FALSE)</f>
        <v>349</v>
      </c>
      <c r="R40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349</v>
      </c>
    </row>
    <row r="4074" spans="1:18" x14ac:dyDescent="0.3">
      <c r="A4074" s="2">
        <v>4067</v>
      </c>
      <c r="B4074" s="2" t="s">
        <v>4278</v>
      </c>
      <c r="C4074" s="2" t="s">
        <v>1554</v>
      </c>
      <c r="D4074" s="2" t="s">
        <v>28</v>
      </c>
      <c r="E4074" s="2" t="s">
        <v>29</v>
      </c>
      <c r="F4074" s="2">
        <v>90</v>
      </c>
      <c r="G4074" s="2" t="s">
        <v>9167</v>
      </c>
      <c r="H4074" s="2" t="s">
        <v>2321</v>
      </c>
      <c r="I4074" s="2" t="s">
        <v>129</v>
      </c>
      <c r="J4074" s="3">
        <v>44790</v>
      </c>
      <c r="K4074" s="5">
        <f>YEAR(OrganizedData[[#This Row],[Order Date]])</f>
        <v>2022</v>
      </c>
      <c r="L4074" s="7" t="str">
        <f>TEXT(OrganizedData[[#This Row],[Order Date]],"mmm")</f>
        <v>Aug</v>
      </c>
      <c r="M4074" s="2">
        <v>91</v>
      </c>
      <c r="N4074" s="2" t="s">
        <v>101</v>
      </c>
      <c r="O4074" s="2" t="str">
        <f>VLOOKUP(OrganizedData[[#This Row],[Product Code]],ProductData[[Code]:[Item]],2,FALSE)</f>
        <v>Superwossname</v>
      </c>
      <c r="P4074" s="4">
        <f>OrganizedData[[#This Row],[Quantity]]*VLOOKUP(OrganizedData[[#This Row],[Product Code]],ProductData[],4,FALSE)</f>
        <v>1820</v>
      </c>
      <c r="Q4074" s="6">
        <f>OrganizedData[[#This Row],[Total Items Ordered]]*VLOOKUP(OrganizedData[[#This Row],[Product Code]],ProductData[],3,FALSE)</f>
        <v>6351.8</v>
      </c>
      <c r="R40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6034.21</v>
      </c>
    </row>
    <row r="4075" spans="1:18" x14ac:dyDescent="0.3">
      <c r="A4075" s="2">
        <v>4068</v>
      </c>
      <c r="B4075" s="2" t="s">
        <v>1675</v>
      </c>
      <c r="C4075" s="2" t="s">
        <v>3111</v>
      </c>
      <c r="D4075" s="2" t="s">
        <v>51</v>
      </c>
      <c r="E4075" s="2" t="s">
        <v>16</v>
      </c>
      <c r="F4075" s="2">
        <v>90</v>
      </c>
      <c r="G4075" s="2" t="s">
        <v>9168</v>
      </c>
      <c r="H4075" s="2" t="s">
        <v>6224</v>
      </c>
      <c r="I4075" s="2" t="s">
        <v>294</v>
      </c>
      <c r="J4075" s="3">
        <v>44443</v>
      </c>
      <c r="K4075" s="5">
        <f>YEAR(OrganizedData[[#This Row],[Order Date]])</f>
        <v>2021</v>
      </c>
      <c r="L4075" s="7" t="str">
        <f>TEXT(OrganizedData[[#This Row],[Order Date]],"mmm")</f>
        <v>Sep</v>
      </c>
      <c r="M4075" s="2">
        <v>34</v>
      </c>
      <c r="N4075" s="2" t="s">
        <v>64</v>
      </c>
      <c r="O4075" s="2" t="str">
        <f>VLOOKUP(OrganizedData[[#This Row],[Product Code]],ProductData[[Code]:[Item]],2,FALSE)</f>
        <v>Ultrathing V4</v>
      </c>
      <c r="P4075" s="4">
        <f>OrganizedData[[#This Row],[Quantity]]*VLOOKUP(OrganizedData[[#This Row],[Product Code]],ProductData[],4,FALSE)</f>
        <v>816</v>
      </c>
      <c r="Q4075" s="6">
        <f>OrganizedData[[#This Row],[Total Items Ordered]]*VLOOKUP(OrganizedData[[#This Row],[Product Code]],ProductData[],3,FALSE)</f>
        <v>3255.84</v>
      </c>
      <c r="R40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4076" spans="1:18" x14ac:dyDescent="0.3">
      <c r="A4076" s="2">
        <v>4069</v>
      </c>
      <c r="B4076" s="2" t="s">
        <v>3946</v>
      </c>
      <c r="C4076" s="2" t="s">
        <v>2368</v>
      </c>
      <c r="D4076" s="2" t="s">
        <v>28</v>
      </c>
      <c r="E4076" s="2" t="s">
        <v>29</v>
      </c>
      <c r="F4076" s="2">
        <v>90</v>
      </c>
      <c r="G4076" s="2" t="s">
        <v>9169</v>
      </c>
      <c r="H4076" s="2" t="s">
        <v>2624</v>
      </c>
      <c r="I4076" s="2" t="s">
        <v>32</v>
      </c>
      <c r="J4076" s="3">
        <v>44753</v>
      </c>
      <c r="K4076" s="5">
        <f>YEAR(OrganizedData[[#This Row],[Order Date]])</f>
        <v>2022</v>
      </c>
      <c r="L4076" s="7" t="str">
        <f>TEXT(OrganizedData[[#This Row],[Order Date]],"mmm")</f>
        <v>Jul</v>
      </c>
      <c r="M4076" s="2">
        <v>87</v>
      </c>
      <c r="N4076" s="2" t="s">
        <v>64</v>
      </c>
      <c r="O4076" s="2" t="str">
        <f>VLOOKUP(OrganizedData[[#This Row],[Product Code]],ProductData[[Code]:[Item]],2,FALSE)</f>
        <v>Ultrathing V4</v>
      </c>
      <c r="P4076" s="4">
        <f>OrganizedData[[#This Row],[Quantity]]*VLOOKUP(OrganizedData[[#This Row],[Product Code]],ProductData[],4,FALSE)</f>
        <v>2088</v>
      </c>
      <c r="Q4076" s="6">
        <f>OrganizedData[[#This Row],[Total Items Ordered]]*VLOOKUP(OrganizedData[[#This Row],[Product Code]],ProductData[],3,FALSE)</f>
        <v>8331.1200000000008</v>
      </c>
      <c r="R40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7914.5640000000003</v>
      </c>
    </row>
    <row r="4077" spans="1:18" x14ac:dyDescent="0.3">
      <c r="A4077" s="2">
        <v>4070</v>
      </c>
      <c r="B4077" s="2" t="s">
        <v>3938</v>
      </c>
      <c r="C4077" s="2" t="s">
        <v>9170</v>
      </c>
      <c r="D4077" s="2" t="s">
        <v>51</v>
      </c>
      <c r="E4077" s="2" t="s">
        <v>16</v>
      </c>
      <c r="F4077" s="2">
        <v>60</v>
      </c>
      <c r="G4077" s="2" t="s">
        <v>9171</v>
      </c>
      <c r="H4077" s="2" t="s">
        <v>244</v>
      </c>
      <c r="I4077" s="2" t="s">
        <v>240</v>
      </c>
      <c r="J4077" s="3">
        <v>44183</v>
      </c>
      <c r="K4077" s="5">
        <f>YEAR(OrganizedData[[#This Row],[Order Date]])</f>
        <v>2020</v>
      </c>
      <c r="L4077" s="7" t="str">
        <f>TEXT(OrganizedData[[#This Row],[Order Date]],"mmm")</f>
        <v>Dec</v>
      </c>
      <c r="M4077" s="2">
        <v>58</v>
      </c>
      <c r="N4077" s="2" t="s">
        <v>39</v>
      </c>
      <c r="O4077" s="2" t="str">
        <f>VLOOKUP(OrganizedData[[#This Row],[Product Code]],ProductData[[Code]:[Item]],2,FALSE)</f>
        <v>Ultrathing V1</v>
      </c>
      <c r="P4077" s="4">
        <f>OrganizedData[[#This Row],[Quantity]]*VLOOKUP(OrganizedData[[#This Row],[Product Code]],ProductData[],4,FALSE)</f>
        <v>986</v>
      </c>
      <c r="Q4077" s="6">
        <f>OrganizedData[[#This Row],[Total Items Ordered]]*VLOOKUP(OrganizedData[[#This Row],[Product Code]],ProductData[],3,FALSE)</f>
        <v>1764.94</v>
      </c>
      <c r="R40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1676.693</v>
      </c>
    </row>
    <row r="4078" spans="1:18" x14ac:dyDescent="0.3">
      <c r="A4078" s="2">
        <v>4071</v>
      </c>
      <c r="B4078" s="2" t="s">
        <v>964</v>
      </c>
      <c r="C4078" s="2" t="s">
        <v>9172</v>
      </c>
      <c r="D4078" s="2" t="s">
        <v>28</v>
      </c>
      <c r="E4078" s="2" t="s">
        <v>29</v>
      </c>
      <c r="F4078" s="2">
        <v>90</v>
      </c>
      <c r="G4078" s="2" t="s">
        <v>9173</v>
      </c>
      <c r="H4078" s="2" t="s">
        <v>2341</v>
      </c>
      <c r="I4078" s="2" t="s">
        <v>2342</v>
      </c>
      <c r="J4078" s="3">
        <v>44368</v>
      </c>
      <c r="K4078" s="5">
        <f>YEAR(OrganizedData[[#This Row],[Order Date]])</f>
        <v>2021</v>
      </c>
      <c r="L4078" s="7" t="str">
        <f>TEXT(OrganizedData[[#This Row],[Order Date]],"mmm")</f>
        <v>Jun</v>
      </c>
      <c r="M4078" s="2">
        <v>93</v>
      </c>
      <c r="N4078" s="2" t="s">
        <v>101</v>
      </c>
      <c r="O4078" s="2" t="str">
        <f>VLOOKUP(OrganizedData[[#This Row],[Product Code]],ProductData[[Code]:[Item]],2,FALSE)</f>
        <v>Superwossname</v>
      </c>
      <c r="P4078" s="4">
        <f>OrganizedData[[#This Row],[Quantity]]*VLOOKUP(OrganizedData[[#This Row],[Product Code]],ProductData[],4,FALSE)</f>
        <v>1860</v>
      </c>
      <c r="Q4078" s="6">
        <f>OrganizedData[[#This Row],[Total Items Ordered]]*VLOOKUP(OrganizedData[[#This Row],[Product Code]],ProductData[],3,FALSE)</f>
        <v>6491.4000000000005</v>
      </c>
      <c r="R40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6166.83</v>
      </c>
    </row>
    <row r="4079" spans="1:18" x14ac:dyDescent="0.3">
      <c r="A4079" s="2">
        <v>4072</v>
      </c>
      <c r="B4079" s="2" t="s">
        <v>9174</v>
      </c>
      <c r="C4079" s="2" t="s">
        <v>4495</v>
      </c>
      <c r="D4079" s="2" t="s">
        <v>51</v>
      </c>
      <c r="E4079" s="2" t="s">
        <v>16</v>
      </c>
      <c r="F4079" s="2">
        <v>60</v>
      </c>
      <c r="G4079" s="2" t="s">
        <v>9175</v>
      </c>
      <c r="H4079" s="2" t="s">
        <v>7383</v>
      </c>
      <c r="I4079" s="2" t="s">
        <v>110</v>
      </c>
      <c r="J4079" s="3">
        <v>44315</v>
      </c>
      <c r="K4079" s="5">
        <f>YEAR(OrganizedData[[#This Row],[Order Date]])</f>
        <v>2021</v>
      </c>
      <c r="L4079" s="7" t="str">
        <f>TEXT(OrganizedData[[#This Row],[Order Date]],"mmm")</f>
        <v>Apr</v>
      </c>
      <c r="M4079" s="2">
        <v>84</v>
      </c>
      <c r="N4079" s="2" t="s">
        <v>80</v>
      </c>
      <c r="O4079" s="2" t="str">
        <f>VLOOKUP(OrganizedData[[#This Row],[Product Code]],ProductData[[Code]:[Item]],2,FALSE)</f>
        <v>Ultrathing V2</v>
      </c>
      <c r="P4079" s="4">
        <f>OrganizedData[[#This Row],[Quantity]]*VLOOKUP(OrganizedData[[#This Row],[Product Code]],ProductData[],4,FALSE)</f>
        <v>1680</v>
      </c>
      <c r="Q4079" s="6">
        <f>OrganizedData[[#This Row],[Total Items Ordered]]*VLOOKUP(OrganizedData[[#This Row],[Product Code]],ProductData[],3,FALSE)</f>
        <v>4956</v>
      </c>
      <c r="R40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4708.2</v>
      </c>
    </row>
    <row r="4080" spans="1:18" x14ac:dyDescent="0.3">
      <c r="A4080" s="2">
        <v>4073</v>
      </c>
      <c r="B4080" s="2" t="s">
        <v>9176</v>
      </c>
      <c r="C4080" s="2" t="s">
        <v>5067</v>
      </c>
      <c r="D4080" s="2" t="s">
        <v>15</v>
      </c>
      <c r="E4080" s="2" t="s">
        <v>16</v>
      </c>
      <c r="F4080" s="2">
        <v>90</v>
      </c>
      <c r="G4080" s="2" t="s">
        <v>9177</v>
      </c>
      <c r="H4080" s="2" t="s">
        <v>8777</v>
      </c>
      <c r="I4080" s="2" t="s">
        <v>294</v>
      </c>
      <c r="J4080" s="3">
        <v>44208</v>
      </c>
      <c r="K4080" s="5">
        <f>YEAR(OrganizedData[[#This Row],[Order Date]])</f>
        <v>2021</v>
      </c>
      <c r="L4080" s="7" t="str">
        <f>TEXT(OrganizedData[[#This Row],[Order Date]],"mmm")</f>
        <v>Jan</v>
      </c>
      <c r="M4080" s="2">
        <v>8</v>
      </c>
      <c r="N4080" s="2" t="s">
        <v>64</v>
      </c>
      <c r="O4080" s="2" t="str">
        <f>VLOOKUP(OrganizedData[[#This Row],[Product Code]],ProductData[[Code]:[Item]],2,FALSE)</f>
        <v>Ultrathing V4</v>
      </c>
      <c r="P4080" s="4">
        <f>OrganizedData[[#This Row],[Quantity]]*VLOOKUP(OrganizedData[[#This Row],[Product Code]],ProductData[],4,FALSE)</f>
        <v>192</v>
      </c>
      <c r="Q4080" s="6">
        <f>OrganizedData[[#This Row],[Total Items Ordered]]*VLOOKUP(OrganizedData[[#This Row],[Product Code]],ProductData[],3,FALSE)</f>
        <v>766.08</v>
      </c>
      <c r="R40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4081" spans="1:18" x14ac:dyDescent="0.3">
      <c r="A4081" s="2">
        <v>4074</v>
      </c>
      <c r="B4081" s="2" t="s">
        <v>3471</v>
      </c>
      <c r="C4081" s="2" t="s">
        <v>7423</v>
      </c>
      <c r="D4081" s="2" t="s">
        <v>15</v>
      </c>
      <c r="E4081" s="2" t="s">
        <v>16</v>
      </c>
      <c r="F4081" s="2">
        <v>60</v>
      </c>
      <c r="G4081" s="2" t="s">
        <v>9178</v>
      </c>
      <c r="H4081" s="2" t="s">
        <v>4955</v>
      </c>
      <c r="I4081" s="2" t="s">
        <v>645</v>
      </c>
      <c r="J4081" s="3">
        <v>44434</v>
      </c>
      <c r="K4081" s="5">
        <f>YEAR(OrganizedData[[#This Row],[Order Date]])</f>
        <v>2021</v>
      </c>
      <c r="L4081" s="7" t="str">
        <f>TEXT(OrganizedData[[#This Row],[Order Date]],"mmm")</f>
        <v>Aug</v>
      </c>
      <c r="M4081" s="2">
        <v>80</v>
      </c>
      <c r="N4081" s="2" t="s">
        <v>101</v>
      </c>
      <c r="O4081" s="2" t="str">
        <f>VLOOKUP(OrganizedData[[#This Row],[Product Code]],ProductData[[Code]:[Item]],2,FALSE)</f>
        <v>Superwossname</v>
      </c>
      <c r="P4081" s="4">
        <f>OrganizedData[[#This Row],[Quantity]]*VLOOKUP(OrganizedData[[#This Row],[Product Code]],ProductData[],4,FALSE)</f>
        <v>1600</v>
      </c>
      <c r="Q4081" s="6">
        <f>OrganizedData[[#This Row],[Total Items Ordered]]*VLOOKUP(OrganizedData[[#This Row],[Product Code]],ProductData[],3,FALSE)</f>
        <v>5584</v>
      </c>
      <c r="R40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5304.8</v>
      </c>
    </row>
    <row r="4082" spans="1:18" x14ac:dyDescent="0.3">
      <c r="A4082" s="2">
        <v>4075</v>
      </c>
      <c r="B4082" s="2" t="s">
        <v>4905</v>
      </c>
      <c r="C4082" s="2" t="s">
        <v>4173</v>
      </c>
      <c r="D4082" s="2" t="s">
        <v>28</v>
      </c>
      <c r="E4082" s="2" t="s">
        <v>29</v>
      </c>
      <c r="F4082" s="2">
        <v>60</v>
      </c>
      <c r="G4082" s="2" t="s">
        <v>9179</v>
      </c>
      <c r="H4082" s="2" t="s">
        <v>875</v>
      </c>
      <c r="I4082" s="2" t="s">
        <v>187</v>
      </c>
      <c r="J4082" s="3">
        <v>43863</v>
      </c>
      <c r="K4082" s="5">
        <f>YEAR(OrganizedData[[#This Row],[Order Date]])</f>
        <v>2020</v>
      </c>
      <c r="L4082" s="7" t="str">
        <f>TEXT(OrganizedData[[#This Row],[Order Date]],"mmm")</f>
        <v>Feb</v>
      </c>
      <c r="M4082" s="2">
        <v>11</v>
      </c>
      <c r="N4082" s="2" t="s">
        <v>70</v>
      </c>
      <c r="O4082" s="2" t="str">
        <f>VLOOKUP(OrganizedData[[#This Row],[Product Code]],ProductData[[Code]:[Item]],2,FALSE)</f>
        <v>Megawidget M</v>
      </c>
      <c r="P4082" s="4">
        <f>OrganizedData[[#This Row],[Quantity]]*VLOOKUP(OrganizedData[[#This Row],[Product Code]],ProductData[],4,FALSE)</f>
        <v>264</v>
      </c>
      <c r="Q4082" s="6">
        <f>OrganizedData[[#This Row],[Total Items Ordered]]*VLOOKUP(OrganizedData[[#This Row],[Product Code]],ProductData[],3,FALSE)</f>
        <v>340.56</v>
      </c>
      <c r="R40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340.56</v>
      </c>
    </row>
    <row r="4083" spans="1:18" x14ac:dyDescent="0.3">
      <c r="A4083" s="2">
        <v>4076</v>
      </c>
      <c r="B4083" s="2" t="s">
        <v>4828</v>
      </c>
      <c r="C4083" s="2" t="s">
        <v>3357</v>
      </c>
      <c r="D4083" s="2" t="s">
        <v>41</v>
      </c>
      <c r="E4083" s="2" t="s">
        <v>16</v>
      </c>
      <c r="F4083" s="2">
        <v>30</v>
      </c>
      <c r="G4083" s="2" t="s">
        <v>9180</v>
      </c>
      <c r="H4083" s="2" t="s">
        <v>730</v>
      </c>
      <c r="I4083" s="2" t="s">
        <v>187</v>
      </c>
      <c r="J4083" s="3">
        <v>44005</v>
      </c>
      <c r="K4083" s="5">
        <f>YEAR(OrganizedData[[#This Row],[Order Date]])</f>
        <v>2020</v>
      </c>
      <c r="L4083" s="7" t="str">
        <f>TEXT(OrganizedData[[#This Row],[Order Date]],"mmm")</f>
        <v>Jun</v>
      </c>
      <c r="M4083" s="2">
        <v>25</v>
      </c>
      <c r="N4083" s="2" t="s">
        <v>39</v>
      </c>
      <c r="O4083" s="2" t="str">
        <f>VLOOKUP(OrganizedData[[#This Row],[Product Code]],ProductData[[Code]:[Item]],2,FALSE)</f>
        <v>Ultrathing V1</v>
      </c>
      <c r="P4083" s="4">
        <f>OrganizedData[[#This Row],[Quantity]]*VLOOKUP(OrganizedData[[#This Row],[Product Code]],ProductData[],4,FALSE)</f>
        <v>425</v>
      </c>
      <c r="Q4083" s="6">
        <f>OrganizedData[[#This Row],[Total Items Ordered]]*VLOOKUP(OrganizedData[[#This Row],[Product Code]],ProductData[],3,FALSE)</f>
        <v>760.75</v>
      </c>
      <c r="R40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737.92750000000001</v>
      </c>
    </row>
    <row r="4084" spans="1:18" x14ac:dyDescent="0.3">
      <c r="A4084" s="2">
        <v>4077</v>
      </c>
      <c r="B4084" s="2" t="s">
        <v>335</v>
      </c>
      <c r="C4084" s="2" t="s">
        <v>3989</v>
      </c>
      <c r="D4084" s="2" t="s">
        <v>28</v>
      </c>
      <c r="E4084" s="2" t="s">
        <v>29</v>
      </c>
      <c r="F4084" s="2">
        <v>30</v>
      </c>
      <c r="G4084" s="2" t="s">
        <v>9181</v>
      </c>
      <c r="H4084" s="2" t="s">
        <v>591</v>
      </c>
      <c r="I4084" s="2" t="s">
        <v>32</v>
      </c>
      <c r="J4084" s="3">
        <v>44767</v>
      </c>
      <c r="K4084" s="5">
        <f>YEAR(OrganizedData[[#This Row],[Order Date]])</f>
        <v>2022</v>
      </c>
      <c r="L4084" s="7" t="str">
        <f>TEXT(OrganizedData[[#This Row],[Order Date]],"mmm")</f>
        <v>Jul</v>
      </c>
      <c r="M4084" s="2">
        <v>51</v>
      </c>
      <c r="N4084" s="2" t="s">
        <v>20</v>
      </c>
      <c r="O4084" s="2" t="str">
        <f>VLOOKUP(OrganizedData[[#This Row],[Product Code]],ProductData[[Code]:[Item]],2,FALSE)</f>
        <v>Hyperwotsit</v>
      </c>
      <c r="P4084" s="4">
        <f>OrganizedData[[#This Row],[Quantity]]*VLOOKUP(OrganizedData[[#This Row],[Product Code]],ProductData[],4,FALSE)</f>
        <v>1020</v>
      </c>
      <c r="Q4084" s="6">
        <f>OrganizedData[[#This Row],[Total Items Ordered]]*VLOOKUP(OrganizedData[[#This Row],[Product Code]],ProductData[],3,FALSE)</f>
        <v>2050.1999999999998</v>
      </c>
      <c r="R40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1947.6899999999998</v>
      </c>
    </row>
    <row r="4085" spans="1:18" x14ac:dyDescent="0.3">
      <c r="A4085" s="2">
        <v>4078</v>
      </c>
      <c r="B4085" s="2" t="s">
        <v>1120</v>
      </c>
      <c r="C4085" s="2" t="s">
        <v>6169</v>
      </c>
      <c r="D4085" s="2" t="s">
        <v>28</v>
      </c>
      <c r="E4085" s="2" t="s">
        <v>29</v>
      </c>
      <c r="F4085" s="2">
        <v>60</v>
      </c>
      <c r="G4085" s="2" t="s">
        <v>9182</v>
      </c>
      <c r="H4085" s="2" t="s">
        <v>7768</v>
      </c>
      <c r="I4085" s="2" t="s">
        <v>19</v>
      </c>
      <c r="J4085" s="3">
        <v>44367</v>
      </c>
      <c r="K4085" s="5">
        <f>YEAR(OrganizedData[[#This Row],[Order Date]])</f>
        <v>2021</v>
      </c>
      <c r="L4085" s="7" t="str">
        <f>TEXT(OrganizedData[[#This Row],[Order Date]],"mmm")</f>
        <v>Jun</v>
      </c>
      <c r="M4085" s="2">
        <v>31</v>
      </c>
      <c r="N4085" s="2" t="s">
        <v>33</v>
      </c>
      <c r="O4085" s="2" t="str">
        <f>VLOOKUP(OrganizedData[[#This Row],[Product Code]],ProductData[[Code]:[Item]],2,FALSE)</f>
        <v>Megawidget L</v>
      </c>
      <c r="P4085" s="4">
        <f>OrganizedData[[#This Row],[Quantity]]*VLOOKUP(OrganizedData[[#This Row],[Product Code]],ProductData[],4,FALSE)</f>
        <v>744</v>
      </c>
      <c r="Q4085" s="6">
        <f>OrganizedData[[#This Row],[Total Items Ordered]]*VLOOKUP(OrganizedData[[#This Row],[Product Code]],ProductData[],3,FALSE)</f>
        <v>1331.76</v>
      </c>
      <c r="R40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1291.8072</v>
      </c>
    </row>
    <row r="4086" spans="1:18" x14ac:dyDescent="0.3">
      <c r="A4086" s="2">
        <v>4079</v>
      </c>
      <c r="B4086" s="2" t="s">
        <v>9183</v>
      </c>
      <c r="C4086" s="2" t="s">
        <v>5043</v>
      </c>
      <c r="D4086" s="2" t="s">
        <v>51</v>
      </c>
      <c r="E4086" s="2" t="s">
        <v>16</v>
      </c>
      <c r="F4086" s="2">
        <v>90</v>
      </c>
      <c r="G4086" s="2" t="s">
        <v>9184</v>
      </c>
      <c r="H4086" s="2" t="s">
        <v>754</v>
      </c>
      <c r="I4086" s="2" t="s">
        <v>25</v>
      </c>
      <c r="J4086" s="3">
        <v>43988</v>
      </c>
      <c r="K4086" s="5">
        <f>YEAR(OrganizedData[[#This Row],[Order Date]])</f>
        <v>2020</v>
      </c>
      <c r="L4086" s="7" t="str">
        <f>TEXT(OrganizedData[[#This Row],[Order Date]],"mmm")</f>
        <v>Jun</v>
      </c>
      <c r="M4086" s="2">
        <v>33</v>
      </c>
      <c r="N4086" s="2" t="s">
        <v>54</v>
      </c>
      <c r="O4086" s="2" t="str">
        <f>VLOOKUP(OrganizedData[[#This Row],[Product Code]],ProductData[[Code]:[Item]],2,FALSE)</f>
        <v>Megawidget S</v>
      </c>
      <c r="P4086" s="4">
        <f>OrganizedData[[#This Row],[Quantity]]*VLOOKUP(OrganizedData[[#This Row],[Product Code]],ProductData[],4,FALSE)</f>
        <v>792</v>
      </c>
      <c r="Q4086" s="6">
        <f>OrganizedData[[#This Row],[Total Items Ordered]]*VLOOKUP(OrganizedData[[#This Row],[Product Code]],ProductData[],3,FALSE)</f>
        <v>546.4799999999999</v>
      </c>
      <c r="R40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4087" spans="1:18" x14ac:dyDescent="0.3">
      <c r="A4087" s="2">
        <v>4080</v>
      </c>
      <c r="B4087" s="2" t="s">
        <v>2731</v>
      </c>
      <c r="C4087" s="2" t="s">
        <v>406</v>
      </c>
      <c r="D4087" s="2" t="s">
        <v>51</v>
      </c>
      <c r="E4087" s="2" t="s">
        <v>16</v>
      </c>
      <c r="F4087" s="2">
        <v>30</v>
      </c>
      <c r="G4087" s="2" t="s">
        <v>9185</v>
      </c>
      <c r="H4087" s="2" t="s">
        <v>1690</v>
      </c>
      <c r="I4087" s="2" t="s">
        <v>208</v>
      </c>
      <c r="J4087" s="3">
        <v>44374</v>
      </c>
      <c r="K4087" s="5">
        <f>YEAR(OrganizedData[[#This Row],[Order Date]])</f>
        <v>2021</v>
      </c>
      <c r="L4087" s="7" t="str">
        <f>TEXT(OrganizedData[[#This Row],[Order Date]],"mmm")</f>
        <v>Jun</v>
      </c>
      <c r="M4087" s="2">
        <v>35</v>
      </c>
      <c r="N4087" s="2" t="s">
        <v>45</v>
      </c>
      <c r="O4087" s="2" t="str">
        <f>VLOOKUP(OrganizedData[[#This Row],[Product Code]],ProductData[[Code]:[Item]],2,FALSE)</f>
        <v>Gigastuff</v>
      </c>
      <c r="P4087" s="4">
        <f>OrganizedData[[#This Row],[Quantity]]*VLOOKUP(OrganizedData[[#This Row],[Product Code]],ProductData[],4,FALSE)</f>
        <v>630</v>
      </c>
      <c r="Q4087" s="6">
        <f>OrganizedData[[#This Row],[Total Items Ordered]]*VLOOKUP(OrganizedData[[#This Row],[Product Code]],ProductData[],3,FALSE)</f>
        <v>1190.7</v>
      </c>
      <c r="R40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1154.979</v>
      </c>
    </row>
    <row r="4088" spans="1:18" x14ac:dyDescent="0.3">
      <c r="A4088" s="2">
        <v>4081</v>
      </c>
      <c r="B4088" s="2" t="s">
        <v>259</v>
      </c>
      <c r="C4088" s="2" t="s">
        <v>3767</v>
      </c>
      <c r="D4088" s="2" t="s">
        <v>92</v>
      </c>
      <c r="E4088" s="2" t="s">
        <v>29</v>
      </c>
      <c r="F4088" s="2">
        <v>30</v>
      </c>
      <c r="G4088" s="2" t="s">
        <v>9186</v>
      </c>
      <c r="H4088" s="2" t="s">
        <v>838</v>
      </c>
      <c r="I4088" s="2" t="s">
        <v>839</v>
      </c>
      <c r="J4088" s="3">
        <v>44310</v>
      </c>
      <c r="K4088" s="5">
        <f>YEAR(OrganizedData[[#This Row],[Order Date]])</f>
        <v>2021</v>
      </c>
      <c r="L4088" s="7" t="str">
        <f>TEXT(OrganizedData[[#This Row],[Order Date]],"mmm")</f>
        <v>Apr</v>
      </c>
      <c r="M4088" s="2">
        <v>48</v>
      </c>
      <c r="N4088" s="2" t="s">
        <v>64</v>
      </c>
      <c r="O4088" s="2" t="str">
        <f>VLOOKUP(OrganizedData[[#This Row],[Product Code]],ProductData[[Code]:[Item]],2,FALSE)</f>
        <v>Ultrathing V4</v>
      </c>
      <c r="P4088" s="4">
        <f>OrganizedData[[#This Row],[Quantity]]*VLOOKUP(OrganizedData[[#This Row],[Product Code]],ProductData[],4,FALSE)</f>
        <v>1152</v>
      </c>
      <c r="Q4088" s="6">
        <f>OrganizedData[[#This Row],[Total Items Ordered]]*VLOOKUP(OrganizedData[[#This Row],[Product Code]],ProductData[],3,FALSE)</f>
        <v>4596.4800000000005</v>
      </c>
      <c r="R40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4458.5856000000003</v>
      </c>
    </row>
    <row r="4089" spans="1:18" x14ac:dyDescent="0.3">
      <c r="A4089" s="2">
        <v>4082</v>
      </c>
      <c r="B4089" s="2" t="s">
        <v>9187</v>
      </c>
      <c r="C4089" s="2" t="s">
        <v>4842</v>
      </c>
      <c r="D4089" s="2" t="s">
        <v>51</v>
      </c>
      <c r="E4089" s="2" t="s">
        <v>16</v>
      </c>
      <c r="F4089" s="2">
        <v>60</v>
      </c>
      <c r="G4089" s="2" t="s">
        <v>9188</v>
      </c>
      <c r="H4089" s="2" t="s">
        <v>6516</v>
      </c>
      <c r="I4089" s="2" t="s">
        <v>32</v>
      </c>
      <c r="J4089" s="3">
        <v>44569</v>
      </c>
      <c r="K4089" s="5">
        <f>YEAR(OrganizedData[[#This Row],[Order Date]])</f>
        <v>2022</v>
      </c>
      <c r="L4089" s="7" t="str">
        <f>TEXT(OrganizedData[[#This Row],[Order Date]],"mmm")</f>
        <v>Jan</v>
      </c>
      <c r="M4089" s="2">
        <v>74</v>
      </c>
      <c r="N4089" s="2" t="s">
        <v>101</v>
      </c>
      <c r="O4089" s="2" t="str">
        <f>VLOOKUP(OrganizedData[[#This Row],[Product Code]],ProductData[[Code]:[Item]],2,FALSE)</f>
        <v>Superwossname</v>
      </c>
      <c r="P4089" s="4">
        <f>OrganizedData[[#This Row],[Quantity]]*VLOOKUP(OrganizedData[[#This Row],[Product Code]],ProductData[],4,FALSE)</f>
        <v>1480</v>
      </c>
      <c r="Q4089" s="6">
        <f>OrganizedData[[#This Row],[Total Items Ordered]]*VLOOKUP(OrganizedData[[#This Row],[Product Code]],ProductData[],3,FALSE)</f>
        <v>5165.2000000000007</v>
      </c>
      <c r="R40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4906.9400000000005</v>
      </c>
    </row>
    <row r="4090" spans="1:18" x14ac:dyDescent="0.3">
      <c r="A4090" s="2">
        <v>4083</v>
      </c>
      <c r="B4090" s="2" t="s">
        <v>9189</v>
      </c>
      <c r="C4090" s="2" t="s">
        <v>6541</v>
      </c>
      <c r="D4090" s="2" t="s">
        <v>92</v>
      </c>
      <c r="E4090" s="2" t="s">
        <v>29</v>
      </c>
      <c r="F4090" s="2">
        <v>90</v>
      </c>
      <c r="G4090" s="2" t="s">
        <v>9188</v>
      </c>
      <c r="H4090" s="2" t="s">
        <v>3554</v>
      </c>
      <c r="I4090" s="2" t="s">
        <v>32</v>
      </c>
      <c r="J4090" s="3">
        <v>44556</v>
      </c>
      <c r="K4090" s="5">
        <f>YEAR(OrganizedData[[#This Row],[Order Date]])</f>
        <v>2021</v>
      </c>
      <c r="L4090" s="7" t="str">
        <f>TEXT(OrganizedData[[#This Row],[Order Date]],"mmm")</f>
        <v>Dec</v>
      </c>
      <c r="M4090" s="2">
        <v>7</v>
      </c>
      <c r="N4090" s="2" t="s">
        <v>33</v>
      </c>
      <c r="O4090" s="2" t="str">
        <f>VLOOKUP(OrganizedData[[#This Row],[Product Code]],ProductData[[Code]:[Item]],2,FALSE)</f>
        <v>Megawidget L</v>
      </c>
      <c r="P4090" s="4">
        <f>OrganizedData[[#This Row],[Quantity]]*VLOOKUP(OrganizedData[[#This Row],[Product Code]],ProductData[],4,FALSE)</f>
        <v>168</v>
      </c>
      <c r="Q4090" s="6">
        <f>OrganizedData[[#This Row],[Total Items Ordered]]*VLOOKUP(OrganizedData[[#This Row],[Product Code]],ProductData[],3,FALSE)</f>
        <v>300.72000000000003</v>
      </c>
      <c r="R40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4091" spans="1:18" x14ac:dyDescent="0.3">
      <c r="A4091" s="2">
        <v>4084</v>
      </c>
      <c r="B4091" s="2" t="s">
        <v>5454</v>
      </c>
      <c r="C4091" s="2" t="s">
        <v>9190</v>
      </c>
      <c r="D4091" s="2" t="s">
        <v>51</v>
      </c>
      <c r="E4091" s="2" t="s">
        <v>16</v>
      </c>
      <c r="F4091" s="2">
        <v>30</v>
      </c>
      <c r="G4091" s="2" t="s">
        <v>9191</v>
      </c>
      <c r="H4091" s="2" t="s">
        <v>2997</v>
      </c>
      <c r="I4091" s="2" t="s">
        <v>32</v>
      </c>
      <c r="J4091" s="3">
        <v>44226</v>
      </c>
      <c r="K4091" s="5">
        <f>YEAR(OrganizedData[[#This Row],[Order Date]])</f>
        <v>2021</v>
      </c>
      <c r="L4091" s="7" t="str">
        <f>TEXT(OrganizedData[[#This Row],[Order Date]],"mmm")</f>
        <v>Jan</v>
      </c>
      <c r="M4091" s="2">
        <v>23</v>
      </c>
      <c r="N4091" s="2" t="s">
        <v>20</v>
      </c>
      <c r="O4091" s="2" t="str">
        <f>VLOOKUP(OrganizedData[[#This Row],[Product Code]],ProductData[[Code]:[Item]],2,FALSE)</f>
        <v>Hyperwotsit</v>
      </c>
      <c r="P4091" s="4">
        <f>OrganizedData[[#This Row],[Quantity]]*VLOOKUP(OrganizedData[[#This Row],[Product Code]],ProductData[],4,FALSE)</f>
        <v>460</v>
      </c>
      <c r="Q4091" s="6">
        <f>OrganizedData[[#This Row],[Total Items Ordered]]*VLOOKUP(OrganizedData[[#This Row],[Product Code]],ProductData[],3,FALSE)</f>
        <v>924.59999999999991</v>
      </c>
      <c r="R40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896.86199999999985</v>
      </c>
    </row>
    <row r="4092" spans="1:18" x14ac:dyDescent="0.3">
      <c r="A4092" s="2">
        <v>4085</v>
      </c>
      <c r="B4092" s="2" t="s">
        <v>4016</v>
      </c>
      <c r="C4092" s="2" t="s">
        <v>7070</v>
      </c>
      <c r="D4092" s="2" t="s">
        <v>28</v>
      </c>
      <c r="E4092" s="2" t="s">
        <v>29</v>
      </c>
      <c r="F4092" s="2">
        <v>30</v>
      </c>
      <c r="G4092" s="2" t="s">
        <v>9192</v>
      </c>
      <c r="H4092" s="2" t="s">
        <v>172</v>
      </c>
      <c r="I4092" s="2" t="s">
        <v>173</v>
      </c>
      <c r="J4092" s="3">
        <v>44866</v>
      </c>
      <c r="K4092" s="5">
        <f>YEAR(OrganizedData[[#This Row],[Order Date]])</f>
        <v>2022</v>
      </c>
      <c r="L4092" s="7" t="str">
        <f>TEXT(OrganizedData[[#This Row],[Order Date]],"mmm")</f>
        <v>Nov</v>
      </c>
      <c r="M4092" s="2">
        <v>31</v>
      </c>
      <c r="N4092" s="2" t="s">
        <v>20</v>
      </c>
      <c r="O4092" s="2" t="str">
        <f>VLOOKUP(OrganizedData[[#This Row],[Product Code]],ProductData[[Code]:[Item]],2,FALSE)</f>
        <v>Hyperwotsit</v>
      </c>
      <c r="P4092" s="4">
        <f>OrganizedData[[#This Row],[Quantity]]*VLOOKUP(OrganizedData[[#This Row],[Product Code]],ProductData[],4,FALSE)</f>
        <v>620</v>
      </c>
      <c r="Q4092" s="6">
        <f>OrganizedData[[#This Row],[Total Items Ordered]]*VLOOKUP(OrganizedData[[#This Row],[Product Code]],ProductData[],3,FALSE)</f>
        <v>1246.1999999999998</v>
      </c>
      <c r="R40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1208.8139999999999</v>
      </c>
    </row>
    <row r="4093" spans="1:18" x14ac:dyDescent="0.3">
      <c r="A4093" s="2">
        <v>4086</v>
      </c>
      <c r="B4093" s="2" t="s">
        <v>9193</v>
      </c>
      <c r="C4093" s="2" t="s">
        <v>3226</v>
      </c>
      <c r="D4093" s="2" t="s">
        <v>28</v>
      </c>
      <c r="E4093" s="2" t="s">
        <v>29</v>
      </c>
      <c r="F4093" s="2">
        <v>60</v>
      </c>
      <c r="G4093" s="2" t="s">
        <v>9194</v>
      </c>
      <c r="H4093" s="2" t="s">
        <v>3951</v>
      </c>
      <c r="I4093" s="2" t="s">
        <v>1576</v>
      </c>
      <c r="J4093" s="3">
        <v>44316</v>
      </c>
      <c r="K4093" s="5">
        <f>YEAR(OrganizedData[[#This Row],[Order Date]])</f>
        <v>2021</v>
      </c>
      <c r="L4093" s="7" t="str">
        <f>TEXT(OrganizedData[[#This Row],[Order Date]],"mmm")</f>
        <v>Apr</v>
      </c>
      <c r="M4093" s="2">
        <v>47</v>
      </c>
      <c r="N4093" s="2" t="s">
        <v>64</v>
      </c>
      <c r="O4093" s="2" t="str">
        <f>VLOOKUP(OrganizedData[[#This Row],[Product Code]],ProductData[[Code]:[Item]],2,FALSE)</f>
        <v>Ultrathing V4</v>
      </c>
      <c r="P4093" s="4">
        <f>OrganizedData[[#This Row],[Quantity]]*VLOOKUP(OrganizedData[[#This Row],[Product Code]],ProductData[],4,FALSE)</f>
        <v>1128</v>
      </c>
      <c r="Q4093" s="6">
        <f>OrganizedData[[#This Row],[Total Items Ordered]]*VLOOKUP(OrganizedData[[#This Row],[Product Code]],ProductData[],3,FALSE)</f>
        <v>4500.72</v>
      </c>
      <c r="R40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4365.6984000000002</v>
      </c>
    </row>
    <row r="4094" spans="1:18" x14ac:dyDescent="0.3">
      <c r="A4094" s="2">
        <v>4087</v>
      </c>
      <c r="B4094" s="2" t="s">
        <v>9195</v>
      </c>
      <c r="C4094" s="2" t="s">
        <v>3839</v>
      </c>
      <c r="D4094" s="2" t="s">
        <v>51</v>
      </c>
      <c r="E4094" s="2" t="s">
        <v>16</v>
      </c>
      <c r="F4094" s="2">
        <v>60</v>
      </c>
      <c r="G4094" s="2" t="s">
        <v>9197</v>
      </c>
      <c r="H4094" s="2" t="s">
        <v>2498</v>
      </c>
      <c r="I4094" s="2" t="s">
        <v>913</v>
      </c>
      <c r="J4094" s="3">
        <v>44068</v>
      </c>
      <c r="K4094" s="5">
        <f>YEAR(OrganizedData[[#This Row],[Order Date]])</f>
        <v>2020</v>
      </c>
      <c r="L4094" s="7" t="str">
        <f>TEXT(OrganizedData[[#This Row],[Order Date]],"mmm")</f>
        <v>Aug</v>
      </c>
      <c r="M4094" s="2">
        <v>29</v>
      </c>
      <c r="N4094" s="2" t="s">
        <v>70</v>
      </c>
      <c r="O4094" s="2" t="str">
        <f>VLOOKUP(OrganizedData[[#This Row],[Product Code]],ProductData[[Code]:[Item]],2,FALSE)</f>
        <v>Megawidget M</v>
      </c>
      <c r="P4094" s="4">
        <f>OrganizedData[[#This Row],[Quantity]]*VLOOKUP(OrganizedData[[#This Row],[Product Code]],ProductData[],4,FALSE)</f>
        <v>696</v>
      </c>
      <c r="Q4094" s="6">
        <f>OrganizedData[[#This Row],[Total Items Ordered]]*VLOOKUP(OrganizedData[[#This Row],[Product Code]],ProductData[],3,FALSE)</f>
        <v>897.84</v>
      </c>
      <c r="R40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870.90480000000002</v>
      </c>
    </row>
    <row r="4095" spans="1:18" x14ac:dyDescent="0.3">
      <c r="A4095" s="2">
        <v>4088</v>
      </c>
      <c r="B4095" s="2" t="s">
        <v>7587</v>
      </c>
      <c r="C4095" s="2" t="s">
        <v>3591</v>
      </c>
      <c r="D4095" s="2" t="s">
        <v>51</v>
      </c>
      <c r="E4095" s="2" t="s">
        <v>16</v>
      </c>
      <c r="F4095" s="2">
        <v>60</v>
      </c>
      <c r="G4095" s="2" t="s">
        <v>9197</v>
      </c>
      <c r="H4095" s="2" t="s">
        <v>2069</v>
      </c>
      <c r="I4095" s="2" t="s">
        <v>1035</v>
      </c>
      <c r="J4095" s="3">
        <v>43917</v>
      </c>
      <c r="K4095" s="5">
        <f>YEAR(OrganizedData[[#This Row],[Order Date]])</f>
        <v>2020</v>
      </c>
      <c r="L4095" s="7" t="str">
        <f>TEXT(OrganizedData[[#This Row],[Order Date]],"mmm")</f>
        <v>Mar</v>
      </c>
      <c r="M4095" s="2">
        <v>29</v>
      </c>
      <c r="N4095" s="2" t="s">
        <v>159</v>
      </c>
      <c r="O4095" s="2" t="str">
        <f>VLOOKUP(OrganizedData[[#This Row],[Product Code]],ProductData[[Code]:[Item]],2,FALSE)</f>
        <v>Ultrathing V3</v>
      </c>
      <c r="P4095" s="4">
        <f>OrganizedData[[#This Row],[Quantity]]*VLOOKUP(OrganizedData[[#This Row],[Product Code]],ProductData[],4,FALSE)</f>
        <v>696</v>
      </c>
      <c r="Q4095" s="6">
        <f>OrganizedData[[#This Row],[Total Items Ordered]]*VLOOKUP(OrganizedData[[#This Row],[Product Code]],ProductData[],3,FALSE)</f>
        <v>2359.44</v>
      </c>
      <c r="R40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2288.6568000000002</v>
      </c>
    </row>
    <row r="4096" spans="1:18" x14ac:dyDescent="0.3">
      <c r="A4096" s="2">
        <v>4089</v>
      </c>
      <c r="B4096" s="2" t="s">
        <v>9198</v>
      </c>
      <c r="C4096" s="2" t="s">
        <v>152</v>
      </c>
      <c r="D4096" s="2" t="s">
        <v>51</v>
      </c>
      <c r="E4096" s="2" t="s">
        <v>16</v>
      </c>
      <c r="F4096" s="2">
        <v>90</v>
      </c>
      <c r="G4096" s="2" t="s">
        <v>9199</v>
      </c>
      <c r="H4096" s="2" t="s">
        <v>4409</v>
      </c>
      <c r="I4096" s="2" t="s">
        <v>294</v>
      </c>
      <c r="J4096" s="3">
        <v>44725</v>
      </c>
      <c r="K4096" s="5">
        <f>YEAR(OrganizedData[[#This Row],[Order Date]])</f>
        <v>2022</v>
      </c>
      <c r="L4096" s="7" t="str">
        <f>TEXT(OrganizedData[[#This Row],[Order Date]],"mmm")</f>
        <v>Jun</v>
      </c>
      <c r="M4096" s="2">
        <v>28</v>
      </c>
      <c r="N4096" s="2" t="s">
        <v>101</v>
      </c>
      <c r="O4096" s="2" t="str">
        <f>VLOOKUP(OrganizedData[[#This Row],[Product Code]],ProductData[[Code]:[Item]],2,FALSE)</f>
        <v>Superwossname</v>
      </c>
      <c r="P4096" s="4">
        <f>OrganizedData[[#This Row],[Quantity]]*VLOOKUP(OrganizedData[[#This Row],[Product Code]],ProductData[],4,FALSE)</f>
        <v>560</v>
      </c>
      <c r="Q4096" s="6">
        <f>OrganizedData[[#This Row],[Total Items Ordered]]*VLOOKUP(OrganizedData[[#This Row],[Product Code]],ProductData[],3,FALSE)</f>
        <v>1954.4</v>
      </c>
      <c r="R40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1895.768</v>
      </c>
    </row>
    <row r="4097" spans="1:18" x14ac:dyDescent="0.3">
      <c r="A4097" s="2">
        <v>4090</v>
      </c>
      <c r="B4097" s="2" t="s">
        <v>3583</v>
      </c>
      <c r="C4097" s="2" t="s">
        <v>6003</v>
      </c>
      <c r="D4097" s="2" t="s">
        <v>28</v>
      </c>
      <c r="E4097" s="2" t="s">
        <v>29</v>
      </c>
      <c r="F4097" s="2">
        <v>60</v>
      </c>
      <c r="G4097" s="2" t="s">
        <v>9200</v>
      </c>
      <c r="H4097" s="2" t="s">
        <v>1242</v>
      </c>
      <c r="I4097" s="2" t="s">
        <v>38</v>
      </c>
      <c r="J4097" s="3">
        <v>44579</v>
      </c>
      <c r="K4097" s="5">
        <f>YEAR(OrganizedData[[#This Row],[Order Date]])</f>
        <v>2022</v>
      </c>
      <c r="L4097" s="7" t="str">
        <f>TEXT(OrganizedData[[#This Row],[Order Date]],"mmm")</f>
        <v>Jan</v>
      </c>
      <c r="M4097" s="2">
        <v>39</v>
      </c>
      <c r="N4097" s="2" t="s">
        <v>80</v>
      </c>
      <c r="O4097" s="2" t="str">
        <f>VLOOKUP(OrganizedData[[#This Row],[Product Code]],ProductData[[Code]:[Item]],2,FALSE)</f>
        <v>Ultrathing V2</v>
      </c>
      <c r="P4097" s="4">
        <f>OrganizedData[[#This Row],[Quantity]]*VLOOKUP(OrganizedData[[#This Row],[Product Code]],ProductData[],4,FALSE)</f>
        <v>780</v>
      </c>
      <c r="Q4097" s="6">
        <f>OrganizedData[[#This Row],[Total Items Ordered]]*VLOOKUP(OrganizedData[[#This Row],[Product Code]],ProductData[],3,FALSE)</f>
        <v>2301</v>
      </c>
      <c r="R40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2231.9699999999998</v>
      </c>
    </row>
    <row r="4098" spans="1:18" x14ac:dyDescent="0.3">
      <c r="A4098" s="2">
        <v>4091</v>
      </c>
      <c r="B4098" s="2" t="s">
        <v>5457</v>
      </c>
      <c r="C4098" s="2" t="s">
        <v>175</v>
      </c>
      <c r="D4098" s="2" t="s">
        <v>51</v>
      </c>
      <c r="E4098" s="2" t="s">
        <v>16</v>
      </c>
      <c r="F4098" s="2">
        <v>30</v>
      </c>
      <c r="G4098" s="2" t="s">
        <v>9201</v>
      </c>
      <c r="H4098" s="2" t="s">
        <v>655</v>
      </c>
      <c r="I4098" s="2" t="s">
        <v>32</v>
      </c>
      <c r="J4098" s="3">
        <v>43917</v>
      </c>
      <c r="K4098" s="5">
        <f>YEAR(OrganizedData[[#This Row],[Order Date]])</f>
        <v>2020</v>
      </c>
      <c r="L4098" s="7" t="str">
        <f>TEXT(OrganizedData[[#This Row],[Order Date]],"mmm")</f>
        <v>Mar</v>
      </c>
      <c r="M4098" s="2">
        <v>19</v>
      </c>
      <c r="N4098" s="2" t="s">
        <v>159</v>
      </c>
      <c r="O4098" s="2" t="str">
        <f>VLOOKUP(OrganizedData[[#This Row],[Product Code]],ProductData[[Code]:[Item]],2,FALSE)</f>
        <v>Ultrathing V3</v>
      </c>
      <c r="P4098" s="4">
        <f>OrganizedData[[#This Row],[Quantity]]*VLOOKUP(OrganizedData[[#This Row],[Product Code]],ProductData[],4,FALSE)</f>
        <v>456</v>
      </c>
      <c r="Q4098" s="6">
        <f>OrganizedData[[#This Row],[Total Items Ordered]]*VLOOKUP(OrganizedData[[#This Row],[Product Code]],ProductData[],3,FALSE)</f>
        <v>1545.8400000000001</v>
      </c>
      <c r="R40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1545.8400000000001</v>
      </c>
    </row>
    <row r="4099" spans="1:18" x14ac:dyDescent="0.3">
      <c r="A4099" s="2">
        <v>4092</v>
      </c>
      <c r="B4099" s="2" t="s">
        <v>785</v>
      </c>
      <c r="C4099" s="2" t="s">
        <v>1546</v>
      </c>
      <c r="D4099" s="2" t="s">
        <v>28</v>
      </c>
      <c r="E4099" s="2" t="s">
        <v>29</v>
      </c>
      <c r="F4099" s="2">
        <v>90</v>
      </c>
      <c r="G4099" s="2" t="s">
        <v>9202</v>
      </c>
      <c r="H4099" s="2" t="s">
        <v>6430</v>
      </c>
      <c r="I4099" s="2" t="s">
        <v>32</v>
      </c>
      <c r="J4099" s="3">
        <v>43908</v>
      </c>
      <c r="K4099" s="5">
        <f>YEAR(OrganizedData[[#This Row],[Order Date]])</f>
        <v>2020</v>
      </c>
      <c r="L4099" s="7" t="str">
        <f>TEXT(OrganizedData[[#This Row],[Order Date]],"mmm")</f>
        <v>Mar</v>
      </c>
      <c r="M4099" s="2">
        <v>32</v>
      </c>
      <c r="N4099" s="2" t="s">
        <v>39</v>
      </c>
      <c r="O4099" s="2" t="str">
        <f>VLOOKUP(OrganizedData[[#This Row],[Product Code]],ProductData[[Code]:[Item]],2,FALSE)</f>
        <v>Ultrathing V1</v>
      </c>
      <c r="P4099" s="4">
        <f>OrganizedData[[#This Row],[Quantity]]*VLOOKUP(OrganizedData[[#This Row],[Product Code]],ProductData[],4,FALSE)</f>
        <v>544</v>
      </c>
      <c r="Q4099" s="6">
        <f>OrganizedData[[#This Row],[Total Items Ordered]]*VLOOKUP(OrganizedData[[#This Row],[Product Code]],ProductData[],3,FALSE)</f>
        <v>973.76</v>
      </c>
      <c r="R40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944.54719999999998</v>
      </c>
    </row>
    <row r="4100" spans="1:18" x14ac:dyDescent="0.3">
      <c r="A4100" s="2">
        <v>4093</v>
      </c>
      <c r="B4100" s="2" t="s">
        <v>4780</v>
      </c>
      <c r="C4100" s="2" t="s">
        <v>4989</v>
      </c>
      <c r="D4100" s="2" t="s">
        <v>117</v>
      </c>
      <c r="E4100" s="2" t="s">
        <v>29</v>
      </c>
      <c r="F4100" s="2">
        <v>30</v>
      </c>
      <c r="G4100" s="2" t="s">
        <v>9203</v>
      </c>
      <c r="H4100" s="2" t="s">
        <v>4675</v>
      </c>
      <c r="I4100" s="2" t="s">
        <v>178</v>
      </c>
      <c r="J4100" s="3">
        <v>44410</v>
      </c>
      <c r="K4100" s="5">
        <f>YEAR(OrganizedData[[#This Row],[Order Date]])</f>
        <v>2021</v>
      </c>
      <c r="L4100" s="7" t="str">
        <f>TEXT(OrganizedData[[#This Row],[Order Date]],"mmm")</f>
        <v>Aug</v>
      </c>
      <c r="M4100" s="2">
        <v>2</v>
      </c>
      <c r="N4100" s="2" t="s">
        <v>70</v>
      </c>
      <c r="O4100" s="2" t="str">
        <f>VLOOKUP(OrganizedData[[#This Row],[Product Code]],ProductData[[Code]:[Item]],2,FALSE)</f>
        <v>Megawidget M</v>
      </c>
      <c r="P4100" s="4">
        <f>OrganizedData[[#This Row],[Quantity]]*VLOOKUP(OrganizedData[[#This Row],[Product Code]],ProductData[],4,FALSE)</f>
        <v>48</v>
      </c>
      <c r="Q4100" s="6">
        <f>OrganizedData[[#This Row],[Total Items Ordered]]*VLOOKUP(OrganizedData[[#This Row],[Product Code]],ProductData[],3,FALSE)</f>
        <v>61.92</v>
      </c>
      <c r="R41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4101" spans="1:18" x14ac:dyDescent="0.3">
      <c r="A4101" s="2">
        <v>4094</v>
      </c>
      <c r="B4101" s="2" t="s">
        <v>4004</v>
      </c>
      <c r="C4101" s="2" t="s">
        <v>2398</v>
      </c>
      <c r="D4101" s="2" t="s">
        <v>28</v>
      </c>
      <c r="E4101" s="2" t="s">
        <v>29</v>
      </c>
      <c r="F4101" s="2">
        <v>60</v>
      </c>
      <c r="G4101" s="2" t="s">
        <v>9204</v>
      </c>
      <c r="H4101" s="2" t="s">
        <v>1739</v>
      </c>
      <c r="I4101" s="2" t="s">
        <v>32</v>
      </c>
      <c r="J4101" s="3">
        <v>44180</v>
      </c>
      <c r="K4101" s="5">
        <f>YEAR(OrganizedData[[#This Row],[Order Date]])</f>
        <v>2020</v>
      </c>
      <c r="L4101" s="7" t="str">
        <f>TEXT(OrganizedData[[#This Row],[Order Date]],"mmm")</f>
        <v>Dec</v>
      </c>
      <c r="M4101" s="2">
        <v>34</v>
      </c>
      <c r="N4101" s="2" t="s">
        <v>45</v>
      </c>
      <c r="O4101" s="2" t="str">
        <f>VLOOKUP(OrganizedData[[#This Row],[Product Code]],ProductData[[Code]:[Item]],2,FALSE)</f>
        <v>Gigastuff</v>
      </c>
      <c r="P4101" s="4">
        <f>OrganizedData[[#This Row],[Quantity]]*VLOOKUP(OrganizedData[[#This Row],[Product Code]],ProductData[],4,FALSE)</f>
        <v>612</v>
      </c>
      <c r="Q4101" s="6">
        <f>OrganizedData[[#This Row],[Total Items Ordered]]*VLOOKUP(OrganizedData[[#This Row],[Product Code]],ProductData[],3,FALSE)</f>
        <v>1156.6799999999998</v>
      </c>
      <c r="R41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1121.9795999999999</v>
      </c>
    </row>
    <row r="4102" spans="1:18" x14ac:dyDescent="0.3">
      <c r="A4102" s="2">
        <v>4095</v>
      </c>
      <c r="B4102" s="2" t="s">
        <v>9205</v>
      </c>
      <c r="C4102" s="2" t="s">
        <v>2686</v>
      </c>
      <c r="D4102" s="2" t="s">
        <v>15</v>
      </c>
      <c r="E4102" s="2" t="s">
        <v>16</v>
      </c>
      <c r="F4102" s="2">
        <v>60</v>
      </c>
      <c r="G4102" s="2" t="s">
        <v>9206</v>
      </c>
      <c r="H4102" s="2" t="s">
        <v>3915</v>
      </c>
      <c r="I4102" s="2" t="s">
        <v>173</v>
      </c>
      <c r="J4102" s="3">
        <v>43889</v>
      </c>
      <c r="K4102" s="5">
        <f>YEAR(OrganizedData[[#This Row],[Order Date]])</f>
        <v>2020</v>
      </c>
      <c r="L4102" s="7" t="str">
        <f>TEXT(OrganizedData[[#This Row],[Order Date]],"mmm")</f>
        <v>Feb</v>
      </c>
      <c r="M4102" s="2">
        <v>3</v>
      </c>
      <c r="N4102" s="2" t="s">
        <v>159</v>
      </c>
      <c r="O4102" s="2" t="str">
        <f>VLOOKUP(OrganizedData[[#This Row],[Product Code]],ProductData[[Code]:[Item]],2,FALSE)</f>
        <v>Ultrathing V3</v>
      </c>
      <c r="P4102" s="4">
        <f>OrganizedData[[#This Row],[Quantity]]*VLOOKUP(OrganizedData[[#This Row],[Product Code]],ProductData[],4,FALSE)</f>
        <v>72</v>
      </c>
      <c r="Q4102" s="6">
        <f>OrganizedData[[#This Row],[Total Items Ordered]]*VLOOKUP(OrganizedData[[#This Row],[Product Code]],ProductData[],3,FALSE)</f>
        <v>244.08</v>
      </c>
      <c r="R41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244.08</v>
      </c>
    </row>
    <row r="4103" spans="1:18" x14ac:dyDescent="0.3">
      <c r="A4103" s="2">
        <v>4096</v>
      </c>
      <c r="B4103" s="2" t="s">
        <v>4318</v>
      </c>
      <c r="C4103" s="2" t="s">
        <v>8126</v>
      </c>
      <c r="D4103" s="2" t="s">
        <v>28</v>
      </c>
      <c r="E4103" s="2" t="s">
        <v>29</v>
      </c>
      <c r="F4103" s="2">
        <v>60</v>
      </c>
      <c r="G4103" s="2" t="s">
        <v>9207</v>
      </c>
      <c r="H4103" s="2" t="s">
        <v>3228</v>
      </c>
      <c r="I4103" s="2" t="s">
        <v>294</v>
      </c>
      <c r="J4103" s="3">
        <v>43869</v>
      </c>
      <c r="K4103" s="5">
        <f>YEAR(OrganizedData[[#This Row],[Order Date]])</f>
        <v>2020</v>
      </c>
      <c r="L4103" s="7" t="str">
        <f>TEXT(OrganizedData[[#This Row],[Order Date]],"mmm")</f>
        <v>Feb</v>
      </c>
      <c r="M4103" s="2">
        <v>21</v>
      </c>
      <c r="N4103" s="2" t="s">
        <v>33</v>
      </c>
      <c r="O4103" s="2" t="str">
        <f>VLOOKUP(OrganizedData[[#This Row],[Product Code]],ProductData[[Code]:[Item]],2,FALSE)</f>
        <v>Megawidget L</v>
      </c>
      <c r="P4103" s="4">
        <f>OrganizedData[[#This Row],[Quantity]]*VLOOKUP(OrganizedData[[#This Row],[Product Code]],ProductData[],4,FALSE)</f>
        <v>504</v>
      </c>
      <c r="Q4103" s="6">
        <f>OrganizedData[[#This Row],[Total Items Ordered]]*VLOOKUP(OrganizedData[[#This Row],[Product Code]],ProductData[],3,FALSE)</f>
        <v>902.16</v>
      </c>
      <c r="R41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875.09519999999998</v>
      </c>
    </row>
    <row r="4104" spans="1:18" x14ac:dyDescent="0.3">
      <c r="A4104" s="2">
        <v>4097</v>
      </c>
      <c r="B4104" s="2" t="s">
        <v>909</v>
      </c>
      <c r="C4104" s="2" t="s">
        <v>6730</v>
      </c>
      <c r="D4104" s="2" t="s">
        <v>15</v>
      </c>
      <c r="E4104" s="2" t="s">
        <v>16</v>
      </c>
      <c r="F4104" s="2">
        <v>30</v>
      </c>
      <c r="G4104" s="2" t="s">
        <v>9208</v>
      </c>
      <c r="H4104" s="2" t="s">
        <v>3175</v>
      </c>
      <c r="I4104" s="2" t="s">
        <v>1233</v>
      </c>
      <c r="J4104" s="3">
        <v>44303</v>
      </c>
      <c r="K4104" s="5">
        <f>YEAR(OrganizedData[[#This Row],[Order Date]])</f>
        <v>2021</v>
      </c>
      <c r="L4104" s="7" t="str">
        <f>TEXT(OrganizedData[[#This Row],[Order Date]],"mmm")</f>
        <v>Apr</v>
      </c>
      <c r="M4104" s="2">
        <v>85</v>
      </c>
      <c r="N4104" s="2" t="s">
        <v>45</v>
      </c>
      <c r="O4104" s="2" t="str">
        <f>VLOOKUP(OrganizedData[[#This Row],[Product Code]],ProductData[[Code]:[Item]],2,FALSE)</f>
        <v>Gigastuff</v>
      </c>
      <c r="P4104" s="4">
        <f>OrganizedData[[#This Row],[Quantity]]*VLOOKUP(OrganizedData[[#This Row],[Product Code]],ProductData[],4,FALSE)</f>
        <v>1530</v>
      </c>
      <c r="Q4104" s="6">
        <f>OrganizedData[[#This Row],[Total Items Ordered]]*VLOOKUP(OrganizedData[[#This Row],[Product Code]],ProductData[],3,FALSE)</f>
        <v>2891.7</v>
      </c>
      <c r="R41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2747.1149999999998</v>
      </c>
    </row>
    <row r="4105" spans="1:18" x14ac:dyDescent="0.3">
      <c r="A4105" s="2">
        <v>4098</v>
      </c>
      <c r="B4105" s="2" t="s">
        <v>375</v>
      </c>
      <c r="C4105" s="2" t="s">
        <v>4561</v>
      </c>
      <c r="D4105" s="2" t="s">
        <v>28</v>
      </c>
      <c r="E4105" s="2" t="s">
        <v>29</v>
      </c>
      <c r="F4105" s="2">
        <v>60</v>
      </c>
      <c r="G4105" s="2" t="s">
        <v>9208</v>
      </c>
      <c r="H4105" s="2" t="s">
        <v>9209</v>
      </c>
      <c r="I4105" s="2" t="s">
        <v>32</v>
      </c>
      <c r="J4105" s="3">
        <v>44761</v>
      </c>
      <c r="K4105" s="5">
        <f>YEAR(OrganizedData[[#This Row],[Order Date]])</f>
        <v>2022</v>
      </c>
      <c r="L4105" s="7" t="str">
        <f>TEXT(OrganizedData[[#This Row],[Order Date]],"mmm")</f>
        <v>Jul</v>
      </c>
      <c r="M4105" s="2">
        <v>15</v>
      </c>
      <c r="N4105" s="2" t="s">
        <v>20</v>
      </c>
      <c r="O4105" s="2" t="str">
        <f>VLOOKUP(OrganizedData[[#This Row],[Product Code]],ProductData[[Code]:[Item]],2,FALSE)</f>
        <v>Hyperwotsit</v>
      </c>
      <c r="P4105" s="4">
        <f>OrganizedData[[#This Row],[Quantity]]*VLOOKUP(OrganizedData[[#This Row],[Product Code]],ProductData[],4,FALSE)</f>
        <v>300</v>
      </c>
      <c r="Q4105" s="6">
        <f>OrganizedData[[#This Row],[Total Items Ordered]]*VLOOKUP(OrganizedData[[#This Row],[Product Code]],ProductData[],3,FALSE)</f>
        <v>602.99999999999989</v>
      </c>
      <c r="R41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602.99999999999989</v>
      </c>
    </row>
    <row r="4106" spans="1:18" x14ac:dyDescent="0.3">
      <c r="A4106" s="2">
        <v>4099</v>
      </c>
      <c r="B4106" s="2" t="s">
        <v>3159</v>
      </c>
      <c r="C4106" s="2" t="s">
        <v>1979</v>
      </c>
      <c r="D4106" s="2" t="s">
        <v>28</v>
      </c>
      <c r="E4106" s="2" t="s">
        <v>29</v>
      </c>
      <c r="F4106" s="2">
        <v>60</v>
      </c>
      <c r="G4106" s="2" t="s">
        <v>9210</v>
      </c>
      <c r="H4106" s="2" t="s">
        <v>2408</v>
      </c>
      <c r="I4106" s="2" t="s">
        <v>187</v>
      </c>
      <c r="J4106" s="3">
        <v>44294</v>
      </c>
      <c r="K4106" s="5">
        <f>YEAR(OrganizedData[[#This Row],[Order Date]])</f>
        <v>2021</v>
      </c>
      <c r="L4106" s="7" t="str">
        <f>TEXT(OrganizedData[[#This Row],[Order Date]],"mmm")</f>
        <v>Apr</v>
      </c>
      <c r="M4106" s="2">
        <v>89</v>
      </c>
      <c r="N4106" s="2" t="s">
        <v>159</v>
      </c>
      <c r="O4106" s="2" t="str">
        <f>VLOOKUP(OrganizedData[[#This Row],[Product Code]],ProductData[[Code]:[Item]],2,FALSE)</f>
        <v>Ultrathing V3</v>
      </c>
      <c r="P4106" s="4">
        <f>OrganizedData[[#This Row],[Quantity]]*VLOOKUP(OrganizedData[[#This Row],[Product Code]],ProductData[],4,FALSE)</f>
        <v>2136</v>
      </c>
      <c r="Q4106" s="6">
        <f>OrganizedData[[#This Row],[Total Items Ordered]]*VLOOKUP(OrganizedData[[#This Row],[Product Code]],ProductData[],3,FALSE)</f>
        <v>7241.04</v>
      </c>
      <c r="R41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6878.9879999999994</v>
      </c>
    </row>
    <row r="4107" spans="1:18" x14ac:dyDescent="0.3">
      <c r="A4107" s="2">
        <v>4100</v>
      </c>
      <c r="B4107" s="2" t="s">
        <v>3340</v>
      </c>
      <c r="C4107" s="2" t="s">
        <v>2279</v>
      </c>
      <c r="D4107" s="2" t="s">
        <v>28</v>
      </c>
      <c r="E4107" s="2" t="s">
        <v>29</v>
      </c>
      <c r="F4107" s="2">
        <v>90</v>
      </c>
      <c r="G4107" s="2" t="s">
        <v>9210</v>
      </c>
      <c r="H4107" s="2" t="s">
        <v>1800</v>
      </c>
      <c r="I4107" s="2" t="s">
        <v>32</v>
      </c>
      <c r="J4107" s="3">
        <v>44462</v>
      </c>
      <c r="K4107" s="5">
        <f>YEAR(OrganizedData[[#This Row],[Order Date]])</f>
        <v>2021</v>
      </c>
      <c r="L4107" s="7" t="str">
        <f>TEXT(OrganizedData[[#This Row],[Order Date]],"mmm")</f>
        <v>Sep</v>
      </c>
      <c r="M4107" s="2">
        <v>77</v>
      </c>
      <c r="N4107" s="2" t="s">
        <v>101</v>
      </c>
      <c r="O4107" s="2" t="str">
        <f>VLOOKUP(OrganizedData[[#This Row],[Product Code]],ProductData[[Code]:[Item]],2,FALSE)</f>
        <v>Superwossname</v>
      </c>
      <c r="P4107" s="4">
        <f>OrganizedData[[#This Row],[Quantity]]*VLOOKUP(OrganizedData[[#This Row],[Product Code]],ProductData[],4,FALSE)</f>
        <v>1540</v>
      </c>
      <c r="Q4107" s="6">
        <f>OrganizedData[[#This Row],[Total Items Ordered]]*VLOOKUP(OrganizedData[[#This Row],[Product Code]],ProductData[],3,FALSE)</f>
        <v>5374.6</v>
      </c>
      <c r="R41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5105.87</v>
      </c>
    </row>
    <row r="4108" spans="1:18" x14ac:dyDescent="0.3">
      <c r="A4108" s="2">
        <v>4101</v>
      </c>
      <c r="B4108" s="2" t="s">
        <v>3532</v>
      </c>
      <c r="C4108" s="2" t="s">
        <v>1840</v>
      </c>
      <c r="D4108" s="2" t="s">
        <v>28</v>
      </c>
      <c r="E4108" s="2" t="s">
        <v>29</v>
      </c>
      <c r="F4108" s="2">
        <v>30</v>
      </c>
      <c r="G4108" s="2" t="s">
        <v>9211</v>
      </c>
      <c r="H4108" s="2" t="s">
        <v>1160</v>
      </c>
      <c r="I4108" s="2" t="s">
        <v>25</v>
      </c>
      <c r="J4108" s="3">
        <v>44442</v>
      </c>
      <c r="K4108" s="5">
        <f>YEAR(OrganizedData[[#This Row],[Order Date]])</f>
        <v>2021</v>
      </c>
      <c r="L4108" s="7" t="str">
        <f>TEXT(OrganizedData[[#This Row],[Order Date]],"mmm")</f>
        <v>Sep</v>
      </c>
      <c r="M4108" s="2">
        <v>44</v>
      </c>
      <c r="N4108" s="2" t="s">
        <v>54</v>
      </c>
      <c r="O4108" s="2" t="str">
        <f>VLOOKUP(OrganizedData[[#This Row],[Product Code]],ProductData[[Code]:[Item]],2,FALSE)</f>
        <v>Megawidget S</v>
      </c>
      <c r="P4108" s="4">
        <f>OrganizedData[[#This Row],[Quantity]]*VLOOKUP(OrganizedData[[#This Row],[Product Code]],ProductData[],4,FALSE)</f>
        <v>1056</v>
      </c>
      <c r="Q4108" s="6">
        <f>OrganizedData[[#This Row],[Total Items Ordered]]*VLOOKUP(OrganizedData[[#This Row],[Product Code]],ProductData[],3,FALSE)</f>
        <v>728.64</v>
      </c>
      <c r="R41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706.7808</v>
      </c>
    </row>
    <row r="4109" spans="1:18" x14ac:dyDescent="0.3">
      <c r="A4109" s="2">
        <v>4102</v>
      </c>
      <c r="B4109" s="2" t="s">
        <v>8790</v>
      </c>
      <c r="C4109" s="2" t="s">
        <v>3630</v>
      </c>
      <c r="D4109" s="2" t="s">
        <v>41</v>
      </c>
      <c r="E4109" s="2" t="s">
        <v>16</v>
      </c>
      <c r="F4109" s="2">
        <v>30</v>
      </c>
      <c r="G4109" s="2" t="s">
        <v>9212</v>
      </c>
      <c r="H4109" s="2" t="s">
        <v>754</v>
      </c>
      <c r="I4109" s="2" t="s">
        <v>25</v>
      </c>
      <c r="J4109" s="3">
        <v>44754</v>
      </c>
      <c r="K4109" s="5">
        <f>YEAR(OrganizedData[[#This Row],[Order Date]])</f>
        <v>2022</v>
      </c>
      <c r="L4109" s="7" t="str">
        <f>TEXT(OrganizedData[[#This Row],[Order Date]],"mmm")</f>
        <v>Jul</v>
      </c>
      <c r="M4109" s="2">
        <v>98</v>
      </c>
      <c r="N4109" s="2" t="s">
        <v>70</v>
      </c>
      <c r="O4109" s="2" t="str">
        <f>VLOOKUP(OrganizedData[[#This Row],[Product Code]],ProductData[[Code]:[Item]],2,FALSE)</f>
        <v>Megawidget M</v>
      </c>
      <c r="P4109" s="4">
        <f>OrganizedData[[#This Row],[Quantity]]*VLOOKUP(OrganizedData[[#This Row],[Product Code]],ProductData[],4,FALSE)</f>
        <v>2352</v>
      </c>
      <c r="Q4109" s="6">
        <f>OrganizedData[[#This Row],[Total Items Ordered]]*VLOOKUP(OrganizedData[[#This Row],[Product Code]],ProductData[],3,FALSE)</f>
        <v>3034.08</v>
      </c>
      <c r="R41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2882.3759999999997</v>
      </c>
    </row>
    <row r="4110" spans="1:18" x14ac:dyDescent="0.3">
      <c r="A4110" s="2">
        <v>4103</v>
      </c>
      <c r="B4110" s="2" t="s">
        <v>9213</v>
      </c>
      <c r="C4110" s="2" t="s">
        <v>2977</v>
      </c>
      <c r="D4110" s="2" t="s">
        <v>51</v>
      </c>
      <c r="E4110" s="2" t="s">
        <v>16</v>
      </c>
      <c r="F4110" s="2">
        <v>30</v>
      </c>
      <c r="G4110" s="2" t="s">
        <v>9212</v>
      </c>
      <c r="H4110" s="2" t="s">
        <v>1202</v>
      </c>
      <c r="I4110" s="2" t="s">
        <v>32</v>
      </c>
      <c r="J4110" s="3">
        <v>44016</v>
      </c>
      <c r="K4110" s="5">
        <f>YEAR(OrganizedData[[#This Row],[Order Date]])</f>
        <v>2020</v>
      </c>
      <c r="L4110" s="7" t="str">
        <f>TEXT(OrganizedData[[#This Row],[Order Date]],"mmm")</f>
        <v>Jul</v>
      </c>
      <c r="M4110" s="2">
        <v>61</v>
      </c>
      <c r="N4110" s="2" t="s">
        <v>54</v>
      </c>
      <c r="O4110" s="2" t="str">
        <f>VLOOKUP(OrganizedData[[#This Row],[Product Code]],ProductData[[Code]:[Item]],2,FALSE)</f>
        <v>Megawidget S</v>
      </c>
      <c r="P4110" s="4">
        <f>OrganizedData[[#This Row],[Quantity]]*VLOOKUP(OrganizedData[[#This Row],[Product Code]],ProductData[],4,FALSE)</f>
        <v>1464</v>
      </c>
      <c r="Q4110" s="6">
        <f>OrganizedData[[#This Row],[Total Items Ordered]]*VLOOKUP(OrganizedData[[#This Row],[Product Code]],ProductData[],3,FALSE)</f>
        <v>1010.16</v>
      </c>
      <c r="R41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959.65199999999993</v>
      </c>
    </row>
    <row r="4111" spans="1:18" x14ac:dyDescent="0.3">
      <c r="A4111" s="2">
        <v>4104</v>
      </c>
      <c r="B4111" s="2" t="s">
        <v>9214</v>
      </c>
      <c r="C4111" s="2" t="s">
        <v>1561</v>
      </c>
      <c r="D4111" s="2" t="s">
        <v>28</v>
      </c>
      <c r="E4111" s="2" t="s">
        <v>29</v>
      </c>
      <c r="F4111" s="2">
        <v>30</v>
      </c>
      <c r="G4111" s="2" t="s">
        <v>9215</v>
      </c>
      <c r="H4111" s="2" t="s">
        <v>483</v>
      </c>
      <c r="I4111" s="2" t="s">
        <v>32</v>
      </c>
      <c r="J4111" s="3">
        <v>44269</v>
      </c>
      <c r="K4111" s="5">
        <f>YEAR(OrganizedData[[#This Row],[Order Date]])</f>
        <v>2021</v>
      </c>
      <c r="L4111" s="7" t="str">
        <f>TEXT(OrganizedData[[#This Row],[Order Date]],"mmm")</f>
        <v>Mar</v>
      </c>
      <c r="M4111" s="2">
        <v>82</v>
      </c>
      <c r="N4111" s="2" t="s">
        <v>64</v>
      </c>
      <c r="O4111" s="2" t="str">
        <f>VLOOKUP(OrganizedData[[#This Row],[Product Code]],ProductData[[Code]:[Item]],2,FALSE)</f>
        <v>Ultrathing V4</v>
      </c>
      <c r="P4111" s="4">
        <f>OrganizedData[[#This Row],[Quantity]]*VLOOKUP(OrganizedData[[#This Row],[Product Code]],ProductData[],4,FALSE)</f>
        <v>1968</v>
      </c>
      <c r="Q4111" s="6">
        <f>OrganizedData[[#This Row],[Total Items Ordered]]*VLOOKUP(OrganizedData[[#This Row],[Product Code]],ProductData[],3,FALSE)</f>
        <v>7852.3200000000006</v>
      </c>
      <c r="R41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7459.7040000000006</v>
      </c>
    </row>
    <row r="4112" spans="1:18" x14ac:dyDescent="0.3">
      <c r="A4112" s="2">
        <v>4105</v>
      </c>
      <c r="B4112" s="2" t="s">
        <v>7529</v>
      </c>
      <c r="C4112" s="2" t="s">
        <v>7369</v>
      </c>
      <c r="D4112" s="2" t="s">
        <v>51</v>
      </c>
      <c r="E4112" s="2" t="s">
        <v>16</v>
      </c>
      <c r="F4112" s="2">
        <v>30</v>
      </c>
      <c r="G4112" s="2" t="s">
        <v>9216</v>
      </c>
      <c r="H4112" s="2" t="s">
        <v>526</v>
      </c>
      <c r="I4112" s="2" t="s">
        <v>32</v>
      </c>
      <c r="J4112" s="3">
        <v>43851</v>
      </c>
      <c r="K4112" s="5">
        <f>YEAR(OrganizedData[[#This Row],[Order Date]])</f>
        <v>2020</v>
      </c>
      <c r="L4112" s="7" t="str">
        <f>TEXT(OrganizedData[[#This Row],[Order Date]],"mmm")</f>
        <v>Jan</v>
      </c>
      <c r="M4112" s="2">
        <v>40</v>
      </c>
      <c r="N4112" s="2" t="s">
        <v>45</v>
      </c>
      <c r="O4112" s="2" t="str">
        <f>VLOOKUP(OrganizedData[[#This Row],[Product Code]],ProductData[[Code]:[Item]],2,FALSE)</f>
        <v>Gigastuff</v>
      </c>
      <c r="P4112" s="4">
        <f>OrganizedData[[#This Row],[Quantity]]*VLOOKUP(OrganizedData[[#This Row],[Product Code]],ProductData[],4,FALSE)</f>
        <v>720</v>
      </c>
      <c r="Q4112" s="6">
        <f>OrganizedData[[#This Row],[Total Items Ordered]]*VLOOKUP(OrganizedData[[#This Row],[Product Code]],ProductData[],3,FALSE)</f>
        <v>1360.8</v>
      </c>
      <c r="R41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1319.9759999999999</v>
      </c>
    </row>
    <row r="4113" spans="1:18" x14ac:dyDescent="0.3">
      <c r="A4113" s="2">
        <v>4106</v>
      </c>
      <c r="B4113" s="2" t="s">
        <v>5497</v>
      </c>
      <c r="C4113" s="2" t="s">
        <v>1539</v>
      </c>
      <c r="D4113" s="2" t="s">
        <v>28</v>
      </c>
      <c r="E4113" s="2" t="s">
        <v>29</v>
      </c>
      <c r="F4113" s="2">
        <v>90</v>
      </c>
      <c r="G4113" s="2" t="s">
        <v>9217</v>
      </c>
      <c r="H4113" s="2" t="s">
        <v>3511</v>
      </c>
      <c r="I4113" s="2" t="s">
        <v>32</v>
      </c>
      <c r="J4113" s="3">
        <v>44535</v>
      </c>
      <c r="K4113" s="5">
        <f>YEAR(OrganizedData[[#This Row],[Order Date]])</f>
        <v>2021</v>
      </c>
      <c r="L4113" s="7" t="str">
        <f>TEXT(OrganizedData[[#This Row],[Order Date]],"mmm")</f>
        <v>Dec</v>
      </c>
      <c r="M4113" s="2">
        <v>80</v>
      </c>
      <c r="N4113" s="2" t="s">
        <v>80</v>
      </c>
      <c r="O4113" s="2" t="str">
        <f>VLOOKUP(OrganizedData[[#This Row],[Product Code]],ProductData[[Code]:[Item]],2,FALSE)</f>
        <v>Ultrathing V2</v>
      </c>
      <c r="P4113" s="4">
        <f>OrganizedData[[#This Row],[Quantity]]*VLOOKUP(OrganizedData[[#This Row],[Product Code]],ProductData[],4,FALSE)</f>
        <v>1600</v>
      </c>
      <c r="Q4113" s="6">
        <f>OrganizedData[[#This Row],[Total Items Ordered]]*VLOOKUP(OrganizedData[[#This Row],[Product Code]],ProductData[],3,FALSE)</f>
        <v>4720</v>
      </c>
      <c r="R41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4484</v>
      </c>
    </row>
    <row r="4114" spans="1:18" x14ac:dyDescent="0.3">
      <c r="A4114" s="2">
        <v>4107</v>
      </c>
      <c r="B4114" s="2" t="s">
        <v>1752</v>
      </c>
      <c r="C4114" s="2" t="s">
        <v>9218</v>
      </c>
      <c r="D4114" s="2" t="s">
        <v>28</v>
      </c>
      <c r="E4114" s="2" t="s">
        <v>29</v>
      </c>
      <c r="F4114" s="2">
        <v>30</v>
      </c>
      <c r="G4114" s="2" t="s">
        <v>9219</v>
      </c>
      <c r="H4114" s="2" t="s">
        <v>2579</v>
      </c>
      <c r="I4114" s="2" t="s">
        <v>425</v>
      </c>
      <c r="J4114" s="3">
        <v>44396</v>
      </c>
      <c r="K4114" s="5">
        <f>YEAR(OrganizedData[[#This Row],[Order Date]])</f>
        <v>2021</v>
      </c>
      <c r="L4114" s="7" t="str">
        <f>TEXT(OrganizedData[[#This Row],[Order Date]],"mmm")</f>
        <v>Jul</v>
      </c>
      <c r="M4114" s="2">
        <v>52</v>
      </c>
      <c r="N4114" s="2" t="s">
        <v>33</v>
      </c>
      <c r="O4114" s="2" t="str">
        <f>VLOOKUP(OrganizedData[[#This Row],[Product Code]],ProductData[[Code]:[Item]],2,FALSE)</f>
        <v>Megawidget L</v>
      </c>
      <c r="P4114" s="4">
        <f>OrganizedData[[#This Row],[Quantity]]*VLOOKUP(OrganizedData[[#This Row],[Product Code]],ProductData[],4,FALSE)</f>
        <v>1248</v>
      </c>
      <c r="Q4114" s="6">
        <f>OrganizedData[[#This Row],[Total Items Ordered]]*VLOOKUP(OrganizedData[[#This Row],[Product Code]],ProductData[],3,FALSE)</f>
        <v>2233.92</v>
      </c>
      <c r="R41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2122.2240000000002</v>
      </c>
    </row>
    <row r="4115" spans="1:18" x14ac:dyDescent="0.3">
      <c r="A4115" s="2">
        <v>4108</v>
      </c>
      <c r="B4115" s="2" t="s">
        <v>8400</v>
      </c>
      <c r="C4115" s="2" t="s">
        <v>8496</v>
      </c>
      <c r="D4115" s="2" t="s">
        <v>28</v>
      </c>
      <c r="E4115" s="2" t="s">
        <v>29</v>
      </c>
      <c r="F4115" s="2">
        <v>60</v>
      </c>
      <c r="G4115" s="2" t="s">
        <v>9220</v>
      </c>
      <c r="H4115" s="2" t="s">
        <v>2072</v>
      </c>
      <c r="I4115" s="2" t="s">
        <v>32</v>
      </c>
      <c r="J4115" s="3">
        <v>44610</v>
      </c>
      <c r="K4115" s="5">
        <f>YEAR(OrganizedData[[#This Row],[Order Date]])</f>
        <v>2022</v>
      </c>
      <c r="L4115" s="7" t="str">
        <f>TEXT(OrganizedData[[#This Row],[Order Date]],"mmm")</f>
        <v>Feb</v>
      </c>
      <c r="M4115" s="2">
        <v>65</v>
      </c>
      <c r="N4115" s="2" t="s">
        <v>70</v>
      </c>
      <c r="O4115" s="2" t="str">
        <f>VLOOKUP(OrganizedData[[#This Row],[Product Code]],ProductData[[Code]:[Item]],2,FALSE)</f>
        <v>Megawidget M</v>
      </c>
      <c r="P4115" s="4">
        <f>OrganizedData[[#This Row],[Quantity]]*VLOOKUP(OrganizedData[[#This Row],[Product Code]],ProductData[],4,FALSE)</f>
        <v>1560</v>
      </c>
      <c r="Q4115" s="6">
        <f>OrganizedData[[#This Row],[Total Items Ordered]]*VLOOKUP(OrganizedData[[#This Row],[Product Code]],ProductData[],3,FALSE)</f>
        <v>2012.4</v>
      </c>
      <c r="R41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1911.78</v>
      </c>
    </row>
    <row r="4116" spans="1:18" x14ac:dyDescent="0.3">
      <c r="A4116" s="2">
        <v>4109</v>
      </c>
      <c r="B4116" s="2" t="s">
        <v>5028</v>
      </c>
      <c r="C4116" s="2" t="s">
        <v>2985</v>
      </c>
      <c r="D4116" s="2" t="s">
        <v>28</v>
      </c>
      <c r="E4116" s="2" t="s">
        <v>29</v>
      </c>
      <c r="F4116" s="2">
        <v>30</v>
      </c>
      <c r="G4116" s="2" t="s">
        <v>9221</v>
      </c>
      <c r="H4116" s="2" t="s">
        <v>5207</v>
      </c>
      <c r="I4116" s="2" t="s">
        <v>38</v>
      </c>
      <c r="J4116" s="3">
        <v>44120</v>
      </c>
      <c r="K4116" s="5">
        <f>YEAR(OrganizedData[[#This Row],[Order Date]])</f>
        <v>2020</v>
      </c>
      <c r="L4116" s="7" t="str">
        <f>TEXT(OrganizedData[[#This Row],[Order Date]],"mmm")</f>
        <v>Oct</v>
      </c>
      <c r="M4116" s="2">
        <v>33</v>
      </c>
      <c r="N4116" s="2" t="s">
        <v>54</v>
      </c>
      <c r="O4116" s="2" t="str">
        <f>VLOOKUP(OrganizedData[[#This Row],[Product Code]],ProductData[[Code]:[Item]],2,FALSE)</f>
        <v>Megawidget S</v>
      </c>
      <c r="P4116" s="4">
        <f>OrganizedData[[#This Row],[Quantity]]*VLOOKUP(OrganizedData[[#This Row],[Product Code]],ProductData[],4,FALSE)</f>
        <v>792</v>
      </c>
      <c r="Q4116" s="6">
        <f>OrganizedData[[#This Row],[Total Items Ordered]]*VLOOKUP(OrganizedData[[#This Row],[Product Code]],ProductData[],3,FALSE)</f>
        <v>546.4799999999999</v>
      </c>
      <c r="R41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4117" spans="1:18" x14ac:dyDescent="0.3">
      <c r="A4117" s="2">
        <v>4110</v>
      </c>
      <c r="B4117" s="2" t="s">
        <v>5433</v>
      </c>
      <c r="C4117" s="2" t="s">
        <v>9222</v>
      </c>
      <c r="D4117" s="2" t="s">
        <v>92</v>
      </c>
      <c r="E4117" s="2" t="s">
        <v>29</v>
      </c>
      <c r="F4117" s="2">
        <v>30</v>
      </c>
      <c r="G4117" s="2" t="s">
        <v>9223</v>
      </c>
      <c r="H4117" s="2" t="s">
        <v>3756</v>
      </c>
      <c r="I4117" s="2" t="s">
        <v>178</v>
      </c>
      <c r="J4117" s="3">
        <v>44078</v>
      </c>
      <c r="K4117" s="5">
        <f>YEAR(OrganizedData[[#This Row],[Order Date]])</f>
        <v>2020</v>
      </c>
      <c r="L4117" s="7" t="str">
        <f>TEXT(OrganizedData[[#This Row],[Order Date]],"mmm")</f>
        <v>Sep</v>
      </c>
      <c r="M4117" s="2">
        <v>84</v>
      </c>
      <c r="N4117" s="2" t="s">
        <v>45</v>
      </c>
      <c r="O4117" s="2" t="str">
        <f>VLOOKUP(OrganizedData[[#This Row],[Product Code]],ProductData[[Code]:[Item]],2,FALSE)</f>
        <v>Gigastuff</v>
      </c>
      <c r="P4117" s="4">
        <f>OrganizedData[[#This Row],[Quantity]]*VLOOKUP(OrganizedData[[#This Row],[Product Code]],ProductData[],4,FALSE)</f>
        <v>1512</v>
      </c>
      <c r="Q4117" s="6">
        <f>OrganizedData[[#This Row],[Total Items Ordered]]*VLOOKUP(OrganizedData[[#This Row],[Product Code]],ProductData[],3,FALSE)</f>
        <v>2857.68</v>
      </c>
      <c r="R41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2714.7959999999998</v>
      </c>
    </row>
    <row r="4118" spans="1:18" x14ac:dyDescent="0.3">
      <c r="A4118" s="2">
        <v>4111</v>
      </c>
      <c r="B4118" s="2" t="s">
        <v>8003</v>
      </c>
      <c r="C4118" s="2" t="s">
        <v>3965</v>
      </c>
      <c r="D4118" s="2" t="s">
        <v>28</v>
      </c>
      <c r="E4118" s="2" t="s">
        <v>29</v>
      </c>
      <c r="F4118" s="2">
        <v>90</v>
      </c>
      <c r="G4118" s="2" t="s">
        <v>9224</v>
      </c>
      <c r="H4118" s="2" t="s">
        <v>3245</v>
      </c>
      <c r="I4118" s="2" t="s">
        <v>32</v>
      </c>
      <c r="J4118" s="3">
        <v>44211</v>
      </c>
      <c r="K4118" s="5">
        <f>YEAR(OrganizedData[[#This Row],[Order Date]])</f>
        <v>2021</v>
      </c>
      <c r="L4118" s="7" t="str">
        <f>TEXT(OrganizedData[[#This Row],[Order Date]],"mmm")</f>
        <v>Jan</v>
      </c>
      <c r="M4118" s="2">
        <v>67</v>
      </c>
      <c r="N4118" s="2" t="s">
        <v>54</v>
      </c>
      <c r="O4118" s="2" t="str">
        <f>VLOOKUP(OrganizedData[[#This Row],[Product Code]],ProductData[[Code]:[Item]],2,FALSE)</f>
        <v>Megawidget S</v>
      </c>
      <c r="P4118" s="4">
        <f>OrganizedData[[#This Row],[Quantity]]*VLOOKUP(OrganizedData[[#This Row],[Product Code]],ProductData[],4,FALSE)</f>
        <v>1608</v>
      </c>
      <c r="Q4118" s="6">
        <f>OrganizedData[[#This Row],[Total Items Ordered]]*VLOOKUP(OrganizedData[[#This Row],[Product Code]],ProductData[],3,FALSE)</f>
        <v>1109.52</v>
      </c>
      <c r="R41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1054.0439999999999</v>
      </c>
    </row>
    <row r="4119" spans="1:18" x14ac:dyDescent="0.3">
      <c r="A4119" s="2">
        <v>4112</v>
      </c>
      <c r="B4119" s="2" t="s">
        <v>9225</v>
      </c>
      <c r="C4119" s="2" t="s">
        <v>2563</v>
      </c>
      <c r="D4119" s="2" t="s">
        <v>51</v>
      </c>
      <c r="E4119" s="2" t="s">
        <v>16</v>
      </c>
      <c r="F4119" s="2">
        <v>60</v>
      </c>
      <c r="G4119" s="2" t="s">
        <v>9226</v>
      </c>
      <c r="H4119" s="2" t="s">
        <v>3511</v>
      </c>
      <c r="I4119" s="2" t="s">
        <v>32</v>
      </c>
      <c r="J4119" s="3">
        <v>44099</v>
      </c>
      <c r="K4119" s="5">
        <f>YEAR(OrganizedData[[#This Row],[Order Date]])</f>
        <v>2020</v>
      </c>
      <c r="L4119" s="7" t="str">
        <f>TEXT(OrganizedData[[#This Row],[Order Date]],"mmm")</f>
        <v>Sep</v>
      </c>
      <c r="M4119" s="2">
        <v>30</v>
      </c>
      <c r="N4119" s="2" t="s">
        <v>159</v>
      </c>
      <c r="O4119" s="2" t="str">
        <f>VLOOKUP(OrganizedData[[#This Row],[Product Code]],ProductData[[Code]:[Item]],2,FALSE)</f>
        <v>Ultrathing V3</v>
      </c>
      <c r="P4119" s="4">
        <f>OrganizedData[[#This Row],[Quantity]]*VLOOKUP(OrganizedData[[#This Row],[Product Code]],ProductData[],4,FALSE)</f>
        <v>720</v>
      </c>
      <c r="Q4119" s="6">
        <f>OrganizedData[[#This Row],[Total Items Ordered]]*VLOOKUP(OrganizedData[[#This Row],[Product Code]],ProductData[],3,FALSE)</f>
        <v>2440.8000000000002</v>
      </c>
      <c r="R41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2367.576</v>
      </c>
    </row>
    <row r="4120" spans="1:18" x14ac:dyDescent="0.3">
      <c r="A4120" s="2">
        <v>4113</v>
      </c>
      <c r="B4120" s="2" t="s">
        <v>9227</v>
      </c>
      <c r="C4120" s="2" t="s">
        <v>2365</v>
      </c>
      <c r="D4120" s="2" t="s">
        <v>117</v>
      </c>
      <c r="E4120" s="2" t="s">
        <v>16</v>
      </c>
      <c r="F4120" s="2">
        <v>60</v>
      </c>
      <c r="G4120" s="2" t="s">
        <v>9228</v>
      </c>
      <c r="H4120" s="2" t="s">
        <v>2530</v>
      </c>
      <c r="I4120" s="2" t="s">
        <v>32</v>
      </c>
      <c r="J4120" s="3">
        <v>44721</v>
      </c>
      <c r="K4120" s="5">
        <f>YEAR(OrganizedData[[#This Row],[Order Date]])</f>
        <v>2022</v>
      </c>
      <c r="L4120" s="7" t="str">
        <f>TEXT(OrganizedData[[#This Row],[Order Date]],"mmm")</f>
        <v>Jun</v>
      </c>
      <c r="M4120" s="2">
        <v>19</v>
      </c>
      <c r="N4120" s="2" t="s">
        <v>45</v>
      </c>
      <c r="O4120" s="2" t="str">
        <f>VLOOKUP(OrganizedData[[#This Row],[Product Code]],ProductData[[Code]:[Item]],2,FALSE)</f>
        <v>Gigastuff</v>
      </c>
      <c r="P4120" s="4">
        <f>OrganizedData[[#This Row],[Quantity]]*VLOOKUP(OrganizedData[[#This Row],[Product Code]],ProductData[],4,FALSE)</f>
        <v>342</v>
      </c>
      <c r="Q4120" s="6">
        <f>OrganizedData[[#This Row],[Total Items Ordered]]*VLOOKUP(OrganizedData[[#This Row],[Product Code]],ProductData[],3,FALSE)</f>
        <v>646.38</v>
      </c>
      <c r="R41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646.38</v>
      </c>
    </row>
    <row r="4121" spans="1:18" x14ac:dyDescent="0.3">
      <c r="A4121" s="2">
        <v>4114</v>
      </c>
      <c r="B4121" s="2" t="s">
        <v>2531</v>
      </c>
      <c r="C4121" s="2" t="s">
        <v>3467</v>
      </c>
      <c r="D4121" s="2" t="s">
        <v>15</v>
      </c>
      <c r="E4121" s="2" t="s">
        <v>16</v>
      </c>
      <c r="F4121" s="2">
        <v>90</v>
      </c>
      <c r="G4121" s="2" t="s">
        <v>9229</v>
      </c>
      <c r="H4121" s="2" t="s">
        <v>2877</v>
      </c>
      <c r="I4121" s="2" t="s">
        <v>2878</v>
      </c>
      <c r="J4121" s="3">
        <v>43832</v>
      </c>
      <c r="K4121" s="5">
        <f>YEAR(OrganizedData[[#This Row],[Order Date]])</f>
        <v>2020</v>
      </c>
      <c r="L4121" s="7" t="str">
        <f>TEXT(OrganizedData[[#This Row],[Order Date]],"mmm")</f>
        <v>Jan</v>
      </c>
      <c r="M4121" s="2">
        <v>71</v>
      </c>
      <c r="N4121" s="2" t="s">
        <v>33</v>
      </c>
      <c r="O4121" s="2" t="str">
        <f>VLOOKUP(OrganizedData[[#This Row],[Product Code]],ProductData[[Code]:[Item]],2,FALSE)</f>
        <v>Megawidget L</v>
      </c>
      <c r="P4121" s="4">
        <f>OrganizedData[[#This Row],[Quantity]]*VLOOKUP(OrganizedData[[#This Row],[Product Code]],ProductData[],4,FALSE)</f>
        <v>1704</v>
      </c>
      <c r="Q4121" s="6">
        <f>OrganizedData[[#This Row],[Total Items Ordered]]*VLOOKUP(OrganizedData[[#This Row],[Product Code]],ProductData[],3,FALSE)</f>
        <v>3050.16</v>
      </c>
      <c r="R41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4122" spans="1:18" x14ac:dyDescent="0.3">
      <c r="A4122" s="2">
        <v>4115</v>
      </c>
      <c r="B4122" s="2" t="s">
        <v>1049</v>
      </c>
      <c r="C4122" s="2" t="s">
        <v>931</v>
      </c>
      <c r="D4122" s="2" t="s">
        <v>28</v>
      </c>
      <c r="E4122" s="2" t="s">
        <v>29</v>
      </c>
      <c r="F4122" s="2">
        <v>60</v>
      </c>
      <c r="G4122" s="2" t="s">
        <v>9229</v>
      </c>
      <c r="H4122" s="2" t="s">
        <v>1629</v>
      </c>
      <c r="I4122" s="2" t="s">
        <v>32</v>
      </c>
      <c r="J4122" s="3">
        <v>44179</v>
      </c>
      <c r="K4122" s="5">
        <f>YEAR(OrganizedData[[#This Row],[Order Date]])</f>
        <v>2020</v>
      </c>
      <c r="L4122" s="7" t="str">
        <f>TEXT(OrganizedData[[#This Row],[Order Date]],"mmm")</f>
        <v>Dec</v>
      </c>
      <c r="M4122" s="2">
        <v>9</v>
      </c>
      <c r="N4122" s="2" t="s">
        <v>39</v>
      </c>
      <c r="O4122" s="2" t="str">
        <f>VLOOKUP(OrganizedData[[#This Row],[Product Code]],ProductData[[Code]:[Item]],2,FALSE)</f>
        <v>Ultrathing V1</v>
      </c>
      <c r="P4122" s="4">
        <f>OrganizedData[[#This Row],[Quantity]]*VLOOKUP(OrganizedData[[#This Row],[Product Code]],ProductData[],4,FALSE)</f>
        <v>153</v>
      </c>
      <c r="Q4122" s="6">
        <f>OrganizedData[[#This Row],[Total Items Ordered]]*VLOOKUP(OrganizedData[[#This Row],[Product Code]],ProductData[],3,FALSE)</f>
        <v>273.87</v>
      </c>
      <c r="R41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4123" spans="1:18" x14ac:dyDescent="0.3">
      <c r="A4123" s="2">
        <v>4116</v>
      </c>
      <c r="B4123" s="2" t="s">
        <v>5746</v>
      </c>
      <c r="C4123" s="2" t="s">
        <v>4927</v>
      </c>
      <c r="D4123" s="2" t="s">
        <v>51</v>
      </c>
      <c r="E4123" s="2" t="s">
        <v>16</v>
      </c>
      <c r="F4123" s="2">
        <v>90</v>
      </c>
      <c r="G4123" s="2" t="s">
        <v>9230</v>
      </c>
      <c r="H4123" s="2" t="s">
        <v>5895</v>
      </c>
      <c r="I4123" s="2" t="s">
        <v>32</v>
      </c>
      <c r="J4123" s="3">
        <v>44822</v>
      </c>
      <c r="K4123" s="5">
        <f>YEAR(OrganizedData[[#This Row],[Order Date]])</f>
        <v>2022</v>
      </c>
      <c r="L4123" s="7" t="str">
        <f>TEXT(OrganizedData[[#This Row],[Order Date]],"mmm")</f>
        <v>Sep</v>
      </c>
      <c r="M4123" s="2">
        <v>68</v>
      </c>
      <c r="N4123" s="2" t="s">
        <v>39</v>
      </c>
      <c r="O4123" s="2" t="str">
        <f>VLOOKUP(OrganizedData[[#This Row],[Product Code]],ProductData[[Code]:[Item]],2,FALSE)</f>
        <v>Ultrathing V1</v>
      </c>
      <c r="P4123" s="4">
        <f>OrganizedData[[#This Row],[Quantity]]*VLOOKUP(OrganizedData[[#This Row],[Product Code]],ProductData[],4,FALSE)</f>
        <v>1156</v>
      </c>
      <c r="Q4123" s="6">
        <f>OrganizedData[[#This Row],[Total Items Ordered]]*VLOOKUP(OrganizedData[[#This Row],[Product Code]],ProductData[],3,FALSE)</f>
        <v>2069.2400000000002</v>
      </c>
      <c r="R41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4124" spans="1:18" x14ac:dyDescent="0.3">
      <c r="A4124" s="2">
        <v>4117</v>
      </c>
      <c r="B4124" s="2" t="s">
        <v>6194</v>
      </c>
      <c r="C4124" s="2" t="s">
        <v>1364</v>
      </c>
      <c r="D4124" s="2" t="s">
        <v>51</v>
      </c>
      <c r="E4124" s="2" t="s">
        <v>16</v>
      </c>
      <c r="F4124" s="2">
        <v>30</v>
      </c>
      <c r="G4124" s="2" t="s">
        <v>9231</v>
      </c>
      <c r="H4124" s="2" t="s">
        <v>6772</v>
      </c>
      <c r="I4124" s="2" t="s">
        <v>32</v>
      </c>
      <c r="J4124" s="3">
        <v>44161</v>
      </c>
      <c r="K4124" s="5">
        <f>YEAR(OrganizedData[[#This Row],[Order Date]])</f>
        <v>2020</v>
      </c>
      <c r="L4124" s="7" t="str">
        <f>TEXT(OrganizedData[[#This Row],[Order Date]],"mmm")</f>
        <v>Nov</v>
      </c>
      <c r="M4124" s="2">
        <v>73</v>
      </c>
      <c r="N4124" s="2" t="s">
        <v>159</v>
      </c>
      <c r="O4124" s="2" t="str">
        <f>VLOOKUP(OrganizedData[[#This Row],[Product Code]],ProductData[[Code]:[Item]],2,FALSE)</f>
        <v>Ultrathing V3</v>
      </c>
      <c r="P4124" s="4">
        <f>OrganizedData[[#This Row],[Quantity]]*VLOOKUP(OrganizedData[[#This Row],[Product Code]],ProductData[],4,FALSE)</f>
        <v>1752</v>
      </c>
      <c r="Q4124" s="6">
        <f>OrganizedData[[#This Row],[Total Items Ordered]]*VLOOKUP(OrganizedData[[#This Row],[Product Code]],ProductData[],3,FALSE)</f>
        <v>5939.2800000000007</v>
      </c>
      <c r="R41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4125" spans="1:18" x14ac:dyDescent="0.3">
      <c r="A4125" s="2">
        <v>4118</v>
      </c>
      <c r="B4125" s="2" t="s">
        <v>1229</v>
      </c>
      <c r="C4125" s="2" t="s">
        <v>7582</v>
      </c>
      <c r="D4125" s="2" t="s">
        <v>28</v>
      </c>
      <c r="E4125" s="2" t="s">
        <v>29</v>
      </c>
      <c r="F4125" s="2">
        <v>90</v>
      </c>
      <c r="G4125" s="2" t="s">
        <v>9232</v>
      </c>
      <c r="H4125" s="2" t="s">
        <v>9233</v>
      </c>
      <c r="I4125" s="2" t="s">
        <v>32</v>
      </c>
      <c r="J4125" s="3">
        <v>44126</v>
      </c>
      <c r="K4125" s="5">
        <f>YEAR(OrganizedData[[#This Row],[Order Date]])</f>
        <v>2020</v>
      </c>
      <c r="L4125" s="7" t="str">
        <f>TEXT(OrganizedData[[#This Row],[Order Date]],"mmm")</f>
        <v>Oct</v>
      </c>
      <c r="M4125" s="2">
        <v>64</v>
      </c>
      <c r="N4125" s="2" t="s">
        <v>54</v>
      </c>
      <c r="O4125" s="2" t="str">
        <f>VLOOKUP(OrganizedData[[#This Row],[Product Code]],ProductData[[Code]:[Item]],2,FALSE)</f>
        <v>Megawidget S</v>
      </c>
      <c r="P4125" s="4">
        <f>OrganizedData[[#This Row],[Quantity]]*VLOOKUP(OrganizedData[[#This Row],[Product Code]],ProductData[],4,FALSE)</f>
        <v>1536</v>
      </c>
      <c r="Q4125" s="6">
        <f>OrganizedData[[#This Row],[Total Items Ordered]]*VLOOKUP(OrganizedData[[#This Row],[Product Code]],ProductData[],3,FALSE)</f>
        <v>1059.8399999999999</v>
      </c>
      <c r="R41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1006.8479999999998</v>
      </c>
    </row>
    <row r="4126" spans="1:18" x14ac:dyDescent="0.3">
      <c r="A4126" s="2">
        <v>4119</v>
      </c>
      <c r="B4126" s="2" t="s">
        <v>6242</v>
      </c>
      <c r="C4126" s="2" t="s">
        <v>258</v>
      </c>
      <c r="D4126" s="2" t="s">
        <v>51</v>
      </c>
      <c r="E4126" s="2" t="s">
        <v>16</v>
      </c>
      <c r="F4126" s="2">
        <v>30</v>
      </c>
      <c r="G4126" s="2" t="s">
        <v>9234</v>
      </c>
      <c r="H4126" s="2" t="s">
        <v>5823</v>
      </c>
      <c r="I4126" s="2" t="s">
        <v>110</v>
      </c>
      <c r="J4126" s="3">
        <v>44641</v>
      </c>
      <c r="K4126" s="5">
        <f>YEAR(OrganizedData[[#This Row],[Order Date]])</f>
        <v>2022</v>
      </c>
      <c r="L4126" s="7" t="str">
        <f>TEXT(OrganizedData[[#This Row],[Order Date]],"mmm")</f>
        <v>Mar</v>
      </c>
      <c r="M4126" s="2">
        <v>9</v>
      </c>
      <c r="N4126" s="2" t="s">
        <v>101</v>
      </c>
      <c r="O4126" s="2" t="str">
        <f>VLOOKUP(OrganizedData[[#This Row],[Product Code]],ProductData[[Code]:[Item]],2,FALSE)</f>
        <v>Superwossname</v>
      </c>
      <c r="P4126" s="4">
        <f>OrganizedData[[#This Row],[Quantity]]*VLOOKUP(OrganizedData[[#This Row],[Product Code]],ProductData[],4,FALSE)</f>
        <v>180</v>
      </c>
      <c r="Q4126" s="6">
        <f>OrganizedData[[#This Row],[Total Items Ordered]]*VLOOKUP(OrganizedData[[#This Row],[Product Code]],ProductData[],3,FALSE)</f>
        <v>628.20000000000005</v>
      </c>
      <c r="R41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628.20000000000005</v>
      </c>
    </row>
    <row r="4127" spans="1:18" x14ac:dyDescent="0.3">
      <c r="A4127" s="2">
        <v>4120</v>
      </c>
      <c r="B4127" s="2" t="s">
        <v>3469</v>
      </c>
      <c r="C4127" s="2" t="s">
        <v>2191</v>
      </c>
      <c r="D4127" s="2" t="s">
        <v>28</v>
      </c>
      <c r="E4127" s="2" t="s">
        <v>29</v>
      </c>
      <c r="F4127" s="2">
        <v>30</v>
      </c>
      <c r="G4127" s="2" t="s">
        <v>9234</v>
      </c>
      <c r="H4127" s="2" t="s">
        <v>3790</v>
      </c>
      <c r="I4127" s="2" t="s">
        <v>32</v>
      </c>
      <c r="J4127" s="3">
        <v>44682</v>
      </c>
      <c r="K4127" s="5">
        <f>YEAR(OrganizedData[[#This Row],[Order Date]])</f>
        <v>2022</v>
      </c>
      <c r="L4127" s="7" t="str">
        <f>TEXT(OrganizedData[[#This Row],[Order Date]],"mmm")</f>
        <v>May</v>
      </c>
      <c r="M4127" s="2">
        <v>69</v>
      </c>
      <c r="N4127" s="2" t="s">
        <v>159</v>
      </c>
      <c r="O4127" s="2" t="str">
        <f>VLOOKUP(OrganizedData[[#This Row],[Product Code]],ProductData[[Code]:[Item]],2,FALSE)</f>
        <v>Ultrathing V3</v>
      </c>
      <c r="P4127" s="4">
        <f>OrganizedData[[#This Row],[Quantity]]*VLOOKUP(OrganizedData[[#This Row],[Product Code]],ProductData[],4,FALSE)</f>
        <v>1656</v>
      </c>
      <c r="Q4127" s="6">
        <f>OrganizedData[[#This Row],[Total Items Ordered]]*VLOOKUP(OrganizedData[[#This Row],[Product Code]],ProductData[],3,FALSE)</f>
        <v>5613.84</v>
      </c>
      <c r="R41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5333.1480000000001</v>
      </c>
    </row>
    <row r="4128" spans="1:18" x14ac:dyDescent="0.3">
      <c r="A4128" s="2">
        <v>4121</v>
      </c>
      <c r="B4128" s="2" t="s">
        <v>2947</v>
      </c>
      <c r="C4128" s="2" t="s">
        <v>1700</v>
      </c>
      <c r="D4128" s="2" t="s">
        <v>28</v>
      </c>
      <c r="E4128" s="2" t="s">
        <v>29</v>
      </c>
      <c r="F4128" s="2">
        <v>60</v>
      </c>
      <c r="G4128" s="2" t="s">
        <v>9235</v>
      </c>
      <c r="H4128" s="2" t="s">
        <v>1168</v>
      </c>
      <c r="I4128" s="2" t="s">
        <v>32</v>
      </c>
      <c r="J4128" s="3">
        <v>44020</v>
      </c>
      <c r="K4128" s="5">
        <f>YEAR(OrganizedData[[#This Row],[Order Date]])</f>
        <v>2020</v>
      </c>
      <c r="L4128" s="7" t="str">
        <f>TEXT(OrganizedData[[#This Row],[Order Date]],"mmm")</f>
        <v>Jul</v>
      </c>
      <c r="M4128" s="2">
        <v>64</v>
      </c>
      <c r="N4128" s="2" t="s">
        <v>64</v>
      </c>
      <c r="O4128" s="2" t="str">
        <f>VLOOKUP(OrganizedData[[#This Row],[Product Code]],ProductData[[Code]:[Item]],2,FALSE)</f>
        <v>Ultrathing V4</v>
      </c>
      <c r="P4128" s="4">
        <f>OrganizedData[[#This Row],[Quantity]]*VLOOKUP(OrganizedData[[#This Row],[Product Code]],ProductData[],4,FALSE)</f>
        <v>1536</v>
      </c>
      <c r="Q4128" s="6">
        <f>OrganizedData[[#This Row],[Total Items Ordered]]*VLOOKUP(OrganizedData[[#This Row],[Product Code]],ProductData[],3,FALSE)</f>
        <v>6128.64</v>
      </c>
      <c r="R41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5822.2079999999996</v>
      </c>
    </row>
    <row r="4129" spans="1:18" x14ac:dyDescent="0.3">
      <c r="A4129" s="2">
        <v>4122</v>
      </c>
      <c r="B4129" s="2" t="s">
        <v>267</v>
      </c>
      <c r="C4129" s="2" t="s">
        <v>2030</v>
      </c>
      <c r="D4129" s="2" t="s">
        <v>28</v>
      </c>
      <c r="E4129" s="2" t="s">
        <v>29</v>
      </c>
      <c r="F4129" s="2">
        <v>90</v>
      </c>
      <c r="G4129" s="2" t="s">
        <v>9236</v>
      </c>
      <c r="H4129" s="2" t="s">
        <v>8547</v>
      </c>
      <c r="I4129" s="2" t="s">
        <v>32</v>
      </c>
      <c r="J4129" s="3">
        <v>44722</v>
      </c>
      <c r="K4129" s="5">
        <f>YEAR(OrganizedData[[#This Row],[Order Date]])</f>
        <v>2022</v>
      </c>
      <c r="L4129" s="7" t="str">
        <f>TEXT(OrganizedData[[#This Row],[Order Date]],"mmm")</f>
        <v>Jun</v>
      </c>
      <c r="M4129" s="2">
        <v>27</v>
      </c>
      <c r="N4129" s="2" t="s">
        <v>33</v>
      </c>
      <c r="O4129" s="2" t="str">
        <f>VLOOKUP(OrganizedData[[#This Row],[Product Code]],ProductData[[Code]:[Item]],2,FALSE)</f>
        <v>Megawidget L</v>
      </c>
      <c r="P4129" s="4">
        <f>OrganizedData[[#This Row],[Quantity]]*VLOOKUP(OrganizedData[[#This Row],[Product Code]],ProductData[],4,FALSE)</f>
        <v>648</v>
      </c>
      <c r="Q4129" s="6">
        <f>OrganizedData[[#This Row],[Total Items Ordered]]*VLOOKUP(OrganizedData[[#This Row],[Product Code]],ProductData[],3,FALSE)</f>
        <v>1159.92</v>
      </c>
      <c r="R41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1125.1224</v>
      </c>
    </row>
    <row r="4130" spans="1:18" x14ac:dyDescent="0.3">
      <c r="A4130" s="2">
        <v>4123</v>
      </c>
      <c r="B4130" s="2" t="s">
        <v>9237</v>
      </c>
      <c r="C4130" s="2" t="s">
        <v>5413</v>
      </c>
      <c r="D4130" s="2" t="s">
        <v>51</v>
      </c>
      <c r="E4130" s="2" t="s">
        <v>16</v>
      </c>
      <c r="F4130" s="2">
        <v>30</v>
      </c>
      <c r="G4130" s="2" t="s">
        <v>9238</v>
      </c>
      <c r="H4130" s="2" t="s">
        <v>3670</v>
      </c>
      <c r="I4130" s="2" t="s">
        <v>3671</v>
      </c>
      <c r="J4130" s="3">
        <v>44562</v>
      </c>
      <c r="K4130" s="5">
        <f>YEAR(OrganizedData[[#This Row],[Order Date]])</f>
        <v>2022</v>
      </c>
      <c r="L4130" s="7" t="str">
        <f>TEXT(OrganizedData[[#This Row],[Order Date]],"mmm")</f>
        <v>Jan</v>
      </c>
      <c r="M4130" s="2">
        <v>17</v>
      </c>
      <c r="N4130" s="2" t="s">
        <v>159</v>
      </c>
      <c r="O4130" s="2" t="str">
        <f>VLOOKUP(OrganizedData[[#This Row],[Product Code]],ProductData[[Code]:[Item]],2,FALSE)</f>
        <v>Ultrathing V3</v>
      </c>
      <c r="P4130" s="4">
        <f>OrganizedData[[#This Row],[Quantity]]*VLOOKUP(OrganizedData[[#This Row],[Product Code]],ProductData[],4,FALSE)</f>
        <v>408</v>
      </c>
      <c r="Q4130" s="6">
        <f>OrganizedData[[#This Row],[Total Items Ordered]]*VLOOKUP(OrganizedData[[#This Row],[Product Code]],ProductData[],3,FALSE)</f>
        <v>1383.1200000000001</v>
      </c>
      <c r="R41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1383.1200000000001</v>
      </c>
    </row>
    <row r="4131" spans="1:18" x14ac:dyDescent="0.3">
      <c r="A4131" s="2">
        <v>4124</v>
      </c>
      <c r="B4131" s="2" t="s">
        <v>6912</v>
      </c>
      <c r="C4131" s="2" t="s">
        <v>6055</v>
      </c>
      <c r="D4131" s="2" t="s">
        <v>15</v>
      </c>
      <c r="E4131" s="2" t="s">
        <v>16</v>
      </c>
      <c r="F4131" s="2">
        <v>30</v>
      </c>
      <c r="G4131" s="2" t="s">
        <v>10571</v>
      </c>
      <c r="H4131" s="2" t="s">
        <v>2713</v>
      </c>
      <c r="I4131" s="2" t="s">
        <v>38</v>
      </c>
      <c r="J4131" s="3">
        <v>44605</v>
      </c>
      <c r="K4131" s="5">
        <f>YEAR(OrganizedData[[#This Row],[Order Date]])</f>
        <v>2022</v>
      </c>
      <c r="L4131" s="7" t="str">
        <f>TEXT(OrganizedData[[#This Row],[Order Date]],"mmm")</f>
        <v>Feb</v>
      </c>
      <c r="M4131" s="2">
        <v>5</v>
      </c>
      <c r="N4131" s="2" t="s">
        <v>45</v>
      </c>
      <c r="O4131" s="2" t="str">
        <f>VLOOKUP(OrganizedData[[#This Row],[Product Code]],ProductData[[Code]:[Item]],2,FALSE)</f>
        <v>Gigastuff</v>
      </c>
      <c r="P4131" s="4">
        <f>OrganizedData[[#This Row],[Quantity]]*VLOOKUP(OrganizedData[[#This Row],[Product Code]],ProductData[],4,FALSE)</f>
        <v>90</v>
      </c>
      <c r="Q4131" s="6">
        <f>OrganizedData[[#This Row],[Total Items Ordered]]*VLOOKUP(OrganizedData[[#This Row],[Product Code]],ProductData[],3,FALSE)</f>
        <v>170.1</v>
      </c>
      <c r="R41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4132" spans="1:18" x14ac:dyDescent="0.3">
      <c r="A4132" s="2">
        <v>4125</v>
      </c>
      <c r="B4132" s="2" t="s">
        <v>9240</v>
      </c>
      <c r="C4132" s="2" t="s">
        <v>7774</v>
      </c>
      <c r="D4132" s="2" t="s">
        <v>41</v>
      </c>
      <c r="E4132" s="2" t="s">
        <v>16</v>
      </c>
      <c r="F4132" s="2">
        <v>30</v>
      </c>
      <c r="G4132" s="2" t="s">
        <v>9241</v>
      </c>
      <c r="H4132" s="2" t="s">
        <v>4874</v>
      </c>
      <c r="I4132" s="2" t="s">
        <v>32</v>
      </c>
      <c r="J4132" s="3">
        <v>44215</v>
      </c>
      <c r="K4132" s="5">
        <f>YEAR(OrganizedData[[#This Row],[Order Date]])</f>
        <v>2021</v>
      </c>
      <c r="L4132" s="7" t="str">
        <f>TEXT(OrganizedData[[#This Row],[Order Date]],"mmm")</f>
        <v>Jan</v>
      </c>
      <c r="M4132" s="2">
        <v>92</v>
      </c>
      <c r="N4132" s="2" t="s">
        <v>45</v>
      </c>
      <c r="O4132" s="2" t="str">
        <f>VLOOKUP(OrganizedData[[#This Row],[Product Code]],ProductData[[Code]:[Item]],2,FALSE)</f>
        <v>Gigastuff</v>
      </c>
      <c r="P4132" s="4">
        <f>OrganizedData[[#This Row],[Quantity]]*VLOOKUP(OrganizedData[[#This Row],[Product Code]],ProductData[],4,FALSE)</f>
        <v>1656</v>
      </c>
      <c r="Q4132" s="6">
        <f>OrganizedData[[#This Row],[Total Items Ordered]]*VLOOKUP(OrganizedData[[#This Row],[Product Code]],ProductData[],3,FALSE)</f>
        <v>3129.8399999999997</v>
      </c>
      <c r="R41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2973.3479999999995</v>
      </c>
    </row>
    <row r="4133" spans="1:18" x14ac:dyDescent="0.3">
      <c r="A4133" s="2">
        <v>4126</v>
      </c>
      <c r="B4133" s="2" t="s">
        <v>5444</v>
      </c>
      <c r="C4133" s="2" t="s">
        <v>1861</v>
      </c>
      <c r="D4133" s="2" t="s">
        <v>51</v>
      </c>
      <c r="E4133" s="2" t="s">
        <v>16</v>
      </c>
      <c r="F4133" s="2">
        <v>30</v>
      </c>
      <c r="G4133" s="2" t="s">
        <v>9242</v>
      </c>
      <c r="H4133" s="2" t="s">
        <v>6283</v>
      </c>
      <c r="I4133" s="2" t="s">
        <v>32</v>
      </c>
      <c r="J4133" s="3">
        <v>44186</v>
      </c>
      <c r="K4133" s="5">
        <f>YEAR(OrganizedData[[#This Row],[Order Date]])</f>
        <v>2020</v>
      </c>
      <c r="L4133" s="7" t="str">
        <f>TEXT(OrganizedData[[#This Row],[Order Date]],"mmm")</f>
        <v>Dec</v>
      </c>
      <c r="M4133" s="2">
        <v>82</v>
      </c>
      <c r="N4133" s="2" t="s">
        <v>20</v>
      </c>
      <c r="O4133" s="2" t="str">
        <f>VLOOKUP(OrganizedData[[#This Row],[Product Code]],ProductData[[Code]:[Item]],2,FALSE)</f>
        <v>Hyperwotsit</v>
      </c>
      <c r="P4133" s="4">
        <f>OrganizedData[[#This Row],[Quantity]]*VLOOKUP(OrganizedData[[#This Row],[Product Code]],ProductData[],4,FALSE)</f>
        <v>1640</v>
      </c>
      <c r="Q4133" s="6">
        <f>OrganizedData[[#This Row],[Total Items Ordered]]*VLOOKUP(OrganizedData[[#This Row],[Product Code]],ProductData[],3,FALSE)</f>
        <v>3296.3999999999996</v>
      </c>
      <c r="R41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3131.5799999999995</v>
      </c>
    </row>
    <row r="4134" spans="1:18" x14ac:dyDescent="0.3">
      <c r="A4134" s="2">
        <v>4127</v>
      </c>
      <c r="B4134" s="2" t="s">
        <v>2040</v>
      </c>
      <c r="C4134" s="2" t="s">
        <v>9243</v>
      </c>
      <c r="D4134" s="2" t="s">
        <v>15</v>
      </c>
      <c r="E4134" s="2" t="s">
        <v>16</v>
      </c>
      <c r="F4134" s="2">
        <v>90</v>
      </c>
      <c r="G4134" s="2" t="s">
        <v>9244</v>
      </c>
      <c r="H4134" s="2" t="s">
        <v>5025</v>
      </c>
      <c r="I4134" s="2" t="s">
        <v>32</v>
      </c>
      <c r="J4134" s="3">
        <v>44325</v>
      </c>
      <c r="K4134" s="5">
        <f>YEAR(OrganizedData[[#This Row],[Order Date]])</f>
        <v>2021</v>
      </c>
      <c r="L4134" s="7" t="str">
        <f>TEXT(OrganizedData[[#This Row],[Order Date]],"mmm")</f>
        <v>May</v>
      </c>
      <c r="M4134" s="2">
        <v>9</v>
      </c>
      <c r="N4134" s="2" t="s">
        <v>70</v>
      </c>
      <c r="O4134" s="2" t="str">
        <f>VLOOKUP(OrganizedData[[#This Row],[Product Code]],ProductData[[Code]:[Item]],2,FALSE)</f>
        <v>Megawidget M</v>
      </c>
      <c r="P4134" s="4">
        <f>OrganizedData[[#This Row],[Quantity]]*VLOOKUP(OrganizedData[[#This Row],[Product Code]],ProductData[],4,FALSE)</f>
        <v>216</v>
      </c>
      <c r="Q4134" s="6">
        <f>OrganizedData[[#This Row],[Total Items Ordered]]*VLOOKUP(OrganizedData[[#This Row],[Product Code]],ProductData[],3,FALSE)</f>
        <v>278.64</v>
      </c>
      <c r="R41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278.64</v>
      </c>
    </row>
    <row r="4135" spans="1:18" x14ac:dyDescent="0.3">
      <c r="A4135" s="2">
        <v>4128</v>
      </c>
      <c r="B4135" s="2" t="s">
        <v>2398</v>
      </c>
      <c r="C4135" s="2" t="s">
        <v>1950</v>
      </c>
      <c r="D4135" s="2" t="s">
        <v>28</v>
      </c>
      <c r="E4135" s="2" t="s">
        <v>29</v>
      </c>
      <c r="F4135" s="2">
        <v>30</v>
      </c>
      <c r="G4135" s="2" t="s">
        <v>9245</v>
      </c>
      <c r="H4135" s="2" t="s">
        <v>4794</v>
      </c>
      <c r="I4135" s="2" t="s">
        <v>32</v>
      </c>
      <c r="J4135" s="3">
        <v>44456</v>
      </c>
      <c r="K4135" s="5">
        <f>YEAR(OrganizedData[[#This Row],[Order Date]])</f>
        <v>2021</v>
      </c>
      <c r="L4135" s="7" t="str">
        <f>TEXT(OrganizedData[[#This Row],[Order Date]],"mmm")</f>
        <v>Sep</v>
      </c>
      <c r="M4135" s="2">
        <v>70</v>
      </c>
      <c r="N4135" s="2" t="s">
        <v>45</v>
      </c>
      <c r="O4135" s="2" t="str">
        <f>VLOOKUP(OrganizedData[[#This Row],[Product Code]],ProductData[[Code]:[Item]],2,FALSE)</f>
        <v>Gigastuff</v>
      </c>
      <c r="P4135" s="4">
        <f>OrganizedData[[#This Row],[Quantity]]*VLOOKUP(OrganizedData[[#This Row],[Product Code]],ProductData[],4,FALSE)</f>
        <v>1260</v>
      </c>
      <c r="Q4135" s="6">
        <f>OrganizedData[[#This Row],[Total Items Ordered]]*VLOOKUP(OrganizedData[[#This Row],[Product Code]],ProductData[],3,FALSE)</f>
        <v>2381.4</v>
      </c>
      <c r="R41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2262.33</v>
      </c>
    </row>
    <row r="4136" spans="1:18" x14ac:dyDescent="0.3">
      <c r="A4136" s="2">
        <v>4129</v>
      </c>
      <c r="B4136" s="2" t="s">
        <v>2731</v>
      </c>
      <c r="C4136" s="2" t="s">
        <v>2431</v>
      </c>
      <c r="D4136" s="2" t="s">
        <v>28</v>
      </c>
      <c r="E4136" s="2" t="s">
        <v>29</v>
      </c>
      <c r="F4136" s="2">
        <v>60</v>
      </c>
      <c r="G4136" s="2" t="s">
        <v>9246</v>
      </c>
      <c r="H4136" s="2" t="s">
        <v>8205</v>
      </c>
      <c r="I4136" s="2" t="s">
        <v>25</v>
      </c>
      <c r="J4136" s="3">
        <v>44299</v>
      </c>
      <c r="K4136" s="5">
        <f>YEAR(OrganizedData[[#This Row],[Order Date]])</f>
        <v>2021</v>
      </c>
      <c r="L4136" s="7" t="str">
        <f>TEXT(OrganizedData[[#This Row],[Order Date]],"mmm")</f>
        <v>Apr</v>
      </c>
      <c r="M4136" s="2">
        <v>31</v>
      </c>
      <c r="N4136" s="2" t="s">
        <v>64</v>
      </c>
      <c r="O4136" s="2" t="str">
        <f>VLOOKUP(OrganizedData[[#This Row],[Product Code]],ProductData[[Code]:[Item]],2,FALSE)</f>
        <v>Ultrathing V4</v>
      </c>
      <c r="P4136" s="4">
        <f>OrganizedData[[#This Row],[Quantity]]*VLOOKUP(OrganizedData[[#This Row],[Product Code]],ProductData[],4,FALSE)</f>
        <v>744</v>
      </c>
      <c r="Q4136" s="6">
        <f>OrganizedData[[#This Row],[Total Items Ordered]]*VLOOKUP(OrganizedData[[#This Row],[Product Code]],ProductData[],3,FALSE)</f>
        <v>2968.56</v>
      </c>
      <c r="R41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4137" spans="1:18" x14ac:dyDescent="0.3">
      <c r="A4137" s="2">
        <v>4130</v>
      </c>
      <c r="B4137" s="2" t="s">
        <v>4139</v>
      </c>
      <c r="C4137" s="2" t="s">
        <v>2448</v>
      </c>
      <c r="D4137" s="2" t="s">
        <v>51</v>
      </c>
      <c r="E4137" s="2" t="s">
        <v>16</v>
      </c>
      <c r="F4137" s="2">
        <v>60</v>
      </c>
      <c r="G4137" s="2" t="s">
        <v>9247</v>
      </c>
      <c r="H4137" s="2" t="s">
        <v>1973</v>
      </c>
      <c r="I4137" s="2" t="s">
        <v>110</v>
      </c>
      <c r="J4137" s="3">
        <v>44023</v>
      </c>
      <c r="K4137" s="5">
        <f>YEAR(OrganizedData[[#This Row],[Order Date]])</f>
        <v>2020</v>
      </c>
      <c r="L4137" s="7" t="str">
        <f>TEXT(OrganizedData[[#This Row],[Order Date]],"mmm")</f>
        <v>Jul</v>
      </c>
      <c r="M4137" s="2">
        <v>45</v>
      </c>
      <c r="N4137" s="2" t="s">
        <v>159</v>
      </c>
      <c r="O4137" s="2" t="str">
        <f>VLOOKUP(OrganizedData[[#This Row],[Product Code]],ProductData[[Code]:[Item]],2,FALSE)</f>
        <v>Ultrathing V3</v>
      </c>
      <c r="P4137" s="4">
        <f>OrganizedData[[#This Row],[Quantity]]*VLOOKUP(OrganizedData[[#This Row],[Product Code]],ProductData[],4,FALSE)</f>
        <v>1080</v>
      </c>
      <c r="Q4137" s="6">
        <f>OrganizedData[[#This Row],[Total Items Ordered]]*VLOOKUP(OrganizedData[[#This Row],[Product Code]],ProductData[],3,FALSE)</f>
        <v>3661.2000000000003</v>
      </c>
      <c r="R41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3551.364</v>
      </c>
    </row>
    <row r="4138" spans="1:18" x14ac:dyDescent="0.3">
      <c r="A4138" s="2">
        <v>4131</v>
      </c>
      <c r="B4138" s="2" t="s">
        <v>616</v>
      </c>
      <c r="C4138" s="2" t="s">
        <v>4933</v>
      </c>
      <c r="D4138" s="2" t="s">
        <v>28</v>
      </c>
      <c r="E4138" s="2" t="s">
        <v>29</v>
      </c>
      <c r="F4138" s="2">
        <v>60</v>
      </c>
      <c r="G4138" s="2" t="s">
        <v>10572</v>
      </c>
      <c r="H4138" s="2" t="s">
        <v>1218</v>
      </c>
      <c r="I4138" s="2" t="s">
        <v>294</v>
      </c>
      <c r="J4138" s="3">
        <v>44051</v>
      </c>
      <c r="K4138" s="5">
        <f>YEAR(OrganizedData[[#This Row],[Order Date]])</f>
        <v>2020</v>
      </c>
      <c r="L4138" s="7" t="str">
        <f>TEXT(OrganizedData[[#This Row],[Order Date]],"mmm")</f>
        <v>Aug</v>
      </c>
      <c r="M4138" s="2">
        <v>56</v>
      </c>
      <c r="N4138" s="2" t="s">
        <v>70</v>
      </c>
      <c r="O4138" s="2" t="str">
        <f>VLOOKUP(OrganizedData[[#This Row],[Product Code]],ProductData[[Code]:[Item]],2,FALSE)</f>
        <v>Megawidget M</v>
      </c>
      <c r="P4138" s="4">
        <f>OrganizedData[[#This Row],[Quantity]]*VLOOKUP(OrganizedData[[#This Row],[Product Code]],ProductData[],4,FALSE)</f>
        <v>1344</v>
      </c>
      <c r="Q4138" s="6">
        <f>OrganizedData[[#This Row],[Total Items Ordered]]*VLOOKUP(OrganizedData[[#This Row],[Product Code]],ProductData[],3,FALSE)</f>
        <v>1733.76</v>
      </c>
      <c r="R41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1647.0719999999999</v>
      </c>
    </row>
    <row r="4139" spans="1:18" x14ac:dyDescent="0.3">
      <c r="A4139" s="2">
        <v>4132</v>
      </c>
      <c r="B4139" s="2" t="s">
        <v>4419</v>
      </c>
      <c r="C4139" s="2" t="s">
        <v>516</v>
      </c>
      <c r="D4139" s="2" t="s">
        <v>28</v>
      </c>
      <c r="E4139" s="2" t="s">
        <v>29</v>
      </c>
      <c r="F4139" s="2">
        <v>30</v>
      </c>
      <c r="G4139" s="2" t="s">
        <v>9249</v>
      </c>
      <c r="H4139" s="2" t="s">
        <v>3033</v>
      </c>
      <c r="I4139" s="2" t="s">
        <v>32</v>
      </c>
      <c r="J4139" s="3">
        <v>44438</v>
      </c>
      <c r="K4139" s="5">
        <f>YEAR(OrganizedData[[#This Row],[Order Date]])</f>
        <v>2021</v>
      </c>
      <c r="L4139" s="7" t="str">
        <f>TEXT(OrganizedData[[#This Row],[Order Date]],"mmm")</f>
        <v>Aug</v>
      </c>
      <c r="M4139" s="2">
        <v>26</v>
      </c>
      <c r="N4139" s="2" t="s">
        <v>101</v>
      </c>
      <c r="O4139" s="2" t="str">
        <f>VLOOKUP(OrganizedData[[#This Row],[Product Code]],ProductData[[Code]:[Item]],2,FALSE)</f>
        <v>Superwossname</v>
      </c>
      <c r="P4139" s="4">
        <f>OrganizedData[[#This Row],[Quantity]]*VLOOKUP(OrganizedData[[#This Row],[Product Code]],ProductData[],4,FALSE)</f>
        <v>520</v>
      </c>
      <c r="Q4139" s="6">
        <f>OrganizedData[[#This Row],[Total Items Ordered]]*VLOOKUP(OrganizedData[[#This Row],[Product Code]],ProductData[],3,FALSE)</f>
        <v>1814.8000000000002</v>
      </c>
      <c r="R41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1760.3560000000002</v>
      </c>
    </row>
    <row r="4140" spans="1:18" x14ac:dyDescent="0.3">
      <c r="A4140" s="2">
        <v>4133</v>
      </c>
      <c r="B4140" s="2" t="s">
        <v>4099</v>
      </c>
      <c r="C4140" s="2" t="s">
        <v>1341</v>
      </c>
      <c r="D4140" s="2" t="s">
        <v>28</v>
      </c>
      <c r="E4140" s="2" t="s">
        <v>29</v>
      </c>
      <c r="F4140" s="2">
        <v>90</v>
      </c>
      <c r="G4140" s="2" t="s">
        <v>9250</v>
      </c>
      <c r="H4140" s="2" t="s">
        <v>1190</v>
      </c>
      <c r="I4140" s="2" t="s">
        <v>173</v>
      </c>
      <c r="J4140" s="3">
        <v>44495</v>
      </c>
      <c r="K4140" s="5">
        <f>YEAR(OrganizedData[[#This Row],[Order Date]])</f>
        <v>2021</v>
      </c>
      <c r="L4140" s="7" t="str">
        <f>TEXT(OrganizedData[[#This Row],[Order Date]],"mmm")</f>
        <v>Oct</v>
      </c>
      <c r="M4140" s="2">
        <v>15</v>
      </c>
      <c r="N4140" s="2" t="s">
        <v>45</v>
      </c>
      <c r="O4140" s="2" t="str">
        <f>VLOOKUP(OrganizedData[[#This Row],[Product Code]],ProductData[[Code]:[Item]],2,FALSE)</f>
        <v>Gigastuff</v>
      </c>
      <c r="P4140" s="4">
        <f>OrganizedData[[#This Row],[Quantity]]*VLOOKUP(OrganizedData[[#This Row],[Product Code]],ProductData[],4,FALSE)</f>
        <v>270</v>
      </c>
      <c r="Q4140" s="6">
        <f>OrganizedData[[#This Row],[Total Items Ordered]]*VLOOKUP(OrganizedData[[#This Row],[Product Code]],ProductData[],3,FALSE)</f>
        <v>510.29999999999995</v>
      </c>
      <c r="R41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510.29999999999995</v>
      </c>
    </row>
    <row r="4141" spans="1:18" x14ac:dyDescent="0.3">
      <c r="A4141" s="2">
        <v>4134</v>
      </c>
      <c r="B4141" s="2" t="s">
        <v>1225</v>
      </c>
      <c r="C4141" s="2" t="s">
        <v>1843</v>
      </c>
      <c r="D4141" s="2" t="s">
        <v>28</v>
      </c>
      <c r="E4141" s="2" t="s">
        <v>29</v>
      </c>
      <c r="F4141" s="2">
        <v>60</v>
      </c>
      <c r="G4141" s="2" t="s">
        <v>9251</v>
      </c>
      <c r="H4141" s="2" t="s">
        <v>5637</v>
      </c>
      <c r="I4141" s="2" t="s">
        <v>32</v>
      </c>
      <c r="J4141" s="3">
        <v>44042</v>
      </c>
      <c r="K4141" s="5">
        <f>YEAR(OrganizedData[[#This Row],[Order Date]])</f>
        <v>2020</v>
      </c>
      <c r="L4141" s="7" t="str">
        <f>TEXT(OrganizedData[[#This Row],[Order Date]],"mmm")</f>
        <v>Jul</v>
      </c>
      <c r="M4141" s="2">
        <v>50</v>
      </c>
      <c r="N4141" s="2" t="s">
        <v>45</v>
      </c>
      <c r="O4141" s="2" t="str">
        <f>VLOOKUP(OrganizedData[[#This Row],[Product Code]],ProductData[[Code]:[Item]],2,FALSE)</f>
        <v>Gigastuff</v>
      </c>
      <c r="P4141" s="4">
        <f>OrganizedData[[#This Row],[Quantity]]*VLOOKUP(OrganizedData[[#This Row],[Product Code]],ProductData[],4,FALSE)</f>
        <v>900</v>
      </c>
      <c r="Q4141" s="6">
        <f>OrganizedData[[#This Row],[Total Items Ordered]]*VLOOKUP(OrganizedData[[#This Row],[Product Code]],ProductData[],3,FALSE)</f>
        <v>1701</v>
      </c>
      <c r="R41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1649.97</v>
      </c>
    </row>
    <row r="4142" spans="1:18" x14ac:dyDescent="0.3">
      <c r="A4142" s="2">
        <v>4135</v>
      </c>
      <c r="B4142" s="2" t="s">
        <v>9252</v>
      </c>
      <c r="C4142" s="2" t="s">
        <v>9253</v>
      </c>
      <c r="D4142" s="2" t="s">
        <v>41</v>
      </c>
      <c r="E4142" s="2" t="s">
        <v>16</v>
      </c>
      <c r="F4142" s="2">
        <v>90</v>
      </c>
      <c r="G4142" s="2" t="s">
        <v>9254</v>
      </c>
      <c r="H4142" s="2" t="s">
        <v>2706</v>
      </c>
      <c r="I4142" s="2" t="s">
        <v>294</v>
      </c>
      <c r="J4142" s="3">
        <v>43987</v>
      </c>
      <c r="K4142" s="5">
        <f>YEAR(OrganizedData[[#This Row],[Order Date]])</f>
        <v>2020</v>
      </c>
      <c r="L4142" s="7" t="str">
        <f>TEXT(OrganizedData[[#This Row],[Order Date]],"mmm")</f>
        <v>Jun</v>
      </c>
      <c r="M4142" s="2">
        <v>48</v>
      </c>
      <c r="N4142" s="2" t="s">
        <v>101</v>
      </c>
      <c r="O4142" s="2" t="str">
        <f>VLOOKUP(OrganizedData[[#This Row],[Product Code]],ProductData[[Code]:[Item]],2,FALSE)</f>
        <v>Superwossname</v>
      </c>
      <c r="P4142" s="4">
        <f>OrganizedData[[#This Row],[Quantity]]*VLOOKUP(OrganizedData[[#This Row],[Product Code]],ProductData[],4,FALSE)</f>
        <v>960</v>
      </c>
      <c r="Q4142" s="6">
        <f>OrganizedData[[#This Row],[Total Items Ordered]]*VLOOKUP(OrganizedData[[#This Row],[Product Code]],ProductData[],3,FALSE)</f>
        <v>3350.4</v>
      </c>
      <c r="R41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3249.8879999999999</v>
      </c>
    </row>
    <row r="4143" spans="1:18" x14ac:dyDescent="0.3">
      <c r="A4143" s="2">
        <v>4136</v>
      </c>
      <c r="B4143" s="2" t="s">
        <v>9255</v>
      </c>
      <c r="C4143" s="2" t="s">
        <v>1573</v>
      </c>
      <c r="D4143" s="2" t="s">
        <v>15</v>
      </c>
      <c r="E4143" s="2" t="s">
        <v>16</v>
      </c>
      <c r="F4143" s="2">
        <v>90</v>
      </c>
      <c r="G4143" s="2" t="s">
        <v>9256</v>
      </c>
      <c r="H4143" s="2" t="s">
        <v>4882</v>
      </c>
      <c r="I4143" s="2" t="s">
        <v>146</v>
      </c>
      <c r="J4143" s="3">
        <v>44340</v>
      </c>
      <c r="K4143" s="5">
        <f>YEAR(OrganizedData[[#This Row],[Order Date]])</f>
        <v>2021</v>
      </c>
      <c r="L4143" s="7" t="str">
        <f>TEXT(OrganizedData[[#This Row],[Order Date]],"mmm")</f>
        <v>May</v>
      </c>
      <c r="M4143" s="2">
        <v>43</v>
      </c>
      <c r="N4143" s="2" t="s">
        <v>70</v>
      </c>
      <c r="O4143" s="2" t="str">
        <f>VLOOKUP(OrganizedData[[#This Row],[Product Code]],ProductData[[Code]:[Item]],2,FALSE)</f>
        <v>Megawidget M</v>
      </c>
      <c r="P4143" s="4">
        <f>OrganizedData[[#This Row],[Quantity]]*VLOOKUP(OrganizedData[[#This Row],[Product Code]],ProductData[],4,FALSE)</f>
        <v>1032</v>
      </c>
      <c r="Q4143" s="6">
        <f>OrganizedData[[#This Row],[Total Items Ordered]]*VLOOKUP(OrganizedData[[#This Row],[Product Code]],ProductData[],3,FALSE)</f>
        <v>1331.28</v>
      </c>
      <c r="R41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4144" spans="1:18" x14ac:dyDescent="0.3">
      <c r="A4144" s="2">
        <v>4137</v>
      </c>
      <c r="B4144" s="2" t="s">
        <v>2743</v>
      </c>
      <c r="C4144" s="2" t="s">
        <v>2413</v>
      </c>
      <c r="D4144" s="2" t="s">
        <v>28</v>
      </c>
      <c r="E4144" s="2" t="s">
        <v>29</v>
      </c>
      <c r="F4144" s="2">
        <v>60</v>
      </c>
      <c r="G4144" s="2" t="s">
        <v>9257</v>
      </c>
      <c r="H4144" s="2" t="s">
        <v>1519</v>
      </c>
      <c r="I4144" s="2" t="s">
        <v>32</v>
      </c>
      <c r="J4144" s="3">
        <v>44039</v>
      </c>
      <c r="K4144" s="5">
        <f>YEAR(OrganizedData[[#This Row],[Order Date]])</f>
        <v>2020</v>
      </c>
      <c r="L4144" s="7" t="str">
        <f>TEXT(OrganizedData[[#This Row],[Order Date]],"mmm")</f>
        <v>Jul</v>
      </c>
      <c r="M4144" s="2">
        <v>48</v>
      </c>
      <c r="N4144" s="2" t="s">
        <v>70</v>
      </c>
      <c r="O4144" s="2" t="str">
        <f>VLOOKUP(OrganizedData[[#This Row],[Product Code]],ProductData[[Code]:[Item]],2,FALSE)</f>
        <v>Megawidget M</v>
      </c>
      <c r="P4144" s="4">
        <f>OrganizedData[[#This Row],[Quantity]]*VLOOKUP(OrganizedData[[#This Row],[Product Code]],ProductData[],4,FALSE)</f>
        <v>1152</v>
      </c>
      <c r="Q4144" s="6">
        <f>OrganizedData[[#This Row],[Total Items Ordered]]*VLOOKUP(OrganizedData[[#This Row],[Product Code]],ProductData[],3,FALSE)</f>
        <v>1486.08</v>
      </c>
      <c r="R41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4145" spans="1:18" x14ac:dyDescent="0.3">
      <c r="A4145" s="2">
        <v>4138</v>
      </c>
      <c r="B4145" s="2" t="s">
        <v>9258</v>
      </c>
      <c r="C4145" s="2" t="s">
        <v>1762</v>
      </c>
      <c r="D4145" s="2" t="s">
        <v>15</v>
      </c>
      <c r="E4145" s="2" t="s">
        <v>16</v>
      </c>
      <c r="F4145" s="2">
        <v>30</v>
      </c>
      <c r="G4145" s="2" t="s">
        <v>9259</v>
      </c>
      <c r="H4145" s="2" t="s">
        <v>7936</v>
      </c>
      <c r="I4145" s="2" t="s">
        <v>32</v>
      </c>
      <c r="J4145" s="3">
        <v>43971</v>
      </c>
      <c r="K4145" s="5">
        <f>YEAR(OrganizedData[[#This Row],[Order Date]])</f>
        <v>2020</v>
      </c>
      <c r="L4145" s="7" t="str">
        <f>TEXT(OrganizedData[[#This Row],[Order Date]],"mmm")</f>
        <v>May</v>
      </c>
      <c r="M4145" s="2">
        <v>77</v>
      </c>
      <c r="N4145" s="2" t="s">
        <v>80</v>
      </c>
      <c r="O4145" s="2" t="str">
        <f>VLOOKUP(OrganizedData[[#This Row],[Product Code]],ProductData[[Code]:[Item]],2,FALSE)</f>
        <v>Ultrathing V2</v>
      </c>
      <c r="P4145" s="4">
        <f>OrganizedData[[#This Row],[Quantity]]*VLOOKUP(OrganizedData[[#This Row],[Product Code]],ProductData[],4,FALSE)</f>
        <v>1540</v>
      </c>
      <c r="Q4145" s="6">
        <f>OrganizedData[[#This Row],[Total Items Ordered]]*VLOOKUP(OrganizedData[[#This Row],[Product Code]],ProductData[],3,FALSE)</f>
        <v>4543</v>
      </c>
      <c r="R41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4315.8499999999995</v>
      </c>
    </row>
    <row r="4146" spans="1:18" x14ac:dyDescent="0.3">
      <c r="A4146" s="2">
        <v>4139</v>
      </c>
      <c r="B4146" s="2" t="s">
        <v>9260</v>
      </c>
      <c r="C4146" s="2" t="s">
        <v>4237</v>
      </c>
      <c r="D4146" s="2" t="s">
        <v>15</v>
      </c>
      <c r="E4146" s="2" t="s">
        <v>16</v>
      </c>
      <c r="F4146" s="2">
        <v>30</v>
      </c>
      <c r="G4146" s="2" t="s">
        <v>9261</v>
      </c>
      <c r="H4146" s="2" t="s">
        <v>2896</v>
      </c>
      <c r="I4146" s="2" t="s">
        <v>110</v>
      </c>
      <c r="J4146" s="3">
        <v>44793</v>
      </c>
      <c r="K4146" s="5">
        <f>YEAR(OrganizedData[[#This Row],[Order Date]])</f>
        <v>2022</v>
      </c>
      <c r="L4146" s="7" t="str">
        <f>TEXT(OrganizedData[[#This Row],[Order Date]],"mmm")</f>
        <v>Aug</v>
      </c>
      <c r="M4146" s="2">
        <v>62</v>
      </c>
      <c r="N4146" s="2" t="s">
        <v>80</v>
      </c>
      <c r="O4146" s="2" t="str">
        <f>VLOOKUP(OrganizedData[[#This Row],[Product Code]],ProductData[[Code]:[Item]],2,FALSE)</f>
        <v>Ultrathing V2</v>
      </c>
      <c r="P4146" s="4">
        <f>OrganizedData[[#This Row],[Quantity]]*VLOOKUP(OrganizedData[[#This Row],[Product Code]],ProductData[],4,FALSE)</f>
        <v>1240</v>
      </c>
      <c r="Q4146" s="6">
        <f>OrganizedData[[#This Row],[Total Items Ordered]]*VLOOKUP(OrganizedData[[#This Row],[Product Code]],ProductData[],3,FALSE)</f>
        <v>3658</v>
      </c>
      <c r="R41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3475.1</v>
      </c>
    </row>
    <row r="4147" spans="1:18" x14ac:dyDescent="0.3">
      <c r="A4147" s="2">
        <v>4140</v>
      </c>
      <c r="B4147" s="2" t="s">
        <v>504</v>
      </c>
      <c r="C4147" s="2" t="s">
        <v>9137</v>
      </c>
      <c r="D4147" s="2" t="s">
        <v>28</v>
      </c>
      <c r="E4147" s="2" t="s">
        <v>29</v>
      </c>
      <c r="F4147" s="2">
        <v>30</v>
      </c>
      <c r="G4147" s="2" t="s">
        <v>9262</v>
      </c>
      <c r="H4147" s="2" t="s">
        <v>1723</v>
      </c>
      <c r="I4147" s="2" t="s">
        <v>173</v>
      </c>
      <c r="J4147" s="3">
        <v>44639</v>
      </c>
      <c r="K4147" s="5">
        <f>YEAR(OrganizedData[[#This Row],[Order Date]])</f>
        <v>2022</v>
      </c>
      <c r="L4147" s="7" t="str">
        <f>TEXT(OrganizedData[[#This Row],[Order Date]],"mmm")</f>
        <v>Mar</v>
      </c>
      <c r="M4147" s="2">
        <v>11</v>
      </c>
      <c r="N4147" s="2" t="s">
        <v>101</v>
      </c>
      <c r="O4147" s="2" t="str">
        <f>VLOOKUP(OrganizedData[[#This Row],[Product Code]],ProductData[[Code]:[Item]],2,FALSE)</f>
        <v>Superwossname</v>
      </c>
      <c r="P4147" s="4">
        <f>OrganizedData[[#This Row],[Quantity]]*VLOOKUP(OrganizedData[[#This Row],[Product Code]],ProductData[],4,FALSE)</f>
        <v>220</v>
      </c>
      <c r="Q4147" s="6">
        <f>OrganizedData[[#This Row],[Total Items Ordered]]*VLOOKUP(OrganizedData[[#This Row],[Product Code]],ProductData[],3,FALSE)</f>
        <v>767.80000000000007</v>
      </c>
      <c r="R41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4148" spans="1:18" x14ac:dyDescent="0.3">
      <c r="A4148" s="2">
        <v>4141</v>
      </c>
      <c r="B4148" s="2" t="s">
        <v>9263</v>
      </c>
      <c r="C4148" s="2" t="s">
        <v>6890</v>
      </c>
      <c r="D4148" s="2" t="s">
        <v>15</v>
      </c>
      <c r="E4148" s="2" t="s">
        <v>16</v>
      </c>
      <c r="F4148" s="2">
        <v>90</v>
      </c>
      <c r="G4148" s="2" t="s">
        <v>9264</v>
      </c>
      <c r="H4148" s="2" t="s">
        <v>901</v>
      </c>
      <c r="I4148" s="2" t="s">
        <v>146</v>
      </c>
      <c r="J4148" s="3">
        <v>44435</v>
      </c>
      <c r="K4148" s="5">
        <f>YEAR(OrganizedData[[#This Row],[Order Date]])</f>
        <v>2021</v>
      </c>
      <c r="L4148" s="7" t="str">
        <f>TEXT(OrganizedData[[#This Row],[Order Date]],"mmm")</f>
        <v>Aug</v>
      </c>
      <c r="M4148" s="2">
        <v>54</v>
      </c>
      <c r="N4148" s="2" t="s">
        <v>159</v>
      </c>
      <c r="O4148" s="2" t="str">
        <f>VLOOKUP(OrganizedData[[#This Row],[Product Code]],ProductData[[Code]:[Item]],2,FALSE)</f>
        <v>Ultrathing V3</v>
      </c>
      <c r="P4148" s="4">
        <f>OrganizedData[[#This Row],[Quantity]]*VLOOKUP(OrganizedData[[#This Row],[Product Code]],ProductData[],4,FALSE)</f>
        <v>1296</v>
      </c>
      <c r="Q4148" s="6">
        <f>OrganizedData[[#This Row],[Total Items Ordered]]*VLOOKUP(OrganizedData[[#This Row],[Product Code]],ProductData[],3,FALSE)</f>
        <v>4393.4400000000005</v>
      </c>
      <c r="R41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4173.768</v>
      </c>
    </row>
    <row r="4149" spans="1:18" x14ac:dyDescent="0.3">
      <c r="A4149" s="2">
        <v>4142</v>
      </c>
      <c r="B4149" s="2" t="s">
        <v>2131</v>
      </c>
      <c r="C4149" s="2" t="s">
        <v>2905</v>
      </c>
      <c r="D4149" s="2" t="s">
        <v>51</v>
      </c>
      <c r="E4149" s="2" t="s">
        <v>16</v>
      </c>
      <c r="F4149" s="2">
        <v>30</v>
      </c>
      <c r="G4149" s="2" t="s">
        <v>9265</v>
      </c>
      <c r="H4149" s="2" t="s">
        <v>6059</v>
      </c>
      <c r="I4149" s="2" t="s">
        <v>32</v>
      </c>
      <c r="J4149" s="3">
        <v>44262</v>
      </c>
      <c r="K4149" s="5">
        <f>YEAR(OrganizedData[[#This Row],[Order Date]])</f>
        <v>2021</v>
      </c>
      <c r="L4149" s="7" t="str">
        <f>TEXT(OrganizedData[[#This Row],[Order Date]],"mmm")</f>
        <v>Mar</v>
      </c>
      <c r="M4149" s="2">
        <v>9</v>
      </c>
      <c r="N4149" s="2" t="s">
        <v>33</v>
      </c>
      <c r="O4149" s="2" t="str">
        <f>VLOOKUP(OrganizedData[[#This Row],[Product Code]],ProductData[[Code]:[Item]],2,FALSE)</f>
        <v>Megawidget L</v>
      </c>
      <c r="P4149" s="4">
        <f>OrganizedData[[#This Row],[Quantity]]*VLOOKUP(OrganizedData[[#This Row],[Product Code]],ProductData[],4,FALSE)</f>
        <v>216</v>
      </c>
      <c r="Q4149" s="6">
        <f>OrganizedData[[#This Row],[Total Items Ordered]]*VLOOKUP(OrganizedData[[#This Row],[Product Code]],ProductData[],3,FALSE)</f>
        <v>386.64</v>
      </c>
      <c r="R41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386.64</v>
      </c>
    </row>
    <row r="4150" spans="1:18" x14ac:dyDescent="0.3">
      <c r="A4150" s="2">
        <v>4143</v>
      </c>
      <c r="B4150" s="2" t="s">
        <v>9266</v>
      </c>
      <c r="C4150" s="2" t="s">
        <v>2154</v>
      </c>
      <c r="D4150" s="2" t="s">
        <v>51</v>
      </c>
      <c r="E4150" s="2" t="s">
        <v>16</v>
      </c>
      <c r="F4150" s="2">
        <v>60</v>
      </c>
      <c r="G4150" s="2" t="s">
        <v>9267</v>
      </c>
      <c r="H4150" s="2" t="s">
        <v>1164</v>
      </c>
      <c r="I4150" s="2" t="s">
        <v>89</v>
      </c>
      <c r="J4150" s="3">
        <v>44881</v>
      </c>
      <c r="K4150" s="5">
        <f>YEAR(OrganizedData[[#This Row],[Order Date]])</f>
        <v>2022</v>
      </c>
      <c r="L4150" s="7" t="str">
        <f>TEXT(OrganizedData[[#This Row],[Order Date]],"mmm")</f>
        <v>Nov</v>
      </c>
      <c r="M4150" s="2">
        <v>71</v>
      </c>
      <c r="N4150" s="2" t="s">
        <v>39</v>
      </c>
      <c r="O4150" s="2" t="str">
        <f>VLOOKUP(OrganizedData[[#This Row],[Product Code]],ProductData[[Code]:[Item]],2,FALSE)</f>
        <v>Ultrathing V1</v>
      </c>
      <c r="P4150" s="4">
        <f>OrganizedData[[#This Row],[Quantity]]*VLOOKUP(OrganizedData[[#This Row],[Product Code]],ProductData[],4,FALSE)</f>
        <v>1207</v>
      </c>
      <c r="Q4150" s="6">
        <f>OrganizedData[[#This Row],[Total Items Ordered]]*VLOOKUP(OrganizedData[[#This Row],[Product Code]],ProductData[],3,FALSE)</f>
        <v>2160.5300000000002</v>
      </c>
      <c r="R41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2052.5035000000003</v>
      </c>
    </row>
    <row r="4151" spans="1:18" x14ac:dyDescent="0.3">
      <c r="A4151" s="2">
        <v>4144</v>
      </c>
      <c r="B4151" s="2" t="s">
        <v>9268</v>
      </c>
      <c r="C4151" s="2" t="s">
        <v>879</v>
      </c>
      <c r="D4151" s="2" t="s">
        <v>15</v>
      </c>
      <c r="E4151" s="2" t="s">
        <v>16</v>
      </c>
      <c r="F4151" s="2">
        <v>30</v>
      </c>
      <c r="G4151" s="2" t="s">
        <v>9269</v>
      </c>
      <c r="H4151" s="2" t="s">
        <v>9209</v>
      </c>
      <c r="I4151" s="2" t="s">
        <v>32</v>
      </c>
      <c r="J4151" s="3">
        <v>44100</v>
      </c>
      <c r="K4151" s="5">
        <f>YEAR(OrganizedData[[#This Row],[Order Date]])</f>
        <v>2020</v>
      </c>
      <c r="L4151" s="7" t="str">
        <f>TEXT(OrganizedData[[#This Row],[Order Date]],"mmm")</f>
        <v>Sep</v>
      </c>
      <c r="M4151" s="2">
        <v>23</v>
      </c>
      <c r="N4151" s="2" t="s">
        <v>80</v>
      </c>
      <c r="O4151" s="2" t="str">
        <f>VLOOKUP(OrganizedData[[#This Row],[Product Code]],ProductData[[Code]:[Item]],2,FALSE)</f>
        <v>Ultrathing V2</v>
      </c>
      <c r="P4151" s="4">
        <f>OrganizedData[[#This Row],[Quantity]]*VLOOKUP(OrganizedData[[#This Row],[Product Code]],ProductData[],4,FALSE)</f>
        <v>460</v>
      </c>
      <c r="Q4151" s="6">
        <f>OrganizedData[[#This Row],[Total Items Ordered]]*VLOOKUP(OrganizedData[[#This Row],[Product Code]],ProductData[],3,FALSE)</f>
        <v>1357</v>
      </c>
      <c r="R41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1316.29</v>
      </c>
    </row>
    <row r="4152" spans="1:18" x14ac:dyDescent="0.3">
      <c r="A4152" s="2">
        <v>4145</v>
      </c>
      <c r="B4152" s="2" t="s">
        <v>9270</v>
      </c>
      <c r="C4152" s="2" t="s">
        <v>4018</v>
      </c>
      <c r="D4152" s="2" t="s">
        <v>15</v>
      </c>
      <c r="E4152" s="2" t="s">
        <v>16</v>
      </c>
      <c r="F4152" s="2">
        <v>30</v>
      </c>
      <c r="G4152" s="2" t="s">
        <v>9271</v>
      </c>
      <c r="H4152" s="2" t="s">
        <v>1723</v>
      </c>
      <c r="I4152" s="2" t="s">
        <v>173</v>
      </c>
      <c r="J4152" s="3">
        <v>43946</v>
      </c>
      <c r="K4152" s="5">
        <f>YEAR(OrganizedData[[#This Row],[Order Date]])</f>
        <v>2020</v>
      </c>
      <c r="L4152" s="7" t="str">
        <f>TEXT(OrganizedData[[#This Row],[Order Date]],"mmm")</f>
        <v>Apr</v>
      </c>
      <c r="M4152" s="2">
        <v>66</v>
      </c>
      <c r="N4152" s="2" t="s">
        <v>54</v>
      </c>
      <c r="O4152" s="2" t="str">
        <f>VLOOKUP(OrganizedData[[#This Row],[Product Code]],ProductData[[Code]:[Item]],2,FALSE)</f>
        <v>Megawidget S</v>
      </c>
      <c r="P4152" s="4">
        <f>OrganizedData[[#This Row],[Quantity]]*VLOOKUP(OrganizedData[[#This Row],[Product Code]],ProductData[],4,FALSE)</f>
        <v>1584</v>
      </c>
      <c r="Q4152" s="6">
        <f>OrganizedData[[#This Row],[Total Items Ordered]]*VLOOKUP(OrganizedData[[#This Row],[Product Code]],ProductData[],3,FALSE)</f>
        <v>1092.9599999999998</v>
      </c>
      <c r="R41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4153" spans="1:18" x14ac:dyDescent="0.3">
      <c r="A4153" s="2">
        <v>4146</v>
      </c>
      <c r="B4153" s="2" t="s">
        <v>8669</v>
      </c>
      <c r="C4153" s="2" t="s">
        <v>4615</v>
      </c>
      <c r="D4153" s="2" t="s">
        <v>15</v>
      </c>
      <c r="E4153" s="2" t="s">
        <v>16</v>
      </c>
      <c r="F4153" s="2">
        <v>30</v>
      </c>
      <c r="G4153" s="2" t="s">
        <v>9272</v>
      </c>
      <c r="H4153" s="2" t="s">
        <v>1864</v>
      </c>
      <c r="I4153" s="2" t="s">
        <v>294</v>
      </c>
      <c r="J4153" s="3">
        <v>44851</v>
      </c>
      <c r="K4153" s="5">
        <f>YEAR(OrganizedData[[#This Row],[Order Date]])</f>
        <v>2022</v>
      </c>
      <c r="L4153" s="7" t="str">
        <f>TEXT(OrganizedData[[#This Row],[Order Date]],"mmm")</f>
        <v>Oct</v>
      </c>
      <c r="M4153" s="2">
        <v>7</v>
      </c>
      <c r="N4153" s="2" t="s">
        <v>45</v>
      </c>
      <c r="O4153" s="2" t="str">
        <f>VLOOKUP(OrganizedData[[#This Row],[Product Code]],ProductData[[Code]:[Item]],2,FALSE)</f>
        <v>Gigastuff</v>
      </c>
      <c r="P4153" s="4">
        <f>OrganizedData[[#This Row],[Quantity]]*VLOOKUP(OrganizedData[[#This Row],[Product Code]],ProductData[],4,FALSE)</f>
        <v>126</v>
      </c>
      <c r="Q4153" s="6">
        <f>OrganizedData[[#This Row],[Total Items Ordered]]*VLOOKUP(OrganizedData[[#This Row],[Product Code]],ProductData[],3,FALSE)</f>
        <v>238.14</v>
      </c>
      <c r="R41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238.14</v>
      </c>
    </row>
    <row r="4154" spans="1:18" x14ac:dyDescent="0.3">
      <c r="A4154" s="2">
        <v>4147</v>
      </c>
      <c r="B4154" s="2" t="s">
        <v>9273</v>
      </c>
      <c r="C4154" s="2" t="s">
        <v>7099</v>
      </c>
      <c r="D4154" s="2" t="s">
        <v>51</v>
      </c>
      <c r="E4154" s="2" t="s">
        <v>16</v>
      </c>
      <c r="F4154" s="2">
        <v>30</v>
      </c>
      <c r="G4154" s="2" t="s">
        <v>9274</v>
      </c>
      <c r="H4154" s="2" t="s">
        <v>235</v>
      </c>
      <c r="I4154" s="2" t="s">
        <v>146</v>
      </c>
      <c r="J4154" s="3">
        <v>44088</v>
      </c>
      <c r="K4154" s="5">
        <f>YEAR(OrganizedData[[#This Row],[Order Date]])</f>
        <v>2020</v>
      </c>
      <c r="L4154" s="7" t="str">
        <f>TEXT(OrganizedData[[#This Row],[Order Date]],"mmm")</f>
        <v>Sep</v>
      </c>
      <c r="M4154" s="2">
        <v>28</v>
      </c>
      <c r="N4154" s="2" t="s">
        <v>20</v>
      </c>
      <c r="O4154" s="2" t="str">
        <f>VLOOKUP(OrganizedData[[#This Row],[Product Code]],ProductData[[Code]:[Item]],2,FALSE)</f>
        <v>Hyperwotsit</v>
      </c>
      <c r="P4154" s="4">
        <f>OrganizedData[[#This Row],[Quantity]]*VLOOKUP(OrganizedData[[#This Row],[Product Code]],ProductData[],4,FALSE)</f>
        <v>560</v>
      </c>
      <c r="Q4154" s="6">
        <f>OrganizedData[[#This Row],[Total Items Ordered]]*VLOOKUP(OrganizedData[[#This Row],[Product Code]],ProductData[],3,FALSE)</f>
        <v>1125.5999999999999</v>
      </c>
      <c r="R41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1091.8319999999999</v>
      </c>
    </row>
    <row r="4155" spans="1:18" x14ac:dyDescent="0.3">
      <c r="A4155" s="2">
        <v>4148</v>
      </c>
      <c r="B4155" s="2" t="s">
        <v>6915</v>
      </c>
      <c r="C4155" s="2" t="s">
        <v>1585</v>
      </c>
      <c r="D4155" s="2" t="s">
        <v>621</v>
      </c>
      <c r="E4155" s="2" t="s">
        <v>29</v>
      </c>
      <c r="F4155" s="2">
        <v>90</v>
      </c>
      <c r="G4155" s="2" t="s">
        <v>9274</v>
      </c>
      <c r="H4155" s="2" t="s">
        <v>2536</v>
      </c>
      <c r="I4155" s="2" t="s">
        <v>124</v>
      </c>
      <c r="J4155" s="3">
        <v>44922</v>
      </c>
      <c r="K4155" s="5">
        <f>YEAR(OrganizedData[[#This Row],[Order Date]])</f>
        <v>2022</v>
      </c>
      <c r="L4155" s="7" t="str">
        <f>TEXT(OrganizedData[[#This Row],[Order Date]],"mmm")</f>
        <v>Dec</v>
      </c>
      <c r="M4155" s="2">
        <v>35</v>
      </c>
      <c r="N4155" s="2" t="s">
        <v>80</v>
      </c>
      <c r="O4155" s="2" t="str">
        <f>VLOOKUP(OrganizedData[[#This Row],[Product Code]],ProductData[[Code]:[Item]],2,FALSE)</f>
        <v>Ultrathing V2</v>
      </c>
      <c r="P4155" s="4">
        <f>OrganizedData[[#This Row],[Quantity]]*VLOOKUP(OrganizedData[[#This Row],[Product Code]],ProductData[],4,FALSE)</f>
        <v>700</v>
      </c>
      <c r="Q4155" s="6">
        <f>OrganizedData[[#This Row],[Total Items Ordered]]*VLOOKUP(OrganizedData[[#This Row],[Product Code]],ProductData[],3,FALSE)</f>
        <v>2065</v>
      </c>
      <c r="R41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2003.05</v>
      </c>
    </row>
    <row r="4156" spans="1:18" x14ac:dyDescent="0.3">
      <c r="A4156" s="2">
        <v>4149</v>
      </c>
      <c r="B4156" s="2" t="s">
        <v>9275</v>
      </c>
      <c r="C4156" s="2" t="s">
        <v>5727</v>
      </c>
      <c r="D4156" s="2" t="s">
        <v>41</v>
      </c>
      <c r="E4156" s="2" t="s">
        <v>16</v>
      </c>
      <c r="F4156" s="2">
        <v>60</v>
      </c>
      <c r="G4156" s="2" t="s">
        <v>9276</v>
      </c>
      <c r="H4156" s="2" t="s">
        <v>985</v>
      </c>
      <c r="I4156" s="2" t="s">
        <v>38</v>
      </c>
      <c r="J4156" s="3">
        <v>44015</v>
      </c>
      <c r="K4156" s="5">
        <f>YEAR(OrganizedData[[#This Row],[Order Date]])</f>
        <v>2020</v>
      </c>
      <c r="L4156" s="7" t="str">
        <f>TEXT(OrganizedData[[#This Row],[Order Date]],"mmm")</f>
        <v>Jul</v>
      </c>
      <c r="M4156" s="2">
        <v>74</v>
      </c>
      <c r="N4156" s="2" t="s">
        <v>70</v>
      </c>
      <c r="O4156" s="2" t="str">
        <f>VLOOKUP(OrganizedData[[#This Row],[Product Code]],ProductData[[Code]:[Item]],2,FALSE)</f>
        <v>Megawidget M</v>
      </c>
      <c r="P4156" s="4">
        <f>OrganizedData[[#This Row],[Quantity]]*VLOOKUP(OrganizedData[[#This Row],[Product Code]],ProductData[],4,FALSE)</f>
        <v>1776</v>
      </c>
      <c r="Q4156" s="6">
        <f>OrganizedData[[#This Row],[Total Items Ordered]]*VLOOKUP(OrganizedData[[#This Row],[Product Code]],ProductData[],3,FALSE)</f>
        <v>2291.04</v>
      </c>
      <c r="R41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2176.4879999999998</v>
      </c>
    </row>
    <row r="4157" spans="1:18" x14ac:dyDescent="0.3">
      <c r="A4157" s="2">
        <v>4150</v>
      </c>
      <c r="B4157" s="2" t="s">
        <v>9277</v>
      </c>
      <c r="C4157" s="2" t="s">
        <v>9278</v>
      </c>
      <c r="D4157" s="2" t="s">
        <v>15</v>
      </c>
      <c r="E4157" s="2" t="s">
        <v>16</v>
      </c>
      <c r="F4157" s="2">
        <v>30</v>
      </c>
      <c r="G4157" s="2" t="s">
        <v>9276</v>
      </c>
      <c r="H4157" s="2" t="s">
        <v>9279</v>
      </c>
      <c r="I4157" s="2" t="s">
        <v>32</v>
      </c>
      <c r="J4157" s="3">
        <v>44332</v>
      </c>
      <c r="K4157" s="5">
        <f>YEAR(OrganizedData[[#This Row],[Order Date]])</f>
        <v>2021</v>
      </c>
      <c r="L4157" s="7" t="str">
        <f>TEXT(OrganizedData[[#This Row],[Order Date]],"mmm")</f>
        <v>May</v>
      </c>
      <c r="M4157" s="2">
        <v>60</v>
      </c>
      <c r="N4157" s="2" t="s">
        <v>45</v>
      </c>
      <c r="O4157" s="2" t="str">
        <f>VLOOKUP(OrganizedData[[#This Row],[Product Code]],ProductData[[Code]:[Item]],2,FALSE)</f>
        <v>Gigastuff</v>
      </c>
      <c r="P4157" s="4">
        <f>OrganizedData[[#This Row],[Quantity]]*VLOOKUP(OrganizedData[[#This Row],[Product Code]],ProductData[],4,FALSE)</f>
        <v>1080</v>
      </c>
      <c r="Q4157" s="6">
        <f>OrganizedData[[#This Row],[Total Items Ordered]]*VLOOKUP(OrganizedData[[#This Row],[Product Code]],ProductData[],3,FALSE)</f>
        <v>2041.1999999999998</v>
      </c>
      <c r="R41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1939.1399999999996</v>
      </c>
    </row>
    <row r="4158" spans="1:18" x14ac:dyDescent="0.3">
      <c r="A4158" s="2">
        <v>4151</v>
      </c>
      <c r="B4158" s="2" t="s">
        <v>3714</v>
      </c>
      <c r="C4158" s="2" t="s">
        <v>9280</v>
      </c>
      <c r="D4158" s="2" t="s">
        <v>28</v>
      </c>
      <c r="E4158" s="2" t="s">
        <v>29</v>
      </c>
      <c r="F4158" s="2">
        <v>60</v>
      </c>
      <c r="G4158" s="2" t="s">
        <v>9281</v>
      </c>
      <c r="H4158" s="2" t="s">
        <v>4334</v>
      </c>
      <c r="I4158" s="2" t="s">
        <v>1199</v>
      </c>
      <c r="J4158" s="3">
        <v>44260</v>
      </c>
      <c r="K4158" s="5">
        <f>YEAR(OrganizedData[[#This Row],[Order Date]])</f>
        <v>2021</v>
      </c>
      <c r="L4158" s="7" t="str">
        <f>TEXT(OrganizedData[[#This Row],[Order Date]],"mmm")</f>
        <v>Mar</v>
      </c>
      <c r="M4158" s="2">
        <v>65</v>
      </c>
      <c r="N4158" s="2" t="s">
        <v>159</v>
      </c>
      <c r="O4158" s="2" t="str">
        <f>VLOOKUP(OrganizedData[[#This Row],[Product Code]],ProductData[[Code]:[Item]],2,FALSE)</f>
        <v>Ultrathing V3</v>
      </c>
      <c r="P4158" s="4">
        <f>OrganizedData[[#This Row],[Quantity]]*VLOOKUP(OrganizedData[[#This Row],[Product Code]],ProductData[],4,FALSE)</f>
        <v>1560</v>
      </c>
      <c r="Q4158" s="6">
        <f>OrganizedData[[#This Row],[Total Items Ordered]]*VLOOKUP(OrganizedData[[#This Row],[Product Code]],ProductData[],3,FALSE)</f>
        <v>5288.4000000000005</v>
      </c>
      <c r="R41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4159" spans="1:18" x14ac:dyDescent="0.3">
      <c r="A4159" s="2">
        <v>4152</v>
      </c>
      <c r="B4159" s="2" t="s">
        <v>3532</v>
      </c>
      <c r="C4159" s="2" t="s">
        <v>2985</v>
      </c>
      <c r="D4159" s="2" t="s">
        <v>28</v>
      </c>
      <c r="E4159" s="2" t="s">
        <v>29</v>
      </c>
      <c r="F4159" s="2">
        <v>30</v>
      </c>
      <c r="G4159" s="2" t="s">
        <v>9285</v>
      </c>
      <c r="H4159" s="2" t="s">
        <v>9286</v>
      </c>
      <c r="I4159" s="2" t="s">
        <v>178</v>
      </c>
      <c r="J4159" s="3">
        <v>44390</v>
      </c>
      <c r="K4159" s="5">
        <f>YEAR(OrganizedData[[#This Row],[Order Date]])</f>
        <v>2021</v>
      </c>
      <c r="L4159" s="7" t="str">
        <f>TEXT(OrganizedData[[#This Row],[Order Date]],"mmm")</f>
        <v>Jul</v>
      </c>
      <c r="M4159" s="2">
        <v>38</v>
      </c>
      <c r="N4159" s="2" t="s">
        <v>64</v>
      </c>
      <c r="O4159" s="2" t="str">
        <f>VLOOKUP(OrganizedData[[#This Row],[Product Code]],ProductData[[Code]:[Item]],2,FALSE)</f>
        <v>Ultrathing V4</v>
      </c>
      <c r="P4159" s="4">
        <f>OrganizedData[[#This Row],[Quantity]]*VLOOKUP(OrganizedData[[#This Row],[Product Code]],ProductData[],4,FALSE)</f>
        <v>912</v>
      </c>
      <c r="Q4159" s="6">
        <f>OrganizedData[[#This Row],[Total Items Ordered]]*VLOOKUP(OrganizedData[[#This Row],[Product Code]],ProductData[],3,FALSE)</f>
        <v>3638.88</v>
      </c>
      <c r="R41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3529.7136</v>
      </c>
    </row>
    <row r="4160" spans="1:18" x14ac:dyDescent="0.3">
      <c r="A4160" s="2">
        <v>4153</v>
      </c>
      <c r="B4160" s="2" t="s">
        <v>2358</v>
      </c>
      <c r="C4160" s="2" t="s">
        <v>5534</v>
      </c>
      <c r="D4160" s="2" t="s">
        <v>28</v>
      </c>
      <c r="E4160" s="2" t="s">
        <v>29</v>
      </c>
      <c r="F4160" s="2">
        <v>90</v>
      </c>
      <c r="G4160" s="2" t="s">
        <v>10573</v>
      </c>
      <c r="H4160" s="2" t="s">
        <v>659</v>
      </c>
      <c r="I4160" s="2" t="s">
        <v>32</v>
      </c>
      <c r="J4160" s="3">
        <v>43861</v>
      </c>
      <c r="K4160" s="5">
        <f>YEAR(OrganizedData[[#This Row],[Order Date]])</f>
        <v>2020</v>
      </c>
      <c r="L4160" s="7" t="str">
        <f>TEXT(OrganizedData[[#This Row],[Order Date]],"mmm")</f>
        <v>Jan</v>
      </c>
      <c r="M4160" s="2">
        <v>70</v>
      </c>
      <c r="N4160" s="2" t="s">
        <v>54</v>
      </c>
      <c r="O4160" s="2" t="str">
        <f>VLOOKUP(OrganizedData[[#This Row],[Product Code]],ProductData[[Code]:[Item]],2,FALSE)</f>
        <v>Megawidget S</v>
      </c>
      <c r="P4160" s="4">
        <f>OrganizedData[[#This Row],[Quantity]]*VLOOKUP(OrganizedData[[#This Row],[Product Code]],ProductData[],4,FALSE)</f>
        <v>1680</v>
      </c>
      <c r="Q4160" s="6">
        <f>OrganizedData[[#This Row],[Total Items Ordered]]*VLOOKUP(OrganizedData[[#This Row],[Product Code]],ProductData[],3,FALSE)</f>
        <v>1159.1999999999998</v>
      </c>
      <c r="R41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1101.2399999999998</v>
      </c>
    </row>
    <row r="4161" spans="1:18" x14ac:dyDescent="0.3">
      <c r="A4161" s="2">
        <v>4154</v>
      </c>
      <c r="B4161" s="2" t="s">
        <v>237</v>
      </c>
      <c r="C4161" s="2" t="s">
        <v>642</v>
      </c>
      <c r="D4161" s="2" t="s">
        <v>15</v>
      </c>
      <c r="E4161" s="2" t="s">
        <v>16</v>
      </c>
      <c r="F4161" s="2">
        <v>60</v>
      </c>
      <c r="G4161" s="2" t="s">
        <v>9288</v>
      </c>
      <c r="H4161" s="2" t="s">
        <v>1276</v>
      </c>
      <c r="I4161" s="2" t="s">
        <v>32</v>
      </c>
      <c r="J4161" s="3">
        <v>44532</v>
      </c>
      <c r="K4161" s="5">
        <f>YEAR(OrganizedData[[#This Row],[Order Date]])</f>
        <v>2021</v>
      </c>
      <c r="L4161" s="7" t="str">
        <f>TEXT(OrganizedData[[#This Row],[Order Date]],"mmm")</f>
        <v>Dec</v>
      </c>
      <c r="M4161" s="2">
        <v>72</v>
      </c>
      <c r="N4161" s="2" t="s">
        <v>80</v>
      </c>
      <c r="O4161" s="2" t="str">
        <f>VLOOKUP(OrganizedData[[#This Row],[Product Code]],ProductData[[Code]:[Item]],2,FALSE)</f>
        <v>Ultrathing V2</v>
      </c>
      <c r="P4161" s="4">
        <f>OrganizedData[[#This Row],[Quantity]]*VLOOKUP(OrganizedData[[#This Row],[Product Code]],ProductData[],4,FALSE)</f>
        <v>1440</v>
      </c>
      <c r="Q4161" s="6">
        <f>OrganizedData[[#This Row],[Total Items Ordered]]*VLOOKUP(OrganizedData[[#This Row],[Product Code]],ProductData[],3,FALSE)</f>
        <v>4248</v>
      </c>
      <c r="R41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4035.6</v>
      </c>
    </row>
    <row r="4162" spans="1:18" x14ac:dyDescent="0.3">
      <c r="A4162" s="2">
        <v>4155</v>
      </c>
      <c r="B4162" s="2" t="s">
        <v>620</v>
      </c>
      <c r="C4162" s="2" t="s">
        <v>3098</v>
      </c>
      <c r="D4162" s="2" t="s">
        <v>28</v>
      </c>
      <c r="E4162" s="2" t="s">
        <v>29</v>
      </c>
      <c r="F4162" s="2">
        <v>30</v>
      </c>
      <c r="G4162" s="2" t="s">
        <v>9289</v>
      </c>
      <c r="H4162" s="2" t="s">
        <v>3284</v>
      </c>
      <c r="I4162" s="2" t="s">
        <v>32</v>
      </c>
      <c r="J4162" s="3">
        <v>44648</v>
      </c>
      <c r="K4162" s="5">
        <f>YEAR(OrganizedData[[#This Row],[Order Date]])</f>
        <v>2022</v>
      </c>
      <c r="L4162" s="7" t="str">
        <f>TEXT(OrganizedData[[#This Row],[Order Date]],"mmm")</f>
        <v>Mar</v>
      </c>
      <c r="M4162" s="2">
        <v>63</v>
      </c>
      <c r="N4162" s="2" t="s">
        <v>101</v>
      </c>
      <c r="O4162" s="2" t="str">
        <f>VLOOKUP(OrganizedData[[#This Row],[Product Code]],ProductData[[Code]:[Item]],2,FALSE)</f>
        <v>Superwossname</v>
      </c>
      <c r="P4162" s="4">
        <f>OrganizedData[[#This Row],[Quantity]]*VLOOKUP(OrganizedData[[#This Row],[Product Code]],ProductData[],4,FALSE)</f>
        <v>1260</v>
      </c>
      <c r="Q4162" s="6">
        <f>OrganizedData[[#This Row],[Total Items Ordered]]*VLOOKUP(OrganizedData[[#This Row],[Product Code]],ProductData[],3,FALSE)</f>
        <v>4397.4000000000005</v>
      </c>
      <c r="R41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4163" spans="1:18" x14ac:dyDescent="0.3">
      <c r="A4163" s="2">
        <v>4156</v>
      </c>
      <c r="B4163" s="2" t="s">
        <v>7422</v>
      </c>
      <c r="C4163" s="2" t="s">
        <v>1121</v>
      </c>
      <c r="D4163" s="2" t="s">
        <v>28</v>
      </c>
      <c r="E4163" s="2" t="s">
        <v>29</v>
      </c>
      <c r="F4163" s="2">
        <v>30</v>
      </c>
      <c r="G4163" s="2" t="s">
        <v>9290</v>
      </c>
      <c r="H4163" s="2" t="s">
        <v>2530</v>
      </c>
      <c r="I4163" s="2" t="s">
        <v>32</v>
      </c>
      <c r="J4163" s="3">
        <v>44902</v>
      </c>
      <c r="K4163" s="5">
        <f>YEAR(OrganizedData[[#This Row],[Order Date]])</f>
        <v>2022</v>
      </c>
      <c r="L4163" s="7" t="str">
        <f>TEXT(OrganizedData[[#This Row],[Order Date]],"mmm")</f>
        <v>Dec</v>
      </c>
      <c r="M4163" s="2">
        <v>46</v>
      </c>
      <c r="N4163" s="2" t="s">
        <v>54</v>
      </c>
      <c r="O4163" s="2" t="str">
        <f>VLOOKUP(OrganizedData[[#This Row],[Product Code]],ProductData[[Code]:[Item]],2,FALSE)</f>
        <v>Megawidget S</v>
      </c>
      <c r="P4163" s="4">
        <f>OrganizedData[[#This Row],[Quantity]]*VLOOKUP(OrganizedData[[#This Row],[Product Code]],ProductData[],4,FALSE)</f>
        <v>1104</v>
      </c>
      <c r="Q4163" s="6">
        <f>OrganizedData[[#This Row],[Total Items Ordered]]*VLOOKUP(OrganizedData[[#This Row],[Product Code]],ProductData[],3,FALSE)</f>
        <v>761.76</v>
      </c>
      <c r="R41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4164" spans="1:18" x14ac:dyDescent="0.3">
      <c r="A4164" s="2">
        <v>4157</v>
      </c>
      <c r="B4164" s="2" t="s">
        <v>2887</v>
      </c>
      <c r="C4164" s="2" t="s">
        <v>808</v>
      </c>
      <c r="D4164" s="2" t="s">
        <v>28</v>
      </c>
      <c r="E4164" s="2" t="s">
        <v>29</v>
      </c>
      <c r="F4164" s="2">
        <v>60</v>
      </c>
      <c r="G4164" s="2" t="s">
        <v>9291</v>
      </c>
      <c r="H4164" s="2" t="s">
        <v>5047</v>
      </c>
      <c r="I4164" s="2" t="s">
        <v>178</v>
      </c>
      <c r="J4164" s="3">
        <v>44310</v>
      </c>
      <c r="K4164" s="5">
        <f>YEAR(OrganizedData[[#This Row],[Order Date]])</f>
        <v>2021</v>
      </c>
      <c r="L4164" s="7" t="str">
        <f>TEXT(OrganizedData[[#This Row],[Order Date]],"mmm")</f>
        <v>Apr</v>
      </c>
      <c r="M4164" s="2">
        <v>6</v>
      </c>
      <c r="N4164" s="2" t="s">
        <v>45</v>
      </c>
      <c r="O4164" s="2" t="str">
        <f>VLOOKUP(OrganizedData[[#This Row],[Product Code]],ProductData[[Code]:[Item]],2,FALSE)</f>
        <v>Gigastuff</v>
      </c>
      <c r="P4164" s="4">
        <f>OrganizedData[[#This Row],[Quantity]]*VLOOKUP(OrganizedData[[#This Row],[Product Code]],ProductData[],4,FALSE)</f>
        <v>108</v>
      </c>
      <c r="Q4164" s="6">
        <f>OrganizedData[[#This Row],[Total Items Ordered]]*VLOOKUP(OrganizedData[[#This Row],[Product Code]],ProductData[],3,FALSE)</f>
        <v>204.11999999999998</v>
      </c>
      <c r="R41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204.11999999999998</v>
      </c>
    </row>
    <row r="4165" spans="1:18" x14ac:dyDescent="0.3">
      <c r="A4165" s="2">
        <v>4158</v>
      </c>
      <c r="B4165" s="2" t="s">
        <v>563</v>
      </c>
      <c r="C4165" s="2" t="s">
        <v>3712</v>
      </c>
      <c r="D4165" s="2" t="s">
        <v>28</v>
      </c>
      <c r="E4165" s="2" t="s">
        <v>29</v>
      </c>
      <c r="F4165" s="2">
        <v>60</v>
      </c>
      <c r="G4165" s="2" t="s">
        <v>9292</v>
      </c>
      <c r="H4165" s="2" t="s">
        <v>591</v>
      </c>
      <c r="I4165" s="2" t="s">
        <v>32</v>
      </c>
      <c r="J4165" s="3">
        <v>44583</v>
      </c>
      <c r="K4165" s="5">
        <f>YEAR(OrganizedData[[#This Row],[Order Date]])</f>
        <v>2022</v>
      </c>
      <c r="L4165" s="7" t="str">
        <f>TEXT(OrganizedData[[#This Row],[Order Date]],"mmm")</f>
        <v>Jan</v>
      </c>
      <c r="M4165" s="2">
        <v>53</v>
      </c>
      <c r="N4165" s="2" t="s">
        <v>45</v>
      </c>
      <c r="O4165" s="2" t="str">
        <f>VLOOKUP(OrganizedData[[#This Row],[Product Code]],ProductData[[Code]:[Item]],2,FALSE)</f>
        <v>Gigastuff</v>
      </c>
      <c r="P4165" s="4">
        <f>OrganizedData[[#This Row],[Quantity]]*VLOOKUP(OrganizedData[[#This Row],[Product Code]],ProductData[],4,FALSE)</f>
        <v>954</v>
      </c>
      <c r="Q4165" s="6">
        <f>OrganizedData[[#This Row],[Total Items Ordered]]*VLOOKUP(OrganizedData[[#This Row],[Product Code]],ProductData[],3,FALSE)</f>
        <v>1803.06</v>
      </c>
      <c r="R41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1712.9069999999999</v>
      </c>
    </row>
    <row r="4166" spans="1:18" x14ac:dyDescent="0.3">
      <c r="A4166" s="2">
        <v>4159</v>
      </c>
      <c r="B4166" s="2" t="s">
        <v>9293</v>
      </c>
      <c r="C4166" s="2" t="s">
        <v>2955</v>
      </c>
      <c r="D4166" s="2" t="s">
        <v>15</v>
      </c>
      <c r="E4166" s="2" t="s">
        <v>16</v>
      </c>
      <c r="F4166" s="2">
        <v>30</v>
      </c>
      <c r="G4166" s="2" t="s">
        <v>9294</v>
      </c>
      <c r="H4166" s="2" t="s">
        <v>2583</v>
      </c>
      <c r="I4166" s="2" t="s">
        <v>32</v>
      </c>
      <c r="J4166" s="3">
        <v>44179</v>
      </c>
      <c r="K4166" s="5">
        <f>YEAR(OrganizedData[[#This Row],[Order Date]])</f>
        <v>2020</v>
      </c>
      <c r="L4166" s="7" t="str">
        <f>TEXT(OrganizedData[[#This Row],[Order Date]],"mmm")</f>
        <v>Dec</v>
      </c>
      <c r="M4166" s="2">
        <v>9</v>
      </c>
      <c r="N4166" s="2" t="s">
        <v>159</v>
      </c>
      <c r="O4166" s="2" t="str">
        <f>VLOOKUP(OrganizedData[[#This Row],[Product Code]],ProductData[[Code]:[Item]],2,FALSE)</f>
        <v>Ultrathing V3</v>
      </c>
      <c r="P4166" s="4">
        <f>OrganizedData[[#This Row],[Quantity]]*VLOOKUP(OrganizedData[[#This Row],[Product Code]],ProductData[],4,FALSE)</f>
        <v>216</v>
      </c>
      <c r="Q4166" s="6">
        <f>OrganizedData[[#This Row],[Total Items Ordered]]*VLOOKUP(OrganizedData[[#This Row],[Product Code]],ProductData[],3,FALSE)</f>
        <v>732.24</v>
      </c>
      <c r="R41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732.24</v>
      </c>
    </row>
    <row r="4167" spans="1:18" x14ac:dyDescent="0.3">
      <c r="A4167" s="2">
        <v>4160</v>
      </c>
      <c r="B4167" s="2" t="s">
        <v>774</v>
      </c>
      <c r="C4167" s="2" t="s">
        <v>4420</v>
      </c>
      <c r="D4167" s="2" t="s">
        <v>15</v>
      </c>
      <c r="E4167" s="2" t="s">
        <v>16</v>
      </c>
      <c r="F4167" s="2">
        <v>30</v>
      </c>
      <c r="G4167" s="2" t="s">
        <v>9295</v>
      </c>
      <c r="H4167" s="2" t="s">
        <v>2720</v>
      </c>
      <c r="I4167" s="2" t="s">
        <v>32</v>
      </c>
      <c r="J4167" s="3">
        <v>44281</v>
      </c>
      <c r="K4167" s="5">
        <f>YEAR(OrganizedData[[#This Row],[Order Date]])</f>
        <v>2021</v>
      </c>
      <c r="L4167" s="7" t="str">
        <f>TEXT(OrganizedData[[#This Row],[Order Date]],"mmm")</f>
        <v>Mar</v>
      </c>
      <c r="M4167" s="2">
        <v>94</v>
      </c>
      <c r="N4167" s="2" t="s">
        <v>45</v>
      </c>
      <c r="O4167" s="2" t="str">
        <f>VLOOKUP(OrganizedData[[#This Row],[Product Code]],ProductData[[Code]:[Item]],2,FALSE)</f>
        <v>Gigastuff</v>
      </c>
      <c r="P4167" s="4">
        <f>OrganizedData[[#This Row],[Quantity]]*VLOOKUP(OrganizedData[[#This Row],[Product Code]],ProductData[],4,FALSE)</f>
        <v>1692</v>
      </c>
      <c r="Q4167" s="6">
        <f>OrganizedData[[#This Row],[Total Items Ordered]]*VLOOKUP(OrganizedData[[#This Row],[Product Code]],ProductData[],3,FALSE)</f>
        <v>3197.8799999999997</v>
      </c>
      <c r="R41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3037.9859999999994</v>
      </c>
    </row>
    <row r="4168" spans="1:18" x14ac:dyDescent="0.3">
      <c r="A4168" s="2">
        <v>4161</v>
      </c>
      <c r="B4168" s="2" t="s">
        <v>5797</v>
      </c>
      <c r="C4168" s="2" t="s">
        <v>6247</v>
      </c>
      <c r="D4168" s="2" t="s">
        <v>28</v>
      </c>
      <c r="E4168" s="2" t="s">
        <v>29</v>
      </c>
      <c r="F4168" s="2">
        <v>60</v>
      </c>
      <c r="G4168" s="2" t="s">
        <v>9296</v>
      </c>
      <c r="H4168" s="2" t="s">
        <v>3551</v>
      </c>
      <c r="I4168" s="2" t="s">
        <v>32</v>
      </c>
      <c r="J4168" s="3">
        <v>44589</v>
      </c>
      <c r="K4168" s="5">
        <f>YEAR(OrganizedData[[#This Row],[Order Date]])</f>
        <v>2022</v>
      </c>
      <c r="L4168" s="7" t="str">
        <f>TEXT(OrganizedData[[#This Row],[Order Date]],"mmm")</f>
        <v>Jan</v>
      </c>
      <c r="M4168" s="2">
        <v>6</v>
      </c>
      <c r="N4168" s="2" t="s">
        <v>20</v>
      </c>
      <c r="O4168" s="2" t="str">
        <f>VLOOKUP(OrganizedData[[#This Row],[Product Code]],ProductData[[Code]:[Item]],2,FALSE)</f>
        <v>Hyperwotsit</v>
      </c>
      <c r="P4168" s="4">
        <f>OrganizedData[[#This Row],[Quantity]]*VLOOKUP(OrganizedData[[#This Row],[Product Code]],ProductData[],4,FALSE)</f>
        <v>120</v>
      </c>
      <c r="Q4168" s="6">
        <f>OrganizedData[[#This Row],[Total Items Ordered]]*VLOOKUP(OrganizedData[[#This Row],[Product Code]],ProductData[],3,FALSE)</f>
        <v>241.2</v>
      </c>
      <c r="R41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241.2</v>
      </c>
    </row>
    <row r="4169" spans="1:18" x14ac:dyDescent="0.3">
      <c r="A4169" s="2">
        <v>4162</v>
      </c>
      <c r="B4169" s="2" t="s">
        <v>9297</v>
      </c>
      <c r="C4169" s="2" t="s">
        <v>5702</v>
      </c>
      <c r="D4169" s="2" t="s">
        <v>28</v>
      </c>
      <c r="E4169" s="2" t="s">
        <v>29</v>
      </c>
      <c r="F4169" s="2">
        <v>60</v>
      </c>
      <c r="G4169" s="2" t="s">
        <v>9298</v>
      </c>
      <c r="H4169" s="2" t="s">
        <v>7378</v>
      </c>
      <c r="I4169" s="2" t="s">
        <v>178</v>
      </c>
      <c r="J4169" s="3">
        <v>44089</v>
      </c>
      <c r="K4169" s="5">
        <f>YEAR(OrganizedData[[#This Row],[Order Date]])</f>
        <v>2020</v>
      </c>
      <c r="L4169" s="7" t="str">
        <f>TEXT(OrganizedData[[#This Row],[Order Date]],"mmm")</f>
        <v>Sep</v>
      </c>
      <c r="M4169" s="2">
        <v>73</v>
      </c>
      <c r="N4169" s="2" t="s">
        <v>70</v>
      </c>
      <c r="O4169" s="2" t="str">
        <f>VLOOKUP(OrganizedData[[#This Row],[Product Code]],ProductData[[Code]:[Item]],2,FALSE)</f>
        <v>Megawidget M</v>
      </c>
      <c r="P4169" s="4">
        <f>OrganizedData[[#This Row],[Quantity]]*VLOOKUP(OrganizedData[[#This Row],[Product Code]],ProductData[],4,FALSE)</f>
        <v>1752</v>
      </c>
      <c r="Q4169" s="6">
        <f>OrganizedData[[#This Row],[Total Items Ordered]]*VLOOKUP(OrganizedData[[#This Row],[Product Code]],ProductData[],3,FALSE)</f>
        <v>2260.08</v>
      </c>
      <c r="R41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4170" spans="1:18" x14ac:dyDescent="0.3">
      <c r="A4170" s="2">
        <v>4163</v>
      </c>
      <c r="B4170" s="2" t="s">
        <v>2835</v>
      </c>
      <c r="C4170" s="2" t="s">
        <v>9299</v>
      </c>
      <c r="D4170" s="2" t="s">
        <v>28</v>
      </c>
      <c r="E4170" s="2" t="s">
        <v>29</v>
      </c>
      <c r="F4170" s="2">
        <v>60</v>
      </c>
      <c r="G4170" s="2" t="s">
        <v>10574</v>
      </c>
      <c r="H4170" s="2" t="s">
        <v>363</v>
      </c>
      <c r="I4170" s="2" t="s">
        <v>110</v>
      </c>
      <c r="J4170" s="3">
        <v>44374</v>
      </c>
      <c r="K4170" s="5">
        <f>YEAR(OrganizedData[[#This Row],[Order Date]])</f>
        <v>2021</v>
      </c>
      <c r="L4170" s="7" t="str">
        <f>TEXT(OrganizedData[[#This Row],[Order Date]],"mmm")</f>
        <v>Jun</v>
      </c>
      <c r="M4170" s="2">
        <v>23</v>
      </c>
      <c r="N4170" s="2" t="s">
        <v>20</v>
      </c>
      <c r="O4170" s="2" t="str">
        <f>VLOOKUP(OrganizedData[[#This Row],[Product Code]],ProductData[[Code]:[Item]],2,FALSE)</f>
        <v>Hyperwotsit</v>
      </c>
      <c r="P4170" s="4">
        <f>OrganizedData[[#This Row],[Quantity]]*VLOOKUP(OrganizedData[[#This Row],[Product Code]],ProductData[],4,FALSE)</f>
        <v>460</v>
      </c>
      <c r="Q4170" s="6">
        <f>OrganizedData[[#This Row],[Total Items Ordered]]*VLOOKUP(OrganizedData[[#This Row],[Product Code]],ProductData[],3,FALSE)</f>
        <v>924.59999999999991</v>
      </c>
      <c r="R41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896.86199999999985</v>
      </c>
    </row>
    <row r="4171" spans="1:18" x14ac:dyDescent="0.3">
      <c r="A4171" s="2">
        <v>4164</v>
      </c>
      <c r="B4171" s="2" t="s">
        <v>3940</v>
      </c>
      <c r="C4171" s="2" t="s">
        <v>6814</v>
      </c>
      <c r="D4171" s="2" t="s">
        <v>28</v>
      </c>
      <c r="E4171" s="2" t="s">
        <v>29</v>
      </c>
      <c r="F4171" s="2">
        <v>30</v>
      </c>
      <c r="G4171" s="2" t="s">
        <v>9301</v>
      </c>
      <c r="H4171" s="2" t="s">
        <v>2608</v>
      </c>
      <c r="I4171" s="2" t="s">
        <v>38</v>
      </c>
      <c r="J4171" s="3">
        <v>44097</v>
      </c>
      <c r="K4171" s="5">
        <f>YEAR(OrganizedData[[#This Row],[Order Date]])</f>
        <v>2020</v>
      </c>
      <c r="L4171" s="7" t="str">
        <f>TEXT(OrganizedData[[#This Row],[Order Date]],"mmm")</f>
        <v>Sep</v>
      </c>
      <c r="M4171" s="2">
        <v>65</v>
      </c>
      <c r="N4171" s="2" t="s">
        <v>159</v>
      </c>
      <c r="O4171" s="2" t="str">
        <f>VLOOKUP(OrganizedData[[#This Row],[Product Code]],ProductData[[Code]:[Item]],2,FALSE)</f>
        <v>Ultrathing V3</v>
      </c>
      <c r="P4171" s="4">
        <f>OrganizedData[[#This Row],[Quantity]]*VLOOKUP(OrganizedData[[#This Row],[Product Code]],ProductData[],4,FALSE)</f>
        <v>1560</v>
      </c>
      <c r="Q4171" s="6">
        <f>OrganizedData[[#This Row],[Total Items Ordered]]*VLOOKUP(OrganizedData[[#This Row],[Product Code]],ProductData[],3,FALSE)</f>
        <v>5288.4000000000005</v>
      </c>
      <c r="R41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5023.9800000000005</v>
      </c>
    </row>
    <row r="4172" spans="1:18" x14ac:dyDescent="0.3">
      <c r="A4172" s="2">
        <v>4165</v>
      </c>
      <c r="B4172" s="2" t="s">
        <v>5918</v>
      </c>
      <c r="C4172" s="2" t="s">
        <v>6025</v>
      </c>
      <c r="D4172" s="2" t="s">
        <v>117</v>
      </c>
      <c r="E4172" s="2" t="s">
        <v>29</v>
      </c>
      <c r="F4172" s="2">
        <v>60</v>
      </c>
      <c r="G4172" s="2" t="s">
        <v>9302</v>
      </c>
      <c r="H4172" s="2" t="s">
        <v>4631</v>
      </c>
      <c r="I4172" s="2" t="s">
        <v>187</v>
      </c>
      <c r="J4172" s="3">
        <v>44263</v>
      </c>
      <c r="K4172" s="5">
        <f>YEAR(OrganizedData[[#This Row],[Order Date]])</f>
        <v>2021</v>
      </c>
      <c r="L4172" s="7" t="str">
        <f>TEXT(OrganizedData[[#This Row],[Order Date]],"mmm")</f>
        <v>Mar</v>
      </c>
      <c r="M4172" s="2">
        <v>26</v>
      </c>
      <c r="N4172" s="2" t="s">
        <v>101</v>
      </c>
      <c r="O4172" s="2" t="str">
        <f>VLOOKUP(OrganizedData[[#This Row],[Product Code]],ProductData[[Code]:[Item]],2,FALSE)</f>
        <v>Superwossname</v>
      </c>
      <c r="P4172" s="4">
        <f>OrganizedData[[#This Row],[Quantity]]*VLOOKUP(OrganizedData[[#This Row],[Product Code]],ProductData[],4,FALSE)</f>
        <v>520</v>
      </c>
      <c r="Q4172" s="6">
        <f>OrganizedData[[#This Row],[Total Items Ordered]]*VLOOKUP(OrganizedData[[#This Row],[Product Code]],ProductData[],3,FALSE)</f>
        <v>1814.8000000000002</v>
      </c>
      <c r="R41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1760.3560000000002</v>
      </c>
    </row>
    <row r="4173" spans="1:18" x14ac:dyDescent="0.3">
      <c r="A4173" s="2">
        <v>4166</v>
      </c>
      <c r="B4173" s="2" t="s">
        <v>1682</v>
      </c>
      <c r="C4173" s="2" t="s">
        <v>4632</v>
      </c>
      <c r="D4173" s="2" t="s">
        <v>28</v>
      </c>
      <c r="E4173" s="2" t="s">
        <v>29</v>
      </c>
      <c r="F4173" s="2">
        <v>30</v>
      </c>
      <c r="G4173" s="2" t="s">
        <v>9303</v>
      </c>
      <c r="H4173" s="2" t="s">
        <v>1590</v>
      </c>
      <c r="I4173" s="2" t="s">
        <v>32</v>
      </c>
      <c r="J4173" s="3">
        <v>44224</v>
      </c>
      <c r="K4173" s="5">
        <f>YEAR(OrganizedData[[#This Row],[Order Date]])</f>
        <v>2021</v>
      </c>
      <c r="L4173" s="7" t="str">
        <f>TEXT(OrganizedData[[#This Row],[Order Date]],"mmm")</f>
        <v>Jan</v>
      </c>
      <c r="M4173" s="2">
        <v>12</v>
      </c>
      <c r="N4173" s="2" t="s">
        <v>64</v>
      </c>
      <c r="O4173" s="2" t="str">
        <f>VLOOKUP(OrganizedData[[#This Row],[Product Code]],ProductData[[Code]:[Item]],2,FALSE)</f>
        <v>Ultrathing V4</v>
      </c>
      <c r="P4173" s="4">
        <f>OrganizedData[[#This Row],[Quantity]]*VLOOKUP(OrganizedData[[#This Row],[Product Code]],ProductData[],4,FALSE)</f>
        <v>288</v>
      </c>
      <c r="Q4173" s="6">
        <f>OrganizedData[[#This Row],[Total Items Ordered]]*VLOOKUP(OrganizedData[[#This Row],[Product Code]],ProductData[],3,FALSE)</f>
        <v>1149.1200000000001</v>
      </c>
      <c r="R41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1149.1200000000001</v>
      </c>
    </row>
    <row r="4174" spans="1:18" x14ac:dyDescent="0.3">
      <c r="A4174" s="2">
        <v>4167</v>
      </c>
      <c r="B4174" s="2" t="s">
        <v>9304</v>
      </c>
      <c r="C4174" s="2" t="s">
        <v>4322</v>
      </c>
      <c r="D4174" s="2" t="s">
        <v>15</v>
      </c>
      <c r="E4174" s="2" t="s">
        <v>16</v>
      </c>
      <c r="F4174" s="2">
        <v>30</v>
      </c>
      <c r="G4174" s="2" t="s">
        <v>9305</v>
      </c>
      <c r="H4174" s="2" t="s">
        <v>412</v>
      </c>
      <c r="I4174" s="2" t="s">
        <v>187</v>
      </c>
      <c r="J4174" s="3">
        <v>44729</v>
      </c>
      <c r="K4174" s="5">
        <f>YEAR(OrganizedData[[#This Row],[Order Date]])</f>
        <v>2022</v>
      </c>
      <c r="L4174" s="7" t="str">
        <f>TEXT(OrganizedData[[#This Row],[Order Date]],"mmm")</f>
        <v>Jun</v>
      </c>
      <c r="M4174" s="2">
        <v>32</v>
      </c>
      <c r="N4174" s="2" t="s">
        <v>54</v>
      </c>
      <c r="O4174" s="2" t="str">
        <f>VLOOKUP(OrganizedData[[#This Row],[Product Code]],ProductData[[Code]:[Item]],2,FALSE)</f>
        <v>Megawidget S</v>
      </c>
      <c r="P4174" s="4">
        <f>OrganizedData[[#This Row],[Quantity]]*VLOOKUP(OrganizedData[[#This Row],[Product Code]],ProductData[],4,FALSE)</f>
        <v>768</v>
      </c>
      <c r="Q4174" s="6">
        <f>OrganizedData[[#This Row],[Total Items Ordered]]*VLOOKUP(OrganizedData[[#This Row],[Product Code]],ProductData[],3,FALSE)</f>
        <v>529.91999999999996</v>
      </c>
      <c r="R41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514.02239999999995</v>
      </c>
    </row>
    <row r="4175" spans="1:18" x14ac:dyDescent="0.3">
      <c r="A4175" s="2">
        <v>4168</v>
      </c>
      <c r="B4175" s="2" t="s">
        <v>9306</v>
      </c>
      <c r="C4175" s="2" t="s">
        <v>2402</v>
      </c>
      <c r="D4175" s="2" t="s">
        <v>51</v>
      </c>
      <c r="E4175" s="2" t="s">
        <v>16</v>
      </c>
      <c r="F4175" s="2">
        <v>90</v>
      </c>
      <c r="G4175" s="2" t="s">
        <v>9307</v>
      </c>
      <c r="H4175" s="2" t="s">
        <v>7330</v>
      </c>
      <c r="I4175" s="2" t="s">
        <v>5820</v>
      </c>
      <c r="J4175" s="3">
        <v>44487</v>
      </c>
      <c r="K4175" s="5">
        <f>YEAR(OrganizedData[[#This Row],[Order Date]])</f>
        <v>2021</v>
      </c>
      <c r="L4175" s="7" t="str">
        <f>TEXT(OrganizedData[[#This Row],[Order Date]],"mmm")</f>
        <v>Oct</v>
      </c>
      <c r="M4175" s="2">
        <v>40</v>
      </c>
      <c r="N4175" s="2" t="s">
        <v>54</v>
      </c>
      <c r="O4175" s="2" t="str">
        <f>VLOOKUP(OrganizedData[[#This Row],[Product Code]],ProductData[[Code]:[Item]],2,FALSE)</f>
        <v>Megawidget S</v>
      </c>
      <c r="P4175" s="4">
        <f>OrganizedData[[#This Row],[Quantity]]*VLOOKUP(OrganizedData[[#This Row],[Product Code]],ProductData[],4,FALSE)</f>
        <v>960</v>
      </c>
      <c r="Q4175" s="6">
        <f>OrganizedData[[#This Row],[Total Items Ordered]]*VLOOKUP(OrganizedData[[#This Row],[Product Code]],ProductData[],3,FALSE)</f>
        <v>662.4</v>
      </c>
      <c r="R41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4176" spans="1:18" x14ac:dyDescent="0.3">
      <c r="A4176" s="2">
        <v>4169</v>
      </c>
      <c r="B4176" s="2" t="s">
        <v>8732</v>
      </c>
      <c r="C4176" s="2" t="s">
        <v>2263</v>
      </c>
      <c r="D4176" s="2" t="s">
        <v>28</v>
      </c>
      <c r="E4176" s="2" t="s">
        <v>29</v>
      </c>
      <c r="F4176" s="2">
        <v>60</v>
      </c>
      <c r="G4176" s="2" t="s">
        <v>9308</v>
      </c>
      <c r="H4176" s="2" t="s">
        <v>814</v>
      </c>
      <c r="I4176" s="2" t="s">
        <v>124</v>
      </c>
      <c r="J4176" s="3">
        <v>44529</v>
      </c>
      <c r="K4176" s="5">
        <f>YEAR(OrganizedData[[#This Row],[Order Date]])</f>
        <v>2021</v>
      </c>
      <c r="L4176" s="7" t="str">
        <f>TEXT(OrganizedData[[#This Row],[Order Date]],"mmm")</f>
        <v>Nov</v>
      </c>
      <c r="M4176" s="2">
        <v>19</v>
      </c>
      <c r="N4176" s="2" t="s">
        <v>33</v>
      </c>
      <c r="O4176" s="2" t="str">
        <f>VLOOKUP(OrganizedData[[#This Row],[Product Code]],ProductData[[Code]:[Item]],2,FALSE)</f>
        <v>Megawidget L</v>
      </c>
      <c r="P4176" s="4">
        <f>OrganizedData[[#This Row],[Quantity]]*VLOOKUP(OrganizedData[[#This Row],[Product Code]],ProductData[],4,FALSE)</f>
        <v>456</v>
      </c>
      <c r="Q4176" s="6">
        <f>OrganizedData[[#This Row],[Total Items Ordered]]*VLOOKUP(OrganizedData[[#This Row],[Product Code]],ProductData[],3,FALSE)</f>
        <v>816.24</v>
      </c>
      <c r="R41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4177" spans="1:18" x14ac:dyDescent="0.3">
      <c r="A4177" s="2">
        <v>4170</v>
      </c>
      <c r="B4177" s="2" t="s">
        <v>1793</v>
      </c>
      <c r="C4177" s="2" t="s">
        <v>3808</v>
      </c>
      <c r="D4177" s="2" t="s">
        <v>28</v>
      </c>
      <c r="E4177" s="2" t="s">
        <v>29</v>
      </c>
      <c r="F4177" s="2">
        <v>90</v>
      </c>
      <c r="G4177" s="2" t="s">
        <v>9309</v>
      </c>
      <c r="H4177" s="2" t="s">
        <v>1218</v>
      </c>
      <c r="I4177" s="2" t="s">
        <v>294</v>
      </c>
      <c r="J4177" s="3">
        <v>44925</v>
      </c>
      <c r="K4177" s="5">
        <f>YEAR(OrganizedData[[#This Row],[Order Date]])</f>
        <v>2022</v>
      </c>
      <c r="L4177" s="7" t="str">
        <f>TEXT(OrganizedData[[#This Row],[Order Date]],"mmm")</f>
        <v>Dec</v>
      </c>
      <c r="M4177" s="2">
        <v>27</v>
      </c>
      <c r="N4177" s="2" t="s">
        <v>33</v>
      </c>
      <c r="O4177" s="2" t="str">
        <f>VLOOKUP(OrganizedData[[#This Row],[Product Code]],ProductData[[Code]:[Item]],2,FALSE)</f>
        <v>Megawidget L</v>
      </c>
      <c r="P4177" s="4">
        <f>OrganizedData[[#This Row],[Quantity]]*VLOOKUP(OrganizedData[[#This Row],[Product Code]],ProductData[],4,FALSE)</f>
        <v>648</v>
      </c>
      <c r="Q4177" s="6">
        <f>OrganizedData[[#This Row],[Total Items Ordered]]*VLOOKUP(OrganizedData[[#This Row],[Product Code]],ProductData[],3,FALSE)</f>
        <v>1159.92</v>
      </c>
      <c r="R41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1125.1224</v>
      </c>
    </row>
    <row r="4178" spans="1:18" x14ac:dyDescent="0.3">
      <c r="A4178" s="2">
        <v>4171</v>
      </c>
      <c r="B4178" s="2" t="s">
        <v>3805</v>
      </c>
      <c r="C4178" s="2" t="s">
        <v>1044</v>
      </c>
      <c r="D4178" s="2" t="s">
        <v>28</v>
      </c>
      <c r="E4178" s="2" t="s">
        <v>29</v>
      </c>
      <c r="F4178" s="2">
        <v>90</v>
      </c>
      <c r="G4178" s="2" t="s">
        <v>9310</v>
      </c>
      <c r="H4178" s="2" t="s">
        <v>1350</v>
      </c>
      <c r="I4178" s="2" t="s">
        <v>32</v>
      </c>
      <c r="J4178" s="3">
        <v>44180</v>
      </c>
      <c r="K4178" s="5">
        <f>YEAR(OrganizedData[[#This Row],[Order Date]])</f>
        <v>2020</v>
      </c>
      <c r="L4178" s="7" t="str">
        <f>TEXT(OrganizedData[[#This Row],[Order Date]],"mmm")</f>
        <v>Dec</v>
      </c>
      <c r="M4178" s="2">
        <v>64</v>
      </c>
      <c r="N4178" s="2" t="s">
        <v>39</v>
      </c>
      <c r="O4178" s="2" t="str">
        <f>VLOOKUP(OrganizedData[[#This Row],[Product Code]],ProductData[[Code]:[Item]],2,FALSE)</f>
        <v>Ultrathing V1</v>
      </c>
      <c r="P4178" s="4">
        <f>OrganizedData[[#This Row],[Quantity]]*VLOOKUP(OrganizedData[[#This Row],[Product Code]],ProductData[],4,FALSE)</f>
        <v>1088</v>
      </c>
      <c r="Q4178" s="6">
        <f>OrganizedData[[#This Row],[Total Items Ordered]]*VLOOKUP(OrganizedData[[#This Row],[Product Code]],ProductData[],3,FALSE)</f>
        <v>1947.52</v>
      </c>
      <c r="R41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1850.144</v>
      </c>
    </row>
    <row r="4179" spans="1:18" x14ac:dyDescent="0.3">
      <c r="A4179" s="2">
        <v>4172</v>
      </c>
      <c r="B4179" s="2" t="s">
        <v>6009</v>
      </c>
      <c r="C4179" s="2" t="s">
        <v>9170</v>
      </c>
      <c r="D4179" s="2" t="s">
        <v>92</v>
      </c>
      <c r="E4179" s="2" t="s">
        <v>16</v>
      </c>
      <c r="F4179" s="2">
        <v>90</v>
      </c>
      <c r="G4179" s="2" t="s">
        <v>9311</v>
      </c>
      <c r="H4179" s="2" t="s">
        <v>1747</v>
      </c>
      <c r="I4179" s="2" t="s">
        <v>294</v>
      </c>
      <c r="J4179" s="3">
        <v>44914</v>
      </c>
      <c r="K4179" s="5">
        <f>YEAR(OrganizedData[[#This Row],[Order Date]])</f>
        <v>2022</v>
      </c>
      <c r="L4179" s="7" t="str">
        <f>TEXT(OrganizedData[[#This Row],[Order Date]],"mmm")</f>
        <v>Dec</v>
      </c>
      <c r="M4179" s="2">
        <v>51</v>
      </c>
      <c r="N4179" s="2" t="s">
        <v>80</v>
      </c>
      <c r="O4179" s="2" t="str">
        <f>VLOOKUP(OrganizedData[[#This Row],[Product Code]],ProductData[[Code]:[Item]],2,FALSE)</f>
        <v>Ultrathing V2</v>
      </c>
      <c r="P4179" s="4">
        <f>OrganizedData[[#This Row],[Quantity]]*VLOOKUP(OrganizedData[[#This Row],[Product Code]],ProductData[],4,FALSE)</f>
        <v>1020</v>
      </c>
      <c r="Q4179" s="6">
        <f>OrganizedData[[#This Row],[Total Items Ordered]]*VLOOKUP(OrganizedData[[#This Row],[Product Code]],ProductData[],3,FALSE)</f>
        <v>3009</v>
      </c>
      <c r="R41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2858.5499999999997</v>
      </c>
    </row>
    <row r="4180" spans="1:18" x14ac:dyDescent="0.3">
      <c r="A4180" s="2">
        <v>4173</v>
      </c>
      <c r="B4180" s="2" t="s">
        <v>751</v>
      </c>
      <c r="C4180" s="2" t="s">
        <v>5391</v>
      </c>
      <c r="D4180" s="2" t="s">
        <v>28</v>
      </c>
      <c r="E4180" s="2" t="s">
        <v>29</v>
      </c>
      <c r="F4180" s="2">
        <v>90</v>
      </c>
      <c r="G4180" s="2" t="s">
        <v>9311</v>
      </c>
      <c r="H4180" s="2" t="s">
        <v>7752</v>
      </c>
      <c r="I4180" s="2" t="s">
        <v>32</v>
      </c>
      <c r="J4180" s="3">
        <v>44304</v>
      </c>
      <c r="K4180" s="5">
        <f>YEAR(OrganizedData[[#This Row],[Order Date]])</f>
        <v>2021</v>
      </c>
      <c r="L4180" s="7" t="str">
        <f>TEXT(OrganizedData[[#This Row],[Order Date]],"mmm")</f>
        <v>Apr</v>
      </c>
      <c r="M4180" s="2">
        <v>12</v>
      </c>
      <c r="N4180" s="2" t="s">
        <v>80</v>
      </c>
      <c r="O4180" s="2" t="str">
        <f>VLOOKUP(OrganizedData[[#This Row],[Product Code]],ProductData[[Code]:[Item]],2,FALSE)</f>
        <v>Ultrathing V2</v>
      </c>
      <c r="P4180" s="4">
        <f>OrganizedData[[#This Row],[Quantity]]*VLOOKUP(OrganizedData[[#This Row],[Product Code]],ProductData[],4,FALSE)</f>
        <v>240</v>
      </c>
      <c r="Q4180" s="6">
        <f>OrganizedData[[#This Row],[Total Items Ordered]]*VLOOKUP(OrganizedData[[#This Row],[Product Code]],ProductData[],3,FALSE)</f>
        <v>708</v>
      </c>
      <c r="R41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v>
      </c>
    </row>
    <row r="4181" spans="1:18" x14ac:dyDescent="0.3">
      <c r="A4181" s="2">
        <v>4174</v>
      </c>
      <c r="B4181" s="2" t="s">
        <v>2433</v>
      </c>
      <c r="C4181" s="2" t="s">
        <v>9312</v>
      </c>
      <c r="D4181" s="2" t="s">
        <v>51</v>
      </c>
      <c r="E4181" s="2" t="s">
        <v>16</v>
      </c>
      <c r="F4181" s="2">
        <v>60</v>
      </c>
      <c r="G4181" s="2" t="s">
        <v>9313</v>
      </c>
      <c r="H4181" s="2" t="s">
        <v>3007</v>
      </c>
      <c r="I4181" s="2" t="s">
        <v>554</v>
      </c>
      <c r="J4181" s="3">
        <v>44653</v>
      </c>
      <c r="K4181" s="5">
        <f>YEAR(OrganizedData[[#This Row],[Order Date]])</f>
        <v>2022</v>
      </c>
      <c r="L4181" s="7" t="str">
        <f>TEXT(OrganizedData[[#This Row],[Order Date]],"mmm")</f>
        <v>Apr</v>
      </c>
      <c r="M4181" s="2">
        <v>53</v>
      </c>
      <c r="N4181" s="2" t="s">
        <v>64</v>
      </c>
      <c r="O4181" s="2" t="str">
        <f>VLOOKUP(OrganizedData[[#This Row],[Product Code]],ProductData[[Code]:[Item]],2,FALSE)</f>
        <v>Ultrathing V4</v>
      </c>
      <c r="P4181" s="4">
        <f>OrganizedData[[#This Row],[Quantity]]*VLOOKUP(OrganizedData[[#This Row],[Product Code]],ProductData[],4,FALSE)</f>
        <v>1272</v>
      </c>
      <c r="Q4181" s="6">
        <f>OrganizedData[[#This Row],[Total Items Ordered]]*VLOOKUP(OrganizedData[[#This Row],[Product Code]],ProductData[],3,FALSE)</f>
        <v>5075.2800000000007</v>
      </c>
      <c r="R41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4821.5160000000005</v>
      </c>
    </row>
    <row r="4182" spans="1:18" x14ac:dyDescent="0.3">
      <c r="A4182" s="2">
        <v>4175</v>
      </c>
      <c r="B4182" s="2" t="s">
        <v>2278</v>
      </c>
      <c r="C4182" s="2" t="s">
        <v>5408</v>
      </c>
      <c r="D4182" s="2" t="s">
        <v>28</v>
      </c>
      <c r="E4182" s="2" t="s">
        <v>29</v>
      </c>
      <c r="F4182" s="2">
        <v>60</v>
      </c>
      <c r="G4182" s="2" t="s">
        <v>9314</v>
      </c>
      <c r="H4182" s="2" t="s">
        <v>266</v>
      </c>
      <c r="I4182" s="2" t="s">
        <v>32</v>
      </c>
      <c r="J4182" s="3">
        <v>43947</v>
      </c>
      <c r="K4182" s="5">
        <f>YEAR(OrganizedData[[#This Row],[Order Date]])</f>
        <v>2020</v>
      </c>
      <c r="L4182" s="7" t="str">
        <f>TEXT(OrganizedData[[#This Row],[Order Date]],"mmm")</f>
        <v>Apr</v>
      </c>
      <c r="M4182" s="2">
        <v>34</v>
      </c>
      <c r="N4182" s="2" t="s">
        <v>70</v>
      </c>
      <c r="O4182" s="2" t="str">
        <f>VLOOKUP(OrganizedData[[#This Row],[Product Code]],ProductData[[Code]:[Item]],2,FALSE)</f>
        <v>Megawidget M</v>
      </c>
      <c r="P4182" s="4">
        <f>OrganizedData[[#This Row],[Quantity]]*VLOOKUP(OrganizedData[[#This Row],[Product Code]],ProductData[],4,FALSE)</f>
        <v>816</v>
      </c>
      <c r="Q4182" s="6">
        <f>OrganizedData[[#This Row],[Total Items Ordered]]*VLOOKUP(OrganizedData[[#This Row],[Product Code]],ProductData[],3,FALSE)</f>
        <v>1052.6400000000001</v>
      </c>
      <c r="R41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1021.0608000000001</v>
      </c>
    </row>
    <row r="4183" spans="1:18" x14ac:dyDescent="0.3">
      <c r="A4183" s="2">
        <v>4176</v>
      </c>
      <c r="B4183" s="2" t="s">
        <v>9315</v>
      </c>
      <c r="C4183" s="2" t="s">
        <v>1671</v>
      </c>
      <c r="D4183" s="2" t="s">
        <v>15</v>
      </c>
      <c r="E4183" s="2" t="s">
        <v>16</v>
      </c>
      <c r="F4183" s="2">
        <v>90</v>
      </c>
      <c r="G4183" s="2" t="s">
        <v>9316</v>
      </c>
      <c r="H4183" s="2" t="s">
        <v>3228</v>
      </c>
      <c r="I4183" s="2" t="s">
        <v>294</v>
      </c>
      <c r="J4183" s="3">
        <v>44790</v>
      </c>
      <c r="K4183" s="5">
        <f>YEAR(OrganizedData[[#This Row],[Order Date]])</f>
        <v>2022</v>
      </c>
      <c r="L4183" s="7" t="str">
        <f>TEXT(OrganizedData[[#This Row],[Order Date]],"mmm")</f>
        <v>Aug</v>
      </c>
      <c r="M4183" s="2">
        <v>21</v>
      </c>
      <c r="N4183" s="2" t="s">
        <v>101</v>
      </c>
      <c r="O4183" s="2" t="str">
        <f>VLOOKUP(OrganizedData[[#This Row],[Product Code]],ProductData[[Code]:[Item]],2,FALSE)</f>
        <v>Superwossname</v>
      </c>
      <c r="P4183" s="4">
        <f>OrganizedData[[#This Row],[Quantity]]*VLOOKUP(OrganizedData[[#This Row],[Product Code]],ProductData[],4,FALSE)</f>
        <v>420</v>
      </c>
      <c r="Q4183" s="6">
        <f>OrganizedData[[#This Row],[Total Items Ordered]]*VLOOKUP(OrganizedData[[#This Row],[Product Code]],ProductData[],3,FALSE)</f>
        <v>1465.8000000000002</v>
      </c>
      <c r="R41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1421.8260000000002</v>
      </c>
    </row>
    <row r="4184" spans="1:18" x14ac:dyDescent="0.3">
      <c r="A4184" s="2">
        <v>4177</v>
      </c>
      <c r="B4184" s="2" t="s">
        <v>364</v>
      </c>
      <c r="C4184" s="2" t="s">
        <v>2054</v>
      </c>
      <c r="D4184" s="2" t="s">
        <v>15</v>
      </c>
      <c r="E4184" s="2" t="s">
        <v>16</v>
      </c>
      <c r="F4184" s="2">
        <v>30</v>
      </c>
      <c r="G4184" s="2" t="s">
        <v>9317</v>
      </c>
      <c r="H4184" s="2" t="s">
        <v>9286</v>
      </c>
      <c r="I4184" s="2" t="s">
        <v>178</v>
      </c>
      <c r="J4184" s="3">
        <v>44066</v>
      </c>
      <c r="K4184" s="5">
        <f>YEAR(OrganizedData[[#This Row],[Order Date]])</f>
        <v>2020</v>
      </c>
      <c r="L4184" s="7" t="str">
        <f>TEXT(OrganizedData[[#This Row],[Order Date]],"mmm")</f>
        <v>Aug</v>
      </c>
      <c r="M4184" s="2">
        <v>78</v>
      </c>
      <c r="N4184" s="2" t="s">
        <v>54</v>
      </c>
      <c r="O4184" s="2" t="str">
        <f>VLOOKUP(OrganizedData[[#This Row],[Product Code]],ProductData[[Code]:[Item]],2,FALSE)</f>
        <v>Megawidget S</v>
      </c>
      <c r="P4184" s="4">
        <f>OrganizedData[[#This Row],[Quantity]]*VLOOKUP(OrganizedData[[#This Row],[Product Code]],ProductData[],4,FALSE)</f>
        <v>1872</v>
      </c>
      <c r="Q4184" s="6">
        <f>OrganizedData[[#This Row],[Total Items Ordered]]*VLOOKUP(OrganizedData[[#This Row],[Product Code]],ProductData[],3,FALSE)</f>
        <v>1291.6799999999998</v>
      </c>
      <c r="R41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4185" spans="1:18" x14ac:dyDescent="0.3">
      <c r="A4185" s="2">
        <v>4178</v>
      </c>
      <c r="B4185" s="2" t="s">
        <v>7470</v>
      </c>
      <c r="C4185" s="2" t="s">
        <v>7801</v>
      </c>
      <c r="D4185" s="2" t="s">
        <v>51</v>
      </c>
      <c r="E4185" s="2" t="s">
        <v>16</v>
      </c>
      <c r="F4185" s="2">
        <v>60</v>
      </c>
      <c r="G4185" s="2" t="s">
        <v>9318</v>
      </c>
      <c r="H4185" s="2" t="s">
        <v>1261</v>
      </c>
      <c r="I4185" s="2" t="s">
        <v>32</v>
      </c>
      <c r="J4185" s="3">
        <v>43903</v>
      </c>
      <c r="K4185" s="5">
        <f>YEAR(OrganizedData[[#This Row],[Order Date]])</f>
        <v>2020</v>
      </c>
      <c r="L4185" s="7" t="str">
        <f>TEXT(OrganizedData[[#This Row],[Order Date]],"mmm")</f>
        <v>Mar</v>
      </c>
      <c r="M4185" s="2">
        <v>71</v>
      </c>
      <c r="N4185" s="2" t="s">
        <v>20</v>
      </c>
      <c r="O4185" s="2" t="str">
        <f>VLOOKUP(OrganizedData[[#This Row],[Product Code]],ProductData[[Code]:[Item]],2,FALSE)</f>
        <v>Hyperwotsit</v>
      </c>
      <c r="P4185" s="4">
        <f>OrganizedData[[#This Row],[Quantity]]*VLOOKUP(OrganizedData[[#This Row],[Product Code]],ProductData[],4,FALSE)</f>
        <v>1420</v>
      </c>
      <c r="Q4185" s="6">
        <f>OrganizedData[[#This Row],[Total Items Ordered]]*VLOOKUP(OrganizedData[[#This Row],[Product Code]],ProductData[],3,FALSE)</f>
        <v>2854.2</v>
      </c>
      <c r="R41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2711.49</v>
      </c>
    </row>
    <row r="4186" spans="1:18" x14ac:dyDescent="0.3">
      <c r="A4186" s="2">
        <v>4179</v>
      </c>
      <c r="B4186" s="2" t="s">
        <v>8539</v>
      </c>
      <c r="C4186" s="2" t="s">
        <v>2757</v>
      </c>
      <c r="D4186" s="2" t="s">
        <v>51</v>
      </c>
      <c r="E4186" s="2" t="s">
        <v>16</v>
      </c>
      <c r="F4186" s="2">
        <v>90</v>
      </c>
      <c r="G4186" s="2" t="s">
        <v>9319</v>
      </c>
      <c r="H4186" s="2" t="s">
        <v>4915</v>
      </c>
      <c r="I4186" s="2" t="s">
        <v>32</v>
      </c>
      <c r="J4186" s="3">
        <v>44427</v>
      </c>
      <c r="K4186" s="5">
        <f>YEAR(OrganizedData[[#This Row],[Order Date]])</f>
        <v>2021</v>
      </c>
      <c r="L4186" s="7" t="str">
        <f>TEXT(OrganizedData[[#This Row],[Order Date]],"mmm")</f>
        <v>Aug</v>
      </c>
      <c r="M4186" s="2">
        <v>54</v>
      </c>
      <c r="N4186" s="2" t="s">
        <v>101</v>
      </c>
      <c r="O4186" s="2" t="str">
        <f>VLOOKUP(OrganizedData[[#This Row],[Product Code]],ProductData[[Code]:[Item]],2,FALSE)</f>
        <v>Superwossname</v>
      </c>
      <c r="P4186" s="4">
        <f>OrganizedData[[#This Row],[Quantity]]*VLOOKUP(OrganizedData[[#This Row],[Product Code]],ProductData[],4,FALSE)</f>
        <v>1080</v>
      </c>
      <c r="Q4186" s="6">
        <f>OrganizedData[[#This Row],[Total Items Ordered]]*VLOOKUP(OrganizedData[[#This Row],[Product Code]],ProductData[],3,FALSE)</f>
        <v>3769.2000000000003</v>
      </c>
      <c r="R41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4187" spans="1:18" x14ac:dyDescent="0.3">
      <c r="A4187" s="2">
        <v>4180</v>
      </c>
      <c r="B4187" s="2" t="s">
        <v>8759</v>
      </c>
      <c r="C4187" s="2" t="s">
        <v>9320</v>
      </c>
      <c r="D4187" s="2" t="s">
        <v>28</v>
      </c>
      <c r="E4187" s="2" t="s">
        <v>29</v>
      </c>
      <c r="F4187" s="2">
        <v>90</v>
      </c>
      <c r="G4187" s="2" t="s">
        <v>9321</v>
      </c>
      <c r="H4187" s="2" t="s">
        <v>2655</v>
      </c>
      <c r="I4187" s="2" t="s">
        <v>1083</v>
      </c>
      <c r="J4187" s="3">
        <v>44754</v>
      </c>
      <c r="K4187" s="5">
        <f>YEAR(OrganizedData[[#This Row],[Order Date]])</f>
        <v>2022</v>
      </c>
      <c r="L4187" s="7" t="str">
        <f>TEXT(OrganizedData[[#This Row],[Order Date]],"mmm")</f>
        <v>Jul</v>
      </c>
      <c r="M4187" s="2">
        <v>49</v>
      </c>
      <c r="N4187" s="2" t="s">
        <v>20</v>
      </c>
      <c r="O4187" s="2" t="str">
        <f>VLOOKUP(OrganizedData[[#This Row],[Product Code]],ProductData[[Code]:[Item]],2,FALSE)</f>
        <v>Hyperwotsit</v>
      </c>
      <c r="P4187" s="4">
        <f>OrganizedData[[#This Row],[Quantity]]*VLOOKUP(OrganizedData[[#This Row],[Product Code]],ProductData[],4,FALSE)</f>
        <v>980</v>
      </c>
      <c r="Q4187" s="6">
        <f>OrganizedData[[#This Row],[Total Items Ordered]]*VLOOKUP(OrganizedData[[#This Row],[Product Code]],ProductData[],3,FALSE)</f>
        <v>1969.7999999999997</v>
      </c>
      <c r="R41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1910.7059999999997</v>
      </c>
    </row>
    <row r="4188" spans="1:18" x14ac:dyDescent="0.3">
      <c r="A4188" s="2">
        <v>4181</v>
      </c>
      <c r="B4188" s="2" t="s">
        <v>9322</v>
      </c>
      <c r="C4188" s="2" t="s">
        <v>7206</v>
      </c>
      <c r="D4188" s="2" t="s">
        <v>15</v>
      </c>
      <c r="E4188" s="2" t="s">
        <v>16</v>
      </c>
      <c r="F4188" s="2">
        <v>90</v>
      </c>
      <c r="G4188" s="2" t="s">
        <v>9323</v>
      </c>
      <c r="H4188" s="2" t="s">
        <v>1754</v>
      </c>
      <c r="I4188" s="2" t="s">
        <v>25</v>
      </c>
      <c r="J4188" s="3">
        <v>43996</v>
      </c>
      <c r="K4188" s="5">
        <f>YEAR(OrganizedData[[#This Row],[Order Date]])</f>
        <v>2020</v>
      </c>
      <c r="L4188" s="7" t="str">
        <f>TEXT(OrganizedData[[#This Row],[Order Date]],"mmm")</f>
        <v>Jun</v>
      </c>
      <c r="M4188" s="2">
        <v>8</v>
      </c>
      <c r="N4188" s="2" t="s">
        <v>45</v>
      </c>
      <c r="O4188" s="2" t="str">
        <f>VLOOKUP(OrganizedData[[#This Row],[Product Code]],ProductData[[Code]:[Item]],2,FALSE)</f>
        <v>Gigastuff</v>
      </c>
      <c r="P4188" s="4">
        <f>OrganizedData[[#This Row],[Quantity]]*VLOOKUP(OrganizedData[[#This Row],[Product Code]],ProductData[],4,FALSE)</f>
        <v>144</v>
      </c>
      <c r="Q4188" s="6">
        <f>OrganizedData[[#This Row],[Total Items Ordered]]*VLOOKUP(OrganizedData[[#This Row],[Product Code]],ProductData[],3,FALSE)</f>
        <v>272.15999999999997</v>
      </c>
      <c r="R41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4189" spans="1:18" x14ac:dyDescent="0.3">
      <c r="A4189" s="2">
        <v>4182</v>
      </c>
      <c r="B4189" s="2" t="s">
        <v>6764</v>
      </c>
      <c r="C4189" s="2" t="s">
        <v>6828</v>
      </c>
      <c r="D4189" s="2" t="s">
        <v>621</v>
      </c>
      <c r="E4189" s="2" t="s">
        <v>29</v>
      </c>
      <c r="F4189" s="2">
        <v>30</v>
      </c>
      <c r="G4189" s="2" t="s">
        <v>9324</v>
      </c>
      <c r="H4189" s="2" t="s">
        <v>938</v>
      </c>
      <c r="I4189" s="2" t="s">
        <v>25</v>
      </c>
      <c r="J4189" s="3">
        <v>44175</v>
      </c>
      <c r="K4189" s="5">
        <f>YEAR(OrganizedData[[#This Row],[Order Date]])</f>
        <v>2020</v>
      </c>
      <c r="L4189" s="7" t="str">
        <f>TEXT(OrganizedData[[#This Row],[Order Date]],"mmm")</f>
        <v>Dec</v>
      </c>
      <c r="M4189" s="2">
        <v>26</v>
      </c>
      <c r="N4189" s="2" t="s">
        <v>33</v>
      </c>
      <c r="O4189" s="2" t="str">
        <f>VLOOKUP(OrganizedData[[#This Row],[Product Code]],ProductData[[Code]:[Item]],2,FALSE)</f>
        <v>Megawidget L</v>
      </c>
      <c r="P4189" s="4">
        <f>OrganizedData[[#This Row],[Quantity]]*VLOOKUP(OrganizedData[[#This Row],[Product Code]],ProductData[],4,FALSE)</f>
        <v>624</v>
      </c>
      <c r="Q4189" s="6">
        <f>OrganizedData[[#This Row],[Total Items Ordered]]*VLOOKUP(OrganizedData[[#This Row],[Product Code]],ProductData[],3,FALSE)</f>
        <v>1116.96</v>
      </c>
      <c r="R41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1083.4512</v>
      </c>
    </row>
    <row r="4190" spans="1:18" x14ac:dyDescent="0.3">
      <c r="A4190" s="2">
        <v>4183</v>
      </c>
      <c r="B4190" s="2" t="s">
        <v>8689</v>
      </c>
      <c r="C4190" s="2" t="s">
        <v>5998</v>
      </c>
      <c r="D4190" s="2" t="s">
        <v>51</v>
      </c>
      <c r="E4190" s="2" t="s">
        <v>16</v>
      </c>
      <c r="F4190" s="2">
        <v>30</v>
      </c>
      <c r="G4190" s="2" t="s">
        <v>9325</v>
      </c>
      <c r="H4190" s="2" t="s">
        <v>7378</v>
      </c>
      <c r="I4190" s="2" t="s">
        <v>178</v>
      </c>
      <c r="J4190" s="3">
        <v>44600</v>
      </c>
      <c r="K4190" s="5">
        <f>YEAR(OrganizedData[[#This Row],[Order Date]])</f>
        <v>2022</v>
      </c>
      <c r="L4190" s="7" t="str">
        <f>TEXT(OrganizedData[[#This Row],[Order Date]],"mmm")</f>
        <v>Feb</v>
      </c>
      <c r="M4190" s="2">
        <v>58</v>
      </c>
      <c r="N4190" s="2" t="s">
        <v>33</v>
      </c>
      <c r="O4190" s="2" t="str">
        <f>VLOOKUP(OrganizedData[[#This Row],[Product Code]],ProductData[[Code]:[Item]],2,FALSE)</f>
        <v>Megawidget L</v>
      </c>
      <c r="P4190" s="4">
        <f>OrganizedData[[#This Row],[Quantity]]*VLOOKUP(OrganizedData[[#This Row],[Product Code]],ProductData[],4,FALSE)</f>
        <v>1392</v>
      </c>
      <c r="Q4190" s="6">
        <f>OrganizedData[[#This Row],[Total Items Ordered]]*VLOOKUP(OrganizedData[[#This Row],[Product Code]],ProductData[],3,FALSE)</f>
        <v>2491.6799999999998</v>
      </c>
      <c r="R41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2367.0959999999995</v>
      </c>
    </row>
    <row r="4191" spans="1:18" x14ac:dyDescent="0.3">
      <c r="A4191" s="2">
        <v>4184</v>
      </c>
      <c r="B4191" s="2" t="s">
        <v>527</v>
      </c>
      <c r="C4191" s="2" t="s">
        <v>2385</v>
      </c>
      <c r="D4191" s="2" t="s">
        <v>28</v>
      </c>
      <c r="E4191" s="2" t="s">
        <v>29</v>
      </c>
      <c r="F4191" s="2">
        <v>90</v>
      </c>
      <c r="G4191" s="2" t="s">
        <v>9325</v>
      </c>
      <c r="H4191" s="2" t="s">
        <v>2772</v>
      </c>
      <c r="I4191" s="2" t="s">
        <v>32</v>
      </c>
      <c r="J4191" s="3">
        <v>44696</v>
      </c>
      <c r="K4191" s="5">
        <f>YEAR(OrganizedData[[#This Row],[Order Date]])</f>
        <v>2022</v>
      </c>
      <c r="L4191" s="7" t="str">
        <f>TEXT(OrganizedData[[#This Row],[Order Date]],"mmm")</f>
        <v>May</v>
      </c>
      <c r="M4191" s="2">
        <v>83</v>
      </c>
      <c r="N4191" s="2" t="s">
        <v>64</v>
      </c>
      <c r="O4191" s="2" t="str">
        <f>VLOOKUP(OrganizedData[[#This Row],[Product Code]],ProductData[[Code]:[Item]],2,FALSE)</f>
        <v>Ultrathing V4</v>
      </c>
      <c r="P4191" s="4">
        <f>OrganizedData[[#This Row],[Quantity]]*VLOOKUP(OrganizedData[[#This Row],[Product Code]],ProductData[],4,FALSE)</f>
        <v>1992</v>
      </c>
      <c r="Q4191" s="6">
        <f>OrganizedData[[#This Row],[Total Items Ordered]]*VLOOKUP(OrganizedData[[#This Row],[Product Code]],ProductData[],3,FALSE)</f>
        <v>7948.0800000000008</v>
      </c>
      <c r="R41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7550.6760000000004</v>
      </c>
    </row>
    <row r="4192" spans="1:18" x14ac:dyDescent="0.3">
      <c r="A4192" s="2">
        <v>4185</v>
      </c>
      <c r="B4192" s="2" t="s">
        <v>7114</v>
      </c>
      <c r="C4192" s="2" t="s">
        <v>9326</v>
      </c>
      <c r="D4192" s="2" t="s">
        <v>28</v>
      </c>
      <c r="E4192" s="2" t="s">
        <v>29</v>
      </c>
      <c r="F4192" s="2">
        <v>30</v>
      </c>
      <c r="G4192" s="2" t="s">
        <v>9327</v>
      </c>
      <c r="H4192" s="2" t="s">
        <v>5596</v>
      </c>
      <c r="I4192" s="2" t="s">
        <v>32</v>
      </c>
      <c r="J4192" s="3">
        <v>44571</v>
      </c>
      <c r="K4192" s="5">
        <f>YEAR(OrganizedData[[#This Row],[Order Date]])</f>
        <v>2022</v>
      </c>
      <c r="L4192" s="7" t="str">
        <f>TEXT(OrganizedData[[#This Row],[Order Date]],"mmm")</f>
        <v>Jan</v>
      </c>
      <c r="M4192" s="2">
        <v>58</v>
      </c>
      <c r="N4192" s="2" t="s">
        <v>64</v>
      </c>
      <c r="O4192" s="2" t="str">
        <f>VLOOKUP(OrganizedData[[#This Row],[Product Code]],ProductData[[Code]:[Item]],2,FALSE)</f>
        <v>Ultrathing V4</v>
      </c>
      <c r="P4192" s="4">
        <f>OrganizedData[[#This Row],[Quantity]]*VLOOKUP(OrganizedData[[#This Row],[Product Code]],ProductData[],4,FALSE)</f>
        <v>1392</v>
      </c>
      <c r="Q4192" s="6">
        <f>OrganizedData[[#This Row],[Total Items Ordered]]*VLOOKUP(OrganizedData[[#This Row],[Product Code]],ProductData[],3,FALSE)</f>
        <v>5554.08</v>
      </c>
      <c r="R41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5276.3759999999993</v>
      </c>
    </row>
    <row r="4193" spans="1:18" x14ac:dyDescent="0.3">
      <c r="A4193" s="2">
        <v>4186</v>
      </c>
      <c r="B4193" s="2" t="s">
        <v>9328</v>
      </c>
      <c r="C4193" s="2" t="s">
        <v>2866</v>
      </c>
      <c r="D4193" s="2" t="s">
        <v>15</v>
      </c>
      <c r="E4193" s="2" t="s">
        <v>16</v>
      </c>
      <c r="F4193" s="2">
        <v>30</v>
      </c>
      <c r="G4193" s="2" t="s">
        <v>9329</v>
      </c>
      <c r="H4193" s="2" t="s">
        <v>3756</v>
      </c>
      <c r="I4193" s="2" t="s">
        <v>178</v>
      </c>
      <c r="J4193" s="3">
        <v>44334</v>
      </c>
      <c r="K4193" s="5">
        <f>YEAR(OrganizedData[[#This Row],[Order Date]])</f>
        <v>2021</v>
      </c>
      <c r="L4193" s="7" t="str">
        <f>TEXT(OrganizedData[[#This Row],[Order Date]],"mmm")</f>
        <v>May</v>
      </c>
      <c r="M4193" s="2">
        <v>44</v>
      </c>
      <c r="N4193" s="2" t="s">
        <v>20</v>
      </c>
      <c r="O4193" s="2" t="str">
        <f>VLOOKUP(OrganizedData[[#This Row],[Product Code]],ProductData[[Code]:[Item]],2,FALSE)</f>
        <v>Hyperwotsit</v>
      </c>
      <c r="P4193" s="4">
        <f>OrganizedData[[#This Row],[Quantity]]*VLOOKUP(OrganizedData[[#This Row],[Product Code]],ProductData[],4,FALSE)</f>
        <v>880</v>
      </c>
      <c r="Q4193" s="6">
        <f>OrganizedData[[#This Row],[Total Items Ordered]]*VLOOKUP(OrganizedData[[#This Row],[Product Code]],ProductData[],3,FALSE)</f>
        <v>1768.7999999999997</v>
      </c>
      <c r="R41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1715.7359999999996</v>
      </c>
    </row>
    <row r="4194" spans="1:18" x14ac:dyDescent="0.3">
      <c r="A4194" s="2">
        <v>4187</v>
      </c>
      <c r="B4194" s="2" t="s">
        <v>4564</v>
      </c>
      <c r="C4194" s="2" t="s">
        <v>3738</v>
      </c>
      <c r="D4194" s="2" t="s">
        <v>51</v>
      </c>
      <c r="E4194" s="2" t="s">
        <v>16</v>
      </c>
      <c r="F4194" s="2">
        <v>30</v>
      </c>
      <c r="G4194" s="2" t="s">
        <v>9330</v>
      </c>
      <c r="H4194" s="2" t="s">
        <v>6690</v>
      </c>
      <c r="I4194" s="2" t="s">
        <v>294</v>
      </c>
      <c r="J4194" s="3">
        <v>44676</v>
      </c>
      <c r="K4194" s="5">
        <f>YEAR(OrganizedData[[#This Row],[Order Date]])</f>
        <v>2022</v>
      </c>
      <c r="L4194" s="7" t="str">
        <f>TEXT(OrganizedData[[#This Row],[Order Date]],"mmm")</f>
        <v>Apr</v>
      </c>
      <c r="M4194" s="2">
        <v>34</v>
      </c>
      <c r="N4194" s="2" t="s">
        <v>101</v>
      </c>
      <c r="O4194" s="2" t="str">
        <f>VLOOKUP(OrganizedData[[#This Row],[Product Code]],ProductData[[Code]:[Item]],2,FALSE)</f>
        <v>Superwossname</v>
      </c>
      <c r="P4194" s="4">
        <f>OrganizedData[[#This Row],[Quantity]]*VLOOKUP(OrganizedData[[#This Row],[Product Code]],ProductData[],4,FALSE)</f>
        <v>680</v>
      </c>
      <c r="Q4194" s="6">
        <f>OrganizedData[[#This Row],[Total Items Ordered]]*VLOOKUP(OrganizedData[[#This Row],[Product Code]],ProductData[],3,FALSE)</f>
        <v>2373.2000000000003</v>
      </c>
      <c r="R41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4195" spans="1:18" x14ac:dyDescent="0.3">
      <c r="A4195" s="2">
        <v>4188</v>
      </c>
      <c r="B4195" s="2" t="s">
        <v>7187</v>
      </c>
      <c r="C4195" s="2" t="s">
        <v>210</v>
      </c>
      <c r="D4195" s="2" t="s">
        <v>28</v>
      </c>
      <c r="E4195" s="2" t="s">
        <v>29</v>
      </c>
      <c r="F4195" s="2">
        <v>30</v>
      </c>
      <c r="G4195" s="2" t="s">
        <v>9331</v>
      </c>
      <c r="H4195" s="2" t="s">
        <v>88</v>
      </c>
      <c r="I4195" s="2" t="s">
        <v>89</v>
      </c>
      <c r="J4195" s="3">
        <v>44848</v>
      </c>
      <c r="K4195" s="5">
        <f>YEAR(OrganizedData[[#This Row],[Order Date]])</f>
        <v>2022</v>
      </c>
      <c r="L4195" s="7" t="str">
        <f>TEXT(OrganizedData[[#This Row],[Order Date]],"mmm")</f>
        <v>Oct</v>
      </c>
      <c r="M4195" s="2">
        <v>19</v>
      </c>
      <c r="N4195" s="2" t="s">
        <v>33</v>
      </c>
      <c r="O4195" s="2" t="str">
        <f>VLOOKUP(OrganizedData[[#This Row],[Product Code]],ProductData[[Code]:[Item]],2,FALSE)</f>
        <v>Megawidget L</v>
      </c>
      <c r="P4195" s="4">
        <f>OrganizedData[[#This Row],[Quantity]]*VLOOKUP(OrganizedData[[#This Row],[Product Code]],ProductData[],4,FALSE)</f>
        <v>456</v>
      </c>
      <c r="Q4195" s="6">
        <f>OrganizedData[[#This Row],[Total Items Ordered]]*VLOOKUP(OrganizedData[[#This Row],[Product Code]],ProductData[],3,FALSE)</f>
        <v>816.24</v>
      </c>
      <c r="R41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4196" spans="1:18" x14ac:dyDescent="0.3">
      <c r="A4196" s="2">
        <v>4189</v>
      </c>
      <c r="B4196" s="2" t="s">
        <v>9332</v>
      </c>
      <c r="C4196" s="2" t="s">
        <v>5138</v>
      </c>
      <c r="D4196" s="2" t="s">
        <v>28</v>
      </c>
      <c r="E4196" s="2" t="s">
        <v>29</v>
      </c>
      <c r="F4196" s="2">
        <v>90</v>
      </c>
      <c r="G4196" s="2" t="s">
        <v>2376</v>
      </c>
      <c r="H4196" s="2" t="s">
        <v>927</v>
      </c>
      <c r="I4196" s="2" t="s">
        <v>129</v>
      </c>
      <c r="J4196" s="3">
        <v>44082</v>
      </c>
      <c r="K4196" s="5">
        <f>YEAR(OrganizedData[[#This Row],[Order Date]])</f>
        <v>2020</v>
      </c>
      <c r="L4196" s="7" t="str">
        <f>TEXT(OrganizedData[[#This Row],[Order Date]],"mmm")</f>
        <v>Sep</v>
      </c>
      <c r="M4196" s="2">
        <v>44</v>
      </c>
      <c r="N4196" s="2" t="s">
        <v>70</v>
      </c>
      <c r="O4196" s="2" t="str">
        <f>VLOOKUP(OrganizedData[[#This Row],[Product Code]],ProductData[[Code]:[Item]],2,FALSE)</f>
        <v>Megawidget M</v>
      </c>
      <c r="P4196" s="4">
        <f>OrganizedData[[#This Row],[Quantity]]*VLOOKUP(OrganizedData[[#This Row],[Product Code]],ProductData[],4,FALSE)</f>
        <v>1056</v>
      </c>
      <c r="Q4196" s="6">
        <f>OrganizedData[[#This Row],[Total Items Ordered]]*VLOOKUP(OrganizedData[[#This Row],[Product Code]],ProductData[],3,FALSE)</f>
        <v>1362.24</v>
      </c>
      <c r="R41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4197" spans="1:18" x14ac:dyDescent="0.3">
      <c r="A4197" s="2">
        <v>4190</v>
      </c>
      <c r="B4197" s="2" t="s">
        <v>6882</v>
      </c>
      <c r="C4197" s="2" t="s">
        <v>1737</v>
      </c>
      <c r="D4197" s="2" t="s">
        <v>28</v>
      </c>
      <c r="E4197" s="2" t="s">
        <v>29</v>
      </c>
      <c r="F4197" s="2">
        <v>90</v>
      </c>
      <c r="G4197" s="2" t="s">
        <v>9333</v>
      </c>
      <c r="H4197" s="2" t="s">
        <v>114</v>
      </c>
      <c r="I4197" s="2" t="s">
        <v>38</v>
      </c>
      <c r="J4197" s="3">
        <v>44532</v>
      </c>
      <c r="K4197" s="5">
        <f>YEAR(OrganizedData[[#This Row],[Order Date]])</f>
        <v>2021</v>
      </c>
      <c r="L4197" s="7" t="str">
        <f>TEXT(OrganizedData[[#This Row],[Order Date]],"mmm")</f>
        <v>Dec</v>
      </c>
      <c r="M4197" s="2">
        <v>22</v>
      </c>
      <c r="N4197" s="2" t="s">
        <v>101</v>
      </c>
      <c r="O4197" s="2" t="str">
        <f>VLOOKUP(OrganizedData[[#This Row],[Product Code]],ProductData[[Code]:[Item]],2,FALSE)</f>
        <v>Superwossname</v>
      </c>
      <c r="P4197" s="4">
        <f>OrganizedData[[#This Row],[Quantity]]*VLOOKUP(OrganizedData[[#This Row],[Product Code]],ProductData[],4,FALSE)</f>
        <v>440</v>
      </c>
      <c r="Q4197" s="6">
        <f>OrganizedData[[#This Row],[Total Items Ordered]]*VLOOKUP(OrganizedData[[#This Row],[Product Code]],ProductData[],3,FALSE)</f>
        <v>1535.6000000000001</v>
      </c>
      <c r="R41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4198" spans="1:18" x14ac:dyDescent="0.3">
      <c r="A4198" s="2">
        <v>4191</v>
      </c>
      <c r="B4198" s="2" t="s">
        <v>8211</v>
      </c>
      <c r="C4198" s="2" t="s">
        <v>840</v>
      </c>
      <c r="D4198" s="2" t="s">
        <v>28</v>
      </c>
      <c r="E4198" s="2" t="s">
        <v>29</v>
      </c>
      <c r="F4198" s="2">
        <v>30</v>
      </c>
      <c r="G4198" s="2" t="s">
        <v>9334</v>
      </c>
      <c r="H4198" s="2" t="s">
        <v>1625</v>
      </c>
      <c r="I4198" s="2" t="s">
        <v>32</v>
      </c>
      <c r="J4198" s="3">
        <v>44319</v>
      </c>
      <c r="K4198" s="5">
        <f>YEAR(OrganizedData[[#This Row],[Order Date]])</f>
        <v>2021</v>
      </c>
      <c r="L4198" s="7" t="str">
        <f>TEXT(OrganizedData[[#This Row],[Order Date]],"mmm")</f>
        <v>May</v>
      </c>
      <c r="M4198" s="2">
        <v>69</v>
      </c>
      <c r="N4198" s="2" t="s">
        <v>39</v>
      </c>
      <c r="O4198" s="2" t="str">
        <f>VLOOKUP(OrganizedData[[#This Row],[Product Code]],ProductData[[Code]:[Item]],2,FALSE)</f>
        <v>Ultrathing V1</v>
      </c>
      <c r="P4198" s="4">
        <f>OrganizedData[[#This Row],[Quantity]]*VLOOKUP(OrganizedData[[#This Row],[Product Code]],ProductData[],4,FALSE)</f>
        <v>1173</v>
      </c>
      <c r="Q4198" s="6">
        <f>OrganizedData[[#This Row],[Total Items Ordered]]*VLOOKUP(OrganizedData[[#This Row],[Product Code]],ProductData[],3,FALSE)</f>
        <v>2099.67</v>
      </c>
      <c r="R41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4199" spans="1:18" x14ac:dyDescent="0.3">
      <c r="A4199" s="2">
        <v>4192</v>
      </c>
      <c r="B4199" s="2" t="s">
        <v>9335</v>
      </c>
      <c r="C4199" s="2" t="s">
        <v>2113</v>
      </c>
      <c r="D4199" s="2" t="s">
        <v>15</v>
      </c>
      <c r="E4199" s="2" t="s">
        <v>16</v>
      </c>
      <c r="F4199" s="2">
        <v>60</v>
      </c>
      <c r="G4199" s="2" t="s">
        <v>9336</v>
      </c>
      <c r="H4199" s="2" t="s">
        <v>920</v>
      </c>
      <c r="I4199" s="2" t="s">
        <v>178</v>
      </c>
      <c r="J4199" s="3">
        <v>44322</v>
      </c>
      <c r="K4199" s="5">
        <f>YEAR(OrganizedData[[#This Row],[Order Date]])</f>
        <v>2021</v>
      </c>
      <c r="L4199" s="7" t="str">
        <f>TEXT(OrganizedData[[#This Row],[Order Date]],"mmm")</f>
        <v>May</v>
      </c>
      <c r="M4199" s="2">
        <v>16</v>
      </c>
      <c r="N4199" s="2" t="s">
        <v>54</v>
      </c>
      <c r="O4199" s="2" t="str">
        <f>VLOOKUP(OrganizedData[[#This Row],[Product Code]],ProductData[[Code]:[Item]],2,FALSE)</f>
        <v>Megawidget S</v>
      </c>
      <c r="P4199" s="4">
        <f>OrganizedData[[#This Row],[Quantity]]*VLOOKUP(OrganizedData[[#This Row],[Product Code]],ProductData[],4,FALSE)</f>
        <v>384</v>
      </c>
      <c r="Q4199" s="6">
        <f>OrganizedData[[#This Row],[Total Items Ordered]]*VLOOKUP(OrganizedData[[#This Row],[Product Code]],ProductData[],3,FALSE)</f>
        <v>264.95999999999998</v>
      </c>
      <c r="R41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4200" spans="1:18" x14ac:dyDescent="0.3">
      <c r="A4200" s="2">
        <v>4193</v>
      </c>
      <c r="B4200" s="2" t="s">
        <v>5086</v>
      </c>
      <c r="C4200" s="2" t="s">
        <v>9055</v>
      </c>
      <c r="D4200" s="2" t="s">
        <v>28</v>
      </c>
      <c r="E4200" s="2" t="s">
        <v>29</v>
      </c>
      <c r="F4200" s="2">
        <v>30</v>
      </c>
      <c r="G4200" s="2" t="s">
        <v>9336</v>
      </c>
      <c r="H4200" s="2" t="s">
        <v>4901</v>
      </c>
      <c r="I4200" s="2" t="s">
        <v>32</v>
      </c>
      <c r="J4200" s="3">
        <v>44503</v>
      </c>
      <c r="K4200" s="5">
        <f>YEAR(OrganizedData[[#This Row],[Order Date]])</f>
        <v>2021</v>
      </c>
      <c r="L4200" s="7" t="str">
        <f>TEXT(OrganizedData[[#This Row],[Order Date]],"mmm")</f>
        <v>Nov</v>
      </c>
      <c r="M4200" s="2">
        <v>63</v>
      </c>
      <c r="N4200" s="2" t="s">
        <v>101</v>
      </c>
      <c r="O4200" s="2" t="str">
        <f>VLOOKUP(OrganizedData[[#This Row],[Product Code]],ProductData[[Code]:[Item]],2,FALSE)</f>
        <v>Superwossname</v>
      </c>
      <c r="P4200" s="4">
        <f>OrganizedData[[#This Row],[Quantity]]*VLOOKUP(OrganizedData[[#This Row],[Product Code]],ProductData[],4,FALSE)</f>
        <v>1260</v>
      </c>
      <c r="Q4200" s="6">
        <f>OrganizedData[[#This Row],[Total Items Ordered]]*VLOOKUP(OrganizedData[[#This Row],[Product Code]],ProductData[],3,FALSE)</f>
        <v>4397.4000000000005</v>
      </c>
      <c r="R42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4201" spans="1:18" x14ac:dyDescent="0.3">
      <c r="A4201" s="2">
        <v>4194</v>
      </c>
      <c r="B4201" s="2" t="s">
        <v>2138</v>
      </c>
      <c r="C4201" s="2" t="s">
        <v>406</v>
      </c>
      <c r="D4201" s="2" t="s">
        <v>28</v>
      </c>
      <c r="E4201" s="2" t="s">
        <v>29</v>
      </c>
      <c r="F4201" s="2">
        <v>60</v>
      </c>
      <c r="G4201" s="2" t="s">
        <v>9337</v>
      </c>
      <c r="H4201" s="2" t="s">
        <v>7297</v>
      </c>
      <c r="I4201" s="2" t="s">
        <v>178</v>
      </c>
      <c r="J4201" s="3">
        <v>44132</v>
      </c>
      <c r="K4201" s="5">
        <f>YEAR(OrganizedData[[#This Row],[Order Date]])</f>
        <v>2020</v>
      </c>
      <c r="L4201" s="7" t="str">
        <f>TEXT(OrganizedData[[#This Row],[Order Date]],"mmm")</f>
        <v>Oct</v>
      </c>
      <c r="M4201" s="2">
        <v>69</v>
      </c>
      <c r="N4201" s="2" t="s">
        <v>45</v>
      </c>
      <c r="O4201" s="2" t="str">
        <f>VLOOKUP(OrganizedData[[#This Row],[Product Code]],ProductData[[Code]:[Item]],2,FALSE)</f>
        <v>Gigastuff</v>
      </c>
      <c r="P4201" s="4">
        <f>OrganizedData[[#This Row],[Quantity]]*VLOOKUP(OrganizedData[[#This Row],[Product Code]],ProductData[],4,FALSE)</f>
        <v>1242</v>
      </c>
      <c r="Q4201" s="6">
        <f>OrganizedData[[#This Row],[Total Items Ordered]]*VLOOKUP(OrganizedData[[#This Row],[Product Code]],ProductData[],3,FALSE)</f>
        <v>2347.3799999999997</v>
      </c>
      <c r="R42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2230.0109999999995</v>
      </c>
    </row>
    <row r="4202" spans="1:18" x14ac:dyDescent="0.3">
      <c r="A4202" s="2">
        <v>4195</v>
      </c>
      <c r="B4202" s="2" t="s">
        <v>9338</v>
      </c>
      <c r="C4202" s="2" t="s">
        <v>1756</v>
      </c>
      <c r="D4202" s="2" t="s">
        <v>41</v>
      </c>
      <c r="E4202" s="2" t="s">
        <v>16</v>
      </c>
      <c r="F4202" s="2">
        <v>90</v>
      </c>
      <c r="G4202" s="2" t="s">
        <v>9339</v>
      </c>
      <c r="H4202" s="2" t="s">
        <v>1039</v>
      </c>
      <c r="I4202" s="2" t="s">
        <v>25</v>
      </c>
      <c r="J4202" s="3">
        <v>44270</v>
      </c>
      <c r="K4202" s="5">
        <f>YEAR(OrganizedData[[#This Row],[Order Date]])</f>
        <v>2021</v>
      </c>
      <c r="L4202" s="7" t="str">
        <f>TEXT(OrganizedData[[#This Row],[Order Date]],"mmm")</f>
        <v>Mar</v>
      </c>
      <c r="M4202" s="2">
        <v>30</v>
      </c>
      <c r="N4202" s="2" t="s">
        <v>159</v>
      </c>
      <c r="O4202" s="2" t="str">
        <f>VLOOKUP(OrganizedData[[#This Row],[Product Code]],ProductData[[Code]:[Item]],2,FALSE)</f>
        <v>Ultrathing V3</v>
      </c>
      <c r="P4202" s="4">
        <f>OrganizedData[[#This Row],[Quantity]]*VLOOKUP(OrganizedData[[#This Row],[Product Code]],ProductData[],4,FALSE)</f>
        <v>720</v>
      </c>
      <c r="Q4202" s="6">
        <f>OrganizedData[[#This Row],[Total Items Ordered]]*VLOOKUP(OrganizedData[[#This Row],[Product Code]],ProductData[],3,FALSE)</f>
        <v>2440.8000000000002</v>
      </c>
      <c r="R42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2367.576</v>
      </c>
    </row>
    <row r="4203" spans="1:18" x14ac:dyDescent="0.3">
      <c r="A4203" s="2">
        <v>4196</v>
      </c>
      <c r="B4203" s="2" t="s">
        <v>8407</v>
      </c>
      <c r="C4203" s="2" t="s">
        <v>9028</v>
      </c>
      <c r="D4203" s="2" t="s">
        <v>28</v>
      </c>
      <c r="E4203" s="2" t="s">
        <v>29</v>
      </c>
      <c r="F4203" s="2">
        <v>60</v>
      </c>
      <c r="G4203" s="2" t="s">
        <v>9340</v>
      </c>
      <c r="H4203" s="2" t="s">
        <v>356</v>
      </c>
      <c r="I4203" s="2" t="s">
        <v>178</v>
      </c>
      <c r="J4203" s="3">
        <v>44480</v>
      </c>
      <c r="K4203" s="5">
        <f>YEAR(OrganizedData[[#This Row],[Order Date]])</f>
        <v>2021</v>
      </c>
      <c r="L4203" s="7" t="str">
        <f>TEXT(OrganizedData[[#This Row],[Order Date]],"mmm")</f>
        <v>Oct</v>
      </c>
      <c r="M4203" s="2">
        <v>31</v>
      </c>
      <c r="N4203" s="2" t="s">
        <v>54</v>
      </c>
      <c r="O4203" s="2" t="str">
        <f>VLOOKUP(OrganizedData[[#This Row],[Product Code]],ProductData[[Code]:[Item]],2,FALSE)</f>
        <v>Megawidget S</v>
      </c>
      <c r="P4203" s="4">
        <f>OrganizedData[[#This Row],[Quantity]]*VLOOKUP(OrganizedData[[#This Row],[Product Code]],ProductData[],4,FALSE)</f>
        <v>744</v>
      </c>
      <c r="Q4203" s="6">
        <f>OrganizedData[[#This Row],[Total Items Ordered]]*VLOOKUP(OrganizedData[[#This Row],[Product Code]],ProductData[],3,FALSE)</f>
        <v>513.36</v>
      </c>
      <c r="R42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497.95920000000001</v>
      </c>
    </row>
    <row r="4204" spans="1:18" x14ac:dyDescent="0.3">
      <c r="A4204" s="2">
        <v>4197</v>
      </c>
      <c r="B4204" s="2" t="s">
        <v>2150</v>
      </c>
      <c r="C4204" s="2" t="s">
        <v>6004</v>
      </c>
      <c r="D4204" s="2" t="s">
        <v>51</v>
      </c>
      <c r="E4204" s="2" t="s">
        <v>16</v>
      </c>
      <c r="F4204" s="2">
        <v>30</v>
      </c>
      <c r="G4204" s="2" t="s">
        <v>9341</v>
      </c>
      <c r="H4204" s="2" t="s">
        <v>6101</v>
      </c>
      <c r="I4204" s="2" t="s">
        <v>32</v>
      </c>
      <c r="J4204" s="3">
        <v>44592</v>
      </c>
      <c r="K4204" s="5">
        <f>YEAR(OrganizedData[[#This Row],[Order Date]])</f>
        <v>2022</v>
      </c>
      <c r="L4204" s="7" t="str">
        <f>TEXT(OrganizedData[[#This Row],[Order Date]],"mmm")</f>
        <v>Jan</v>
      </c>
      <c r="M4204" s="2">
        <v>85</v>
      </c>
      <c r="N4204" s="2" t="s">
        <v>20</v>
      </c>
      <c r="O4204" s="2" t="str">
        <f>VLOOKUP(OrganizedData[[#This Row],[Product Code]],ProductData[[Code]:[Item]],2,FALSE)</f>
        <v>Hyperwotsit</v>
      </c>
      <c r="P4204" s="4">
        <f>OrganizedData[[#This Row],[Quantity]]*VLOOKUP(OrganizedData[[#This Row],[Product Code]],ProductData[],4,FALSE)</f>
        <v>1700</v>
      </c>
      <c r="Q4204" s="6">
        <f>OrganizedData[[#This Row],[Total Items Ordered]]*VLOOKUP(OrganizedData[[#This Row],[Product Code]],ProductData[],3,FALSE)</f>
        <v>3416.9999999999995</v>
      </c>
      <c r="R42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3246.1499999999996</v>
      </c>
    </row>
    <row r="4205" spans="1:18" x14ac:dyDescent="0.3">
      <c r="A4205" s="2">
        <v>4198</v>
      </c>
      <c r="B4205" s="2" t="s">
        <v>9342</v>
      </c>
      <c r="C4205" s="2" t="s">
        <v>4946</v>
      </c>
      <c r="D4205" s="2" t="s">
        <v>51</v>
      </c>
      <c r="E4205" s="2" t="s">
        <v>16</v>
      </c>
      <c r="F4205" s="2">
        <v>90</v>
      </c>
      <c r="G4205" s="2" t="s">
        <v>9343</v>
      </c>
      <c r="H4205" s="2" t="s">
        <v>2436</v>
      </c>
      <c r="I4205" s="2" t="s">
        <v>294</v>
      </c>
      <c r="J4205" s="3">
        <v>44234</v>
      </c>
      <c r="K4205" s="5">
        <f>YEAR(OrganizedData[[#This Row],[Order Date]])</f>
        <v>2021</v>
      </c>
      <c r="L4205" s="7" t="str">
        <f>TEXT(OrganizedData[[#This Row],[Order Date]],"mmm")</f>
        <v>Feb</v>
      </c>
      <c r="M4205" s="2">
        <v>74</v>
      </c>
      <c r="N4205" s="2" t="s">
        <v>39</v>
      </c>
      <c r="O4205" s="2" t="str">
        <f>VLOOKUP(OrganizedData[[#This Row],[Product Code]],ProductData[[Code]:[Item]],2,FALSE)</f>
        <v>Ultrathing V1</v>
      </c>
      <c r="P4205" s="4">
        <f>OrganizedData[[#This Row],[Quantity]]*VLOOKUP(OrganizedData[[#This Row],[Product Code]],ProductData[],4,FALSE)</f>
        <v>1258</v>
      </c>
      <c r="Q4205" s="6">
        <f>OrganizedData[[#This Row],[Total Items Ordered]]*VLOOKUP(OrganizedData[[#This Row],[Product Code]],ProductData[],3,FALSE)</f>
        <v>2251.8200000000002</v>
      </c>
      <c r="R42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2139.2290000000003</v>
      </c>
    </row>
    <row r="4206" spans="1:18" x14ac:dyDescent="0.3">
      <c r="A4206" s="2">
        <v>4199</v>
      </c>
      <c r="B4206" s="2" t="s">
        <v>8317</v>
      </c>
      <c r="C4206" s="2" t="s">
        <v>6420</v>
      </c>
      <c r="D4206" s="2" t="s">
        <v>28</v>
      </c>
      <c r="E4206" s="2" t="s">
        <v>29</v>
      </c>
      <c r="F4206" s="2">
        <v>90</v>
      </c>
      <c r="G4206" s="2" t="s">
        <v>9344</v>
      </c>
      <c r="H4206" s="2" t="s">
        <v>1261</v>
      </c>
      <c r="I4206" s="2" t="s">
        <v>32</v>
      </c>
      <c r="J4206" s="3">
        <v>44412</v>
      </c>
      <c r="K4206" s="5">
        <f>YEAR(OrganizedData[[#This Row],[Order Date]])</f>
        <v>2021</v>
      </c>
      <c r="L4206" s="7" t="str">
        <f>TEXT(OrganizedData[[#This Row],[Order Date]],"mmm")</f>
        <v>Aug</v>
      </c>
      <c r="M4206" s="2">
        <v>53</v>
      </c>
      <c r="N4206" s="2" t="s">
        <v>20</v>
      </c>
      <c r="O4206" s="2" t="str">
        <f>VLOOKUP(OrganizedData[[#This Row],[Product Code]],ProductData[[Code]:[Item]],2,FALSE)</f>
        <v>Hyperwotsit</v>
      </c>
      <c r="P4206" s="4">
        <f>OrganizedData[[#This Row],[Quantity]]*VLOOKUP(OrganizedData[[#This Row],[Product Code]],ProductData[],4,FALSE)</f>
        <v>1060</v>
      </c>
      <c r="Q4206" s="6">
        <f>OrganizedData[[#This Row],[Total Items Ordered]]*VLOOKUP(OrganizedData[[#This Row],[Product Code]],ProductData[],3,FALSE)</f>
        <v>2130.6</v>
      </c>
      <c r="R42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2024.0699999999997</v>
      </c>
    </row>
    <row r="4207" spans="1:18" x14ac:dyDescent="0.3">
      <c r="A4207" s="2">
        <v>4200</v>
      </c>
      <c r="B4207" s="2" t="s">
        <v>2409</v>
      </c>
      <c r="C4207" s="2" t="s">
        <v>2692</v>
      </c>
      <c r="D4207" s="2" t="s">
        <v>28</v>
      </c>
      <c r="E4207" s="2" t="s">
        <v>29</v>
      </c>
      <c r="F4207" s="2">
        <v>30</v>
      </c>
      <c r="G4207" s="2" t="s">
        <v>9345</v>
      </c>
      <c r="H4207" s="2" t="s">
        <v>4713</v>
      </c>
      <c r="I4207" s="2" t="s">
        <v>294</v>
      </c>
      <c r="J4207" s="3">
        <v>44282</v>
      </c>
      <c r="K4207" s="5">
        <f>YEAR(OrganizedData[[#This Row],[Order Date]])</f>
        <v>2021</v>
      </c>
      <c r="L4207" s="7" t="str">
        <f>TEXT(OrganizedData[[#This Row],[Order Date]],"mmm")</f>
        <v>Mar</v>
      </c>
      <c r="M4207" s="2">
        <v>15</v>
      </c>
      <c r="N4207" s="2" t="s">
        <v>64</v>
      </c>
      <c r="O4207" s="2" t="str">
        <f>VLOOKUP(OrganizedData[[#This Row],[Product Code]],ProductData[[Code]:[Item]],2,FALSE)</f>
        <v>Ultrathing V4</v>
      </c>
      <c r="P4207" s="4">
        <f>OrganizedData[[#This Row],[Quantity]]*VLOOKUP(OrganizedData[[#This Row],[Product Code]],ProductData[],4,FALSE)</f>
        <v>360</v>
      </c>
      <c r="Q4207" s="6">
        <f>OrganizedData[[#This Row],[Total Items Ordered]]*VLOOKUP(OrganizedData[[#This Row],[Product Code]],ProductData[],3,FALSE)</f>
        <v>1436.4</v>
      </c>
      <c r="R42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1436.4</v>
      </c>
    </row>
    <row r="4208" spans="1:18" x14ac:dyDescent="0.3">
      <c r="A4208" s="2">
        <v>4201</v>
      </c>
      <c r="B4208" s="2" t="s">
        <v>5171</v>
      </c>
      <c r="C4208" s="2" t="s">
        <v>3605</v>
      </c>
      <c r="D4208" s="2" t="s">
        <v>15</v>
      </c>
      <c r="E4208" s="2" t="s">
        <v>16</v>
      </c>
      <c r="F4208" s="2">
        <v>90</v>
      </c>
      <c r="G4208" s="2" t="s">
        <v>9346</v>
      </c>
      <c r="H4208" s="2" t="s">
        <v>924</v>
      </c>
      <c r="I4208" s="2" t="s">
        <v>32</v>
      </c>
      <c r="J4208" s="3">
        <v>44852</v>
      </c>
      <c r="K4208" s="5">
        <f>YEAR(OrganizedData[[#This Row],[Order Date]])</f>
        <v>2022</v>
      </c>
      <c r="L4208" s="7" t="str">
        <f>TEXT(OrganizedData[[#This Row],[Order Date]],"mmm")</f>
        <v>Oct</v>
      </c>
      <c r="M4208" s="2">
        <v>7</v>
      </c>
      <c r="N4208" s="2" t="s">
        <v>54</v>
      </c>
      <c r="O4208" s="2" t="str">
        <f>VLOOKUP(OrganizedData[[#This Row],[Product Code]],ProductData[[Code]:[Item]],2,FALSE)</f>
        <v>Megawidget S</v>
      </c>
      <c r="P4208" s="4">
        <f>OrganizedData[[#This Row],[Quantity]]*VLOOKUP(OrganizedData[[#This Row],[Product Code]],ProductData[],4,FALSE)</f>
        <v>168</v>
      </c>
      <c r="Q4208" s="6">
        <f>OrganizedData[[#This Row],[Total Items Ordered]]*VLOOKUP(OrganizedData[[#This Row],[Product Code]],ProductData[],3,FALSE)</f>
        <v>115.91999999999999</v>
      </c>
      <c r="R42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4209" spans="1:18" x14ac:dyDescent="0.3">
      <c r="A4209" s="2">
        <v>4202</v>
      </c>
      <c r="B4209" s="2" t="s">
        <v>714</v>
      </c>
      <c r="C4209" s="2" t="s">
        <v>2158</v>
      </c>
      <c r="D4209" s="2" t="s">
        <v>28</v>
      </c>
      <c r="E4209" s="2" t="s">
        <v>29</v>
      </c>
      <c r="F4209" s="2">
        <v>90</v>
      </c>
      <c r="G4209" s="2" t="s">
        <v>9347</v>
      </c>
      <c r="H4209" s="2" t="s">
        <v>5667</v>
      </c>
      <c r="I4209" s="2" t="s">
        <v>32</v>
      </c>
      <c r="J4209" s="3">
        <v>44470</v>
      </c>
      <c r="K4209" s="5">
        <f>YEAR(OrganizedData[[#This Row],[Order Date]])</f>
        <v>2021</v>
      </c>
      <c r="L4209" s="7" t="str">
        <f>TEXT(OrganizedData[[#This Row],[Order Date]],"mmm")</f>
        <v>Oct</v>
      </c>
      <c r="M4209" s="2">
        <v>2</v>
      </c>
      <c r="N4209" s="2" t="s">
        <v>64</v>
      </c>
      <c r="O4209" s="2" t="str">
        <f>VLOOKUP(OrganizedData[[#This Row],[Product Code]],ProductData[[Code]:[Item]],2,FALSE)</f>
        <v>Ultrathing V4</v>
      </c>
      <c r="P4209" s="4">
        <f>OrganizedData[[#This Row],[Quantity]]*VLOOKUP(OrganizedData[[#This Row],[Product Code]],ProductData[],4,FALSE)</f>
        <v>48</v>
      </c>
      <c r="Q4209" s="6">
        <f>OrganizedData[[#This Row],[Total Items Ordered]]*VLOOKUP(OrganizedData[[#This Row],[Product Code]],ProductData[],3,FALSE)</f>
        <v>191.52</v>
      </c>
      <c r="R42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4210" spans="1:18" x14ac:dyDescent="0.3">
      <c r="A4210" s="2">
        <v>4203</v>
      </c>
      <c r="B4210" s="2" t="s">
        <v>134</v>
      </c>
      <c r="C4210" s="2" t="s">
        <v>1361</v>
      </c>
      <c r="D4210" s="2" t="s">
        <v>28</v>
      </c>
      <c r="E4210" s="2" t="s">
        <v>29</v>
      </c>
      <c r="F4210" s="2">
        <v>30</v>
      </c>
      <c r="G4210" s="2" t="s">
        <v>9348</v>
      </c>
      <c r="H4210" s="2" t="s">
        <v>6168</v>
      </c>
      <c r="I4210" s="2" t="s">
        <v>294</v>
      </c>
      <c r="J4210" s="3">
        <v>44326</v>
      </c>
      <c r="K4210" s="5">
        <f>YEAR(OrganizedData[[#This Row],[Order Date]])</f>
        <v>2021</v>
      </c>
      <c r="L4210" s="7" t="str">
        <f>TEXT(OrganizedData[[#This Row],[Order Date]],"mmm")</f>
        <v>May</v>
      </c>
      <c r="M4210" s="2">
        <v>5</v>
      </c>
      <c r="N4210" s="2" t="s">
        <v>45</v>
      </c>
      <c r="O4210" s="2" t="str">
        <f>VLOOKUP(OrganizedData[[#This Row],[Product Code]],ProductData[[Code]:[Item]],2,FALSE)</f>
        <v>Gigastuff</v>
      </c>
      <c r="P4210" s="4">
        <f>OrganizedData[[#This Row],[Quantity]]*VLOOKUP(OrganizedData[[#This Row],[Product Code]],ProductData[],4,FALSE)</f>
        <v>90</v>
      </c>
      <c r="Q4210" s="6">
        <f>OrganizedData[[#This Row],[Total Items Ordered]]*VLOOKUP(OrganizedData[[#This Row],[Product Code]],ProductData[],3,FALSE)</f>
        <v>170.1</v>
      </c>
      <c r="R42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170.1</v>
      </c>
    </row>
    <row r="4211" spans="1:18" x14ac:dyDescent="0.3">
      <c r="A4211" s="2">
        <v>4204</v>
      </c>
      <c r="B4211" s="2" t="s">
        <v>9349</v>
      </c>
      <c r="C4211" s="2" t="s">
        <v>9326</v>
      </c>
      <c r="D4211" s="2" t="s">
        <v>28</v>
      </c>
      <c r="E4211" s="2" t="s">
        <v>29</v>
      </c>
      <c r="F4211" s="2">
        <v>90</v>
      </c>
      <c r="G4211" s="2" t="s">
        <v>9350</v>
      </c>
      <c r="H4211" s="2" t="s">
        <v>5379</v>
      </c>
      <c r="I4211" s="2" t="s">
        <v>1199</v>
      </c>
      <c r="J4211" s="3">
        <v>44827</v>
      </c>
      <c r="K4211" s="5">
        <f>YEAR(OrganizedData[[#This Row],[Order Date]])</f>
        <v>2022</v>
      </c>
      <c r="L4211" s="7" t="str">
        <f>TEXT(OrganizedData[[#This Row],[Order Date]],"mmm")</f>
        <v>Sep</v>
      </c>
      <c r="M4211" s="2">
        <v>45</v>
      </c>
      <c r="N4211" s="2" t="s">
        <v>159</v>
      </c>
      <c r="O4211" s="2" t="str">
        <f>VLOOKUP(OrganizedData[[#This Row],[Product Code]],ProductData[[Code]:[Item]],2,FALSE)</f>
        <v>Ultrathing V3</v>
      </c>
      <c r="P4211" s="4">
        <f>OrganizedData[[#This Row],[Quantity]]*VLOOKUP(OrganizedData[[#This Row],[Product Code]],ProductData[],4,FALSE)</f>
        <v>1080</v>
      </c>
      <c r="Q4211" s="6">
        <f>OrganizedData[[#This Row],[Total Items Ordered]]*VLOOKUP(OrganizedData[[#This Row],[Product Code]],ProductData[],3,FALSE)</f>
        <v>3661.2000000000003</v>
      </c>
      <c r="R42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3551.364</v>
      </c>
    </row>
    <row r="4212" spans="1:18" x14ac:dyDescent="0.3">
      <c r="A4212" s="2">
        <v>4205</v>
      </c>
      <c r="B4212" s="2" t="s">
        <v>3537</v>
      </c>
      <c r="C4212" s="2" t="s">
        <v>9351</v>
      </c>
      <c r="D4212" s="2" t="s">
        <v>28</v>
      </c>
      <c r="E4212" s="2" t="s">
        <v>29</v>
      </c>
      <c r="F4212" s="2">
        <v>90</v>
      </c>
      <c r="G4212" s="2" t="s">
        <v>9352</v>
      </c>
      <c r="H4212" s="2" t="s">
        <v>1039</v>
      </c>
      <c r="I4212" s="2" t="s">
        <v>25</v>
      </c>
      <c r="J4212" s="3">
        <v>44381</v>
      </c>
      <c r="K4212" s="5">
        <f>YEAR(OrganizedData[[#This Row],[Order Date]])</f>
        <v>2021</v>
      </c>
      <c r="L4212" s="7" t="str">
        <f>TEXT(OrganizedData[[#This Row],[Order Date]],"mmm")</f>
        <v>Jul</v>
      </c>
      <c r="M4212" s="2">
        <v>32</v>
      </c>
      <c r="N4212" s="2" t="s">
        <v>64</v>
      </c>
      <c r="O4212" s="2" t="str">
        <f>VLOOKUP(OrganizedData[[#This Row],[Product Code]],ProductData[[Code]:[Item]],2,FALSE)</f>
        <v>Ultrathing V4</v>
      </c>
      <c r="P4212" s="4">
        <f>OrganizedData[[#This Row],[Quantity]]*VLOOKUP(OrganizedData[[#This Row],[Product Code]],ProductData[],4,FALSE)</f>
        <v>768</v>
      </c>
      <c r="Q4212" s="6">
        <f>OrganizedData[[#This Row],[Total Items Ordered]]*VLOOKUP(OrganizedData[[#This Row],[Product Code]],ProductData[],3,FALSE)</f>
        <v>3064.32</v>
      </c>
      <c r="R42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2972.3904000000002</v>
      </c>
    </row>
    <row r="4213" spans="1:18" x14ac:dyDescent="0.3">
      <c r="A4213" s="2">
        <v>4206</v>
      </c>
      <c r="B4213" s="2" t="s">
        <v>9353</v>
      </c>
      <c r="C4213" s="2" t="s">
        <v>1532</v>
      </c>
      <c r="D4213" s="2" t="s">
        <v>51</v>
      </c>
      <c r="E4213" s="2" t="s">
        <v>16</v>
      </c>
      <c r="F4213" s="2">
        <v>30</v>
      </c>
      <c r="G4213" s="2" t="s">
        <v>9354</v>
      </c>
      <c r="H4213" s="2" t="s">
        <v>1198</v>
      </c>
      <c r="I4213" s="2" t="s">
        <v>1199</v>
      </c>
      <c r="J4213" s="3">
        <v>44108</v>
      </c>
      <c r="K4213" s="5">
        <f>YEAR(OrganizedData[[#This Row],[Order Date]])</f>
        <v>2020</v>
      </c>
      <c r="L4213" s="7" t="str">
        <f>TEXT(OrganizedData[[#This Row],[Order Date]],"mmm")</f>
        <v>Oct</v>
      </c>
      <c r="M4213" s="2">
        <v>70</v>
      </c>
      <c r="N4213" s="2" t="s">
        <v>33</v>
      </c>
      <c r="O4213" s="2" t="str">
        <f>VLOOKUP(OrganizedData[[#This Row],[Product Code]],ProductData[[Code]:[Item]],2,FALSE)</f>
        <v>Megawidget L</v>
      </c>
      <c r="P4213" s="4">
        <f>OrganizedData[[#This Row],[Quantity]]*VLOOKUP(OrganizedData[[#This Row],[Product Code]],ProductData[],4,FALSE)</f>
        <v>1680</v>
      </c>
      <c r="Q4213" s="6">
        <f>OrganizedData[[#This Row],[Total Items Ordered]]*VLOOKUP(OrganizedData[[#This Row],[Product Code]],ProductData[],3,FALSE)</f>
        <v>3007.2000000000003</v>
      </c>
      <c r="R42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2856.84</v>
      </c>
    </row>
    <row r="4214" spans="1:18" x14ac:dyDescent="0.3">
      <c r="A4214" s="2">
        <v>4207</v>
      </c>
      <c r="B4214" s="2" t="s">
        <v>2231</v>
      </c>
      <c r="C4214" s="2" t="s">
        <v>4318</v>
      </c>
      <c r="D4214" s="2" t="s">
        <v>28</v>
      </c>
      <c r="E4214" s="2" t="s">
        <v>29</v>
      </c>
      <c r="F4214" s="2">
        <v>90</v>
      </c>
      <c r="G4214" s="2" t="s">
        <v>9355</v>
      </c>
      <c r="H4214" s="2" t="s">
        <v>3316</v>
      </c>
      <c r="I4214" s="2" t="s">
        <v>32</v>
      </c>
      <c r="J4214" s="3">
        <v>44429</v>
      </c>
      <c r="K4214" s="5">
        <f>YEAR(OrganizedData[[#This Row],[Order Date]])</f>
        <v>2021</v>
      </c>
      <c r="L4214" s="7" t="str">
        <f>TEXT(OrganizedData[[#This Row],[Order Date]],"mmm")</f>
        <v>Aug</v>
      </c>
      <c r="M4214" s="2">
        <v>26</v>
      </c>
      <c r="N4214" s="2" t="s">
        <v>39</v>
      </c>
      <c r="O4214" s="2" t="str">
        <f>VLOOKUP(OrganizedData[[#This Row],[Product Code]],ProductData[[Code]:[Item]],2,FALSE)</f>
        <v>Ultrathing V1</v>
      </c>
      <c r="P4214" s="4">
        <f>OrganizedData[[#This Row],[Quantity]]*VLOOKUP(OrganizedData[[#This Row],[Product Code]],ProductData[],4,FALSE)</f>
        <v>442</v>
      </c>
      <c r="Q4214" s="6">
        <f>OrganizedData[[#This Row],[Total Items Ordered]]*VLOOKUP(OrganizedData[[#This Row],[Product Code]],ProductData[],3,FALSE)</f>
        <v>791.18000000000006</v>
      </c>
      <c r="R42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767.44460000000004</v>
      </c>
    </row>
    <row r="4215" spans="1:18" x14ac:dyDescent="0.3">
      <c r="A4215" s="2">
        <v>4208</v>
      </c>
      <c r="B4215" s="2" t="s">
        <v>9356</v>
      </c>
      <c r="C4215" s="2" t="s">
        <v>3913</v>
      </c>
      <c r="D4215" s="2" t="s">
        <v>15</v>
      </c>
      <c r="E4215" s="2" t="s">
        <v>16</v>
      </c>
      <c r="F4215" s="2">
        <v>60</v>
      </c>
      <c r="G4215" s="2" t="s">
        <v>9357</v>
      </c>
      <c r="H4215" s="2" t="s">
        <v>7763</v>
      </c>
      <c r="I4215" s="2" t="s">
        <v>129</v>
      </c>
      <c r="J4215" s="3">
        <v>44391</v>
      </c>
      <c r="K4215" s="5">
        <f>YEAR(OrganizedData[[#This Row],[Order Date]])</f>
        <v>2021</v>
      </c>
      <c r="L4215" s="7" t="str">
        <f>TEXT(OrganizedData[[#This Row],[Order Date]],"mmm")</f>
        <v>Jul</v>
      </c>
      <c r="M4215" s="2">
        <v>88</v>
      </c>
      <c r="N4215" s="2" t="s">
        <v>45</v>
      </c>
      <c r="O4215" s="2" t="str">
        <f>VLOOKUP(OrganizedData[[#This Row],[Product Code]],ProductData[[Code]:[Item]],2,FALSE)</f>
        <v>Gigastuff</v>
      </c>
      <c r="P4215" s="4">
        <f>OrganizedData[[#This Row],[Quantity]]*VLOOKUP(OrganizedData[[#This Row],[Product Code]],ProductData[],4,FALSE)</f>
        <v>1584</v>
      </c>
      <c r="Q4215" s="6">
        <f>OrganizedData[[#This Row],[Total Items Ordered]]*VLOOKUP(OrganizedData[[#This Row],[Product Code]],ProductData[],3,FALSE)</f>
        <v>2993.7599999999998</v>
      </c>
      <c r="R42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2844.0719999999997</v>
      </c>
    </row>
    <row r="4216" spans="1:18" x14ac:dyDescent="0.3">
      <c r="A4216" s="2">
        <v>4209</v>
      </c>
      <c r="B4216" s="2" t="s">
        <v>7371</v>
      </c>
      <c r="C4216" s="2" t="s">
        <v>4376</v>
      </c>
      <c r="D4216" s="2" t="s">
        <v>15</v>
      </c>
      <c r="E4216" s="2" t="s">
        <v>16</v>
      </c>
      <c r="F4216" s="2">
        <v>30</v>
      </c>
      <c r="G4216" s="2" t="s">
        <v>9358</v>
      </c>
      <c r="H4216" s="2" t="s">
        <v>3169</v>
      </c>
      <c r="I4216" s="2" t="s">
        <v>110</v>
      </c>
      <c r="J4216" s="3">
        <v>44717</v>
      </c>
      <c r="K4216" s="5">
        <f>YEAR(OrganizedData[[#This Row],[Order Date]])</f>
        <v>2022</v>
      </c>
      <c r="L4216" s="7" t="str">
        <f>TEXT(OrganizedData[[#This Row],[Order Date]],"mmm")</f>
        <v>Jun</v>
      </c>
      <c r="M4216" s="2">
        <v>75</v>
      </c>
      <c r="N4216" s="2" t="s">
        <v>70</v>
      </c>
      <c r="O4216" s="2" t="str">
        <f>VLOOKUP(OrganizedData[[#This Row],[Product Code]],ProductData[[Code]:[Item]],2,FALSE)</f>
        <v>Megawidget M</v>
      </c>
      <c r="P4216" s="4">
        <f>OrganizedData[[#This Row],[Quantity]]*VLOOKUP(OrganizedData[[#This Row],[Product Code]],ProductData[],4,FALSE)</f>
        <v>1800</v>
      </c>
      <c r="Q4216" s="6">
        <f>OrganizedData[[#This Row],[Total Items Ordered]]*VLOOKUP(OrganizedData[[#This Row],[Product Code]],ProductData[],3,FALSE)</f>
        <v>2322</v>
      </c>
      <c r="R42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2205.9</v>
      </c>
    </row>
    <row r="4217" spans="1:18" x14ac:dyDescent="0.3">
      <c r="A4217" s="2">
        <v>4210</v>
      </c>
      <c r="B4217" s="2" t="s">
        <v>3345</v>
      </c>
      <c r="C4217" s="2" t="s">
        <v>2228</v>
      </c>
      <c r="D4217" s="2" t="s">
        <v>28</v>
      </c>
      <c r="E4217" s="2" t="s">
        <v>29</v>
      </c>
      <c r="F4217" s="2">
        <v>60</v>
      </c>
      <c r="G4217" s="2" t="s">
        <v>9359</v>
      </c>
      <c r="H4217" s="2" t="s">
        <v>4337</v>
      </c>
      <c r="I4217" s="2" t="s">
        <v>25</v>
      </c>
      <c r="J4217" s="3">
        <v>44254</v>
      </c>
      <c r="K4217" s="5">
        <f>YEAR(OrganizedData[[#This Row],[Order Date]])</f>
        <v>2021</v>
      </c>
      <c r="L4217" s="7" t="str">
        <f>TEXT(OrganizedData[[#This Row],[Order Date]],"mmm")</f>
        <v>Feb</v>
      </c>
      <c r="M4217" s="2">
        <v>82</v>
      </c>
      <c r="N4217" s="2" t="s">
        <v>80</v>
      </c>
      <c r="O4217" s="2" t="str">
        <f>VLOOKUP(OrganizedData[[#This Row],[Product Code]],ProductData[[Code]:[Item]],2,FALSE)</f>
        <v>Ultrathing V2</v>
      </c>
      <c r="P4217" s="4">
        <f>OrganizedData[[#This Row],[Quantity]]*VLOOKUP(OrganizedData[[#This Row],[Product Code]],ProductData[],4,FALSE)</f>
        <v>1640</v>
      </c>
      <c r="Q4217" s="6">
        <f>OrganizedData[[#This Row],[Total Items Ordered]]*VLOOKUP(OrganizedData[[#This Row],[Product Code]],ProductData[],3,FALSE)</f>
        <v>4838</v>
      </c>
      <c r="R42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4596.0999999999995</v>
      </c>
    </row>
    <row r="4218" spans="1:18" x14ac:dyDescent="0.3">
      <c r="A4218" s="2">
        <v>4211</v>
      </c>
      <c r="B4218" s="2" t="s">
        <v>7683</v>
      </c>
      <c r="C4218" s="2" t="s">
        <v>82</v>
      </c>
      <c r="D4218" s="2" t="s">
        <v>28</v>
      </c>
      <c r="E4218" s="2" t="s">
        <v>29</v>
      </c>
      <c r="F4218" s="2">
        <v>30</v>
      </c>
      <c r="G4218" s="2" t="s">
        <v>9360</v>
      </c>
      <c r="H4218" s="2" t="s">
        <v>838</v>
      </c>
      <c r="I4218" s="2" t="s">
        <v>839</v>
      </c>
      <c r="J4218" s="3">
        <v>44717</v>
      </c>
      <c r="K4218" s="5">
        <f>YEAR(OrganizedData[[#This Row],[Order Date]])</f>
        <v>2022</v>
      </c>
      <c r="L4218" s="7" t="str">
        <f>TEXT(OrganizedData[[#This Row],[Order Date]],"mmm")</f>
        <v>Jun</v>
      </c>
      <c r="M4218" s="2">
        <v>43</v>
      </c>
      <c r="N4218" s="2" t="s">
        <v>159</v>
      </c>
      <c r="O4218" s="2" t="str">
        <f>VLOOKUP(OrganizedData[[#This Row],[Product Code]],ProductData[[Code]:[Item]],2,FALSE)</f>
        <v>Ultrathing V3</v>
      </c>
      <c r="P4218" s="4">
        <f>OrganizedData[[#This Row],[Quantity]]*VLOOKUP(OrganizedData[[#This Row],[Product Code]],ProductData[],4,FALSE)</f>
        <v>1032</v>
      </c>
      <c r="Q4218" s="6">
        <f>OrganizedData[[#This Row],[Total Items Ordered]]*VLOOKUP(OrganizedData[[#This Row],[Product Code]],ProductData[],3,FALSE)</f>
        <v>3498.48</v>
      </c>
      <c r="R42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3393.5255999999999</v>
      </c>
    </row>
    <row r="4219" spans="1:18" x14ac:dyDescent="0.3">
      <c r="A4219" s="2">
        <v>4212</v>
      </c>
      <c r="B4219" s="2" t="s">
        <v>4614</v>
      </c>
      <c r="C4219" s="2" t="s">
        <v>5598</v>
      </c>
      <c r="D4219" s="2" t="s">
        <v>51</v>
      </c>
      <c r="E4219" s="2" t="s">
        <v>16</v>
      </c>
      <c r="F4219" s="2">
        <v>60</v>
      </c>
      <c r="G4219" s="2" t="s">
        <v>9361</v>
      </c>
      <c r="H4219" s="2" t="s">
        <v>641</v>
      </c>
      <c r="I4219" s="2" t="s">
        <v>294</v>
      </c>
      <c r="J4219" s="3">
        <v>44334</v>
      </c>
      <c r="K4219" s="5">
        <f>YEAR(OrganizedData[[#This Row],[Order Date]])</f>
        <v>2021</v>
      </c>
      <c r="L4219" s="7" t="str">
        <f>TEXT(OrganizedData[[#This Row],[Order Date]],"mmm")</f>
        <v>May</v>
      </c>
      <c r="M4219" s="2">
        <v>45</v>
      </c>
      <c r="N4219" s="2" t="s">
        <v>20</v>
      </c>
      <c r="O4219" s="2" t="str">
        <f>VLOOKUP(OrganizedData[[#This Row],[Product Code]],ProductData[[Code]:[Item]],2,FALSE)</f>
        <v>Hyperwotsit</v>
      </c>
      <c r="P4219" s="4">
        <f>OrganizedData[[#This Row],[Quantity]]*VLOOKUP(OrganizedData[[#This Row],[Product Code]],ProductData[],4,FALSE)</f>
        <v>900</v>
      </c>
      <c r="Q4219" s="6">
        <f>OrganizedData[[#This Row],[Total Items Ordered]]*VLOOKUP(OrganizedData[[#This Row],[Product Code]],ProductData[],3,FALSE)</f>
        <v>1808.9999999999998</v>
      </c>
      <c r="R42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1754.7299999999998</v>
      </c>
    </row>
    <row r="4220" spans="1:18" x14ac:dyDescent="0.3">
      <c r="A4220" s="2">
        <v>4213</v>
      </c>
      <c r="B4220" s="2" t="s">
        <v>6003</v>
      </c>
      <c r="C4220" s="2" t="s">
        <v>3362</v>
      </c>
      <c r="D4220" s="2" t="s">
        <v>28</v>
      </c>
      <c r="E4220" s="2" t="s">
        <v>29</v>
      </c>
      <c r="F4220" s="2">
        <v>60</v>
      </c>
      <c r="G4220" s="2" t="s">
        <v>9362</v>
      </c>
      <c r="H4220" s="2" t="s">
        <v>8110</v>
      </c>
      <c r="I4220" s="2" t="s">
        <v>173</v>
      </c>
      <c r="J4220" s="3">
        <v>43959</v>
      </c>
      <c r="K4220" s="5">
        <f>YEAR(OrganizedData[[#This Row],[Order Date]])</f>
        <v>2020</v>
      </c>
      <c r="L4220" s="7" t="str">
        <f>TEXT(OrganizedData[[#This Row],[Order Date]],"mmm")</f>
        <v>May</v>
      </c>
      <c r="M4220" s="2">
        <v>82</v>
      </c>
      <c r="N4220" s="2" t="s">
        <v>159</v>
      </c>
      <c r="O4220" s="2" t="str">
        <f>VLOOKUP(OrganizedData[[#This Row],[Product Code]],ProductData[[Code]:[Item]],2,FALSE)</f>
        <v>Ultrathing V3</v>
      </c>
      <c r="P4220" s="4">
        <f>OrganizedData[[#This Row],[Quantity]]*VLOOKUP(OrganizedData[[#This Row],[Product Code]],ProductData[],4,FALSE)</f>
        <v>1968</v>
      </c>
      <c r="Q4220" s="6">
        <f>OrganizedData[[#This Row],[Total Items Ordered]]*VLOOKUP(OrganizedData[[#This Row],[Product Code]],ProductData[],3,FALSE)</f>
        <v>6671.52</v>
      </c>
      <c r="R42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6337.9440000000004</v>
      </c>
    </row>
    <row r="4221" spans="1:18" x14ac:dyDescent="0.3">
      <c r="A4221" s="2">
        <v>4214</v>
      </c>
      <c r="B4221" s="2" t="s">
        <v>245</v>
      </c>
      <c r="C4221" s="2" t="s">
        <v>4205</v>
      </c>
      <c r="D4221" s="2" t="s">
        <v>28</v>
      </c>
      <c r="E4221" s="2" t="s">
        <v>29</v>
      </c>
      <c r="F4221" s="2">
        <v>90</v>
      </c>
      <c r="G4221" s="2" t="s">
        <v>9363</v>
      </c>
      <c r="H4221" s="2" t="s">
        <v>1265</v>
      </c>
      <c r="I4221" s="2" t="s">
        <v>32</v>
      </c>
      <c r="J4221" s="3">
        <v>44448</v>
      </c>
      <c r="K4221" s="5">
        <f>YEAR(OrganizedData[[#This Row],[Order Date]])</f>
        <v>2021</v>
      </c>
      <c r="L4221" s="7" t="str">
        <f>TEXT(OrganizedData[[#This Row],[Order Date]],"mmm")</f>
        <v>Sep</v>
      </c>
      <c r="M4221" s="2">
        <v>62</v>
      </c>
      <c r="N4221" s="2" t="s">
        <v>70</v>
      </c>
      <c r="O4221" s="2" t="str">
        <f>VLOOKUP(OrganizedData[[#This Row],[Product Code]],ProductData[[Code]:[Item]],2,FALSE)</f>
        <v>Megawidget M</v>
      </c>
      <c r="P4221" s="4">
        <f>OrganizedData[[#This Row],[Quantity]]*VLOOKUP(OrganizedData[[#This Row],[Product Code]],ProductData[],4,FALSE)</f>
        <v>1488</v>
      </c>
      <c r="Q4221" s="6">
        <f>OrganizedData[[#This Row],[Total Items Ordered]]*VLOOKUP(OrganizedData[[#This Row],[Product Code]],ProductData[],3,FALSE)</f>
        <v>1919.52</v>
      </c>
      <c r="R42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4222" spans="1:18" x14ac:dyDescent="0.3">
      <c r="A4222" s="2">
        <v>4215</v>
      </c>
      <c r="B4222" s="2" t="s">
        <v>183</v>
      </c>
      <c r="C4222" s="2" t="s">
        <v>352</v>
      </c>
      <c r="D4222" s="2" t="s">
        <v>28</v>
      </c>
      <c r="E4222" s="2" t="s">
        <v>29</v>
      </c>
      <c r="F4222" s="2">
        <v>90</v>
      </c>
      <c r="G4222" s="2" t="s">
        <v>9364</v>
      </c>
      <c r="H4222" s="2" t="s">
        <v>1261</v>
      </c>
      <c r="I4222" s="2" t="s">
        <v>32</v>
      </c>
      <c r="J4222" s="3">
        <v>44089</v>
      </c>
      <c r="K4222" s="5">
        <f>YEAR(OrganizedData[[#This Row],[Order Date]])</f>
        <v>2020</v>
      </c>
      <c r="L4222" s="7" t="str">
        <f>TEXT(OrganizedData[[#This Row],[Order Date]],"mmm")</f>
        <v>Sep</v>
      </c>
      <c r="M4222" s="2">
        <v>6</v>
      </c>
      <c r="N4222" s="2" t="s">
        <v>64</v>
      </c>
      <c r="O4222" s="2" t="str">
        <f>VLOOKUP(OrganizedData[[#This Row],[Product Code]],ProductData[[Code]:[Item]],2,FALSE)</f>
        <v>Ultrathing V4</v>
      </c>
      <c r="P4222" s="4">
        <f>OrganizedData[[#This Row],[Quantity]]*VLOOKUP(OrganizedData[[#This Row],[Product Code]],ProductData[],4,FALSE)</f>
        <v>144</v>
      </c>
      <c r="Q4222" s="6">
        <f>OrganizedData[[#This Row],[Total Items Ordered]]*VLOOKUP(OrganizedData[[#This Row],[Product Code]],ProductData[],3,FALSE)</f>
        <v>574.56000000000006</v>
      </c>
      <c r="R42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574.56000000000006</v>
      </c>
    </row>
    <row r="4223" spans="1:18" x14ac:dyDescent="0.3">
      <c r="A4223" s="2">
        <v>4216</v>
      </c>
      <c r="B4223" s="2" t="s">
        <v>692</v>
      </c>
      <c r="C4223" s="2" t="s">
        <v>3845</v>
      </c>
      <c r="D4223" s="2" t="s">
        <v>28</v>
      </c>
      <c r="E4223" s="2" t="s">
        <v>29</v>
      </c>
      <c r="F4223" s="2">
        <v>90</v>
      </c>
      <c r="G4223" s="2" t="s">
        <v>9365</v>
      </c>
      <c r="H4223" s="2" t="s">
        <v>3619</v>
      </c>
      <c r="I4223" s="2" t="s">
        <v>575</v>
      </c>
      <c r="J4223" s="3">
        <v>44112</v>
      </c>
      <c r="K4223" s="5">
        <f>YEAR(OrganizedData[[#This Row],[Order Date]])</f>
        <v>2020</v>
      </c>
      <c r="L4223" s="7" t="str">
        <f>TEXT(OrganizedData[[#This Row],[Order Date]],"mmm")</f>
        <v>Oct</v>
      </c>
      <c r="M4223" s="2">
        <v>72</v>
      </c>
      <c r="N4223" s="2" t="s">
        <v>54</v>
      </c>
      <c r="O4223" s="2" t="str">
        <f>VLOOKUP(OrganizedData[[#This Row],[Product Code]],ProductData[[Code]:[Item]],2,FALSE)</f>
        <v>Megawidget S</v>
      </c>
      <c r="P4223" s="4">
        <f>OrganizedData[[#This Row],[Quantity]]*VLOOKUP(OrganizedData[[#This Row],[Product Code]],ProductData[],4,FALSE)</f>
        <v>1728</v>
      </c>
      <c r="Q4223" s="6">
        <f>OrganizedData[[#This Row],[Total Items Ordered]]*VLOOKUP(OrganizedData[[#This Row],[Product Code]],ProductData[],3,FALSE)</f>
        <v>1192.32</v>
      </c>
      <c r="R42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4224" spans="1:18" x14ac:dyDescent="0.3">
      <c r="A4224" s="2">
        <v>4217</v>
      </c>
      <c r="B4224" s="2" t="s">
        <v>9366</v>
      </c>
      <c r="C4224" s="2" t="s">
        <v>6062</v>
      </c>
      <c r="D4224" s="2" t="s">
        <v>15</v>
      </c>
      <c r="E4224" s="2" t="s">
        <v>16</v>
      </c>
      <c r="F4224" s="2">
        <v>90</v>
      </c>
      <c r="G4224" s="2" t="s">
        <v>9367</v>
      </c>
      <c r="H4224" s="2" t="s">
        <v>7752</v>
      </c>
      <c r="I4224" s="2" t="s">
        <v>32</v>
      </c>
      <c r="J4224" s="3">
        <v>43936</v>
      </c>
      <c r="K4224" s="5">
        <f>YEAR(OrganizedData[[#This Row],[Order Date]])</f>
        <v>2020</v>
      </c>
      <c r="L4224" s="7" t="str">
        <f>TEXT(OrganizedData[[#This Row],[Order Date]],"mmm")</f>
        <v>Apr</v>
      </c>
      <c r="M4224" s="2">
        <v>75</v>
      </c>
      <c r="N4224" s="2" t="s">
        <v>159</v>
      </c>
      <c r="O4224" s="2" t="str">
        <f>VLOOKUP(OrganizedData[[#This Row],[Product Code]],ProductData[[Code]:[Item]],2,FALSE)</f>
        <v>Ultrathing V3</v>
      </c>
      <c r="P4224" s="4">
        <f>OrganizedData[[#This Row],[Quantity]]*VLOOKUP(OrganizedData[[#This Row],[Product Code]],ProductData[],4,FALSE)</f>
        <v>1800</v>
      </c>
      <c r="Q4224" s="6">
        <f>OrganizedData[[#This Row],[Total Items Ordered]]*VLOOKUP(OrganizedData[[#This Row],[Product Code]],ProductData[],3,FALSE)</f>
        <v>6102</v>
      </c>
      <c r="R42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4225" spans="1:18" x14ac:dyDescent="0.3">
      <c r="A4225" s="2">
        <v>4218</v>
      </c>
      <c r="B4225" s="2" t="s">
        <v>6003</v>
      </c>
      <c r="C4225" s="2" t="s">
        <v>335</v>
      </c>
      <c r="D4225" s="2" t="s">
        <v>41</v>
      </c>
      <c r="E4225" s="2" t="s">
        <v>16</v>
      </c>
      <c r="F4225" s="2">
        <v>90</v>
      </c>
      <c r="G4225" s="2" t="s">
        <v>9368</v>
      </c>
      <c r="H4225" s="2" t="s">
        <v>6319</v>
      </c>
      <c r="I4225" s="2" t="s">
        <v>32</v>
      </c>
      <c r="J4225" s="3">
        <v>44127</v>
      </c>
      <c r="K4225" s="5">
        <f>YEAR(OrganizedData[[#This Row],[Order Date]])</f>
        <v>2020</v>
      </c>
      <c r="L4225" s="7" t="str">
        <f>TEXT(OrganizedData[[#This Row],[Order Date]],"mmm")</f>
        <v>Oct</v>
      </c>
      <c r="M4225" s="2">
        <v>9</v>
      </c>
      <c r="N4225" s="2" t="s">
        <v>45</v>
      </c>
      <c r="O4225" s="2" t="str">
        <f>VLOOKUP(OrganizedData[[#This Row],[Product Code]],ProductData[[Code]:[Item]],2,FALSE)</f>
        <v>Gigastuff</v>
      </c>
      <c r="P4225" s="4">
        <f>OrganizedData[[#This Row],[Quantity]]*VLOOKUP(OrganizedData[[#This Row],[Product Code]],ProductData[],4,FALSE)</f>
        <v>162</v>
      </c>
      <c r="Q4225" s="6">
        <f>OrganizedData[[#This Row],[Total Items Ordered]]*VLOOKUP(OrganizedData[[#This Row],[Product Code]],ProductData[],3,FALSE)</f>
        <v>306.18</v>
      </c>
      <c r="R42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306.18</v>
      </c>
    </row>
    <row r="4226" spans="1:18" x14ac:dyDescent="0.3">
      <c r="A4226" s="2">
        <v>4219</v>
      </c>
      <c r="B4226" s="2" t="s">
        <v>2231</v>
      </c>
      <c r="C4226" s="2" t="s">
        <v>5383</v>
      </c>
      <c r="D4226" s="2" t="s">
        <v>28</v>
      </c>
      <c r="E4226" s="2" t="s">
        <v>29</v>
      </c>
      <c r="F4226" s="2">
        <v>60</v>
      </c>
      <c r="G4226" s="2" t="s">
        <v>9369</v>
      </c>
      <c r="H4226" s="2" t="s">
        <v>1590</v>
      </c>
      <c r="I4226" s="2" t="s">
        <v>32</v>
      </c>
      <c r="J4226" s="3">
        <v>44655</v>
      </c>
      <c r="K4226" s="5">
        <f>YEAR(OrganizedData[[#This Row],[Order Date]])</f>
        <v>2022</v>
      </c>
      <c r="L4226" s="7" t="str">
        <f>TEXT(OrganizedData[[#This Row],[Order Date]],"mmm")</f>
        <v>Apr</v>
      </c>
      <c r="M4226" s="2">
        <v>99</v>
      </c>
      <c r="N4226" s="2" t="s">
        <v>39</v>
      </c>
      <c r="O4226" s="2" t="str">
        <f>VLOOKUP(OrganizedData[[#This Row],[Product Code]],ProductData[[Code]:[Item]],2,FALSE)</f>
        <v>Ultrathing V1</v>
      </c>
      <c r="P4226" s="4">
        <f>OrganizedData[[#This Row],[Quantity]]*VLOOKUP(OrganizedData[[#This Row],[Product Code]],ProductData[],4,FALSE)</f>
        <v>1683</v>
      </c>
      <c r="Q4226" s="6">
        <f>OrganizedData[[#This Row],[Total Items Ordered]]*VLOOKUP(OrganizedData[[#This Row],[Product Code]],ProductData[],3,FALSE)</f>
        <v>3012.57</v>
      </c>
      <c r="R42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2861.9414999999999</v>
      </c>
    </row>
    <row r="4227" spans="1:18" x14ac:dyDescent="0.3">
      <c r="A4227" s="2">
        <v>4220</v>
      </c>
      <c r="B4227" s="2" t="s">
        <v>9370</v>
      </c>
      <c r="C4227" s="2" t="s">
        <v>4528</v>
      </c>
      <c r="D4227" s="2" t="s">
        <v>15</v>
      </c>
      <c r="E4227" s="2" t="s">
        <v>16</v>
      </c>
      <c r="F4227" s="2">
        <v>60</v>
      </c>
      <c r="G4227" s="2" t="s">
        <v>9371</v>
      </c>
      <c r="H4227" s="2" t="s">
        <v>3500</v>
      </c>
      <c r="I4227" s="2" t="s">
        <v>25</v>
      </c>
      <c r="J4227" s="3">
        <v>44103</v>
      </c>
      <c r="K4227" s="5">
        <f>YEAR(OrganizedData[[#This Row],[Order Date]])</f>
        <v>2020</v>
      </c>
      <c r="L4227" s="7" t="str">
        <f>TEXT(OrganizedData[[#This Row],[Order Date]],"mmm")</f>
        <v>Sep</v>
      </c>
      <c r="M4227" s="2">
        <v>3</v>
      </c>
      <c r="N4227" s="2" t="s">
        <v>45</v>
      </c>
      <c r="O4227" s="2" t="str">
        <f>VLOOKUP(OrganizedData[[#This Row],[Product Code]],ProductData[[Code]:[Item]],2,FALSE)</f>
        <v>Gigastuff</v>
      </c>
      <c r="P4227" s="4">
        <f>OrganizedData[[#This Row],[Quantity]]*VLOOKUP(OrganizedData[[#This Row],[Product Code]],ProductData[],4,FALSE)</f>
        <v>54</v>
      </c>
      <c r="Q4227" s="6">
        <f>OrganizedData[[#This Row],[Total Items Ordered]]*VLOOKUP(OrganizedData[[#This Row],[Product Code]],ProductData[],3,FALSE)</f>
        <v>102.05999999999999</v>
      </c>
      <c r="R42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102.05999999999999</v>
      </c>
    </row>
    <row r="4228" spans="1:18" x14ac:dyDescent="0.3">
      <c r="A4228" s="2">
        <v>4221</v>
      </c>
      <c r="B4228" s="2" t="s">
        <v>5001</v>
      </c>
      <c r="C4228" s="2" t="s">
        <v>8514</v>
      </c>
      <c r="D4228" s="2" t="s">
        <v>51</v>
      </c>
      <c r="E4228" s="2" t="s">
        <v>16</v>
      </c>
      <c r="F4228" s="2">
        <v>90</v>
      </c>
      <c r="G4228" s="2" t="s">
        <v>9373</v>
      </c>
      <c r="H4228" s="2" t="s">
        <v>1384</v>
      </c>
      <c r="I4228" s="2" t="s">
        <v>32</v>
      </c>
      <c r="J4228" s="3">
        <v>44206</v>
      </c>
      <c r="K4228" s="5">
        <f>YEAR(OrganizedData[[#This Row],[Order Date]])</f>
        <v>2021</v>
      </c>
      <c r="L4228" s="7" t="str">
        <f>TEXT(OrganizedData[[#This Row],[Order Date]],"mmm")</f>
        <v>Jan</v>
      </c>
      <c r="M4228" s="2">
        <v>17</v>
      </c>
      <c r="N4228" s="2" t="s">
        <v>101</v>
      </c>
      <c r="O4228" s="2" t="str">
        <f>VLOOKUP(OrganizedData[[#This Row],[Product Code]],ProductData[[Code]:[Item]],2,FALSE)</f>
        <v>Superwossname</v>
      </c>
      <c r="P4228" s="4">
        <f>OrganizedData[[#This Row],[Quantity]]*VLOOKUP(OrganizedData[[#This Row],[Product Code]],ProductData[],4,FALSE)</f>
        <v>340</v>
      </c>
      <c r="Q4228" s="6">
        <f>OrganizedData[[#This Row],[Total Items Ordered]]*VLOOKUP(OrganizedData[[#This Row],[Product Code]],ProductData[],3,FALSE)</f>
        <v>1186.6000000000001</v>
      </c>
      <c r="R42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1186.6000000000001</v>
      </c>
    </row>
    <row r="4229" spans="1:18" x14ac:dyDescent="0.3">
      <c r="A4229" s="2">
        <v>4222</v>
      </c>
      <c r="B4229" s="2" t="s">
        <v>9374</v>
      </c>
      <c r="C4229" s="2" t="s">
        <v>8563</v>
      </c>
      <c r="D4229" s="2" t="s">
        <v>15</v>
      </c>
      <c r="E4229" s="2" t="s">
        <v>16</v>
      </c>
      <c r="F4229" s="2">
        <v>30</v>
      </c>
      <c r="G4229" s="2" t="s">
        <v>9375</v>
      </c>
      <c r="H4229" s="2" t="s">
        <v>4567</v>
      </c>
      <c r="I4229" s="2" t="s">
        <v>38</v>
      </c>
      <c r="J4229" s="3">
        <v>43870</v>
      </c>
      <c r="K4229" s="5">
        <f>YEAR(OrganizedData[[#This Row],[Order Date]])</f>
        <v>2020</v>
      </c>
      <c r="L4229" s="7" t="str">
        <f>TEXT(OrganizedData[[#This Row],[Order Date]],"mmm")</f>
        <v>Feb</v>
      </c>
      <c r="M4229" s="2">
        <v>53</v>
      </c>
      <c r="N4229" s="2" t="s">
        <v>101</v>
      </c>
      <c r="O4229" s="2" t="str">
        <f>VLOOKUP(OrganizedData[[#This Row],[Product Code]],ProductData[[Code]:[Item]],2,FALSE)</f>
        <v>Superwossname</v>
      </c>
      <c r="P4229" s="4">
        <f>OrganizedData[[#This Row],[Quantity]]*VLOOKUP(OrganizedData[[#This Row],[Product Code]],ProductData[],4,FALSE)</f>
        <v>1060</v>
      </c>
      <c r="Q4229" s="6">
        <f>OrganizedData[[#This Row],[Total Items Ordered]]*VLOOKUP(OrganizedData[[#This Row],[Product Code]],ProductData[],3,FALSE)</f>
        <v>3699.4</v>
      </c>
      <c r="R42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4230" spans="1:18" x14ac:dyDescent="0.3">
      <c r="A4230" s="2">
        <v>4223</v>
      </c>
      <c r="B4230" s="2" t="s">
        <v>9376</v>
      </c>
      <c r="C4230" s="2" t="s">
        <v>9377</v>
      </c>
      <c r="D4230" s="2" t="s">
        <v>51</v>
      </c>
      <c r="E4230" s="2" t="s">
        <v>16</v>
      </c>
      <c r="F4230" s="2">
        <v>60</v>
      </c>
      <c r="G4230" s="2" t="s">
        <v>9378</v>
      </c>
      <c r="H4230" s="2" t="s">
        <v>4541</v>
      </c>
      <c r="I4230" s="2" t="s">
        <v>89</v>
      </c>
      <c r="J4230" s="3">
        <v>44383</v>
      </c>
      <c r="K4230" s="5">
        <f>YEAR(OrganizedData[[#This Row],[Order Date]])</f>
        <v>2021</v>
      </c>
      <c r="L4230" s="7" t="str">
        <f>TEXT(OrganizedData[[#This Row],[Order Date]],"mmm")</f>
        <v>Jul</v>
      </c>
      <c r="M4230" s="2">
        <v>32</v>
      </c>
      <c r="N4230" s="2" t="s">
        <v>45</v>
      </c>
      <c r="O4230" s="2" t="str">
        <f>VLOOKUP(OrganizedData[[#This Row],[Product Code]],ProductData[[Code]:[Item]],2,FALSE)</f>
        <v>Gigastuff</v>
      </c>
      <c r="P4230" s="4">
        <f>OrganizedData[[#This Row],[Quantity]]*VLOOKUP(OrganizedData[[#This Row],[Product Code]],ProductData[],4,FALSE)</f>
        <v>576</v>
      </c>
      <c r="Q4230" s="6">
        <f>OrganizedData[[#This Row],[Total Items Ordered]]*VLOOKUP(OrganizedData[[#This Row],[Product Code]],ProductData[],3,FALSE)</f>
        <v>1088.6399999999999</v>
      </c>
      <c r="R42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1055.9807999999998</v>
      </c>
    </row>
    <row r="4231" spans="1:18" x14ac:dyDescent="0.3">
      <c r="A4231" s="2">
        <v>4224</v>
      </c>
      <c r="B4231" s="2" t="s">
        <v>9379</v>
      </c>
      <c r="C4231" s="2" t="s">
        <v>5258</v>
      </c>
      <c r="D4231" s="2" t="s">
        <v>92</v>
      </c>
      <c r="E4231" s="2" t="s">
        <v>16</v>
      </c>
      <c r="F4231" s="2">
        <v>90</v>
      </c>
      <c r="G4231" s="2" t="s">
        <v>9380</v>
      </c>
      <c r="H4231" s="2" t="s">
        <v>1896</v>
      </c>
      <c r="I4231" s="2" t="s">
        <v>294</v>
      </c>
      <c r="J4231" s="3">
        <v>44180</v>
      </c>
      <c r="K4231" s="5">
        <f>YEAR(OrganizedData[[#This Row],[Order Date]])</f>
        <v>2020</v>
      </c>
      <c r="L4231" s="7" t="str">
        <f>TEXT(OrganizedData[[#This Row],[Order Date]],"mmm")</f>
        <v>Dec</v>
      </c>
      <c r="M4231" s="2">
        <v>41</v>
      </c>
      <c r="N4231" s="2" t="s">
        <v>101</v>
      </c>
      <c r="O4231" s="2" t="str">
        <f>VLOOKUP(OrganizedData[[#This Row],[Product Code]],ProductData[[Code]:[Item]],2,FALSE)</f>
        <v>Superwossname</v>
      </c>
      <c r="P4231" s="4">
        <f>OrganizedData[[#This Row],[Quantity]]*VLOOKUP(OrganizedData[[#This Row],[Product Code]],ProductData[],4,FALSE)</f>
        <v>820</v>
      </c>
      <c r="Q4231" s="6">
        <f>OrganizedData[[#This Row],[Total Items Ordered]]*VLOOKUP(OrganizedData[[#This Row],[Product Code]],ProductData[],3,FALSE)</f>
        <v>2861.8</v>
      </c>
      <c r="R42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4232" spans="1:18" x14ac:dyDescent="0.3">
      <c r="A4232" s="2">
        <v>4225</v>
      </c>
      <c r="B4232" s="2" t="s">
        <v>2556</v>
      </c>
      <c r="C4232" s="2" t="s">
        <v>1727</v>
      </c>
      <c r="D4232" s="2" t="s">
        <v>28</v>
      </c>
      <c r="E4232" s="2" t="s">
        <v>29</v>
      </c>
      <c r="F4232" s="2">
        <v>90</v>
      </c>
      <c r="G4232" s="2" t="s">
        <v>9381</v>
      </c>
      <c r="H4232" s="2" t="s">
        <v>1751</v>
      </c>
      <c r="I4232" s="2" t="s">
        <v>32</v>
      </c>
      <c r="J4232" s="3">
        <v>44655</v>
      </c>
      <c r="K4232" s="5">
        <f>YEAR(OrganizedData[[#This Row],[Order Date]])</f>
        <v>2022</v>
      </c>
      <c r="L4232" s="7" t="str">
        <f>TEXT(OrganizedData[[#This Row],[Order Date]],"mmm")</f>
        <v>Apr</v>
      </c>
      <c r="M4232" s="2">
        <v>37</v>
      </c>
      <c r="N4232" s="2" t="s">
        <v>33</v>
      </c>
      <c r="O4232" s="2" t="str">
        <f>VLOOKUP(OrganizedData[[#This Row],[Product Code]],ProductData[[Code]:[Item]],2,FALSE)</f>
        <v>Megawidget L</v>
      </c>
      <c r="P4232" s="4">
        <f>OrganizedData[[#This Row],[Quantity]]*VLOOKUP(OrganizedData[[#This Row],[Product Code]],ProductData[],4,FALSE)</f>
        <v>888</v>
      </c>
      <c r="Q4232" s="6">
        <f>OrganizedData[[#This Row],[Total Items Ordered]]*VLOOKUP(OrganizedData[[#This Row],[Product Code]],ProductData[],3,FALSE)</f>
        <v>1589.52</v>
      </c>
      <c r="R42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1541.8344</v>
      </c>
    </row>
    <row r="4233" spans="1:18" x14ac:dyDescent="0.3">
      <c r="A4233" s="2">
        <v>4226</v>
      </c>
      <c r="B4233" s="2" t="s">
        <v>9382</v>
      </c>
      <c r="C4233" s="2" t="s">
        <v>2422</v>
      </c>
      <c r="D4233" s="2" t="s">
        <v>51</v>
      </c>
      <c r="E4233" s="2" t="s">
        <v>16</v>
      </c>
      <c r="F4233" s="2">
        <v>90</v>
      </c>
      <c r="G4233" s="2" t="s">
        <v>10575</v>
      </c>
      <c r="H4233" s="2" t="s">
        <v>3466</v>
      </c>
      <c r="I4233" s="2" t="s">
        <v>32</v>
      </c>
      <c r="J4233" s="3">
        <v>44297</v>
      </c>
      <c r="K4233" s="5">
        <f>YEAR(OrganizedData[[#This Row],[Order Date]])</f>
        <v>2021</v>
      </c>
      <c r="L4233" s="7" t="str">
        <f>TEXT(OrganizedData[[#This Row],[Order Date]],"mmm")</f>
        <v>Apr</v>
      </c>
      <c r="M4233" s="2">
        <v>13</v>
      </c>
      <c r="N4233" s="2" t="s">
        <v>45</v>
      </c>
      <c r="O4233" s="2" t="str">
        <f>VLOOKUP(OrganizedData[[#This Row],[Product Code]],ProductData[[Code]:[Item]],2,FALSE)</f>
        <v>Gigastuff</v>
      </c>
      <c r="P4233" s="4">
        <f>OrganizedData[[#This Row],[Quantity]]*VLOOKUP(OrganizedData[[#This Row],[Product Code]],ProductData[],4,FALSE)</f>
        <v>234</v>
      </c>
      <c r="Q4233" s="6">
        <f>OrganizedData[[#This Row],[Total Items Ordered]]*VLOOKUP(OrganizedData[[#This Row],[Product Code]],ProductData[],3,FALSE)</f>
        <v>442.26</v>
      </c>
      <c r="R42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4234" spans="1:18" x14ac:dyDescent="0.3">
      <c r="A4234" s="2">
        <v>4227</v>
      </c>
      <c r="B4234" s="2" t="s">
        <v>8598</v>
      </c>
      <c r="C4234" s="2" t="s">
        <v>3829</v>
      </c>
      <c r="D4234" s="2" t="s">
        <v>92</v>
      </c>
      <c r="E4234" s="2" t="s">
        <v>29</v>
      </c>
      <c r="F4234" s="2">
        <v>60</v>
      </c>
      <c r="G4234" s="2" t="s">
        <v>9384</v>
      </c>
      <c r="H4234" s="2" t="s">
        <v>3409</v>
      </c>
      <c r="I4234" s="2" t="s">
        <v>95</v>
      </c>
      <c r="J4234" s="3">
        <v>43889</v>
      </c>
      <c r="K4234" s="5">
        <f>YEAR(OrganizedData[[#This Row],[Order Date]])</f>
        <v>2020</v>
      </c>
      <c r="L4234" s="7" t="str">
        <f>TEXT(OrganizedData[[#This Row],[Order Date]],"mmm")</f>
        <v>Feb</v>
      </c>
      <c r="M4234" s="2">
        <v>42</v>
      </c>
      <c r="N4234" s="2" t="s">
        <v>159</v>
      </c>
      <c r="O4234" s="2" t="str">
        <f>VLOOKUP(OrganizedData[[#This Row],[Product Code]],ProductData[[Code]:[Item]],2,FALSE)</f>
        <v>Ultrathing V3</v>
      </c>
      <c r="P4234" s="4">
        <f>OrganizedData[[#This Row],[Quantity]]*VLOOKUP(OrganizedData[[#This Row],[Product Code]],ProductData[],4,FALSE)</f>
        <v>1008</v>
      </c>
      <c r="Q4234" s="6">
        <f>OrganizedData[[#This Row],[Total Items Ordered]]*VLOOKUP(OrganizedData[[#This Row],[Product Code]],ProductData[],3,FALSE)</f>
        <v>3417.1200000000003</v>
      </c>
      <c r="R42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4235" spans="1:18" x14ac:dyDescent="0.3">
      <c r="A4235" s="2">
        <v>4228</v>
      </c>
      <c r="B4235" s="2" t="s">
        <v>4430</v>
      </c>
      <c r="C4235" s="2" t="s">
        <v>1596</v>
      </c>
      <c r="D4235" s="2" t="s">
        <v>28</v>
      </c>
      <c r="E4235" s="2" t="s">
        <v>29</v>
      </c>
      <c r="F4235" s="2">
        <v>90</v>
      </c>
      <c r="G4235" s="2" t="s">
        <v>9385</v>
      </c>
      <c r="H4235" s="2" t="s">
        <v>772</v>
      </c>
      <c r="I4235" s="2" t="s">
        <v>32</v>
      </c>
      <c r="J4235" s="3">
        <v>44234</v>
      </c>
      <c r="K4235" s="5">
        <f>YEAR(OrganizedData[[#This Row],[Order Date]])</f>
        <v>2021</v>
      </c>
      <c r="L4235" s="7" t="str">
        <f>TEXT(OrganizedData[[#This Row],[Order Date]],"mmm")</f>
        <v>Feb</v>
      </c>
      <c r="M4235" s="2">
        <v>73</v>
      </c>
      <c r="N4235" s="2" t="s">
        <v>45</v>
      </c>
      <c r="O4235" s="2" t="str">
        <f>VLOOKUP(OrganizedData[[#This Row],[Product Code]],ProductData[[Code]:[Item]],2,FALSE)</f>
        <v>Gigastuff</v>
      </c>
      <c r="P4235" s="4">
        <f>OrganizedData[[#This Row],[Quantity]]*VLOOKUP(OrganizedData[[#This Row],[Product Code]],ProductData[],4,FALSE)</f>
        <v>1314</v>
      </c>
      <c r="Q4235" s="6">
        <f>OrganizedData[[#This Row],[Total Items Ordered]]*VLOOKUP(OrganizedData[[#This Row],[Product Code]],ProductData[],3,FALSE)</f>
        <v>2483.46</v>
      </c>
      <c r="R42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2359.2869999999998</v>
      </c>
    </row>
    <row r="4236" spans="1:18" x14ac:dyDescent="0.3">
      <c r="A4236" s="2">
        <v>4229</v>
      </c>
      <c r="B4236" s="2" t="s">
        <v>4647</v>
      </c>
      <c r="C4236" s="2" t="s">
        <v>5659</v>
      </c>
      <c r="D4236" s="2" t="s">
        <v>28</v>
      </c>
      <c r="E4236" s="2" t="s">
        <v>29</v>
      </c>
      <c r="F4236" s="2">
        <v>30</v>
      </c>
      <c r="G4236" s="2" t="s">
        <v>9386</v>
      </c>
      <c r="H4236" s="2" t="s">
        <v>570</v>
      </c>
      <c r="I4236" s="2" t="s">
        <v>187</v>
      </c>
      <c r="J4236" s="3">
        <v>44389</v>
      </c>
      <c r="K4236" s="5">
        <f>YEAR(OrganizedData[[#This Row],[Order Date]])</f>
        <v>2021</v>
      </c>
      <c r="L4236" s="7" t="str">
        <f>TEXT(OrganizedData[[#This Row],[Order Date]],"mmm")</f>
        <v>Jul</v>
      </c>
      <c r="M4236" s="2">
        <v>19</v>
      </c>
      <c r="N4236" s="2" t="s">
        <v>45</v>
      </c>
      <c r="O4236" s="2" t="str">
        <f>VLOOKUP(OrganizedData[[#This Row],[Product Code]],ProductData[[Code]:[Item]],2,FALSE)</f>
        <v>Gigastuff</v>
      </c>
      <c r="P4236" s="4">
        <f>OrganizedData[[#This Row],[Quantity]]*VLOOKUP(OrganizedData[[#This Row],[Product Code]],ProductData[],4,FALSE)</f>
        <v>342</v>
      </c>
      <c r="Q4236" s="6">
        <f>OrganizedData[[#This Row],[Total Items Ordered]]*VLOOKUP(OrganizedData[[#This Row],[Product Code]],ProductData[],3,FALSE)</f>
        <v>646.38</v>
      </c>
      <c r="R42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646.38</v>
      </c>
    </row>
    <row r="4237" spans="1:18" x14ac:dyDescent="0.3">
      <c r="A4237" s="2">
        <v>4230</v>
      </c>
      <c r="B4237" s="2" t="s">
        <v>2919</v>
      </c>
      <c r="C4237" s="2" t="s">
        <v>7177</v>
      </c>
      <c r="D4237" s="2" t="s">
        <v>28</v>
      </c>
      <c r="E4237" s="2" t="s">
        <v>29</v>
      </c>
      <c r="F4237" s="2">
        <v>90</v>
      </c>
      <c r="G4237" s="2" t="s">
        <v>9387</v>
      </c>
      <c r="H4237" s="2" t="s">
        <v>172</v>
      </c>
      <c r="I4237" s="2" t="s">
        <v>173</v>
      </c>
      <c r="J4237" s="3">
        <v>44542</v>
      </c>
      <c r="K4237" s="5">
        <f>YEAR(OrganizedData[[#This Row],[Order Date]])</f>
        <v>2021</v>
      </c>
      <c r="L4237" s="7" t="str">
        <f>TEXT(OrganizedData[[#This Row],[Order Date]],"mmm")</f>
        <v>Dec</v>
      </c>
      <c r="M4237" s="2">
        <v>7</v>
      </c>
      <c r="N4237" s="2" t="s">
        <v>20</v>
      </c>
      <c r="O4237" s="2" t="str">
        <f>VLOOKUP(OrganizedData[[#This Row],[Product Code]],ProductData[[Code]:[Item]],2,FALSE)</f>
        <v>Hyperwotsit</v>
      </c>
      <c r="P4237" s="4">
        <f>OrganizedData[[#This Row],[Quantity]]*VLOOKUP(OrganizedData[[#This Row],[Product Code]],ProductData[],4,FALSE)</f>
        <v>140</v>
      </c>
      <c r="Q4237" s="6">
        <f>OrganizedData[[#This Row],[Total Items Ordered]]*VLOOKUP(OrganizedData[[#This Row],[Product Code]],ProductData[],3,FALSE)</f>
        <v>281.39999999999998</v>
      </c>
      <c r="R42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4238" spans="1:18" x14ac:dyDescent="0.3">
      <c r="A4238" s="2">
        <v>4231</v>
      </c>
      <c r="B4238" s="2" t="s">
        <v>5350</v>
      </c>
      <c r="C4238" s="2" t="s">
        <v>7144</v>
      </c>
      <c r="D4238" s="2" t="s">
        <v>15</v>
      </c>
      <c r="E4238" s="2" t="s">
        <v>16</v>
      </c>
      <c r="F4238" s="2">
        <v>30</v>
      </c>
      <c r="G4238" s="2" t="s">
        <v>9388</v>
      </c>
      <c r="H4238" s="2" t="s">
        <v>9389</v>
      </c>
      <c r="I4238" s="2" t="s">
        <v>32</v>
      </c>
      <c r="J4238" s="3">
        <v>44427</v>
      </c>
      <c r="K4238" s="5">
        <f>YEAR(OrganizedData[[#This Row],[Order Date]])</f>
        <v>2021</v>
      </c>
      <c r="L4238" s="7" t="str">
        <f>TEXT(OrganizedData[[#This Row],[Order Date]],"mmm")</f>
        <v>Aug</v>
      </c>
      <c r="M4238" s="2">
        <v>6</v>
      </c>
      <c r="N4238" s="2" t="s">
        <v>20</v>
      </c>
      <c r="O4238" s="2" t="str">
        <f>VLOOKUP(OrganizedData[[#This Row],[Product Code]],ProductData[[Code]:[Item]],2,FALSE)</f>
        <v>Hyperwotsit</v>
      </c>
      <c r="P4238" s="4">
        <f>OrganizedData[[#This Row],[Quantity]]*VLOOKUP(OrganizedData[[#This Row],[Product Code]],ProductData[],4,FALSE)</f>
        <v>120</v>
      </c>
      <c r="Q4238" s="6">
        <f>OrganizedData[[#This Row],[Total Items Ordered]]*VLOOKUP(OrganizedData[[#This Row],[Product Code]],ProductData[],3,FALSE)</f>
        <v>241.2</v>
      </c>
      <c r="R42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241.2</v>
      </c>
    </row>
    <row r="4239" spans="1:18" x14ac:dyDescent="0.3">
      <c r="A4239" s="2">
        <v>4232</v>
      </c>
      <c r="B4239" s="2" t="s">
        <v>9390</v>
      </c>
      <c r="C4239" s="2" t="s">
        <v>1821</v>
      </c>
      <c r="D4239" s="2" t="s">
        <v>51</v>
      </c>
      <c r="E4239" s="2" t="s">
        <v>16</v>
      </c>
      <c r="F4239" s="2">
        <v>90</v>
      </c>
      <c r="G4239" s="2" t="s">
        <v>10576</v>
      </c>
      <c r="H4239" s="2" t="s">
        <v>3754</v>
      </c>
      <c r="I4239" s="2" t="s">
        <v>124</v>
      </c>
      <c r="J4239" s="3">
        <v>44489</v>
      </c>
      <c r="K4239" s="5">
        <f>YEAR(OrganizedData[[#This Row],[Order Date]])</f>
        <v>2021</v>
      </c>
      <c r="L4239" s="7" t="str">
        <f>TEXT(OrganizedData[[#This Row],[Order Date]],"mmm")</f>
        <v>Oct</v>
      </c>
      <c r="M4239" s="2">
        <v>71</v>
      </c>
      <c r="N4239" s="2" t="s">
        <v>45</v>
      </c>
      <c r="O4239" s="2" t="str">
        <f>VLOOKUP(OrganizedData[[#This Row],[Product Code]],ProductData[[Code]:[Item]],2,FALSE)</f>
        <v>Gigastuff</v>
      </c>
      <c r="P4239" s="4">
        <f>OrganizedData[[#This Row],[Quantity]]*VLOOKUP(OrganizedData[[#This Row],[Product Code]],ProductData[],4,FALSE)</f>
        <v>1278</v>
      </c>
      <c r="Q4239" s="6">
        <f>OrganizedData[[#This Row],[Total Items Ordered]]*VLOOKUP(OrganizedData[[#This Row],[Product Code]],ProductData[],3,FALSE)</f>
        <v>2415.42</v>
      </c>
      <c r="R42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2294.6489999999999</v>
      </c>
    </row>
    <row r="4240" spans="1:18" x14ac:dyDescent="0.3">
      <c r="A4240" s="2">
        <v>4233</v>
      </c>
      <c r="B4240" s="2" t="s">
        <v>1312</v>
      </c>
      <c r="C4240" s="2" t="s">
        <v>8128</v>
      </c>
      <c r="D4240" s="2" t="s">
        <v>28</v>
      </c>
      <c r="E4240" s="2" t="s">
        <v>29</v>
      </c>
      <c r="F4240" s="2">
        <v>90</v>
      </c>
      <c r="G4240" s="2" t="s">
        <v>10577</v>
      </c>
      <c r="H4240" s="2" t="s">
        <v>5611</v>
      </c>
      <c r="I4240" s="2" t="s">
        <v>32</v>
      </c>
      <c r="J4240" s="3">
        <v>44521</v>
      </c>
      <c r="K4240" s="5">
        <f>YEAR(OrganizedData[[#This Row],[Order Date]])</f>
        <v>2021</v>
      </c>
      <c r="L4240" s="7" t="str">
        <f>TEXT(OrganizedData[[#This Row],[Order Date]],"mmm")</f>
        <v>Nov</v>
      </c>
      <c r="M4240" s="2">
        <v>88</v>
      </c>
      <c r="N4240" s="2" t="s">
        <v>101</v>
      </c>
      <c r="O4240" s="2" t="str">
        <f>VLOOKUP(OrganizedData[[#This Row],[Product Code]],ProductData[[Code]:[Item]],2,FALSE)</f>
        <v>Superwossname</v>
      </c>
      <c r="P4240" s="4">
        <f>OrganizedData[[#This Row],[Quantity]]*VLOOKUP(OrganizedData[[#This Row],[Product Code]],ProductData[],4,FALSE)</f>
        <v>1760</v>
      </c>
      <c r="Q4240" s="6">
        <f>OrganizedData[[#This Row],[Total Items Ordered]]*VLOOKUP(OrganizedData[[#This Row],[Product Code]],ProductData[],3,FALSE)</f>
        <v>6142.4000000000005</v>
      </c>
      <c r="R42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5835.2800000000007</v>
      </c>
    </row>
    <row r="4241" spans="1:18" x14ac:dyDescent="0.3">
      <c r="A4241" s="2">
        <v>4234</v>
      </c>
      <c r="B4241" s="2" t="s">
        <v>1065</v>
      </c>
      <c r="C4241" s="2" t="s">
        <v>2113</v>
      </c>
      <c r="D4241" s="2" t="s">
        <v>28</v>
      </c>
      <c r="E4241" s="2" t="s">
        <v>29</v>
      </c>
      <c r="F4241" s="2">
        <v>30</v>
      </c>
      <c r="G4241" s="2" t="s">
        <v>9393</v>
      </c>
      <c r="H4241" s="2" t="s">
        <v>5189</v>
      </c>
      <c r="I4241" s="2" t="s">
        <v>32</v>
      </c>
      <c r="J4241" s="3">
        <v>44174</v>
      </c>
      <c r="K4241" s="5">
        <f>YEAR(OrganizedData[[#This Row],[Order Date]])</f>
        <v>2020</v>
      </c>
      <c r="L4241" s="7" t="str">
        <f>TEXT(OrganizedData[[#This Row],[Order Date]],"mmm")</f>
        <v>Dec</v>
      </c>
      <c r="M4241" s="2">
        <v>72</v>
      </c>
      <c r="N4241" s="2" t="s">
        <v>70</v>
      </c>
      <c r="O4241" s="2" t="str">
        <f>VLOOKUP(OrganizedData[[#This Row],[Product Code]],ProductData[[Code]:[Item]],2,FALSE)</f>
        <v>Megawidget M</v>
      </c>
      <c r="P4241" s="4">
        <f>OrganizedData[[#This Row],[Quantity]]*VLOOKUP(OrganizedData[[#This Row],[Product Code]],ProductData[],4,FALSE)</f>
        <v>1728</v>
      </c>
      <c r="Q4241" s="6">
        <f>OrganizedData[[#This Row],[Total Items Ordered]]*VLOOKUP(OrganizedData[[#This Row],[Product Code]],ProductData[],3,FALSE)</f>
        <v>2229.12</v>
      </c>
      <c r="R42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2117.6639999999998</v>
      </c>
    </row>
    <row r="4242" spans="1:18" x14ac:dyDescent="0.3">
      <c r="A4242" s="2">
        <v>4235</v>
      </c>
      <c r="B4242" s="2" t="s">
        <v>9394</v>
      </c>
      <c r="C4242" s="2" t="s">
        <v>928</v>
      </c>
      <c r="D4242" s="2" t="s">
        <v>28</v>
      </c>
      <c r="E4242" s="2" t="s">
        <v>29</v>
      </c>
      <c r="F4242" s="2">
        <v>90</v>
      </c>
      <c r="G4242" s="2" t="s">
        <v>9395</v>
      </c>
      <c r="H4242" s="2" t="s">
        <v>5647</v>
      </c>
      <c r="I4242" s="2" t="s">
        <v>38</v>
      </c>
      <c r="J4242" s="3">
        <v>44436</v>
      </c>
      <c r="K4242" s="5">
        <f>YEAR(OrganizedData[[#This Row],[Order Date]])</f>
        <v>2021</v>
      </c>
      <c r="L4242" s="7" t="str">
        <f>TEXT(OrganizedData[[#This Row],[Order Date]],"mmm")</f>
        <v>Aug</v>
      </c>
      <c r="M4242" s="2">
        <v>74</v>
      </c>
      <c r="N4242" s="2" t="s">
        <v>39</v>
      </c>
      <c r="O4242" s="2" t="str">
        <f>VLOOKUP(OrganizedData[[#This Row],[Product Code]],ProductData[[Code]:[Item]],2,FALSE)</f>
        <v>Ultrathing V1</v>
      </c>
      <c r="P4242" s="4">
        <f>OrganizedData[[#This Row],[Quantity]]*VLOOKUP(OrganizedData[[#This Row],[Product Code]],ProductData[],4,FALSE)</f>
        <v>1258</v>
      </c>
      <c r="Q4242" s="6">
        <f>OrganizedData[[#This Row],[Total Items Ordered]]*VLOOKUP(OrganizedData[[#This Row],[Product Code]],ProductData[],3,FALSE)</f>
        <v>2251.8200000000002</v>
      </c>
      <c r="R42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2139.2290000000003</v>
      </c>
    </row>
    <row r="4243" spans="1:18" x14ac:dyDescent="0.3">
      <c r="A4243" s="2">
        <v>4236</v>
      </c>
      <c r="B4243" s="2" t="s">
        <v>1602</v>
      </c>
      <c r="C4243" s="2" t="s">
        <v>9396</v>
      </c>
      <c r="D4243" s="2" t="s">
        <v>28</v>
      </c>
      <c r="E4243" s="2" t="s">
        <v>29</v>
      </c>
      <c r="F4243" s="2">
        <v>30</v>
      </c>
      <c r="G4243" s="2" t="s">
        <v>9395</v>
      </c>
      <c r="H4243" s="2" t="s">
        <v>7752</v>
      </c>
      <c r="I4243" s="2" t="s">
        <v>32</v>
      </c>
      <c r="J4243" s="3">
        <v>44157</v>
      </c>
      <c r="K4243" s="5">
        <f>YEAR(OrganizedData[[#This Row],[Order Date]])</f>
        <v>2020</v>
      </c>
      <c r="L4243" s="7" t="str">
        <f>TEXT(OrganizedData[[#This Row],[Order Date]],"mmm")</f>
        <v>Nov</v>
      </c>
      <c r="M4243" s="2">
        <v>78</v>
      </c>
      <c r="N4243" s="2" t="s">
        <v>45</v>
      </c>
      <c r="O4243" s="2" t="str">
        <f>VLOOKUP(OrganizedData[[#This Row],[Product Code]],ProductData[[Code]:[Item]],2,FALSE)</f>
        <v>Gigastuff</v>
      </c>
      <c r="P4243" s="4">
        <f>OrganizedData[[#This Row],[Quantity]]*VLOOKUP(OrganizedData[[#This Row],[Product Code]],ProductData[],4,FALSE)</f>
        <v>1404</v>
      </c>
      <c r="Q4243" s="6">
        <f>OrganizedData[[#This Row],[Total Items Ordered]]*VLOOKUP(OrganizedData[[#This Row],[Product Code]],ProductData[],3,FALSE)</f>
        <v>2653.56</v>
      </c>
      <c r="R42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4244" spans="1:18" x14ac:dyDescent="0.3">
      <c r="A4244" s="2">
        <v>4237</v>
      </c>
      <c r="B4244" s="2" t="s">
        <v>5662</v>
      </c>
      <c r="C4244" s="2" t="s">
        <v>1230</v>
      </c>
      <c r="D4244" s="2" t="s">
        <v>28</v>
      </c>
      <c r="E4244" s="2" t="s">
        <v>29</v>
      </c>
      <c r="F4244" s="2">
        <v>30</v>
      </c>
      <c r="G4244" s="2" t="s">
        <v>9397</v>
      </c>
      <c r="H4244" s="2" t="s">
        <v>754</v>
      </c>
      <c r="I4244" s="2" t="s">
        <v>25</v>
      </c>
      <c r="J4244" s="3">
        <v>44175</v>
      </c>
      <c r="K4244" s="5">
        <f>YEAR(OrganizedData[[#This Row],[Order Date]])</f>
        <v>2020</v>
      </c>
      <c r="L4244" s="7" t="str">
        <f>TEXT(OrganizedData[[#This Row],[Order Date]],"mmm")</f>
        <v>Dec</v>
      </c>
      <c r="M4244" s="2">
        <v>73</v>
      </c>
      <c r="N4244" s="2" t="s">
        <v>70</v>
      </c>
      <c r="O4244" s="2" t="str">
        <f>VLOOKUP(OrganizedData[[#This Row],[Product Code]],ProductData[[Code]:[Item]],2,FALSE)</f>
        <v>Megawidget M</v>
      </c>
      <c r="P4244" s="4">
        <f>OrganizedData[[#This Row],[Quantity]]*VLOOKUP(OrganizedData[[#This Row],[Product Code]],ProductData[],4,FALSE)</f>
        <v>1752</v>
      </c>
      <c r="Q4244" s="6">
        <f>OrganizedData[[#This Row],[Total Items Ordered]]*VLOOKUP(OrganizedData[[#This Row],[Product Code]],ProductData[],3,FALSE)</f>
        <v>2260.08</v>
      </c>
      <c r="R42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2147.076</v>
      </c>
    </row>
    <row r="4245" spans="1:18" x14ac:dyDescent="0.3">
      <c r="A4245" s="2">
        <v>4238</v>
      </c>
      <c r="B4245" s="2" t="s">
        <v>9398</v>
      </c>
      <c r="C4245" s="2" t="s">
        <v>7398</v>
      </c>
      <c r="D4245" s="2" t="s">
        <v>28</v>
      </c>
      <c r="E4245" s="2" t="s">
        <v>29</v>
      </c>
      <c r="F4245" s="2">
        <v>90</v>
      </c>
      <c r="G4245" s="2" t="s">
        <v>9399</v>
      </c>
      <c r="H4245" s="2" t="s">
        <v>2950</v>
      </c>
      <c r="I4245" s="2" t="s">
        <v>38</v>
      </c>
      <c r="J4245" s="3">
        <v>44823</v>
      </c>
      <c r="K4245" s="5">
        <f>YEAR(OrganizedData[[#This Row],[Order Date]])</f>
        <v>2022</v>
      </c>
      <c r="L4245" s="7" t="str">
        <f>TEXT(OrganizedData[[#This Row],[Order Date]],"mmm")</f>
        <v>Sep</v>
      </c>
      <c r="M4245" s="2">
        <v>21</v>
      </c>
      <c r="N4245" s="2" t="s">
        <v>64</v>
      </c>
      <c r="O4245" s="2" t="str">
        <f>VLOOKUP(OrganizedData[[#This Row],[Product Code]],ProductData[[Code]:[Item]],2,FALSE)</f>
        <v>Ultrathing V4</v>
      </c>
      <c r="P4245" s="4">
        <f>OrganizedData[[#This Row],[Quantity]]*VLOOKUP(OrganizedData[[#This Row],[Product Code]],ProductData[],4,FALSE)</f>
        <v>504</v>
      </c>
      <c r="Q4245" s="6">
        <f>OrganizedData[[#This Row],[Total Items Ordered]]*VLOOKUP(OrganizedData[[#This Row],[Product Code]],ProductData[],3,FALSE)</f>
        <v>2010.96</v>
      </c>
      <c r="R42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4246" spans="1:18" x14ac:dyDescent="0.3">
      <c r="A4246" s="2">
        <v>4239</v>
      </c>
      <c r="B4246" s="2" t="s">
        <v>4740</v>
      </c>
      <c r="C4246" s="2" t="s">
        <v>3712</v>
      </c>
      <c r="D4246" s="2" t="s">
        <v>15</v>
      </c>
      <c r="E4246" s="2" t="s">
        <v>16</v>
      </c>
      <c r="F4246" s="2">
        <v>30</v>
      </c>
      <c r="G4246" s="2" t="s">
        <v>9400</v>
      </c>
      <c r="H4246" s="2" t="s">
        <v>217</v>
      </c>
      <c r="I4246" s="2" t="s">
        <v>124</v>
      </c>
      <c r="J4246" s="3">
        <v>44436</v>
      </c>
      <c r="K4246" s="5">
        <f>YEAR(OrganizedData[[#This Row],[Order Date]])</f>
        <v>2021</v>
      </c>
      <c r="L4246" s="7" t="str">
        <f>TEXT(OrganizedData[[#This Row],[Order Date]],"mmm")</f>
        <v>Aug</v>
      </c>
      <c r="M4246" s="2">
        <v>34</v>
      </c>
      <c r="N4246" s="2" t="s">
        <v>45</v>
      </c>
      <c r="O4246" s="2" t="str">
        <f>VLOOKUP(OrganizedData[[#This Row],[Product Code]],ProductData[[Code]:[Item]],2,FALSE)</f>
        <v>Gigastuff</v>
      </c>
      <c r="P4246" s="4">
        <f>OrganizedData[[#This Row],[Quantity]]*VLOOKUP(OrganizedData[[#This Row],[Product Code]],ProductData[],4,FALSE)</f>
        <v>612</v>
      </c>
      <c r="Q4246" s="6">
        <f>OrganizedData[[#This Row],[Total Items Ordered]]*VLOOKUP(OrganizedData[[#This Row],[Product Code]],ProductData[],3,FALSE)</f>
        <v>1156.6799999999998</v>
      </c>
      <c r="R42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1121.9795999999999</v>
      </c>
    </row>
    <row r="4247" spans="1:18" x14ac:dyDescent="0.3">
      <c r="A4247" s="2">
        <v>4240</v>
      </c>
      <c r="B4247" s="2" t="s">
        <v>2263</v>
      </c>
      <c r="C4247" s="2" t="s">
        <v>1386</v>
      </c>
      <c r="D4247" s="2" t="s">
        <v>621</v>
      </c>
      <c r="E4247" s="2" t="s">
        <v>29</v>
      </c>
      <c r="F4247" s="2">
        <v>90</v>
      </c>
      <c r="G4247" s="2" t="s">
        <v>9401</v>
      </c>
      <c r="H4247" s="2" t="s">
        <v>408</v>
      </c>
      <c r="I4247" s="2" t="s">
        <v>25</v>
      </c>
      <c r="J4247" s="3">
        <v>43982</v>
      </c>
      <c r="K4247" s="5">
        <f>YEAR(OrganizedData[[#This Row],[Order Date]])</f>
        <v>2020</v>
      </c>
      <c r="L4247" s="7" t="str">
        <f>TEXT(OrganizedData[[#This Row],[Order Date]],"mmm")</f>
        <v>May</v>
      </c>
      <c r="M4247" s="2">
        <v>30</v>
      </c>
      <c r="N4247" s="2" t="s">
        <v>39</v>
      </c>
      <c r="O4247" s="2" t="str">
        <f>VLOOKUP(OrganizedData[[#This Row],[Product Code]],ProductData[[Code]:[Item]],2,FALSE)</f>
        <v>Ultrathing V1</v>
      </c>
      <c r="P4247" s="4">
        <f>OrganizedData[[#This Row],[Quantity]]*VLOOKUP(OrganizedData[[#This Row],[Product Code]],ProductData[],4,FALSE)</f>
        <v>510</v>
      </c>
      <c r="Q4247" s="6">
        <f>OrganizedData[[#This Row],[Total Items Ordered]]*VLOOKUP(OrganizedData[[#This Row],[Product Code]],ProductData[],3,FALSE)</f>
        <v>912.9</v>
      </c>
      <c r="R42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885.51299999999992</v>
      </c>
    </row>
    <row r="4248" spans="1:18" x14ac:dyDescent="0.3">
      <c r="A4248" s="2">
        <v>4241</v>
      </c>
      <c r="B4248" s="2" t="s">
        <v>3623</v>
      </c>
      <c r="C4248" s="2" t="s">
        <v>4531</v>
      </c>
      <c r="D4248" s="2" t="s">
        <v>28</v>
      </c>
      <c r="E4248" s="2" t="s">
        <v>29</v>
      </c>
      <c r="F4248" s="2">
        <v>30</v>
      </c>
      <c r="G4248" s="2" t="s">
        <v>9402</v>
      </c>
      <c r="H4248" s="2" t="s">
        <v>978</v>
      </c>
      <c r="I4248" s="2" t="s">
        <v>294</v>
      </c>
      <c r="J4248" s="3">
        <v>44729</v>
      </c>
      <c r="K4248" s="5">
        <f>YEAR(OrganizedData[[#This Row],[Order Date]])</f>
        <v>2022</v>
      </c>
      <c r="L4248" s="7" t="str">
        <f>TEXT(OrganizedData[[#This Row],[Order Date]],"mmm")</f>
        <v>Jun</v>
      </c>
      <c r="M4248" s="2">
        <v>95</v>
      </c>
      <c r="N4248" s="2" t="s">
        <v>159</v>
      </c>
      <c r="O4248" s="2" t="str">
        <f>VLOOKUP(OrganizedData[[#This Row],[Product Code]],ProductData[[Code]:[Item]],2,FALSE)</f>
        <v>Ultrathing V3</v>
      </c>
      <c r="P4248" s="4">
        <f>OrganizedData[[#This Row],[Quantity]]*VLOOKUP(OrganizedData[[#This Row],[Product Code]],ProductData[],4,FALSE)</f>
        <v>2280</v>
      </c>
      <c r="Q4248" s="6">
        <f>OrganizedData[[#This Row],[Total Items Ordered]]*VLOOKUP(OrganizedData[[#This Row],[Product Code]],ProductData[],3,FALSE)</f>
        <v>7729.2000000000007</v>
      </c>
      <c r="R42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7342.7400000000007</v>
      </c>
    </row>
    <row r="4249" spans="1:18" x14ac:dyDescent="0.3">
      <c r="A4249" s="2">
        <v>4242</v>
      </c>
      <c r="B4249" s="2" t="s">
        <v>9403</v>
      </c>
      <c r="C4249" s="2" t="s">
        <v>5215</v>
      </c>
      <c r="D4249" s="2" t="s">
        <v>15</v>
      </c>
      <c r="E4249" s="2" t="s">
        <v>16</v>
      </c>
      <c r="F4249" s="2">
        <v>60</v>
      </c>
      <c r="G4249" s="2" t="s">
        <v>9404</v>
      </c>
      <c r="H4249" s="2" t="s">
        <v>4133</v>
      </c>
      <c r="I4249" s="2" t="s">
        <v>32</v>
      </c>
      <c r="J4249" s="3">
        <v>43856</v>
      </c>
      <c r="K4249" s="5">
        <f>YEAR(OrganizedData[[#This Row],[Order Date]])</f>
        <v>2020</v>
      </c>
      <c r="L4249" s="7" t="str">
        <f>TEXT(OrganizedData[[#This Row],[Order Date]],"mmm")</f>
        <v>Jan</v>
      </c>
      <c r="M4249" s="2">
        <v>47</v>
      </c>
      <c r="N4249" s="2" t="s">
        <v>45</v>
      </c>
      <c r="O4249" s="2" t="str">
        <f>VLOOKUP(OrganizedData[[#This Row],[Product Code]],ProductData[[Code]:[Item]],2,FALSE)</f>
        <v>Gigastuff</v>
      </c>
      <c r="P4249" s="4">
        <f>OrganizedData[[#This Row],[Quantity]]*VLOOKUP(OrganizedData[[#This Row],[Product Code]],ProductData[],4,FALSE)</f>
        <v>846</v>
      </c>
      <c r="Q4249" s="6">
        <f>OrganizedData[[#This Row],[Total Items Ordered]]*VLOOKUP(OrganizedData[[#This Row],[Product Code]],ProductData[],3,FALSE)</f>
        <v>1598.9399999999998</v>
      </c>
      <c r="R42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4250" spans="1:18" x14ac:dyDescent="0.3">
      <c r="A4250" s="2">
        <v>4243</v>
      </c>
      <c r="B4250" s="2" t="s">
        <v>5479</v>
      </c>
      <c r="C4250" s="2" t="s">
        <v>1706</v>
      </c>
      <c r="D4250" s="2" t="s">
        <v>28</v>
      </c>
      <c r="E4250" s="2" t="s">
        <v>29</v>
      </c>
      <c r="F4250" s="2">
        <v>30</v>
      </c>
      <c r="G4250" s="2" t="s">
        <v>9405</v>
      </c>
      <c r="H4250" s="2" t="s">
        <v>4587</v>
      </c>
      <c r="I4250" s="2" t="s">
        <v>32</v>
      </c>
      <c r="J4250" s="3">
        <v>44642</v>
      </c>
      <c r="K4250" s="5">
        <f>YEAR(OrganizedData[[#This Row],[Order Date]])</f>
        <v>2022</v>
      </c>
      <c r="L4250" s="7" t="str">
        <f>TEXT(OrganizedData[[#This Row],[Order Date]],"mmm")</f>
        <v>Mar</v>
      </c>
      <c r="M4250" s="2">
        <v>100</v>
      </c>
      <c r="N4250" s="2" t="s">
        <v>64</v>
      </c>
      <c r="O4250" s="2" t="str">
        <f>VLOOKUP(OrganizedData[[#This Row],[Product Code]],ProductData[[Code]:[Item]],2,FALSE)</f>
        <v>Ultrathing V4</v>
      </c>
      <c r="P4250" s="4">
        <f>OrganizedData[[#This Row],[Quantity]]*VLOOKUP(OrganizedData[[#This Row],[Product Code]],ProductData[],4,FALSE)</f>
        <v>2400</v>
      </c>
      <c r="Q4250" s="6">
        <f>OrganizedData[[#This Row],[Total Items Ordered]]*VLOOKUP(OrganizedData[[#This Row],[Product Code]],ProductData[],3,FALSE)</f>
        <v>9576</v>
      </c>
      <c r="R42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9097.1999999999989</v>
      </c>
    </row>
    <row r="4251" spans="1:18" x14ac:dyDescent="0.3">
      <c r="A4251" s="2">
        <v>4244</v>
      </c>
      <c r="B4251" s="2" t="s">
        <v>3429</v>
      </c>
      <c r="C4251" s="2" t="s">
        <v>344</v>
      </c>
      <c r="D4251" s="2" t="s">
        <v>28</v>
      </c>
      <c r="E4251" s="2" t="s">
        <v>29</v>
      </c>
      <c r="F4251" s="2">
        <v>30</v>
      </c>
      <c r="G4251" s="2" t="s">
        <v>9406</v>
      </c>
      <c r="H4251" s="2" t="s">
        <v>641</v>
      </c>
      <c r="I4251" s="2" t="s">
        <v>294</v>
      </c>
      <c r="J4251" s="3">
        <v>43897</v>
      </c>
      <c r="K4251" s="5">
        <f>YEAR(OrganizedData[[#This Row],[Order Date]])</f>
        <v>2020</v>
      </c>
      <c r="L4251" s="7" t="str">
        <f>TEXT(OrganizedData[[#This Row],[Order Date]],"mmm")</f>
        <v>Mar</v>
      </c>
      <c r="M4251" s="2">
        <v>55</v>
      </c>
      <c r="N4251" s="2" t="s">
        <v>39</v>
      </c>
      <c r="O4251" s="2" t="str">
        <f>VLOOKUP(OrganizedData[[#This Row],[Product Code]],ProductData[[Code]:[Item]],2,FALSE)</f>
        <v>Ultrathing V1</v>
      </c>
      <c r="P4251" s="4">
        <f>OrganizedData[[#This Row],[Quantity]]*VLOOKUP(OrganizedData[[#This Row],[Product Code]],ProductData[],4,FALSE)</f>
        <v>935</v>
      </c>
      <c r="Q4251" s="6">
        <f>OrganizedData[[#This Row],[Total Items Ordered]]*VLOOKUP(OrganizedData[[#This Row],[Product Code]],ProductData[],3,FALSE)</f>
        <v>1673.65</v>
      </c>
      <c r="R42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4252" spans="1:18" x14ac:dyDescent="0.3">
      <c r="A4252" s="2">
        <v>4245</v>
      </c>
      <c r="B4252" s="2" t="s">
        <v>9407</v>
      </c>
      <c r="C4252" s="2" t="s">
        <v>6547</v>
      </c>
      <c r="D4252" s="2" t="s">
        <v>51</v>
      </c>
      <c r="E4252" s="2" t="s">
        <v>16</v>
      </c>
      <c r="F4252" s="2">
        <v>30</v>
      </c>
      <c r="G4252" s="2" t="s">
        <v>9408</v>
      </c>
      <c r="H4252" s="2" t="s">
        <v>1052</v>
      </c>
      <c r="I4252" s="2" t="s">
        <v>32</v>
      </c>
      <c r="J4252" s="3">
        <v>44718</v>
      </c>
      <c r="K4252" s="5">
        <f>YEAR(OrganizedData[[#This Row],[Order Date]])</f>
        <v>2022</v>
      </c>
      <c r="L4252" s="7" t="str">
        <f>TEXT(OrganizedData[[#This Row],[Order Date]],"mmm")</f>
        <v>Jun</v>
      </c>
      <c r="M4252" s="2">
        <v>3</v>
      </c>
      <c r="N4252" s="2" t="s">
        <v>101</v>
      </c>
      <c r="O4252" s="2" t="str">
        <f>VLOOKUP(OrganizedData[[#This Row],[Product Code]],ProductData[[Code]:[Item]],2,FALSE)</f>
        <v>Superwossname</v>
      </c>
      <c r="P4252" s="4">
        <f>OrganizedData[[#This Row],[Quantity]]*VLOOKUP(OrganizedData[[#This Row],[Product Code]],ProductData[],4,FALSE)</f>
        <v>60</v>
      </c>
      <c r="Q4252" s="6">
        <f>OrganizedData[[#This Row],[Total Items Ordered]]*VLOOKUP(OrganizedData[[#This Row],[Product Code]],ProductData[],3,FALSE)</f>
        <v>209.4</v>
      </c>
      <c r="R42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209.4</v>
      </c>
    </row>
    <row r="4253" spans="1:18" x14ac:dyDescent="0.3">
      <c r="A4253" s="2">
        <v>4246</v>
      </c>
      <c r="B4253" s="2" t="s">
        <v>9409</v>
      </c>
      <c r="C4253" s="2" t="s">
        <v>2167</v>
      </c>
      <c r="D4253" s="2" t="s">
        <v>51</v>
      </c>
      <c r="E4253" s="2" t="s">
        <v>16</v>
      </c>
      <c r="F4253" s="2">
        <v>90</v>
      </c>
      <c r="G4253" s="2" t="s">
        <v>10578</v>
      </c>
      <c r="H4253" s="2" t="s">
        <v>1741</v>
      </c>
      <c r="I4253" s="2" t="s">
        <v>173</v>
      </c>
      <c r="J4253" s="3">
        <v>44008</v>
      </c>
      <c r="K4253" s="5">
        <f>YEAR(OrganizedData[[#This Row],[Order Date]])</f>
        <v>2020</v>
      </c>
      <c r="L4253" s="7" t="str">
        <f>TEXT(OrganizedData[[#This Row],[Order Date]],"mmm")</f>
        <v>Jun</v>
      </c>
      <c r="M4253" s="2">
        <v>80</v>
      </c>
      <c r="N4253" s="2" t="s">
        <v>33</v>
      </c>
      <c r="O4253" s="2" t="str">
        <f>VLOOKUP(OrganizedData[[#This Row],[Product Code]],ProductData[[Code]:[Item]],2,FALSE)</f>
        <v>Megawidget L</v>
      </c>
      <c r="P4253" s="4">
        <f>OrganizedData[[#This Row],[Quantity]]*VLOOKUP(OrganizedData[[#This Row],[Product Code]],ProductData[],4,FALSE)</f>
        <v>1920</v>
      </c>
      <c r="Q4253" s="6">
        <f>OrganizedData[[#This Row],[Total Items Ordered]]*VLOOKUP(OrganizedData[[#This Row],[Product Code]],ProductData[],3,FALSE)</f>
        <v>3436.8</v>
      </c>
      <c r="R42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3264.96</v>
      </c>
    </row>
    <row r="4254" spans="1:18" x14ac:dyDescent="0.3">
      <c r="A4254" s="2">
        <v>4247</v>
      </c>
      <c r="B4254" s="2" t="s">
        <v>5161</v>
      </c>
      <c r="C4254" s="2" t="s">
        <v>6420</v>
      </c>
      <c r="D4254" s="2" t="s">
        <v>117</v>
      </c>
      <c r="E4254" s="2" t="s">
        <v>29</v>
      </c>
      <c r="F4254" s="2">
        <v>60</v>
      </c>
      <c r="G4254" s="2" t="s">
        <v>9411</v>
      </c>
      <c r="H4254" s="2" t="s">
        <v>3399</v>
      </c>
      <c r="I4254" s="2" t="s">
        <v>124</v>
      </c>
      <c r="J4254" s="3">
        <v>44786</v>
      </c>
      <c r="K4254" s="5">
        <f>YEAR(OrganizedData[[#This Row],[Order Date]])</f>
        <v>2022</v>
      </c>
      <c r="L4254" s="7" t="str">
        <f>TEXT(OrganizedData[[#This Row],[Order Date]],"mmm")</f>
        <v>Aug</v>
      </c>
      <c r="M4254" s="2">
        <v>33</v>
      </c>
      <c r="N4254" s="2" t="s">
        <v>80</v>
      </c>
      <c r="O4254" s="2" t="str">
        <f>VLOOKUP(OrganizedData[[#This Row],[Product Code]],ProductData[[Code]:[Item]],2,FALSE)</f>
        <v>Ultrathing V2</v>
      </c>
      <c r="P4254" s="4">
        <f>OrganizedData[[#This Row],[Quantity]]*VLOOKUP(OrganizedData[[#This Row],[Product Code]],ProductData[],4,FALSE)</f>
        <v>660</v>
      </c>
      <c r="Q4254" s="6">
        <f>OrganizedData[[#This Row],[Total Items Ordered]]*VLOOKUP(OrganizedData[[#This Row],[Product Code]],ProductData[],3,FALSE)</f>
        <v>1947.0000000000002</v>
      </c>
      <c r="R42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1888.5900000000001</v>
      </c>
    </row>
    <row r="4255" spans="1:18" x14ac:dyDescent="0.3">
      <c r="A4255" s="2">
        <v>4248</v>
      </c>
      <c r="B4255" s="2" t="s">
        <v>5062</v>
      </c>
      <c r="C4255" s="2" t="s">
        <v>332</v>
      </c>
      <c r="D4255" s="2" t="s">
        <v>28</v>
      </c>
      <c r="E4255" s="2" t="s">
        <v>29</v>
      </c>
      <c r="F4255" s="2">
        <v>90</v>
      </c>
      <c r="G4255" s="2" t="s">
        <v>9412</v>
      </c>
      <c r="H4255" s="2" t="s">
        <v>3122</v>
      </c>
      <c r="I4255" s="2" t="s">
        <v>1035</v>
      </c>
      <c r="J4255" s="3">
        <v>44367</v>
      </c>
      <c r="K4255" s="5">
        <f>YEAR(OrganizedData[[#This Row],[Order Date]])</f>
        <v>2021</v>
      </c>
      <c r="L4255" s="7" t="str">
        <f>TEXT(OrganizedData[[#This Row],[Order Date]],"mmm")</f>
        <v>Jun</v>
      </c>
      <c r="M4255" s="2">
        <v>34</v>
      </c>
      <c r="N4255" s="2" t="s">
        <v>54</v>
      </c>
      <c r="O4255" s="2" t="str">
        <f>VLOOKUP(OrganizedData[[#This Row],[Product Code]],ProductData[[Code]:[Item]],2,FALSE)</f>
        <v>Megawidget S</v>
      </c>
      <c r="P4255" s="4">
        <f>OrganizedData[[#This Row],[Quantity]]*VLOOKUP(OrganizedData[[#This Row],[Product Code]],ProductData[],4,FALSE)</f>
        <v>816</v>
      </c>
      <c r="Q4255" s="6">
        <f>OrganizedData[[#This Row],[Total Items Ordered]]*VLOOKUP(OrganizedData[[#This Row],[Product Code]],ProductData[],3,FALSE)</f>
        <v>563.04</v>
      </c>
      <c r="R42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546.14879999999994</v>
      </c>
    </row>
    <row r="4256" spans="1:18" x14ac:dyDescent="0.3">
      <c r="A4256" s="2">
        <v>4249</v>
      </c>
      <c r="B4256" s="2" t="s">
        <v>9413</v>
      </c>
      <c r="C4256" s="2" t="s">
        <v>5295</v>
      </c>
      <c r="D4256" s="2" t="s">
        <v>51</v>
      </c>
      <c r="E4256" s="2" t="s">
        <v>16</v>
      </c>
      <c r="F4256" s="2">
        <v>30</v>
      </c>
      <c r="G4256" s="2" t="s">
        <v>9414</v>
      </c>
      <c r="H4256" s="2" t="s">
        <v>9415</v>
      </c>
      <c r="I4256" s="2" t="s">
        <v>32</v>
      </c>
      <c r="J4256" s="3">
        <v>44529</v>
      </c>
      <c r="K4256" s="5">
        <f>YEAR(OrganizedData[[#This Row],[Order Date]])</f>
        <v>2021</v>
      </c>
      <c r="L4256" s="7" t="str">
        <f>TEXT(OrganizedData[[#This Row],[Order Date]],"mmm")</f>
        <v>Nov</v>
      </c>
      <c r="M4256" s="2">
        <v>77</v>
      </c>
      <c r="N4256" s="2" t="s">
        <v>64</v>
      </c>
      <c r="O4256" s="2" t="str">
        <f>VLOOKUP(OrganizedData[[#This Row],[Product Code]],ProductData[[Code]:[Item]],2,FALSE)</f>
        <v>Ultrathing V4</v>
      </c>
      <c r="P4256" s="4">
        <f>OrganizedData[[#This Row],[Quantity]]*VLOOKUP(OrganizedData[[#This Row],[Product Code]],ProductData[],4,FALSE)</f>
        <v>1848</v>
      </c>
      <c r="Q4256" s="6">
        <f>OrganizedData[[#This Row],[Total Items Ordered]]*VLOOKUP(OrganizedData[[#This Row],[Product Code]],ProductData[],3,FALSE)</f>
        <v>7373.52</v>
      </c>
      <c r="R42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7004.8440000000001</v>
      </c>
    </row>
    <row r="4257" spans="1:18" x14ac:dyDescent="0.3">
      <c r="A4257" s="2">
        <v>4250</v>
      </c>
      <c r="B4257" s="2" t="s">
        <v>6912</v>
      </c>
      <c r="C4257" s="2" t="s">
        <v>268</v>
      </c>
      <c r="D4257" s="2" t="s">
        <v>15</v>
      </c>
      <c r="E4257" s="2" t="s">
        <v>16</v>
      </c>
      <c r="F4257" s="2">
        <v>60</v>
      </c>
      <c r="G4257" s="2" t="s">
        <v>9414</v>
      </c>
      <c r="H4257" s="2" t="s">
        <v>5686</v>
      </c>
      <c r="I4257" s="2" t="s">
        <v>32</v>
      </c>
      <c r="J4257" s="3">
        <v>44821</v>
      </c>
      <c r="K4257" s="5">
        <f>YEAR(OrganizedData[[#This Row],[Order Date]])</f>
        <v>2022</v>
      </c>
      <c r="L4257" s="7" t="str">
        <f>TEXT(OrganizedData[[#This Row],[Order Date]],"mmm")</f>
        <v>Sep</v>
      </c>
      <c r="M4257" s="2">
        <v>32</v>
      </c>
      <c r="N4257" s="2" t="s">
        <v>54</v>
      </c>
      <c r="O4257" s="2" t="str">
        <f>VLOOKUP(OrganizedData[[#This Row],[Product Code]],ProductData[[Code]:[Item]],2,FALSE)</f>
        <v>Megawidget S</v>
      </c>
      <c r="P4257" s="4">
        <f>OrganizedData[[#This Row],[Quantity]]*VLOOKUP(OrganizedData[[#This Row],[Product Code]],ProductData[],4,FALSE)</f>
        <v>768</v>
      </c>
      <c r="Q4257" s="6">
        <f>OrganizedData[[#This Row],[Total Items Ordered]]*VLOOKUP(OrganizedData[[#This Row],[Product Code]],ProductData[],3,FALSE)</f>
        <v>529.91999999999996</v>
      </c>
      <c r="R42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514.02239999999995</v>
      </c>
    </row>
    <row r="4258" spans="1:18" x14ac:dyDescent="0.3">
      <c r="A4258" s="2">
        <v>4251</v>
      </c>
      <c r="B4258" s="2" t="s">
        <v>6711</v>
      </c>
      <c r="C4258" s="2" t="s">
        <v>139</v>
      </c>
      <c r="D4258" s="2" t="s">
        <v>51</v>
      </c>
      <c r="E4258" s="2" t="s">
        <v>16</v>
      </c>
      <c r="F4258" s="2">
        <v>60</v>
      </c>
      <c r="G4258" s="2" t="s">
        <v>9416</v>
      </c>
      <c r="H4258" s="2" t="s">
        <v>3746</v>
      </c>
      <c r="I4258" s="2" t="s">
        <v>32</v>
      </c>
      <c r="J4258" s="3">
        <v>44062</v>
      </c>
      <c r="K4258" s="5">
        <f>YEAR(OrganizedData[[#This Row],[Order Date]])</f>
        <v>2020</v>
      </c>
      <c r="L4258" s="7" t="str">
        <f>TEXT(OrganizedData[[#This Row],[Order Date]],"mmm")</f>
        <v>Aug</v>
      </c>
      <c r="M4258" s="2">
        <v>52</v>
      </c>
      <c r="N4258" s="2" t="s">
        <v>54</v>
      </c>
      <c r="O4258" s="2" t="str">
        <f>VLOOKUP(OrganizedData[[#This Row],[Product Code]],ProductData[[Code]:[Item]],2,FALSE)</f>
        <v>Megawidget S</v>
      </c>
      <c r="P4258" s="4">
        <f>OrganizedData[[#This Row],[Quantity]]*VLOOKUP(OrganizedData[[#This Row],[Product Code]],ProductData[],4,FALSE)</f>
        <v>1248</v>
      </c>
      <c r="Q4258" s="6">
        <f>OrganizedData[[#This Row],[Total Items Ordered]]*VLOOKUP(OrganizedData[[#This Row],[Product Code]],ProductData[],3,FALSE)</f>
        <v>861.11999999999989</v>
      </c>
      <c r="R42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818.06399999999985</v>
      </c>
    </row>
    <row r="4259" spans="1:18" x14ac:dyDescent="0.3">
      <c r="A4259" s="2">
        <v>4252</v>
      </c>
      <c r="B4259" s="2" t="s">
        <v>6665</v>
      </c>
      <c r="C4259" s="2" t="s">
        <v>2448</v>
      </c>
      <c r="D4259" s="2" t="s">
        <v>51</v>
      </c>
      <c r="E4259" s="2" t="s">
        <v>16</v>
      </c>
      <c r="F4259" s="2">
        <v>30</v>
      </c>
      <c r="G4259" s="2" t="s">
        <v>9417</v>
      </c>
      <c r="H4259" s="2" t="s">
        <v>9418</v>
      </c>
      <c r="I4259" s="2" t="s">
        <v>1889</v>
      </c>
      <c r="J4259" s="3">
        <v>44296</v>
      </c>
      <c r="K4259" s="5">
        <f>YEAR(OrganizedData[[#This Row],[Order Date]])</f>
        <v>2021</v>
      </c>
      <c r="L4259" s="7" t="str">
        <f>TEXT(OrganizedData[[#This Row],[Order Date]],"mmm")</f>
        <v>Apr</v>
      </c>
      <c r="M4259" s="2">
        <v>86</v>
      </c>
      <c r="N4259" s="2" t="s">
        <v>45</v>
      </c>
      <c r="O4259" s="2" t="str">
        <f>VLOOKUP(OrganizedData[[#This Row],[Product Code]],ProductData[[Code]:[Item]],2,FALSE)</f>
        <v>Gigastuff</v>
      </c>
      <c r="P4259" s="4">
        <f>OrganizedData[[#This Row],[Quantity]]*VLOOKUP(OrganizedData[[#This Row],[Product Code]],ProductData[],4,FALSE)</f>
        <v>1548</v>
      </c>
      <c r="Q4259" s="6">
        <f>OrganizedData[[#This Row],[Total Items Ordered]]*VLOOKUP(OrganizedData[[#This Row],[Product Code]],ProductData[],3,FALSE)</f>
        <v>2925.72</v>
      </c>
      <c r="R42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2779.4339999999997</v>
      </c>
    </row>
    <row r="4260" spans="1:18" x14ac:dyDescent="0.3">
      <c r="A4260" s="2">
        <v>4253</v>
      </c>
      <c r="B4260" s="2" t="s">
        <v>209</v>
      </c>
      <c r="C4260" s="2" t="s">
        <v>953</v>
      </c>
      <c r="D4260" s="2" t="s">
        <v>28</v>
      </c>
      <c r="E4260" s="2" t="s">
        <v>29</v>
      </c>
      <c r="F4260" s="2">
        <v>90</v>
      </c>
      <c r="G4260" s="2" t="s">
        <v>9419</v>
      </c>
      <c r="H4260" s="2" t="s">
        <v>1969</v>
      </c>
      <c r="I4260" s="2" t="s">
        <v>32</v>
      </c>
      <c r="J4260" s="3">
        <v>44806</v>
      </c>
      <c r="K4260" s="5">
        <f>YEAR(OrganizedData[[#This Row],[Order Date]])</f>
        <v>2022</v>
      </c>
      <c r="L4260" s="7" t="str">
        <f>TEXT(OrganizedData[[#This Row],[Order Date]],"mmm")</f>
        <v>Sep</v>
      </c>
      <c r="M4260" s="2">
        <v>34</v>
      </c>
      <c r="N4260" s="2" t="s">
        <v>70</v>
      </c>
      <c r="O4260" s="2" t="str">
        <f>VLOOKUP(OrganizedData[[#This Row],[Product Code]],ProductData[[Code]:[Item]],2,FALSE)</f>
        <v>Megawidget M</v>
      </c>
      <c r="P4260" s="4">
        <f>OrganizedData[[#This Row],[Quantity]]*VLOOKUP(OrganizedData[[#This Row],[Product Code]],ProductData[],4,FALSE)</f>
        <v>816</v>
      </c>
      <c r="Q4260" s="6">
        <f>OrganizedData[[#This Row],[Total Items Ordered]]*VLOOKUP(OrganizedData[[#This Row],[Product Code]],ProductData[],3,FALSE)</f>
        <v>1052.6400000000001</v>
      </c>
      <c r="R42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1021.0608000000001</v>
      </c>
    </row>
    <row r="4261" spans="1:18" x14ac:dyDescent="0.3">
      <c r="A4261" s="2">
        <v>4254</v>
      </c>
      <c r="B4261" s="2" t="s">
        <v>9420</v>
      </c>
      <c r="C4261" s="2" t="s">
        <v>6055</v>
      </c>
      <c r="D4261" s="2" t="s">
        <v>15</v>
      </c>
      <c r="E4261" s="2" t="s">
        <v>16</v>
      </c>
      <c r="F4261" s="2">
        <v>90</v>
      </c>
      <c r="G4261" s="2" t="s">
        <v>9421</v>
      </c>
      <c r="H4261" s="2" t="s">
        <v>7118</v>
      </c>
      <c r="I4261" s="2" t="s">
        <v>2022</v>
      </c>
      <c r="J4261" s="3">
        <v>44552</v>
      </c>
      <c r="K4261" s="5">
        <f>YEAR(OrganizedData[[#This Row],[Order Date]])</f>
        <v>2021</v>
      </c>
      <c r="L4261" s="7" t="str">
        <f>TEXT(OrganizedData[[#This Row],[Order Date]],"mmm")</f>
        <v>Dec</v>
      </c>
      <c r="M4261" s="2">
        <v>11</v>
      </c>
      <c r="N4261" s="2" t="s">
        <v>54</v>
      </c>
      <c r="O4261" s="2" t="str">
        <f>VLOOKUP(OrganizedData[[#This Row],[Product Code]],ProductData[[Code]:[Item]],2,FALSE)</f>
        <v>Megawidget S</v>
      </c>
      <c r="P4261" s="4">
        <f>OrganizedData[[#This Row],[Quantity]]*VLOOKUP(OrganizedData[[#This Row],[Product Code]],ProductData[],4,FALSE)</f>
        <v>264</v>
      </c>
      <c r="Q4261" s="6">
        <f>OrganizedData[[#This Row],[Total Items Ordered]]*VLOOKUP(OrganizedData[[#This Row],[Product Code]],ProductData[],3,FALSE)</f>
        <v>182.16</v>
      </c>
      <c r="R42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182.16</v>
      </c>
    </row>
    <row r="4262" spans="1:18" x14ac:dyDescent="0.3">
      <c r="A4262" s="2">
        <v>4255</v>
      </c>
      <c r="B4262" s="2" t="s">
        <v>9422</v>
      </c>
      <c r="C4262" s="2" t="s">
        <v>8064</v>
      </c>
      <c r="D4262" s="2" t="s">
        <v>15</v>
      </c>
      <c r="E4262" s="2" t="s">
        <v>16</v>
      </c>
      <c r="F4262" s="2">
        <v>90</v>
      </c>
      <c r="G4262" s="2" t="s">
        <v>9423</v>
      </c>
      <c r="H4262" s="2" t="s">
        <v>4662</v>
      </c>
      <c r="I4262" s="2" t="s">
        <v>32</v>
      </c>
      <c r="J4262" s="3">
        <v>44266</v>
      </c>
      <c r="K4262" s="5">
        <f>YEAR(OrganizedData[[#This Row],[Order Date]])</f>
        <v>2021</v>
      </c>
      <c r="L4262" s="7" t="str">
        <f>TEXT(OrganizedData[[#This Row],[Order Date]],"mmm")</f>
        <v>Mar</v>
      </c>
      <c r="M4262" s="2">
        <v>40</v>
      </c>
      <c r="N4262" s="2" t="s">
        <v>33</v>
      </c>
      <c r="O4262" s="2" t="str">
        <f>VLOOKUP(OrganizedData[[#This Row],[Product Code]],ProductData[[Code]:[Item]],2,FALSE)</f>
        <v>Megawidget L</v>
      </c>
      <c r="P4262" s="4">
        <f>OrganizedData[[#This Row],[Quantity]]*VLOOKUP(OrganizedData[[#This Row],[Product Code]],ProductData[],4,FALSE)</f>
        <v>960</v>
      </c>
      <c r="Q4262" s="6">
        <f>OrganizedData[[#This Row],[Total Items Ordered]]*VLOOKUP(OrganizedData[[#This Row],[Product Code]],ProductData[],3,FALSE)</f>
        <v>1718.4</v>
      </c>
      <c r="R42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1666.848</v>
      </c>
    </row>
    <row r="4263" spans="1:18" x14ac:dyDescent="0.3">
      <c r="A4263" s="2">
        <v>4256</v>
      </c>
      <c r="B4263" s="2" t="s">
        <v>40</v>
      </c>
      <c r="C4263" s="2" t="s">
        <v>9424</v>
      </c>
      <c r="D4263" s="2" t="s">
        <v>51</v>
      </c>
      <c r="E4263" s="2" t="s">
        <v>16</v>
      </c>
      <c r="F4263" s="2">
        <v>90</v>
      </c>
      <c r="G4263" s="2" t="s">
        <v>9425</v>
      </c>
      <c r="H4263" s="2" t="s">
        <v>7269</v>
      </c>
      <c r="I4263" s="2" t="s">
        <v>187</v>
      </c>
      <c r="J4263" s="3">
        <v>44744</v>
      </c>
      <c r="K4263" s="5">
        <f>YEAR(OrganizedData[[#This Row],[Order Date]])</f>
        <v>2022</v>
      </c>
      <c r="L4263" s="7" t="str">
        <f>TEXT(OrganizedData[[#This Row],[Order Date]],"mmm")</f>
        <v>Jul</v>
      </c>
      <c r="M4263" s="2">
        <v>35</v>
      </c>
      <c r="N4263" s="2" t="s">
        <v>70</v>
      </c>
      <c r="O4263" s="2" t="str">
        <f>VLOOKUP(OrganizedData[[#This Row],[Product Code]],ProductData[[Code]:[Item]],2,FALSE)</f>
        <v>Megawidget M</v>
      </c>
      <c r="P4263" s="4">
        <f>OrganizedData[[#This Row],[Quantity]]*VLOOKUP(OrganizedData[[#This Row],[Product Code]],ProductData[],4,FALSE)</f>
        <v>840</v>
      </c>
      <c r="Q4263" s="6">
        <f>OrganizedData[[#This Row],[Total Items Ordered]]*VLOOKUP(OrganizedData[[#This Row],[Product Code]],ProductData[],3,FALSE)</f>
        <v>1083.6000000000001</v>
      </c>
      <c r="R42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1051.0920000000001</v>
      </c>
    </row>
    <row r="4264" spans="1:18" x14ac:dyDescent="0.3">
      <c r="A4264" s="2">
        <v>4257</v>
      </c>
      <c r="B4264" s="2" t="s">
        <v>2430</v>
      </c>
      <c r="C4264" s="2" t="s">
        <v>9170</v>
      </c>
      <c r="D4264" s="2" t="s">
        <v>28</v>
      </c>
      <c r="E4264" s="2" t="s">
        <v>29</v>
      </c>
      <c r="F4264" s="2">
        <v>30</v>
      </c>
      <c r="G4264" s="2" t="s">
        <v>9426</v>
      </c>
      <c r="H4264" s="2" t="s">
        <v>2084</v>
      </c>
      <c r="I4264" s="2" t="s">
        <v>294</v>
      </c>
      <c r="J4264" s="3">
        <v>43988</v>
      </c>
      <c r="K4264" s="5">
        <f>YEAR(OrganizedData[[#This Row],[Order Date]])</f>
        <v>2020</v>
      </c>
      <c r="L4264" s="7" t="str">
        <f>TEXT(OrganizedData[[#This Row],[Order Date]],"mmm")</f>
        <v>Jun</v>
      </c>
      <c r="M4264" s="2">
        <v>59</v>
      </c>
      <c r="N4264" s="2" t="s">
        <v>159</v>
      </c>
      <c r="O4264" s="2" t="str">
        <f>VLOOKUP(OrganizedData[[#This Row],[Product Code]],ProductData[[Code]:[Item]],2,FALSE)</f>
        <v>Ultrathing V3</v>
      </c>
      <c r="P4264" s="4">
        <f>OrganizedData[[#This Row],[Quantity]]*VLOOKUP(OrganizedData[[#This Row],[Product Code]],ProductData[],4,FALSE)</f>
        <v>1416</v>
      </c>
      <c r="Q4264" s="6">
        <f>OrganizedData[[#This Row],[Total Items Ordered]]*VLOOKUP(OrganizedData[[#This Row],[Product Code]],ProductData[],3,FALSE)</f>
        <v>4800.24</v>
      </c>
      <c r="R42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4265" spans="1:18" x14ac:dyDescent="0.3">
      <c r="A4265" s="2">
        <v>4258</v>
      </c>
      <c r="B4265" s="2" t="s">
        <v>2289</v>
      </c>
      <c r="C4265" s="2" t="s">
        <v>4113</v>
      </c>
      <c r="D4265" s="2" t="s">
        <v>15</v>
      </c>
      <c r="E4265" s="2" t="s">
        <v>16</v>
      </c>
      <c r="F4265" s="2">
        <v>90</v>
      </c>
      <c r="G4265" s="2" t="s">
        <v>9427</v>
      </c>
      <c r="H4265" s="2" t="s">
        <v>203</v>
      </c>
      <c r="I4265" s="2" t="s">
        <v>32</v>
      </c>
      <c r="J4265" s="3">
        <v>44480</v>
      </c>
      <c r="K4265" s="5">
        <f>YEAR(OrganizedData[[#This Row],[Order Date]])</f>
        <v>2021</v>
      </c>
      <c r="L4265" s="7" t="str">
        <f>TEXT(OrganizedData[[#This Row],[Order Date]],"mmm")</f>
        <v>Oct</v>
      </c>
      <c r="M4265" s="2">
        <v>23</v>
      </c>
      <c r="N4265" s="2" t="s">
        <v>33</v>
      </c>
      <c r="O4265" s="2" t="str">
        <f>VLOOKUP(OrganizedData[[#This Row],[Product Code]],ProductData[[Code]:[Item]],2,FALSE)</f>
        <v>Megawidget L</v>
      </c>
      <c r="P4265" s="4">
        <f>OrganizedData[[#This Row],[Quantity]]*VLOOKUP(OrganizedData[[#This Row],[Product Code]],ProductData[],4,FALSE)</f>
        <v>552</v>
      </c>
      <c r="Q4265" s="6">
        <f>OrganizedData[[#This Row],[Total Items Ordered]]*VLOOKUP(OrganizedData[[#This Row],[Product Code]],ProductData[],3,FALSE)</f>
        <v>988.08</v>
      </c>
      <c r="R42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958.43759999999997</v>
      </c>
    </row>
    <row r="4266" spans="1:18" x14ac:dyDescent="0.3">
      <c r="A4266" s="2">
        <v>4259</v>
      </c>
      <c r="B4266" s="2" t="s">
        <v>9428</v>
      </c>
      <c r="C4266" s="2" t="s">
        <v>9429</v>
      </c>
      <c r="D4266" s="2" t="s">
        <v>15</v>
      </c>
      <c r="E4266" s="2" t="s">
        <v>16</v>
      </c>
      <c r="F4266" s="2">
        <v>60</v>
      </c>
      <c r="G4266" s="2" t="s">
        <v>9430</v>
      </c>
      <c r="H4266" s="2" t="s">
        <v>7175</v>
      </c>
      <c r="I4266" s="2" t="s">
        <v>32</v>
      </c>
      <c r="J4266" s="3">
        <v>44244</v>
      </c>
      <c r="K4266" s="5">
        <f>YEAR(OrganizedData[[#This Row],[Order Date]])</f>
        <v>2021</v>
      </c>
      <c r="L4266" s="7" t="str">
        <f>TEXT(OrganizedData[[#This Row],[Order Date]],"mmm")</f>
        <v>Feb</v>
      </c>
      <c r="M4266" s="2">
        <v>68</v>
      </c>
      <c r="N4266" s="2" t="s">
        <v>20</v>
      </c>
      <c r="O4266" s="2" t="str">
        <f>VLOOKUP(OrganizedData[[#This Row],[Product Code]],ProductData[[Code]:[Item]],2,FALSE)</f>
        <v>Hyperwotsit</v>
      </c>
      <c r="P4266" s="4">
        <f>OrganizedData[[#This Row],[Quantity]]*VLOOKUP(OrganizedData[[#This Row],[Product Code]],ProductData[],4,FALSE)</f>
        <v>1360</v>
      </c>
      <c r="Q4266" s="6">
        <f>OrganizedData[[#This Row],[Total Items Ordered]]*VLOOKUP(OrganizedData[[#This Row],[Product Code]],ProductData[],3,FALSE)</f>
        <v>2733.6</v>
      </c>
      <c r="R42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2596.9199999999996</v>
      </c>
    </row>
    <row r="4267" spans="1:18" x14ac:dyDescent="0.3">
      <c r="A4267" s="2">
        <v>4260</v>
      </c>
      <c r="B4267" s="2" t="s">
        <v>480</v>
      </c>
      <c r="C4267" s="2" t="s">
        <v>9170</v>
      </c>
      <c r="D4267" s="2" t="s">
        <v>51</v>
      </c>
      <c r="E4267" s="2" t="s">
        <v>16</v>
      </c>
      <c r="F4267" s="2">
        <v>90</v>
      </c>
      <c r="G4267" s="2" t="s">
        <v>9431</v>
      </c>
      <c r="H4267" s="2" t="s">
        <v>655</v>
      </c>
      <c r="I4267" s="2" t="s">
        <v>32</v>
      </c>
      <c r="J4267" s="3">
        <v>44341</v>
      </c>
      <c r="K4267" s="5">
        <f>YEAR(OrganizedData[[#This Row],[Order Date]])</f>
        <v>2021</v>
      </c>
      <c r="L4267" s="7" t="str">
        <f>TEXT(OrganizedData[[#This Row],[Order Date]],"mmm")</f>
        <v>May</v>
      </c>
      <c r="M4267" s="2">
        <v>89</v>
      </c>
      <c r="N4267" s="2" t="s">
        <v>45</v>
      </c>
      <c r="O4267" s="2" t="str">
        <f>VLOOKUP(OrganizedData[[#This Row],[Product Code]],ProductData[[Code]:[Item]],2,FALSE)</f>
        <v>Gigastuff</v>
      </c>
      <c r="P4267" s="4">
        <f>OrganizedData[[#This Row],[Quantity]]*VLOOKUP(OrganizedData[[#This Row],[Product Code]],ProductData[],4,FALSE)</f>
        <v>1602</v>
      </c>
      <c r="Q4267" s="6">
        <f>OrganizedData[[#This Row],[Total Items Ordered]]*VLOOKUP(OrganizedData[[#This Row],[Product Code]],ProductData[],3,FALSE)</f>
        <v>3027.7799999999997</v>
      </c>
      <c r="R42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2876.3909999999996</v>
      </c>
    </row>
    <row r="4268" spans="1:18" x14ac:dyDescent="0.3">
      <c r="A4268" s="2">
        <v>4261</v>
      </c>
      <c r="B4268" s="2" t="s">
        <v>9432</v>
      </c>
      <c r="C4268" s="2" t="s">
        <v>6204</v>
      </c>
      <c r="D4268" s="2" t="s">
        <v>51</v>
      </c>
      <c r="E4268" s="2" t="s">
        <v>16</v>
      </c>
      <c r="F4268" s="2">
        <v>30</v>
      </c>
      <c r="G4268" s="2" t="s">
        <v>9433</v>
      </c>
      <c r="H4268" s="2" t="s">
        <v>1945</v>
      </c>
      <c r="I4268" s="2" t="s">
        <v>32</v>
      </c>
      <c r="J4268" s="3">
        <v>44393</v>
      </c>
      <c r="K4268" s="5">
        <f>YEAR(OrganizedData[[#This Row],[Order Date]])</f>
        <v>2021</v>
      </c>
      <c r="L4268" s="7" t="str">
        <f>TEXT(OrganizedData[[#This Row],[Order Date]],"mmm")</f>
        <v>Jul</v>
      </c>
      <c r="M4268" s="2">
        <v>64</v>
      </c>
      <c r="N4268" s="2" t="s">
        <v>33</v>
      </c>
      <c r="O4268" s="2" t="str">
        <f>VLOOKUP(OrganizedData[[#This Row],[Product Code]],ProductData[[Code]:[Item]],2,FALSE)</f>
        <v>Megawidget L</v>
      </c>
      <c r="P4268" s="4">
        <f>OrganizedData[[#This Row],[Quantity]]*VLOOKUP(OrganizedData[[#This Row],[Product Code]],ProductData[],4,FALSE)</f>
        <v>1536</v>
      </c>
      <c r="Q4268" s="6">
        <f>OrganizedData[[#This Row],[Total Items Ordered]]*VLOOKUP(OrganizedData[[#This Row],[Product Code]],ProductData[],3,FALSE)</f>
        <v>2749.44</v>
      </c>
      <c r="R42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2611.9679999999998</v>
      </c>
    </row>
    <row r="4269" spans="1:18" x14ac:dyDescent="0.3">
      <c r="A4269" s="2">
        <v>4262</v>
      </c>
      <c r="B4269" s="2" t="s">
        <v>8647</v>
      </c>
      <c r="C4269" s="2" t="s">
        <v>5306</v>
      </c>
      <c r="D4269" s="2" t="s">
        <v>51</v>
      </c>
      <c r="E4269" s="2" t="s">
        <v>16</v>
      </c>
      <c r="F4269" s="2">
        <v>30</v>
      </c>
      <c r="G4269" s="2" t="s">
        <v>9434</v>
      </c>
      <c r="H4269" s="2" t="s">
        <v>3695</v>
      </c>
      <c r="I4269" s="2" t="s">
        <v>173</v>
      </c>
      <c r="J4269" s="3">
        <v>44410</v>
      </c>
      <c r="K4269" s="5">
        <f>YEAR(OrganizedData[[#This Row],[Order Date]])</f>
        <v>2021</v>
      </c>
      <c r="L4269" s="7" t="str">
        <f>TEXT(OrganizedData[[#This Row],[Order Date]],"mmm")</f>
        <v>Aug</v>
      </c>
      <c r="M4269" s="2">
        <v>75</v>
      </c>
      <c r="N4269" s="2" t="s">
        <v>101</v>
      </c>
      <c r="O4269" s="2" t="str">
        <f>VLOOKUP(OrganizedData[[#This Row],[Product Code]],ProductData[[Code]:[Item]],2,FALSE)</f>
        <v>Superwossname</v>
      </c>
      <c r="P4269" s="4">
        <f>OrganizedData[[#This Row],[Quantity]]*VLOOKUP(OrganizedData[[#This Row],[Product Code]],ProductData[],4,FALSE)</f>
        <v>1500</v>
      </c>
      <c r="Q4269" s="6">
        <f>OrganizedData[[#This Row],[Total Items Ordered]]*VLOOKUP(OrganizedData[[#This Row],[Product Code]],ProductData[],3,FALSE)</f>
        <v>5235</v>
      </c>
      <c r="R42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4270" spans="1:18" x14ac:dyDescent="0.3">
      <c r="A4270" s="2">
        <v>4263</v>
      </c>
      <c r="B4270" s="2" t="s">
        <v>9435</v>
      </c>
      <c r="C4270" s="2" t="s">
        <v>2941</v>
      </c>
      <c r="D4270" s="2" t="s">
        <v>15</v>
      </c>
      <c r="E4270" s="2" t="s">
        <v>16</v>
      </c>
      <c r="F4270" s="2">
        <v>60</v>
      </c>
      <c r="G4270" s="2" t="s">
        <v>9436</v>
      </c>
      <c r="H4270" s="2" t="s">
        <v>1605</v>
      </c>
      <c r="I4270" s="2" t="s">
        <v>32</v>
      </c>
      <c r="J4270" s="3">
        <v>44235</v>
      </c>
      <c r="K4270" s="5">
        <f>YEAR(OrganizedData[[#This Row],[Order Date]])</f>
        <v>2021</v>
      </c>
      <c r="L4270" s="7" t="str">
        <f>TEXT(OrganizedData[[#This Row],[Order Date]],"mmm")</f>
        <v>Feb</v>
      </c>
      <c r="M4270" s="2">
        <v>61</v>
      </c>
      <c r="N4270" s="2" t="s">
        <v>54</v>
      </c>
      <c r="O4270" s="2" t="str">
        <f>VLOOKUP(OrganizedData[[#This Row],[Product Code]],ProductData[[Code]:[Item]],2,FALSE)</f>
        <v>Megawidget S</v>
      </c>
      <c r="P4270" s="4">
        <f>OrganizedData[[#This Row],[Quantity]]*VLOOKUP(OrganizedData[[#This Row],[Product Code]],ProductData[],4,FALSE)</f>
        <v>1464</v>
      </c>
      <c r="Q4270" s="6">
        <f>OrganizedData[[#This Row],[Total Items Ordered]]*VLOOKUP(OrganizedData[[#This Row],[Product Code]],ProductData[],3,FALSE)</f>
        <v>1010.16</v>
      </c>
      <c r="R42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959.65199999999993</v>
      </c>
    </row>
    <row r="4271" spans="1:18" x14ac:dyDescent="0.3">
      <c r="A4271" s="2">
        <v>4264</v>
      </c>
      <c r="B4271" s="2" t="s">
        <v>9437</v>
      </c>
      <c r="C4271" s="2" t="s">
        <v>6798</v>
      </c>
      <c r="D4271" s="2" t="s">
        <v>28</v>
      </c>
      <c r="E4271" s="2" t="s">
        <v>29</v>
      </c>
      <c r="F4271" s="2">
        <v>30</v>
      </c>
      <c r="G4271" s="2" t="s">
        <v>9438</v>
      </c>
      <c r="H4271" s="2" t="s">
        <v>1052</v>
      </c>
      <c r="I4271" s="2" t="s">
        <v>32</v>
      </c>
      <c r="J4271" s="3">
        <v>44014</v>
      </c>
      <c r="K4271" s="5">
        <f>YEAR(OrganizedData[[#This Row],[Order Date]])</f>
        <v>2020</v>
      </c>
      <c r="L4271" s="7" t="str">
        <f>TEXT(OrganizedData[[#This Row],[Order Date]],"mmm")</f>
        <v>Jul</v>
      </c>
      <c r="M4271" s="2">
        <v>57</v>
      </c>
      <c r="N4271" s="2" t="s">
        <v>39</v>
      </c>
      <c r="O4271" s="2" t="str">
        <f>VLOOKUP(OrganizedData[[#This Row],[Product Code]],ProductData[[Code]:[Item]],2,FALSE)</f>
        <v>Ultrathing V1</v>
      </c>
      <c r="P4271" s="4">
        <f>OrganizedData[[#This Row],[Quantity]]*VLOOKUP(OrganizedData[[#This Row],[Product Code]],ProductData[],4,FALSE)</f>
        <v>969</v>
      </c>
      <c r="Q4271" s="6">
        <f>OrganizedData[[#This Row],[Total Items Ordered]]*VLOOKUP(OrganizedData[[#This Row],[Product Code]],ProductData[],3,FALSE)</f>
        <v>1734.51</v>
      </c>
      <c r="R42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4272" spans="1:18" x14ac:dyDescent="0.3">
      <c r="A4272" s="2">
        <v>4265</v>
      </c>
      <c r="B4272" s="2" t="s">
        <v>4251</v>
      </c>
      <c r="C4272" s="2" t="s">
        <v>1721</v>
      </c>
      <c r="D4272" s="2" t="s">
        <v>28</v>
      </c>
      <c r="E4272" s="2" t="s">
        <v>29</v>
      </c>
      <c r="F4272" s="2">
        <v>30</v>
      </c>
      <c r="G4272" s="2" t="s">
        <v>10454</v>
      </c>
      <c r="H4272" s="2" t="s">
        <v>1804</v>
      </c>
      <c r="I4272" s="2" t="s">
        <v>32</v>
      </c>
      <c r="J4272" s="3">
        <v>44468</v>
      </c>
      <c r="K4272" s="5">
        <f>YEAR(OrganizedData[[#This Row],[Order Date]])</f>
        <v>2021</v>
      </c>
      <c r="L4272" s="7" t="str">
        <f>TEXT(OrganizedData[[#This Row],[Order Date]],"mmm")</f>
        <v>Sep</v>
      </c>
      <c r="M4272" s="2">
        <v>41</v>
      </c>
      <c r="N4272" s="2" t="s">
        <v>101</v>
      </c>
      <c r="O4272" s="2" t="str">
        <f>VLOOKUP(OrganizedData[[#This Row],[Product Code]],ProductData[[Code]:[Item]],2,FALSE)</f>
        <v>Superwossname</v>
      </c>
      <c r="P4272" s="4">
        <f>OrganizedData[[#This Row],[Quantity]]*VLOOKUP(OrganizedData[[#This Row],[Product Code]],ProductData[],4,FALSE)</f>
        <v>820</v>
      </c>
      <c r="Q4272" s="6">
        <f>OrganizedData[[#This Row],[Total Items Ordered]]*VLOOKUP(OrganizedData[[#This Row],[Product Code]],ProductData[],3,FALSE)</f>
        <v>2861.8</v>
      </c>
      <c r="R42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4273" spans="1:18" x14ac:dyDescent="0.3">
      <c r="A4273" s="2">
        <v>4266</v>
      </c>
      <c r="B4273" s="2" t="s">
        <v>1187</v>
      </c>
      <c r="C4273" s="2" t="s">
        <v>5142</v>
      </c>
      <c r="D4273" s="2" t="s">
        <v>28</v>
      </c>
      <c r="E4273" s="2" t="s">
        <v>29</v>
      </c>
      <c r="F4273" s="2">
        <v>60</v>
      </c>
      <c r="G4273" s="2" t="s">
        <v>9440</v>
      </c>
      <c r="H4273" s="2" t="s">
        <v>5473</v>
      </c>
      <c r="I4273" s="2" t="s">
        <v>240</v>
      </c>
      <c r="J4273" s="3">
        <v>44750</v>
      </c>
      <c r="K4273" s="5">
        <f>YEAR(OrganizedData[[#This Row],[Order Date]])</f>
        <v>2022</v>
      </c>
      <c r="L4273" s="7" t="str">
        <f>TEXT(OrganizedData[[#This Row],[Order Date]],"mmm")</f>
        <v>Jul</v>
      </c>
      <c r="M4273" s="2">
        <v>55</v>
      </c>
      <c r="N4273" s="2" t="s">
        <v>80</v>
      </c>
      <c r="O4273" s="2" t="str">
        <f>VLOOKUP(OrganizedData[[#This Row],[Product Code]],ProductData[[Code]:[Item]],2,FALSE)</f>
        <v>Ultrathing V2</v>
      </c>
      <c r="P4273" s="4">
        <f>OrganizedData[[#This Row],[Quantity]]*VLOOKUP(OrganizedData[[#This Row],[Product Code]],ProductData[],4,FALSE)</f>
        <v>1100</v>
      </c>
      <c r="Q4273" s="6">
        <f>OrganizedData[[#This Row],[Total Items Ordered]]*VLOOKUP(OrganizedData[[#This Row],[Product Code]],ProductData[],3,FALSE)</f>
        <v>3245</v>
      </c>
      <c r="R42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3082.75</v>
      </c>
    </row>
    <row r="4274" spans="1:18" x14ac:dyDescent="0.3">
      <c r="A4274" s="2">
        <v>4267</v>
      </c>
      <c r="B4274" s="2" t="s">
        <v>9441</v>
      </c>
      <c r="C4274" s="2" t="s">
        <v>7016</v>
      </c>
      <c r="D4274" s="2" t="s">
        <v>15</v>
      </c>
      <c r="E4274" s="2" t="s">
        <v>16</v>
      </c>
      <c r="F4274" s="2">
        <v>90</v>
      </c>
      <c r="G4274" s="2" t="s">
        <v>9442</v>
      </c>
      <c r="H4274" s="2" t="s">
        <v>6249</v>
      </c>
      <c r="I4274" s="2" t="s">
        <v>38</v>
      </c>
      <c r="J4274" s="3">
        <v>44375</v>
      </c>
      <c r="K4274" s="5">
        <f>YEAR(OrganizedData[[#This Row],[Order Date]])</f>
        <v>2021</v>
      </c>
      <c r="L4274" s="7" t="str">
        <f>TEXT(OrganizedData[[#This Row],[Order Date]],"mmm")</f>
        <v>Jun</v>
      </c>
      <c r="M4274" s="2">
        <v>78</v>
      </c>
      <c r="N4274" s="2" t="s">
        <v>20</v>
      </c>
      <c r="O4274" s="2" t="str">
        <f>VLOOKUP(OrganizedData[[#This Row],[Product Code]],ProductData[[Code]:[Item]],2,FALSE)</f>
        <v>Hyperwotsit</v>
      </c>
      <c r="P4274" s="4">
        <f>OrganizedData[[#This Row],[Quantity]]*VLOOKUP(OrganizedData[[#This Row],[Product Code]],ProductData[],4,FALSE)</f>
        <v>1560</v>
      </c>
      <c r="Q4274" s="6">
        <f>OrganizedData[[#This Row],[Total Items Ordered]]*VLOOKUP(OrganizedData[[#This Row],[Product Code]],ProductData[],3,FALSE)</f>
        <v>3135.5999999999995</v>
      </c>
      <c r="R42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2978.8199999999993</v>
      </c>
    </row>
    <row r="4275" spans="1:18" x14ac:dyDescent="0.3">
      <c r="A4275" s="2">
        <v>4268</v>
      </c>
      <c r="B4275" s="2" t="s">
        <v>2852</v>
      </c>
      <c r="C4275" s="2" t="s">
        <v>672</v>
      </c>
      <c r="D4275" s="2" t="s">
        <v>15</v>
      </c>
      <c r="E4275" s="2" t="s">
        <v>16</v>
      </c>
      <c r="F4275" s="2">
        <v>90</v>
      </c>
      <c r="G4275" s="2" t="s">
        <v>10579</v>
      </c>
      <c r="H4275" s="2" t="s">
        <v>9444</v>
      </c>
      <c r="I4275" s="2" t="s">
        <v>1454</v>
      </c>
      <c r="J4275" s="3">
        <v>43832</v>
      </c>
      <c r="K4275" s="5">
        <f>YEAR(OrganizedData[[#This Row],[Order Date]])</f>
        <v>2020</v>
      </c>
      <c r="L4275" s="7" t="str">
        <f>TEXT(OrganizedData[[#This Row],[Order Date]],"mmm")</f>
        <v>Jan</v>
      </c>
      <c r="M4275" s="2">
        <v>21</v>
      </c>
      <c r="N4275" s="2" t="s">
        <v>101</v>
      </c>
      <c r="O4275" s="2" t="str">
        <f>VLOOKUP(OrganizedData[[#This Row],[Product Code]],ProductData[[Code]:[Item]],2,FALSE)</f>
        <v>Superwossname</v>
      </c>
      <c r="P4275" s="4">
        <f>OrganizedData[[#This Row],[Quantity]]*VLOOKUP(OrganizedData[[#This Row],[Product Code]],ProductData[],4,FALSE)</f>
        <v>420</v>
      </c>
      <c r="Q4275" s="6">
        <f>OrganizedData[[#This Row],[Total Items Ordered]]*VLOOKUP(OrganizedData[[#This Row],[Product Code]],ProductData[],3,FALSE)</f>
        <v>1465.8000000000002</v>
      </c>
      <c r="R42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1421.8260000000002</v>
      </c>
    </row>
    <row r="4276" spans="1:18" x14ac:dyDescent="0.3">
      <c r="A4276" s="2">
        <v>4269</v>
      </c>
      <c r="B4276" s="2" t="s">
        <v>9445</v>
      </c>
      <c r="C4276" s="2" t="s">
        <v>295</v>
      </c>
      <c r="D4276" s="2" t="s">
        <v>15</v>
      </c>
      <c r="E4276" s="2" t="s">
        <v>16</v>
      </c>
      <c r="F4276" s="2">
        <v>30</v>
      </c>
      <c r="G4276" s="2" t="s">
        <v>9446</v>
      </c>
      <c r="H4276" s="2" t="s">
        <v>2401</v>
      </c>
      <c r="I4276" s="2" t="s">
        <v>178</v>
      </c>
      <c r="J4276" s="3">
        <v>44343</v>
      </c>
      <c r="K4276" s="5">
        <f>YEAR(OrganizedData[[#This Row],[Order Date]])</f>
        <v>2021</v>
      </c>
      <c r="L4276" s="7" t="str">
        <f>TEXT(OrganizedData[[#This Row],[Order Date]],"mmm")</f>
        <v>May</v>
      </c>
      <c r="M4276" s="2">
        <v>55</v>
      </c>
      <c r="N4276" s="2" t="s">
        <v>45</v>
      </c>
      <c r="O4276" s="2" t="str">
        <f>VLOOKUP(OrganizedData[[#This Row],[Product Code]],ProductData[[Code]:[Item]],2,FALSE)</f>
        <v>Gigastuff</v>
      </c>
      <c r="P4276" s="4">
        <f>OrganizedData[[#This Row],[Quantity]]*VLOOKUP(OrganizedData[[#This Row],[Product Code]],ProductData[],4,FALSE)</f>
        <v>990</v>
      </c>
      <c r="Q4276" s="6">
        <f>OrganizedData[[#This Row],[Total Items Ordered]]*VLOOKUP(OrganizedData[[#This Row],[Product Code]],ProductData[],3,FALSE)</f>
        <v>1871.1</v>
      </c>
      <c r="R42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1777.5449999999998</v>
      </c>
    </row>
    <row r="4277" spans="1:18" x14ac:dyDescent="0.3">
      <c r="A4277" s="2">
        <v>4270</v>
      </c>
      <c r="B4277" s="2" t="s">
        <v>9447</v>
      </c>
      <c r="C4277" s="2" t="s">
        <v>7016</v>
      </c>
      <c r="D4277" s="2" t="s">
        <v>51</v>
      </c>
      <c r="E4277" s="2" t="s">
        <v>16</v>
      </c>
      <c r="F4277" s="2">
        <v>30</v>
      </c>
      <c r="G4277" s="2" t="s">
        <v>9448</v>
      </c>
      <c r="H4277" s="2" t="s">
        <v>1463</v>
      </c>
      <c r="I4277" s="2" t="s">
        <v>19</v>
      </c>
      <c r="J4277" s="3">
        <v>44262</v>
      </c>
      <c r="K4277" s="5">
        <f>YEAR(OrganizedData[[#This Row],[Order Date]])</f>
        <v>2021</v>
      </c>
      <c r="L4277" s="7" t="str">
        <f>TEXT(OrganizedData[[#This Row],[Order Date]],"mmm")</f>
        <v>Mar</v>
      </c>
      <c r="M4277" s="2">
        <v>28</v>
      </c>
      <c r="N4277" s="2" t="s">
        <v>39</v>
      </c>
      <c r="O4277" s="2" t="str">
        <f>VLOOKUP(OrganizedData[[#This Row],[Product Code]],ProductData[[Code]:[Item]],2,FALSE)</f>
        <v>Ultrathing V1</v>
      </c>
      <c r="P4277" s="4">
        <f>OrganizedData[[#This Row],[Quantity]]*VLOOKUP(OrganizedData[[#This Row],[Product Code]],ProductData[],4,FALSE)</f>
        <v>476</v>
      </c>
      <c r="Q4277" s="6">
        <f>OrganizedData[[#This Row],[Total Items Ordered]]*VLOOKUP(OrganizedData[[#This Row],[Product Code]],ProductData[],3,FALSE)</f>
        <v>852.04</v>
      </c>
      <c r="R42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826.47879999999998</v>
      </c>
    </row>
    <row r="4278" spans="1:18" x14ac:dyDescent="0.3">
      <c r="A4278" s="2">
        <v>4271</v>
      </c>
      <c r="B4278" s="2" t="s">
        <v>9449</v>
      </c>
      <c r="C4278" s="2" t="s">
        <v>1573</v>
      </c>
      <c r="D4278" s="2" t="s">
        <v>51</v>
      </c>
      <c r="E4278" s="2" t="s">
        <v>16</v>
      </c>
      <c r="F4278" s="2">
        <v>60</v>
      </c>
      <c r="G4278" s="2" t="s">
        <v>9450</v>
      </c>
      <c r="H4278" s="2" t="s">
        <v>1276</v>
      </c>
      <c r="I4278" s="2" t="s">
        <v>32</v>
      </c>
      <c r="J4278" s="3">
        <v>43991</v>
      </c>
      <c r="K4278" s="5">
        <f>YEAR(OrganizedData[[#This Row],[Order Date]])</f>
        <v>2020</v>
      </c>
      <c r="L4278" s="7" t="str">
        <f>TEXT(OrganizedData[[#This Row],[Order Date]],"mmm")</f>
        <v>Jun</v>
      </c>
      <c r="M4278" s="2">
        <v>40</v>
      </c>
      <c r="N4278" s="2" t="s">
        <v>80</v>
      </c>
      <c r="O4278" s="2" t="str">
        <f>VLOOKUP(OrganizedData[[#This Row],[Product Code]],ProductData[[Code]:[Item]],2,FALSE)</f>
        <v>Ultrathing V2</v>
      </c>
      <c r="P4278" s="4">
        <f>OrganizedData[[#This Row],[Quantity]]*VLOOKUP(OrganizedData[[#This Row],[Product Code]],ProductData[],4,FALSE)</f>
        <v>800</v>
      </c>
      <c r="Q4278" s="6">
        <f>OrganizedData[[#This Row],[Total Items Ordered]]*VLOOKUP(OrganizedData[[#This Row],[Product Code]],ProductData[],3,FALSE)</f>
        <v>2360</v>
      </c>
      <c r="R42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2289.1999999999998</v>
      </c>
    </row>
    <row r="4279" spans="1:18" x14ac:dyDescent="0.3">
      <c r="A4279" s="2">
        <v>4272</v>
      </c>
      <c r="B4279" s="2" t="s">
        <v>4588</v>
      </c>
      <c r="C4279" s="2" t="s">
        <v>1274</v>
      </c>
      <c r="D4279" s="2" t="s">
        <v>51</v>
      </c>
      <c r="E4279" s="2" t="s">
        <v>16</v>
      </c>
      <c r="F4279" s="2">
        <v>60</v>
      </c>
      <c r="G4279" s="2" t="s">
        <v>9451</v>
      </c>
      <c r="H4279" s="2" t="s">
        <v>8076</v>
      </c>
      <c r="I4279" s="2" t="s">
        <v>178</v>
      </c>
      <c r="J4279" s="3">
        <v>44714</v>
      </c>
      <c r="K4279" s="5">
        <f>YEAR(OrganizedData[[#This Row],[Order Date]])</f>
        <v>2022</v>
      </c>
      <c r="L4279" s="7" t="str">
        <f>TEXT(OrganizedData[[#This Row],[Order Date]],"mmm")</f>
        <v>Jun</v>
      </c>
      <c r="M4279" s="2">
        <v>14</v>
      </c>
      <c r="N4279" s="2" t="s">
        <v>20</v>
      </c>
      <c r="O4279" s="2" t="str">
        <f>VLOOKUP(OrganizedData[[#This Row],[Product Code]],ProductData[[Code]:[Item]],2,FALSE)</f>
        <v>Hyperwotsit</v>
      </c>
      <c r="P4279" s="4">
        <f>OrganizedData[[#This Row],[Quantity]]*VLOOKUP(OrganizedData[[#This Row],[Product Code]],ProductData[],4,FALSE)</f>
        <v>280</v>
      </c>
      <c r="Q4279" s="6">
        <f>OrganizedData[[#This Row],[Total Items Ordered]]*VLOOKUP(OrganizedData[[#This Row],[Product Code]],ProductData[],3,FALSE)</f>
        <v>562.79999999999995</v>
      </c>
      <c r="R42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4280" spans="1:18" x14ac:dyDescent="0.3">
      <c r="A4280" s="2">
        <v>4273</v>
      </c>
      <c r="B4280" s="2" t="s">
        <v>5479</v>
      </c>
      <c r="C4280" s="2" t="s">
        <v>6469</v>
      </c>
      <c r="D4280" s="2" t="s">
        <v>28</v>
      </c>
      <c r="E4280" s="2" t="s">
        <v>29</v>
      </c>
      <c r="F4280" s="2">
        <v>60</v>
      </c>
      <c r="G4280" s="2" t="s">
        <v>9452</v>
      </c>
      <c r="H4280" s="2" t="s">
        <v>6820</v>
      </c>
      <c r="I4280" s="2" t="s">
        <v>294</v>
      </c>
      <c r="J4280" s="3">
        <v>44586</v>
      </c>
      <c r="K4280" s="5">
        <f>YEAR(OrganizedData[[#This Row],[Order Date]])</f>
        <v>2022</v>
      </c>
      <c r="L4280" s="7" t="str">
        <f>TEXT(OrganizedData[[#This Row],[Order Date]],"mmm")</f>
        <v>Jan</v>
      </c>
      <c r="M4280" s="2">
        <v>49</v>
      </c>
      <c r="N4280" s="2" t="s">
        <v>64</v>
      </c>
      <c r="O4280" s="2" t="str">
        <f>VLOOKUP(OrganizedData[[#This Row],[Product Code]],ProductData[[Code]:[Item]],2,FALSE)</f>
        <v>Ultrathing V4</v>
      </c>
      <c r="P4280" s="4">
        <f>OrganizedData[[#This Row],[Quantity]]*VLOOKUP(OrganizedData[[#This Row],[Product Code]],ProductData[],4,FALSE)</f>
        <v>1176</v>
      </c>
      <c r="Q4280" s="6">
        <f>OrganizedData[[#This Row],[Total Items Ordered]]*VLOOKUP(OrganizedData[[#This Row],[Product Code]],ProductData[],3,FALSE)</f>
        <v>4692.2400000000007</v>
      </c>
      <c r="R42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4551.4728000000005</v>
      </c>
    </row>
    <row r="4281" spans="1:18" x14ac:dyDescent="0.3">
      <c r="A4281" s="2">
        <v>4274</v>
      </c>
      <c r="B4281" s="2" t="s">
        <v>252</v>
      </c>
      <c r="C4281" s="2" t="s">
        <v>9453</v>
      </c>
      <c r="D4281" s="2" t="s">
        <v>15</v>
      </c>
      <c r="E4281" s="2" t="s">
        <v>16</v>
      </c>
      <c r="F4281" s="2">
        <v>30</v>
      </c>
      <c r="G4281" s="2" t="s">
        <v>9454</v>
      </c>
      <c r="H4281" s="2" t="s">
        <v>4552</v>
      </c>
      <c r="I4281" s="2" t="s">
        <v>38</v>
      </c>
      <c r="J4281" s="3">
        <v>44921</v>
      </c>
      <c r="K4281" s="5">
        <f>YEAR(OrganizedData[[#This Row],[Order Date]])</f>
        <v>2022</v>
      </c>
      <c r="L4281" s="7" t="str">
        <f>TEXT(OrganizedData[[#This Row],[Order Date]],"mmm")</f>
        <v>Dec</v>
      </c>
      <c r="M4281" s="2">
        <v>68</v>
      </c>
      <c r="N4281" s="2" t="s">
        <v>64</v>
      </c>
      <c r="O4281" s="2" t="str">
        <f>VLOOKUP(OrganizedData[[#This Row],[Product Code]],ProductData[[Code]:[Item]],2,FALSE)</f>
        <v>Ultrathing V4</v>
      </c>
      <c r="P4281" s="4">
        <f>OrganizedData[[#This Row],[Quantity]]*VLOOKUP(OrganizedData[[#This Row],[Product Code]],ProductData[],4,FALSE)</f>
        <v>1632</v>
      </c>
      <c r="Q4281" s="6">
        <f>OrganizedData[[#This Row],[Total Items Ordered]]*VLOOKUP(OrganizedData[[#This Row],[Product Code]],ProductData[],3,FALSE)</f>
        <v>6511.68</v>
      </c>
      <c r="R42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6186.0959999999995</v>
      </c>
    </row>
    <row r="4282" spans="1:18" x14ac:dyDescent="0.3">
      <c r="A4282" s="2">
        <v>4275</v>
      </c>
      <c r="B4282" s="2" t="s">
        <v>5205</v>
      </c>
      <c r="C4282" s="2" t="s">
        <v>1308</v>
      </c>
      <c r="D4282" s="2" t="s">
        <v>51</v>
      </c>
      <c r="E4282" s="2" t="s">
        <v>16</v>
      </c>
      <c r="F4282" s="2">
        <v>60</v>
      </c>
      <c r="G4282" s="2" t="s">
        <v>9454</v>
      </c>
      <c r="H4282" s="2" t="s">
        <v>3482</v>
      </c>
      <c r="I4282" s="2" t="s">
        <v>25</v>
      </c>
      <c r="J4282" s="3">
        <v>44893</v>
      </c>
      <c r="K4282" s="5">
        <f>YEAR(OrganizedData[[#This Row],[Order Date]])</f>
        <v>2022</v>
      </c>
      <c r="L4282" s="7" t="str">
        <f>TEXT(OrganizedData[[#This Row],[Order Date]],"mmm")</f>
        <v>Nov</v>
      </c>
      <c r="M4282" s="2">
        <v>28</v>
      </c>
      <c r="N4282" s="2" t="s">
        <v>20</v>
      </c>
      <c r="O4282" s="2" t="str">
        <f>VLOOKUP(OrganizedData[[#This Row],[Product Code]],ProductData[[Code]:[Item]],2,FALSE)</f>
        <v>Hyperwotsit</v>
      </c>
      <c r="P4282" s="4">
        <f>OrganizedData[[#This Row],[Quantity]]*VLOOKUP(OrganizedData[[#This Row],[Product Code]],ProductData[],4,FALSE)</f>
        <v>560</v>
      </c>
      <c r="Q4282" s="6">
        <f>OrganizedData[[#This Row],[Total Items Ordered]]*VLOOKUP(OrganizedData[[#This Row],[Product Code]],ProductData[],3,FALSE)</f>
        <v>1125.5999999999999</v>
      </c>
      <c r="R42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1091.8319999999999</v>
      </c>
    </row>
    <row r="4283" spans="1:18" x14ac:dyDescent="0.3">
      <c r="A4283" s="2">
        <v>4276</v>
      </c>
      <c r="B4283" s="2" t="s">
        <v>9455</v>
      </c>
      <c r="C4283" s="2" t="s">
        <v>568</v>
      </c>
      <c r="D4283" s="2" t="s">
        <v>51</v>
      </c>
      <c r="E4283" s="2" t="s">
        <v>16</v>
      </c>
      <c r="F4283" s="2">
        <v>90</v>
      </c>
      <c r="G4283" s="2" t="s">
        <v>9456</v>
      </c>
      <c r="H4283" s="2" t="s">
        <v>2357</v>
      </c>
      <c r="I4283" s="2" t="s">
        <v>32</v>
      </c>
      <c r="J4283" s="3">
        <v>44477</v>
      </c>
      <c r="K4283" s="5">
        <f>YEAR(OrganizedData[[#This Row],[Order Date]])</f>
        <v>2021</v>
      </c>
      <c r="L4283" s="7" t="str">
        <f>TEXT(OrganizedData[[#This Row],[Order Date]],"mmm")</f>
        <v>Oct</v>
      </c>
      <c r="M4283" s="2">
        <v>75</v>
      </c>
      <c r="N4283" s="2" t="s">
        <v>101</v>
      </c>
      <c r="O4283" s="2" t="str">
        <f>VLOOKUP(OrganizedData[[#This Row],[Product Code]],ProductData[[Code]:[Item]],2,FALSE)</f>
        <v>Superwossname</v>
      </c>
      <c r="P4283" s="4">
        <f>OrganizedData[[#This Row],[Quantity]]*VLOOKUP(OrganizedData[[#This Row],[Product Code]],ProductData[],4,FALSE)</f>
        <v>1500</v>
      </c>
      <c r="Q4283" s="6">
        <f>OrganizedData[[#This Row],[Total Items Ordered]]*VLOOKUP(OrganizedData[[#This Row],[Product Code]],ProductData[],3,FALSE)</f>
        <v>5235</v>
      </c>
      <c r="R42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4973.25</v>
      </c>
    </row>
    <row r="4284" spans="1:18" x14ac:dyDescent="0.3">
      <c r="A4284" s="2">
        <v>4277</v>
      </c>
      <c r="B4284" s="2" t="s">
        <v>9458</v>
      </c>
      <c r="C4284" s="2" t="s">
        <v>3173</v>
      </c>
      <c r="D4284" s="2" t="s">
        <v>15</v>
      </c>
      <c r="E4284" s="2" t="s">
        <v>16</v>
      </c>
      <c r="F4284" s="2">
        <v>90</v>
      </c>
      <c r="G4284" s="2" t="s">
        <v>9459</v>
      </c>
      <c r="H4284" s="2" t="s">
        <v>4886</v>
      </c>
      <c r="I4284" s="2" t="s">
        <v>32</v>
      </c>
      <c r="J4284" s="3">
        <v>44234</v>
      </c>
      <c r="K4284" s="5">
        <f>YEAR(OrganizedData[[#This Row],[Order Date]])</f>
        <v>2021</v>
      </c>
      <c r="L4284" s="7" t="str">
        <f>TEXT(OrganizedData[[#This Row],[Order Date]],"mmm")</f>
        <v>Feb</v>
      </c>
      <c r="M4284" s="2">
        <v>33</v>
      </c>
      <c r="N4284" s="2" t="s">
        <v>39</v>
      </c>
      <c r="O4284" s="2" t="str">
        <f>VLOOKUP(OrganizedData[[#This Row],[Product Code]],ProductData[[Code]:[Item]],2,FALSE)</f>
        <v>Ultrathing V1</v>
      </c>
      <c r="P4284" s="4">
        <f>OrganizedData[[#This Row],[Quantity]]*VLOOKUP(OrganizedData[[#This Row],[Product Code]],ProductData[],4,FALSE)</f>
        <v>561</v>
      </c>
      <c r="Q4284" s="6">
        <f>OrganizedData[[#This Row],[Total Items Ordered]]*VLOOKUP(OrganizedData[[#This Row],[Product Code]],ProductData[],3,FALSE)</f>
        <v>1004.19</v>
      </c>
      <c r="R42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974.0643</v>
      </c>
    </row>
    <row r="4285" spans="1:18" x14ac:dyDescent="0.3">
      <c r="A4285" s="2">
        <v>4278</v>
      </c>
      <c r="B4285" s="2" t="s">
        <v>8591</v>
      </c>
      <c r="C4285" s="2" t="s">
        <v>9460</v>
      </c>
      <c r="D4285" s="2" t="s">
        <v>41</v>
      </c>
      <c r="E4285" s="2" t="s">
        <v>16</v>
      </c>
      <c r="F4285" s="2">
        <v>90</v>
      </c>
      <c r="G4285" s="2" t="s">
        <v>9461</v>
      </c>
      <c r="H4285" s="2" t="s">
        <v>868</v>
      </c>
      <c r="I4285" s="2" t="s">
        <v>32</v>
      </c>
      <c r="J4285" s="3">
        <v>44140</v>
      </c>
      <c r="K4285" s="5">
        <f>YEAR(OrganizedData[[#This Row],[Order Date]])</f>
        <v>2020</v>
      </c>
      <c r="L4285" s="7" t="str">
        <f>TEXT(OrganizedData[[#This Row],[Order Date]],"mmm")</f>
        <v>Nov</v>
      </c>
      <c r="M4285" s="2">
        <v>57</v>
      </c>
      <c r="N4285" s="2" t="s">
        <v>39</v>
      </c>
      <c r="O4285" s="2" t="str">
        <f>VLOOKUP(OrganizedData[[#This Row],[Product Code]],ProductData[[Code]:[Item]],2,FALSE)</f>
        <v>Ultrathing V1</v>
      </c>
      <c r="P4285" s="4">
        <f>OrganizedData[[#This Row],[Quantity]]*VLOOKUP(OrganizedData[[#This Row],[Product Code]],ProductData[],4,FALSE)</f>
        <v>969</v>
      </c>
      <c r="Q4285" s="6">
        <f>OrganizedData[[#This Row],[Total Items Ordered]]*VLOOKUP(OrganizedData[[#This Row],[Product Code]],ProductData[],3,FALSE)</f>
        <v>1734.51</v>
      </c>
      <c r="R42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4286" spans="1:18" x14ac:dyDescent="0.3">
      <c r="A4286" s="2">
        <v>4279</v>
      </c>
      <c r="B4286" s="2" t="s">
        <v>2394</v>
      </c>
      <c r="C4286" s="2" t="s">
        <v>9462</v>
      </c>
      <c r="D4286" s="2" t="s">
        <v>41</v>
      </c>
      <c r="E4286" s="2" t="s">
        <v>16</v>
      </c>
      <c r="F4286" s="2">
        <v>90</v>
      </c>
      <c r="G4286" s="2" t="s">
        <v>9463</v>
      </c>
      <c r="H4286" s="2" t="s">
        <v>7806</v>
      </c>
      <c r="I4286" s="2" t="s">
        <v>294</v>
      </c>
      <c r="J4286" s="3">
        <v>44854</v>
      </c>
      <c r="K4286" s="5">
        <f>YEAR(OrganizedData[[#This Row],[Order Date]])</f>
        <v>2022</v>
      </c>
      <c r="L4286" s="7" t="str">
        <f>TEXT(OrganizedData[[#This Row],[Order Date]],"mmm")</f>
        <v>Oct</v>
      </c>
      <c r="M4286" s="2">
        <v>32</v>
      </c>
      <c r="N4286" s="2" t="s">
        <v>159</v>
      </c>
      <c r="O4286" s="2" t="str">
        <f>VLOOKUP(OrganizedData[[#This Row],[Product Code]],ProductData[[Code]:[Item]],2,FALSE)</f>
        <v>Ultrathing V3</v>
      </c>
      <c r="P4286" s="4">
        <f>OrganizedData[[#This Row],[Quantity]]*VLOOKUP(OrganizedData[[#This Row],[Product Code]],ProductData[],4,FALSE)</f>
        <v>768</v>
      </c>
      <c r="Q4286" s="6">
        <f>OrganizedData[[#This Row],[Total Items Ordered]]*VLOOKUP(OrganizedData[[#This Row],[Product Code]],ProductData[],3,FALSE)</f>
        <v>2603.52</v>
      </c>
      <c r="R42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2525.4144000000001</v>
      </c>
    </row>
    <row r="4287" spans="1:18" x14ac:dyDescent="0.3">
      <c r="A4287" s="2">
        <v>4280</v>
      </c>
      <c r="B4287" s="2" t="s">
        <v>138</v>
      </c>
      <c r="C4287" s="2" t="s">
        <v>72</v>
      </c>
      <c r="D4287" s="2" t="s">
        <v>28</v>
      </c>
      <c r="E4287" s="2" t="s">
        <v>29</v>
      </c>
      <c r="F4287" s="2">
        <v>30</v>
      </c>
      <c r="G4287" s="2" t="s">
        <v>9463</v>
      </c>
      <c r="H4287" s="2" t="s">
        <v>5686</v>
      </c>
      <c r="I4287" s="2" t="s">
        <v>32</v>
      </c>
      <c r="J4287" s="3">
        <v>44493</v>
      </c>
      <c r="K4287" s="5">
        <f>YEAR(OrganizedData[[#This Row],[Order Date]])</f>
        <v>2021</v>
      </c>
      <c r="L4287" s="7" t="str">
        <f>TEXT(OrganizedData[[#This Row],[Order Date]],"mmm")</f>
        <v>Oct</v>
      </c>
      <c r="M4287" s="2">
        <v>81</v>
      </c>
      <c r="N4287" s="2" t="s">
        <v>33</v>
      </c>
      <c r="O4287" s="2" t="str">
        <f>VLOOKUP(OrganizedData[[#This Row],[Product Code]],ProductData[[Code]:[Item]],2,FALSE)</f>
        <v>Megawidget L</v>
      </c>
      <c r="P4287" s="4">
        <f>OrganizedData[[#This Row],[Quantity]]*VLOOKUP(OrganizedData[[#This Row],[Product Code]],ProductData[],4,FALSE)</f>
        <v>1944</v>
      </c>
      <c r="Q4287" s="6">
        <f>OrganizedData[[#This Row],[Total Items Ordered]]*VLOOKUP(OrganizedData[[#This Row],[Product Code]],ProductData[],3,FALSE)</f>
        <v>3479.76</v>
      </c>
      <c r="R42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3305.7719999999999</v>
      </c>
    </row>
    <row r="4288" spans="1:18" x14ac:dyDescent="0.3">
      <c r="A4288" s="2">
        <v>4281</v>
      </c>
      <c r="B4288" s="2" t="s">
        <v>9464</v>
      </c>
      <c r="C4288" s="2" t="s">
        <v>1172</v>
      </c>
      <c r="D4288" s="2" t="s">
        <v>15</v>
      </c>
      <c r="E4288" s="2" t="s">
        <v>16</v>
      </c>
      <c r="F4288" s="2">
        <v>60</v>
      </c>
      <c r="G4288" s="2" t="s">
        <v>9465</v>
      </c>
      <c r="H4288" s="2" t="s">
        <v>3200</v>
      </c>
      <c r="I4288" s="2" t="s">
        <v>32</v>
      </c>
      <c r="J4288" s="3">
        <v>44250</v>
      </c>
      <c r="K4288" s="5">
        <f>YEAR(OrganizedData[[#This Row],[Order Date]])</f>
        <v>2021</v>
      </c>
      <c r="L4288" s="7" t="str">
        <f>TEXT(OrganizedData[[#This Row],[Order Date]],"mmm")</f>
        <v>Feb</v>
      </c>
      <c r="M4288" s="2">
        <v>81</v>
      </c>
      <c r="N4288" s="2" t="s">
        <v>33</v>
      </c>
      <c r="O4288" s="2" t="str">
        <f>VLOOKUP(OrganizedData[[#This Row],[Product Code]],ProductData[[Code]:[Item]],2,FALSE)</f>
        <v>Megawidget L</v>
      </c>
      <c r="P4288" s="4">
        <f>OrganizedData[[#This Row],[Quantity]]*VLOOKUP(OrganizedData[[#This Row],[Product Code]],ProductData[],4,FALSE)</f>
        <v>1944</v>
      </c>
      <c r="Q4288" s="6">
        <f>OrganizedData[[#This Row],[Total Items Ordered]]*VLOOKUP(OrganizedData[[#This Row],[Product Code]],ProductData[],3,FALSE)</f>
        <v>3479.76</v>
      </c>
      <c r="R42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3305.7719999999999</v>
      </c>
    </row>
    <row r="4289" spans="1:18" x14ac:dyDescent="0.3">
      <c r="A4289" s="2">
        <v>4282</v>
      </c>
      <c r="B4289" s="2" t="s">
        <v>9466</v>
      </c>
      <c r="C4289" s="2" t="s">
        <v>2154</v>
      </c>
      <c r="D4289" s="2" t="s">
        <v>15</v>
      </c>
      <c r="E4289" s="2" t="s">
        <v>16</v>
      </c>
      <c r="F4289" s="2">
        <v>30</v>
      </c>
      <c r="G4289" s="2" t="s">
        <v>9465</v>
      </c>
      <c r="H4289" s="2" t="s">
        <v>4874</v>
      </c>
      <c r="I4289" s="2" t="s">
        <v>32</v>
      </c>
      <c r="J4289" s="3">
        <v>44291</v>
      </c>
      <c r="K4289" s="5">
        <f>YEAR(OrganizedData[[#This Row],[Order Date]])</f>
        <v>2021</v>
      </c>
      <c r="L4289" s="7" t="str">
        <f>TEXT(OrganizedData[[#This Row],[Order Date]],"mmm")</f>
        <v>Apr</v>
      </c>
      <c r="M4289" s="2">
        <v>41</v>
      </c>
      <c r="N4289" s="2" t="s">
        <v>45</v>
      </c>
      <c r="O4289" s="2" t="str">
        <f>VLOOKUP(OrganizedData[[#This Row],[Product Code]],ProductData[[Code]:[Item]],2,FALSE)</f>
        <v>Gigastuff</v>
      </c>
      <c r="P4289" s="4">
        <f>OrganizedData[[#This Row],[Quantity]]*VLOOKUP(OrganizedData[[#This Row],[Product Code]],ProductData[],4,FALSE)</f>
        <v>738</v>
      </c>
      <c r="Q4289" s="6">
        <f>OrganizedData[[#This Row],[Total Items Ordered]]*VLOOKUP(OrganizedData[[#This Row],[Product Code]],ProductData[],3,FALSE)</f>
        <v>1394.82</v>
      </c>
      <c r="R42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1352.9753999999998</v>
      </c>
    </row>
    <row r="4290" spans="1:18" x14ac:dyDescent="0.3">
      <c r="A4290" s="2">
        <v>4283</v>
      </c>
      <c r="B4290" s="2" t="s">
        <v>9467</v>
      </c>
      <c r="C4290" s="2" t="s">
        <v>5939</v>
      </c>
      <c r="D4290" s="2" t="s">
        <v>15</v>
      </c>
      <c r="E4290" s="2" t="s">
        <v>16</v>
      </c>
      <c r="F4290" s="2">
        <v>60</v>
      </c>
      <c r="G4290" s="2" t="s">
        <v>9468</v>
      </c>
      <c r="H4290" s="2" t="s">
        <v>6659</v>
      </c>
      <c r="I4290" s="2" t="s">
        <v>208</v>
      </c>
      <c r="J4290" s="3">
        <v>44853</v>
      </c>
      <c r="K4290" s="5">
        <f>YEAR(OrganizedData[[#This Row],[Order Date]])</f>
        <v>2022</v>
      </c>
      <c r="L4290" s="7" t="str">
        <f>TEXT(OrganizedData[[#This Row],[Order Date]],"mmm")</f>
        <v>Oct</v>
      </c>
      <c r="M4290" s="2">
        <v>40</v>
      </c>
      <c r="N4290" s="2" t="s">
        <v>54</v>
      </c>
      <c r="O4290" s="2" t="str">
        <f>VLOOKUP(OrganizedData[[#This Row],[Product Code]],ProductData[[Code]:[Item]],2,FALSE)</f>
        <v>Megawidget S</v>
      </c>
      <c r="P4290" s="4">
        <f>OrganizedData[[#This Row],[Quantity]]*VLOOKUP(OrganizedData[[#This Row],[Product Code]],ProductData[],4,FALSE)</f>
        <v>960</v>
      </c>
      <c r="Q4290" s="6">
        <f>OrganizedData[[#This Row],[Total Items Ordered]]*VLOOKUP(OrganizedData[[#This Row],[Product Code]],ProductData[],3,FALSE)</f>
        <v>662.4</v>
      </c>
      <c r="R42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642.52799999999991</v>
      </c>
    </row>
    <row r="4291" spans="1:18" x14ac:dyDescent="0.3">
      <c r="A4291" s="2">
        <v>4284</v>
      </c>
      <c r="B4291" s="2" t="s">
        <v>9469</v>
      </c>
      <c r="C4291" s="2" t="s">
        <v>9470</v>
      </c>
      <c r="D4291" s="2" t="s">
        <v>51</v>
      </c>
      <c r="E4291" s="2" t="s">
        <v>16</v>
      </c>
      <c r="F4291" s="2">
        <v>90</v>
      </c>
      <c r="G4291" s="2" t="s">
        <v>9471</v>
      </c>
      <c r="H4291" s="2" t="s">
        <v>3399</v>
      </c>
      <c r="I4291" s="2" t="s">
        <v>124</v>
      </c>
      <c r="J4291" s="3">
        <v>44310</v>
      </c>
      <c r="K4291" s="5">
        <f>YEAR(OrganizedData[[#This Row],[Order Date]])</f>
        <v>2021</v>
      </c>
      <c r="L4291" s="7" t="str">
        <f>TEXT(OrganizedData[[#This Row],[Order Date]],"mmm")</f>
        <v>Apr</v>
      </c>
      <c r="M4291" s="2">
        <v>5</v>
      </c>
      <c r="N4291" s="2" t="s">
        <v>159</v>
      </c>
      <c r="O4291" s="2" t="str">
        <f>VLOOKUP(OrganizedData[[#This Row],[Product Code]],ProductData[[Code]:[Item]],2,FALSE)</f>
        <v>Ultrathing V3</v>
      </c>
      <c r="P4291" s="4">
        <f>OrganizedData[[#This Row],[Quantity]]*VLOOKUP(OrganizedData[[#This Row],[Product Code]],ProductData[],4,FALSE)</f>
        <v>120</v>
      </c>
      <c r="Q4291" s="6">
        <f>OrganizedData[[#This Row],[Total Items Ordered]]*VLOOKUP(OrganizedData[[#This Row],[Product Code]],ProductData[],3,FALSE)</f>
        <v>406.8</v>
      </c>
      <c r="R42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406.8</v>
      </c>
    </row>
    <row r="4292" spans="1:18" x14ac:dyDescent="0.3">
      <c r="A4292" s="2">
        <v>4285</v>
      </c>
      <c r="B4292" s="2" t="s">
        <v>2887</v>
      </c>
      <c r="C4292" s="2" t="s">
        <v>4626</v>
      </c>
      <c r="D4292" s="2" t="s">
        <v>28</v>
      </c>
      <c r="E4292" s="2" t="s">
        <v>29</v>
      </c>
      <c r="F4292" s="2">
        <v>90</v>
      </c>
      <c r="G4292" s="2" t="s">
        <v>9472</v>
      </c>
      <c r="H4292" s="2" t="s">
        <v>1526</v>
      </c>
      <c r="I4292" s="2" t="s">
        <v>173</v>
      </c>
      <c r="J4292" s="3">
        <v>44128</v>
      </c>
      <c r="K4292" s="5">
        <f>YEAR(OrganizedData[[#This Row],[Order Date]])</f>
        <v>2020</v>
      </c>
      <c r="L4292" s="7" t="str">
        <f>TEXT(OrganizedData[[#This Row],[Order Date]],"mmm")</f>
        <v>Oct</v>
      </c>
      <c r="M4292" s="2">
        <v>79</v>
      </c>
      <c r="N4292" s="2" t="s">
        <v>159</v>
      </c>
      <c r="O4292" s="2" t="str">
        <f>VLOOKUP(OrganizedData[[#This Row],[Product Code]],ProductData[[Code]:[Item]],2,FALSE)</f>
        <v>Ultrathing V3</v>
      </c>
      <c r="P4292" s="4">
        <f>OrganizedData[[#This Row],[Quantity]]*VLOOKUP(OrganizedData[[#This Row],[Product Code]],ProductData[],4,FALSE)</f>
        <v>1896</v>
      </c>
      <c r="Q4292" s="6">
        <f>OrganizedData[[#This Row],[Total Items Ordered]]*VLOOKUP(OrganizedData[[#This Row],[Product Code]],ProductData[],3,FALSE)</f>
        <v>6427.4400000000005</v>
      </c>
      <c r="R42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6106.0680000000002</v>
      </c>
    </row>
    <row r="4293" spans="1:18" x14ac:dyDescent="0.3">
      <c r="A4293" s="2">
        <v>4286</v>
      </c>
      <c r="B4293" s="2" t="s">
        <v>5163</v>
      </c>
      <c r="C4293" s="2" t="s">
        <v>9473</v>
      </c>
      <c r="D4293" s="2" t="s">
        <v>28</v>
      </c>
      <c r="E4293" s="2" t="s">
        <v>29</v>
      </c>
      <c r="F4293" s="2">
        <v>60</v>
      </c>
      <c r="G4293" s="2" t="s">
        <v>9474</v>
      </c>
      <c r="H4293" s="2" t="s">
        <v>3033</v>
      </c>
      <c r="I4293" s="2" t="s">
        <v>32</v>
      </c>
      <c r="J4293" s="3">
        <v>44517</v>
      </c>
      <c r="K4293" s="5">
        <f>YEAR(OrganizedData[[#This Row],[Order Date]])</f>
        <v>2021</v>
      </c>
      <c r="L4293" s="7" t="str">
        <f>TEXT(OrganizedData[[#This Row],[Order Date]],"mmm")</f>
        <v>Nov</v>
      </c>
      <c r="M4293" s="2">
        <v>67</v>
      </c>
      <c r="N4293" s="2" t="s">
        <v>101</v>
      </c>
      <c r="O4293" s="2" t="str">
        <f>VLOOKUP(OrganizedData[[#This Row],[Product Code]],ProductData[[Code]:[Item]],2,FALSE)</f>
        <v>Superwossname</v>
      </c>
      <c r="P4293" s="4">
        <f>OrganizedData[[#This Row],[Quantity]]*VLOOKUP(OrganizedData[[#This Row],[Product Code]],ProductData[],4,FALSE)</f>
        <v>1340</v>
      </c>
      <c r="Q4293" s="6">
        <f>OrganizedData[[#This Row],[Total Items Ordered]]*VLOOKUP(OrganizedData[[#This Row],[Product Code]],ProductData[],3,FALSE)</f>
        <v>4676.6000000000004</v>
      </c>
      <c r="R42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4442.7700000000004</v>
      </c>
    </row>
    <row r="4294" spans="1:18" x14ac:dyDescent="0.3">
      <c r="A4294" s="2">
        <v>4287</v>
      </c>
      <c r="B4294" s="2" t="s">
        <v>8418</v>
      </c>
      <c r="C4294" s="2" t="s">
        <v>9475</v>
      </c>
      <c r="D4294" s="2" t="s">
        <v>28</v>
      </c>
      <c r="E4294" s="2" t="s">
        <v>29</v>
      </c>
      <c r="F4294" s="2">
        <v>90</v>
      </c>
      <c r="G4294" s="2" t="s">
        <v>9476</v>
      </c>
      <c r="H4294" s="2" t="s">
        <v>2284</v>
      </c>
      <c r="I4294" s="2" t="s">
        <v>32</v>
      </c>
      <c r="J4294" s="3">
        <v>43899</v>
      </c>
      <c r="K4294" s="5">
        <f>YEAR(OrganizedData[[#This Row],[Order Date]])</f>
        <v>2020</v>
      </c>
      <c r="L4294" s="7" t="str">
        <f>TEXT(OrganizedData[[#This Row],[Order Date]],"mmm")</f>
        <v>Mar</v>
      </c>
      <c r="M4294" s="2">
        <v>43</v>
      </c>
      <c r="N4294" s="2" t="s">
        <v>64</v>
      </c>
      <c r="O4294" s="2" t="str">
        <f>VLOOKUP(OrganizedData[[#This Row],[Product Code]],ProductData[[Code]:[Item]],2,FALSE)</f>
        <v>Ultrathing V4</v>
      </c>
      <c r="P4294" s="4">
        <f>OrganizedData[[#This Row],[Quantity]]*VLOOKUP(OrganizedData[[#This Row],[Product Code]],ProductData[],4,FALSE)</f>
        <v>1032</v>
      </c>
      <c r="Q4294" s="6">
        <f>OrganizedData[[#This Row],[Total Items Ordered]]*VLOOKUP(OrganizedData[[#This Row],[Product Code]],ProductData[],3,FALSE)</f>
        <v>4117.68</v>
      </c>
      <c r="R42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3994.1496000000002</v>
      </c>
    </row>
    <row r="4295" spans="1:18" x14ac:dyDescent="0.3">
      <c r="A4295" s="2">
        <v>4288</v>
      </c>
      <c r="B4295" s="2" t="s">
        <v>7418</v>
      </c>
      <c r="C4295" s="2" t="s">
        <v>3357</v>
      </c>
      <c r="D4295" s="2" t="s">
        <v>28</v>
      </c>
      <c r="E4295" s="2" t="s">
        <v>29</v>
      </c>
      <c r="F4295" s="2">
        <v>60</v>
      </c>
      <c r="G4295" s="2" t="s">
        <v>9477</v>
      </c>
      <c r="H4295" s="2" t="s">
        <v>2220</v>
      </c>
      <c r="I4295" s="2" t="s">
        <v>1889</v>
      </c>
      <c r="J4295" s="3">
        <v>44721</v>
      </c>
      <c r="K4295" s="5">
        <f>YEAR(OrganizedData[[#This Row],[Order Date]])</f>
        <v>2022</v>
      </c>
      <c r="L4295" s="7" t="str">
        <f>TEXT(OrganizedData[[#This Row],[Order Date]],"mmm")</f>
        <v>Jun</v>
      </c>
      <c r="M4295" s="2">
        <v>66</v>
      </c>
      <c r="N4295" s="2" t="s">
        <v>33</v>
      </c>
      <c r="O4295" s="2" t="str">
        <f>VLOOKUP(OrganizedData[[#This Row],[Product Code]],ProductData[[Code]:[Item]],2,FALSE)</f>
        <v>Megawidget L</v>
      </c>
      <c r="P4295" s="4">
        <f>OrganizedData[[#This Row],[Quantity]]*VLOOKUP(OrganizedData[[#This Row],[Product Code]],ProductData[],4,FALSE)</f>
        <v>1584</v>
      </c>
      <c r="Q4295" s="6">
        <f>OrganizedData[[#This Row],[Total Items Ordered]]*VLOOKUP(OrganizedData[[#This Row],[Product Code]],ProductData[],3,FALSE)</f>
        <v>2835.36</v>
      </c>
      <c r="R42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2693.5920000000001</v>
      </c>
    </row>
    <row r="4296" spans="1:18" x14ac:dyDescent="0.3">
      <c r="A4296" s="2">
        <v>4289</v>
      </c>
      <c r="B4296" s="2" t="s">
        <v>4167</v>
      </c>
      <c r="C4296" s="2" t="s">
        <v>3892</v>
      </c>
      <c r="D4296" s="2" t="s">
        <v>28</v>
      </c>
      <c r="E4296" s="2" t="s">
        <v>29</v>
      </c>
      <c r="F4296" s="2">
        <v>30</v>
      </c>
      <c r="G4296" s="2" t="s">
        <v>9478</v>
      </c>
      <c r="H4296" s="2" t="s">
        <v>9233</v>
      </c>
      <c r="I4296" s="2" t="s">
        <v>32</v>
      </c>
      <c r="J4296" s="3">
        <v>44573</v>
      </c>
      <c r="K4296" s="5">
        <f>YEAR(OrganizedData[[#This Row],[Order Date]])</f>
        <v>2022</v>
      </c>
      <c r="L4296" s="7" t="str">
        <f>TEXT(OrganizedData[[#This Row],[Order Date]],"mmm")</f>
        <v>Jan</v>
      </c>
      <c r="M4296" s="2">
        <v>6</v>
      </c>
      <c r="N4296" s="2" t="s">
        <v>20</v>
      </c>
      <c r="O4296" s="2" t="str">
        <f>VLOOKUP(OrganizedData[[#This Row],[Product Code]],ProductData[[Code]:[Item]],2,FALSE)</f>
        <v>Hyperwotsit</v>
      </c>
      <c r="P4296" s="4">
        <f>OrganizedData[[#This Row],[Quantity]]*VLOOKUP(OrganizedData[[#This Row],[Product Code]],ProductData[],4,FALSE)</f>
        <v>120</v>
      </c>
      <c r="Q4296" s="6">
        <f>OrganizedData[[#This Row],[Total Items Ordered]]*VLOOKUP(OrganizedData[[#This Row],[Product Code]],ProductData[],3,FALSE)</f>
        <v>241.2</v>
      </c>
      <c r="R42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241.2</v>
      </c>
    </row>
    <row r="4297" spans="1:18" x14ac:dyDescent="0.3">
      <c r="A4297" s="2">
        <v>4290</v>
      </c>
      <c r="B4297" s="2" t="s">
        <v>5764</v>
      </c>
      <c r="C4297" s="2" t="s">
        <v>5037</v>
      </c>
      <c r="D4297" s="2" t="s">
        <v>28</v>
      </c>
      <c r="E4297" s="2" t="s">
        <v>29</v>
      </c>
      <c r="F4297" s="2">
        <v>90</v>
      </c>
      <c r="G4297" s="2" t="s">
        <v>9479</v>
      </c>
      <c r="H4297" s="2" t="s">
        <v>7654</v>
      </c>
      <c r="I4297" s="2" t="s">
        <v>32</v>
      </c>
      <c r="J4297" s="3">
        <v>44412</v>
      </c>
      <c r="K4297" s="5">
        <f>YEAR(OrganizedData[[#This Row],[Order Date]])</f>
        <v>2021</v>
      </c>
      <c r="L4297" s="7" t="str">
        <f>TEXT(OrganizedData[[#This Row],[Order Date]],"mmm")</f>
        <v>Aug</v>
      </c>
      <c r="M4297" s="2">
        <v>39</v>
      </c>
      <c r="N4297" s="2" t="s">
        <v>70</v>
      </c>
      <c r="O4297" s="2" t="str">
        <f>VLOOKUP(OrganizedData[[#This Row],[Product Code]],ProductData[[Code]:[Item]],2,FALSE)</f>
        <v>Megawidget M</v>
      </c>
      <c r="P4297" s="4">
        <f>OrganizedData[[#This Row],[Quantity]]*VLOOKUP(OrganizedData[[#This Row],[Product Code]],ProductData[],4,FALSE)</f>
        <v>936</v>
      </c>
      <c r="Q4297" s="6">
        <f>OrganizedData[[#This Row],[Total Items Ordered]]*VLOOKUP(OrganizedData[[#This Row],[Product Code]],ProductData[],3,FALSE)</f>
        <v>1207.44</v>
      </c>
      <c r="R42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4298" spans="1:18" x14ac:dyDescent="0.3">
      <c r="A4298" s="2">
        <v>4291</v>
      </c>
      <c r="B4298" s="2" t="s">
        <v>641</v>
      </c>
      <c r="C4298" s="2" t="s">
        <v>4439</v>
      </c>
      <c r="D4298" s="2" t="s">
        <v>28</v>
      </c>
      <c r="E4298" s="2" t="s">
        <v>29</v>
      </c>
      <c r="F4298" s="2">
        <v>60</v>
      </c>
      <c r="G4298" s="2" t="s">
        <v>9480</v>
      </c>
      <c r="H4298" s="2" t="s">
        <v>326</v>
      </c>
      <c r="I4298" s="2" t="s">
        <v>25</v>
      </c>
      <c r="J4298" s="3">
        <v>44860</v>
      </c>
      <c r="K4298" s="5">
        <f>YEAR(OrganizedData[[#This Row],[Order Date]])</f>
        <v>2022</v>
      </c>
      <c r="L4298" s="7" t="str">
        <f>TEXT(OrganizedData[[#This Row],[Order Date]],"mmm")</f>
        <v>Oct</v>
      </c>
      <c r="M4298" s="2">
        <v>73</v>
      </c>
      <c r="N4298" s="2" t="s">
        <v>80</v>
      </c>
      <c r="O4298" s="2" t="str">
        <f>VLOOKUP(OrganizedData[[#This Row],[Product Code]],ProductData[[Code]:[Item]],2,FALSE)</f>
        <v>Ultrathing V2</v>
      </c>
      <c r="P4298" s="4">
        <f>OrganizedData[[#This Row],[Quantity]]*VLOOKUP(OrganizedData[[#This Row],[Product Code]],ProductData[],4,FALSE)</f>
        <v>1460</v>
      </c>
      <c r="Q4298" s="6">
        <f>OrganizedData[[#This Row],[Total Items Ordered]]*VLOOKUP(OrganizedData[[#This Row],[Product Code]],ProductData[],3,FALSE)</f>
        <v>4307</v>
      </c>
      <c r="R42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4299" spans="1:18" x14ac:dyDescent="0.3">
      <c r="A4299" s="2">
        <v>4292</v>
      </c>
      <c r="B4299" s="2" t="s">
        <v>8584</v>
      </c>
      <c r="C4299" s="2" t="s">
        <v>6982</v>
      </c>
      <c r="D4299" s="2" t="s">
        <v>15</v>
      </c>
      <c r="E4299" s="2" t="s">
        <v>16</v>
      </c>
      <c r="F4299" s="2">
        <v>90</v>
      </c>
      <c r="G4299" s="2" t="s">
        <v>9481</v>
      </c>
      <c r="H4299" s="2" t="s">
        <v>2753</v>
      </c>
      <c r="I4299" s="2" t="s">
        <v>124</v>
      </c>
      <c r="J4299" s="3">
        <v>44628</v>
      </c>
      <c r="K4299" s="5">
        <f>YEAR(OrganizedData[[#This Row],[Order Date]])</f>
        <v>2022</v>
      </c>
      <c r="L4299" s="7" t="str">
        <f>TEXT(OrganizedData[[#This Row],[Order Date]],"mmm")</f>
        <v>Mar</v>
      </c>
      <c r="M4299" s="2">
        <v>22</v>
      </c>
      <c r="N4299" s="2" t="s">
        <v>70</v>
      </c>
      <c r="O4299" s="2" t="str">
        <f>VLOOKUP(OrganizedData[[#This Row],[Product Code]],ProductData[[Code]:[Item]],2,FALSE)</f>
        <v>Megawidget M</v>
      </c>
      <c r="P4299" s="4">
        <f>OrganizedData[[#This Row],[Quantity]]*VLOOKUP(OrganizedData[[#This Row],[Product Code]],ProductData[],4,FALSE)</f>
        <v>528</v>
      </c>
      <c r="Q4299" s="6">
        <f>OrganizedData[[#This Row],[Total Items Ordered]]*VLOOKUP(OrganizedData[[#This Row],[Product Code]],ProductData[],3,FALSE)</f>
        <v>681.12</v>
      </c>
      <c r="R42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660.68639999999994</v>
      </c>
    </row>
    <row r="4300" spans="1:18" x14ac:dyDescent="0.3">
      <c r="A4300" s="2">
        <v>4293</v>
      </c>
      <c r="B4300" s="2" t="s">
        <v>4363</v>
      </c>
      <c r="C4300" s="2" t="s">
        <v>9482</v>
      </c>
      <c r="D4300" s="2" t="s">
        <v>28</v>
      </c>
      <c r="E4300" s="2" t="s">
        <v>29</v>
      </c>
      <c r="F4300" s="2">
        <v>90</v>
      </c>
      <c r="G4300" s="2" t="s">
        <v>9481</v>
      </c>
      <c r="H4300" s="2" t="s">
        <v>5167</v>
      </c>
      <c r="I4300" s="2" t="s">
        <v>32</v>
      </c>
      <c r="J4300" s="3">
        <v>44640</v>
      </c>
      <c r="K4300" s="5">
        <f>YEAR(OrganizedData[[#This Row],[Order Date]])</f>
        <v>2022</v>
      </c>
      <c r="L4300" s="7" t="str">
        <f>TEXT(OrganizedData[[#This Row],[Order Date]],"mmm")</f>
        <v>Mar</v>
      </c>
      <c r="M4300" s="2">
        <v>30</v>
      </c>
      <c r="N4300" s="2" t="s">
        <v>20</v>
      </c>
      <c r="O4300" s="2" t="str">
        <f>VLOOKUP(OrganizedData[[#This Row],[Product Code]],ProductData[[Code]:[Item]],2,FALSE)</f>
        <v>Hyperwotsit</v>
      </c>
      <c r="P4300" s="4">
        <f>OrganizedData[[#This Row],[Quantity]]*VLOOKUP(OrganizedData[[#This Row],[Product Code]],ProductData[],4,FALSE)</f>
        <v>600</v>
      </c>
      <c r="Q4300" s="6">
        <f>OrganizedData[[#This Row],[Total Items Ordered]]*VLOOKUP(OrganizedData[[#This Row],[Product Code]],ProductData[],3,FALSE)</f>
        <v>1205.9999999999998</v>
      </c>
      <c r="R43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1169.8199999999997</v>
      </c>
    </row>
    <row r="4301" spans="1:18" x14ac:dyDescent="0.3">
      <c r="A4301" s="2">
        <v>4294</v>
      </c>
      <c r="B4301" s="2" t="s">
        <v>705</v>
      </c>
      <c r="C4301" s="2" t="s">
        <v>6447</v>
      </c>
      <c r="D4301" s="2" t="s">
        <v>28</v>
      </c>
      <c r="E4301" s="2" t="s">
        <v>29</v>
      </c>
      <c r="F4301" s="2">
        <v>90</v>
      </c>
      <c r="G4301" s="2" t="s">
        <v>9483</v>
      </c>
      <c r="H4301" s="2" t="s">
        <v>2325</v>
      </c>
      <c r="I4301" s="2" t="s">
        <v>173</v>
      </c>
      <c r="J4301" s="3">
        <v>44261</v>
      </c>
      <c r="K4301" s="5">
        <f>YEAR(OrganizedData[[#This Row],[Order Date]])</f>
        <v>2021</v>
      </c>
      <c r="L4301" s="7" t="str">
        <f>TEXT(OrganizedData[[#This Row],[Order Date]],"mmm")</f>
        <v>Mar</v>
      </c>
      <c r="M4301" s="2">
        <v>56</v>
      </c>
      <c r="N4301" s="2" t="s">
        <v>70</v>
      </c>
      <c r="O4301" s="2" t="str">
        <f>VLOOKUP(OrganizedData[[#This Row],[Product Code]],ProductData[[Code]:[Item]],2,FALSE)</f>
        <v>Megawidget M</v>
      </c>
      <c r="P4301" s="4">
        <f>OrganizedData[[#This Row],[Quantity]]*VLOOKUP(OrganizedData[[#This Row],[Product Code]],ProductData[],4,FALSE)</f>
        <v>1344</v>
      </c>
      <c r="Q4301" s="6">
        <f>OrganizedData[[#This Row],[Total Items Ordered]]*VLOOKUP(OrganizedData[[#This Row],[Product Code]],ProductData[],3,FALSE)</f>
        <v>1733.76</v>
      </c>
      <c r="R43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1647.0719999999999</v>
      </c>
    </row>
    <row r="4302" spans="1:18" x14ac:dyDescent="0.3">
      <c r="A4302" s="2">
        <v>4295</v>
      </c>
      <c r="B4302" s="2" t="s">
        <v>496</v>
      </c>
      <c r="C4302" s="2" t="s">
        <v>2991</v>
      </c>
      <c r="D4302" s="2" t="s">
        <v>28</v>
      </c>
      <c r="E4302" s="2" t="s">
        <v>29</v>
      </c>
      <c r="F4302" s="2">
        <v>30</v>
      </c>
      <c r="G4302" s="2" t="s">
        <v>9484</v>
      </c>
      <c r="H4302" s="2" t="s">
        <v>5718</v>
      </c>
      <c r="I4302" s="2" t="s">
        <v>294</v>
      </c>
      <c r="J4302" s="3">
        <v>44115</v>
      </c>
      <c r="K4302" s="5">
        <f>YEAR(OrganizedData[[#This Row],[Order Date]])</f>
        <v>2020</v>
      </c>
      <c r="L4302" s="7" t="str">
        <f>TEXT(OrganizedData[[#This Row],[Order Date]],"mmm")</f>
        <v>Oct</v>
      </c>
      <c r="M4302" s="2">
        <v>80</v>
      </c>
      <c r="N4302" s="2" t="s">
        <v>64</v>
      </c>
      <c r="O4302" s="2" t="str">
        <f>VLOOKUP(OrganizedData[[#This Row],[Product Code]],ProductData[[Code]:[Item]],2,FALSE)</f>
        <v>Ultrathing V4</v>
      </c>
      <c r="P4302" s="4">
        <f>OrganizedData[[#This Row],[Quantity]]*VLOOKUP(OrganizedData[[#This Row],[Product Code]],ProductData[],4,FALSE)</f>
        <v>1920</v>
      </c>
      <c r="Q4302" s="6">
        <f>OrganizedData[[#This Row],[Total Items Ordered]]*VLOOKUP(OrganizedData[[#This Row],[Product Code]],ProductData[],3,FALSE)</f>
        <v>7660.8</v>
      </c>
      <c r="R43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4303" spans="1:18" x14ac:dyDescent="0.3">
      <c r="A4303" s="2">
        <v>4296</v>
      </c>
      <c r="B4303" s="2" t="s">
        <v>4064</v>
      </c>
      <c r="C4303" s="2" t="s">
        <v>4998</v>
      </c>
      <c r="D4303" s="2" t="s">
        <v>51</v>
      </c>
      <c r="E4303" s="2" t="s">
        <v>16</v>
      </c>
      <c r="F4303" s="2">
        <v>30</v>
      </c>
      <c r="G4303" s="2" t="s">
        <v>9485</v>
      </c>
      <c r="H4303" s="2" t="s">
        <v>1945</v>
      </c>
      <c r="I4303" s="2" t="s">
        <v>32</v>
      </c>
      <c r="J4303" s="3">
        <v>44067</v>
      </c>
      <c r="K4303" s="5">
        <f>YEAR(OrganizedData[[#This Row],[Order Date]])</f>
        <v>2020</v>
      </c>
      <c r="L4303" s="7" t="str">
        <f>TEXT(OrganizedData[[#This Row],[Order Date]],"mmm")</f>
        <v>Aug</v>
      </c>
      <c r="M4303" s="2">
        <v>18</v>
      </c>
      <c r="N4303" s="2" t="s">
        <v>39</v>
      </c>
      <c r="O4303" s="2" t="str">
        <f>VLOOKUP(OrganizedData[[#This Row],[Product Code]],ProductData[[Code]:[Item]],2,FALSE)</f>
        <v>Ultrathing V1</v>
      </c>
      <c r="P4303" s="4">
        <f>OrganizedData[[#This Row],[Quantity]]*VLOOKUP(OrganizedData[[#This Row],[Product Code]],ProductData[],4,FALSE)</f>
        <v>306</v>
      </c>
      <c r="Q4303" s="6">
        <f>OrganizedData[[#This Row],[Total Items Ordered]]*VLOOKUP(OrganizedData[[#This Row],[Product Code]],ProductData[],3,FALSE)</f>
        <v>547.74</v>
      </c>
      <c r="R43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547.74</v>
      </c>
    </row>
    <row r="4304" spans="1:18" x14ac:dyDescent="0.3">
      <c r="A4304" s="2">
        <v>4297</v>
      </c>
      <c r="B4304" s="2" t="s">
        <v>9486</v>
      </c>
      <c r="C4304" s="2" t="s">
        <v>2367</v>
      </c>
      <c r="D4304" s="2" t="s">
        <v>51</v>
      </c>
      <c r="E4304" s="2" t="s">
        <v>16</v>
      </c>
      <c r="F4304" s="2">
        <v>60</v>
      </c>
      <c r="G4304" s="2" t="s">
        <v>9487</v>
      </c>
      <c r="H4304" s="2" t="s">
        <v>1977</v>
      </c>
      <c r="I4304" s="2" t="s">
        <v>124</v>
      </c>
      <c r="J4304" s="3">
        <v>44682</v>
      </c>
      <c r="K4304" s="5">
        <f>YEAR(OrganizedData[[#This Row],[Order Date]])</f>
        <v>2022</v>
      </c>
      <c r="L4304" s="7" t="str">
        <f>TEXT(OrganizedData[[#This Row],[Order Date]],"mmm")</f>
        <v>May</v>
      </c>
      <c r="M4304" s="2">
        <v>58</v>
      </c>
      <c r="N4304" s="2" t="s">
        <v>80</v>
      </c>
      <c r="O4304" s="2" t="str">
        <f>VLOOKUP(OrganizedData[[#This Row],[Product Code]],ProductData[[Code]:[Item]],2,FALSE)</f>
        <v>Ultrathing V2</v>
      </c>
      <c r="P4304" s="4">
        <f>OrganizedData[[#This Row],[Quantity]]*VLOOKUP(OrganizedData[[#This Row],[Product Code]],ProductData[],4,FALSE)</f>
        <v>1160</v>
      </c>
      <c r="Q4304" s="6">
        <f>OrganizedData[[#This Row],[Total Items Ordered]]*VLOOKUP(OrganizedData[[#This Row],[Product Code]],ProductData[],3,FALSE)</f>
        <v>3422</v>
      </c>
      <c r="R43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3250.8999999999996</v>
      </c>
    </row>
    <row r="4305" spans="1:18" x14ac:dyDescent="0.3">
      <c r="A4305" s="2">
        <v>4298</v>
      </c>
      <c r="B4305" s="2" t="s">
        <v>854</v>
      </c>
      <c r="C4305" s="2" t="s">
        <v>9488</v>
      </c>
      <c r="D4305" s="2" t="s">
        <v>15</v>
      </c>
      <c r="E4305" s="2" t="s">
        <v>16</v>
      </c>
      <c r="F4305" s="2">
        <v>60</v>
      </c>
      <c r="G4305" s="2" t="s">
        <v>9489</v>
      </c>
      <c r="H4305" s="2" t="s">
        <v>5449</v>
      </c>
      <c r="I4305" s="2" t="s">
        <v>32</v>
      </c>
      <c r="J4305" s="3">
        <v>44072</v>
      </c>
      <c r="K4305" s="5">
        <f>YEAR(OrganizedData[[#This Row],[Order Date]])</f>
        <v>2020</v>
      </c>
      <c r="L4305" s="7" t="str">
        <f>TEXT(OrganizedData[[#This Row],[Order Date]],"mmm")</f>
        <v>Aug</v>
      </c>
      <c r="M4305" s="2">
        <v>54</v>
      </c>
      <c r="N4305" s="2" t="s">
        <v>101</v>
      </c>
      <c r="O4305" s="2" t="str">
        <f>VLOOKUP(OrganizedData[[#This Row],[Product Code]],ProductData[[Code]:[Item]],2,FALSE)</f>
        <v>Superwossname</v>
      </c>
      <c r="P4305" s="4">
        <f>OrganizedData[[#This Row],[Quantity]]*VLOOKUP(OrganizedData[[#This Row],[Product Code]],ProductData[],4,FALSE)</f>
        <v>1080</v>
      </c>
      <c r="Q4305" s="6">
        <f>OrganizedData[[#This Row],[Total Items Ordered]]*VLOOKUP(OrganizedData[[#This Row],[Product Code]],ProductData[],3,FALSE)</f>
        <v>3769.2000000000003</v>
      </c>
      <c r="R43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3580.7400000000002</v>
      </c>
    </row>
    <row r="4306" spans="1:18" x14ac:dyDescent="0.3">
      <c r="A4306" s="2">
        <v>4299</v>
      </c>
      <c r="B4306" s="2" t="s">
        <v>7195</v>
      </c>
      <c r="C4306" s="2" t="s">
        <v>1204</v>
      </c>
      <c r="D4306" s="2" t="s">
        <v>28</v>
      </c>
      <c r="E4306" s="2" t="s">
        <v>29</v>
      </c>
      <c r="F4306" s="2">
        <v>60</v>
      </c>
      <c r="G4306" s="2" t="s">
        <v>9490</v>
      </c>
      <c r="H4306" s="2" t="s">
        <v>9491</v>
      </c>
      <c r="I4306" s="2" t="s">
        <v>32</v>
      </c>
      <c r="J4306" s="3">
        <v>44423</v>
      </c>
      <c r="K4306" s="5">
        <f>YEAR(OrganizedData[[#This Row],[Order Date]])</f>
        <v>2021</v>
      </c>
      <c r="L4306" s="7" t="str">
        <f>TEXT(OrganizedData[[#This Row],[Order Date]],"mmm")</f>
        <v>Aug</v>
      </c>
      <c r="M4306" s="2">
        <v>78</v>
      </c>
      <c r="N4306" s="2" t="s">
        <v>64</v>
      </c>
      <c r="O4306" s="2" t="str">
        <f>VLOOKUP(OrganizedData[[#This Row],[Product Code]],ProductData[[Code]:[Item]],2,FALSE)</f>
        <v>Ultrathing V4</v>
      </c>
      <c r="P4306" s="4">
        <f>OrganizedData[[#This Row],[Quantity]]*VLOOKUP(OrganizedData[[#This Row],[Product Code]],ProductData[],4,FALSE)</f>
        <v>1872</v>
      </c>
      <c r="Q4306" s="6">
        <f>OrganizedData[[#This Row],[Total Items Ordered]]*VLOOKUP(OrganizedData[[#This Row],[Product Code]],ProductData[],3,FALSE)</f>
        <v>7469.2800000000007</v>
      </c>
      <c r="R43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4307" spans="1:18" x14ac:dyDescent="0.3">
      <c r="A4307" s="2">
        <v>4300</v>
      </c>
      <c r="B4307" s="2" t="s">
        <v>3742</v>
      </c>
      <c r="C4307" s="2" t="s">
        <v>1566</v>
      </c>
      <c r="D4307" s="2" t="s">
        <v>28</v>
      </c>
      <c r="E4307" s="2" t="s">
        <v>29</v>
      </c>
      <c r="F4307" s="2">
        <v>90</v>
      </c>
      <c r="G4307" s="2" t="s">
        <v>9492</v>
      </c>
      <c r="H4307" s="2" t="s">
        <v>1575</v>
      </c>
      <c r="I4307" s="2" t="s">
        <v>1576</v>
      </c>
      <c r="J4307" s="3">
        <v>44821</v>
      </c>
      <c r="K4307" s="5">
        <f>YEAR(OrganizedData[[#This Row],[Order Date]])</f>
        <v>2022</v>
      </c>
      <c r="L4307" s="7" t="str">
        <f>TEXT(OrganizedData[[#This Row],[Order Date]],"mmm")</f>
        <v>Sep</v>
      </c>
      <c r="M4307" s="2">
        <v>21</v>
      </c>
      <c r="N4307" s="2" t="s">
        <v>33</v>
      </c>
      <c r="O4307" s="2" t="str">
        <f>VLOOKUP(OrganizedData[[#This Row],[Product Code]],ProductData[[Code]:[Item]],2,FALSE)</f>
        <v>Megawidget L</v>
      </c>
      <c r="P4307" s="4">
        <f>OrganizedData[[#This Row],[Quantity]]*VLOOKUP(OrganizedData[[#This Row],[Product Code]],ProductData[],4,FALSE)</f>
        <v>504</v>
      </c>
      <c r="Q4307" s="6">
        <f>OrganizedData[[#This Row],[Total Items Ordered]]*VLOOKUP(OrganizedData[[#This Row],[Product Code]],ProductData[],3,FALSE)</f>
        <v>902.16</v>
      </c>
      <c r="R43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875.09519999999998</v>
      </c>
    </row>
    <row r="4308" spans="1:18" x14ac:dyDescent="0.3">
      <c r="A4308" s="2">
        <v>4301</v>
      </c>
      <c r="B4308" s="2" t="s">
        <v>55</v>
      </c>
      <c r="C4308" s="2" t="s">
        <v>6355</v>
      </c>
      <c r="D4308" s="2" t="s">
        <v>28</v>
      </c>
      <c r="E4308" s="2" t="s">
        <v>29</v>
      </c>
      <c r="F4308" s="2">
        <v>90</v>
      </c>
      <c r="G4308" s="2" t="s">
        <v>9493</v>
      </c>
      <c r="H4308" s="2" t="s">
        <v>6546</v>
      </c>
      <c r="I4308" s="2" t="s">
        <v>2543</v>
      </c>
      <c r="J4308" s="3">
        <v>44396</v>
      </c>
      <c r="K4308" s="5">
        <f>YEAR(OrganizedData[[#This Row],[Order Date]])</f>
        <v>2021</v>
      </c>
      <c r="L4308" s="7" t="str">
        <f>TEXT(OrganizedData[[#This Row],[Order Date]],"mmm")</f>
        <v>Jul</v>
      </c>
      <c r="M4308" s="2">
        <v>60</v>
      </c>
      <c r="N4308" s="2" t="s">
        <v>64</v>
      </c>
      <c r="O4308" s="2" t="str">
        <f>VLOOKUP(OrganizedData[[#This Row],[Product Code]],ProductData[[Code]:[Item]],2,FALSE)</f>
        <v>Ultrathing V4</v>
      </c>
      <c r="P4308" s="4">
        <f>OrganizedData[[#This Row],[Quantity]]*VLOOKUP(OrganizedData[[#This Row],[Product Code]],ProductData[],4,FALSE)</f>
        <v>1440</v>
      </c>
      <c r="Q4308" s="6">
        <f>OrganizedData[[#This Row],[Total Items Ordered]]*VLOOKUP(OrganizedData[[#This Row],[Product Code]],ProductData[],3,FALSE)</f>
        <v>5745.6</v>
      </c>
      <c r="R43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5458.32</v>
      </c>
    </row>
    <row r="4309" spans="1:18" x14ac:dyDescent="0.3">
      <c r="A4309" s="2">
        <v>4302</v>
      </c>
      <c r="B4309" s="2" t="s">
        <v>9422</v>
      </c>
      <c r="C4309" s="2" t="s">
        <v>8575</v>
      </c>
      <c r="D4309" s="2" t="s">
        <v>51</v>
      </c>
      <c r="E4309" s="2" t="s">
        <v>16</v>
      </c>
      <c r="F4309" s="2">
        <v>30</v>
      </c>
      <c r="G4309" s="2" t="s">
        <v>9493</v>
      </c>
      <c r="H4309" s="2" t="s">
        <v>4409</v>
      </c>
      <c r="I4309" s="2" t="s">
        <v>294</v>
      </c>
      <c r="J4309" s="3">
        <v>44259</v>
      </c>
      <c r="K4309" s="5">
        <f>YEAR(OrganizedData[[#This Row],[Order Date]])</f>
        <v>2021</v>
      </c>
      <c r="L4309" s="7" t="str">
        <f>TEXT(OrganizedData[[#This Row],[Order Date]],"mmm")</f>
        <v>Mar</v>
      </c>
      <c r="M4309" s="2">
        <v>77</v>
      </c>
      <c r="N4309" s="2" t="s">
        <v>39</v>
      </c>
      <c r="O4309" s="2" t="str">
        <f>VLOOKUP(OrganizedData[[#This Row],[Product Code]],ProductData[[Code]:[Item]],2,FALSE)</f>
        <v>Ultrathing V1</v>
      </c>
      <c r="P4309" s="4">
        <f>OrganizedData[[#This Row],[Quantity]]*VLOOKUP(OrganizedData[[#This Row],[Product Code]],ProductData[],4,FALSE)</f>
        <v>1309</v>
      </c>
      <c r="Q4309" s="6">
        <f>OrganizedData[[#This Row],[Total Items Ordered]]*VLOOKUP(OrganizedData[[#This Row],[Product Code]],ProductData[],3,FALSE)</f>
        <v>2343.11</v>
      </c>
      <c r="R43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2225.9544999999998</v>
      </c>
    </row>
    <row r="4310" spans="1:18" x14ac:dyDescent="0.3">
      <c r="A4310" s="2">
        <v>4303</v>
      </c>
      <c r="B4310" s="2" t="s">
        <v>9494</v>
      </c>
      <c r="C4310" s="2" t="s">
        <v>7398</v>
      </c>
      <c r="D4310" s="2" t="s">
        <v>51</v>
      </c>
      <c r="E4310" s="2" t="s">
        <v>16</v>
      </c>
      <c r="F4310" s="2">
        <v>90</v>
      </c>
      <c r="G4310" s="2" t="s">
        <v>9495</v>
      </c>
      <c r="H4310" s="2" t="s">
        <v>3449</v>
      </c>
      <c r="I4310" s="2" t="s">
        <v>187</v>
      </c>
      <c r="J4310" s="3">
        <v>44550</v>
      </c>
      <c r="K4310" s="5">
        <f>YEAR(OrganizedData[[#This Row],[Order Date]])</f>
        <v>2021</v>
      </c>
      <c r="L4310" s="7" t="str">
        <f>TEXT(OrganizedData[[#This Row],[Order Date]],"mmm")</f>
        <v>Dec</v>
      </c>
      <c r="M4310" s="2">
        <v>24</v>
      </c>
      <c r="N4310" s="2" t="s">
        <v>33</v>
      </c>
      <c r="O4310" s="2" t="str">
        <f>VLOOKUP(OrganizedData[[#This Row],[Product Code]],ProductData[[Code]:[Item]],2,FALSE)</f>
        <v>Megawidget L</v>
      </c>
      <c r="P4310" s="4">
        <f>OrganizedData[[#This Row],[Quantity]]*VLOOKUP(OrganizedData[[#This Row],[Product Code]],ProductData[],4,FALSE)</f>
        <v>576</v>
      </c>
      <c r="Q4310" s="6">
        <f>OrganizedData[[#This Row],[Total Items Ordered]]*VLOOKUP(OrganizedData[[#This Row],[Product Code]],ProductData[],3,FALSE)</f>
        <v>1031.04</v>
      </c>
      <c r="R43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1000.1088</v>
      </c>
    </row>
    <row r="4311" spans="1:18" x14ac:dyDescent="0.3">
      <c r="A4311" s="2">
        <v>4304</v>
      </c>
      <c r="B4311" s="2" t="s">
        <v>9496</v>
      </c>
      <c r="C4311" s="2" t="s">
        <v>6562</v>
      </c>
      <c r="D4311" s="2" t="s">
        <v>28</v>
      </c>
      <c r="E4311" s="2" t="s">
        <v>29</v>
      </c>
      <c r="F4311" s="2">
        <v>60</v>
      </c>
      <c r="G4311" s="2" t="s">
        <v>9497</v>
      </c>
      <c r="H4311" s="2" t="s">
        <v>4404</v>
      </c>
      <c r="I4311" s="2" t="s">
        <v>32</v>
      </c>
      <c r="J4311" s="3">
        <v>44672</v>
      </c>
      <c r="K4311" s="5">
        <f>YEAR(OrganizedData[[#This Row],[Order Date]])</f>
        <v>2022</v>
      </c>
      <c r="L4311" s="7" t="str">
        <f>TEXT(OrganizedData[[#This Row],[Order Date]],"mmm")</f>
        <v>Apr</v>
      </c>
      <c r="M4311" s="2">
        <v>46</v>
      </c>
      <c r="N4311" s="2" t="s">
        <v>159</v>
      </c>
      <c r="O4311" s="2" t="str">
        <f>VLOOKUP(OrganizedData[[#This Row],[Product Code]],ProductData[[Code]:[Item]],2,FALSE)</f>
        <v>Ultrathing V3</v>
      </c>
      <c r="P4311" s="4">
        <f>OrganizedData[[#This Row],[Quantity]]*VLOOKUP(OrganizedData[[#This Row],[Product Code]],ProductData[],4,FALSE)</f>
        <v>1104</v>
      </c>
      <c r="Q4311" s="6">
        <f>OrganizedData[[#This Row],[Total Items Ordered]]*VLOOKUP(OrganizedData[[#This Row],[Product Code]],ProductData[],3,FALSE)</f>
        <v>3742.56</v>
      </c>
      <c r="R43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3630.2831999999999</v>
      </c>
    </row>
    <row r="4312" spans="1:18" x14ac:dyDescent="0.3">
      <c r="A4312" s="2">
        <v>4305</v>
      </c>
      <c r="B4312" s="2" t="s">
        <v>9500</v>
      </c>
      <c r="C4312" s="2" t="s">
        <v>1585</v>
      </c>
      <c r="D4312" s="2" t="s">
        <v>41</v>
      </c>
      <c r="E4312" s="2" t="s">
        <v>16</v>
      </c>
      <c r="F4312" s="2">
        <v>60</v>
      </c>
      <c r="G4312" s="2" t="s">
        <v>9501</v>
      </c>
      <c r="H4312" s="2" t="s">
        <v>412</v>
      </c>
      <c r="I4312" s="2" t="s">
        <v>187</v>
      </c>
      <c r="J4312" s="3">
        <v>44572</v>
      </c>
      <c r="K4312" s="5">
        <f>YEAR(OrganizedData[[#This Row],[Order Date]])</f>
        <v>2022</v>
      </c>
      <c r="L4312" s="7" t="str">
        <f>TEXT(OrganizedData[[#This Row],[Order Date]],"mmm")</f>
        <v>Jan</v>
      </c>
      <c r="M4312" s="2">
        <v>6</v>
      </c>
      <c r="N4312" s="2" t="s">
        <v>39</v>
      </c>
      <c r="O4312" s="2" t="str">
        <f>VLOOKUP(OrganizedData[[#This Row],[Product Code]],ProductData[[Code]:[Item]],2,FALSE)</f>
        <v>Ultrathing V1</v>
      </c>
      <c r="P4312" s="4">
        <f>OrganizedData[[#This Row],[Quantity]]*VLOOKUP(OrganizedData[[#This Row],[Product Code]],ProductData[],4,FALSE)</f>
        <v>102</v>
      </c>
      <c r="Q4312" s="6">
        <f>OrganizedData[[#This Row],[Total Items Ordered]]*VLOOKUP(OrganizedData[[#This Row],[Product Code]],ProductData[],3,FALSE)</f>
        <v>182.58</v>
      </c>
      <c r="R43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4313" spans="1:18" x14ac:dyDescent="0.3">
      <c r="A4313" s="2">
        <v>4306</v>
      </c>
      <c r="B4313" s="2" t="s">
        <v>9502</v>
      </c>
      <c r="C4313" s="2" t="s">
        <v>1145</v>
      </c>
      <c r="D4313" s="2" t="s">
        <v>15</v>
      </c>
      <c r="E4313" s="2" t="s">
        <v>16</v>
      </c>
      <c r="F4313" s="2">
        <v>30</v>
      </c>
      <c r="G4313" s="2" t="s">
        <v>9503</v>
      </c>
      <c r="H4313" s="2" t="s">
        <v>694</v>
      </c>
      <c r="I4313" s="2" t="s">
        <v>32</v>
      </c>
      <c r="J4313" s="3">
        <v>44790</v>
      </c>
      <c r="K4313" s="5">
        <f>YEAR(OrganizedData[[#This Row],[Order Date]])</f>
        <v>2022</v>
      </c>
      <c r="L4313" s="7" t="str">
        <f>TEXT(OrganizedData[[#This Row],[Order Date]],"mmm")</f>
        <v>Aug</v>
      </c>
      <c r="M4313" s="2">
        <v>30</v>
      </c>
      <c r="N4313" s="2" t="s">
        <v>54</v>
      </c>
      <c r="O4313" s="2" t="str">
        <f>VLOOKUP(OrganizedData[[#This Row],[Product Code]],ProductData[[Code]:[Item]],2,FALSE)</f>
        <v>Megawidget S</v>
      </c>
      <c r="P4313" s="4">
        <f>OrganizedData[[#This Row],[Quantity]]*VLOOKUP(OrganizedData[[#This Row],[Product Code]],ProductData[],4,FALSE)</f>
        <v>720</v>
      </c>
      <c r="Q4313" s="6">
        <f>OrganizedData[[#This Row],[Total Items Ordered]]*VLOOKUP(OrganizedData[[#This Row],[Product Code]],ProductData[],3,FALSE)</f>
        <v>496.79999999999995</v>
      </c>
      <c r="R43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481.89599999999996</v>
      </c>
    </row>
    <row r="4314" spans="1:18" x14ac:dyDescent="0.3">
      <c r="A4314" s="2">
        <v>4307</v>
      </c>
      <c r="B4314" s="2" t="s">
        <v>9504</v>
      </c>
      <c r="C4314" s="2" t="s">
        <v>406</v>
      </c>
      <c r="D4314" s="2" t="s">
        <v>15</v>
      </c>
      <c r="E4314" s="2" t="s">
        <v>16</v>
      </c>
      <c r="F4314" s="2">
        <v>30</v>
      </c>
      <c r="G4314" s="2" t="s">
        <v>9505</v>
      </c>
      <c r="H4314" s="2" t="s">
        <v>898</v>
      </c>
      <c r="I4314" s="2" t="s">
        <v>32</v>
      </c>
      <c r="J4314" s="3">
        <v>44404</v>
      </c>
      <c r="K4314" s="5">
        <f>YEAR(OrganizedData[[#This Row],[Order Date]])</f>
        <v>2021</v>
      </c>
      <c r="L4314" s="7" t="str">
        <f>TEXT(OrganizedData[[#This Row],[Order Date]],"mmm")</f>
        <v>Jul</v>
      </c>
      <c r="M4314" s="2">
        <v>6</v>
      </c>
      <c r="N4314" s="2" t="s">
        <v>70</v>
      </c>
      <c r="O4314" s="2" t="str">
        <f>VLOOKUP(OrganizedData[[#This Row],[Product Code]],ProductData[[Code]:[Item]],2,FALSE)</f>
        <v>Megawidget M</v>
      </c>
      <c r="P4314" s="4">
        <f>OrganizedData[[#This Row],[Quantity]]*VLOOKUP(OrganizedData[[#This Row],[Product Code]],ProductData[],4,FALSE)</f>
        <v>144</v>
      </c>
      <c r="Q4314" s="6">
        <f>OrganizedData[[#This Row],[Total Items Ordered]]*VLOOKUP(OrganizedData[[#This Row],[Product Code]],ProductData[],3,FALSE)</f>
        <v>185.76</v>
      </c>
      <c r="R43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185.76</v>
      </c>
    </row>
    <row r="4315" spans="1:18" x14ac:dyDescent="0.3">
      <c r="A4315" s="2">
        <v>4308</v>
      </c>
      <c r="B4315" s="2" t="s">
        <v>9506</v>
      </c>
      <c r="C4315" s="2" t="s">
        <v>3071</v>
      </c>
      <c r="D4315" s="2" t="s">
        <v>51</v>
      </c>
      <c r="E4315" s="2" t="s">
        <v>16</v>
      </c>
      <c r="F4315" s="2">
        <v>90</v>
      </c>
      <c r="G4315" s="2" t="s">
        <v>9507</v>
      </c>
      <c r="H4315" s="2" t="s">
        <v>7642</v>
      </c>
      <c r="I4315" s="2" t="s">
        <v>32</v>
      </c>
      <c r="J4315" s="3">
        <v>44558</v>
      </c>
      <c r="K4315" s="5">
        <f>YEAR(OrganizedData[[#This Row],[Order Date]])</f>
        <v>2021</v>
      </c>
      <c r="L4315" s="7" t="str">
        <f>TEXT(OrganizedData[[#This Row],[Order Date]],"mmm")</f>
        <v>Dec</v>
      </c>
      <c r="M4315" s="2">
        <v>88</v>
      </c>
      <c r="N4315" s="2" t="s">
        <v>159</v>
      </c>
      <c r="O4315" s="2" t="str">
        <f>VLOOKUP(OrganizedData[[#This Row],[Product Code]],ProductData[[Code]:[Item]],2,FALSE)</f>
        <v>Ultrathing V3</v>
      </c>
      <c r="P4315" s="4">
        <f>OrganizedData[[#This Row],[Quantity]]*VLOOKUP(OrganizedData[[#This Row],[Product Code]],ProductData[],4,FALSE)</f>
        <v>2112</v>
      </c>
      <c r="Q4315" s="6">
        <f>OrganizedData[[#This Row],[Total Items Ordered]]*VLOOKUP(OrganizedData[[#This Row],[Product Code]],ProductData[],3,FALSE)</f>
        <v>7159.68</v>
      </c>
      <c r="R43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6801.6959999999999</v>
      </c>
    </row>
    <row r="4316" spans="1:18" x14ac:dyDescent="0.3">
      <c r="A4316" s="2">
        <v>4309</v>
      </c>
      <c r="B4316" s="2" t="s">
        <v>9508</v>
      </c>
      <c r="C4316" s="2" t="s">
        <v>5032</v>
      </c>
      <c r="D4316" s="2" t="s">
        <v>15</v>
      </c>
      <c r="E4316" s="2" t="s">
        <v>16</v>
      </c>
      <c r="F4316" s="2">
        <v>60</v>
      </c>
      <c r="G4316" s="2" t="s">
        <v>9509</v>
      </c>
      <c r="H4316" s="2" t="s">
        <v>1764</v>
      </c>
      <c r="I4316" s="2" t="s">
        <v>124</v>
      </c>
      <c r="J4316" s="3">
        <v>44907</v>
      </c>
      <c r="K4316" s="5">
        <f>YEAR(OrganizedData[[#This Row],[Order Date]])</f>
        <v>2022</v>
      </c>
      <c r="L4316" s="7" t="str">
        <f>TEXT(OrganizedData[[#This Row],[Order Date]],"mmm")</f>
        <v>Dec</v>
      </c>
      <c r="M4316" s="2">
        <v>33</v>
      </c>
      <c r="N4316" s="2" t="s">
        <v>101</v>
      </c>
      <c r="O4316" s="2" t="str">
        <f>VLOOKUP(OrganizedData[[#This Row],[Product Code]],ProductData[[Code]:[Item]],2,FALSE)</f>
        <v>Superwossname</v>
      </c>
      <c r="P4316" s="4">
        <f>OrganizedData[[#This Row],[Quantity]]*VLOOKUP(OrganizedData[[#This Row],[Product Code]],ProductData[],4,FALSE)</f>
        <v>660</v>
      </c>
      <c r="Q4316" s="6">
        <f>OrganizedData[[#This Row],[Total Items Ordered]]*VLOOKUP(OrganizedData[[#This Row],[Product Code]],ProductData[],3,FALSE)</f>
        <v>2303.4</v>
      </c>
      <c r="R43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2234.2980000000002</v>
      </c>
    </row>
    <row r="4317" spans="1:18" x14ac:dyDescent="0.3">
      <c r="A4317" s="2">
        <v>4310</v>
      </c>
      <c r="B4317" s="2" t="s">
        <v>2994</v>
      </c>
      <c r="C4317" s="2" t="s">
        <v>653</v>
      </c>
      <c r="D4317" s="2" t="s">
        <v>28</v>
      </c>
      <c r="E4317" s="2" t="s">
        <v>29</v>
      </c>
      <c r="F4317" s="2">
        <v>30</v>
      </c>
      <c r="G4317" s="2" t="s">
        <v>9510</v>
      </c>
      <c r="H4317" s="2" t="s">
        <v>772</v>
      </c>
      <c r="I4317" s="2" t="s">
        <v>32</v>
      </c>
      <c r="J4317" s="3">
        <v>44604</v>
      </c>
      <c r="K4317" s="5">
        <f>YEAR(OrganizedData[[#This Row],[Order Date]])</f>
        <v>2022</v>
      </c>
      <c r="L4317" s="7" t="str">
        <f>TEXT(OrganizedData[[#This Row],[Order Date]],"mmm")</f>
        <v>Feb</v>
      </c>
      <c r="M4317" s="2">
        <v>26</v>
      </c>
      <c r="N4317" s="2" t="s">
        <v>39</v>
      </c>
      <c r="O4317" s="2" t="str">
        <f>VLOOKUP(OrganizedData[[#This Row],[Product Code]],ProductData[[Code]:[Item]],2,FALSE)</f>
        <v>Ultrathing V1</v>
      </c>
      <c r="P4317" s="4">
        <f>OrganizedData[[#This Row],[Quantity]]*VLOOKUP(OrganizedData[[#This Row],[Product Code]],ProductData[],4,FALSE)</f>
        <v>442</v>
      </c>
      <c r="Q4317" s="6">
        <f>OrganizedData[[#This Row],[Total Items Ordered]]*VLOOKUP(OrganizedData[[#This Row],[Product Code]],ProductData[],3,FALSE)</f>
        <v>791.18000000000006</v>
      </c>
      <c r="R43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767.44460000000004</v>
      </c>
    </row>
    <row r="4318" spans="1:18" x14ac:dyDescent="0.3">
      <c r="A4318" s="2">
        <v>4311</v>
      </c>
      <c r="B4318" s="2" t="s">
        <v>9511</v>
      </c>
      <c r="C4318" s="2" t="s">
        <v>4803</v>
      </c>
      <c r="D4318" s="2" t="s">
        <v>15</v>
      </c>
      <c r="E4318" s="2" t="s">
        <v>16</v>
      </c>
      <c r="F4318" s="2">
        <v>90</v>
      </c>
      <c r="G4318" s="2" t="s">
        <v>9512</v>
      </c>
      <c r="H4318" s="2" t="s">
        <v>7546</v>
      </c>
      <c r="I4318" s="2" t="s">
        <v>187</v>
      </c>
      <c r="J4318" s="3">
        <v>44448</v>
      </c>
      <c r="K4318" s="5">
        <f>YEAR(OrganizedData[[#This Row],[Order Date]])</f>
        <v>2021</v>
      </c>
      <c r="L4318" s="7" t="str">
        <f>TEXT(OrganizedData[[#This Row],[Order Date]],"mmm")</f>
        <v>Sep</v>
      </c>
      <c r="M4318" s="2">
        <v>61</v>
      </c>
      <c r="N4318" s="2" t="s">
        <v>45</v>
      </c>
      <c r="O4318" s="2" t="str">
        <f>VLOOKUP(OrganizedData[[#This Row],[Product Code]],ProductData[[Code]:[Item]],2,FALSE)</f>
        <v>Gigastuff</v>
      </c>
      <c r="P4318" s="4">
        <f>OrganizedData[[#This Row],[Quantity]]*VLOOKUP(OrganizedData[[#This Row],[Product Code]],ProductData[],4,FALSE)</f>
        <v>1098</v>
      </c>
      <c r="Q4318" s="6">
        <f>OrganizedData[[#This Row],[Total Items Ordered]]*VLOOKUP(OrganizedData[[#This Row],[Product Code]],ProductData[],3,FALSE)</f>
        <v>2075.2199999999998</v>
      </c>
      <c r="R43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1971.4589999999996</v>
      </c>
    </row>
    <row r="4319" spans="1:18" x14ac:dyDescent="0.3">
      <c r="A4319" s="2">
        <v>4312</v>
      </c>
      <c r="B4319" s="2" t="s">
        <v>4815</v>
      </c>
      <c r="C4319" s="2" t="s">
        <v>6730</v>
      </c>
      <c r="D4319" s="2" t="s">
        <v>28</v>
      </c>
      <c r="E4319" s="2" t="s">
        <v>29</v>
      </c>
      <c r="F4319" s="2">
        <v>90</v>
      </c>
      <c r="G4319" s="2" t="s">
        <v>9512</v>
      </c>
      <c r="H4319" s="2" t="s">
        <v>1168</v>
      </c>
      <c r="I4319" s="2" t="s">
        <v>32</v>
      </c>
      <c r="J4319" s="3">
        <v>44282</v>
      </c>
      <c r="K4319" s="5">
        <f>YEAR(OrganizedData[[#This Row],[Order Date]])</f>
        <v>2021</v>
      </c>
      <c r="L4319" s="7" t="str">
        <f>TEXT(OrganizedData[[#This Row],[Order Date]],"mmm")</f>
        <v>Mar</v>
      </c>
      <c r="M4319" s="2">
        <v>42</v>
      </c>
      <c r="N4319" s="2" t="s">
        <v>70</v>
      </c>
      <c r="O4319" s="2" t="str">
        <f>VLOOKUP(OrganizedData[[#This Row],[Product Code]],ProductData[[Code]:[Item]],2,FALSE)</f>
        <v>Megawidget M</v>
      </c>
      <c r="P4319" s="4">
        <f>OrganizedData[[#This Row],[Quantity]]*VLOOKUP(OrganizedData[[#This Row],[Product Code]],ProductData[],4,FALSE)</f>
        <v>1008</v>
      </c>
      <c r="Q4319" s="6">
        <f>OrganizedData[[#This Row],[Total Items Ordered]]*VLOOKUP(OrganizedData[[#This Row],[Product Code]],ProductData[],3,FALSE)</f>
        <v>1300.32</v>
      </c>
      <c r="R43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4320" spans="1:18" x14ac:dyDescent="0.3">
      <c r="A4320" s="2">
        <v>4313</v>
      </c>
      <c r="B4320" s="2" t="s">
        <v>5730</v>
      </c>
      <c r="C4320" s="2" t="s">
        <v>8490</v>
      </c>
      <c r="D4320" s="2" t="s">
        <v>51</v>
      </c>
      <c r="E4320" s="2" t="s">
        <v>16</v>
      </c>
      <c r="F4320" s="2">
        <v>30</v>
      </c>
      <c r="G4320" s="2" t="s">
        <v>9513</v>
      </c>
      <c r="H4320" s="2" t="s">
        <v>2536</v>
      </c>
      <c r="I4320" s="2" t="s">
        <v>124</v>
      </c>
      <c r="J4320" s="3">
        <v>44706</v>
      </c>
      <c r="K4320" s="5">
        <f>YEAR(OrganizedData[[#This Row],[Order Date]])</f>
        <v>2022</v>
      </c>
      <c r="L4320" s="7" t="str">
        <f>TEXT(OrganizedData[[#This Row],[Order Date]],"mmm")</f>
        <v>May</v>
      </c>
      <c r="M4320" s="2">
        <v>15</v>
      </c>
      <c r="N4320" s="2" t="s">
        <v>80</v>
      </c>
      <c r="O4320" s="2" t="str">
        <f>VLOOKUP(OrganizedData[[#This Row],[Product Code]],ProductData[[Code]:[Item]],2,FALSE)</f>
        <v>Ultrathing V2</v>
      </c>
      <c r="P4320" s="4">
        <f>OrganizedData[[#This Row],[Quantity]]*VLOOKUP(OrganizedData[[#This Row],[Product Code]],ProductData[],4,FALSE)</f>
        <v>300</v>
      </c>
      <c r="Q4320" s="6">
        <f>OrganizedData[[#This Row],[Total Items Ordered]]*VLOOKUP(OrganizedData[[#This Row],[Product Code]],ProductData[],3,FALSE)</f>
        <v>885</v>
      </c>
      <c r="R43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4321" spans="1:18" x14ac:dyDescent="0.3">
      <c r="A4321" s="2">
        <v>4314</v>
      </c>
      <c r="B4321" s="2" t="s">
        <v>9514</v>
      </c>
      <c r="C4321" s="2" t="s">
        <v>7889</v>
      </c>
      <c r="D4321" s="2" t="s">
        <v>51</v>
      </c>
      <c r="E4321" s="2" t="s">
        <v>16</v>
      </c>
      <c r="F4321" s="2">
        <v>30</v>
      </c>
      <c r="G4321" s="2" t="s">
        <v>9515</v>
      </c>
      <c r="H4321" s="2" t="s">
        <v>5521</v>
      </c>
      <c r="I4321" s="2" t="s">
        <v>25</v>
      </c>
      <c r="J4321" s="3">
        <v>44481</v>
      </c>
      <c r="K4321" s="5">
        <f>YEAR(OrganizedData[[#This Row],[Order Date]])</f>
        <v>2021</v>
      </c>
      <c r="L4321" s="7" t="str">
        <f>TEXT(OrganizedData[[#This Row],[Order Date]],"mmm")</f>
        <v>Oct</v>
      </c>
      <c r="M4321" s="2">
        <v>13</v>
      </c>
      <c r="N4321" s="2" t="s">
        <v>20</v>
      </c>
      <c r="O4321" s="2" t="str">
        <f>VLOOKUP(OrganizedData[[#This Row],[Product Code]],ProductData[[Code]:[Item]],2,FALSE)</f>
        <v>Hyperwotsit</v>
      </c>
      <c r="P4321" s="4">
        <f>OrganizedData[[#This Row],[Quantity]]*VLOOKUP(OrganizedData[[#This Row],[Product Code]],ProductData[],4,FALSE)</f>
        <v>260</v>
      </c>
      <c r="Q4321" s="6">
        <f>OrganizedData[[#This Row],[Total Items Ordered]]*VLOOKUP(OrganizedData[[#This Row],[Product Code]],ProductData[],3,FALSE)</f>
        <v>522.59999999999991</v>
      </c>
      <c r="R43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522.59999999999991</v>
      </c>
    </row>
    <row r="4322" spans="1:18" x14ac:dyDescent="0.3">
      <c r="A4322" s="2">
        <v>4315</v>
      </c>
      <c r="B4322" s="2" t="s">
        <v>9516</v>
      </c>
      <c r="C4322" s="2" t="s">
        <v>2920</v>
      </c>
      <c r="D4322" s="2" t="s">
        <v>28</v>
      </c>
      <c r="E4322" s="2" t="s">
        <v>29</v>
      </c>
      <c r="F4322" s="2">
        <v>30</v>
      </c>
      <c r="G4322" s="2" t="s">
        <v>9517</v>
      </c>
      <c r="H4322" s="2" t="s">
        <v>5271</v>
      </c>
      <c r="I4322" s="2" t="s">
        <v>187</v>
      </c>
      <c r="J4322" s="3">
        <v>44783</v>
      </c>
      <c r="K4322" s="5">
        <f>YEAR(OrganizedData[[#This Row],[Order Date]])</f>
        <v>2022</v>
      </c>
      <c r="L4322" s="7" t="str">
        <f>TEXT(OrganizedData[[#This Row],[Order Date]],"mmm")</f>
        <v>Aug</v>
      </c>
      <c r="M4322" s="2">
        <v>54</v>
      </c>
      <c r="N4322" s="2" t="s">
        <v>20</v>
      </c>
      <c r="O4322" s="2" t="str">
        <f>VLOOKUP(OrganizedData[[#This Row],[Product Code]],ProductData[[Code]:[Item]],2,FALSE)</f>
        <v>Hyperwotsit</v>
      </c>
      <c r="P4322" s="4">
        <f>OrganizedData[[#This Row],[Quantity]]*VLOOKUP(OrganizedData[[#This Row],[Product Code]],ProductData[],4,FALSE)</f>
        <v>1080</v>
      </c>
      <c r="Q4322" s="6">
        <f>OrganizedData[[#This Row],[Total Items Ordered]]*VLOOKUP(OrganizedData[[#This Row],[Product Code]],ProductData[],3,FALSE)</f>
        <v>2170.7999999999997</v>
      </c>
      <c r="R43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2062.2599999999998</v>
      </c>
    </row>
    <row r="4323" spans="1:18" x14ac:dyDescent="0.3">
      <c r="A4323" s="2">
        <v>4316</v>
      </c>
      <c r="B4323" s="2" t="s">
        <v>9518</v>
      </c>
      <c r="C4323" s="2" t="s">
        <v>4366</v>
      </c>
      <c r="D4323" s="2" t="s">
        <v>51</v>
      </c>
      <c r="E4323" s="2" t="s">
        <v>16</v>
      </c>
      <c r="F4323" s="2">
        <v>60</v>
      </c>
      <c r="G4323" s="2" t="s">
        <v>9519</v>
      </c>
      <c r="H4323" s="2" t="s">
        <v>4283</v>
      </c>
      <c r="I4323" s="2" t="s">
        <v>178</v>
      </c>
      <c r="J4323" s="3">
        <v>44452</v>
      </c>
      <c r="K4323" s="5">
        <f>YEAR(OrganizedData[[#This Row],[Order Date]])</f>
        <v>2021</v>
      </c>
      <c r="L4323" s="7" t="str">
        <f>TEXT(OrganizedData[[#This Row],[Order Date]],"mmm")</f>
        <v>Sep</v>
      </c>
      <c r="M4323" s="2">
        <v>7</v>
      </c>
      <c r="N4323" s="2" t="s">
        <v>20</v>
      </c>
      <c r="O4323" s="2" t="str">
        <f>VLOOKUP(OrganizedData[[#This Row],[Product Code]],ProductData[[Code]:[Item]],2,FALSE)</f>
        <v>Hyperwotsit</v>
      </c>
      <c r="P4323" s="4">
        <f>OrganizedData[[#This Row],[Quantity]]*VLOOKUP(OrganizedData[[#This Row],[Product Code]],ProductData[],4,FALSE)</f>
        <v>140</v>
      </c>
      <c r="Q4323" s="6">
        <f>OrganizedData[[#This Row],[Total Items Ordered]]*VLOOKUP(OrganizedData[[#This Row],[Product Code]],ProductData[],3,FALSE)</f>
        <v>281.39999999999998</v>
      </c>
      <c r="R43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4324" spans="1:18" x14ac:dyDescent="0.3">
      <c r="A4324" s="2">
        <v>4317</v>
      </c>
      <c r="B4324" s="2" t="s">
        <v>6198</v>
      </c>
      <c r="C4324" s="2" t="s">
        <v>3732</v>
      </c>
      <c r="D4324" s="2" t="s">
        <v>28</v>
      </c>
      <c r="E4324" s="2" t="s">
        <v>29</v>
      </c>
      <c r="F4324" s="2">
        <v>30</v>
      </c>
      <c r="G4324" s="2" t="s">
        <v>9520</v>
      </c>
      <c r="H4324" s="2" t="s">
        <v>99</v>
      </c>
      <c r="I4324" s="2" t="s">
        <v>100</v>
      </c>
      <c r="J4324" s="3">
        <v>44432</v>
      </c>
      <c r="K4324" s="5">
        <f>YEAR(OrganizedData[[#This Row],[Order Date]])</f>
        <v>2021</v>
      </c>
      <c r="L4324" s="7" t="str">
        <f>TEXT(OrganizedData[[#This Row],[Order Date]],"mmm")</f>
        <v>Aug</v>
      </c>
      <c r="M4324" s="2">
        <v>15</v>
      </c>
      <c r="N4324" s="2" t="s">
        <v>54</v>
      </c>
      <c r="O4324" s="2" t="str">
        <f>VLOOKUP(OrganizedData[[#This Row],[Product Code]],ProductData[[Code]:[Item]],2,FALSE)</f>
        <v>Megawidget S</v>
      </c>
      <c r="P4324" s="4">
        <f>OrganizedData[[#This Row],[Quantity]]*VLOOKUP(OrganizedData[[#This Row],[Product Code]],ProductData[],4,FALSE)</f>
        <v>360</v>
      </c>
      <c r="Q4324" s="6">
        <f>OrganizedData[[#This Row],[Total Items Ordered]]*VLOOKUP(OrganizedData[[#This Row],[Product Code]],ProductData[],3,FALSE)</f>
        <v>248.39999999999998</v>
      </c>
      <c r="R43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4325" spans="1:18" x14ac:dyDescent="0.3">
      <c r="A4325" s="2">
        <v>4318</v>
      </c>
      <c r="B4325" s="2" t="s">
        <v>7686</v>
      </c>
      <c r="C4325" s="2" t="s">
        <v>256</v>
      </c>
      <c r="D4325" s="2" t="s">
        <v>15</v>
      </c>
      <c r="E4325" s="2" t="s">
        <v>16</v>
      </c>
      <c r="F4325" s="2">
        <v>60</v>
      </c>
      <c r="G4325" s="2" t="s">
        <v>9521</v>
      </c>
      <c r="H4325" s="2" t="s">
        <v>455</v>
      </c>
      <c r="I4325" s="2" t="s">
        <v>187</v>
      </c>
      <c r="J4325" s="3">
        <v>44067</v>
      </c>
      <c r="K4325" s="5">
        <f>YEAR(OrganizedData[[#This Row],[Order Date]])</f>
        <v>2020</v>
      </c>
      <c r="L4325" s="7" t="str">
        <f>TEXT(OrganizedData[[#This Row],[Order Date]],"mmm")</f>
        <v>Aug</v>
      </c>
      <c r="M4325" s="2">
        <v>56</v>
      </c>
      <c r="N4325" s="2" t="s">
        <v>54</v>
      </c>
      <c r="O4325" s="2" t="str">
        <f>VLOOKUP(OrganizedData[[#This Row],[Product Code]],ProductData[[Code]:[Item]],2,FALSE)</f>
        <v>Megawidget S</v>
      </c>
      <c r="P4325" s="4">
        <f>OrganizedData[[#This Row],[Quantity]]*VLOOKUP(OrganizedData[[#This Row],[Product Code]],ProductData[],4,FALSE)</f>
        <v>1344</v>
      </c>
      <c r="Q4325" s="6">
        <f>OrganizedData[[#This Row],[Total Items Ordered]]*VLOOKUP(OrganizedData[[#This Row],[Product Code]],ProductData[],3,FALSE)</f>
        <v>927.3599999999999</v>
      </c>
      <c r="R43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880.99199999999985</v>
      </c>
    </row>
    <row r="4326" spans="1:18" x14ac:dyDescent="0.3">
      <c r="A4326" s="2">
        <v>4319</v>
      </c>
      <c r="B4326" s="2" t="s">
        <v>9522</v>
      </c>
      <c r="C4326" s="2" t="s">
        <v>4032</v>
      </c>
      <c r="D4326" s="2" t="s">
        <v>51</v>
      </c>
      <c r="E4326" s="2" t="s">
        <v>16</v>
      </c>
      <c r="F4326" s="2">
        <v>60</v>
      </c>
      <c r="G4326" s="2" t="s">
        <v>9523</v>
      </c>
      <c r="H4326" s="2" t="s">
        <v>5631</v>
      </c>
      <c r="I4326" s="2" t="s">
        <v>129</v>
      </c>
      <c r="J4326" s="3">
        <v>44884</v>
      </c>
      <c r="K4326" s="5">
        <f>YEAR(OrganizedData[[#This Row],[Order Date]])</f>
        <v>2022</v>
      </c>
      <c r="L4326" s="7" t="str">
        <f>TEXT(OrganizedData[[#This Row],[Order Date]],"mmm")</f>
        <v>Nov</v>
      </c>
      <c r="M4326" s="2">
        <v>103</v>
      </c>
      <c r="N4326" s="2" t="s">
        <v>101</v>
      </c>
      <c r="O4326" s="2" t="str">
        <f>VLOOKUP(OrganizedData[[#This Row],[Product Code]],ProductData[[Code]:[Item]],2,FALSE)</f>
        <v>Superwossname</v>
      </c>
      <c r="P4326" s="4">
        <f>OrganizedData[[#This Row],[Quantity]]*VLOOKUP(OrganizedData[[#This Row],[Product Code]],ProductData[],4,FALSE)</f>
        <v>2060</v>
      </c>
      <c r="Q4326" s="6">
        <f>OrganizedData[[#This Row],[Total Items Ordered]]*VLOOKUP(OrganizedData[[#This Row],[Product Code]],ProductData[],3,FALSE)</f>
        <v>7189.4000000000005</v>
      </c>
      <c r="R43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6686.1420000000007</v>
      </c>
    </row>
    <row r="4327" spans="1:18" x14ac:dyDescent="0.3">
      <c r="A4327" s="2">
        <v>4320</v>
      </c>
      <c r="B4327" s="2" t="s">
        <v>2510</v>
      </c>
      <c r="C4327" s="2" t="s">
        <v>3314</v>
      </c>
      <c r="D4327" s="2" t="s">
        <v>51</v>
      </c>
      <c r="E4327" s="2" t="s">
        <v>16</v>
      </c>
      <c r="F4327" s="2">
        <v>30</v>
      </c>
      <c r="G4327" s="2" t="s">
        <v>9524</v>
      </c>
      <c r="H4327" s="2" t="s">
        <v>5915</v>
      </c>
      <c r="I4327" s="2" t="s">
        <v>32</v>
      </c>
      <c r="J4327" s="3">
        <v>44746</v>
      </c>
      <c r="K4327" s="5">
        <f>YEAR(OrganizedData[[#This Row],[Order Date]])</f>
        <v>2022</v>
      </c>
      <c r="L4327" s="7" t="str">
        <f>TEXT(OrganizedData[[#This Row],[Order Date]],"mmm")</f>
        <v>Jul</v>
      </c>
      <c r="M4327" s="2">
        <v>19</v>
      </c>
      <c r="N4327" s="2" t="s">
        <v>159</v>
      </c>
      <c r="O4327" s="2" t="str">
        <f>VLOOKUP(OrganizedData[[#This Row],[Product Code]],ProductData[[Code]:[Item]],2,FALSE)</f>
        <v>Ultrathing V3</v>
      </c>
      <c r="P4327" s="4">
        <f>OrganizedData[[#This Row],[Quantity]]*VLOOKUP(OrganizedData[[#This Row],[Product Code]],ProductData[],4,FALSE)</f>
        <v>456</v>
      </c>
      <c r="Q4327" s="6">
        <f>OrganizedData[[#This Row],[Total Items Ordered]]*VLOOKUP(OrganizedData[[#This Row],[Product Code]],ProductData[],3,FALSE)</f>
        <v>1545.8400000000001</v>
      </c>
      <c r="R43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1545.8400000000001</v>
      </c>
    </row>
    <row r="4328" spans="1:18" x14ac:dyDescent="0.3">
      <c r="A4328" s="2">
        <v>4321</v>
      </c>
      <c r="B4328" s="2" t="s">
        <v>9525</v>
      </c>
      <c r="C4328" s="2" t="s">
        <v>268</v>
      </c>
      <c r="D4328" s="2" t="s">
        <v>15</v>
      </c>
      <c r="E4328" s="2" t="s">
        <v>16</v>
      </c>
      <c r="F4328" s="2">
        <v>60</v>
      </c>
      <c r="G4328" s="2" t="s">
        <v>9526</v>
      </c>
      <c r="H4328" s="2" t="s">
        <v>4085</v>
      </c>
      <c r="I4328" s="2" t="s">
        <v>240</v>
      </c>
      <c r="J4328" s="3">
        <v>43958</v>
      </c>
      <c r="K4328" s="5">
        <f>YEAR(OrganizedData[[#This Row],[Order Date]])</f>
        <v>2020</v>
      </c>
      <c r="L4328" s="7" t="str">
        <f>TEXT(OrganizedData[[#This Row],[Order Date]],"mmm")</f>
        <v>May</v>
      </c>
      <c r="M4328" s="2">
        <v>62</v>
      </c>
      <c r="N4328" s="2" t="s">
        <v>33</v>
      </c>
      <c r="O4328" s="2" t="str">
        <f>VLOOKUP(OrganizedData[[#This Row],[Product Code]],ProductData[[Code]:[Item]],2,FALSE)</f>
        <v>Megawidget L</v>
      </c>
      <c r="P4328" s="4">
        <f>OrganizedData[[#This Row],[Quantity]]*VLOOKUP(OrganizedData[[#This Row],[Product Code]],ProductData[],4,FALSE)</f>
        <v>1488</v>
      </c>
      <c r="Q4328" s="6">
        <f>OrganizedData[[#This Row],[Total Items Ordered]]*VLOOKUP(OrganizedData[[#This Row],[Product Code]],ProductData[],3,FALSE)</f>
        <v>2663.52</v>
      </c>
      <c r="R43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4329" spans="1:18" x14ac:dyDescent="0.3">
      <c r="A4329" s="2">
        <v>4322</v>
      </c>
      <c r="B4329" s="2" t="s">
        <v>4817</v>
      </c>
      <c r="C4329" s="2" t="s">
        <v>2995</v>
      </c>
      <c r="D4329" s="2" t="s">
        <v>41</v>
      </c>
      <c r="E4329" s="2" t="s">
        <v>16</v>
      </c>
      <c r="F4329" s="2">
        <v>30</v>
      </c>
      <c r="G4329" s="2" t="s">
        <v>10455</v>
      </c>
      <c r="H4329" s="2" t="s">
        <v>400</v>
      </c>
      <c r="I4329" s="2" t="s">
        <v>401</v>
      </c>
      <c r="J4329" s="3">
        <v>44013</v>
      </c>
      <c r="K4329" s="5">
        <f>YEAR(OrganizedData[[#This Row],[Order Date]])</f>
        <v>2020</v>
      </c>
      <c r="L4329" s="7" t="str">
        <f>TEXT(OrganizedData[[#This Row],[Order Date]],"mmm")</f>
        <v>Jul</v>
      </c>
      <c r="M4329" s="2">
        <v>38</v>
      </c>
      <c r="N4329" s="2" t="s">
        <v>80</v>
      </c>
      <c r="O4329" s="2" t="str">
        <f>VLOOKUP(OrganizedData[[#This Row],[Product Code]],ProductData[[Code]:[Item]],2,FALSE)</f>
        <v>Ultrathing V2</v>
      </c>
      <c r="P4329" s="4">
        <f>OrganizedData[[#This Row],[Quantity]]*VLOOKUP(OrganizedData[[#This Row],[Product Code]],ProductData[],4,FALSE)</f>
        <v>760</v>
      </c>
      <c r="Q4329" s="6">
        <f>OrganizedData[[#This Row],[Total Items Ordered]]*VLOOKUP(OrganizedData[[#This Row],[Product Code]],ProductData[],3,FALSE)</f>
        <v>2242</v>
      </c>
      <c r="R43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4330" spans="1:18" x14ac:dyDescent="0.3">
      <c r="A4330" s="2">
        <v>4323</v>
      </c>
      <c r="B4330" s="2" t="s">
        <v>9528</v>
      </c>
      <c r="C4330" s="2" t="s">
        <v>832</v>
      </c>
      <c r="D4330" s="2" t="s">
        <v>51</v>
      </c>
      <c r="E4330" s="2" t="s">
        <v>16</v>
      </c>
      <c r="F4330" s="2">
        <v>60</v>
      </c>
      <c r="G4330" s="2" t="s">
        <v>9529</v>
      </c>
      <c r="H4330" s="2" t="s">
        <v>1347</v>
      </c>
      <c r="I4330" s="2" t="s">
        <v>32</v>
      </c>
      <c r="J4330" s="3">
        <v>44468</v>
      </c>
      <c r="K4330" s="5">
        <f>YEAR(OrganizedData[[#This Row],[Order Date]])</f>
        <v>2021</v>
      </c>
      <c r="L4330" s="7" t="str">
        <f>TEXT(OrganizedData[[#This Row],[Order Date]],"mmm")</f>
        <v>Sep</v>
      </c>
      <c r="M4330" s="2">
        <v>90</v>
      </c>
      <c r="N4330" s="2" t="s">
        <v>54</v>
      </c>
      <c r="O4330" s="2" t="str">
        <f>VLOOKUP(OrganizedData[[#This Row],[Product Code]],ProductData[[Code]:[Item]],2,FALSE)</f>
        <v>Megawidget S</v>
      </c>
      <c r="P4330" s="4">
        <f>OrganizedData[[#This Row],[Quantity]]*VLOOKUP(OrganizedData[[#This Row],[Product Code]],ProductData[],4,FALSE)</f>
        <v>2160</v>
      </c>
      <c r="Q4330" s="6">
        <f>OrganizedData[[#This Row],[Total Items Ordered]]*VLOOKUP(OrganizedData[[#This Row],[Product Code]],ProductData[],3,FALSE)</f>
        <v>1490.3999999999999</v>
      </c>
      <c r="R43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1415.8799999999999</v>
      </c>
    </row>
    <row r="4331" spans="1:18" x14ac:dyDescent="0.3">
      <c r="A4331" s="2">
        <v>4324</v>
      </c>
      <c r="B4331" s="2" t="s">
        <v>8407</v>
      </c>
      <c r="C4331" s="2" t="s">
        <v>3812</v>
      </c>
      <c r="D4331" s="2" t="s">
        <v>28</v>
      </c>
      <c r="E4331" s="2" t="s">
        <v>29</v>
      </c>
      <c r="F4331" s="2">
        <v>60</v>
      </c>
      <c r="G4331" s="2" t="s">
        <v>9530</v>
      </c>
      <c r="H4331" s="2" t="s">
        <v>18</v>
      </c>
      <c r="I4331" s="2" t="s">
        <v>19</v>
      </c>
      <c r="J4331" s="3">
        <v>44693</v>
      </c>
      <c r="K4331" s="5">
        <f>YEAR(OrganizedData[[#This Row],[Order Date]])</f>
        <v>2022</v>
      </c>
      <c r="L4331" s="7" t="str">
        <f>TEXT(OrganizedData[[#This Row],[Order Date]],"mmm")</f>
        <v>May</v>
      </c>
      <c r="M4331" s="2">
        <v>17</v>
      </c>
      <c r="N4331" s="2" t="s">
        <v>64</v>
      </c>
      <c r="O4331" s="2" t="str">
        <f>VLOOKUP(OrganizedData[[#This Row],[Product Code]],ProductData[[Code]:[Item]],2,FALSE)</f>
        <v>Ultrathing V4</v>
      </c>
      <c r="P4331" s="4">
        <f>OrganizedData[[#This Row],[Quantity]]*VLOOKUP(OrganizedData[[#This Row],[Product Code]],ProductData[],4,FALSE)</f>
        <v>408</v>
      </c>
      <c r="Q4331" s="6">
        <f>OrganizedData[[#This Row],[Total Items Ordered]]*VLOOKUP(OrganizedData[[#This Row],[Product Code]],ProductData[],3,FALSE)</f>
        <v>1627.92</v>
      </c>
      <c r="R43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1627.92</v>
      </c>
    </row>
    <row r="4332" spans="1:18" x14ac:dyDescent="0.3">
      <c r="A4332" s="2">
        <v>4325</v>
      </c>
      <c r="B4332" s="2" t="s">
        <v>9531</v>
      </c>
      <c r="C4332" s="2" t="s">
        <v>2785</v>
      </c>
      <c r="D4332" s="2" t="s">
        <v>15</v>
      </c>
      <c r="E4332" s="2" t="s">
        <v>16</v>
      </c>
      <c r="F4332" s="2">
        <v>90</v>
      </c>
      <c r="G4332" s="2" t="s">
        <v>9532</v>
      </c>
      <c r="H4332" s="2" t="s">
        <v>1249</v>
      </c>
      <c r="I4332" s="2" t="s">
        <v>146</v>
      </c>
      <c r="J4332" s="3">
        <v>44408</v>
      </c>
      <c r="K4332" s="5">
        <f>YEAR(OrganizedData[[#This Row],[Order Date]])</f>
        <v>2021</v>
      </c>
      <c r="L4332" s="7" t="str">
        <f>TEXT(OrganizedData[[#This Row],[Order Date]],"mmm")</f>
        <v>Jul</v>
      </c>
      <c r="M4332" s="2">
        <v>8</v>
      </c>
      <c r="N4332" s="2" t="s">
        <v>54</v>
      </c>
      <c r="O4332" s="2" t="str">
        <f>VLOOKUP(OrganizedData[[#This Row],[Product Code]],ProductData[[Code]:[Item]],2,FALSE)</f>
        <v>Megawidget S</v>
      </c>
      <c r="P4332" s="4">
        <f>OrganizedData[[#This Row],[Quantity]]*VLOOKUP(OrganizedData[[#This Row],[Product Code]],ProductData[],4,FALSE)</f>
        <v>192</v>
      </c>
      <c r="Q4332" s="6">
        <f>OrganizedData[[#This Row],[Total Items Ordered]]*VLOOKUP(OrganizedData[[#This Row],[Product Code]],ProductData[],3,FALSE)</f>
        <v>132.47999999999999</v>
      </c>
      <c r="R43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132.47999999999999</v>
      </c>
    </row>
    <row r="4333" spans="1:18" x14ac:dyDescent="0.3">
      <c r="A4333" s="2">
        <v>4326</v>
      </c>
      <c r="B4333" s="2" t="s">
        <v>2259</v>
      </c>
      <c r="C4333" s="2" t="s">
        <v>492</v>
      </c>
      <c r="D4333" s="2" t="s">
        <v>28</v>
      </c>
      <c r="E4333" s="2" t="s">
        <v>29</v>
      </c>
      <c r="F4333" s="2">
        <v>30</v>
      </c>
      <c r="G4333" s="2" t="s">
        <v>9533</v>
      </c>
      <c r="H4333" s="2" t="s">
        <v>1590</v>
      </c>
      <c r="I4333" s="2" t="s">
        <v>32</v>
      </c>
      <c r="J4333" s="3">
        <v>44707</v>
      </c>
      <c r="K4333" s="5">
        <f>YEAR(OrganizedData[[#This Row],[Order Date]])</f>
        <v>2022</v>
      </c>
      <c r="L4333" s="7" t="str">
        <f>TEXT(OrganizedData[[#This Row],[Order Date]],"mmm")</f>
        <v>May</v>
      </c>
      <c r="M4333" s="2">
        <v>25</v>
      </c>
      <c r="N4333" s="2" t="s">
        <v>101</v>
      </c>
      <c r="O4333" s="2" t="str">
        <f>VLOOKUP(OrganizedData[[#This Row],[Product Code]],ProductData[[Code]:[Item]],2,FALSE)</f>
        <v>Superwossname</v>
      </c>
      <c r="P4333" s="4">
        <f>OrganizedData[[#This Row],[Quantity]]*VLOOKUP(OrganizedData[[#This Row],[Product Code]],ProductData[],4,FALSE)</f>
        <v>500</v>
      </c>
      <c r="Q4333" s="6">
        <f>OrganizedData[[#This Row],[Total Items Ordered]]*VLOOKUP(OrganizedData[[#This Row],[Product Code]],ProductData[],3,FALSE)</f>
        <v>1745</v>
      </c>
      <c r="R43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4334" spans="1:18" x14ac:dyDescent="0.3">
      <c r="A4334" s="2">
        <v>4327</v>
      </c>
      <c r="B4334" s="2" t="s">
        <v>3191</v>
      </c>
      <c r="C4334" s="2" t="s">
        <v>9534</v>
      </c>
      <c r="D4334" s="2" t="s">
        <v>15</v>
      </c>
      <c r="E4334" s="2" t="s">
        <v>16</v>
      </c>
      <c r="F4334" s="2">
        <v>60</v>
      </c>
      <c r="G4334" s="2" t="s">
        <v>9535</v>
      </c>
      <c r="H4334" s="2" t="s">
        <v>9536</v>
      </c>
      <c r="I4334" s="2" t="s">
        <v>32</v>
      </c>
      <c r="J4334" s="3">
        <v>43905</v>
      </c>
      <c r="K4334" s="5">
        <f>YEAR(OrganizedData[[#This Row],[Order Date]])</f>
        <v>2020</v>
      </c>
      <c r="L4334" s="7" t="str">
        <f>TEXT(OrganizedData[[#This Row],[Order Date]],"mmm")</f>
        <v>Mar</v>
      </c>
      <c r="M4334" s="2">
        <v>34</v>
      </c>
      <c r="N4334" s="2" t="s">
        <v>64</v>
      </c>
      <c r="O4334" s="2" t="str">
        <f>VLOOKUP(OrganizedData[[#This Row],[Product Code]],ProductData[[Code]:[Item]],2,FALSE)</f>
        <v>Ultrathing V4</v>
      </c>
      <c r="P4334" s="4">
        <f>OrganizedData[[#This Row],[Quantity]]*VLOOKUP(OrganizedData[[#This Row],[Product Code]],ProductData[],4,FALSE)</f>
        <v>816</v>
      </c>
      <c r="Q4334" s="6">
        <f>OrganizedData[[#This Row],[Total Items Ordered]]*VLOOKUP(OrganizedData[[#This Row],[Product Code]],ProductData[],3,FALSE)</f>
        <v>3255.84</v>
      </c>
      <c r="R43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4335" spans="1:18" x14ac:dyDescent="0.3">
      <c r="A4335" s="2">
        <v>4328</v>
      </c>
      <c r="B4335" s="2" t="s">
        <v>9537</v>
      </c>
      <c r="C4335" s="2" t="s">
        <v>3226</v>
      </c>
      <c r="D4335" s="2" t="s">
        <v>51</v>
      </c>
      <c r="E4335" s="2" t="s">
        <v>16</v>
      </c>
      <c r="F4335" s="2">
        <v>60</v>
      </c>
      <c r="G4335" s="2" t="s">
        <v>9538</v>
      </c>
      <c r="H4335" s="2" t="s">
        <v>1018</v>
      </c>
      <c r="I4335" s="2" t="s">
        <v>294</v>
      </c>
      <c r="J4335" s="3">
        <v>44588</v>
      </c>
      <c r="K4335" s="5">
        <f>YEAR(OrganizedData[[#This Row],[Order Date]])</f>
        <v>2022</v>
      </c>
      <c r="L4335" s="7" t="str">
        <f>TEXT(OrganizedData[[#This Row],[Order Date]],"mmm")</f>
        <v>Jan</v>
      </c>
      <c r="M4335" s="2">
        <v>43</v>
      </c>
      <c r="N4335" s="2" t="s">
        <v>39</v>
      </c>
      <c r="O4335" s="2" t="str">
        <f>VLOOKUP(OrganizedData[[#This Row],[Product Code]],ProductData[[Code]:[Item]],2,FALSE)</f>
        <v>Ultrathing V1</v>
      </c>
      <c r="P4335" s="4">
        <f>OrganizedData[[#This Row],[Quantity]]*VLOOKUP(OrganizedData[[#This Row],[Product Code]],ProductData[],4,FALSE)</f>
        <v>731</v>
      </c>
      <c r="Q4335" s="6">
        <f>OrganizedData[[#This Row],[Total Items Ordered]]*VLOOKUP(OrganizedData[[#This Row],[Product Code]],ProductData[],3,FALSE)</f>
        <v>1308.49</v>
      </c>
      <c r="R43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1269.2353000000001</v>
      </c>
    </row>
    <row r="4336" spans="1:18" x14ac:dyDescent="0.3">
      <c r="A4336" s="2">
        <v>4329</v>
      </c>
      <c r="B4336" s="2" t="s">
        <v>4805</v>
      </c>
      <c r="C4336" s="2" t="s">
        <v>1196</v>
      </c>
      <c r="D4336" s="2" t="s">
        <v>15</v>
      </c>
      <c r="E4336" s="2" t="s">
        <v>16</v>
      </c>
      <c r="F4336" s="2">
        <v>30</v>
      </c>
      <c r="G4336" s="2" t="s">
        <v>9538</v>
      </c>
      <c r="H4336" s="2" t="s">
        <v>382</v>
      </c>
      <c r="I4336" s="2" t="s">
        <v>32</v>
      </c>
      <c r="J4336" s="3">
        <v>43992</v>
      </c>
      <c r="K4336" s="5">
        <f>YEAR(OrganizedData[[#This Row],[Order Date]])</f>
        <v>2020</v>
      </c>
      <c r="L4336" s="7" t="str">
        <f>TEXT(OrganizedData[[#This Row],[Order Date]],"mmm")</f>
        <v>Jun</v>
      </c>
      <c r="M4336" s="2">
        <v>67</v>
      </c>
      <c r="N4336" s="2" t="s">
        <v>70</v>
      </c>
      <c r="O4336" s="2" t="str">
        <f>VLOOKUP(OrganizedData[[#This Row],[Product Code]],ProductData[[Code]:[Item]],2,FALSE)</f>
        <v>Megawidget M</v>
      </c>
      <c r="P4336" s="4">
        <f>OrganizedData[[#This Row],[Quantity]]*VLOOKUP(OrganizedData[[#This Row],[Product Code]],ProductData[],4,FALSE)</f>
        <v>1608</v>
      </c>
      <c r="Q4336" s="6">
        <f>OrganizedData[[#This Row],[Total Items Ordered]]*VLOOKUP(OrganizedData[[#This Row],[Product Code]],ProductData[],3,FALSE)</f>
        <v>2074.3200000000002</v>
      </c>
      <c r="R43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1970.604</v>
      </c>
    </row>
    <row r="4337" spans="1:18" x14ac:dyDescent="0.3">
      <c r="A4337" s="2">
        <v>4330</v>
      </c>
      <c r="B4337" s="2" t="s">
        <v>2388</v>
      </c>
      <c r="C4337" s="2" t="s">
        <v>1783</v>
      </c>
      <c r="D4337" s="2" t="s">
        <v>28</v>
      </c>
      <c r="E4337" s="2" t="s">
        <v>29</v>
      </c>
      <c r="F4337" s="2">
        <v>60</v>
      </c>
      <c r="G4337" s="2" t="s">
        <v>9539</v>
      </c>
      <c r="H4337" s="2" t="s">
        <v>2476</v>
      </c>
      <c r="I4337" s="2" t="s">
        <v>38</v>
      </c>
      <c r="J4337" s="3">
        <v>44733</v>
      </c>
      <c r="K4337" s="5">
        <f>YEAR(OrganizedData[[#This Row],[Order Date]])</f>
        <v>2022</v>
      </c>
      <c r="L4337" s="7" t="str">
        <f>TEXT(OrganizedData[[#This Row],[Order Date]],"mmm")</f>
        <v>Jun</v>
      </c>
      <c r="M4337" s="2">
        <v>105</v>
      </c>
      <c r="N4337" s="2" t="s">
        <v>20</v>
      </c>
      <c r="O4337" s="2" t="str">
        <f>VLOOKUP(OrganizedData[[#This Row],[Product Code]],ProductData[[Code]:[Item]],2,FALSE)</f>
        <v>Hyperwotsit</v>
      </c>
      <c r="P4337" s="4">
        <f>OrganizedData[[#This Row],[Quantity]]*VLOOKUP(OrganizedData[[#This Row],[Product Code]],ProductData[],4,FALSE)</f>
        <v>2100</v>
      </c>
      <c r="Q4337" s="6">
        <f>OrganizedData[[#This Row],[Total Items Ordered]]*VLOOKUP(OrganizedData[[#This Row],[Product Code]],ProductData[],3,FALSE)</f>
        <v>4221</v>
      </c>
      <c r="R43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3925.53</v>
      </c>
    </row>
    <row r="4338" spans="1:18" x14ac:dyDescent="0.3">
      <c r="A4338" s="2">
        <v>4331</v>
      </c>
      <c r="B4338" s="2" t="s">
        <v>9540</v>
      </c>
      <c r="C4338" s="2" t="s">
        <v>1861</v>
      </c>
      <c r="D4338" s="2" t="s">
        <v>51</v>
      </c>
      <c r="E4338" s="2" t="s">
        <v>16</v>
      </c>
      <c r="F4338" s="2">
        <v>90</v>
      </c>
      <c r="G4338" s="2" t="s">
        <v>9541</v>
      </c>
      <c r="H4338" s="2" t="s">
        <v>1444</v>
      </c>
      <c r="I4338" s="2" t="s">
        <v>1199</v>
      </c>
      <c r="J4338" s="3">
        <v>44010</v>
      </c>
      <c r="K4338" s="5">
        <f>YEAR(OrganizedData[[#This Row],[Order Date]])</f>
        <v>2020</v>
      </c>
      <c r="L4338" s="7" t="str">
        <f>TEXT(OrganizedData[[#This Row],[Order Date]],"mmm")</f>
        <v>Jun</v>
      </c>
      <c r="M4338" s="2">
        <v>78</v>
      </c>
      <c r="N4338" s="2" t="s">
        <v>101</v>
      </c>
      <c r="O4338" s="2" t="str">
        <f>VLOOKUP(OrganizedData[[#This Row],[Product Code]],ProductData[[Code]:[Item]],2,FALSE)</f>
        <v>Superwossname</v>
      </c>
      <c r="P4338" s="4">
        <f>OrganizedData[[#This Row],[Quantity]]*VLOOKUP(OrganizedData[[#This Row],[Product Code]],ProductData[],4,FALSE)</f>
        <v>1560</v>
      </c>
      <c r="Q4338" s="6">
        <f>OrganizedData[[#This Row],[Total Items Ordered]]*VLOOKUP(OrganizedData[[#This Row],[Product Code]],ProductData[],3,FALSE)</f>
        <v>5444.4000000000005</v>
      </c>
      <c r="R43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5172.18</v>
      </c>
    </row>
    <row r="4339" spans="1:18" x14ac:dyDescent="0.3">
      <c r="A4339" s="2">
        <v>4332</v>
      </c>
      <c r="B4339" s="2" t="s">
        <v>9542</v>
      </c>
      <c r="C4339" s="2" t="s">
        <v>2409</v>
      </c>
      <c r="D4339" s="2" t="s">
        <v>15</v>
      </c>
      <c r="E4339" s="2" t="s">
        <v>16</v>
      </c>
      <c r="F4339" s="2">
        <v>90</v>
      </c>
      <c r="G4339" s="2" t="s">
        <v>9543</v>
      </c>
      <c r="H4339" s="2" t="s">
        <v>6319</v>
      </c>
      <c r="I4339" s="2" t="s">
        <v>32</v>
      </c>
      <c r="J4339" s="3">
        <v>44711</v>
      </c>
      <c r="K4339" s="5">
        <f>YEAR(OrganizedData[[#This Row],[Order Date]])</f>
        <v>2022</v>
      </c>
      <c r="L4339" s="7" t="str">
        <f>TEXT(OrganizedData[[#This Row],[Order Date]],"mmm")</f>
        <v>May</v>
      </c>
      <c r="M4339" s="2">
        <v>69</v>
      </c>
      <c r="N4339" s="2" t="s">
        <v>39</v>
      </c>
      <c r="O4339" s="2" t="str">
        <f>VLOOKUP(OrganizedData[[#This Row],[Product Code]],ProductData[[Code]:[Item]],2,FALSE)</f>
        <v>Ultrathing V1</v>
      </c>
      <c r="P4339" s="4">
        <f>OrganizedData[[#This Row],[Quantity]]*VLOOKUP(OrganizedData[[#This Row],[Product Code]],ProductData[],4,FALSE)</f>
        <v>1173</v>
      </c>
      <c r="Q4339" s="6">
        <f>OrganizedData[[#This Row],[Total Items Ordered]]*VLOOKUP(OrganizedData[[#This Row],[Product Code]],ProductData[],3,FALSE)</f>
        <v>2099.67</v>
      </c>
      <c r="R43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4340" spans="1:18" x14ac:dyDescent="0.3">
      <c r="A4340" s="2">
        <v>4333</v>
      </c>
      <c r="B4340" s="2" t="s">
        <v>4392</v>
      </c>
      <c r="C4340" s="2" t="s">
        <v>1172</v>
      </c>
      <c r="D4340" s="2" t="s">
        <v>28</v>
      </c>
      <c r="E4340" s="2" t="s">
        <v>29</v>
      </c>
      <c r="F4340" s="2">
        <v>30</v>
      </c>
      <c r="G4340" s="2" t="s">
        <v>9544</v>
      </c>
      <c r="H4340" s="2" t="s">
        <v>315</v>
      </c>
      <c r="I4340" s="2" t="s">
        <v>32</v>
      </c>
      <c r="J4340" s="3">
        <v>44434</v>
      </c>
      <c r="K4340" s="5">
        <f>YEAR(OrganizedData[[#This Row],[Order Date]])</f>
        <v>2021</v>
      </c>
      <c r="L4340" s="7" t="str">
        <f>TEXT(OrganizedData[[#This Row],[Order Date]],"mmm")</f>
        <v>Aug</v>
      </c>
      <c r="M4340" s="2">
        <v>11</v>
      </c>
      <c r="N4340" s="2" t="s">
        <v>20</v>
      </c>
      <c r="O4340" s="2" t="str">
        <f>VLOOKUP(OrganizedData[[#This Row],[Product Code]],ProductData[[Code]:[Item]],2,FALSE)</f>
        <v>Hyperwotsit</v>
      </c>
      <c r="P4340" s="4">
        <f>OrganizedData[[#This Row],[Quantity]]*VLOOKUP(OrganizedData[[#This Row],[Product Code]],ProductData[],4,FALSE)</f>
        <v>220</v>
      </c>
      <c r="Q4340" s="6">
        <f>OrganizedData[[#This Row],[Total Items Ordered]]*VLOOKUP(OrganizedData[[#This Row],[Product Code]],ProductData[],3,FALSE)</f>
        <v>442.19999999999993</v>
      </c>
      <c r="R43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442.19999999999993</v>
      </c>
    </row>
    <row r="4341" spans="1:18" x14ac:dyDescent="0.3">
      <c r="A4341" s="2">
        <v>4334</v>
      </c>
      <c r="B4341" s="2" t="s">
        <v>6637</v>
      </c>
      <c r="C4341" s="2" t="s">
        <v>653</v>
      </c>
      <c r="D4341" s="2" t="s">
        <v>51</v>
      </c>
      <c r="E4341" s="2" t="s">
        <v>16</v>
      </c>
      <c r="F4341" s="2">
        <v>60</v>
      </c>
      <c r="G4341" s="2" t="s">
        <v>9545</v>
      </c>
      <c r="H4341" s="2" t="s">
        <v>3324</v>
      </c>
      <c r="I4341" s="2" t="s">
        <v>32</v>
      </c>
      <c r="J4341" s="3">
        <v>43942</v>
      </c>
      <c r="K4341" s="5">
        <f>YEAR(OrganizedData[[#This Row],[Order Date]])</f>
        <v>2020</v>
      </c>
      <c r="L4341" s="7" t="str">
        <f>TEXT(OrganizedData[[#This Row],[Order Date]],"mmm")</f>
        <v>Apr</v>
      </c>
      <c r="M4341" s="2">
        <v>65</v>
      </c>
      <c r="N4341" s="2" t="s">
        <v>33</v>
      </c>
      <c r="O4341" s="2" t="str">
        <f>VLOOKUP(OrganizedData[[#This Row],[Product Code]],ProductData[[Code]:[Item]],2,FALSE)</f>
        <v>Megawidget L</v>
      </c>
      <c r="P4341" s="4">
        <f>OrganizedData[[#This Row],[Quantity]]*VLOOKUP(OrganizedData[[#This Row],[Product Code]],ProductData[],4,FALSE)</f>
        <v>1560</v>
      </c>
      <c r="Q4341" s="6">
        <f>OrganizedData[[#This Row],[Total Items Ordered]]*VLOOKUP(OrganizedData[[#This Row],[Product Code]],ProductData[],3,FALSE)</f>
        <v>2792.4</v>
      </c>
      <c r="R43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2652.7799999999997</v>
      </c>
    </row>
    <row r="4342" spans="1:18" x14ac:dyDescent="0.3">
      <c r="A4342" s="2">
        <v>4335</v>
      </c>
      <c r="B4342" s="2" t="s">
        <v>9511</v>
      </c>
      <c r="C4342" s="2" t="s">
        <v>2282</v>
      </c>
      <c r="D4342" s="2" t="s">
        <v>51</v>
      </c>
      <c r="E4342" s="2" t="s">
        <v>16</v>
      </c>
      <c r="F4342" s="2">
        <v>60</v>
      </c>
      <c r="G4342" s="2" t="s">
        <v>9546</v>
      </c>
      <c r="H4342" s="2" t="s">
        <v>6343</v>
      </c>
      <c r="I4342" s="2" t="s">
        <v>32</v>
      </c>
      <c r="J4342" s="3">
        <v>44115</v>
      </c>
      <c r="K4342" s="5">
        <f>YEAR(OrganizedData[[#This Row],[Order Date]])</f>
        <v>2020</v>
      </c>
      <c r="L4342" s="7" t="str">
        <f>TEXT(OrganizedData[[#This Row],[Order Date]],"mmm")</f>
        <v>Oct</v>
      </c>
      <c r="M4342" s="2">
        <v>16</v>
      </c>
      <c r="N4342" s="2" t="s">
        <v>54</v>
      </c>
      <c r="O4342" s="2" t="str">
        <f>VLOOKUP(OrganizedData[[#This Row],[Product Code]],ProductData[[Code]:[Item]],2,FALSE)</f>
        <v>Megawidget S</v>
      </c>
      <c r="P4342" s="4">
        <f>OrganizedData[[#This Row],[Quantity]]*VLOOKUP(OrganizedData[[#This Row],[Product Code]],ProductData[],4,FALSE)</f>
        <v>384</v>
      </c>
      <c r="Q4342" s="6">
        <f>OrganizedData[[#This Row],[Total Items Ordered]]*VLOOKUP(OrganizedData[[#This Row],[Product Code]],ProductData[],3,FALSE)</f>
        <v>264.95999999999998</v>
      </c>
      <c r="R43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264.95999999999998</v>
      </c>
    </row>
    <row r="4343" spans="1:18" x14ac:dyDescent="0.3">
      <c r="A4343" s="2">
        <v>4336</v>
      </c>
      <c r="B4343" s="2" t="s">
        <v>8187</v>
      </c>
      <c r="C4343" s="2" t="s">
        <v>3956</v>
      </c>
      <c r="D4343" s="2" t="s">
        <v>28</v>
      </c>
      <c r="E4343" s="2" t="s">
        <v>29</v>
      </c>
      <c r="F4343" s="2">
        <v>60</v>
      </c>
      <c r="G4343" s="2" t="s">
        <v>9547</v>
      </c>
      <c r="H4343" s="2" t="s">
        <v>1754</v>
      </c>
      <c r="I4343" s="2" t="s">
        <v>25</v>
      </c>
      <c r="J4343" s="3">
        <v>44622</v>
      </c>
      <c r="K4343" s="5">
        <f>YEAR(OrganizedData[[#This Row],[Order Date]])</f>
        <v>2022</v>
      </c>
      <c r="L4343" s="7" t="str">
        <f>TEXT(OrganizedData[[#This Row],[Order Date]],"mmm")</f>
        <v>Mar</v>
      </c>
      <c r="M4343" s="2">
        <v>4</v>
      </c>
      <c r="N4343" s="2" t="s">
        <v>101</v>
      </c>
      <c r="O4343" s="2" t="str">
        <f>VLOOKUP(OrganizedData[[#This Row],[Product Code]],ProductData[[Code]:[Item]],2,FALSE)</f>
        <v>Superwossname</v>
      </c>
      <c r="P4343" s="4">
        <f>OrganizedData[[#This Row],[Quantity]]*VLOOKUP(OrganizedData[[#This Row],[Product Code]],ProductData[],4,FALSE)</f>
        <v>80</v>
      </c>
      <c r="Q4343" s="6">
        <f>OrganizedData[[#This Row],[Total Items Ordered]]*VLOOKUP(OrganizedData[[#This Row],[Product Code]],ProductData[],3,FALSE)</f>
        <v>279.20000000000005</v>
      </c>
      <c r="R43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279.20000000000005</v>
      </c>
    </row>
    <row r="4344" spans="1:18" x14ac:dyDescent="0.3">
      <c r="A4344" s="2">
        <v>4337</v>
      </c>
      <c r="B4344" s="2" t="s">
        <v>1748</v>
      </c>
      <c r="C4344" s="2" t="s">
        <v>928</v>
      </c>
      <c r="D4344" s="2" t="s">
        <v>28</v>
      </c>
      <c r="E4344" s="2" t="s">
        <v>29</v>
      </c>
      <c r="F4344" s="2">
        <v>30</v>
      </c>
      <c r="G4344" s="2" t="s">
        <v>9548</v>
      </c>
      <c r="H4344" s="2" t="s">
        <v>1408</v>
      </c>
      <c r="I4344" s="2" t="s">
        <v>1083</v>
      </c>
      <c r="J4344" s="3">
        <v>43975</v>
      </c>
      <c r="K4344" s="5">
        <f>YEAR(OrganizedData[[#This Row],[Order Date]])</f>
        <v>2020</v>
      </c>
      <c r="L4344" s="7" t="str">
        <f>TEXT(OrganizedData[[#This Row],[Order Date]],"mmm")</f>
        <v>May</v>
      </c>
      <c r="M4344" s="2">
        <v>54</v>
      </c>
      <c r="N4344" s="2" t="s">
        <v>64</v>
      </c>
      <c r="O4344" s="2" t="str">
        <f>VLOOKUP(OrganizedData[[#This Row],[Product Code]],ProductData[[Code]:[Item]],2,FALSE)</f>
        <v>Ultrathing V4</v>
      </c>
      <c r="P4344" s="4">
        <f>OrganizedData[[#This Row],[Quantity]]*VLOOKUP(OrganizedData[[#This Row],[Product Code]],ProductData[],4,FALSE)</f>
        <v>1296</v>
      </c>
      <c r="Q4344" s="6">
        <f>OrganizedData[[#This Row],[Total Items Ordered]]*VLOOKUP(OrganizedData[[#This Row],[Product Code]],ProductData[],3,FALSE)</f>
        <v>5171.04</v>
      </c>
      <c r="R43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4345" spans="1:18" x14ac:dyDescent="0.3">
      <c r="A4345" s="2">
        <v>4338</v>
      </c>
      <c r="B4345" s="2" t="s">
        <v>3410</v>
      </c>
      <c r="C4345" s="2" t="s">
        <v>5346</v>
      </c>
      <c r="D4345" s="2" t="s">
        <v>28</v>
      </c>
      <c r="E4345" s="2" t="s">
        <v>29</v>
      </c>
      <c r="F4345" s="2">
        <v>60</v>
      </c>
      <c r="G4345" s="2" t="s">
        <v>9549</v>
      </c>
      <c r="H4345" s="2" t="s">
        <v>2183</v>
      </c>
      <c r="I4345" s="2" t="s">
        <v>124</v>
      </c>
      <c r="J4345" s="3">
        <v>44626</v>
      </c>
      <c r="K4345" s="5">
        <f>YEAR(OrganizedData[[#This Row],[Order Date]])</f>
        <v>2022</v>
      </c>
      <c r="L4345" s="7" t="str">
        <f>TEXT(OrganizedData[[#This Row],[Order Date]],"mmm")</f>
        <v>Mar</v>
      </c>
      <c r="M4345" s="2">
        <v>23</v>
      </c>
      <c r="N4345" s="2" t="s">
        <v>39</v>
      </c>
      <c r="O4345" s="2" t="str">
        <f>VLOOKUP(OrganizedData[[#This Row],[Product Code]],ProductData[[Code]:[Item]],2,FALSE)</f>
        <v>Ultrathing V1</v>
      </c>
      <c r="P4345" s="4">
        <f>OrganizedData[[#This Row],[Quantity]]*VLOOKUP(OrganizedData[[#This Row],[Product Code]],ProductData[],4,FALSE)</f>
        <v>391</v>
      </c>
      <c r="Q4345" s="6">
        <f>OrganizedData[[#This Row],[Total Items Ordered]]*VLOOKUP(OrganizedData[[#This Row],[Product Code]],ProductData[],3,FALSE)</f>
        <v>699.89</v>
      </c>
      <c r="R43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678.89329999999995</v>
      </c>
    </row>
    <row r="4346" spans="1:18" x14ac:dyDescent="0.3">
      <c r="A4346" s="2">
        <v>4339</v>
      </c>
      <c r="B4346" s="2" t="s">
        <v>2527</v>
      </c>
      <c r="C4346" s="2" t="s">
        <v>7266</v>
      </c>
      <c r="D4346" s="2" t="s">
        <v>28</v>
      </c>
      <c r="E4346" s="2" t="s">
        <v>29</v>
      </c>
      <c r="F4346" s="2">
        <v>60</v>
      </c>
      <c r="G4346" s="2" t="s">
        <v>2512</v>
      </c>
      <c r="H4346" s="2" t="s">
        <v>338</v>
      </c>
      <c r="I4346" s="2" t="s">
        <v>173</v>
      </c>
      <c r="J4346" s="3">
        <v>44356</v>
      </c>
      <c r="K4346" s="5">
        <f>YEAR(OrganizedData[[#This Row],[Order Date]])</f>
        <v>2021</v>
      </c>
      <c r="L4346" s="7" t="str">
        <f>TEXT(OrganizedData[[#This Row],[Order Date]],"mmm")</f>
        <v>Jun</v>
      </c>
      <c r="M4346" s="2">
        <v>89</v>
      </c>
      <c r="N4346" s="2" t="s">
        <v>54</v>
      </c>
      <c r="O4346" s="2" t="str">
        <f>VLOOKUP(OrganizedData[[#This Row],[Product Code]],ProductData[[Code]:[Item]],2,FALSE)</f>
        <v>Megawidget S</v>
      </c>
      <c r="P4346" s="4">
        <f>OrganizedData[[#This Row],[Quantity]]*VLOOKUP(OrganizedData[[#This Row],[Product Code]],ProductData[],4,FALSE)</f>
        <v>2136</v>
      </c>
      <c r="Q4346" s="6">
        <f>OrganizedData[[#This Row],[Total Items Ordered]]*VLOOKUP(OrganizedData[[#This Row],[Product Code]],ProductData[],3,FALSE)</f>
        <v>1473.84</v>
      </c>
      <c r="R43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1400.1479999999999</v>
      </c>
    </row>
    <row r="4347" spans="1:18" x14ac:dyDescent="0.3">
      <c r="A4347" s="2">
        <v>4340</v>
      </c>
      <c r="B4347" s="2" t="s">
        <v>9550</v>
      </c>
      <c r="C4347" s="2" t="s">
        <v>1517</v>
      </c>
      <c r="D4347" s="2" t="s">
        <v>15</v>
      </c>
      <c r="E4347" s="2" t="s">
        <v>16</v>
      </c>
      <c r="F4347" s="2">
        <v>60</v>
      </c>
      <c r="G4347" s="2" t="s">
        <v>9551</v>
      </c>
      <c r="H4347" s="2" t="s">
        <v>1937</v>
      </c>
      <c r="I4347" s="2" t="s">
        <v>25</v>
      </c>
      <c r="J4347" s="3">
        <v>44873</v>
      </c>
      <c r="K4347" s="5">
        <f>YEAR(OrganizedData[[#This Row],[Order Date]])</f>
        <v>2022</v>
      </c>
      <c r="L4347" s="7" t="str">
        <f>TEXT(OrganizedData[[#This Row],[Order Date]],"mmm")</f>
        <v>Nov</v>
      </c>
      <c r="M4347" s="2">
        <v>41</v>
      </c>
      <c r="N4347" s="2" t="s">
        <v>101</v>
      </c>
      <c r="O4347" s="2" t="str">
        <f>VLOOKUP(OrganizedData[[#This Row],[Product Code]],ProductData[[Code]:[Item]],2,FALSE)</f>
        <v>Superwossname</v>
      </c>
      <c r="P4347" s="4">
        <f>OrganizedData[[#This Row],[Quantity]]*VLOOKUP(OrganizedData[[#This Row],[Product Code]],ProductData[],4,FALSE)</f>
        <v>820</v>
      </c>
      <c r="Q4347" s="6">
        <f>OrganizedData[[#This Row],[Total Items Ordered]]*VLOOKUP(OrganizedData[[#This Row],[Product Code]],ProductData[],3,FALSE)</f>
        <v>2861.8</v>
      </c>
      <c r="R43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2775.9459999999999</v>
      </c>
    </row>
    <row r="4348" spans="1:18" x14ac:dyDescent="0.3">
      <c r="A4348" s="2">
        <v>4341</v>
      </c>
      <c r="B4348" s="2" t="s">
        <v>9552</v>
      </c>
      <c r="C4348" s="2" t="s">
        <v>82</v>
      </c>
      <c r="D4348" s="2" t="s">
        <v>28</v>
      </c>
      <c r="E4348" s="2" t="s">
        <v>29</v>
      </c>
      <c r="F4348" s="2">
        <v>90</v>
      </c>
      <c r="G4348" s="2" t="s">
        <v>9553</v>
      </c>
      <c r="H4348" s="2" t="s">
        <v>1823</v>
      </c>
      <c r="I4348" s="2" t="s">
        <v>1824</v>
      </c>
      <c r="J4348" s="3">
        <v>44893</v>
      </c>
      <c r="K4348" s="5">
        <f>YEAR(OrganizedData[[#This Row],[Order Date]])</f>
        <v>2022</v>
      </c>
      <c r="L4348" s="7" t="str">
        <f>TEXT(OrganizedData[[#This Row],[Order Date]],"mmm")</f>
        <v>Nov</v>
      </c>
      <c r="M4348" s="2">
        <v>26</v>
      </c>
      <c r="N4348" s="2" t="s">
        <v>64</v>
      </c>
      <c r="O4348" s="2" t="str">
        <f>VLOOKUP(OrganizedData[[#This Row],[Product Code]],ProductData[[Code]:[Item]],2,FALSE)</f>
        <v>Ultrathing V4</v>
      </c>
      <c r="P4348" s="4">
        <f>OrganizedData[[#This Row],[Quantity]]*VLOOKUP(OrganizedData[[#This Row],[Product Code]],ProductData[],4,FALSE)</f>
        <v>624</v>
      </c>
      <c r="Q4348" s="6">
        <f>OrganizedData[[#This Row],[Total Items Ordered]]*VLOOKUP(OrganizedData[[#This Row],[Product Code]],ProductData[],3,FALSE)</f>
        <v>2489.7600000000002</v>
      </c>
      <c r="R43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2415.0672</v>
      </c>
    </row>
    <row r="4349" spans="1:18" x14ac:dyDescent="0.3">
      <c r="A4349" s="2">
        <v>4342</v>
      </c>
      <c r="B4349" s="2" t="s">
        <v>9554</v>
      </c>
      <c r="C4349" s="2" t="s">
        <v>1866</v>
      </c>
      <c r="D4349" s="2" t="s">
        <v>15</v>
      </c>
      <c r="E4349" s="2" t="s">
        <v>16</v>
      </c>
      <c r="F4349" s="2">
        <v>30</v>
      </c>
      <c r="G4349" s="2" t="s">
        <v>9555</v>
      </c>
      <c r="H4349" s="2" t="s">
        <v>1186</v>
      </c>
      <c r="I4349" s="2" t="s">
        <v>32</v>
      </c>
      <c r="J4349" s="3">
        <v>43968</v>
      </c>
      <c r="K4349" s="5">
        <f>YEAR(OrganizedData[[#This Row],[Order Date]])</f>
        <v>2020</v>
      </c>
      <c r="L4349" s="7" t="str">
        <f>TEXT(OrganizedData[[#This Row],[Order Date]],"mmm")</f>
        <v>May</v>
      </c>
      <c r="M4349" s="2">
        <v>68</v>
      </c>
      <c r="N4349" s="2" t="s">
        <v>80</v>
      </c>
      <c r="O4349" s="2" t="str">
        <f>VLOOKUP(OrganizedData[[#This Row],[Product Code]],ProductData[[Code]:[Item]],2,FALSE)</f>
        <v>Ultrathing V2</v>
      </c>
      <c r="P4349" s="4">
        <f>OrganizedData[[#This Row],[Quantity]]*VLOOKUP(OrganizedData[[#This Row],[Product Code]],ProductData[],4,FALSE)</f>
        <v>1360</v>
      </c>
      <c r="Q4349" s="6">
        <f>OrganizedData[[#This Row],[Total Items Ordered]]*VLOOKUP(OrganizedData[[#This Row],[Product Code]],ProductData[],3,FALSE)</f>
        <v>4012.0000000000005</v>
      </c>
      <c r="R43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4350" spans="1:18" x14ac:dyDescent="0.3">
      <c r="A4350" s="2">
        <v>4343</v>
      </c>
      <c r="B4350" s="2" t="s">
        <v>7349</v>
      </c>
      <c r="C4350" s="2" t="s">
        <v>3352</v>
      </c>
      <c r="D4350" s="2" t="s">
        <v>28</v>
      </c>
      <c r="E4350" s="2" t="s">
        <v>29</v>
      </c>
      <c r="F4350" s="2">
        <v>30</v>
      </c>
      <c r="G4350" s="2" t="s">
        <v>9556</v>
      </c>
      <c r="H4350" s="2" t="s">
        <v>6154</v>
      </c>
      <c r="I4350" s="2" t="s">
        <v>38</v>
      </c>
      <c r="J4350" s="3">
        <v>43889</v>
      </c>
      <c r="K4350" s="5">
        <f>YEAR(OrganizedData[[#This Row],[Order Date]])</f>
        <v>2020</v>
      </c>
      <c r="L4350" s="7" t="str">
        <f>TEXT(OrganizedData[[#This Row],[Order Date]],"mmm")</f>
        <v>Feb</v>
      </c>
      <c r="M4350" s="2">
        <v>16</v>
      </c>
      <c r="N4350" s="2" t="s">
        <v>64</v>
      </c>
      <c r="O4350" s="2" t="str">
        <f>VLOOKUP(OrganizedData[[#This Row],[Product Code]],ProductData[[Code]:[Item]],2,FALSE)</f>
        <v>Ultrathing V4</v>
      </c>
      <c r="P4350" s="4">
        <f>OrganizedData[[#This Row],[Quantity]]*VLOOKUP(OrganizedData[[#This Row],[Product Code]],ProductData[],4,FALSE)</f>
        <v>384</v>
      </c>
      <c r="Q4350" s="6">
        <f>OrganizedData[[#This Row],[Total Items Ordered]]*VLOOKUP(OrganizedData[[#This Row],[Product Code]],ProductData[],3,FALSE)</f>
        <v>1532.16</v>
      </c>
      <c r="R43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1532.16</v>
      </c>
    </row>
    <row r="4351" spans="1:18" x14ac:dyDescent="0.3">
      <c r="A4351" s="2">
        <v>4344</v>
      </c>
      <c r="B4351" s="2" t="s">
        <v>2300</v>
      </c>
      <c r="C4351" s="2" t="s">
        <v>7448</v>
      </c>
      <c r="D4351" s="2" t="s">
        <v>28</v>
      </c>
      <c r="E4351" s="2" t="s">
        <v>29</v>
      </c>
      <c r="F4351" s="2">
        <v>90</v>
      </c>
      <c r="G4351" s="2" t="s">
        <v>9557</v>
      </c>
      <c r="H4351" s="2" t="s">
        <v>8865</v>
      </c>
      <c r="I4351" s="2" t="s">
        <v>32</v>
      </c>
      <c r="J4351" s="3">
        <v>44652</v>
      </c>
      <c r="K4351" s="5">
        <f>YEAR(OrganizedData[[#This Row],[Order Date]])</f>
        <v>2022</v>
      </c>
      <c r="L4351" s="7" t="str">
        <f>TEXT(OrganizedData[[#This Row],[Order Date]],"mmm")</f>
        <v>Apr</v>
      </c>
      <c r="M4351" s="2">
        <v>84</v>
      </c>
      <c r="N4351" s="2" t="s">
        <v>33</v>
      </c>
      <c r="O4351" s="2" t="str">
        <f>VLOOKUP(OrganizedData[[#This Row],[Product Code]],ProductData[[Code]:[Item]],2,FALSE)</f>
        <v>Megawidget L</v>
      </c>
      <c r="P4351" s="4">
        <f>OrganizedData[[#This Row],[Quantity]]*VLOOKUP(OrganizedData[[#This Row],[Product Code]],ProductData[],4,FALSE)</f>
        <v>2016</v>
      </c>
      <c r="Q4351" s="6">
        <f>OrganizedData[[#This Row],[Total Items Ordered]]*VLOOKUP(OrganizedData[[#This Row],[Product Code]],ProductData[],3,FALSE)</f>
        <v>3608.64</v>
      </c>
      <c r="R43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3428.2079999999996</v>
      </c>
    </row>
    <row r="4352" spans="1:18" x14ac:dyDescent="0.3">
      <c r="A4352" s="2">
        <v>4345</v>
      </c>
      <c r="B4352" s="2" t="s">
        <v>7802</v>
      </c>
      <c r="C4352" s="2" t="s">
        <v>1789</v>
      </c>
      <c r="D4352" s="2" t="s">
        <v>15</v>
      </c>
      <c r="E4352" s="2" t="s">
        <v>16</v>
      </c>
      <c r="F4352" s="2">
        <v>30</v>
      </c>
      <c r="G4352" s="2" t="s">
        <v>9558</v>
      </c>
      <c r="H4352" s="2" t="s">
        <v>933</v>
      </c>
      <c r="I4352" s="2" t="s">
        <v>934</v>
      </c>
      <c r="J4352" s="3">
        <v>44910</v>
      </c>
      <c r="K4352" s="5">
        <f>YEAR(OrganizedData[[#This Row],[Order Date]])</f>
        <v>2022</v>
      </c>
      <c r="L4352" s="7" t="str">
        <f>TEXT(OrganizedData[[#This Row],[Order Date]],"mmm")</f>
        <v>Dec</v>
      </c>
      <c r="M4352" s="2">
        <v>78</v>
      </c>
      <c r="N4352" s="2" t="s">
        <v>80</v>
      </c>
      <c r="O4352" s="2" t="str">
        <f>VLOOKUP(OrganizedData[[#This Row],[Product Code]],ProductData[[Code]:[Item]],2,FALSE)</f>
        <v>Ultrathing V2</v>
      </c>
      <c r="P4352" s="4">
        <f>OrganizedData[[#This Row],[Quantity]]*VLOOKUP(OrganizedData[[#This Row],[Product Code]],ProductData[],4,FALSE)</f>
        <v>1560</v>
      </c>
      <c r="Q4352" s="6">
        <f>OrganizedData[[#This Row],[Total Items Ordered]]*VLOOKUP(OrganizedData[[#This Row],[Product Code]],ProductData[],3,FALSE)</f>
        <v>4602</v>
      </c>
      <c r="R43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4353" spans="1:18" x14ac:dyDescent="0.3">
      <c r="A4353" s="2">
        <v>4346</v>
      </c>
      <c r="B4353" s="2" t="s">
        <v>7595</v>
      </c>
      <c r="C4353" s="2" t="s">
        <v>9110</v>
      </c>
      <c r="D4353" s="2" t="s">
        <v>28</v>
      </c>
      <c r="E4353" s="2" t="s">
        <v>29</v>
      </c>
      <c r="F4353" s="2">
        <v>90</v>
      </c>
      <c r="G4353" s="2" t="s">
        <v>9559</v>
      </c>
      <c r="H4353" s="2" t="s">
        <v>655</v>
      </c>
      <c r="I4353" s="2" t="s">
        <v>32</v>
      </c>
      <c r="J4353" s="3">
        <v>44557</v>
      </c>
      <c r="K4353" s="5">
        <f>YEAR(OrganizedData[[#This Row],[Order Date]])</f>
        <v>2021</v>
      </c>
      <c r="L4353" s="7" t="str">
        <f>TEXT(OrganizedData[[#This Row],[Order Date]],"mmm")</f>
        <v>Dec</v>
      </c>
      <c r="M4353" s="2">
        <v>26</v>
      </c>
      <c r="N4353" s="2" t="s">
        <v>70</v>
      </c>
      <c r="O4353" s="2" t="str">
        <f>VLOOKUP(OrganizedData[[#This Row],[Product Code]],ProductData[[Code]:[Item]],2,FALSE)</f>
        <v>Megawidget M</v>
      </c>
      <c r="P4353" s="4">
        <f>OrganizedData[[#This Row],[Quantity]]*VLOOKUP(OrganizedData[[#This Row],[Product Code]],ProductData[],4,FALSE)</f>
        <v>624</v>
      </c>
      <c r="Q4353" s="6">
        <f>OrganizedData[[#This Row],[Total Items Ordered]]*VLOOKUP(OrganizedData[[#This Row],[Product Code]],ProductData[],3,FALSE)</f>
        <v>804.96</v>
      </c>
      <c r="R43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780.81119999999999</v>
      </c>
    </row>
    <row r="4354" spans="1:18" x14ac:dyDescent="0.3">
      <c r="A4354" s="2">
        <v>4347</v>
      </c>
      <c r="B4354" s="2" t="s">
        <v>4430</v>
      </c>
      <c r="C4354" s="2" t="s">
        <v>5541</v>
      </c>
      <c r="D4354" s="2" t="s">
        <v>28</v>
      </c>
      <c r="E4354" s="2" t="s">
        <v>29</v>
      </c>
      <c r="F4354" s="2">
        <v>90</v>
      </c>
      <c r="G4354" s="2" t="s">
        <v>9560</v>
      </c>
      <c r="H4354" s="2" t="s">
        <v>9561</v>
      </c>
      <c r="I4354" s="2" t="s">
        <v>913</v>
      </c>
      <c r="J4354" s="3">
        <v>44892</v>
      </c>
      <c r="K4354" s="5">
        <f>YEAR(OrganizedData[[#This Row],[Order Date]])</f>
        <v>2022</v>
      </c>
      <c r="L4354" s="7" t="str">
        <f>TEXT(OrganizedData[[#This Row],[Order Date]],"mmm")</f>
        <v>Nov</v>
      </c>
      <c r="M4354" s="2">
        <v>42</v>
      </c>
      <c r="N4354" s="2" t="s">
        <v>159</v>
      </c>
      <c r="O4354" s="2" t="str">
        <f>VLOOKUP(OrganizedData[[#This Row],[Product Code]],ProductData[[Code]:[Item]],2,FALSE)</f>
        <v>Ultrathing V3</v>
      </c>
      <c r="P4354" s="4">
        <f>OrganizedData[[#This Row],[Quantity]]*VLOOKUP(OrganizedData[[#This Row],[Product Code]],ProductData[],4,FALSE)</f>
        <v>1008</v>
      </c>
      <c r="Q4354" s="6">
        <f>OrganizedData[[#This Row],[Total Items Ordered]]*VLOOKUP(OrganizedData[[#This Row],[Product Code]],ProductData[],3,FALSE)</f>
        <v>3417.1200000000003</v>
      </c>
      <c r="R43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3314.6064000000001</v>
      </c>
    </row>
    <row r="4355" spans="1:18" x14ac:dyDescent="0.3">
      <c r="A4355" s="2">
        <v>4348</v>
      </c>
      <c r="B4355" s="2" t="s">
        <v>1027</v>
      </c>
      <c r="C4355" s="2" t="s">
        <v>2349</v>
      </c>
      <c r="D4355" s="2" t="s">
        <v>28</v>
      </c>
      <c r="E4355" s="2" t="s">
        <v>29</v>
      </c>
      <c r="F4355" s="2">
        <v>90</v>
      </c>
      <c r="G4355" s="2" t="s">
        <v>9562</v>
      </c>
      <c r="H4355" s="2" t="s">
        <v>3387</v>
      </c>
      <c r="I4355" s="2" t="s">
        <v>2878</v>
      </c>
      <c r="J4355" s="3">
        <v>44247</v>
      </c>
      <c r="K4355" s="5">
        <f>YEAR(OrganizedData[[#This Row],[Order Date]])</f>
        <v>2021</v>
      </c>
      <c r="L4355" s="7" t="str">
        <f>TEXT(OrganizedData[[#This Row],[Order Date]],"mmm")</f>
        <v>Feb</v>
      </c>
      <c r="M4355" s="2">
        <v>87</v>
      </c>
      <c r="N4355" s="2" t="s">
        <v>54</v>
      </c>
      <c r="O4355" s="2" t="str">
        <f>VLOOKUP(OrganizedData[[#This Row],[Product Code]],ProductData[[Code]:[Item]],2,FALSE)</f>
        <v>Megawidget S</v>
      </c>
      <c r="P4355" s="4">
        <f>OrganizedData[[#This Row],[Quantity]]*VLOOKUP(OrganizedData[[#This Row],[Product Code]],ProductData[],4,FALSE)</f>
        <v>2088</v>
      </c>
      <c r="Q4355" s="6">
        <f>OrganizedData[[#This Row],[Total Items Ordered]]*VLOOKUP(OrganizedData[[#This Row],[Product Code]],ProductData[],3,FALSE)</f>
        <v>1440.7199999999998</v>
      </c>
      <c r="R43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1368.6839999999997</v>
      </c>
    </row>
    <row r="4356" spans="1:18" x14ac:dyDescent="0.3">
      <c r="A4356" s="2">
        <v>4349</v>
      </c>
      <c r="B4356" s="2" t="s">
        <v>9563</v>
      </c>
      <c r="C4356" s="2" t="s">
        <v>5199</v>
      </c>
      <c r="D4356" s="2" t="s">
        <v>15</v>
      </c>
      <c r="E4356" s="2" t="s">
        <v>16</v>
      </c>
      <c r="F4356" s="2">
        <v>90</v>
      </c>
      <c r="G4356" s="2" t="s">
        <v>9564</v>
      </c>
      <c r="H4356" s="2" t="s">
        <v>4853</v>
      </c>
      <c r="I4356" s="2" t="s">
        <v>178</v>
      </c>
      <c r="J4356" s="3">
        <v>43989</v>
      </c>
      <c r="K4356" s="5">
        <f>YEAR(OrganizedData[[#This Row],[Order Date]])</f>
        <v>2020</v>
      </c>
      <c r="L4356" s="7" t="str">
        <f>TEXT(OrganizedData[[#This Row],[Order Date]],"mmm")</f>
        <v>Jun</v>
      </c>
      <c r="M4356" s="2">
        <v>62</v>
      </c>
      <c r="N4356" s="2" t="s">
        <v>45</v>
      </c>
      <c r="O4356" s="2" t="str">
        <f>VLOOKUP(OrganizedData[[#This Row],[Product Code]],ProductData[[Code]:[Item]],2,FALSE)</f>
        <v>Gigastuff</v>
      </c>
      <c r="P4356" s="4">
        <f>OrganizedData[[#This Row],[Quantity]]*VLOOKUP(OrganizedData[[#This Row],[Product Code]],ProductData[],4,FALSE)</f>
        <v>1116</v>
      </c>
      <c r="Q4356" s="6">
        <f>OrganizedData[[#This Row],[Total Items Ordered]]*VLOOKUP(OrganizedData[[#This Row],[Product Code]],ProductData[],3,FALSE)</f>
        <v>2109.2399999999998</v>
      </c>
      <c r="R43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2003.7779999999998</v>
      </c>
    </row>
    <row r="4357" spans="1:18" x14ac:dyDescent="0.3">
      <c r="A4357" s="2">
        <v>4350</v>
      </c>
      <c r="B4357" s="2" t="s">
        <v>9565</v>
      </c>
      <c r="C4357" s="2" t="s">
        <v>1101</v>
      </c>
      <c r="D4357" s="2" t="s">
        <v>28</v>
      </c>
      <c r="E4357" s="2" t="s">
        <v>29</v>
      </c>
      <c r="F4357" s="2">
        <v>30</v>
      </c>
      <c r="G4357" s="2" t="s">
        <v>9566</v>
      </c>
      <c r="H4357" s="2" t="s">
        <v>1299</v>
      </c>
      <c r="I4357" s="2" t="s">
        <v>1199</v>
      </c>
      <c r="J4357" s="3">
        <v>44424</v>
      </c>
      <c r="K4357" s="5">
        <f>YEAR(OrganizedData[[#This Row],[Order Date]])</f>
        <v>2021</v>
      </c>
      <c r="L4357" s="7" t="str">
        <f>TEXT(OrganizedData[[#This Row],[Order Date]],"mmm")</f>
        <v>Aug</v>
      </c>
      <c r="M4357" s="2">
        <v>13</v>
      </c>
      <c r="N4357" s="2" t="s">
        <v>39</v>
      </c>
      <c r="O4357" s="2" t="str">
        <f>VLOOKUP(OrganizedData[[#This Row],[Product Code]],ProductData[[Code]:[Item]],2,FALSE)</f>
        <v>Ultrathing V1</v>
      </c>
      <c r="P4357" s="4">
        <f>OrganizedData[[#This Row],[Quantity]]*VLOOKUP(OrganizedData[[#This Row],[Product Code]],ProductData[],4,FALSE)</f>
        <v>221</v>
      </c>
      <c r="Q4357" s="6">
        <f>OrganizedData[[#This Row],[Total Items Ordered]]*VLOOKUP(OrganizedData[[#This Row],[Product Code]],ProductData[],3,FALSE)</f>
        <v>395.59000000000003</v>
      </c>
      <c r="R43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395.59000000000003</v>
      </c>
    </row>
    <row r="4358" spans="1:18" x14ac:dyDescent="0.3">
      <c r="A4358" s="2">
        <v>4351</v>
      </c>
      <c r="B4358" s="2" t="s">
        <v>6190</v>
      </c>
      <c r="C4358" s="2" t="s">
        <v>1286</v>
      </c>
      <c r="D4358" s="2" t="s">
        <v>28</v>
      </c>
      <c r="E4358" s="2" t="s">
        <v>29</v>
      </c>
      <c r="F4358" s="2">
        <v>90</v>
      </c>
      <c r="G4358" s="2" t="s">
        <v>9567</v>
      </c>
      <c r="H4358" s="2" t="s">
        <v>3822</v>
      </c>
      <c r="I4358" s="2" t="s">
        <v>1454</v>
      </c>
      <c r="J4358" s="3">
        <v>44041</v>
      </c>
      <c r="K4358" s="5">
        <f>YEAR(OrganizedData[[#This Row],[Order Date]])</f>
        <v>2020</v>
      </c>
      <c r="L4358" s="7" t="str">
        <f>TEXT(OrganizedData[[#This Row],[Order Date]],"mmm")</f>
        <v>Jul</v>
      </c>
      <c r="M4358" s="2">
        <v>18</v>
      </c>
      <c r="N4358" s="2" t="s">
        <v>70</v>
      </c>
      <c r="O4358" s="2" t="str">
        <f>VLOOKUP(OrganizedData[[#This Row],[Product Code]],ProductData[[Code]:[Item]],2,FALSE)</f>
        <v>Megawidget M</v>
      </c>
      <c r="P4358" s="4">
        <f>OrganizedData[[#This Row],[Quantity]]*VLOOKUP(OrganizedData[[#This Row],[Product Code]],ProductData[],4,FALSE)</f>
        <v>432</v>
      </c>
      <c r="Q4358" s="6">
        <f>OrganizedData[[#This Row],[Total Items Ordered]]*VLOOKUP(OrganizedData[[#This Row],[Product Code]],ProductData[],3,FALSE)</f>
        <v>557.28</v>
      </c>
      <c r="R43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4359" spans="1:18" x14ac:dyDescent="0.3">
      <c r="A4359" s="2">
        <v>4352</v>
      </c>
      <c r="B4359" s="2" t="s">
        <v>1748</v>
      </c>
      <c r="C4359" s="2" t="s">
        <v>1762</v>
      </c>
      <c r="D4359" s="2" t="s">
        <v>28</v>
      </c>
      <c r="E4359" s="2" t="s">
        <v>29</v>
      </c>
      <c r="F4359" s="2">
        <v>60</v>
      </c>
      <c r="G4359" s="2" t="s">
        <v>9568</v>
      </c>
      <c r="H4359" s="2" t="s">
        <v>1417</v>
      </c>
      <c r="I4359" s="2" t="s">
        <v>32</v>
      </c>
      <c r="J4359" s="3">
        <v>44842</v>
      </c>
      <c r="K4359" s="5">
        <f>YEAR(OrganizedData[[#This Row],[Order Date]])</f>
        <v>2022</v>
      </c>
      <c r="L4359" s="7" t="str">
        <f>TEXT(OrganizedData[[#This Row],[Order Date]],"mmm")</f>
        <v>Oct</v>
      </c>
      <c r="M4359" s="2">
        <v>70</v>
      </c>
      <c r="N4359" s="2" t="s">
        <v>20</v>
      </c>
      <c r="O4359" s="2" t="str">
        <f>VLOOKUP(OrganizedData[[#This Row],[Product Code]],ProductData[[Code]:[Item]],2,FALSE)</f>
        <v>Hyperwotsit</v>
      </c>
      <c r="P4359" s="4">
        <f>OrganizedData[[#This Row],[Quantity]]*VLOOKUP(OrganizedData[[#This Row],[Product Code]],ProductData[],4,FALSE)</f>
        <v>1400</v>
      </c>
      <c r="Q4359" s="6">
        <f>OrganizedData[[#This Row],[Total Items Ordered]]*VLOOKUP(OrganizedData[[#This Row],[Product Code]],ProductData[],3,FALSE)</f>
        <v>2813.9999999999995</v>
      </c>
      <c r="R43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2673.2999999999993</v>
      </c>
    </row>
    <row r="4360" spans="1:18" x14ac:dyDescent="0.3">
      <c r="A4360" s="2">
        <v>4353</v>
      </c>
      <c r="B4360" s="2" t="s">
        <v>9569</v>
      </c>
      <c r="C4360" s="2" t="s">
        <v>8136</v>
      </c>
      <c r="D4360" s="2" t="s">
        <v>51</v>
      </c>
      <c r="E4360" s="2" t="s">
        <v>16</v>
      </c>
      <c r="F4360" s="2">
        <v>30</v>
      </c>
      <c r="G4360" s="2" t="s">
        <v>9570</v>
      </c>
      <c r="H4360" s="2" t="s">
        <v>3876</v>
      </c>
      <c r="I4360" s="2" t="s">
        <v>32</v>
      </c>
      <c r="J4360" s="3">
        <v>44893</v>
      </c>
      <c r="K4360" s="5">
        <f>YEAR(OrganizedData[[#This Row],[Order Date]])</f>
        <v>2022</v>
      </c>
      <c r="L4360" s="7" t="str">
        <f>TEXT(OrganizedData[[#This Row],[Order Date]],"mmm")</f>
        <v>Nov</v>
      </c>
      <c r="M4360" s="2">
        <v>88</v>
      </c>
      <c r="N4360" s="2" t="s">
        <v>70</v>
      </c>
      <c r="O4360" s="2" t="str">
        <f>VLOOKUP(OrganizedData[[#This Row],[Product Code]],ProductData[[Code]:[Item]],2,FALSE)</f>
        <v>Megawidget M</v>
      </c>
      <c r="P4360" s="4">
        <f>OrganizedData[[#This Row],[Quantity]]*VLOOKUP(OrganizedData[[#This Row],[Product Code]],ProductData[],4,FALSE)</f>
        <v>2112</v>
      </c>
      <c r="Q4360" s="6">
        <f>OrganizedData[[#This Row],[Total Items Ordered]]*VLOOKUP(OrganizedData[[#This Row],[Product Code]],ProductData[],3,FALSE)</f>
        <v>2724.48</v>
      </c>
      <c r="R43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2588.2559999999999</v>
      </c>
    </row>
    <row r="4361" spans="1:18" x14ac:dyDescent="0.3">
      <c r="A4361" s="2">
        <v>4354</v>
      </c>
      <c r="B4361" s="2" t="s">
        <v>6547</v>
      </c>
      <c r="C4361" s="2" t="s">
        <v>9571</v>
      </c>
      <c r="D4361" s="2" t="s">
        <v>28</v>
      </c>
      <c r="E4361" s="2" t="s">
        <v>29</v>
      </c>
      <c r="F4361" s="2">
        <v>60</v>
      </c>
      <c r="G4361" s="2" t="s">
        <v>9572</v>
      </c>
      <c r="H4361" s="2" t="s">
        <v>128</v>
      </c>
      <c r="I4361" s="2" t="s">
        <v>129</v>
      </c>
      <c r="J4361" s="3">
        <v>44347</v>
      </c>
      <c r="K4361" s="5">
        <f>YEAR(OrganizedData[[#This Row],[Order Date]])</f>
        <v>2021</v>
      </c>
      <c r="L4361" s="7" t="str">
        <f>TEXT(OrganizedData[[#This Row],[Order Date]],"mmm")</f>
        <v>May</v>
      </c>
      <c r="M4361" s="2">
        <v>79</v>
      </c>
      <c r="N4361" s="2" t="s">
        <v>70</v>
      </c>
      <c r="O4361" s="2" t="str">
        <f>VLOOKUP(OrganizedData[[#This Row],[Product Code]],ProductData[[Code]:[Item]],2,FALSE)</f>
        <v>Megawidget M</v>
      </c>
      <c r="P4361" s="4">
        <f>OrganizedData[[#This Row],[Quantity]]*VLOOKUP(OrganizedData[[#This Row],[Product Code]],ProductData[],4,FALSE)</f>
        <v>1896</v>
      </c>
      <c r="Q4361" s="6">
        <f>OrganizedData[[#This Row],[Total Items Ordered]]*VLOOKUP(OrganizedData[[#This Row],[Product Code]],ProductData[],3,FALSE)</f>
        <v>2445.84</v>
      </c>
      <c r="R43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2323.5480000000002</v>
      </c>
    </row>
    <row r="4362" spans="1:18" x14ac:dyDescent="0.3">
      <c r="A4362" s="2">
        <v>4355</v>
      </c>
      <c r="B4362" s="2" t="s">
        <v>9573</v>
      </c>
      <c r="C4362" s="2" t="s">
        <v>9170</v>
      </c>
      <c r="D4362" s="2" t="s">
        <v>51</v>
      </c>
      <c r="E4362" s="2" t="s">
        <v>16</v>
      </c>
      <c r="F4362" s="2">
        <v>90</v>
      </c>
      <c r="G4362" s="2" t="s">
        <v>9574</v>
      </c>
      <c r="H4362" s="2" t="s">
        <v>1761</v>
      </c>
      <c r="I4362" s="2" t="s">
        <v>38</v>
      </c>
      <c r="J4362" s="3">
        <v>44703</v>
      </c>
      <c r="K4362" s="5">
        <f>YEAR(OrganizedData[[#This Row],[Order Date]])</f>
        <v>2022</v>
      </c>
      <c r="L4362" s="7" t="str">
        <f>TEXT(OrganizedData[[#This Row],[Order Date]],"mmm")</f>
        <v>May</v>
      </c>
      <c r="M4362" s="2">
        <v>72</v>
      </c>
      <c r="N4362" s="2" t="s">
        <v>39</v>
      </c>
      <c r="O4362" s="2" t="str">
        <f>VLOOKUP(OrganizedData[[#This Row],[Product Code]],ProductData[[Code]:[Item]],2,FALSE)</f>
        <v>Ultrathing V1</v>
      </c>
      <c r="P4362" s="4">
        <f>OrganizedData[[#This Row],[Quantity]]*VLOOKUP(OrganizedData[[#This Row],[Product Code]],ProductData[],4,FALSE)</f>
        <v>1224</v>
      </c>
      <c r="Q4362" s="6">
        <f>OrganizedData[[#This Row],[Total Items Ordered]]*VLOOKUP(OrganizedData[[#This Row],[Product Code]],ProductData[],3,FALSE)</f>
        <v>2190.96</v>
      </c>
      <c r="R43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4363" spans="1:18" x14ac:dyDescent="0.3">
      <c r="A4363" s="2">
        <v>4356</v>
      </c>
      <c r="B4363" s="2" t="s">
        <v>237</v>
      </c>
      <c r="C4363" s="2" t="s">
        <v>708</v>
      </c>
      <c r="D4363" s="2" t="s">
        <v>28</v>
      </c>
      <c r="E4363" s="2" t="s">
        <v>29</v>
      </c>
      <c r="F4363" s="2">
        <v>60</v>
      </c>
      <c r="G4363" s="2" t="s">
        <v>9575</v>
      </c>
      <c r="H4363" s="2" t="s">
        <v>1785</v>
      </c>
      <c r="I4363" s="2" t="s">
        <v>32</v>
      </c>
      <c r="J4363" s="3">
        <v>44264</v>
      </c>
      <c r="K4363" s="5">
        <f>YEAR(OrganizedData[[#This Row],[Order Date]])</f>
        <v>2021</v>
      </c>
      <c r="L4363" s="7" t="str">
        <f>TEXT(OrganizedData[[#This Row],[Order Date]],"mmm")</f>
        <v>Mar</v>
      </c>
      <c r="M4363" s="2">
        <v>40</v>
      </c>
      <c r="N4363" s="2" t="s">
        <v>64</v>
      </c>
      <c r="O4363" s="2" t="str">
        <f>VLOOKUP(OrganizedData[[#This Row],[Product Code]],ProductData[[Code]:[Item]],2,FALSE)</f>
        <v>Ultrathing V4</v>
      </c>
      <c r="P4363" s="4">
        <f>OrganizedData[[#This Row],[Quantity]]*VLOOKUP(OrganizedData[[#This Row],[Product Code]],ProductData[],4,FALSE)</f>
        <v>960</v>
      </c>
      <c r="Q4363" s="6">
        <f>OrganizedData[[#This Row],[Total Items Ordered]]*VLOOKUP(OrganizedData[[#This Row],[Product Code]],ProductData[],3,FALSE)</f>
        <v>3830.4</v>
      </c>
      <c r="R43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3715.4879999999998</v>
      </c>
    </row>
    <row r="4364" spans="1:18" x14ac:dyDescent="0.3">
      <c r="A4364" s="2">
        <v>4357</v>
      </c>
      <c r="B4364" s="2" t="s">
        <v>6338</v>
      </c>
      <c r="C4364" s="2" t="s">
        <v>1047</v>
      </c>
      <c r="D4364" s="2" t="s">
        <v>51</v>
      </c>
      <c r="E4364" s="2" t="s">
        <v>16</v>
      </c>
      <c r="F4364" s="2">
        <v>30</v>
      </c>
      <c r="G4364" s="2" t="s">
        <v>9575</v>
      </c>
      <c r="H4364" s="2" t="s">
        <v>389</v>
      </c>
      <c r="I4364" s="2" t="s">
        <v>32</v>
      </c>
      <c r="J4364" s="3">
        <v>44873</v>
      </c>
      <c r="K4364" s="5">
        <f>YEAR(OrganizedData[[#This Row],[Order Date]])</f>
        <v>2022</v>
      </c>
      <c r="L4364" s="7" t="str">
        <f>TEXT(OrganizedData[[#This Row],[Order Date]],"mmm")</f>
        <v>Nov</v>
      </c>
      <c r="M4364" s="2">
        <v>25</v>
      </c>
      <c r="N4364" s="2" t="s">
        <v>33</v>
      </c>
      <c r="O4364" s="2" t="str">
        <f>VLOOKUP(OrganizedData[[#This Row],[Product Code]],ProductData[[Code]:[Item]],2,FALSE)</f>
        <v>Megawidget L</v>
      </c>
      <c r="P4364" s="4">
        <f>OrganizedData[[#This Row],[Quantity]]*VLOOKUP(OrganizedData[[#This Row],[Product Code]],ProductData[],4,FALSE)</f>
        <v>600</v>
      </c>
      <c r="Q4364" s="6">
        <f>OrganizedData[[#This Row],[Total Items Ordered]]*VLOOKUP(OrganizedData[[#This Row],[Product Code]],ProductData[],3,FALSE)</f>
        <v>1074</v>
      </c>
      <c r="R43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1041.78</v>
      </c>
    </row>
    <row r="4365" spans="1:18" x14ac:dyDescent="0.3">
      <c r="A4365" s="2">
        <v>4358</v>
      </c>
      <c r="B4365" s="2" t="s">
        <v>9576</v>
      </c>
      <c r="C4365" s="2" t="s">
        <v>6562</v>
      </c>
      <c r="D4365" s="2" t="s">
        <v>41</v>
      </c>
      <c r="E4365" s="2" t="s">
        <v>16</v>
      </c>
      <c r="F4365" s="2">
        <v>90</v>
      </c>
      <c r="G4365" s="2" t="s">
        <v>9577</v>
      </c>
      <c r="H4365" s="2" t="s">
        <v>3915</v>
      </c>
      <c r="I4365" s="2" t="s">
        <v>173</v>
      </c>
      <c r="J4365" s="3">
        <v>44850</v>
      </c>
      <c r="K4365" s="5">
        <f>YEAR(OrganizedData[[#This Row],[Order Date]])</f>
        <v>2022</v>
      </c>
      <c r="L4365" s="7" t="str">
        <f>TEXT(OrganizedData[[#This Row],[Order Date]],"mmm")</f>
        <v>Oct</v>
      </c>
      <c r="M4365" s="2">
        <v>67</v>
      </c>
      <c r="N4365" s="2" t="s">
        <v>39</v>
      </c>
      <c r="O4365" s="2" t="str">
        <f>VLOOKUP(OrganizedData[[#This Row],[Product Code]],ProductData[[Code]:[Item]],2,FALSE)</f>
        <v>Ultrathing V1</v>
      </c>
      <c r="P4365" s="4">
        <f>OrganizedData[[#This Row],[Quantity]]*VLOOKUP(OrganizedData[[#This Row],[Product Code]],ProductData[],4,FALSE)</f>
        <v>1139</v>
      </c>
      <c r="Q4365" s="6">
        <f>OrganizedData[[#This Row],[Total Items Ordered]]*VLOOKUP(OrganizedData[[#This Row],[Product Code]],ProductData[],3,FALSE)</f>
        <v>2038.81</v>
      </c>
      <c r="R43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1936.8694999999998</v>
      </c>
    </row>
    <row r="4366" spans="1:18" x14ac:dyDescent="0.3">
      <c r="A4366" s="2">
        <v>4359</v>
      </c>
      <c r="B4366" s="2" t="s">
        <v>433</v>
      </c>
      <c r="C4366" s="2" t="s">
        <v>568</v>
      </c>
      <c r="D4366" s="2" t="s">
        <v>28</v>
      </c>
      <c r="E4366" s="2" t="s">
        <v>29</v>
      </c>
      <c r="F4366" s="2">
        <v>90</v>
      </c>
      <c r="G4366" s="2" t="s">
        <v>9578</v>
      </c>
      <c r="H4366" s="2" t="s">
        <v>3148</v>
      </c>
      <c r="I4366" s="2" t="s">
        <v>146</v>
      </c>
      <c r="J4366" s="3">
        <v>44510</v>
      </c>
      <c r="K4366" s="5">
        <f>YEAR(OrganizedData[[#This Row],[Order Date]])</f>
        <v>2021</v>
      </c>
      <c r="L4366" s="7" t="str">
        <f>TEXT(OrganizedData[[#This Row],[Order Date]],"mmm")</f>
        <v>Nov</v>
      </c>
      <c r="M4366" s="2">
        <v>81</v>
      </c>
      <c r="N4366" s="2" t="s">
        <v>20</v>
      </c>
      <c r="O4366" s="2" t="str">
        <f>VLOOKUP(OrganizedData[[#This Row],[Product Code]],ProductData[[Code]:[Item]],2,FALSE)</f>
        <v>Hyperwotsit</v>
      </c>
      <c r="P4366" s="4">
        <f>OrganizedData[[#This Row],[Quantity]]*VLOOKUP(OrganizedData[[#This Row],[Product Code]],ProductData[],4,FALSE)</f>
        <v>1620</v>
      </c>
      <c r="Q4366" s="6">
        <f>OrganizedData[[#This Row],[Total Items Ordered]]*VLOOKUP(OrganizedData[[#This Row],[Product Code]],ProductData[],3,FALSE)</f>
        <v>3256.2</v>
      </c>
      <c r="R43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3093.39</v>
      </c>
    </row>
    <row r="4367" spans="1:18" x14ac:dyDescent="0.3">
      <c r="A4367" s="2">
        <v>4360</v>
      </c>
      <c r="B4367" s="2" t="s">
        <v>9579</v>
      </c>
      <c r="C4367" s="2" t="s">
        <v>4924</v>
      </c>
      <c r="D4367" s="2" t="s">
        <v>28</v>
      </c>
      <c r="E4367" s="2" t="s">
        <v>29</v>
      </c>
      <c r="F4367" s="2">
        <v>90</v>
      </c>
      <c r="G4367" s="2" t="s">
        <v>9580</v>
      </c>
      <c r="H4367" s="2" t="s">
        <v>7004</v>
      </c>
      <c r="I4367" s="2" t="s">
        <v>208</v>
      </c>
      <c r="J4367" s="3">
        <v>44287</v>
      </c>
      <c r="K4367" s="5">
        <f>YEAR(OrganizedData[[#This Row],[Order Date]])</f>
        <v>2021</v>
      </c>
      <c r="L4367" s="7" t="str">
        <f>TEXT(OrganizedData[[#This Row],[Order Date]],"mmm")</f>
        <v>Apr</v>
      </c>
      <c r="M4367" s="2">
        <v>91</v>
      </c>
      <c r="N4367" s="2" t="s">
        <v>70</v>
      </c>
      <c r="O4367" s="2" t="str">
        <f>VLOOKUP(OrganizedData[[#This Row],[Product Code]],ProductData[[Code]:[Item]],2,FALSE)</f>
        <v>Megawidget M</v>
      </c>
      <c r="P4367" s="4">
        <f>OrganizedData[[#This Row],[Quantity]]*VLOOKUP(OrganizedData[[#This Row],[Product Code]],ProductData[],4,FALSE)</f>
        <v>2184</v>
      </c>
      <c r="Q4367" s="6">
        <f>OrganizedData[[#This Row],[Total Items Ordered]]*VLOOKUP(OrganizedData[[#This Row],[Product Code]],ProductData[],3,FALSE)</f>
        <v>2817.36</v>
      </c>
      <c r="R43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2676.4920000000002</v>
      </c>
    </row>
    <row r="4368" spans="1:18" x14ac:dyDescent="0.3">
      <c r="A4368" s="2">
        <v>4361</v>
      </c>
      <c r="B4368" s="2" t="s">
        <v>5887</v>
      </c>
      <c r="C4368" s="2" t="s">
        <v>9055</v>
      </c>
      <c r="D4368" s="2" t="s">
        <v>28</v>
      </c>
      <c r="E4368" s="2" t="s">
        <v>29</v>
      </c>
      <c r="F4368" s="2">
        <v>30</v>
      </c>
      <c r="G4368" s="2" t="s">
        <v>10580</v>
      </c>
      <c r="H4368" s="2" t="s">
        <v>1541</v>
      </c>
      <c r="I4368" s="2" t="s">
        <v>32</v>
      </c>
      <c r="J4368" s="3">
        <v>44409</v>
      </c>
      <c r="K4368" s="5">
        <f>YEAR(OrganizedData[[#This Row],[Order Date]])</f>
        <v>2021</v>
      </c>
      <c r="L4368" s="7" t="str">
        <f>TEXT(OrganizedData[[#This Row],[Order Date]],"mmm")</f>
        <v>Aug</v>
      </c>
      <c r="M4368" s="2">
        <v>38</v>
      </c>
      <c r="N4368" s="2" t="s">
        <v>159</v>
      </c>
      <c r="O4368" s="2" t="str">
        <f>VLOOKUP(OrganizedData[[#This Row],[Product Code]],ProductData[[Code]:[Item]],2,FALSE)</f>
        <v>Ultrathing V3</v>
      </c>
      <c r="P4368" s="4">
        <f>OrganizedData[[#This Row],[Quantity]]*VLOOKUP(OrganizedData[[#This Row],[Product Code]],ProductData[],4,FALSE)</f>
        <v>912</v>
      </c>
      <c r="Q4368" s="6">
        <f>OrganizedData[[#This Row],[Total Items Ordered]]*VLOOKUP(OrganizedData[[#This Row],[Product Code]],ProductData[],3,FALSE)</f>
        <v>3091.6800000000003</v>
      </c>
      <c r="R43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2998.9296000000004</v>
      </c>
    </row>
    <row r="4369" spans="1:18" x14ac:dyDescent="0.3">
      <c r="A4369" s="2">
        <v>4362</v>
      </c>
      <c r="B4369" s="2" t="s">
        <v>7218</v>
      </c>
      <c r="C4369" s="2" t="s">
        <v>4287</v>
      </c>
      <c r="D4369" s="2" t="s">
        <v>28</v>
      </c>
      <c r="E4369" s="2" t="s">
        <v>29</v>
      </c>
      <c r="F4369" s="2">
        <v>90</v>
      </c>
      <c r="G4369" s="2" t="s">
        <v>9582</v>
      </c>
      <c r="H4369" s="2" t="s">
        <v>4594</v>
      </c>
      <c r="I4369" s="2" t="s">
        <v>38</v>
      </c>
      <c r="J4369" s="3">
        <v>44175</v>
      </c>
      <c r="K4369" s="5">
        <f>YEAR(OrganizedData[[#This Row],[Order Date]])</f>
        <v>2020</v>
      </c>
      <c r="L4369" s="7" t="str">
        <f>TEXT(OrganizedData[[#This Row],[Order Date]],"mmm")</f>
        <v>Dec</v>
      </c>
      <c r="M4369" s="2">
        <v>47</v>
      </c>
      <c r="N4369" s="2" t="s">
        <v>33</v>
      </c>
      <c r="O4369" s="2" t="str">
        <f>VLOOKUP(OrganizedData[[#This Row],[Product Code]],ProductData[[Code]:[Item]],2,FALSE)</f>
        <v>Megawidget L</v>
      </c>
      <c r="P4369" s="4">
        <f>OrganizedData[[#This Row],[Quantity]]*VLOOKUP(OrganizedData[[#This Row],[Product Code]],ProductData[],4,FALSE)</f>
        <v>1128</v>
      </c>
      <c r="Q4369" s="6">
        <f>OrganizedData[[#This Row],[Total Items Ordered]]*VLOOKUP(OrganizedData[[#This Row],[Product Code]],ProductData[],3,FALSE)</f>
        <v>2019.1200000000001</v>
      </c>
      <c r="R43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4370" spans="1:18" x14ac:dyDescent="0.3">
      <c r="A4370" s="2">
        <v>4363</v>
      </c>
      <c r="B4370" s="2" t="s">
        <v>2256</v>
      </c>
      <c r="C4370" s="2" t="s">
        <v>3413</v>
      </c>
      <c r="D4370" s="2" t="s">
        <v>28</v>
      </c>
      <c r="E4370" s="2" t="s">
        <v>29</v>
      </c>
      <c r="F4370" s="2">
        <v>30</v>
      </c>
      <c r="G4370" s="2" t="s">
        <v>9583</v>
      </c>
      <c r="H4370" s="2" t="s">
        <v>2049</v>
      </c>
      <c r="I4370" s="2" t="s">
        <v>32</v>
      </c>
      <c r="J4370" s="3">
        <v>44068</v>
      </c>
      <c r="K4370" s="5">
        <f>YEAR(OrganizedData[[#This Row],[Order Date]])</f>
        <v>2020</v>
      </c>
      <c r="L4370" s="7" t="str">
        <f>TEXT(OrganizedData[[#This Row],[Order Date]],"mmm")</f>
        <v>Aug</v>
      </c>
      <c r="M4370" s="2">
        <v>63</v>
      </c>
      <c r="N4370" s="2" t="s">
        <v>39</v>
      </c>
      <c r="O4370" s="2" t="str">
        <f>VLOOKUP(OrganizedData[[#This Row],[Product Code]],ProductData[[Code]:[Item]],2,FALSE)</f>
        <v>Ultrathing V1</v>
      </c>
      <c r="P4370" s="4">
        <f>OrganizedData[[#This Row],[Quantity]]*VLOOKUP(OrganizedData[[#This Row],[Product Code]],ProductData[],4,FALSE)</f>
        <v>1071</v>
      </c>
      <c r="Q4370" s="6">
        <f>OrganizedData[[#This Row],[Total Items Ordered]]*VLOOKUP(OrganizedData[[#This Row],[Product Code]],ProductData[],3,FALSE)</f>
        <v>1917.0900000000001</v>
      </c>
      <c r="R43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4371" spans="1:18" x14ac:dyDescent="0.3">
      <c r="A4371" s="2">
        <v>4364</v>
      </c>
      <c r="B4371" s="2" t="s">
        <v>6272</v>
      </c>
      <c r="C4371" s="2" t="s">
        <v>3527</v>
      </c>
      <c r="D4371" s="2" t="s">
        <v>15</v>
      </c>
      <c r="E4371" s="2" t="s">
        <v>16</v>
      </c>
      <c r="F4371" s="2">
        <v>90</v>
      </c>
      <c r="G4371" s="2" t="s">
        <v>9584</v>
      </c>
      <c r="H4371" s="2" t="s">
        <v>3866</v>
      </c>
      <c r="I4371" s="2" t="s">
        <v>32</v>
      </c>
      <c r="J4371" s="3">
        <v>44230</v>
      </c>
      <c r="K4371" s="5">
        <f>YEAR(OrganizedData[[#This Row],[Order Date]])</f>
        <v>2021</v>
      </c>
      <c r="L4371" s="7" t="str">
        <f>TEXT(OrganizedData[[#This Row],[Order Date]],"mmm")</f>
        <v>Feb</v>
      </c>
      <c r="M4371" s="2">
        <v>61</v>
      </c>
      <c r="N4371" s="2" t="s">
        <v>159</v>
      </c>
      <c r="O4371" s="2" t="str">
        <f>VLOOKUP(OrganizedData[[#This Row],[Product Code]],ProductData[[Code]:[Item]],2,FALSE)</f>
        <v>Ultrathing V3</v>
      </c>
      <c r="P4371" s="4">
        <f>OrganizedData[[#This Row],[Quantity]]*VLOOKUP(OrganizedData[[#This Row],[Product Code]],ProductData[],4,FALSE)</f>
        <v>1464</v>
      </c>
      <c r="Q4371" s="6">
        <f>OrganizedData[[#This Row],[Total Items Ordered]]*VLOOKUP(OrganizedData[[#This Row],[Product Code]],ProductData[],3,FALSE)</f>
        <v>4962.96</v>
      </c>
      <c r="R43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4372" spans="1:18" x14ac:dyDescent="0.3">
      <c r="A4372" s="2">
        <v>4365</v>
      </c>
      <c r="B4372" s="2" t="s">
        <v>9227</v>
      </c>
      <c r="C4372" s="2" t="s">
        <v>3210</v>
      </c>
      <c r="D4372" s="2" t="s">
        <v>15</v>
      </c>
      <c r="E4372" s="2" t="s">
        <v>16</v>
      </c>
      <c r="F4372" s="2">
        <v>30</v>
      </c>
      <c r="G4372" s="2" t="s">
        <v>10581</v>
      </c>
      <c r="H4372" s="2" t="s">
        <v>1761</v>
      </c>
      <c r="I4372" s="2" t="s">
        <v>38</v>
      </c>
      <c r="J4372" s="3">
        <v>43866</v>
      </c>
      <c r="K4372" s="5">
        <f>YEAR(OrganizedData[[#This Row],[Order Date]])</f>
        <v>2020</v>
      </c>
      <c r="L4372" s="7" t="str">
        <f>TEXT(OrganizedData[[#This Row],[Order Date]],"mmm")</f>
        <v>Feb</v>
      </c>
      <c r="M4372" s="2">
        <v>44</v>
      </c>
      <c r="N4372" s="2" t="s">
        <v>159</v>
      </c>
      <c r="O4372" s="2" t="str">
        <f>VLOOKUP(OrganizedData[[#This Row],[Product Code]],ProductData[[Code]:[Item]],2,FALSE)</f>
        <v>Ultrathing V3</v>
      </c>
      <c r="P4372" s="4">
        <f>OrganizedData[[#This Row],[Quantity]]*VLOOKUP(OrganizedData[[#This Row],[Product Code]],ProductData[],4,FALSE)</f>
        <v>1056</v>
      </c>
      <c r="Q4372" s="6">
        <f>OrganizedData[[#This Row],[Total Items Ordered]]*VLOOKUP(OrganizedData[[#This Row],[Product Code]],ProductData[],3,FALSE)</f>
        <v>3579.84</v>
      </c>
      <c r="R43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3472.4448000000002</v>
      </c>
    </row>
    <row r="4373" spans="1:18" x14ac:dyDescent="0.3">
      <c r="A4373" s="2">
        <v>4366</v>
      </c>
      <c r="B4373" s="2" t="s">
        <v>9586</v>
      </c>
      <c r="C4373" s="2" t="s">
        <v>7482</v>
      </c>
      <c r="D4373" s="2" t="s">
        <v>15</v>
      </c>
      <c r="E4373" s="2" t="s">
        <v>16</v>
      </c>
      <c r="F4373" s="2">
        <v>30</v>
      </c>
      <c r="G4373" s="2" t="s">
        <v>9587</v>
      </c>
      <c r="H4373" s="2" t="s">
        <v>4484</v>
      </c>
      <c r="I4373" s="2" t="s">
        <v>32</v>
      </c>
      <c r="J4373" s="3">
        <v>44878</v>
      </c>
      <c r="K4373" s="5">
        <f>YEAR(OrganizedData[[#This Row],[Order Date]])</f>
        <v>2022</v>
      </c>
      <c r="L4373" s="7" t="str">
        <f>TEXT(OrganizedData[[#This Row],[Order Date]],"mmm")</f>
        <v>Nov</v>
      </c>
      <c r="M4373" s="2">
        <v>57</v>
      </c>
      <c r="N4373" s="2" t="s">
        <v>64</v>
      </c>
      <c r="O4373" s="2" t="str">
        <f>VLOOKUP(OrganizedData[[#This Row],[Product Code]],ProductData[[Code]:[Item]],2,FALSE)</f>
        <v>Ultrathing V4</v>
      </c>
      <c r="P4373" s="4">
        <f>OrganizedData[[#This Row],[Quantity]]*VLOOKUP(OrganizedData[[#This Row],[Product Code]],ProductData[],4,FALSE)</f>
        <v>1368</v>
      </c>
      <c r="Q4373" s="6">
        <f>OrganizedData[[#This Row],[Total Items Ordered]]*VLOOKUP(OrganizedData[[#This Row],[Product Code]],ProductData[],3,FALSE)</f>
        <v>5458.3200000000006</v>
      </c>
      <c r="R43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5185.4040000000005</v>
      </c>
    </row>
    <row r="4374" spans="1:18" x14ac:dyDescent="0.3">
      <c r="A4374" s="2">
        <v>4367</v>
      </c>
      <c r="B4374" s="2" t="s">
        <v>2527</v>
      </c>
      <c r="C4374" s="2" t="s">
        <v>808</v>
      </c>
      <c r="D4374" s="2" t="s">
        <v>28</v>
      </c>
      <c r="E4374" s="2" t="s">
        <v>29</v>
      </c>
      <c r="F4374" s="2">
        <v>30</v>
      </c>
      <c r="G4374" s="2" t="s">
        <v>9588</v>
      </c>
      <c r="H4374" s="2" t="s">
        <v>1135</v>
      </c>
      <c r="I4374" s="2" t="s">
        <v>38</v>
      </c>
      <c r="J4374" s="3">
        <v>44514</v>
      </c>
      <c r="K4374" s="5">
        <f>YEAR(OrganizedData[[#This Row],[Order Date]])</f>
        <v>2021</v>
      </c>
      <c r="L4374" s="7" t="str">
        <f>TEXT(OrganizedData[[#This Row],[Order Date]],"mmm")</f>
        <v>Nov</v>
      </c>
      <c r="M4374" s="2">
        <v>57</v>
      </c>
      <c r="N4374" s="2" t="s">
        <v>33</v>
      </c>
      <c r="O4374" s="2" t="str">
        <f>VLOOKUP(OrganizedData[[#This Row],[Product Code]],ProductData[[Code]:[Item]],2,FALSE)</f>
        <v>Megawidget L</v>
      </c>
      <c r="P4374" s="4">
        <f>OrganizedData[[#This Row],[Quantity]]*VLOOKUP(OrganizedData[[#This Row],[Product Code]],ProductData[],4,FALSE)</f>
        <v>1368</v>
      </c>
      <c r="Q4374" s="6">
        <f>OrganizedData[[#This Row],[Total Items Ordered]]*VLOOKUP(OrganizedData[[#This Row],[Product Code]],ProductData[],3,FALSE)</f>
        <v>2448.7200000000003</v>
      </c>
      <c r="R43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2326.2840000000001</v>
      </c>
    </row>
    <row r="4375" spans="1:18" x14ac:dyDescent="0.3">
      <c r="A4375" s="2">
        <v>4368</v>
      </c>
      <c r="B4375" s="2" t="s">
        <v>2707</v>
      </c>
      <c r="C4375" s="2" t="s">
        <v>1528</v>
      </c>
      <c r="D4375" s="2" t="s">
        <v>41</v>
      </c>
      <c r="E4375" s="2" t="s">
        <v>16</v>
      </c>
      <c r="F4375" s="2">
        <v>90</v>
      </c>
      <c r="G4375" s="2" t="s">
        <v>9589</v>
      </c>
      <c r="H4375" s="2" t="s">
        <v>768</v>
      </c>
      <c r="I4375" s="2" t="s">
        <v>124</v>
      </c>
      <c r="J4375" s="3">
        <v>43949</v>
      </c>
      <c r="K4375" s="5">
        <f>YEAR(OrganizedData[[#This Row],[Order Date]])</f>
        <v>2020</v>
      </c>
      <c r="L4375" s="7" t="str">
        <f>TEXT(OrganizedData[[#This Row],[Order Date]],"mmm")</f>
        <v>Apr</v>
      </c>
      <c r="M4375" s="2">
        <v>68</v>
      </c>
      <c r="N4375" s="2" t="s">
        <v>101</v>
      </c>
      <c r="O4375" s="2" t="str">
        <f>VLOOKUP(OrganizedData[[#This Row],[Product Code]],ProductData[[Code]:[Item]],2,FALSE)</f>
        <v>Superwossname</v>
      </c>
      <c r="P4375" s="4">
        <f>OrganizedData[[#This Row],[Quantity]]*VLOOKUP(OrganizedData[[#This Row],[Product Code]],ProductData[],4,FALSE)</f>
        <v>1360</v>
      </c>
      <c r="Q4375" s="6">
        <f>OrganizedData[[#This Row],[Total Items Ordered]]*VLOOKUP(OrganizedData[[#This Row],[Product Code]],ProductData[],3,FALSE)</f>
        <v>4746.4000000000005</v>
      </c>
      <c r="R43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4509.08</v>
      </c>
    </row>
    <row r="4376" spans="1:18" x14ac:dyDescent="0.3">
      <c r="A4376" s="2">
        <v>4369</v>
      </c>
      <c r="B4376" s="2" t="s">
        <v>9590</v>
      </c>
      <c r="C4376" s="2" t="s">
        <v>2485</v>
      </c>
      <c r="D4376" s="2" t="s">
        <v>51</v>
      </c>
      <c r="E4376" s="2" t="s">
        <v>16</v>
      </c>
      <c r="F4376" s="2">
        <v>90</v>
      </c>
      <c r="G4376" s="2" t="s">
        <v>9591</v>
      </c>
      <c r="H4376" s="2" t="s">
        <v>5466</v>
      </c>
      <c r="I4376" s="2" t="s">
        <v>95</v>
      </c>
      <c r="J4376" s="3">
        <v>44603</v>
      </c>
      <c r="K4376" s="5">
        <f>YEAR(OrganizedData[[#This Row],[Order Date]])</f>
        <v>2022</v>
      </c>
      <c r="L4376" s="7" t="str">
        <f>TEXT(OrganizedData[[#This Row],[Order Date]],"mmm")</f>
        <v>Feb</v>
      </c>
      <c r="M4376" s="2">
        <v>12</v>
      </c>
      <c r="N4376" s="2" t="s">
        <v>64</v>
      </c>
      <c r="O4376" s="2" t="str">
        <f>VLOOKUP(OrganizedData[[#This Row],[Product Code]],ProductData[[Code]:[Item]],2,FALSE)</f>
        <v>Ultrathing V4</v>
      </c>
      <c r="P4376" s="4">
        <f>OrganizedData[[#This Row],[Quantity]]*VLOOKUP(OrganizedData[[#This Row],[Product Code]],ProductData[],4,FALSE)</f>
        <v>288</v>
      </c>
      <c r="Q4376" s="6">
        <f>OrganizedData[[#This Row],[Total Items Ordered]]*VLOOKUP(OrganizedData[[#This Row],[Product Code]],ProductData[],3,FALSE)</f>
        <v>1149.1200000000001</v>
      </c>
      <c r="R43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1149.1200000000001</v>
      </c>
    </row>
    <row r="4377" spans="1:18" x14ac:dyDescent="0.3">
      <c r="A4377" s="2">
        <v>4370</v>
      </c>
      <c r="B4377" s="2" t="s">
        <v>4218</v>
      </c>
      <c r="C4377" s="2" t="s">
        <v>1075</v>
      </c>
      <c r="D4377" s="2" t="s">
        <v>28</v>
      </c>
      <c r="E4377" s="2" t="s">
        <v>29</v>
      </c>
      <c r="F4377" s="2">
        <v>90</v>
      </c>
      <c r="G4377" s="2" t="s">
        <v>9592</v>
      </c>
      <c r="H4377" s="2" t="s">
        <v>1757</v>
      </c>
      <c r="I4377" s="2" t="s">
        <v>294</v>
      </c>
      <c r="J4377" s="3">
        <v>44411</v>
      </c>
      <c r="K4377" s="5">
        <f>YEAR(OrganizedData[[#This Row],[Order Date]])</f>
        <v>2021</v>
      </c>
      <c r="L4377" s="7" t="str">
        <f>TEXT(OrganizedData[[#This Row],[Order Date]],"mmm")</f>
        <v>Aug</v>
      </c>
      <c r="M4377" s="2">
        <v>56</v>
      </c>
      <c r="N4377" s="2" t="s">
        <v>54</v>
      </c>
      <c r="O4377" s="2" t="str">
        <f>VLOOKUP(OrganizedData[[#This Row],[Product Code]],ProductData[[Code]:[Item]],2,FALSE)</f>
        <v>Megawidget S</v>
      </c>
      <c r="P4377" s="4">
        <f>OrganizedData[[#This Row],[Quantity]]*VLOOKUP(OrganizedData[[#This Row],[Product Code]],ProductData[],4,FALSE)</f>
        <v>1344</v>
      </c>
      <c r="Q4377" s="6">
        <f>OrganizedData[[#This Row],[Total Items Ordered]]*VLOOKUP(OrganizedData[[#This Row],[Product Code]],ProductData[],3,FALSE)</f>
        <v>927.3599999999999</v>
      </c>
      <c r="R43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880.99199999999985</v>
      </c>
    </row>
    <row r="4378" spans="1:18" x14ac:dyDescent="0.3">
      <c r="A4378" s="2">
        <v>4371</v>
      </c>
      <c r="B4378" s="2" t="s">
        <v>964</v>
      </c>
      <c r="C4378" s="2" t="s">
        <v>2824</v>
      </c>
      <c r="D4378" s="2" t="s">
        <v>28</v>
      </c>
      <c r="E4378" s="2" t="s">
        <v>29</v>
      </c>
      <c r="F4378" s="2">
        <v>60</v>
      </c>
      <c r="G4378" s="2" t="s">
        <v>9593</v>
      </c>
      <c r="H4378" s="2" t="s">
        <v>534</v>
      </c>
      <c r="I4378" s="2" t="s">
        <v>32</v>
      </c>
      <c r="J4378" s="3">
        <v>44640</v>
      </c>
      <c r="K4378" s="5">
        <f>YEAR(OrganizedData[[#This Row],[Order Date]])</f>
        <v>2022</v>
      </c>
      <c r="L4378" s="7" t="str">
        <f>TEXT(OrganizedData[[#This Row],[Order Date]],"mmm")</f>
        <v>Mar</v>
      </c>
      <c r="M4378" s="2">
        <v>56</v>
      </c>
      <c r="N4378" s="2" t="s">
        <v>64</v>
      </c>
      <c r="O4378" s="2" t="str">
        <f>VLOOKUP(OrganizedData[[#This Row],[Product Code]],ProductData[[Code]:[Item]],2,FALSE)</f>
        <v>Ultrathing V4</v>
      </c>
      <c r="P4378" s="4">
        <f>OrganizedData[[#This Row],[Quantity]]*VLOOKUP(OrganizedData[[#This Row],[Product Code]],ProductData[],4,FALSE)</f>
        <v>1344</v>
      </c>
      <c r="Q4378" s="6">
        <f>OrganizedData[[#This Row],[Total Items Ordered]]*VLOOKUP(OrganizedData[[#This Row],[Product Code]],ProductData[],3,FALSE)</f>
        <v>5362.56</v>
      </c>
      <c r="R43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5094.4319999999998</v>
      </c>
    </row>
    <row r="4379" spans="1:18" x14ac:dyDescent="0.3">
      <c r="A4379" s="2">
        <v>4372</v>
      </c>
      <c r="B4379" s="2" t="s">
        <v>9594</v>
      </c>
      <c r="C4379" s="2" t="s">
        <v>4307</v>
      </c>
      <c r="D4379" s="2" t="s">
        <v>28</v>
      </c>
      <c r="E4379" s="2" t="s">
        <v>29</v>
      </c>
      <c r="F4379" s="2">
        <v>90</v>
      </c>
      <c r="G4379" s="2" t="s">
        <v>9595</v>
      </c>
      <c r="H4379" s="2" t="s">
        <v>714</v>
      </c>
      <c r="I4379" s="2" t="s">
        <v>38</v>
      </c>
      <c r="J4379" s="3">
        <v>44879</v>
      </c>
      <c r="K4379" s="5">
        <f>YEAR(OrganizedData[[#This Row],[Order Date]])</f>
        <v>2022</v>
      </c>
      <c r="L4379" s="7" t="str">
        <f>TEXT(OrganizedData[[#This Row],[Order Date]],"mmm")</f>
        <v>Nov</v>
      </c>
      <c r="M4379" s="2">
        <v>97</v>
      </c>
      <c r="N4379" s="2" t="s">
        <v>159</v>
      </c>
      <c r="O4379" s="2" t="str">
        <f>VLOOKUP(OrganizedData[[#This Row],[Product Code]],ProductData[[Code]:[Item]],2,FALSE)</f>
        <v>Ultrathing V3</v>
      </c>
      <c r="P4379" s="4">
        <f>OrganizedData[[#This Row],[Quantity]]*VLOOKUP(OrganizedData[[#This Row],[Product Code]],ProductData[],4,FALSE)</f>
        <v>2328</v>
      </c>
      <c r="Q4379" s="6">
        <f>OrganizedData[[#This Row],[Total Items Ordered]]*VLOOKUP(OrganizedData[[#This Row],[Product Code]],ProductData[],3,FALSE)</f>
        <v>7891.92</v>
      </c>
      <c r="R43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7497.3239999999996</v>
      </c>
    </row>
    <row r="4380" spans="1:18" x14ac:dyDescent="0.3">
      <c r="A4380" s="2">
        <v>4373</v>
      </c>
      <c r="B4380" s="2" t="s">
        <v>8044</v>
      </c>
      <c r="C4380" s="2" t="s">
        <v>5381</v>
      </c>
      <c r="D4380" s="2" t="s">
        <v>41</v>
      </c>
      <c r="E4380" s="2" t="s">
        <v>16</v>
      </c>
      <c r="F4380" s="2">
        <v>60</v>
      </c>
      <c r="G4380" s="2" t="s">
        <v>9596</v>
      </c>
      <c r="H4380" s="2" t="s">
        <v>644</v>
      </c>
      <c r="I4380" s="2" t="s">
        <v>645</v>
      </c>
      <c r="J4380" s="3">
        <v>44245</v>
      </c>
      <c r="K4380" s="5">
        <f>YEAR(OrganizedData[[#This Row],[Order Date]])</f>
        <v>2021</v>
      </c>
      <c r="L4380" s="7" t="str">
        <f>TEXT(OrganizedData[[#This Row],[Order Date]],"mmm")</f>
        <v>Feb</v>
      </c>
      <c r="M4380" s="2">
        <v>86</v>
      </c>
      <c r="N4380" s="2" t="s">
        <v>33</v>
      </c>
      <c r="O4380" s="2" t="str">
        <f>VLOOKUP(OrganizedData[[#This Row],[Product Code]],ProductData[[Code]:[Item]],2,FALSE)</f>
        <v>Megawidget L</v>
      </c>
      <c r="P4380" s="4">
        <f>OrganizedData[[#This Row],[Quantity]]*VLOOKUP(OrganizedData[[#This Row],[Product Code]],ProductData[],4,FALSE)</f>
        <v>2064</v>
      </c>
      <c r="Q4380" s="6">
        <f>OrganizedData[[#This Row],[Total Items Ordered]]*VLOOKUP(OrganizedData[[#This Row],[Product Code]],ProductData[],3,FALSE)</f>
        <v>3694.56</v>
      </c>
      <c r="R43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3509.8319999999999</v>
      </c>
    </row>
    <row r="4381" spans="1:18" x14ac:dyDescent="0.3">
      <c r="A4381" s="2">
        <v>4374</v>
      </c>
      <c r="B4381" s="2" t="s">
        <v>1229</v>
      </c>
      <c r="C4381" s="2" t="s">
        <v>983</v>
      </c>
      <c r="D4381" s="2" t="s">
        <v>28</v>
      </c>
      <c r="E4381" s="2" t="s">
        <v>29</v>
      </c>
      <c r="F4381" s="2">
        <v>90</v>
      </c>
      <c r="G4381" s="2" t="s">
        <v>9599</v>
      </c>
      <c r="H4381" s="2" t="s">
        <v>6551</v>
      </c>
      <c r="I4381" s="2" t="s">
        <v>178</v>
      </c>
      <c r="J4381" s="3">
        <v>44006</v>
      </c>
      <c r="K4381" s="5">
        <f>YEAR(OrganizedData[[#This Row],[Order Date]])</f>
        <v>2020</v>
      </c>
      <c r="L4381" s="7" t="str">
        <f>TEXT(OrganizedData[[#This Row],[Order Date]],"mmm")</f>
        <v>Jun</v>
      </c>
      <c r="M4381" s="2">
        <v>50</v>
      </c>
      <c r="N4381" s="2" t="s">
        <v>64</v>
      </c>
      <c r="O4381" s="2" t="str">
        <f>VLOOKUP(OrganizedData[[#This Row],[Product Code]],ProductData[[Code]:[Item]],2,FALSE)</f>
        <v>Ultrathing V4</v>
      </c>
      <c r="P4381" s="4">
        <f>OrganizedData[[#This Row],[Quantity]]*VLOOKUP(OrganizedData[[#This Row],[Product Code]],ProductData[],4,FALSE)</f>
        <v>1200</v>
      </c>
      <c r="Q4381" s="6">
        <f>OrganizedData[[#This Row],[Total Items Ordered]]*VLOOKUP(OrganizedData[[#This Row],[Product Code]],ProductData[],3,FALSE)</f>
        <v>4788</v>
      </c>
      <c r="R43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4644.3599999999997</v>
      </c>
    </row>
    <row r="4382" spans="1:18" x14ac:dyDescent="0.3">
      <c r="A4382" s="2">
        <v>4375</v>
      </c>
      <c r="B4382" s="2" t="s">
        <v>5179</v>
      </c>
      <c r="C4382" s="2" t="s">
        <v>9600</v>
      </c>
      <c r="D4382" s="2" t="s">
        <v>15</v>
      </c>
      <c r="E4382" s="2" t="s">
        <v>16</v>
      </c>
      <c r="F4382" s="2">
        <v>30</v>
      </c>
      <c r="G4382" s="2" t="s">
        <v>9601</v>
      </c>
      <c r="H4382" s="2" t="s">
        <v>3870</v>
      </c>
      <c r="I4382" s="2" t="s">
        <v>124</v>
      </c>
      <c r="J4382" s="3">
        <v>43857</v>
      </c>
      <c r="K4382" s="5">
        <f>YEAR(OrganizedData[[#This Row],[Order Date]])</f>
        <v>2020</v>
      </c>
      <c r="L4382" s="7" t="str">
        <f>TEXT(OrganizedData[[#This Row],[Order Date]],"mmm")</f>
        <v>Jan</v>
      </c>
      <c r="M4382" s="2">
        <v>18</v>
      </c>
      <c r="N4382" s="2" t="s">
        <v>20</v>
      </c>
      <c r="O4382" s="2" t="str">
        <f>VLOOKUP(OrganizedData[[#This Row],[Product Code]],ProductData[[Code]:[Item]],2,FALSE)</f>
        <v>Hyperwotsit</v>
      </c>
      <c r="P4382" s="4">
        <f>OrganizedData[[#This Row],[Quantity]]*VLOOKUP(OrganizedData[[#This Row],[Product Code]],ProductData[],4,FALSE)</f>
        <v>360</v>
      </c>
      <c r="Q4382" s="6">
        <f>OrganizedData[[#This Row],[Total Items Ordered]]*VLOOKUP(OrganizedData[[#This Row],[Product Code]],ProductData[],3,FALSE)</f>
        <v>723.59999999999991</v>
      </c>
      <c r="R43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723.59999999999991</v>
      </c>
    </row>
    <row r="4383" spans="1:18" x14ac:dyDescent="0.3">
      <c r="A4383" s="2">
        <v>4376</v>
      </c>
      <c r="B4383" s="2" t="s">
        <v>3953</v>
      </c>
      <c r="C4383" s="2" t="s">
        <v>4037</v>
      </c>
      <c r="D4383" s="2" t="s">
        <v>28</v>
      </c>
      <c r="E4383" s="2" t="s">
        <v>29</v>
      </c>
      <c r="F4383" s="2">
        <v>60</v>
      </c>
      <c r="G4383" s="2" t="s">
        <v>9602</v>
      </c>
      <c r="H4383" s="2" t="s">
        <v>9603</v>
      </c>
      <c r="I4383" s="2" t="s">
        <v>32</v>
      </c>
      <c r="J4383" s="3">
        <v>44690</v>
      </c>
      <c r="K4383" s="5">
        <f>YEAR(OrganizedData[[#This Row],[Order Date]])</f>
        <v>2022</v>
      </c>
      <c r="L4383" s="7" t="str">
        <f>TEXT(OrganizedData[[#This Row],[Order Date]],"mmm")</f>
        <v>May</v>
      </c>
      <c r="M4383" s="2">
        <v>63</v>
      </c>
      <c r="N4383" s="2" t="s">
        <v>39</v>
      </c>
      <c r="O4383" s="2" t="str">
        <f>VLOOKUP(OrganizedData[[#This Row],[Product Code]],ProductData[[Code]:[Item]],2,FALSE)</f>
        <v>Ultrathing V1</v>
      </c>
      <c r="P4383" s="4">
        <f>OrganizedData[[#This Row],[Quantity]]*VLOOKUP(OrganizedData[[#This Row],[Product Code]],ProductData[],4,FALSE)</f>
        <v>1071</v>
      </c>
      <c r="Q4383" s="6">
        <f>OrganizedData[[#This Row],[Total Items Ordered]]*VLOOKUP(OrganizedData[[#This Row],[Product Code]],ProductData[],3,FALSE)</f>
        <v>1917.0900000000001</v>
      </c>
      <c r="R43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4384" spans="1:18" x14ac:dyDescent="0.3">
      <c r="A4384" s="2">
        <v>4377</v>
      </c>
      <c r="B4384" s="2" t="s">
        <v>9604</v>
      </c>
      <c r="C4384" s="2" t="s">
        <v>617</v>
      </c>
      <c r="D4384" s="2" t="s">
        <v>15</v>
      </c>
      <c r="E4384" s="2" t="s">
        <v>16</v>
      </c>
      <c r="F4384" s="2">
        <v>90</v>
      </c>
      <c r="G4384" s="2" t="s">
        <v>9605</v>
      </c>
      <c r="H4384" s="2" t="s">
        <v>1884</v>
      </c>
      <c r="I4384" s="2" t="s">
        <v>1885</v>
      </c>
      <c r="J4384" s="3">
        <v>44073</v>
      </c>
      <c r="K4384" s="5">
        <f>YEAR(OrganizedData[[#This Row],[Order Date]])</f>
        <v>2020</v>
      </c>
      <c r="L4384" s="7" t="str">
        <f>TEXT(OrganizedData[[#This Row],[Order Date]],"mmm")</f>
        <v>Aug</v>
      </c>
      <c r="M4384" s="2">
        <v>23</v>
      </c>
      <c r="N4384" s="2" t="s">
        <v>20</v>
      </c>
      <c r="O4384" s="2" t="str">
        <f>VLOOKUP(OrganizedData[[#This Row],[Product Code]],ProductData[[Code]:[Item]],2,FALSE)</f>
        <v>Hyperwotsit</v>
      </c>
      <c r="P4384" s="4">
        <f>OrganizedData[[#This Row],[Quantity]]*VLOOKUP(OrganizedData[[#This Row],[Product Code]],ProductData[],4,FALSE)</f>
        <v>460</v>
      </c>
      <c r="Q4384" s="6">
        <f>OrganizedData[[#This Row],[Total Items Ordered]]*VLOOKUP(OrganizedData[[#This Row],[Product Code]],ProductData[],3,FALSE)</f>
        <v>924.59999999999991</v>
      </c>
      <c r="R43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896.86199999999985</v>
      </c>
    </row>
    <row r="4385" spans="1:18" x14ac:dyDescent="0.3">
      <c r="A4385" s="2">
        <v>4378</v>
      </c>
      <c r="B4385" s="2" t="s">
        <v>280</v>
      </c>
      <c r="C4385" s="2" t="s">
        <v>4102</v>
      </c>
      <c r="D4385" s="2" t="s">
        <v>41</v>
      </c>
      <c r="E4385" s="2" t="s">
        <v>16</v>
      </c>
      <c r="F4385" s="2">
        <v>90</v>
      </c>
      <c r="G4385" s="2" t="s">
        <v>10582</v>
      </c>
      <c r="H4385" s="2" t="s">
        <v>356</v>
      </c>
      <c r="I4385" s="2" t="s">
        <v>178</v>
      </c>
      <c r="J4385" s="3">
        <v>44236</v>
      </c>
      <c r="K4385" s="5">
        <f>YEAR(OrganizedData[[#This Row],[Order Date]])</f>
        <v>2021</v>
      </c>
      <c r="L4385" s="7" t="str">
        <f>TEXT(OrganizedData[[#This Row],[Order Date]],"mmm")</f>
        <v>Feb</v>
      </c>
      <c r="M4385" s="2">
        <v>27</v>
      </c>
      <c r="N4385" s="2" t="s">
        <v>39</v>
      </c>
      <c r="O4385" s="2" t="str">
        <f>VLOOKUP(OrganizedData[[#This Row],[Product Code]],ProductData[[Code]:[Item]],2,FALSE)</f>
        <v>Ultrathing V1</v>
      </c>
      <c r="P4385" s="4">
        <f>OrganizedData[[#This Row],[Quantity]]*VLOOKUP(OrganizedData[[#This Row],[Product Code]],ProductData[],4,FALSE)</f>
        <v>459</v>
      </c>
      <c r="Q4385" s="6">
        <f>OrganizedData[[#This Row],[Total Items Ordered]]*VLOOKUP(OrganizedData[[#This Row],[Product Code]],ProductData[],3,FALSE)</f>
        <v>821.61</v>
      </c>
      <c r="R43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796.96169999999995</v>
      </c>
    </row>
    <row r="4386" spans="1:18" x14ac:dyDescent="0.3">
      <c r="A4386" s="2">
        <v>4379</v>
      </c>
      <c r="B4386" s="2" t="s">
        <v>375</v>
      </c>
      <c r="C4386" s="2" t="s">
        <v>540</v>
      </c>
      <c r="D4386" s="2" t="s">
        <v>28</v>
      </c>
      <c r="E4386" s="2" t="s">
        <v>29</v>
      </c>
      <c r="F4386" s="2">
        <v>30</v>
      </c>
      <c r="G4386" s="2" t="s">
        <v>9607</v>
      </c>
      <c r="H4386" s="2" t="s">
        <v>2667</v>
      </c>
      <c r="I4386" s="2" t="s">
        <v>187</v>
      </c>
      <c r="J4386" s="3">
        <v>44238</v>
      </c>
      <c r="K4386" s="5">
        <f>YEAR(OrganizedData[[#This Row],[Order Date]])</f>
        <v>2021</v>
      </c>
      <c r="L4386" s="7" t="str">
        <f>TEXT(OrganizedData[[#This Row],[Order Date]],"mmm")</f>
        <v>Feb</v>
      </c>
      <c r="M4386" s="2">
        <v>38</v>
      </c>
      <c r="N4386" s="2" t="s">
        <v>80</v>
      </c>
      <c r="O4386" s="2" t="str">
        <f>VLOOKUP(OrganizedData[[#This Row],[Product Code]],ProductData[[Code]:[Item]],2,FALSE)</f>
        <v>Ultrathing V2</v>
      </c>
      <c r="P4386" s="4">
        <f>OrganizedData[[#This Row],[Quantity]]*VLOOKUP(OrganizedData[[#This Row],[Product Code]],ProductData[],4,FALSE)</f>
        <v>760</v>
      </c>
      <c r="Q4386" s="6">
        <f>OrganizedData[[#This Row],[Total Items Ordered]]*VLOOKUP(OrganizedData[[#This Row],[Product Code]],ProductData[],3,FALSE)</f>
        <v>2242</v>
      </c>
      <c r="R43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4387" spans="1:18" x14ac:dyDescent="0.3">
      <c r="A4387" s="2">
        <v>4380</v>
      </c>
      <c r="B4387" s="2" t="s">
        <v>4004</v>
      </c>
      <c r="C4387" s="2" t="s">
        <v>1159</v>
      </c>
      <c r="D4387" s="2" t="s">
        <v>28</v>
      </c>
      <c r="E4387" s="2" t="s">
        <v>29</v>
      </c>
      <c r="F4387" s="2">
        <v>90</v>
      </c>
      <c r="G4387" s="2" t="s">
        <v>9608</v>
      </c>
      <c r="H4387" s="2" t="s">
        <v>9609</v>
      </c>
      <c r="I4387" s="2" t="s">
        <v>19</v>
      </c>
      <c r="J4387" s="3">
        <v>44140</v>
      </c>
      <c r="K4387" s="5">
        <f>YEAR(OrganizedData[[#This Row],[Order Date]])</f>
        <v>2020</v>
      </c>
      <c r="L4387" s="7" t="str">
        <f>TEXT(OrganizedData[[#This Row],[Order Date]],"mmm")</f>
        <v>Nov</v>
      </c>
      <c r="M4387" s="2">
        <v>21</v>
      </c>
      <c r="N4387" s="2" t="s">
        <v>20</v>
      </c>
      <c r="O4387" s="2" t="str">
        <f>VLOOKUP(OrganizedData[[#This Row],[Product Code]],ProductData[[Code]:[Item]],2,FALSE)</f>
        <v>Hyperwotsit</v>
      </c>
      <c r="P4387" s="4">
        <f>OrganizedData[[#This Row],[Quantity]]*VLOOKUP(OrganizedData[[#This Row],[Product Code]],ProductData[],4,FALSE)</f>
        <v>420</v>
      </c>
      <c r="Q4387" s="6">
        <f>OrganizedData[[#This Row],[Total Items Ordered]]*VLOOKUP(OrganizedData[[#This Row],[Product Code]],ProductData[],3,FALSE)</f>
        <v>844.19999999999993</v>
      </c>
      <c r="R43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818.87399999999991</v>
      </c>
    </row>
    <row r="4388" spans="1:18" x14ac:dyDescent="0.3">
      <c r="A4388" s="2">
        <v>4381</v>
      </c>
      <c r="B4388" s="2" t="s">
        <v>6915</v>
      </c>
      <c r="C4388" s="2" t="s">
        <v>1786</v>
      </c>
      <c r="D4388" s="2" t="s">
        <v>28</v>
      </c>
      <c r="E4388" s="2" t="s">
        <v>29</v>
      </c>
      <c r="F4388" s="2">
        <v>60</v>
      </c>
      <c r="G4388" s="2" t="s">
        <v>9610</v>
      </c>
      <c r="H4388" s="2" t="s">
        <v>8824</v>
      </c>
      <c r="I4388" s="2" t="s">
        <v>3898</v>
      </c>
      <c r="J4388" s="3">
        <v>44241</v>
      </c>
      <c r="K4388" s="5">
        <f>YEAR(OrganizedData[[#This Row],[Order Date]])</f>
        <v>2021</v>
      </c>
      <c r="L4388" s="7" t="str">
        <f>TEXT(OrganizedData[[#This Row],[Order Date]],"mmm")</f>
        <v>Feb</v>
      </c>
      <c r="M4388" s="2">
        <v>2</v>
      </c>
      <c r="N4388" s="2" t="s">
        <v>80</v>
      </c>
      <c r="O4388" s="2" t="str">
        <f>VLOOKUP(OrganizedData[[#This Row],[Product Code]],ProductData[[Code]:[Item]],2,FALSE)</f>
        <v>Ultrathing V2</v>
      </c>
      <c r="P4388" s="4">
        <f>OrganizedData[[#This Row],[Quantity]]*VLOOKUP(OrganizedData[[#This Row],[Product Code]],ProductData[],4,FALSE)</f>
        <v>40</v>
      </c>
      <c r="Q4388" s="6">
        <f>OrganizedData[[#This Row],[Total Items Ordered]]*VLOOKUP(OrganizedData[[#This Row],[Product Code]],ProductData[],3,FALSE)</f>
        <v>118</v>
      </c>
      <c r="R43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118</v>
      </c>
    </row>
    <row r="4389" spans="1:18" x14ac:dyDescent="0.3">
      <c r="A4389" s="2">
        <v>4382</v>
      </c>
      <c r="B4389" s="2" t="s">
        <v>9611</v>
      </c>
      <c r="C4389" s="2" t="s">
        <v>896</v>
      </c>
      <c r="D4389" s="2" t="s">
        <v>15</v>
      </c>
      <c r="E4389" s="2" t="s">
        <v>16</v>
      </c>
      <c r="F4389" s="2">
        <v>90</v>
      </c>
      <c r="G4389" s="2" t="s">
        <v>9612</v>
      </c>
      <c r="H4389" s="2" t="s">
        <v>3208</v>
      </c>
      <c r="I4389" s="2" t="s">
        <v>32</v>
      </c>
      <c r="J4389" s="3">
        <v>44448</v>
      </c>
      <c r="K4389" s="5">
        <f>YEAR(OrganizedData[[#This Row],[Order Date]])</f>
        <v>2021</v>
      </c>
      <c r="L4389" s="7" t="str">
        <f>TEXT(OrganizedData[[#This Row],[Order Date]],"mmm")</f>
        <v>Sep</v>
      </c>
      <c r="M4389" s="2">
        <v>52</v>
      </c>
      <c r="N4389" s="2" t="s">
        <v>101</v>
      </c>
      <c r="O4389" s="2" t="str">
        <f>VLOOKUP(OrganizedData[[#This Row],[Product Code]],ProductData[[Code]:[Item]],2,FALSE)</f>
        <v>Superwossname</v>
      </c>
      <c r="P4389" s="4">
        <f>OrganizedData[[#This Row],[Quantity]]*VLOOKUP(OrganizedData[[#This Row],[Product Code]],ProductData[],4,FALSE)</f>
        <v>1040</v>
      </c>
      <c r="Q4389" s="6">
        <f>OrganizedData[[#This Row],[Total Items Ordered]]*VLOOKUP(OrganizedData[[#This Row],[Product Code]],ProductData[],3,FALSE)</f>
        <v>3629.6000000000004</v>
      </c>
      <c r="R43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3448.1200000000003</v>
      </c>
    </row>
    <row r="4390" spans="1:18" x14ac:dyDescent="0.3">
      <c r="A4390" s="2">
        <v>4383</v>
      </c>
      <c r="B4390" s="2" t="s">
        <v>2951</v>
      </c>
      <c r="C4390" s="2" t="s">
        <v>8565</v>
      </c>
      <c r="D4390" s="2" t="s">
        <v>28</v>
      </c>
      <c r="E4390" s="2" t="s">
        <v>29</v>
      </c>
      <c r="F4390" s="2">
        <v>60</v>
      </c>
      <c r="G4390" s="2" t="s">
        <v>9613</v>
      </c>
      <c r="H4390" s="2" t="s">
        <v>9614</v>
      </c>
      <c r="I4390" s="2" t="s">
        <v>294</v>
      </c>
      <c r="J4390" s="3">
        <v>44733</v>
      </c>
      <c r="K4390" s="5">
        <f>YEAR(OrganizedData[[#This Row],[Order Date]])</f>
        <v>2022</v>
      </c>
      <c r="L4390" s="7" t="str">
        <f>TEXT(OrganizedData[[#This Row],[Order Date]],"mmm")</f>
        <v>Jun</v>
      </c>
      <c r="M4390" s="2">
        <v>33</v>
      </c>
      <c r="N4390" s="2" t="s">
        <v>54</v>
      </c>
      <c r="O4390" s="2" t="str">
        <f>VLOOKUP(OrganizedData[[#This Row],[Product Code]],ProductData[[Code]:[Item]],2,FALSE)</f>
        <v>Megawidget S</v>
      </c>
      <c r="P4390" s="4">
        <f>OrganizedData[[#This Row],[Quantity]]*VLOOKUP(OrganizedData[[#This Row],[Product Code]],ProductData[],4,FALSE)</f>
        <v>792</v>
      </c>
      <c r="Q4390" s="6">
        <f>OrganizedData[[#This Row],[Total Items Ordered]]*VLOOKUP(OrganizedData[[#This Row],[Product Code]],ProductData[],3,FALSE)</f>
        <v>546.4799999999999</v>
      </c>
      <c r="R43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4391" spans="1:18" x14ac:dyDescent="0.3">
      <c r="A4391" s="2">
        <v>4384</v>
      </c>
      <c r="B4391" s="2" t="s">
        <v>3515</v>
      </c>
      <c r="C4391" s="2" t="s">
        <v>6465</v>
      </c>
      <c r="D4391" s="2" t="s">
        <v>15</v>
      </c>
      <c r="E4391" s="2" t="s">
        <v>16</v>
      </c>
      <c r="F4391" s="2">
        <v>30</v>
      </c>
      <c r="G4391" s="2" t="s">
        <v>9615</v>
      </c>
      <c r="H4391" s="2" t="s">
        <v>2688</v>
      </c>
      <c r="I4391" s="2" t="s">
        <v>1199</v>
      </c>
      <c r="J4391" s="3">
        <v>44907</v>
      </c>
      <c r="K4391" s="5">
        <f>YEAR(OrganizedData[[#This Row],[Order Date]])</f>
        <v>2022</v>
      </c>
      <c r="L4391" s="7" t="str">
        <f>TEXT(OrganizedData[[#This Row],[Order Date]],"mmm")</f>
        <v>Dec</v>
      </c>
      <c r="M4391" s="2">
        <v>11</v>
      </c>
      <c r="N4391" s="2" t="s">
        <v>101</v>
      </c>
      <c r="O4391" s="2" t="str">
        <f>VLOOKUP(OrganizedData[[#This Row],[Product Code]],ProductData[[Code]:[Item]],2,FALSE)</f>
        <v>Superwossname</v>
      </c>
      <c r="P4391" s="4">
        <f>OrganizedData[[#This Row],[Quantity]]*VLOOKUP(OrganizedData[[#This Row],[Product Code]],ProductData[],4,FALSE)</f>
        <v>220</v>
      </c>
      <c r="Q4391" s="6">
        <f>OrganizedData[[#This Row],[Total Items Ordered]]*VLOOKUP(OrganizedData[[#This Row],[Product Code]],ProductData[],3,FALSE)</f>
        <v>767.80000000000007</v>
      </c>
      <c r="R43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4392" spans="1:18" x14ac:dyDescent="0.3">
      <c r="A4392" s="2">
        <v>4385</v>
      </c>
      <c r="B4392" s="2" t="s">
        <v>7218</v>
      </c>
      <c r="C4392" s="2" t="s">
        <v>3496</v>
      </c>
      <c r="D4392" s="2" t="s">
        <v>28</v>
      </c>
      <c r="E4392" s="2" t="s">
        <v>29</v>
      </c>
      <c r="F4392" s="2">
        <v>30</v>
      </c>
      <c r="G4392" s="2" t="s">
        <v>9616</v>
      </c>
      <c r="H4392" s="2" t="s">
        <v>1430</v>
      </c>
      <c r="I4392" s="2" t="s">
        <v>32</v>
      </c>
      <c r="J4392" s="3">
        <v>44535</v>
      </c>
      <c r="K4392" s="5">
        <f>YEAR(OrganizedData[[#This Row],[Order Date]])</f>
        <v>2021</v>
      </c>
      <c r="L4392" s="7" t="str">
        <f>TEXT(OrganizedData[[#This Row],[Order Date]],"mmm")</f>
        <v>Dec</v>
      </c>
      <c r="M4392" s="2">
        <v>13</v>
      </c>
      <c r="N4392" s="2" t="s">
        <v>45</v>
      </c>
      <c r="O4392" s="2" t="str">
        <f>VLOOKUP(OrganizedData[[#This Row],[Product Code]],ProductData[[Code]:[Item]],2,FALSE)</f>
        <v>Gigastuff</v>
      </c>
      <c r="P4392" s="4">
        <f>OrganizedData[[#This Row],[Quantity]]*VLOOKUP(OrganizedData[[#This Row],[Product Code]],ProductData[],4,FALSE)</f>
        <v>234</v>
      </c>
      <c r="Q4392" s="6">
        <f>OrganizedData[[#This Row],[Total Items Ordered]]*VLOOKUP(OrganizedData[[#This Row],[Product Code]],ProductData[],3,FALSE)</f>
        <v>442.26</v>
      </c>
      <c r="R43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442.26</v>
      </c>
    </row>
    <row r="4393" spans="1:18" x14ac:dyDescent="0.3">
      <c r="A4393" s="2">
        <v>4386</v>
      </c>
      <c r="B4393" s="2" t="s">
        <v>2246</v>
      </c>
      <c r="C4393" s="2" t="s">
        <v>722</v>
      </c>
      <c r="D4393" s="2" t="s">
        <v>28</v>
      </c>
      <c r="E4393" s="2" t="s">
        <v>29</v>
      </c>
      <c r="F4393" s="2">
        <v>60</v>
      </c>
      <c r="G4393" s="2" t="s">
        <v>9617</v>
      </c>
      <c r="H4393" s="2" t="s">
        <v>4541</v>
      </c>
      <c r="I4393" s="2" t="s">
        <v>89</v>
      </c>
      <c r="J4393" s="3">
        <v>44757</v>
      </c>
      <c r="K4393" s="5">
        <f>YEAR(OrganizedData[[#This Row],[Order Date]])</f>
        <v>2022</v>
      </c>
      <c r="L4393" s="7" t="str">
        <f>TEXT(OrganizedData[[#This Row],[Order Date]],"mmm")</f>
        <v>Jul</v>
      </c>
      <c r="M4393" s="2">
        <v>43</v>
      </c>
      <c r="N4393" s="2" t="s">
        <v>101</v>
      </c>
      <c r="O4393" s="2" t="str">
        <f>VLOOKUP(OrganizedData[[#This Row],[Product Code]],ProductData[[Code]:[Item]],2,FALSE)</f>
        <v>Superwossname</v>
      </c>
      <c r="P4393" s="4">
        <f>OrganizedData[[#This Row],[Quantity]]*VLOOKUP(OrganizedData[[#This Row],[Product Code]],ProductData[],4,FALSE)</f>
        <v>860</v>
      </c>
      <c r="Q4393" s="6">
        <f>OrganizedData[[#This Row],[Total Items Ordered]]*VLOOKUP(OrganizedData[[#This Row],[Product Code]],ProductData[],3,FALSE)</f>
        <v>3001.4</v>
      </c>
      <c r="R43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4394" spans="1:18" x14ac:dyDescent="0.3">
      <c r="A4394" s="2">
        <v>4387</v>
      </c>
      <c r="B4394" s="2" t="s">
        <v>1765</v>
      </c>
      <c r="C4394" s="2" t="s">
        <v>340</v>
      </c>
      <c r="D4394" s="2" t="s">
        <v>28</v>
      </c>
      <c r="E4394" s="2" t="s">
        <v>29</v>
      </c>
      <c r="F4394" s="2">
        <v>90</v>
      </c>
      <c r="G4394" s="2" t="s">
        <v>9618</v>
      </c>
      <c r="H4394" s="2" t="s">
        <v>207</v>
      </c>
      <c r="I4394" s="2" t="s">
        <v>208</v>
      </c>
      <c r="J4394" s="3">
        <v>44070</v>
      </c>
      <c r="K4394" s="5">
        <f>YEAR(OrganizedData[[#This Row],[Order Date]])</f>
        <v>2020</v>
      </c>
      <c r="L4394" s="7" t="str">
        <f>TEXT(OrganizedData[[#This Row],[Order Date]],"mmm")</f>
        <v>Aug</v>
      </c>
      <c r="M4394" s="2">
        <v>46</v>
      </c>
      <c r="N4394" s="2" t="s">
        <v>70</v>
      </c>
      <c r="O4394" s="2" t="str">
        <f>VLOOKUP(OrganizedData[[#This Row],[Product Code]],ProductData[[Code]:[Item]],2,FALSE)</f>
        <v>Megawidget M</v>
      </c>
      <c r="P4394" s="4">
        <f>OrganizedData[[#This Row],[Quantity]]*VLOOKUP(OrganizedData[[#This Row],[Product Code]],ProductData[],4,FALSE)</f>
        <v>1104</v>
      </c>
      <c r="Q4394" s="6">
        <f>OrganizedData[[#This Row],[Total Items Ordered]]*VLOOKUP(OrganizedData[[#This Row],[Product Code]],ProductData[],3,FALSE)</f>
        <v>1424.16</v>
      </c>
      <c r="R43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4395" spans="1:18" x14ac:dyDescent="0.3">
      <c r="A4395" s="2">
        <v>4388</v>
      </c>
      <c r="B4395" s="2" t="s">
        <v>4052</v>
      </c>
      <c r="C4395" s="2" t="s">
        <v>9619</v>
      </c>
      <c r="D4395" s="2" t="s">
        <v>28</v>
      </c>
      <c r="E4395" s="2" t="s">
        <v>29</v>
      </c>
      <c r="F4395" s="2">
        <v>30</v>
      </c>
      <c r="G4395" s="2" t="s">
        <v>9620</v>
      </c>
      <c r="H4395" s="2" t="s">
        <v>3799</v>
      </c>
      <c r="I4395" s="2" t="s">
        <v>32</v>
      </c>
      <c r="J4395" s="3">
        <v>44779</v>
      </c>
      <c r="K4395" s="5">
        <f>YEAR(OrganizedData[[#This Row],[Order Date]])</f>
        <v>2022</v>
      </c>
      <c r="L4395" s="7" t="str">
        <f>TEXT(OrganizedData[[#This Row],[Order Date]],"mmm")</f>
        <v>Aug</v>
      </c>
      <c r="M4395" s="2">
        <v>80</v>
      </c>
      <c r="N4395" s="2" t="s">
        <v>64</v>
      </c>
      <c r="O4395" s="2" t="str">
        <f>VLOOKUP(OrganizedData[[#This Row],[Product Code]],ProductData[[Code]:[Item]],2,FALSE)</f>
        <v>Ultrathing V4</v>
      </c>
      <c r="P4395" s="4">
        <f>OrganizedData[[#This Row],[Quantity]]*VLOOKUP(OrganizedData[[#This Row],[Product Code]],ProductData[],4,FALSE)</f>
        <v>1920</v>
      </c>
      <c r="Q4395" s="6">
        <f>OrganizedData[[#This Row],[Total Items Ordered]]*VLOOKUP(OrganizedData[[#This Row],[Product Code]],ProductData[],3,FALSE)</f>
        <v>7660.8</v>
      </c>
      <c r="R43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7277.76</v>
      </c>
    </row>
    <row r="4396" spans="1:18" x14ac:dyDescent="0.3">
      <c r="A4396" s="2">
        <v>4389</v>
      </c>
      <c r="B4396" s="2" t="s">
        <v>9621</v>
      </c>
      <c r="C4396" s="2" t="s">
        <v>8632</v>
      </c>
      <c r="D4396" s="2" t="s">
        <v>15</v>
      </c>
      <c r="E4396" s="2" t="s">
        <v>16</v>
      </c>
      <c r="F4396" s="2">
        <v>60</v>
      </c>
      <c r="G4396" s="2" t="s">
        <v>9622</v>
      </c>
      <c r="H4396" s="2" t="s">
        <v>2141</v>
      </c>
      <c r="I4396" s="2" t="s">
        <v>1078</v>
      </c>
      <c r="J4396" s="3">
        <v>44268</v>
      </c>
      <c r="K4396" s="5">
        <f>YEAR(OrganizedData[[#This Row],[Order Date]])</f>
        <v>2021</v>
      </c>
      <c r="L4396" s="7" t="str">
        <f>TEXT(OrganizedData[[#This Row],[Order Date]],"mmm")</f>
        <v>Mar</v>
      </c>
      <c r="M4396" s="2">
        <v>58</v>
      </c>
      <c r="N4396" s="2" t="s">
        <v>20</v>
      </c>
      <c r="O4396" s="2" t="str">
        <f>VLOOKUP(OrganizedData[[#This Row],[Product Code]],ProductData[[Code]:[Item]],2,FALSE)</f>
        <v>Hyperwotsit</v>
      </c>
      <c r="P4396" s="4">
        <f>OrganizedData[[#This Row],[Quantity]]*VLOOKUP(OrganizedData[[#This Row],[Product Code]],ProductData[],4,FALSE)</f>
        <v>1160</v>
      </c>
      <c r="Q4396" s="6">
        <f>OrganizedData[[#This Row],[Total Items Ordered]]*VLOOKUP(OrganizedData[[#This Row],[Product Code]],ProductData[],3,FALSE)</f>
        <v>2331.6</v>
      </c>
      <c r="R43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2215.02</v>
      </c>
    </row>
    <row r="4397" spans="1:18" x14ac:dyDescent="0.3">
      <c r="A4397" s="2">
        <v>4390</v>
      </c>
      <c r="B4397" s="2" t="s">
        <v>9623</v>
      </c>
      <c r="C4397" s="2" t="s">
        <v>9624</v>
      </c>
      <c r="D4397" s="2" t="s">
        <v>15</v>
      </c>
      <c r="E4397" s="2" t="s">
        <v>16</v>
      </c>
      <c r="F4397" s="2">
        <v>90</v>
      </c>
      <c r="G4397" s="2" t="s">
        <v>9622</v>
      </c>
      <c r="H4397" s="2" t="s">
        <v>109</v>
      </c>
      <c r="I4397" s="2" t="s">
        <v>110</v>
      </c>
      <c r="J4397" s="3">
        <v>44476</v>
      </c>
      <c r="K4397" s="5">
        <f>YEAR(OrganizedData[[#This Row],[Order Date]])</f>
        <v>2021</v>
      </c>
      <c r="L4397" s="7" t="str">
        <f>TEXT(OrganizedData[[#This Row],[Order Date]],"mmm")</f>
        <v>Oct</v>
      </c>
      <c r="M4397" s="2">
        <v>48</v>
      </c>
      <c r="N4397" s="2" t="s">
        <v>64</v>
      </c>
      <c r="O4397" s="2" t="str">
        <f>VLOOKUP(OrganizedData[[#This Row],[Product Code]],ProductData[[Code]:[Item]],2,FALSE)</f>
        <v>Ultrathing V4</v>
      </c>
      <c r="P4397" s="4">
        <f>OrganizedData[[#This Row],[Quantity]]*VLOOKUP(OrganizedData[[#This Row],[Product Code]],ProductData[],4,FALSE)</f>
        <v>1152</v>
      </c>
      <c r="Q4397" s="6">
        <f>OrganizedData[[#This Row],[Total Items Ordered]]*VLOOKUP(OrganizedData[[#This Row],[Product Code]],ProductData[],3,FALSE)</f>
        <v>4596.4800000000005</v>
      </c>
      <c r="R43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4458.5856000000003</v>
      </c>
    </row>
    <row r="4398" spans="1:18" x14ac:dyDescent="0.3">
      <c r="A4398" s="2">
        <v>4391</v>
      </c>
      <c r="B4398" s="2" t="s">
        <v>2206</v>
      </c>
      <c r="C4398" s="2" t="s">
        <v>4732</v>
      </c>
      <c r="D4398" s="2" t="s">
        <v>28</v>
      </c>
      <c r="E4398" s="2" t="s">
        <v>29</v>
      </c>
      <c r="F4398" s="2">
        <v>90</v>
      </c>
      <c r="G4398" s="2" t="s">
        <v>9625</v>
      </c>
      <c r="H4398" s="2" t="s">
        <v>2401</v>
      </c>
      <c r="I4398" s="2" t="s">
        <v>178</v>
      </c>
      <c r="J4398" s="3">
        <v>44272</v>
      </c>
      <c r="K4398" s="5">
        <f>YEAR(OrganizedData[[#This Row],[Order Date]])</f>
        <v>2021</v>
      </c>
      <c r="L4398" s="7" t="str">
        <f>TEXT(OrganizedData[[#This Row],[Order Date]],"mmm")</f>
        <v>Mar</v>
      </c>
      <c r="M4398" s="2">
        <v>57</v>
      </c>
      <c r="N4398" s="2" t="s">
        <v>39</v>
      </c>
      <c r="O4398" s="2" t="str">
        <f>VLOOKUP(OrganizedData[[#This Row],[Product Code]],ProductData[[Code]:[Item]],2,FALSE)</f>
        <v>Ultrathing V1</v>
      </c>
      <c r="P4398" s="4">
        <f>OrganizedData[[#This Row],[Quantity]]*VLOOKUP(OrganizedData[[#This Row],[Product Code]],ProductData[],4,FALSE)</f>
        <v>969</v>
      </c>
      <c r="Q4398" s="6">
        <f>OrganizedData[[#This Row],[Total Items Ordered]]*VLOOKUP(OrganizedData[[#This Row],[Product Code]],ProductData[],3,FALSE)</f>
        <v>1734.51</v>
      </c>
      <c r="R43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4399" spans="1:18" x14ac:dyDescent="0.3">
      <c r="A4399" s="2">
        <v>4392</v>
      </c>
      <c r="B4399" s="2" t="s">
        <v>9626</v>
      </c>
      <c r="C4399" s="2" t="s">
        <v>7973</v>
      </c>
      <c r="D4399" s="2" t="s">
        <v>51</v>
      </c>
      <c r="E4399" s="2" t="s">
        <v>16</v>
      </c>
      <c r="F4399" s="2">
        <v>30</v>
      </c>
      <c r="G4399" s="2" t="s">
        <v>9627</v>
      </c>
      <c r="H4399" s="2" t="s">
        <v>726</v>
      </c>
      <c r="I4399" s="2" t="s">
        <v>32</v>
      </c>
      <c r="J4399" s="3">
        <v>44187</v>
      </c>
      <c r="K4399" s="5">
        <f>YEAR(OrganizedData[[#This Row],[Order Date]])</f>
        <v>2020</v>
      </c>
      <c r="L4399" s="7" t="str">
        <f>TEXT(OrganizedData[[#This Row],[Order Date]],"mmm")</f>
        <v>Dec</v>
      </c>
      <c r="M4399" s="2">
        <v>7</v>
      </c>
      <c r="N4399" s="2" t="s">
        <v>54</v>
      </c>
      <c r="O4399" s="2" t="str">
        <f>VLOOKUP(OrganizedData[[#This Row],[Product Code]],ProductData[[Code]:[Item]],2,FALSE)</f>
        <v>Megawidget S</v>
      </c>
      <c r="P4399" s="4">
        <f>OrganizedData[[#This Row],[Quantity]]*VLOOKUP(OrganizedData[[#This Row],[Product Code]],ProductData[],4,FALSE)</f>
        <v>168</v>
      </c>
      <c r="Q4399" s="6">
        <f>OrganizedData[[#This Row],[Total Items Ordered]]*VLOOKUP(OrganizedData[[#This Row],[Product Code]],ProductData[],3,FALSE)</f>
        <v>115.91999999999999</v>
      </c>
      <c r="R43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4400" spans="1:18" x14ac:dyDescent="0.3">
      <c r="A4400" s="2">
        <v>4393</v>
      </c>
      <c r="B4400" s="2" t="s">
        <v>8149</v>
      </c>
      <c r="C4400" s="2" t="s">
        <v>6704</v>
      </c>
      <c r="D4400" s="2" t="s">
        <v>92</v>
      </c>
      <c r="E4400" s="2" t="s">
        <v>29</v>
      </c>
      <c r="F4400" s="2">
        <v>90</v>
      </c>
      <c r="G4400" s="2" t="s">
        <v>9628</v>
      </c>
      <c r="H4400" s="2" t="s">
        <v>768</v>
      </c>
      <c r="I4400" s="2" t="s">
        <v>124</v>
      </c>
      <c r="J4400" s="3">
        <v>44859</v>
      </c>
      <c r="K4400" s="5">
        <f>YEAR(OrganizedData[[#This Row],[Order Date]])</f>
        <v>2022</v>
      </c>
      <c r="L4400" s="7" t="str">
        <f>TEXT(OrganizedData[[#This Row],[Order Date]],"mmm")</f>
        <v>Oct</v>
      </c>
      <c r="M4400" s="2">
        <v>21</v>
      </c>
      <c r="N4400" s="2" t="s">
        <v>101</v>
      </c>
      <c r="O4400" s="2" t="str">
        <f>VLOOKUP(OrganizedData[[#This Row],[Product Code]],ProductData[[Code]:[Item]],2,FALSE)</f>
        <v>Superwossname</v>
      </c>
      <c r="P4400" s="4">
        <f>OrganizedData[[#This Row],[Quantity]]*VLOOKUP(OrganizedData[[#This Row],[Product Code]],ProductData[],4,FALSE)</f>
        <v>420</v>
      </c>
      <c r="Q4400" s="6">
        <f>OrganizedData[[#This Row],[Total Items Ordered]]*VLOOKUP(OrganizedData[[#This Row],[Product Code]],ProductData[],3,FALSE)</f>
        <v>1465.8000000000002</v>
      </c>
      <c r="R44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1421.8260000000002</v>
      </c>
    </row>
    <row r="4401" spans="1:18" x14ac:dyDescent="0.3">
      <c r="A4401" s="2">
        <v>4394</v>
      </c>
      <c r="B4401" s="2" t="s">
        <v>6358</v>
      </c>
      <c r="C4401" s="2" t="s">
        <v>949</v>
      </c>
      <c r="D4401" s="2" t="s">
        <v>28</v>
      </c>
      <c r="E4401" s="2" t="s">
        <v>29</v>
      </c>
      <c r="F4401" s="2">
        <v>60</v>
      </c>
      <c r="G4401" s="2" t="s">
        <v>9629</v>
      </c>
      <c r="H4401" s="2" t="s">
        <v>412</v>
      </c>
      <c r="I4401" s="2" t="s">
        <v>187</v>
      </c>
      <c r="J4401" s="3">
        <v>44284</v>
      </c>
      <c r="K4401" s="5">
        <f>YEAR(OrganizedData[[#This Row],[Order Date]])</f>
        <v>2021</v>
      </c>
      <c r="L4401" s="7" t="str">
        <f>TEXT(OrganizedData[[#This Row],[Order Date]],"mmm")</f>
        <v>Mar</v>
      </c>
      <c r="M4401" s="2">
        <v>95</v>
      </c>
      <c r="N4401" s="2" t="s">
        <v>54</v>
      </c>
      <c r="O4401" s="2" t="str">
        <f>VLOOKUP(OrganizedData[[#This Row],[Product Code]],ProductData[[Code]:[Item]],2,FALSE)</f>
        <v>Megawidget S</v>
      </c>
      <c r="P4401" s="4">
        <f>OrganizedData[[#This Row],[Quantity]]*VLOOKUP(OrganizedData[[#This Row],[Product Code]],ProductData[],4,FALSE)</f>
        <v>2280</v>
      </c>
      <c r="Q4401" s="6">
        <f>OrganizedData[[#This Row],[Total Items Ordered]]*VLOOKUP(OrganizedData[[#This Row],[Product Code]],ProductData[],3,FALSE)</f>
        <v>1573.1999999999998</v>
      </c>
      <c r="R44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1494.5399999999997</v>
      </c>
    </row>
    <row r="4402" spans="1:18" x14ac:dyDescent="0.3">
      <c r="A4402" s="2">
        <v>4395</v>
      </c>
      <c r="B4402" s="2" t="s">
        <v>8664</v>
      </c>
      <c r="C4402" s="2" t="s">
        <v>6255</v>
      </c>
      <c r="D4402" s="2" t="s">
        <v>51</v>
      </c>
      <c r="E4402" s="2" t="s">
        <v>16</v>
      </c>
      <c r="F4402" s="2">
        <v>30</v>
      </c>
      <c r="G4402" s="2" t="s">
        <v>9630</v>
      </c>
      <c r="H4402" s="2" t="s">
        <v>1099</v>
      </c>
      <c r="I4402" s="2" t="s">
        <v>25</v>
      </c>
      <c r="J4402" s="3">
        <v>44691</v>
      </c>
      <c r="K4402" s="5">
        <f>YEAR(OrganizedData[[#This Row],[Order Date]])</f>
        <v>2022</v>
      </c>
      <c r="L4402" s="7" t="str">
        <f>TEXT(OrganizedData[[#This Row],[Order Date]],"mmm")</f>
        <v>May</v>
      </c>
      <c r="M4402" s="2">
        <v>74</v>
      </c>
      <c r="N4402" s="2" t="s">
        <v>159</v>
      </c>
      <c r="O4402" s="2" t="str">
        <f>VLOOKUP(OrganizedData[[#This Row],[Product Code]],ProductData[[Code]:[Item]],2,FALSE)</f>
        <v>Ultrathing V3</v>
      </c>
      <c r="P4402" s="4">
        <f>OrganizedData[[#This Row],[Quantity]]*VLOOKUP(OrganizedData[[#This Row],[Product Code]],ProductData[],4,FALSE)</f>
        <v>1776</v>
      </c>
      <c r="Q4402" s="6">
        <f>OrganizedData[[#This Row],[Total Items Ordered]]*VLOOKUP(OrganizedData[[#This Row],[Product Code]],ProductData[],3,FALSE)</f>
        <v>6020.64</v>
      </c>
      <c r="R44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4403" spans="1:18" x14ac:dyDescent="0.3">
      <c r="A4403" s="2">
        <v>4396</v>
      </c>
      <c r="B4403" s="2" t="s">
        <v>5421</v>
      </c>
      <c r="C4403" s="2" t="s">
        <v>3529</v>
      </c>
      <c r="D4403" s="2" t="s">
        <v>28</v>
      </c>
      <c r="E4403" s="2" t="s">
        <v>29</v>
      </c>
      <c r="F4403" s="2">
        <v>60</v>
      </c>
      <c r="G4403" s="2" t="s">
        <v>9631</v>
      </c>
      <c r="H4403" s="2" t="s">
        <v>1601</v>
      </c>
      <c r="I4403" s="2" t="s">
        <v>32</v>
      </c>
      <c r="J4403" s="3">
        <v>44169</v>
      </c>
      <c r="K4403" s="5">
        <f>YEAR(OrganizedData[[#This Row],[Order Date]])</f>
        <v>2020</v>
      </c>
      <c r="L4403" s="7" t="str">
        <f>TEXT(OrganizedData[[#This Row],[Order Date]],"mmm")</f>
        <v>Dec</v>
      </c>
      <c r="M4403" s="2">
        <v>5</v>
      </c>
      <c r="N4403" s="2" t="s">
        <v>80</v>
      </c>
      <c r="O4403" s="2" t="str">
        <f>VLOOKUP(OrganizedData[[#This Row],[Product Code]],ProductData[[Code]:[Item]],2,FALSE)</f>
        <v>Ultrathing V2</v>
      </c>
      <c r="P4403" s="4">
        <f>OrganizedData[[#This Row],[Quantity]]*VLOOKUP(OrganizedData[[#This Row],[Product Code]],ProductData[],4,FALSE)</f>
        <v>100</v>
      </c>
      <c r="Q4403" s="6">
        <f>OrganizedData[[#This Row],[Total Items Ordered]]*VLOOKUP(OrganizedData[[#This Row],[Product Code]],ProductData[],3,FALSE)</f>
        <v>295</v>
      </c>
      <c r="R44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295</v>
      </c>
    </row>
    <row r="4404" spans="1:18" x14ac:dyDescent="0.3">
      <c r="A4404" s="2">
        <v>4397</v>
      </c>
      <c r="B4404" s="2" t="s">
        <v>2829</v>
      </c>
      <c r="C4404" s="2" t="s">
        <v>1188</v>
      </c>
      <c r="D4404" s="2" t="s">
        <v>28</v>
      </c>
      <c r="E4404" s="2" t="s">
        <v>29</v>
      </c>
      <c r="F4404" s="2">
        <v>60</v>
      </c>
      <c r="G4404" s="2" t="s">
        <v>9632</v>
      </c>
      <c r="H4404" s="2" t="s">
        <v>1005</v>
      </c>
      <c r="I4404" s="2" t="s">
        <v>178</v>
      </c>
      <c r="J4404" s="3">
        <v>44913</v>
      </c>
      <c r="K4404" s="5">
        <f>YEAR(OrganizedData[[#This Row],[Order Date]])</f>
        <v>2022</v>
      </c>
      <c r="L4404" s="7" t="str">
        <f>TEXT(OrganizedData[[#This Row],[Order Date]],"mmm")</f>
        <v>Dec</v>
      </c>
      <c r="M4404" s="2">
        <v>33</v>
      </c>
      <c r="N4404" s="2" t="s">
        <v>33</v>
      </c>
      <c r="O4404" s="2" t="str">
        <f>VLOOKUP(OrganizedData[[#This Row],[Product Code]],ProductData[[Code]:[Item]],2,FALSE)</f>
        <v>Megawidget L</v>
      </c>
      <c r="P4404" s="4">
        <f>OrganizedData[[#This Row],[Quantity]]*VLOOKUP(OrganizedData[[#This Row],[Product Code]],ProductData[],4,FALSE)</f>
        <v>792</v>
      </c>
      <c r="Q4404" s="6">
        <f>OrganizedData[[#This Row],[Total Items Ordered]]*VLOOKUP(OrganizedData[[#This Row],[Product Code]],ProductData[],3,FALSE)</f>
        <v>1417.68</v>
      </c>
      <c r="R44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1375.1496</v>
      </c>
    </row>
    <row r="4405" spans="1:18" x14ac:dyDescent="0.3">
      <c r="A4405" s="2">
        <v>4398</v>
      </c>
      <c r="B4405" s="2" t="s">
        <v>504</v>
      </c>
      <c r="C4405" s="2" t="s">
        <v>609</v>
      </c>
      <c r="D4405" s="2" t="s">
        <v>51</v>
      </c>
      <c r="E4405" s="2" t="s">
        <v>16</v>
      </c>
      <c r="F4405" s="2">
        <v>90</v>
      </c>
      <c r="G4405" s="2" t="s">
        <v>9633</v>
      </c>
      <c r="H4405" s="2" t="s">
        <v>2720</v>
      </c>
      <c r="I4405" s="2" t="s">
        <v>32</v>
      </c>
      <c r="J4405" s="3">
        <v>43931</v>
      </c>
      <c r="K4405" s="5">
        <f>YEAR(OrganizedData[[#This Row],[Order Date]])</f>
        <v>2020</v>
      </c>
      <c r="L4405" s="7" t="str">
        <f>TEXT(OrganizedData[[#This Row],[Order Date]],"mmm")</f>
        <v>Apr</v>
      </c>
      <c r="M4405" s="2">
        <v>45</v>
      </c>
      <c r="N4405" s="2" t="s">
        <v>159</v>
      </c>
      <c r="O4405" s="2" t="str">
        <f>VLOOKUP(OrganizedData[[#This Row],[Product Code]],ProductData[[Code]:[Item]],2,FALSE)</f>
        <v>Ultrathing V3</v>
      </c>
      <c r="P4405" s="4">
        <f>OrganizedData[[#This Row],[Quantity]]*VLOOKUP(OrganizedData[[#This Row],[Product Code]],ProductData[],4,FALSE)</f>
        <v>1080</v>
      </c>
      <c r="Q4405" s="6">
        <f>OrganizedData[[#This Row],[Total Items Ordered]]*VLOOKUP(OrganizedData[[#This Row],[Product Code]],ProductData[],3,FALSE)</f>
        <v>3661.2000000000003</v>
      </c>
      <c r="R44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3551.364</v>
      </c>
    </row>
    <row r="4406" spans="1:18" x14ac:dyDescent="0.3">
      <c r="A4406" s="2">
        <v>4399</v>
      </c>
      <c r="B4406" s="2" t="s">
        <v>8151</v>
      </c>
      <c r="C4406" s="2" t="s">
        <v>2853</v>
      </c>
      <c r="D4406" s="2" t="s">
        <v>28</v>
      </c>
      <c r="E4406" s="2" t="s">
        <v>29</v>
      </c>
      <c r="F4406" s="2">
        <v>60</v>
      </c>
      <c r="G4406" s="2" t="s">
        <v>9634</v>
      </c>
      <c r="H4406" s="2" t="s">
        <v>1306</v>
      </c>
      <c r="I4406" s="2" t="s">
        <v>32</v>
      </c>
      <c r="J4406" s="3">
        <v>44560</v>
      </c>
      <c r="K4406" s="5">
        <f>YEAR(OrganizedData[[#This Row],[Order Date]])</f>
        <v>2021</v>
      </c>
      <c r="L4406" s="7" t="str">
        <f>TEXT(OrganizedData[[#This Row],[Order Date]],"mmm")</f>
        <v>Dec</v>
      </c>
      <c r="M4406" s="2">
        <v>61</v>
      </c>
      <c r="N4406" s="2" t="s">
        <v>39</v>
      </c>
      <c r="O4406" s="2" t="str">
        <f>VLOOKUP(OrganizedData[[#This Row],[Product Code]],ProductData[[Code]:[Item]],2,FALSE)</f>
        <v>Ultrathing V1</v>
      </c>
      <c r="P4406" s="4">
        <f>OrganizedData[[#This Row],[Quantity]]*VLOOKUP(OrganizedData[[#This Row],[Product Code]],ProductData[],4,FALSE)</f>
        <v>1037</v>
      </c>
      <c r="Q4406" s="6">
        <f>OrganizedData[[#This Row],[Total Items Ordered]]*VLOOKUP(OrganizedData[[#This Row],[Product Code]],ProductData[],3,FALSE)</f>
        <v>1856.23</v>
      </c>
      <c r="R44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1763.4185</v>
      </c>
    </row>
    <row r="4407" spans="1:18" x14ac:dyDescent="0.3">
      <c r="A4407" s="2">
        <v>4400</v>
      </c>
      <c r="B4407" s="2" t="s">
        <v>3496</v>
      </c>
      <c r="C4407" s="2" t="s">
        <v>9635</v>
      </c>
      <c r="D4407" s="2" t="s">
        <v>28</v>
      </c>
      <c r="E4407" s="2" t="s">
        <v>29</v>
      </c>
      <c r="F4407" s="2">
        <v>90</v>
      </c>
      <c r="G4407" s="2" t="s">
        <v>9636</v>
      </c>
      <c r="H4407" s="2" t="s">
        <v>1253</v>
      </c>
      <c r="I4407" s="2" t="s">
        <v>32</v>
      </c>
      <c r="J4407" s="3">
        <v>44430</v>
      </c>
      <c r="K4407" s="5">
        <f>YEAR(OrganizedData[[#This Row],[Order Date]])</f>
        <v>2021</v>
      </c>
      <c r="L4407" s="7" t="str">
        <f>TEXT(OrganizedData[[#This Row],[Order Date]],"mmm")</f>
        <v>Aug</v>
      </c>
      <c r="M4407" s="2">
        <v>5</v>
      </c>
      <c r="N4407" s="2" t="s">
        <v>33</v>
      </c>
      <c r="O4407" s="2" t="str">
        <f>VLOOKUP(OrganizedData[[#This Row],[Product Code]],ProductData[[Code]:[Item]],2,FALSE)</f>
        <v>Megawidget L</v>
      </c>
      <c r="P4407" s="4">
        <f>OrganizedData[[#This Row],[Quantity]]*VLOOKUP(OrganizedData[[#This Row],[Product Code]],ProductData[],4,FALSE)</f>
        <v>120</v>
      </c>
      <c r="Q4407" s="6">
        <f>OrganizedData[[#This Row],[Total Items Ordered]]*VLOOKUP(OrganizedData[[#This Row],[Product Code]],ProductData[],3,FALSE)</f>
        <v>214.8</v>
      </c>
      <c r="R44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214.8</v>
      </c>
    </row>
    <row r="4408" spans="1:18" x14ac:dyDescent="0.3">
      <c r="A4408" s="2">
        <v>4401</v>
      </c>
      <c r="B4408" s="2" t="s">
        <v>9637</v>
      </c>
      <c r="C4408" s="2" t="s">
        <v>3913</v>
      </c>
      <c r="D4408" s="2" t="s">
        <v>15</v>
      </c>
      <c r="E4408" s="2" t="s">
        <v>16</v>
      </c>
      <c r="F4408" s="2">
        <v>90</v>
      </c>
      <c r="G4408" s="2" t="s">
        <v>9638</v>
      </c>
      <c r="H4408" s="2" t="s">
        <v>1138</v>
      </c>
      <c r="I4408" s="2" t="s">
        <v>124</v>
      </c>
      <c r="J4408" s="3">
        <v>44040</v>
      </c>
      <c r="K4408" s="5">
        <f>YEAR(OrganizedData[[#This Row],[Order Date]])</f>
        <v>2020</v>
      </c>
      <c r="L4408" s="7" t="str">
        <f>TEXT(OrganizedData[[#This Row],[Order Date]],"mmm")</f>
        <v>Jul</v>
      </c>
      <c r="M4408" s="2">
        <v>50</v>
      </c>
      <c r="N4408" s="2" t="s">
        <v>20</v>
      </c>
      <c r="O4408" s="2" t="str">
        <f>VLOOKUP(OrganizedData[[#This Row],[Product Code]],ProductData[[Code]:[Item]],2,FALSE)</f>
        <v>Hyperwotsit</v>
      </c>
      <c r="P4408" s="4">
        <f>OrganizedData[[#This Row],[Quantity]]*VLOOKUP(OrganizedData[[#This Row],[Product Code]],ProductData[],4,FALSE)</f>
        <v>1000</v>
      </c>
      <c r="Q4408" s="6">
        <f>OrganizedData[[#This Row],[Total Items Ordered]]*VLOOKUP(OrganizedData[[#This Row],[Product Code]],ProductData[],3,FALSE)</f>
        <v>2009.9999999999998</v>
      </c>
      <c r="R44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4409" spans="1:18" x14ac:dyDescent="0.3">
      <c r="A4409" s="2">
        <v>4402</v>
      </c>
      <c r="B4409" s="2" t="s">
        <v>2962</v>
      </c>
      <c r="C4409" s="2" t="s">
        <v>3454</v>
      </c>
      <c r="D4409" s="2" t="s">
        <v>28</v>
      </c>
      <c r="E4409" s="2" t="s">
        <v>29</v>
      </c>
      <c r="F4409" s="2">
        <v>60</v>
      </c>
      <c r="G4409" s="2" t="s">
        <v>9639</v>
      </c>
      <c r="H4409" s="2" t="s">
        <v>827</v>
      </c>
      <c r="I4409" s="2" t="s">
        <v>124</v>
      </c>
      <c r="J4409" s="3">
        <v>44324</v>
      </c>
      <c r="K4409" s="5">
        <f>YEAR(OrganizedData[[#This Row],[Order Date]])</f>
        <v>2021</v>
      </c>
      <c r="L4409" s="7" t="str">
        <f>TEXT(OrganizedData[[#This Row],[Order Date]],"mmm")</f>
        <v>May</v>
      </c>
      <c r="M4409" s="2">
        <v>47</v>
      </c>
      <c r="N4409" s="2" t="s">
        <v>39</v>
      </c>
      <c r="O4409" s="2" t="str">
        <f>VLOOKUP(OrganizedData[[#This Row],[Product Code]],ProductData[[Code]:[Item]],2,FALSE)</f>
        <v>Ultrathing V1</v>
      </c>
      <c r="P4409" s="4">
        <f>OrganizedData[[#This Row],[Quantity]]*VLOOKUP(OrganizedData[[#This Row],[Product Code]],ProductData[],4,FALSE)</f>
        <v>799</v>
      </c>
      <c r="Q4409" s="6">
        <f>OrganizedData[[#This Row],[Total Items Ordered]]*VLOOKUP(OrganizedData[[#This Row],[Product Code]],ProductData[],3,FALSE)</f>
        <v>1430.21</v>
      </c>
      <c r="R44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1387.3036999999999</v>
      </c>
    </row>
    <row r="4410" spans="1:18" x14ac:dyDescent="0.3">
      <c r="A4410" s="2">
        <v>4403</v>
      </c>
      <c r="B4410" s="2" t="s">
        <v>1464</v>
      </c>
      <c r="C4410" s="2" t="s">
        <v>5853</v>
      </c>
      <c r="D4410" s="2" t="s">
        <v>28</v>
      </c>
      <c r="E4410" s="2" t="s">
        <v>29</v>
      </c>
      <c r="F4410" s="2">
        <v>30</v>
      </c>
      <c r="G4410" s="2" t="s">
        <v>9640</v>
      </c>
      <c r="H4410" s="2" t="s">
        <v>3596</v>
      </c>
      <c r="I4410" s="2" t="s">
        <v>32</v>
      </c>
      <c r="J4410" s="3">
        <v>43985</v>
      </c>
      <c r="K4410" s="5">
        <f>YEAR(OrganizedData[[#This Row],[Order Date]])</f>
        <v>2020</v>
      </c>
      <c r="L4410" s="7" t="str">
        <f>TEXT(OrganizedData[[#This Row],[Order Date]],"mmm")</f>
        <v>Jun</v>
      </c>
      <c r="M4410" s="2">
        <v>34</v>
      </c>
      <c r="N4410" s="2" t="s">
        <v>45</v>
      </c>
      <c r="O4410" s="2" t="str">
        <f>VLOOKUP(OrganizedData[[#This Row],[Product Code]],ProductData[[Code]:[Item]],2,FALSE)</f>
        <v>Gigastuff</v>
      </c>
      <c r="P4410" s="4">
        <f>OrganizedData[[#This Row],[Quantity]]*VLOOKUP(OrganizedData[[#This Row],[Product Code]],ProductData[],4,FALSE)</f>
        <v>612</v>
      </c>
      <c r="Q4410" s="6">
        <f>OrganizedData[[#This Row],[Total Items Ordered]]*VLOOKUP(OrganizedData[[#This Row],[Product Code]],ProductData[],3,FALSE)</f>
        <v>1156.6799999999998</v>
      </c>
      <c r="R44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1121.9795999999999</v>
      </c>
    </row>
    <row r="4411" spans="1:18" x14ac:dyDescent="0.3">
      <c r="A4411" s="2">
        <v>4404</v>
      </c>
      <c r="B4411" s="2" t="s">
        <v>7782</v>
      </c>
      <c r="C4411" s="2" t="s">
        <v>3341</v>
      </c>
      <c r="D4411" s="2" t="s">
        <v>51</v>
      </c>
      <c r="E4411" s="2" t="s">
        <v>16</v>
      </c>
      <c r="F4411" s="2">
        <v>30</v>
      </c>
      <c r="G4411" s="2" t="s">
        <v>9641</v>
      </c>
      <c r="H4411" s="2" t="s">
        <v>1343</v>
      </c>
      <c r="I4411" s="2" t="s">
        <v>294</v>
      </c>
      <c r="J4411" s="3">
        <v>44636</v>
      </c>
      <c r="K4411" s="5">
        <f>YEAR(OrganizedData[[#This Row],[Order Date]])</f>
        <v>2022</v>
      </c>
      <c r="L4411" s="7" t="str">
        <f>TEXT(OrganizedData[[#This Row],[Order Date]],"mmm")</f>
        <v>Mar</v>
      </c>
      <c r="M4411" s="2">
        <v>76</v>
      </c>
      <c r="N4411" s="2" t="s">
        <v>80</v>
      </c>
      <c r="O4411" s="2" t="str">
        <f>VLOOKUP(OrganizedData[[#This Row],[Product Code]],ProductData[[Code]:[Item]],2,FALSE)</f>
        <v>Ultrathing V2</v>
      </c>
      <c r="P4411" s="4">
        <f>OrganizedData[[#This Row],[Quantity]]*VLOOKUP(OrganizedData[[#This Row],[Product Code]],ProductData[],4,FALSE)</f>
        <v>1520</v>
      </c>
      <c r="Q4411" s="6">
        <f>OrganizedData[[#This Row],[Total Items Ordered]]*VLOOKUP(OrganizedData[[#This Row],[Product Code]],ProductData[],3,FALSE)</f>
        <v>4484</v>
      </c>
      <c r="R44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4259.8</v>
      </c>
    </row>
    <row r="4412" spans="1:18" x14ac:dyDescent="0.3">
      <c r="A4412" s="2">
        <v>4405</v>
      </c>
      <c r="B4412" s="2" t="s">
        <v>2915</v>
      </c>
      <c r="C4412" s="2" t="s">
        <v>5113</v>
      </c>
      <c r="D4412" s="2" t="s">
        <v>28</v>
      </c>
      <c r="E4412" s="2" t="s">
        <v>29</v>
      </c>
      <c r="F4412" s="2">
        <v>90</v>
      </c>
      <c r="G4412" s="2" t="s">
        <v>9642</v>
      </c>
      <c r="H4412" s="2" t="s">
        <v>6754</v>
      </c>
      <c r="I4412" s="2" t="s">
        <v>32</v>
      </c>
      <c r="J4412" s="3">
        <v>44850</v>
      </c>
      <c r="K4412" s="5">
        <f>YEAR(OrganizedData[[#This Row],[Order Date]])</f>
        <v>2022</v>
      </c>
      <c r="L4412" s="7" t="str">
        <f>TEXT(OrganizedData[[#This Row],[Order Date]],"mmm")</f>
        <v>Oct</v>
      </c>
      <c r="M4412" s="2">
        <v>43</v>
      </c>
      <c r="N4412" s="2" t="s">
        <v>80</v>
      </c>
      <c r="O4412" s="2" t="str">
        <f>VLOOKUP(OrganizedData[[#This Row],[Product Code]],ProductData[[Code]:[Item]],2,FALSE)</f>
        <v>Ultrathing V2</v>
      </c>
      <c r="P4412" s="4">
        <f>OrganizedData[[#This Row],[Quantity]]*VLOOKUP(OrganizedData[[#This Row],[Product Code]],ProductData[],4,FALSE)</f>
        <v>860</v>
      </c>
      <c r="Q4412" s="6">
        <f>OrganizedData[[#This Row],[Total Items Ordered]]*VLOOKUP(OrganizedData[[#This Row],[Product Code]],ProductData[],3,FALSE)</f>
        <v>2537</v>
      </c>
      <c r="R44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4413" spans="1:18" x14ac:dyDescent="0.3">
      <c r="A4413" s="2">
        <v>4406</v>
      </c>
      <c r="B4413" s="2" t="s">
        <v>9643</v>
      </c>
      <c r="C4413" s="2" t="s">
        <v>3118</v>
      </c>
      <c r="D4413" s="2" t="s">
        <v>117</v>
      </c>
      <c r="E4413" s="2" t="s">
        <v>16</v>
      </c>
      <c r="F4413" s="2">
        <v>60</v>
      </c>
      <c r="G4413" s="2" t="s">
        <v>9644</v>
      </c>
      <c r="H4413" s="2" t="s">
        <v>877</v>
      </c>
      <c r="I4413" s="2" t="s">
        <v>32</v>
      </c>
      <c r="J4413" s="3">
        <v>44223</v>
      </c>
      <c r="K4413" s="5">
        <f>YEAR(OrganizedData[[#This Row],[Order Date]])</f>
        <v>2021</v>
      </c>
      <c r="L4413" s="7" t="str">
        <f>TEXT(OrganizedData[[#This Row],[Order Date]],"mmm")</f>
        <v>Jan</v>
      </c>
      <c r="M4413" s="2">
        <v>88</v>
      </c>
      <c r="N4413" s="2" t="s">
        <v>64</v>
      </c>
      <c r="O4413" s="2" t="str">
        <f>VLOOKUP(OrganizedData[[#This Row],[Product Code]],ProductData[[Code]:[Item]],2,FALSE)</f>
        <v>Ultrathing V4</v>
      </c>
      <c r="P4413" s="4">
        <f>OrganizedData[[#This Row],[Quantity]]*VLOOKUP(OrganizedData[[#This Row],[Product Code]],ProductData[],4,FALSE)</f>
        <v>2112</v>
      </c>
      <c r="Q4413" s="6">
        <f>OrganizedData[[#This Row],[Total Items Ordered]]*VLOOKUP(OrganizedData[[#This Row],[Product Code]],ProductData[],3,FALSE)</f>
        <v>8426.880000000001</v>
      </c>
      <c r="R44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8005.536000000001</v>
      </c>
    </row>
    <row r="4414" spans="1:18" x14ac:dyDescent="0.3">
      <c r="A4414" s="2">
        <v>4407</v>
      </c>
      <c r="B4414" s="2" t="s">
        <v>7239</v>
      </c>
      <c r="C4414" s="2" t="s">
        <v>9645</v>
      </c>
      <c r="D4414" s="2" t="s">
        <v>28</v>
      </c>
      <c r="E4414" s="2" t="s">
        <v>29</v>
      </c>
      <c r="F4414" s="2">
        <v>30</v>
      </c>
      <c r="G4414" s="2" t="s">
        <v>9646</v>
      </c>
      <c r="H4414" s="2" t="s">
        <v>3713</v>
      </c>
      <c r="I4414" s="2" t="s">
        <v>32</v>
      </c>
      <c r="J4414" s="3">
        <v>44907</v>
      </c>
      <c r="K4414" s="5">
        <f>YEAR(OrganizedData[[#This Row],[Order Date]])</f>
        <v>2022</v>
      </c>
      <c r="L4414" s="7" t="str">
        <f>TEXT(OrganizedData[[#This Row],[Order Date]],"mmm")</f>
        <v>Dec</v>
      </c>
      <c r="M4414" s="2">
        <v>52</v>
      </c>
      <c r="N4414" s="2" t="s">
        <v>101</v>
      </c>
      <c r="O4414" s="2" t="str">
        <f>VLOOKUP(OrganizedData[[#This Row],[Product Code]],ProductData[[Code]:[Item]],2,FALSE)</f>
        <v>Superwossname</v>
      </c>
      <c r="P4414" s="4">
        <f>OrganizedData[[#This Row],[Quantity]]*VLOOKUP(OrganizedData[[#This Row],[Product Code]],ProductData[],4,FALSE)</f>
        <v>1040</v>
      </c>
      <c r="Q4414" s="6">
        <f>OrganizedData[[#This Row],[Total Items Ordered]]*VLOOKUP(OrganizedData[[#This Row],[Product Code]],ProductData[],3,FALSE)</f>
        <v>3629.6000000000004</v>
      </c>
      <c r="R44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3448.1200000000003</v>
      </c>
    </row>
    <row r="4415" spans="1:18" x14ac:dyDescent="0.3">
      <c r="A4415" s="2">
        <v>4408</v>
      </c>
      <c r="B4415" s="2" t="s">
        <v>9647</v>
      </c>
      <c r="C4415" s="2" t="s">
        <v>3750</v>
      </c>
      <c r="D4415" s="2" t="s">
        <v>15</v>
      </c>
      <c r="E4415" s="2" t="s">
        <v>16</v>
      </c>
      <c r="F4415" s="2">
        <v>90</v>
      </c>
      <c r="G4415" s="2" t="s">
        <v>9648</v>
      </c>
      <c r="H4415" s="2" t="s">
        <v>894</v>
      </c>
      <c r="I4415" s="2" t="s">
        <v>38</v>
      </c>
      <c r="J4415" s="3">
        <v>44399</v>
      </c>
      <c r="K4415" s="5">
        <f>YEAR(OrganizedData[[#This Row],[Order Date]])</f>
        <v>2021</v>
      </c>
      <c r="L4415" s="7" t="str">
        <f>TEXT(OrganizedData[[#This Row],[Order Date]],"mmm")</f>
        <v>Jul</v>
      </c>
      <c r="M4415" s="2">
        <v>79</v>
      </c>
      <c r="N4415" s="2" t="s">
        <v>159</v>
      </c>
      <c r="O4415" s="2" t="str">
        <f>VLOOKUP(OrganizedData[[#This Row],[Product Code]],ProductData[[Code]:[Item]],2,FALSE)</f>
        <v>Ultrathing V3</v>
      </c>
      <c r="P4415" s="4">
        <f>OrganizedData[[#This Row],[Quantity]]*VLOOKUP(OrganizedData[[#This Row],[Product Code]],ProductData[],4,FALSE)</f>
        <v>1896</v>
      </c>
      <c r="Q4415" s="6">
        <f>OrganizedData[[#This Row],[Total Items Ordered]]*VLOOKUP(OrganizedData[[#This Row],[Product Code]],ProductData[],3,FALSE)</f>
        <v>6427.4400000000005</v>
      </c>
      <c r="R44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6106.0680000000002</v>
      </c>
    </row>
    <row r="4416" spans="1:18" x14ac:dyDescent="0.3">
      <c r="A4416" s="2">
        <v>4409</v>
      </c>
      <c r="B4416" s="2" t="s">
        <v>9649</v>
      </c>
      <c r="C4416" s="2" t="s">
        <v>580</v>
      </c>
      <c r="D4416" s="2" t="s">
        <v>28</v>
      </c>
      <c r="E4416" s="2" t="s">
        <v>29</v>
      </c>
      <c r="F4416" s="2">
        <v>90</v>
      </c>
      <c r="G4416" s="2" t="s">
        <v>9650</v>
      </c>
      <c r="H4416" s="2" t="s">
        <v>4631</v>
      </c>
      <c r="I4416" s="2" t="s">
        <v>187</v>
      </c>
      <c r="J4416" s="3">
        <v>43906</v>
      </c>
      <c r="K4416" s="5">
        <f>YEAR(OrganizedData[[#This Row],[Order Date]])</f>
        <v>2020</v>
      </c>
      <c r="L4416" s="7" t="str">
        <f>TEXT(OrganizedData[[#This Row],[Order Date]],"mmm")</f>
        <v>Mar</v>
      </c>
      <c r="M4416" s="2">
        <v>73</v>
      </c>
      <c r="N4416" s="2" t="s">
        <v>39</v>
      </c>
      <c r="O4416" s="2" t="str">
        <f>VLOOKUP(OrganizedData[[#This Row],[Product Code]],ProductData[[Code]:[Item]],2,FALSE)</f>
        <v>Ultrathing V1</v>
      </c>
      <c r="P4416" s="4">
        <f>OrganizedData[[#This Row],[Quantity]]*VLOOKUP(OrganizedData[[#This Row],[Product Code]],ProductData[],4,FALSE)</f>
        <v>1241</v>
      </c>
      <c r="Q4416" s="6">
        <f>OrganizedData[[#This Row],[Total Items Ordered]]*VLOOKUP(OrganizedData[[#This Row],[Product Code]],ProductData[],3,FALSE)</f>
        <v>2221.39</v>
      </c>
      <c r="R44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2110.3204999999998</v>
      </c>
    </row>
    <row r="4417" spans="1:18" x14ac:dyDescent="0.3">
      <c r="A4417" s="2">
        <v>4410</v>
      </c>
      <c r="B4417" s="2" t="s">
        <v>6322</v>
      </c>
      <c r="C4417" s="2" t="s">
        <v>3286</v>
      </c>
      <c r="D4417" s="2" t="s">
        <v>28</v>
      </c>
      <c r="E4417" s="2" t="s">
        <v>29</v>
      </c>
      <c r="F4417" s="2">
        <v>90</v>
      </c>
      <c r="G4417" s="2" t="s">
        <v>9651</v>
      </c>
      <c r="H4417" s="2" t="s">
        <v>3399</v>
      </c>
      <c r="I4417" s="2" t="s">
        <v>124</v>
      </c>
      <c r="J4417" s="3">
        <v>44609</v>
      </c>
      <c r="K4417" s="5">
        <f>YEAR(OrganizedData[[#This Row],[Order Date]])</f>
        <v>2022</v>
      </c>
      <c r="L4417" s="7" t="str">
        <f>TEXT(OrganizedData[[#This Row],[Order Date]],"mmm")</f>
        <v>Feb</v>
      </c>
      <c r="M4417" s="2">
        <v>96</v>
      </c>
      <c r="N4417" s="2" t="s">
        <v>39</v>
      </c>
      <c r="O4417" s="2" t="str">
        <f>VLOOKUP(OrganizedData[[#This Row],[Product Code]],ProductData[[Code]:[Item]],2,FALSE)</f>
        <v>Ultrathing V1</v>
      </c>
      <c r="P4417" s="4">
        <f>OrganizedData[[#This Row],[Quantity]]*VLOOKUP(OrganizedData[[#This Row],[Product Code]],ProductData[],4,FALSE)</f>
        <v>1632</v>
      </c>
      <c r="Q4417" s="6">
        <f>OrganizedData[[#This Row],[Total Items Ordered]]*VLOOKUP(OrganizedData[[#This Row],[Product Code]],ProductData[],3,FALSE)</f>
        <v>2921.28</v>
      </c>
      <c r="R44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4418" spans="1:18" x14ac:dyDescent="0.3">
      <c r="A4418" s="2">
        <v>4411</v>
      </c>
      <c r="B4418" s="2" t="s">
        <v>2823</v>
      </c>
      <c r="C4418" s="2" t="s">
        <v>6355</v>
      </c>
      <c r="D4418" s="2" t="s">
        <v>28</v>
      </c>
      <c r="E4418" s="2" t="s">
        <v>29</v>
      </c>
      <c r="F4418" s="2">
        <v>90</v>
      </c>
      <c r="G4418" s="2" t="s">
        <v>9652</v>
      </c>
      <c r="H4418" s="2" t="s">
        <v>4699</v>
      </c>
      <c r="I4418" s="2" t="s">
        <v>32</v>
      </c>
      <c r="J4418" s="3">
        <v>44855</v>
      </c>
      <c r="K4418" s="5">
        <f>YEAR(OrganizedData[[#This Row],[Order Date]])</f>
        <v>2022</v>
      </c>
      <c r="L4418" s="7" t="str">
        <f>TEXT(OrganizedData[[#This Row],[Order Date]],"mmm")</f>
        <v>Oct</v>
      </c>
      <c r="M4418" s="2">
        <v>56</v>
      </c>
      <c r="N4418" s="2" t="s">
        <v>80</v>
      </c>
      <c r="O4418" s="2" t="str">
        <f>VLOOKUP(OrganizedData[[#This Row],[Product Code]],ProductData[[Code]:[Item]],2,FALSE)</f>
        <v>Ultrathing V2</v>
      </c>
      <c r="P4418" s="4">
        <f>OrganizedData[[#This Row],[Quantity]]*VLOOKUP(OrganizedData[[#This Row],[Product Code]],ProductData[],4,FALSE)</f>
        <v>1120</v>
      </c>
      <c r="Q4418" s="6">
        <f>OrganizedData[[#This Row],[Total Items Ordered]]*VLOOKUP(OrganizedData[[#This Row],[Product Code]],ProductData[],3,FALSE)</f>
        <v>3304</v>
      </c>
      <c r="R44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3138.7999999999997</v>
      </c>
    </row>
    <row r="4419" spans="1:18" x14ac:dyDescent="0.3">
      <c r="A4419" s="2">
        <v>4412</v>
      </c>
      <c r="B4419" s="2" t="s">
        <v>2805</v>
      </c>
      <c r="C4419" s="2" t="s">
        <v>1517</v>
      </c>
      <c r="D4419" s="2" t="s">
        <v>28</v>
      </c>
      <c r="E4419" s="2" t="s">
        <v>29</v>
      </c>
      <c r="F4419" s="2">
        <v>30</v>
      </c>
      <c r="G4419" s="2" t="s">
        <v>9653</v>
      </c>
      <c r="H4419" s="2" t="s">
        <v>1505</v>
      </c>
      <c r="I4419" s="2" t="s">
        <v>32</v>
      </c>
      <c r="J4419" s="3">
        <v>44289</v>
      </c>
      <c r="K4419" s="5">
        <f>YEAR(OrganizedData[[#This Row],[Order Date]])</f>
        <v>2021</v>
      </c>
      <c r="L4419" s="7" t="str">
        <f>TEXT(OrganizedData[[#This Row],[Order Date]],"mmm")</f>
        <v>Apr</v>
      </c>
      <c r="M4419" s="2">
        <v>93</v>
      </c>
      <c r="N4419" s="2" t="s">
        <v>33</v>
      </c>
      <c r="O4419" s="2" t="str">
        <f>VLOOKUP(OrganizedData[[#This Row],[Product Code]],ProductData[[Code]:[Item]],2,FALSE)</f>
        <v>Megawidget L</v>
      </c>
      <c r="P4419" s="4">
        <f>OrganizedData[[#This Row],[Quantity]]*VLOOKUP(OrganizedData[[#This Row],[Product Code]],ProductData[],4,FALSE)</f>
        <v>2232</v>
      </c>
      <c r="Q4419" s="6">
        <f>OrganizedData[[#This Row],[Total Items Ordered]]*VLOOKUP(OrganizedData[[#This Row],[Product Code]],ProductData[],3,FALSE)</f>
        <v>3995.28</v>
      </c>
      <c r="R44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3795.5160000000001</v>
      </c>
    </row>
    <row r="4420" spans="1:18" x14ac:dyDescent="0.3">
      <c r="A4420" s="2">
        <v>4413</v>
      </c>
      <c r="B4420" s="2" t="s">
        <v>9654</v>
      </c>
      <c r="C4420" s="2" t="s">
        <v>5824</v>
      </c>
      <c r="D4420" s="2" t="s">
        <v>51</v>
      </c>
      <c r="E4420" s="2" t="s">
        <v>16</v>
      </c>
      <c r="F4420" s="2">
        <v>90</v>
      </c>
      <c r="G4420" s="2" t="s">
        <v>9655</v>
      </c>
      <c r="H4420" s="2" t="s">
        <v>1333</v>
      </c>
      <c r="I4420" s="2" t="s">
        <v>294</v>
      </c>
      <c r="J4420" s="3">
        <v>43971</v>
      </c>
      <c r="K4420" s="5">
        <f>YEAR(OrganizedData[[#This Row],[Order Date]])</f>
        <v>2020</v>
      </c>
      <c r="L4420" s="7" t="str">
        <f>TEXT(OrganizedData[[#This Row],[Order Date]],"mmm")</f>
        <v>May</v>
      </c>
      <c r="M4420" s="2">
        <v>72</v>
      </c>
      <c r="N4420" s="2" t="s">
        <v>39</v>
      </c>
      <c r="O4420" s="2" t="str">
        <f>VLOOKUP(OrganizedData[[#This Row],[Product Code]],ProductData[[Code]:[Item]],2,FALSE)</f>
        <v>Ultrathing V1</v>
      </c>
      <c r="P4420" s="4">
        <f>OrganizedData[[#This Row],[Quantity]]*VLOOKUP(OrganizedData[[#This Row],[Product Code]],ProductData[],4,FALSE)</f>
        <v>1224</v>
      </c>
      <c r="Q4420" s="6">
        <f>OrganizedData[[#This Row],[Total Items Ordered]]*VLOOKUP(OrganizedData[[#This Row],[Product Code]],ProductData[],3,FALSE)</f>
        <v>2190.96</v>
      </c>
      <c r="R44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4421" spans="1:18" x14ac:dyDescent="0.3">
      <c r="A4421" s="2">
        <v>4414</v>
      </c>
      <c r="B4421" s="2" t="s">
        <v>9656</v>
      </c>
      <c r="C4421" s="2" t="s">
        <v>6131</v>
      </c>
      <c r="D4421" s="2" t="s">
        <v>41</v>
      </c>
      <c r="E4421" s="2" t="s">
        <v>16</v>
      </c>
      <c r="F4421" s="2">
        <v>60</v>
      </c>
      <c r="G4421" s="2" t="s">
        <v>9657</v>
      </c>
      <c r="H4421" s="2" t="s">
        <v>420</v>
      </c>
      <c r="I4421" s="2" t="s">
        <v>32</v>
      </c>
      <c r="J4421" s="3">
        <v>44033</v>
      </c>
      <c r="K4421" s="5">
        <f>YEAR(OrganizedData[[#This Row],[Order Date]])</f>
        <v>2020</v>
      </c>
      <c r="L4421" s="7" t="str">
        <f>TEXT(OrganizedData[[#This Row],[Order Date]],"mmm")</f>
        <v>Jul</v>
      </c>
      <c r="M4421" s="2">
        <v>9</v>
      </c>
      <c r="N4421" s="2" t="s">
        <v>80</v>
      </c>
      <c r="O4421" s="2" t="str">
        <f>VLOOKUP(OrganizedData[[#This Row],[Product Code]],ProductData[[Code]:[Item]],2,FALSE)</f>
        <v>Ultrathing V2</v>
      </c>
      <c r="P4421" s="4">
        <f>OrganizedData[[#This Row],[Quantity]]*VLOOKUP(OrganizedData[[#This Row],[Product Code]],ProductData[],4,FALSE)</f>
        <v>180</v>
      </c>
      <c r="Q4421" s="6">
        <f>OrganizedData[[#This Row],[Total Items Ordered]]*VLOOKUP(OrganizedData[[#This Row],[Product Code]],ProductData[],3,FALSE)</f>
        <v>531</v>
      </c>
      <c r="R44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531</v>
      </c>
    </row>
    <row r="4422" spans="1:18" x14ac:dyDescent="0.3">
      <c r="A4422" s="2">
        <v>4415</v>
      </c>
      <c r="B4422" s="2" t="s">
        <v>7846</v>
      </c>
      <c r="C4422" s="2" t="s">
        <v>1148</v>
      </c>
      <c r="D4422" s="2" t="s">
        <v>51</v>
      </c>
      <c r="E4422" s="2" t="s">
        <v>16</v>
      </c>
      <c r="F4422" s="2">
        <v>90</v>
      </c>
      <c r="G4422" s="2" t="s">
        <v>9659</v>
      </c>
      <c r="H4422" s="2" t="s">
        <v>4517</v>
      </c>
      <c r="I4422" s="2" t="s">
        <v>173</v>
      </c>
      <c r="J4422" s="3">
        <v>43912</v>
      </c>
      <c r="K4422" s="5">
        <f>YEAR(OrganizedData[[#This Row],[Order Date]])</f>
        <v>2020</v>
      </c>
      <c r="L4422" s="7" t="str">
        <f>TEXT(OrganizedData[[#This Row],[Order Date]],"mmm")</f>
        <v>Mar</v>
      </c>
      <c r="M4422" s="2">
        <v>46</v>
      </c>
      <c r="N4422" s="2" t="s">
        <v>101</v>
      </c>
      <c r="O4422" s="2" t="str">
        <f>VLOOKUP(OrganizedData[[#This Row],[Product Code]],ProductData[[Code]:[Item]],2,FALSE)</f>
        <v>Superwossname</v>
      </c>
      <c r="P4422" s="4">
        <f>OrganizedData[[#This Row],[Quantity]]*VLOOKUP(OrganizedData[[#This Row],[Product Code]],ProductData[],4,FALSE)</f>
        <v>920</v>
      </c>
      <c r="Q4422" s="6">
        <f>OrganizedData[[#This Row],[Total Items Ordered]]*VLOOKUP(OrganizedData[[#This Row],[Product Code]],ProductData[],3,FALSE)</f>
        <v>3210.8</v>
      </c>
      <c r="R44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4423" spans="1:18" x14ac:dyDescent="0.3">
      <c r="A4423" s="2">
        <v>4416</v>
      </c>
      <c r="B4423" s="2" t="s">
        <v>3065</v>
      </c>
      <c r="C4423" s="2" t="s">
        <v>1192</v>
      </c>
      <c r="D4423" s="2" t="s">
        <v>28</v>
      </c>
      <c r="E4423" s="2" t="s">
        <v>29</v>
      </c>
      <c r="F4423" s="2">
        <v>90</v>
      </c>
      <c r="G4423" s="2" t="s">
        <v>9659</v>
      </c>
      <c r="H4423" s="2" t="s">
        <v>2795</v>
      </c>
      <c r="I4423" s="2" t="s">
        <v>38</v>
      </c>
      <c r="J4423" s="3">
        <v>44881</v>
      </c>
      <c r="K4423" s="5">
        <f>YEAR(OrganizedData[[#This Row],[Order Date]])</f>
        <v>2022</v>
      </c>
      <c r="L4423" s="7" t="str">
        <f>TEXT(OrganizedData[[#This Row],[Order Date]],"mmm")</f>
        <v>Nov</v>
      </c>
      <c r="M4423" s="2">
        <v>72</v>
      </c>
      <c r="N4423" s="2" t="s">
        <v>45</v>
      </c>
      <c r="O4423" s="2" t="str">
        <f>VLOOKUP(OrganizedData[[#This Row],[Product Code]],ProductData[[Code]:[Item]],2,FALSE)</f>
        <v>Gigastuff</v>
      </c>
      <c r="P4423" s="4">
        <f>OrganizedData[[#This Row],[Quantity]]*VLOOKUP(OrganizedData[[#This Row],[Product Code]],ProductData[],4,FALSE)</f>
        <v>1296</v>
      </c>
      <c r="Q4423" s="6">
        <f>OrganizedData[[#This Row],[Total Items Ordered]]*VLOOKUP(OrganizedData[[#This Row],[Product Code]],ProductData[],3,FALSE)</f>
        <v>2449.44</v>
      </c>
      <c r="R44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2326.9679999999998</v>
      </c>
    </row>
    <row r="4424" spans="1:18" x14ac:dyDescent="0.3">
      <c r="A4424" s="2">
        <v>4417</v>
      </c>
      <c r="B4424" s="2" t="s">
        <v>9660</v>
      </c>
      <c r="C4424" s="2" t="s">
        <v>260</v>
      </c>
      <c r="D4424" s="2" t="s">
        <v>15</v>
      </c>
      <c r="E4424" s="2" t="s">
        <v>16</v>
      </c>
      <c r="F4424" s="2">
        <v>60</v>
      </c>
      <c r="G4424" s="2" t="s">
        <v>9661</v>
      </c>
      <c r="H4424" s="2" t="s">
        <v>3870</v>
      </c>
      <c r="I4424" s="2" t="s">
        <v>124</v>
      </c>
      <c r="J4424" s="3">
        <v>44731</v>
      </c>
      <c r="K4424" s="5">
        <f>YEAR(OrganizedData[[#This Row],[Order Date]])</f>
        <v>2022</v>
      </c>
      <c r="L4424" s="7" t="str">
        <f>TEXT(OrganizedData[[#This Row],[Order Date]],"mmm")</f>
        <v>Jun</v>
      </c>
      <c r="M4424" s="2">
        <v>84</v>
      </c>
      <c r="N4424" s="2" t="s">
        <v>39</v>
      </c>
      <c r="O4424" s="2" t="str">
        <f>VLOOKUP(OrganizedData[[#This Row],[Product Code]],ProductData[[Code]:[Item]],2,FALSE)</f>
        <v>Ultrathing V1</v>
      </c>
      <c r="P4424" s="4">
        <f>OrganizedData[[#This Row],[Quantity]]*VLOOKUP(OrganizedData[[#This Row],[Product Code]],ProductData[],4,FALSE)</f>
        <v>1428</v>
      </c>
      <c r="Q4424" s="6">
        <f>OrganizedData[[#This Row],[Total Items Ordered]]*VLOOKUP(OrganizedData[[#This Row],[Product Code]],ProductData[],3,FALSE)</f>
        <v>2556.12</v>
      </c>
      <c r="R44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4425" spans="1:18" x14ac:dyDescent="0.3">
      <c r="A4425" s="2">
        <v>4418</v>
      </c>
      <c r="B4425" s="2" t="s">
        <v>9662</v>
      </c>
      <c r="C4425" s="2" t="s">
        <v>7251</v>
      </c>
      <c r="D4425" s="2" t="s">
        <v>15</v>
      </c>
      <c r="E4425" s="2" t="s">
        <v>16</v>
      </c>
      <c r="F4425" s="2">
        <v>60</v>
      </c>
      <c r="G4425" s="2" t="s">
        <v>9663</v>
      </c>
      <c r="H4425" s="2" t="s">
        <v>595</v>
      </c>
      <c r="I4425" s="2" t="s">
        <v>124</v>
      </c>
      <c r="J4425" s="3">
        <v>44904</v>
      </c>
      <c r="K4425" s="5">
        <f>YEAR(OrganizedData[[#This Row],[Order Date]])</f>
        <v>2022</v>
      </c>
      <c r="L4425" s="7" t="str">
        <f>TEXT(OrganizedData[[#This Row],[Order Date]],"mmm")</f>
        <v>Dec</v>
      </c>
      <c r="M4425" s="2">
        <v>3</v>
      </c>
      <c r="N4425" s="2" t="s">
        <v>64</v>
      </c>
      <c r="O4425" s="2" t="str">
        <f>VLOOKUP(OrganizedData[[#This Row],[Product Code]],ProductData[[Code]:[Item]],2,FALSE)</f>
        <v>Ultrathing V4</v>
      </c>
      <c r="P4425" s="4">
        <f>OrganizedData[[#This Row],[Quantity]]*VLOOKUP(OrganizedData[[#This Row],[Product Code]],ProductData[],4,FALSE)</f>
        <v>72</v>
      </c>
      <c r="Q4425" s="6">
        <f>OrganizedData[[#This Row],[Total Items Ordered]]*VLOOKUP(OrganizedData[[#This Row],[Product Code]],ProductData[],3,FALSE)</f>
        <v>287.28000000000003</v>
      </c>
      <c r="R44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287.28000000000003</v>
      </c>
    </row>
    <row r="4426" spans="1:18" x14ac:dyDescent="0.3">
      <c r="A4426" s="2">
        <v>4419</v>
      </c>
      <c r="B4426" s="2" t="s">
        <v>3065</v>
      </c>
      <c r="C4426" s="2" t="s">
        <v>9664</v>
      </c>
      <c r="D4426" s="2" t="s">
        <v>28</v>
      </c>
      <c r="E4426" s="2" t="s">
        <v>29</v>
      </c>
      <c r="F4426" s="2">
        <v>60</v>
      </c>
      <c r="G4426" s="2" t="s">
        <v>9665</v>
      </c>
      <c r="H4426" s="2" t="s">
        <v>3790</v>
      </c>
      <c r="I4426" s="2" t="s">
        <v>32</v>
      </c>
      <c r="J4426" s="3">
        <v>43929</v>
      </c>
      <c r="K4426" s="5">
        <f>YEAR(OrganizedData[[#This Row],[Order Date]])</f>
        <v>2020</v>
      </c>
      <c r="L4426" s="7" t="str">
        <f>TEXT(OrganizedData[[#This Row],[Order Date]],"mmm")</f>
        <v>Apr</v>
      </c>
      <c r="M4426" s="2">
        <v>14</v>
      </c>
      <c r="N4426" s="2" t="s">
        <v>64</v>
      </c>
      <c r="O4426" s="2" t="str">
        <f>VLOOKUP(OrganizedData[[#This Row],[Product Code]],ProductData[[Code]:[Item]],2,FALSE)</f>
        <v>Ultrathing V4</v>
      </c>
      <c r="P4426" s="4">
        <f>OrganizedData[[#This Row],[Quantity]]*VLOOKUP(OrganizedData[[#This Row],[Product Code]],ProductData[],4,FALSE)</f>
        <v>336</v>
      </c>
      <c r="Q4426" s="6">
        <f>OrganizedData[[#This Row],[Total Items Ordered]]*VLOOKUP(OrganizedData[[#This Row],[Product Code]],ProductData[],3,FALSE)</f>
        <v>1340.64</v>
      </c>
      <c r="R44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1340.64</v>
      </c>
    </row>
    <row r="4427" spans="1:18" x14ac:dyDescent="0.3">
      <c r="A4427" s="2">
        <v>4420</v>
      </c>
      <c r="B4427" s="2" t="s">
        <v>1637</v>
      </c>
      <c r="C4427" s="2" t="s">
        <v>1671</v>
      </c>
      <c r="D4427" s="2" t="s">
        <v>28</v>
      </c>
      <c r="E4427" s="2" t="s">
        <v>29</v>
      </c>
      <c r="F4427" s="2">
        <v>60</v>
      </c>
      <c r="G4427" s="2" t="s">
        <v>9666</v>
      </c>
      <c r="H4427" s="2" t="s">
        <v>3169</v>
      </c>
      <c r="I4427" s="2" t="s">
        <v>110</v>
      </c>
      <c r="J4427" s="3">
        <v>43881</v>
      </c>
      <c r="K4427" s="5">
        <f>YEAR(OrganizedData[[#This Row],[Order Date]])</f>
        <v>2020</v>
      </c>
      <c r="L4427" s="7" t="str">
        <f>TEXT(OrganizedData[[#This Row],[Order Date]],"mmm")</f>
        <v>Feb</v>
      </c>
      <c r="M4427" s="2">
        <v>36</v>
      </c>
      <c r="N4427" s="2" t="s">
        <v>39</v>
      </c>
      <c r="O4427" s="2" t="str">
        <f>VLOOKUP(OrganizedData[[#This Row],[Product Code]],ProductData[[Code]:[Item]],2,FALSE)</f>
        <v>Ultrathing V1</v>
      </c>
      <c r="P4427" s="4">
        <f>OrganizedData[[#This Row],[Quantity]]*VLOOKUP(OrganizedData[[#This Row],[Product Code]],ProductData[],4,FALSE)</f>
        <v>612</v>
      </c>
      <c r="Q4427" s="6">
        <f>OrganizedData[[#This Row],[Total Items Ordered]]*VLOOKUP(OrganizedData[[#This Row],[Product Code]],ProductData[],3,FALSE)</f>
        <v>1095.48</v>
      </c>
      <c r="R44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4428" spans="1:18" x14ac:dyDescent="0.3">
      <c r="A4428" s="2">
        <v>4421</v>
      </c>
      <c r="B4428" s="2" t="s">
        <v>3644</v>
      </c>
      <c r="C4428" s="2" t="s">
        <v>340</v>
      </c>
      <c r="D4428" s="2" t="s">
        <v>28</v>
      </c>
      <c r="E4428" s="2" t="s">
        <v>29</v>
      </c>
      <c r="F4428" s="2">
        <v>90</v>
      </c>
      <c r="G4428" s="2" t="s">
        <v>9667</v>
      </c>
      <c r="H4428" s="2" t="s">
        <v>9668</v>
      </c>
      <c r="I4428" s="2" t="s">
        <v>178</v>
      </c>
      <c r="J4428" s="3">
        <v>44048</v>
      </c>
      <c r="K4428" s="5">
        <f>YEAR(OrganizedData[[#This Row],[Order Date]])</f>
        <v>2020</v>
      </c>
      <c r="L4428" s="7" t="str">
        <f>TEXT(OrganizedData[[#This Row],[Order Date]],"mmm")</f>
        <v>Aug</v>
      </c>
      <c r="M4428" s="2">
        <v>78</v>
      </c>
      <c r="N4428" s="2" t="s">
        <v>159</v>
      </c>
      <c r="O4428" s="2" t="str">
        <f>VLOOKUP(OrganizedData[[#This Row],[Product Code]],ProductData[[Code]:[Item]],2,FALSE)</f>
        <v>Ultrathing V3</v>
      </c>
      <c r="P4428" s="4">
        <f>OrganizedData[[#This Row],[Quantity]]*VLOOKUP(OrganizedData[[#This Row],[Product Code]],ProductData[],4,FALSE)</f>
        <v>1872</v>
      </c>
      <c r="Q4428" s="6">
        <f>OrganizedData[[#This Row],[Total Items Ordered]]*VLOOKUP(OrganizedData[[#This Row],[Product Code]],ProductData[],3,FALSE)</f>
        <v>6346.08</v>
      </c>
      <c r="R44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6028.7759999999998</v>
      </c>
    </row>
    <row r="4429" spans="1:18" x14ac:dyDescent="0.3">
      <c r="A4429" s="2">
        <v>4422</v>
      </c>
      <c r="B4429" s="2" t="s">
        <v>3949</v>
      </c>
      <c r="C4429" s="2" t="s">
        <v>5727</v>
      </c>
      <c r="D4429" s="2" t="s">
        <v>51</v>
      </c>
      <c r="E4429" s="2" t="s">
        <v>16</v>
      </c>
      <c r="F4429" s="2">
        <v>90</v>
      </c>
      <c r="G4429" s="2" t="s">
        <v>9669</v>
      </c>
      <c r="H4429" s="2" t="s">
        <v>2190</v>
      </c>
      <c r="I4429" s="2" t="s">
        <v>32</v>
      </c>
      <c r="J4429" s="3">
        <v>44834</v>
      </c>
      <c r="K4429" s="5">
        <f>YEAR(OrganizedData[[#This Row],[Order Date]])</f>
        <v>2022</v>
      </c>
      <c r="L4429" s="7" t="str">
        <f>TEXT(OrganizedData[[#This Row],[Order Date]],"mmm")</f>
        <v>Sep</v>
      </c>
      <c r="M4429" s="2">
        <v>9</v>
      </c>
      <c r="N4429" s="2" t="s">
        <v>80</v>
      </c>
      <c r="O4429" s="2" t="str">
        <f>VLOOKUP(OrganizedData[[#This Row],[Product Code]],ProductData[[Code]:[Item]],2,FALSE)</f>
        <v>Ultrathing V2</v>
      </c>
      <c r="P4429" s="4">
        <f>OrganizedData[[#This Row],[Quantity]]*VLOOKUP(OrganizedData[[#This Row],[Product Code]],ProductData[],4,FALSE)</f>
        <v>180</v>
      </c>
      <c r="Q4429" s="6">
        <f>OrganizedData[[#This Row],[Total Items Ordered]]*VLOOKUP(OrganizedData[[#This Row],[Product Code]],ProductData[],3,FALSE)</f>
        <v>531</v>
      </c>
      <c r="R44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531</v>
      </c>
    </row>
    <row r="4430" spans="1:18" x14ac:dyDescent="0.3">
      <c r="A4430" s="2">
        <v>4423</v>
      </c>
      <c r="B4430" s="2" t="s">
        <v>9670</v>
      </c>
      <c r="C4430" s="2" t="s">
        <v>5970</v>
      </c>
      <c r="D4430" s="2" t="s">
        <v>51</v>
      </c>
      <c r="E4430" s="2" t="s">
        <v>16</v>
      </c>
      <c r="F4430" s="2">
        <v>30</v>
      </c>
      <c r="G4430" s="2" t="s">
        <v>10583</v>
      </c>
      <c r="H4430" s="2" t="s">
        <v>4203</v>
      </c>
      <c r="I4430" s="2" t="s">
        <v>208</v>
      </c>
      <c r="J4430" s="3">
        <v>44269</v>
      </c>
      <c r="K4430" s="5">
        <f>YEAR(OrganizedData[[#This Row],[Order Date]])</f>
        <v>2021</v>
      </c>
      <c r="L4430" s="7" t="str">
        <f>TEXT(OrganizedData[[#This Row],[Order Date]],"mmm")</f>
        <v>Mar</v>
      </c>
      <c r="M4430" s="2">
        <v>50</v>
      </c>
      <c r="N4430" s="2" t="s">
        <v>33</v>
      </c>
      <c r="O4430" s="2" t="str">
        <f>VLOOKUP(OrganizedData[[#This Row],[Product Code]],ProductData[[Code]:[Item]],2,FALSE)</f>
        <v>Megawidget L</v>
      </c>
      <c r="P4430" s="4">
        <f>OrganizedData[[#This Row],[Quantity]]*VLOOKUP(OrganizedData[[#This Row],[Product Code]],ProductData[],4,FALSE)</f>
        <v>1200</v>
      </c>
      <c r="Q4430" s="6">
        <f>OrganizedData[[#This Row],[Total Items Ordered]]*VLOOKUP(OrganizedData[[#This Row],[Product Code]],ProductData[],3,FALSE)</f>
        <v>2148</v>
      </c>
      <c r="R44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4431" spans="1:18" x14ac:dyDescent="0.3">
      <c r="A4431" s="2">
        <v>4424</v>
      </c>
      <c r="B4431" s="2" t="s">
        <v>9672</v>
      </c>
      <c r="C4431" s="2" t="s">
        <v>2862</v>
      </c>
      <c r="D4431" s="2" t="s">
        <v>28</v>
      </c>
      <c r="E4431" s="2" t="s">
        <v>29</v>
      </c>
      <c r="F4431" s="2">
        <v>30</v>
      </c>
      <c r="G4431" s="2" t="s">
        <v>9673</v>
      </c>
      <c r="H4431" s="2" t="s">
        <v>2753</v>
      </c>
      <c r="I4431" s="2" t="s">
        <v>124</v>
      </c>
      <c r="J4431" s="3">
        <v>44377</v>
      </c>
      <c r="K4431" s="5">
        <f>YEAR(OrganizedData[[#This Row],[Order Date]])</f>
        <v>2021</v>
      </c>
      <c r="L4431" s="7" t="str">
        <f>TEXT(OrganizedData[[#This Row],[Order Date]],"mmm")</f>
        <v>Jun</v>
      </c>
      <c r="M4431" s="2">
        <v>55</v>
      </c>
      <c r="N4431" s="2" t="s">
        <v>54</v>
      </c>
      <c r="O4431" s="2" t="str">
        <f>VLOOKUP(OrganizedData[[#This Row],[Product Code]],ProductData[[Code]:[Item]],2,FALSE)</f>
        <v>Megawidget S</v>
      </c>
      <c r="P4431" s="4">
        <f>OrganizedData[[#This Row],[Quantity]]*VLOOKUP(OrganizedData[[#This Row],[Product Code]],ProductData[],4,FALSE)</f>
        <v>1320</v>
      </c>
      <c r="Q4431" s="6">
        <f>OrganizedData[[#This Row],[Total Items Ordered]]*VLOOKUP(OrganizedData[[#This Row],[Product Code]],ProductData[],3,FALSE)</f>
        <v>910.8</v>
      </c>
      <c r="R44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865.25999999999988</v>
      </c>
    </row>
    <row r="4432" spans="1:18" x14ac:dyDescent="0.3">
      <c r="A4432" s="2">
        <v>4425</v>
      </c>
      <c r="B4432" s="2" t="s">
        <v>2947</v>
      </c>
      <c r="C4432" s="2" t="s">
        <v>2101</v>
      </c>
      <c r="D4432" s="2" t="s">
        <v>28</v>
      </c>
      <c r="E4432" s="2" t="s">
        <v>29</v>
      </c>
      <c r="F4432" s="2">
        <v>30</v>
      </c>
      <c r="G4432" s="2" t="s">
        <v>9674</v>
      </c>
      <c r="H4432" s="2" t="s">
        <v>6</v>
      </c>
      <c r="I4432" s="2" t="s">
        <v>32</v>
      </c>
      <c r="J4432" s="3">
        <v>44060</v>
      </c>
      <c r="K4432" s="5">
        <f>YEAR(OrganizedData[[#This Row],[Order Date]])</f>
        <v>2020</v>
      </c>
      <c r="L4432" s="7" t="str">
        <f>TEXT(OrganizedData[[#This Row],[Order Date]],"mmm")</f>
        <v>Aug</v>
      </c>
      <c r="M4432" s="2">
        <v>33</v>
      </c>
      <c r="N4432" s="2" t="s">
        <v>45</v>
      </c>
      <c r="O4432" s="2" t="str">
        <f>VLOOKUP(OrganizedData[[#This Row],[Product Code]],ProductData[[Code]:[Item]],2,FALSE)</f>
        <v>Gigastuff</v>
      </c>
      <c r="P4432" s="4">
        <f>OrganizedData[[#This Row],[Quantity]]*VLOOKUP(OrganizedData[[#This Row],[Product Code]],ProductData[],4,FALSE)</f>
        <v>594</v>
      </c>
      <c r="Q4432" s="6">
        <f>OrganizedData[[#This Row],[Total Items Ordered]]*VLOOKUP(OrganizedData[[#This Row],[Product Code]],ProductData[],3,FALSE)</f>
        <v>1122.6599999999999</v>
      </c>
      <c r="R44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4433" spans="1:18" x14ac:dyDescent="0.3">
      <c r="A4433" s="2">
        <v>4426</v>
      </c>
      <c r="B4433" s="2" t="s">
        <v>9675</v>
      </c>
      <c r="C4433" s="2" t="s">
        <v>6345</v>
      </c>
      <c r="D4433" s="2" t="s">
        <v>51</v>
      </c>
      <c r="E4433" s="2" t="s">
        <v>16</v>
      </c>
      <c r="F4433" s="2">
        <v>30</v>
      </c>
      <c r="G4433" s="2" t="s">
        <v>9676</v>
      </c>
      <c r="H4433" s="2" t="s">
        <v>4979</v>
      </c>
      <c r="I4433" s="2" t="s">
        <v>294</v>
      </c>
      <c r="J4433" s="3">
        <v>44058</v>
      </c>
      <c r="K4433" s="5">
        <f>YEAR(OrganizedData[[#This Row],[Order Date]])</f>
        <v>2020</v>
      </c>
      <c r="L4433" s="7" t="str">
        <f>TEXT(OrganizedData[[#This Row],[Order Date]],"mmm")</f>
        <v>Aug</v>
      </c>
      <c r="M4433" s="2">
        <v>18</v>
      </c>
      <c r="N4433" s="2" t="s">
        <v>33</v>
      </c>
      <c r="O4433" s="2" t="str">
        <f>VLOOKUP(OrganizedData[[#This Row],[Product Code]],ProductData[[Code]:[Item]],2,FALSE)</f>
        <v>Megawidget L</v>
      </c>
      <c r="P4433" s="4">
        <f>OrganizedData[[#This Row],[Quantity]]*VLOOKUP(OrganizedData[[#This Row],[Product Code]],ProductData[],4,FALSE)</f>
        <v>432</v>
      </c>
      <c r="Q4433" s="6">
        <f>OrganizedData[[#This Row],[Total Items Ordered]]*VLOOKUP(OrganizedData[[#This Row],[Product Code]],ProductData[],3,FALSE)</f>
        <v>773.28</v>
      </c>
      <c r="R44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773.28</v>
      </c>
    </row>
    <row r="4434" spans="1:18" x14ac:dyDescent="0.3">
      <c r="A4434" s="2">
        <v>4427</v>
      </c>
      <c r="B4434" s="2" t="s">
        <v>9677</v>
      </c>
      <c r="C4434" s="2" t="s">
        <v>324</v>
      </c>
      <c r="D4434" s="2" t="s">
        <v>51</v>
      </c>
      <c r="E4434" s="2" t="s">
        <v>16</v>
      </c>
      <c r="F4434" s="2">
        <v>60</v>
      </c>
      <c r="G4434" s="2" t="s">
        <v>9678</v>
      </c>
      <c r="H4434" s="2" t="s">
        <v>1173</v>
      </c>
      <c r="I4434" s="2" t="s">
        <v>32</v>
      </c>
      <c r="J4434" s="3">
        <v>44290</v>
      </c>
      <c r="K4434" s="5">
        <f>YEAR(OrganizedData[[#This Row],[Order Date]])</f>
        <v>2021</v>
      </c>
      <c r="L4434" s="7" t="str">
        <f>TEXT(OrganizedData[[#This Row],[Order Date]],"mmm")</f>
        <v>Apr</v>
      </c>
      <c r="M4434" s="2">
        <v>83</v>
      </c>
      <c r="N4434" s="2" t="s">
        <v>54</v>
      </c>
      <c r="O4434" s="2" t="str">
        <f>VLOOKUP(OrganizedData[[#This Row],[Product Code]],ProductData[[Code]:[Item]],2,FALSE)</f>
        <v>Megawidget S</v>
      </c>
      <c r="P4434" s="4">
        <f>OrganizedData[[#This Row],[Quantity]]*VLOOKUP(OrganizedData[[#This Row],[Product Code]],ProductData[],4,FALSE)</f>
        <v>1992</v>
      </c>
      <c r="Q4434" s="6">
        <f>OrganizedData[[#This Row],[Total Items Ordered]]*VLOOKUP(OrganizedData[[#This Row],[Product Code]],ProductData[],3,FALSE)</f>
        <v>1374.4799999999998</v>
      </c>
      <c r="R44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1305.7559999999996</v>
      </c>
    </row>
    <row r="4435" spans="1:18" x14ac:dyDescent="0.3">
      <c r="A4435" s="2">
        <v>4428</v>
      </c>
      <c r="B4435" s="2" t="s">
        <v>9679</v>
      </c>
      <c r="C4435" s="2" t="s">
        <v>1348</v>
      </c>
      <c r="D4435" s="2" t="s">
        <v>15</v>
      </c>
      <c r="E4435" s="2" t="s">
        <v>16</v>
      </c>
      <c r="F4435" s="2">
        <v>60</v>
      </c>
      <c r="G4435" s="2" t="s">
        <v>9680</v>
      </c>
      <c r="H4435" s="2" t="s">
        <v>4074</v>
      </c>
      <c r="I4435" s="2" t="s">
        <v>19</v>
      </c>
      <c r="J4435" s="3">
        <v>43891</v>
      </c>
      <c r="K4435" s="5">
        <f>YEAR(OrganizedData[[#This Row],[Order Date]])</f>
        <v>2020</v>
      </c>
      <c r="L4435" s="7" t="str">
        <f>TEXT(OrganizedData[[#This Row],[Order Date]],"mmm")</f>
        <v>Mar</v>
      </c>
      <c r="M4435" s="2">
        <v>66</v>
      </c>
      <c r="N4435" s="2" t="s">
        <v>39</v>
      </c>
      <c r="O4435" s="2" t="str">
        <f>VLOOKUP(OrganizedData[[#This Row],[Product Code]],ProductData[[Code]:[Item]],2,FALSE)</f>
        <v>Ultrathing V1</v>
      </c>
      <c r="P4435" s="4">
        <f>OrganizedData[[#This Row],[Quantity]]*VLOOKUP(OrganizedData[[#This Row],[Product Code]],ProductData[],4,FALSE)</f>
        <v>1122</v>
      </c>
      <c r="Q4435" s="6">
        <f>OrganizedData[[#This Row],[Total Items Ordered]]*VLOOKUP(OrganizedData[[#This Row],[Product Code]],ProductData[],3,FALSE)</f>
        <v>2008.38</v>
      </c>
      <c r="R44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4436" spans="1:18" x14ac:dyDescent="0.3">
      <c r="A4436" s="2">
        <v>4429</v>
      </c>
      <c r="B4436" s="2" t="s">
        <v>9681</v>
      </c>
      <c r="C4436" s="2" t="s">
        <v>5325</v>
      </c>
      <c r="D4436" s="2" t="s">
        <v>41</v>
      </c>
      <c r="E4436" s="2" t="s">
        <v>16</v>
      </c>
      <c r="F4436" s="2">
        <v>30</v>
      </c>
      <c r="G4436" s="2" t="s">
        <v>9682</v>
      </c>
      <c r="H4436" s="2" t="s">
        <v>3987</v>
      </c>
      <c r="I4436" s="2" t="s">
        <v>554</v>
      </c>
      <c r="J4436" s="3">
        <v>44379</v>
      </c>
      <c r="K4436" s="5">
        <f>YEAR(OrganizedData[[#This Row],[Order Date]])</f>
        <v>2021</v>
      </c>
      <c r="L4436" s="7" t="str">
        <f>TEXT(OrganizedData[[#This Row],[Order Date]],"mmm")</f>
        <v>Jul</v>
      </c>
      <c r="M4436" s="2">
        <v>8</v>
      </c>
      <c r="N4436" s="2" t="s">
        <v>101</v>
      </c>
      <c r="O4436" s="2" t="str">
        <f>VLOOKUP(OrganizedData[[#This Row],[Product Code]],ProductData[[Code]:[Item]],2,FALSE)</f>
        <v>Superwossname</v>
      </c>
      <c r="P4436" s="4">
        <f>OrganizedData[[#This Row],[Quantity]]*VLOOKUP(OrganizedData[[#This Row],[Product Code]],ProductData[],4,FALSE)</f>
        <v>160</v>
      </c>
      <c r="Q4436" s="6">
        <f>OrganizedData[[#This Row],[Total Items Ordered]]*VLOOKUP(OrganizedData[[#This Row],[Product Code]],ProductData[],3,FALSE)</f>
        <v>558.40000000000009</v>
      </c>
      <c r="R44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558.40000000000009</v>
      </c>
    </row>
    <row r="4437" spans="1:18" x14ac:dyDescent="0.3">
      <c r="A4437" s="2">
        <v>4430</v>
      </c>
      <c r="B4437" s="2" t="s">
        <v>9683</v>
      </c>
      <c r="C4437" s="2" t="s">
        <v>6594</v>
      </c>
      <c r="D4437" s="2" t="s">
        <v>51</v>
      </c>
      <c r="E4437" s="2" t="s">
        <v>16</v>
      </c>
      <c r="F4437" s="2">
        <v>90</v>
      </c>
      <c r="G4437" s="2" t="s">
        <v>9684</v>
      </c>
      <c r="H4437" s="2" t="s">
        <v>5399</v>
      </c>
      <c r="I4437" s="2" t="s">
        <v>32</v>
      </c>
      <c r="J4437" s="3">
        <v>44354</v>
      </c>
      <c r="K4437" s="5">
        <f>YEAR(OrganizedData[[#This Row],[Order Date]])</f>
        <v>2021</v>
      </c>
      <c r="L4437" s="7" t="str">
        <f>TEXT(OrganizedData[[#This Row],[Order Date]],"mmm")</f>
        <v>Jun</v>
      </c>
      <c r="M4437" s="2">
        <v>30</v>
      </c>
      <c r="N4437" s="2" t="s">
        <v>80</v>
      </c>
      <c r="O4437" s="2" t="str">
        <f>VLOOKUP(OrganizedData[[#This Row],[Product Code]],ProductData[[Code]:[Item]],2,FALSE)</f>
        <v>Ultrathing V2</v>
      </c>
      <c r="P4437" s="4">
        <f>OrganizedData[[#This Row],[Quantity]]*VLOOKUP(OrganizedData[[#This Row],[Product Code]],ProductData[],4,FALSE)</f>
        <v>600</v>
      </c>
      <c r="Q4437" s="6">
        <f>OrganizedData[[#This Row],[Total Items Ordered]]*VLOOKUP(OrganizedData[[#This Row],[Product Code]],ProductData[],3,FALSE)</f>
        <v>1770</v>
      </c>
      <c r="R44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1716.8999999999999</v>
      </c>
    </row>
    <row r="4438" spans="1:18" x14ac:dyDescent="0.3">
      <c r="A4438" s="2">
        <v>4431</v>
      </c>
      <c r="B4438" s="2" t="s">
        <v>9685</v>
      </c>
      <c r="C4438" s="2" t="s">
        <v>1866</v>
      </c>
      <c r="D4438" s="2" t="s">
        <v>15</v>
      </c>
      <c r="E4438" s="2" t="s">
        <v>16</v>
      </c>
      <c r="F4438" s="2">
        <v>60</v>
      </c>
      <c r="G4438" s="2" t="s">
        <v>9686</v>
      </c>
      <c r="H4438" s="2" t="s">
        <v>119</v>
      </c>
      <c r="I4438" s="2" t="s">
        <v>32</v>
      </c>
      <c r="J4438" s="3">
        <v>43900</v>
      </c>
      <c r="K4438" s="5">
        <f>YEAR(OrganizedData[[#This Row],[Order Date]])</f>
        <v>2020</v>
      </c>
      <c r="L4438" s="7" t="str">
        <f>TEXT(OrganizedData[[#This Row],[Order Date]],"mmm")</f>
        <v>Mar</v>
      </c>
      <c r="M4438" s="2">
        <v>38</v>
      </c>
      <c r="N4438" s="2" t="s">
        <v>54</v>
      </c>
      <c r="O4438" s="2" t="str">
        <f>VLOOKUP(OrganizedData[[#This Row],[Product Code]],ProductData[[Code]:[Item]],2,FALSE)</f>
        <v>Megawidget S</v>
      </c>
      <c r="P4438" s="4">
        <f>OrganizedData[[#This Row],[Quantity]]*VLOOKUP(OrganizedData[[#This Row],[Product Code]],ProductData[],4,FALSE)</f>
        <v>912</v>
      </c>
      <c r="Q4438" s="6">
        <f>OrganizedData[[#This Row],[Total Items Ordered]]*VLOOKUP(OrganizedData[[#This Row],[Product Code]],ProductData[],3,FALSE)</f>
        <v>629.28</v>
      </c>
      <c r="R44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610.40159999999992</v>
      </c>
    </row>
    <row r="4439" spans="1:18" x14ac:dyDescent="0.3">
      <c r="A4439" s="2">
        <v>4432</v>
      </c>
      <c r="B4439" s="2" t="s">
        <v>8322</v>
      </c>
      <c r="C4439" s="2" t="s">
        <v>9687</v>
      </c>
      <c r="D4439" s="2" t="s">
        <v>15</v>
      </c>
      <c r="E4439" s="2" t="s">
        <v>16</v>
      </c>
      <c r="F4439" s="2">
        <v>30</v>
      </c>
      <c r="G4439" s="2" t="s">
        <v>9688</v>
      </c>
      <c r="H4439" s="2" t="s">
        <v>8886</v>
      </c>
      <c r="I4439" s="2" t="s">
        <v>1311</v>
      </c>
      <c r="J4439" s="3">
        <v>44552</v>
      </c>
      <c r="K4439" s="5">
        <f>YEAR(OrganizedData[[#This Row],[Order Date]])</f>
        <v>2021</v>
      </c>
      <c r="L4439" s="7" t="str">
        <f>TEXT(OrganizedData[[#This Row],[Order Date]],"mmm")</f>
        <v>Dec</v>
      </c>
      <c r="M4439" s="2">
        <v>13</v>
      </c>
      <c r="N4439" s="2" t="s">
        <v>64</v>
      </c>
      <c r="O4439" s="2" t="str">
        <f>VLOOKUP(OrganizedData[[#This Row],[Product Code]],ProductData[[Code]:[Item]],2,FALSE)</f>
        <v>Ultrathing V4</v>
      </c>
      <c r="P4439" s="4">
        <f>OrganizedData[[#This Row],[Quantity]]*VLOOKUP(OrganizedData[[#This Row],[Product Code]],ProductData[],4,FALSE)</f>
        <v>312</v>
      </c>
      <c r="Q4439" s="6">
        <f>OrganizedData[[#This Row],[Total Items Ordered]]*VLOOKUP(OrganizedData[[#This Row],[Product Code]],ProductData[],3,FALSE)</f>
        <v>1244.8800000000001</v>
      </c>
      <c r="R44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1244.8800000000001</v>
      </c>
    </row>
    <row r="4440" spans="1:18" x14ac:dyDescent="0.3">
      <c r="A4440" s="2">
        <v>4433</v>
      </c>
      <c r="B4440" s="2" t="s">
        <v>9689</v>
      </c>
      <c r="C4440" s="2" t="s">
        <v>858</v>
      </c>
      <c r="D4440" s="2" t="s">
        <v>51</v>
      </c>
      <c r="E4440" s="2" t="s">
        <v>16</v>
      </c>
      <c r="F4440" s="2">
        <v>90</v>
      </c>
      <c r="G4440" s="2" t="s">
        <v>9690</v>
      </c>
      <c r="H4440" s="2" t="s">
        <v>9691</v>
      </c>
      <c r="I4440" s="2" t="s">
        <v>32</v>
      </c>
      <c r="J4440" s="3">
        <v>44459</v>
      </c>
      <c r="K4440" s="5">
        <f>YEAR(OrganizedData[[#This Row],[Order Date]])</f>
        <v>2021</v>
      </c>
      <c r="L4440" s="7" t="str">
        <f>TEXT(OrganizedData[[#This Row],[Order Date]],"mmm")</f>
        <v>Sep</v>
      </c>
      <c r="M4440" s="2">
        <v>50</v>
      </c>
      <c r="N4440" s="2" t="s">
        <v>33</v>
      </c>
      <c r="O4440" s="2" t="str">
        <f>VLOOKUP(OrganizedData[[#This Row],[Product Code]],ProductData[[Code]:[Item]],2,FALSE)</f>
        <v>Megawidget L</v>
      </c>
      <c r="P4440" s="4">
        <f>OrganizedData[[#This Row],[Quantity]]*VLOOKUP(OrganizedData[[#This Row],[Product Code]],ProductData[],4,FALSE)</f>
        <v>1200</v>
      </c>
      <c r="Q4440" s="6">
        <f>OrganizedData[[#This Row],[Total Items Ordered]]*VLOOKUP(OrganizedData[[#This Row],[Product Code]],ProductData[],3,FALSE)</f>
        <v>2148</v>
      </c>
      <c r="R44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2083.56</v>
      </c>
    </row>
    <row r="4441" spans="1:18" x14ac:dyDescent="0.3">
      <c r="A4441" s="2">
        <v>4434</v>
      </c>
      <c r="B4441" s="2" t="s">
        <v>4652</v>
      </c>
      <c r="C4441" s="2" t="s">
        <v>2051</v>
      </c>
      <c r="D4441" s="2" t="s">
        <v>28</v>
      </c>
      <c r="E4441" s="2" t="s">
        <v>29</v>
      </c>
      <c r="F4441" s="2">
        <v>60</v>
      </c>
      <c r="G4441" s="2" t="s">
        <v>9692</v>
      </c>
      <c r="H4441" s="2" t="s">
        <v>1457</v>
      </c>
      <c r="I4441" s="2" t="s">
        <v>187</v>
      </c>
      <c r="J4441" s="3">
        <v>44516</v>
      </c>
      <c r="K4441" s="5">
        <f>YEAR(OrganizedData[[#This Row],[Order Date]])</f>
        <v>2021</v>
      </c>
      <c r="L4441" s="7" t="str">
        <f>TEXT(OrganizedData[[#This Row],[Order Date]],"mmm")</f>
        <v>Nov</v>
      </c>
      <c r="M4441" s="2">
        <v>5</v>
      </c>
      <c r="N4441" s="2" t="s">
        <v>70</v>
      </c>
      <c r="O4441" s="2" t="str">
        <f>VLOOKUP(OrganizedData[[#This Row],[Product Code]],ProductData[[Code]:[Item]],2,FALSE)</f>
        <v>Megawidget M</v>
      </c>
      <c r="P4441" s="4">
        <f>OrganizedData[[#This Row],[Quantity]]*VLOOKUP(OrganizedData[[#This Row],[Product Code]],ProductData[],4,FALSE)</f>
        <v>120</v>
      </c>
      <c r="Q4441" s="6">
        <f>OrganizedData[[#This Row],[Total Items Ordered]]*VLOOKUP(OrganizedData[[#This Row],[Product Code]],ProductData[],3,FALSE)</f>
        <v>154.80000000000001</v>
      </c>
      <c r="R44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154.80000000000001</v>
      </c>
    </row>
    <row r="4442" spans="1:18" x14ac:dyDescent="0.3">
      <c r="A4442" s="2">
        <v>4435</v>
      </c>
      <c r="B4442" s="2" t="s">
        <v>9693</v>
      </c>
      <c r="C4442" s="2" t="s">
        <v>6146</v>
      </c>
      <c r="D4442" s="2" t="s">
        <v>15</v>
      </c>
      <c r="E4442" s="2" t="s">
        <v>16</v>
      </c>
      <c r="F4442" s="2">
        <v>30</v>
      </c>
      <c r="G4442" s="2" t="s">
        <v>9694</v>
      </c>
      <c r="H4442" s="2" t="s">
        <v>901</v>
      </c>
      <c r="I4442" s="2" t="s">
        <v>146</v>
      </c>
      <c r="J4442" s="3">
        <v>44259</v>
      </c>
      <c r="K4442" s="5">
        <f>YEAR(OrganizedData[[#This Row],[Order Date]])</f>
        <v>2021</v>
      </c>
      <c r="L4442" s="7" t="str">
        <f>TEXT(OrganizedData[[#This Row],[Order Date]],"mmm")</f>
        <v>Mar</v>
      </c>
      <c r="M4442" s="2">
        <v>39</v>
      </c>
      <c r="N4442" s="2" t="s">
        <v>20</v>
      </c>
      <c r="O4442" s="2" t="str">
        <f>VLOOKUP(OrganizedData[[#This Row],[Product Code]],ProductData[[Code]:[Item]],2,FALSE)</f>
        <v>Hyperwotsit</v>
      </c>
      <c r="P4442" s="4">
        <f>OrganizedData[[#This Row],[Quantity]]*VLOOKUP(OrganizedData[[#This Row],[Product Code]],ProductData[],4,FALSE)</f>
        <v>780</v>
      </c>
      <c r="Q4442" s="6">
        <f>OrganizedData[[#This Row],[Total Items Ordered]]*VLOOKUP(OrganizedData[[#This Row],[Product Code]],ProductData[],3,FALSE)</f>
        <v>1567.7999999999997</v>
      </c>
      <c r="R44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1520.7659999999996</v>
      </c>
    </row>
    <row r="4443" spans="1:18" x14ac:dyDescent="0.3">
      <c r="A4443" s="2">
        <v>4436</v>
      </c>
      <c r="B4443" s="2" t="s">
        <v>691</v>
      </c>
      <c r="C4443" s="2" t="s">
        <v>9695</v>
      </c>
      <c r="D4443" s="2" t="s">
        <v>28</v>
      </c>
      <c r="E4443" s="2" t="s">
        <v>29</v>
      </c>
      <c r="F4443" s="2">
        <v>90</v>
      </c>
      <c r="G4443" s="2" t="s">
        <v>9696</v>
      </c>
      <c r="H4443" s="2" t="s">
        <v>1893</v>
      </c>
      <c r="I4443" s="2" t="s">
        <v>294</v>
      </c>
      <c r="J4443" s="3">
        <v>44454</v>
      </c>
      <c r="K4443" s="5">
        <f>YEAR(OrganizedData[[#This Row],[Order Date]])</f>
        <v>2021</v>
      </c>
      <c r="L4443" s="7" t="str">
        <f>TEXT(OrganizedData[[#This Row],[Order Date]],"mmm")</f>
        <v>Sep</v>
      </c>
      <c r="M4443" s="2">
        <v>76</v>
      </c>
      <c r="N4443" s="2" t="s">
        <v>54</v>
      </c>
      <c r="O4443" s="2" t="str">
        <f>VLOOKUP(OrganizedData[[#This Row],[Product Code]],ProductData[[Code]:[Item]],2,FALSE)</f>
        <v>Megawidget S</v>
      </c>
      <c r="P4443" s="4">
        <f>OrganizedData[[#This Row],[Quantity]]*VLOOKUP(OrganizedData[[#This Row],[Product Code]],ProductData[],4,FALSE)</f>
        <v>1824</v>
      </c>
      <c r="Q4443" s="6">
        <f>OrganizedData[[#This Row],[Total Items Ordered]]*VLOOKUP(OrganizedData[[#This Row],[Product Code]],ProductData[],3,FALSE)</f>
        <v>1258.56</v>
      </c>
      <c r="R44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1195.6319999999998</v>
      </c>
    </row>
    <row r="4444" spans="1:18" x14ac:dyDescent="0.3">
      <c r="A4444" s="2">
        <v>4437</v>
      </c>
      <c r="B4444" s="2" t="s">
        <v>869</v>
      </c>
      <c r="C4444" s="2" t="s">
        <v>2509</v>
      </c>
      <c r="D4444" s="2" t="s">
        <v>28</v>
      </c>
      <c r="E4444" s="2" t="s">
        <v>29</v>
      </c>
      <c r="F4444" s="2">
        <v>90</v>
      </c>
      <c r="G4444" s="2" t="s">
        <v>9697</v>
      </c>
      <c r="H4444" s="2" t="s">
        <v>3365</v>
      </c>
      <c r="I4444" s="2" t="s">
        <v>146</v>
      </c>
      <c r="J4444" s="3">
        <v>44567</v>
      </c>
      <c r="K4444" s="5">
        <f>YEAR(OrganizedData[[#This Row],[Order Date]])</f>
        <v>2022</v>
      </c>
      <c r="L4444" s="7" t="str">
        <f>TEXT(OrganizedData[[#This Row],[Order Date]],"mmm")</f>
        <v>Jan</v>
      </c>
      <c r="M4444" s="2">
        <v>95</v>
      </c>
      <c r="N4444" s="2" t="s">
        <v>39</v>
      </c>
      <c r="O4444" s="2" t="str">
        <f>VLOOKUP(OrganizedData[[#This Row],[Product Code]],ProductData[[Code]:[Item]],2,FALSE)</f>
        <v>Ultrathing V1</v>
      </c>
      <c r="P4444" s="4">
        <f>OrganizedData[[#This Row],[Quantity]]*VLOOKUP(OrganizedData[[#This Row],[Product Code]],ProductData[],4,FALSE)</f>
        <v>1615</v>
      </c>
      <c r="Q4444" s="6">
        <f>OrganizedData[[#This Row],[Total Items Ordered]]*VLOOKUP(OrganizedData[[#This Row],[Product Code]],ProductData[],3,FALSE)</f>
        <v>2890.85</v>
      </c>
      <c r="R44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2746.3074999999999</v>
      </c>
    </row>
    <row r="4445" spans="1:18" x14ac:dyDescent="0.3">
      <c r="A4445" s="2">
        <v>4438</v>
      </c>
      <c r="B4445" s="2" t="s">
        <v>9565</v>
      </c>
      <c r="C4445" s="2" t="s">
        <v>6547</v>
      </c>
      <c r="D4445" s="2" t="s">
        <v>28</v>
      </c>
      <c r="E4445" s="2" t="s">
        <v>29</v>
      </c>
      <c r="F4445" s="2">
        <v>60</v>
      </c>
      <c r="G4445" s="2" t="s">
        <v>9698</v>
      </c>
      <c r="H4445" s="2" t="s">
        <v>3343</v>
      </c>
      <c r="I4445" s="2" t="s">
        <v>1199</v>
      </c>
      <c r="J4445" s="3">
        <v>44695</v>
      </c>
      <c r="K4445" s="5">
        <f>YEAR(OrganizedData[[#This Row],[Order Date]])</f>
        <v>2022</v>
      </c>
      <c r="L4445" s="7" t="str">
        <f>TEXT(OrganizedData[[#This Row],[Order Date]],"mmm")</f>
        <v>May</v>
      </c>
      <c r="M4445" s="2">
        <v>33</v>
      </c>
      <c r="N4445" s="2" t="s">
        <v>54</v>
      </c>
      <c r="O4445" s="2" t="str">
        <f>VLOOKUP(OrganizedData[[#This Row],[Product Code]],ProductData[[Code]:[Item]],2,FALSE)</f>
        <v>Megawidget S</v>
      </c>
      <c r="P4445" s="4">
        <f>OrganizedData[[#This Row],[Quantity]]*VLOOKUP(OrganizedData[[#This Row],[Product Code]],ProductData[],4,FALSE)</f>
        <v>792</v>
      </c>
      <c r="Q4445" s="6">
        <f>OrganizedData[[#This Row],[Total Items Ordered]]*VLOOKUP(OrganizedData[[#This Row],[Product Code]],ProductData[],3,FALSE)</f>
        <v>546.4799999999999</v>
      </c>
      <c r="R44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530.08559999999989</v>
      </c>
    </row>
    <row r="4446" spans="1:18" x14ac:dyDescent="0.3">
      <c r="A4446" s="2">
        <v>4439</v>
      </c>
      <c r="B4446" s="2" t="s">
        <v>259</v>
      </c>
      <c r="C4446" s="2" t="s">
        <v>5217</v>
      </c>
      <c r="D4446" s="2" t="s">
        <v>28</v>
      </c>
      <c r="E4446" s="2" t="s">
        <v>29</v>
      </c>
      <c r="F4446" s="2">
        <v>90</v>
      </c>
      <c r="G4446" s="2" t="s">
        <v>9699</v>
      </c>
      <c r="H4446" s="2" t="s">
        <v>1001</v>
      </c>
      <c r="I4446" s="2" t="s">
        <v>32</v>
      </c>
      <c r="J4446" s="3">
        <v>44205</v>
      </c>
      <c r="K4446" s="5">
        <f>YEAR(OrganizedData[[#This Row],[Order Date]])</f>
        <v>2021</v>
      </c>
      <c r="L4446" s="7" t="str">
        <f>TEXT(OrganizedData[[#This Row],[Order Date]],"mmm")</f>
        <v>Jan</v>
      </c>
      <c r="M4446" s="2">
        <v>61</v>
      </c>
      <c r="N4446" s="2" t="s">
        <v>39</v>
      </c>
      <c r="O4446" s="2" t="str">
        <f>VLOOKUP(OrganizedData[[#This Row],[Product Code]],ProductData[[Code]:[Item]],2,FALSE)</f>
        <v>Ultrathing V1</v>
      </c>
      <c r="P4446" s="4">
        <f>OrganizedData[[#This Row],[Quantity]]*VLOOKUP(OrganizedData[[#This Row],[Product Code]],ProductData[],4,FALSE)</f>
        <v>1037</v>
      </c>
      <c r="Q4446" s="6">
        <f>OrganizedData[[#This Row],[Total Items Ordered]]*VLOOKUP(OrganizedData[[#This Row],[Product Code]],ProductData[],3,FALSE)</f>
        <v>1856.23</v>
      </c>
      <c r="R44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1763.4185</v>
      </c>
    </row>
    <row r="4447" spans="1:18" x14ac:dyDescent="0.3">
      <c r="A4447" s="2">
        <v>4440</v>
      </c>
      <c r="B4447" s="2" t="s">
        <v>9700</v>
      </c>
      <c r="C4447" s="2" t="s">
        <v>1492</v>
      </c>
      <c r="D4447" s="2" t="s">
        <v>51</v>
      </c>
      <c r="E4447" s="2" t="s">
        <v>16</v>
      </c>
      <c r="F4447" s="2">
        <v>90</v>
      </c>
      <c r="G4447" s="2" t="s">
        <v>9701</v>
      </c>
      <c r="H4447" s="2" t="s">
        <v>1660</v>
      </c>
      <c r="I4447" s="2" t="s">
        <v>32</v>
      </c>
      <c r="J4447" s="3">
        <v>44648</v>
      </c>
      <c r="K4447" s="5">
        <f>YEAR(OrganizedData[[#This Row],[Order Date]])</f>
        <v>2022</v>
      </c>
      <c r="L4447" s="7" t="str">
        <f>TEXT(OrganizedData[[#This Row],[Order Date]],"mmm")</f>
        <v>Mar</v>
      </c>
      <c r="M4447" s="2">
        <v>87</v>
      </c>
      <c r="N4447" s="2" t="s">
        <v>159</v>
      </c>
      <c r="O4447" s="2" t="str">
        <f>VLOOKUP(OrganizedData[[#This Row],[Product Code]],ProductData[[Code]:[Item]],2,FALSE)</f>
        <v>Ultrathing V3</v>
      </c>
      <c r="P4447" s="4">
        <f>OrganizedData[[#This Row],[Quantity]]*VLOOKUP(OrganizedData[[#This Row],[Product Code]],ProductData[],4,FALSE)</f>
        <v>2088</v>
      </c>
      <c r="Q4447" s="6">
        <f>OrganizedData[[#This Row],[Total Items Ordered]]*VLOOKUP(OrganizedData[[#This Row],[Product Code]],ProductData[],3,FALSE)</f>
        <v>7078.3200000000006</v>
      </c>
      <c r="R44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6724.4040000000005</v>
      </c>
    </row>
    <row r="4448" spans="1:18" x14ac:dyDescent="0.3">
      <c r="A4448" s="2">
        <v>4441</v>
      </c>
      <c r="B4448" s="2" t="s">
        <v>5485</v>
      </c>
      <c r="C4448" s="2" t="s">
        <v>4324</v>
      </c>
      <c r="D4448" s="2" t="s">
        <v>28</v>
      </c>
      <c r="E4448" s="2" t="s">
        <v>29</v>
      </c>
      <c r="F4448" s="2">
        <v>30</v>
      </c>
      <c r="G4448" s="2" t="s">
        <v>9702</v>
      </c>
      <c r="H4448" s="2" t="s">
        <v>1556</v>
      </c>
      <c r="I4448" s="2" t="s">
        <v>1311</v>
      </c>
      <c r="J4448" s="3">
        <v>43899</v>
      </c>
      <c r="K4448" s="5">
        <f>YEAR(OrganizedData[[#This Row],[Order Date]])</f>
        <v>2020</v>
      </c>
      <c r="L4448" s="7" t="str">
        <f>TEXT(OrganizedData[[#This Row],[Order Date]],"mmm")</f>
        <v>Mar</v>
      </c>
      <c r="M4448" s="2">
        <v>24</v>
      </c>
      <c r="N4448" s="2" t="s">
        <v>20</v>
      </c>
      <c r="O4448" s="2" t="str">
        <f>VLOOKUP(OrganizedData[[#This Row],[Product Code]],ProductData[[Code]:[Item]],2,FALSE)</f>
        <v>Hyperwotsit</v>
      </c>
      <c r="P4448" s="4">
        <f>OrganizedData[[#This Row],[Quantity]]*VLOOKUP(OrganizedData[[#This Row],[Product Code]],ProductData[],4,FALSE)</f>
        <v>480</v>
      </c>
      <c r="Q4448" s="6">
        <f>OrganizedData[[#This Row],[Total Items Ordered]]*VLOOKUP(OrganizedData[[#This Row],[Product Code]],ProductData[],3,FALSE)</f>
        <v>964.8</v>
      </c>
      <c r="R44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935.85599999999988</v>
      </c>
    </row>
    <row r="4449" spans="1:18" x14ac:dyDescent="0.3">
      <c r="A4449" s="2">
        <v>4442</v>
      </c>
      <c r="B4449" s="2" t="s">
        <v>496</v>
      </c>
      <c r="C4449" s="2" t="s">
        <v>1967</v>
      </c>
      <c r="D4449" s="2" t="s">
        <v>28</v>
      </c>
      <c r="E4449" s="2" t="s">
        <v>29</v>
      </c>
      <c r="F4449" s="2">
        <v>60</v>
      </c>
      <c r="G4449" s="2" t="s">
        <v>9703</v>
      </c>
      <c r="H4449" s="2" t="s">
        <v>1022</v>
      </c>
      <c r="I4449" s="2" t="s">
        <v>164</v>
      </c>
      <c r="J4449" s="3">
        <v>43831</v>
      </c>
      <c r="K4449" s="5">
        <f>YEAR(OrganizedData[[#This Row],[Order Date]])</f>
        <v>2020</v>
      </c>
      <c r="L4449" s="7" t="str">
        <f>TEXT(OrganizedData[[#This Row],[Order Date]],"mmm")</f>
        <v>Jan</v>
      </c>
      <c r="M4449" s="2">
        <v>16</v>
      </c>
      <c r="N4449" s="2" t="s">
        <v>33</v>
      </c>
      <c r="O4449" s="2" t="str">
        <f>VLOOKUP(OrganizedData[[#This Row],[Product Code]],ProductData[[Code]:[Item]],2,FALSE)</f>
        <v>Megawidget L</v>
      </c>
      <c r="P4449" s="4">
        <f>OrganizedData[[#This Row],[Quantity]]*VLOOKUP(OrganizedData[[#This Row],[Product Code]],ProductData[],4,FALSE)</f>
        <v>384</v>
      </c>
      <c r="Q4449" s="6">
        <f>OrganizedData[[#This Row],[Total Items Ordered]]*VLOOKUP(OrganizedData[[#This Row],[Product Code]],ProductData[],3,FALSE)</f>
        <v>687.36</v>
      </c>
      <c r="R44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687.36</v>
      </c>
    </row>
    <row r="4450" spans="1:18" x14ac:dyDescent="0.3">
      <c r="A4450" s="2">
        <v>4443</v>
      </c>
      <c r="B4450" s="2" t="s">
        <v>5772</v>
      </c>
      <c r="C4450" s="2" t="s">
        <v>536</v>
      </c>
      <c r="D4450" s="2" t="s">
        <v>28</v>
      </c>
      <c r="E4450" s="2" t="s">
        <v>29</v>
      </c>
      <c r="F4450" s="2">
        <v>30</v>
      </c>
      <c r="G4450" s="2" t="s">
        <v>9704</v>
      </c>
      <c r="H4450" s="2" t="s">
        <v>920</v>
      </c>
      <c r="I4450" s="2" t="s">
        <v>178</v>
      </c>
      <c r="J4450" s="3">
        <v>44924</v>
      </c>
      <c r="K4450" s="5">
        <f>YEAR(OrganizedData[[#This Row],[Order Date]])</f>
        <v>2022</v>
      </c>
      <c r="L4450" s="7" t="str">
        <f>TEXT(OrganizedData[[#This Row],[Order Date]],"mmm")</f>
        <v>Dec</v>
      </c>
      <c r="M4450" s="2">
        <v>93</v>
      </c>
      <c r="N4450" s="2" t="s">
        <v>159</v>
      </c>
      <c r="O4450" s="2" t="str">
        <f>VLOOKUP(OrganizedData[[#This Row],[Product Code]],ProductData[[Code]:[Item]],2,FALSE)</f>
        <v>Ultrathing V3</v>
      </c>
      <c r="P4450" s="4">
        <f>OrganizedData[[#This Row],[Quantity]]*VLOOKUP(OrganizedData[[#This Row],[Product Code]],ProductData[],4,FALSE)</f>
        <v>2232</v>
      </c>
      <c r="Q4450" s="6">
        <f>OrganizedData[[#This Row],[Total Items Ordered]]*VLOOKUP(OrganizedData[[#This Row],[Product Code]],ProductData[],3,FALSE)</f>
        <v>7566.4800000000005</v>
      </c>
      <c r="R44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7188.1559999999999</v>
      </c>
    </row>
    <row r="4451" spans="1:18" x14ac:dyDescent="0.3">
      <c r="A4451" s="2">
        <v>4444</v>
      </c>
      <c r="B4451" s="2" t="s">
        <v>2263</v>
      </c>
      <c r="C4451" s="2" t="s">
        <v>9705</v>
      </c>
      <c r="D4451" s="2" t="s">
        <v>15</v>
      </c>
      <c r="E4451" s="2" t="s">
        <v>16</v>
      </c>
      <c r="F4451" s="2">
        <v>90</v>
      </c>
      <c r="G4451" s="2" t="s">
        <v>9706</v>
      </c>
      <c r="H4451" s="2" t="s">
        <v>2447</v>
      </c>
      <c r="I4451" s="2" t="s">
        <v>1869</v>
      </c>
      <c r="J4451" s="3">
        <v>44821</v>
      </c>
      <c r="K4451" s="5">
        <f>YEAR(OrganizedData[[#This Row],[Order Date]])</f>
        <v>2022</v>
      </c>
      <c r="L4451" s="7" t="str">
        <f>TEXT(OrganizedData[[#This Row],[Order Date]],"mmm")</f>
        <v>Sep</v>
      </c>
      <c r="M4451" s="2">
        <v>98</v>
      </c>
      <c r="N4451" s="2" t="s">
        <v>101</v>
      </c>
      <c r="O4451" s="2" t="str">
        <f>VLOOKUP(OrganizedData[[#This Row],[Product Code]],ProductData[[Code]:[Item]],2,FALSE)</f>
        <v>Superwossname</v>
      </c>
      <c r="P4451" s="4">
        <f>OrganizedData[[#This Row],[Quantity]]*VLOOKUP(OrganizedData[[#This Row],[Product Code]],ProductData[],4,FALSE)</f>
        <v>1960</v>
      </c>
      <c r="Q4451" s="6">
        <f>OrganizedData[[#This Row],[Total Items Ordered]]*VLOOKUP(OrganizedData[[#This Row],[Product Code]],ProductData[],3,FALSE)</f>
        <v>6840.4000000000005</v>
      </c>
      <c r="R44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6498.38</v>
      </c>
    </row>
    <row r="4452" spans="1:18" x14ac:dyDescent="0.3">
      <c r="A4452" s="2">
        <v>4445</v>
      </c>
      <c r="B4452" s="2" t="s">
        <v>7245</v>
      </c>
      <c r="C4452" s="2" t="s">
        <v>609</v>
      </c>
      <c r="D4452" s="2" t="s">
        <v>15</v>
      </c>
      <c r="E4452" s="2" t="s">
        <v>16</v>
      </c>
      <c r="F4452" s="2">
        <v>30</v>
      </c>
      <c r="G4452" s="2" t="s">
        <v>9707</v>
      </c>
      <c r="H4452" s="2" t="s">
        <v>2069</v>
      </c>
      <c r="I4452" s="2" t="s">
        <v>1035</v>
      </c>
      <c r="J4452" s="3">
        <v>44551</v>
      </c>
      <c r="K4452" s="5">
        <f>YEAR(OrganizedData[[#This Row],[Order Date]])</f>
        <v>2021</v>
      </c>
      <c r="L4452" s="7" t="str">
        <f>TEXT(OrganizedData[[#This Row],[Order Date]],"mmm")</f>
        <v>Dec</v>
      </c>
      <c r="M4452" s="2">
        <v>11</v>
      </c>
      <c r="N4452" s="2" t="s">
        <v>54</v>
      </c>
      <c r="O4452" s="2" t="str">
        <f>VLOOKUP(OrganizedData[[#This Row],[Product Code]],ProductData[[Code]:[Item]],2,FALSE)</f>
        <v>Megawidget S</v>
      </c>
      <c r="P4452" s="4">
        <f>OrganizedData[[#This Row],[Quantity]]*VLOOKUP(OrganizedData[[#This Row],[Product Code]],ProductData[],4,FALSE)</f>
        <v>264</v>
      </c>
      <c r="Q4452" s="6">
        <f>OrganizedData[[#This Row],[Total Items Ordered]]*VLOOKUP(OrganizedData[[#This Row],[Product Code]],ProductData[],3,FALSE)</f>
        <v>182.16</v>
      </c>
      <c r="R44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182.16</v>
      </c>
    </row>
    <row r="4453" spans="1:18" x14ac:dyDescent="0.3">
      <c r="A4453" s="2">
        <v>4446</v>
      </c>
      <c r="B4453" s="2" t="s">
        <v>5695</v>
      </c>
      <c r="C4453" s="2" t="s">
        <v>6635</v>
      </c>
      <c r="D4453" s="2" t="s">
        <v>28</v>
      </c>
      <c r="E4453" s="2" t="s">
        <v>29</v>
      </c>
      <c r="F4453" s="2">
        <v>90</v>
      </c>
      <c r="G4453" s="2" t="s">
        <v>9708</v>
      </c>
      <c r="H4453" s="2" t="s">
        <v>7175</v>
      </c>
      <c r="I4453" s="2" t="s">
        <v>32</v>
      </c>
      <c r="J4453" s="3">
        <v>44030</v>
      </c>
      <c r="K4453" s="5">
        <f>YEAR(OrganizedData[[#This Row],[Order Date]])</f>
        <v>2020</v>
      </c>
      <c r="L4453" s="7" t="str">
        <f>TEXT(OrganizedData[[#This Row],[Order Date]],"mmm")</f>
        <v>Jul</v>
      </c>
      <c r="M4453" s="2">
        <v>43</v>
      </c>
      <c r="N4453" s="2" t="s">
        <v>39</v>
      </c>
      <c r="O4453" s="2" t="str">
        <f>VLOOKUP(OrganizedData[[#This Row],[Product Code]],ProductData[[Code]:[Item]],2,FALSE)</f>
        <v>Ultrathing V1</v>
      </c>
      <c r="P4453" s="4">
        <f>OrganizedData[[#This Row],[Quantity]]*VLOOKUP(OrganizedData[[#This Row],[Product Code]],ProductData[],4,FALSE)</f>
        <v>731</v>
      </c>
      <c r="Q4453" s="6">
        <f>OrganizedData[[#This Row],[Total Items Ordered]]*VLOOKUP(OrganizedData[[#This Row],[Product Code]],ProductData[],3,FALSE)</f>
        <v>1308.49</v>
      </c>
      <c r="R44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1269.2353000000001</v>
      </c>
    </row>
    <row r="4454" spans="1:18" x14ac:dyDescent="0.3">
      <c r="A4454" s="2">
        <v>4447</v>
      </c>
      <c r="B4454" s="2" t="s">
        <v>2050</v>
      </c>
      <c r="C4454" s="2" t="s">
        <v>7629</v>
      </c>
      <c r="D4454" s="2" t="s">
        <v>28</v>
      </c>
      <c r="E4454" s="2" t="s">
        <v>29</v>
      </c>
      <c r="F4454" s="2">
        <v>30</v>
      </c>
      <c r="G4454" s="2" t="s">
        <v>9708</v>
      </c>
      <c r="H4454" s="2" t="s">
        <v>255</v>
      </c>
      <c r="I4454" s="2" t="s">
        <v>32</v>
      </c>
      <c r="J4454" s="3">
        <v>44056</v>
      </c>
      <c r="K4454" s="5">
        <f>YEAR(OrganizedData[[#This Row],[Order Date]])</f>
        <v>2020</v>
      </c>
      <c r="L4454" s="7" t="str">
        <f>TEXT(OrganizedData[[#This Row],[Order Date]],"mmm")</f>
        <v>Aug</v>
      </c>
      <c r="M4454" s="2">
        <v>66</v>
      </c>
      <c r="N4454" s="2" t="s">
        <v>45</v>
      </c>
      <c r="O4454" s="2" t="str">
        <f>VLOOKUP(OrganizedData[[#This Row],[Product Code]],ProductData[[Code]:[Item]],2,FALSE)</f>
        <v>Gigastuff</v>
      </c>
      <c r="P4454" s="4">
        <f>OrganizedData[[#This Row],[Quantity]]*VLOOKUP(OrganizedData[[#This Row],[Product Code]],ProductData[],4,FALSE)</f>
        <v>1188</v>
      </c>
      <c r="Q4454" s="6">
        <f>OrganizedData[[#This Row],[Total Items Ordered]]*VLOOKUP(OrganizedData[[#This Row],[Product Code]],ProductData[],3,FALSE)</f>
        <v>2245.3199999999997</v>
      </c>
      <c r="R44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2133.0539999999996</v>
      </c>
    </row>
    <row r="4455" spans="1:18" x14ac:dyDescent="0.3">
      <c r="A4455" s="2">
        <v>4448</v>
      </c>
      <c r="B4455" s="2" t="s">
        <v>1225</v>
      </c>
      <c r="C4455" s="2" t="s">
        <v>380</v>
      </c>
      <c r="D4455" s="2" t="s">
        <v>28</v>
      </c>
      <c r="E4455" s="2" t="s">
        <v>29</v>
      </c>
      <c r="F4455" s="2">
        <v>30</v>
      </c>
      <c r="G4455" s="2" t="s">
        <v>9709</v>
      </c>
      <c r="H4455" s="2" t="s">
        <v>6507</v>
      </c>
      <c r="I4455" s="2" t="s">
        <v>187</v>
      </c>
      <c r="J4455" s="3">
        <v>44727</v>
      </c>
      <c r="K4455" s="5">
        <f>YEAR(OrganizedData[[#This Row],[Order Date]])</f>
        <v>2022</v>
      </c>
      <c r="L4455" s="7" t="str">
        <f>TEXT(OrganizedData[[#This Row],[Order Date]],"mmm")</f>
        <v>Jun</v>
      </c>
      <c r="M4455" s="2">
        <v>74</v>
      </c>
      <c r="N4455" s="2" t="s">
        <v>20</v>
      </c>
      <c r="O4455" s="2" t="str">
        <f>VLOOKUP(OrganizedData[[#This Row],[Product Code]],ProductData[[Code]:[Item]],2,FALSE)</f>
        <v>Hyperwotsit</v>
      </c>
      <c r="P4455" s="4">
        <f>OrganizedData[[#This Row],[Quantity]]*VLOOKUP(OrganizedData[[#This Row],[Product Code]],ProductData[],4,FALSE)</f>
        <v>1480</v>
      </c>
      <c r="Q4455" s="6">
        <f>OrganizedData[[#This Row],[Total Items Ordered]]*VLOOKUP(OrganizedData[[#This Row],[Product Code]],ProductData[],3,FALSE)</f>
        <v>2974.7999999999997</v>
      </c>
      <c r="R44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2826.0599999999995</v>
      </c>
    </row>
    <row r="4456" spans="1:18" x14ac:dyDescent="0.3">
      <c r="A4456" s="2">
        <v>4449</v>
      </c>
      <c r="B4456" s="2" t="s">
        <v>9710</v>
      </c>
      <c r="C4456" s="2" t="s">
        <v>5575</v>
      </c>
      <c r="D4456" s="2" t="s">
        <v>51</v>
      </c>
      <c r="E4456" s="2" t="s">
        <v>16</v>
      </c>
      <c r="F4456" s="2">
        <v>30</v>
      </c>
      <c r="G4456" s="2" t="s">
        <v>9711</v>
      </c>
      <c r="H4456" s="2" t="s">
        <v>2183</v>
      </c>
      <c r="I4456" s="2" t="s">
        <v>124</v>
      </c>
      <c r="J4456" s="3">
        <v>44554</v>
      </c>
      <c r="K4456" s="5">
        <f>YEAR(OrganizedData[[#This Row],[Order Date]])</f>
        <v>2021</v>
      </c>
      <c r="L4456" s="7" t="str">
        <f>TEXT(OrganizedData[[#This Row],[Order Date]],"mmm")</f>
        <v>Dec</v>
      </c>
      <c r="M4456" s="2">
        <v>22</v>
      </c>
      <c r="N4456" s="2" t="s">
        <v>54</v>
      </c>
      <c r="O4456" s="2" t="str">
        <f>VLOOKUP(OrganizedData[[#This Row],[Product Code]],ProductData[[Code]:[Item]],2,FALSE)</f>
        <v>Megawidget S</v>
      </c>
      <c r="P4456" s="4">
        <f>OrganizedData[[#This Row],[Quantity]]*VLOOKUP(OrganizedData[[#This Row],[Product Code]],ProductData[],4,FALSE)</f>
        <v>528</v>
      </c>
      <c r="Q4456" s="6">
        <f>OrganizedData[[#This Row],[Total Items Ordered]]*VLOOKUP(OrganizedData[[#This Row],[Product Code]],ProductData[],3,FALSE)</f>
        <v>364.32</v>
      </c>
      <c r="R44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353.3904</v>
      </c>
    </row>
    <row r="4457" spans="1:18" x14ac:dyDescent="0.3">
      <c r="A4457" s="2">
        <v>4450</v>
      </c>
      <c r="B4457" s="2" t="s">
        <v>9712</v>
      </c>
      <c r="C4457" s="2" t="s">
        <v>3210</v>
      </c>
      <c r="D4457" s="2" t="s">
        <v>15</v>
      </c>
      <c r="E4457" s="2" t="s">
        <v>16</v>
      </c>
      <c r="F4457" s="2">
        <v>30</v>
      </c>
      <c r="G4457" s="2" t="s">
        <v>9713</v>
      </c>
      <c r="H4457" s="2" t="s">
        <v>764</v>
      </c>
      <c r="I4457" s="2" t="s">
        <v>32</v>
      </c>
      <c r="J4457" s="3">
        <v>44614</v>
      </c>
      <c r="K4457" s="5">
        <f>YEAR(OrganizedData[[#This Row],[Order Date]])</f>
        <v>2022</v>
      </c>
      <c r="L4457" s="7" t="str">
        <f>TEXT(OrganizedData[[#This Row],[Order Date]],"mmm")</f>
        <v>Feb</v>
      </c>
      <c r="M4457" s="2">
        <v>25</v>
      </c>
      <c r="N4457" s="2" t="s">
        <v>54</v>
      </c>
      <c r="O4457" s="2" t="str">
        <f>VLOOKUP(OrganizedData[[#This Row],[Product Code]],ProductData[[Code]:[Item]],2,FALSE)</f>
        <v>Megawidget S</v>
      </c>
      <c r="P4457" s="4">
        <f>OrganizedData[[#This Row],[Quantity]]*VLOOKUP(OrganizedData[[#This Row],[Product Code]],ProductData[],4,FALSE)</f>
        <v>600</v>
      </c>
      <c r="Q4457" s="6">
        <f>OrganizedData[[#This Row],[Total Items Ordered]]*VLOOKUP(OrganizedData[[#This Row],[Product Code]],ProductData[],3,FALSE)</f>
        <v>413.99999999999994</v>
      </c>
      <c r="R44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401.57999999999993</v>
      </c>
    </row>
    <row r="4458" spans="1:18" x14ac:dyDescent="0.3">
      <c r="A4458" s="2">
        <v>4451</v>
      </c>
      <c r="B4458" s="2" t="s">
        <v>8003</v>
      </c>
      <c r="C4458" s="2" t="s">
        <v>3253</v>
      </c>
      <c r="D4458" s="2" t="s">
        <v>28</v>
      </c>
      <c r="E4458" s="2" t="s">
        <v>29</v>
      </c>
      <c r="F4458" s="2">
        <v>30</v>
      </c>
      <c r="G4458" s="2" t="s">
        <v>9714</v>
      </c>
      <c r="H4458" s="2" t="s">
        <v>7844</v>
      </c>
      <c r="I4458" s="2" t="s">
        <v>124</v>
      </c>
      <c r="J4458" s="3">
        <v>44398</v>
      </c>
      <c r="K4458" s="5">
        <f>YEAR(OrganizedData[[#This Row],[Order Date]])</f>
        <v>2021</v>
      </c>
      <c r="L4458" s="7" t="str">
        <f>TEXT(OrganizedData[[#This Row],[Order Date]],"mmm")</f>
        <v>Jul</v>
      </c>
      <c r="M4458" s="2">
        <v>72</v>
      </c>
      <c r="N4458" s="2" t="s">
        <v>39</v>
      </c>
      <c r="O4458" s="2" t="str">
        <f>VLOOKUP(OrganizedData[[#This Row],[Product Code]],ProductData[[Code]:[Item]],2,FALSE)</f>
        <v>Ultrathing V1</v>
      </c>
      <c r="P4458" s="4">
        <f>OrganizedData[[#This Row],[Quantity]]*VLOOKUP(OrganizedData[[#This Row],[Product Code]],ProductData[],4,FALSE)</f>
        <v>1224</v>
      </c>
      <c r="Q4458" s="6">
        <f>OrganizedData[[#This Row],[Total Items Ordered]]*VLOOKUP(OrganizedData[[#This Row],[Product Code]],ProductData[],3,FALSE)</f>
        <v>2190.96</v>
      </c>
      <c r="R44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2081.4119999999998</v>
      </c>
    </row>
    <row r="4459" spans="1:18" x14ac:dyDescent="0.3">
      <c r="A4459" s="2">
        <v>4452</v>
      </c>
      <c r="B4459" s="2" t="s">
        <v>4368</v>
      </c>
      <c r="C4459" s="2" t="s">
        <v>3552</v>
      </c>
      <c r="D4459" s="2" t="s">
        <v>28</v>
      </c>
      <c r="E4459" s="2" t="s">
        <v>29</v>
      </c>
      <c r="F4459" s="2">
        <v>60</v>
      </c>
      <c r="G4459" s="2" t="s">
        <v>9714</v>
      </c>
      <c r="H4459" s="2" t="s">
        <v>1214</v>
      </c>
      <c r="I4459" s="2" t="s">
        <v>32</v>
      </c>
      <c r="J4459" s="3">
        <v>43956</v>
      </c>
      <c r="K4459" s="5">
        <f>YEAR(OrganizedData[[#This Row],[Order Date]])</f>
        <v>2020</v>
      </c>
      <c r="L4459" s="7" t="str">
        <f>TEXT(OrganizedData[[#This Row],[Order Date]],"mmm")</f>
        <v>May</v>
      </c>
      <c r="M4459" s="2">
        <v>70</v>
      </c>
      <c r="N4459" s="2" t="s">
        <v>70</v>
      </c>
      <c r="O4459" s="2" t="str">
        <f>VLOOKUP(OrganizedData[[#This Row],[Product Code]],ProductData[[Code]:[Item]],2,FALSE)</f>
        <v>Megawidget M</v>
      </c>
      <c r="P4459" s="4">
        <f>OrganizedData[[#This Row],[Quantity]]*VLOOKUP(OrganizedData[[#This Row],[Product Code]],ProductData[],4,FALSE)</f>
        <v>1680</v>
      </c>
      <c r="Q4459" s="6">
        <f>OrganizedData[[#This Row],[Total Items Ordered]]*VLOOKUP(OrganizedData[[#This Row],[Product Code]],ProductData[],3,FALSE)</f>
        <v>2167.2000000000003</v>
      </c>
      <c r="R44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2058.84</v>
      </c>
    </row>
    <row r="4460" spans="1:18" x14ac:dyDescent="0.3">
      <c r="A4460" s="2">
        <v>4453</v>
      </c>
      <c r="B4460" s="2" t="s">
        <v>2101</v>
      </c>
      <c r="C4460" s="2" t="s">
        <v>9715</v>
      </c>
      <c r="D4460" s="2" t="s">
        <v>28</v>
      </c>
      <c r="E4460" s="2" t="s">
        <v>29</v>
      </c>
      <c r="F4460" s="2">
        <v>30</v>
      </c>
      <c r="G4460" s="2" t="s">
        <v>9716</v>
      </c>
      <c r="H4460" s="2" t="s">
        <v>186</v>
      </c>
      <c r="I4460" s="2" t="s">
        <v>187</v>
      </c>
      <c r="J4460" s="3">
        <v>44160</v>
      </c>
      <c r="K4460" s="5">
        <f>YEAR(OrganizedData[[#This Row],[Order Date]])</f>
        <v>2020</v>
      </c>
      <c r="L4460" s="7" t="str">
        <f>TEXT(OrganizedData[[#This Row],[Order Date]],"mmm")</f>
        <v>Nov</v>
      </c>
      <c r="M4460" s="2">
        <v>57</v>
      </c>
      <c r="N4460" s="2" t="s">
        <v>54</v>
      </c>
      <c r="O4460" s="2" t="str">
        <f>VLOOKUP(OrganizedData[[#This Row],[Product Code]],ProductData[[Code]:[Item]],2,FALSE)</f>
        <v>Megawidget S</v>
      </c>
      <c r="P4460" s="4">
        <f>OrganizedData[[#This Row],[Quantity]]*VLOOKUP(OrganizedData[[#This Row],[Product Code]],ProductData[],4,FALSE)</f>
        <v>1368</v>
      </c>
      <c r="Q4460" s="6">
        <f>OrganizedData[[#This Row],[Total Items Ordered]]*VLOOKUP(OrganizedData[[#This Row],[Product Code]],ProductData[],3,FALSE)</f>
        <v>943.92</v>
      </c>
      <c r="R44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896.72399999999993</v>
      </c>
    </row>
    <row r="4461" spans="1:18" x14ac:dyDescent="0.3">
      <c r="A4461" s="2">
        <v>4454</v>
      </c>
      <c r="B4461" s="2" t="s">
        <v>3532</v>
      </c>
      <c r="C4461" s="2" t="s">
        <v>1214</v>
      </c>
      <c r="D4461" s="2" t="s">
        <v>28</v>
      </c>
      <c r="E4461" s="2" t="s">
        <v>29</v>
      </c>
      <c r="F4461" s="2">
        <v>30</v>
      </c>
      <c r="G4461" s="2" t="s">
        <v>9717</v>
      </c>
      <c r="H4461" s="2" t="s">
        <v>3834</v>
      </c>
      <c r="I4461" s="2" t="s">
        <v>32</v>
      </c>
      <c r="J4461" s="3">
        <v>44583</v>
      </c>
      <c r="K4461" s="5">
        <f>YEAR(OrganizedData[[#This Row],[Order Date]])</f>
        <v>2022</v>
      </c>
      <c r="L4461" s="7" t="str">
        <f>TEXT(OrganizedData[[#This Row],[Order Date]],"mmm")</f>
        <v>Jan</v>
      </c>
      <c r="M4461" s="2">
        <v>26</v>
      </c>
      <c r="N4461" s="2" t="s">
        <v>39</v>
      </c>
      <c r="O4461" s="2" t="str">
        <f>VLOOKUP(OrganizedData[[#This Row],[Product Code]],ProductData[[Code]:[Item]],2,FALSE)</f>
        <v>Ultrathing V1</v>
      </c>
      <c r="P4461" s="4">
        <f>OrganizedData[[#This Row],[Quantity]]*VLOOKUP(OrganizedData[[#This Row],[Product Code]],ProductData[],4,FALSE)</f>
        <v>442</v>
      </c>
      <c r="Q4461" s="6">
        <f>OrganizedData[[#This Row],[Total Items Ordered]]*VLOOKUP(OrganizedData[[#This Row],[Product Code]],ProductData[],3,FALSE)</f>
        <v>791.18000000000006</v>
      </c>
      <c r="R44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767.44460000000004</v>
      </c>
    </row>
    <row r="4462" spans="1:18" x14ac:dyDescent="0.3">
      <c r="A4462" s="2">
        <v>4455</v>
      </c>
      <c r="B4462" s="2" t="s">
        <v>2883</v>
      </c>
      <c r="C4462" s="2" t="s">
        <v>9718</v>
      </c>
      <c r="D4462" s="2" t="s">
        <v>51</v>
      </c>
      <c r="E4462" s="2" t="s">
        <v>16</v>
      </c>
      <c r="F4462" s="2">
        <v>90</v>
      </c>
      <c r="G4462" s="2" t="s">
        <v>9719</v>
      </c>
      <c r="H4462" s="2" t="s">
        <v>1039</v>
      </c>
      <c r="I4462" s="2" t="s">
        <v>25</v>
      </c>
      <c r="J4462" s="3">
        <v>44021</v>
      </c>
      <c r="K4462" s="5">
        <f>YEAR(OrganizedData[[#This Row],[Order Date]])</f>
        <v>2020</v>
      </c>
      <c r="L4462" s="7" t="str">
        <f>TEXT(OrganizedData[[#This Row],[Order Date]],"mmm")</f>
        <v>Jul</v>
      </c>
      <c r="M4462" s="2">
        <v>79</v>
      </c>
      <c r="N4462" s="2" t="s">
        <v>33</v>
      </c>
      <c r="O4462" s="2" t="str">
        <f>VLOOKUP(OrganizedData[[#This Row],[Product Code]],ProductData[[Code]:[Item]],2,FALSE)</f>
        <v>Megawidget L</v>
      </c>
      <c r="P4462" s="4">
        <f>OrganizedData[[#This Row],[Quantity]]*VLOOKUP(OrganizedData[[#This Row],[Product Code]],ProductData[],4,FALSE)</f>
        <v>1896</v>
      </c>
      <c r="Q4462" s="6">
        <f>OrganizedData[[#This Row],[Total Items Ordered]]*VLOOKUP(OrganizedData[[#This Row],[Product Code]],ProductData[],3,FALSE)</f>
        <v>3393.84</v>
      </c>
      <c r="R44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3224.1480000000001</v>
      </c>
    </row>
    <row r="4463" spans="1:18" x14ac:dyDescent="0.3">
      <c r="A4463" s="2">
        <v>4456</v>
      </c>
      <c r="B4463" s="2" t="s">
        <v>9720</v>
      </c>
      <c r="C4463" s="2" t="s">
        <v>4766</v>
      </c>
      <c r="D4463" s="2" t="s">
        <v>51</v>
      </c>
      <c r="E4463" s="2" t="s">
        <v>16</v>
      </c>
      <c r="F4463" s="2">
        <v>30</v>
      </c>
      <c r="G4463" s="2" t="s">
        <v>9721</v>
      </c>
      <c r="H4463" s="2" t="s">
        <v>363</v>
      </c>
      <c r="I4463" s="2" t="s">
        <v>110</v>
      </c>
      <c r="J4463" s="3">
        <v>44608</v>
      </c>
      <c r="K4463" s="5">
        <f>YEAR(OrganizedData[[#This Row],[Order Date]])</f>
        <v>2022</v>
      </c>
      <c r="L4463" s="7" t="str">
        <f>TEXT(OrganizedData[[#This Row],[Order Date]],"mmm")</f>
        <v>Feb</v>
      </c>
      <c r="M4463" s="2">
        <v>74</v>
      </c>
      <c r="N4463" s="2" t="s">
        <v>20</v>
      </c>
      <c r="O4463" s="2" t="str">
        <f>VLOOKUP(OrganizedData[[#This Row],[Product Code]],ProductData[[Code]:[Item]],2,FALSE)</f>
        <v>Hyperwotsit</v>
      </c>
      <c r="P4463" s="4">
        <f>OrganizedData[[#This Row],[Quantity]]*VLOOKUP(OrganizedData[[#This Row],[Product Code]],ProductData[],4,FALSE)</f>
        <v>1480</v>
      </c>
      <c r="Q4463" s="6">
        <f>OrganizedData[[#This Row],[Total Items Ordered]]*VLOOKUP(OrganizedData[[#This Row],[Product Code]],ProductData[],3,FALSE)</f>
        <v>2974.7999999999997</v>
      </c>
      <c r="R44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2826.0599999999995</v>
      </c>
    </row>
    <row r="4464" spans="1:18" x14ac:dyDescent="0.3">
      <c r="A4464" s="2">
        <v>4457</v>
      </c>
      <c r="B4464" s="2" t="s">
        <v>9722</v>
      </c>
      <c r="C4464" s="2" t="s">
        <v>9723</v>
      </c>
      <c r="D4464" s="2" t="s">
        <v>15</v>
      </c>
      <c r="E4464" s="2" t="s">
        <v>16</v>
      </c>
      <c r="F4464" s="2">
        <v>60</v>
      </c>
      <c r="G4464" s="2" t="s">
        <v>9724</v>
      </c>
      <c r="H4464" s="2" t="s">
        <v>6000</v>
      </c>
      <c r="I4464" s="2" t="s">
        <v>178</v>
      </c>
      <c r="J4464" s="3">
        <v>43864</v>
      </c>
      <c r="K4464" s="5">
        <f>YEAR(OrganizedData[[#This Row],[Order Date]])</f>
        <v>2020</v>
      </c>
      <c r="L4464" s="7" t="str">
        <f>TEXT(OrganizedData[[#This Row],[Order Date]],"mmm")</f>
        <v>Feb</v>
      </c>
      <c r="M4464" s="2">
        <v>44</v>
      </c>
      <c r="N4464" s="2" t="s">
        <v>70</v>
      </c>
      <c r="O4464" s="2" t="str">
        <f>VLOOKUP(OrganizedData[[#This Row],[Product Code]],ProductData[[Code]:[Item]],2,FALSE)</f>
        <v>Megawidget M</v>
      </c>
      <c r="P4464" s="4">
        <f>OrganizedData[[#This Row],[Quantity]]*VLOOKUP(OrganizedData[[#This Row],[Product Code]],ProductData[],4,FALSE)</f>
        <v>1056</v>
      </c>
      <c r="Q4464" s="6">
        <f>OrganizedData[[#This Row],[Total Items Ordered]]*VLOOKUP(OrganizedData[[#This Row],[Product Code]],ProductData[],3,FALSE)</f>
        <v>1362.24</v>
      </c>
      <c r="R44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1321.3727999999999</v>
      </c>
    </row>
    <row r="4465" spans="1:18" x14ac:dyDescent="0.3">
      <c r="A4465" s="2">
        <v>4458</v>
      </c>
      <c r="B4465" s="2" t="s">
        <v>6203</v>
      </c>
      <c r="C4465" s="2" t="s">
        <v>1749</v>
      </c>
      <c r="D4465" s="2" t="s">
        <v>28</v>
      </c>
      <c r="E4465" s="2" t="s">
        <v>29</v>
      </c>
      <c r="F4465" s="2">
        <v>30</v>
      </c>
      <c r="G4465" s="2" t="s">
        <v>9724</v>
      </c>
      <c r="H4465" s="2" t="s">
        <v>4662</v>
      </c>
      <c r="I4465" s="2" t="s">
        <v>32</v>
      </c>
      <c r="J4465" s="3">
        <v>44712</v>
      </c>
      <c r="K4465" s="5">
        <f>YEAR(OrganizedData[[#This Row],[Order Date]])</f>
        <v>2022</v>
      </c>
      <c r="L4465" s="7" t="str">
        <f>TEXT(OrganizedData[[#This Row],[Order Date]],"mmm")</f>
        <v>May</v>
      </c>
      <c r="M4465" s="2">
        <v>76</v>
      </c>
      <c r="N4465" s="2" t="s">
        <v>80</v>
      </c>
      <c r="O4465" s="2" t="str">
        <f>VLOOKUP(OrganizedData[[#This Row],[Product Code]],ProductData[[Code]:[Item]],2,FALSE)</f>
        <v>Ultrathing V2</v>
      </c>
      <c r="P4465" s="4">
        <f>OrganizedData[[#This Row],[Quantity]]*VLOOKUP(OrganizedData[[#This Row],[Product Code]],ProductData[],4,FALSE)</f>
        <v>1520</v>
      </c>
      <c r="Q4465" s="6">
        <f>OrganizedData[[#This Row],[Total Items Ordered]]*VLOOKUP(OrganizedData[[#This Row],[Product Code]],ProductData[],3,FALSE)</f>
        <v>4484</v>
      </c>
      <c r="R44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4259.8</v>
      </c>
    </row>
    <row r="4466" spans="1:18" x14ac:dyDescent="0.3">
      <c r="A4466" s="2">
        <v>4459</v>
      </c>
      <c r="B4466" s="2" t="s">
        <v>5960</v>
      </c>
      <c r="C4466" s="2" t="s">
        <v>135</v>
      </c>
      <c r="D4466" s="2" t="s">
        <v>28</v>
      </c>
      <c r="E4466" s="2" t="s">
        <v>29</v>
      </c>
      <c r="F4466" s="2">
        <v>60</v>
      </c>
      <c r="G4466" s="2" t="s">
        <v>9725</v>
      </c>
      <c r="H4466" s="2" t="s">
        <v>6820</v>
      </c>
      <c r="I4466" s="2" t="s">
        <v>294</v>
      </c>
      <c r="J4466" s="3">
        <v>43972</v>
      </c>
      <c r="K4466" s="5">
        <f>YEAR(OrganizedData[[#This Row],[Order Date]])</f>
        <v>2020</v>
      </c>
      <c r="L4466" s="7" t="str">
        <f>TEXT(OrganizedData[[#This Row],[Order Date]],"mmm")</f>
        <v>May</v>
      </c>
      <c r="M4466" s="2">
        <v>49</v>
      </c>
      <c r="N4466" s="2" t="s">
        <v>45</v>
      </c>
      <c r="O4466" s="2" t="str">
        <f>VLOOKUP(OrganizedData[[#This Row],[Product Code]],ProductData[[Code]:[Item]],2,FALSE)</f>
        <v>Gigastuff</v>
      </c>
      <c r="P4466" s="4">
        <f>OrganizedData[[#This Row],[Quantity]]*VLOOKUP(OrganizedData[[#This Row],[Product Code]],ProductData[],4,FALSE)</f>
        <v>882</v>
      </c>
      <c r="Q4466" s="6">
        <f>OrganizedData[[#This Row],[Total Items Ordered]]*VLOOKUP(OrganizedData[[#This Row],[Product Code]],ProductData[],3,FALSE)</f>
        <v>1666.98</v>
      </c>
      <c r="R44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1616.9705999999999</v>
      </c>
    </row>
    <row r="4467" spans="1:18" x14ac:dyDescent="0.3">
      <c r="A4467" s="2">
        <v>4460</v>
      </c>
      <c r="B4467" s="2" t="s">
        <v>7886</v>
      </c>
      <c r="C4467" s="2" t="s">
        <v>556</v>
      </c>
      <c r="D4467" s="2" t="s">
        <v>28</v>
      </c>
      <c r="E4467" s="2" t="s">
        <v>29</v>
      </c>
      <c r="F4467" s="2">
        <v>30</v>
      </c>
      <c r="G4467" s="2" t="s">
        <v>9726</v>
      </c>
      <c r="H4467" s="2" t="s">
        <v>9727</v>
      </c>
      <c r="I4467" s="2" t="s">
        <v>32</v>
      </c>
      <c r="J4467" s="3">
        <v>44268</v>
      </c>
      <c r="K4467" s="5">
        <f>YEAR(OrganizedData[[#This Row],[Order Date]])</f>
        <v>2021</v>
      </c>
      <c r="L4467" s="7" t="str">
        <f>TEXT(OrganizedData[[#This Row],[Order Date]],"mmm")</f>
        <v>Mar</v>
      </c>
      <c r="M4467" s="2">
        <v>81</v>
      </c>
      <c r="N4467" s="2" t="s">
        <v>64</v>
      </c>
      <c r="O4467" s="2" t="str">
        <f>VLOOKUP(OrganizedData[[#This Row],[Product Code]],ProductData[[Code]:[Item]],2,FALSE)</f>
        <v>Ultrathing V4</v>
      </c>
      <c r="P4467" s="4">
        <f>OrganizedData[[#This Row],[Quantity]]*VLOOKUP(OrganizedData[[#This Row],[Product Code]],ProductData[],4,FALSE)</f>
        <v>1944</v>
      </c>
      <c r="Q4467" s="6">
        <f>OrganizedData[[#This Row],[Total Items Ordered]]*VLOOKUP(OrganizedData[[#This Row],[Product Code]],ProductData[],3,FALSE)</f>
        <v>7756.56</v>
      </c>
      <c r="R44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7368.732</v>
      </c>
    </row>
    <row r="4468" spans="1:18" x14ac:dyDescent="0.3">
      <c r="A4468" s="2">
        <v>4461</v>
      </c>
      <c r="B4468" s="2" t="s">
        <v>5171</v>
      </c>
      <c r="C4468" s="2" t="s">
        <v>5832</v>
      </c>
      <c r="D4468" s="2" t="s">
        <v>51</v>
      </c>
      <c r="E4468" s="2" t="s">
        <v>16</v>
      </c>
      <c r="F4468" s="2">
        <v>30</v>
      </c>
      <c r="G4468" s="2" t="s">
        <v>9728</v>
      </c>
      <c r="H4468" s="2" t="s">
        <v>5132</v>
      </c>
      <c r="I4468" s="2" t="s">
        <v>32</v>
      </c>
      <c r="J4468" s="3">
        <v>44575</v>
      </c>
      <c r="K4468" s="5">
        <f>YEAR(OrganizedData[[#This Row],[Order Date]])</f>
        <v>2022</v>
      </c>
      <c r="L4468" s="7" t="str">
        <f>TEXT(OrganizedData[[#This Row],[Order Date]],"mmm")</f>
        <v>Jan</v>
      </c>
      <c r="M4468" s="2">
        <v>69</v>
      </c>
      <c r="N4468" s="2" t="s">
        <v>33</v>
      </c>
      <c r="O4468" s="2" t="str">
        <f>VLOOKUP(OrganizedData[[#This Row],[Product Code]],ProductData[[Code]:[Item]],2,FALSE)</f>
        <v>Megawidget L</v>
      </c>
      <c r="P4468" s="4">
        <f>OrganizedData[[#This Row],[Quantity]]*VLOOKUP(OrganizedData[[#This Row],[Product Code]],ProductData[],4,FALSE)</f>
        <v>1656</v>
      </c>
      <c r="Q4468" s="6">
        <f>OrganizedData[[#This Row],[Total Items Ordered]]*VLOOKUP(OrganizedData[[#This Row],[Product Code]],ProductData[],3,FALSE)</f>
        <v>2964.2400000000002</v>
      </c>
      <c r="R44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2816.0280000000002</v>
      </c>
    </row>
    <row r="4469" spans="1:18" x14ac:dyDescent="0.3">
      <c r="A4469" s="2">
        <v>4462</v>
      </c>
      <c r="B4469" s="2" t="s">
        <v>2010</v>
      </c>
      <c r="C4469" s="2" t="s">
        <v>873</v>
      </c>
      <c r="D4469" s="2" t="s">
        <v>28</v>
      </c>
      <c r="E4469" s="2" t="s">
        <v>29</v>
      </c>
      <c r="F4469" s="2">
        <v>30</v>
      </c>
      <c r="G4469" s="2" t="s">
        <v>9729</v>
      </c>
      <c r="H4469" s="2" t="s">
        <v>1315</v>
      </c>
      <c r="I4469" s="2" t="s">
        <v>32</v>
      </c>
      <c r="J4469" s="3">
        <v>44086</v>
      </c>
      <c r="K4469" s="5">
        <f>YEAR(OrganizedData[[#This Row],[Order Date]])</f>
        <v>2020</v>
      </c>
      <c r="L4469" s="7" t="str">
        <f>TEXT(OrganizedData[[#This Row],[Order Date]],"mmm")</f>
        <v>Sep</v>
      </c>
      <c r="M4469" s="2">
        <v>74</v>
      </c>
      <c r="N4469" s="2" t="s">
        <v>159</v>
      </c>
      <c r="O4469" s="2" t="str">
        <f>VLOOKUP(OrganizedData[[#This Row],[Product Code]],ProductData[[Code]:[Item]],2,FALSE)</f>
        <v>Ultrathing V3</v>
      </c>
      <c r="P4469" s="4">
        <f>OrganizedData[[#This Row],[Quantity]]*VLOOKUP(OrganizedData[[#This Row],[Product Code]],ProductData[],4,FALSE)</f>
        <v>1776</v>
      </c>
      <c r="Q4469" s="6">
        <f>OrganizedData[[#This Row],[Total Items Ordered]]*VLOOKUP(OrganizedData[[#This Row],[Product Code]],ProductData[],3,FALSE)</f>
        <v>6020.64</v>
      </c>
      <c r="R44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5719.6080000000002</v>
      </c>
    </row>
    <row r="4470" spans="1:18" x14ac:dyDescent="0.3">
      <c r="A4470" s="2">
        <v>4463</v>
      </c>
      <c r="B4470" s="2" t="s">
        <v>7920</v>
      </c>
      <c r="C4470" s="2" t="s">
        <v>76</v>
      </c>
      <c r="D4470" s="2" t="s">
        <v>15</v>
      </c>
      <c r="E4470" s="2" t="s">
        <v>16</v>
      </c>
      <c r="F4470" s="2">
        <v>60</v>
      </c>
      <c r="G4470" s="2" t="s">
        <v>9730</v>
      </c>
      <c r="H4470" s="2" t="s">
        <v>904</v>
      </c>
      <c r="I4470" s="2" t="s">
        <v>32</v>
      </c>
      <c r="J4470" s="3">
        <v>44013</v>
      </c>
      <c r="K4470" s="5">
        <f>YEAR(OrganizedData[[#This Row],[Order Date]])</f>
        <v>2020</v>
      </c>
      <c r="L4470" s="7" t="str">
        <f>TEXT(OrganizedData[[#This Row],[Order Date]],"mmm")</f>
        <v>Jul</v>
      </c>
      <c r="M4470" s="2">
        <v>36</v>
      </c>
      <c r="N4470" s="2" t="s">
        <v>39</v>
      </c>
      <c r="O4470" s="2" t="str">
        <f>VLOOKUP(OrganizedData[[#This Row],[Product Code]],ProductData[[Code]:[Item]],2,FALSE)</f>
        <v>Ultrathing V1</v>
      </c>
      <c r="P4470" s="4">
        <f>OrganizedData[[#This Row],[Quantity]]*VLOOKUP(OrganizedData[[#This Row],[Product Code]],ProductData[],4,FALSE)</f>
        <v>612</v>
      </c>
      <c r="Q4470" s="6">
        <f>OrganizedData[[#This Row],[Total Items Ordered]]*VLOOKUP(OrganizedData[[#This Row],[Product Code]],ProductData[],3,FALSE)</f>
        <v>1095.48</v>
      </c>
      <c r="R44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4471" spans="1:18" x14ac:dyDescent="0.3">
      <c r="A4471" s="2">
        <v>4464</v>
      </c>
      <c r="B4471" s="2" t="s">
        <v>9398</v>
      </c>
      <c r="C4471" s="2" t="s">
        <v>2266</v>
      </c>
      <c r="D4471" s="2" t="s">
        <v>28</v>
      </c>
      <c r="E4471" s="2" t="s">
        <v>29</v>
      </c>
      <c r="F4471" s="2">
        <v>60</v>
      </c>
      <c r="G4471" s="2" t="s">
        <v>9731</v>
      </c>
      <c r="H4471" s="2" t="s">
        <v>3482</v>
      </c>
      <c r="I4471" s="2" t="s">
        <v>25</v>
      </c>
      <c r="J4471" s="3">
        <v>44133</v>
      </c>
      <c r="K4471" s="5">
        <f>YEAR(OrganizedData[[#This Row],[Order Date]])</f>
        <v>2020</v>
      </c>
      <c r="L4471" s="7" t="str">
        <f>TEXT(OrganizedData[[#This Row],[Order Date]],"mmm")</f>
        <v>Oct</v>
      </c>
      <c r="M4471" s="2">
        <v>47</v>
      </c>
      <c r="N4471" s="2" t="s">
        <v>39</v>
      </c>
      <c r="O4471" s="2" t="str">
        <f>VLOOKUP(OrganizedData[[#This Row],[Product Code]],ProductData[[Code]:[Item]],2,FALSE)</f>
        <v>Ultrathing V1</v>
      </c>
      <c r="P4471" s="4">
        <f>OrganizedData[[#This Row],[Quantity]]*VLOOKUP(OrganizedData[[#This Row],[Product Code]],ProductData[],4,FALSE)</f>
        <v>799</v>
      </c>
      <c r="Q4471" s="6">
        <f>OrganizedData[[#This Row],[Total Items Ordered]]*VLOOKUP(OrganizedData[[#This Row],[Product Code]],ProductData[],3,FALSE)</f>
        <v>1430.21</v>
      </c>
      <c r="R44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1387.3036999999999</v>
      </c>
    </row>
    <row r="4472" spans="1:18" x14ac:dyDescent="0.3">
      <c r="A4472" s="2">
        <v>4465</v>
      </c>
      <c r="B4472" s="2" t="s">
        <v>9732</v>
      </c>
      <c r="C4472" s="2" t="s">
        <v>3542</v>
      </c>
      <c r="D4472" s="2" t="s">
        <v>51</v>
      </c>
      <c r="E4472" s="2" t="s">
        <v>16</v>
      </c>
      <c r="F4472" s="2">
        <v>60</v>
      </c>
      <c r="G4472" s="2" t="s">
        <v>9733</v>
      </c>
      <c r="H4472" s="2" t="s">
        <v>1401</v>
      </c>
      <c r="I4472" s="2" t="s">
        <v>1402</v>
      </c>
      <c r="J4472" s="3">
        <v>44553</v>
      </c>
      <c r="K4472" s="5">
        <f>YEAR(OrganizedData[[#This Row],[Order Date]])</f>
        <v>2021</v>
      </c>
      <c r="L4472" s="7" t="str">
        <f>TEXT(OrganizedData[[#This Row],[Order Date]],"mmm")</f>
        <v>Dec</v>
      </c>
      <c r="M4472" s="2">
        <v>43</v>
      </c>
      <c r="N4472" s="2" t="s">
        <v>20</v>
      </c>
      <c r="O4472" s="2" t="str">
        <f>VLOOKUP(OrganizedData[[#This Row],[Product Code]],ProductData[[Code]:[Item]],2,FALSE)</f>
        <v>Hyperwotsit</v>
      </c>
      <c r="P4472" s="4">
        <f>OrganizedData[[#This Row],[Quantity]]*VLOOKUP(OrganizedData[[#This Row],[Product Code]],ProductData[],4,FALSE)</f>
        <v>860</v>
      </c>
      <c r="Q4472" s="6">
        <f>OrganizedData[[#This Row],[Total Items Ordered]]*VLOOKUP(OrganizedData[[#This Row],[Product Code]],ProductData[],3,FALSE)</f>
        <v>1728.6</v>
      </c>
      <c r="R44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1676.742</v>
      </c>
    </row>
    <row r="4473" spans="1:18" x14ac:dyDescent="0.3">
      <c r="A4473" s="2">
        <v>4466</v>
      </c>
      <c r="B4473" s="2" t="s">
        <v>4475</v>
      </c>
      <c r="C4473" s="2" t="s">
        <v>9734</v>
      </c>
      <c r="D4473" s="2" t="s">
        <v>51</v>
      </c>
      <c r="E4473" s="2" t="s">
        <v>16</v>
      </c>
      <c r="F4473" s="2">
        <v>60</v>
      </c>
      <c r="G4473" s="2" t="s">
        <v>9735</v>
      </c>
      <c r="H4473" s="2" t="s">
        <v>849</v>
      </c>
      <c r="I4473" s="2" t="s">
        <v>124</v>
      </c>
      <c r="J4473" s="3">
        <v>43853</v>
      </c>
      <c r="K4473" s="5">
        <f>YEAR(OrganizedData[[#This Row],[Order Date]])</f>
        <v>2020</v>
      </c>
      <c r="L4473" s="7" t="str">
        <f>TEXT(OrganizedData[[#This Row],[Order Date]],"mmm")</f>
        <v>Jan</v>
      </c>
      <c r="M4473" s="2">
        <v>23</v>
      </c>
      <c r="N4473" s="2" t="s">
        <v>20</v>
      </c>
      <c r="O4473" s="2" t="str">
        <f>VLOOKUP(OrganizedData[[#This Row],[Product Code]],ProductData[[Code]:[Item]],2,FALSE)</f>
        <v>Hyperwotsit</v>
      </c>
      <c r="P4473" s="4">
        <f>OrganizedData[[#This Row],[Quantity]]*VLOOKUP(OrganizedData[[#This Row],[Product Code]],ProductData[],4,FALSE)</f>
        <v>460</v>
      </c>
      <c r="Q4473" s="6">
        <f>OrganizedData[[#This Row],[Total Items Ordered]]*VLOOKUP(OrganizedData[[#This Row],[Product Code]],ProductData[],3,FALSE)</f>
        <v>924.59999999999991</v>
      </c>
      <c r="R44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896.86199999999985</v>
      </c>
    </row>
    <row r="4474" spans="1:18" x14ac:dyDescent="0.3">
      <c r="A4474" s="2">
        <v>4467</v>
      </c>
      <c r="B4474" s="2" t="s">
        <v>7412</v>
      </c>
      <c r="C4474" s="2" t="s">
        <v>5604</v>
      </c>
      <c r="D4474" s="2" t="s">
        <v>51</v>
      </c>
      <c r="E4474" s="2" t="s">
        <v>16</v>
      </c>
      <c r="F4474" s="2">
        <v>30</v>
      </c>
      <c r="G4474" s="2" t="s">
        <v>9736</v>
      </c>
      <c r="H4474" s="2" t="s">
        <v>1548</v>
      </c>
      <c r="I4474" s="2" t="s">
        <v>1549</v>
      </c>
      <c r="J4474" s="3">
        <v>43846</v>
      </c>
      <c r="K4474" s="5">
        <f>YEAR(OrganizedData[[#This Row],[Order Date]])</f>
        <v>2020</v>
      </c>
      <c r="L4474" s="7" t="str">
        <f>TEXT(OrganizedData[[#This Row],[Order Date]],"mmm")</f>
        <v>Jan</v>
      </c>
      <c r="M4474" s="2">
        <v>63</v>
      </c>
      <c r="N4474" s="2" t="s">
        <v>159</v>
      </c>
      <c r="O4474" s="2" t="str">
        <f>VLOOKUP(OrganizedData[[#This Row],[Product Code]],ProductData[[Code]:[Item]],2,FALSE)</f>
        <v>Ultrathing V3</v>
      </c>
      <c r="P4474" s="4">
        <f>OrganizedData[[#This Row],[Quantity]]*VLOOKUP(OrganizedData[[#This Row],[Product Code]],ProductData[],4,FALSE)</f>
        <v>1512</v>
      </c>
      <c r="Q4474" s="6">
        <f>OrganizedData[[#This Row],[Total Items Ordered]]*VLOOKUP(OrganizedData[[#This Row],[Product Code]],ProductData[],3,FALSE)</f>
        <v>5125.68</v>
      </c>
      <c r="R44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4869.3959999999997</v>
      </c>
    </row>
    <row r="4475" spans="1:18" x14ac:dyDescent="0.3">
      <c r="A4475" s="2">
        <v>4468</v>
      </c>
      <c r="B4475" s="2" t="s">
        <v>8369</v>
      </c>
      <c r="C4475" s="2" t="s">
        <v>9737</v>
      </c>
      <c r="D4475" s="2" t="s">
        <v>51</v>
      </c>
      <c r="E4475" s="2" t="s">
        <v>16</v>
      </c>
      <c r="F4475" s="2">
        <v>60</v>
      </c>
      <c r="G4475" s="2" t="s">
        <v>9738</v>
      </c>
      <c r="H4475" s="2" t="s">
        <v>48</v>
      </c>
      <c r="I4475" s="2" t="s">
        <v>25</v>
      </c>
      <c r="J4475" s="3">
        <v>44339</v>
      </c>
      <c r="K4475" s="5">
        <f>YEAR(OrganizedData[[#This Row],[Order Date]])</f>
        <v>2021</v>
      </c>
      <c r="L4475" s="7" t="str">
        <f>TEXT(OrganizedData[[#This Row],[Order Date]],"mmm")</f>
        <v>May</v>
      </c>
      <c r="M4475" s="2">
        <v>33</v>
      </c>
      <c r="N4475" s="2" t="s">
        <v>64</v>
      </c>
      <c r="O4475" s="2" t="str">
        <f>VLOOKUP(OrganizedData[[#This Row],[Product Code]],ProductData[[Code]:[Item]],2,FALSE)</f>
        <v>Ultrathing V4</v>
      </c>
      <c r="P4475" s="4">
        <f>OrganizedData[[#This Row],[Quantity]]*VLOOKUP(OrganizedData[[#This Row],[Product Code]],ProductData[],4,FALSE)</f>
        <v>792</v>
      </c>
      <c r="Q4475" s="6">
        <f>OrganizedData[[#This Row],[Total Items Ordered]]*VLOOKUP(OrganizedData[[#This Row],[Product Code]],ProductData[],3,FALSE)</f>
        <v>3160.0800000000004</v>
      </c>
      <c r="R44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3065.2776000000003</v>
      </c>
    </row>
    <row r="4476" spans="1:18" x14ac:dyDescent="0.3">
      <c r="A4476" s="2">
        <v>4469</v>
      </c>
      <c r="B4476" s="2" t="s">
        <v>1234</v>
      </c>
      <c r="C4476" s="2" t="s">
        <v>1340</v>
      </c>
      <c r="D4476" s="2" t="s">
        <v>15</v>
      </c>
      <c r="E4476" s="2" t="s">
        <v>16</v>
      </c>
      <c r="F4476" s="2">
        <v>60</v>
      </c>
      <c r="G4476" s="2" t="s">
        <v>9739</v>
      </c>
      <c r="H4476" s="2" t="s">
        <v>2950</v>
      </c>
      <c r="I4476" s="2" t="s">
        <v>38</v>
      </c>
      <c r="J4476" s="3">
        <v>44796</v>
      </c>
      <c r="K4476" s="5">
        <f>YEAR(OrganizedData[[#This Row],[Order Date]])</f>
        <v>2022</v>
      </c>
      <c r="L4476" s="7" t="str">
        <f>TEXT(OrganizedData[[#This Row],[Order Date]],"mmm")</f>
        <v>Aug</v>
      </c>
      <c r="M4476" s="2">
        <v>24</v>
      </c>
      <c r="N4476" s="2" t="s">
        <v>33</v>
      </c>
      <c r="O4476" s="2" t="str">
        <f>VLOOKUP(OrganizedData[[#This Row],[Product Code]],ProductData[[Code]:[Item]],2,FALSE)</f>
        <v>Megawidget L</v>
      </c>
      <c r="P4476" s="4">
        <f>OrganizedData[[#This Row],[Quantity]]*VLOOKUP(OrganizedData[[#This Row],[Product Code]],ProductData[],4,FALSE)</f>
        <v>576</v>
      </c>
      <c r="Q4476" s="6">
        <f>OrganizedData[[#This Row],[Total Items Ordered]]*VLOOKUP(OrganizedData[[#This Row],[Product Code]],ProductData[],3,FALSE)</f>
        <v>1031.04</v>
      </c>
      <c r="R44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1000.1088</v>
      </c>
    </row>
    <row r="4477" spans="1:18" x14ac:dyDescent="0.3">
      <c r="A4477" s="2">
        <v>4470</v>
      </c>
      <c r="B4477" s="2" t="s">
        <v>1403</v>
      </c>
      <c r="C4477" s="2" t="s">
        <v>3907</v>
      </c>
      <c r="D4477" s="2" t="s">
        <v>28</v>
      </c>
      <c r="E4477" s="2" t="s">
        <v>29</v>
      </c>
      <c r="F4477" s="2">
        <v>90</v>
      </c>
      <c r="G4477" s="2" t="s">
        <v>9740</v>
      </c>
      <c r="H4477" s="2" t="s">
        <v>2536</v>
      </c>
      <c r="I4477" s="2" t="s">
        <v>124</v>
      </c>
      <c r="J4477" s="3">
        <v>44420</v>
      </c>
      <c r="K4477" s="5">
        <f>YEAR(OrganizedData[[#This Row],[Order Date]])</f>
        <v>2021</v>
      </c>
      <c r="L4477" s="7" t="str">
        <f>TEXT(OrganizedData[[#This Row],[Order Date]],"mmm")</f>
        <v>Aug</v>
      </c>
      <c r="M4477" s="2">
        <v>67</v>
      </c>
      <c r="N4477" s="2" t="s">
        <v>80</v>
      </c>
      <c r="O4477" s="2" t="str">
        <f>VLOOKUP(OrganizedData[[#This Row],[Product Code]],ProductData[[Code]:[Item]],2,FALSE)</f>
        <v>Ultrathing V2</v>
      </c>
      <c r="P4477" s="4">
        <f>OrganizedData[[#This Row],[Quantity]]*VLOOKUP(OrganizedData[[#This Row],[Product Code]],ProductData[],4,FALSE)</f>
        <v>1340</v>
      </c>
      <c r="Q4477" s="6">
        <f>OrganizedData[[#This Row],[Total Items Ordered]]*VLOOKUP(OrganizedData[[#This Row],[Product Code]],ProductData[],3,FALSE)</f>
        <v>3953.0000000000005</v>
      </c>
      <c r="R44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3755.3500000000004</v>
      </c>
    </row>
    <row r="4478" spans="1:18" x14ac:dyDescent="0.3">
      <c r="A4478" s="2">
        <v>4471</v>
      </c>
      <c r="B4478" s="2" t="s">
        <v>9741</v>
      </c>
      <c r="C4478" s="2" t="s">
        <v>4777</v>
      </c>
      <c r="D4478" s="2" t="s">
        <v>51</v>
      </c>
      <c r="E4478" s="2" t="s">
        <v>16</v>
      </c>
      <c r="F4478" s="2">
        <v>30</v>
      </c>
      <c r="G4478" s="2" t="s">
        <v>9742</v>
      </c>
      <c r="H4478" s="2" t="s">
        <v>3922</v>
      </c>
      <c r="I4478" s="2" t="s">
        <v>32</v>
      </c>
      <c r="J4478" s="3">
        <v>44130</v>
      </c>
      <c r="K4478" s="5">
        <f>YEAR(OrganizedData[[#This Row],[Order Date]])</f>
        <v>2020</v>
      </c>
      <c r="L4478" s="7" t="str">
        <f>TEXT(OrganizedData[[#This Row],[Order Date]],"mmm")</f>
        <v>Oct</v>
      </c>
      <c r="M4478" s="2">
        <v>61</v>
      </c>
      <c r="N4478" s="2" t="s">
        <v>33</v>
      </c>
      <c r="O4478" s="2" t="str">
        <f>VLOOKUP(OrganizedData[[#This Row],[Product Code]],ProductData[[Code]:[Item]],2,FALSE)</f>
        <v>Megawidget L</v>
      </c>
      <c r="P4478" s="4">
        <f>OrganizedData[[#This Row],[Quantity]]*VLOOKUP(OrganizedData[[#This Row],[Product Code]],ProductData[],4,FALSE)</f>
        <v>1464</v>
      </c>
      <c r="Q4478" s="6">
        <f>OrganizedData[[#This Row],[Total Items Ordered]]*VLOOKUP(OrganizedData[[#This Row],[Product Code]],ProductData[],3,FALSE)</f>
        <v>2620.56</v>
      </c>
      <c r="R44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2489.5319999999997</v>
      </c>
    </row>
    <row r="4479" spans="1:18" x14ac:dyDescent="0.3">
      <c r="A4479" s="2">
        <v>4472</v>
      </c>
      <c r="B4479" s="2" t="s">
        <v>516</v>
      </c>
      <c r="C4479" s="2" t="s">
        <v>2606</v>
      </c>
      <c r="D4479" s="2" t="s">
        <v>28</v>
      </c>
      <c r="E4479" s="2" t="s">
        <v>29</v>
      </c>
      <c r="F4479" s="2">
        <v>30</v>
      </c>
      <c r="G4479" s="2" t="s">
        <v>9743</v>
      </c>
      <c r="H4479" s="2" t="s">
        <v>9744</v>
      </c>
      <c r="I4479" s="2" t="s">
        <v>187</v>
      </c>
      <c r="J4479" s="3">
        <v>44209</v>
      </c>
      <c r="K4479" s="5">
        <f>YEAR(OrganizedData[[#This Row],[Order Date]])</f>
        <v>2021</v>
      </c>
      <c r="L4479" s="7" t="str">
        <f>TEXT(OrganizedData[[#This Row],[Order Date]],"mmm")</f>
        <v>Jan</v>
      </c>
      <c r="M4479" s="2">
        <v>78</v>
      </c>
      <c r="N4479" s="2" t="s">
        <v>54</v>
      </c>
      <c r="O4479" s="2" t="str">
        <f>VLOOKUP(OrganizedData[[#This Row],[Product Code]],ProductData[[Code]:[Item]],2,FALSE)</f>
        <v>Megawidget S</v>
      </c>
      <c r="P4479" s="4">
        <f>OrganizedData[[#This Row],[Quantity]]*VLOOKUP(OrganizedData[[#This Row],[Product Code]],ProductData[],4,FALSE)</f>
        <v>1872</v>
      </c>
      <c r="Q4479" s="6">
        <f>OrganizedData[[#This Row],[Total Items Ordered]]*VLOOKUP(OrganizedData[[#This Row],[Product Code]],ProductData[],3,FALSE)</f>
        <v>1291.6799999999998</v>
      </c>
      <c r="R44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1227.0959999999998</v>
      </c>
    </row>
    <row r="4480" spans="1:18" x14ac:dyDescent="0.3">
      <c r="A4480" s="2">
        <v>4473</v>
      </c>
      <c r="B4480" s="2" t="s">
        <v>9745</v>
      </c>
      <c r="C4480" s="2" t="s">
        <v>344</v>
      </c>
      <c r="D4480" s="2" t="s">
        <v>28</v>
      </c>
      <c r="E4480" s="2" t="s">
        <v>29</v>
      </c>
      <c r="F4480" s="2">
        <v>30</v>
      </c>
      <c r="G4480" s="2" t="s">
        <v>9746</v>
      </c>
      <c r="H4480" s="2" t="s">
        <v>1099</v>
      </c>
      <c r="I4480" s="2" t="s">
        <v>25</v>
      </c>
      <c r="J4480" s="3">
        <v>43998</v>
      </c>
      <c r="K4480" s="5">
        <f>YEAR(OrganizedData[[#This Row],[Order Date]])</f>
        <v>2020</v>
      </c>
      <c r="L4480" s="7" t="str">
        <f>TEXT(OrganizedData[[#This Row],[Order Date]],"mmm")</f>
        <v>Jun</v>
      </c>
      <c r="M4480" s="2">
        <v>85</v>
      </c>
      <c r="N4480" s="2" t="s">
        <v>54</v>
      </c>
      <c r="O4480" s="2" t="str">
        <f>VLOOKUP(OrganizedData[[#This Row],[Product Code]],ProductData[[Code]:[Item]],2,FALSE)</f>
        <v>Megawidget S</v>
      </c>
      <c r="P4480" s="4">
        <f>OrganizedData[[#This Row],[Quantity]]*VLOOKUP(OrganizedData[[#This Row],[Product Code]],ProductData[],4,FALSE)</f>
        <v>2040</v>
      </c>
      <c r="Q4480" s="6">
        <f>OrganizedData[[#This Row],[Total Items Ordered]]*VLOOKUP(OrganizedData[[#This Row],[Product Code]],ProductData[],3,FALSE)</f>
        <v>1407.6</v>
      </c>
      <c r="R44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1337.2199999999998</v>
      </c>
    </row>
    <row r="4481" spans="1:18" x14ac:dyDescent="0.3">
      <c r="A4481" s="2">
        <v>4474</v>
      </c>
      <c r="B4481" s="2" t="s">
        <v>6752</v>
      </c>
      <c r="C4481" s="2" t="s">
        <v>3171</v>
      </c>
      <c r="D4481" s="2" t="s">
        <v>28</v>
      </c>
      <c r="E4481" s="2" t="s">
        <v>29</v>
      </c>
      <c r="F4481" s="2">
        <v>90</v>
      </c>
      <c r="G4481" s="2" t="s">
        <v>9747</v>
      </c>
      <c r="H4481" s="2" t="s">
        <v>6687</v>
      </c>
      <c r="I4481" s="2" t="s">
        <v>32</v>
      </c>
      <c r="J4481" s="3">
        <v>44594</v>
      </c>
      <c r="K4481" s="5">
        <f>YEAR(OrganizedData[[#This Row],[Order Date]])</f>
        <v>2022</v>
      </c>
      <c r="L4481" s="7" t="str">
        <f>TEXT(OrganizedData[[#This Row],[Order Date]],"mmm")</f>
        <v>Feb</v>
      </c>
      <c r="M4481" s="2">
        <v>59</v>
      </c>
      <c r="N4481" s="2" t="s">
        <v>45</v>
      </c>
      <c r="O4481" s="2" t="str">
        <f>VLOOKUP(OrganizedData[[#This Row],[Product Code]],ProductData[[Code]:[Item]],2,FALSE)</f>
        <v>Gigastuff</v>
      </c>
      <c r="P4481" s="4">
        <f>OrganizedData[[#This Row],[Quantity]]*VLOOKUP(OrganizedData[[#This Row],[Product Code]],ProductData[],4,FALSE)</f>
        <v>1062</v>
      </c>
      <c r="Q4481" s="6">
        <f>OrganizedData[[#This Row],[Total Items Ordered]]*VLOOKUP(OrganizedData[[#This Row],[Product Code]],ProductData[],3,FALSE)</f>
        <v>2007.1799999999998</v>
      </c>
      <c r="R44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1906.8209999999997</v>
      </c>
    </row>
    <row r="4482" spans="1:18" x14ac:dyDescent="0.3">
      <c r="A4482" s="2">
        <v>4475</v>
      </c>
      <c r="B4482" s="2" t="s">
        <v>2335</v>
      </c>
      <c r="C4482" s="2" t="s">
        <v>2014</v>
      </c>
      <c r="D4482" s="2" t="s">
        <v>28</v>
      </c>
      <c r="E4482" s="2" t="s">
        <v>29</v>
      </c>
      <c r="F4482" s="2">
        <v>60</v>
      </c>
      <c r="G4482" s="2" t="s">
        <v>9748</v>
      </c>
      <c r="H4482" s="2" t="s">
        <v>9749</v>
      </c>
      <c r="I4482" s="2" t="s">
        <v>38</v>
      </c>
      <c r="J4482" s="3">
        <v>43897</v>
      </c>
      <c r="K4482" s="5">
        <f>YEAR(OrganizedData[[#This Row],[Order Date]])</f>
        <v>2020</v>
      </c>
      <c r="L4482" s="7" t="str">
        <f>TEXT(OrganizedData[[#This Row],[Order Date]],"mmm")</f>
        <v>Mar</v>
      </c>
      <c r="M4482" s="2">
        <v>10</v>
      </c>
      <c r="N4482" s="2" t="s">
        <v>45</v>
      </c>
      <c r="O4482" s="2" t="str">
        <f>VLOOKUP(OrganizedData[[#This Row],[Product Code]],ProductData[[Code]:[Item]],2,FALSE)</f>
        <v>Gigastuff</v>
      </c>
      <c r="P4482" s="4">
        <f>OrganizedData[[#This Row],[Quantity]]*VLOOKUP(OrganizedData[[#This Row],[Product Code]],ProductData[],4,FALSE)</f>
        <v>180</v>
      </c>
      <c r="Q4482" s="6">
        <f>OrganizedData[[#This Row],[Total Items Ordered]]*VLOOKUP(OrganizedData[[#This Row],[Product Code]],ProductData[],3,FALSE)</f>
        <v>340.2</v>
      </c>
      <c r="R44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340.2</v>
      </c>
    </row>
    <row r="4483" spans="1:18" x14ac:dyDescent="0.3">
      <c r="A4483" s="2">
        <v>4476</v>
      </c>
      <c r="B4483" s="2" t="s">
        <v>555</v>
      </c>
      <c r="C4483" s="2" t="s">
        <v>9488</v>
      </c>
      <c r="D4483" s="2" t="s">
        <v>28</v>
      </c>
      <c r="E4483" s="2" t="s">
        <v>29</v>
      </c>
      <c r="F4483" s="2">
        <v>30</v>
      </c>
      <c r="G4483" s="2" t="s">
        <v>9750</v>
      </c>
      <c r="H4483" s="2" t="s">
        <v>1261</v>
      </c>
      <c r="I4483" s="2" t="s">
        <v>32</v>
      </c>
      <c r="J4483" s="3">
        <v>43988</v>
      </c>
      <c r="K4483" s="5">
        <f>YEAR(OrganizedData[[#This Row],[Order Date]])</f>
        <v>2020</v>
      </c>
      <c r="L4483" s="7" t="str">
        <f>TEXT(OrganizedData[[#This Row],[Order Date]],"mmm")</f>
        <v>Jun</v>
      </c>
      <c r="M4483" s="2">
        <v>42</v>
      </c>
      <c r="N4483" s="2" t="s">
        <v>20</v>
      </c>
      <c r="O4483" s="2" t="str">
        <f>VLOOKUP(OrganizedData[[#This Row],[Product Code]],ProductData[[Code]:[Item]],2,FALSE)</f>
        <v>Hyperwotsit</v>
      </c>
      <c r="P4483" s="4">
        <f>OrganizedData[[#This Row],[Quantity]]*VLOOKUP(OrganizedData[[#This Row],[Product Code]],ProductData[],4,FALSE)</f>
        <v>840</v>
      </c>
      <c r="Q4483" s="6">
        <f>OrganizedData[[#This Row],[Total Items Ordered]]*VLOOKUP(OrganizedData[[#This Row],[Product Code]],ProductData[],3,FALSE)</f>
        <v>1688.3999999999999</v>
      </c>
      <c r="R44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1637.7479999999998</v>
      </c>
    </row>
    <row r="4484" spans="1:18" x14ac:dyDescent="0.3">
      <c r="A4484" s="2">
        <v>4477</v>
      </c>
      <c r="B4484" s="2" t="s">
        <v>7772</v>
      </c>
      <c r="C4484" s="2" t="s">
        <v>625</v>
      </c>
      <c r="D4484" s="2" t="s">
        <v>92</v>
      </c>
      <c r="E4484" s="2" t="s">
        <v>16</v>
      </c>
      <c r="F4484" s="2">
        <v>60</v>
      </c>
      <c r="G4484" s="2" t="s">
        <v>9751</v>
      </c>
      <c r="H4484" s="2" t="s">
        <v>1948</v>
      </c>
      <c r="I4484" s="2" t="s">
        <v>25</v>
      </c>
      <c r="J4484" s="3">
        <v>44657</v>
      </c>
      <c r="K4484" s="5">
        <f>YEAR(OrganizedData[[#This Row],[Order Date]])</f>
        <v>2022</v>
      </c>
      <c r="L4484" s="7" t="str">
        <f>TEXT(OrganizedData[[#This Row],[Order Date]],"mmm")</f>
        <v>Apr</v>
      </c>
      <c r="M4484" s="2">
        <v>33</v>
      </c>
      <c r="N4484" s="2" t="s">
        <v>45</v>
      </c>
      <c r="O4484" s="2" t="str">
        <f>VLOOKUP(OrganizedData[[#This Row],[Product Code]],ProductData[[Code]:[Item]],2,FALSE)</f>
        <v>Gigastuff</v>
      </c>
      <c r="P4484" s="4">
        <f>OrganizedData[[#This Row],[Quantity]]*VLOOKUP(OrganizedData[[#This Row],[Product Code]],ProductData[],4,FALSE)</f>
        <v>594</v>
      </c>
      <c r="Q4484" s="6">
        <f>OrganizedData[[#This Row],[Total Items Ordered]]*VLOOKUP(OrganizedData[[#This Row],[Product Code]],ProductData[],3,FALSE)</f>
        <v>1122.6599999999999</v>
      </c>
      <c r="R44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4485" spans="1:18" x14ac:dyDescent="0.3">
      <c r="A4485" s="2">
        <v>4478</v>
      </c>
      <c r="B4485" s="2" t="s">
        <v>8124</v>
      </c>
      <c r="C4485" s="2" t="s">
        <v>1617</v>
      </c>
      <c r="D4485" s="2" t="s">
        <v>28</v>
      </c>
      <c r="E4485" s="2" t="s">
        <v>29</v>
      </c>
      <c r="F4485" s="2">
        <v>90</v>
      </c>
      <c r="G4485" s="2" t="s">
        <v>9751</v>
      </c>
      <c r="H4485" s="2" t="s">
        <v>2745</v>
      </c>
      <c r="I4485" s="2" t="s">
        <v>32</v>
      </c>
      <c r="J4485" s="3">
        <v>44574</v>
      </c>
      <c r="K4485" s="5">
        <f>YEAR(OrganizedData[[#This Row],[Order Date]])</f>
        <v>2022</v>
      </c>
      <c r="L4485" s="7" t="str">
        <f>TEXT(OrganizedData[[#This Row],[Order Date]],"mmm")</f>
        <v>Jan</v>
      </c>
      <c r="M4485" s="2">
        <v>16</v>
      </c>
      <c r="N4485" s="2" t="s">
        <v>39</v>
      </c>
      <c r="O4485" s="2" t="str">
        <f>VLOOKUP(OrganizedData[[#This Row],[Product Code]],ProductData[[Code]:[Item]],2,FALSE)</f>
        <v>Ultrathing V1</v>
      </c>
      <c r="P4485" s="4">
        <f>OrganizedData[[#This Row],[Quantity]]*VLOOKUP(OrganizedData[[#This Row],[Product Code]],ProductData[],4,FALSE)</f>
        <v>272</v>
      </c>
      <c r="Q4485" s="6">
        <f>OrganizedData[[#This Row],[Total Items Ordered]]*VLOOKUP(OrganizedData[[#This Row],[Product Code]],ProductData[],3,FALSE)</f>
        <v>486.88</v>
      </c>
      <c r="R44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486.88</v>
      </c>
    </row>
    <row r="4486" spans="1:18" x14ac:dyDescent="0.3">
      <c r="A4486" s="2">
        <v>4479</v>
      </c>
      <c r="B4486" s="2" t="s">
        <v>5060</v>
      </c>
      <c r="C4486" s="2" t="s">
        <v>9752</v>
      </c>
      <c r="D4486" s="2" t="s">
        <v>28</v>
      </c>
      <c r="E4486" s="2" t="s">
        <v>29</v>
      </c>
      <c r="F4486" s="2">
        <v>90</v>
      </c>
      <c r="G4486" s="2" t="s">
        <v>9753</v>
      </c>
      <c r="H4486" s="2" t="s">
        <v>6293</v>
      </c>
      <c r="I4486" s="2" t="s">
        <v>32</v>
      </c>
      <c r="J4486" s="3">
        <v>43908</v>
      </c>
      <c r="K4486" s="5">
        <f>YEAR(OrganizedData[[#This Row],[Order Date]])</f>
        <v>2020</v>
      </c>
      <c r="L4486" s="7" t="str">
        <f>TEXT(OrganizedData[[#This Row],[Order Date]],"mmm")</f>
        <v>Mar</v>
      </c>
      <c r="M4486" s="2">
        <v>65</v>
      </c>
      <c r="N4486" s="2" t="s">
        <v>80</v>
      </c>
      <c r="O4486" s="2" t="str">
        <f>VLOOKUP(OrganizedData[[#This Row],[Product Code]],ProductData[[Code]:[Item]],2,FALSE)</f>
        <v>Ultrathing V2</v>
      </c>
      <c r="P4486" s="4">
        <f>OrganizedData[[#This Row],[Quantity]]*VLOOKUP(OrganizedData[[#This Row],[Product Code]],ProductData[],4,FALSE)</f>
        <v>1300</v>
      </c>
      <c r="Q4486" s="6">
        <f>OrganizedData[[#This Row],[Total Items Ordered]]*VLOOKUP(OrganizedData[[#This Row],[Product Code]],ProductData[],3,FALSE)</f>
        <v>3835.0000000000005</v>
      </c>
      <c r="R44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3643.2500000000005</v>
      </c>
    </row>
    <row r="4487" spans="1:18" x14ac:dyDescent="0.3">
      <c r="A4487" s="2">
        <v>4480</v>
      </c>
      <c r="B4487" s="2" t="s">
        <v>5262</v>
      </c>
      <c r="C4487" s="2" t="s">
        <v>1641</v>
      </c>
      <c r="D4487" s="2" t="s">
        <v>28</v>
      </c>
      <c r="E4487" s="2" t="s">
        <v>29</v>
      </c>
      <c r="F4487" s="2">
        <v>60</v>
      </c>
      <c r="G4487" s="2" t="s">
        <v>9754</v>
      </c>
      <c r="H4487" s="2" t="s">
        <v>3635</v>
      </c>
      <c r="I4487" s="2" t="s">
        <v>1157</v>
      </c>
      <c r="J4487" s="3">
        <v>43999</v>
      </c>
      <c r="K4487" s="5">
        <f>YEAR(OrganizedData[[#This Row],[Order Date]])</f>
        <v>2020</v>
      </c>
      <c r="L4487" s="7" t="str">
        <f>TEXT(OrganizedData[[#This Row],[Order Date]],"mmm")</f>
        <v>Jun</v>
      </c>
      <c r="M4487" s="2">
        <v>13</v>
      </c>
      <c r="N4487" s="2" t="s">
        <v>54</v>
      </c>
      <c r="O4487" s="2" t="str">
        <f>VLOOKUP(OrganizedData[[#This Row],[Product Code]],ProductData[[Code]:[Item]],2,FALSE)</f>
        <v>Megawidget S</v>
      </c>
      <c r="P4487" s="4">
        <f>OrganizedData[[#This Row],[Quantity]]*VLOOKUP(OrganizedData[[#This Row],[Product Code]],ProductData[],4,FALSE)</f>
        <v>312</v>
      </c>
      <c r="Q4487" s="6">
        <f>OrganizedData[[#This Row],[Total Items Ordered]]*VLOOKUP(OrganizedData[[#This Row],[Product Code]],ProductData[],3,FALSE)</f>
        <v>215.27999999999997</v>
      </c>
      <c r="R44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215.27999999999997</v>
      </c>
    </row>
    <row r="4488" spans="1:18" x14ac:dyDescent="0.3">
      <c r="A4488" s="2">
        <v>4481</v>
      </c>
      <c r="B4488" s="2" t="s">
        <v>2088</v>
      </c>
      <c r="C4488" s="2" t="s">
        <v>4464</v>
      </c>
      <c r="D4488" s="2" t="s">
        <v>28</v>
      </c>
      <c r="E4488" s="2" t="s">
        <v>29</v>
      </c>
      <c r="F4488" s="2">
        <v>60</v>
      </c>
      <c r="G4488" s="2" t="s">
        <v>9755</v>
      </c>
      <c r="H4488" s="2" t="s">
        <v>3826</v>
      </c>
      <c r="I4488" s="2" t="s">
        <v>20</v>
      </c>
      <c r="J4488" s="3">
        <v>44300</v>
      </c>
      <c r="K4488" s="5">
        <f>YEAR(OrganizedData[[#This Row],[Order Date]])</f>
        <v>2021</v>
      </c>
      <c r="L4488" s="7" t="str">
        <f>TEXT(OrganizedData[[#This Row],[Order Date]],"mmm")</f>
        <v>Apr</v>
      </c>
      <c r="M4488" s="2">
        <v>69</v>
      </c>
      <c r="N4488" s="2" t="s">
        <v>39</v>
      </c>
      <c r="O4488" s="2" t="str">
        <f>VLOOKUP(OrganizedData[[#This Row],[Product Code]],ProductData[[Code]:[Item]],2,FALSE)</f>
        <v>Ultrathing V1</v>
      </c>
      <c r="P4488" s="4">
        <f>OrganizedData[[#This Row],[Quantity]]*VLOOKUP(OrganizedData[[#This Row],[Product Code]],ProductData[],4,FALSE)</f>
        <v>1173</v>
      </c>
      <c r="Q4488" s="6">
        <f>OrganizedData[[#This Row],[Total Items Ordered]]*VLOOKUP(OrganizedData[[#This Row],[Product Code]],ProductData[],3,FALSE)</f>
        <v>2099.67</v>
      </c>
      <c r="R44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4489" spans="1:18" x14ac:dyDescent="0.3">
      <c r="A4489" s="2">
        <v>4482</v>
      </c>
      <c r="B4489" s="2" t="s">
        <v>9756</v>
      </c>
      <c r="C4489" s="2" t="s">
        <v>5541</v>
      </c>
      <c r="D4489" s="2" t="s">
        <v>15</v>
      </c>
      <c r="E4489" s="2" t="s">
        <v>16</v>
      </c>
      <c r="F4489" s="2">
        <v>60</v>
      </c>
      <c r="G4489" s="2" t="s">
        <v>9755</v>
      </c>
      <c r="H4489" s="2" t="s">
        <v>3446</v>
      </c>
      <c r="I4489" s="2" t="s">
        <v>32</v>
      </c>
      <c r="J4489" s="3">
        <v>44315</v>
      </c>
      <c r="K4489" s="5">
        <f>YEAR(OrganizedData[[#This Row],[Order Date]])</f>
        <v>2021</v>
      </c>
      <c r="L4489" s="7" t="str">
        <f>TEXT(OrganizedData[[#This Row],[Order Date]],"mmm")</f>
        <v>Apr</v>
      </c>
      <c r="M4489" s="2">
        <v>45</v>
      </c>
      <c r="N4489" s="2" t="s">
        <v>70</v>
      </c>
      <c r="O4489" s="2" t="str">
        <f>VLOOKUP(OrganizedData[[#This Row],[Product Code]],ProductData[[Code]:[Item]],2,FALSE)</f>
        <v>Megawidget M</v>
      </c>
      <c r="P4489" s="4">
        <f>OrganizedData[[#This Row],[Quantity]]*VLOOKUP(OrganizedData[[#This Row],[Product Code]],ProductData[],4,FALSE)</f>
        <v>1080</v>
      </c>
      <c r="Q4489" s="6">
        <f>OrganizedData[[#This Row],[Total Items Ordered]]*VLOOKUP(OrganizedData[[#This Row],[Product Code]],ProductData[],3,FALSE)</f>
        <v>1393.2</v>
      </c>
      <c r="R44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4490" spans="1:18" x14ac:dyDescent="0.3">
      <c r="A4490" s="2">
        <v>4483</v>
      </c>
      <c r="B4490" s="2" t="s">
        <v>9757</v>
      </c>
      <c r="C4490" s="2" t="s">
        <v>3074</v>
      </c>
      <c r="D4490" s="2" t="s">
        <v>15</v>
      </c>
      <c r="E4490" s="2" t="s">
        <v>16</v>
      </c>
      <c r="F4490" s="2">
        <v>90</v>
      </c>
      <c r="G4490" s="2" t="s">
        <v>9758</v>
      </c>
      <c r="H4490" s="2" t="s">
        <v>603</v>
      </c>
      <c r="I4490" s="2" t="s">
        <v>187</v>
      </c>
      <c r="J4490" s="3">
        <v>44764</v>
      </c>
      <c r="K4490" s="5">
        <f>YEAR(OrganizedData[[#This Row],[Order Date]])</f>
        <v>2022</v>
      </c>
      <c r="L4490" s="7" t="str">
        <f>TEXT(OrganizedData[[#This Row],[Order Date]],"mmm")</f>
        <v>Jul</v>
      </c>
      <c r="M4490" s="2">
        <v>66</v>
      </c>
      <c r="N4490" s="2" t="s">
        <v>80</v>
      </c>
      <c r="O4490" s="2" t="str">
        <f>VLOOKUP(OrganizedData[[#This Row],[Product Code]],ProductData[[Code]:[Item]],2,FALSE)</f>
        <v>Ultrathing V2</v>
      </c>
      <c r="P4490" s="4">
        <f>OrganizedData[[#This Row],[Quantity]]*VLOOKUP(OrganizedData[[#This Row],[Product Code]],ProductData[],4,FALSE)</f>
        <v>1320</v>
      </c>
      <c r="Q4490" s="6">
        <f>OrganizedData[[#This Row],[Total Items Ordered]]*VLOOKUP(OrganizedData[[#This Row],[Product Code]],ProductData[],3,FALSE)</f>
        <v>3894.0000000000005</v>
      </c>
      <c r="R44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3699.3</v>
      </c>
    </row>
    <row r="4491" spans="1:18" x14ac:dyDescent="0.3">
      <c r="A4491" s="2">
        <v>4484</v>
      </c>
      <c r="B4491" s="2" t="s">
        <v>2584</v>
      </c>
      <c r="C4491" s="2" t="s">
        <v>6783</v>
      </c>
      <c r="D4491" s="2" t="s">
        <v>28</v>
      </c>
      <c r="E4491" s="2" t="s">
        <v>29</v>
      </c>
      <c r="F4491" s="2">
        <v>60</v>
      </c>
      <c r="G4491" s="2" t="s">
        <v>9759</v>
      </c>
      <c r="H4491" s="2" t="s">
        <v>4739</v>
      </c>
      <c r="I4491" s="2" t="s">
        <v>59</v>
      </c>
      <c r="J4491" s="3">
        <v>44579</v>
      </c>
      <c r="K4491" s="5">
        <f>YEAR(OrganizedData[[#This Row],[Order Date]])</f>
        <v>2022</v>
      </c>
      <c r="L4491" s="7" t="str">
        <f>TEXT(OrganizedData[[#This Row],[Order Date]],"mmm")</f>
        <v>Jan</v>
      </c>
      <c r="M4491" s="2">
        <v>55</v>
      </c>
      <c r="N4491" s="2" t="s">
        <v>39</v>
      </c>
      <c r="O4491" s="2" t="str">
        <f>VLOOKUP(OrganizedData[[#This Row],[Product Code]],ProductData[[Code]:[Item]],2,FALSE)</f>
        <v>Ultrathing V1</v>
      </c>
      <c r="P4491" s="4">
        <f>OrganizedData[[#This Row],[Quantity]]*VLOOKUP(OrganizedData[[#This Row],[Product Code]],ProductData[],4,FALSE)</f>
        <v>935</v>
      </c>
      <c r="Q4491" s="6">
        <f>OrganizedData[[#This Row],[Total Items Ordered]]*VLOOKUP(OrganizedData[[#This Row],[Product Code]],ProductData[],3,FALSE)</f>
        <v>1673.65</v>
      </c>
      <c r="R44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4492" spans="1:18" x14ac:dyDescent="0.3">
      <c r="A4492" s="2">
        <v>4485</v>
      </c>
      <c r="B4492" s="2" t="s">
        <v>9760</v>
      </c>
      <c r="C4492" s="2" t="s">
        <v>7801</v>
      </c>
      <c r="D4492" s="2" t="s">
        <v>51</v>
      </c>
      <c r="E4492" s="2" t="s">
        <v>16</v>
      </c>
      <c r="F4492" s="2">
        <v>60</v>
      </c>
      <c r="G4492" s="2" t="s">
        <v>9761</v>
      </c>
      <c r="H4492" s="2" t="s">
        <v>2418</v>
      </c>
      <c r="I4492" s="2" t="s">
        <v>32</v>
      </c>
      <c r="J4492" s="3">
        <v>44257</v>
      </c>
      <c r="K4492" s="5">
        <f>YEAR(OrganizedData[[#This Row],[Order Date]])</f>
        <v>2021</v>
      </c>
      <c r="L4492" s="7" t="str">
        <f>TEXT(OrganizedData[[#This Row],[Order Date]],"mmm")</f>
        <v>Mar</v>
      </c>
      <c r="M4492" s="2">
        <v>45</v>
      </c>
      <c r="N4492" s="2" t="s">
        <v>70</v>
      </c>
      <c r="O4492" s="2" t="str">
        <f>VLOOKUP(OrganizedData[[#This Row],[Product Code]],ProductData[[Code]:[Item]],2,FALSE)</f>
        <v>Megawidget M</v>
      </c>
      <c r="P4492" s="4">
        <f>OrganizedData[[#This Row],[Quantity]]*VLOOKUP(OrganizedData[[#This Row],[Product Code]],ProductData[],4,FALSE)</f>
        <v>1080</v>
      </c>
      <c r="Q4492" s="6">
        <f>OrganizedData[[#This Row],[Total Items Ordered]]*VLOOKUP(OrganizedData[[#This Row],[Product Code]],ProductData[],3,FALSE)</f>
        <v>1393.2</v>
      </c>
      <c r="R44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4493" spans="1:18" x14ac:dyDescent="0.3">
      <c r="A4493" s="2">
        <v>4486</v>
      </c>
      <c r="B4493" s="2" t="s">
        <v>3835</v>
      </c>
      <c r="C4493" s="2" t="s">
        <v>4828</v>
      </c>
      <c r="D4493" s="2" t="s">
        <v>28</v>
      </c>
      <c r="E4493" s="2" t="s">
        <v>29</v>
      </c>
      <c r="F4493" s="2">
        <v>90</v>
      </c>
      <c r="G4493" s="2" t="s">
        <v>9762</v>
      </c>
      <c r="H4493" s="2" t="s">
        <v>3433</v>
      </c>
      <c r="I4493" s="2" t="s">
        <v>1199</v>
      </c>
      <c r="J4493" s="3">
        <v>44843</v>
      </c>
      <c r="K4493" s="5">
        <f>YEAR(OrganizedData[[#This Row],[Order Date]])</f>
        <v>2022</v>
      </c>
      <c r="L4493" s="7" t="str">
        <f>TEXT(OrganizedData[[#This Row],[Order Date]],"mmm")</f>
        <v>Oct</v>
      </c>
      <c r="M4493" s="2">
        <v>92</v>
      </c>
      <c r="N4493" s="2" t="s">
        <v>33</v>
      </c>
      <c r="O4493" s="2" t="str">
        <f>VLOOKUP(OrganizedData[[#This Row],[Product Code]],ProductData[[Code]:[Item]],2,FALSE)</f>
        <v>Megawidget L</v>
      </c>
      <c r="P4493" s="4">
        <f>OrganizedData[[#This Row],[Quantity]]*VLOOKUP(OrganizedData[[#This Row],[Product Code]],ProductData[],4,FALSE)</f>
        <v>2208</v>
      </c>
      <c r="Q4493" s="6">
        <f>OrganizedData[[#This Row],[Total Items Ordered]]*VLOOKUP(OrganizedData[[#This Row],[Product Code]],ProductData[],3,FALSE)</f>
        <v>3952.32</v>
      </c>
      <c r="R44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3754.7040000000002</v>
      </c>
    </row>
    <row r="4494" spans="1:18" x14ac:dyDescent="0.3">
      <c r="A4494" s="2">
        <v>4487</v>
      </c>
      <c r="B4494" s="2" t="s">
        <v>1281</v>
      </c>
      <c r="C4494" s="2" t="s">
        <v>4681</v>
      </c>
      <c r="D4494" s="2" t="s">
        <v>28</v>
      </c>
      <c r="E4494" s="2" t="s">
        <v>29</v>
      </c>
      <c r="F4494" s="2">
        <v>60</v>
      </c>
      <c r="G4494" s="2" t="s">
        <v>9763</v>
      </c>
      <c r="H4494" s="2" t="s">
        <v>1292</v>
      </c>
      <c r="I4494" s="2" t="s">
        <v>32</v>
      </c>
      <c r="J4494" s="3">
        <v>44195</v>
      </c>
      <c r="K4494" s="5">
        <f>YEAR(OrganizedData[[#This Row],[Order Date]])</f>
        <v>2020</v>
      </c>
      <c r="L4494" s="7" t="str">
        <f>TEXT(OrganizedData[[#This Row],[Order Date]],"mmm")</f>
        <v>Dec</v>
      </c>
      <c r="M4494" s="2">
        <v>68</v>
      </c>
      <c r="N4494" s="2" t="s">
        <v>80</v>
      </c>
      <c r="O4494" s="2" t="str">
        <f>VLOOKUP(OrganizedData[[#This Row],[Product Code]],ProductData[[Code]:[Item]],2,FALSE)</f>
        <v>Ultrathing V2</v>
      </c>
      <c r="P4494" s="4">
        <f>OrganizedData[[#This Row],[Quantity]]*VLOOKUP(OrganizedData[[#This Row],[Product Code]],ProductData[],4,FALSE)</f>
        <v>1360</v>
      </c>
      <c r="Q4494" s="6">
        <f>OrganizedData[[#This Row],[Total Items Ordered]]*VLOOKUP(OrganizedData[[#This Row],[Product Code]],ProductData[],3,FALSE)</f>
        <v>4012.0000000000005</v>
      </c>
      <c r="R44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3811.4</v>
      </c>
    </row>
    <row r="4495" spans="1:18" x14ac:dyDescent="0.3">
      <c r="A4495" s="2">
        <v>4488</v>
      </c>
      <c r="B4495" s="2" t="s">
        <v>8142</v>
      </c>
      <c r="C4495" s="2" t="s">
        <v>6865</v>
      </c>
      <c r="D4495" s="2" t="s">
        <v>15</v>
      </c>
      <c r="E4495" s="2" t="s">
        <v>16</v>
      </c>
      <c r="F4495" s="2">
        <v>30</v>
      </c>
      <c r="G4495" s="2" t="s">
        <v>9764</v>
      </c>
      <c r="H4495" s="2" t="s">
        <v>1537</v>
      </c>
      <c r="I4495" s="2" t="s">
        <v>294</v>
      </c>
      <c r="J4495" s="3">
        <v>44243</v>
      </c>
      <c r="K4495" s="5">
        <f>YEAR(OrganizedData[[#This Row],[Order Date]])</f>
        <v>2021</v>
      </c>
      <c r="L4495" s="7" t="str">
        <f>TEXT(OrganizedData[[#This Row],[Order Date]],"mmm")</f>
        <v>Feb</v>
      </c>
      <c r="M4495" s="2">
        <v>28</v>
      </c>
      <c r="N4495" s="2" t="s">
        <v>45</v>
      </c>
      <c r="O4495" s="2" t="str">
        <f>VLOOKUP(OrganizedData[[#This Row],[Product Code]],ProductData[[Code]:[Item]],2,FALSE)</f>
        <v>Gigastuff</v>
      </c>
      <c r="P4495" s="4">
        <f>OrganizedData[[#This Row],[Quantity]]*VLOOKUP(OrganizedData[[#This Row],[Product Code]],ProductData[],4,FALSE)</f>
        <v>504</v>
      </c>
      <c r="Q4495" s="6">
        <f>OrganizedData[[#This Row],[Total Items Ordered]]*VLOOKUP(OrganizedData[[#This Row],[Product Code]],ProductData[],3,FALSE)</f>
        <v>952.56</v>
      </c>
      <c r="R44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923.9831999999999</v>
      </c>
    </row>
    <row r="4496" spans="1:18" x14ac:dyDescent="0.3">
      <c r="A4496" s="2">
        <v>4489</v>
      </c>
      <c r="B4496" s="2" t="s">
        <v>4591</v>
      </c>
      <c r="C4496" s="2" t="s">
        <v>3700</v>
      </c>
      <c r="D4496" s="2" t="s">
        <v>621</v>
      </c>
      <c r="E4496" s="2" t="s">
        <v>29</v>
      </c>
      <c r="F4496" s="2">
        <v>60</v>
      </c>
      <c r="G4496" s="2" t="s">
        <v>9765</v>
      </c>
      <c r="H4496" s="2" t="s">
        <v>4517</v>
      </c>
      <c r="I4496" s="2" t="s">
        <v>173</v>
      </c>
      <c r="J4496" s="3">
        <v>43916</v>
      </c>
      <c r="K4496" s="5">
        <f>YEAR(OrganizedData[[#This Row],[Order Date]])</f>
        <v>2020</v>
      </c>
      <c r="L4496" s="7" t="str">
        <f>TEXT(OrganizedData[[#This Row],[Order Date]],"mmm")</f>
        <v>Mar</v>
      </c>
      <c r="M4496" s="2">
        <v>12</v>
      </c>
      <c r="N4496" s="2" t="s">
        <v>39</v>
      </c>
      <c r="O4496" s="2" t="str">
        <f>VLOOKUP(OrganizedData[[#This Row],[Product Code]],ProductData[[Code]:[Item]],2,FALSE)</f>
        <v>Ultrathing V1</v>
      </c>
      <c r="P4496" s="4">
        <f>OrganizedData[[#This Row],[Quantity]]*VLOOKUP(OrganizedData[[#This Row],[Product Code]],ProductData[],4,FALSE)</f>
        <v>204</v>
      </c>
      <c r="Q4496" s="6">
        <f>OrganizedData[[#This Row],[Total Items Ordered]]*VLOOKUP(OrganizedData[[#This Row],[Product Code]],ProductData[],3,FALSE)</f>
        <v>365.16</v>
      </c>
      <c r="R44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4497" spans="1:18" x14ac:dyDescent="0.3">
      <c r="A4497" s="2">
        <v>4490</v>
      </c>
      <c r="B4497" s="2" t="s">
        <v>6151</v>
      </c>
      <c r="C4497" s="2" t="s">
        <v>968</v>
      </c>
      <c r="D4497" s="2" t="s">
        <v>92</v>
      </c>
      <c r="E4497" s="2" t="s">
        <v>29</v>
      </c>
      <c r="F4497" s="2">
        <v>90</v>
      </c>
      <c r="G4497" s="2" t="s">
        <v>9766</v>
      </c>
      <c r="H4497" s="2" t="s">
        <v>4090</v>
      </c>
      <c r="I4497" s="2" t="s">
        <v>32</v>
      </c>
      <c r="J4497" s="3">
        <v>43880</v>
      </c>
      <c r="K4497" s="5">
        <f>YEAR(OrganizedData[[#This Row],[Order Date]])</f>
        <v>2020</v>
      </c>
      <c r="L4497" s="7" t="str">
        <f>TEXT(OrganizedData[[#This Row],[Order Date]],"mmm")</f>
        <v>Feb</v>
      </c>
      <c r="M4497" s="2">
        <v>47</v>
      </c>
      <c r="N4497" s="2" t="s">
        <v>45</v>
      </c>
      <c r="O4497" s="2" t="str">
        <f>VLOOKUP(OrganizedData[[#This Row],[Product Code]],ProductData[[Code]:[Item]],2,FALSE)</f>
        <v>Gigastuff</v>
      </c>
      <c r="P4497" s="4">
        <f>OrganizedData[[#This Row],[Quantity]]*VLOOKUP(OrganizedData[[#This Row],[Product Code]],ProductData[],4,FALSE)</f>
        <v>846</v>
      </c>
      <c r="Q4497" s="6">
        <f>OrganizedData[[#This Row],[Total Items Ordered]]*VLOOKUP(OrganizedData[[#This Row],[Product Code]],ProductData[],3,FALSE)</f>
        <v>1598.9399999999998</v>
      </c>
      <c r="R44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4498" spans="1:18" x14ac:dyDescent="0.3">
      <c r="A4498" s="2">
        <v>4491</v>
      </c>
      <c r="B4498" s="2" t="s">
        <v>5755</v>
      </c>
      <c r="C4498" s="2" t="s">
        <v>135</v>
      </c>
      <c r="D4498" s="2" t="s">
        <v>28</v>
      </c>
      <c r="E4498" s="2" t="s">
        <v>29</v>
      </c>
      <c r="F4498" s="2">
        <v>30</v>
      </c>
      <c r="G4498" s="2" t="s">
        <v>9767</v>
      </c>
      <c r="H4498" s="2" t="s">
        <v>4947</v>
      </c>
      <c r="I4498" s="2" t="s">
        <v>32</v>
      </c>
      <c r="J4498" s="3">
        <v>44079</v>
      </c>
      <c r="K4498" s="5">
        <f>YEAR(OrganizedData[[#This Row],[Order Date]])</f>
        <v>2020</v>
      </c>
      <c r="L4498" s="7" t="str">
        <f>TEXT(OrganizedData[[#This Row],[Order Date]],"mmm")</f>
        <v>Sep</v>
      </c>
      <c r="M4498" s="2">
        <v>4</v>
      </c>
      <c r="N4498" s="2" t="s">
        <v>80</v>
      </c>
      <c r="O4498" s="2" t="str">
        <f>VLOOKUP(OrganizedData[[#This Row],[Product Code]],ProductData[[Code]:[Item]],2,FALSE)</f>
        <v>Ultrathing V2</v>
      </c>
      <c r="P4498" s="4">
        <f>OrganizedData[[#This Row],[Quantity]]*VLOOKUP(OrganizedData[[#This Row],[Product Code]],ProductData[],4,FALSE)</f>
        <v>80</v>
      </c>
      <c r="Q4498" s="6">
        <f>OrganizedData[[#This Row],[Total Items Ordered]]*VLOOKUP(OrganizedData[[#This Row],[Product Code]],ProductData[],3,FALSE)</f>
        <v>236</v>
      </c>
      <c r="R44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4499" spans="1:18" x14ac:dyDescent="0.3">
      <c r="A4499" s="2">
        <v>4492</v>
      </c>
      <c r="B4499" s="2" t="s">
        <v>9768</v>
      </c>
      <c r="C4499" s="2" t="s">
        <v>9769</v>
      </c>
      <c r="D4499" s="2" t="s">
        <v>15</v>
      </c>
      <c r="E4499" s="2" t="s">
        <v>16</v>
      </c>
      <c r="F4499" s="2">
        <v>30</v>
      </c>
      <c r="G4499" s="2" t="s">
        <v>9770</v>
      </c>
      <c r="H4499" s="2" t="s">
        <v>266</v>
      </c>
      <c r="I4499" s="2" t="s">
        <v>32</v>
      </c>
      <c r="J4499" s="3">
        <v>43995</v>
      </c>
      <c r="K4499" s="5">
        <f>YEAR(OrganizedData[[#This Row],[Order Date]])</f>
        <v>2020</v>
      </c>
      <c r="L4499" s="7" t="str">
        <f>TEXT(OrganizedData[[#This Row],[Order Date]],"mmm")</f>
        <v>Jun</v>
      </c>
      <c r="M4499" s="2">
        <v>23</v>
      </c>
      <c r="N4499" s="2" t="s">
        <v>70</v>
      </c>
      <c r="O4499" s="2" t="str">
        <f>VLOOKUP(OrganizedData[[#This Row],[Product Code]],ProductData[[Code]:[Item]],2,FALSE)</f>
        <v>Megawidget M</v>
      </c>
      <c r="P4499" s="4">
        <f>OrganizedData[[#This Row],[Quantity]]*VLOOKUP(OrganizedData[[#This Row],[Product Code]],ProductData[],4,FALSE)</f>
        <v>552</v>
      </c>
      <c r="Q4499" s="6">
        <f>OrganizedData[[#This Row],[Total Items Ordered]]*VLOOKUP(OrganizedData[[#This Row],[Product Code]],ProductData[],3,FALSE)</f>
        <v>712.08</v>
      </c>
      <c r="R44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4500" spans="1:18" x14ac:dyDescent="0.3">
      <c r="A4500" s="2">
        <v>4493</v>
      </c>
      <c r="B4500" s="2" t="s">
        <v>1243</v>
      </c>
      <c r="C4500" s="2" t="s">
        <v>9771</v>
      </c>
      <c r="D4500" s="2" t="s">
        <v>28</v>
      </c>
      <c r="E4500" s="2" t="s">
        <v>29</v>
      </c>
      <c r="F4500" s="2">
        <v>90</v>
      </c>
      <c r="G4500" s="2" t="s">
        <v>9772</v>
      </c>
      <c r="H4500" s="2" t="s">
        <v>1973</v>
      </c>
      <c r="I4500" s="2" t="s">
        <v>110</v>
      </c>
      <c r="J4500" s="3">
        <v>44657</v>
      </c>
      <c r="K4500" s="5">
        <f>YEAR(OrganizedData[[#This Row],[Order Date]])</f>
        <v>2022</v>
      </c>
      <c r="L4500" s="7" t="str">
        <f>TEXT(OrganizedData[[#This Row],[Order Date]],"mmm")</f>
        <v>Apr</v>
      </c>
      <c r="M4500" s="2">
        <v>32</v>
      </c>
      <c r="N4500" s="2" t="s">
        <v>54</v>
      </c>
      <c r="O4500" s="2" t="str">
        <f>VLOOKUP(OrganizedData[[#This Row],[Product Code]],ProductData[[Code]:[Item]],2,FALSE)</f>
        <v>Megawidget S</v>
      </c>
      <c r="P4500" s="4">
        <f>OrganizedData[[#This Row],[Quantity]]*VLOOKUP(OrganizedData[[#This Row],[Product Code]],ProductData[],4,FALSE)</f>
        <v>768</v>
      </c>
      <c r="Q4500" s="6">
        <f>OrganizedData[[#This Row],[Total Items Ordered]]*VLOOKUP(OrganizedData[[#This Row],[Product Code]],ProductData[],3,FALSE)</f>
        <v>529.91999999999996</v>
      </c>
      <c r="R45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514.02239999999995</v>
      </c>
    </row>
    <row r="4501" spans="1:18" x14ac:dyDescent="0.3">
      <c r="A4501" s="2">
        <v>4494</v>
      </c>
      <c r="B4501" s="2" t="s">
        <v>9773</v>
      </c>
      <c r="C4501" s="2" t="s">
        <v>1428</v>
      </c>
      <c r="D4501" s="2" t="s">
        <v>41</v>
      </c>
      <c r="E4501" s="2" t="s">
        <v>16</v>
      </c>
      <c r="F4501" s="2">
        <v>60</v>
      </c>
      <c r="G4501" s="2" t="s">
        <v>9774</v>
      </c>
      <c r="H4501" s="2" t="s">
        <v>1490</v>
      </c>
      <c r="I4501" s="2" t="s">
        <v>294</v>
      </c>
      <c r="J4501" s="3">
        <v>44667</v>
      </c>
      <c r="K4501" s="5">
        <f>YEAR(OrganizedData[[#This Row],[Order Date]])</f>
        <v>2022</v>
      </c>
      <c r="L4501" s="7" t="str">
        <f>TEXT(OrganizedData[[#This Row],[Order Date]],"mmm")</f>
        <v>Apr</v>
      </c>
      <c r="M4501" s="2">
        <v>48</v>
      </c>
      <c r="N4501" s="2" t="s">
        <v>159</v>
      </c>
      <c r="O4501" s="2" t="str">
        <f>VLOOKUP(OrganizedData[[#This Row],[Product Code]],ProductData[[Code]:[Item]],2,FALSE)</f>
        <v>Ultrathing V3</v>
      </c>
      <c r="P4501" s="4">
        <f>OrganizedData[[#This Row],[Quantity]]*VLOOKUP(OrganizedData[[#This Row],[Product Code]],ProductData[],4,FALSE)</f>
        <v>1152</v>
      </c>
      <c r="Q4501" s="6">
        <f>OrganizedData[[#This Row],[Total Items Ordered]]*VLOOKUP(OrganizedData[[#This Row],[Product Code]],ProductData[],3,FALSE)</f>
        <v>3905.28</v>
      </c>
      <c r="R45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3788.1215999999999</v>
      </c>
    </row>
    <row r="4502" spans="1:18" x14ac:dyDescent="0.3">
      <c r="A4502" s="2">
        <v>4495</v>
      </c>
      <c r="B4502" s="2" t="s">
        <v>9775</v>
      </c>
      <c r="C4502" s="2" t="s">
        <v>855</v>
      </c>
      <c r="D4502" s="2" t="s">
        <v>28</v>
      </c>
      <c r="E4502" s="2" t="s">
        <v>29</v>
      </c>
      <c r="F4502" s="2">
        <v>90</v>
      </c>
      <c r="G4502" s="2" t="s">
        <v>9776</v>
      </c>
      <c r="H4502" s="2" t="s">
        <v>2516</v>
      </c>
      <c r="I4502" s="2" t="s">
        <v>32</v>
      </c>
      <c r="J4502" s="3">
        <v>44107</v>
      </c>
      <c r="K4502" s="5">
        <f>YEAR(OrganizedData[[#This Row],[Order Date]])</f>
        <v>2020</v>
      </c>
      <c r="L4502" s="7" t="str">
        <f>TEXT(OrganizedData[[#This Row],[Order Date]],"mmm")</f>
        <v>Oct</v>
      </c>
      <c r="M4502" s="2">
        <v>22</v>
      </c>
      <c r="N4502" s="2" t="s">
        <v>39</v>
      </c>
      <c r="O4502" s="2" t="str">
        <f>VLOOKUP(OrganizedData[[#This Row],[Product Code]],ProductData[[Code]:[Item]],2,FALSE)</f>
        <v>Ultrathing V1</v>
      </c>
      <c r="P4502" s="4">
        <f>OrganizedData[[#This Row],[Quantity]]*VLOOKUP(OrganizedData[[#This Row],[Product Code]],ProductData[],4,FALSE)</f>
        <v>374</v>
      </c>
      <c r="Q4502" s="6">
        <f>OrganizedData[[#This Row],[Total Items Ordered]]*VLOOKUP(OrganizedData[[#This Row],[Product Code]],ProductData[],3,FALSE)</f>
        <v>669.46</v>
      </c>
      <c r="R45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4503" spans="1:18" x14ac:dyDescent="0.3">
      <c r="A4503" s="2">
        <v>4496</v>
      </c>
      <c r="B4503" s="2" t="s">
        <v>7239</v>
      </c>
      <c r="C4503" s="2" t="s">
        <v>3884</v>
      </c>
      <c r="D4503" s="2" t="s">
        <v>28</v>
      </c>
      <c r="E4503" s="2" t="s">
        <v>29</v>
      </c>
      <c r="F4503" s="2">
        <v>90</v>
      </c>
      <c r="G4503" s="2" t="s">
        <v>9776</v>
      </c>
      <c r="H4503" s="2" t="s">
        <v>1880</v>
      </c>
      <c r="I4503" s="2" t="s">
        <v>32</v>
      </c>
      <c r="J4503" s="3">
        <v>44092</v>
      </c>
      <c r="K4503" s="5">
        <f>YEAR(OrganizedData[[#This Row],[Order Date]])</f>
        <v>2020</v>
      </c>
      <c r="L4503" s="7" t="str">
        <f>TEXT(OrganizedData[[#This Row],[Order Date]],"mmm")</f>
        <v>Sep</v>
      </c>
      <c r="M4503" s="2">
        <v>43</v>
      </c>
      <c r="N4503" s="2" t="s">
        <v>64</v>
      </c>
      <c r="O4503" s="2" t="str">
        <f>VLOOKUP(OrganizedData[[#This Row],[Product Code]],ProductData[[Code]:[Item]],2,FALSE)</f>
        <v>Ultrathing V4</v>
      </c>
      <c r="P4503" s="4">
        <f>OrganizedData[[#This Row],[Quantity]]*VLOOKUP(OrganizedData[[#This Row],[Product Code]],ProductData[],4,FALSE)</f>
        <v>1032</v>
      </c>
      <c r="Q4503" s="6">
        <f>OrganizedData[[#This Row],[Total Items Ordered]]*VLOOKUP(OrganizedData[[#This Row],[Product Code]],ProductData[],3,FALSE)</f>
        <v>4117.68</v>
      </c>
      <c r="R45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3994.1496000000002</v>
      </c>
    </row>
    <row r="4504" spans="1:18" x14ac:dyDescent="0.3">
      <c r="A4504" s="2">
        <v>4497</v>
      </c>
      <c r="B4504" s="2" t="s">
        <v>9777</v>
      </c>
      <c r="C4504" s="2" t="s">
        <v>5807</v>
      </c>
      <c r="D4504" s="2" t="s">
        <v>28</v>
      </c>
      <c r="E4504" s="2" t="s">
        <v>29</v>
      </c>
      <c r="F4504" s="2">
        <v>30</v>
      </c>
      <c r="G4504" s="2" t="s">
        <v>9778</v>
      </c>
      <c r="H4504" s="2" t="s">
        <v>5751</v>
      </c>
      <c r="I4504" s="2" t="s">
        <v>178</v>
      </c>
      <c r="J4504" s="3">
        <v>44306</v>
      </c>
      <c r="K4504" s="5">
        <f>YEAR(OrganizedData[[#This Row],[Order Date]])</f>
        <v>2021</v>
      </c>
      <c r="L4504" s="7" t="str">
        <f>TEXT(OrganizedData[[#This Row],[Order Date]],"mmm")</f>
        <v>Apr</v>
      </c>
      <c r="M4504" s="2">
        <v>71</v>
      </c>
      <c r="N4504" s="2" t="s">
        <v>33</v>
      </c>
      <c r="O4504" s="2" t="str">
        <f>VLOOKUP(OrganizedData[[#This Row],[Product Code]],ProductData[[Code]:[Item]],2,FALSE)</f>
        <v>Megawidget L</v>
      </c>
      <c r="P4504" s="4">
        <f>OrganizedData[[#This Row],[Quantity]]*VLOOKUP(OrganizedData[[#This Row],[Product Code]],ProductData[],4,FALSE)</f>
        <v>1704</v>
      </c>
      <c r="Q4504" s="6">
        <f>OrganizedData[[#This Row],[Total Items Ordered]]*VLOOKUP(OrganizedData[[#This Row],[Product Code]],ProductData[],3,FALSE)</f>
        <v>3050.16</v>
      </c>
      <c r="R45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2897.6519999999996</v>
      </c>
    </row>
    <row r="4505" spans="1:18" x14ac:dyDescent="0.3">
      <c r="A4505" s="2">
        <v>4498</v>
      </c>
      <c r="B4505" s="2" t="s">
        <v>1049</v>
      </c>
      <c r="C4505" s="2" t="s">
        <v>9779</v>
      </c>
      <c r="D4505" s="2" t="s">
        <v>28</v>
      </c>
      <c r="E4505" s="2" t="s">
        <v>29</v>
      </c>
      <c r="F4505" s="2">
        <v>90</v>
      </c>
      <c r="G4505" s="2" t="s">
        <v>9780</v>
      </c>
      <c r="H4505" s="2" t="s">
        <v>1388</v>
      </c>
      <c r="I4505" s="2" t="s">
        <v>32</v>
      </c>
      <c r="J4505" s="3">
        <v>44170</v>
      </c>
      <c r="K4505" s="5">
        <f>YEAR(OrganizedData[[#This Row],[Order Date]])</f>
        <v>2020</v>
      </c>
      <c r="L4505" s="7" t="str">
        <f>TEXT(OrganizedData[[#This Row],[Order Date]],"mmm")</f>
        <v>Dec</v>
      </c>
      <c r="M4505" s="2">
        <v>21</v>
      </c>
      <c r="N4505" s="2" t="s">
        <v>39</v>
      </c>
      <c r="O4505" s="2" t="str">
        <f>VLOOKUP(OrganizedData[[#This Row],[Product Code]],ProductData[[Code]:[Item]],2,FALSE)</f>
        <v>Ultrathing V1</v>
      </c>
      <c r="P4505" s="4">
        <f>OrganizedData[[#This Row],[Quantity]]*VLOOKUP(OrganizedData[[#This Row],[Product Code]],ProductData[],4,FALSE)</f>
        <v>357</v>
      </c>
      <c r="Q4505" s="6">
        <f>OrganizedData[[#This Row],[Total Items Ordered]]*VLOOKUP(OrganizedData[[#This Row],[Product Code]],ProductData[],3,FALSE)</f>
        <v>639.03</v>
      </c>
      <c r="R45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619.85910000000001</v>
      </c>
    </row>
    <row r="4506" spans="1:18" x14ac:dyDescent="0.3">
      <c r="A4506" s="2">
        <v>4499</v>
      </c>
      <c r="B4506" s="2" t="s">
        <v>9781</v>
      </c>
      <c r="C4506" s="2" t="s">
        <v>1954</v>
      </c>
      <c r="D4506" s="2" t="s">
        <v>15</v>
      </c>
      <c r="E4506" s="2" t="s">
        <v>16</v>
      </c>
      <c r="F4506" s="2">
        <v>60</v>
      </c>
      <c r="G4506" s="2" t="s">
        <v>9782</v>
      </c>
      <c r="H4506" s="2" t="s">
        <v>6710</v>
      </c>
      <c r="I4506" s="2" t="s">
        <v>32</v>
      </c>
      <c r="J4506" s="3">
        <v>44038</v>
      </c>
      <c r="K4506" s="5">
        <f>YEAR(OrganizedData[[#This Row],[Order Date]])</f>
        <v>2020</v>
      </c>
      <c r="L4506" s="7" t="str">
        <f>TEXT(OrganizedData[[#This Row],[Order Date]],"mmm")</f>
        <v>Jul</v>
      </c>
      <c r="M4506" s="2">
        <v>62</v>
      </c>
      <c r="N4506" s="2" t="s">
        <v>64</v>
      </c>
      <c r="O4506" s="2" t="str">
        <f>VLOOKUP(OrganizedData[[#This Row],[Product Code]],ProductData[[Code]:[Item]],2,FALSE)</f>
        <v>Ultrathing V4</v>
      </c>
      <c r="P4506" s="4">
        <f>OrganizedData[[#This Row],[Quantity]]*VLOOKUP(OrganizedData[[#This Row],[Product Code]],ProductData[],4,FALSE)</f>
        <v>1488</v>
      </c>
      <c r="Q4506" s="6">
        <f>OrganizedData[[#This Row],[Total Items Ordered]]*VLOOKUP(OrganizedData[[#This Row],[Product Code]],ProductData[],3,FALSE)</f>
        <v>5937.12</v>
      </c>
      <c r="R45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4507" spans="1:18" x14ac:dyDescent="0.3">
      <c r="A4507" s="2">
        <v>4500</v>
      </c>
      <c r="B4507" s="2" t="s">
        <v>3503</v>
      </c>
      <c r="C4507" s="2" t="s">
        <v>1340</v>
      </c>
      <c r="D4507" s="2" t="s">
        <v>15</v>
      </c>
      <c r="E4507" s="2" t="s">
        <v>16</v>
      </c>
      <c r="F4507" s="2">
        <v>60</v>
      </c>
      <c r="G4507" s="2" t="s">
        <v>9783</v>
      </c>
      <c r="H4507" s="2" t="s">
        <v>7555</v>
      </c>
      <c r="I4507" s="2" t="s">
        <v>129</v>
      </c>
      <c r="J4507" s="3">
        <v>44307</v>
      </c>
      <c r="K4507" s="5">
        <f>YEAR(OrganizedData[[#This Row],[Order Date]])</f>
        <v>2021</v>
      </c>
      <c r="L4507" s="7" t="str">
        <f>TEXT(OrganizedData[[#This Row],[Order Date]],"mmm")</f>
        <v>Apr</v>
      </c>
      <c r="M4507" s="2">
        <v>18</v>
      </c>
      <c r="N4507" s="2" t="s">
        <v>64</v>
      </c>
      <c r="O4507" s="2" t="str">
        <f>VLOOKUP(OrganizedData[[#This Row],[Product Code]],ProductData[[Code]:[Item]],2,FALSE)</f>
        <v>Ultrathing V4</v>
      </c>
      <c r="P4507" s="4">
        <f>OrganizedData[[#This Row],[Quantity]]*VLOOKUP(OrganizedData[[#This Row],[Product Code]],ProductData[],4,FALSE)</f>
        <v>432</v>
      </c>
      <c r="Q4507" s="6">
        <f>OrganizedData[[#This Row],[Total Items Ordered]]*VLOOKUP(OrganizedData[[#This Row],[Product Code]],ProductData[],3,FALSE)</f>
        <v>1723.68</v>
      </c>
      <c r="R45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1723.68</v>
      </c>
    </row>
    <row r="4508" spans="1:18" x14ac:dyDescent="0.3">
      <c r="A4508" s="2">
        <v>4501</v>
      </c>
      <c r="B4508" s="2" t="s">
        <v>4418</v>
      </c>
      <c r="C4508" s="2" t="s">
        <v>632</v>
      </c>
      <c r="D4508" s="2" t="s">
        <v>51</v>
      </c>
      <c r="E4508" s="2" t="s">
        <v>16</v>
      </c>
      <c r="F4508" s="2">
        <v>90</v>
      </c>
      <c r="G4508" s="2" t="s">
        <v>9784</v>
      </c>
      <c r="H4508" s="2" t="s">
        <v>7140</v>
      </c>
      <c r="I4508" s="2" t="s">
        <v>294</v>
      </c>
      <c r="J4508" s="3">
        <v>44334</v>
      </c>
      <c r="K4508" s="5">
        <f>YEAR(OrganizedData[[#This Row],[Order Date]])</f>
        <v>2021</v>
      </c>
      <c r="L4508" s="7" t="str">
        <f>TEXT(OrganizedData[[#This Row],[Order Date]],"mmm")</f>
        <v>May</v>
      </c>
      <c r="M4508" s="2">
        <v>73</v>
      </c>
      <c r="N4508" s="2" t="s">
        <v>159</v>
      </c>
      <c r="O4508" s="2" t="str">
        <f>VLOOKUP(OrganizedData[[#This Row],[Product Code]],ProductData[[Code]:[Item]],2,FALSE)</f>
        <v>Ultrathing V3</v>
      </c>
      <c r="P4508" s="4">
        <f>OrganizedData[[#This Row],[Quantity]]*VLOOKUP(OrganizedData[[#This Row],[Product Code]],ProductData[],4,FALSE)</f>
        <v>1752</v>
      </c>
      <c r="Q4508" s="6">
        <f>OrganizedData[[#This Row],[Total Items Ordered]]*VLOOKUP(OrganizedData[[#This Row],[Product Code]],ProductData[],3,FALSE)</f>
        <v>5939.2800000000007</v>
      </c>
      <c r="R45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4509" spans="1:18" x14ac:dyDescent="0.3">
      <c r="A4509" s="2">
        <v>4502</v>
      </c>
      <c r="B4509" s="2" t="s">
        <v>9785</v>
      </c>
      <c r="C4509" s="2" t="s">
        <v>2024</v>
      </c>
      <c r="D4509" s="2" t="s">
        <v>92</v>
      </c>
      <c r="E4509" s="2" t="s">
        <v>16</v>
      </c>
      <c r="F4509" s="2">
        <v>30</v>
      </c>
      <c r="G4509" s="2" t="s">
        <v>9786</v>
      </c>
      <c r="H4509" s="2" t="s">
        <v>8060</v>
      </c>
      <c r="I4509" s="2" t="s">
        <v>32</v>
      </c>
      <c r="J4509" s="3">
        <v>44351</v>
      </c>
      <c r="K4509" s="5">
        <f>YEAR(OrganizedData[[#This Row],[Order Date]])</f>
        <v>2021</v>
      </c>
      <c r="L4509" s="7" t="str">
        <f>TEXT(OrganizedData[[#This Row],[Order Date]],"mmm")</f>
        <v>Jun</v>
      </c>
      <c r="M4509" s="2">
        <v>60</v>
      </c>
      <c r="N4509" s="2" t="s">
        <v>39</v>
      </c>
      <c r="O4509" s="2" t="str">
        <f>VLOOKUP(OrganizedData[[#This Row],[Product Code]],ProductData[[Code]:[Item]],2,FALSE)</f>
        <v>Ultrathing V1</v>
      </c>
      <c r="P4509" s="4">
        <f>OrganizedData[[#This Row],[Quantity]]*VLOOKUP(OrganizedData[[#This Row],[Product Code]],ProductData[],4,FALSE)</f>
        <v>1020</v>
      </c>
      <c r="Q4509" s="6">
        <f>OrganizedData[[#This Row],[Total Items Ordered]]*VLOOKUP(OrganizedData[[#This Row],[Product Code]],ProductData[],3,FALSE)</f>
        <v>1825.8</v>
      </c>
      <c r="R45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1734.5099999999998</v>
      </c>
    </row>
    <row r="4510" spans="1:18" x14ac:dyDescent="0.3">
      <c r="A4510" s="2">
        <v>4503</v>
      </c>
      <c r="B4510" s="2" t="s">
        <v>9787</v>
      </c>
      <c r="C4510" s="2" t="s">
        <v>1891</v>
      </c>
      <c r="D4510" s="2" t="s">
        <v>15</v>
      </c>
      <c r="E4510" s="2" t="s">
        <v>16</v>
      </c>
      <c r="F4510" s="2">
        <v>90</v>
      </c>
      <c r="G4510" s="2" t="s">
        <v>9788</v>
      </c>
      <c r="H4510" s="2" t="s">
        <v>4046</v>
      </c>
      <c r="I4510" s="2" t="s">
        <v>173</v>
      </c>
      <c r="J4510" s="3">
        <v>44285</v>
      </c>
      <c r="K4510" s="5">
        <f>YEAR(OrganizedData[[#This Row],[Order Date]])</f>
        <v>2021</v>
      </c>
      <c r="L4510" s="7" t="str">
        <f>TEXT(OrganizedData[[#This Row],[Order Date]],"mmm")</f>
        <v>Mar</v>
      </c>
      <c r="M4510" s="2">
        <v>62</v>
      </c>
      <c r="N4510" s="2" t="s">
        <v>20</v>
      </c>
      <c r="O4510" s="2" t="str">
        <f>VLOOKUP(OrganizedData[[#This Row],[Product Code]],ProductData[[Code]:[Item]],2,FALSE)</f>
        <v>Hyperwotsit</v>
      </c>
      <c r="P4510" s="4">
        <f>OrganizedData[[#This Row],[Quantity]]*VLOOKUP(OrganizedData[[#This Row],[Product Code]],ProductData[],4,FALSE)</f>
        <v>1240</v>
      </c>
      <c r="Q4510" s="6">
        <f>OrganizedData[[#This Row],[Total Items Ordered]]*VLOOKUP(OrganizedData[[#This Row],[Product Code]],ProductData[],3,FALSE)</f>
        <v>2492.3999999999996</v>
      </c>
      <c r="R45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2367.7799999999997</v>
      </c>
    </row>
    <row r="4511" spans="1:18" x14ac:dyDescent="0.3">
      <c r="A4511" s="2">
        <v>4504</v>
      </c>
      <c r="B4511" s="2" t="s">
        <v>4564</v>
      </c>
      <c r="C4511" s="2" t="s">
        <v>449</v>
      </c>
      <c r="D4511" s="2" t="s">
        <v>15</v>
      </c>
      <c r="E4511" s="2" t="s">
        <v>16</v>
      </c>
      <c r="F4511" s="2">
        <v>60</v>
      </c>
      <c r="G4511" s="2" t="s">
        <v>10584</v>
      </c>
      <c r="H4511" s="2" t="s">
        <v>5134</v>
      </c>
      <c r="I4511" s="2" t="s">
        <v>32</v>
      </c>
      <c r="J4511" s="3">
        <v>44038</v>
      </c>
      <c r="K4511" s="5">
        <f>YEAR(OrganizedData[[#This Row],[Order Date]])</f>
        <v>2020</v>
      </c>
      <c r="L4511" s="7" t="str">
        <f>TEXT(OrganizedData[[#This Row],[Order Date]],"mmm")</f>
        <v>Jul</v>
      </c>
      <c r="M4511" s="2">
        <v>47</v>
      </c>
      <c r="N4511" s="2" t="s">
        <v>33</v>
      </c>
      <c r="O4511" s="2" t="str">
        <f>VLOOKUP(OrganizedData[[#This Row],[Product Code]],ProductData[[Code]:[Item]],2,FALSE)</f>
        <v>Megawidget L</v>
      </c>
      <c r="P4511" s="4">
        <f>OrganizedData[[#This Row],[Quantity]]*VLOOKUP(OrganizedData[[#This Row],[Product Code]],ProductData[],4,FALSE)</f>
        <v>1128</v>
      </c>
      <c r="Q4511" s="6">
        <f>OrganizedData[[#This Row],[Total Items Ordered]]*VLOOKUP(OrganizedData[[#This Row],[Product Code]],ProductData[],3,FALSE)</f>
        <v>2019.1200000000001</v>
      </c>
      <c r="R45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1958.5463999999999</v>
      </c>
    </row>
    <row r="4512" spans="1:18" x14ac:dyDescent="0.3">
      <c r="A4512" s="2">
        <v>4505</v>
      </c>
      <c r="B4512" s="2" t="s">
        <v>9790</v>
      </c>
      <c r="C4512" s="2" t="s">
        <v>1746</v>
      </c>
      <c r="D4512" s="2" t="s">
        <v>15</v>
      </c>
      <c r="E4512" s="2" t="s">
        <v>16</v>
      </c>
      <c r="F4512" s="2">
        <v>30</v>
      </c>
      <c r="G4512" s="2" t="s">
        <v>9791</v>
      </c>
      <c r="H4512" s="2" t="s">
        <v>1754</v>
      </c>
      <c r="I4512" s="2" t="s">
        <v>25</v>
      </c>
      <c r="J4512" s="3">
        <v>43893</v>
      </c>
      <c r="K4512" s="5">
        <f>YEAR(OrganizedData[[#This Row],[Order Date]])</f>
        <v>2020</v>
      </c>
      <c r="L4512" s="7" t="str">
        <f>TEXT(OrganizedData[[#This Row],[Order Date]],"mmm")</f>
        <v>Mar</v>
      </c>
      <c r="M4512" s="2">
        <v>14</v>
      </c>
      <c r="N4512" s="2" t="s">
        <v>64</v>
      </c>
      <c r="O4512" s="2" t="str">
        <f>VLOOKUP(OrganizedData[[#This Row],[Product Code]],ProductData[[Code]:[Item]],2,FALSE)</f>
        <v>Ultrathing V4</v>
      </c>
      <c r="P4512" s="4">
        <f>OrganizedData[[#This Row],[Quantity]]*VLOOKUP(OrganizedData[[#This Row],[Product Code]],ProductData[],4,FALSE)</f>
        <v>336</v>
      </c>
      <c r="Q4512" s="6">
        <f>OrganizedData[[#This Row],[Total Items Ordered]]*VLOOKUP(OrganizedData[[#This Row],[Product Code]],ProductData[],3,FALSE)</f>
        <v>1340.64</v>
      </c>
      <c r="R45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1340.64</v>
      </c>
    </row>
    <row r="4513" spans="1:18" x14ac:dyDescent="0.3">
      <c r="A4513" s="2">
        <v>4506</v>
      </c>
      <c r="B4513" s="2" t="s">
        <v>9792</v>
      </c>
      <c r="C4513" s="2" t="s">
        <v>9793</v>
      </c>
      <c r="D4513" s="2" t="s">
        <v>51</v>
      </c>
      <c r="E4513" s="2" t="s">
        <v>16</v>
      </c>
      <c r="F4513" s="2">
        <v>90</v>
      </c>
      <c r="G4513" s="2" t="s">
        <v>9794</v>
      </c>
      <c r="H4513" s="2" t="s">
        <v>3303</v>
      </c>
      <c r="I4513" s="2" t="s">
        <v>294</v>
      </c>
      <c r="J4513" s="3">
        <v>44483</v>
      </c>
      <c r="K4513" s="5">
        <f>YEAR(OrganizedData[[#This Row],[Order Date]])</f>
        <v>2021</v>
      </c>
      <c r="L4513" s="7" t="str">
        <f>TEXT(OrganizedData[[#This Row],[Order Date]],"mmm")</f>
        <v>Oct</v>
      </c>
      <c r="M4513" s="2">
        <v>81</v>
      </c>
      <c r="N4513" s="2" t="s">
        <v>39</v>
      </c>
      <c r="O4513" s="2" t="str">
        <f>VLOOKUP(OrganizedData[[#This Row],[Product Code]],ProductData[[Code]:[Item]],2,FALSE)</f>
        <v>Ultrathing V1</v>
      </c>
      <c r="P4513" s="4">
        <f>OrganizedData[[#This Row],[Quantity]]*VLOOKUP(OrganizedData[[#This Row],[Product Code]],ProductData[],4,FALSE)</f>
        <v>1377</v>
      </c>
      <c r="Q4513" s="6">
        <f>OrganizedData[[#This Row],[Total Items Ordered]]*VLOOKUP(OrganizedData[[#This Row],[Product Code]],ProductData[],3,FALSE)</f>
        <v>2464.83</v>
      </c>
      <c r="R45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2341.5884999999998</v>
      </c>
    </row>
    <row r="4514" spans="1:18" x14ac:dyDescent="0.3">
      <c r="A4514" s="2">
        <v>4507</v>
      </c>
      <c r="B4514" s="2" t="s">
        <v>214</v>
      </c>
      <c r="C4514" s="2" t="s">
        <v>1714</v>
      </c>
      <c r="D4514" s="2" t="s">
        <v>28</v>
      </c>
      <c r="E4514" s="2" t="s">
        <v>29</v>
      </c>
      <c r="F4514" s="2">
        <v>90</v>
      </c>
      <c r="G4514" s="2" t="s">
        <v>9795</v>
      </c>
      <c r="H4514" s="2" t="s">
        <v>1764</v>
      </c>
      <c r="I4514" s="2" t="s">
        <v>124</v>
      </c>
      <c r="J4514" s="3">
        <v>44403</v>
      </c>
      <c r="K4514" s="5">
        <f>YEAR(OrganizedData[[#This Row],[Order Date]])</f>
        <v>2021</v>
      </c>
      <c r="L4514" s="7" t="str">
        <f>TEXT(OrganizedData[[#This Row],[Order Date]],"mmm")</f>
        <v>Jul</v>
      </c>
      <c r="M4514" s="2">
        <v>42</v>
      </c>
      <c r="N4514" s="2" t="s">
        <v>70</v>
      </c>
      <c r="O4514" s="2" t="str">
        <f>VLOOKUP(OrganizedData[[#This Row],[Product Code]],ProductData[[Code]:[Item]],2,FALSE)</f>
        <v>Megawidget M</v>
      </c>
      <c r="P4514" s="4">
        <f>OrganizedData[[#This Row],[Quantity]]*VLOOKUP(OrganizedData[[#This Row],[Product Code]],ProductData[],4,FALSE)</f>
        <v>1008</v>
      </c>
      <c r="Q4514" s="6">
        <f>OrganizedData[[#This Row],[Total Items Ordered]]*VLOOKUP(OrganizedData[[#This Row],[Product Code]],ProductData[],3,FALSE)</f>
        <v>1300.32</v>
      </c>
      <c r="R45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1261.3103999999998</v>
      </c>
    </row>
    <row r="4515" spans="1:18" x14ac:dyDescent="0.3">
      <c r="A4515" s="2">
        <v>4508</v>
      </c>
      <c r="B4515" s="2" t="s">
        <v>4864</v>
      </c>
      <c r="C4515" s="2" t="s">
        <v>7144</v>
      </c>
      <c r="D4515" s="2" t="s">
        <v>51</v>
      </c>
      <c r="E4515" s="2" t="s">
        <v>16</v>
      </c>
      <c r="F4515" s="2">
        <v>60</v>
      </c>
      <c r="G4515" s="2" t="s">
        <v>9796</v>
      </c>
      <c r="H4515" s="2" t="s">
        <v>1224</v>
      </c>
      <c r="I4515" s="2" t="s">
        <v>25</v>
      </c>
      <c r="J4515" s="3">
        <v>44626</v>
      </c>
      <c r="K4515" s="5">
        <f>YEAR(OrganizedData[[#This Row],[Order Date]])</f>
        <v>2022</v>
      </c>
      <c r="L4515" s="7" t="str">
        <f>TEXT(OrganizedData[[#This Row],[Order Date]],"mmm")</f>
        <v>Mar</v>
      </c>
      <c r="M4515" s="2">
        <v>69</v>
      </c>
      <c r="N4515" s="2" t="s">
        <v>64</v>
      </c>
      <c r="O4515" s="2" t="str">
        <f>VLOOKUP(OrganizedData[[#This Row],[Product Code]],ProductData[[Code]:[Item]],2,FALSE)</f>
        <v>Ultrathing V4</v>
      </c>
      <c r="P4515" s="4">
        <f>OrganizedData[[#This Row],[Quantity]]*VLOOKUP(OrganizedData[[#This Row],[Product Code]],ProductData[],4,FALSE)</f>
        <v>1656</v>
      </c>
      <c r="Q4515" s="6">
        <f>OrganizedData[[#This Row],[Total Items Ordered]]*VLOOKUP(OrganizedData[[#This Row],[Product Code]],ProductData[],3,FALSE)</f>
        <v>6607.4400000000005</v>
      </c>
      <c r="R45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6277.0680000000002</v>
      </c>
    </row>
    <row r="4516" spans="1:18" x14ac:dyDescent="0.3">
      <c r="A4516" s="2">
        <v>4509</v>
      </c>
      <c r="B4516" s="2" t="s">
        <v>4390</v>
      </c>
      <c r="C4516" s="2" t="s">
        <v>2909</v>
      </c>
      <c r="D4516" s="2" t="s">
        <v>28</v>
      </c>
      <c r="E4516" s="2" t="s">
        <v>29</v>
      </c>
      <c r="F4516" s="2">
        <v>90</v>
      </c>
      <c r="G4516" s="2" t="s">
        <v>9797</v>
      </c>
      <c r="H4516" s="2" t="s">
        <v>7689</v>
      </c>
      <c r="I4516" s="2" t="s">
        <v>38</v>
      </c>
      <c r="J4516" s="3">
        <v>44338</v>
      </c>
      <c r="K4516" s="5">
        <f>YEAR(OrganizedData[[#This Row],[Order Date]])</f>
        <v>2021</v>
      </c>
      <c r="L4516" s="7" t="str">
        <f>TEXT(OrganizedData[[#This Row],[Order Date]],"mmm")</f>
        <v>May</v>
      </c>
      <c r="M4516" s="2">
        <v>38</v>
      </c>
      <c r="N4516" s="2" t="s">
        <v>80</v>
      </c>
      <c r="O4516" s="2" t="str">
        <f>VLOOKUP(OrganizedData[[#This Row],[Product Code]],ProductData[[Code]:[Item]],2,FALSE)</f>
        <v>Ultrathing V2</v>
      </c>
      <c r="P4516" s="4">
        <f>OrganizedData[[#This Row],[Quantity]]*VLOOKUP(OrganizedData[[#This Row],[Product Code]],ProductData[],4,FALSE)</f>
        <v>760</v>
      </c>
      <c r="Q4516" s="6">
        <f>OrganizedData[[#This Row],[Total Items Ordered]]*VLOOKUP(OrganizedData[[#This Row],[Product Code]],ProductData[],3,FALSE)</f>
        <v>2242</v>
      </c>
      <c r="R45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2174.7399999999998</v>
      </c>
    </row>
    <row r="4517" spans="1:18" x14ac:dyDescent="0.3">
      <c r="A4517" s="2">
        <v>4510</v>
      </c>
      <c r="B4517" s="2" t="s">
        <v>6484</v>
      </c>
      <c r="C4517" s="2" t="s">
        <v>3301</v>
      </c>
      <c r="D4517" s="2" t="s">
        <v>28</v>
      </c>
      <c r="E4517" s="2" t="s">
        <v>29</v>
      </c>
      <c r="F4517" s="2">
        <v>90</v>
      </c>
      <c r="G4517" s="2" t="s">
        <v>9798</v>
      </c>
      <c r="H4517" s="2" t="s">
        <v>1249</v>
      </c>
      <c r="I4517" s="2" t="s">
        <v>146</v>
      </c>
      <c r="J4517" s="3">
        <v>44744</v>
      </c>
      <c r="K4517" s="5">
        <f>YEAR(OrganizedData[[#This Row],[Order Date]])</f>
        <v>2022</v>
      </c>
      <c r="L4517" s="7" t="str">
        <f>TEXT(OrganizedData[[#This Row],[Order Date]],"mmm")</f>
        <v>Jul</v>
      </c>
      <c r="M4517" s="2">
        <v>38</v>
      </c>
      <c r="N4517" s="2" t="s">
        <v>70</v>
      </c>
      <c r="O4517" s="2" t="str">
        <f>VLOOKUP(OrganizedData[[#This Row],[Product Code]],ProductData[[Code]:[Item]],2,FALSE)</f>
        <v>Megawidget M</v>
      </c>
      <c r="P4517" s="4">
        <f>OrganizedData[[#This Row],[Quantity]]*VLOOKUP(OrganizedData[[#This Row],[Product Code]],ProductData[],4,FALSE)</f>
        <v>912</v>
      </c>
      <c r="Q4517" s="6">
        <f>OrganizedData[[#This Row],[Total Items Ordered]]*VLOOKUP(OrganizedData[[#This Row],[Product Code]],ProductData[],3,FALSE)</f>
        <v>1176.48</v>
      </c>
      <c r="R45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1141.1856</v>
      </c>
    </row>
    <row r="4518" spans="1:18" x14ac:dyDescent="0.3">
      <c r="A4518" s="2">
        <v>4511</v>
      </c>
      <c r="B4518" s="2" t="s">
        <v>7325</v>
      </c>
      <c r="C4518" s="2" t="s">
        <v>1870</v>
      </c>
      <c r="D4518" s="2" t="s">
        <v>51</v>
      </c>
      <c r="E4518" s="2" t="s">
        <v>16</v>
      </c>
      <c r="F4518" s="2">
        <v>30</v>
      </c>
      <c r="G4518" s="2" t="s">
        <v>9799</v>
      </c>
      <c r="H4518" s="2" t="s">
        <v>2218</v>
      </c>
      <c r="I4518" s="2" t="s">
        <v>173</v>
      </c>
      <c r="J4518" s="3">
        <v>44007</v>
      </c>
      <c r="K4518" s="5">
        <f>YEAR(OrganizedData[[#This Row],[Order Date]])</f>
        <v>2020</v>
      </c>
      <c r="L4518" s="7" t="str">
        <f>TEXT(OrganizedData[[#This Row],[Order Date]],"mmm")</f>
        <v>Jun</v>
      </c>
      <c r="M4518" s="2">
        <v>76</v>
      </c>
      <c r="N4518" s="2" t="s">
        <v>54</v>
      </c>
      <c r="O4518" s="2" t="str">
        <f>VLOOKUP(OrganizedData[[#This Row],[Product Code]],ProductData[[Code]:[Item]],2,FALSE)</f>
        <v>Megawidget S</v>
      </c>
      <c r="P4518" s="4">
        <f>OrganizedData[[#This Row],[Quantity]]*VLOOKUP(OrganizedData[[#This Row],[Product Code]],ProductData[],4,FALSE)</f>
        <v>1824</v>
      </c>
      <c r="Q4518" s="6">
        <f>OrganizedData[[#This Row],[Total Items Ordered]]*VLOOKUP(OrganizedData[[#This Row],[Product Code]],ProductData[],3,FALSE)</f>
        <v>1258.56</v>
      </c>
      <c r="R45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1195.6319999999998</v>
      </c>
    </row>
    <row r="4519" spans="1:18" x14ac:dyDescent="0.3">
      <c r="A4519" s="2">
        <v>4512</v>
      </c>
      <c r="B4519" s="2" t="s">
        <v>2634</v>
      </c>
      <c r="C4519" s="2" t="s">
        <v>2856</v>
      </c>
      <c r="D4519" s="2" t="s">
        <v>51</v>
      </c>
      <c r="E4519" s="2" t="s">
        <v>16</v>
      </c>
      <c r="F4519" s="2">
        <v>30</v>
      </c>
      <c r="G4519" s="2" t="s">
        <v>9800</v>
      </c>
      <c r="H4519" s="2" t="s">
        <v>2633</v>
      </c>
      <c r="I4519" s="2" t="s">
        <v>32</v>
      </c>
      <c r="J4519" s="3">
        <v>44069</v>
      </c>
      <c r="K4519" s="5">
        <f>YEAR(OrganizedData[[#This Row],[Order Date]])</f>
        <v>2020</v>
      </c>
      <c r="L4519" s="7" t="str">
        <f>TEXT(OrganizedData[[#This Row],[Order Date]],"mmm")</f>
        <v>Aug</v>
      </c>
      <c r="M4519" s="2">
        <v>60</v>
      </c>
      <c r="N4519" s="2" t="s">
        <v>80</v>
      </c>
      <c r="O4519" s="2" t="str">
        <f>VLOOKUP(OrganizedData[[#This Row],[Product Code]],ProductData[[Code]:[Item]],2,FALSE)</f>
        <v>Ultrathing V2</v>
      </c>
      <c r="P4519" s="4">
        <f>OrganizedData[[#This Row],[Quantity]]*VLOOKUP(OrganizedData[[#This Row],[Product Code]],ProductData[],4,FALSE)</f>
        <v>1200</v>
      </c>
      <c r="Q4519" s="6">
        <f>OrganizedData[[#This Row],[Total Items Ordered]]*VLOOKUP(OrganizedData[[#This Row],[Product Code]],ProductData[],3,FALSE)</f>
        <v>3540</v>
      </c>
      <c r="R45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3363</v>
      </c>
    </row>
    <row r="4520" spans="1:18" x14ac:dyDescent="0.3">
      <c r="A4520" s="2">
        <v>4513</v>
      </c>
      <c r="B4520" s="2" t="s">
        <v>9801</v>
      </c>
      <c r="C4520" s="2" t="s">
        <v>547</v>
      </c>
      <c r="D4520" s="2" t="s">
        <v>51</v>
      </c>
      <c r="E4520" s="2" t="s">
        <v>16</v>
      </c>
      <c r="F4520" s="2">
        <v>30</v>
      </c>
      <c r="G4520" s="2" t="s">
        <v>9802</v>
      </c>
      <c r="H4520" s="2" t="s">
        <v>6023</v>
      </c>
      <c r="I4520" s="2" t="s">
        <v>32</v>
      </c>
      <c r="J4520" s="3">
        <v>44639</v>
      </c>
      <c r="K4520" s="5">
        <f>YEAR(OrganizedData[[#This Row],[Order Date]])</f>
        <v>2022</v>
      </c>
      <c r="L4520" s="7" t="str">
        <f>TEXT(OrganizedData[[#This Row],[Order Date]],"mmm")</f>
        <v>Mar</v>
      </c>
      <c r="M4520" s="2">
        <v>79</v>
      </c>
      <c r="N4520" s="2" t="s">
        <v>45</v>
      </c>
      <c r="O4520" s="2" t="str">
        <f>VLOOKUP(OrganizedData[[#This Row],[Product Code]],ProductData[[Code]:[Item]],2,FALSE)</f>
        <v>Gigastuff</v>
      </c>
      <c r="P4520" s="4">
        <f>OrganizedData[[#This Row],[Quantity]]*VLOOKUP(OrganizedData[[#This Row],[Product Code]],ProductData[],4,FALSE)</f>
        <v>1422</v>
      </c>
      <c r="Q4520" s="6">
        <f>OrganizedData[[#This Row],[Total Items Ordered]]*VLOOKUP(OrganizedData[[#This Row],[Product Code]],ProductData[],3,FALSE)</f>
        <v>2687.58</v>
      </c>
      <c r="R45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4521" spans="1:18" x14ac:dyDescent="0.3">
      <c r="A4521" s="2">
        <v>4514</v>
      </c>
      <c r="B4521" s="2" t="s">
        <v>9803</v>
      </c>
      <c r="C4521" s="2" t="s">
        <v>3488</v>
      </c>
      <c r="D4521" s="2" t="s">
        <v>51</v>
      </c>
      <c r="E4521" s="2" t="s">
        <v>16</v>
      </c>
      <c r="F4521" s="2">
        <v>30</v>
      </c>
      <c r="G4521" s="2" t="s">
        <v>9804</v>
      </c>
      <c r="H4521" s="2" t="s">
        <v>7154</v>
      </c>
      <c r="I4521" s="2" t="s">
        <v>32</v>
      </c>
      <c r="J4521" s="3">
        <v>44452</v>
      </c>
      <c r="K4521" s="5">
        <f>YEAR(OrganizedData[[#This Row],[Order Date]])</f>
        <v>2021</v>
      </c>
      <c r="L4521" s="7" t="str">
        <f>TEXT(OrganizedData[[#This Row],[Order Date]],"mmm")</f>
        <v>Sep</v>
      </c>
      <c r="M4521" s="2">
        <v>8</v>
      </c>
      <c r="N4521" s="2" t="s">
        <v>33</v>
      </c>
      <c r="O4521" s="2" t="str">
        <f>VLOOKUP(OrganizedData[[#This Row],[Product Code]],ProductData[[Code]:[Item]],2,FALSE)</f>
        <v>Megawidget L</v>
      </c>
      <c r="P4521" s="4">
        <f>OrganizedData[[#This Row],[Quantity]]*VLOOKUP(OrganizedData[[#This Row],[Product Code]],ProductData[],4,FALSE)</f>
        <v>192</v>
      </c>
      <c r="Q4521" s="6">
        <f>OrganizedData[[#This Row],[Total Items Ordered]]*VLOOKUP(OrganizedData[[#This Row],[Product Code]],ProductData[],3,FALSE)</f>
        <v>343.68</v>
      </c>
      <c r="R45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343.68</v>
      </c>
    </row>
    <row r="4522" spans="1:18" x14ac:dyDescent="0.3">
      <c r="A4522" s="2">
        <v>4515</v>
      </c>
      <c r="B4522" s="2" t="s">
        <v>7537</v>
      </c>
      <c r="C4522" s="2" t="s">
        <v>4237</v>
      </c>
      <c r="D4522" s="2" t="s">
        <v>28</v>
      </c>
      <c r="E4522" s="2" t="s">
        <v>29</v>
      </c>
      <c r="F4522" s="2">
        <v>90</v>
      </c>
      <c r="G4522" s="2" t="s">
        <v>9805</v>
      </c>
      <c r="H4522" s="2" t="s">
        <v>8022</v>
      </c>
      <c r="I4522" s="2" t="s">
        <v>294</v>
      </c>
      <c r="J4522" s="3">
        <v>44221</v>
      </c>
      <c r="K4522" s="5">
        <f>YEAR(OrganizedData[[#This Row],[Order Date]])</f>
        <v>2021</v>
      </c>
      <c r="L4522" s="7" t="str">
        <f>TEXT(OrganizedData[[#This Row],[Order Date]],"mmm")</f>
        <v>Jan</v>
      </c>
      <c r="M4522" s="2">
        <v>68</v>
      </c>
      <c r="N4522" s="2" t="s">
        <v>101</v>
      </c>
      <c r="O4522" s="2" t="str">
        <f>VLOOKUP(OrganizedData[[#This Row],[Product Code]],ProductData[[Code]:[Item]],2,FALSE)</f>
        <v>Superwossname</v>
      </c>
      <c r="P4522" s="4">
        <f>OrganizedData[[#This Row],[Quantity]]*VLOOKUP(OrganizedData[[#This Row],[Product Code]],ProductData[],4,FALSE)</f>
        <v>1360</v>
      </c>
      <c r="Q4522" s="6">
        <f>OrganizedData[[#This Row],[Total Items Ordered]]*VLOOKUP(OrganizedData[[#This Row],[Product Code]],ProductData[],3,FALSE)</f>
        <v>4746.4000000000005</v>
      </c>
      <c r="R45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4509.08</v>
      </c>
    </row>
    <row r="4523" spans="1:18" x14ac:dyDescent="0.3">
      <c r="A4523" s="2">
        <v>4516</v>
      </c>
      <c r="B4523" s="2" t="s">
        <v>4649</v>
      </c>
      <c r="C4523" s="2" t="s">
        <v>6420</v>
      </c>
      <c r="D4523" s="2" t="s">
        <v>28</v>
      </c>
      <c r="E4523" s="2" t="s">
        <v>29</v>
      </c>
      <c r="F4523" s="2">
        <v>90</v>
      </c>
      <c r="G4523" s="2" t="s">
        <v>9806</v>
      </c>
      <c r="H4523" s="2" t="s">
        <v>2045</v>
      </c>
      <c r="I4523" s="2" t="s">
        <v>38</v>
      </c>
      <c r="J4523" s="3">
        <v>44379</v>
      </c>
      <c r="K4523" s="5">
        <f>YEAR(OrganizedData[[#This Row],[Order Date]])</f>
        <v>2021</v>
      </c>
      <c r="L4523" s="7" t="str">
        <f>TEXT(OrganizedData[[#This Row],[Order Date]],"mmm")</f>
        <v>Jul</v>
      </c>
      <c r="M4523" s="2">
        <v>37</v>
      </c>
      <c r="N4523" s="2" t="s">
        <v>54</v>
      </c>
      <c r="O4523" s="2" t="str">
        <f>VLOOKUP(OrganizedData[[#This Row],[Product Code]],ProductData[[Code]:[Item]],2,FALSE)</f>
        <v>Megawidget S</v>
      </c>
      <c r="P4523" s="4">
        <f>OrganizedData[[#This Row],[Quantity]]*VLOOKUP(OrganizedData[[#This Row],[Product Code]],ProductData[],4,FALSE)</f>
        <v>888</v>
      </c>
      <c r="Q4523" s="6">
        <f>OrganizedData[[#This Row],[Total Items Ordered]]*VLOOKUP(OrganizedData[[#This Row],[Product Code]],ProductData[],3,FALSE)</f>
        <v>612.71999999999991</v>
      </c>
      <c r="R45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4524" spans="1:18" x14ac:dyDescent="0.3">
      <c r="A4524" s="2">
        <v>4517</v>
      </c>
      <c r="B4524" s="2" t="s">
        <v>9807</v>
      </c>
      <c r="C4524" s="2" t="s">
        <v>4619</v>
      </c>
      <c r="D4524" s="2" t="s">
        <v>51</v>
      </c>
      <c r="E4524" s="2" t="s">
        <v>16</v>
      </c>
      <c r="F4524" s="2">
        <v>90</v>
      </c>
      <c r="G4524" s="2" t="s">
        <v>9808</v>
      </c>
      <c r="H4524" s="2" t="s">
        <v>4587</v>
      </c>
      <c r="I4524" s="2" t="s">
        <v>32</v>
      </c>
      <c r="J4524" s="3">
        <v>44252</v>
      </c>
      <c r="K4524" s="5">
        <f>YEAR(OrganizedData[[#This Row],[Order Date]])</f>
        <v>2021</v>
      </c>
      <c r="L4524" s="7" t="str">
        <f>TEXT(OrganizedData[[#This Row],[Order Date]],"mmm")</f>
        <v>Feb</v>
      </c>
      <c r="M4524" s="2">
        <v>68</v>
      </c>
      <c r="N4524" s="2" t="s">
        <v>39</v>
      </c>
      <c r="O4524" s="2" t="str">
        <f>VLOOKUP(OrganizedData[[#This Row],[Product Code]],ProductData[[Code]:[Item]],2,FALSE)</f>
        <v>Ultrathing V1</v>
      </c>
      <c r="P4524" s="4">
        <f>OrganizedData[[#This Row],[Quantity]]*VLOOKUP(OrganizedData[[#This Row],[Product Code]],ProductData[],4,FALSE)</f>
        <v>1156</v>
      </c>
      <c r="Q4524" s="6">
        <f>OrganizedData[[#This Row],[Total Items Ordered]]*VLOOKUP(OrganizedData[[#This Row],[Product Code]],ProductData[],3,FALSE)</f>
        <v>2069.2400000000002</v>
      </c>
      <c r="R45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1965.778</v>
      </c>
    </row>
    <row r="4525" spans="1:18" x14ac:dyDescent="0.3">
      <c r="A4525" s="2">
        <v>4518</v>
      </c>
      <c r="B4525" s="2" t="s">
        <v>5797</v>
      </c>
      <c r="C4525" s="2" t="s">
        <v>7779</v>
      </c>
      <c r="D4525" s="2" t="s">
        <v>28</v>
      </c>
      <c r="E4525" s="2" t="s">
        <v>29</v>
      </c>
      <c r="F4525" s="2">
        <v>30</v>
      </c>
      <c r="G4525" s="2" t="s">
        <v>9809</v>
      </c>
      <c r="H4525" s="2" t="s">
        <v>5748</v>
      </c>
      <c r="I4525" s="2" t="s">
        <v>124</v>
      </c>
      <c r="J4525" s="3">
        <v>44818</v>
      </c>
      <c r="K4525" s="5">
        <f>YEAR(OrganizedData[[#This Row],[Order Date]])</f>
        <v>2022</v>
      </c>
      <c r="L4525" s="7" t="str">
        <f>TEXT(OrganizedData[[#This Row],[Order Date]],"mmm")</f>
        <v>Sep</v>
      </c>
      <c r="M4525" s="2">
        <v>55</v>
      </c>
      <c r="N4525" s="2" t="s">
        <v>64</v>
      </c>
      <c r="O4525" s="2" t="str">
        <f>VLOOKUP(OrganizedData[[#This Row],[Product Code]],ProductData[[Code]:[Item]],2,FALSE)</f>
        <v>Ultrathing V4</v>
      </c>
      <c r="P4525" s="4">
        <f>OrganizedData[[#This Row],[Quantity]]*VLOOKUP(OrganizedData[[#This Row],[Product Code]],ProductData[],4,FALSE)</f>
        <v>1320</v>
      </c>
      <c r="Q4525" s="6">
        <f>OrganizedData[[#This Row],[Total Items Ordered]]*VLOOKUP(OrganizedData[[#This Row],[Product Code]],ProductData[],3,FALSE)</f>
        <v>5266.8</v>
      </c>
      <c r="R45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5003.46</v>
      </c>
    </row>
    <row r="4526" spans="1:18" x14ac:dyDescent="0.3">
      <c r="A4526" s="2">
        <v>4519</v>
      </c>
      <c r="B4526" s="2" t="s">
        <v>2966</v>
      </c>
      <c r="C4526" s="2" t="s">
        <v>1044</v>
      </c>
      <c r="D4526" s="2" t="s">
        <v>15</v>
      </c>
      <c r="E4526" s="2" t="s">
        <v>16</v>
      </c>
      <c r="F4526" s="2">
        <v>30</v>
      </c>
      <c r="G4526" s="2" t="s">
        <v>9809</v>
      </c>
      <c r="H4526" s="2" t="s">
        <v>2633</v>
      </c>
      <c r="I4526" s="2" t="s">
        <v>32</v>
      </c>
      <c r="J4526" s="3">
        <v>44750</v>
      </c>
      <c r="K4526" s="5">
        <f>YEAR(OrganizedData[[#This Row],[Order Date]])</f>
        <v>2022</v>
      </c>
      <c r="L4526" s="7" t="str">
        <f>TEXT(OrganizedData[[#This Row],[Order Date]],"mmm")</f>
        <v>Jul</v>
      </c>
      <c r="M4526" s="2">
        <v>13</v>
      </c>
      <c r="N4526" s="2" t="s">
        <v>70</v>
      </c>
      <c r="O4526" s="2" t="str">
        <f>VLOOKUP(OrganizedData[[#This Row],[Product Code]],ProductData[[Code]:[Item]],2,FALSE)</f>
        <v>Megawidget M</v>
      </c>
      <c r="P4526" s="4">
        <f>OrganizedData[[#This Row],[Quantity]]*VLOOKUP(OrganizedData[[#This Row],[Product Code]],ProductData[],4,FALSE)</f>
        <v>312</v>
      </c>
      <c r="Q4526" s="6">
        <f>OrganizedData[[#This Row],[Total Items Ordered]]*VLOOKUP(OrganizedData[[#This Row],[Product Code]],ProductData[],3,FALSE)</f>
        <v>402.48</v>
      </c>
      <c r="R45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402.48</v>
      </c>
    </row>
    <row r="4527" spans="1:18" x14ac:dyDescent="0.3">
      <c r="A4527" s="2">
        <v>4520</v>
      </c>
      <c r="B4527" s="2" t="s">
        <v>9810</v>
      </c>
      <c r="C4527" s="2" t="s">
        <v>940</v>
      </c>
      <c r="D4527" s="2" t="s">
        <v>51</v>
      </c>
      <c r="E4527" s="2" t="s">
        <v>16</v>
      </c>
      <c r="F4527" s="2">
        <v>60</v>
      </c>
      <c r="G4527" s="2" t="s">
        <v>9811</v>
      </c>
      <c r="H4527" s="2" t="s">
        <v>2599</v>
      </c>
      <c r="I4527" s="2" t="s">
        <v>25</v>
      </c>
      <c r="J4527" s="3">
        <v>44669</v>
      </c>
      <c r="K4527" s="5">
        <f>YEAR(OrganizedData[[#This Row],[Order Date]])</f>
        <v>2022</v>
      </c>
      <c r="L4527" s="7" t="str">
        <f>TEXT(OrganizedData[[#This Row],[Order Date]],"mmm")</f>
        <v>Apr</v>
      </c>
      <c r="M4527" s="2">
        <v>67</v>
      </c>
      <c r="N4527" s="2" t="s">
        <v>33</v>
      </c>
      <c r="O4527" s="2" t="str">
        <f>VLOOKUP(OrganizedData[[#This Row],[Product Code]],ProductData[[Code]:[Item]],2,FALSE)</f>
        <v>Megawidget L</v>
      </c>
      <c r="P4527" s="4">
        <f>OrganizedData[[#This Row],[Quantity]]*VLOOKUP(OrganizedData[[#This Row],[Product Code]],ProductData[],4,FALSE)</f>
        <v>1608</v>
      </c>
      <c r="Q4527" s="6">
        <f>OrganizedData[[#This Row],[Total Items Ordered]]*VLOOKUP(OrganizedData[[#This Row],[Product Code]],ProductData[],3,FALSE)</f>
        <v>2878.32</v>
      </c>
      <c r="R45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2734.404</v>
      </c>
    </row>
    <row r="4528" spans="1:18" x14ac:dyDescent="0.3">
      <c r="A4528" s="2">
        <v>4521</v>
      </c>
      <c r="B4528" s="2" t="s">
        <v>9812</v>
      </c>
      <c r="C4528" s="2" t="s">
        <v>3066</v>
      </c>
      <c r="D4528" s="2" t="s">
        <v>15</v>
      </c>
      <c r="E4528" s="2" t="s">
        <v>16</v>
      </c>
      <c r="F4528" s="2">
        <v>90</v>
      </c>
      <c r="G4528" s="2" t="s">
        <v>9813</v>
      </c>
      <c r="H4528" s="2" t="s">
        <v>2227</v>
      </c>
      <c r="I4528" s="2" t="s">
        <v>38</v>
      </c>
      <c r="J4528" s="3">
        <v>43857</v>
      </c>
      <c r="K4528" s="5">
        <f>YEAR(OrganizedData[[#This Row],[Order Date]])</f>
        <v>2020</v>
      </c>
      <c r="L4528" s="7" t="str">
        <f>TEXT(OrganizedData[[#This Row],[Order Date]],"mmm")</f>
        <v>Jan</v>
      </c>
      <c r="M4528" s="2">
        <v>51</v>
      </c>
      <c r="N4528" s="2" t="s">
        <v>101</v>
      </c>
      <c r="O4528" s="2" t="str">
        <f>VLOOKUP(OrganizedData[[#This Row],[Product Code]],ProductData[[Code]:[Item]],2,FALSE)</f>
        <v>Superwossname</v>
      </c>
      <c r="P4528" s="4">
        <f>OrganizedData[[#This Row],[Quantity]]*VLOOKUP(OrganizedData[[#This Row],[Product Code]],ProductData[],4,FALSE)</f>
        <v>1020</v>
      </c>
      <c r="Q4528" s="6">
        <f>OrganizedData[[#This Row],[Total Items Ordered]]*VLOOKUP(OrganizedData[[#This Row],[Product Code]],ProductData[],3,FALSE)</f>
        <v>3559.8</v>
      </c>
      <c r="R45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3381.81</v>
      </c>
    </row>
    <row r="4529" spans="1:18" x14ac:dyDescent="0.3">
      <c r="A4529" s="2">
        <v>4522</v>
      </c>
      <c r="B4529" s="2" t="s">
        <v>8151</v>
      </c>
      <c r="C4529" s="2" t="s">
        <v>2942</v>
      </c>
      <c r="D4529" s="2" t="s">
        <v>15</v>
      </c>
      <c r="E4529" s="2" t="s">
        <v>16</v>
      </c>
      <c r="F4529" s="2">
        <v>90</v>
      </c>
      <c r="G4529" s="2" t="s">
        <v>9814</v>
      </c>
      <c r="H4529" s="2" t="s">
        <v>3673</v>
      </c>
      <c r="I4529" s="2" t="s">
        <v>777</v>
      </c>
      <c r="J4529" s="3">
        <v>44879</v>
      </c>
      <c r="K4529" s="5">
        <f>YEAR(OrganizedData[[#This Row],[Order Date]])</f>
        <v>2022</v>
      </c>
      <c r="L4529" s="7" t="str">
        <f>TEXT(OrganizedData[[#This Row],[Order Date]],"mmm")</f>
        <v>Nov</v>
      </c>
      <c r="M4529" s="2">
        <v>4</v>
      </c>
      <c r="N4529" s="2" t="s">
        <v>159</v>
      </c>
      <c r="O4529" s="2" t="str">
        <f>VLOOKUP(OrganizedData[[#This Row],[Product Code]],ProductData[[Code]:[Item]],2,FALSE)</f>
        <v>Ultrathing V3</v>
      </c>
      <c r="P4529" s="4">
        <f>OrganizedData[[#This Row],[Quantity]]*VLOOKUP(OrganizedData[[#This Row],[Product Code]],ProductData[],4,FALSE)</f>
        <v>96</v>
      </c>
      <c r="Q4529" s="6">
        <f>OrganizedData[[#This Row],[Total Items Ordered]]*VLOOKUP(OrganizedData[[#This Row],[Product Code]],ProductData[],3,FALSE)</f>
        <v>325.44</v>
      </c>
      <c r="R45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325.44</v>
      </c>
    </row>
    <row r="4530" spans="1:18" x14ac:dyDescent="0.3">
      <c r="A4530" s="2">
        <v>4523</v>
      </c>
      <c r="B4530" s="2" t="s">
        <v>9815</v>
      </c>
      <c r="C4530" s="2" t="s">
        <v>7177</v>
      </c>
      <c r="D4530" s="2" t="s">
        <v>51</v>
      </c>
      <c r="E4530" s="2" t="s">
        <v>16</v>
      </c>
      <c r="F4530" s="2">
        <v>60</v>
      </c>
      <c r="G4530" s="2" t="s">
        <v>9816</v>
      </c>
      <c r="H4530" s="2" t="s">
        <v>2351</v>
      </c>
      <c r="I4530" s="2" t="s">
        <v>32</v>
      </c>
      <c r="J4530" s="3">
        <v>44089</v>
      </c>
      <c r="K4530" s="5">
        <f>YEAR(OrganizedData[[#This Row],[Order Date]])</f>
        <v>2020</v>
      </c>
      <c r="L4530" s="7" t="str">
        <f>TEXT(OrganizedData[[#This Row],[Order Date]],"mmm")</f>
        <v>Sep</v>
      </c>
      <c r="M4530" s="2">
        <v>19</v>
      </c>
      <c r="N4530" s="2" t="s">
        <v>33</v>
      </c>
      <c r="O4530" s="2" t="str">
        <f>VLOOKUP(OrganizedData[[#This Row],[Product Code]],ProductData[[Code]:[Item]],2,FALSE)</f>
        <v>Megawidget L</v>
      </c>
      <c r="P4530" s="4">
        <f>OrganizedData[[#This Row],[Quantity]]*VLOOKUP(OrganizedData[[#This Row],[Product Code]],ProductData[],4,FALSE)</f>
        <v>456</v>
      </c>
      <c r="Q4530" s="6">
        <f>OrganizedData[[#This Row],[Total Items Ordered]]*VLOOKUP(OrganizedData[[#This Row],[Product Code]],ProductData[],3,FALSE)</f>
        <v>816.24</v>
      </c>
      <c r="R45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816.24</v>
      </c>
    </row>
    <row r="4531" spans="1:18" x14ac:dyDescent="0.3">
      <c r="A4531" s="2">
        <v>4524</v>
      </c>
      <c r="B4531" s="2" t="s">
        <v>9817</v>
      </c>
      <c r="C4531" s="2" t="s">
        <v>1851</v>
      </c>
      <c r="D4531" s="2" t="s">
        <v>51</v>
      </c>
      <c r="E4531" s="2" t="s">
        <v>16</v>
      </c>
      <c r="F4531" s="2">
        <v>30</v>
      </c>
      <c r="G4531" s="2" t="s">
        <v>9816</v>
      </c>
      <c r="H4531" s="2" t="s">
        <v>2893</v>
      </c>
      <c r="I4531" s="2" t="s">
        <v>32</v>
      </c>
      <c r="J4531" s="3">
        <v>44477</v>
      </c>
      <c r="K4531" s="5">
        <f>YEAR(OrganizedData[[#This Row],[Order Date]])</f>
        <v>2021</v>
      </c>
      <c r="L4531" s="7" t="str">
        <f>TEXT(OrganizedData[[#This Row],[Order Date]],"mmm")</f>
        <v>Oct</v>
      </c>
      <c r="M4531" s="2">
        <v>48</v>
      </c>
      <c r="N4531" s="2" t="s">
        <v>80</v>
      </c>
      <c r="O4531" s="2" t="str">
        <f>VLOOKUP(OrganizedData[[#This Row],[Product Code]],ProductData[[Code]:[Item]],2,FALSE)</f>
        <v>Ultrathing V2</v>
      </c>
      <c r="P4531" s="4">
        <f>OrganizedData[[#This Row],[Quantity]]*VLOOKUP(OrganizedData[[#This Row],[Product Code]],ProductData[],4,FALSE)</f>
        <v>960</v>
      </c>
      <c r="Q4531" s="6">
        <f>OrganizedData[[#This Row],[Total Items Ordered]]*VLOOKUP(OrganizedData[[#This Row],[Product Code]],ProductData[],3,FALSE)</f>
        <v>2832</v>
      </c>
      <c r="R45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2747.04</v>
      </c>
    </row>
    <row r="4532" spans="1:18" x14ac:dyDescent="0.3">
      <c r="A4532" s="2">
        <v>4525</v>
      </c>
      <c r="B4532" s="2" t="s">
        <v>9818</v>
      </c>
      <c r="C4532" s="2" t="s">
        <v>1468</v>
      </c>
      <c r="D4532" s="2" t="s">
        <v>15</v>
      </c>
      <c r="E4532" s="2" t="s">
        <v>16</v>
      </c>
      <c r="F4532" s="2">
        <v>60</v>
      </c>
      <c r="G4532" s="2" t="s">
        <v>9819</v>
      </c>
      <c r="H4532" s="2" t="s">
        <v>3446</v>
      </c>
      <c r="I4532" s="2" t="s">
        <v>32</v>
      </c>
      <c r="J4532" s="3">
        <v>44499</v>
      </c>
      <c r="K4532" s="5">
        <f>YEAR(OrganizedData[[#This Row],[Order Date]])</f>
        <v>2021</v>
      </c>
      <c r="L4532" s="7" t="str">
        <f>TEXT(OrganizedData[[#This Row],[Order Date]],"mmm")</f>
        <v>Oct</v>
      </c>
      <c r="M4532" s="2">
        <v>69</v>
      </c>
      <c r="N4532" s="2" t="s">
        <v>39</v>
      </c>
      <c r="O4532" s="2" t="str">
        <f>VLOOKUP(OrganizedData[[#This Row],[Product Code]],ProductData[[Code]:[Item]],2,FALSE)</f>
        <v>Ultrathing V1</v>
      </c>
      <c r="P4532" s="4">
        <f>OrganizedData[[#This Row],[Quantity]]*VLOOKUP(OrganizedData[[#This Row],[Product Code]],ProductData[],4,FALSE)</f>
        <v>1173</v>
      </c>
      <c r="Q4532" s="6">
        <f>OrganizedData[[#This Row],[Total Items Ordered]]*VLOOKUP(OrganizedData[[#This Row],[Product Code]],ProductData[],3,FALSE)</f>
        <v>2099.67</v>
      </c>
      <c r="R45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4533" spans="1:18" x14ac:dyDescent="0.3">
      <c r="A4533" s="2">
        <v>4526</v>
      </c>
      <c r="B4533" s="2" t="s">
        <v>8479</v>
      </c>
      <c r="C4533" s="2" t="s">
        <v>233</v>
      </c>
      <c r="D4533" s="2" t="s">
        <v>92</v>
      </c>
      <c r="E4533" s="2" t="s">
        <v>16</v>
      </c>
      <c r="F4533" s="2">
        <v>90</v>
      </c>
      <c r="G4533" s="2" t="s">
        <v>9820</v>
      </c>
      <c r="H4533" s="2" t="s">
        <v>655</v>
      </c>
      <c r="I4533" s="2" t="s">
        <v>32</v>
      </c>
      <c r="J4533" s="3">
        <v>43842</v>
      </c>
      <c r="K4533" s="5">
        <f>YEAR(OrganizedData[[#This Row],[Order Date]])</f>
        <v>2020</v>
      </c>
      <c r="L4533" s="7" t="str">
        <f>TEXT(OrganizedData[[#This Row],[Order Date]],"mmm")</f>
        <v>Jan</v>
      </c>
      <c r="M4533" s="2">
        <v>57</v>
      </c>
      <c r="N4533" s="2" t="s">
        <v>159</v>
      </c>
      <c r="O4533" s="2" t="str">
        <f>VLOOKUP(OrganizedData[[#This Row],[Product Code]],ProductData[[Code]:[Item]],2,FALSE)</f>
        <v>Ultrathing V3</v>
      </c>
      <c r="P4533" s="4">
        <f>OrganizedData[[#This Row],[Quantity]]*VLOOKUP(OrganizedData[[#This Row],[Product Code]],ProductData[],4,FALSE)</f>
        <v>1368</v>
      </c>
      <c r="Q4533" s="6">
        <f>OrganizedData[[#This Row],[Total Items Ordered]]*VLOOKUP(OrganizedData[[#This Row],[Product Code]],ProductData[],3,FALSE)</f>
        <v>4637.5200000000004</v>
      </c>
      <c r="R45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4405.6440000000002</v>
      </c>
    </row>
    <row r="4534" spans="1:18" x14ac:dyDescent="0.3">
      <c r="A4534" s="2">
        <v>4527</v>
      </c>
      <c r="B4534" s="2" t="s">
        <v>4768</v>
      </c>
      <c r="C4534" s="2" t="s">
        <v>2188</v>
      </c>
      <c r="D4534" s="2" t="s">
        <v>28</v>
      </c>
      <c r="E4534" s="2" t="s">
        <v>29</v>
      </c>
      <c r="F4534" s="2">
        <v>90</v>
      </c>
      <c r="G4534" s="2" t="s">
        <v>9821</v>
      </c>
      <c r="H4534" s="2" t="s">
        <v>1796</v>
      </c>
      <c r="I4534" s="2" t="s">
        <v>178</v>
      </c>
      <c r="J4534" s="3">
        <v>44808</v>
      </c>
      <c r="K4534" s="5">
        <f>YEAR(OrganizedData[[#This Row],[Order Date]])</f>
        <v>2022</v>
      </c>
      <c r="L4534" s="7" t="str">
        <f>TEXT(OrganizedData[[#This Row],[Order Date]],"mmm")</f>
        <v>Sep</v>
      </c>
      <c r="M4534" s="2">
        <v>35</v>
      </c>
      <c r="N4534" s="2" t="s">
        <v>39</v>
      </c>
      <c r="O4534" s="2" t="str">
        <f>VLOOKUP(OrganizedData[[#This Row],[Product Code]],ProductData[[Code]:[Item]],2,FALSE)</f>
        <v>Ultrathing V1</v>
      </c>
      <c r="P4534" s="4">
        <f>OrganizedData[[#This Row],[Quantity]]*VLOOKUP(OrganizedData[[#This Row],[Product Code]],ProductData[],4,FALSE)</f>
        <v>595</v>
      </c>
      <c r="Q4534" s="6">
        <f>OrganizedData[[#This Row],[Total Items Ordered]]*VLOOKUP(OrganizedData[[#This Row],[Product Code]],ProductData[],3,FALSE)</f>
        <v>1065.05</v>
      </c>
      <c r="R45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1033.0984999999998</v>
      </c>
    </row>
    <row r="4535" spans="1:18" x14ac:dyDescent="0.3">
      <c r="A4535" s="2">
        <v>4528</v>
      </c>
      <c r="B4535" s="2" t="s">
        <v>8187</v>
      </c>
      <c r="C4535" s="2" t="s">
        <v>9715</v>
      </c>
      <c r="D4535" s="2" t="s">
        <v>28</v>
      </c>
      <c r="E4535" s="2" t="s">
        <v>29</v>
      </c>
      <c r="F4535" s="2">
        <v>30</v>
      </c>
      <c r="G4535" s="2" t="s">
        <v>9822</v>
      </c>
      <c r="H4535" s="2" t="s">
        <v>3402</v>
      </c>
      <c r="I4535" s="2" t="s">
        <v>32</v>
      </c>
      <c r="J4535" s="3">
        <v>44539</v>
      </c>
      <c r="K4535" s="5">
        <f>YEAR(OrganizedData[[#This Row],[Order Date]])</f>
        <v>2021</v>
      </c>
      <c r="L4535" s="7" t="str">
        <f>TEXT(OrganizedData[[#This Row],[Order Date]],"mmm")</f>
        <v>Dec</v>
      </c>
      <c r="M4535" s="2">
        <v>77</v>
      </c>
      <c r="N4535" s="2" t="s">
        <v>54</v>
      </c>
      <c r="O4535" s="2" t="str">
        <f>VLOOKUP(OrganizedData[[#This Row],[Product Code]],ProductData[[Code]:[Item]],2,FALSE)</f>
        <v>Megawidget S</v>
      </c>
      <c r="P4535" s="4">
        <f>OrganizedData[[#This Row],[Quantity]]*VLOOKUP(OrganizedData[[#This Row],[Product Code]],ProductData[],4,FALSE)</f>
        <v>1848</v>
      </c>
      <c r="Q4535" s="6">
        <f>OrganizedData[[#This Row],[Total Items Ordered]]*VLOOKUP(OrganizedData[[#This Row],[Product Code]],ProductData[],3,FALSE)</f>
        <v>1275.1199999999999</v>
      </c>
      <c r="R45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1211.3639999999998</v>
      </c>
    </row>
    <row r="4536" spans="1:18" x14ac:dyDescent="0.3">
      <c r="A4536" s="2">
        <v>4529</v>
      </c>
      <c r="B4536" s="2" t="s">
        <v>3089</v>
      </c>
      <c r="C4536" s="2" t="s">
        <v>6322</v>
      </c>
      <c r="D4536" s="2" t="s">
        <v>28</v>
      </c>
      <c r="E4536" s="2" t="s">
        <v>29</v>
      </c>
      <c r="F4536" s="2">
        <v>90</v>
      </c>
      <c r="G4536" s="2" t="s">
        <v>9823</v>
      </c>
      <c r="H4536" s="2" t="s">
        <v>5643</v>
      </c>
      <c r="I4536" s="2" t="s">
        <v>886</v>
      </c>
      <c r="J4536" s="3">
        <v>44068</v>
      </c>
      <c r="K4536" s="5">
        <f>YEAR(OrganizedData[[#This Row],[Order Date]])</f>
        <v>2020</v>
      </c>
      <c r="L4536" s="7" t="str">
        <f>TEXT(OrganizedData[[#This Row],[Order Date]],"mmm")</f>
        <v>Aug</v>
      </c>
      <c r="M4536" s="2">
        <v>74</v>
      </c>
      <c r="N4536" s="2" t="s">
        <v>33</v>
      </c>
      <c r="O4536" s="2" t="str">
        <f>VLOOKUP(OrganizedData[[#This Row],[Product Code]],ProductData[[Code]:[Item]],2,FALSE)</f>
        <v>Megawidget L</v>
      </c>
      <c r="P4536" s="4">
        <f>OrganizedData[[#This Row],[Quantity]]*VLOOKUP(OrganizedData[[#This Row],[Product Code]],ProductData[],4,FALSE)</f>
        <v>1776</v>
      </c>
      <c r="Q4536" s="6">
        <f>OrganizedData[[#This Row],[Total Items Ordered]]*VLOOKUP(OrganizedData[[#This Row],[Product Code]],ProductData[],3,FALSE)</f>
        <v>3179.04</v>
      </c>
      <c r="R45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4537" spans="1:18" x14ac:dyDescent="0.3">
      <c r="A4537" s="2">
        <v>4530</v>
      </c>
      <c r="B4537" s="2" t="s">
        <v>8187</v>
      </c>
      <c r="C4537" s="2" t="s">
        <v>1813</v>
      </c>
      <c r="D4537" s="2" t="s">
        <v>28</v>
      </c>
      <c r="E4537" s="2" t="s">
        <v>29</v>
      </c>
      <c r="F4537" s="2">
        <v>60</v>
      </c>
      <c r="G4537" s="2" t="s">
        <v>9823</v>
      </c>
      <c r="H4537" s="2" t="s">
        <v>1382</v>
      </c>
      <c r="I4537" s="2" t="s">
        <v>32</v>
      </c>
      <c r="J4537" s="3">
        <v>43930</v>
      </c>
      <c r="K4537" s="5">
        <f>YEAR(OrganizedData[[#This Row],[Order Date]])</f>
        <v>2020</v>
      </c>
      <c r="L4537" s="7" t="str">
        <f>TEXT(OrganizedData[[#This Row],[Order Date]],"mmm")</f>
        <v>Apr</v>
      </c>
      <c r="M4537" s="2">
        <v>43</v>
      </c>
      <c r="N4537" s="2" t="s">
        <v>80</v>
      </c>
      <c r="O4537" s="2" t="str">
        <f>VLOOKUP(OrganizedData[[#This Row],[Product Code]],ProductData[[Code]:[Item]],2,FALSE)</f>
        <v>Ultrathing V2</v>
      </c>
      <c r="P4537" s="4">
        <f>OrganizedData[[#This Row],[Quantity]]*VLOOKUP(OrganizedData[[#This Row],[Product Code]],ProductData[],4,FALSE)</f>
        <v>860</v>
      </c>
      <c r="Q4537" s="6">
        <f>OrganizedData[[#This Row],[Total Items Ordered]]*VLOOKUP(OrganizedData[[#This Row],[Product Code]],ProductData[],3,FALSE)</f>
        <v>2537</v>
      </c>
      <c r="R45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2460.89</v>
      </c>
    </row>
    <row r="4538" spans="1:18" x14ac:dyDescent="0.3">
      <c r="A4538" s="2">
        <v>4531</v>
      </c>
      <c r="B4538" s="2" t="s">
        <v>7121</v>
      </c>
      <c r="C4538" s="2" t="s">
        <v>3369</v>
      </c>
      <c r="D4538" s="2" t="s">
        <v>28</v>
      </c>
      <c r="E4538" s="2" t="s">
        <v>29</v>
      </c>
      <c r="F4538" s="2">
        <v>60</v>
      </c>
      <c r="G4538" s="2" t="s">
        <v>9824</v>
      </c>
      <c r="H4538" s="2" t="s">
        <v>3862</v>
      </c>
      <c r="I4538" s="2" t="s">
        <v>2543</v>
      </c>
      <c r="J4538" s="3">
        <v>43873</v>
      </c>
      <c r="K4538" s="5">
        <f>YEAR(OrganizedData[[#This Row],[Order Date]])</f>
        <v>2020</v>
      </c>
      <c r="L4538" s="7" t="str">
        <f>TEXT(OrganizedData[[#This Row],[Order Date]],"mmm")</f>
        <v>Feb</v>
      </c>
      <c r="M4538" s="2">
        <v>32</v>
      </c>
      <c r="N4538" s="2" t="s">
        <v>80</v>
      </c>
      <c r="O4538" s="2" t="str">
        <f>VLOOKUP(OrganizedData[[#This Row],[Product Code]],ProductData[[Code]:[Item]],2,FALSE)</f>
        <v>Ultrathing V2</v>
      </c>
      <c r="P4538" s="4">
        <f>OrganizedData[[#This Row],[Quantity]]*VLOOKUP(OrganizedData[[#This Row],[Product Code]],ProductData[],4,FALSE)</f>
        <v>640</v>
      </c>
      <c r="Q4538" s="6">
        <f>OrganizedData[[#This Row],[Total Items Ordered]]*VLOOKUP(OrganizedData[[#This Row],[Product Code]],ProductData[],3,FALSE)</f>
        <v>1888</v>
      </c>
      <c r="R45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1831.36</v>
      </c>
    </row>
    <row r="4539" spans="1:18" x14ac:dyDescent="0.3">
      <c r="A4539" s="2">
        <v>4532</v>
      </c>
      <c r="B4539" s="2" t="s">
        <v>922</v>
      </c>
      <c r="C4539" s="2" t="s">
        <v>6307</v>
      </c>
      <c r="D4539" s="2" t="s">
        <v>28</v>
      </c>
      <c r="E4539" s="2" t="s">
        <v>29</v>
      </c>
      <c r="F4539" s="2">
        <v>60</v>
      </c>
      <c r="G4539" s="2" t="s">
        <v>9825</v>
      </c>
      <c r="H4539" s="2" t="s">
        <v>2671</v>
      </c>
      <c r="I4539" s="2" t="s">
        <v>1157</v>
      </c>
      <c r="J4539" s="3">
        <v>43836</v>
      </c>
      <c r="K4539" s="5">
        <f>YEAR(OrganizedData[[#This Row],[Order Date]])</f>
        <v>2020</v>
      </c>
      <c r="L4539" s="7" t="str">
        <f>TEXT(OrganizedData[[#This Row],[Order Date]],"mmm")</f>
        <v>Jan</v>
      </c>
      <c r="M4539" s="2">
        <v>29</v>
      </c>
      <c r="N4539" s="2" t="s">
        <v>39</v>
      </c>
      <c r="O4539" s="2" t="str">
        <f>VLOOKUP(OrganizedData[[#This Row],[Product Code]],ProductData[[Code]:[Item]],2,FALSE)</f>
        <v>Ultrathing V1</v>
      </c>
      <c r="P4539" s="4">
        <f>OrganizedData[[#This Row],[Quantity]]*VLOOKUP(OrganizedData[[#This Row],[Product Code]],ProductData[],4,FALSE)</f>
        <v>493</v>
      </c>
      <c r="Q4539" s="6">
        <f>OrganizedData[[#This Row],[Total Items Ordered]]*VLOOKUP(OrganizedData[[#This Row],[Product Code]],ProductData[],3,FALSE)</f>
        <v>882.47</v>
      </c>
      <c r="R45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855.99590000000001</v>
      </c>
    </row>
    <row r="4540" spans="1:18" x14ac:dyDescent="0.3">
      <c r="A4540" s="2">
        <v>4533</v>
      </c>
      <c r="B4540" s="2" t="s">
        <v>1031</v>
      </c>
      <c r="C4540" s="2" t="s">
        <v>6890</v>
      </c>
      <c r="D4540" s="2" t="s">
        <v>28</v>
      </c>
      <c r="E4540" s="2" t="s">
        <v>29</v>
      </c>
      <c r="F4540" s="2">
        <v>30</v>
      </c>
      <c r="G4540" s="2" t="s">
        <v>9826</v>
      </c>
      <c r="H4540" s="2" t="s">
        <v>4066</v>
      </c>
      <c r="I4540" s="2" t="s">
        <v>4067</v>
      </c>
      <c r="J4540" s="3">
        <v>44708</v>
      </c>
      <c r="K4540" s="5">
        <f>YEAR(OrganizedData[[#This Row],[Order Date]])</f>
        <v>2022</v>
      </c>
      <c r="L4540" s="7" t="str">
        <f>TEXT(OrganizedData[[#This Row],[Order Date]],"mmm")</f>
        <v>May</v>
      </c>
      <c r="M4540" s="2">
        <v>92</v>
      </c>
      <c r="N4540" s="2" t="s">
        <v>64</v>
      </c>
      <c r="O4540" s="2" t="str">
        <f>VLOOKUP(OrganizedData[[#This Row],[Product Code]],ProductData[[Code]:[Item]],2,FALSE)</f>
        <v>Ultrathing V4</v>
      </c>
      <c r="P4540" s="4">
        <f>OrganizedData[[#This Row],[Quantity]]*VLOOKUP(OrganizedData[[#This Row],[Product Code]],ProductData[],4,FALSE)</f>
        <v>2208</v>
      </c>
      <c r="Q4540" s="6">
        <f>OrganizedData[[#This Row],[Total Items Ordered]]*VLOOKUP(OrganizedData[[#This Row],[Product Code]],ProductData[],3,FALSE)</f>
        <v>8809.92</v>
      </c>
      <c r="R45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8369.4239999999991</v>
      </c>
    </row>
    <row r="4541" spans="1:18" x14ac:dyDescent="0.3">
      <c r="A4541" s="2">
        <v>4534</v>
      </c>
      <c r="B4541" s="2" t="s">
        <v>6699</v>
      </c>
      <c r="C4541" s="2" t="s">
        <v>3549</v>
      </c>
      <c r="D4541" s="2" t="s">
        <v>28</v>
      </c>
      <c r="E4541" s="2" t="s">
        <v>29</v>
      </c>
      <c r="F4541" s="2">
        <v>60</v>
      </c>
      <c r="G4541" s="2" t="s">
        <v>9827</v>
      </c>
      <c r="H4541" s="2" t="s">
        <v>3793</v>
      </c>
      <c r="I4541" s="2" t="s">
        <v>173</v>
      </c>
      <c r="J4541" s="3">
        <v>44548</v>
      </c>
      <c r="K4541" s="5">
        <f>YEAR(OrganizedData[[#This Row],[Order Date]])</f>
        <v>2021</v>
      </c>
      <c r="L4541" s="7" t="str">
        <f>TEXT(OrganizedData[[#This Row],[Order Date]],"mmm")</f>
        <v>Dec</v>
      </c>
      <c r="M4541" s="2">
        <v>93</v>
      </c>
      <c r="N4541" s="2" t="s">
        <v>80</v>
      </c>
      <c r="O4541" s="2" t="str">
        <f>VLOOKUP(OrganizedData[[#This Row],[Product Code]],ProductData[[Code]:[Item]],2,FALSE)</f>
        <v>Ultrathing V2</v>
      </c>
      <c r="P4541" s="4">
        <f>OrganizedData[[#This Row],[Quantity]]*VLOOKUP(OrganizedData[[#This Row],[Product Code]],ProductData[],4,FALSE)</f>
        <v>1860</v>
      </c>
      <c r="Q4541" s="6">
        <f>OrganizedData[[#This Row],[Total Items Ordered]]*VLOOKUP(OrganizedData[[#This Row],[Product Code]],ProductData[],3,FALSE)</f>
        <v>5487</v>
      </c>
      <c r="R45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5212.6499999999996</v>
      </c>
    </row>
    <row r="4542" spans="1:18" x14ac:dyDescent="0.3">
      <c r="A4542" s="2">
        <v>4535</v>
      </c>
      <c r="B4542" s="2" t="s">
        <v>990</v>
      </c>
      <c r="C4542" s="2" t="s">
        <v>8563</v>
      </c>
      <c r="D4542" s="2" t="s">
        <v>28</v>
      </c>
      <c r="E4542" s="2" t="s">
        <v>29</v>
      </c>
      <c r="F4542" s="2">
        <v>60</v>
      </c>
      <c r="G4542" s="2" t="s">
        <v>9828</v>
      </c>
      <c r="H4542" s="2" t="s">
        <v>7330</v>
      </c>
      <c r="I4542" s="2" t="s">
        <v>5820</v>
      </c>
      <c r="J4542" s="3">
        <v>44719</v>
      </c>
      <c r="K4542" s="5">
        <f>YEAR(OrganizedData[[#This Row],[Order Date]])</f>
        <v>2022</v>
      </c>
      <c r="L4542" s="7" t="str">
        <f>TEXT(OrganizedData[[#This Row],[Order Date]],"mmm")</f>
        <v>Jun</v>
      </c>
      <c r="M4542" s="2">
        <v>56</v>
      </c>
      <c r="N4542" s="2" t="s">
        <v>20</v>
      </c>
      <c r="O4542" s="2" t="str">
        <f>VLOOKUP(OrganizedData[[#This Row],[Product Code]],ProductData[[Code]:[Item]],2,FALSE)</f>
        <v>Hyperwotsit</v>
      </c>
      <c r="P4542" s="4">
        <f>OrganizedData[[#This Row],[Quantity]]*VLOOKUP(OrganizedData[[#This Row],[Product Code]],ProductData[],4,FALSE)</f>
        <v>1120</v>
      </c>
      <c r="Q4542" s="6">
        <f>OrganizedData[[#This Row],[Total Items Ordered]]*VLOOKUP(OrganizedData[[#This Row],[Product Code]],ProductData[],3,FALSE)</f>
        <v>2251.1999999999998</v>
      </c>
      <c r="R45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2138.64</v>
      </c>
    </row>
    <row r="4543" spans="1:18" x14ac:dyDescent="0.3">
      <c r="A4543" s="2">
        <v>4536</v>
      </c>
      <c r="B4543" s="2" t="s">
        <v>9193</v>
      </c>
      <c r="C4543" s="2" t="s">
        <v>987</v>
      </c>
      <c r="D4543" s="2" t="s">
        <v>621</v>
      </c>
      <c r="E4543" s="2" t="s">
        <v>29</v>
      </c>
      <c r="F4543" s="2">
        <v>30</v>
      </c>
      <c r="G4543" s="2" t="s">
        <v>9829</v>
      </c>
      <c r="H4543" s="2" t="s">
        <v>3409</v>
      </c>
      <c r="I4543" s="2" t="s">
        <v>95</v>
      </c>
      <c r="J4543" s="3">
        <v>43975</v>
      </c>
      <c r="K4543" s="5">
        <f>YEAR(OrganizedData[[#This Row],[Order Date]])</f>
        <v>2020</v>
      </c>
      <c r="L4543" s="7" t="str">
        <f>TEXT(OrganizedData[[#This Row],[Order Date]],"mmm")</f>
        <v>May</v>
      </c>
      <c r="M4543" s="2">
        <v>13</v>
      </c>
      <c r="N4543" s="2" t="s">
        <v>159</v>
      </c>
      <c r="O4543" s="2" t="str">
        <f>VLOOKUP(OrganizedData[[#This Row],[Product Code]],ProductData[[Code]:[Item]],2,FALSE)</f>
        <v>Ultrathing V3</v>
      </c>
      <c r="P4543" s="4">
        <f>OrganizedData[[#This Row],[Quantity]]*VLOOKUP(OrganizedData[[#This Row],[Product Code]],ProductData[],4,FALSE)</f>
        <v>312</v>
      </c>
      <c r="Q4543" s="6">
        <f>OrganizedData[[#This Row],[Total Items Ordered]]*VLOOKUP(OrganizedData[[#This Row],[Product Code]],ProductData[],3,FALSE)</f>
        <v>1057.68</v>
      </c>
      <c r="R45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1057.68</v>
      </c>
    </row>
    <row r="4544" spans="1:18" x14ac:dyDescent="0.3">
      <c r="A4544" s="2">
        <v>4537</v>
      </c>
      <c r="B4544" s="2" t="s">
        <v>2381</v>
      </c>
      <c r="C4544" s="2" t="s">
        <v>1307</v>
      </c>
      <c r="D4544" s="2" t="s">
        <v>28</v>
      </c>
      <c r="E4544" s="2" t="s">
        <v>29</v>
      </c>
      <c r="F4544" s="2">
        <v>30</v>
      </c>
      <c r="G4544" s="2" t="s">
        <v>9830</v>
      </c>
      <c r="H4544" s="2" t="s">
        <v>3100</v>
      </c>
      <c r="I4544" s="2" t="s">
        <v>32</v>
      </c>
      <c r="J4544" s="3">
        <v>44320</v>
      </c>
      <c r="K4544" s="5">
        <f>YEAR(OrganizedData[[#This Row],[Order Date]])</f>
        <v>2021</v>
      </c>
      <c r="L4544" s="7" t="str">
        <f>TEXT(OrganizedData[[#This Row],[Order Date]],"mmm")</f>
        <v>May</v>
      </c>
      <c r="M4544" s="2">
        <v>46</v>
      </c>
      <c r="N4544" s="2" t="s">
        <v>20</v>
      </c>
      <c r="O4544" s="2" t="str">
        <f>VLOOKUP(OrganizedData[[#This Row],[Product Code]],ProductData[[Code]:[Item]],2,FALSE)</f>
        <v>Hyperwotsit</v>
      </c>
      <c r="P4544" s="4">
        <f>OrganizedData[[#This Row],[Quantity]]*VLOOKUP(OrganizedData[[#This Row],[Product Code]],ProductData[],4,FALSE)</f>
        <v>920</v>
      </c>
      <c r="Q4544" s="6">
        <f>OrganizedData[[#This Row],[Total Items Ordered]]*VLOOKUP(OrganizedData[[#This Row],[Product Code]],ProductData[],3,FALSE)</f>
        <v>1849.1999999999998</v>
      </c>
      <c r="R45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1793.7239999999997</v>
      </c>
    </row>
    <row r="4545" spans="1:18" x14ac:dyDescent="0.3">
      <c r="A4545" s="2">
        <v>4538</v>
      </c>
      <c r="B4545" s="2" t="s">
        <v>9831</v>
      </c>
      <c r="C4545" s="2" t="s">
        <v>3382</v>
      </c>
      <c r="D4545" s="2" t="s">
        <v>15</v>
      </c>
      <c r="E4545" s="2" t="s">
        <v>16</v>
      </c>
      <c r="F4545" s="2">
        <v>30</v>
      </c>
      <c r="G4545" s="2" t="s">
        <v>9832</v>
      </c>
      <c r="H4545" s="2" t="s">
        <v>2753</v>
      </c>
      <c r="I4545" s="2" t="s">
        <v>124</v>
      </c>
      <c r="J4545" s="3">
        <v>44850</v>
      </c>
      <c r="K4545" s="5">
        <f>YEAR(OrganizedData[[#This Row],[Order Date]])</f>
        <v>2022</v>
      </c>
      <c r="L4545" s="7" t="str">
        <f>TEXT(OrganizedData[[#This Row],[Order Date]],"mmm")</f>
        <v>Oct</v>
      </c>
      <c r="M4545" s="2">
        <v>13</v>
      </c>
      <c r="N4545" s="2" t="s">
        <v>80</v>
      </c>
      <c r="O4545" s="2" t="str">
        <f>VLOOKUP(OrganizedData[[#This Row],[Product Code]],ProductData[[Code]:[Item]],2,FALSE)</f>
        <v>Ultrathing V2</v>
      </c>
      <c r="P4545" s="4">
        <f>OrganizedData[[#This Row],[Quantity]]*VLOOKUP(OrganizedData[[#This Row],[Product Code]],ProductData[],4,FALSE)</f>
        <v>260</v>
      </c>
      <c r="Q4545" s="6">
        <f>OrganizedData[[#This Row],[Total Items Ordered]]*VLOOKUP(OrganizedData[[#This Row],[Product Code]],ProductData[],3,FALSE)</f>
        <v>767</v>
      </c>
      <c r="R45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v>
      </c>
    </row>
    <row r="4546" spans="1:18" x14ac:dyDescent="0.3">
      <c r="A4546" s="2">
        <v>4539</v>
      </c>
      <c r="B4546" s="2" t="s">
        <v>6316</v>
      </c>
      <c r="C4546" s="2" t="s">
        <v>9833</v>
      </c>
      <c r="D4546" s="2" t="s">
        <v>15</v>
      </c>
      <c r="E4546" s="2" t="s">
        <v>16</v>
      </c>
      <c r="F4546" s="2">
        <v>30</v>
      </c>
      <c r="G4546" s="2" t="s">
        <v>9834</v>
      </c>
      <c r="H4546" s="2" t="s">
        <v>1791</v>
      </c>
      <c r="I4546" s="2" t="s">
        <v>32</v>
      </c>
      <c r="J4546" s="3">
        <v>43937</v>
      </c>
      <c r="K4546" s="5">
        <f>YEAR(OrganizedData[[#This Row],[Order Date]])</f>
        <v>2020</v>
      </c>
      <c r="L4546" s="7" t="str">
        <f>TEXT(OrganizedData[[#This Row],[Order Date]],"mmm")</f>
        <v>Apr</v>
      </c>
      <c r="M4546" s="2">
        <v>63</v>
      </c>
      <c r="N4546" s="2" t="s">
        <v>80</v>
      </c>
      <c r="O4546" s="2" t="str">
        <f>VLOOKUP(OrganizedData[[#This Row],[Product Code]],ProductData[[Code]:[Item]],2,FALSE)</f>
        <v>Ultrathing V2</v>
      </c>
      <c r="P4546" s="4">
        <f>OrganizedData[[#This Row],[Quantity]]*VLOOKUP(OrganizedData[[#This Row],[Product Code]],ProductData[],4,FALSE)</f>
        <v>1260</v>
      </c>
      <c r="Q4546" s="6">
        <f>OrganizedData[[#This Row],[Total Items Ordered]]*VLOOKUP(OrganizedData[[#This Row],[Product Code]],ProductData[],3,FALSE)</f>
        <v>3717</v>
      </c>
      <c r="R45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3531.1499999999996</v>
      </c>
    </row>
    <row r="4547" spans="1:18" x14ac:dyDescent="0.3">
      <c r="A4547" s="2">
        <v>4540</v>
      </c>
      <c r="B4547" s="2" t="s">
        <v>6894</v>
      </c>
      <c r="C4547" s="2" t="s">
        <v>2344</v>
      </c>
      <c r="D4547" s="2" t="s">
        <v>15</v>
      </c>
      <c r="E4547" s="2" t="s">
        <v>16</v>
      </c>
      <c r="F4547" s="2">
        <v>90</v>
      </c>
      <c r="G4547" s="2" t="s">
        <v>9835</v>
      </c>
      <c r="H4547" s="2" t="s">
        <v>5047</v>
      </c>
      <c r="I4547" s="2" t="s">
        <v>178</v>
      </c>
      <c r="J4547" s="3">
        <v>44510</v>
      </c>
      <c r="K4547" s="5">
        <f>YEAR(OrganizedData[[#This Row],[Order Date]])</f>
        <v>2021</v>
      </c>
      <c r="L4547" s="7" t="str">
        <f>TEXT(OrganizedData[[#This Row],[Order Date]],"mmm")</f>
        <v>Nov</v>
      </c>
      <c r="M4547" s="2">
        <v>32</v>
      </c>
      <c r="N4547" s="2" t="s">
        <v>39</v>
      </c>
      <c r="O4547" s="2" t="str">
        <f>VLOOKUP(OrganizedData[[#This Row],[Product Code]],ProductData[[Code]:[Item]],2,FALSE)</f>
        <v>Ultrathing V1</v>
      </c>
      <c r="P4547" s="4">
        <f>OrganizedData[[#This Row],[Quantity]]*VLOOKUP(OrganizedData[[#This Row],[Product Code]],ProductData[],4,FALSE)</f>
        <v>544</v>
      </c>
      <c r="Q4547" s="6">
        <f>OrganizedData[[#This Row],[Total Items Ordered]]*VLOOKUP(OrganizedData[[#This Row],[Product Code]],ProductData[],3,FALSE)</f>
        <v>973.76</v>
      </c>
      <c r="R45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944.54719999999998</v>
      </c>
    </row>
    <row r="4548" spans="1:18" x14ac:dyDescent="0.3">
      <c r="A4548" s="2">
        <v>4541</v>
      </c>
      <c r="B4548" s="2" t="s">
        <v>507</v>
      </c>
      <c r="C4548" s="2" t="s">
        <v>8811</v>
      </c>
      <c r="D4548" s="2" t="s">
        <v>28</v>
      </c>
      <c r="E4548" s="2" t="s">
        <v>29</v>
      </c>
      <c r="F4548" s="2">
        <v>60</v>
      </c>
      <c r="G4548" s="2" t="s">
        <v>9836</v>
      </c>
      <c r="H4548" s="2" t="s">
        <v>360</v>
      </c>
      <c r="I4548" s="2" t="s">
        <v>25</v>
      </c>
      <c r="J4548" s="3">
        <v>44573</v>
      </c>
      <c r="K4548" s="5">
        <f>YEAR(OrganizedData[[#This Row],[Order Date]])</f>
        <v>2022</v>
      </c>
      <c r="L4548" s="7" t="str">
        <f>TEXT(OrganizedData[[#This Row],[Order Date]],"mmm")</f>
        <v>Jan</v>
      </c>
      <c r="M4548" s="2">
        <v>60</v>
      </c>
      <c r="N4548" s="2" t="s">
        <v>39</v>
      </c>
      <c r="O4548" s="2" t="str">
        <f>VLOOKUP(OrganizedData[[#This Row],[Product Code]],ProductData[[Code]:[Item]],2,FALSE)</f>
        <v>Ultrathing V1</v>
      </c>
      <c r="P4548" s="4">
        <f>OrganizedData[[#This Row],[Quantity]]*VLOOKUP(OrganizedData[[#This Row],[Product Code]],ProductData[],4,FALSE)</f>
        <v>1020</v>
      </c>
      <c r="Q4548" s="6">
        <f>OrganizedData[[#This Row],[Total Items Ordered]]*VLOOKUP(OrganizedData[[#This Row],[Product Code]],ProductData[],3,FALSE)</f>
        <v>1825.8</v>
      </c>
      <c r="R45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1734.5099999999998</v>
      </c>
    </row>
    <row r="4549" spans="1:18" x14ac:dyDescent="0.3">
      <c r="A4549" s="2">
        <v>4542</v>
      </c>
      <c r="B4549" s="2" t="s">
        <v>6668</v>
      </c>
      <c r="C4549" s="2" t="s">
        <v>3141</v>
      </c>
      <c r="D4549" s="2" t="s">
        <v>28</v>
      </c>
      <c r="E4549" s="2" t="s">
        <v>29</v>
      </c>
      <c r="F4549" s="2">
        <v>30</v>
      </c>
      <c r="G4549" s="2" t="s">
        <v>9837</v>
      </c>
      <c r="H4549" s="2" t="s">
        <v>7151</v>
      </c>
      <c r="I4549" s="2" t="s">
        <v>38</v>
      </c>
      <c r="J4549" s="3">
        <v>44234</v>
      </c>
      <c r="K4549" s="5">
        <f>YEAR(OrganizedData[[#This Row],[Order Date]])</f>
        <v>2021</v>
      </c>
      <c r="L4549" s="7" t="str">
        <f>TEXT(OrganizedData[[#This Row],[Order Date]],"mmm")</f>
        <v>Feb</v>
      </c>
      <c r="M4549" s="2">
        <v>33</v>
      </c>
      <c r="N4549" s="2" t="s">
        <v>45</v>
      </c>
      <c r="O4549" s="2" t="str">
        <f>VLOOKUP(OrganizedData[[#This Row],[Product Code]],ProductData[[Code]:[Item]],2,FALSE)</f>
        <v>Gigastuff</v>
      </c>
      <c r="P4549" s="4">
        <f>OrganizedData[[#This Row],[Quantity]]*VLOOKUP(OrganizedData[[#This Row],[Product Code]],ProductData[],4,FALSE)</f>
        <v>594</v>
      </c>
      <c r="Q4549" s="6">
        <f>OrganizedData[[#This Row],[Total Items Ordered]]*VLOOKUP(OrganizedData[[#This Row],[Product Code]],ProductData[],3,FALSE)</f>
        <v>1122.6599999999999</v>
      </c>
      <c r="R45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1088.9801999999997</v>
      </c>
    </row>
    <row r="4550" spans="1:18" x14ac:dyDescent="0.3">
      <c r="A4550" s="2">
        <v>4543</v>
      </c>
      <c r="B4550" s="2" t="s">
        <v>807</v>
      </c>
      <c r="C4550" s="2" t="s">
        <v>829</v>
      </c>
      <c r="D4550" s="2" t="s">
        <v>28</v>
      </c>
      <c r="E4550" s="2" t="s">
        <v>29</v>
      </c>
      <c r="F4550" s="2">
        <v>90</v>
      </c>
      <c r="G4550" s="2" t="s">
        <v>9838</v>
      </c>
      <c r="H4550" s="2" t="s">
        <v>2629</v>
      </c>
      <c r="I4550" s="2" t="s">
        <v>95</v>
      </c>
      <c r="J4550" s="3">
        <v>44316</v>
      </c>
      <c r="K4550" s="5">
        <f>YEAR(OrganizedData[[#This Row],[Order Date]])</f>
        <v>2021</v>
      </c>
      <c r="L4550" s="7" t="str">
        <f>TEXT(OrganizedData[[#This Row],[Order Date]],"mmm")</f>
        <v>Apr</v>
      </c>
      <c r="M4550" s="2">
        <v>31</v>
      </c>
      <c r="N4550" s="2" t="s">
        <v>64</v>
      </c>
      <c r="O4550" s="2" t="str">
        <f>VLOOKUP(OrganizedData[[#This Row],[Product Code]],ProductData[[Code]:[Item]],2,FALSE)</f>
        <v>Ultrathing V4</v>
      </c>
      <c r="P4550" s="4">
        <f>OrganizedData[[#This Row],[Quantity]]*VLOOKUP(OrganizedData[[#This Row],[Product Code]],ProductData[],4,FALSE)</f>
        <v>744</v>
      </c>
      <c r="Q4550" s="6">
        <f>OrganizedData[[#This Row],[Total Items Ordered]]*VLOOKUP(OrganizedData[[#This Row],[Product Code]],ProductData[],3,FALSE)</f>
        <v>2968.56</v>
      </c>
      <c r="R45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4551" spans="1:18" x14ac:dyDescent="0.3">
      <c r="A4551" s="2">
        <v>4544</v>
      </c>
      <c r="B4551" s="2" t="s">
        <v>9839</v>
      </c>
      <c r="C4551" s="2" t="s">
        <v>2113</v>
      </c>
      <c r="D4551" s="2" t="s">
        <v>15</v>
      </c>
      <c r="E4551" s="2" t="s">
        <v>16</v>
      </c>
      <c r="F4551" s="2">
        <v>60</v>
      </c>
      <c r="G4551" s="2" t="s">
        <v>9840</v>
      </c>
      <c r="H4551" s="2" t="s">
        <v>3092</v>
      </c>
      <c r="I4551" s="2" t="s">
        <v>886</v>
      </c>
      <c r="J4551" s="3">
        <v>44906</v>
      </c>
      <c r="K4551" s="5">
        <f>YEAR(OrganizedData[[#This Row],[Order Date]])</f>
        <v>2022</v>
      </c>
      <c r="L4551" s="7" t="str">
        <f>TEXT(OrganizedData[[#This Row],[Order Date]],"mmm")</f>
        <v>Dec</v>
      </c>
      <c r="M4551" s="2">
        <v>35</v>
      </c>
      <c r="N4551" s="2" t="s">
        <v>45</v>
      </c>
      <c r="O4551" s="2" t="str">
        <f>VLOOKUP(OrganizedData[[#This Row],[Product Code]],ProductData[[Code]:[Item]],2,FALSE)</f>
        <v>Gigastuff</v>
      </c>
      <c r="P4551" s="4">
        <f>OrganizedData[[#This Row],[Quantity]]*VLOOKUP(OrganizedData[[#This Row],[Product Code]],ProductData[],4,FALSE)</f>
        <v>630</v>
      </c>
      <c r="Q4551" s="6">
        <f>OrganizedData[[#This Row],[Total Items Ordered]]*VLOOKUP(OrganizedData[[#This Row],[Product Code]],ProductData[],3,FALSE)</f>
        <v>1190.7</v>
      </c>
      <c r="R45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1154.979</v>
      </c>
    </row>
    <row r="4552" spans="1:18" x14ac:dyDescent="0.3">
      <c r="A4552" s="2">
        <v>4545</v>
      </c>
      <c r="B4552" s="2" t="s">
        <v>9841</v>
      </c>
      <c r="C4552" s="2" t="s">
        <v>1439</v>
      </c>
      <c r="D4552" s="2" t="s">
        <v>15</v>
      </c>
      <c r="E4552" s="2" t="s">
        <v>16</v>
      </c>
      <c r="F4552" s="2">
        <v>60</v>
      </c>
      <c r="G4552" s="2" t="s">
        <v>9842</v>
      </c>
      <c r="H4552" s="2" t="s">
        <v>2479</v>
      </c>
      <c r="I4552" s="2" t="s">
        <v>1233</v>
      </c>
      <c r="J4552" s="3">
        <v>44324</v>
      </c>
      <c r="K4552" s="5">
        <f>YEAR(OrganizedData[[#This Row],[Order Date]])</f>
        <v>2021</v>
      </c>
      <c r="L4552" s="7" t="str">
        <f>TEXT(OrganizedData[[#This Row],[Order Date]],"mmm")</f>
        <v>May</v>
      </c>
      <c r="M4552" s="2">
        <v>89</v>
      </c>
      <c r="N4552" s="2" t="s">
        <v>33</v>
      </c>
      <c r="O4552" s="2" t="str">
        <f>VLOOKUP(OrganizedData[[#This Row],[Product Code]],ProductData[[Code]:[Item]],2,FALSE)</f>
        <v>Megawidget L</v>
      </c>
      <c r="P4552" s="4">
        <f>OrganizedData[[#This Row],[Quantity]]*VLOOKUP(OrganizedData[[#This Row],[Product Code]],ProductData[],4,FALSE)</f>
        <v>2136</v>
      </c>
      <c r="Q4552" s="6">
        <f>OrganizedData[[#This Row],[Total Items Ordered]]*VLOOKUP(OrganizedData[[#This Row],[Product Code]],ProductData[],3,FALSE)</f>
        <v>3823.44</v>
      </c>
      <c r="R45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3632.268</v>
      </c>
    </row>
    <row r="4553" spans="1:18" x14ac:dyDescent="0.3">
      <c r="A4553" s="2">
        <v>4546</v>
      </c>
      <c r="B4553" s="2" t="s">
        <v>9843</v>
      </c>
      <c r="C4553" s="2" t="s">
        <v>9844</v>
      </c>
      <c r="D4553" s="2" t="s">
        <v>15</v>
      </c>
      <c r="E4553" s="2" t="s">
        <v>16</v>
      </c>
      <c r="F4553" s="2">
        <v>90</v>
      </c>
      <c r="G4553" s="2" t="s">
        <v>9845</v>
      </c>
      <c r="H4553" s="2" t="s">
        <v>5682</v>
      </c>
      <c r="I4553" s="2" t="s">
        <v>173</v>
      </c>
      <c r="J4553" s="3">
        <v>44638</v>
      </c>
      <c r="K4553" s="5">
        <f>YEAR(OrganizedData[[#This Row],[Order Date]])</f>
        <v>2022</v>
      </c>
      <c r="L4553" s="7" t="str">
        <f>TEXT(OrganizedData[[#This Row],[Order Date]],"mmm")</f>
        <v>Mar</v>
      </c>
      <c r="M4553" s="2">
        <v>22</v>
      </c>
      <c r="N4553" s="2" t="s">
        <v>45</v>
      </c>
      <c r="O4553" s="2" t="str">
        <f>VLOOKUP(OrganizedData[[#This Row],[Product Code]],ProductData[[Code]:[Item]],2,FALSE)</f>
        <v>Gigastuff</v>
      </c>
      <c r="P4553" s="4">
        <f>OrganizedData[[#This Row],[Quantity]]*VLOOKUP(OrganizedData[[#This Row],[Product Code]],ProductData[],4,FALSE)</f>
        <v>396</v>
      </c>
      <c r="Q4553" s="6">
        <f>OrganizedData[[#This Row],[Total Items Ordered]]*VLOOKUP(OrganizedData[[#This Row],[Product Code]],ProductData[],3,FALSE)</f>
        <v>748.43999999999994</v>
      </c>
      <c r="R45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725.9867999999999</v>
      </c>
    </row>
    <row r="4554" spans="1:18" x14ac:dyDescent="0.3">
      <c r="A4554" s="2">
        <v>4547</v>
      </c>
      <c r="B4554" s="2" t="s">
        <v>6039</v>
      </c>
      <c r="C4554" s="2" t="s">
        <v>6004</v>
      </c>
      <c r="D4554" s="2" t="s">
        <v>51</v>
      </c>
      <c r="E4554" s="2" t="s">
        <v>16</v>
      </c>
      <c r="F4554" s="2">
        <v>60</v>
      </c>
      <c r="G4554" s="2" t="s">
        <v>9846</v>
      </c>
      <c r="H4554" s="2" t="s">
        <v>1138</v>
      </c>
      <c r="I4554" s="2" t="s">
        <v>124</v>
      </c>
      <c r="J4554" s="3">
        <v>44671</v>
      </c>
      <c r="K4554" s="5">
        <f>YEAR(OrganizedData[[#This Row],[Order Date]])</f>
        <v>2022</v>
      </c>
      <c r="L4554" s="7" t="str">
        <f>TEXT(OrganizedData[[#This Row],[Order Date]],"mmm")</f>
        <v>Apr</v>
      </c>
      <c r="M4554" s="2">
        <v>15</v>
      </c>
      <c r="N4554" s="2" t="s">
        <v>45</v>
      </c>
      <c r="O4554" s="2" t="str">
        <f>VLOOKUP(OrganizedData[[#This Row],[Product Code]],ProductData[[Code]:[Item]],2,FALSE)</f>
        <v>Gigastuff</v>
      </c>
      <c r="P4554" s="4">
        <f>OrganizedData[[#This Row],[Quantity]]*VLOOKUP(OrganizedData[[#This Row],[Product Code]],ProductData[],4,FALSE)</f>
        <v>270</v>
      </c>
      <c r="Q4554" s="6">
        <f>OrganizedData[[#This Row],[Total Items Ordered]]*VLOOKUP(OrganizedData[[#This Row],[Product Code]],ProductData[],3,FALSE)</f>
        <v>510.29999999999995</v>
      </c>
      <c r="R45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510.29999999999995</v>
      </c>
    </row>
    <row r="4555" spans="1:18" x14ac:dyDescent="0.3">
      <c r="A4555" s="2">
        <v>4548</v>
      </c>
      <c r="B4555" s="2" t="s">
        <v>2523</v>
      </c>
      <c r="C4555" s="2" t="s">
        <v>6363</v>
      </c>
      <c r="D4555" s="2" t="s">
        <v>28</v>
      </c>
      <c r="E4555" s="2" t="s">
        <v>29</v>
      </c>
      <c r="F4555" s="2">
        <v>90</v>
      </c>
      <c r="G4555" s="2" t="s">
        <v>9847</v>
      </c>
      <c r="H4555" s="2" t="s">
        <v>1680</v>
      </c>
      <c r="I4555" s="2" t="s">
        <v>19</v>
      </c>
      <c r="J4555" s="3">
        <v>44908</v>
      </c>
      <c r="K4555" s="5">
        <f>YEAR(OrganizedData[[#This Row],[Order Date]])</f>
        <v>2022</v>
      </c>
      <c r="L4555" s="7" t="str">
        <f>TEXT(OrganizedData[[#This Row],[Order Date]],"mmm")</f>
        <v>Dec</v>
      </c>
      <c r="M4555" s="2">
        <v>102</v>
      </c>
      <c r="N4555" s="2" t="s">
        <v>33</v>
      </c>
      <c r="O4555" s="2" t="str">
        <f>VLOOKUP(OrganizedData[[#This Row],[Product Code]],ProductData[[Code]:[Item]],2,FALSE)</f>
        <v>Megawidget L</v>
      </c>
      <c r="P4555" s="4">
        <f>OrganizedData[[#This Row],[Quantity]]*VLOOKUP(OrganizedData[[#This Row],[Product Code]],ProductData[],4,FALSE)</f>
        <v>2448</v>
      </c>
      <c r="Q4555" s="6">
        <f>OrganizedData[[#This Row],[Total Items Ordered]]*VLOOKUP(OrganizedData[[#This Row],[Product Code]],ProductData[],3,FALSE)</f>
        <v>4381.92</v>
      </c>
      <c r="R45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4075.1856000000002</v>
      </c>
    </row>
    <row r="4556" spans="1:18" x14ac:dyDescent="0.3">
      <c r="A4556" s="2">
        <v>4549</v>
      </c>
      <c r="B4556" s="2" t="s">
        <v>9848</v>
      </c>
      <c r="C4556" s="2" t="s">
        <v>6454</v>
      </c>
      <c r="D4556" s="2" t="s">
        <v>15</v>
      </c>
      <c r="E4556" s="2" t="s">
        <v>16</v>
      </c>
      <c r="F4556" s="2">
        <v>90</v>
      </c>
      <c r="G4556" s="2" t="s">
        <v>9849</v>
      </c>
      <c r="H4556" s="2" t="s">
        <v>1781</v>
      </c>
      <c r="I4556" s="2" t="s">
        <v>32</v>
      </c>
      <c r="J4556" s="3">
        <v>43886</v>
      </c>
      <c r="K4556" s="5">
        <f>YEAR(OrganizedData[[#This Row],[Order Date]])</f>
        <v>2020</v>
      </c>
      <c r="L4556" s="7" t="str">
        <f>TEXT(OrganizedData[[#This Row],[Order Date]],"mmm")</f>
        <v>Feb</v>
      </c>
      <c r="M4556" s="2">
        <v>63</v>
      </c>
      <c r="N4556" s="2" t="s">
        <v>101</v>
      </c>
      <c r="O4556" s="2" t="str">
        <f>VLOOKUP(OrganizedData[[#This Row],[Product Code]],ProductData[[Code]:[Item]],2,FALSE)</f>
        <v>Superwossname</v>
      </c>
      <c r="P4556" s="4">
        <f>OrganizedData[[#This Row],[Quantity]]*VLOOKUP(OrganizedData[[#This Row],[Product Code]],ProductData[],4,FALSE)</f>
        <v>1260</v>
      </c>
      <c r="Q4556" s="6">
        <f>OrganizedData[[#This Row],[Total Items Ordered]]*VLOOKUP(OrganizedData[[#This Row],[Product Code]],ProductData[],3,FALSE)</f>
        <v>4397.4000000000005</v>
      </c>
      <c r="R45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4557" spans="1:18" x14ac:dyDescent="0.3">
      <c r="A4557" s="2">
        <v>4550</v>
      </c>
      <c r="B4557" s="2" t="s">
        <v>9850</v>
      </c>
      <c r="C4557" s="2" t="s">
        <v>2143</v>
      </c>
      <c r="D4557" s="2" t="s">
        <v>51</v>
      </c>
      <c r="E4557" s="2" t="s">
        <v>16</v>
      </c>
      <c r="F4557" s="2">
        <v>60</v>
      </c>
      <c r="G4557" s="2" t="s">
        <v>9851</v>
      </c>
      <c r="H4557" s="2" t="s">
        <v>378</v>
      </c>
      <c r="I4557" s="2" t="s">
        <v>146</v>
      </c>
      <c r="J4557" s="3">
        <v>44321</v>
      </c>
      <c r="K4557" s="5">
        <f>YEAR(OrganizedData[[#This Row],[Order Date]])</f>
        <v>2021</v>
      </c>
      <c r="L4557" s="7" t="str">
        <f>TEXT(OrganizedData[[#This Row],[Order Date]],"mmm")</f>
        <v>May</v>
      </c>
      <c r="M4557" s="2">
        <v>90</v>
      </c>
      <c r="N4557" s="2" t="s">
        <v>70</v>
      </c>
      <c r="O4557" s="2" t="str">
        <f>VLOOKUP(OrganizedData[[#This Row],[Product Code]],ProductData[[Code]:[Item]],2,FALSE)</f>
        <v>Megawidget M</v>
      </c>
      <c r="P4557" s="4">
        <f>OrganizedData[[#This Row],[Quantity]]*VLOOKUP(OrganizedData[[#This Row],[Product Code]],ProductData[],4,FALSE)</f>
        <v>2160</v>
      </c>
      <c r="Q4557" s="6">
        <f>OrganizedData[[#This Row],[Total Items Ordered]]*VLOOKUP(OrganizedData[[#This Row],[Product Code]],ProductData[],3,FALSE)</f>
        <v>2786.4</v>
      </c>
      <c r="R45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2647.08</v>
      </c>
    </row>
    <row r="4558" spans="1:18" x14ac:dyDescent="0.3">
      <c r="A4558" s="2">
        <v>4551</v>
      </c>
      <c r="B4558" s="2" t="s">
        <v>5309</v>
      </c>
      <c r="C4558" s="2" t="s">
        <v>184</v>
      </c>
      <c r="D4558" s="2" t="s">
        <v>51</v>
      </c>
      <c r="E4558" s="2" t="s">
        <v>16</v>
      </c>
      <c r="F4558" s="2">
        <v>90</v>
      </c>
      <c r="G4558" s="2" t="s">
        <v>9852</v>
      </c>
      <c r="H4558" s="2" t="s">
        <v>3122</v>
      </c>
      <c r="I4558" s="2" t="s">
        <v>1035</v>
      </c>
      <c r="J4558" s="3">
        <v>44157</v>
      </c>
      <c r="K4558" s="5">
        <f>YEAR(OrganizedData[[#This Row],[Order Date]])</f>
        <v>2020</v>
      </c>
      <c r="L4558" s="7" t="str">
        <f>TEXT(OrganizedData[[#This Row],[Order Date]],"mmm")</f>
        <v>Nov</v>
      </c>
      <c r="M4558" s="2">
        <v>85</v>
      </c>
      <c r="N4558" s="2" t="s">
        <v>39</v>
      </c>
      <c r="O4558" s="2" t="str">
        <f>VLOOKUP(OrganizedData[[#This Row],[Product Code]],ProductData[[Code]:[Item]],2,FALSE)</f>
        <v>Ultrathing V1</v>
      </c>
      <c r="P4558" s="4">
        <f>OrganizedData[[#This Row],[Quantity]]*VLOOKUP(OrganizedData[[#This Row],[Product Code]],ProductData[],4,FALSE)</f>
        <v>1445</v>
      </c>
      <c r="Q4558" s="6">
        <f>OrganizedData[[#This Row],[Total Items Ordered]]*VLOOKUP(OrganizedData[[#This Row],[Product Code]],ProductData[],3,FALSE)</f>
        <v>2586.5500000000002</v>
      </c>
      <c r="R45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2457.2224999999999</v>
      </c>
    </row>
    <row r="4559" spans="1:18" x14ac:dyDescent="0.3">
      <c r="A4559" s="2">
        <v>4552</v>
      </c>
      <c r="B4559" s="2" t="s">
        <v>3604</v>
      </c>
      <c r="C4559" s="2" t="s">
        <v>9853</v>
      </c>
      <c r="D4559" s="2" t="s">
        <v>28</v>
      </c>
      <c r="E4559" s="2" t="s">
        <v>29</v>
      </c>
      <c r="F4559" s="2">
        <v>60</v>
      </c>
      <c r="G4559" s="2" t="s">
        <v>9854</v>
      </c>
      <c r="H4559" s="2" t="s">
        <v>483</v>
      </c>
      <c r="I4559" s="2" t="s">
        <v>32</v>
      </c>
      <c r="J4559" s="3">
        <v>44546</v>
      </c>
      <c r="K4559" s="5">
        <f>YEAR(OrganizedData[[#This Row],[Order Date]])</f>
        <v>2021</v>
      </c>
      <c r="L4559" s="7" t="str">
        <f>TEXT(OrganizedData[[#This Row],[Order Date]],"mmm")</f>
        <v>Dec</v>
      </c>
      <c r="M4559" s="2">
        <v>57</v>
      </c>
      <c r="N4559" s="2" t="s">
        <v>33</v>
      </c>
      <c r="O4559" s="2" t="str">
        <f>VLOOKUP(OrganizedData[[#This Row],[Product Code]],ProductData[[Code]:[Item]],2,FALSE)</f>
        <v>Megawidget L</v>
      </c>
      <c r="P4559" s="4">
        <f>OrganizedData[[#This Row],[Quantity]]*VLOOKUP(OrganizedData[[#This Row],[Product Code]],ProductData[],4,FALSE)</f>
        <v>1368</v>
      </c>
      <c r="Q4559" s="6">
        <f>OrganizedData[[#This Row],[Total Items Ordered]]*VLOOKUP(OrganizedData[[#This Row],[Product Code]],ProductData[],3,FALSE)</f>
        <v>2448.7200000000003</v>
      </c>
      <c r="R45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2326.2840000000001</v>
      </c>
    </row>
    <row r="4560" spans="1:18" x14ac:dyDescent="0.3">
      <c r="A4560" s="2">
        <v>4553</v>
      </c>
      <c r="B4560" s="2" t="s">
        <v>5537</v>
      </c>
      <c r="C4560" s="2" t="s">
        <v>2257</v>
      </c>
      <c r="D4560" s="2" t="s">
        <v>41</v>
      </c>
      <c r="E4560" s="2" t="s">
        <v>16</v>
      </c>
      <c r="F4560" s="2">
        <v>30</v>
      </c>
      <c r="G4560" s="2" t="s">
        <v>9855</v>
      </c>
      <c r="H4560" s="2" t="s">
        <v>6693</v>
      </c>
      <c r="I4560" s="2" t="s">
        <v>25</v>
      </c>
      <c r="J4560" s="3">
        <v>44009</v>
      </c>
      <c r="K4560" s="5">
        <f>YEAR(OrganizedData[[#This Row],[Order Date]])</f>
        <v>2020</v>
      </c>
      <c r="L4560" s="7" t="str">
        <f>TEXT(OrganizedData[[#This Row],[Order Date]],"mmm")</f>
        <v>Jun</v>
      </c>
      <c r="M4560" s="2">
        <v>53</v>
      </c>
      <c r="N4560" s="2" t="s">
        <v>101</v>
      </c>
      <c r="O4560" s="2" t="str">
        <f>VLOOKUP(OrganizedData[[#This Row],[Product Code]],ProductData[[Code]:[Item]],2,FALSE)</f>
        <v>Superwossname</v>
      </c>
      <c r="P4560" s="4">
        <f>OrganizedData[[#This Row],[Quantity]]*VLOOKUP(OrganizedData[[#This Row],[Product Code]],ProductData[],4,FALSE)</f>
        <v>1060</v>
      </c>
      <c r="Q4560" s="6">
        <f>OrganizedData[[#This Row],[Total Items Ordered]]*VLOOKUP(OrganizedData[[#This Row],[Product Code]],ProductData[],3,FALSE)</f>
        <v>3699.4</v>
      </c>
      <c r="R45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4561" spans="1:18" x14ac:dyDescent="0.3">
      <c r="A4561" s="2">
        <v>4554</v>
      </c>
      <c r="B4561" s="2" t="s">
        <v>3079</v>
      </c>
      <c r="C4561" s="2" t="s">
        <v>1721</v>
      </c>
      <c r="D4561" s="2" t="s">
        <v>28</v>
      </c>
      <c r="E4561" s="2" t="s">
        <v>29</v>
      </c>
      <c r="F4561" s="2">
        <v>60</v>
      </c>
      <c r="G4561" s="2" t="s">
        <v>9856</v>
      </c>
      <c r="H4561" s="2" t="s">
        <v>4133</v>
      </c>
      <c r="I4561" s="2" t="s">
        <v>32</v>
      </c>
      <c r="J4561" s="3">
        <v>44309</v>
      </c>
      <c r="K4561" s="5">
        <f>YEAR(OrganizedData[[#This Row],[Order Date]])</f>
        <v>2021</v>
      </c>
      <c r="L4561" s="7" t="str">
        <f>TEXT(OrganizedData[[#This Row],[Order Date]],"mmm")</f>
        <v>Apr</v>
      </c>
      <c r="M4561" s="2">
        <v>67</v>
      </c>
      <c r="N4561" s="2" t="s">
        <v>20</v>
      </c>
      <c r="O4561" s="2" t="str">
        <f>VLOOKUP(OrganizedData[[#This Row],[Product Code]],ProductData[[Code]:[Item]],2,FALSE)</f>
        <v>Hyperwotsit</v>
      </c>
      <c r="P4561" s="4">
        <f>OrganizedData[[#This Row],[Quantity]]*VLOOKUP(OrganizedData[[#This Row],[Product Code]],ProductData[],4,FALSE)</f>
        <v>1340</v>
      </c>
      <c r="Q4561" s="6">
        <f>OrganizedData[[#This Row],[Total Items Ordered]]*VLOOKUP(OrganizedData[[#This Row],[Product Code]],ProductData[],3,FALSE)</f>
        <v>2693.3999999999996</v>
      </c>
      <c r="R45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2558.7299999999996</v>
      </c>
    </row>
    <row r="4562" spans="1:18" x14ac:dyDescent="0.3">
      <c r="A4562" s="2">
        <v>4555</v>
      </c>
      <c r="B4562" s="2" t="s">
        <v>9857</v>
      </c>
      <c r="C4562" s="2" t="s">
        <v>7403</v>
      </c>
      <c r="D4562" s="2" t="s">
        <v>51</v>
      </c>
      <c r="E4562" s="2" t="s">
        <v>16</v>
      </c>
      <c r="F4562" s="2">
        <v>90</v>
      </c>
      <c r="G4562" s="2" t="s">
        <v>9858</v>
      </c>
      <c r="H4562" s="2" t="s">
        <v>806</v>
      </c>
      <c r="I4562" s="2" t="s">
        <v>178</v>
      </c>
      <c r="J4562" s="3">
        <v>44440</v>
      </c>
      <c r="K4562" s="5">
        <f>YEAR(OrganizedData[[#This Row],[Order Date]])</f>
        <v>2021</v>
      </c>
      <c r="L4562" s="7" t="str">
        <f>TEXT(OrganizedData[[#This Row],[Order Date]],"mmm")</f>
        <v>Sep</v>
      </c>
      <c r="M4562" s="2">
        <v>28</v>
      </c>
      <c r="N4562" s="2" t="s">
        <v>39</v>
      </c>
      <c r="O4562" s="2" t="str">
        <f>VLOOKUP(OrganizedData[[#This Row],[Product Code]],ProductData[[Code]:[Item]],2,FALSE)</f>
        <v>Ultrathing V1</v>
      </c>
      <c r="P4562" s="4">
        <f>OrganizedData[[#This Row],[Quantity]]*VLOOKUP(OrganizedData[[#This Row],[Product Code]],ProductData[],4,FALSE)</f>
        <v>476</v>
      </c>
      <c r="Q4562" s="6">
        <f>OrganizedData[[#This Row],[Total Items Ordered]]*VLOOKUP(OrganizedData[[#This Row],[Product Code]],ProductData[],3,FALSE)</f>
        <v>852.04</v>
      </c>
      <c r="R45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826.47879999999998</v>
      </c>
    </row>
    <row r="4563" spans="1:18" x14ac:dyDescent="0.3">
      <c r="A4563" s="2">
        <v>4556</v>
      </c>
      <c r="B4563" s="2" t="s">
        <v>1758</v>
      </c>
      <c r="C4563" s="2" t="s">
        <v>4242</v>
      </c>
      <c r="D4563" s="2" t="s">
        <v>28</v>
      </c>
      <c r="E4563" s="2" t="s">
        <v>29</v>
      </c>
      <c r="F4563" s="2">
        <v>60</v>
      </c>
      <c r="G4563" s="2" t="s">
        <v>9859</v>
      </c>
      <c r="H4563" s="2" t="s">
        <v>9860</v>
      </c>
      <c r="I4563" s="2" t="s">
        <v>38</v>
      </c>
      <c r="J4563" s="3">
        <v>44123</v>
      </c>
      <c r="K4563" s="5">
        <f>YEAR(OrganizedData[[#This Row],[Order Date]])</f>
        <v>2020</v>
      </c>
      <c r="L4563" s="7" t="str">
        <f>TEXT(OrganizedData[[#This Row],[Order Date]],"mmm")</f>
        <v>Oct</v>
      </c>
      <c r="M4563" s="2">
        <v>45</v>
      </c>
      <c r="N4563" s="2" t="s">
        <v>64</v>
      </c>
      <c r="O4563" s="2" t="str">
        <f>VLOOKUP(OrganizedData[[#This Row],[Product Code]],ProductData[[Code]:[Item]],2,FALSE)</f>
        <v>Ultrathing V4</v>
      </c>
      <c r="P4563" s="4">
        <f>OrganizedData[[#This Row],[Quantity]]*VLOOKUP(OrganizedData[[#This Row],[Product Code]],ProductData[],4,FALSE)</f>
        <v>1080</v>
      </c>
      <c r="Q4563" s="6">
        <f>OrganizedData[[#This Row],[Total Items Ordered]]*VLOOKUP(OrganizedData[[#This Row],[Product Code]],ProductData[],3,FALSE)</f>
        <v>4309.2</v>
      </c>
      <c r="R45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4179.924</v>
      </c>
    </row>
    <row r="4564" spans="1:18" x14ac:dyDescent="0.3">
      <c r="A4564" s="2">
        <v>4557</v>
      </c>
      <c r="B4564" s="2" t="s">
        <v>9861</v>
      </c>
      <c r="C4564" s="2" t="s">
        <v>6237</v>
      </c>
      <c r="D4564" s="2" t="s">
        <v>15</v>
      </c>
      <c r="E4564" s="2" t="s">
        <v>16</v>
      </c>
      <c r="F4564" s="2">
        <v>60</v>
      </c>
      <c r="G4564" s="2" t="s">
        <v>9862</v>
      </c>
      <c r="H4564" s="2" t="s">
        <v>1601</v>
      </c>
      <c r="I4564" s="2" t="s">
        <v>32</v>
      </c>
      <c r="J4564" s="3">
        <v>44361</v>
      </c>
      <c r="K4564" s="5">
        <f>YEAR(OrganizedData[[#This Row],[Order Date]])</f>
        <v>2021</v>
      </c>
      <c r="L4564" s="7" t="str">
        <f>TEXT(OrganizedData[[#This Row],[Order Date]],"mmm")</f>
        <v>Jun</v>
      </c>
      <c r="M4564" s="2">
        <v>12</v>
      </c>
      <c r="N4564" s="2" t="s">
        <v>70</v>
      </c>
      <c r="O4564" s="2" t="str">
        <f>VLOOKUP(OrganizedData[[#This Row],[Product Code]],ProductData[[Code]:[Item]],2,FALSE)</f>
        <v>Megawidget M</v>
      </c>
      <c r="P4564" s="4">
        <f>OrganizedData[[#This Row],[Quantity]]*VLOOKUP(OrganizedData[[#This Row],[Product Code]],ProductData[],4,FALSE)</f>
        <v>288</v>
      </c>
      <c r="Q4564" s="6">
        <f>OrganizedData[[#This Row],[Total Items Ordered]]*VLOOKUP(OrganizedData[[#This Row],[Product Code]],ProductData[],3,FALSE)</f>
        <v>371.52</v>
      </c>
      <c r="R45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371.52</v>
      </c>
    </row>
    <row r="4565" spans="1:18" x14ac:dyDescent="0.3">
      <c r="A4565" s="2">
        <v>4558</v>
      </c>
      <c r="B4565" s="2" t="s">
        <v>975</v>
      </c>
      <c r="C4565" s="2" t="s">
        <v>4522</v>
      </c>
      <c r="D4565" s="2" t="s">
        <v>28</v>
      </c>
      <c r="E4565" s="2" t="s">
        <v>29</v>
      </c>
      <c r="F4565" s="2">
        <v>90</v>
      </c>
      <c r="G4565" s="2" t="s">
        <v>9863</v>
      </c>
      <c r="H4565" s="2" t="s">
        <v>3303</v>
      </c>
      <c r="I4565" s="2" t="s">
        <v>294</v>
      </c>
      <c r="J4565" s="3">
        <v>44055</v>
      </c>
      <c r="K4565" s="5">
        <f>YEAR(OrganizedData[[#This Row],[Order Date]])</f>
        <v>2020</v>
      </c>
      <c r="L4565" s="7" t="str">
        <f>TEXT(OrganizedData[[#This Row],[Order Date]],"mmm")</f>
        <v>Aug</v>
      </c>
      <c r="M4565" s="2">
        <v>49</v>
      </c>
      <c r="N4565" s="2" t="s">
        <v>159</v>
      </c>
      <c r="O4565" s="2" t="str">
        <f>VLOOKUP(OrganizedData[[#This Row],[Product Code]],ProductData[[Code]:[Item]],2,FALSE)</f>
        <v>Ultrathing V3</v>
      </c>
      <c r="P4565" s="4">
        <f>OrganizedData[[#This Row],[Quantity]]*VLOOKUP(OrganizedData[[#This Row],[Product Code]],ProductData[],4,FALSE)</f>
        <v>1176</v>
      </c>
      <c r="Q4565" s="6">
        <f>OrganizedData[[#This Row],[Total Items Ordered]]*VLOOKUP(OrganizedData[[#This Row],[Product Code]],ProductData[],3,FALSE)</f>
        <v>3986.6400000000003</v>
      </c>
      <c r="R45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3867.0408000000002</v>
      </c>
    </row>
    <row r="4566" spans="1:18" x14ac:dyDescent="0.3">
      <c r="A4566" s="2">
        <v>4559</v>
      </c>
      <c r="B4566" s="2" t="s">
        <v>9843</v>
      </c>
      <c r="C4566" s="2" t="s">
        <v>4994</v>
      </c>
      <c r="D4566" s="2" t="s">
        <v>15</v>
      </c>
      <c r="E4566" s="2" t="s">
        <v>16</v>
      </c>
      <c r="F4566" s="2">
        <v>90</v>
      </c>
      <c r="G4566" s="2" t="s">
        <v>9864</v>
      </c>
      <c r="H4566" s="2" t="s">
        <v>619</v>
      </c>
      <c r="I4566" s="2" t="s">
        <v>187</v>
      </c>
      <c r="J4566" s="3">
        <v>43832</v>
      </c>
      <c r="K4566" s="5">
        <f>YEAR(OrganizedData[[#This Row],[Order Date]])</f>
        <v>2020</v>
      </c>
      <c r="L4566" s="7" t="str">
        <f>TEXT(OrganizedData[[#This Row],[Order Date]],"mmm")</f>
        <v>Jan</v>
      </c>
      <c r="M4566" s="2">
        <v>32</v>
      </c>
      <c r="N4566" s="2" t="s">
        <v>101</v>
      </c>
      <c r="O4566" s="2" t="str">
        <f>VLOOKUP(OrganizedData[[#This Row],[Product Code]],ProductData[[Code]:[Item]],2,FALSE)</f>
        <v>Superwossname</v>
      </c>
      <c r="P4566" s="4">
        <f>OrganizedData[[#This Row],[Quantity]]*VLOOKUP(OrganizedData[[#This Row],[Product Code]],ProductData[],4,FALSE)</f>
        <v>640</v>
      </c>
      <c r="Q4566" s="6">
        <f>OrganizedData[[#This Row],[Total Items Ordered]]*VLOOKUP(OrganizedData[[#This Row],[Product Code]],ProductData[],3,FALSE)</f>
        <v>2233.6000000000004</v>
      </c>
      <c r="R45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2166.5920000000001</v>
      </c>
    </row>
    <row r="4567" spans="1:18" x14ac:dyDescent="0.3">
      <c r="A4567" s="2">
        <v>4560</v>
      </c>
      <c r="B4567" s="2" t="s">
        <v>9865</v>
      </c>
      <c r="C4567" s="2" t="s">
        <v>4205</v>
      </c>
      <c r="D4567" s="2" t="s">
        <v>51</v>
      </c>
      <c r="E4567" s="2" t="s">
        <v>16</v>
      </c>
      <c r="F4567" s="2">
        <v>30</v>
      </c>
      <c r="G4567" s="2" t="s">
        <v>9866</v>
      </c>
      <c r="H4567" s="2" t="s">
        <v>3991</v>
      </c>
      <c r="I4567" s="2" t="s">
        <v>32</v>
      </c>
      <c r="J4567" s="3">
        <v>44847</v>
      </c>
      <c r="K4567" s="5">
        <f>YEAR(OrganizedData[[#This Row],[Order Date]])</f>
        <v>2022</v>
      </c>
      <c r="L4567" s="7" t="str">
        <f>TEXT(OrganizedData[[#This Row],[Order Date]],"mmm")</f>
        <v>Oct</v>
      </c>
      <c r="M4567" s="2">
        <v>93</v>
      </c>
      <c r="N4567" s="2" t="s">
        <v>54</v>
      </c>
      <c r="O4567" s="2" t="str">
        <f>VLOOKUP(OrganizedData[[#This Row],[Product Code]],ProductData[[Code]:[Item]],2,FALSE)</f>
        <v>Megawidget S</v>
      </c>
      <c r="P4567" s="4">
        <f>OrganizedData[[#This Row],[Quantity]]*VLOOKUP(OrganizedData[[#This Row],[Product Code]],ProductData[],4,FALSE)</f>
        <v>2232</v>
      </c>
      <c r="Q4567" s="6">
        <f>OrganizedData[[#This Row],[Total Items Ordered]]*VLOOKUP(OrganizedData[[#This Row],[Product Code]],ProductData[],3,FALSE)</f>
        <v>1540.08</v>
      </c>
      <c r="R45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1463.0759999999998</v>
      </c>
    </row>
    <row r="4568" spans="1:18" x14ac:dyDescent="0.3">
      <c r="A4568" s="2">
        <v>4561</v>
      </c>
      <c r="B4568" s="2" t="s">
        <v>9867</v>
      </c>
      <c r="C4568" s="2" t="s">
        <v>7443</v>
      </c>
      <c r="D4568" s="2" t="s">
        <v>51</v>
      </c>
      <c r="E4568" s="2" t="s">
        <v>16</v>
      </c>
      <c r="F4568" s="2">
        <v>90</v>
      </c>
      <c r="G4568" s="2" t="s">
        <v>9868</v>
      </c>
      <c r="H4568" s="2" t="s">
        <v>4678</v>
      </c>
      <c r="I4568" s="2" t="s">
        <v>886</v>
      </c>
      <c r="J4568" s="3">
        <v>44423</v>
      </c>
      <c r="K4568" s="5">
        <f>YEAR(OrganizedData[[#This Row],[Order Date]])</f>
        <v>2021</v>
      </c>
      <c r="L4568" s="7" t="str">
        <f>TEXT(OrganizedData[[#This Row],[Order Date]],"mmm")</f>
        <v>Aug</v>
      </c>
      <c r="M4568" s="2">
        <v>36</v>
      </c>
      <c r="N4568" s="2" t="s">
        <v>70</v>
      </c>
      <c r="O4568" s="2" t="str">
        <f>VLOOKUP(OrganizedData[[#This Row],[Product Code]],ProductData[[Code]:[Item]],2,FALSE)</f>
        <v>Megawidget M</v>
      </c>
      <c r="P4568" s="4">
        <f>OrganizedData[[#This Row],[Quantity]]*VLOOKUP(OrganizedData[[#This Row],[Product Code]],ProductData[],4,FALSE)</f>
        <v>864</v>
      </c>
      <c r="Q4568" s="6">
        <f>OrganizedData[[#This Row],[Total Items Ordered]]*VLOOKUP(OrganizedData[[#This Row],[Product Code]],ProductData[],3,FALSE)</f>
        <v>1114.56</v>
      </c>
      <c r="R45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1081.1232</v>
      </c>
    </row>
    <row r="4569" spans="1:18" x14ac:dyDescent="0.3">
      <c r="A4569" s="2">
        <v>4562</v>
      </c>
      <c r="B4569" s="2" t="s">
        <v>5141</v>
      </c>
      <c r="C4569" s="2" t="s">
        <v>9871</v>
      </c>
      <c r="D4569" s="2" t="s">
        <v>28</v>
      </c>
      <c r="E4569" s="2" t="s">
        <v>29</v>
      </c>
      <c r="F4569" s="2">
        <v>30</v>
      </c>
      <c r="G4569" s="2" t="s">
        <v>9872</v>
      </c>
      <c r="H4569" s="2" t="s">
        <v>3695</v>
      </c>
      <c r="I4569" s="2" t="s">
        <v>173</v>
      </c>
      <c r="J4569" s="3">
        <v>44349</v>
      </c>
      <c r="K4569" s="5">
        <f>YEAR(OrganizedData[[#This Row],[Order Date]])</f>
        <v>2021</v>
      </c>
      <c r="L4569" s="7" t="str">
        <f>TEXT(OrganizedData[[#This Row],[Order Date]],"mmm")</f>
        <v>Jun</v>
      </c>
      <c r="M4569" s="2">
        <v>25</v>
      </c>
      <c r="N4569" s="2" t="s">
        <v>20</v>
      </c>
      <c r="O4569" s="2" t="str">
        <f>VLOOKUP(OrganizedData[[#This Row],[Product Code]],ProductData[[Code]:[Item]],2,FALSE)</f>
        <v>Hyperwotsit</v>
      </c>
      <c r="P4569" s="4">
        <f>OrganizedData[[#This Row],[Quantity]]*VLOOKUP(OrganizedData[[#This Row],[Product Code]],ProductData[],4,FALSE)</f>
        <v>500</v>
      </c>
      <c r="Q4569" s="6">
        <f>OrganizedData[[#This Row],[Total Items Ordered]]*VLOOKUP(OrganizedData[[#This Row],[Product Code]],ProductData[],3,FALSE)</f>
        <v>1004.9999999999999</v>
      </c>
      <c r="R45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4570" spans="1:18" x14ac:dyDescent="0.3">
      <c r="A4570" s="2">
        <v>4563</v>
      </c>
      <c r="B4570" s="2" t="s">
        <v>9873</v>
      </c>
      <c r="C4570" s="2" t="s">
        <v>2113</v>
      </c>
      <c r="D4570" s="2" t="s">
        <v>51</v>
      </c>
      <c r="E4570" s="2" t="s">
        <v>16</v>
      </c>
      <c r="F4570" s="2">
        <v>30</v>
      </c>
      <c r="G4570" s="2" t="s">
        <v>9872</v>
      </c>
      <c r="H4570" s="2" t="s">
        <v>3161</v>
      </c>
      <c r="I4570" s="2" t="s">
        <v>32</v>
      </c>
      <c r="J4570" s="3">
        <v>44073</v>
      </c>
      <c r="K4570" s="5">
        <f>YEAR(OrganizedData[[#This Row],[Order Date]])</f>
        <v>2020</v>
      </c>
      <c r="L4570" s="7" t="str">
        <f>TEXT(OrganizedData[[#This Row],[Order Date]],"mmm")</f>
        <v>Aug</v>
      </c>
      <c r="M4570" s="2">
        <v>7</v>
      </c>
      <c r="N4570" s="2" t="s">
        <v>20</v>
      </c>
      <c r="O4570" s="2" t="str">
        <f>VLOOKUP(OrganizedData[[#This Row],[Product Code]],ProductData[[Code]:[Item]],2,FALSE)</f>
        <v>Hyperwotsit</v>
      </c>
      <c r="P4570" s="4">
        <f>OrganizedData[[#This Row],[Quantity]]*VLOOKUP(OrganizedData[[#This Row],[Product Code]],ProductData[],4,FALSE)</f>
        <v>140</v>
      </c>
      <c r="Q4570" s="6">
        <f>OrganizedData[[#This Row],[Total Items Ordered]]*VLOOKUP(OrganizedData[[#This Row],[Product Code]],ProductData[],3,FALSE)</f>
        <v>281.39999999999998</v>
      </c>
      <c r="R45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4571" spans="1:18" x14ac:dyDescent="0.3">
      <c r="A4571" s="2">
        <v>4564</v>
      </c>
      <c r="B4571" s="2" t="s">
        <v>7034</v>
      </c>
      <c r="C4571" s="2" t="s">
        <v>4234</v>
      </c>
      <c r="D4571" s="2" t="s">
        <v>28</v>
      </c>
      <c r="E4571" s="2" t="s">
        <v>29</v>
      </c>
      <c r="F4571" s="2">
        <v>90</v>
      </c>
      <c r="G4571" s="2" t="s">
        <v>9874</v>
      </c>
      <c r="H4571" s="2" t="s">
        <v>7151</v>
      </c>
      <c r="I4571" s="2" t="s">
        <v>38</v>
      </c>
      <c r="J4571" s="3">
        <v>44679</v>
      </c>
      <c r="K4571" s="5">
        <f>YEAR(OrganizedData[[#This Row],[Order Date]])</f>
        <v>2022</v>
      </c>
      <c r="L4571" s="7" t="str">
        <f>TEXT(OrganizedData[[#This Row],[Order Date]],"mmm")</f>
        <v>Apr</v>
      </c>
      <c r="M4571" s="2">
        <v>4</v>
      </c>
      <c r="N4571" s="2" t="s">
        <v>64</v>
      </c>
      <c r="O4571" s="2" t="str">
        <f>VLOOKUP(OrganizedData[[#This Row],[Product Code]],ProductData[[Code]:[Item]],2,FALSE)</f>
        <v>Ultrathing V4</v>
      </c>
      <c r="P4571" s="4">
        <f>OrganizedData[[#This Row],[Quantity]]*VLOOKUP(OrganizedData[[#This Row],[Product Code]],ProductData[],4,FALSE)</f>
        <v>96</v>
      </c>
      <c r="Q4571" s="6">
        <f>OrganizedData[[#This Row],[Total Items Ordered]]*VLOOKUP(OrganizedData[[#This Row],[Product Code]],ProductData[],3,FALSE)</f>
        <v>383.04</v>
      </c>
      <c r="R45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4572" spans="1:18" x14ac:dyDescent="0.3">
      <c r="A4572" s="2">
        <v>4565</v>
      </c>
      <c r="B4572" s="2" t="s">
        <v>2828</v>
      </c>
      <c r="C4572" s="2" t="s">
        <v>5180</v>
      </c>
      <c r="D4572" s="2" t="s">
        <v>28</v>
      </c>
      <c r="E4572" s="2" t="s">
        <v>29</v>
      </c>
      <c r="F4572" s="2">
        <v>90</v>
      </c>
      <c r="G4572" s="2" t="s">
        <v>9875</v>
      </c>
      <c r="H4572" s="2" t="s">
        <v>6607</v>
      </c>
      <c r="I4572" s="2" t="s">
        <v>32</v>
      </c>
      <c r="J4572" s="3">
        <v>44834</v>
      </c>
      <c r="K4572" s="5">
        <f>YEAR(OrganizedData[[#This Row],[Order Date]])</f>
        <v>2022</v>
      </c>
      <c r="L4572" s="7" t="str">
        <f>TEXT(OrganizedData[[#This Row],[Order Date]],"mmm")</f>
        <v>Sep</v>
      </c>
      <c r="M4572" s="2">
        <v>3</v>
      </c>
      <c r="N4572" s="2" t="s">
        <v>33</v>
      </c>
      <c r="O4572" s="2" t="str">
        <f>VLOOKUP(OrganizedData[[#This Row],[Product Code]],ProductData[[Code]:[Item]],2,FALSE)</f>
        <v>Megawidget L</v>
      </c>
      <c r="P4572" s="4">
        <f>OrganizedData[[#This Row],[Quantity]]*VLOOKUP(OrganizedData[[#This Row],[Product Code]],ProductData[],4,FALSE)</f>
        <v>72</v>
      </c>
      <c r="Q4572" s="6">
        <f>OrganizedData[[#This Row],[Total Items Ordered]]*VLOOKUP(OrganizedData[[#This Row],[Product Code]],ProductData[],3,FALSE)</f>
        <v>128.88</v>
      </c>
      <c r="R45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128.88</v>
      </c>
    </row>
    <row r="4573" spans="1:18" x14ac:dyDescent="0.3">
      <c r="A4573" s="2">
        <v>4566</v>
      </c>
      <c r="B4573" s="2" t="s">
        <v>6476</v>
      </c>
      <c r="C4573" s="2" t="s">
        <v>1208</v>
      </c>
      <c r="D4573" s="2" t="s">
        <v>28</v>
      </c>
      <c r="E4573" s="2" t="s">
        <v>29</v>
      </c>
      <c r="F4573" s="2">
        <v>60</v>
      </c>
      <c r="G4573" s="2" t="s">
        <v>9876</v>
      </c>
      <c r="H4573" s="2" t="s">
        <v>6951</v>
      </c>
      <c r="I4573" s="2" t="s">
        <v>38</v>
      </c>
      <c r="J4573" s="3">
        <v>43995</v>
      </c>
      <c r="K4573" s="5">
        <f>YEAR(OrganizedData[[#This Row],[Order Date]])</f>
        <v>2020</v>
      </c>
      <c r="L4573" s="7" t="str">
        <f>TEXT(OrganizedData[[#This Row],[Order Date]],"mmm")</f>
        <v>Jun</v>
      </c>
      <c r="M4573" s="2">
        <v>9</v>
      </c>
      <c r="N4573" s="2" t="s">
        <v>39</v>
      </c>
      <c r="O4573" s="2" t="str">
        <f>VLOOKUP(OrganizedData[[#This Row],[Product Code]],ProductData[[Code]:[Item]],2,FALSE)</f>
        <v>Ultrathing V1</v>
      </c>
      <c r="P4573" s="4">
        <f>OrganizedData[[#This Row],[Quantity]]*VLOOKUP(OrganizedData[[#This Row],[Product Code]],ProductData[],4,FALSE)</f>
        <v>153</v>
      </c>
      <c r="Q4573" s="6">
        <f>OrganizedData[[#This Row],[Total Items Ordered]]*VLOOKUP(OrganizedData[[#This Row],[Product Code]],ProductData[],3,FALSE)</f>
        <v>273.87</v>
      </c>
      <c r="R45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4574" spans="1:18" x14ac:dyDescent="0.3">
      <c r="A4574" s="2">
        <v>4567</v>
      </c>
      <c r="B4574" s="2" t="s">
        <v>8273</v>
      </c>
      <c r="C4574" s="2" t="s">
        <v>7627</v>
      </c>
      <c r="D4574" s="2" t="s">
        <v>51</v>
      </c>
      <c r="E4574" s="2" t="s">
        <v>16</v>
      </c>
      <c r="F4574" s="2">
        <v>60</v>
      </c>
      <c r="G4574" s="2" t="s">
        <v>9876</v>
      </c>
      <c r="H4574" s="2" t="s">
        <v>9877</v>
      </c>
      <c r="I4574" s="2" t="s">
        <v>32</v>
      </c>
      <c r="J4574" s="3">
        <v>44412</v>
      </c>
      <c r="K4574" s="5">
        <f>YEAR(OrganizedData[[#This Row],[Order Date]])</f>
        <v>2021</v>
      </c>
      <c r="L4574" s="7" t="str">
        <f>TEXT(OrganizedData[[#This Row],[Order Date]],"mmm")</f>
        <v>Aug</v>
      </c>
      <c r="M4574" s="2">
        <v>31</v>
      </c>
      <c r="N4574" s="2" t="s">
        <v>64</v>
      </c>
      <c r="O4574" s="2" t="str">
        <f>VLOOKUP(OrganizedData[[#This Row],[Product Code]],ProductData[[Code]:[Item]],2,FALSE)</f>
        <v>Ultrathing V4</v>
      </c>
      <c r="P4574" s="4">
        <f>OrganizedData[[#This Row],[Quantity]]*VLOOKUP(OrganizedData[[#This Row],[Product Code]],ProductData[],4,FALSE)</f>
        <v>744</v>
      </c>
      <c r="Q4574" s="6">
        <f>OrganizedData[[#This Row],[Total Items Ordered]]*VLOOKUP(OrganizedData[[#This Row],[Product Code]],ProductData[],3,FALSE)</f>
        <v>2968.56</v>
      </c>
      <c r="R45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2879.5031999999997</v>
      </c>
    </row>
    <row r="4575" spans="1:18" x14ac:dyDescent="0.3">
      <c r="A4575" s="2">
        <v>4568</v>
      </c>
      <c r="B4575" s="2" t="s">
        <v>9878</v>
      </c>
      <c r="C4575" s="2" t="s">
        <v>5939</v>
      </c>
      <c r="D4575" s="2" t="s">
        <v>51</v>
      </c>
      <c r="E4575" s="2" t="s">
        <v>16</v>
      </c>
      <c r="F4575" s="2">
        <v>30</v>
      </c>
      <c r="G4575" s="2" t="s">
        <v>9879</v>
      </c>
      <c r="H4575" s="2" t="s">
        <v>875</v>
      </c>
      <c r="I4575" s="2" t="s">
        <v>187</v>
      </c>
      <c r="J4575" s="3">
        <v>44580</v>
      </c>
      <c r="K4575" s="5">
        <f>YEAR(OrganizedData[[#This Row],[Order Date]])</f>
        <v>2022</v>
      </c>
      <c r="L4575" s="7" t="str">
        <f>TEXT(OrganizedData[[#This Row],[Order Date]],"mmm")</f>
        <v>Jan</v>
      </c>
      <c r="M4575" s="2">
        <v>99</v>
      </c>
      <c r="N4575" s="2" t="s">
        <v>54</v>
      </c>
      <c r="O4575" s="2" t="str">
        <f>VLOOKUP(OrganizedData[[#This Row],[Product Code]],ProductData[[Code]:[Item]],2,FALSE)</f>
        <v>Megawidget S</v>
      </c>
      <c r="P4575" s="4">
        <f>OrganizedData[[#This Row],[Quantity]]*VLOOKUP(OrganizedData[[#This Row],[Product Code]],ProductData[],4,FALSE)</f>
        <v>2376</v>
      </c>
      <c r="Q4575" s="6">
        <f>OrganizedData[[#This Row],[Total Items Ordered]]*VLOOKUP(OrganizedData[[#This Row],[Product Code]],ProductData[],3,FALSE)</f>
        <v>1639.4399999999998</v>
      </c>
      <c r="R45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1557.4679999999998</v>
      </c>
    </row>
    <row r="4576" spans="1:18" x14ac:dyDescent="0.3">
      <c r="A4576" s="2">
        <v>4569</v>
      </c>
      <c r="B4576" s="2" t="s">
        <v>9880</v>
      </c>
      <c r="C4576" s="2" t="s">
        <v>9881</v>
      </c>
      <c r="D4576" s="2" t="s">
        <v>41</v>
      </c>
      <c r="E4576" s="2" t="s">
        <v>16</v>
      </c>
      <c r="F4576" s="2">
        <v>60</v>
      </c>
      <c r="G4576" s="2" t="s">
        <v>9882</v>
      </c>
      <c r="H4576" s="2" t="s">
        <v>1764</v>
      </c>
      <c r="I4576" s="2" t="s">
        <v>124</v>
      </c>
      <c r="J4576" s="3">
        <v>44919</v>
      </c>
      <c r="K4576" s="5">
        <f>YEAR(OrganizedData[[#This Row],[Order Date]])</f>
        <v>2022</v>
      </c>
      <c r="L4576" s="7" t="str">
        <f>TEXT(OrganizedData[[#This Row],[Order Date]],"mmm")</f>
        <v>Dec</v>
      </c>
      <c r="M4576" s="2">
        <v>39</v>
      </c>
      <c r="N4576" s="2" t="s">
        <v>54</v>
      </c>
      <c r="O4576" s="2" t="str">
        <f>VLOOKUP(OrganizedData[[#This Row],[Product Code]],ProductData[[Code]:[Item]],2,FALSE)</f>
        <v>Megawidget S</v>
      </c>
      <c r="P4576" s="4">
        <f>OrganizedData[[#This Row],[Quantity]]*VLOOKUP(OrganizedData[[#This Row],[Product Code]],ProductData[],4,FALSE)</f>
        <v>936</v>
      </c>
      <c r="Q4576" s="6">
        <f>OrganizedData[[#This Row],[Total Items Ordered]]*VLOOKUP(OrganizedData[[#This Row],[Product Code]],ProductData[],3,FALSE)</f>
        <v>645.83999999999992</v>
      </c>
      <c r="R45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626.46479999999985</v>
      </c>
    </row>
    <row r="4577" spans="1:18" x14ac:dyDescent="0.3">
      <c r="A4577" s="2">
        <v>4570</v>
      </c>
      <c r="B4577" s="2" t="s">
        <v>8796</v>
      </c>
      <c r="C4577" s="2" t="s">
        <v>7588</v>
      </c>
      <c r="D4577" s="2" t="s">
        <v>15</v>
      </c>
      <c r="E4577" s="2" t="s">
        <v>16</v>
      </c>
      <c r="F4577" s="2">
        <v>90</v>
      </c>
      <c r="G4577" s="2" t="s">
        <v>9883</v>
      </c>
      <c r="H4577" s="2" t="s">
        <v>8758</v>
      </c>
      <c r="I4577" s="2" t="s">
        <v>178</v>
      </c>
      <c r="J4577" s="3">
        <v>44285</v>
      </c>
      <c r="K4577" s="5">
        <f>YEAR(OrganizedData[[#This Row],[Order Date]])</f>
        <v>2021</v>
      </c>
      <c r="L4577" s="7" t="str">
        <f>TEXT(OrganizedData[[#This Row],[Order Date]],"mmm")</f>
        <v>Mar</v>
      </c>
      <c r="M4577" s="2">
        <v>39</v>
      </c>
      <c r="N4577" s="2" t="s">
        <v>70</v>
      </c>
      <c r="O4577" s="2" t="str">
        <f>VLOOKUP(OrganizedData[[#This Row],[Product Code]],ProductData[[Code]:[Item]],2,FALSE)</f>
        <v>Megawidget M</v>
      </c>
      <c r="P4577" s="4">
        <f>OrganizedData[[#This Row],[Quantity]]*VLOOKUP(OrganizedData[[#This Row],[Product Code]],ProductData[],4,FALSE)</f>
        <v>936</v>
      </c>
      <c r="Q4577" s="6">
        <f>OrganizedData[[#This Row],[Total Items Ordered]]*VLOOKUP(OrganizedData[[#This Row],[Product Code]],ProductData[],3,FALSE)</f>
        <v>1207.44</v>
      </c>
      <c r="R45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1171.2167999999999</v>
      </c>
    </row>
    <row r="4578" spans="1:18" x14ac:dyDescent="0.3">
      <c r="A4578" s="2">
        <v>4571</v>
      </c>
      <c r="B4578" s="2" t="s">
        <v>9884</v>
      </c>
      <c r="C4578" s="2" t="s">
        <v>1273</v>
      </c>
      <c r="D4578" s="2" t="s">
        <v>41</v>
      </c>
      <c r="E4578" s="2" t="s">
        <v>16</v>
      </c>
      <c r="F4578" s="2">
        <v>60</v>
      </c>
      <c r="G4578" s="2" t="s">
        <v>9885</v>
      </c>
      <c r="H4578" s="2" t="s">
        <v>2681</v>
      </c>
      <c r="I4578" s="2" t="s">
        <v>686</v>
      </c>
      <c r="J4578" s="3">
        <v>44890</v>
      </c>
      <c r="K4578" s="5">
        <f>YEAR(OrganizedData[[#This Row],[Order Date]])</f>
        <v>2022</v>
      </c>
      <c r="L4578" s="7" t="str">
        <f>TEXT(OrganizedData[[#This Row],[Order Date]],"mmm")</f>
        <v>Nov</v>
      </c>
      <c r="M4578" s="2">
        <v>19</v>
      </c>
      <c r="N4578" s="2" t="s">
        <v>70</v>
      </c>
      <c r="O4578" s="2" t="str">
        <f>VLOOKUP(OrganizedData[[#This Row],[Product Code]],ProductData[[Code]:[Item]],2,FALSE)</f>
        <v>Megawidget M</v>
      </c>
      <c r="P4578" s="4">
        <f>OrganizedData[[#This Row],[Quantity]]*VLOOKUP(OrganizedData[[#This Row],[Product Code]],ProductData[],4,FALSE)</f>
        <v>456</v>
      </c>
      <c r="Q4578" s="6">
        <f>OrganizedData[[#This Row],[Total Items Ordered]]*VLOOKUP(OrganizedData[[#This Row],[Product Code]],ProductData[],3,FALSE)</f>
        <v>588.24</v>
      </c>
      <c r="R45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588.24</v>
      </c>
    </row>
    <row r="4579" spans="1:18" x14ac:dyDescent="0.3">
      <c r="A4579" s="2">
        <v>4572</v>
      </c>
      <c r="B4579" s="2" t="s">
        <v>6328</v>
      </c>
      <c r="C4579" s="2" t="s">
        <v>7527</v>
      </c>
      <c r="D4579" s="2" t="s">
        <v>28</v>
      </c>
      <c r="E4579" s="2" t="s">
        <v>29</v>
      </c>
      <c r="F4579" s="2">
        <v>30</v>
      </c>
      <c r="G4579" s="2" t="s">
        <v>9886</v>
      </c>
      <c r="H4579" s="2" t="s">
        <v>2633</v>
      </c>
      <c r="I4579" s="2" t="s">
        <v>32</v>
      </c>
      <c r="J4579" s="3">
        <v>43914</v>
      </c>
      <c r="K4579" s="5">
        <f>YEAR(OrganizedData[[#This Row],[Order Date]])</f>
        <v>2020</v>
      </c>
      <c r="L4579" s="7" t="str">
        <f>TEXT(OrganizedData[[#This Row],[Order Date]],"mmm")</f>
        <v>Mar</v>
      </c>
      <c r="M4579" s="2">
        <v>17</v>
      </c>
      <c r="N4579" s="2" t="s">
        <v>54</v>
      </c>
      <c r="O4579" s="2" t="str">
        <f>VLOOKUP(OrganizedData[[#This Row],[Product Code]],ProductData[[Code]:[Item]],2,FALSE)</f>
        <v>Megawidget S</v>
      </c>
      <c r="P4579" s="4">
        <f>OrganizedData[[#This Row],[Quantity]]*VLOOKUP(OrganizedData[[#This Row],[Product Code]],ProductData[],4,FALSE)</f>
        <v>408</v>
      </c>
      <c r="Q4579" s="6">
        <f>OrganizedData[[#This Row],[Total Items Ordered]]*VLOOKUP(OrganizedData[[#This Row],[Product Code]],ProductData[],3,FALSE)</f>
        <v>281.52</v>
      </c>
      <c r="R45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281.52</v>
      </c>
    </row>
    <row r="4580" spans="1:18" x14ac:dyDescent="0.3">
      <c r="A4580" s="2">
        <v>4573</v>
      </c>
      <c r="B4580" s="2" t="s">
        <v>3345</v>
      </c>
      <c r="C4580" s="2" t="s">
        <v>2920</v>
      </c>
      <c r="D4580" s="2" t="s">
        <v>28</v>
      </c>
      <c r="E4580" s="2" t="s">
        <v>29</v>
      </c>
      <c r="F4580" s="2">
        <v>60</v>
      </c>
      <c r="G4580" s="2" t="s">
        <v>9887</v>
      </c>
      <c r="H4580" s="2" t="s">
        <v>3774</v>
      </c>
      <c r="I4580" s="2" t="s">
        <v>187</v>
      </c>
      <c r="J4580" s="3">
        <v>43898</v>
      </c>
      <c r="K4580" s="5">
        <f>YEAR(OrganizedData[[#This Row],[Order Date]])</f>
        <v>2020</v>
      </c>
      <c r="L4580" s="7" t="str">
        <f>TEXT(OrganizedData[[#This Row],[Order Date]],"mmm")</f>
        <v>Mar</v>
      </c>
      <c r="M4580" s="2">
        <v>7</v>
      </c>
      <c r="N4580" s="2" t="s">
        <v>33</v>
      </c>
      <c r="O4580" s="2" t="str">
        <f>VLOOKUP(OrganizedData[[#This Row],[Product Code]],ProductData[[Code]:[Item]],2,FALSE)</f>
        <v>Megawidget L</v>
      </c>
      <c r="P4580" s="4">
        <f>OrganizedData[[#This Row],[Quantity]]*VLOOKUP(OrganizedData[[#This Row],[Product Code]],ProductData[],4,FALSE)</f>
        <v>168</v>
      </c>
      <c r="Q4580" s="6">
        <f>OrganizedData[[#This Row],[Total Items Ordered]]*VLOOKUP(OrganizedData[[#This Row],[Product Code]],ProductData[],3,FALSE)</f>
        <v>300.72000000000003</v>
      </c>
      <c r="R45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4581" spans="1:18" x14ac:dyDescent="0.3">
      <c r="A4581" s="2">
        <v>4574</v>
      </c>
      <c r="B4581" s="2" t="s">
        <v>1293</v>
      </c>
      <c r="C4581" s="2" t="s">
        <v>4258</v>
      </c>
      <c r="D4581" s="2" t="s">
        <v>51</v>
      </c>
      <c r="E4581" s="2" t="s">
        <v>16</v>
      </c>
      <c r="F4581" s="2">
        <v>30</v>
      </c>
      <c r="G4581" s="2" t="s">
        <v>9890</v>
      </c>
      <c r="H4581" s="2" t="s">
        <v>9891</v>
      </c>
      <c r="I4581" s="2" t="s">
        <v>32</v>
      </c>
      <c r="J4581" s="3">
        <v>44227</v>
      </c>
      <c r="K4581" s="5">
        <f>YEAR(OrganizedData[[#This Row],[Order Date]])</f>
        <v>2021</v>
      </c>
      <c r="L4581" s="7" t="str">
        <f>TEXT(OrganizedData[[#This Row],[Order Date]],"mmm")</f>
        <v>Jan</v>
      </c>
      <c r="M4581" s="2">
        <v>4</v>
      </c>
      <c r="N4581" s="2" t="s">
        <v>70</v>
      </c>
      <c r="O4581" s="2" t="str">
        <f>VLOOKUP(OrganizedData[[#This Row],[Product Code]],ProductData[[Code]:[Item]],2,FALSE)</f>
        <v>Megawidget M</v>
      </c>
      <c r="P4581" s="4">
        <f>OrganizedData[[#This Row],[Quantity]]*VLOOKUP(OrganizedData[[#This Row],[Product Code]],ProductData[],4,FALSE)</f>
        <v>96</v>
      </c>
      <c r="Q4581" s="6">
        <f>OrganizedData[[#This Row],[Total Items Ordered]]*VLOOKUP(OrganizedData[[#This Row],[Product Code]],ProductData[],3,FALSE)</f>
        <v>123.84</v>
      </c>
      <c r="R45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123.84</v>
      </c>
    </row>
    <row r="4582" spans="1:18" x14ac:dyDescent="0.3">
      <c r="A4582" s="2">
        <v>4575</v>
      </c>
      <c r="B4582" s="2" t="s">
        <v>1379</v>
      </c>
      <c r="C4582" s="2" t="s">
        <v>5862</v>
      </c>
      <c r="D4582" s="2" t="s">
        <v>28</v>
      </c>
      <c r="E4582" s="2" t="s">
        <v>29</v>
      </c>
      <c r="F4582" s="2">
        <v>90</v>
      </c>
      <c r="G4582" s="2" t="s">
        <v>9892</v>
      </c>
      <c r="H4582" s="2" t="s">
        <v>2218</v>
      </c>
      <c r="I4582" s="2" t="s">
        <v>173</v>
      </c>
      <c r="J4582" s="3">
        <v>43832</v>
      </c>
      <c r="K4582" s="5">
        <f>YEAR(OrganizedData[[#This Row],[Order Date]])</f>
        <v>2020</v>
      </c>
      <c r="L4582" s="7" t="str">
        <f>TEXT(OrganizedData[[#This Row],[Order Date]],"mmm")</f>
        <v>Jan</v>
      </c>
      <c r="M4582" s="2">
        <v>41</v>
      </c>
      <c r="N4582" s="2" t="s">
        <v>70</v>
      </c>
      <c r="O4582" s="2" t="str">
        <f>VLOOKUP(OrganizedData[[#This Row],[Product Code]],ProductData[[Code]:[Item]],2,FALSE)</f>
        <v>Megawidget M</v>
      </c>
      <c r="P4582" s="4">
        <f>OrganizedData[[#This Row],[Quantity]]*VLOOKUP(OrganizedData[[#This Row],[Product Code]],ProductData[],4,FALSE)</f>
        <v>984</v>
      </c>
      <c r="Q4582" s="6">
        <f>OrganizedData[[#This Row],[Total Items Ordered]]*VLOOKUP(OrganizedData[[#This Row],[Product Code]],ProductData[],3,FALSE)</f>
        <v>1269.3600000000001</v>
      </c>
      <c r="R45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1231.2792000000002</v>
      </c>
    </row>
    <row r="4583" spans="1:18" x14ac:dyDescent="0.3">
      <c r="A4583" s="2">
        <v>4576</v>
      </c>
      <c r="B4583" s="2" t="s">
        <v>1207</v>
      </c>
      <c r="C4583" s="2" t="s">
        <v>5359</v>
      </c>
      <c r="D4583" s="2" t="s">
        <v>28</v>
      </c>
      <c r="E4583" s="2" t="s">
        <v>29</v>
      </c>
      <c r="F4583" s="2">
        <v>30</v>
      </c>
      <c r="G4583" s="2" t="s">
        <v>9893</v>
      </c>
      <c r="H4583" s="2" t="s">
        <v>7829</v>
      </c>
      <c r="I4583" s="2" t="s">
        <v>934</v>
      </c>
      <c r="J4583" s="3">
        <v>43844</v>
      </c>
      <c r="K4583" s="5">
        <f>YEAR(OrganizedData[[#This Row],[Order Date]])</f>
        <v>2020</v>
      </c>
      <c r="L4583" s="7" t="str">
        <f>TEXT(OrganizedData[[#This Row],[Order Date]],"mmm")</f>
        <v>Jan</v>
      </c>
      <c r="M4583" s="2">
        <v>26</v>
      </c>
      <c r="N4583" s="2" t="s">
        <v>20</v>
      </c>
      <c r="O4583" s="2" t="str">
        <f>VLOOKUP(OrganizedData[[#This Row],[Product Code]],ProductData[[Code]:[Item]],2,FALSE)</f>
        <v>Hyperwotsit</v>
      </c>
      <c r="P4583" s="4">
        <f>OrganizedData[[#This Row],[Quantity]]*VLOOKUP(OrganizedData[[#This Row],[Product Code]],ProductData[],4,FALSE)</f>
        <v>520</v>
      </c>
      <c r="Q4583" s="6">
        <f>OrganizedData[[#This Row],[Total Items Ordered]]*VLOOKUP(OrganizedData[[#This Row],[Product Code]],ProductData[],3,FALSE)</f>
        <v>1045.1999999999998</v>
      </c>
      <c r="R45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1013.8439999999998</v>
      </c>
    </row>
    <row r="4584" spans="1:18" x14ac:dyDescent="0.3">
      <c r="A4584" s="2">
        <v>4577</v>
      </c>
      <c r="B4584" s="2" t="s">
        <v>4647</v>
      </c>
      <c r="C4584" s="2" t="s">
        <v>5483</v>
      </c>
      <c r="D4584" s="2" t="s">
        <v>28</v>
      </c>
      <c r="E4584" s="2" t="s">
        <v>29</v>
      </c>
      <c r="F4584" s="2">
        <v>90</v>
      </c>
      <c r="G4584" s="2" t="s">
        <v>9894</v>
      </c>
      <c r="H4584" s="2" t="s">
        <v>4049</v>
      </c>
      <c r="I4584" s="2" t="s">
        <v>32</v>
      </c>
      <c r="J4584" s="3">
        <v>44305</v>
      </c>
      <c r="K4584" s="5">
        <f>YEAR(OrganizedData[[#This Row],[Order Date]])</f>
        <v>2021</v>
      </c>
      <c r="L4584" s="7" t="str">
        <f>TEXT(OrganizedData[[#This Row],[Order Date]],"mmm")</f>
        <v>Apr</v>
      </c>
      <c r="M4584" s="2">
        <v>92</v>
      </c>
      <c r="N4584" s="2" t="s">
        <v>20</v>
      </c>
      <c r="O4584" s="2" t="str">
        <f>VLOOKUP(OrganizedData[[#This Row],[Product Code]],ProductData[[Code]:[Item]],2,FALSE)</f>
        <v>Hyperwotsit</v>
      </c>
      <c r="P4584" s="4">
        <f>OrganizedData[[#This Row],[Quantity]]*VLOOKUP(OrganizedData[[#This Row],[Product Code]],ProductData[],4,FALSE)</f>
        <v>1840</v>
      </c>
      <c r="Q4584" s="6">
        <f>OrganizedData[[#This Row],[Total Items Ordered]]*VLOOKUP(OrganizedData[[#This Row],[Product Code]],ProductData[],3,FALSE)</f>
        <v>3698.3999999999996</v>
      </c>
      <c r="R45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3513.4799999999996</v>
      </c>
    </row>
    <row r="4585" spans="1:18" x14ac:dyDescent="0.3">
      <c r="A4585" s="2">
        <v>4578</v>
      </c>
      <c r="B4585" s="2" t="s">
        <v>8407</v>
      </c>
      <c r="C4585" s="2" t="s">
        <v>9895</v>
      </c>
      <c r="D4585" s="2" t="s">
        <v>28</v>
      </c>
      <c r="E4585" s="2" t="s">
        <v>29</v>
      </c>
      <c r="F4585" s="2">
        <v>60</v>
      </c>
      <c r="G4585" s="2" t="s">
        <v>9896</v>
      </c>
      <c r="H4585" s="2" t="s">
        <v>1764</v>
      </c>
      <c r="I4585" s="2" t="s">
        <v>124</v>
      </c>
      <c r="J4585" s="3">
        <v>44626</v>
      </c>
      <c r="K4585" s="5">
        <f>YEAR(OrganizedData[[#This Row],[Order Date]])</f>
        <v>2022</v>
      </c>
      <c r="L4585" s="7" t="str">
        <f>TEXT(OrganizedData[[#This Row],[Order Date]],"mmm")</f>
        <v>Mar</v>
      </c>
      <c r="M4585" s="2">
        <v>76</v>
      </c>
      <c r="N4585" s="2" t="s">
        <v>70</v>
      </c>
      <c r="O4585" s="2" t="str">
        <f>VLOOKUP(OrganizedData[[#This Row],[Product Code]],ProductData[[Code]:[Item]],2,FALSE)</f>
        <v>Megawidget M</v>
      </c>
      <c r="P4585" s="4">
        <f>OrganizedData[[#This Row],[Quantity]]*VLOOKUP(OrganizedData[[#This Row],[Product Code]],ProductData[],4,FALSE)</f>
        <v>1824</v>
      </c>
      <c r="Q4585" s="6">
        <f>OrganizedData[[#This Row],[Total Items Ordered]]*VLOOKUP(OrganizedData[[#This Row],[Product Code]],ProductData[],3,FALSE)</f>
        <v>2352.96</v>
      </c>
      <c r="R45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2235.3119999999999</v>
      </c>
    </row>
    <row r="4586" spans="1:18" x14ac:dyDescent="0.3">
      <c r="A4586" s="2">
        <v>4579</v>
      </c>
      <c r="B4586" s="2" t="s">
        <v>2891</v>
      </c>
      <c r="C4586" s="2" t="s">
        <v>8046</v>
      </c>
      <c r="D4586" s="2" t="s">
        <v>28</v>
      </c>
      <c r="E4586" s="2" t="s">
        <v>29</v>
      </c>
      <c r="F4586" s="2">
        <v>90</v>
      </c>
      <c r="G4586" s="2" t="s">
        <v>9897</v>
      </c>
      <c r="H4586" s="2" t="s">
        <v>2183</v>
      </c>
      <c r="I4586" s="2" t="s">
        <v>124</v>
      </c>
      <c r="J4586" s="3">
        <v>43978</v>
      </c>
      <c r="K4586" s="5">
        <f>YEAR(OrganizedData[[#This Row],[Order Date]])</f>
        <v>2020</v>
      </c>
      <c r="L4586" s="7" t="str">
        <f>TEXT(OrganizedData[[#This Row],[Order Date]],"mmm")</f>
        <v>May</v>
      </c>
      <c r="M4586" s="2">
        <v>65</v>
      </c>
      <c r="N4586" s="2" t="s">
        <v>39</v>
      </c>
      <c r="O4586" s="2" t="str">
        <f>VLOOKUP(OrganizedData[[#This Row],[Product Code]],ProductData[[Code]:[Item]],2,FALSE)</f>
        <v>Ultrathing V1</v>
      </c>
      <c r="P4586" s="4">
        <f>OrganizedData[[#This Row],[Quantity]]*VLOOKUP(OrganizedData[[#This Row],[Product Code]],ProductData[],4,FALSE)</f>
        <v>1105</v>
      </c>
      <c r="Q4586" s="6">
        <f>OrganizedData[[#This Row],[Total Items Ordered]]*VLOOKUP(OrganizedData[[#This Row],[Product Code]],ProductData[],3,FALSE)</f>
        <v>1977.95</v>
      </c>
      <c r="R45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1879.0525</v>
      </c>
    </row>
    <row r="4587" spans="1:18" x14ac:dyDescent="0.3">
      <c r="A4587" s="2">
        <v>4580</v>
      </c>
      <c r="B4587" s="2" t="s">
        <v>7143</v>
      </c>
      <c r="C4587" s="2" t="s">
        <v>277</v>
      </c>
      <c r="D4587" s="2" t="s">
        <v>15</v>
      </c>
      <c r="E4587" s="2" t="s">
        <v>16</v>
      </c>
      <c r="F4587" s="2">
        <v>30</v>
      </c>
      <c r="G4587" s="2" t="s">
        <v>9898</v>
      </c>
      <c r="H4587" s="2" t="s">
        <v>4180</v>
      </c>
      <c r="I4587" s="2" t="s">
        <v>187</v>
      </c>
      <c r="J4587" s="3">
        <v>44177</v>
      </c>
      <c r="K4587" s="5">
        <f>YEAR(OrganizedData[[#This Row],[Order Date]])</f>
        <v>2020</v>
      </c>
      <c r="L4587" s="7" t="str">
        <f>TEXT(OrganizedData[[#This Row],[Order Date]],"mmm")</f>
        <v>Dec</v>
      </c>
      <c r="M4587" s="2">
        <v>22</v>
      </c>
      <c r="N4587" s="2" t="s">
        <v>33</v>
      </c>
      <c r="O4587" s="2" t="str">
        <f>VLOOKUP(OrganizedData[[#This Row],[Product Code]],ProductData[[Code]:[Item]],2,FALSE)</f>
        <v>Megawidget L</v>
      </c>
      <c r="P4587" s="4">
        <f>OrganizedData[[#This Row],[Quantity]]*VLOOKUP(OrganizedData[[#This Row],[Product Code]],ProductData[],4,FALSE)</f>
        <v>528</v>
      </c>
      <c r="Q4587" s="6">
        <f>OrganizedData[[#This Row],[Total Items Ordered]]*VLOOKUP(OrganizedData[[#This Row],[Product Code]],ProductData[],3,FALSE)</f>
        <v>945.12</v>
      </c>
      <c r="R45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4588" spans="1:18" x14ac:dyDescent="0.3">
      <c r="A4588" s="2">
        <v>4581</v>
      </c>
      <c r="B4588" s="2" t="s">
        <v>1467</v>
      </c>
      <c r="C4588" s="2" t="s">
        <v>1317</v>
      </c>
      <c r="D4588" s="2" t="s">
        <v>28</v>
      </c>
      <c r="E4588" s="2" t="s">
        <v>29</v>
      </c>
      <c r="F4588" s="2">
        <v>60</v>
      </c>
      <c r="G4588" s="2" t="s">
        <v>9899</v>
      </c>
      <c r="H4588" s="2" t="s">
        <v>2975</v>
      </c>
      <c r="I4588" s="2" t="s">
        <v>146</v>
      </c>
      <c r="J4588" s="3">
        <v>44164</v>
      </c>
      <c r="K4588" s="5">
        <f>YEAR(OrganizedData[[#This Row],[Order Date]])</f>
        <v>2020</v>
      </c>
      <c r="L4588" s="7" t="str">
        <f>TEXT(OrganizedData[[#This Row],[Order Date]],"mmm")</f>
        <v>Nov</v>
      </c>
      <c r="M4588" s="2">
        <v>53</v>
      </c>
      <c r="N4588" s="2" t="s">
        <v>80</v>
      </c>
      <c r="O4588" s="2" t="str">
        <f>VLOOKUP(OrganizedData[[#This Row],[Product Code]],ProductData[[Code]:[Item]],2,FALSE)</f>
        <v>Ultrathing V2</v>
      </c>
      <c r="P4588" s="4">
        <f>OrganizedData[[#This Row],[Quantity]]*VLOOKUP(OrganizedData[[#This Row],[Product Code]],ProductData[],4,FALSE)</f>
        <v>1060</v>
      </c>
      <c r="Q4588" s="6">
        <f>OrganizedData[[#This Row],[Total Items Ordered]]*VLOOKUP(OrganizedData[[#This Row],[Product Code]],ProductData[],3,FALSE)</f>
        <v>3127</v>
      </c>
      <c r="R45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2970.6499999999996</v>
      </c>
    </row>
    <row r="4589" spans="1:18" x14ac:dyDescent="0.3">
      <c r="A4589" s="2">
        <v>4582</v>
      </c>
      <c r="B4589" s="2" t="s">
        <v>2740</v>
      </c>
      <c r="C4589" s="2" t="s">
        <v>34</v>
      </c>
      <c r="D4589" s="2" t="s">
        <v>28</v>
      </c>
      <c r="E4589" s="2" t="s">
        <v>29</v>
      </c>
      <c r="F4589" s="2">
        <v>30</v>
      </c>
      <c r="G4589" s="2" t="s">
        <v>9900</v>
      </c>
      <c r="H4589" s="2" t="s">
        <v>7584</v>
      </c>
      <c r="I4589" s="2" t="s">
        <v>32</v>
      </c>
      <c r="J4589" s="3">
        <v>44505</v>
      </c>
      <c r="K4589" s="5">
        <f>YEAR(OrganizedData[[#This Row],[Order Date]])</f>
        <v>2021</v>
      </c>
      <c r="L4589" s="7" t="str">
        <f>TEXT(OrganizedData[[#This Row],[Order Date]],"mmm")</f>
        <v>Nov</v>
      </c>
      <c r="M4589" s="2">
        <v>16</v>
      </c>
      <c r="N4589" s="2" t="s">
        <v>159</v>
      </c>
      <c r="O4589" s="2" t="str">
        <f>VLOOKUP(OrganizedData[[#This Row],[Product Code]],ProductData[[Code]:[Item]],2,FALSE)</f>
        <v>Ultrathing V3</v>
      </c>
      <c r="P4589" s="4">
        <f>OrganizedData[[#This Row],[Quantity]]*VLOOKUP(OrganizedData[[#This Row],[Product Code]],ProductData[],4,FALSE)</f>
        <v>384</v>
      </c>
      <c r="Q4589" s="6">
        <f>OrganizedData[[#This Row],[Total Items Ordered]]*VLOOKUP(OrganizedData[[#This Row],[Product Code]],ProductData[],3,FALSE)</f>
        <v>1301.76</v>
      </c>
      <c r="R45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1301.76</v>
      </c>
    </row>
    <row r="4590" spans="1:18" x14ac:dyDescent="0.3">
      <c r="A4590" s="2">
        <v>4583</v>
      </c>
      <c r="B4590" s="2" t="s">
        <v>6549</v>
      </c>
      <c r="C4590" s="2" t="s">
        <v>3664</v>
      </c>
      <c r="D4590" s="2" t="s">
        <v>15</v>
      </c>
      <c r="E4590" s="2" t="s">
        <v>16</v>
      </c>
      <c r="F4590" s="2">
        <v>30</v>
      </c>
      <c r="G4590" s="2" t="s">
        <v>9901</v>
      </c>
      <c r="H4590" s="2" t="s">
        <v>455</v>
      </c>
      <c r="I4590" s="2" t="s">
        <v>187</v>
      </c>
      <c r="J4590" s="3">
        <v>44887</v>
      </c>
      <c r="K4590" s="5">
        <f>YEAR(OrganizedData[[#This Row],[Order Date]])</f>
        <v>2022</v>
      </c>
      <c r="L4590" s="7" t="str">
        <f>TEXT(OrganizedData[[#This Row],[Order Date]],"mmm")</f>
        <v>Nov</v>
      </c>
      <c r="M4590" s="2">
        <v>4</v>
      </c>
      <c r="N4590" s="2" t="s">
        <v>20</v>
      </c>
      <c r="O4590" s="2" t="str">
        <f>VLOOKUP(OrganizedData[[#This Row],[Product Code]],ProductData[[Code]:[Item]],2,FALSE)</f>
        <v>Hyperwotsit</v>
      </c>
      <c r="P4590" s="4">
        <f>OrganizedData[[#This Row],[Quantity]]*VLOOKUP(OrganizedData[[#This Row],[Product Code]],ProductData[],4,FALSE)</f>
        <v>80</v>
      </c>
      <c r="Q4590" s="6">
        <f>OrganizedData[[#This Row],[Total Items Ordered]]*VLOOKUP(OrganizedData[[#This Row],[Product Code]],ProductData[],3,FALSE)</f>
        <v>160.79999999999998</v>
      </c>
      <c r="R45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160.79999999999998</v>
      </c>
    </row>
    <row r="4591" spans="1:18" x14ac:dyDescent="0.3">
      <c r="A4591" s="2">
        <v>4584</v>
      </c>
      <c r="B4591" s="2" t="s">
        <v>9902</v>
      </c>
      <c r="C4591" s="2" t="s">
        <v>6997</v>
      </c>
      <c r="D4591" s="2" t="s">
        <v>51</v>
      </c>
      <c r="E4591" s="2" t="s">
        <v>16</v>
      </c>
      <c r="F4591" s="2">
        <v>30</v>
      </c>
      <c r="G4591" s="2" t="s">
        <v>9903</v>
      </c>
      <c r="H4591" s="2" t="s">
        <v>9904</v>
      </c>
      <c r="I4591" s="2" t="s">
        <v>25</v>
      </c>
      <c r="J4591" s="3">
        <v>43950</v>
      </c>
      <c r="K4591" s="5">
        <f>YEAR(OrganizedData[[#This Row],[Order Date]])</f>
        <v>2020</v>
      </c>
      <c r="L4591" s="7" t="str">
        <f>TEXT(OrganizedData[[#This Row],[Order Date]],"mmm")</f>
        <v>Apr</v>
      </c>
      <c r="M4591" s="2">
        <v>43</v>
      </c>
      <c r="N4591" s="2" t="s">
        <v>101</v>
      </c>
      <c r="O4591" s="2" t="str">
        <f>VLOOKUP(OrganizedData[[#This Row],[Product Code]],ProductData[[Code]:[Item]],2,FALSE)</f>
        <v>Superwossname</v>
      </c>
      <c r="P4591" s="4">
        <f>OrganizedData[[#This Row],[Quantity]]*VLOOKUP(OrganizedData[[#This Row],[Product Code]],ProductData[],4,FALSE)</f>
        <v>860</v>
      </c>
      <c r="Q4591" s="6">
        <f>OrganizedData[[#This Row],[Total Items Ordered]]*VLOOKUP(OrganizedData[[#This Row],[Product Code]],ProductData[],3,FALSE)</f>
        <v>3001.4</v>
      </c>
      <c r="R45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4592" spans="1:18" x14ac:dyDescent="0.3">
      <c r="A4592" s="2">
        <v>4585</v>
      </c>
      <c r="B4592" s="2" t="s">
        <v>9398</v>
      </c>
      <c r="C4592" s="2" t="s">
        <v>3111</v>
      </c>
      <c r="D4592" s="2" t="s">
        <v>28</v>
      </c>
      <c r="E4592" s="2" t="s">
        <v>29</v>
      </c>
      <c r="F4592" s="2">
        <v>30</v>
      </c>
      <c r="G4592" s="2" t="s">
        <v>9905</v>
      </c>
      <c r="H4592" s="2" t="s">
        <v>224</v>
      </c>
      <c r="I4592" s="2" t="s">
        <v>124</v>
      </c>
      <c r="J4592" s="3">
        <v>44370</v>
      </c>
      <c r="K4592" s="5">
        <f>YEAR(OrganizedData[[#This Row],[Order Date]])</f>
        <v>2021</v>
      </c>
      <c r="L4592" s="7" t="str">
        <f>TEXT(OrganizedData[[#This Row],[Order Date]],"mmm")</f>
        <v>Jun</v>
      </c>
      <c r="M4592" s="2">
        <v>86</v>
      </c>
      <c r="N4592" s="2" t="s">
        <v>45</v>
      </c>
      <c r="O4592" s="2" t="str">
        <f>VLOOKUP(OrganizedData[[#This Row],[Product Code]],ProductData[[Code]:[Item]],2,FALSE)</f>
        <v>Gigastuff</v>
      </c>
      <c r="P4592" s="4">
        <f>OrganizedData[[#This Row],[Quantity]]*VLOOKUP(OrganizedData[[#This Row],[Product Code]],ProductData[],4,FALSE)</f>
        <v>1548</v>
      </c>
      <c r="Q4592" s="6">
        <f>OrganizedData[[#This Row],[Total Items Ordered]]*VLOOKUP(OrganizedData[[#This Row],[Product Code]],ProductData[],3,FALSE)</f>
        <v>2925.72</v>
      </c>
      <c r="R45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2779.4339999999997</v>
      </c>
    </row>
    <row r="4593" spans="1:18" x14ac:dyDescent="0.3">
      <c r="A4593" s="2">
        <v>4586</v>
      </c>
      <c r="B4593" s="2" t="s">
        <v>986</v>
      </c>
      <c r="C4593" s="2" t="s">
        <v>7869</v>
      </c>
      <c r="D4593" s="2" t="s">
        <v>28</v>
      </c>
      <c r="E4593" s="2" t="s">
        <v>29</v>
      </c>
      <c r="F4593" s="2">
        <v>60</v>
      </c>
      <c r="G4593" s="2" t="s">
        <v>9906</v>
      </c>
      <c r="H4593" s="2" t="s">
        <v>4266</v>
      </c>
      <c r="I4593" s="2" t="s">
        <v>25</v>
      </c>
      <c r="J4593" s="3">
        <v>44810</v>
      </c>
      <c r="K4593" s="5">
        <f>YEAR(OrganizedData[[#This Row],[Order Date]])</f>
        <v>2022</v>
      </c>
      <c r="L4593" s="7" t="str">
        <f>TEXT(OrganizedData[[#This Row],[Order Date]],"mmm")</f>
        <v>Sep</v>
      </c>
      <c r="M4593" s="2">
        <v>70</v>
      </c>
      <c r="N4593" s="2" t="s">
        <v>80</v>
      </c>
      <c r="O4593" s="2" t="str">
        <f>VLOOKUP(OrganizedData[[#This Row],[Product Code]],ProductData[[Code]:[Item]],2,FALSE)</f>
        <v>Ultrathing V2</v>
      </c>
      <c r="P4593" s="4">
        <f>OrganizedData[[#This Row],[Quantity]]*VLOOKUP(OrganizedData[[#This Row],[Product Code]],ProductData[],4,FALSE)</f>
        <v>1400</v>
      </c>
      <c r="Q4593" s="6">
        <f>OrganizedData[[#This Row],[Total Items Ordered]]*VLOOKUP(OrganizedData[[#This Row],[Product Code]],ProductData[],3,FALSE)</f>
        <v>4130</v>
      </c>
      <c r="R45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3923.5</v>
      </c>
    </row>
    <row r="4594" spans="1:18" x14ac:dyDescent="0.3">
      <c r="A4594" s="2">
        <v>4587</v>
      </c>
      <c r="B4594" s="2" t="s">
        <v>7211</v>
      </c>
      <c r="C4594" s="2" t="s">
        <v>641</v>
      </c>
      <c r="D4594" s="2" t="s">
        <v>28</v>
      </c>
      <c r="E4594" s="2" t="s">
        <v>29</v>
      </c>
      <c r="F4594" s="2">
        <v>90</v>
      </c>
      <c r="G4594" s="2" t="s">
        <v>9907</v>
      </c>
      <c r="H4594" s="2" t="s">
        <v>802</v>
      </c>
      <c r="I4594" s="2" t="s">
        <v>294</v>
      </c>
      <c r="J4594" s="3">
        <v>44883</v>
      </c>
      <c r="K4594" s="5">
        <f>YEAR(OrganizedData[[#This Row],[Order Date]])</f>
        <v>2022</v>
      </c>
      <c r="L4594" s="7" t="str">
        <f>TEXT(OrganizedData[[#This Row],[Order Date]],"mmm")</f>
        <v>Nov</v>
      </c>
      <c r="M4594" s="2">
        <v>91</v>
      </c>
      <c r="N4594" s="2" t="s">
        <v>64</v>
      </c>
      <c r="O4594" s="2" t="str">
        <f>VLOOKUP(OrganizedData[[#This Row],[Product Code]],ProductData[[Code]:[Item]],2,FALSE)</f>
        <v>Ultrathing V4</v>
      </c>
      <c r="P4594" s="4">
        <f>OrganizedData[[#This Row],[Quantity]]*VLOOKUP(OrganizedData[[#This Row],[Product Code]],ProductData[],4,FALSE)</f>
        <v>2184</v>
      </c>
      <c r="Q4594" s="6">
        <f>OrganizedData[[#This Row],[Total Items Ordered]]*VLOOKUP(OrganizedData[[#This Row],[Product Code]],ProductData[],3,FALSE)</f>
        <v>8714.16</v>
      </c>
      <c r="R45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8278.4519999999993</v>
      </c>
    </row>
    <row r="4595" spans="1:18" x14ac:dyDescent="0.3">
      <c r="A4595" s="2">
        <v>4588</v>
      </c>
      <c r="B4595" s="2" t="s">
        <v>7187</v>
      </c>
      <c r="C4595" s="2" t="s">
        <v>121</v>
      </c>
      <c r="D4595" s="2" t="s">
        <v>117</v>
      </c>
      <c r="E4595" s="2" t="s">
        <v>29</v>
      </c>
      <c r="F4595" s="2">
        <v>60</v>
      </c>
      <c r="G4595" s="2" t="s">
        <v>9908</v>
      </c>
      <c r="H4595" s="2" t="s">
        <v>8547</v>
      </c>
      <c r="I4595" s="2" t="s">
        <v>32</v>
      </c>
      <c r="J4595" s="3">
        <v>44560</v>
      </c>
      <c r="K4595" s="5">
        <f>YEAR(OrganizedData[[#This Row],[Order Date]])</f>
        <v>2021</v>
      </c>
      <c r="L4595" s="7" t="str">
        <f>TEXT(OrganizedData[[#This Row],[Order Date]],"mmm")</f>
        <v>Dec</v>
      </c>
      <c r="M4595" s="2">
        <v>49</v>
      </c>
      <c r="N4595" s="2" t="s">
        <v>101</v>
      </c>
      <c r="O4595" s="2" t="str">
        <f>VLOOKUP(OrganizedData[[#This Row],[Product Code]],ProductData[[Code]:[Item]],2,FALSE)</f>
        <v>Superwossname</v>
      </c>
      <c r="P4595" s="4">
        <f>OrganizedData[[#This Row],[Quantity]]*VLOOKUP(OrganizedData[[#This Row],[Product Code]],ProductData[],4,FALSE)</f>
        <v>980</v>
      </c>
      <c r="Q4595" s="6">
        <f>OrganizedData[[#This Row],[Total Items Ordered]]*VLOOKUP(OrganizedData[[#This Row],[Product Code]],ProductData[],3,FALSE)</f>
        <v>3420.2000000000003</v>
      </c>
      <c r="R45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3317.5940000000001</v>
      </c>
    </row>
    <row r="4596" spans="1:18" x14ac:dyDescent="0.3">
      <c r="A4596" s="2">
        <v>4589</v>
      </c>
      <c r="B4596" s="2" t="s">
        <v>9516</v>
      </c>
      <c r="C4596" s="2" t="s">
        <v>242</v>
      </c>
      <c r="D4596" s="2" t="s">
        <v>92</v>
      </c>
      <c r="E4596" s="2" t="s">
        <v>29</v>
      </c>
      <c r="F4596" s="2">
        <v>60</v>
      </c>
      <c r="G4596" s="2" t="s">
        <v>9909</v>
      </c>
      <c r="H4596" s="2" t="s">
        <v>1366</v>
      </c>
      <c r="I4596" s="2" t="s">
        <v>1367</v>
      </c>
      <c r="J4596" s="3">
        <v>44805</v>
      </c>
      <c r="K4596" s="5">
        <f>YEAR(OrganizedData[[#This Row],[Order Date]])</f>
        <v>2022</v>
      </c>
      <c r="L4596" s="7" t="str">
        <f>TEXT(OrganizedData[[#This Row],[Order Date]],"mmm")</f>
        <v>Sep</v>
      </c>
      <c r="M4596" s="2">
        <v>2</v>
      </c>
      <c r="N4596" s="2" t="s">
        <v>101</v>
      </c>
      <c r="O4596" s="2" t="str">
        <f>VLOOKUP(OrganizedData[[#This Row],[Product Code]],ProductData[[Code]:[Item]],2,FALSE)</f>
        <v>Superwossname</v>
      </c>
      <c r="P4596" s="4">
        <f>OrganizedData[[#This Row],[Quantity]]*VLOOKUP(OrganizedData[[#This Row],[Product Code]],ProductData[],4,FALSE)</f>
        <v>40</v>
      </c>
      <c r="Q4596" s="6">
        <f>OrganizedData[[#This Row],[Total Items Ordered]]*VLOOKUP(OrganizedData[[#This Row],[Product Code]],ProductData[],3,FALSE)</f>
        <v>139.60000000000002</v>
      </c>
      <c r="R45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139.60000000000002</v>
      </c>
    </row>
    <row r="4597" spans="1:18" x14ac:dyDescent="0.3">
      <c r="A4597" s="2">
        <v>4590</v>
      </c>
      <c r="B4597" s="2" t="s">
        <v>9910</v>
      </c>
      <c r="C4597" s="2" t="s">
        <v>6261</v>
      </c>
      <c r="D4597" s="2" t="s">
        <v>28</v>
      </c>
      <c r="E4597" s="2" t="s">
        <v>29</v>
      </c>
      <c r="F4597" s="2">
        <v>90</v>
      </c>
      <c r="G4597" s="2" t="s">
        <v>9909</v>
      </c>
      <c r="H4597" s="2" t="s">
        <v>1394</v>
      </c>
      <c r="I4597" s="2" t="s">
        <v>1199</v>
      </c>
      <c r="J4597" s="3">
        <v>44806</v>
      </c>
      <c r="K4597" s="5">
        <f>YEAR(OrganizedData[[#This Row],[Order Date]])</f>
        <v>2022</v>
      </c>
      <c r="L4597" s="7" t="str">
        <f>TEXT(OrganizedData[[#This Row],[Order Date]],"mmm")</f>
        <v>Sep</v>
      </c>
      <c r="M4597" s="2">
        <v>14</v>
      </c>
      <c r="N4597" s="2" t="s">
        <v>101</v>
      </c>
      <c r="O4597" s="2" t="str">
        <f>VLOOKUP(OrganizedData[[#This Row],[Product Code]],ProductData[[Code]:[Item]],2,FALSE)</f>
        <v>Superwossname</v>
      </c>
      <c r="P4597" s="4">
        <f>OrganizedData[[#This Row],[Quantity]]*VLOOKUP(OrganizedData[[#This Row],[Product Code]],ProductData[],4,FALSE)</f>
        <v>280</v>
      </c>
      <c r="Q4597" s="6">
        <f>OrganizedData[[#This Row],[Total Items Ordered]]*VLOOKUP(OrganizedData[[#This Row],[Product Code]],ProductData[],3,FALSE)</f>
        <v>977.2</v>
      </c>
      <c r="R45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977.2</v>
      </c>
    </row>
    <row r="4598" spans="1:18" x14ac:dyDescent="0.3">
      <c r="A4598" s="2">
        <v>4591</v>
      </c>
      <c r="B4598" s="2" t="s">
        <v>371</v>
      </c>
      <c r="C4598" s="2" t="s">
        <v>6425</v>
      </c>
      <c r="D4598" s="2" t="s">
        <v>28</v>
      </c>
      <c r="E4598" s="2" t="s">
        <v>29</v>
      </c>
      <c r="F4598" s="2">
        <v>60</v>
      </c>
      <c r="G4598" s="2" t="s">
        <v>9911</v>
      </c>
      <c r="H4598" s="2" t="s">
        <v>2717</v>
      </c>
      <c r="I4598" s="2" t="s">
        <v>1889</v>
      </c>
      <c r="J4598" s="3">
        <v>44504</v>
      </c>
      <c r="K4598" s="5">
        <f>YEAR(OrganizedData[[#This Row],[Order Date]])</f>
        <v>2021</v>
      </c>
      <c r="L4598" s="7" t="str">
        <f>TEXT(OrganizedData[[#This Row],[Order Date]],"mmm")</f>
        <v>Nov</v>
      </c>
      <c r="M4598" s="2">
        <v>83</v>
      </c>
      <c r="N4598" s="2" t="s">
        <v>101</v>
      </c>
      <c r="O4598" s="2" t="str">
        <f>VLOOKUP(OrganizedData[[#This Row],[Product Code]],ProductData[[Code]:[Item]],2,FALSE)</f>
        <v>Superwossname</v>
      </c>
      <c r="P4598" s="4">
        <f>OrganizedData[[#This Row],[Quantity]]*VLOOKUP(OrganizedData[[#This Row],[Product Code]],ProductData[],4,FALSE)</f>
        <v>1660</v>
      </c>
      <c r="Q4598" s="6">
        <f>OrganizedData[[#This Row],[Total Items Ordered]]*VLOOKUP(OrganizedData[[#This Row],[Product Code]],ProductData[],3,FALSE)</f>
        <v>5793.4000000000005</v>
      </c>
      <c r="R45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5503.7300000000005</v>
      </c>
    </row>
    <row r="4599" spans="1:18" x14ac:dyDescent="0.3">
      <c r="A4599" s="2">
        <v>4592</v>
      </c>
      <c r="B4599" s="2" t="s">
        <v>9912</v>
      </c>
      <c r="C4599" s="2" t="s">
        <v>6261</v>
      </c>
      <c r="D4599" s="2" t="s">
        <v>15</v>
      </c>
      <c r="E4599" s="2" t="s">
        <v>16</v>
      </c>
      <c r="F4599" s="2">
        <v>30</v>
      </c>
      <c r="G4599" s="2" t="s">
        <v>9913</v>
      </c>
      <c r="H4599" s="2" t="s">
        <v>2236</v>
      </c>
      <c r="I4599" s="2" t="s">
        <v>2237</v>
      </c>
      <c r="J4599" s="3">
        <v>44510</v>
      </c>
      <c r="K4599" s="5">
        <f>YEAR(OrganizedData[[#This Row],[Order Date]])</f>
        <v>2021</v>
      </c>
      <c r="L4599" s="7" t="str">
        <f>TEXT(OrganizedData[[#This Row],[Order Date]],"mmm")</f>
        <v>Nov</v>
      </c>
      <c r="M4599" s="2">
        <v>92</v>
      </c>
      <c r="N4599" s="2" t="s">
        <v>54</v>
      </c>
      <c r="O4599" s="2" t="str">
        <f>VLOOKUP(OrganizedData[[#This Row],[Product Code]],ProductData[[Code]:[Item]],2,FALSE)</f>
        <v>Megawidget S</v>
      </c>
      <c r="P4599" s="4">
        <f>OrganizedData[[#This Row],[Quantity]]*VLOOKUP(OrganizedData[[#This Row],[Product Code]],ProductData[],4,FALSE)</f>
        <v>2208</v>
      </c>
      <c r="Q4599" s="6">
        <f>OrganizedData[[#This Row],[Total Items Ordered]]*VLOOKUP(OrganizedData[[#This Row],[Product Code]],ProductData[],3,FALSE)</f>
        <v>1523.52</v>
      </c>
      <c r="R45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1447.3439999999998</v>
      </c>
    </row>
    <row r="4600" spans="1:18" x14ac:dyDescent="0.3">
      <c r="A4600" s="2">
        <v>4593</v>
      </c>
      <c r="B4600" s="2" t="s">
        <v>9914</v>
      </c>
      <c r="C4600" s="2" t="s">
        <v>5862</v>
      </c>
      <c r="D4600" s="2" t="s">
        <v>41</v>
      </c>
      <c r="E4600" s="2" t="s">
        <v>16</v>
      </c>
      <c r="F4600" s="2">
        <v>90</v>
      </c>
      <c r="G4600" s="2" t="s">
        <v>9915</v>
      </c>
      <c r="H4600" s="2" t="s">
        <v>374</v>
      </c>
      <c r="I4600" s="2" t="s">
        <v>25</v>
      </c>
      <c r="J4600" s="3">
        <v>44654</v>
      </c>
      <c r="K4600" s="5">
        <f>YEAR(OrganizedData[[#This Row],[Order Date]])</f>
        <v>2022</v>
      </c>
      <c r="L4600" s="7" t="str">
        <f>TEXT(OrganizedData[[#This Row],[Order Date]],"mmm")</f>
        <v>Apr</v>
      </c>
      <c r="M4600" s="2">
        <v>9</v>
      </c>
      <c r="N4600" s="2" t="s">
        <v>45</v>
      </c>
      <c r="O4600" s="2" t="str">
        <f>VLOOKUP(OrganizedData[[#This Row],[Product Code]],ProductData[[Code]:[Item]],2,FALSE)</f>
        <v>Gigastuff</v>
      </c>
      <c r="P4600" s="4">
        <f>OrganizedData[[#This Row],[Quantity]]*VLOOKUP(OrganizedData[[#This Row],[Product Code]],ProductData[],4,FALSE)</f>
        <v>162</v>
      </c>
      <c r="Q4600" s="6">
        <f>OrganizedData[[#This Row],[Total Items Ordered]]*VLOOKUP(OrganizedData[[#This Row],[Product Code]],ProductData[],3,FALSE)</f>
        <v>306.18</v>
      </c>
      <c r="R46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306.18</v>
      </c>
    </row>
    <row r="4601" spans="1:18" x14ac:dyDescent="0.3">
      <c r="A4601" s="2">
        <v>4594</v>
      </c>
      <c r="B4601" s="2" t="s">
        <v>9916</v>
      </c>
      <c r="C4601" s="2" t="s">
        <v>9917</v>
      </c>
      <c r="D4601" s="2" t="s">
        <v>41</v>
      </c>
      <c r="E4601" s="2" t="s">
        <v>16</v>
      </c>
      <c r="F4601" s="2">
        <v>60</v>
      </c>
      <c r="G4601" s="2" t="s">
        <v>9918</v>
      </c>
      <c r="H4601" s="2" t="s">
        <v>6778</v>
      </c>
      <c r="I4601" s="2" t="s">
        <v>38</v>
      </c>
      <c r="J4601" s="3">
        <v>44299</v>
      </c>
      <c r="K4601" s="5">
        <f>YEAR(OrganizedData[[#This Row],[Order Date]])</f>
        <v>2021</v>
      </c>
      <c r="L4601" s="7" t="str">
        <f>TEXT(OrganizedData[[#This Row],[Order Date]],"mmm")</f>
        <v>Apr</v>
      </c>
      <c r="M4601" s="2">
        <v>87</v>
      </c>
      <c r="N4601" s="2" t="s">
        <v>101</v>
      </c>
      <c r="O4601" s="2" t="str">
        <f>VLOOKUP(OrganizedData[[#This Row],[Product Code]],ProductData[[Code]:[Item]],2,FALSE)</f>
        <v>Superwossname</v>
      </c>
      <c r="P4601" s="4">
        <f>OrganizedData[[#This Row],[Quantity]]*VLOOKUP(OrganizedData[[#This Row],[Product Code]],ProductData[],4,FALSE)</f>
        <v>1740</v>
      </c>
      <c r="Q4601" s="6">
        <f>OrganizedData[[#This Row],[Total Items Ordered]]*VLOOKUP(OrganizedData[[#This Row],[Product Code]],ProductData[],3,FALSE)</f>
        <v>6072.6</v>
      </c>
      <c r="R46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5768.97</v>
      </c>
    </row>
    <row r="4602" spans="1:18" x14ac:dyDescent="0.3">
      <c r="A4602" s="2">
        <v>4595</v>
      </c>
      <c r="B4602" s="2" t="s">
        <v>9919</v>
      </c>
      <c r="C4602" s="2" t="s">
        <v>798</v>
      </c>
      <c r="D4602" s="2" t="s">
        <v>51</v>
      </c>
      <c r="E4602" s="2" t="s">
        <v>16</v>
      </c>
      <c r="F4602" s="2">
        <v>90</v>
      </c>
      <c r="G4602" s="2" t="s">
        <v>9920</v>
      </c>
      <c r="H4602" s="2" t="s">
        <v>182</v>
      </c>
      <c r="I4602" s="2" t="s">
        <v>32</v>
      </c>
      <c r="J4602" s="3">
        <v>44235</v>
      </c>
      <c r="K4602" s="5">
        <f>YEAR(OrganizedData[[#This Row],[Order Date]])</f>
        <v>2021</v>
      </c>
      <c r="L4602" s="7" t="str">
        <f>TEXT(OrganizedData[[#This Row],[Order Date]],"mmm")</f>
        <v>Feb</v>
      </c>
      <c r="M4602" s="2">
        <v>83</v>
      </c>
      <c r="N4602" s="2" t="s">
        <v>39</v>
      </c>
      <c r="O4602" s="2" t="str">
        <f>VLOOKUP(OrganizedData[[#This Row],[Product Code]],ProductData[[Code]:[Item]],2,FALSE)</f>
        <v>Ultrathing V1</v>
      </c>
      <c r="P4602" s="4">
        <f>OrganizedData[[#This Row],[Quantity]]*VLOOKUP(OrganizedData[[#This Row],[Product Code]],ProductData[],4,FALSE)</f>
        <v>1411</v>
      </c>
      <c r="Q4602" s="6">
        <f>OrganizedData[[#This Row],[Total Items Ordered]]*VLOOKUP(OrganizedData[[#This Row],[Product Code]],ProductData[],3,FALSE)</f>
        <v>2525.69</v>
      </c>
      <c r="R46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2399.4054999999998</v>
      </c>
    </row>
    <row r="4603" spans="1:18" x14ac:dyDescent="0.3">
      <c r="A4603" s="2">
        <v>4596</v>
      </c>
      <c r="B4603" s="2" t="s">
        <v>6190</v>
      </c>
      <c r="C4603" s="2" t="s">
        <v>3014</v>
      </c>
      <c r="D4603" s="2" t="s">
        <v>92</v>
      </c>
      <c r="E4603" s="2" t="s">
        <v>16</v>
      </c>
      <c r="F4603" s="2">
        <v>60</v>
      </c>
      <c r="G4603" s="2" t="s">
        <v>9920</v>
      </c>
      <c r="H4603" s="2" t="s">
        <v>141</v>
      </c>
      <c r="I4603" s="2" t="s">
        <v>32</v>
      </c>
      <c r="J4603" s="3">
        <v>44263</v>
      </c>
      <c r="K4603" s="5">
        <f>YEAR(OrganizedData[[#This Row],[Order Date]])</f>
        <v>2021</v>
      </c>
      <c r="L4603" s="7" t="str">
        <f>TEXT(OrganizedData[[#This Row],[Order Date]],"mmm")</f>
        <v>Mar</v>
      </c>
      <c r="M4603" s="2">
        <v>25</v>
      </c>
      <c r="N4603" s="2" t="s">
        <v>101</v>
      </c>
      <c r="O4603" s="2" t="str">
        <f>VLOOKUP(OrganizedData[[#This Row],[Product Code]],ProductData[[Code]:[Item]],2,FALSE)</f>
        <v>Superwossname</v>
      </c>
      <c r="P4603" s="4">
        <f>OrganizedData[[#This Row],[Quantity]]*VLOOKUP(OrganizedData[[#This Row],[Product Code]],ProductData[],4,FALSE)</f>
        <v>500</v>
      </c>
      <c r="Q4603" s="6">
        <f>OrganizedData[[#This Row],[Total Items Ordered]]*VLOOKUP(OrganizedData[[#This Row],[Product Code]],ProductData[],3,FALSE)</f>
        <v>1745</v>
      </c>
      <c r="R46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4604" spans="1:18" x14ac:dyDescent="0.3">
      <c r="A4604" s="2">
        <v>4597</v>
      </c>
      <c r="B4604" s="2" t="s">
        <v>4094</v>
      </c>
      <c r="C4604" s="2" t="s">
        <v>9134</v>
      </c>
      <c r="D4604" s="2" t="s">
        <v>28</v>
      </c>
      <c r="E4604" s="2" t="s">
        <v>29</v>
      </c>
      <c r="F4604" s="2">
        <v>30</v>
      </c>
      <c r="G4604" s="2" t="s">
        <v>9921</v>
      </c>
      <c r="H4604" s="2" t="s">
        <v>2130</v>
      </c>
      <c r="I4604" s="2" t="s">
        <v>32</v>
      </c>
      <c r="J4604" s="3">
        <v>43835</v>
      </c>
      <c r="K4604" s="5">
        <f>YEAR(OrganizedData[[#This Row],[Order Date]])</f>
        <v>2020</v>
      </c>
      <c r="L4604" s="7" t="str">
        <f>TEXT(OrganizedData[[#This Row],[Order Date]],"mmm")</f>
        <v>Jan</v>
      </c>
      <c r="M4604" s="2">
        <v>29</v>
      </c>
      <c r="N4604" s="2" t="s">
        <v>33</v>
      </c>
      <c r="O4604" s="2" t="str">
        <f>VLOOKUP(OrganizedData[[#This Row],[Product Code]],ProductData[[Code]:[Item]],2,FALSE)</f>
        <v>Megawidget L</v>
      </c>
      <c r="P4604" s="4">
        <f>OrganizedData[[#This Row],[Quantity]]*VLOOKUP(OrganizedData[[#This Row],[Product Code]],ProductData[],4,FALSE)</f>
        <v>696</v>
      </c>
      <c r="Q4604" s="6">
        <f>OrganizedData[[#This Row],[Total Items Ordered]]*VLOOKUP(OrganizedData[[#This Row],[Product Code]],ProductData[],3,FALSE)</f>
        <v>1245.8399999999999</v>
      </c>
      <c r="R46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1208.4648</v>
      </c>
    </row>
    <row r="4605" spans="1:18" x14ac:dyDescent="0.3">
      <c r="A4605" s="2">
        <v>4598</v>
      </c>
      <c r="B4605" s="2" t="s">
        <v>4029</v>
      </c>
      <c r="C4605" s="2" t="s">
        <v>4018</v>
      </c>
      <c r="D4605" s="2" t="s">
        <v>28</v>
      </c>
      <c r="E4605" s="2" t="s">
        <v>29</v>
      </c>
      <c r="F4605" s="2">
        <v>30</v>
      </c>
      <c r="G4605" s="2" t="s">
        <v>9922</v>
      </c>
      <c r="H4605" s="2" t="s">
        <v>3942</v>
      </c>
      <c r="I4605" s="2" t="s">
        <v>294</v>
      </c>
      <c r="J4605" s="3">
        <v>44780</v>
      </c>
      <c r="K4605" s="5">
        <f>YEAR(OrganizedData[[#This Row],[Order Date]])</f>
        <v>2022</v>
      </c>
      <c r="L4605" s="7" t="str">
        <f>TEXT(OrganizedData[[#This Row],[Order Date]],"mmm")</f>
        <v>Aug</v>
      </c>
      <c r="M4605" s="2">
        <v>17</v>
      </c>
      <c r="N4605" s="2" t="s">
        <v>33</v>
      </c>
      <c r="O4605" s="2" t="str">
        <f>VLOOKUP(OrganizedData[[#This Row],[Product Code]],ProductData[[Code]:[Item]],2,FALSE)</f>
        <v>Megawidget L</v>
      </c>
      <c r="P4605" s="4">
        <f>OrganizedData[[#This Row],[Quantity]]*VLOOKUP(OrganizedData[[#This Row],[Product Code]],ProductData[],4,FALSE)</f>
        <v>408</v>
      </c>
      <c r="Q4605" s="6">
        <f>OrganizedData[[#This Row],[Total Items Ordered]]*VLOOKUP(OrganizedData[[#This Row],[Product Code]],ProductData[],3,FALSE)</f>
        <v>730.32</v>
      </c>
      <c r="R46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730.32</v>
      </c>
    </row>
    <row r="4606" spans="1:18" x14ac:dyDescent="0.3">
      <c r="A4606" s="2">
        <v>4599</v>
      </c>
      <c r="B4606" s="2" t="s">
        <v>9923</v>
      </c>
      <c r="C4606" s="2" t="s">
        <v>7248</v>
      </c>
      <c r="D4606" s="2" t="s">
        <v>15</v>
      </c>
      <c r="E4606" s="2" t="s">
        <v>16</v>
      </c>
      <c r="F4606" s="2">
        <v>30</v>
      </c>
      <c r="G4606" s="2" t="s">
        <v>9924</v>
      </c>
      <c r="H4606" s="2" t="s">
        <v>6080</v>
      </c>
      <c r="I4606" s="2" t="s">
        <v>32</v>
      </c>
      <c r="J4606" s="3">
        <v>44288</v>
      </c>
      <c r="K4606" s="5">
        <f>YEAR(OrganizedData[[#This Row],[Order Date]])</f>
        <v>2021</v>
      </c>
      <c r="L4606" s="7" t="str">
        <f>TEXT(OrganizedData[[#This Row],[Order Date]],"mmm")</f>
        <v>Apr</v>
      </c>
      <c r="M4606" s="2">
        <v>35</v>
      </c>
      <c r="N4606" s="2" t="s">
        <v>159</v>
      </c>
      <c r="O4606" s="2" t="str">
        <f>VLOOKUP(OrganizedData[[#This Row],[Product Code]],ProductData[[Code]:[Item]],2,FALSE)</f>
        <v>Ultrathing V3</v>
      </c>
      <c r="P4606" s="4">
        <f>OrganizedData[[#This Row],[Quantity]]*VLOOKUP(OrganizedData[[#This Row],[Product Code]],ProductData[],4,FALSE)</f>
        <v>840</v>
      </c>
      <c r="Q4606" s="6">
        <f>OrganizedData[[#This Row],[Total Items Ordered]]*VLOOKUP(OrganizedData[[#This Row],[Product Code]],ProductData[],3,FALSE)</f>
        <v>2847.6</v>
      </c>
      <c r="R46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2762.172</v>
      </c>
    </row>
    <row r="4607" spans="1:18" x14ac:dyDescent="0.3">
      <c r="A4607" s="2">
        <v>4600</v>
      </c>
      <c r="B4607" s="2" t="s">
        <v>9925</v>
      </c>
      <c r="C4607" s="2" t="s">
        <v>7674</v>
      </c>
      <c r="D4607" s="2" t="s">
        <v>51</v>
      </c>
      <c r="E4607" s="2" t="s">
        <v>16</v>
      </c>
      <c r="F4607" s="2">
        <v>90</v>
      </c>
      <c r="G4607" s="2" t="s">
        <v>9926</v>
      </c>
      <c r="H4607" s="2" t="s">
        <v>6782</v>
      </c>
      <c r="I4607" s="2" t="s">
        <v>32</v>
      </c>
      <c r="J4607" s="3">
        <v>43991</v>
      </c>
      <c r="K4607" s="5">
        <f>YEAR(OrganizedData[[#This Row],[Order Date]])</f>
        <v>2020</v>
      </c>
      <c r="L4607" s="7" t="str">
        <f>TEXT(OrganizedData[[#This Row],[Order Date]],"mmm")</f>
        <v>Jun</v>
      </c>
      <c r="M4607" s="2">
        <v>61</v>
      </c>
      <c r="N4607" s="2" t="s">
        <v>64</v>
      </c>
      <c r="O4607" s="2" t="str">
        <f>VLOOKUP(OrganizedData[[#This Row],[Product Code]],ProductData[[Code]:[Item]],2,FALSE)</f>
        <v>Ultrathing V4</v>
      </c>
      <c r="P4607" s="4">
        <f>OrganizedData[[#This Row],[Quantity]]*VLOOKUP(OrganizedData[[#This Row],[Product Code]],ProductData[],4,FALSE)</f>
        <v>1464</v>
      </c>
      <c r="Q4607" s="6">
        <f>OrganizedData[[#This Row],[Total Items Ordered]]*VLOOKUP(OrganizedData[[#This Row],[Product Code]],ProductData[],3,FALSE)</f>
        <v>5841.3600000000006</v>
      </c>
      <c r="R46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4608" spans="1:18" x14ac:dyDescent="0.3">
      <c r="A4608" s="2">
        <v>4601</v>
      </c>
      <c r="B4608" s="2" t="s">
        <v>85</v>
      </c>
      <c r="C4608" s="2" t="s">
        <v>9927</v>
      </c>
      <c r="D4608" s="2" t="s">
        <v>117</v>
      </c>
      <c r="E4608" s="2" t="s">
        <v>29</v>
      </c>
      <c r="F4608" s="2">
        <v>60</v>
      </c>
      <c r="G4608" s="2" t="s">
        <v>9928</v>
      </c>
      <c r="H4608" s="2" t="s">
        <v>746</v>
      </c>
      <c r="I4608" s="2" t="s">
        <v>32</v>
      </c>
      <c r="J4608" s="3">
        <v>43900</v>
      </c>
      <c r="K4608" s="5">
        <f>YEAR(OrganizedData[[#This Row],[Order Date]])</f>
        <v>2020</v>
      </c>
      <c r="L4608" s="7" t="str">
        <f>TEXT(OrganizedData[[#This Row],[Order Date]],"mmm")</f>
        <v>Mar</v>
      </c>
      <c r="M4608" s="2">
        <v>24</v>
      </c>
      <c r="N4608" s="2" t="s">
        <v>64</v>
      </c>
      <c r="O4608" s="2" t="str">
        <f>VLOOKUP(OrganizedData[[#This Row],[Product Code]],ProductData[[Code]:[Item]],2,FALSE)</f>
        <v>Ultrathing V4</v>
      </c>
      <c r="P4608" s="4">
        <f>OrganizedData[[#This Row],[Quantity]]*VLOOKUP(OrganizedData[[#This Row],[Product Code]],ProductData[],4,FALSE)</f>
        <v>576</v>
      </c>
      <c r="Q4608" s="6">
        <f>OrganizedData[[#This Row],[Total Items Ordered]]*VLOOKUP(OrganizedData[[#This Row],[Product Code]],ProductData[],3,FALSE)</f>
        <v>2298.2400000000002</v>
      </c>
      <c r="R46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2229.2928000000002</v>
      </c>
    </row>
    <row r="4609" spans="1:18" x14ac:dyDescent="0.3">
      <c r="A4609" s="2">
        <v>4602</v>
      </c>
      <c r="B4609" s="2" t="s">
        <v>1554</v>
      </c>
      <c r="C4609" s="2" t="s">
        <v>1117</v>
      </c>
      <c r="D4609" s="2" t="s">
        <v>28</v>
      </c>
      <c r="E4609" s="2" t="s">
        <v>29</v>
      </c>
      <c r="F4609" s="2">
        <v>30</v>
      </c>
      <c r="G4609" s="2" t="s">
        <v>9929</v>
      </c>
      <c r="H4609" s="2" t="s">
        <v>6675</v>
      </c>
      <c r="I4609" s="2" t="s">
        <v>32</v>
      </c>
      <c r="J4609" s="3">
        <v>44512</v>
      </c>
      <c r="K4609" s="5">
        <f>YEAR(OrganizedData[[#This Row],[Order Date]])</f>
        <v>2021</v>
      </c>
      <c r="L4609" s="7" t="str">
        <f>TEXT(OrganizedData[[#This Row],[Order Date]],"mmm")</f>
        <v>Nov</v>
      </c>
      <c r="M4609" s="2">
        <v>72</v>
      </c>
      <c r="N4609" s="2" t="s">
        <v>45</v>
      </c>
      <c r="O4609" s="2" t="str">
        <f>VLOOKUP(OrganizedData[[#This Row],[Product Code]],ProductData[[Code]:[Item]],2,FALSE)</f>
        <v>Gigastuff</v>
      </c>
      <c r="P4609" s="4">
        <f>OrganizedData[[#This Row],[Quantity]]*VLOOKUP(OrganizedData[[#This Row],[Product Code]],ProductData[],4,FALSE)</f>
        <v>1296</v>
      </c>
      <c r="Q4609" s="6">
        <f>OrganizedData[[#This Row],[Total Items Ordered]]*VLOOKUP(OrganizedData[[#This Row],[Product Code]],ProductData[],3,FALSE)</f>
        <v>2449.44</v>
      </c>
      <c r="R46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2326.9679999999998</v>
      </c>
    </row>
    <row r="4610" spans="1:18" x14ac:dyDescent="0.3">
      <c r="A4610" s="2">
        <v>4603</v>
      </c>
      <c r="B4610" s="2" t="s">
        <v>4115</v>
      </c>
      <c r="C4610" s="2" t="s">
        <v>1635</v>
      </c>
      <c r="D4610" s="2" t="s">
        <v>28</v>
      </c>
      <c r="E4610" s="2" t="s">
        <v>29</v>
      </c>
      <c r="F4610" s="2">
        <v>30</v>
      </c>
      <c r="G4610" s="2" t="s">
        <v>9930</v>
      </c>
      <c r="H4610" s="2" t="s">
        <v>1119</v>
      </c>
      <c r="I4610" s="2" t="s">
        <v>240</v>
      </c>
      <c r="J4610" s="3">
        <v>44571</v>
      </c>
      <c r="K4610" s="5">
        <f>YEAR(OrganizedData[[#This Row],[Order Date]])</f>
        <v>2022</v>
      </c>
      <c r="L4610" s="7" t="str">
        <f>TEXT(OrganizedData[[#This Row],[Order Date]],"mmm")</f>
        <v>Jan</v>
      </c>
      <c r="M4610" s="2">
        <v>22</v>
      </c>
      <c r="N4610" s="2" t="s">
        <v>33</v>
      </c>
      <c r="O4610" s="2" t="str">
        <f>VLOOKUP(OrganizedData[[#This Row],[Product Code]],ProductData[[Code]:[Item]],2,FALSE)</f>
        <v>Megawidget L</v>
      </c>
      <c r="P4610" s="4">
        <f>OrganizedData[[#This Row],[Quantity]]*VLOOKUP(OrganizedData[[#This Row],[Product Code]],ProductData[],4,FALSE)</f>
        <v>528</v>
      </c>
      <c r="Q4610" s="6">
        <f>OrganizedData[[#This Row],[Total Items Ordered]]*VLOOKUP(OrganizedData[[#This Row],[Product Code]],ProductData[],3,FALSE)</f>
        <v>945.12</v>
      </c>
      <c r="R46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4611" spans="1:18" x14ac:dyDescent="0.3">
      <c r="A4611" s="2">
        <v>4604</v>
      </c>
      <c r="B4611" s="2" t="s">
        <v>504</v>
      </c>
      <c r="C4611" s="2" t="s">
        <v>6065</v>
      </c>
      <c r="D4611" s="2" t="s">
        <v>28</v>
      </c>
      <c r="E4611" s="2" t="s">
        <v>29</v>
      </c>
      <c r="F4611" s="2">
        <v>60</v>
      </c>
      <c r="G4611" s="2" t="s">
        <v>9931</v>
      </c>
      <c r="H4611" s="2" t="s">
        <v>5643</v>
      </c>
      <c r="I4611" s="2" t="s">
        <v>886</v>
      </c>
      <c r="J4611" s="3">
        <v>44003</v>
      </c>
      <c r="K4611" s="5">
        <f>YEAR(OrganizedData[[#This Row],[Order Date]])</f>
        <v>2020</v>
      </c>
      <c r="L4611" s="7" t="str">
        <f>TEXT(OrganizedData[[#This Row],[Order Date]],"mmm")</f>
        <v>Jun</v>
      </c>
      <c r="M4611" s="2">
        <v>41</v>
      </c>
      <c r="N4611" s="2" t="s">
        <v>39</v>
      </c>
      <c r="O4611" s="2" t="str">
        <f>VLOOKUP(OrganizedData[[#This Row],[Product Code]],ProductData[[Code]:[Item]],2,FALSE)</f>
        <v>Ultrathing V1</v>
      </c>
      <c r="P4611" s="4">
        <f>OrganizedData[[#This Row],[Quantity]]*VLOOKUP(OrganizedData[[#This Row],[Product Code]],ProductData[],4,FALSE)</f>
        <v>697</v>
      </c>
      <c r="Q4611" s="6">
        <f>OrganizedData[[#This Row],[Total Items Ordered]]*VLOOKUP(OrganizedData[[#This Row],[Product Code]],ProductData[],3,FALSE)</f>
        <v>1247.6300000000001</v>
      </c>
      <c r="R46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1210.2011</v>
      </c>
    </row>
    <row r="4612" spans="1:18" x14ac:dyDescent="0.3">
      <c r="A4612" s="2">
        <v>4605</v>
      </c>
      <c r="B4612" s="2" t="s">
        <v>9932</v>
      </c>
      <c r="C4612" s="2" t="s">
        <v>4706</v>
      </c>
      <c r="D4612" s="2" t="s">
        <v>41</v>
      </c>
      <c r="E4612" s="2" t="s">
        <v>16</v>
      </c>
      <c r="F4612" s="2">
        <v>90</v>
      </c>
      <c r="G4612" s="2" t="s">
        <v>9933</v>
      </c>
      <c r="H4612" s="2" t="s">
        <v>2141</v>
      </c>
      <c r="I4612" s="2" t="s">
        <v>1078</v>
      </c>
      <c r="J4612" s="3">
        <v>44607</v>
      </c>
      <c r="K4612" s="5">
        <f>YEAR(OrganizedData[[#This Row],[Order Date]])</f>
        <v>2022</v>
      </c>
      <c r="L4612" s="7" t="str">
        <f>TEXT(OrganizedData[[#This Row],[Order Date]],"mmm")</f>
        <v>Feb</v>
      </c>
      <c r="M4612" s="2">
        <v>14</v>
      </c>
      <c r="N4612" s="2" t="s">
        <v>20</v>
      </c>
      <c r="O4612" s="2" t="str">
        <f>VLOOKUP(OrganizedData[[#This Row],[Product Code]],ProductData[[Code]:[Item]],2,FALSE)</f>
        <v>Hyperwotsit</v>
      </c>
      <c r="P4612" s="4">
        <f>OrganizedData[[#This Row],[Quantity]]*VLOOKUP(OrganizedData[[#This Row],[Product Code]],ProductData[],4,FALSE)</f>
        <v>280</v>
      </c>
      <c r="Q4612" s="6">
        <f>OrganizedData[[#This Row],[Total Items Ordered]]*VLOOKUP(OrganizedData[[#This Row],[Product Code]],ProductData[],3,FALSE)</f>
        <v>562.79999999999995</v>
      </c>
      <c r="R46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562.79999999999995</v>
      </c>
    </row>
    <row r="4613" spans="1:18" x14ac:dyDescent="0.3">
      <c r="A4613" s="2">
        <v>4606</v>
      </c>
      <c r="B4613" s="2" t="s">
        <v>9934</v>
      </c>
      <c r="C4613" s="2" t="s">
        <v>1442</v>
      </c>
      <c r="D4613" s="2" t="s">
        <v>51</v>
      </c>
      <c r="E4613" s="2" t="s">
        <v>16</v>
      </c>
      <c r="F4613" s="2">
        <v>90</v>
      </c>
      <c r="G4613" s="2" t="s">
        <v>9935</v>
      </c>
      <c r="H4613" s="2" t="s">
        <v>1761</v>
      </c>
      <c r="I4613" s="2" t="s">
        <v>38</v>
      </c>
      <c r="J4613" s="3">
        <v>44571</v>
      </c>
      <c r="K4613" s="5">
        <f>YEAR(OrganizedData[[#This Row],[Order Date]])</f>
        <v>2022</v>
      </c>
      <c r="L4613" s="7" t="str">
        <f>TEXT(OrganizedData[[#This Row],[Order Date]],"mmm")</f>
        <v>Jan</v>
      </c>
      <c r="M4613" s="2">
        <v>94</v>
      </c>
      <c r="N4613" s="2" t="s">
        <v>64</v>
      </c>
      <c r="O4613" s="2" t="str">
        <f>VLOOKUP(OrganizedData[[#This Row],[Product Code]],ProductData[[Code]:[Item]],2,FALSE)</f>
        <v>Ultrathing V4</v>
      </c>
      <c r="P4613" s="4">
        <f>OrganizedData[[#This Row],[Quantity]]*VLOOKUP(OrganizedData[[#This Row],[Product Code]],ProductData[],4,FALSE)</f>
        <v>2256</v>
      </c>
      <c r="Q4613" s="6">
        <f>OrganizedData[[#This Row],[Total Items Ordered]]*VLOOKUP(OrganizedData[[#This Row],[Product Code]],ProductData[],3,FALSE)</f>
        <v>9001.44</v>
      </c>
      <c r="R46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8551.3680000000004</v>
      </c>
    </row>
    <row r="4614" spans="1:18" x14ac:dyDescent="0.3">
      <c r="A4614" s="2">
        <v>4607</v>
      </c>
      <c r="B4614" s="2" t="s">
        <v>433</v>
      </c>
      <c r="C4614" s="2" t="s">
        <v>5756</v>
      </c>
      <c r="D4614" s="2" t="s">
        <v>15</v>
      </c>
      <c r="E4614" s="2" t="s">
        <v>16</v>
      </c>
      <c r="F4614" s="2">
        <v>30</v>
      </c>
      <c r="G4614" s="2" t="s">
        <v>9936</v>
      </c>
      <c r="H4614" s="2" t="s">
        <v>4409</v>
      </c>
      <c r="I4614" s="2" t="s">
        <v>294</v>
      </c>
      <c r="J4614" s="3">
        <v>44023</v>
      </c>
      <c r="K4614" s="5">
        <f>YEAR(OrganizedData[[#This Row],[Order Date]])</f>
        <v>2020</v>
      </c>
      <c r="L4614" s="7" t="str">
        <f>TEXT(OrganizedData[[#This Row],[Order Date]],"mmm")</f>
        <v>Jul</v>
      </c>
      <c r="M4614" s="2">
        <v>51</v>
      </c>
      <c r="N4614" s="2" t="s">
        <v>70</v>
      </c>
      <c r="O4614" s="2" t="str">
        <f>VLOOKUP(OrganizedData[[#This Row],[Product Code]],ProductData[[Code]:[Item]],2,FALSE)</f>
        <v>Megawidget M</v>
      </c>
      <c r="P4614" s="4">
        <f>OrganizedData[[#This Row],[Quantity]]*VLOOKUP(OrganizedData[[#This Row],[Product Code]],ProductData[],4,FALSE)</f>
        <v>1224</v>
      </c>
      <c r="Q4614" s="6">
        <f>OrganizedData[[#This Row],[Total Items Ordered]]*VLOOKUP(OrganizedData[[#This Row],[Product Code]],ProductData[],3,FALSE)</f>
        <v>1578.96</v>
      </c>
      <c r="R46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1500.0119999999999</v>
      </c>
    </row>
    <row r="4615" spans="1:18" x14ac:dyDescent="0.3">
      <c r="A4615" s="2">
        <v>4608</v>
      </c>
      <c r="B4615" s="2" t="s">
        <v>9937</v>
      </c>
      <c r="C4615" s="2" t="s">
        <v>3588</v>
      </c>
      <c r="D4615" s="2" t="s">
        <v>15</v>
      </c>
      <c r="E4615" s="2" t="s">
        <v>16</v>
      </c>
      <c r="F4615" s="2">
        <v>60</v>
      </c>
      <c r="G4615" s="2" t="s">
        <v>9938</v>
      </c>
      <c r="H4615" s="2" t="s">
        <v>8534</v>
      </c>
      <c r="I4615" s="2" t="s">
        <v>294</v>
      </c>
      <c r="J4615" s="3">
        <v>43876</v>
      </c>
      <c r="K4615" s="5">
        <f>YEAR(OrganizedData[[#This Row],[Order Date]])</f>
        <v>2020</v>
      </c>
      <c r="L4615" s="7" t="str">
        <f>TEXT(OrganizedData[[#This Row],[Order Date]],"mmm")</f>
        <v>Feb</v>
      </c>
      <c r="M4615" s="2">
        <v>24</v>
      </c>
      <c r="N4615" s="2" t="s">
        <v>33</v>
      </c>
      <c r="O4615" s="2" t="str">
        <f>VLOOKUP(OrganizedData[[#This Row],[Product Code]],ProductData[[Code]:[Item]],2,FALSE)</f>
        <v>Megawidget L</v>
      </c>
      <c r="P4615" s="4">
        <f>OrganizedData[[#This Row],[Quantity]]*VLOOKUP(OrganizedData[[#This Row],[Product Code]],ProductData[],4,FALSE)</f>
        <v>576</v>
      </c>
      <c r="Q4615" s="6">
        <f>OrganizedData[[#This Row],[Total Items Ordered]]*VLOOKUP(OrganizedData[[#This Row],[Product Code]],ProductData[],3,FALSE)</f>
        <v>1031.04</v>
      </c>
      <c r="R46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1000.1088</v>
      </c>
    </row>
    <row r="4616" spans="1:18" x14ac:dyDescent="0.3">
      <c r="A4616" s="2">
        <v>4609</v>
      </c>
      <c r="B4616" s="2" t="s">
        <v>9939</v>
      </c>
      <c r="C4616" s="2" t="s">
        <v>4181</v>
      </c>
      <c r="D4616" s="2" t="s">
        <v>28</v>
      </c>
      <c r="E4616" s="2" t="s">
        <v>29</v>
      </c>
      <c r="F4616" s="2">
        <v>90</v>
      </c>
      <c r="G4616" s="2" t="s">
        <v>9940</v>
      </c>
      <c r="H4616" s="2" t="s">
        <v>3498</v>
      </c>
      <c r="I4616" s="2" t="s">
        <v>32</v>
      </c>
      <c r="J4616" s="3">
        <v>44108</v>
      </c>
      <c r="K4616" s="5">
        <f>YEAR(OrganizedData[[#This Row],[Order Date]])</f>
        <v>2020</v>
      </c>
      <c r="L4616" s="7" t="str">
        <f>TEXT(OrganizedData[[#This Row],[Order Date]],"mmm")</f>
        <v>Oct</v>
      </c>
      <c r="M4616" s="2">
        <v>76</v>
      </c>
      <c r="N4616" s="2" t="s">
        <v>39</v>
      </c>
      <c r="O4616" s="2" t="str">
        <f>VLOOKUP(OrganizedData[[#This Row],[Product Code]],ProductData[[Code]:[Item]],2,FALSE)</f>
        <v>Ultrathing V1</v>
      </c>
      <c r="P4616" s="4">
        <f>OrganizedData[[#This Row],[Quantity]]*VLOOKUP(OrganizedData[[#This Row],[Product Code]],ProductData[],4,FALSE)</f>
        <v>1292</v>
      </c>
      <c r="Q4616" s="6">
        <f>OrganizedData[[#This Row],[Total Items Ordered]]*VLOOKUP(OrganizedData[[#This Row],[Product Code]],ProductData[],3,FALSE)</f>
        <v>2312.6799999999998</v>
      </c>
      <c r="R46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2197.0459999999998</v>
      </c>
    </row>
    <row r="4617" spans="1:18" x14ac:dyDescent="0.3">
      <c r="A4617" s="2">
        <v>4610</v>
      </c>
      <c r="B4617" s="2" t="s">
        <v>9941</v>
      </c>
      <c r="C4617" s="2" t="s">
        <v>8723</v>
      </c>
      <c r="D4617" s="2" t="s">
        <v>41</v>
      </c>
      <c r="E4617" s="2" t="s">
        <v>16</v>
      </c>
      <c r="F4617" s="2">
        <v>90</v>
      </c>
      <c r="G4617" s="2" t="s">
        <v>9942</v>
      </c>
      <c r="H4617" s="2" t="s">
        <v>386</v>
      </c>
      <c r="I4617" s="2" t="s">
        <v>294</v>
      </c>
      <c r="J4617" s="3">
        <v>44131</v>
      </c>
      <c r="K4617" s="5">
        <f>YEAR(OrganizedData[[#This Row],[Order Date]])</f>
        <v>2020</v>
      </c>
      <c r="L4617" s="7" t="str">
        <f>TEXT(OrganizedData[[#This Row],[Order Date]],"mmm")</f>
        <v>Oct</v>
      </c>
      <c r="M4617" s="2">
        <v>20</v>
      </c>
      <c r="N4617" s="2" t="s">
        <v>20</v>
      </c>
      <c r="O4617" s="2" t="str">
        <f>VLOOKUP(OrganizedData[[#This Row],[Product Code]],ProductData[[Code]:[Item]],2,FALSE)</f>
        <v>Hyperwotsit</v>
      </c>
      <c r="P4617" s="4">
        <f>OrganizedData[[#This Row],[Quantity]]*VLOOKUP(OrganizedData[[#This Row],[Product Code]],ProductData[],4,FALSE)</f>
        <v>400</v>
      </c>
      <c r="Q4617" s="6">
        <f>OrganizedData[[#This Row],[Total Items Ordered]]*VLOOKUP(OrganizedData[[#This Row],[Product Code]],ProductData[],3,FALSE)</f>
        <v>803.99999999999989</v>
      </c>
      <c r="R46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4618" spans="1:18" x14ac:dyDescent="0.3">
      <c r="A4618" s="2">
        <v>4611</v>
      </c>
      <c r="B4618" s="2" t="s">
        <v>9943</v>
      </c>
      <c r="C4618" s="2" t="s">
        <v>5928</v>
      </c>
      <c r="D4618" s="2" t="s">
        <v>15</v>
      </c>
      <c r="E4618" s="2" t="s">
        <v>16</v>
      </c>
      <c r="F4618" s="2">
        <v>90</v>
      </c>
      <c r="G4618" s="2" t="s">
        <v>9944</v>
      </c>
      <c r="H4618" s="2" t="s">
        <v>4889</v>
      </c>
      <c r="I4618" s="2" t="s">
        <v>110</v>
      </c>
      <c r="J4618" s="3">
        <v>44642</v>
      </c>
      <c r="K4618" s="5">
        <f>YEAR(OrganizedData[[#This Row],[Order Date]])</f>
        <v>2022</v>
      </c>
      <c r="L4618" s="7" t="str">
        <f>TEXT(OrganizedData[[#This Row],[Order Date]],"mmm")</f>
        <v>Mar</v>
      </c>
      <c r="M4618" s="2">
        <v>28</v>
      </c>
      <c r="N4618" s="2" t="s">
        <v>64</v>
      </c>
      <c r="O4618" s="2" t="str">
        <f>VLOOKUP(OrganizedData[[#This Row],[Product Code]],ProductData[[Code]:[Item]],2,FALSE)</f>
        <v>Ultrathing V4</v>
      </c>
      <c r="P4618" s="4">
        <f>OrganizedData[[#This Row],[Quantity]]*VLOOKUP(OrganizedData[[#This Row],[Product Code]],ProductData[],4,FALSE)</f>
        <v>672</v>
      </c>
      <c r="Q4618" s="6">
        <f>OrganizedData[[#This Row],[Total Items Ordered]]*VLOOKUP(OrganizedData[[#This Row],[Product Code]],ProductData[],3,FALSE)</f>
        <v>2681.28</v>
      </c>
      <c r="R46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2600.8416000000002</v>
      </c>
    </row>
    <row r="4619" spans="1:18" x14ac:dyDescent="0.3">
      <c r="A4619" s="2">
        <v>4612</v>
      </c>
      <c r="B4619" s="2" t="s">
        <v>2750</v>
      </c>
      <c r="C4619" s="2" t="s">
        <v>5626</v>
      </c>
      <c r="D4619" s="2" t="s">
        <v>28</v>
      </c>
      <c r="E4619" s="2" t="s">
        <v>29</v>
      </c>
      <c r="F4619" s="2">
        <v>60</v>
      </c>
      <c r="G4619" s="2" t="s">
        <v>9945</v>
      </c>
      <c r="H4619" s="2" t="s">
        <v>6343</v>
      </c>
      <c r="I4619" s="2" t="s">
        <v>32</v>
      </c>
      <c r="J4619" s="3">
        <v>44200</v>
      </c>
      <c r="K4619" s="5">
        <f>YEAR(OrganizedData[[#This Row],[Order Date]])</f>
        <v>2021</v>
      </c>
      <c r="L4619" s="7" t="str">
        <f>TEXT(OrganizedData[[#This Row],[Order Date]],"mmm")</f>
        <v>Jan</v>
      </c>
      <c r="M4619" s="2">
        <v>44</v>
      </c>
      <c r="N4619" s="2" t="s">
        <v>39</v>
      </c>
      <c r="O4619" s="2" t="str">
        <f>VLOOKUP(OrganizedData[[#This Row],[Product Code]],ProductData[[Code]:[Item]],2,FALSE)</f>
        <v>Ultrathing V1</v>
      </c>
      <c r="P4619" s="4">
        <f>OrganizedData[[#This Row],[Quantity]]*VLOOKUP(OrganizedData[[#This Row],[Product Code]],ProductData[],4,FALSE)</f>
        <v>748</v>
      </c>
      <c r="Q4619" s="6">
        <f>OrganizedData[[#This Row],[Total Items Ordered]]*VLOOKUP(OrganizedData[[#This Row],[Product Code]],ProductData[],3,FALSE)</f>
        <v>1338.92</v>
      </c>
      <c r="R46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1298.7524000000001</v>
      </c>
    </row>
    <row r="4620" spans="1:18" x14ac:dyDescent="0.3">
      <c r="A4620" s="2">
        <v>4613</v>
      </c>
      <c r="B4620" s="2" t="s">
        <v>5942</v>
      </c>
      <c r="C4620" s="2" t="s">
        <v>9946</v>
      </c>
      <c r="D4620" s="2" t="s">
        <v>28</v>
      </c>
      <c r="E4620" s="2" t="s">
        <v>29</v>
      </c>
      <c r="F4620" s="2">
        <v>60</v>
      </c>
      <c r="G4620" s="2" t="s">
        <v>9947</v>
      </c>
      <c r="H4620" s="2" t="s">
        <v>1001</v>
      </c>
      <c r="I4620" s="2" t="s">
        <v>32</v>
      </c>
      <c r="J4620" s="3">
        <v>44762</v>
      </c>
      <c r="K4620" s="5">
        <f>YEAR(OrganizedData[[#This Row],[Order Date]])</f>
        <v>2022</v>
      </c>
      <c r="L4620" s="7" t="str">
        <f>TEXT(OrganizedData[[#This Row],[Order Date]],"mmm")</f>
        <v>Jul</v>
      </c>
      <c r="M4620" s="2">
        <v>62</v>
      </c>
      <c r="N4620" s="2" t="s">
        <v>70</v>
      </c>
      <c r="O4620" s="2" t="str">
        <f>VLOOKUP(OrganizedData[[#This Row],[Product Code]],ProductData[[Code]:[Item]],2,FALSE)</f>
        <v>Megawidget M</v>
      </c>
      <c r="P4620" s="4">
        <f>OrganizedData[[#This Row],[Quantity]]*VLOOKUP(OrganizedData[[#This Row],[Product Code]],ProductData[],4,FALSE)</f>
        <v>1488</v>
      </c>
      <c r="Q4620" s="6">
        <f>OrganizedData[[#This Row],[Total Items Ordered]]*VLOOKUP(OrganizedData[[#This Row],[Product Code]],ProductData[],3,FALSE)</f>
        <v>1919.52</v>
      </c>
      <c r="R46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1823.5439999999999</v>
      </c>
    </row>
    <row r="4621" spans="1:18" x14ac:dyDescent="0.3">
      <c r="A4621" s="2">
        <v>4614</v>
      </c>
      <c r="B4621" s="2" t="s">
        <v>7811</v>
      </c>
      <c r="C4621" s="2" t="s">
        <v>991</v>
      </c>
      <c r="D4621" s="2" t="s">
        <v>15</v>
      </c>
      <c r="E4621" s="2" t="s">
        <v>16</v>
      </c>
      <c r="F4621" s="2">
        <v>90</v>
      </c>
      <c r="G4621" s="2" t="s">
        <v>9948</v>
      </c>
      <c r="H4621" s="2" t="s">
        <v>3495</v>
      </c>
      <c r="I4621" s="2" t="s">
        <v>1083</v>
      </c>
      <c r="J4621" s="3">
        <v>44640</v>
      </c>
      <c r="K4621" s="5">
        <f>YEAR(OrganizedData[[#This Row],[Order Date]])</f>
        <v>2022</v>
      </c>
      <c r="L4621" s="7" t="str">
        <f>TEXT(OrganizedData[[#This Row],[Order Date]],"mmm")</f>
        <v>Mar</v>
      </c>
      <c r="M4621" s="2">
        <v>10</v>
      </c>
      <c r="N4621" s="2" t="s">
        <v>70</v>
      </c>
      <c r="O4621" s="2" t="str">
        <f>VLOOKUP(OrganizedData[[#This Row],[Product Code]],ProductData[[Code]:[Item]],2,FALSE)</f>
        <v>Megawidget M</v>
      </c>
      <c r="P4621" s="4">
        <f>OrganizedData[[#This Row],[Quantity]]*VLOOKUP(OrganizedData[[#This Row],[Product Code]],ProductData[],4,FALSE)</f>
        <v>240</v>
      </c>
      <c r="Q4621" s="6">
        <f>OrganizedData[[#This Row],[Total Items Ordered]]*VLOOKUP(OrganizedData[[#This Row],[Product Code]],ProductData[],3,FALSE)</f>
        <v>309.60000000000002</v>
      </c>
      <c r="R46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309.60000000000002</v>
      </c>
    </row>
    <row r="4622" spans="1:18" x14ac:dyDescent="0.3">
      <c r="A4622" s="2">
        <v>4615</v>
      </c>
      <c r="B4622" s="2" t="s">
        <v>4318</v>
      </c>
      <c r="C4622" s="2" t="s">
        <v>9949</v>
      </c>
      <c r="D4622" s="2" t="s">
        <v>28</v>
      </c>
      <c r="E4622" s="2" t="s">
        <v>29</v>
      </c>
      <c r="F4622" s="2">
        <v>90</v>
      </c>
      <c r="G4622" s="2" t="s">
        <v>9950</v>
      </c>
      <c r="H4622" s="2" t="s">
        <v>938</v>
      </c>
      <c r="I4622" s="2" t="s">
        <v>25</v>
      </c>
      <c r="J4622" s="3">
        <v>44344</v>
      </c>
      <c r="K4622" s="5">
        <f>YEAR(OrganizedData[[#This Row],[Order Date]])</f>
        <v>2021</v>
      </c>
      <c r="L4622" s="7" t="str">
        <f>TEXT(OrganizedData[[#This Row],[Order Date]],"mmm")</f>
        <v>May</v>
      </c>
      <c r="M4622" s="2">
        <v>94</v>
      </c>
      <c r="N4622" s="2" t="s">
        <v>64</v>
      </c>
      <c r="O4622" s="2" t="str">
        <f>VLOOKUP(OrganizedData[[#This Row],[Product Code]],ProductData[[Code]:[Item]],2,FALSE)</f>
        <v>Ultrathing V4</v>
      </c>
      <c r="P4622" s="4">
        <f>OrganizedData[[#This Row],[Quantity]]*VLOOKUP(OrganizedData[[#This Row],[Product Code]],ProductData[],4,FALSE)</f>
        <v>2256</v>
      </c>
      <c r="Q4622" s="6">
        <f>OrganizedData[[#This Row],[Total Items Ordered]]*VLOOKUP(OrganizedData[[#This Row],[Product Code]],ProductData[],3,FALSE)</f>
        <v>9001.44</v>
      </c>
      <c r="R46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8551.3680000000004</v>
      </c>
    </row>
    <row r="4623" spans="1:18" x14ac:dyDescent="0.3">
      <c r="A4623" s="2">
        <v>4616</v>
      </c>
      <c r="B4623" s="2" t="s">
        <v>9951</v>
      </c>
      <c r="C4623" s="2" t="s">
        <v>6513</v>
      </c>
      <c r="D4623" s="2" t="s">
        <v>15</v>
      </c>
      <c r="E4623" s="2" t="s">
        <v>16</v>
      </c>
      <c r="F4623" s="2">
        <v>90</v>
      </c>
      <c r="G4623" s="2" t="s">
        <v>9952</v>
      </c>
      <c r="H4623" s="2" t="s">
        <v>3175</v>
      </c>
      <c r="I4623" s="2" t="s">
        <v>1233</v>
      </c>
      <c r="J4623" s="3">
        <v>44837</v>
      </c>
      <c r="K4623" s="5">
        <f>YEAR(OrganizedData[[#This Row],[Order Date]])</f>
        <v>2022</v>
      </c>
      <c r="L4623" s="7" t="str">
        <f>TEXT(OrganizedData[[#This Row],[Order Date]],"mmm")</f>
        <v>Oct</v>
      </c>
      <c r="M4623" s="2">
        <v>11</v>
      </c>
      <c r="N4623" s="2" t="s">
        <v>45</v>
      </c>
      <c r="O4623" s="2" t="str">
        <f>VLOOKUP(OrganizedData[[#This Row],[Product Code]],ProductData[[Code]:[Item]],2,FALSE)</f>
        <v>Gigastuff</v>
      </c>
      <c r="P4623" s="4">
        <f>OrganizedData[[#This Row],[Quantity]]*VLOOKUP(OrganizedData[[#This Row],[Product Code]],ProductData[],4,FALSE)</f>
        <v>198</v>
      </c>
      <c r="Q4623" s="6">
        <f>OrganizedData[[#This Row],[Total Items Ordered]]*VLOOKUP(OrganizedData[[#This Row],[Product Code]],ProductData[],3,FALSE)</f>
        <v>374.21999999999997</v>
      </c>
      <c r="R46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374.21999999999997</v>
      </c>
    </row>
    <row r="4624" spans="1:18" x14ac:dyDescent="0.3">
      <c r="A4624" s="2">
        <v>4617</v>
      </c>
      <c r="B4624" s="2" t="s">
        <v>4771</v>
      </c>
      <c r="C4624" s="2" t="s">
        <v>9953</v>
      </c>
      <c r="D4624" s="2" t="s">
        <v>28</v>
      </c>
      <c r="E4624" s="2" t="s">
        <v>29</v>
      </c>
      <c r="F4624" s="2">
        <v>90</v>
      </c>
      <c r="G4624" s="2" t="s">
        <v>9954</v>
      </c>
      <c r="H4624" s="2" t="s">
        <v>4543</v>
      </c>
      <c r="I4624" s="2" t="s">
        <v>173</v>
      </c>
      <c r="J4624" s="3">
        <v>44522</v>
      </c>
      <c r="K4624" s="5">
        <f>YEAR(OrganizedData[[#This Row],[Order Date]])</f>
        <v>2021</v>
      </c>
      <c r="L4624" s="7" t="str">
        <f>TEXT(OrganizedData[[#This Row],[Order Date]],"mmm")</f>
        <v>Nov</v>
      </c>
      <c r="M4624" s="2">
        <v>73</v>
      </c>
      <c r="N4624" s="2" t="s">
        <v>159</v>
      </c>
      <c r="O4624" s="2" t="str">
        <f>VLOOKUP(OrganizedData[[#This Row],[Product Code]],ProductData[[Code]:[Item]],2,FALSE)</f>
        <v>Ultrathing V3</v>
      </c>
      <c r="P4624" s="4">
        <f>OrganizedData[[#This Row],[Quantity]]*VLOOKUP(OrganizedData[[#This Row],[Product Code]],ProductData[],4,FALSE)</f>
        <v>1752</v>
      </c>
      <c r="Q4624" s="6">
        <f>OrganizedData[[#This Row],[Total Items Ordered]]*VLOOKUP(OrganizedData[[#This Row],[Product Code]],ProductData[],3,FALSE)</f>
        <v>5939.2800000000007</v>
      </c>
      <c r="R46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4625" spans="1:18" x14ac:dyDescent="0.3">
      <c r="A4625" s="2">
        <v>4618</v>
      </c>
      <c r="B4625" s="2" t="s">
        <v>9957</v>
      </c>
      <c r="C4625" s="2" t="s">
        <v>5671</v>
      </c>
      <c r="D4625" s="2" t="s">
        <v>15</v>
      </c>
      <c r="E4625" s="2" t="s">
        <v>16</v>
      </c>
      <c r="F4625" s="2">
        <v>90</v>
      </c>
      <c r="G4625" s="2" t="s">
        <v>9958</v>
      </c>
      <c r="H4625" s="2" t="s">
        <v>5207</v>
      </c>
      <c r="I4625" s="2" t="s">
        <v>38</v>
      </c>
      <c r="J4625" s="3">
        <v>43994</v>
      </c>
      <c r="K4625" s="5">
        <f>YEAR(OrganizedData[[#This Row],[Order Date]])</f>
        <v>2020</v>
      </c>
      <c r="L4625" s="7" t="str">
        <f>TEXT(OrganizedData[[#This Row],[Order Date]],"mmm")</f>
        <v>Jun</v>
      </c>
      <c r="M4625" s="2">
        <v>7</v>
      </c>
      <c r="N4625" s="2" t="s">
        <v>101</v>
      </c>
      <c r="O4625" s="2" t="str">
        <f>VLOOKUP(OrganizedData[[#This Row],[Product Code]],ProductData[[Code]:[Item]],2,FALSE)</f>
        <v>Superwossname</v>
      </c>
      <c r="P4625" s="4">
        <f>OrganizedData[[#This Row],[Quantity]]*VLOOKUP(OrganizedData[[#This Row],[Product Code]],ProductData[],4,FALSE)</f>
        <v>140</v>
      </c>
      <c r="Q4625" s="6">
        <f>OrganizedData[[#This Row],[Total Items Ordered]]*VLOOKUP(OrganizedData[[#This Row],[Product Code]],ProductData[],3,FALSE)</f>
        <v>488.6</v>
      </c>
      <c r="R46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488.6</v>
      </c>
    </row>
    <row r="4626" spans="1:18" x14ac:dyDescent="0.3">
      <c r="A4626" s="2">
        <v>4619</v>
      </c>
      <c r="B4626" s="2" t="s">
        <v>3599</v>
      </c>
      <c r="C4626" s="2" t="s">
        <v>2113</v>
      </c>
      <c r="D4626" s="2" t="s">
        <v>28</v>
      </c>
      <c r="E4626" s="2" t="s">
        <v>29</v>
      </c>
      <c r="F4626" s="2">
        <v>30</v>
      </c>
      <c r="G4626" s="2" t="s">
        <v>9959</v>
      </c>
      <c r="H4626" s="2" t="s">
        <v>5069</v>
      </c>
      <c r="I4626" s="2" t="s">
        <v>32</v>
      </c>
      <c r="J4626" s="3">
        <v>44926</v>
      </c>
      <c r="K4626" s="5">
        <f>YEAR(OrganizedData[[#This Row],[Order Date]])</f>
        <v>2022</v>
      </c>
      <c r="L4626" s="7" t="str">
        <f>TEXT(OrganizedData[[#This Row],[Order Date]],"mmm")</f>
        <v>Dec</v>
      </c>
      <c r="M4626" s="2">
        <v>104</v>
      </c>
      <c r="N4626" s="2" t="s">
        <v>33</v>
      </c>
      <c r="O4626" s="2" t="str">
        <f>VLOOKUP(OrganizedData[[#This Row],[Product Code]],ProductData[[Code]:[Item]],2,FALSE)</f>
        <v>Megawidget L</v>
      </c>
      <c r="P4626" s="4">
        <f>OrganizedData[[#This Row],[Quantity]]*VLOOKUP(OrganizedData[[#This Row],[Product Code]],ProductData[],4,FALSE)</f>
        <v>2496</v>
      </c>
      <c r="Q4626" s="6">
        <f>OrganizedData[[#This Row],[Total Items Ordered]]*VLOOKUP(OrganizedData[[#This Row],[Product Code]],ProductData[],3,FALSE)</f>
        <v>4467.84</v>
      </c>
      <c r="R46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4155.0912000000008</v>
      </c>
    </row>
    <row r="4627" spans="1:18" x14ac:dyDescent="0.3">
      <c r="A4627" s="2">
        <v>4620</v>
      </c>
      <c r="B4627" s="2" t="s">
        <v>9009</v>
      </c>
      <c r="C4627" s="2" t="s">
        <v>2174</v>
      </c>
      <c r="D4627" s="2" t="s">
        <v>51</v>
      </c>
      <c r="E4627" s="2" t="s">
        <v>16</v>
      </c>
      <c r="F4627" s="2">
        <v>90</v>
      </c>
      <c r="G4627" s="2" t="s">
        <v>9960</v>
      </c>
      <c r="H4627" s="2" t="s">
        <v>2661</v>
      </c>
      <c r="I4627" s="2" t="s">
        <v>187</v>
      </c>
      <c r="J4627" s="3">
        <v>44205</v>
      </c>
      <c r="K4627" s="5">
        <f>YEAR(OrganizedData[[#This Row],[Order Date]])</f>
        <v>2021</v>
      </c>
      <c r="L4627" s="7" t="str">
        <f>TEXT(OrganizedData[[#This Row],[Order Date]],"mmm")</f>
        <v>Jan</v>
      </c>
      <c r="M4627" s="2">
        <v>38</v>
      </c>
      <c r="N4627" s="2" t="s">
        <v>101</v>
      </c>
      <c r="O4627" s="2" t="str">
        <f>VLOOKUP(OrganizedData[[#This Row],[Product Code]],ProductData[[Code]:[Item]],2,FALSE)</f>
        <v>Superwossname</v>
      </c>
      <c r="P4627" s="4">
        <f>OrganizedData[[#This Row],[Quantity]]*VLOOKUP(OrganizedData[[#This Row],[Product Code]],ProductData[],4,FALSE)</f>
        <v>760</v>
      </c>
      <c r="Q4627" s="6">
        <f>OrganizedData[[#This Row],[Total Items Ordered]]*VLOOKUP(OrganizedData[[#This Row],[Product Code]],ProductData[],3,FALSE)</f>
        <v>2652.4</v>
      </c>
      <c r="R46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2572.828</v>
      </c>
    </row>
    <row r="4628" spans="1:18" x14ac:dyDescent="0.3">
      <c r="A4628" s="2">
        <v>4621</v>
      </c>
      <c r="B4628" s="2" t="s">
        <v>9961</v>
      </c>
      <c r="C4628" s="2" t="s">
        <v>1963</v>
      </c>
      <c r="D4628" s="2" t="s">
        <v>15</v>
      </c>
      <c r="E4628" s="2" t="s">
        <v>16</v>
      </c>
      <c r="F4628" s="2">
        <v>90</v>
      </c>
      <c r="G4628" s="2" t="s">
        <v>9962</v>
      </c>
      <c r="H4628" s="2" t="s">
        <v>5781</v>
      </c>
      <c r="I4628" s="2" t="s">
        <v>32</v>
      </c>
      <c r="J4628" s="3">
        <v>44890</v>
      </c>
      <c r="K4628" s="5">
        <f>YEAR(OrganizedData[[#This Row],[Order Date]])</f>
        <v>2022</v>
      </c>
      <c r="L4628" s="7" t="str">
        <f>TEXT(OrganizedData[[#This Row],[Order Date]],"mmm")</f>
        <v>Nov</v>
      </c>
      <c r="M4628" s="2">
        <v>55</v>
      </c>
      <c r="N4628" s="2" t="s">
        <v>159</v>
      </c>
      <c r="O4628" s="2" t="str">
        <f>VLOOKUP(OrganizedData[[#This Row],[Product Code]],ProductData[[Code]:[Item]],2,FALSE)</f>
        <v>Ultrathing V3</v>
      </c>
      <c r="P4628" s="4">
        <f>OrganizedData[[#This Row],[Quantity]]*VLOOKUP(OrganizedData[[#This Row],[Product Code]],ProductData[],4,FALSE)</f>
        <v>1320</v>
      </c>
      <c r="Q4628" s="6">
        <f>OrganizedData[[#This Row],[Total Items Ordered]]*VLOOKUP(OrganizedData[[#This Row],[Product Code]],ProductData[],3,FALSE)</f>
        <v>4474.8</v>
      </c>
      <c r="R46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4251.0600000000004</v>
      </c>
    </row>
    <row r="4629" spans="1:18" x14ac:dyDescent="0.3">
      <c r="A4629" s="2">
        <v>4622</v>
      </c>
      <c r="B4629" s="2" t="s">
        <v>4296</v>
      </c>
      <c r="C4629" s="2" t="s">
        <v>7251</v>
      </c>
      <c r="D4629" s="2" t="s">
        <v>92</v>
      </c>
      <c r="E4629" s="2" t="s">
        <v>29</v>
      </c>
      <c r="F4629" s="2">
        <v>30</v>
      </c>
      <c r="G4629" s="2" t="s">
        <v>9963</v>
      </c>
      <c r="H4629" s="2" t="s">
        <v>3316</v>
      </c>
      <c r="I4629" s="2" t="s">
        <v>32</v>
      </c>
      <c r="J4629" s="3">
        <v>44634</v>
      </c>
      <c r="K4629" s="5">
        <f>YEAR(OrganizedData[[#This Row],[Order Date]])</f>
        <v>2022</v>
      </c>
      <c r="L4629" s="7" t="str">
        <f>TEXT(OrganizedData[[#This Row],[Order Date]],"mmm")</f>
        <v>Mar</v>
      </c>
      <c r="M4629" s="2">
        <v>81</v>
      </c>
      <c r="N4629" s="2" t="s">
        <v>45</v>
      </c>
      <c r="O4629" s="2" t="str">
        <f>VLOOKUP(OrganizedData[[#This Row],[Product Code]],ProductData[[Code]:[Item]],2,FALSE)</f>
        <v>Gigastuff</v>
      </c>
      <c r="P4629" s="4">
        <f>OrganizedData[[#This Row],[Quantity]]*VLOOKUP(OrganizedData[[#This Row],[Product Code]],ProductData[],4,FALSE)</f>
        <v>1458</v>
      </c>
      <c r="Q4629" s="6">
        <f>OrganizedData[[#This Row],[Total Items Ordered]]*VLOOKUP(OrganizedData[[#This Row],[Product Code]],ProductData[],3,FALSE)</f>
        <v>2755.62</v>
      </c>
      <c r="R46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4630" spans="1:18" x14ac:dyDescent="0.3">
      <c r="A4630" s="2">
        <v>4623</v>
      </c>
      <c r="B4630" s="2" t="s">
        <v>9964</v>
      </c>
      <c r="C4630" s="2" t="s">
        <v>936</v>
      </c>
      <c r="D4630" s="2" t="s">
        <v>41</v>
      </c>
      <c r="E4630" s="2" t="s">
        <v>16</v>
      </c>
      <c r="F4630" s="2">
        <v>30</v>
      </c>
      <c r="G4630" s="2" t="s">
        <v>9965</v>
      </c>
      <c r="H4630" s="2" t="s">
        <v>1605</v>
      </c>
      <c r="I4630" s="2" t="s">
        <v>32</v>
      </c>
      <c r="J4630" s="3">
        <v>44583</v>
      </c>
      <c r="K4630" s="5">
        <f>YEAR(OrganizedData[[#This Row],[Order Date]])</f>
        <v>2022</v>
      </c>
      <c r="L4630" s="7" t="str">
        <f>TEXT(OrganizedData[[#This Row],[Order Date]],"mmm")</f>
        <v>Jan</v>
      </c>
      <c r="M4630" s="2">
        <v>37</v>
      </c>
      <c r="N4630" s="2" t="s">
        <v>54</v>
      </c>
      <c r="O4630" s="2" t="str">
        <f>VLOOKUP(OrganizedData[[#This Row],[Product Code]],ProductData[[Code]:[Item]],2,FALSE)</f>
        <v>Megawidget S</v>
      </c>
      <c r="P4630" s="4">
        <f>OrganizedData[[#This Row],[Quantity]]*VLOOKUP(OrganizedData[[#This Row],[Product Code]],ProductData[],4,FALSE)</f>
        <v>888</v>
      </c>
      <c r="Q4630" s="6">
        <f>OrganizedData[[#This Row],[Total Items Ordered]]*VLOOKUP(OrganizedData[[#This Row],[Product Code]],ProductData[],3,FALSE)</f>
        <v>612.71999999999991</v>
      </c>
      <c r="R46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4631" spans="1:18" x14ac:dyDescent="0.3">
      <c r="A4631" s="2">
        <v>4624</v>
      </c>
      <c r="B4631" s="2" t="s">
        <v>7643</v>
      </c>
      <c r="C4631" s="2" t="s">
        <v>3416</v>
      </c>
      <c r="D4631" s="2" t="s">
        <v>28</v>
      </c>
      <c r="E4631" s="2" t="s">
        <v>29</v>
      </c>
      <c r="F4631" s="2">
        <v>30</v>
      </c>
      <c r="G4631" s="2" t="s">
        <v>9966</v>
      </c>
      <c r="H4631" s="2" t="s">
        <v>7818</v>
      </c>
      <c r="I4631" s="2" t="s">
        <v>1311</v>
      </c>
      <c r="J4631" s="3">
        <v>44915</v>
      </c>
      <c r="K4631" s="5">
        <f>YEAR(OrganizedData[[#This Row],[Order Date]])</f>
        <v>2022</v>
      </c>
      <c r="L4631" s="7" t="str">
        <f>TEXT(OrganizedData[[#This Row],[Order Date]],"mmm")</f>
        <v>Dec</v>
      </c>
      <c r="M4631" s="2">
        <v>26</v>
      </c>
      <c r="N4631" s="2" t="s">
        <v>39</v>
      </c>
      <c r="O4631" s="2" t="str">
        <f>VLOOKUP(OrganizedData[[#This Row],[Product Code]],ProductData[[Code]:[Item]],2,FALSE)</f>
        <v>Ultrathing V1</v>
      </c>
      <c r="P4631" s="4">
        <f>OrganizedData[[#This Row],[Quantity]]*VLOOKUP(OrganizedData[[#This Row],[Product Code]],ProductData[],4,FALSE)</f>
        <v>442</v>
      </c>
      <c r="Q4631" s="6">
        <f>OrganizedData[[#This Row],[Total Items Ordered]]*VLOOKUP(OrganizedData[[#This Row],[Product Code]],ProductData[],3,FALSE)</f>
        <v>791.18000000000006</v>
      </c>
      <c r="R46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767.44460000000004</v>
      </c>
    </row>
    <row r="4632" spans="1:18" x14ac:dyDescent="0.3">
      <c r="A4632" s="2">
        <v>4625</v>
      </c>
      <c r="B4632" s="2" t="s">
        <v>1831</v>
      </c>
      <c r="C4632" s="2" t="s">
        <v>9967</v>
      </c>
      <c r="D4632" s="2" t="s">
        <v>28</v>
      </c>
      <c r="E4632" s="2" t="s">
        <v>29</v>
      </c>
      <c r="F4632" s="2">
        <v>90</v>
      </c>
      <c r="G4632" s="2" t="s">
        <v>9968</v>
      </c>
      <c r="H4632" s="2" t="s">
        <v>5406</v>
      </c>
      <c r="I4632" s="2" t="s">
        <v>32</v>
      </c>
      <c r="J4632" s="3">
        <v>44425</v>
      </c>
      <c r="K4632" s="5">
        <f>YEAR(OrganizedData[[#This Row],[Order Date]])</f>
        <v>2021</v>
      </c>
      <c r="L4632" s="7" t="str">
        <f>TEXT(OrganizedData[[#This Row],[Order Date]],"mmm")</f>
        <v>Aug</v>
      </c>
      <c r="M4632" s="2">
        <v>49</v>
      </c>
      <c r="N4632" s="2" t="s">
        <v>39</v>
      </c>
      <c r="O4632" s="2" t="str">
        <f>VLOOKUP(OrganizedData[[#This Row],[Product Code]],ProductData[[Code]:[Item]],2,FALSE)</f>
        <v>Ultrathing V1</v>
      </c>
      <c r="P4632" s="4">
        <f>OrganizedData[[#This Row],[Quantity]]*VLOOKUP(OrganizedData[[#This Row],[Product Code]],ProductData[],4,FALSE)</f>
        <v>833</v>
      </c>
      <c r="Q4632" s="6">
        <f>OrganizedData[[#This Row],[Total Items Ordered]]*VLOOKUP(OrganizedData[[#This Row],[Product Code]],ProductData[],3,FALSE)</f>
        <v>1491.07</v>
      </c>
      <c r="R46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1446.3379</v>
      </c>
    </row>
    <row r="4633" spans="1:18" x14ac:dyDescent="0.3">
      <c r="A4633" s="2">
        <v>4626</v>
      </c>
      <c r="B4633" s="2" t="s">
        <v>471</v>
      </c>
      <c r="C4633" s="2" t="s">
        <v>8687</v>
      </c>
      <c r="D4633" s="2" t="s">
        <v>28</v>
      </c>
      <c r="E4633" s="2" t="s">
        <v>29</v>
      </c>
      <c r="F4633" s="2">
        <v>90</v>
      </c>
      <c r="G4633" s="2" t="s">
        <v>9969</v>
      </c>
      <c r="H4633" s="2" t="s">
        <v>3459</v>
      </c>
      <c r="I4633" s="2" t="s">
        <v>178</v>
      </c>
      <c r="J4633" s="3">
        <v>44262</v>
      </c>
      <c r="K4633" s="5">
        <f>YEAR(OrganizedData[[#This Row],[Order Date]])</f>
        <v>2021</v>
      </c>
      <c r="L4633" s="7" t="str">
        <f>TEXT(OrganizedData[[#This Row],[Order Date]],"mmm")</f>
        <v>Mar</v>
      </c>
      <c r="M4633" s="2">
        <v>18</v>
      </c>
      <c r="N4633" s="2" t="s">
        <v>64</v>
      </c>
      <c r="O4633" s="2" t="str">
        <f>VLOOKUP(OrganizedData[[#This Row],[Product Code]],ProductData[[Code]:[Item]],2,FALSE)</f>
        <v>Ultrathing V4</v>
      </c>
      <c r="P4633" s="4">
        <f>OrganizedData[[#This Row],[Quantity]]*VLOOKUP(OrganizedData[[#This Row],[Product Code]],ProductData[],4,FALSE)</f>
        <v>432</v>
      </c>
      <c r="Q4633" s="6">
        <f>OrganizedData[[#This Row],[Total Items Ordered]]*VLOOKUP(OrganizedData[[#This Row],[Product Code]],ProductData[],3,FALSE)</f>
        <v>1723.68</v>
      </c>
      <c r="R46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1723.68</v>
      </c>
    </row>
    <row r="4634" spans="1:18" x14ac:dyDescent="0.3">
      <c r="A4634" s="2">
        <v>4627</v>
      </c>
      <c r="B4634" s="2" t="s">
        <v>8875</v>
      </c>
      <c r="C4634" s="2" t="s">
        <v>2398</v>
      </c>
      <c r="D4634" s="2" t="s">
        <v>28</v>
      </c>
      <c r="E4634" s="2" t="s">
        <v>29</v>
      </c>
      <c r="F4634" s="2">
        <v>90</v>
      </c>
      <c r="G4634" s="2" t="s">
        <v>9970</v>
      </c>
      <c r="H4634" s="2" t="s">
        <v>5406</v>
      </c>
      <c r="I4634" s="2" t="s">
        <v>32</v>
      </c>
      <c r="J4634" s="3">
        <v>44423</v>
      </c>
      <c r="K4634" s="5">
        <f>YEAR(OrganizedData[[#This Row],[Order Date]])</f>
        <v>2021</v>
      </c>
      <c r="L4634" s="7" t="str">
        <f>TEXT(OrganizedData[[#This Row],[Order Date]],"mmm")</f>
        <v>Aug</v>
      </c>
      <c r="M4634" s="2">
        <v>50</v>
      </c>
      <c r="N4634" s="2" t="s">
        <v>20</v>
      </c>
      <c r="O4634" s="2" t="str">
        <f>VLOOKUP(OrganizedData[[#This Row],[Product Code]],ProductData[[Code]:[Item]],2,FALSE)</f>
        <v>Hyperwotsit</v>
      </c>
      <c r="P4634" s="4">
        <f>OrganizedData[[#This Row],[Quantity]]*VLOOKUP(OrganizedData[[#This Row],[Product Code]],ProductData[],4,FALSE)</f>
        <v>1000</v>
      </c>
      <c r="Q4634" s="6">
        <f>OrganizedData[[#This Row],[Total Items Ordered]]*VLOOKUP(OrganizedData[[#This Row],[Product Code]],ProductData[],3,FALSE)</f>
        <v>2009.9999999999998</v>
      </c>
      <c r="R46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4635" spans="1:18" x14ac:dyDescent="0.3">
      <c r="A4635" s="2">
        <v>4628</v>
      </c>
      <c r="B4635" s="2" t="s">
        <v>9971</v>
      </c>
      <c r="C4635" s="2" t="s">
        <v>295</v>
      </c>
      <c r="D4635" s="2" t="s">
        <v>92</v>
      </c>
      <c r="E4635" s="2" t="s">
        <v>16</v>
      </c>
      <c r="F4635" s="2">
        <v>90</v>
      </c>
      <c r="G4635" s="2" t="s">
        <v>9972</v>
      </c>
      <c r="H4635" s="2" t="s">
        <v>1005</v>
      </c>
      <c r="I4635" s="2" t="s">
        <v>178</v>
      </c>
      <c r="J4635" s="3">
        <v>44670</v>
      </c>
      <c r="K4635" s="5">
        <f>YEAR(OrganizedData[[#This Row],[Order Date]])</f>
        <v>2022</v>
      </c>
      <c r="L4635" s="7" t="str">
        <f>TEXT(OrganizedData[[#This Row],[Order Date]],"mmm")</f>
        <v>Apr</v>
      </c>
      <c r="M4635" s="2">
        <v>54</v>
      </c>
      <c r="N4635" s="2" t="s">
        <v>20</v>
      </c>
      <c r="O4635" s="2" t="str">
        <f>VLOOKUP(OrganizedData[[#This Row],[Product Code]],ProductData[[Code]:[Item]],2,FALSE)</f>
        <v>Hyperwotsit</v>
      </c>
      <c r="P4635" s="4">
        <f>OrganizedData[[#This Row],[Quantity]]*VLOOKUP(OrganizedData[[#This Row],[Product Code]],ProductData[],4,FALSE)</f>
        <v>1080</v>
      </c>
      <c r="Q4635" s="6">
        <f>OrganizedData[[#This Row],[Total Items Ordered]]*VLOOKUP(OrganizedData[[#This Row],[Product Code]],ProductData[],3,FALSE)</f>
        <v>2170.7999999999997</v>
      </c>
      <c r="R46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2062.2599999999998</v>
      </c>
    </row>
    <row r="4636" spans="1:18" x14ac:dyDescent="0.3">
      <c r="A4636" s="2">
        <v>4629</v>
      </c>
      <c r="B4636" s="2" t="s">
        <v>9973</v>
      </c>
      <c r="C4636" s="2" t="s">
        <v>1204</v>
      </c>
      <c r="D4636" s="2" t="s">
        <v>51</v>
      </c>
      <c r="E4636" s="2" t="s">
        <v>16</v>
      </c>
      <c r="F4636" s="2">
        <v>90</v>
      </c>
      <c r="G4636" s="2" t="s">
        <v>9974</v>
      </c>
      <c r="H4636" s="2" t="s">
        <v>2194</v>
      </c>
      <c r="I4636" s="2" t="s">
        <v>32</v>
      </c>
      <c r="J4636" s="3">
        <v>44471</v>
      </c>
      <c r="K4636" s="5">
        <f>YEAR(OrganizedData[[#This Row],[Order Date]])</f>
        <v>2021</v>
      </c>
      <c r="L4636" s="7" t="str">
        <f>TEXT(OrganizedData[[#This Row],[Order Date]],"mmm")</f>
        <v>Oct</v>
      </c>
      <c r="M4636" s="2">
        <v>73</v>
      </c>
      <c r="N4636" s="2" t="s">
        <v>159</v>
      </c>
      <c r="O4636" s="2" t="str">
        <f>VLOOKUP(OrganizedData[[#This Row],[Product Code]],ProductData[[Code]:[Item]],2,FALSE)</f>
        <v>Ultrathing V3</v>
      </c>
      <c r="P4636" s="4">
        <f>OrganizedData[[#This Row],[Quantity]]*VLOOKUP(OrganizedData[[#This Row],[Product Code]],ProductData[],4,FALSE)</f>
        <v>1752</v>
      </c>
      <c r="Q4636" s="6">
        <f>OrganizedData[[#This Row],[Total Items Ordered]]*VLOOKUP(OrganizedData[[#This Row],[Product Code]],ProductData[],3,FALSE)</f>
        <v>5939.2800000000007</v>
      </c>
      <c r="R46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5642.3160000000007</v>
      </c>
    </row>
    <row r="4637" spans="1:18" x14ac:dyDescent="0.3">
      <c r="A4637" s="2">
        <v>4630</v>
      </c>
      <c r="B4637" s="2" t="s">
        <v>4370</v>
      </c>
      <c r="C4637" s="2" t="s">
        <v>8869</v>
      </c>
      <c r="D4637" s="2" t="s">
        <v>51</v>
      </c>
      <c r="E4637" s="2" t="s">
        <v>16</v>
      </c>
      <c r="F4637" s="2">
        <v>60</v>
      </c>
      <c r="G4637" s="2" t="s">
        <v>9975</v>
      </c>
      <c r="H4637" s="2" t="s">
        <v>4098</v>
      </c>
      <c r="I4637" s="2" t="s">
        <v>1889</v>
      </c>
      <c r="J4637" s="3">
        <v>44404</v>
      </c>
      <c r="K4637" s="5">
        <f>YEAR(OrganizedData[[#This Row],[Order Date]])</f>
        <v>2021</v>
      </c>
      <c r="L4637" s="7" t="str">
        <f>TEXT(OrganizedData[[#This Row],[Order Date]],"mmm")</f>
        <v>Jul</v>
      </c>
      <c r="M4637" s="2">
        <v>46</v>
      </c>
      <c r="N4637" s="2" t="s">
        <v>54</v>
      </c>
      <c r="O4637" s="2" t="str">
        <f>VLOOKUP(OrganizedData[[#This Row],[Product Code]],ProductData[[Code]:[Item]],2,FALSE)</f>
        <v>Megawidget S</v>
      </c>
      <c r="P4637" s="4">
        <f>OrganizedData[[#This Row],[Quantity]]*VLOOKUP(OrganizedData[[#This Row],[Product Code]],ProductData[],4,FALSE)</f>
        <v>1104</v>
      </c>
      <c r="Q4637" s="6">
        <f>OrganizedData[[#This Row],[Total Items Ordered]]*VLOOKUP(OrganizedData[[#This Row],[Product Code]],ProductData[],3,FALSE)</f>
        <v>761.76</v>
      </c>
      <c r="R46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738.90719999999999</v>
      </c>
    </row>
    <row r="4638" spans="1:18" x14ac:dyDescent="0.3">
      <c r="A4638" s="2">
        <v>4631</v>
      </c>
      <c r="B4638" s="2" t="s">
        <v>357</v>
      </c>
      <c r="C4638" s="2" t="s">
        <v>2496</v>
      </c>
      <c r="D4638" s="2" t="s">
        <v>28</v>
      </c>
      <c r="E4638" s="2" t="s">
        <v>29</v>
      </c>
      <c r="F4638" s="2">
        <v>30</v>
      </c>
      <c r="G4638" s="2" t="s">
        <v>9976</v>
      </c>
      <c r="H4638" s="2" t="s">
        <v>1194</v>
      </c>
      <c r="I4638" s="2" t="s">
        <v>38</v>
      </c>
      <c r="J4638" s="3">
        <v>44133</v>
      </c>
      <c r="K4638" s="5">
        <f>YEAR(OrganizedData[[#This Row],[Order Date]])</f>
        <v>2020</v>
      </c>
      <c r="L4638" s="7" t="str">
        <f>TEXT(OrganizedData[[#This Row],[Order Date]],"mmm")</f>
        <v>Oct</v>
      </c>
      <c r="M4638" s="2">
        <v>4</v>
      </c>
      <c r="N4638" s="2" t="s">
        <v>54</v>
      </c>
      <c r="O4638" s="2" t="str">
        <f>VLOOKUP(OrganizedData[[#This Row],[Product Code]],ProductData[[Code]:[Item]],2,FALSE)</f>
        <v>Megawidget S</v>
      </c>
      <c r="P4638" s="4">
        <f>OrganizedData[[#This Row],[Quantity]]*VLOOKUP(OrganizedData[[#This Row],[Product Code]],ProductData[],4,FALSE)</f>
        <v>96</v>
      </c>
      <c r="Q4638" s="6">
        <f>OrganizedData[[#This Row],[Total Items Ordered]]*VLOOKUP(OrganizedData[[#This Row],[Product Code]],ProductData[],3,FALSE)</f>
        <v>66.239999999999995</v>
      </c>
      <c r="R46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4639" spans="1:18" x14ac:dyDescent="0.3">
      <c r="A4639" s="2">
        <v>4632</v>
      </c>
      <c r="B4639" s="2" t="s">
        <v>4061</v>
      </c>
      <c r="C4639" s="2" t="s">
        <v>9977</v>
      </c>
      <c r="D4639" s="2" t="s">
        <v>15</v>
      </c>
      <c r="E4639" s="2" t="s">
        <v>16</v>
      </c>
      <c r="F4639" s="2">
        <v>60</v>
      </c>
      <c r="G4639" s="2" t="s">
        <v>9978</v>
      </c>
      <c r="H4639" s="2" t="s">
        <v>1060</v>
      </c>
      <c r="I4639" s="2" t="s">
        <v>38</v>
      </c>
      <c r="J4639" s="3">
        <v>43877</v>
      </c>
      <c r="K4639" s="5">
        <f>YEAR(OrganizedData[[#This Row],[Order Date]])</f>
        <v>2020</v>
      </c>
      <c r="L4639" s="7" t="str">
        <f>TEXT(OrganizedData[[#This Row],[Order Date]],"mmm")</f>
        <v>Feb</v>
      </c>
      <c r="M4639" s="2">
        <v>82</v>
      </c>
      <c r="N4639" s="2" t="s">
        <v>45</v>
      </c>
      <c r="O4639" s="2" t="str">
        <f>VLOOKUP(OrganizedData[[#This Row],[Product Code]],ProductData[[Code]:[Item]],2,FALSE)</f>
        <v>Gigastuff</v>
      </c>
      <c r="P4639" s="4">
        <f>OrganizedData[[#This Row],[Quantity]]*VLOOKUP(OrganizedData[[#This Row],[Product Code]],ProductData[],4,FALSE)</f>
        <v>1476</v>
      </c>
      <c r="Q4639" s="6">
        <f>OrganizedData[[#This Row],[Total Items Ordered]]*VLOOKUP(OrganizedData[[#This Row],[Product Code]],ProductData[],3,FALSE)</f>
        <v>2789.64</v>
      </c>
      <c r="R46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2650.1579999999999</v>
      </c>
    </row>
    <row r="4640" spans="1:18" x14ac:dyDescent="0.3">
      <c r="A4640" s="2">
        <v>4633</v>
      </c>
      <c r="B4640" s="2" t="s">
        <v>699</v>
      </c>
      <c r="C4640" s="2" t="s">
        <v>5792</v>
      </c>
      <c r="D4640" s="2" t="s">
        <v>92</v>
      </c>
      <c r="E4640" s="2" t="s">
        <v>29</v>
      </c>
      <c r="F4640" s="2">
        <v>90</v>
      </c>
      <c r="G4640" s="2" t="s">
        <v>9979</v>
      </c>
      <c r="H4640" s="2" t="s">
        <v>4424</v>
      </c>
      <c r="I4640" s="2" t="s">
        <v>25</v>
      </c>
      <c r="J4640" s="3">
        <v>44565</v>
      </c>
      <c r="K4640" s="5">
        <f>YEAR(OrganizedData[[#This Row],[Order Date]])</f>
        <v>2022</v>
      </c>
      <c r="L4640" s="7" t="str">
        <f>TEXT(OrganizedData[[#This Row],[Order Date]],"mmm")</f>
        <v>Jan</v>
      </c>
      <c r="M4640" s="2">
        <v>80</v>
      </c>
      <c r="N4640" s="2" t="s">
        <v>70</v>
      </c>
      <c r="O4640" s="2" t="str">
        <f>VLOOKUP(OrganizedData[[#This Row],[Product Code]],ProductData[[Code]:[Item]],2,FALSE)</f>
        <v>Megawidget M</v>
      </c>
      <c r="P4640" s="4">
        <f>OrganizedData[[#This Row],[Quantity]]*VLOOKUP(OrganizedData[[#This Row],[Product Code]],ProductData[],4,FALSE)</f>
        <v>1920</v>
      </c>
      <c r="Q4640" s="6">
        <f>OrganizedData[[#This Row],[Total Items Ordered]]*VLOOKUP(OrganizedData[[#This Row],[Product Code]],ProductData[],3,FALSE)</f>
        <v>2476.8000000000002</v>
      </c>
      <c r="R46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2352.96</v>
      </c>
    </row>
    <row r="4641" spans="1:18" x14ac:dyDescent="0.3">
      <c r="A4641" s="2">
        <v>4634</v>
      </c>
      <c r="B4641" s="2" t="s">
        <v>1027</v>
      </c>
      <c r="C4641" s="2" t="s">
        <v>2561</v>
      </c>
      <c r="D4641" s="2" t="s">
        <v>28</v>
      </c>
      <c r="E4641" s="2" t="s">
        <v>29</v>
      </c>
      <c r="F4641" s="2">
        <v>90</v>
      </c>
      <c r="G4641" s="2" t="s">
        <v>9980</v>
      </c>
      <c r="H4641" s="2" t="s">
        <v>5611</v>
      </c>
      <c r="I4641" s="2" t="s">
        <v>32</v>
      </c>
      <c r="J4641" s="3">
        <v>44096</v>
      </c>
      <c r="K4641" s="5">
        <f>YEAR(OrganizedData[[#This Row],[Order Date]])</f>
        <v>2020</v>
      </c>
      <c r="L4641" s="7" t="str">
        <f>TEXT(OrganizedData[[#This Row],[Order Date]],"mmm")</f>
        <v>Sep</v>
      </c>
      <c r="M4641" s="2">
        <v>64</v>
      </c>
      <c r="N4641" s="2" t="s">
        <v>101</v>
      </c>
      <c r="O4641" s="2" t="str">
        <f>VLOOKUP(OrganizedData[[#This Row],[Product Code]],ProductData[[Code]:[Item]],2,FALSE)</f>
        <v>Superwossname</v>
      </c>
      <c r="P4641" s="4">
        <f>OrganizedData[[#This Row],[Quantity]]*VLOOKUP(OrganizedData[[#This Row],[Product Code]],ProductData[],4,FALSE)</f>
        <v>1280</v>
      </c>
      <c r="Q4641" s="6">
        <f>OrganizedData[[#This Row],[Total Items Ordered]]*VLOOKUP(OrganizedData[[#This Row],[Product Code]],ProductData[],3,FALSE)</f>
        <v>4467.2000000000007</v>
      </c>
      <c r="R46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4243.84</v>
      </c>
    </row>
    <row r="4642" spans="1:18" x14ac:dyDescent="0.3">
      <c r="A4642" s="2">
        <v>4635</v>
      </c>
      <c r="B4642" s="2" t="s">
        <v>4023</v>
      </c>
      <c r="C4642" s="2" t="s">
        <v>3806</v>
      </c>
      <c r="D4642" s="2" t="s">
        <v>92</v>
      </c>
      <c r="E4642" s="2" t="s">
        <v>29</v>
      </c>
      <c r="F4642" s="2">
        <v>90</v>
      </c>
      <c r="G4642" s="2" t="s">
        <v>9981</v>
      </c>
      <c r="H4642" s="2" t="s">
        <v>6319</v>
      </c>
      <c r="I4642" s="2" t="s">
        <v>32</v>
      </c>
      <c r="J4642" s="3">
        <v>43924</v>
      </c>
      <c r="K4642" s="5">
        <f>YEAR(OrganizedData[[#This Row],[Order Date]])</f>
        <v>2020</v>
      </c>
      <c r="L4642" s="7" t="str">
        <f>TEXT(OrganizedData[[#This Row],[Order Date]],"mmm")</f>
        <v>Apr</v>
      </c>
      <c r="M4642" s="2">
        <v>82</v>
      </c>
      <c r="N4642" s="2" t="s">
        <v>54</v>
      </c>
      <c r="O4642" s="2" t="str">
        <f>VLOOKUP(OrganizedData[[#This Row],[Product Code]],ProductData[[Code]:[Item]],2,FALSE)</f>
        <v>Megawidget S</v>
      </c>
      <c r="P4642" s="4">
        <f>OrganizedData[[#This Row],[Quantity]]*VLOOKUP(OrganizedData[[#This Row],[Product Code]],ProductData[],4,FALSE)</f>
        <v>1968</v>
      </c>
      <c r="Q4642" s="6">
        <f>OrganizedData[[#This Row],[Total Items Ordered]]*VLOOKUP(OrganizedData[[#This Row],[Product Code]],ProductData[],3,FALSE)</f>
        <v>1357.9199999999998</v>
      </c>
      <c r="R46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4643" spans="1:18" x14ac:dyDescent="0.3">
      <c r="A4643" s="2">
        <v>4636</v>
      </c>
      <c r="B4643" s="2" t="s">
        <v>6792</v>
      </c>
      <c r="C4643" s="2" t="s">
        <v>4600</v>
      </c>
      <c r="D4643" s="2" t="s">
        <v>15</v>
      </c>
      <c r="E4643" s="2" t="s">
        <v>16</v>
      </c>
      <c r="F4643" s="2">
        <v>30</v>
      </c>
      <c r="G4643" s="2" t="s">
        <v>9982</v>
      </c>
      <c r="H4643" s="2" t="s">
        <v>2834</v>
      </c>
      <c r="I4643" s="2" t="s">
        <v>19</v>
      </c>
      <c r="J4643" s="3">
        <v>44794</v>
      </c>
      <c r="K4643" s="5">
        <f>YEAR(OrganizedData[[#This Row],[Order Date]])</f>
        <v>2022</v>
      </c>
      <c r="L4643" s="7" t="str">
        <f>TEXT(OrganizedData[[#This Row],[Order Date]],"mmm")</f>
        <v>Aug</v>
      </c>
      <c r="M4643" s="2">
        <v>42</v>
      </c>
      <c r="N4643" s="2" t="s">
        <v>20</v>
      </c>
      <c r="O4643" s="2" t="str">
        <f>VLOOKUP(OrganizedData[[#This Row],[Product Code]],ProductData[[Code]:[Item]],2,FALSE)</f>
        <v>Hyperwotsit</v>
      </c>
      <c r="P4643" s="4">
        <f>OrganizedData[[#This Row],[Quantity]]*VLOOKUP(OrganizedData[[#This Row],[Product Code]],ProductData[],4,FALSE)</f>
        <v>840</v>
      </c>
      <c r="Q4643" s="6">
        <f>OrganizedData[[#This Row],[Total Items Ordered]]*VLOOKUP(OrganizedData[[#This Row],[Product Code]],ProductData[],3,FALSE)</f>
        <v>1688.3999999999999</v>
      </c>
      <c r="R46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1637.7479999999998</v>
      </c>
    </row>
    <row r="4644" spans="1:18" x14ac:dyDescent="0.3">
      <c r="A4644" s="2">
        <v>4637</v>
      </c>
      <c r="B4644" s="2" t="s">
        <v>7804</v>
      </c>
      <c r="C4644" s="2" t="s">
        <v>6401</v>
      </c>
      <c r="D4644" s="2" t="s">
        <v>28</v>
      </c>
      <c r="E4644" s="2" t="s">
        <v>29</v>
      </c>
      <c r="F4644" s="2">
        <v>90</v>
      </c>
      <c r="G4644" s="2" t="s">
        <v>9983</v>
      </c>
      <c r="H4644" s="2" t="s">
        <v>4870</v>
      </c>
      <c r="I4644" s="2" t="s">
        <v>146</v>
      </c>
      <c r="J4644" s="3">
        <v>44735</v>
      </c>
      <c r="K4644" s="5">
        <f>YEAR(OrganizedData[[#This Row],[Order Date]])</f>
        <v>2022</v>
      </c>
      <c r="L4644" s="7" t="str">
        <f>TEXT(OrganizedData[[#This Row],[Order Date]],"mmm")</f>
        <v>Jun</v>
      </c>
      <c r="M4644" s="2">
        <v>29</v>
      </c>
      <c r="N4644" s="2" t="s">
        <v>33</v>
      </c>
      <c r="O4644" s="2" t="str">
        <f>VLOOKUP(OrganizedData[[#This Row],[Product Code]],ProductData[[Code]:[Item]],2,FALSE)</f>
        <v>Megawidget L</v>
      </c>
      <c r="P4644" s="4">
        <f>OrganizedData[[#This Row],[Quantity]]*VLOOKUP(OrganizedData[[#This Row],[Product Code]],ProductData[],4,FALSE)</f>
        <v>696</v>
      </c>
      <c r="Q4644" s="6">
        <f>OrganizedData[[#This Row],[Total Items Ordered]]*VLOOKUP(OrganizedData[[#This Row],[Product Code]],ProductData[],3,FALSE)</f>
        <v>1245.8399999999999</v>
      </c>
      <c r="R46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1208.4648</v>
      </c>
    </row>
    <row r="4645" spans="1:18" x14ac:dyDescent="0.3">
      <c r="A4645" s="2">
        <v>4638</v>
      </c>
      <c r="B4645" s="2" t="s">
        <v>4008</v>
      </c>
      <c r="C4645" s="2" t="s">
        <v>4324</v>
      </c>
      <c r="D4645" s="2" t="s">
        <v>28</v>
      </c>
      <c r="E4645" s="2" t="s">
        <v>29</v>
      </c>
      <c r="F4645" s="2">
        <v>60</v>
      </c>
      <c r="G4645" s="2" t="s">
        <v>9984</v>
      </c>
      <c r="H4645" s="2" t="s">
        <v>1131</v>
      </c>
      <c r="I4645" s="2" t="s">
        <v>32</v>
      </c>
      <c r="J4645" s="3">
        <v>44446</v>
      </c>
      <c r="K4645" s="5">
        <f>YEAR(OrganizedData[[#This Row],[Order Date]])</f>
        <v>2021</v>
      </c>
      <c r="L4645" s="7" t="str">
        <f>TEXT(OrganizedData[[#This Row],[Order Date]],"mmm")</f>
        <v>Sep</v>
      </c>
      <c r="M4645" s="2">
        <v>15</v>
      </c>
      <c r="N4645" s="2" t="s">
        <v>54</v>
      </c>
      <c r="O4645" s="2" t="str">
        <f>VLOOKUP(OrganizedData[[#This Row],[Product Code]],ProductData[[Code]:[Item]],2,FALSE)</f>
        <v>Megawidget S</v>
      </c>
      <c r="P4645" s="4">
        <f>OrganizedData[[#This Row],[Quantity]]*VLOOKUP(OrganizedData[[#This Row],[Product Code]],ProductData[],4,FALSE)</f>
        <v>360</v>
      </c>
      <c r="Q4645" s="6">
        <f>OrganizedData[[#This Row],[Total Items Ordered]]*VLOOKUP(OrganizedData[[#This Row],[Product Code]],ProductData[],3,FALSE)</f>
        <v>248.39999999999998</v>
      </c>
      <c r="R46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248.39999999999998</v>
      </c>
    </row>
    <row r="4646" spans="1:18" x14ac:dyDescent="0.3">
      <c r="A4646" s="2">
        <v>4639</v>
      </c>
      <c r="B4646" s="2" t="s">
        <v>6401</v>
      </c>
      <c r="C4646" s="2" t="s">
        <v>7253</v>
      </c>
      <c r="D4646" s="2" t="s">
        <v>28</v>
      </c>
      <c r="E4646" s="2" t="s">
        <v>29</v>
      </c>
      <c r="F4646" s="2">
        <v>60</v>
      </c>
      <c r="G4646" s="2" t="s">
        <v>9985</v>
      </c>
      <c r="H4646" s="2" t="s">
        <v>138</v>
      </c>
      <c r="I4646" s="2" t="s">
        <v>294</v>
      </c>
      <c r="J4646" s="3">
        <v>44292</v>
      </c>
      <c r="K4646" s="5">
        <f>YEAR(OrganizedData[[#This Row],[Order Date]])</f>
        <v>2021</v>
      </c>
      <c r="L4646" s="7" t="str">
        <f>TEXT(OrganizedData[[#This Row],[Order Date]],"mmm")</f>
        <v>Apr</v>
      </c>
      <c r="M4646" s="2">
        <v>63</v>
      </c>
      <c r="N4646" s="2" t="s">
        <v>39</v>
      </c>
      <c r="O4646" s="2" t="str">
        <f>VLOOKUP(OrganizedData[[#This Row],[Product Code]],ProductData[[Code]:[Item]],2,FALSE)</f>
        <v>Ultrathing V1</v>
      </c>
      <c r="P4646" s="4">
        <f>OrganizedData[[#This Row],[Quantity]]*VLOOKUP(OrganizedData[[#This Row],[Product Code]],ProductData[],4,FALSE)</f>
        <v>1071</v>
      </c>
      <c r="Q4646" s="6">
        <f>OrganizedData[[#This Row],[Total Items Ordered]]*VLOOKUP(OrganizedData[[#This Row],[Product Code]],ProductData[],3,FALSE)</f>
        <v>1917.0900000000001</v>
      </c>
      <c r="R46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4647" spans="1:18" x14ac:dyDescent="0.3">
      <c r="A4647" s="2">
        <v>4640</v>
      </c>
      <c r="B4647" s="2" t="s">
        <v>3699</v>
      </c>
      <c r="C4647" s="2" t="s">
        <v>9488</v>
      </c>
      <c r="D4647" s="2" t="s">
        <v>28</v>
      </c>
      <c r="E4647" s="2" t="s">
        <v>29</v>
      </c>
      <c r="F4647" s="2">
        <v>60</v>
      </c>
      <c r="G4647" s="2" t="s">
        <v>9986</v>
      </c>
      <c r="H4647" s="2" t="s">
        <v>9987</v>
      </c>
      <c r="I4647" s="2" t="s">
        <v>294</v>
      </c>
      <c r="J4647" s="3">
        <v>44362</v>
      </c>
      <c r="K4647" s="5">
        <f>YEAR(OrganizedData[[#This Row],[Order Date]])</f>
        <v>2021</v>
      </c>
      <c r="L4647" s="7" t="str">
        <f>TEXT(OrganizedData[[#This Row],[Order Date]],"mmm")</f>
        <v>Jun</v>
      </c>
      <c r="M4647" s="2">
        <v>18</v>
      </c>
      <c r="N4647" s="2" t="s">
        <v>70</v>
      </c>
      <c r="O4647" s="2" t="str">
        <f>VLOOKUP(OrganizedData[[#This Row],[Product Code]],ProductData[[Code]:[Item]],2,FALSE)</f>
        <v>Megawidget M</v>
      </c>
      <c r="P4647" s="4">
        <f>OrganizedData[[#This Row],[Quantity]]*VLOOKUP(OrganizedData[[#This Row],[Product Code]],ProductData[],4,FALSE)</f>
        <v>432</v>
      </c>
      <c r="Q4647" s="6">
        <f>OrganizedData[[#This Row],[Total Items Ordered]]*VLOOKUP(OrganizedData[[#This Row],[Product Code]],ProductData[],3,FALSE)</f>
        <v>557.28</v>
      </c>
      <c r="R46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557.28</v>
      </c>
    </row>
    <row r="4648" spans="1:18" x14ac:dyDescent="0.3">
      <c r="A4648" s="2">
        <v>4641</v>
      </c>
      <c r="B4648" s="2" t="s">
        <v>5410</v>
      </c>
      <c r="C4648" s="2" t="s">
        <v>5546</v>
      </c>
      <c r="D4648" s="2" t="s">
        <v>51</v>
      </c>
      <c r="E4648" s="2" t="s">
        <v>16</v>
      </c>
      <c r="F4648" s="2">
        <v>60</v>
      </c>
      <c r="G4648" s="2" t="s">
        <v>9988</v>
      </c>
      <c r="H4648" s="2" t="s">
        <v>7318</v>
      </c>
      <c r="I4648" s="2" t="s">
        <v>32</v>
      </c>
      <c r="J4648" s="3">
        <v>43936</v>
      </c>
      <c r="K4648" s="5">
        <f>YEAR(OrganizedData[[#This Row],[Order Date]])</f>
        <v>2020</v>
      </c>
      <c r="L4648" s="7" t="str">
        <f>TEXT(OrganizedData[[#This Row],[Order Date]],"mmm")</f>
        <v>Apr</v>
      </c>
      <c r="M4648" s="2">
        <v>48</v>
      </c>
      <c r="N4648" s="2" t="s">
        <v>70</v>
      </c>
      <c r="O4648" s="2" t="str">
        <f>VLOOKUP(OrganizedData[[#This Row],[Product Code]],ProductData[[Code]:[Item]],2,FALSE)</f>
        <v>Megawidget M</v>
      </c>
      <c r="P4648" s="4">
        <f>OrganizedData[[#This Row],[Quantity]]*VLOOKUP(OrganizedData[[#This Row],[Product Code]],ProductData[],4,FALSE)</f>
        <v>1152</v>
      </c>
      <c r="Q4648" s="6">
        <f>OrganizedData[[#This Row],[Total Items Ordered]]*VLOOKUP(OrganizedData[[#This Row],[Product Code]],ProductData[],3,FALSE)</f>
        <v>1486.08</v>
      </c>
      <c r="R46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1441.4975999999999</v>
      </c>
    </row>
    <row r="4649" spans="1:18" x14ac:dyDescent="0.3">
      <c r="A4649" s="2">
        <v>4642</v>
      </c>
      <c r="B4649" s="2" t="s">
        <v>5497</v>
      </c>
      <c r="C4649" s="2" t="s">
        <v>5037</v>
      </c>
      <c r="D4649" s="2" t="s">
        <v>28</v>
      </c>
      <c r="E4649" s="2" t="s">
        <v>29</v>
      </c>
      <c r="F4649" s="2">
        <v>60</v>
      </c>
      <c r="G4649" s="2" t="s">
        <v>9989</v>
      </c>
      <c r="H4649" s="2" t="s">
        <v>1931</v>
      </c>
      <c r="I4649" s="2" t="s">
        <v>32</v>
      </c>
      <c r="J4649" s="3">
        <v>44438</v>
      </c>
      <c r="K4649" s="5">
        <f>YEAR(OrganizedData[[#This Row],[Order Date]])</f>
        <v>2021</v>
      </c>
      <c r="L4649" s="7" t="str">
        <f>TEXT(OrganizedData[[#This Row],[Order Date]],"mmm")</f>
        <v>Aug</v>
      </c>
      <c r="M4649" s="2">
        <v>25</v>
      </c>
      <c r="N4649" s="2" t="s">
        <v>20</v>
      </c>
      <c r="O4649" s="2" t="str">
        <f>VLOOKUP(OrganizedData[[#This Row],[Product Code]],ProductData[[Code]:[Item]],2,FALSE)</f>
        <v>Hyperwotsit</v>
      </c>
      <c r="P4649" s="4">
        <f>OrganizedData[[#This Row],[Quantity]]*VLOOKUP(OrganizedData[[#This Row],[Product Code]],ProductData[],4,FALSE)</f>
        <v>500</v>
      </c>
      <c r="Q4649" s="6">
        <f>OrganizedData[[#This Row],[Total Items Ordered]]*VLOOKUP(OrganizedData[[#This Row],[Product Code]],ProductData[],3,FALSE)</f>
        <v>1004.9999999999999</v>
      </c>
      <c r="R46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4650" spans="1:18" x14ac:dyDescent="0.3">
      <c r="A4650" s="2">
        <v>4643</v>
      </c>
      <c r="B4650" s="2" t="s">
        <v>9990</v>
      </c>
      <c r="C4650" s="2" t="s">
        <v>9991</v>
      </c>
      <c r="D4650" s="2" t="s">
        <v>51</v>
      </c>
      <c r="E4650" s="2" t="s">
        <v>16</v>
      </c>
      <c r="F4650" s="2">
        <v>90</v>
      </c>
      <c r="G4650" s="2" t="s">
        <v>6607</v>
      </c>
      <c r="H4650" s="2" t="s">
        <v>133</v>
      </c>
      <c r="I4650" s="2" t="s">
        <v>124</v>
      </c>
      <c r="J4650" s="3">
        <v>44840</v>
      </c>
      <c r="K4650" s="5">
        <f>YEAR(OrganizedData[[#This Row],[Order Date]])</f>
        <v>2022</v>
      </c>
      <c r="L4650" s="7" t="str">
        <f>TEXT(OrganizedData[[#This Row],[Order Date]],"mmm")</f>
        <v>Oct</v>
      </c>
      <c r="M4650" s="2">
        <v>51</v>
      </c>
      <c r="N4650" s="2" t="s">
        <v>101</v>
      </c>
      <c r="O4650" s="2" t="str">
        <f>VLOOKUP(OrganizedData[[#This Row],[Product Code]],ProductData[[Code]:[Item]],2,FALSE)</f>
        <v>Superwossname</v>
      </c>
      <c r="P4650" s="4">
        <f>OrganizedData[[#This Row],[Quantity]]*VLOOKUP(OrganizedData[[#This Row],[Product Code]],ProductData[],4,FALSE)</f>
        <v>1020</v>
      </c>
      <c r="Q4650" s="6">
        <f>OrganizedData[[#This Row],[Total Items Ordered]]*VLOOKUP(OrganizedData[[#This Row],[Product Code]],ProductData[],3,FALSE)</f>
        <v>3559.8</v>
      </c>
      <c r="R46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3381.81</v>
      </c>
    </row>
    <row r="4651" spans="1:18" x14ac:dyDescent="0.3">
      <c r="A4651" s="2">
        <v>4644</v>
      </c>
      <c r="B4651" s="2" t="s">
        <v>9992</v>
      </c>
      <c r="C4651" s="2" t="s">
        <v>7687</v>
      </c>
      <c r="D4651" s="2" t="s">
        <v>28</v>
      </c>
      <c r="E4651" s="2" t="s">
        <v>29</v>
      </c>
      <c r="F4651" s="2">
        <v>60</v>
      </c>
      <c r="G4651" s="2" t="s">
        <v>9993</v>
      </c>
      <c r="H4651" s="2" t="s">
        <v>207</v>
      </c>
      <c r="I4651" s="2" t="s">
        <v>208</v>
      </c>
      <c r="J4651" s="3">
        <v>44449</v>
      </c>
      <c r="K4651" s="5">
        <f>YEAR(OrganizedData[[#This Row],[Order Date]])</f>
        <v>2021</v>
      </c>
      <c r="L4651" s="7" t="str">
        <f>TEXT(OrganizedData[[#This Row],[Order Date]],"mmm")</f>
        <v>Sep</v>
      </c>
      <c r="M4651" s="2">
        <v>44</v>
      </c>
      <c r="N4651" s="2" t="s">
        <v>80</v>
      </c>
      <c r="O4651" s="2" t="str">
        <f>VLOOKUP(OrganizedData[[#This Row],[Product Code]],ProductData[[Code]:[Item]],2,FALSE)</f>
        <v>Ultrathing V2</v>
      </c>
      <c r="P4651" s="4">
        <f>OrganizedData[[#This Row],[Quantity]]*VLOOKUP(OrganizedData[[#This Row],[Product Code]],ProductData[],4,FALSE)</f>
        <v>880</v>
      </c>
      <c r="Q4651" s="6">
        <f>OrganizedData[[#This Row],[Total Items Ordered]]*VLOOKUP(OrganizedData[[#This Row],[Product Code]],ProductData[],3,FALSE)</f>
        <v>2596</v>
      </c>
      <c r="R46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2518.12</v>
      </c>
    </row>
    <row r="4652" spans="1:18" x14ac:dyDescent="0.3">
      <c r="A4652" s="2">
        <v>4645</v>
      </c>
      <c r="B4652" s="2" t="s">
        <v>3463</v>
      </c>
      <c r="C4652" s="2" t="s">
        <v>7520</v>
      </c>
      <c r="D4652" s="2" t="s">
        <v>28</v>
      </c>
      <c r="E4652" s="2" t="s">
        <v>29</v>
      </c>
      <c r="F4652" s="2">
        <v>30</v>
      </c>
      <c r="G4652" s="2" t="s">
        <v>9994</v>
      </c>
      <c r="H4652" s="2" t="s">
        <v>4870</v>
      </c>
      <c r="I4652" s="2" t="s">
        <v>146</v>
      </c>
      <c r="J4652" s="3">
        <v>43898</v>
      </c>
      <c r="K4652" s="5">
        <f>YEAR(OrganizedData[[#This Row],[Order Date]])</f>
        <v>2020</v>
      </c>
      <c r="L4652" s="7" t="str">
        <f>TEXT(OrganizedData[[#This Row],[Order Date]],"mmm")</f>
        <v>Mar</v>
      </c>
      <c r="M4652" s="2">
        <v>9</v>
      </c>
      <c r="N4652" s="2" t="s">
        <v>39</v>
      </c>
      <c r="O4652" s="2" t="str">
        <f>VLOOKUP(OrganizedData[[#This Row],[Product Code]],ProductData[[Code]:[Item]],2,FALSE)</f>
        <v>Ultrathing V1</v>
      </c>
      <c r="P4652" s="4">
        <f>OrganizedData[[#This Row],[Quantity]]*VLOOKUP(OrganizedData[[#This Row],[Product Code]],ProductData[],4,FALSE)</f>
        <v>153</v>
      </c>
      <c r="Q4652" s="6">
        <f>OrganizedData[[#This Row],[Total Items Ordered]]*VLOOKUP(OrganizedData[[#This Row],[Product Code]],ProductData[],3,FALSE)</f>
        <v>273.87</v>
      </c>
      <c r="R46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4653" spans="1:18" x14ac:dyDescent="0.3">
      <c r="A4653" s="2">
        <v>4646</v>
      </c>
      <c r="B4653" s="2" t="s">
        <v>4185</v>
      </c>
      <c r="C4653" s="2" t="s">
        <v>9995</v>
      </c>
      <c r="D4653" s="2" t="s">
        <v>28</v>
      </c>
      <c r="E4653" s="2" t="s">
        <v>29</v>
      </c>
      <c r="F4653" s="2">
        <v>60</v>
      </c>
      <c r="G4653" s="2" t="s">
        <v>9996</v>
      </c>
      <c r="H4653" s="2" t="s">
        <v>6293</v>
      </c>
      <c r="I4653" s="2" t="s">
        <v>32</v>
      </c>
      <c r="J4653" s="3">
        <v>44465</v>
      </c>
      <c r="K4653" s="5">
        <f>YEAR(OrganizedData[[#This Row],[Order Date]])</f>
        <v>2021</v>
      </c>
      <c r="L4653" s="7" t="str">
        <f>TEXT(OrganizedData[[#This Row],[Order Date]],"mmm")</f>
        <v>Sep</v>
      </c>
      <c r="M4653" s="2">
        <v>68</v>
      </c>
      <c r="N4653" s="2" t="s">
        <v>33</v>
      </c>
      <c r="O4653" s="2" t="str">
        <f>VLOOKUP(OrganizedData[[#This Row],[Product Code]],ProductData[[Code]:[Item]],2,FALSE)</f>
        <v>Megawidget L</v>
      </c>
      <c r="P4653" s="4">
        <f>OrganizedData[[#This Row],[Quantity]]*VLOOKUP(OrganizedData[[#This Row],[Product Code]],ProductData[],4,FALSE)</f>
        <v>1632</v>
      </c>
      <c r="Q4653" s="6">
        <f>OrganizedData[[#This Row],[Total Items Ordered]]*VLOOKUP(OrganizedData[[#This Row],[Product Code]],ProductData[],3,FALSE)</f>
        <v>2921.28</v>
      </c>
      <c r="R46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2775.2159999999999</v>
      </c>
    </row>
    <row r="4654" spans="1:18" x14ac:dyDescent="0.3">
      <c r="A4654" s="2">
        <v>4647</v>
      </c>
      <c r="B4654" s="2" t="s">
        <v>9997</v>
      </c>
      <c r="C4654" s="2" t="s">
        <v>4858</v>
      </c>
      <c r="D4654" s="2" t="s">
        <v>51</v>
      </c>
      <c r="E4654" s="2" t="s">
        <v>16</v>
      </c>
      <c r="F4654" s="2">
        <v>60</v>
      </c>
      <c r="G4654" s="2" t="s">
        <v>9998</v>
      </c>
      <c r="H4654" s="2" t="s">
        <v>7140</v>
      </c>
      <c r="I4654" s="2" t="s">
        <v>294</v>
      </c>
      <c r="J4654" s="3">
        <v>44526</v>
      </c>
      <c r="K4654" s="5">
        <f>YEAR(OrganizedData[[#This Row],[Order Date]])</f>
        <v>2021</v>
      </c>
      <c r="L4654" s="7" t="str">
        <f>TEXT(OrganizedData[[#This Row],[Order Date]],"mmm")</f>
        <v>Nov</v>
      </c>
      <c r="M4654" s="2">
        <v>80</v>
      </c>
      <c r="N4654" s="2" t="s">
        <v>33</v>
      </c>
      <c r="O4654" s="2" t="str">
        <f>VLOOKUP(OrganizedData[[#This Row],[Product Code]],ProductData[[Code]:[Item]],2,FALSE)</f>
        <v>Megawidget L</v>
      </c>
      <c r="P4654" s="4">
        <f>OrganizedData[[#This Row],[Quantity]]*VLOOKUP(OrganizedData[[#This Row],[Product Code]],ProductData[],4,FALSE)</f>
        <v>1920</v>
      </c>
      <c r="Q4654" s="6">
        <f>OrganizedData[[#This Row],[Total Items Ordered]]*VLOOKUP(OrganizedData[[#This Row],[Product Code]],ProductData[],3,FALSE)</f>
        <v>3436.8</v>
      </c>
      <c r="R46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3264.96</v>
      </c>
    </row>
    <row r="4655" spans="1:18" x14ac:dyDescent="0.3">
      <c r="A4655" s="2">
        <v>4648</v>
      </c>
      <c r="B4655" s="2" t="s">
        <v>9999</v>
      </c>
      <c r="C4655" s="2" t="s">
        <v>6798</v>
      </c>
      <c r="D4655" s="2" t="s">
        <v>28</v>
      </c>
      <c r="E4655" s="2" t="s">
        <v>29</v>
      </c>
      <c r="F4655" s="2">
        <v>60</v>
      </c>
      <c r="G4655" s="2" t="s">
        <v>10000</v>
      </c>
      <c r="H4655" s="2" t="s">
        <v>1077</v>
      </c>
      <c r="I4655" s="2" t="s">
        <v>1078</v>
      </c>
      <c r="J4655" s="3">
        <v>44064</v>
      </c>
      <c r="K4655" s="5">
        <f>YEAR(OrganizedData[[#This Row],[Order Date]])</f>
        <v>2020</v>
      </c>
      <c r="L4655" s="7" t="str">
        <f>TEXT(OrganizedData[[#This Row],[Order Date]],"mmm")</f>
        <v>Aug</v>
      </c>
      <c r="M4655" s="2">
        <v>47</v>
      </c>
      <c r="N4655" s="2" t="s">
        <v>70</v>
      </c>
      <c r="O4655" s="2" t="str">
        <f>VLOOKUP(OrganizedData[[#This Row],[Product Code]],ProductData[[Code]:[Item]],2,FALSE)</f>
        <v>Megawidget M</v>
      </c>
      <c r="P4655" s="4">
        <f>OrganizedData[[#This Row],[Quantity]]*VLOOKUP(OrganizedData[[#This Row],[Product Code]],ProductData[],4,FALSE)</f>
        <v>1128</v>
      </c>
      <c r="Q4655" s="6">
        <f>OrganizedData[[#This Row],[Total Items Ordered]]*VLOOKUP(OrganizedData[[#This Row],[Product Code]],ProductData[],3,FALSE)</f>
        <v>1455.1200000000001</v>
      </c>
      <c r="R46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4656" spans="1:18" x14ac:dyDescent="0.3">
      <c r="A4656" s="2">
        <v>4649</v>
      </c>
      <c r="B4656" s="2" t="s">
        <v>10001</v>
      </c>
      <c r="C4656" s="2" t="s">
        <v>9225</v>
      </c>
      <c r="D4656" s="2" t="s">
        <v>41</v>
      </c>
      <c r="E4656" s="2" t="s">
        <v>16</v>
      </c>
      <c r="F4656" s="2">
        <v>30</v>
      </c>
      <c r="G4656" s="2" t="s">
        <v>10002</v>
      </c>
      <c r="H4656" s="2" t="s">
        <v>3284</v>
      </c>
      <c r="I4656" s="2" t="s">
        <v>32</v>
      </c>
      <c r="J4656" s="3">
        <v>44560</v>
      </c>
      <c r="K4656" s="5">
        <f>YEAR(OrganizedData[[#This Row],[Order Date]])</f>
        <v>2021</v>
      </c>
      <c r="L4656" s="7" t="str">
        <f>TEXT(OrganizedData[[#This Row],[Order Date]],"mmm")</f>
        <v>Dec</v>
      </c>
      <c r="M4656" s="2">
        <v>8</v>
      </c>
      <c r="N4656" s="2" t="s">
        <v>64</v>
      </c>
      <c r="O4656" s="2" t="str">
        <f>VLOOKUP(OrganizedData[[#This Row],[Product Code]],ProductData[[Code]:[Item]],2,FALSE)</f>
        <v>Ultrathing V4</v>
      </c>
      <c r="P4656" s="4">
        <f>OrganizedData[[#This Row],[Quantity]]*VLOOKUP(OrganizedData[[#This Row],[Product Code]],ProductData[],4,FALSE)</f>
        <v>192</v>
      </c>
      <c r="Q4656" s="6">
        <f>OrganizedData[[#This Row],[Total Items Ordered]]*VLOOKUP(OrganizedData[[#This Row],[Product Code]],ProductData[],3,FALSE)</f>
        <v>766.08</v>
      </c>
      <c r="R46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766.08</v>
      </c>
    </row>
    <row r="4657" spans="1:18" x14ac:dyDescent="0.3">
      <c r="A4657" s="2">
        <v>4650</v>
      </c>
      <c r="B4657" s="2" t="s">
        <v>3021</v>
      </c>
      <c r="C4657" s="2" t="s">
        <v>7231</v>
      </c>
      <c r="D4657" s="2" t="s">
        <v>28</v>
      </c>
      <c r="E4657" s="2" t="s">
        <v>29</v>
      </c>
      <c r="F4657" s="2">
        <v>30</v>
      </c>
      <c r="G4657" s="2" t="s">
        <v>10003</v>
      </c>
      <c r="H4657" s="2" t="s">
        <v>5399</v>
      </c>
      <c r="I4657" s="2" t="s">
        <v>32</v>
      </c>
      <c r="J4657" s="3">
        <v>44548</v>
      </c>
      <c r="K4657" s="5">
        <f>YEAR(OrganizedData[[#This Row],[Order Date]])</f>
        <v>2021</v>
      </c>
      <c r="L4657" s="7" t="str">
        <f>TEXT(OrganizedData[[#This Row],[Order Date]],"mmm")</f>
        <v>Dec</v>
      </c>
      <c r="M4657" s="2">
        <v>95</v>
      </c>
      <c r="N4657" s="2" t="s">
        <v>80</v>
      </c>
      <c r="O4657" s="2" t="str">
        <f>VLOOKUP(OrganizedData[[#This Row],[Product Code]],ProductData[[Code]:[Item]],2,FALSE)</f>
        <v>Ultrathing V2</v>
      </c>
      <c r="P4657" s="4">
        <f>OrganizedData[[#This Row],[Quantity]]*VLOOKUP(OrganizedData[[#This Row],[Product Code]],ProductData[],4,FALSE)</f>
        <v>1900</v>
      </c>
      <c r="Q4657" s="6">
        <f>OrganizedData[[#This Row],[Total Items Ordered]]*VLOOKUP(OrganizedData[[#This Row],[Product Code]],ProductData[],3,FALSE)</f>
        <v>5605</v>
      </c>
      <c r="R46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5324.75</v>
      </c>
    </row>
    <row r="4658" spans="1:18" x14ac:dyDescent="0.3">
      <c r="A4658" s="2">
        <v>4651</v>
      </c>
      <c r="B4658" s="2" t="s">
        <v>380</v>
      </c>
      <c r="C4658" s="2" t="s">
        <v>1075</v>
      </c>
      <c r="D4658" s="2" t="s">
        <v>28</v>
      </c>
      <c r="E4658" s="2" t="s">
        <v>29</v>
      </c>
      <c r="F4658" s="2">
        <v>60</v>
      </c>
      <c r="G4658" s="2" t="s">
        <v>10004</v>
      </c>
      <c r="H4658" s="2" t="s">
        <v>1526</v>
      </c>
      <c r="I4658" s="2" t="s">
        <v>173</v>
      </c>
      <c r="J4658" s="3">
        <v>44180</v>
      </c>
      <c r="K4658" s="5">
        <f>YEAR(OrganizedData[[#This Row],[Order Date]])</f>
        <v>2020</v>
      </c>
      <c r="L4658" s="7" t="str">
        <f>TEXT(OrganizedData[[#This Row],[Order Date]],"mmm")</f>
        <v>Dec</v>
      </c>
      <c r="M4658" s="2">
        <v>3</v>
      </c>
      <c r="N4658" s="2" t="s">
        <v>80</v>
      </c>
      <c r="O4658" s="2" t="str">
        <f>VLOOKUP(OrganizedData[[#This Row],[Product Code]],ProductData[[Code]:[Item]],2,FALSE)</f>
        <v>Ultrathing V2</v>
      </c>
      <c r="P4658" s="4">
        <f>OrganizedData[[#This Row],[Quantity]]*VLOOKUP(OrganizedData[[#This Row],[Product Code]],ProductData[],4,FALSE)</f>
        <v>60</v>
      </c>
      <c r="Q4658" s="6">
        <f>OrganizedData[[#This Row],[Total Items Ordered]]*VLOOKUP(OrganizedData[[#This Row],[Product Code]],ProductData[],3,FALSE)</f>
        <v>177</v>
      </c>
      <c r="R46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177</v>
      </c>
    </row>
    <row r="4659" spans="1:18" x14ac:dyDescent="0.3">
      <c r="A4659" s="2">
        <v>4652</v>
      </c>
      <c r="B4659" s="2" t="s">
        <v>10005</v>
      </c>
      <c r="C4659" s="2" t="s">
        <v>3600</v>
      </c>
      <c r="D4659" s="2" t="s">
        <v>51</v>
      </c>
      <c r="E4659" s="2" t="s">
        <v>16</v>
      </c>
      <c r="F4659" s="2">
        <v>30</v>
      </c>
      <c r="G4659" s="2" t="s">
        <v>10006</v>
      </c>
      <c r="H4659" s="2" t="s">
        <v>412</v>
      </c>
      <c r="I4659" s="2" t="s">
        <v>187</v>
      </c>
      <c r="J4659" s="3">
        <v>44558</v>
      </c>
      <c r="K4659" s="5">
        <f>YEAR(OrganizedData[[#This Row],[Order Date]])</f>
        <v>2021</v>
      </c>
      <c r="L4659" s="7" t="str">
        <f>TEXT(OrganizedData[[#This Row],[Order Date]],"mmm")</f>
        <v>Dec</v>
      </c>
      <c r="M4659" s="2">
        <v>86</v>
      </c>
      <c r="N4659" s="2" t="s">
        <v>33</v>
      </c>
      <c r="O4659" s="2" t="str">
        <f>VLOOKUP(OrganizedData[[#This Row],[Product Code]],ProductData[[Code]:[Item]],2,FALSE)</f>
        <v>Megawidget L</v>
      </c>
      <c r="P4659" s="4">
        <f>OrganizedData[[#This Row],[Quantity]]*VLOOKUP(OrganizedData[[#This Row],[Product Code]],ProductData[],4,FALSE)</f>
        <v>2064</v>
      </c>
      <c r="Q4659" s="6">
        <f>OrganizedData[[#This Row],[Total Items Ordered]]*VLOOKUP(OrganizedData[[#This Row],[Product Code]],ProductData[],3,FALSE)</f>
        <v>3694.56</v>
      </c>
      <c r="R46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3509.8319999999999</v>
      </c>
    </row>
    <row r="4660" spans="1:18" x14ac:dyDescent="0.3">
      <c r="A4660" s="2">
        <v>4653</v>
      </c>
      <c r="B4660" s="2" t="s">
        <v>10007</v>
      </c>
      <c r="C4660" s="2" t="s">
        <v>1749</v>
      </c>
      <c r="D4660" s="2" t="s">
        <v>51</v>
      </c>
      <c r="E4660" s="2" t="s">
        <v>16</v>
      </c>
      <c r="F4660" s="2">
        <v>90</v>
      </c>
      <c r="G4660" s="2" t="s">
        <v>10008</v>
      </c>
      <c r="H4660" s="2" t="s">
        <v>6377</v>
      </c>
      <c r="I4660" s="2" t="s">
        <v>164</v>
      </c>
      <c r="J4660" s="3">
        <v>44342</v>
      </c>
      <c r="K4660" s="5">
        <f>YEAR(OrganizedData[[#This Row],[Order Date]])</f>
        <v>2021</v>
      </c>
      <c r="L4660" s="7" t="str">
        <f>TEXT(OrganizedData[[#This Row],[Order Date]],"mmm")</f>
        <v>May</v>
      </c>
      <c r="M4660" s="2">
        <v>46</v>
      </c>
      <c r="N4660" s="2" t="s">
        <v>70</v>
      </c>
      <c r="O4660" s="2" t="str">
        <f>VLOOKUP(OrganizedData[[#This Row],[Product Code]],ProductData[[Code]:[Item]],2,FALSE)</f>
        <v>Megawidget M</v>
      </c>
      <c r="P4660" s="4">
        <f>OrganizedData[[#This Row],[Quantity]]*VLOOKUP(OrganizedData[[#This Row],[Product Code]],ProductData[],4,FALSE)</f>
        <v>1104</v>
      </c>
      <c r="Q4660" s="6">
        <f>OrganizedData[[#This Row],[Total Items Ordered]]*VLOOKUP(OrganizedData[[#This Row],[Product Code]],ProductData[],3,FALSE)</f>
        <v>1424.16</v>
      </c>
      <c r="R46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4661" spans="1:18" x14ac:dyDescent="0.3">
      <c r="A4661" s="2">
        <v>4654</v>
      </c>
      <c r="B4661" s="2" t="s">
        <v>10009</v>
      </c>
      <c r="C4661" s="2" t="s">
        <v>3173</v>
      </c>
      <c r="D4661" s="2" t="s">
        <v>15</v>
      </c>
      <c r="E4661" s="2" t="s">
        <v>16</v>
      </c>
      <c r="F4661" s="2">
        <v>30</v>
      </c>
      <c r="G4661" s="2" t="s">
        <v>10010</v>
      </c>
      <c r="H4661" s="2" t="s">
        <v>4299</v>
      </c>
      <c r="I4661" s="2" t="s">
        <v>32</v>
      </c>
      <c r="J4661" s="3">
        <v>44324</v>
      </c>
      <c r="K4661" s="5">
        <f>YEAR(OrganizedData[[#This Row],[Order Date]])</f>
        <v>2021</v>
      </c>
      <c r="L4661" s="7" t="str">
        <f>TEXT(OrganizedData[[#This Row],[Order Date]],"mmm")</f>
        <v>May</v>
      </c>
      <c r="M4661" s="2">
        <v>94</v>
      </c>
      <c r="N4661" s="2" t="s">
        <v>20</v>
      </c>
      <c r="O4661" s="2" t="str">
        <f>VLOOKUP(OrganizedData[[#This Row],[Product Code]],ProductData[[Code]:[Item]],2,FALSE)</f>
        <v>Hyperwotsit</v>
      </c>
      <c r="P4661" s="4">
        <f>OrganizedData[[#This Row],[Quantity]]*VLOOKUP(OrganizedData[[#This Row],[Product Code]],ProductData[],4,FALSE)</f>
        <v>1880</v>
      </c>
      <c r="Q4661" s="6">
        <f>OrganizedData[[#This Row],[Total Items Ordered]]*VLOOKUP(OrganizedData[[#This Row],[Product Code]],ProductData[],3,FALSE)</f>
        <v>3778.7999999999997</v>
      </c>
      <c r="R46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3589.8599999999997</v>
      </c>
    </row>
    <row r="4662" spans="1:18" x14ac:dyDescent="0.3">
      <c r="A4662" s="2">
        <v>4655</v>
      </c>
      <c r="B4662" s="2" t="s">
        <v>222</v>
      </c>
      <c r="C4662" s="2" t="s">
        <v>3824</v>
      </c>
      <c r="D4662" s="2" t="s">
        <v>28</v>
      </c>
      <c r="E4662" s="2" t="s">
        <v>29</v>
      </c>
      <c r="F4662" s="2">
        <v>30</v>
      </c>
      <c r="G4662" s="2" t="s">
        <v>10012</v>
      </c>
      <c r="H4662" s="2" t="s">
        <v>48</v>
      </c>
      <c r="I4662" s="2" t="s">
        <v>25</v>
      </c>
      <c r="J4662" s="3">
        <v>44861</v>
      </c>
      <c r="K4662" s="5">
        <f>YEAR(OrganizedData[[#This Row],[Order Date]])</f>
        <v>2022</v>
      </c>
      <c r="L4662" s="7" t="str">
        <f>TEXT(OrganizedData[[#This Row],[Order Date]],"mmm")</f>
        <v>Oct</v>
      </c>
      <c r="M4662" s="2">
        <v>51</v>
      </c>
      <c r="N4662" s="2" t="s">
        <v>159</v>
      </c>
      <c r="O4662" s="2" t="str">
        <f>VLOOKUP(OrganizedData[[#This Row],[Product Code]],ProductData[[Code]:[Item]],2,FALSE)</f>
        <v>Ultrathing V3</v>
      </c>
      <c r="P4662" s="4">
        <f>OrganizedData[[#This Row],[Quantity]]*VLOOKUP(OrganizedData[[#This Row],[Product Code]],ProductData[],4,FALSE)</f>
        <v>1224</v>
      </c>
      <c r="Q4662" s="6">
        <f>OrganizedData[[#This Row],[Total Items Ordered]]*VLOOKUP(OrganizedData[[#This Row],[Product Code]],ProductData[],3,FALSE)</f>
        <v>4149.3600000000006</v>
      </c>
      <c r="R46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3941.8920000000003</v>
      </c>
    </row>
    <row r="4663" spans="1:18" x14ac:dyDescent="0.3">
      <c r="A4663" s="2">
        <v>4656</v>
      </c>
      <c r="B4663" s="2" t="s">
        <v>2782</v>
      </c>
      <c r="C4663" s="2" t="s">
        <v>2195</v>
      </c>
      <c r="D4663" s="2" t="s">
        <v>51</v>
      </c>
      <c r="E4663" s="2" t="s">
        <v>16</v>
      </c>
      <c r="F4663" s="2">
        <v>60</v>
      </c>
      <c r="G4663" s="2" t="s">
        <v>10013</v>
      </c>
      <c r="H4663" s="2" t="s">
        <v>4085</v>
      </c>
      <c r="I4663" s="2" t="s">
        <v>240</v>
      </c>
      <c r="J4663" s="3">
        <v>44889</v>
      </c>
      <c r="K4663" s="5">
        <f>YEAR(OrganizedData[[#This Row],[Order Date]])</f>
        <v>2022</v>
      </c>
      <c r="L4663" s="7" t="str">
        <f>TEXT(OrganizedData[[#This Row],[Order Date]],"mmm")</f>
        <v>Nov</v>
      </c>
      <c r="M4663" s="2">
        <v>79</v>
      </c>
      <c r="N4663" s="2" t="s">
        <v>54</v>
      </c>
      <c r="O4663" s="2" t="str">
        <f>VLOOKUP(OrganizedData[[#This Row],[Product Code]],ProductData[[Code]:[Item]],2,FALSE)</f>
        <v>Megawidget S</v>
      </c>
      <c r="P4663" s="4">
        <f>OrganizedData[[#This Row],[Quantity]]*VLOOKUP(OrganizedData[[#This Row],[Product Code]],ProductData[],4,FALSE)</f>
        <v>1896</v>
      </c>
      <c r="Q4663" s="6">
        <f>OrganizedData[[#This Row],[Total Items Ordered]]*VLOOKUP(OrganizedData[[#This Row],[Product Code]],ProductData[],3,FALSE)</f>
        <v>1308.24</v>
      </c>
      <c r="R46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1242.828</v>
      </c>
    </row>
    <row r="4664" spans="1:18" x14ac:dyDescent="0.3">
      <c r="A4664" s="2">
        <v>4657</v>
      </c>
      <c r="B4664" s="2" t="s">
        <v>9445</v>
      </c>
      <c r="C4664" s="2" t="s">
        <v>72</v>
      </c>
      <c r="D4664" s="2" t="s">
        <v>15</v>
      </c>
      <c r="E4664" s="2" t="s">
        <v>16</v>
      </c>
      <c r="F4664" s="2">
        <v>30</v>
      </c>
      <c r="G4664" s="2" t="s">
        <v>10014</v>
      </c>
      <c r="H4664" s="2" t="s">
        <v>5581</v>
      </c>
      <c r="I4664" s="2" t="s">
        <v>187</v>
      </c>
      <c r="J4664" s="3">
        <v>44152</v>
      </c>
      <c r="K4664" s="5">
        <f>YEAR(OrganizedData[[#This Row],[Order Date]])</f>
        <v>2020</v>
      </c>
      <c r="L4664" s="7" t="str">
        <f>TEXT(OrganizedData[[#This Row],[Order Date]],"mmm")</f>
        <v>Nov</v>
      </c>
      <c r="M4664" s="2">
        <v>4</v>
      </c>
      <c r="N4664" s="2" t="s">
        <v>45</v>
      </c>
      <c r="O4664" s="2" t="str">
        <f>VLOOKUP(OrganizedData[[#This Row],[Product Code]],ProductData[[Code]:[Item]],2,FALSE)</f>
        <v>Gigastuff</v>
      </c>
      <c r="P4664" s="4">
        <f>OrganizedData[[#This Row],[Quantity]]*VLOOKUP(OrganizedData[[#This Row],[Product Code]],ProductData[],4,FALSE)</f>
        <v>72</v>
      </c>
      <c r="Q4664" s="6">
        <f>OrganizedData[[#This Row],[Total Items Ordered]]*VLOOKUP(OrganizedData[[#This Row],[Product Code]],ProductData[],3,FALSE)</f>
        <v>136.07999999999998</v>
      </c>
      <c r="R46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136.07999999999998</v>
      </c>
    </row>
    <row r="4665" spans="1:18" x14ac:dyDescent="0.3">
      <c r="A4665" s="2">
        <v>4658</v>
      </c>
      <c r="B4665" s="2" t="s">
        <v>2699</v>
      </c>
      <c r="C4665" s="2" t="s">
        <v>4495</v>
      </c>
      <c r="D4665" s="2" t="s">
        <v>28</v>
      </c>
      <c r="E4665" s="2" t="s">
        <v>29</v>
      </c>
      <c r="F4665" s="2">
        <v>60</v>
      </c>
      <c r="G4665" s="2" t="s">
        <v>10015</v>
      </c>
      <c r="H4665" s="2" t="s">
        <v>1927</v>
      </c>
      <c r="I4665" s="2" t="s">
        <v>100</v>
      </c>
      <c r="J4665" s="3">
        <v>44801</v>
      </c>
      <c r="K4665" s="5">
        <f>YEAR(OrganizedData[[#This Row],[Order Date]])</f>
        <v>2022</v>
      </c>
      <c r="L4665" s="7" t="str">
        <f>TEXT(OrganizedData[[#This Row],[Order Date]],"mmm")</f>
        <v>Aug</v>
      </c>
      <c r="M4665" s="2">
        <v>26</v>
      </c>
      <c r="N4665" s="2" t="s">
        <v>80</v>
      </c>
      <c r="O4665" s="2" t="str">
        <f>VLOOKUP(OrganizedData[[#This Row],[Product Code]],ProductData[[Code]:[Item]],2,FALSE)</f>
        <v>Ultrathing V2</v>
      </c>
      <c r="P4665" s="4">
        <f>OrganizedData[[#This Row],[Quantity]]*VLOOKUP(OrganizedData[[#This Row],[Product Code]],ProductData[],4,FALSE)</f>
        <v>520</v>
      </c>
      <c r="Q4665" s="6">
        <f>OrganizedData[[#This Row],[Total Items Ordered]]*VLOOKUP(OrganizedData[[#This Row],[Product Code]],ProductData[],3,FALSE)</f>
        <v>1534</v>
      </c>
      <c r="R46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1487.98</v>
      </c>
    </row>
    <row r="4666" spans="1:18" x14ac:dyDescent="0.3">
      <c r="A4666" s="2">
        <v>4659</v>
      </c>
      <c r="B4666" s="2" t="s">
        <v>1644</v>
      </c>
      <c r="C4666" s="2" t="s">
        <v>418</v>
      </c>
      <c r="D4666" s="2" t="s">
        <v>15</v>
      </c>
      <c r="E4666" s="2" t="s">
        <v>16</v>
      </c>
      <c r="F4666" s="2">
        <v>90</v>
      </c>
      <c r="G4666" s="2" t="s">
        <v>10016</v>
      </c>
      <c r="H4666" s="2" t="s">
        <v>4028</v>
      </c>
      <c r="I4666" s="2" t="s">
        <v>32</v>
      </c>
      <c r="J4666" s="3">
        <v>44097</v>
      </c>
      <c r="K4666" s="5">
        <f>YEAR(OrganizedData[[#This Row],[Order Date]])</f>
        <v>2020</v>
      </c>
      <c r="L4666" s="7" t="str">
        <f>TEXT(OrganizedData[[#This Row],[Order Date]],"mmm")</f>
        <v>Sep</v>
      </c>
      <c r="M4666" s="2">
        <v>65</v>
      </c>
      <c r="N4666" s="2" t="s">
        <v>101</v>
      </c>
      <c r="O4666" s="2" t="str">
        <f>VLOOKUP(OrganizedData[[#This Row],[Product Code]],ProductData[[Code]:[Item]],2,FALSE)</f>
        <v>Superwossname</v>
      </c>
      <c r="P4666" s="4">
        <f>OrganizedData[[#This Row],[Quantity]]*VLOOKUP(OrganizedData[[#This Row],[Product Code]],ProductData[],4,FALSE)</f>
        <v>1300</v>
      </c>
      <c r="Q4666" s="6">
        <f>OrganizedData[[#This Row],[Total Items Ordered]]*VLOOKUP(OrganizedData[[#This Row],[Product Code]],ProductData[],3,FALSE)</f>
        <v>4537</v>
      </c>
      <c r="R46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4310.1499999999996</v>
      </c>
    </row>
    <row r="4667" spans="1:18" x14ac:dyDescent="0.3">
      <c r="A4667" s="2">
        <v>4660</v>
      </c>
      <c r="B4667" s="2" t="s">
        <v>10017</v>
      </c>
      <c r="C4667" s="2" t="s">
        <v>3612</v>
      </c>
      <c r="D4667" s="2" t="s">
        <v>41</v>
      </c>
      <c r="E4667" s="2" t="s">
        <v>16</v>
      </c>
      <c r="F4667" s="2">
        <v>90</v>
      </c>
      <c r="G4667" s="2" t="s">
        <v>10018</v>
      </c>
      <c r="H4667" s="2" t="s">
        <v>4678</v>
      </c>
      <c r="I4667" s="2" t="s">
        <v>886</v>
      </c>
      <c r="J4667" s="3">
        <v>44613</v>
      </c>
      <c r="K4667" s="5">
        <f>YEAR(OrganizedData[[#This Row],[Order Date]])</f>
        <v>2022</v>
      </c>
      <c r="L4667" s="7" t="str">
        <f>TEXT(OrganizedData[[#This Row],[Order Date]],"mmm")</f>
        <v>Feb</v>
      </c>
      <c r="M4667" s="2">
        <v>22</v>
      </c>
      <c r="N4667" s="2" t="s">
        <v>101</v>
      </c>
      <c r="O4667" s="2" t="str">
        <f>VLOOKUP(OrganizedData[[#This Row],[Product Code]],ProductData[[Code]:[Item]],2,FALSE)</f>
        <v>Superwossname</v>
      </c>
      <c r="P4667" s="4">
        <f>OrganizedData[[#This Row],[Quantity]]*VLOOKUP(OrganizedData[[#This Row],[Product Code]],ProductData[],4,FALSE)</f>
        <v>440</v>
      </c>
      <c r="Q4667" s="6">
        <f>OrganizedData[[#This Row],[Total Items Ordered]]*VLOOKUP(OrganizedData[[#This Row],[Product Code]],ProductData[],3,FALSE)</f>
        <v>1535.6000000000001</v>
      </c>
      <c r="R46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1489.5320000000002</v>
      </c>
    </row>
    <row r="4668" spans="1:18" x14ac:dyDescent="0.3">
      <c r="A4668" s="2">
        <v>4661</v>
      </c>
      <c r="B4668" s="2" t="s">
        <v>2295</v>
      </c>
      <c r="C4668" s="2" t="s">
        <v>4722</v>
      </c>
      <c r="D4668" s="2" t="s">
        <v>15</v>
      </c>
      <c r="E4668" s="2" t="s">
        <v>16</v>
      </c>
      <c r="F4668" s="2">
        <v>90</v>
      </c>
      <c r="G4668" s="2" t="s">
        <v>10019</v>
      </c>
      <c r="H4668" s="2" t="s">
        <v>7777</v>
      </c>
      <c r="I4668" s="2" t="s">
        <v>32</v>
      </c>
      <c r="J4668" s="3">
        <v>44199</v>
      </c>
      <c r="K4668" s="5">
        <f>YEAR(OrganizedData[[#This Row],[Order Date]])</f>
        <v>2021</v>
      </c>
      <c r="L4668" s="7" t="str">
        <f>TEXT(OrganizedData[[#This Row],[Order Date]],"mmm")</f>
        <v>Jan</v>
      </c>
      <c r="M4668" s="2">
        <v>63</v>
      </c>
      <c r="N4668" s="2" t="s">
        <v>70</v>
      </c>
      <c r="O4668" s="2" t="str">
        <f>VLOOKUP(OrganizedData[[#This Row],[Product Code]],ProductData[[Code]:[Item]],2,FALSE)</f>
        <v>Megawidget M</v>
      </c>
      <c r="P4668" s="4">
        <f>OrganizedData[[#This Row],[Quantity]]*VLOOKUP(OrganizedData[[#This Row],[Product Code]],ProductData[],4,FALSE)</f>
        <v>1512</v>
      </c>
      <c r="Q4668" s="6">
        <f>OrganizedData[[#This Row],[Total Items Ordered]]*VLOOKUP(OrganizedData[[#This Row],[Product Code]],ProductData[],3,FALSE)</f>
        <v>1950.48</v>
      </c>
      <c r="R46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1852.9559999999999</v>
      </c>
    </row>
    <row r="4669" spans="1:18" x14ac:dyDescent="0.3">
      <c r="A4669" s="2">
        <v>4662</v>
      </c>
      <c r="B4669" s="2" t="s">
        <v>4802</v>
      </c>
      <c r="C4669" s="2" t="s">
        <v>2389</v>
      </c>
      <c r="D4669" s="2" t="s">
        <v>15</v>
      </c>
      <c r="E4669" s="2" t="s">
        <v>16</v>
      </c>
      <c r="F4669" s="2">
        <v>30</v>
      </c>
      <c r="G4669" s="2" t="s">
        <v>10020</v>
      </c>
      <c r="H4669" s="2" t="s">
        <v>5167</v>
      </c>
      <c r="I4669" s="2" t="s">
        <v>32</v>
      </c>
      <c r="J4669" s="3">
        <v>44403</v>
      </c>
      <c r="K4669" s="5">
        <f>YEAR(OrganizedData[[#This Row],[Order Date]])</f>
        <v>2021</v>
      </c>
      <c r="L4669" s="7" t="str">
        <f>TEXT(OrganizedData[[#This Row],[Order Date]],"mmm")</f>
        <v>Jul</v>
      </c>
      <c r="M4669" s="2">
        <v>66</v>
      </c>
      <c r="N4669" s="2" t="s">
        <v>39</v>
      </c>
      <c r="O4669" s="2" t="str">
        <f>VLOOKUP(OrganizedData[[#This Row],[Product Code]],ProductData[[Code]:[Item]],2,FALSE)</f>
        <v>Ultrathing V1</v>
      </c>
      <c r="P4669" s="4">
        <f>OrganizedData[[#This Row],[Quantity]]*VLOOKUP(OrganizedData[[#This Row],[Product Code]],ProductData[],4,FALSE)</f>
        <v>1122</v>
      </c>
      <c r="Q4669" s="6">
        <f>OrganizedData[[#This Row],[Total Items Ordered]]*VLOOKUP(OrganizedData[[#This Row],[Product Code]],ProductData[],3,FALSE)</f>
        <v>2008.38</v>
      </c>
      <c r="R46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1907.961</v>
      </c>
    </row>
    <row r="4670" spans="1:18" x14ac:dyDescent="0.3">
      <c r="A4670" s="2">
        <v>4663</v>
      </c>
      <c r="B4670" s="2" t="s">
        <v>10021</v>
      </c>
      <c r="C4670" s="2" t="s">
        <v>2941</v>
      </c>
      <c r="D4670" s="2" t="s">
        <v>51</v>
      </c>
      <c r="E4670" s="2" t="s">
        <v>16</v>
      </c>
      <c r="F4670" s="2">
        <v>90</v>
      </c>
      <c r="G4670" s="2" t="s">
        <v>10022</v>
      </c>
      <c r="H4670" s="2" t="s">
        <v>655</v>
      </c>
      <c r="I4670" s="2" t="s">
        <v>32</v>
      </c>
      <c r="J4670" s="3">
        <v>43878</v>
      </c>
      <c r="K4670" s="5">
        <f>YEAR(OrganizedData[[#This Row],[Order Date]])</f>
        <v>2020</v>
      </c>
      <c r="L4670" s="7" t="str">
        <f>TEXT(OrganizedData[[#This Row],[Order Date]],"mmm")</f>
        <v>Feb</v>
      </c>
      <c r="M4670" s="2">
        <v>52</v>
      </c>
      <c r="N4670" s="2" t="s">
        <v>45</v>
      </c>
      <c r="O4670" s="2" t="str">
        <f>VLOOKUP(OrganizedData[[#This Row],[Product Code]],ProductData[[Code]:[Item]],2,FALSE)</f>
        <v>Gigastuff</v>
      </c>
      <c r="P4670" s="4">
        <f>OrganizedData[[#This Row],[Quantity]]*VLOOKUP(OrganizedData[[#This Row],[Product Code]],ProductData[],4,FALSE)</f>
        <v>936</v>
      </c>
      <c r="Q4670" s="6">
        <f>OrganizedData[[#This Row],[Total Items Ordered]]*VLOOKUP(OrganizedData[[#This Row],[Product Code]],ProductData[],3,FALSE)</f>
        <v>1769.04</v>
      </c>
      <c r="R46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1680.588</v>
      </c>
    </row>
    <row r="4671" spans="1:18" x14ac:dyDescent="0.3">
      <c r="A4671" s="2">
        <v>4664</v>
      </c>
      <c r="B4671" s="2" t="s">
        <v>10023</v>
      </c>
      <c r="C4671" s="2" t="s">
        <v>705</v>
      </c>
      <c r="D4671" s="2" t="s">
        <v>15</v>
      </c>
      <c r="E4671" s="2" t="s">
        <v>16</v>
      </c>
      <c r="F4671" s="2">
        <v>90</v>
      </c>
      <c r="G4671" s="2" t="s">
        <v>10024</v>
      </c>
      <c r="H4671" s="2" t="s">
        <v>3996</v>
      </c>
      <c r="I4671" s="2" t="s">
        <v>294</v>
      </c>
      <c r="J4671" s="3">
        <v>44150</v>
      </c>
      <c r="K4671" s="5">
        <f>YEAR(OrganizedData[[#This Row],[Order Date]])</f>
        <v>2020</v>
      </c>
      <c r="L4671" s="7" t="str">
        <f>TEXT(OrganizedData[[#This Row],[Order Date]],"mmm")</f>
        <v>Nov</v>
      </c>
      <c r="M4671" s="2">
        <v>63</v>
      </c>
      <c r="N4671" s="2" t="s">
        <v>33</v>
      </c>
      <c r="O4671" s="2" t="str">
        <f>VLOOKUP(OrganizedData[[#This Row],[Product Code]],ProductData[[Code]:[Item]],2,FALSE)</f>
        <v>Megawidget L</v>
      </c>
      <c r="P4671" s="4">
        <f>OrganizedData[[#This Row],[Quantity]]*VLOOKUP(OrganizedData[[#This Row],[Product Code]],ProductData[],4,FALSE)</f>
        <v>1512</v>
      </c>
      <c r="Q4671" s="6">
        <f>OrganizedData[[#This Row],[Total Items Ordered]]*VLOOKUP(OrganizedData[[#This Row],[Product Code]],ProductData[],3,FALSE)</f>
        <v>2706.48</v>
      </c>
      <c r="R46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2571.1559999999999</v>
      </c>
    </row>
    <row r="4672" spans="1:18" x14ac:dyDescent="0.3">
      <c r="A4672" s="2">
        <v>4665</v>
      </c>
      <c r="B4672" s="2" t="s">
        <v>10025</v>
      </c>
      <c r="C4672" s="2" t="s">
        <v>354</v>
      </c>
      <c r="D4672" s="2" t="s">
        <v>41</v>
      </c>
      <c r="E4672" s="2" t="s">
        <v>16</v>
      </c>
      <c r="F4672" s="2">
        <v>90</v>
      </c>
      <c r="G4672" s="2" t="s">
        <v>10026</v>
      </c>
      <c r="H4672" s="2" t="s">
        <v>3242</v>
      </c>
      <c r="I4672" s="2" t="s">
        <v>32</v>
      </c>
      <c r="J4672" s="3">
        <v>44282</v>
      </c>
      <c r="K4672" s="5">
        <f>YEAR(OrganizedData[[#This Row],[Order Date]])</f>
        <v>2021</v>
      </c>
      <c r="L4672" s="7" t="str">
        <f>TEXT(OrganizedData[[#This Row],[Order Date]],"mmm")</f>
        <v>Mar</v>
      </c>
      <c r="M4672" s="2">
        <v>90</v>
      </c>
      <c r="N4672" s="2" t="s">
        <v>39</v>
      </c>
      <c r="O4672" s="2" t="str">
        <f>VLOOKUP(OrganizedData[[#This Row],[Product Code]],ProductData[[Code]:[Item]],2,FALSE)</f>
        <v>Ultrathing V1</v>
      </c>
      <c r="P4672" s="4">
        <f>OrganizedData[[#This Row],[Quantity]]*VLOOKUP(OrganizedData[[#This Row],[Product Code]],ProductData[],4,FALSE)</f>
        <v>1530</v>
      </c>
      <c r="Q4672" s="6">
        <f>OrganizedData[[#This Row],[Total Items Ordered]]*VLOOKUP(OrganizedData[[#This Row],[Product Code]],ProductData[],3,FALSE)</f>
        <v>2738.7000000000003</v>
      </c>
      <c r="R46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2601.7650000000003</v>
      </c>
    </row>
    <row r="4673" spans="1:18" x14ac:dyDescent="0.3">
      <c r="A4673" s="2">
        <v>4666</v>
      </c>
      <c r="B4673" s="2" t="s">
        <v>2743</v>
      </c>
      <c r="C4673" s="2" t="s">
        <v>5258</v>
      </c>
      <c r="D4673" s="2" t="s">
        <v>28</v>
      </c>
      <c r="E4673" s="2" t="s">
        <v>29</v>
      </c>
      <c r="F4673" s="2">
        <v>90</v>
      </c>
      <c r="G4673" s="2" t="s">
        <v>10027</v>
      </c>
      <c r="H4673" s="2" t="s">
        <v>5316</v>
      </c>
      <c r="I4673" s="2" t="s">
        <v>25</v>
      </c>
      <c r="J4673" s="3">
        <v>44522</v>
      </c>
      <c r="K4673" s="5">
        <f>YEAR(OrganizedData[[#This Row],[Order Date]])</f>
        <v>2021</v>
      </c>
      <c r="L4673" s="7" t="str">
        <f>TEXT(OrganizedData[[#This Row],[Order Date]],"mmm")</f>
        <v>Nov</v>
      </c>
      <c r="M4673" s="2">
        <v>33</v>
      </c>
      <c r="N4673" s="2" t="s">
        <v>20</v>
      </c>
      <c r="O4673" s="2" t="str">
        <f>VLOOKUP(OrganizedData[[#This Row],[Product Code]],ProductData[[Code]:[Item]],2,FALSE)</f>
        <v>Hyperwotsit</v>
      </c>
      <c r="P4673" s="4">
        <f>OrganizedData[[#This Row],[Quantity]]*VLOOKUP(OrganizedData[[#This Row],[Product Code]],ProductData[],4,FALSE)</f>
        <v>660</v>
      </c>
      <c r="Q4673" s="6">
        <f>OrganizedData[[#This Row],[Total Items Ordered]]*VLOOKUP(OrganizedData[[#This Row],[Product Code]],ProductData[],3,FALSE)</f>
        <v>1326.6</v>
      </c>
      <c r="R46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1286.8019999999999</v>
      </c>
    </row>
    <row r="4674" spans="1:18" x14ac:dyDescent="0.3">
      <c r="A4674" s="2">
        <v>4667</v>
      </c>
      <c r="B4674" s="2" t="s">
        <v>6316</v>
      </c>
      <c r="C4674" s="2" t="s">
        <v>5674</v>
      </c>
      <c r="D4674" s="2" t="s">
        <v>51</v>
      </c>
      <c r="E4674" s="2" t="s">
        <v>16</v>
      </c>
      <c r="F4674" s="2">
        <v>60</v>
      </c>
      <c r="G4674" s="2" t="s">
        <v>10028</v>
      </c>
      <c r="H4674" s="2" t="s">
        <v>1905</v>
      </c>
      <c r="I4674" s="2" t="s">
        <v>187</v>
      </c>
      <c r="J4674" s="3">
        <v>44115</v>
      </c>
      <c r="K4674" s="5">
        <f>YEAR(OrganizedData[[#This Row],[Order Date]])</f>
        <v>2020</v>
      </c>
      <c r="L4674" s="7" t="str">
        <f>TEXT(OrganizedData[[#This Row],[Order Date]],"mmm")</f>
        <v>Oct</v>
      </c>
      <c r="M4674" s="2">
        <v>23</v>
      </c>
      <c r="N4674" s="2" t="s">
        <v>159</v>
      </c>
      <c r="O4674" s="2" t="str">
        <f>VLOOKUP(OrganizedData[[#This Row],[Product Code]],ProductData[[Code]:[Item]],2,FALSE)</f>
        <v>Ultrathing V3</v>
      </c>
      <c r="P4674" s="4">
        <f>OrganizedData[[#This Row],[Quantity]]*VLOOKUP(OrganizedData[[#This Row],[Product Code]],ProductData[],4,FALSE)</f>
        <v>552</v>
      </c>
      <c r="Q4674" s="6">
        <f>OrganizedData[[#This Row],[Total Items Ordered]]*VLOOKUP(OrganizedData[[#This Row],[Product Code]],ProductData[],3,FALSE)</f>
        <v>1871.28</v>
      </c>
      <c r="R46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1815.1415999999999</v>
      </c>
    </row>
    <row r="4675" spans="1:18" x14ac:dyDescent="0.3">
      <c r="A4675" s="2">
        <v>4668</v>
      </c>
      <c r="B4675" s="2" t="s">
        <v>8548</v>
      </c>
      <c r="C4675" s="2" t="s">
        <v>2014</v>
      </c>
      <c r="D4675" s="2" t="s">
        <v>28</v>
      </c>
      <c r="E4675" s="2" t="s">
        <v>29</v>
      </c>
      <c r="F4675" s="2">
        <v>60</v>
      </c>
      <c r="G4675" s="2" t="s">
        <v>10029</v>
      </c>
      <c r="H4675" s="2" t="s">
        <v>9389</v>
      </c>
      <c r="I4675" s="2" t="s">
        <v>32</v>
      </c>
      <c r="J4675" s="3">
        <v>44337</v>
      </c>
      <c r="K4675" s="5">
        <f>YEAR(OrganizedData[[#This Row],[Order Date]])</f>
        <v>2021</v>
      </c>
      <c r="L4675" s="7" t="str">
        <f>TEXT(OrganizedData[[#This Row],[Order Date]],"mmm")</f>
        <v>May</v>
      </c>
      <c r="M4675" s="2">
        <v>88</v>
      </c>
      <c r="N4675" s="2" t="s">
        <v>64</v>
      </c>
      <c r="O4675" s="2" t="str">
        <f>VLOOKUP(OrganizedData[[#This Row],[Product Code]],ProductData[[Code]:[Item]],2,FALSE)</f>
        <v>Ultrathing V4</v>
      </c>
      <c r="P4675" s="4">
        <f>OrganizedData[[#This Row],[Quantity]]*VLOOKUP(OrganizedData[[#This Row],[Product Code]],ProductData[],4,FALSE)</f>
        <v>2112</v>
      </c>
      <c r="Q4675" s="6">
        <f>OrganizedData[[#This Row],[Total Items Ordered]]*VLOOKUP(OrganizedData[[#This Row],[Product Code]],ProductData[],3,FALSE)</f>
        <v>8426.880000000001</v>
      </c>
      <c r="R46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8005.536000000001</v>
      </c>
    </row>
    <row r="4676" spans="1:18" x14ac:dyDescent="0.3">
      <c r="A4676" s="2">
        <v>4669</v>
      </c>
      <c r="B4676" s="2" t="s">
        <v>10030</v>
      </c>
      <c r="C4676" s="2" t="s">
        <v>5225</v>
      </c>
      <c r="D4676" s="2" t="s">
        <v>15</v>
      </c>
      <c r="E4676" s="2" t="s">
        <v>16</v>
      </c>
      <c r="F4676" s="2">
        <v>90</v>
      </c>
      <c r="G4676" s="2" t="s">
        <v>10031</v>
      </c>
      <c r="H4676" s="2" t="s">
        <v>4432</v>
      </c>
      <c r="I4676" s="2" t="s">
        <v>32</v>
      </c>
      <c r="J4676" s="3">
        <v>44021</v>
      </c>
      <c r="K4676" s="5">
        <f>YEAR(OrganizedData[[#This Row],[Order Date]])</f>
        <v>2020</v>
      </c>
      <c r="L4676" s="7" t="str">
        <f>TEXT(OrganizedData[[#This Row],[Order Date]],"mmm")</f>
        <v>Jul</v>
      </c>
      <c r="M4676" s="2">
        <v>4</v>
      </c>
      <c r="N4676" s="2" t="s">
        <v>54</v>
      </c>
      <c r="O4676" s="2" t="str">
        <f>VLOOKUP(OrganizedData[[#This Row],[Product Code]],ProductData[[Code]:[Item]],2,FALSE)</f>
        <v>Megawidget S</v>
      </c>
      <c r="P4676" s="4">
        <f>OrganizedData[[#This Row],[Quantity]]*VLOOKUP(OrganizedData[[#This Row],[Product Code]],ProductData[],4,FALSE)</f>
        <v>96</v>
      </c>
      <c r="Q4676" s="6">
        <f>OrganizedData[[#This Row],[Total Items Ordered]]*VLOOKUP(OrganizedData[[#This Row],[Product Code]],ProductData[],3,FALSE)</f>
        <v>66.239999999999995</v>
      </c>
      <c r="R46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66.239999999999995</v>
      </c>
    </row>
    <row r="4677" spans="1:18" x14ac:dyDescent="0.3">
      <c r="A4677" s="2">
        <v>4670</v>
      </c>
      <c r="B4677" s="2" t="s">
        <v>869</v>
      </c>
      <c r="C4677" s="2" t="s">
        <v>696</v>
      </c>
      <c r="D4677" s="2" t="s">
        <v>28</v>
      </c>
      <c r="E4677" s="2" t="s">
        <v>29</v>
      </c>
      <c r="F4677" s="2">
        <v>90</v>
      </c>
      <c r="G4677" s="2" t="s">
        <v>10032</v>
      </c>
      <c r="H4677" s="2" t="s">
        <v>1523</v>
      </c>
      <c r="I4677" s="2" t="s">
        <v>32</v>
      </c>
      <c r="J4677" s="3">
        <v>44254</v>
      </c>
      <c r="K4677" s="5">
        <f>YEAR(OrganizedData[[#This Row],[Order Date]])</f>
        <v>2021</v>
      </c>
      <c r="L4677" s="7" t="str">
        <f>TEXT(OrganizedData[[#This Row],[Order Date]],"mmm")</f>
        <v>Feb</v>
      </c>
      <c r="M4677" s="2">
        <v>21</v>
      </c>
      <c r="N4677" s="2" t="s">
        <v>45</v>
      </c>
      <c r="O4677" s="2" t="str">
        <f>VLOOKUP(OrganizedData[[#This Row],[Product Code]],ProductData[[Code]:[Item]],2,FALSE)</f>
        <v>Gigastuff</v>
      </c>
      <c r="P4677" s="4">
        <f>OrganizedData[[#This Row],[Quantity]]*VLOOKUP(OrganizedData[[#This Row],[Product Code]],ProductData[],4,FALSE)</f>
        <v>378</v>
      </c>
      <c r="Q4677" s="6">
        <f>OrganizedData[[#This Row],[Total Items Ordered]]*VLOOKUP(OrganizedData[[#This Row],[Product Code]],ProductData[],3,FALSE)</f>
        <v>714.42</v>
      </c>
      <c r="R46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692.98739999999998</v>
      </c>
    </row>
    <row r="4678" spans="1:18" x14ac:dyDescent="0.3">
      <c r="A4678" s="2">
        <v>4671</v>
      </c>
      <c r="B4678" s="2" t="s">
        <v>9085</v>
      </c>
      <c r="C4678" s="2" t="s">
        <v>4018</v>
      </c>
      <c r="D4678" s="2" t="s">
        <v>51</v>
      </c>
      <c r="E4678" s="2" t="s">
        <v>16</v>
      </c>
      <c r="F4678" s="2">
        <v>60</v>
      </c>
      <c r="G4678" s="2" t="s">
        <v>10033</v>
      </c>
      <c r="H4678" s="2" t="s">
        <v>5301</v>
      </c>
      <c r="I4678" s="2" t="s">
        <v>173</v>
      </c>
      <c r="J4678" s="3">
        <v>43852</v>
      </c>
      <c r="K4678" s="5">
        <f>YEAR(OrganizedData[[#This Row],[Order Date]])</f>
        <v>2020</v>
      </c>
      <c r="L4678" s="7" t="str">
        <f>TEXT(OrganizedData[[#This Row],[Order Date]],"mmm")</f>
        <v>Jan</v>
      </c>
      <c r="M4678" s="2">
        <v>42</v>
      </c>
      <c r="N4678" s="2" t="s">
        <v>33</v>
      </c>
      <c r="O4678" s="2" t="str">
        <f>VLOOKUP(OrganizedData[[#This Row],[Product Code]],ProductData[[Code]:[Item]],2,FALSE)</f>
        <v>Megawidget L</v>
      </c>
      <c r="P4678" s="4">
        <f>OrganizedData[[#This Row],[Quantity]]*VLOOKUP(OrganizedData[[#This Row],[Product Code]],ProductData[],4,FALSE)</f>
        <v>1008</v>
      </c>
      <c r="Q4678" s="6">
        <f>OrganizedData[[#This Row],[Total Items Ordered]]*VLOOKUP(OrganizedData[[#This Row],[Product Code]],ProductData[],3,FALSE)</f>
        <v>1804.32</v>
      </c>
      <c r="R46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4679" spans="1:18" x14ac:dyDescent="0.3">
      <c r="A4679" s="2">
        <v>4672</v>
      </c>
      <c r="B4679" s="2" t="s">
        <v>1788</v>
      </c>
      <c r="C4679" s="2" t="s">
        <v>9225</v>
      </c>
      <c r="D4679" s="2" t="s">
        <v>28</v>
      </c>
      <c r="E4679" s="2" t="s">
        <v>29</v>
      </c>
      <c r="F4679" s="2">
        <v>90</v>
      </c>
      <c r="G4679" s="2" t="s">
        <v>10034</v>
      </c>
      <c r="H4679" s="2" t="s">
        <v>2354</v>
      </c>
      <c r="I4679" s="2" t="s">
        <v>178</v>
      </c>
      <c r="J4679" s="3">
        <v>44203</v>
      </c>
      <c r="K4679" s="5">
        <f>YEAR(OrganizedData[[#This Row],[Order Date]])</f>
        <v>2021</v>
      </c>
      <c r="L4679" s="7" t="str">
        <f>TEXT(OrganizedData[[#This Row],[Order Date]],"mmm")</f>
        <v>Jan</v>
      </c>
      <c r="M4679" s="2">
        <v>12</v>
      </c>
      <c r="N4679" s="2" t="s">
        <v>39</v>
      </c>
      <c r="O4679" s="2" t="str">
        <f>VLOOKUP(OrganizedData[[#This Row],[Product Code]],ProductData[[Code]:[Item]],2,FALSE)</f>
        <v>Ultrathing V1</v>
      </c>
      <c r="P4679" s="4">
        <f>OrganizedData[[#This Row],[Quantity]]*VLOOKUP(OrganizedData[[#This Row],[Product Code]],ProductData[],4,FALSE)</f>
        <v>204</v>
      </c>
      <c r="Q4679" s="6">
        <f>OrganizedData[[#This Row],[Total Items Ordered]]*VLOOKUP(OrganizedData[[#This Row],[Product Code]],ProductData[],3,FALSE)</f>
        <v>365.16</v>
      </c>
      <c r="R46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4680" spans="1:18" x14ac:dyDescent="0.3">
      <c r="A4680" s="2">
        <v>4673</v>
      </c>
      <c r="B4680" s="2" t="s">
        <v>765</v>
      </c>
      <c r="C4680" s="2" t="s">
        <v>2434</v>
      </c>
      <c r="D4680" s="2" t="s">
        <v>28</v>
      </c>
      <c r="E4680" s="2" t="s">
        <v>29</v>
      </c>
      <c r="F4680" s="2">
        <v>60</v>
      </c>
      <c r="G4680" s="2" t="s">
        <v>10035</v>
      </c>
      <c r="H4680" s="2" t="s">
        <v>315</v>
      </c>
      <c r="I4680" s="2" t="s">
        <v>32</v>
      </c>
      <c r="J4680" s="3">
        <v>44667</v>
      </c>
      <c r="K4680" s="5">
        <f>YEAR(OrganizedData[[#This Row],[Order Date]])</f>
        <v>2022</v>
      </c>
      <c r="L4680" s="7" t="str">
        <f>TEXT(OrganizedData[[#This Row],[Order Date]],"mmm")</f>
        <v>Apr</v>
      </c>
      <c r="M4680" s="2">
        <v>88</v>
      </c>
      <c r="N4680" s="2" t="s">
        <v>54</v>
      </c>
      <c r="O4680" s="2" t="str">
        <f>VLOOKUP(OrganizedData[[#This Row],[Product Code]],ProductData[[Code]:[Item]],2,FALSE)</f>
        <v>Megawidget S</v>
      </c>
      <c r="P4680" s="4">
        <f>OrganizedData[[#This Row],[Quantity]]*VLOOKUP(OrganizedData[[#This Row],[Product Code]],ProductData[],4,FALSE)</f>
        <v>2112</v>
      </c>
      <c r="Q4680" s="6">
        <f>OrganizedData[[#This Row],[Total Items Ordered]]*VLOOKUP(OrganizedData[[#This Row],[Product Code]],ProductData[],3,FALSE)</f>
        <v>1457.28</v>
      </c>
      <c r="R46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1384.4159999999999</v>
      </c>
    </row>
    <row r="4681" spans="1:18" x14ac:dyDescent="0.3">
      <c r="A4681" s="2">
        <v>4674</v>
      </c>
      <c r="B4681" s="2" t="s">
        <v>10036</v>
      </c>
      <c r="C4681" s="2" t="s">
        <v>774</v>
      </c>
      <c r="D4681" s="2" t="s">
        <v>28</v>
      </c>
      <c r="E4681" s="2" t="s">
        <v>29</v>
      </c>
      <c r="F4681" s="2">
        <v>60</v>
      </c>
      <c r="G4681" s="2" t="s">
        <v>10037</v>
      </c>
      <c r="H4681" s="2" t="s">
        <v>1712</v>
      </c>
      <c r="I4681" s="2" t="s">
        <v>187</v>
      </c>
      <c r="J4681" s="3">
        <v>44486</v>
      </c>
      <c r="K4681" s="5">
        <f>YEAR(OrganizedData[[#This Row],[Order Date]])</f>
        <v>2021</v>
      </c>
      <c r="L4681" s="7" t="str">
        <f>TEXT(OrganizedData[[#This Row],[Order Date]],"mmm")</f>
        <v>Oct</v>
      </c>
      <c r="M4681" s="2">
        <v>50</v>
      </c>
      <c r="N4681" s="2" t="s">
        <v>80</v>
      </c>
      <c r="O4681" s="2" t="str">
        <f>VLOOKUP(OrganizedData[[#This Row],[Product Code]],ProductData[[Code]:[Item]],2,FALSE)</f>
        <v>Ultrathing V2</v>
      </c>
      <c r="P4681" s="4">
        <f>OrganizedData[[#This Row],[Quantity]]*VLOOKUP(OrganizedData[[#This Row],[Product Code]],ProductData[],4,FALSE)</f>
        <v>1000</v>
      </c>
      <c r="Q4681" s="6">
        <f>OrganizedData[[#This Row],[Total Items Ordered]]*VLOOKUP(OrganizedData[[#This Row],[Product Code]],ProductData[],3,FALSE)</f>
        <v>2950</v>
      </c>
      <c r="R46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2861.5</v>
      </c>
    </row>
    <row r="4682" spans="1:18" x14ac:dyDescent="0.3">
      <c r="A4682" s="2">
        <v>4675</v>
      </c>
      <c r="B4682" s="2" t="s">
        <v>10038</v>
      </c>
      <c r="C4682" s="2" t="s">
        <v>10039</v>
      </c>
      <c r="D4682" s="2" t="s">
        <v>15</v>
      </c>
      <c r="E4682" s="2" t="s">
        <v>16</v>
      </c>
      <c r="F4682" s="2">
        <v>60</v>
      </c>
      <c r="G4682" s="2" t="s">
        <v>10040</v>
      </c>
      <c r="H4682" s="2" t="s">
        <v>139</v>
      </c>
      <c r="I4682" s="2" t="s">
        <v>2593</v>
      </c>
      <c r="J4682" s="3">
        <v>44905</v>
      </c>
      <c r="K4682" s="5">
        <f>YEAR(OrganizedData[[#This Row],[Order Date]])</f>
        <v>2022</v>
      </c>
      <c r="L4682" s="7" t="str">
        <f>TEXT(OrganizedData[[#This Row],[Order Date]],"mmm")</f>
        <v>Dec</v>
      </c>
      <c r="M4682" s="2">
        <v>45</v>
      </c>
      <c r="N4682" s="2" t="s">
        <v>39</v>
      </c>
      <c r="O4682" s="2" t="str">
        <f>VLOOKUP(OrganizedData[[#This Row],[Product Code]],ProductData[[Code]:[Item]],2,FALSE)</f>
        <v>Ultrathing V1</v>
      </c>
      <c r="P4682" s="4">
        <f>OrganizedData[[#This Row],[Quantity]]*VLOOKUP(OrganizedData[[#This Row],[Product Code]],ProductData[],4,FALSE)</f>
        <v>765</v>
      </c>
      <c r="Q4682" s="6">
        <f>OrganizedData[[#This Row],[Total Items Ordered]]*VLOOKUP(OrganizedData[[#This Row],[Product Code]],ProductData[],3,FALSE)</f>
        <v>1369.3500000000001</v>
      </c>
      <c r="R46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1328.2695000000001</v>
      </c>
    </row>
    <row r="4683" spans="1:18" x14ac:dyDescent="0.3">
      <c r="A4683" s="2">
        <v>4676</v>
      </c>
      <c r="B4683" s="2" t="s">
        <v>5644</v>
      </c>
      <c r="C4683" s="2" t="s">
        <v>5807</v>
      </c>
      <c r="D4683" s="2" t="s">
        <v>28</v>
      </c>
      <c r="E4683" s="2" t="s">
        <v>29</v>
      </c>
      <c r="F4683" s="2">
        <v>60</v>
      </c>
      <c r="G4683" s="2" t="s">
        <v>10041</v>
      </c>
      <c r="H4683" s="2" t="s">
        <v>3702</v>
      </c>
      <c r="I4683" s="2" t="s">
        <v>25</v>
      </c>
      <c r="J4683" s="3">
        <v>44857</v>
      </c>
      <c r="K4683" s="5">
        <f>YEAR(OrganizedData[[#This Row],[Order Date]])</f>
        <v>2022</v>
      </c>
      <c r="L4683" s="7" t="str">
        <f>TEXT(OrganizedData[[#This Row],[Order Date]],"mmm")</f>
        <v>Oct</v>
      </c>
      <c r="M4683" s="2">
        <v>14</v>
      </c>
      <c r="N4683" s="2" t="s">
        <v>159</v>
      </c>
      <c r="O4683" s="2" t="str">
        <f>VLOOKUP(OrganizedData[[#This Row],[Product Code]],ProductData[[Code]:[Item]],2,FALSE)</f>
        <v>Ultrathing V3</v>
      </c>
      <c r="P4683" s="4">
        <f>OrganizedData[[#This Row],[Quantity]]*VLOOKUP(OrganizedData[[#This Row],[Product Code]],ProductData[],4,FALSE)</f>
        <v>336</v>
      </c>
      <c r="Q4683" s="6">
        <f>OrganizedData[[#This Row],[Total Items Ordered]]*VLOOKUP(OrganizedData[[#This Row],[Product Code]],ProductData[],3,FALSE)</f>
        <v>1139.04</v>
      </c>
      <c r="R46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1139.04</v>
      </c>
    </row>
    <row r="4684" spans="1:18" x14ac:dyDescent="0.3">
      <c r="A4684" s="2">
        <v>4677</v>
      </c>
      <c r="B4684" s="2" t="s">
        <v>4130</v>
      </c>
      <c r="C4684" s="2" t="s">
        <v>9134</v>
      </c>
      <c r="D4684" s="2" t="s">
        <v>15</v>
      </c>
      <c r="E4684" s="2" t="s">
        <v>16</v>
      </c>
      <c r="F4684" s="2">
        <v>60</v>
      </c>
      <c r="G4684" s="2" t="s">
        <v>10042</v>
      </c>
      <c r="H4684" s="2" t="s">
        <v>1834</v>
      </c>
      <c r="I4684" s="2" t="s">
        <v>32</v>
      </c>
      <c r="J4684" s="3">
        <v>44300</v>
      </c>
      <c r="K4684" s="5">
        <f>YEAR(OrganizedData[[#This Row],[Order Date]])</f>
        <v>2021</v>
      </c>
      <c r="L4684" s="7" t="str">
        <f>TEXT(OrganizedData[[#This Row],[Order Date]],"mmm")</f>
        <v>Apr</v>
      </c>
      <c r="M4684" s="2">
        <v>16</v>
      </c>
      <c r="N4684" s="2" t="s">
        <v>80</v>
      </c>
      <c r="O4684" s="2" t="str">
        <f>VLOOKUP(OrganizedData[[#This Row],[Product Code]],ProductData[[Code]:[Item]],2,FALSE)</f>
        <v>Ultrathing V2</v>
      </c>
      <c r="P4684" s="4">
        <f>OrganizedData[[#This Row],[Quantity]]*VLOOKUP(OrganizedData[[#This Row],[Product Code]],ProductData[],4,FALSE)</f>
        <v>320</v>
      </c>
      <c r="Q4684" s="6">
        <f>OrganizedData[[#This Row],[Total Items Ordered]]*VLOOKUP(OrganizedData[[#This Row],[Product Code]],ProductData[],3,FALSE)</f>
        <v>944</v>
      </c>
      <c r="R46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944</v>
      </c>
    </row>
    <row r="4685" spans="1:18" x14ac:dyDescent="0.3">
      <c r="A4685" s="2">
        <v>4678</v>
      </c>
      <c r="B4685" s="2" t="s">
        <v>3425</v>
      </c>
      <c r="C4685" s="2" t="s">
        <v>1645</v>
      </c>
      <c r="D4685" s="2" t="s">
        <v>15</v>
      </c>
      <c r="E4685" s="2" t="s">
        <v>16</v>
      </c>
      <c r="F4685" s="2">
        <v>30</v>
      </c>
      <c r="G4685" s="2" t="s">
        <v>10043</v>
      </c>
      <c r="H4685" s="2" t="s">
        <v>5758</v>
      </c>
      <c r="I4685" s="2" t="s">
        <v>32</v>
      </c>
      <c r="J4685" s="3">
        <v>44353</v>
      </c>
      <c r="K4685" s="5">
        <f>YEAR(OrganizedData[[#This Row],[Order Date]])</f>
        <v>2021</v>
      </c>
      <c r="L4685" s="7" t="str">
        <f>TEXT(OrganizedData[[#This Row],[Order Date]],"mmm")</f>
        <v>Jun</v>
      </c>
      <c r="M4685" s="2">
        <v>20</v>
      </c>
      <c r="N4685" s="2" t="s">
        <v>20</v>
      </c>
      <c r="O4685" s="2" t="str">
        <f>VLOOKUP(OrganizedData[[#This Row],[Product Code]],ProductData[[Code]:[Item]],2,FALSE)</f>
        <v>Hyperwotsit</v>
      </c>
      <c r="P4685" s="4">
        <f>OrganizedData[[#This Row],[Quantity]]*VLOOKUP(OrganizedData[[#This Row],[Product Code]],ProductData[],4,FALSE)</f>
        <v>400</v>
      </c>
      <c r="Q4685" s="6">
        <f>OrganizedData[[#This Row],[Total Items Ordered]]*VLOOKUP(OrganizedData[[#This Row],[Product Code]],ProductData[],3,FALSE)</f>
        <v>803.99999999999989</v>
      </c>
      <c r="R46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803.99999999999989</v>
      </c>
    </row>
    <row r="4686" spans="1:18" x14ac:dyDescent="0.3">
      <c r="A4686" s="2">
        <v>4679</v>
      </c>
      <c r="B4686" s="2" t="s">
        <v>6699</v>
      </c>
      <c r="C4686" s="2" t="s">
        <v>5645</v>
      </c>
      <c r="D4686" s="2" t="s">
        <v>28</v>
      </c>
      <c r="E4686" s="2" t="s">
        <v>29</v>
      </c>
      <c r="F4686" s="2">
        <v>90</v>
      </c>
      <c r="G4686" s="2" t="s">
        <v>10044</v>
      </c>
      <c r="H4686" s="2" t="s">
        <v>4409</v>
      </c>
      <c r="I4686" s="2" t="s">
        <v>294</v>
      </c>
      <c r="J4686" s="3">
        <v>44829</v>
      </c>
      <c r="K4686" s="5">
        <f>YEAR(OrganizedData[[#This Row],[Order Date]])</f>
        <v>2022</v>
      </c>
      <c r="L4686" s="7" t="str">
        <f>TEXT(OrganizedData[[#This Row],[Order Date]],"mmm")</f>
        <v>Sep</v>
      </c>
      <c r="M4686" s="2">
        <v>60</v>
      </c>
      <c r="N4686" s="2" t="s">
        <v>159</v>
      </c>
      <c r="O4686" s="2" t="str">
        <f>VLOOKUP(OrganizedData[[#This Row],[Product Code]],ProductData[[Code]:[Item]],2,FALSE)</f>
        <v>Ultrathing V3</v>
      </c>
      <c r="P4686" s="4">
        <f>OrganizedData[[#This Row],[Quantity]]*VLOOKUP(OrganizedData[[#This Row],[Product Code]],ProductData[],4,FALSE)</f>
        <v>1440</v>
      </c>
      <c r="Q4686" s="6">
        <f>OrganizedData[[#This Row],[Total Items Ordered]]*VLOOKUP(OrganizedData[[#This Row],[Product Code]],ProductData[],3,FALSE)</f>
        <v>4881.6000000000004</v>
      </c>
      <c r="R46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4637.5200000000004</v>
      </c>
    </row>
    <row r="4687" spans="1:18" x14ac:dyDescent="0.3">
      <c r="A4687" s="2">
        <v>4680</v>
      </c>
      <c r="B4687" s="2" t="s">
        <v>390</v>
      </c>
      <c r="C4687" s="2" t="s">
        <v>3019</v>
      </c>
      <c r="D4687" s="2" t="s">
        <v>28</v>
      </c>
      <c r="E4687" s="2" t="s">
        <v>29</v>
      </c>
      <c r="F4687" s="2">
        <v>30</v>
      </c>
      <c r="G4687" s="2" t="s">
        <v>10045</v>
      </c>
      <c r="H4687" s="2" t="s">
        <v>1099</v>
      </c>
      <c r="I4687" s="2" t="s">
        <v>25</v>
      </c>
      <c r="J4687" s="3">
        <v>44887</v>
      </c>
      <c r="K4687" s="5">
        <f>YEAR(OrganizedData[[#This Row],[Order Date]])</f>
        <v>2022</v>
      </c>
      <c r="L4687" s="7" t="str">
        <f>TEXT(OrganizedData[[#This Row],[Order Date]],"mmm")</f>
        <v>Nov</v>
      </c>
      <c r="M4687" s="2">
        <v>2</v>
      </c>
      <c r="N4687" s="2" t="s">
        <v>70</v>
      </c>
      <c r="O4687" s="2" t="str">
        <f>VLOOKUP(OrganizedData[[#This Row],[Product Code]],ProductData[[Code]:[Item]],2,FALSE)</f>
        <v>Megawidget M</v>
      </c>
      <c r="P4687" s="4">
        <f>OrganizedData[[#This Row],[Quantity]]*VLOOKUP(OrganizedData[[#This Row],[Product Code]],ProductData[],4,FALSE)</f>
        <v>48</v>
      </c>
      <c r="Q4687" s="6">
        <f>OrganizedData[[#This Row],[Total Items Ordered]]*VLOOKUP(OrganizedData[[#This Row],[Product Code]],ProductData[],3,FALSE)</f>
        <v>61.92</v>
      </c>
      <c r="R46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4688" spans="1:18" x14ac:dyDescent="0.3">
      <c r="A4688" s="2">
        <v>4681</v>
      </c>
      <c r="B4688" s="2" t="s">
        <v>5772</v>
      </c>
      <c r="C4688" s="2" t="s">
        <v>4994</v>
      </c>
      <c r="D4688" s="2" t="s">
        <v>28</v>
      </c>
      <c r="E4688" s="2" t="s">
        <v>29</v>
      </c>
      <c r="F4688" s="2">
        <v>60</v>
      </c>
      <c r="G4688" s="2" t="s">
        <v>10046</v>
      </c>
      <c r="H4688" s="2" t="s">
        <v>3793</v>
      </c>
      <c r="I4688" s="2" t="s">
        <v>173</v>
      </c>
      <c r="J4688" s="3">
        <v>44596</v>
      </c>
      <c r="K4688" s="5">
        <f>YEAR(OrganizedData[[#This Row],[Order Date]])</f>
        <v>2022</v>
      </c>
      <c r="L4688" s="7" t="str">
        <f>TEXT(OrganizedData[[#This Row],[Order Date]],"mmm")</f>
        <v>Feb</v>
      </c>
      <c r="M4688" s="2">
        <v>23</v>
      </c>
      <c r="N4688" s="2" t="s">
        <v>33</v>
      </c>
      <c r="O4688" s="2" t="str">
        <f>VLOOKUP(OrganizedData[[#This Row],[Product Code]],ProductData[[Code]:[Item]],2,FALSE)</f>
        <v>Megawidget L</v>
      </c>
      <c r="P4688" s="4">
        <f>OrganizedData[[#This Row],[Quantity]]*VLOOKUP(OrganizedData[[#This Row],[Product Code]],ProductData[],4,FALSE)</f>
        <v>552</v>
      </c>
      <c r="Q4688" s="6">
        <f>OrganizedData[[#This Row],[Total Items Ordered]]*VLOOKUP(OrganizedData[[#This Row],[Product Code]],ProductData[],3,FALSE)</f>
        <v>988.08</v>
      </c>
      <c r="R46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958.43759999999997</v>
      </c>
    </row>
    <row r="4689" spans="1:18" x14ac:dyDescent="0.3">
      <c r="A4689" s="2">
        <v>4682</v>
      </c>
      <c r="B4689" s="2" t="s">
        <v>196</v>
      </c>
      <c r="C4689" s="2" t="s">
        <v>7073</v>
      </c>
      <c r="D4689" s="2" t="s">
        <v>28</v>
      </c>
      <c r="E4689" s="2" t="s">
        <v>29</v>
      </c>
      <c r="F4689" s="2">
        <v>90</v>
      </c>
      <c r="G4689" s="2" t="s">
        <v>10046</v>
      </c>
      <c r="H4689" s="2" t="s">
        <v>4479</v>
      </c>
      <c r="I4689" s="2" t="s">
        <v>32</v>
      </c>
      <c r="J4689" s="3">
        <v>44793</v>
      </c>
      <c r="K4689" s="5">
        <f>YEAR(OrganizedData[[#This Row],[Order Date]])</f>
        <v>2022</v>
      </c>
      <c r="L4689" s="7" t="str">
        <f>TEXT(OrganizedData[[#This Row],[Order Date]],"mmm")</f>
        <v>Aug</v>
      </c>
      <c r="M4689" s="2">
        <v>4</v>
      </c>
      <c r="N4689" s="2" t="s">
        <v>80</v>
      </c>
      <c r="O4689" s="2" t="str">
        <f>VLOOKUP(OrganizedData[[#This Row],[Product Code]],ProductData[[Code]:[Item]],2,FALSE)</f>
        <v>Ultrathing V2</v>
      </c>
      <c r="P4689" s="4">
        <f>OrganizedData[[#This Row],[Quantity]]*VLOOKUP(OrganizedData[[#This Row],[Product Code]],ProductData[],4,FALSE)</f>
        <v>80</v>
      </c>
      <c r="Q4689" s="6">
        <f>OrganizedData[[#This Row],[Total Items Ordered]]*VLOOKUP(OrganizedData[[#This Row],[Product Code]],ProductData[],3,FALSE)</f>
        <v>236</v>
      </c>
      <c r="R46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v>
      </c>
    </row>
    <row r="4690" spans="1:18" x14ac:dyDescent="0.3">
      <c r="A4690" s="2">
        <v>4683</v>
      </c>
      <c r="B4690" s="2" t="s">
        <v>10047</v>
      </c>
      <c r="C4690" s="2" t="s">
        <v>4439</v>
      </c>
      <c r="D4690" s="2" t="s">
        <v>51</v>
      </c>
      <c r="E4690" s="2" t="s">
        <v>16</v>
      </c>
      <c r="F4690" s="2">
        <v>90</v>
      </c>
      <c r="G4690" s="2" t="s">
        <v>10048</v>
      </c>
      <c r="H4690" s="2" t="s">
        <v>1660</v>
      </c>
      <c r="I4690" s="2" t="s">
        <v>32</v>
      </c>
      <c r="J4690" s="3">
        <v>44612</v>
      </c>
      <c r="K4690" s="5">
        <f>YEAR(OrganizedData[[#This Row],[Order Date]])</f>
        <v>2022</v>
      </c>
      <c r="L4690" s="7" t="str">
        <f>TEXT(OrganizedData[[#This Row],[Order Date]],"mmm")</f>
        <v>Feb</v>
      </c>
      <c r="M4690" s="2">
        <v>5</v>
      </c>
      <c r="N4690" s="2" t="s">
        <v>39</v>
      </c>
      <c r="O4690" s="2" t="str">
        <f>VLOOKUP(OrganizedData[[#This Row],[Product Code]],ProductData[[Code]:[Item]],2,FALSE)</f>
        <v>Ultrathing V1</v>
      </c>
      <c r="P4690" s="4">
        <f>OrganizedData[[#This Row],[Quantity]]*VLOOKUP(OrganizedData[[#This Row],[Product Code]],ProductData[],4,FALSE)</f>
        <v>85</v>
      </c>
      <c r="Q4690" s="6">
        <f>OrganizedData[[#This Row],[Total Items Ordered]]*VLOOKUP(OrganizedData[[#This Row],[Product Code]],ProductData[],3,FALSE)</f>
        <v>152.15</v>
      </c>
      <c r="R46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152.15</v>
      </c>
    </row>
    <row r="4691" spans="1:18" x14ac:dyDescent="0.3">
      <c r="A4691" s="2">
        <v>4684</v>
      </c>
      <c r="B4691" s="2" t="s">
        <v>6378</v>
      </c>
      <c r="C4691" s="2" t="s">
        <v>3564</v>
      </c>
      <c r="D4691" s="2" t="s">
        <v>28</v>
      </c>
      <c r="E4691" s="2" t="s">
        <v>29</v>
      </c>
      <c r="F4691" s="2">
        <v>60</v>
      </c>
      <c r="G4691" s="2" t="s">
        <v>10049</v>
      </c>
      <c r="H4691" s="2" t="s">
        <v>1064</v>
      </c>
      <c r="I4691" s="2" t="s">
        <v>886</v>
      </c>
      <c r="J4691" s="3">
        <v>44335</v>
      </c>
      <c r="K4691" s="5">
        <f>YEAR(OrganizedData[[#This Row],[Order Date]])</f>
        <v>2021</v>
      </c>
      <c r="L4691" s="7" t="str">
        <f>TEXT(OrganizedData[[#This Row],[Order Date]],"mmm")</f>
        <v>May</v>
      </c>
      <c r="M4691" s="2">
        <v>29</v>
      </c>
      <c r="N4691" s="2" t="s">
        <v>45</v>
      </c>
      <c r="O4691" s="2" t="str">
        <f>VLOOKUP(OrganizedData[[#This Row],[Product Code]],ProductData[[Code]:[Item]],2,FALSE)</f>
        <v>Gigastuff</v>
      </c>
      <c r="P4691" s="4">
        <f>OrganizedData[[#This Row],[Quantity]]*VLOOKUP(OrganizedData[[#This Row],[Product Code]],ProductData[],4,FALSE)</f>
        <v>522</v>
      </c>
      <c r="Q4691" s="6">
        <f>OrganizedData[[#This Row],[Total Items Ordered]]*VLOOKUP(OrganizedData[[#This Row],[Product Code]],ProductData[],3,FALSE)</f>
        <v>986.57999999999993</v>
      </c>
      <c r="R46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956.98259999999993</v>
      </c>
    </row>
    <row r="4692" spans="1:18" x14ac:dyDescent="0.3">
      <c r="A4692" s="2">
        <v>4685</v>
      </c>
      <c r="B4692" s="2" t="s">
        <v>7960</v>
      </c>
      <c r="C4692" s="2" t="s">
        <v>1923</v>
      </c>
      <c r="D4692" s="2" t="s">
        <v>51</v>
      </c>
      <c r="E4692" s="2" t="s">
        <v>16</v>
      </c>
      <c r="F4692" s="2">
        <v>30</v>
      </c>
      <c r="G4692" s="2" t="s">
        <v>10050</v>
      </c>
      <c r="H4692" s="2" t="s">
        <v>7008</v>
      </c>
      <c r="I4692" s="2" t="s">
        <v>25</v>
      </c>
      <c r="J4692" s="3">
        <v>44694</v>
      </c>
      <c r="K4692" s="5">
        <f>YEAR(OrganizedData[[#This Row],[Order Date]])</f>
        <v>2022</v>
      </c>
      <c r="L4692" s="7" t="str">
        <f>TEXT(OrganizedData[[#This Row],[Order Date]],"mmm")</f>
        <v>May</v>
      </c>
      <c r="M4692" s="2">
        <v>61</v>
      </c>
      <c r="N4692" s="2" t="s">
        <v>64</v>
      </c>
      <c r="O4692" s="2" t="str">
        <f>VLOOKUP(OrganizedData[[#This Row],[Product Code]],ProductData[[Code]:[Item]],2,FALSE)</f>
        <v>Ultrathing V4</v>
      </c>
      <c r="P4692" s="4">
        <f>OrganizedData[[#This Row],[Quantity]]*VLOOKUP(OrganizedData[[#This Row],[Product Code]],ProductData[],4,FALSE)</f>
        <v>1464</v>
      </c>
      <c r="Q4692" s="6">
        <f>OrganizedData[[#This Row],[Total Items Ordered]]*VLOOKUP(OrganizedData[[#This Row],[Product Code]],ProductData[],3,FALSE)</f>
        <v>5841.3600000000006</v>
      </c>
      <c r="R46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4693" spans="1:18" x14ac:dyDescent="0.3">
      <c r="A4693" s="2">
        <v>4686</v>
      </c>
      <c r="B4693" s="2" t="s">
        <v>4897</v>
      </c>
      <c r="C4693" s="2" t="s">
        <v>10051</v>
      </c>
      <c r="D4693" s="2" t="s">
        <v>28</v>
      </c>
      <c r="E4693" s="2" t="s">
        <v>29</v>
      </c>
      <c r="F4693" s="2">
        <v>90</v>
      </c>
      <c r="G4693" s="2" t="s">
        <v>10052</v>
      </c>
      <c r="H4693" s="2" t="s">
        <v>487</v>
      </c>
      <c r="I4693" s="2" t="s">
        <v>32</v>
      </c>
      <c r="J4693" s="3">
        <v>44174</v>
      </c>
      <c r="K4693" s="5">
        <f>YEAR(OrganizedData[[#This Row],[Order Date]])</f>
        <v>2020</v>
      </c>
      <c r="L4693" s="7" t="str">
        <f>TEXT(OrganizedData[[#This Row],[Order Date]],"mmm")</f>
        <v>Dec</v>
      </c>
      <c r="M4693" s="2">
        <v>4</v>
      </c>
      <c r="N4693" s="2" t="s">
        <v>64</v>
      </c>
      <c r="O4693" s="2" t="str">
        <f>VLOOKUP(OrganizedData[[#This Row],[Product Code]],ProductData[[Code]:[Item]],2,FALSE)</f>
        <v>Ultrathing V4</v>
      </c>
      <c r="P4693" s="4">
        <f>OrganizedData[[#This Row],[Quantity]]*VLOOKUP(OrganizedData[[#This Row],[Product Code]],ProductData[],4,FALSE)</f>
        <v>96</v>
      </c>
      <c r="Q4693" s="6">
        <f>OrganizedData[[#This Row],[Total Items Ordered]]*VLOOKUP(OrganizedData[[#This Row],[Product Code]],ProductData[],3,FALSE)</f>
        <v>383.04</v>
      </c>
      <c r="R46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383.04</v>
      </c>
    </row>
    <row r="4694" spans="1:18" x14ac:dyDescent="0.3">
      <c r="A4694" s="2">
        <v>4687</v>
      </c>
      <c r="B4694" s="2" t="s">
        <v>10053</v>
      </c>
      <c r="C4694" s="2" t="s">
        <v>410</v>
      </c>
      <c r="D4694" s="2" t="s">
        <v>15</v>
      </c>
      <c r="E4694" s="2" t="s">
        <v>16</v>
      </c>
      <c r="F4694" s="2">
        <v>60</v>
      </c>
      <c r="G4694" s="2" t="s">
        <v>10054</v>
      </c>
      <c r="H4694" s="2" t="s">
        <v>1011</v>
      </c>
      <c r="I4694" s="2" t="s">
        <v>32</v>
      </c>
      <c r="J4694" s="3">
        <v>44182</v>
      </c>
      <c r="K4694" s="5">
        <f>YEAR(OrganizedData[[#This Row],[Order Date]])</f>
        <v>2020</v>
      </c>
      <c r="L4694" s="7" t="str">
        <f>TEXT(OrganizedData[[#This Row],[Order Date]],"mmm")</f>
        <v>Dec</v>
      </c>
      <c r="M4694" s="2">
        <v>69</v>
      </c>
      <c r="N4694" s="2" t="s">
        <v>20</v>
      </c>
      <c r="O4694" s="2" t="str">
        <f>VLOOKUP(OrganizedData[[#This Row],[Product Code]],ProductData[[Code]:[Item]],2,FALSE)</f>
        <v>Hyperwotsit</v>
      </c>
      <c r="P4694" s="4">
        <f>OrganizedData[[#This Row],[Quantity]]*VLOOKUP(OrganizedData[[#This Row],[Product Code]],ProductData[],4,FALSE)</f>
        <v>1380</v>
      </c>
      <c r="Q4694" s="6">
        <f>OrganizedData[[#This Row],[Total Items Ordered]]*VLOOKUP(OrganizedData[[#This Row],[Product Code]],ProductData[],3,FALSE)</f>
        <v>2773.7999999999997</v>
      </c>
      <c r="R46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2635.1099999999997</v>
      </c>
    </row>
    <row r="4695" spans="1:18" x14ac:dyDescent="0.3">
      <c r="A4695" s="2">
        <v>4688</v>
      </c>
      <c r="B4695" s="2" t="s">
        <v>3310</v>
      </c>
      <c r="C4695" s="2" t="s">
        <v>1380</v>
      </c>
      <c r="D4695" s="2" t="s">
        <v>28</v>
      </c>
      <c r="E4695" s="2" t="s">
        <v>29</v>
      </c>
      <c r="F4695" s="2">
        <v>60</v>
      </c>
      <c r="G4695" s="2" t="s">
        <v>10055</v>
      </c>
      <c r="H4695" s="2" t="s">
        <v>738</v>
      </c>
      <c r="I4695" s="2" t="s">
        <v>38</v>
      </c>
      <c r="J4695" s="3">
        <v>44755</v>
      </c>
      <c r="K4695" s="5">
        <f>YEAR(OrganizedData[[#This Row],[Order Date]])</f>
        <v>2022</v>
      </c>
      <c r="L4695" s="7" t="str">
        <f>TEXT(OrganizedData[[#This Row],[Order Date]],"mmm")</f>
        <v>Jul</v>
      </c>
      <c r="M4695" s="2">
        <v>88</v>
      </c>
      <c r="N4695" s="2" t="s">
        <v>64</v>
      </c>
      <c r="O4695" s="2" t="str">
        <f>VLOOKUP(OrganizedData[[#This Row],[Product Code]],ProductData[[Code]:[Item]],2,FALSE)</f>
        <v>Ultrathing V4</v>
      </c>
      <c r="P4695" s="4">
        <f>OrganizedData[[#This Row],[Quantity]]*VLOOKUP(OrganizedData[[#This Row],[Product Code]],ProductData[],4,FALSE)</f>
        <v>2112</v>
      </c>
      <c r="Q4695" s="6">
        <f>OrganizedData[[#This Row],[Total Items Ordered]]*VLOOKUP(OrganizedData[[#This Row],[Product Code]],ProductData[],3,FALSE)</f>
        <v>8426.880000000001</v>
      </c>
      <c r="R46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8005.536000000001</v>
      </c>
    </row>
    <row r="4696" spans="1:18" x14ac:dyDescent="0.3">
      <c r="A4696" s="2">
        <v>4689</v>
      </c>
      <c r="B4696" s="2" t="s">
        <v>10056</v>
      </c>
      <c r="C4696" s="2" t="s">
        <v>126</v>
      </c>
      <c r="D4696" s="2" t="s">
        <v>28</v>
      </c>
      <c r="E4696" s="2" t="s">
        <v>29</v>
      </c>
      <c r="F4696" s="2">
        <v>60</v>
      </c>
      <c r="G4696" s="2" t="s">
        <v>10585</v>
      </c>
      <c r="H4696" s="2" t="s">
        <v>408</v>
      </c>
      <c r="I4696" s="2" t="s">
        <v>25</v>
      </c>
      <c r="J4696" s="3">
        <v>43856</v>
      </c>
      <c r="K4696" s="5">
        <f>YEAR(OrganizedData[[#This Row],[Order Date]])</f>
        <v>2020</v>
      </c>
      <c r="L4696" s="7" t="str">
        <f>TEXT(OrganizedData[[#This Row],[Order Date]],"mmm")</f>
        <v>Jan</v>
      </c>
      <c r="M4696" s="2">
        <v>35</v>
      </c>
      <c r="N4696" s="2" t="s">
        <v>101</v>
      </c>
      <c r="O4696" s="2" t="str">
        <f>VLOOKUP(OrganizedData[[#This Row],[Product Code]],ProductData[[Code]:[Item]],2,FALSE)</f>
        <v>Superwossname</v>
      </c>
      <c r="P4696" s="4">
        <f>OrganizedData[[#This Row],[Quantity]]*VLOOKUP(OrganizedData[[#This Row],[Product Code]],ProductData[],4,FALSE)</f>
        <v>700</v>
      </c>
      <c r="Q4696" s="6">
        <f>OrganizedData[[#This Row],[Total Items Ordered]]*VLOOKUP(OrganizedData[[#This Row],[Product Code]],ProductData[],3,FALSE)</f>
        <v>2443</v>
      </c>
      <c r="R46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2369.71</v>
      </c>
    </row>
    <row r="4697" spans="1:18" x14ac:dyDescent="0.3">
      <c r="A4697" s="2">
        <v>4690</v>
      </c>
      <c r="B4697" s="2" t="s">
        <v>2358</v>
      </c>
      <c r="C4697" s="2" t="s">
        <v>972</v>
      </c>
      <c r="D4697" s="2" t="s">
        <v>51</v>
      </c>
      <c r="E4697" s="2" t="s">
        <v>16</v>
      </c>
      <c r="F4697" s="2">
        <v>30</v>
      </c>
      <c r="G4697" s="2" t="s">
        <v>10059</v>
      </c>
      <c r="H4697" s="2" t="s">
        <v>2509</v>
      </c>
      <c r="I4697" s="2" t="s">
        <v>32</v>
      </c>
      <c r="J4697" s="3">
        <v>44052</v>
      </c>
      <c r="K4697" s="5">
        <f>YEAR(OrganizedData[[#This Row],[Order Date]])</f>
        <v>2020</v>
      </c>
      <c r="L4697" s="7" t="str">
        <f>TEXT(OrganizedData[[#This Row],[Order Date]],"mmm")</f>
        <v>Aug</v>
      </c>
      <c r="M4697" s="2">
        <v>15</v>
      </c>
      <c r="N4697" s="2" t="s">
        <v>159</v>
      </c>
      <c r="O4697" s="2" t="str">
        <f>VLOOKUP(OrganizedData[[#This Row],[Product Code]],ProductData[[Code]:[Item]],2,FALSE)</f>
        <v>Ultrathing V3</v>
      </c>
      <c r="P4697" s="4">
        <f>OrganizedData[[#This Row],[Quantity]]*VLOOKUP(OrganizedData[[#This Row],[Product Code]],ProductData[],4,FALSE)</f>
        <v>360</v>
      </c>
      <c r="Q4697" s="6">
        <f>OrganizedData[[#This Row],[Total Items Ordered]]*VLOOKUP(OrganizedData[[#This Row],[Product Code]],ProductData[],3,FALSE)</f>
        <v>1220.4000000000001</v>
      </c>
      <c r="R46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1220.4000000000001</v>
      </c>
    </row>
    <row r="4698" spans="1:18" x14ac:dyDescent="0.3">
      <c r="A4698" s="2">
        <v>4691</v>
      </c>
      <c r="B4698" s="2" t="s">
        <v>4953</v>
      </c>
      <c r="C4698" s="2" t="s">
        <v>7489</v>
      </c>
      <c r="D4698" s="2" t="s">
        <v>51</v>
      </c>
      <c r="E4698" s="2" t="s">
        <v>16</v>
      </c>
      <c r="F4698" s="2">
        <v>90</v>
      </c>
      <c r="G4698" s="2" t="s">
        <v>10060</v>
      </c>
      <c r="H4698" s="2" t="s">
        <v>4739</v>
      </c>
      <c r="I4698" s="2" t="s">
        <v>59</v>
      </c>
      <c r="J4698" s="3">
        <v>44487</v>
      </c>
      <c r="K4698" s="5">
        <f>YEAR(OrganizedData[[#This Row],[Order Date]])</f>
        <v>2021</v>
      </c>
      <c r="L4698" s="7" t="str">
        <f>TEXT(OrganizedData[[#This Row],[Order Date]],"mmm")</f>
        <v>Oct</v>
      </c>
      <c r="M4698" s="2">
        <v>49</v>
      </c>
      <c r="N4698" s="2" t="s">
        <v>64</v>
      </c>
      <c r="O4698" s="2" t="str">
        <f>VLOOKUP(OrganizedData[[#This Row],[Product Code]],ProductData[[Code]:[Item]],2,FALSE)</f>
        <v>Ultrathing V4</v>
      </c>
      <c r="P4698" s="4">
        <f>OrganizedData[[#This Row],[Quantity]]*VLOOKUP(OrganizedData[[#This Row],[Product Code]],ProductData[],4,FALSE)</f>
        <v>1176</v>
      </c>
      <c r="Q4698" s="6">
        <f>OrganizedData[[#This Row],[Total Items Ordered]]*VLOOKUP(OrganizedData[[#This Row],[Product Code]],ProductData[],3,FALSE)</f>
        <v>4692.2400000000007</v>
      </c>
      <c r="R46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4551.4728000000005</v>
      </c>
    </row>
    <row r="4699" spans="1:18" x14ac:dyDescent="0.3">
      <c r="A4699" s="2">
        <v>4692</v>
      </c>
      <c r="B4699" s="2" t="s">
        <v>6176</v>
      </c>
      <c r="C4699" s="2" t="s">
        <v>3447</v>
      </c>
      <c r="D4699" s="2" t="s">
        <v>28</v>
      </c>
      <c r="E4699" s="2" t="s">
        <v>29</v>
      </c>
      <c r="F4699" s="2">
        <v>60</v>
      </c>
      <c r="G4699" s="2" t="s">
        <v>10061</v>
      </c>
      <c r="H4699" s="2" t="s">
        <v>1482</v>
      </c>
      <c r="I4699" s="2" t="s">
        <v>1483</v>
      </c>
      <c r="J4699" s="3">
        <v>44352</v>
      </c>
      <c r="K4699" s="5">
        <f>YEAR(OrganizedData[[#This Row],[Order Date]])</f>
        <v>2021</v>
      </c>
      <c r="L4699" s="7" t="str">
        <f>TEXT(OrganizedData[[#This Row],[Order Date]],"mmm")</f>
        <v>Jun</v>
      </c>
      <c r="M4699" s="2">
        <v>37</v>
      </c>
      <c r="N4699" s="2" t="s">
        <v>54</v>
      </c>
      <c r="O4699" s="2" t="str">
        <f>VLOOKUP(OrganizedData[[#This Row],[Product Code]],ProductData[[Code]:[Item]],2,FALSE)</f>
        <v>Megawidget S</v>
      </c>
      <c r="P4699" s="4">
        <f>OrganizedData[[#This Row],[Quantity]]*VLOOKUP(OrganizedData[[#This Row],[Product Code]],ProductData[],4,FALSE)</f>
        <v>888</v>
      </c>
      <c r="Q4699" s="6">
        <f>OrganizedData[[#This Row],[Total Items Ordered]]*VLOOKUP(OrganizedData[[#This Row],[Product Code]],ProductData[],3,FALSE)</f>
        <v>612.71999999999991</v>
      </c>
      <c r="R46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4700" spans="1:18" x14ac:dyDescent="0.3">
      <c r="A4700" s="2">
        <v>4693</v>
      </c>
      <c r="B4700" s="2" t="s">
        <v>10062</v>
      </c>
      <c r="C4700" s="2" t="s">
        <v>639</v>
      </c>
      <c r="D4700" s="2" t="s">
        <v>15</v>
      </c>
      <c r="E4700" s="2" t="s">
        <v>16</v>
      </c>
      <c r="F4700" s="2">
        <v>30</v>
      </c>
      <c r="G4700" s="2" t="s">
        <v>10063</v>
      </c>
      <c r="H4700" s="2" t="s">
        <v>3303</v>
      </c>
      <c r="I4700" s="2" t="s">
        <v>294</v>
      </c>
      <c r="J4700" s="3">
        <v>44714</v>
      </c>
      <c r="K4700" s="5">
        <f>YEAR(OrganizedData[[#This Row],[Order Date]])</f>
        <v>2022</v>
      </c>
      <c r="L4700" s="7" t="str">
        <f>TEXT(OrganizedData[[#This Row],[Order Date]],"mmm")</f>
        <v>Jun</v>
      </c>
      <c r="M4700" s="2">
        <v>36</v>
      </c>
      <c r="N4700" s="2" t="s">
        <v>39</v>
      </c>
      <c r="O4700" s="2" t="str">
        <f>VLOOKUP(OrganizedData[[#This Row],[Product Code]],ProductData[[Code]:[Item]],2,FALSE)</f>
        <v>Ultrathing V1</v>
      </c>
      <c r="P4700" s="4">
        <f>OrganizedData[[#This Row],[Quantity]]*VLOOKUP(OrganizedData[[#This Row],[Product Code]],ProductData[],4,FALSE)</f>
        <v>612</v>
      </c>
      <c r="Q4700" s="6">
        <f>OrganizedData[[#This Row],[Total Items Ordered]]*VLOOKUP(OrganizedData[[#This Row],[Product Code]],ProductData[],3,FALSE)</f>
        <v>1095.48</v>
      </c>
      <c r="R47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1062.6156000000001</v>
      </c>
    </row>
    <row r="4701" spans="1:18" x14ac:dyDescent="0.3">
      <c r="A4701" s="2">
        <v>4694</v>
      </c>
      <c r="B4701" s="2" t="s">
        <v>2073</v>
      </c>
      <c r="C4701" s="2" t="s">
        <v>3927</v>
      </c>
      <c r="D4701" s="2" t="s">
        <v>28</v>
      </c>
      <c r="E4701" s="2" t="s">
        <v>29</v>
      </c>
      <c r="F4701" s="2">
        <v>30</v>
      </c>
      <c r="G4701" s="2" t="s">
        <v>10064</v>
      </c>
      <c r="H4701" s="2" t="s">
        <v>2441</v>
      </c>
      <c r="I4701" s="2" t="s">
        <v>1199</v>
      </c>
      <c r="J4701" s="3">
        <v>44231</v>
      </c>
      <c r="K4701" s="5">
        <f>YEAR(OrganizedData[[#This Row],[Order Date]])</f>
        <v>2021</v>
      </c>
      <c r="L4701" s="7" t="str">
        <f>TEXT(OrganizedData[[#This Row],[Order Date]],"mmm")</f>
        <v>Feb</v>
      </c>
      <c r="M4701" s="2">
        <v>55</v>
      </c>
      <c r="N4701" s="2" t="s">
        <v>39</v>
      </c>
      <c r="O4701" s="2" t="str">
        <f>VLOOKUP(OrganizedData[[#This Row],[Product Code]],ProductData[[Code]:[Item]],2,FALSE)</f>
        <v>Ultrathing V1</v>
      </c>
      <c r="P4701" s="4">
        <f>OrganizedData[[#This Row],[Quantity]]*VLOOKUP(OrganizedData[[#This Row],[Product Code]],ProductData[],4,FALSE)</f>
        <v>935</v>
      </c>
      <c r="Q4701" s="6">
        <f>OrganizedData[[#This Row],[Total Items Ordered]]*VLOOKUP(OrganizedData[[#This Row],[Product Code]],ProductData[],3,FALSE)</f>
        <v>1673.65</v>
      </c>
      <c r="R47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4702" spans="1:18" x14ac:dyDescent="0.3">
      <c r="A4702" s="2">
        <v>4695</v>
      </c>
      <c r="B4702" s="2" t="s">
        <v>10065</v>
      </c>
      <c r="C4702" s="2" t="s">
        <v>4422</v>
      </c>
      <c r="D4702" s="2" t="s">
        <v>28</v>
      </c>
      <c r="E4702" s="2" t="s">
        <v>29</v>
      </c>
      <c r="F4702" s="2">
        <v>90</v>
      </c>
      <c r="G4702" s="2" t="s">
        <v>10066</v>
      </c>
      <c r="H4702" s="2" t="s">
        <v>3351</v>
      </c>
      <c r="I4702" s="2" t="s">
        <v>32</v>
      </c>
      <c r="J4702" s="3">
        <v>44783</v>
      </c>
      <c r="K4702" s="5">
        <f>YEAR(OrganizedData[[#This Row],[Order Date]])</f>
        <v>2022</v>
      </c>
      <c r="L4702" s="7" t="str">
        <f>TEXT(OrganizedData[[#This Row],[Order Date]],"mmm")</f>
        <v>Aug</v>
      </c>
      <c r="M4702" s="2">
        <v>46</v>
      </c>
      <c r="N4702" s="2" t="s">
        <v>80</v>
      </c>
      <c r="O4702" s="2" t="str">
        <f>VLOOKUP(OrganizedData[[#This Row],[Product Code]],ProductData[[Code]:[Item]],2,FALSE)</f>
        <v>Ultrathing V2</v>
      </c>
      <c r="P4702" s="4">
        <f>OrganizedData[[#This Row],[Quantity]]*VLOOKUP(OrganizedData[[#This Row],[Product Code]],ProductData[],4,FALSE)</f>
        <v>920</v>
      </c>
      <c r="Q4702" s="6">
        <f>OrganizedData[[#This Row],[Total Items Ordered]]*VLOOKUP(OrganizedData[[#This Row],[Product Code]],ProductData[],3,FALSE)</f>
        <v>2714</v>
      </c>
      <c r="R47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2632.58</v>
      </c>
    </row>
    <row r="4703" spans="1:18" x14ac:dyDescent="0.3">
      <c r="A4703" s="2">
        <v>4696</v>
      </c>
      <c r="B4703" s="2" t="s">
        <v>2625</v>
      </c>
      <c r="C4703" s="2" t="s">
        <v>7825</v>
      </c>
      <c r="D4703" s="2" t="s">
        <v>28</v>
      </c>
      <c r="E4703" s="2" t="s">
        <v>29</v>
      </c>
      <c r="F4703" s="2">
        <v>90</v>
      </c>
      <c r="G4703" s="2" t="s">
        <v>10067</v>
      </c>
      <c r="H4703" s="2" t="s">
        <v>4541</v>
      </c>
      <c r="I4703" s="2" t="s">
        <v>89</v>
      </c>
      <c r="J4703" s="3">
        <v>44882</v>
      </c>
      <c r="K4703" s="5">
        <f>YEAR(OrganizedData[[#This Row],[Order Date]])</f>
        <v>2022</v>
      </c>
      <c r="L4703" s="7" t="str">
        <f>TEXT(OrganizedData[[#This Row],[Order Date]],"mmm")</f>
        <v>Nov</v>
      </c>
      <c r="M4703" s="2">
        <v>11</v>
      </c>
      <c r="N4703" s="2" t="s">
        <v>159</v>
      </c>
      <c r="O4703" s="2" t="str">
        <f>VLOOKUP(OrganizedData[[#This Row],[Product Code]],ProductData[[Code]:[Item]],2,FALSE)</f>
        <v>Ultrathing V3</v>
      </c>
      <c r="P4703" s="4">
        <f>OrganizedData[[#This Row],[Quantity]]*VLOOKUP(OrganizedData[[#This Row],[Product Code]],ProductData[],4,FALSE)</f>
        <v>264</v>
      </c>
      <c r="Q4703" s="6">
        <f>OrganizedData[[#This Row],[Total Items Ordered]]*VLOOKUP(OrganizedData[[#This Row],[Product Code]],ProductData[],3,FALSE)</f>
        <v>894.96</v>
      </c>
      <c r="R47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894.96</v>
      </c>
    </row>
    <row r="4704" spans="1:18" x14ac:dyDescent="0.3">
      <c r="A4704" s="2">
        <v>4697</v>
      </c>
      <c r="B4704" s="2" t="s">
        <v>3910</v>
      </c>
      <c r="C4704" s="2" t="s">
        <v>2365</v>
      </c>
      <c r="D4704" s="2" t="s">
        <v>28</v>
      </c>
      <c r="E4704" s="2" t="s">
        <v>29</v>
      </c>
      <c r="F4704" s="2">
        <v>90</v>
      </c>
      <c r="G4704" s="2" t="s">
        <v>10068</v>
      </c>
      <c r="H4704" s="2" t="s">
        <v>10069</v>
      </c>
      <c r="I4704" s="2" t="s">
        <v>32</v>
      </c>
      <c r="J4704" s="3">
        <v>44752</v>
      </c>
      <c r="K4704" s="5">
        <f>YEAR(OrganizedData[[#This Row],[Order Date]])</f>
        <v>2022</v>
      </c>
      <c r="L4704" s="7" t="str">
        <f>TEXT(OrganizedData[[#This Row],[Order Date]],"mmm")</f>
        <v>Jul</v>
      </c>
      <c r="M4704" s="2">
        <v>79</v>
      </c>
      <c r="N4704" s="2" t="s">
        <v>80</v>
      </c>
      <c r="O4704" s="2" t="str">
        <f>VLOOKUP(OrganizedData[[#This Row],[Product Code]],ProductData[[Code]:[Item]],2,FALSE)</f>
        <v>Ultrathing V2</v>
      </c>
      <c r="P4704" s="4">
        <f>OrganizedData[[#This Row],[Quantity]]*VLOOKUP(OrganizedData[[#This Row],[Product Code]],ProductData[],4,FALSE)</f>
        <v>1580</v>
      </c>
      <c r="Q4704" s="6">
        <f>OrganizedData[[#This Row],[Total Items Ordered]]*VLOOKUP(OrganizedData[[#This Row],[Product Code]],ProductData[],3,FALSE)</f>
        <v>4661</v>
      </c>
      <c r="R47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4427.95</v>
      </c>
    </row>
    <row r="4705" spans="1:18" x14ac:dyDescent="0.3">
      <c r="A4705" s="2">
        <v>4698</v>
      </c>
      <c r="B4705" s="2" t="s">
        <v>7838</v>
      </c>
      <c r="C4705" s="2" t="s">
        <v>2095</v>
      </c>
      <c r="D4705" s="2" t="s">
        <v>28</v>
      </c>
      <c r="E4705" s="2" t="s">
        <v>29</v>
      </c>
      <c r="F4705" s="2">
        <v>90</v>
      </c>
      <c r="G4705" s="2" t="s">
        <v>10070</v>
      </c>
      <c r="H4705" s="2" t="s">
        <v>9561</v>
      </c>
      <c r="I4705" s="2" t="s">
        <v>913</v>
      </c>
      <c r="J4705" s="3">
        <v>44543</v>
      </c>
      <c r="K4705" s="5">
        <f>YEAR(OrganizedData[[#This Row],[Order Date]])</f>
        <v>2021</v>
      </c>
      <c r="L4705" s="7" t="str">
        <f>TEXT(OrganizedData[[#This Row],[Order Date]],"mmm")</f>
        <v>Dec</v>
      </c>
      <c r="M4705" s="2">
        <v>77</v>
      </c>
      <c r="N4705" s="2" t="s">
        <v>80</v>
      </c>
      <c r="O4705" s="2" t="str">
        <f>VLOOKUP(OrganizedData[[#This Row],[Product Code]],ProductData[[Code]:[Item]],2,FALSE)</f>
        <v>Ultrathing V2</v>
      </c>
      <c r="P4705" s="4">
        <f>OrganizedData[[#This Row],[Quantity]]*VLOOKUP(OrganizedData[[#This Row],[Product Code]],ProductData[],4,FALSE)</f>
        <v>1540</v>
      </c>
      <c r="Q4705" s="6">
        <f>OrganizedData[[#This Row],[Total Items Ordered]]*VLOOKUP(OrganizedData[[#This Row],[Product Code]],ProductData[],3,FALSE)</f>
        <v>4543</v>
      </c>
      <c r="R47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4315.8499999999995</v>
      </c>
    </row>
    <row r="4706" spans="1:18" x14ac:dyDescent="0.3">
      <c r="A4706" s="2">
        <v>4699</v>
      </c>
      <c r="B4706" s="2" t="s">
        <v>10071</v>
      </c>
      <c r="C4706" s="2" t="s">
        <v>6447</v>
      </c>
      <c r="D4706" s="2" t="s">
        <v>51</v>
      </c>
      <c r="E4706" s="2" t="s">
        <v>16</v>
      </c>
      <c r="F4706" s="2">
        <v>90</v>
      </c>
      <c r="G4706" s="2" t="s">
        <v>10072</v>
      </c>
      <c r="H4706" s="2" t="s">
        <v>510</v>
      </c>
      <c r="I4706" s="2" t="s">
        <v>32</v>
      </c>
      <c r="J4706" s="3">
        <v>44808</v>
      </c>
      <c r="K4706" s="5">
        <f>YEAR(OrganizedData[[#This Row],[Order Date]])</f>
        <v>2022</v>
      </c>
      <c r="L4706" s="7" t="str">
        <f>TEXT(OrganizedData[[#This Row],[Order Date]],"mmm")</f>
        <v>Sep</v>
      </c>
      <c r="M4706" s="2">
        <v>24</v>
      </c>
      <c r="N4706" s="2" t="s">
        <v>45</v>
      </c>
      <c r="O4706" s="2" t="str">
        <f>VLOOKUP(OrganizedData[[#This Row],[Product Code]],ProductData[[Code]:[Item]],2,FALSE)</f>
        <v>Gigastuff</v>
      </c>
      <c r="P4706" s="4">
        <f>OrganizedData[[#This Row],[Quantity]]*VLOOKUP(OrganizedData[[#This Row],[Product Code]],ProductData[],4,FALSE)</f>
        <v>432</v>
      </c>
      <c r="Q4706" s="6">
        <f>OrganizedData[[#This Row],[Total Items Ordered]]*VLOOKUP(OrganizedData[[#This Row],[Product Code]],ProductData[],3,FALSE)</f>
        <v>816.4799999999999</v>
      </c>
      <c r="R47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791.98559999999986</v>
      </c>
    </row>
    <row r="4707" spans="1:18" x14ac:dyDescent="0.3">
      <c r="A4707" s="2">
        <v>4700</v>
      </c>
      <c r="B4707" s="2" t="s">
        <v>6975</v>
      </c>
      <c r="C4707" s="2" t="s">
        <v>210</v>
      </c>
      <c r="D4707" s="2" t="s">
        <v>15</v>
      </c>
      <c r="E4707" s="2" t="s">
        <v>16</v>
      </c>
      <c r="F4707" s="2">
        <v>90</v>
      </c>
      <c r="G4707" s="2" t="s">
        <v>10073</v>
      </c>
      <c r="H4707" s="2" t="s">
        <v>1258</v>
      </c>
      <c r="I4707" s="2" t="s">
        <v>32</v>
      </c>
      <c r="J4707" s="3">
        <v>44832</v>
      </c>
      <c r="K4707" s="5">
        <f>YEAR(OrganizedData[[#This Row],[Order Date]])</f>
        <v>2022</v>
      </c>
      <c r="L4707" s="7" t="str">
        <f>TEXT(OrganizedData[[#This Row],[Order Date]],"mmm")</f>
        <v>Sep</v>
      </c>
      <c r="M4707" s="2">
        <v>33</v>
      </c>
      <c r="N4707" s="2" t="s">
        <v>64</v>
      </c>
      <c r="O4707" s="2" t="str">
        <f>VLOOKUP(OrganizedData[[#This Row],[Product Code]],ProductData[[Code]:[Item]],2,FALSE)</f>
        <v>Ultrathing V4</v>
      </c>
      <c r="P4707" s="4">
        <f>OrganizedData[[#This Row],[Quantity]]*VLOOKUP(OrganizedData[[#This Row],[Product Code]],ProductData[],4,FALSE)</f>
        <v>792</v>
      </c>
      <c r="Q4707" s="6">
        <f>OrganizedData[[#This Row],[Total Items Ordered]]*VLOOKUP(OrganizedData[[#This Row],[Product Code]],ProductData[],3,FALSE)</f>
        <v>3160.0800000000004</v>
      </c>
      <c r="R47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3065.2776000000003</v>
      </c>
    </row>
    <row r="4708" spans="1:18" x14ac:dyDescent="0.3">
      <c r="A4708" s="2">
        <v>4701</v>
      </c>
      <c r="B4708" s="2" t="s">
        <v>1363</v>
      </c>
      <c r="C4708" s="2" t="s">
        <v>3439</v>
      </c>
      <c r="D4708" s="2" t="s">
        <v>621</v>
      </c>
      <c r="E4708" s="2" t="s">
        <v>29</v>
      </c>
      <c r="F4708" s="2">
        <v>90</v>
      </c>
      <c r="G4708" s="2" t="s">
        <v>10074</v>
      </c>
      <c r="H4708" s="2" t="s">
        <v>708</v>
      </c>
      <c r="I4708" s="2" t="s">
        <v>294</v>
      </c>
      <c r="J4708" s="3">
        <v>44056</v>
      </c>
      <c r="K4708" s="5">
        <f>YEAR(OrganizedData[[#This Row],[Order Date]])</f>
        <v>2020</v>
      </c>
      <c r="L4708" s="7" t="str">
        <f>TEXT(OrganizedData[[#This Row],[Order Date]],"mmm")</f>
        <v>Aug</v>
      </c>
      <c r="M4708" s="2">
        <v>59</v>
      </c>
      <c r="N4708" s="2" t="s">
        <v>39</v>
      </c>
      <c r="O4708" s="2" t="str">
        <f>VLOOKUP(OrganizedData[[#This Row],[Product Code]],ProductData[[Code]:[Item]],2,FALSE)</f>
        <v>Ultrathing V1</v>
      </c>
      <c r="P4708" s="4">
        <f>OrganizedData[[#This Row],[Quantity]]*VLOOKUP(OrganizedData[[#This Row],[Product Code]],ProductData[],4,FALSE)</f>
        <v>1003</v>
      </c>
      <c r="Q4708" s="6">
        <f>OrganizedData[[#This Row],[Total Items Ordered]]*VLOOKUP(OrganizedData[[#This Row],[Product Code]],ProductData[],3,FALSE)</f>
        <v>1795.3700000000001</v>
      </c>
      <c r="R47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1705.6015</v>
      </c>
    </row>
    <row r="4709" spans="1:18" x14ac:dyDescent="0.3">
      <c r="A4709" s="2">
        <v>4702</v>
      </c>
      <c r="B4709" s="2" t="s">
        <v>10075</v>
      </c>
      <c r="C4709" s="2" t="s">
        <v>2438</v>
      </c>
      <c r="D4709" s="2" t="s">
        <v>41</v>
      </c>
      <c r="E4709" s="2" t="s">
        <v>16</v>
      </c>
      <c r="F4709" s="2">
        <v>30</v>
      </c>
      <c r="G4709" s="2" t="s">
        <v>10076</v>
      </c>
      <c r="H4709" s="2" t="s">
        <v>641</v>
      </c>
      <c r="I4709" s="2" t="s">
        <v>294</v>
      </c>
      <c r="J4709" s="3">
        <v>44574</v>
      </c>
      <c r="K4709" s="5">
        <f>YEAR(OrganizedData[[#This Row],[Order Date]])</f>
        <v>2022</v>
      </c>
      <c r="L4709" s="7" t="str">
        <f>TEXT(OrganizedData[[#This Row],[Order Date]],"mmm")</f>
        <v>Jan</v>
      </c>
      <c r="M4709" s="2">
        <v>7</v>
      </c>
      <c r="N4709" s="2" t="s">
        <v>54</v>
      </c>
      <c r="O4709" s="2" t="str">
        <f>VLOOKUP(OrganizedData[[#This Row],[Product Code]],ProductData[[Code]:[Item]],2,FALSE)</f>
        <v>Megawidget S</v>
      </c>
      <c r="P4709" s="4">
        <f>OrganizedData[[#This Row],[Quantity]]*VLOOKUP(OrganizedData[[#This Row],[Product Code]],ProductData[],4,FALSE)</f>
        <v>168</v>
      </c>
      <c r="Q4709" s="6">
        <f>OrganizedData[[#This Row],[Total Items Ordered]]*VLOOKUP(OrganizedData[[#This Row],[Product Code]],ProductData[],3,FALSE)</f>
        <v>115.91999999999999</v>
      </c>
      <c r="R47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115.91999999999999</v>
      </c>
    </row>
    <row r="4710" spans="1:18" x14ac:dyDescent="0.3">
      <c r="A4710" s="2">
        <v>4703</v>
      </c>
      <c r="B4710" s="2" t="s">
        <v>10077</v>
      </c>
      <c r="C4710" s="2" t="s">
        <v>1072</v>
      </c>
      <c r="D4710" s="2" t="s">
        <v>51</v>
      </c>
      <c r="E4710" s="2" t="s">
        <v>16</v>
      </c>
      <c r="F4710" s="2">
        <v>60</v>
      </c>
      <c r="G4710" s="2" t="s">
        <v>10078</v>
      </c>
      <c r="H4710" s="2" t="s">
        <v>5399</v>
      </c>
      <c r="I4710" s="2" t="s">
        <v>32</v>
      </c>
      <c r="J4710" s="3">
        <v>44291</v>
      </c>
      <c r="K4710" s="5">
        <f>YEAR(OrganizedData[[#This Row],[Order Date]])</f>
        <v>2021</v>
      </c>
      <c r="L4710" s="7" t="str">
        <f>TEXT(OrganizedData[[#This Row],[Order Date]],"mmm")</f>
        <v>Apr</v>
      </c>
      <c r="M4710" s="2">
        <v>75</v>
      </c>
      <c r="N4710" s="2" t="s">
        <v>45</v>
      </c>
      <c r="O4710" s="2" t="str">
        <f>VLOOKUP(OrganizedData[[#This Row],[Product Code]],ProductData[[Code]:[Item]],2,FALSE)</f>
        <v>Gigastuff</v>
      </c>
      <c r="P4710" s="4">
        <f>OrganizedData[[#This Row],[Quantity]]*VLOOKUP(OrganizedData[[#This Row],[Product Code]],ProductData[],4,FALSE)</f>
        <v>1350</v>
      </c>
      <c r="Q4710" s="6">
        <f>OrganizedData[[#This Row],[Total Items Ordered]]*VLOOKUP(OrganizedData[[#This Row],[Product Code]],ProductData[],3,FALSE)</f>
        <v>2551.5</v>
      </c>
      <c r="R47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2423.9249999999997</v>
      </c>
    </row>
    <row r="4711" spans="1:18" x14ac:dyDescent="0.3">
      <c r="A4711" s="2">
        <v>4704</v>
      </c>
      <c r="B4711" s="2" t="s">
        <v>10079</v>
      </c>
      <c r="C4711" s="2" t="s">
        <v>5590</v>
      </c>
      <c r="D4711" s="2" t="s">
        <v>51</v>
      </c>
      <c r="E4711" s="2" t="s">
        <v>16</v>
      </c>
      <c r="F4711" s="2">
        <v>90</v>
      </c>
      <c r="G4711" s="2" t="s">
        <v>10080</v>
      </c>
      <c r="H4711" s="2" t="s">
        <v>2877</v>
      </c>
      <c r="I4711" s="2" t="s">
        <v>2878</v>
      </c>
      <c r="J4711" s="3">
        <v>44622</v>
      </c>
      <c r="K4711" s="5">
        <f>YEAR(OrganizedData[[#This Row],[Order Date]])</f>
        <v>2022</v>
      </c>
      <c r="L4711" s="7" t="str">
        <f>TEXT(OrganizedData[[#This Row],[Order Date]],"mmm")</f>
        <v>Mar</v>
      </c>
      <c r="M4711" s="2">
        <v>54</v>
      </c>
      <c r="N4711" s="2" t="s">
        <v>159</v>
      </c>
      <c r="O4711" s="2" t="str">
        <f>VLOOKUP(OrganizedData[[#This Row],[Product Code]],ProductData[[Code]:[Item]],2,FALSE)</f>
        <v>Ultrathing V3</v>
      </c>
      <c r="P4711" s="4">
        <f>OrganizedData[[#This Row],[Quantity]]*VLOOKUP(OrganizedData[[#This Row],[Product Code]],ProductData[],4,FALSE)</f>
        <v>1296</v>
      </c>
      <c r="Q4711" s="6">
        <f>OrganizedData[[#This Row],[Total Items Ordered]]*VLOOKUP(OrganizedData[[#This Row],[Product Code]],ProductData[],3,FALSE)</f>
        <v>4393.4400000000005</v>
      </c>
      <c r="R47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4173.768</v>
      </c>
    </row>
    <row r="4712" spans="1:18" x14ac:dyDescent="0.3">
      <c r="A4712" s="2">
        <v>4705</v>
      </c>
      <c r="B4712" s="2" t="s">
        <v>5702</v>
      </c>
      <c r="C4712" s="2" t="s">
        <v>1783</v>
      </c>
      <c r="D4712" s="2" t="s">
        <v>28</v>
      </c>
      <c r="E4712" s="2" t="s">
        <v>29</v>
      </c>
      <c r="F4712" s="2">
        <v>90</v>
      </c>
      <c r="G4712" s="2" t="s">
        <v>10081</v>
      </c>
      <c r="H4712" s="2" t="s">
        <v>710</v>
      </c>
      <c r="I4712" s="2" t="s">
        <v>187</v>
      </c>
      <c r="J4712" s="3">
        <v>44703</v>
      </c>
      <c r="K4712" s="5">
        <f>YEAR(OrganizedData[[#This Row],[Order Date]])</f>
        <v>2022</v>
      </c>
      <c r="L4712" s="7" t="str">
        <f>TEXT(OrganizedData[[#This Row],[Order Date]],"mmm")</f>
        <v>May</v>
      </c>
      <c r="M4712" s="2">
        <v>78</v>
      </c>
      <c r="N4712" s="2" t="s">
        <v>80</v>
      </c>
      <c r="O4712" s="2" t="str">
        <f>VLOOKUP(OrganizedData[[#This Row],[Product Code]],ProductData[[Code]:[Item]],2,FALSE)</f>
        <v>Ultrathing V2</v>
      </c>
      <c r="P4712" s="4">
        <f>OrganizedData[[#This Row],[Quantity]]*VLOOKUP(OrganizedData[[#This Row],[Product Code]],ProductData[],4,FALSE)</f>
        <v>1560</v>
      </c>
      <c r="Q4712" s="6">
        <f>OrganizedData[[#This Row],[Total Items Ordered]]*VLOOKUP(OrganizedData[[#This Row],[Product Code]],ProductData[],3,FALSE)</f>
        <v>4602</v>
      </c>
      <c r="R47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4713" spans="1:18" x14ac:dyDescent="0.3">
      <c r="A4713" s="2">
        <v>4706</v>
      </c>
      <c r="B4713" s="2" t="s">
        <v>6598</v>
      </c>
      <c r="C4713" s="2" t="s">
        <v>1835</v>
      </c>
      <c r="D4713" s="2" t="s">
        <v>15</v>
      </c>
      <c r="E4713" s="2" t="s">
        <v>16</v>
      </c>
      <c r="F4713" s="2">
        <v>90</v>
      </c>
      <c r="G4713" s="2" t="s">
        <v>10082</v>
      </c>
      <c r="H4713" s="2" t="s">
        <v>7946</v>
      </c>
      <c r="I4713" s="2" t="s">
        <v>32</v>
      </c>
      <c r="J4713" s="3">
        <v>44581</v>
      </c>
      <c r="K4713" s="5">
        <f>YEAR(OrganizedData[[#This Row],[Order Date]])</f>
        <v>2022</v>
      </c>
      <c r="L4713" s="7" t="str">
        <f>TEXT(OrganizedData[[#This Row],[Order Date]],"mmm")</f>
        <v>Jan</v>
      </c>
      <c r="M4713" s="2">
        <v>46</v>
      </c>
      <c r="N4713" s="2" t="s">
        <v>101</v>
      </c>
      <c r="O4713" s="2" t="str">
        <f>VLOOKUP(OrganizedData[[#This Row],[Product Code]],ProductData[[Code]:[Item]],2,FALSE)</f>
        <v>Superwossname</v>
      </c>
      <c r="P4713" s="4">
        <f>OrganizedData[[#This Row],[Quantity]]*VLOOKUP(OrganizedData[[#This Row],[Product Code]],ProductData[],4,FALSE)</f>
        <v>920</v>
      </c>
      <c r="Q4713" s="6">
        <f>OrganizedData[[#This Row],[Total Items Ordered]]*VLOOKUP(OrganizedData[[#This Row],[Product Code]],ProductData[],3,FALSE)</f>
        <v>3210.8</v>
      </c>
      <c r="R47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4714" spans="1:18" x14ac:dyDescent="0.3">
      <c r="A4714" s="2">
        <v>4707</v>
      </c>
      <c r="B4714" s="2" t="s">
        <v>5972</v>
      </c>
      <c r="C4714" s="2" t="s">
        <v>3496</v>
      </c>
      <c r="D4714" s="2" t="s">
        <v>92</v>
      </c>
      <c r="E4714" s="2" t="s">
        <v>29</v>
      </c>
      <c r="F4714" s="2">
        <v>90</v>
      </c>
      <c r="G4714" s="2" t="s">
        <v>10083</v>
      </c>
      <c r="H4714" s="2" t="s">
        <v>3215</v>
      </c>
      <c r="I4714" s="2" t="s">
        <v>32</v>
      </c>
      <c r="J4714" s="3">
        <v>44354</v>
      </c>
      <c r="K4714" s="5">
        <f>YEAR(OrganizedData[[#This Row],[Order Date]])</f>
        <v>2021</v>
      </c>
      <c r="L4714" s="7" t="str">
        <f>TEXT(OrganizedData[[#This Row],[Order Date]],"mmm")</f>
        <v>Jun</v>
      </c>
      <c r="M4714" s="2">
        <v>6</v>
      </c>
      <c r="N4714" s="2" t="s">
        <v>64</v>
      </c>
      <c r="O4714" s="2" t="str">
        <f>VLOOKUP(OrganizedData[[#This Row],[Product Code]],ProductData[[Code]:[Item]],2,FALSE)</f>
        <v>Ultrathing V4</v>
      </c>
      <c r="P4714" s="4">
        <f>OrganizedData[[#This Row],[Quantity]]*VLOOKUP(OrganizedData[[#This Row],[Product Code]],ProductData[],4,FALSE)</f>
        <v>144</v>
      </c>
      <c r="Q4714" s="6">
        <f>OrganizedData[[#This Row],[Total Items Ordered]]*VLOOKUP(OrganizedData[[#This Row],[Product Code]],ProductData[],3,FALSE)</f>
        <v>574.56000000000006</v>
      </c>
      <c r="R47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574.56000000000006</v>
      </c>
    </row>
    <row r="4715" spans="1:18" x14ac:dyDescent="0.3">
      <c r="A4715" s="2">
        <v>4708</v>
      </c>
      <c r="B4715" s="2" t="s">
        <v>3910</v>
      </c>
      <c r="C4715" s="2" t="s">
        <v>840</v>
      </c>
      <c r="D4715" s="2" t="s">
        <v>28</v>
      </c>
      <c r="E4715" s="2" t="s">
        <v>29</v>
      </c>
      <c r="F4715" s="2">
        <v>90</v>
      </c>
      <c r="G4715" s="2" t="s">
        <v>10084</v>
      </c>
      <c r="H4715" s="2" t="s">
        <v>1095</v>
      </c>
      <c r="I4715" s="2" t="s">
        <v>178</v>
      </c>
      <c r="J4715" s="3">
        <v>44384</v>
      </c>
      <c r="K4715" s="5">
        <f>YEAR(OrganizedData[[#This Row],[Order Date]])</f>
        <v>2021</v>
      </c>
      <c r="L4715" s="7" t="str">
        <f>TEXT(OrganizedData[[#This Row],[Order Date]],"mmm")</f>
        <v>Jul</v>
      </c>
      <c r="M4715" s="2">
        <v>53</v>
      </c>
      <c r="N4715" s="2" t="s">
        <v>33</v>
      </c>
      <c r="O4715" s="2" t="str">
        <f>VLOOKUP(OrganizedData[[#This Row],[Product Code]],ProductData[[Code]:[Item]],2,FALSE)</f>
        <v>Megawidget L</v>
      </c>
      <c r="P4715" s="4">
        <f>OrganizedData[[#This Row],[Quantity]]*VLOOKUP(OrganizedData[[#This Row],[Product Code]],ProductData[],4,FALSE)</f>
        <v>1272</v>
      </c>
      <c r="Q4715" s="6">
        <f>OrganizedData[[#This Row],[Total Items Ordered]]*VLOOKUP(OrganizedData[[#This Row],[Product Code]],ProductData[],3,FALSE)</f>
        <v>2276.88</v>
      </c>
      <c r="R47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2163.0360000000001</v>
      </c>
    </row>
    <row r="4716" spans="1:18" x14ac:dyDescent="0.3">
      <c r="A4716" s="2">
        <v>4709</v>
      </c>
      <c r="B4716" s="2" t="s">
        <v>1030</v>
      </c>
      <c r="C4716" s="2" t="s">
        <v>8721</v>
      </c>
      <c r="D4716" s="2" t="s">
        <v>28</v>
      </c>
      <c r="E4716" s="2" t="s">
        <v>29</v>
      </c>
      <c r="F4716" s="2">
        <v>60</v>
      </c>
      <c r="G4716" s="2" t="s">
        <v>10085</v>
      </c>
      <c r="H4716" s="2" t="s">
        <v>9418</v>
      </c>
      <c r="I4716" s="2" t="s">
        <v>1889</v>
      </c>
      <c r="J4716" s="3">
        <v>44830</v>
      </c>
      <c r="K4716" s="5">
        <f>YEAR(OrganizedData[[#This Row],[Order Date]])</f>
        <v>2022</v>
      </c>
      <c r="L4716" s="7" t="str">
        <f>TEXT(OrganizedData[[#This Row],[Order Date]],"mmm")</f>
        <v>Sep</v>
      </c>
      <c r="M4716" s="2">
        <v>50</v>
      </c>
      <c r="N4716" s="2" t="s">
        <v>80</v>
      </c>
      <c r="O4716" s="2" t="str">
        <f>VLOOKUP(OrganizedData[[#This Row],[Product Code]],ProductData[[Code]:[Item]],2,FALSE)</f>
        <v>Ultrathing V2</v>
      </c>
      <c r="P4716" s="4">
        <f>OrganizedData[[#This Row],[Quantity]]*VLOOKUP(OrganizedData[[#This Row],[Product Code]],ProductData[],4,FALSE)</f>
        <v>1000</v>
      </c>
      <c r="Q4716" s="6">
        <f>OrganizedData[[#This Row],[Total Items Ordered]]*VLOOKUP(OrganizedData[[#This Row],[Product Code]],ProductData[],3,FALSE)</f>
        <v>2950</v>
      </c>
      <c r="R47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2861.5</v>
      </c>
    </row>
    <row r="4717" spans="1:18" x14ac:dyDescent="0.3">
      <c r="A4717" s="2">
        <v>4710</v>
      </c>
      <c r="B4717" s="2" t="s">
        <v>1375</v>
      </c>
      <c r="C4717" s="2" t="s">
        <v>3026</v>
      </c>
      <c r="D4717" s="2" t="s">
        <v>28</v>
      </c>
      <c r="E4717" s="2" t="s">
        <v>29</v>
      </c>
      <c r="F4717" s="2">
        <v>90</v>
      </c>
      <c r="G4717" s="2" t="s">
        <v>10086</v>
      </c>
      <c r="H4717" s="2" t="s">
        <v>1206</v>
      </c>
      <c r="I4717" s="2" t="s">
        <v>294</v>
      </c>
      <c r="J4717" s="3">
        <v>43918</v>
      </c>
      <c r="K4717" s="5">
        <f>YEAR(OrganizedData[[#This Row],[Order Date]])</f>
        <v>2020</v>
      </c>
      <c r="L4717" s="7" t="str">
        <f>TEXT(OrganizedData[[#This Row],[Order Date]],"mmm")</f>
        <v>Mar</v>
      </c>
      <c r="M4717" s="2">
        <v>19</v>
      </c>
      <c r="N4717" s="2" t="s">
        <v>80</v>
      </c>
      <c r="O4717" s="2" t="str">
        <f>VLOOKUP(OrganizedData[[#This Row],[Product Code]],ProductData[[Code]:[Item]],2,FALSE)</f>
        <v>Ultrathing V2</v>
      </c>
      <c r="P4717" s="4">
        <f>OrganizedData[[#This Row],[Quantity]]*VLOOKUP(OrganizedData[[#This Row],[Product Code]],ProductData[],4,FALSE)</f>
        <v>380</v>
      </c>
      <c r="Q4717" s="6">
        <f>OrganizedData[[#This Row],[Total Items Ordered]]*VLOOKUP(OrganizedData[[#This Row],[Product Code]],ProductData[],3,FALSE)</f>
        <v>1121</v>
      </c>
      <c r="R47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1121</v>
      </c>
    </row>
    <row r="4718" spans="1:18" x14ac:dyDescent="0.3">
      <c r="A4718" s="2">
        <v>4711</v>
      </c>
      <c r="B4718" s="2" t="s">
        <v>5960</v>
      </c>
      <c r="C4718" s="2" t="s">
        <v>560</v>
      </c>
      <c r="D4718" s="2" t="s">
        <v>28</v>
      </c>
      <c r="E4718" s="2" t="s">
        <v>29</v>
      </c>
      <c r="F4718" s="2">
        <v>90</v>
      </c>
      <c r="G4718" s="2" t="s">
        <v>10087</v>
      </c>
      <c r="H4718" s="2" t="s">
        <v>1660</v>
      </c>
      <c r="I4718" s="2" t="s">
        <v>32</v>
      </c>
      <c r="J4718" s="3">
        <v>44123</v>
      </c>
      <c r="K4718" s="5">
        <f>YEAR(OrganizedData[[#This Row],[Order Date]])</f>
        <v>2020</v>
      </c>
      <c r="L4718" s="7" t="str">
        <f>TEXT(OrganizedData[[#This Row],[Order Date]],"mmm")</f>
        <v>Oct</v>
      </c>
      <c r="M4718" s="2">
        <v>70</v>
      </c>
      <c r="N4718" s="2" t="s">
        <v>39</v>
      </c>
      <c r="O4718" s="2" t="str">
        <f>VLOOKUP(OrganizedData[[#This Row],[Product Code]],ProductData[[Code]:[Item]],2,FALSE)</f>
        <v>Ultrathing V1</v>
      </c>
      <c r="P4718" s="4">
        <f>OrganizedData[[#This Row],[Quantity]]*VLOOKUP(OrganizedData[[#This Row],[Product Code]],ProductData[],4,FALSE)</f>
        <v>1190</v>
      </c>
      <c r="Q4718" s="6">
        <f>OrganizedData[[#This Row],[Total Items Ordered]]*VLOOKUP(OrganizedData[[#This Row],[Product Code]],ProductData[],3,FALSE)</f>
        <v>2130.1</v>
      </c>
      <c r="R47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2023.5949999999998</v>
      </c>
    </row>
    <row r="4719" spans="1:18" x14ac:dyDescent="0.3">
      <c r="A4719" s="2">
        <v>4712</v>
      </c>
      <c r="B4719" s="2" t="s">
        <v>10088</v>
      </c>
      <c r="C4719" s="2" t="s">
        <v>8026</v>
      </c>
      <c r="D4719" s="2" t="s">
        <v>92</v>
      </c>
      <c r="E4719" s="2" t="s">
        <v>16</v>
      </c>
      <c r="F4719" s="2">
        <v>60</v>
      </c>
      <c r="G4719" s="2" t="s">
        <v>10089</v>
      </c>
      <c r="H4719" s="2" t="s">
        <v>5781</v>
      </c>
      <c r="I4719" s="2" t="s">
        <v>32</v>
      </c>
      <c r="J4719" s="3">
        <v>44274</v>
      </c>
      <c r="K4719" s="5">
        <f>YEAR(OrganizedData[[#This Row],[Order Date]])</f>
        <v>2021</v>
      </c>
      <c r="L4719" s="7" t="str">
        <f>TEXT(OrganizedData[[#This Row],[Order Date]],"mmm")</f>
        <v>Mar</v>
      </c>
      <c r="M4719" s="2">
        <v>2</v>
      </c>
      <c r="N4719" s="2" t="s">
        <v>20</v>
      </c>
      <c r="O4719" s="2" t="str">
        <f>VLOOKUP(OrganizedData[[#This Row],[Product Code]],ProductData[[Code]:[Item]],2,FALSE)</f>
        <v>Hyperwotsit</v>
      </c>
      <c r="P4719" s="4">
        <f>OrganizedData[[#This Row],[Quantity]]*VLOOKUP(OrganizedData[[#This Row],[Product Code]],ProductData[],4,FALSE)</f>
        <v>40</v>
      </c>
      <c r="Q4719" s="6">
        <f>OrganizedData[[#This Row],[Total Items Ordered]]*VLOOKUP(OrganizedData[[#This Row],[Product Code]],ProductData[],3,FALSE)</f>
        <v>80.399999999999991</v>
      </c>
      <c r="R47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4720" spans="1:18" x14ac:dyDescent="0.3">
      <c r="A4720" s="2">
        <v>4713</v>
      </c>
      <c r="B4720" s="2" t="s">
        <v>10090</v>
      </c>
      <c r="C4720" s="2" t="s">
        <v>10091</v>
      </c>
      <c r="D4720" s="2" t="s">
        <v>15</v>
      </c>
      <c r="E4720" s="2" t="s">
        <v>16</v>
      </c>
      <c r="F4720" s="2">
        <v>90</v>
      </c>
      <c r="G4720" s="2" t="s">
        <v>10092</v>
      </c>
      <c r="H4720" s="2" t="s">
        <v>4441</v>
      </c>
      <c r="I4720" s="2" t="s">
        <v>146</v>
      </c>
      <c r="J4720" s="3">
        <v>44231</v>
      </c>
      <c r="K4720" s="5">
        <f>YEAR(OrganizedData[[#This Row],[Order Date]])</f>
        <v>2021</v>
      </c>
      <c r="L4720" s="7" t="str">
        <f>TEXT(OrganizedData[[#This Row],[Order Date]],"mmm")</f>
        <v>Feb</v>
      </c>
      <c r="M4720" s="2">
        <v>7</v>
      </c>
      <c r="N4720" s="2" t="s">
        <v>159</v>
      </c>
      <c r="O4720" s="2" t="str">
        <f>VLOOKUP(OrganizedData[[#This Row],[Product Code]],ProductData[[Code]:[Item]],2,FALSE)</f>
        <v>Ultrathing V3</v>
      </c>
      <c r="P4720" s="4">
        <f>OrganizedData[[#This Row],[Quantity]]*VLOOKUP(OrganizedData[[#This Row],[Product Code]],ProductData[],4,FALSE)</f>
        <v>168</v>
      </c>
      <c r="Q4720" s="6">
        <f>OrganizedData[[#This Row],[Total Items Ordered]]*VLOOKUP(OrganizedData[[#This Row],[Product Code]],ProductData[],3,FALSE)</f>
        <v>569.52</v>
      </c>
      <c r="R47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569.52</v>
      </c>
    </row>
    <row r="4721" spans="1:18" x14ac:dyDescent="0.3">
      <c r="A4721" s="2">
        <v>4714</v>
      </c>
      <c r="B4721" s="2" t="s">
        <v>6858</v>
      </c>
      <c r="C4721" s="2" t="s">
        <v>2033</v>
      </c>
      <c r="D4721" s="2" t="s">
        <v>28</v>
      </c>
      <c r="E4721" s="2" t="s">
        <v>29</v>
      </c>
      <c r="F4721" s="2">
        <v>90</v>
      </c>
      <c r="G4721" s="2" t="s">
        <v>10093</v>
      </c>
      <c r="H4721" s="2" t="s">
        <v>2436</v>
      </c>
      <c r="I4721" s="2" t="s">
        <v>294</v>
      </c>
      <c r="J4721" s="3">
        <v>44072</v>
      </c>
      <c r="K4721" s="5">
        <f>YEAR(OrganizedData[[#This Row],[Order Date]])</f>
        <v>2020</v>
      </c>
      <c r="L4721" s="7" t="str">
        <f>TEXT(OrganizedData[[#This Row],[Order Date]],"mmm")</f>
        <v>Aug</v>
      </c>
      <c r="M4721" s="2">
        <v>57</v>
      </c>
      <c r="N4721" s="2" t="s">
        <v>39</v>
      </c>
      <c r="O4721" s="2" t="str">
        <f>VLOOKUP(OrganizedData[[#This Row],[Product Code]],ProductData[[Code]:[Item]],2,FALSE)</f>
        <v>Ultrathing V1</v>
      </c>
      <c r="P4721" s="4">
        <f>OrganizedData[[#This Row],[Quantity]]*VLOOKUP(OrganizedData[[#This Row],[Product Code]],ProductData[],4,FALSE)</f>
        <v>969</v>
      </c>
      <c r="Q4721" s="6">
        <f>OrganizedData[[#This Row],[Total Items Ordered]]*VLOOKUP(OrganizedData[[#This Row],[Product Code]],ProductData[],3,FALSE)</f>
        <v>1734.51</v>
      </c>
      <c r="R47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1647.7845</v>
      </c>
    </row>
    <row r="4722" spans="1:18" x14ac:dyDescent="0.3">
      <c r="A4722" s="2">
        <v>4715</v>
      </c>
      <c r="B4722" s="2" t="s">
        <v>127</v>
      </c>
      <c r="C4722" s="2" t="s">
        <v>361</v>
      </c>
      <c r="D4722" s="2" t="s">
        <v>28</v>
      </c>
      <c r="E4722" s="2" t="s">
        <v>29</v>
      </c>
      <c r="F4722" s="2">
        <v>90</v>
      </c>
      <c r="G4722" s="2" t="s">
        <v>10094</v>
      </c>
      <c r="H4722" s="2" t="s">
        <v>4158</v>
      </c>
      <c r="I4722" s="2" t="s">
        <v>32</v>
      </c>
      <c r="J4722" s="3">
        <v>44787</v>
      </c>
      <c r="K4722" s="5">
        <f>YEAR(OrganizedData[[#This Row],[Order Date]])</f>
        <v>2022</v>
      </c>
      <c r="L4722" s="7" t="str">
        <f>TEXT(OrganizedData[[#This Row],[Order Date]],"mmm")</f>
        <v>Aug</v>
      </c>
      <c r="M4722" s="2">
        <v>90</v>
      </c>
      <c r="N4722" s="2" t="s">
        <v>33</v>
      </c>
      <c r="O4722" s="2" t="str">
        <f>VLOOKUP(OrganizedData[[#This Row],[Product Code]],ProductData[[Code]:[Item]],2,FALSE)</f>
        <v>Megawidget L</v>
      </c>
      <c r="P4722" s="4">
        <f>OrganizedData[[#This Row],[Quantity]]*VLOOKUP(OrganizedData[[#This Row],[Product Code]],ProductData[],4,FALSE)</f>
        <v>2160</v>
      </c>
      <c r="Q4722" s="6">
        <f>OrganizedData[[#This Row],[Total Items Ordered]]*VLOOKUP(OrganizedData[[#This Row],[Product Code]],ProductData[],3,FALSE)</f>
        <v>3866.4</v>
      </c>
      <c r="R47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3673.08</v>
      </c>
    </row>
    <row r="4723" spans="1:18" x14ac:dyDescent="0.3">
      <c r="A4723" s="2">
        <v>4716</v>
      </c>
      <c r="B4723" s="2" t="s">
        <v>10095</v>
      </c>
      <c r="C4723" s="2" t="s">
        <v>5699</v>
      </c>
      <c r="D4723" s="2" t="s">
        <v>15</v>
      </c>
      <c r="E4723" s="2" t="s">
        <v>16</v>
      </c>
      <c r="F4723" s="2">
        <v>90</v>
      </c>
      <c r="G4723" s="2" t="s">
        <v>10096</v>
      </c>
      <c r="H4723" s="2" t="s">
        <v>4655</v>
      </c>
      <c r="I4723" s="2" t="s">
        <v>32</v>
      </c>
      <c r="J4723" s="3">
        <v>44254</v>
      </c>
      <c r="K4723" s="5">
        <f>YEAR(OrganizedData[[#This Row],[Order Date]])</f>
        <v>2021</v>
      </c>
      <c r="L4723" s="7" t="str">
        <f>TEXT(OrganizedData[[#This Row],[Order Date]],"mmm")</f>
        <v>Feb</v>
      </c>
      <c r="M4723" s="2">
        <v>46</v>
      </c>
      <c r="N4723" s="2" t="s">
        <v>101</v>
      </c>
      <c r="O4723" s="2" t="str">
        <f>VLOOKUP(OrganizedData[[#This Row],[Product Code]],ProductData[[Code]:[Item]],2,FALSE)</f>
        <v>Superwossname</v>
      </c>
      <c r="P4723" s="4">
        <f>OrganizedData[[#This Row],[Quantity]]*VLOOKUP(OrganizedData[[#This Row],[Product Code]],ProductData[],4,FALSE)</f>
        <v>920</v>
      </c>
      <c r="Q4723" s="6">
        <f>OrganizedData[[#This Row],[Total Items Ordered]]*VLOOKUP(OrganizedData[[#This Row],[Product Code]],ProductData[],3,FALSE)</f>
        <v>3210.8</v>
      </c>
      <c r="R47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3114.4760000000001</v>
      </c>
    </row>
    <row r="4724" spans="1:18" x14ac:dyDescent="0.3">
      <c r="A4724" s="2">
        <v>4717</v>
      </c>
      <c r="B4724" s="2" t="s">
        <v>10097</v>
      </c>
      <c r="C4724" s="2" t="s">
        <v>5837</v>
      </c>
      <c r="D4724" s="2" t="s">
        <v>15</v>
      </c>
      <c r="E4724" s="2" t="s">
        <v>16</v>
      </c>
      <c r="F4724" s="2">
        <v>90</v>
      </c>
      <c r="G4724" s="2" t="s">
        <v>10096</v>
      </c>
      <c r="H4724" s="2" t="s">
        <v>2555</v>
      </c>
      <c r="I4724" s="2" t="s">
        <v>32</v>
      </c>
      <c r="J4724" s="3">
        <v>43840</v>
      </c>
      <c r="K4724" s="5">
        <f>YEAR(OrganizedData[[#This Row],[Order Date]])</f>
        <v>2020</v>
      </c>
      <c r="L4724" s="7" t="str">
        <f>TEXT(OrganizedData[[#This Row],[Order Date]],"mmm")</f>
        <v>Jan</v>
      </c>
      <c r="M4724" s="2">
        <v>79</v>
      </c>
      <c r="N4724" s="2" t="s">
        <v>70</v>
      </c>
      <c r="O4724" s="2" t="str">
        <f>VLOOKUP(OrganizedData[[#This Row],[Product Code]],ProductData[[Code]:[Item]],2,FALSE)</f>
        <v>Megawidget M</v>
      </c>
      <c r="P4724" s="4">
        <f>OrganizedData[[#This Row],[Quantity]]*VLOOKUP(OrganizedData[[#This Row],[Product Code]],ProductData[],4,FALSE)</f>
        <v>1896</v>
      </c>
      <c r="Q4724" s="6">
        <f>OrganizedData[[#This Row],[Total Items Ordered]]*VLOOKUP(OrganizedData[[#This Row],[Product Code]],ProductData[],3,FALSE)</f>
        <v>2445.84</v>
      </c>
      <c r="R47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2323.5480000000002</v>
      </c>
    </row>
    <row r="4725" spans="1:18" x14ac:dyDescent="0.3">
      <c r="A4725" s="2">
        <v>4718</v>
      </c>
      <c r="B4725" s="2" t="s">
        <v>10098</v>
      </c>
      <c r="C4725" s="2" t="s">
        <v>836</v>
      </c>
      <c r="D4725" s="2" t="s">
        <v>15</v>
      </c>
      <c r="E4725" s="2" t="s">
        <v>16</v>
      </c>
      <c r="F4725" s="2">
        <v>60</v>
      </c>
      <c r="G4725" s="2" t="s">
        <v>10099</v>
      </c>
      <c r="H4725" s="2" t="s">
        <v>1605</v>
      </c>
      <c r="I4725" s="2" t="s">
        <v>32</v>
      </c>
      <c r="J4725" s="3">
        <v>43965</v>
      </c>
      <c r="K4725" s="5">
        <f>YEAR(OrganizedData[[#This Row],[Order Date]])</f>
        <v>2020</v>
      </c>
      <c r="L4725" s="7" t="str">
        <f>TEXT(OrganizedData[[#This Row],[Order Date]],"mmm")</f>
        <v>May</v>
      </c>
      <c r="M4725" s="2">
        <v>73</v>
      </c>
      <c r="N4725" s="2" t="s">
        <v>64</v>
      </c>
      <c r="O4725" s="2" t="str">
        <f>VLOOKUP(OrganizedData[[#This Row],[Product Code]],ProductData[[Code]:[Item]],2,FALSE)</f>
        <v>Ultrathing V4</v>
      </c>
      <c r="P4725" s="4">
        <f>OrganizedData[[#This Row],[Quantity]]*VLOOKUP(OrganizedData[[#This Row],[Product Code]],ProductData[],4,FALSE)</f>
        <v>1752</v>
      </c>
      <c r="Q4725" s="6">
        <f>OrganizedData[[#This Row],[Total Items Ordered]]*VLOOKUP(OrganizedData[[#This Row],[Product Code]],ProductData[],3,FALSE)</f>
        <v>6990.4800000000005</v>
      </c>
      <c r="R47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6640.9560000000001</v>
      </c>
    </row>
    <row r="4726" spans="1:18" x14ac:dyDescent="0.3">
      <c r="A4726" s="2">
        <v>4719</v>
      </c>
      <c r="B4726" s="2" t="s">
        <v>1104</v>
      </c>
      <c r="C4726" s="2" t="s">
        <v>3439</v>
      </c>
      <c r="D4726" s="2" t="s">
        <v>28</v>
      </c>
      <c r="E4726" s="2" t="s">
        <v>29</v>
      </c>
      <c r="F4726" s="2">
        <v>60</v>
      </c>
      <c r="G4726" s="2" t="s">
        <v>10100</v>
      </c>
      <c r="H4726" s="2" t="s">
        <v>2169</v>
      </c>
      <c r="I4726" s="2" t="s">
        <v>32</v>
      </c>
      <c r="J4726" s="3">
        <v>44081</v>
      </c>
      <c r="K4726" s="5">
        <f>YEAR(OrganizedData[[#This Row],[Order Date]])</f>
        <v>2020</v>
      </c>
      <c r="L4726" s="7" t="str">
        <f>TEXT(OrganizedData[[#This Row],[Order Date]],"mmm")</f>
        <v>Sep</v>
      </c>
      <c r="M4726" s="2">
        <v>81</v>
      </c>
      <c r="N4726" s="2" t="s">
        <v>70</v>
      </c>
      <c r="O4726" s="2" t="str">
        <f>VLOOKUP(OrganizedData[[#This Row],[Product Code]],ProductData[[Code]:[Item]],2,FALSE)</f>
        <v>Megawidget M</v>
      </c>
      <c r="P4726" s="4">
        <f>OrganizedData[[#This Row],[Quantity]]*VLOOKUP(OrganizedData[[#This Row],[Product Code]],ProductData[],4,FALSE)</f>
        <v>1944</v>
      </c>
      <c r="Q4726" s="6">
        <f>OrganizedData[[#This Row],[Total Items Ordered]]*VLOOKUP(OrganizedData[[#This Row],[Product Code]],ProductData[],3,FALSE)</f>
        <v>2507.7600000000002</v>
      </c>
      <c r="R47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2382.3720000000003</v>
      </c>
    </row>
    <row r="4727" spans="1:18" x14ac:dyDescent="0.3">
      <c r="A4727" s="2">
        <v>4720</v>
      </c>
      <c r="B4727" s="2" t="s">
        <v>1399</v>
      </c>
      <c r="C4727" s="2" t="s">
        <v>8113</v>
      </c>
      <c r="D4727" s="2" t="s">
        <v>28</v>
      </c>
      <c r="E4727" s="2" t="s">
        <v>29</v>
      </c>
      <c r="F4727" s="2">
        <v>60</v>
      </c>
      <c r="G4727" s="2" t="s">
        <v>10101</v>
      </c>
      <c r="H4727" s="2" t="s">
        <v>207</v>
      </c>
      <c r="I4727" s="2" t="s">
        <v>208</v>
      </c>
      <c r="J4727" s="3">
        <v>44270</v>
      </c>
      <c r="K4727" s="5">
        <f>YEAR(OrganizedData[[#This Row],[Order Date]])</f>
        <v>2021</v>
      </c>
      <c r="L4727" s="7" t="str">
        <f>TEXT(OrganizedData[[#This Row],[Order Date]],"mmm")</f>
        <v>Mar</v>
      </c>
      <c r="M4727" s="2">
        <v>43</v>
      </c>
      <c r="N4727" s="2" t="s">
        <v>54</v>
      </c>
      <c r="O4727" s="2" t="str">
        <f>VLOOKUP(OrganizedData[[#This Row],[Product Code]],ProductData[[Code]:[Item]],2,FALSE)</f>
        <v>Megawidget S</v>
      </c>
      <c r="P4727" s="4">
        <f>OrganizedData[[#This Row],[Quantity]]*VLOOKUP(OrganizedData[[#This Row],[Product Code]],ProductData[],4,FALSE)</f>
        <v>1032</v>
      </c>
      <c r="Q4727" s="6">
        <f>OrganizedData[[#This Row],[Total Items Ordered]]*VLOOKUP(OrganizedData[[#This Row],[Product Code]],ProductData[],3,FALSE)</f>
        <v>712.07999999999993</v>
      </c>
      <c r="R47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690.71759999999995</v>
      </c>
    </row>
    <row r="4728" spans="1:18" x14ac:dyDescent="0.3">
      <c r="A4728" s="2">
        <v>4721</v>
      </c>
      <c r="B4728" s="2" t="s">
        <v>4642</v>
      </c>
      <c r="C4728" s="2" t="s">
        <v>1243</v>
      </c>
      <c r="D4728" s="2" t="s">
        <v>41</v>
      </c>
      <c r="E4728" s="2" t="s">
        <v>16</v>
      </c>
      <c r="F4728" s="2">
        <v>30</v>
      </c>
      <c r="G4728" s="2" t="s">
        <v>10102</v>
      </c>
      <c r="H4728" s="2" t="s">
        <v>1333</v>
      </c>
      <c r="I4728" s="2" t="s">
        <v>294</v>
      </c>
      <c r="J4728" s="3">
        <v>44786</v>
      </c>
      <c r="K4728" s="5">
        <f>YEAR(OrganizedData[[#This Row],[Order Date]])</f>
        <v>2022</v>
      </c>
      <c r="L4728" s="7" t="str">
        <f>TEXT(OrganizedData[[#This Row],[Order Date]],"mmm")</f>
        <v>Aug</v>
      </c>
      <c r="M4728" s="2">
        <v>93</v>
      </c>
      <c r="N4728" s="2" t="s">
        <v>54</v>
      </c>
      <c r="O4728" s="2" t="str">
        <f>VLOOKUP(OrganizedData[[#This Row],[Product Code]],ProductData[[Code]:[Item]],2,FALSE)</f>
        <v>Megawidget S</v>
      </c>
      <c r="P4728" s="4">
        <f>OrganizedData[[#This Row],[Quantity]]*VLOOKUP(OrganizedData[[#This Row],[Product Code]],ProductData[],4,FALSE)</f>
        <v>2232</v>
      </c>
      <c r="Q4728" s="6">
        <f>OrganizedData[[#This Row],[Total Items Ordered]]*VLOOKUP(OrganizedData[[#This Row],[Product Code]],ProductData[],3,FALSE)</f>
        <v>1540.08</v>
      </c>
      <c r="R47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1463.0759999999998</v>
      </c>
    </row>
    <row r="4729" spans="1:18" x14ac:dyDescent="0.3">
      <c r="A4729" s="2">
        <v>4722</v>
      </c>
      <c r="B4729" s="2" t="s">
        <v>1985</v>
      </c>
      <c r="C4729" s="2" t="s">
        <v>7035</v>
      </c>
      <c r="D4729" s="2" t="s">
        <v>28</v>
      </c>
      <c r="E4729" s="2" t="s">
        <v>29</v>
      </c>
      <c r="F4729" s="2">
        <v>30</v>
      </c>
      <c r="G4729" s="2" t="s">
        <v>10103</v>
      </c>
      <c r="H4729" s="2" t="s">
        <v>3387</v>
      </c>
      <c r="I4729" s="2" t="s">
        <v>2878</v>
      </c>
      <c r="J4729" s="3">
        <v>43973</v>
      </c>
      <c r="K4729" s="5">
        <f>YEAR(OrganizedData[[#This Row],[Order Date]])</f>
        <v>2020</v>
      </c>
      <c r="L4729" s="7" t="str">
        <f>TEXT(OrganizedData[[#This Row],[Order Date]],"mmm")</f>
        <v>May</v>
      </c>
      <c r="M4729" s="2">
        <v>46</v>
      </c>
      <c r="N4729" s="2" t="s">
        <v>70</v>
      </c>
      <c r="O4729" s="2" t="str">
        <f>VLOOKUP(OrganizedData[[#This Row],[Product Code]],ProductData[[Code]:[Item]],2,FALSE)</f>
        <v>Megawidget M</v>
      </c>
      <c r="P4729" s="4">
        <f>OrganizedData[[#This Row],[Quantity]]*VLOOKUP(OrganizedData[[#This Row],[Product Code]],ProductData[],4,FALSE)</f>
        <v>1104</v>
      </c>
      <c r="Q4729" s="6">
        <f>OrganizedData[[#This Row],[Total Items Ordered]]*VLOOKUP(OrganizedData[[#This Row],[Product Code]],ProductData[],3,FALSE)</f>
        <v>1424.16</v>
      </c>
      <c r="R47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4730" spans="1:18" x14ac:dyDescent="0.3">
      <c r="A4730" s="2">
        <v>4723</v>
      </c>
      <c r="B4730" s="2" t="s">
        <v>10104</v>
      </c>
      <c r="C4730" s="2" t="s">
        <v>7962</v>
      </c>
      <c r="D4730" s="2" t="s">
        <v>51</v>
      </c>
      <c r="E4730" s="2" t="s">
        <v>16</v>
      </c>
      <c r="F4730" s="2">
        <v>90</v>
      </c>
      <c r="G4730" s="2" t="s">
        <v>10105</v>
      </c>
      <c r="H4730" s="2" t="s">
        <v>3356</v>
      </c>
      <c r="I4730" s="2" t="s">
        <v>32</v>
      </c>
      <c r="J4730" s="3">
        <v>44745</v>
      </c>
      <c r="K4730" s="5">
        <f>YEAR(OrganizedData[[#This Row],[Order Date]])</f>
        <v>2022</v>
      </c>
      <c r="L4730" s="7" t="str">
        <f>TEXT(OrganizedData[[#This Row],[Order Date]],"mmm")</f>
        <v>Jul</v>
      </c>
      <c r="M4730" s="2">
        <v>7</v>
      </c>
      <c r="N4730" s="2" t="s">
        <v>20</v>
      </c>
      <c r="O4730" s="2" t="str">
        <f>VLOOKUP(OrganizedData[[#This Row],[Product Code]],ProductData[[Code]:[Item]],2,FALSE)</f>
        <v>Hyperwotsit</v>
      </c>
      <c r="P4730" s="4">
        <f>OrganizedData[[#This Row],[Quantity]]*VLOOKUP(OrganizedData[[#This Row],[Product Code]],ProductData[],4,FALSE)</f>
        <v>140</v>
      </c>
      <c r="Q4730" s="6">
        <f>OrganizedData[[#This Row],[Total Items Ordered]]*VLOOKUP(OrganizedData[[#This Row],[Product Code]],ProductData[],3,FALSE)</f>
        <v>281.39999999999998</v>
      </c>
      <c r="R47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281.39999999999998</v>
      </c>
    </row>
    <row r="4731" spans="1:18" x14ac:dyDescent="0.3">
      <c r="A4731" s="2">
        <v>4724</v>
      </c>
      <c r="B4731" s="2" t="s">
        <v>10106</v>
      </c>
      <c r="C4731" s="2" t="s">
        <v>680</v>
      </c>
      <c r="D4731" s="2" t="s">
        <v>15</v>
      </c>
      <c r="E4731" s="2" t="s">
        <v>16</v>
      </c>
      <c r="F4731" s="2">
        <v>30</v>
      </c>
      <c r="G4731" s="2" t="s">
        <v>10107</v>
      </c>
      <c r="H4731" s="2" t="s">
        <v>1332</v>
      </c>
      <c r="I4731" s="2" t="s">
        <v>32</v>
      </c>
      <c r="J4731" s="3">
        <v>44360</v>
      </c>
      <c r="K4731" s="5">
        <f>YEAR(OrganizedData[[#This Row],[Order Date]])</f>
        <v>2021</v>
      </c>
      <c r="L4731" s="7" t="str">
        <f>TEXT(OrganizedData[[#This Row],[Order Date]],"mmm")</f>
        <v>Jun</v>
      </c>
      <c r="M4731" s="2">
        <v>91</v>
      </c>
      <c r="N4731" s="2" t="s">
        <v>80</v>
      </c>
      <c r="O4731" s="2" t="str">
        <f>VLOOKUP(OrganizedData[[#This Row],[Product Code]],ProductData[[Code]:[Item]],2,FALSE)</f>
        <v>Ultrathing V2</v>
      </c>
      <c r="P4731" s="4">
        <f>OrganizedData[[#This Row],[Quantity]]*VLOOKUP(OrganizedData[[#This Row],[Product Code]],ProductData[],4,FALSE)</f>
        <v>1820</v>
      </c>
      <c r="Q4731" s="6">
        <f>OrganizedData[[#This Row],[Total Items Ordered]]*VLOOKUP(OrganizedData[[#This Row],[Product Code]],ProductData[],3,FALSE)</f>
        <v>5369</v>
      </c>
      <c r="R47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4732" spans="1:18" x14ac:dyDescent="0.3">
      <c r="A4732" s="2">
        <v>4725</v>
      </c>
      <c r="B4732" s="2" t="s">
        <v>10108</v>
      </c>
      <c r="C4732" s="2" t="s">
        <v>5653</v>
      </c>
      <c r="D4732" s="2" t="s">
        <v>15</v>
      </c>
      <c r="E4732" s="2" t="s">
        <v>16</v>
      </c>
      <c r="F4732" s="2">
        <v>90</v>
      </c>
      <c r="G4732" s="2" t="s">
        <v>136</v>
      </c>
      <c r="H4732" s="2" t="s">
        <v>3462</v>
      </c>
      <c r="I4732" s="2" t="s">
        <v>32</v>
      </c>
      <c r="J4732" s="3">
        <v>43861</v>
      </c>
      <c r="K4732" s="5">
        <f>YEAR(OrganizedData[[#This Row],[Order Date]])</f>
        <v>2020</v>
      </c>
      <c r="L4732" s="7" t="str">
        <f>TEXT(OrganizedData[[#This Row],[Order Date]],"mmm")</f>
        <v>Jan</v>
      </c>
      <c r="M4732" s="2">
        <v>2</v>
      </c>
      <c r="N4732" s="2" t="s">
        <v>33</v>
      </c>
      <c r="O4732" s="2" t="str">
        <f>VLOOKUP(OrganizedData[[#This Row],[Product Code]],ProductData[[Code]:[Item]],2,FALSE)</f>
        <v>Megawidget L</v>
      </c>
      <c r="P4732" s="4">
        <f>OrganizedData[[#This Row],[Quantity]]*VLOOKUP(OrganizedData[[#This Row],[Product Code]],ProductData[],4,FALSE)</f>
        <v>48</v>
      </c>
      <c r="Q4732" s="6">
        <f>OrganizedData[[#This Row],[Total Items Ordered]]*VLOOKUP(OrganizedData[[#This Row],[Product Code]],ProductData[],3,FALSE)</f>
        <v>85.92</v>
      </c>
      <c r="R47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4733" spans="1:18" x14ac:dyDescent="0.3">
      <c r="A4733" s="2">
        <v>4726</v>
      </c>
      <c r="B4733" s="2" t="s">
        <v>2268</v>
      </c>
      <c r="C4733" s="2" t="s">
        <v>5972</v>
      </c>
      <c r="D4733" s="2" t="s">
        <v>15</v>
      </c>
      <c r="E4733" s="2" t="s">
        <v>16</v>
      </c>
      <c r="F4733" s="2">
        <v>90</v>
      </c>
      <c r="G4733" s="2" t="s">
        <v>10109</v>
      </c>
      <c r="H4733" s="2" t="s">
        <v>3161</v>
      </c>
      <c r="I4733" s="2" t="s">
        <v>32</v>
      </c>
      <c r="J4733" s="3">
        <v>44662</v>
      </c>
      <c r="K4733" s="5">
        <f>YEAR(OrganizedData[[#This Row],[Order Date]])</f>
        <v>2022</v>
      </c>
      <c r="L4733" s="7" t="str">
        <f>TEXT(OrganizedData[[#This Row],[Order Date]],"mmm")</f>
        <v>Apr</v>
      </c>
      <c r="M4733" s="2">
        <v>25</v>
      </c>
      <c r="N4733" s="2" t="s">
        <v>20</v>
      </c>
      <c r="O4733" s="2" t="str">
        <f>VLOOKUP(OrganizedData[[#This Row],[Product Code]],ProductData[[Code]:[Item]],2,FALSE)</f>
        <v>Hyperwotsit</v>
      </c>
      <c r="P4733" s="4">
        <f>OrganizedData[[#This Row],[Quantity]]*VLOOKUP(OrganizedData[[#This Row],[Product Code]],ProductData[],4,FALSE)</f>
        <v>500</v>
      </c>
      <c r="Q4733" s="6">
        <f>OrganizedData[[#This Row],[Total Items Ordered]]*VLOOKUP(OrganizedData[[#This Row],[Product Code]],ProductData[],3,FALSE)</f>
        <v>1004.9999999999999</v>
      </c>
      <c r="R47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974.84999999999991</v>
      </c>
    </row>
    <row r="4734" spans="1:18" x14ac:dyDescent="0.3">
      <c r="A4734" s="2">
        <v>4727</v>
      </c>
      <c r="B4734" s="2" t="s">
        <v>1116</v>
      </c>
      <c r="C4734" s="2" t="s">
        <v>2618</v>
      </c>
      <c r="D4734" s="2" t="s">
        <v>28</v>
      </c>
      <c r="E4734" s="2" t="s">
        <v>29</v>
      </c>
      <c r="F4734" s="2">
        <v>30</v>
      </c>
      <c r="G4734" s="2" t="s">
        <v>10110</v>
      </c>
      <c r="H4734" s="2" t="s">
        <v>655</v>
      </c>
      <c r="I4734" s="2" t="s">
        <v>32</v>
      </c>
      <c r="J4734" s="3">
        <v>44524</v>
      </c>
      <c r="K4734" s="5">
        <f>YEAR(OrganizedData[[#This Row],[Order Date]])</f>
        <v>2021</v>
      </c>
      <c r="L4734" s="7" t="str">
        <f>TEXT(OrganizedData[[#This Row],[Order Date]],"mmm")</f>
        <v>Nov</v>
      </c>
      <c r="M4734" s="2">
        <v>58</v>
      </c>
      <c r="N4734" s="2" t="s">
        <v>159</v>
      </c>
      <c r="O4734" s="2" t="str">
        <f>VLOOKUP(OrganizedData[[#This Row],[Product Code]],ProductData[[Code]:[Item]],2,FALSE)</f>
        <v>Ultrathing V3</v>
      </c>
      <c r="P4734" s="4">
        <f>OrganizedData[[#This Row],[Quantity]]*VLOOKUP(OrganizedData[[#This Row],[Product Code]],ProductData[],4,FALSE)</f>
        <v>1392</v>
      </c>
      <c r="Q4734" s="6">
        <f>OrganizedData[[#This Row],[Total Items Ordered]]*VLOOKUP(OrganizedData[[#This Row],[Product Code]],ProductData[],3,FALSE)</f>
        <v>4718.88</v>
      </c>
      <c r="R47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4735" spans="1:18" x14ac:dyDescent="0.3">
      <c r="A4735" s="2">
        <v>4728</v>
      </c>
      <c r="B4735" s="2" t="s">
        <v>10111</v>
      </c>
      <c r="C4735" s="2" t="s">
        <v>10112</v>
      </c>
      <c r="D4735" s="2" t="s">
        <v>51</v>
      </c>
      <c r="E4735" s="2" t="s">
        <v>16</v>
      </c>
      <c r="F4735" s="2">
        <v>30</v>
      </c>
      <c r="G4735" s="2" t="s">
        <v>10113</v>
      </c>
      <c r="H4735" s="2" t="s">
        <v>3271</v>
      </c>
      <c r="I4735" s="2" t="s">
        <v>173</v>
      </c>
      <c r="J4735" s="3">
        <v>44180</v>
      </c>
      <c r="K4735" s="5">
        <f>YEAR(OrganizedData[[#This Row],[Order Date]])</f>
        <v>2020</v>
      </c>
      <c r="L4735" s="7" t="str">
        <f>TEXT(OrganizedData[[#This Row],[Order Date]],"mmm")</f>
        <v>Dec</v>
      </c>
      <c r="M4735" s="2">
        <v>66</v>
      </c>
      <c r="N4735" s="2" t="s">
        <v>101</v>
      </c>
      <c r="O4735" s="2" t="str">
        <f>VLOOKUP(OrganizedData[[#This Row],[Product Code]],ProductData[[Code]:[Item]],2,FALSE)</f>
        <v>Superwossname</v>
      </c>
      <c r="P4735" s="4">
        <f>OrganizedData[[#This Row],[Quantity]]*VLOOKUP(OrganizedData[[#This Row],[Product Code]],ProductData[],4,FALSE)</f>
        <v>1320</v>
      </c>
      <c r="Q4735" s="6">
        <f>OrganizedData[[#This Row],[Total Items Ordered]]*VLOOKUP(OrganizedData[[#This Row],[Product Code]],ProductData[],3,FALSE)</f>
        <v>4606.8</v>
      </c>
      <c r="R47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4376.46</v>
      </c>
    </row>
    <row r="4736" spans="1:18" x14ac:dyDescent="0.3">
      <c r="A4736" s="2">
        <v>4729</v>
      </c>
      <c r="B4736" s="2" t="s">
        <v>5662</v>
      </c>
      <c r="C4736" s="2" t="s">
        <v>5423</v>
      </c>
      <c r="D4736" s="2" t="s">
        <v>28</v>
      </c>
      <c r="E4736" s="2" t="s">
        <v>29</v>
      </c>
      <c r="F4736" s="2">
        <v>30</v>
      </c>
      <c r="G4736" s="2" t="s">
        <v>10114</v>
      </c>
      <c r="H4736" s="2" t="s">
        <v>3754</v>
      </c>
      <c r="I4736" s="2" t="s">
        <v>124</v>
      </c>
      <c r="J4736" s="3">
        <v>44799</v>
      </c>
      <c r="K4736" s="5">
        <f>YEAR(OrganizedData[[#This Row],[Order Date]])</f>
        <v>2022</v>
      </c>
      <c r="L4736" s="7" t="str">
        <f>TEXT(OrganizedData[[#This Row],[Order Date]],"mmm")</f>
        <v>Aug</v>
      </c>
      <c r="M4736" s="2">
        <v>97</v>
      </c>
      <c r="N4736" s="2" t="s">
        <v>159</v>
      </c>
      <c r="O4736" s="2" t="str">
        <f>VLOOKUP(OrganizedData[[#This Row],[Product Code]],ProductData[[Code]:[Item]],2,FALSE)</f>
        <v>Ultrathing V3</v>
      </c>
      <c r="P4736" s="4">
        <f>OrganizedData[[#This Row],[Quantity]]*VLOOKUP(OrganizedData[[#This Row],[Product Code]],ProductData[],4,FALSE)</f>
        <v>2328</v>
      </c>
      <c r="Q4736" s="6">
        <f>OrganizedData[[#This Row],[Total Items Ordered]]*VLOOKUP(OrganizedData[[#This Row],[Product Code]],ProductData[],3,FALSE)</f>
        <v>7891.92</v>
      </c>
      <c r="R47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7497.3239999999996</v>
      </c>
    </row>
    <row r="4737" spans="1:18" x14ac:dyDescent="0.3">
      <c r="A4737" s="2">
        <v>4730</v>
      </c>
      <c r="B4737" s="2" t="s">
        <v>10115</v>
      </c>
      <c r="C4737" s="2" t="s">
        <v>189</v>
      </c>
      <c r="D4737" s="2" t="s">
        <v>51</v>
      </c>
      <c r="E4737" s="2" t="s">
        <v>16</v>
      </c>
      <c r="F4737" s="2">
        <v>60</v>
      </c>
      <c r="G4737" s="2" t="s">
        <v>10116</v>
      </c>
      <c r="H4737" s="2" t="s">
        <v>3466</v>
      </c>
      <c r="I4737" s="2" t="s">
        <v>32</v>
      </c>
      <c r="J4737" s="3">
        <v>44032</v>
      </c>
      <c r="K4737" s="5">
        <f>YEAR(OrganizedData[[#This Row],[Order Date]])</f>
        <v>2020</v>
      </c>
      <c r="L4737" s="7" t="str">
        <f>TEXT(OrganizedData[[#This Row],[Order Date]],"mmm")</f>
        <v>Jul</v>
      </c>
      <c r="M4737" s="2">
        <v>81</v>
      </c>
      <c r="N4737" s="2" t="s">
        <v>54</v>
      </c>
      <c r="O4737" s="2" t="str">
        <f>VLOOKUP(OrganizedData[[#This Row],[Product Code]],ProductData[[Code]:[Item]],2,FALSE)</f>
        <v>Megawidget S</v>
      </c>
      <c r="P4737" s="4">
        <f>OrganizedData[[#This Row],[Quantity]]*VLOOKUP(OrganizedData[[#This Row],[Product Code]],ProductData[],4,FALSE)</f>
        <v>1944</v>
      </c>
      <c r="Q4737" s="6">
        <f>OrganizedData[[#This Row],[Total Items Ordered]]*VLOOKUP(OrganizedData[[#This Row],[Product Code]],ProductData[],3,FALSE)</f>
        <v>1341.36</v>
      </c>
      <c r="R47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1274.2919999999999</v>
      </c>
    </row>
    <row r="4738" spans="1:18" x14ac:dyDescent="0.3">
      <c r="A4738" s="2">
        <v>4731</v>
      </c>
      <c r="B4738" s="2" t="s">
        <v>10117</v>
      </c>
      <c r="C4738" s="2" t="s">
        <v>3535</v>
      </c>
      <c r="D4738" s="2" t="s">
        <v>15</v>
      </c>
      <c r="E4738" s="2" t="s">
        <v>16</v>
      </c>
      <c r="F4738" s="2">
        <v>90</v>
      </c>
      <c r="G4738" s="2" t="s">
        <v>10118</v>
      </c>
      <c r="H4738" s="2" t="s">
        <v>764</v>
      </c>
      <c r="I4738" s="2" t="s">
        <v>32</v>
      </c>
      <c r="J4738" s="3">
        <v>44373</v>
      </c>
      <c r="K4738" s="5">
        <f>YEAR(OrganizedData[[#This Row],[Order Date]])</f>
        <v>2021</v>
      </c>
      <c r="L4738" s="7" t="str">
        <f>TEXT(OrganizedData[[#This Row],[Order Date]],"mmm")</f>
        <v>Jun</v>
      </c>
      <c r="M4738" s="2">
        <v>6</v>
      </c>
      <c r="N4738" s="2" t="s">
        <v>80</v>
      </c>
      <c r="O4738" s="2" t="str">
        <f>VLOOKUP(OrganizedData[[#This Row],[Product Code]],ProductData[[Code]:[Item]],2,FALSE)</f>
        <v>Ultrathing V2</v>
      </c>
      <c r="P4738" s="4">
        <f>OrganizedData[[#This Row],[Quantity]]*VLOOKUP(OrganizedData[[#This Row],[Product Code]],ProductData[],4,FALSE)</f>
        <v>120</v>
      </c>
      <c r="Q4738" s="6">
        <f>OrganizedData[[#This Row],[Total Items Ordered]]*VLOOKUP(OrganizedData[[#This Row],[Product Code]],ProductData[],3,FALSE)</f>
        <v>354</v>
      </c>
      <c r="R47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354</v>
      </c>
    </row>
    <row r="4739" spans="1:18" x14ac:dyDescent="0.3">
      <c r="A4739" s="2">
        <v>4732</v>
      </c>
      <c r="B4739" s="2" t="s">
        <v>5088</v>
      </c>
      <c r="C4739" s="2" t="s">
        <v>3265</v>
      </c>
      <c r="D4739" s="2" t="s">
        <v>28</v>
      </c>
      <c r="E4739" s="2" t="s">
        <v>29</v>
      </c>
      <c r="F4739" s="2">
        <v>90</v>
      </c>
      <c r="G4739" s="2" t="s">
        <v>10119</v>
      </c>
      <c r="H4739" s="2" t="s">
        <v>2913</v>
      </c>
      <c r="I4739" s="2" t="s">
        <v>1035</v>
      </c>
      <c r="J4739" s="3">
        <v>44170</v>
      </c>
      <c r="K4739" s="5">
        <f>YEAR(OrganizedData[[#This Row],[Order Date]])</f>
        <v>2020</v>
      </c>
      <c r="L4739" s="7" t="str">
        <f>TEXT(OrganizedData[[#This Row],[Order Date]],"mmm")</f>
        <v>Dec</v>
      </c>
      <c r="M4739" s="2">
        <v>23</v>
      </c>
      <c r="N4739" s="2" t="s">
        <v>33</v>
      </c>
      <c r="O4739" s="2" t="str">
        <f>VLOOKUP(OrganizedData[[#This Row],[Product Code]],ProductData[[Code]:[Item]],2,FALSE)</f>
        <v>Megawidget L</v>
      </c>
      <c r="P4739" s="4">
        <f>OrganizedData[[#This Row],[Quantity]]*VLOOKUP(OrganizedData[[#This Row],[Product Code]],ProductData[],4,FALSE)</f>
        <v>552</v>
      </c>
      <c r="Q4739" s="6">
        <f>OrganizedData[[#This Row],[Total Items Ordered]]*VLOOKUP(OrganizedData[[#This Row],[Product Code]],ProductData[],3,FALSE)</f>
        <v>988.08</v>
      </c>
      <c r="R47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958.43759999999997</v>
      </c>
    </row>
    <row r="4740" spans="1:18" x14ac:dyDescent="0.3">
      <c r="A4740" s="2">
        <v>4733</v>
      </c>
      <c r="B4740" s="2" t="s">
        <v>10120</v>
      </c>
      <c r="C4740" s="2" t="s">
        <v>2663</v>
      </c>
      <c r="D4740" s="2" t="s">
        <v>51</v>
      </c>
      <c r="E4740" s="2" t="s">
        <v>16</v>
      </c>
      <c r="F4740" s="2">
        <v>60</v>
      </c>
      <c r="G4740" s="2" t="s">
        <v>10121</v>
      </c>
      <c r="H4740" s="2" t="s">
        <v>6305</v>
      </c>
      <c r="I4740" s="2" t="s">
        <v>32</v>
      </c>
      <c r="J4740" s="3">
        <v>44392</v>
      </c>
      <c r="K4740" s="5">
        <f>YEAR(OrganizedData[[#This Row],[Order Date]])</f>
        <v>2021</v>
      </c>
      <c r="L4740" s="7" t="str">
        <f>TEXT(OrganizedData[[#This Row],[Order Date]],"mmm")</f>
        <v>Jul</v>
      </c>
      <c r="M4740" s="2">
        <v>52</v>
      </c>
      <c r="N4740" s="2" t="s">
        <v>20</v>
      </c>
      <c r="O4740" s="2" t="str">
        <f>VLOOKUP(OrganizedData[[#This Row],[Product Code]],ProductData[[Code]:[Item]],2,FALSE)</f>
        <v>Hyperwotsit</v>
      </c>
      <c r="P4740" s="4">
        <f>OrganizedData[[#This Row],[Quantity]]*VLOOKUP(OrganizedData[[#This Row],[Product Code]],ProductData[],4,FALSE)</f>
        <v>1040</v>
      </c>
      <c r="Q4740" s="6">
        <f>OrganizedData[[#This Row],[Total Items Ordered]]*VLOOKUP(OrganizedData[[#This Row],[Product Code]],ProductData[],3,FALSE)</f>
        <v>2090.3999999999996</v>
      </c>
      <c r="R47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1985.8799999999997</v>
      </c>
    </row>
    <row r="4741" spans="1:18" x14ac:dyDescent="0.3">
      <c r="A4741" s="2">
        <v>4734</v>
      </c>
      <c r="B4741" s="2" t="s">
        <v>6190</v>
      </c>
      <c r="C4741" s="2" t="s">
        <v>3515</v>
      </c>
      <c r="D4741" s="2" t="s">
        <v>15</v>
      </c>
      <c r="E4741" s="2" t="s">
        <v>16</v>
      </c>
      <c r="F4741" s="2">
        <v>60</v>
      </c>
      <c r="G4741" s="2" t="s">
        <v>10122</v>
      </c>
      <c r="H4741" s="2" t="s">
        <v>8483</v>
      </c>
      <c r="I4741" s="2" t="s">
        <v>32</v>
      </c>
      <c r="J4741" s="3">
        <v>44303</v>
      </c>
      <c r="K4741" s="5">
        <f>YEAR(OrganizedData[[#This Row],[Order Date]])</f>
        <v>2021</v>
      </c>
      <c r="L4741" s="7" t="str">
        <f>TEXT(OrganizedData[[#This Row],[Order Date]],"mmm")</f>
        <v>Apr</v>
      </c>
      <c r="M4741" s="2">
        <v>21</v>
      </c>
      <c r="N4741" s="2" t="s">
        <v>39</v>
      </c>
      <c r="O4741" s="2" t="str">
        <f>VLOOKUP(OrganizedData[[#This Row],[Product Code]],ProductData[[Code]:[Item]],2,FALSE)</f>
        <v>Ultrathing V1</v>
      </c>
      <c r="P4741" s="4">
        <f>OrganizedData[[#This Row],[Quantity]]*VLOOKUP(OrganizedData[[#This Row],[Product Code]],ProductData[],4,FALSE)</f>
        <v>357</v>
      </c>
      <c r="Q4741" s="6">
        <f>OrganizedData[[#This Row],[Total Items Ordered]]*VLOOKUP(OrganizedData[[#This Row],[Product Code]],ProductData[],3,FALSE)</f>
        <v>639.03</v>
      </c>
      <c r="R47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619.85910000000001</v>
      </c>
    </row>
    <row r="4742" spans="1:18" x14ac:dyDescent="0.3">
      <c r="A4742" s="2">
        <v>4735</v>
      </c>
      <c r="B4742" s="2" t="s">
        <v>10123</v>
      </c>
      <c r="C4742" s="2" t="s">
        <v>7345</v>
      </c>
      <c r="D4742" s="2" t="s">
        <v>28</v>
      </c>
      <c r="E4742" s="2" t="s">
        <v>29</v>
      </c>
      <c r="F4742" s="2">
        <v>90</v>
      </c>
      <c r="G4742" s="2" t="s">
        <v>10124</v>
      </c>
      <c r="H4742" s="2" t="s">
        <v>2194</v>
      </c>
      <c r="I4742" s="2" t="s">
        <v>32</v>
      </c>
      <c r="J4742" s="3">
        <v>43961</v>
      </c>
      <c r="K4742" s="5">
        <f>YEAR(OrganizedData[[#This Row],[Order Date]])</f>
        <v>2020</v>
      </c>
      <c r="L4742" s="7" t="str">
        <f>TEXT(OrganizedData[[#This Row],[Order Date]],"mmm")</f>
        <v>May</v>
      </c>
      <c r="M4742" s="2">
        <v>27</v>
      </c>
      <c r="N4742" s="2" t="s">
        <v>33</v>
      </c>
      <c r="O4742" s="2" t="str">
        <f>VLOOKUP(OrganizedData[[#This Row],[Product Code]],ProductData[[Code]:[Item]],2,FALSE)</f>
        <v>Megawidget L</v>
      </c>
      <c r="P4742" s="4">
        <f>OrganizedData[[#This Row],[Quantity]]*VLOOKUP(OrganizedData[[#This Row],[Product Code]],ProductData[],4,FALSE)</f>
        <v>648</v>
      </c>
      <c r="Q4742" s="6">
        <f>OrganizedData[[#This Row],[Total Items Ordered]]*VLOOKUP(OrganizedData[[#This Row],[Product Code]],ProductData[],3,FALSE)</f>
        <v>1159.92</v>
      </c>
      <c r="R47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1125.1224</v>
      </c>
    </row>
    <row r="4743" spans="1:18" x14ac:dyDescent="0.3">
      <c r="A4743" s="2">
        <v>4736</v>
      </c>
      <c r="B4743" s="2" t="s">
        <v>6729</v>
      </c>
      <c r="C4743" s="2" t="s">
        <v>3621</v>
      </c>
      <c r="D4743" s="2" t="s">
        <v>51</v>
      </c>
      <c r="E4743" s="2" t="s">
        <v>16</v>
      </c>
      <c r="F4743" s="2">
        <v>60</v>
      </c>
      <c r="G4743" s="2" t="s">
        <v>10125</v>
      </c>
      <c r="H4743" s="2" t="s">
        <v>396</v>
      </c>
      <c r="I4743" s="2" t="s">
        <v>32</v>
      </c>
      <c r="J4743" s="3">
        <v>44461</v>
      </c>
      <c r="K4743" s="5">
        <f>YEAR(OrganizedData[[#This Row],[Order Date]])</f>
        <v>2021</v>
      </c>
      <c r="L4743" s="7" t="str">
        <f>TEXT(OrganizedData[[#This Row],[Order Date]],"mmm")</f>
        <v>Sep</v>
      </c>
      <c r="M4743" s="2">
        <v>84</v>
      </c>
      <c r="N4743" s="2" t="s">
        <v>39</v>
      </c>
      <c r="O4743" s="2" t="str">
        <f>VLOOKUP(OrganizedData[[#This Row],[Product Code]],ProductData[[Code]:[Item]],2,FALSE)</f>
        <v>Ultrathing V1</v>
      </c>
      <c r="P4743" s="4">
        <f>OrganizedData[[#This Row],[Quantity]]*VLOOKUP(OrganizedData[[#This Row],[Product Code]],ProductData[],4,FALSE)</f>
        <v>1428</v>
      </c>
      <c r="Q4743" s="6">
        <f>OrganizedData[[#This Row],[Total Items Ordered]]*VLOOKUP(OrganizedData[[#This Row],[Product Code]],ProductData[],3,FALSE)</f>
        <v>2556.12</v>
      </c>
      <c r="R47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2428.3139999999999</v>
      </c>
    </row>
    <row r="4744" spans="1:18" x14ac:dyDescent="0.3">
      <c r="A4744" s="2">
        <v>4737</v>
      </c>
      <c r="B4744" s="2" t="s">
        <v>6428</v>
      </c>
      <c r="C4744" s="2" t="s">
        <v>5423</v>
      </c>
      <c r="D4744" s="2" t="s">
        <v>51</v>
      </c>
      <c r="E4744" s="2" t="s">
        <v>16</v>
      </c>
      <c r="F4744" s="2">
        <v>90</v>
      </c>
      <c r="G4744" s="2" t="s">
        <v>10126</v>
      </c>
      <c r="H4744" s="2" t="s">
        <v>946</v>
      </c>
      <c r="I4744" s="2" t="s">
        <v>947</v>
      </c>
      <c r="J4744" s="3">
        <v>44853</v>
      </c>
      <c r="K4744" s="5">
        <f>YEAR(OrganizedData[[#This Row],[Order Date]])</f>
        <v>2022</v>
      </c>
      <c r="L4744" s="7" t="str">
        <f>TEXT(OrganizedData[[#This Row],[Order Date]],"mmm")</f>
        <v>Oct</v>
      </c>
      <c r="M4744" s="2">
        <v>95</v>
      </c>
      <c r="N4744" s="2" t="s">
        <v>101</v>
      </c>
      <c r="O4744" s="2" t="str">
        <f>VLOOKUP(OrganizedData[[#This Row],[Product Code]],ProductData[[Code]:[Item]],2,FALSE)</f>
        <v>Superwossname</v>
      </c>
      <c r="P4744" s="4">
        <f>OrganizedData[[#This Row],[Quantity]]*VLOOKUP(OrganizedData[[#This Row],[Product Code]],ProductData[],4,FALSE)</f>
        <v>1900</v>
      </c>
      <c r="Q4744" s="6">
        <f>OrganizedData[[#This Row],[Total Items Ordered]]*VLOOKUP(OrganizedData[[#This Row],[Product Code]],ProductData[],3,FALSE)</f>
        <v>6631</v>
      </c>
      <c r="R47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6299.45</v>
      </c>
    </row>
    <row r="4745" spans="1:18" x14ac:dyDescent="0.3">
      <c r="A4745" s="2">
        <v>4738</v>
      </c>
      <c r="B4745" s="2" t="s">
        <v>1019</v>
      </c>
      <c r="C4745" s="2" t="s">
        <v>9953</v>
      </c>
      <c r="D4745" s="2" t="s">
        <v>117</v>
      </c>
      <c r="E4745" s="2" t="s">
        <v>29</v>
      </c>
      <c r="F4745" s="2">
        <v>30</v>
      </c>
      <c r="G4745" s="2" t="s">
        <v>1247</v>
      </c>
      <c r="H4745" s="2" t="s">
        <v>4996</v>
      </c>
      <c r="I4745" s="2" t="s">
        <v>32</v>
      </c>
      <c r="J4745" s="3">
        <v>44859</v>
      </c>
      <c r="K4745" s="5">
        <f>YEAR(OrganizedData[[#This Row],[Order Date]])</f>
        <v>2022</v>
      </c>
      <c r="L4745" s="7" t="str">
        <f>TEXT(OrganizedData[[#This Row],[Order Date]],"mmm")</f>
        <v>Oct</v>
      </c>
      <c r="M4745" s="2">
        <v>22</v>
      </c>
      <c r="N4745" s="2" t="s">
        <v>39</v>
      </c>
      <c r="O4745" s="2" t="str">
        <f>VLOOKUP(OrganizedData[[#This Row],[Product Code]],ProductData[[Code]:[Item]],2,FALSE)</f>
        <v>Ultrathing V1</v>
      </c>
      <c r="P4745" s="4">
        <f>OrganizedData[[#This Row],[Quantity]]*VLOOKUP(OrganizedData[[#This Row],[Product Code]],ProductData[],4,FALSE)</f>
        <v>374</v>
      </c>
      <c r="Q4745" s="6">
        <f>OrganizedData[[#This Row],[Total Items Ordered]]*VLOOKUP(OrganizedData[[#This Row],[Product Code]],ProductData[],3,FALSE)</f>
        <v>669.46</v>
      </c>
      <c r="R47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4746" spans="1:18" x14ac:dyDescent="0.3">
      <c r="A4746" s="2">
        <v>4739</v>
      </c>
      <c r="B4746" s="2" t="s">
        <v>1726</v>
      </c>
      <c r="C4746" s="2" t="s">
        <v>6134</v>
      </c>
      <c r="D4746" s="2" t="s">
        <v>51</v>
      </c>
      <c r="E4746" s="2" t="s">
        <v>16</v>
      </c>
      <c r="F4746" s="2">
        <v>30</v>
      </c>
      <c r="G4746" s="2" t="s">
        <v>10127</v>
      </c>
      <c r="H4746" s="2" t="s">
        <v>4404</v>
      </c>
      <c r="I4746" s="2" t="s">
        <v>32</v>
      </c>
      <c r="J4746" s="3">
        <v>44695</v>
      </c>
      <c r="K4746" s="5">
        <f>YEAR(OrganizedData[[#This Row],[Order Date]])</f>
        <v>2022</v>
      </c>
      <c r="L4746" s="7" t="str">
        <f>TEXT(OrganizedData[[#This Row],[Order Date]],"mmm")</f>
        <v>May</v>
      </c>
      <c r="M4746" s="2">
        <v>33</v>
      </c>
      <c r="N4746" s="2" t="s">
        <v>33</v>
      </c>
      <c r="O4746" s="2" t="str">
        <f>VLOOKUP(OrganizedData[[#This Row],[Product Code]],ProductData[[Code]:[Item]],2,FALSE)</f>
        <v>Megawidget L</v>
      </c>
      <c r="P4746" s="4">
        <f>OrganizedData[[#This Row],[Quantity]]*VLOOKUP(OrganizedData[[#This Row],[Product Code]],ProductData[],4,FALSE)</f>
        <v>792</v>
      </c>
      <c r="Q4746" s="6">
        <f>OrganizedData[[#This Row],[Total Items Ordered]]*VLOOKUP(OrganizedData[[#This Row],[Product Code]],ProductData[],3,FALSE)</f>
        <v>1417.68</v>
      </c>
      <c r="R47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1375.1496</v>
      </c>
    </row>
    <row r="4747" spans="1:18" x14ac:dyDescent="0.3">
      <c r="A4747" s="2">
        <v>4740</v>
      </c>
      <c r="B4747" s="2" t="s">
        <v>10128</v>
      </c>
      <c r="C4747" s="2" t="s">
        <v>4903</v>
      </c>
      <c r="D4747" s="2" t="s">
        <v>15</v>
      </c>
      <c r="E4747" s="2" t="s">
        <v>16</v>
      </c>
      <c r="F4747" s="2">
        <v>60</v>
      </c>
      <c r="G4747" s="2" t="s">
        <v>10129</v>
      </c>
      <c r="H4747" s="2" t="s">
        <v>7353</v>
      </c>
      <c r="I4747" s="2" t="s">
        <v>19</v>
      </c>
      <c r="J4747" s="3">
        <v>43980</v>
      </c>
      <c r="K4747" s="5">
        <f>YEAR(OrganizedData[[#This Row],[Order Date]])</f>
        <v>2020</v>
      </c>
      <c r="L4747" s="7" t="str">
        <f>TEXT(OrganizedData[[#This Row],[Order Date]],"mmm")</f>
        <v>May</v>
      </c>
      <c r="M4747" s="2">
        <v>53</v>
      </c>
      <c r="N4747" s="2" t="s">
        <v>80</v>
      </c>
      <c r="O4747" s="2" t="str">
        <f>VLOOKUP(OrganizedData[[#This Row],[Product Code]],ProductData[[Code]:[Item]],2,FALSE)</f>
        <v>Ultrathing V2</v>
      </c>
      <c r="P4747" s="4">
        <f>OrganizedData[[#This Row],[Quantity]]*VLOOKUP(OrganizedData[[#This Row],[Product Code]],ProductData[],4,FALSE)</f>
        <v>1060</v>
      </c>
      <c r="Q4747" s="6">
        <f>OrganizedData[[#This Row],[Total Items Ordered]]*VLOOKUP(OrganizedData[[#This Row],[Product Code]],ProductData[],3,FALSE)</f>
        <v>3127</v>
      </c>
      <c r="R47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2970.6499999999996</v>
      </c>
    </row>
    <row r="4748" spans="1:18" x14ac:dyDescent="0.3">
      <c r="A4748" s="2">
        <v>4741</v>
      </c>
      <c r="B4748" s="2" t="s">
        <v>9145</v>
      </c>
      <c r="C4748" s="2" t="s">
        <v>5225</v>
      </c>
      <c r="D4748" s="2" t="s">
        <v>15</v>
      </c>
      <c r="E4748" s="2" t="s">
        <v>16</v>
      </c>
      <c r="F4748" s="2">
        <v>30</v>
      </c>
      <c r="G4748" s="2" t="s">
        <v>10130</v>
      </c>
      <c r="H4748" s="2" t="s">
        <v>1855</v>
      </c>
      <c r="I4748" s="2" t="s">
        <v>25</v>
      </c>
      <c r="J4748" s="3">
        <v>44374</v>
      </c>
      <c r="K4748" s="5">
        <f>YEAR(OrganizedData[[#This Row],[Order Date]])</f>
        <v>2021</v>
      </c>
      <c r="L4748" s="7" t="str">
        <f>TEXT(OrganizedData[[#This Row],[Order Date]],"mmm")</f>
        <v>Jun</v>
      </c>
      <c r="M4748" s="2">
        <v>72</v>
      </c>
      <c r="N4748" s="2" t="s">
        <v>101</v>
      </c>
      <c r="O4748" s="2" t="str">
        <f>VLOOKUP(OrganizedData[[#This Row],[Product Code]],ProductData[[Code]:[Item]],2,FALSE)</f>
        <v>Superwossname</v>
      </c>
      <c r="P4748" s="4">
        <f>OrganizedData[[#This Row],[Quantity]]*VLOOKUP(OrganizedData[[#This Row],[Product Code]],ProductData[],4,FALSE)</f>
        <v>1440</v>
      </c>
      <c r="Q4748" s="6">
        <f>OrganizedData[[#This Row],[Total Items Ordered]]*VLOOKUP(OrganizedData[[#This Row],[Product Code]],ProductData[],3,FALSE)</f>
        <v>5025.6000000000004</v>
      </c>
      <c r="R47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4749" spans="1:18" x14ac:dyDescent="0.3">
      <c r="A4749" s="2">
        <v>4742</v>
      </c>
      <c r="B4749" s="2" t="s">
        <v>4052</v>
      </c>
      <c r="C4749" s="2" t="s">
        <v>3330</v>
      </c>
      <c r="D4749" s="2" t="s">
        <v>28</v>
      </c>
      <c r="E4749" s="2" t="s">
        <v>29</v>
      </c>
      <c r="F4749" s="2">
        <v>60</v>
      </c>
      <c r="G4749" s="2" t="s">
        <v>10131</v>
      </c>
      <c r="H4749" s="2" t="s">
        <v>10132</v>
      </c>
      <c r="I4749" s="2" t="s">
        <v>294</v>
      </c>
      <c r="J4749" s="3">
        <v>44239</v>
      </c>
      <c r="K4749" s="5">
        <f>YEAR(OrganizedData[[#This Row],[Order Date]])</f>
        <v>2021</v>
      </c>
      <c r="L4749" s="7" t="str">
        <f>TEXT(OrganizedData[[#This Row],[Order Date]],"mmm")</f>
        <v>Feb</v>
      </c>
      <c r="M4749" s="2">
        <v>78</v>
      </c>
      <c r="N4749" s="2" t="s">
        <v>64</v>
      </c>
      <c r="O4749" s="2" t="str">
        <f>VLOOKUP(OrganizedData[[#This Row],[Product Code]],ProductData[[Code]:[Item]],2,FALSE)</f>
        <v>Ultrathing V4</v>
      </c>
      <c r="P4749" s="4">
        <f>OrganizedData[[#This Row],[Quantity]]*VLOOKUP(OrganizedData[[#This Row],[Product Code]],ProductData[],4,FALSE)</f>
        <v>1872</v>
      </c>
      <c r="Q4749" s="6">
        <f>OrganizedData[[#This Row],[Total Items Ordered]]*VLOOKUP(OrganizedData[[#This Row],[Product Code]],ProductData[],3,FALSE)</f>
        <v>7469.2800000000007</v>
      </c>
      <c r="R47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7095.8160000000007</v>
      </c>
    </row>
    <row r="4750" spans="1:18" x14ac:dyDescent="0.3">
      <c r="A4750" s="2">
        <v>4743</v>
      </c>
      <c r="B4750" s="2" t="s">
        <v>8911</v>
      </c>
      <c r="C4750" s="2" t="s">
        <v>7716</v>
      </c>
      <c r="D4750" s="2" t="s">
        <v>28</v>
      </c>
      <c r="E4750" s="2" t="s">
        <v>29</v>
      </c>
      <c r="F4750" s="2">
        <v>90</v>
      </c>
      <c r="G4750" s="2" t="s">
        <v>10133</v>
      </c>
      <c r="H4750" s="2" t="s">
        <v>1590</v>
      </c>
      <c r="I4750" s="2" t="s">
        <v>32</v>
      </c>
      <c r="J4750" s="3">
        <v>44347</v>
      </c>
      <c r="K4750" s="5">
        <f>YEAR(OrganizedData[[#This Row],[Order Date]])</f>
        <v>2021</v>
      </c>
      <c r="L4750" s="7" t="str">
        <f>TEXT(OrganizedData[[#This Row],[Order Date]],"mmm")</f>
        <v>May</v>
      </c>
      <c r="M4750" s="2">
        <v>2</v>
      </c>
      <c r="N4750" s="2" t="s">
        <v>39</v>
      </c>
      <c r="O4750" s="2" t="str">
        <f>VLOOKUP(OrganizedData[[#This Row],[Product Code]],ProductData[[Code]:[Item]],2,FALSE)</f>
        <v>Ultrathing V1</v>
      </c>
      <c r="P4750" s="4">
        <f>OrganizedData[[#This Row],[Quantity]]*VLOOKUP(OrganizedData[[#This Row],[Product Code]],ProductData[],4,FALSE)</f>
        <v>34</v>
      </c>
      <c r="Q4750" s="6">
        <f>OrganizedData[[#This Row],[Total Items Ordered]]*VLOOKUP(OrganizedData[[#This Row],[Product Code]],ProductData[],3,FALSE)</f>
        <v>60.86</v>
      </c>
      <c r="R47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4751" spans="1:18" x14ac:dyDescent="0.3">
      <c r="A4751" s="2">
        <v>4744</v>
      </c>
      <c r="B4751" s="2" t="s">
        <v>1229</v>
      </c>
      <c r="C4751" s="2" t="s">
        <v>4476</v>
      </c>
      <c r="D4751" s="2" t="s">
        <v>28</v>
      </c>
      <c r="E4751" s="2" t="s">
        <v>29</v>
      </c>
      <c r="F4751" s="2">
        <v>30</v>
      </c>
      <c r="G4751" s="2" t="s">
        <v>10134</v>
      </c>
      <c r="H4751" s="2" t="s">
        <v>6038</v>
      </c>
      <c r="I4751" s="2" t="s">
        <v>19</v>
      </c>
      <c r="J4751" s="3">
        <v>44442</v>
      </c>
      <c r="K4751" s="5">
        <f>YEAR(OrganizedData[[#This Row],[Order Date]])</f>
        <v>2021</v>
      </c>
      <c r="L4751" s="7" t="str">
        <f>TEXT(OrganizedData[[#This Row],[Order Date]],"mmm")</f>
        <v>Sep</v>
      </c>
      <c r="M4751" s="2">
        <v>25</v>
      </c>
      <c r="N4751" s="2" t="s">
        <v>101</v>
      </c>
      <c r="O4751" s="2" t="str">
        <f>VLOOKUP(OrganizedData[[#This Row],[Product Code]],ProductData[[Code]:[Item]],2,FALSE)</f>
        <v>Superwossname</v>
      </c>
      <c r="P4751" s="4">
        <f>OrganizedData[[#This Row],[Quantity]]*VLOOKUP(OrganizedData[[#This Row],[Product Code]],ProductData[],4,FALSE)</f>
        <v>500</v>
      </c>
      <c r="Q4751" s="6">
        <f>OrganizedData[[#This Row],[Total Items Ordered]]*VLOOKUP(OrganizedData[[#This Row],[Product Code]],ProductData[],3,FALSE)</f>
        <v>1745</v>
      </c>
      <c r="R47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1692.6499999999999</v>
      </c>
    </row>
    <row r="4752" spans="1:18" x14ac:dyDescent="0.3">
      <c r="A4752" s="2">
        <v>4745</v>
      </c>
      <c r="B4752" s="2" t="s">
        <v>7303</v>
      </c>
      <c r="C4752" s="2" t="s">
        <v>4461</v>
      </c>
      <c r="D4752" s="2" t="s">
        <v>28</v>
      </c>
      <c r="E4752" s="2" t="s">
        <v>29</v>
      </c>
      <c r="F4752" s="2">
        <v>60</v>
      </c>
      <c r="G4752" s="2" t="s">
        <v>10135</v>
      </c>
      <c r="H4752" s="2" t="s">
        <v>8205</v>
      </c>
      <c r="I4752" s="2" t="s">
        <v>25</v>
      </c>
      <c r="J4752" s="3">
        <v>44325</v>
      </c>
      <c r="K4752" s="5">
        <f>YEAR(OrganizedData[[#This Row],[Order Date]])</f>
        <v>2021</v>
      </c>
      <c r="L4752" s="7" t="str">
        <f>TEXT(OrganizedData[[#This Row],[Order Date]],"mmm")</f>
        <v>May</v>
      </c>
      <c r="M4752" s="2">
        <v>6</v>
      </c>
      <c r="N4752" s="2" t="s">
        <v>39</v>
      </c>
      <c r="O4752" s="2" t="str">
        <f>VLOOKUP(OrganizedData[[#This Row],[Product Code]],ProductData[[Code]:[Item]],2,FALSE)</f>
        <v>Ultrathing V1</v>
      </c>
      <c r="P4752" s="4">
        <f>OrganizedData[[#This Row],[Quantity]]*VLOOKUP(OrganizedData[[#This Row],[Product Code]],ProductData[],4,FALSE)</f>
        <v>102</v>
      </c>
      <c r="Q4752" s="6">
        <f>OrganizedData[[#This Row],[Total Items Ordered]]*VLOOKUP(OrganizedData[[#This Row],[Product Code]],ProductData[],3,FALSE)</f>
        <v>182.58</v>
      </c>
      <c r="R47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182.58</v>
      </c>
    </row>
    <row r="4753" spans="1:18" x14ac:dyDescent="0.3">
      <c r="A4753" s="2">
        <v>4746</v>
      </c>
      <c r="B4753" s="2" t="s">
        <v>10136</v>
      </c>
      <c r="C4753" s="2" t="s">
        <v>4242</v>
      </c>
      <c r="D4753" s="2" t="s">
        <v>15</v>
      </c>
      <c r="E4753" s="2" t="s">
        <v>16</v>
      </c>
      <c r="F4753" s="2">
        <v>30</v>
      </c>
      <c r="G4753" s="2" t="s">
        <v>10137</v>
      </c>
      <c r="H4753" s="2" t="s">
        <v>1690</v>
      </c>
      <c r="I4753" s="2" t="s">
        <v>208</v>
      </c>
      <c r="J4753" s="3">
        <v>44150</v>
      </c>
      <c r="K4753" s="5">
        <f>YEAR(OrganizedData[[#This Row],[Order Date]])</f>
        <v>2020</v>
      </c>
      <c r="L4753" s="7" t="str">
        <f>TEXT(OrganizedData[[#This Row],[Order Date]],"mmm")</f>
        <v>Nov</v>
      </c>
      <c r="M4753" s="2">
        <v>72</v>
      </c>
      <c r="N4753" s="2" t="s">
        <v>54</v>
      </c>
      <c r="O4753" s="2" t="str">
        <f>VLOOKUP(OrganizedData[[#This Row],[Product Code]],ProductData[[Code]:[Item]],2,FALSE)</f>
        <v>Megawidget S</v>
      </c>
      <c r="P4753" s="4">
        <f>OrganizedData[[#This Row],[Quantity]]*VLOOKUP(OrganizedData[[#This Row],[Product Code]],ProductData[],4,FALSE)</f>
        <v>1728</v>
      </c>
      <c r="Q4753" s="6">
        <f>OrganizedData[[#This Row],[Total Items Ordered]]*VLOOKUP(OrganizedData[[#This Row],[Product Code]],ProductData[],3,FALSE)</f>
        <v>1192.32</v>
      </c>
      <c r="R47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1132.704</v>
      </c>
    </row>
    <row r="4754" spans="1:18" x14ac:dyDescent="0.3">
      <c r="A4754" s="2">
        <v>4747</v>
      </c>
      <c r="B4754" s="2" t="s">
        <v>10138</v>
      </c>
      <c r="C4754" s="2" t="s">
        <v>5106</v>
      </c>
      <c r="D4754" s="2" t="s">
        <v>28</v>
      </c>
      <c r="E4754" s="2" t="s">
        <v>29</v>
      </c>
      <c r="F4754" s="2">
        <v>60</v>
      </c>
      <c r="G4754" s="2" t="s">
        <v>10139</v>
      </c>
      <c r="H4754" s="2" t="s">
        <v>912</v>
      </c>
      <c r="I4754" s="2" t="s">
        <v>913</v>
      </c>
      <c r="J4754" s="3">
        <v>43844</v>
      </c>
      <c r="K4754" s="5">
        <f>YEAR(OrganizedData[[#This Row],[Order Date]])</f>
        <v>2020</v>
      </c>
      <c r="L4754" s="7" t="str">
        <f>TEXT(OrganizedData[[#This Row],[Order Date]],"mmm")</f>
        <v>Jan</v>
      </c>
      <c r="M4754" s="2">
        <v>30</v>
      </c>
      <c r="N4754" s="2" t="s">
        <v>54</v>
      </c>
      <c r="O4754" s="2" t="str">
        <f>VLOOKUP(OrganizedData[[#This Row],[Product Code]],ProductData[[Code]:[Item]],2,FALSE)</f>
        <v>Megawidget S</v>
      </c>
      <c r="P4754" s="4">
        <f>OrganizedData[[#This Row],[Quantity]]*VLOOKUP(OrganizedData[[#This Row],[Product Code]],ProductData[],4,FALSE)</f>
        <v>720</v>
      </c>
      <c r="Q4754" s="6">
        <f>OrganizedData[[#This Row],[Total Items Ordered]]*VLOOKUP(OrganizedData[[#This Row],[Product Code]],ProductData[],3,FALSE)</f>
        <v>496.79999999999995</v>
      </c>
      <c r="R47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481.89599999999996</v>
      </c>
    </row>
    <row r="4755" spans="1:18" x14ac:dyDescent="0.3">
      <c r="A4755" s="2">
        <v>4748</v>
      </c>
      <c r="B4755" s="2" t="s">
        <v>8492</v>
      </c>
      <c r="C4755" s="2" t="s">
        <v>10140</v>
      </c>
      <c r="D4755" s="2" t="s">
        <v>41</v>
      </c>
      <c r="E4755" s="2" t="s">
        <v>16</v>
      </c>
      <c r="F4755" s="2">
        <v>30</v>
      </c>
      <c r="G4755" s="2" t="s">
        <v>10141</v>
      </c>
      <c r="H4755" s="2" t="s">
        <v>4899</v>
      </c>
      <c r="I4755" s="2" t="s">
        <v>100</v>
      </c>
      <c r="J4755" s="3">
        <v>44101</v>
      </c>
      <c r="K4755" s="5">
        <f>YEAR(OrganizedData[[#This Row],[Order Date]])</f>
        <v>2020</v>
      </c>
      <c r="L4755" s="7" t="str">
        <f>TEXT(OrganizedData[[#This Row],[Order Date]],"mmm")</f>
        <v>Sep</v>
      </c>
      <c r="M4755" s="2">
        <v>62</v>
      </c>
      <c r="N4755" s="2" t="s">
        <v>64</v>
      </c>
      <c r="O4755" s="2" t="str">
        <f>VLOOKUP(OrganizedData[[#This Row],[Product Code]],ProductData[[Code]:[Item]],2,FALSE)</f>
        <v>Ultrathing V4</v>
      </c>
      <c r="P4755" s="4">
        <f>OrganizedData[[#This Row],[Quantity]]*VLOOKUP(OrganizedData[[#This Row],[Product Code]],ProductData[],4,FALSE)</f>
        <v>1488</v>
      </c>
      <c r="Q4755" s="6">
        <f>OrganizedData[[#This Row],[Total Items Ordered]]*VLOOKUP(OrganizedData[[#This Row],[Product Code]],ProductData[],3,FALSE)</f>
        <v>5937.12</v>
      </c>
      <c r="R47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5640.2639999999992</v>
      </c>
    </row>
    <row r="4756" spans="1:18" x14ac:dyDescent="0.3">
      <c r="A4756" s="2">
        <v>4749</v>
      </c>
      <c r="B4756" s="2" t="s">
        <v>10142</v>
      </c>
      <c r="C4756" s="2" t="s">
        <v>7482</v>
      </c>
      <c r="D4756" s="2" t="s">
        <v>51</v>
      </c>
      <c r="E4756" s="2" t="s">
        <v>16</v>
      </c>
      <c r="F4756" s="2">
        <v>90</v>
      </c>
      <c r="G4756" s="2" t="s">
        <v>10141</v>
      </c>
      <c r="H4756" s="2" t="s">
        <v>5036</v>
      </c>
      <c r="I4756" s="2" t="s">
        <v>32</v>
      </c>
      <c r="J4756" s="3">
        <v>44196</v>
      </c>
      <c r="K4756" s="5">
        <f>YEAR(OrganizedData[[#This Row],[Order Date]])</f>
        <v>2020</v>
      </c>
      <c r="L4756" s="7" t="str">
        <f>TEXT(OrganizedData[[#This Row],[Order Date]],"mmm")</f>
        <v>Dec</v>
      </c>
      <c r="M4756" s="2">
        <v>82</v>
      </c>
      <c r="N4756" s="2" t="s">
        <v>20</v>
      </c>
      <c r="O4756" s="2" t="str">
        <f>VLOOKUP(OrganizedData[[#This Row],[Product Code]],ProductData[[Code]:[Item]],2,FALSE)</f>
        <v>Hyperwotsit</v>
      </c>
      <c r="P4756" s="4">
        <f>OrganizedData[[#This Row],[Quantity]]*VLOOKUP(OrganizedData[[#This Row],[Product Code]],ProductData[],4,FALSE)</f>
        <v>1640</v>
      </c>
      <c r="Q4756" s="6">
        <f>OrganizedData[[#This Row],[Total Items Ordered]]*VLOOKUP(OrganizedData[[#This Row],[Product Code]],ProductData[],3,FALSE)</f>
        <v>3296.3999999999996</v>
      </c>
      <c r="R47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3131.5799999999995</v>
      </c>
    </row>
    <row r="4757" spans="1:18" x14ac:dyDescent="0.3">
      <c r="A4757" s="2">
        <v>4750</v>
      </c>
      <c r="B4757" s="2" t="s">
        <v>4858</v>
      </c>
      <c r="C4757" s="2" t="s">
        <v>1985</v>
      </c>
      <c r="D4757" s="2" t="s">
        <v>28</v>
      </c>
      <c r="E4757" s="2" t="s">
        <v>29</v>
      </c>
      <c r="F4757" s="2">
        <v>30</v>
      </c>
      <c r="G4757" s="2" t="s">
        <v>10143</v>
      </c>
      <c r="H4757" s="2" t="s">
        <v>109</v>
      </c>
      <c r="I4757" s="2" t="s">
        <v>110</v>
      </c>
      <c r="J4757" s="3">
        <v>44608</v>
      </c>
      <c r="K4757" s="5">
        <f>YEAR(OrganizedData[[#This Row],[Order Date]])</f>
        <v>2022</v>
      </c>
      <c r="L4757" s="7" t="str">
        <f>TEXT(OrganizedData[[#This Row],[Order Date]],"mmm")</f>
        <v>Feb</v>
      </c>
      <c r="M4757" s="2">
        <v>82</v>
      </c>
      <c r="N4757" s="2" t="s">
        <v>54</v>
      </c>
      <c r="O4757" s="2" t="str">
        <f>VLOOKUP(OrganizedData[[#This Row],[Product Code]],ProductData[[Code]:[Item]],2,FALSE)</f>
        <v>Megawidget S</v>
      </c>
      <c r="P4757" s="4">
        <f>OrganizedData[[#This Row],[Quantity]]*VLOOKUP(OrganizedData[[#This Row],[Product Code]],ProductData[],4,FALSE)</f>
        <v>1968</v>
      </c>
      <c r="Q4757" s="6">
        <f>OrganizedData[[#This Row],[Total Items Ordered]]*VLOOKUP(OrganizedData[[#This Row],[Product Code]],ProductData[],3,FALSE)</f>
        <v>1357.9199999999998</v>
      </c>
      <c r="R47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1290.0239999999999</v>
      </c>
    </row>
    <row r="4758" spans="1:18" x14ac:dyDescent="0.3">
      <c r="A4758" s="2">
        <v>4751</v>
      </c>
      <c r="B4758" s="2" t="s">
        <v>10144</v>
      </c>
      <c r="C4758" s="2" t="s">
        <v>9222</v>
      </c>
      <c r="D4758" s="2" t="s">
        <v>51</v>
      </c>
      <c r="E4758" s="2" t="s">
        <v>16</v>
      </c>
      <c r="F4758" s="2">
        <v>30</v>
      </c>
      <c r="G4758" s="2" t="s">
        <v>10145</v>
      </c>
      <c r="H4758" s="2" t="s">
        <v>2179</v>
      </c>
      <c r="I4758" s="2" t="s">
        <v>294</v>
      </c>
      <c r="J4758" s="3">
        <v>44889</v>
      </c>
      <c r="K4758" s="5">
        <f>YEAR(OrganizedData[[#This Row],[Order Date]])</f>
        <v>2022</v>
      </c>
      <c r="L4758" s="7" t="str">
        <f>TEXT(OrganizedData[[#This Row],[Order Date]],"mmm")</f>
        <v>Nov</v>
      </c>
      <c r="M4758" s="2">
        <v>99</v>
      </c>
      <c r="N4758" s="2" t="s">
        <v>70</v>
      </c>
      <c r="O4758" s="2" t="str">
        <f>VLOOKUP(OrganizedData[[#This Row],[Product Code]],ProductData[[Code]:[Item]],2,FALSE)</f>
        <v>Megawidget M</v>
      </c>
      <c r="P4758" s="4">
        <f>OrganizedData[[#This Row],[Quantity]]*VLOOKUP(OrganizedData[[#This Row],[Product Code]],ProductData[],4,FALSE)</f>
        <v>2376</v>
      </c>
      <c r="Q4758" s="6">
        <f>OrganizedData[[#This Row],[Total Items Ordered]]*VLOOKUP(OrganizedData[[#This Row],[Product Code]],ProductData[],3,FALSE)</f>
        <v>3065.04</v>
      </c>
      <c r="R47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2911.788</v>
      </c>
    </row>
    <row r="4759" spans="1:18" x14ac:dyDescent="0.3">
      <c r="A4759" s="2">
        <v>4752</v>
      </c>
      <c r="B4759" s="2" t="s">
        <v>2402</v>
      </c>
      <c r="C4759" s="2" t="s">
        <v>1219</v>
      </c>
      <c r="D4759" s="2" t="s">
        <v>28</v>
      </c>
      <c r="E4759" s="2" t="s">
        <v>29</v>
      </c>
      <c r="F4759" s="2">
        <v>30</v>
      </c>
      <c r="G4759" s="2" t="s">
        <v>10146</v>
      </c>
      <c r="H4759" s="2" t="s">
        <v>5647</v>
      </c>
      <c r="I4759" s="2" t="s">
        <v>38</v>
      </c>
      <c r="J4759" s="3">
        <v>43868</v>
      </c>
      <c r="K4759" s="5">
        <f>YEAR(OrganizedData[[#This Row],[Order Date]])</f>
        <v>2020</v>
      </c>
      <c r="L4759" s="7" t="str">
        <f>TEXT(OrganizedData[[#This Row],[Order Date]],"mmm")</f>
        <v>Feb</v>
      </c>
      <c r="M4759" s="2">
        <v>2</v>
      </c>
      <c r="N4759" s="2" t="s">
        <v>20</v>
      </c>
      <c r="O4759" s="2" t="str">
        <f>VLOOKUP(OrganizedData[[#This Row],[Product Code]],ProductData[[Code]:[Item]],2,FALSE)</f>
        <v>Hyperwotsit</v>
      </c>
      <c r="P4759" s="4">
        <f>OrganizedData[[#This Row],[Quantity]]*VLOOKUP(OrganizedData[[#This Row],[Product Code]],ProductData[],4,FALSE)</f>
        <v>40</v>
      </c>
      <c r="Q4759" s="6">
        <f>OrganizedData[[#This Row],[Total Items Ordered]]*VLOOKUP(OrganizedData[[#This Row],[Product Code]],ProductData[],3,FALSE)</f>
        <v>80.399999999999991</v>
      </c>
      <c r="R47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80.399999999999991</v>
      </c>
    </row>
    <row r="4760" spans="1:18" x14ac:dyDescent="0.3">
      <c r="A4760" s="2">
        <v>4753</v>
      </c>
      <c r="B4760" s="2" t="s">
        <v>4329</v>
      </c>
      <c r="C4760" s="2" t="s">
        <v>3556</v>
      </c>
      <c r="D4760" s="2" t="s">
        <v>28</v>
      </c>
      <c r="E4760" s="2" t="s">
        <v>29</v>
      </c>
      <c r="F4760" s="2">
        <v>90</v>
      </c>
      <c r="G4760" s="2" t="s">
        <v>10147</v>
      </c>
      <c r="H4760" s="2" t="s">
        <v>2533</v>
      </c>
      <c r="I4760" s="2" t="s">
        <v>2534</v>
      </c>
      <c r="J4760" s="3">
        <v>43928</v>
      </c>
      <c r="K4760" s="5">
        <f>YEAR(OrganizedData[[#This Row],[Order Date]])</f>
        <v>2020</v>
      </c>
      <c r="L4760" s="7" t="str">
        <f>TEXT(OrganizedData[[#This Row],[Order Date]],"mmm")</f>
        <v>Apr</v>
      </c>
      <c r="M4760" s="2">
        <v>45</v>
      </c>
      <c r="N4760" s="2" t="s">
        <v>33</v>
      </c>
      <c r="O4760" s="2" t="str">
        <f>VLOOKUP(OrganizedData[[#This Row],[Product Code]],ProductData[[Code]:[Item]],2,FALSE)</f>
        <v>Megawidget L</v>
      </c>
      <c r="P4760" s="4">
        <f>OrganizedData[[#This Row],[Quantity]]*VLOOKUP(OrganizedData[[#This Row],[Product Code]],ProductData[],4,FALSE)</f>
        <v>1080</v>
      </c>
      <c r="Q4760" s="6">
        <f>OrganizedData[[#This Row],[Total Items Ordered]]*VLOOKUP(OrganizedData[[#This Row],[Product Code]],ProductData[],3,FALSE)</f>
        <v>1933.2</v>
      </c>
      <c r="R47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1875.204</v>
      </c>
    </row>
    <row r="4761" spans="1:18" x14ac:dyDescent="0.3">
      <c r="A4761" s="2">
        <v>4754</v>
      </c>
      <c r="B4761" s="2" t="s">
        <v>8481</v>
      </c>
      <c r="C4761" s="2" t="s">
        <v>1891</v>
      </c>
      <c r="D4761" s="2" t="s">
        <v>51</v>
      </c>
      <c r="E4761" s="2" t="s">
        <v>16</v>
      </c>
      <c r="F4761" s="2">
        <v>30</v>
      </c>
      <c r="G4761" s="2" t="s">
        <v>10148</v>
      </c>
      <c r="H4761" s="2" t="s">
        <v>5957</v>
      </c>
      <c r="I4761" s="2" t="s">
        <v>187</v>
      </c>
      <c r="J4761" s="3">
        <v>44432</v>
      </c>
      <c r="K4761" s="5">
        <f>YEAR(OrganizedData[[#This Row],[Order Date]])</f>
        <v>2021</v>
      </c>
      <c r="L4761" s="7" t="str">
        <f>TEXT(OrganizedData[[#This Row],[Order Date]],"mmm")</f>
        <v>Aug</v>
      </c>
      <c r="M4761" s="2">
        <v>14</v>
      </c>
      <c r="N4761" s="2" t="s">
        <v>54</v>
      </c>
      <c r="O4761" s="2" t="str">
        <f>VLOOKUP(OrganizedData[[#This Row],[Product Code]],ProductData[[Code]:[Item]],2,FALSE)</f>
        <v>Megawidget S</v>
      </c>
      <c r="P4761" s="4">
        <f>OrganizedData[[#This Row],[Quantity]]*VLOOKUP(OrganizedData[[#This Row],[Product Code]],ProductData[],4,FALSE)</f>
        <v>336</v>
      </c>
      <c r="Q4761" s="6">
        <f>OrganizedData[[#This Row],[Total Items Ordered]]*VLOOKUP(OrganizedData[[#This Row],[Product Code]],ProductData[],3,FALSE)</f>
        <v>231.83999999999997</v>
      </c>
      <c r="R47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231.83999999999997</v>
      </c>
    </row>
    <row r="4762" spans="1:18" x14ac:dyDescent="0.3">
      <c r="A4762" s="2">
        <v>4755</v>
      </c>
      <c r="B4762" s="2" t="s">
        <v>4875</v>
      </c>
      <c r="C4762" s="2" t="s">
        <v>1700</v>
      </c>
      <c r="D4762" s="2" t="s">
        <v>28</v>
      </c>
      <c r="E4762" s="2" t="s">
        <v>29</v>
      </c>
      <c r="F4762" s="2">
        <v>60</v>
      </c>
      <c r="G4762" s="2" t="s">
        <v>10148</v>
      </c>
      <c r="H4762" s="2" t="s">
        <v>570</v>
      </c>
      <c r="I4762" s="2" t="s">
        <v>187</v>
      </c>
      <c r="J4762" s="3">
        <v>43935</v>
      </c>
      <c r="K4762" s="5">
        <f>YEAR(OrganizedData[[#This Row],[Order Date]])</f>
        <v>2020</v>
      </c>
      <c r="L4762" s="7" t="str">
        <f>TEXT(OrganizedData[[#This Row],[Order Date]],"mmm")</f>
        <v>Apr</v>
      </c>
      <c r="M4762" s="2">
        <v>38</v>
      </c>
      <c r="N4762" s="2" t="s">
        <v>45</v>
      </c>
      <c r="O4762" s="2" t="str">
        <f>VLOOKUP(OrganizedData[[#This Row],[Product Code]],ProductData[[Code]:[Item]],2,FALSE)</f>
        <v>Gigastuff</v>
      </c>
      <c r="P4762" s="4">
        <f>OrganizedData[[#This Row],[Quantity]]*VLOOKUP(OrganizedData[[#This Row],[Product Code]],ProductData[],4,FALSE)</f>
        <v>684</v>
      </c>
      <c r="Q4762" s="6">
        <f>OrganizedData[[#This Row],[Total Items Ordered]]*VLOOKUP(OrganizedData[[#This Row],[Product Code]],ProductData[],3,FALSE)</f>
        <v>1292.76</v>
      </c>
      <c r="R47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1253.9772</v>
      </c>
    </row>
    <row r="4763" spans="1:18" x14ac:dyDescent="0.3">
      <c r="A4763" s="2">
        <v>4756</v>
      </c>
      <c r="B4763" s="2" t="s">
        <v>4091</v>
      </c>
      <c r="C4763" s="2" t="s">
        <v>3066</v>
      </c>
      <c r="D4763" s="2" t="s">
        <v>28</v>
      </c>
      <c r="E4763" s="2" t="s">
        <v>29</v>
      </c>
      <c r="F4763" s="2">
        <v>30</v>
      </c>
      <c r="G4763" s="2" t="s">
        <v>10149</v>
      </c>
      <c r="H4763" s="2" t="s">
        <v>764</v>
      </c>
      <c r="I4763" s="2" t="s">
        <v>32</v>
      </c>
      <c r="J4763" s="3">
        <v>43897</v>
      </c>
      <c r="K4763" s="5">
        <f>YEAR(OrganizedData[[#This Row],[Order Date]])</f>
        <v>2020</v>
      </c>
      <c r="L4763" s="7" t="str">
        <f>TEXT(OrganizedData[[#This Row],[Order Date]],"mmm")</f>
        <v>Mar</v>
      </c>
      <c r="M4763" s="2">
        <v>67</v>
      </c>
      <c r="N4763" s="2" t="s">
        <v>64</v>
      </c>
      <c r="O4763" s="2" t="str">
        <f>VLOOKUP(OrganizedData[[#This Row],[Product Code]],ProductData[[Code]:[Item]],2,FALSE)</f>
        <v>Ultrathing V4</v>
      </c>
      <c r="P4763" s="4">
        <f>OrganizedData[[#This Row],[Quantity]]*VLOOKUP(OrganizedData[[#This Row],[Product Code]],ProductData[],4,FALSE)</f>
        <v>1608</v>
      </c>
      <c r="Q4763" s="6">
        <f>OrganizedData[[#This Row],[Total Items Ordered]]*VLOOKUP(OrganizedData[[#This Row],[Product Code]],ProductData[],3,FALSE)</f>
        <v>6415.92</v>
      </c>
      <c r="R47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6095.1239999999998</v>
      </c>
    </row>
    <row r="4764" spans="1:18" x14ac:dyDescent="0.3">
      <c r="A4764" s="2">
        <v>4757</v>
      </c>
      <c r="B4764" s="2" t="s">
        <v>10150</v>
      </c>
      <c r="C4764" s="2" t="s">
        <v>10039</v>
      </c>
      <c r="D4764" s="2" t="s">
        <v>15</v>
      </c>
      <c r="E4764" s="2" t="s">
        <v>16</v>
      </c>
      <c r="F4764" s="2">
        <v>90</v>
      </c>
      <c r="G4764" s="2" t="s">
        <v>10151</v>
      </c>
      <c r="H4764" s="2" t="s">
        <v>2351</v>
      </c>
      <c r="I4764" s="2" t="s">
        <v>32</v>
      </c>
      <c r="J4764" s="3">
        <v>44612</v>
      </c>
      <c r="K4764" s="5">
        <f>YEAR(OrganizedData[[#This Row],[Order Date]])</f>
        <v>2022</v>
      </c>
      <c r="L4764" s="7" t="str">
        <f>TEXT(OrganizedData[[#This Row],[Order Date]],"mmm")</f>
        <v>Feb</v>
      </c>
      <c r="M4764" s="2">
        <v>102</v>
      </c>
      <c r="N4764" s="2" t="s">
        <v>39</v>
      </c>
      <c r="O4764" s="2" t="str">
        <f>VLOOKUP(OrganizedData[[#This Row],[Product Code]],ProductData[[Code]:[Item]],2,FALSE)</f>
        <v>Ultrathing V1</v>
      </c>
      <c r="P4764" s="4">
        <f>OrganizedData[[#This Row],[Quantity]]*VLOOKUP(OrganizedData[[#This Row],[Product Code]],ProductData[],4,FALSE)</f>
        <v>1734</v>
      </c>
      <c r="Q4764" s="6">
        <f>OrganizedData[[#This Row],[Total Items Ordered]]*VLOOKUP(OrganizedData[[#This Row],[Product Code]],ProductData[],3,FALSE)</f>
        <v>3103.86</v>
      </c>
      <c r="R47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2886.5898000000002</v>
      </c>
    </row>
    <row r="4765" spans="1:18" x14ac:dyDescent="0.3">
      <c r="A4765" s="2">
        <v>4758</v>
      </c>
      <c r="B4765" s="2" t="s">
        <v>1445</v>
      </c>
      <c r="C4765" s="2" t="s">
        <v>999</v>
      </c>
      <c r="D4765" s="2" t="s">
        <v>28</v>
      </c>
      <c r="E4765" s="2" t="s">
        <v>29</v>
      </c>
      <c r="F4765" s="2">
        <v>90</v>
      </c>
      <c r="G4765" s="2" t="s">
        <v>10586</v>
      </c>
      <c r="H4765" s="2" t="s">
        <v>2093</v>
      </c>
      <c r="I4765" s="2" t="s">
        <v>32</v>
      </c>
      <c r="J4765" s="3">
        <v>44640</v>
      </c>
      <c r="K4765" s="5">
        <f>YEAR(OrganizedData[[#This Row],[Order Date]])</f>
        <v>2022</v>
      </c>
      <c r="L4765" s="7" t="str">
        <f>TEXT(OrganizedData[[#This Row],[Order Date]],"mmm")</f>
        <v>Mar</v>
      </c>
      <c r="M4765" s="2">
        <v>32</v>
      </c>
      <c r="N4765" s="2" t="s">
        <v>20</v>
      </c>
      <c r="O4765" s="2" t="str">
        <f>VLOOKUP(OrganizedData[[#This Row],[Product Code]],ProductData[[Code]:[Item]],2,FALSE)</f>
        <v>Hyperwotsit</v>
      </c>
      <c r="P4765" s="4">
        <f>OrganizedData[[#This Row],[Quantity]]*VLOOKUP(OrganizedData[[#This Row],[Product Code]],ProductData[],4,FALSE)</f>
        <v>640</v>
      </c>
      <c r="Q4765" s="6">
        <f>OrganizedData[[#This Row],[Total Items Ordered]]*VLOOKUP(OrganizedData[[#This Row],[Product Code]],ProductData[],3,FALSE)</f>
        <v>1286.3999999999999</v>
      </c>
      <c r="R47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1247.8079999999998</v>
      </c>
    </row>
    <row r="4766" spans="1:18" x14ac:dyDescent="0.3">
      <c r="A4766" s="2">
        <v>4759</v>
      </c>
      <c r="B4766" s="2" t="s">
        <v>1240</v>
      </c>
      <c r="C4766" s="2" t="s">
        <v>6922</v>
      </c>
      <c r="D4766" s="2" t="s">
        <v>28</v>
      </c>
      <c r="E4766" s="2" t="s">
        <v>29</v>
      </c>
      <c r="F4766" s="2">
        <v>30</v>
      </c>
      <c r="G4766" s="2" t="s">
        <v>10153</v>
      </c>
      <c r="H4766" s="2" t="s">
        <v>6249</v>
      </c>
      <c r="I4766" s="2" t="s">
        <v>38</v>
      </c>
      <c r="J4766" s="3">
        <v>44687</v>
      </c>
      <c r="K4766" s="5">
        <f>YEAR(OrganizedData[[#This Row],[Order Date]])</f>
        <v>2022</v>
      </c>
      <c r="L4766" s="7" t="str">
        <f>TEXT(OrganizedData[[#This Row],[Order Date]],"mmm")</f>
        <v>May</v>
      </c>
      <c r="M4766" s="2">
        <v>103</v>
      </c>
      <c r="N4766" s="2" t="s">
        <v>70</v>
      </c>
      <c r="O4766" s="2" t="str">
        <f>VLOOKUP(OrganizedData[[#This Row],[Product Code]],ProductData[[Code]:[Item]],2,FALSE)</f>
        <v>Megawidget M</v>
      </c>
      <c r="P4766" s="4">
        <f>OrganizedData[[#This Row],[Quantity]]*VLOOKUP(OrganizedData[[#This Row],[Product Code]],ProductData[],4,FALSE)</f>
        <v>2472</v>
      </c>
      <c r="Q4766" s="6">
        <f>OrganizedData[[#This Row],[Total Items Ordered]]*VLOOKUP(OrganizedData[[#This Row],[Product Code]],ProductData[],3,FALSE)</f>
        <v>3188.88</v>
      </c>
      <c r="R47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2965.6584000000003</v>
      </c>
    </row>
    <row r="4767" spans="1:18" x14ac:dyDescent="0.3">
      <c r="A4767" s="2">
        <v>4760</v>
      </c>
      <c r="B4767" s="2" t="s">
        <v>921</v>
      </c>
      <c r="C4767" s="2" t="s">
        <v>2410</v>
      </c>
      <c r="D4767" s="2" t="s">
        <v>28</v>
      </c>
      <c r="E4767" s="2" t="s">
        <v>29</v>
      </c>
      <c r="F4767" s="2">
        <v>90</v>
      </c>
      <c r="G4767" s="2" t="s">
        <v>10154</v>
      </c>
      <c r="H4767" s="2" t="s">
        <v>1651</v>
      </c>
      <c r="I4767" s="2" t="s">
        <v>1652</v>
      </c>
      <c r="J4767" s="3">
        <v>44806</v>
      </c>
      <c r="K4767" s="5">
        <f>YEAR(OrganizedData[[#This Row],[Order Date]])</f>
        <v>2022</v>
      </c>
      <c r="L4767" s="7" t="str">
        <f>TEXT(OrganizedData[[#This Row],[Order Date]],"mmm")</f>
        <v>Sep</v>
      </c>
      <c r="M4767" s="2">
        <v>105</v>
      </c>
      <c r="N4767" s="2" t="s">
        <v>70</v>
      </c>
      <c r="O4767" s="2" t="str">
        <f>VLOOKUP(OrganizedData[[#This Row],[Product Code]],ProductData[[Code]:[Item]],2,FALSE)</f>
        <v>Megawidget M</v>
      </c>
      <c r="P4767" s="4">
        <f>OrganizedData[[#This Row],[Quantity]]*VLOOKUP(OrganizedData[[#This Row],[Product Code]],ProductData[],4,FALSE)</f>
        <v>2520</v>
      </c>
      <c r="Q4767" s="6">
        <f>OrganizedData[[#This Row],[Total Items Ordered]]*VLOOKUP(OrganizedData[[#This Row],[Product Code]],ProductData[],3,FALSE)</f>
        <v>3250.8</v>
      </c>
      <c r="R47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3023.2440000000001</v>
      </c>
    </row>
    <row r="4768" spans="1:18" x14ac:dyDescent="0.3">
      <c r="A4768" s="2">
        <v>4761</v>
      </c>
      <c r="B4768" s="2" t="s">
        <v>10155</v>
      </c>
      <c r="C4768" s="2" t="s">
        <v>4037</v>
      </c>
      <c r="D4768" s="2" t="s">
        <v>51</v>
      </c>
      <c r="E4768" s="2" t="s">
        <v>16</v>
      </c>
      <c r="F4768" s="2">
        <v>90</v>
      </c>
      <c r="G4768" s="2" t="s">
        <v>10156</v>
      </c>
      <c r="H4768" s="2" t="s">
        <v>315</v>
      </c>
      <c r="I4768" s="2" t="s">
        <v>32</v>
      </c>
      <c r="J4768" s="3">
        <v>44308</v>
      </c>
      <c r="K4768" s="5">
        <f>YEAR(OrganizedData[[#This Row],[Order Date]])</f>
        <v>2021</v>
      </c>
      <c r="L4768" s="7" t="str">
        <f>TEXT(OrganizedData[[#This Row],[Order Date]],"mmm")</f>
        <v>Apr</v>
      </c>
      <c r="M4768" s="2">
        <v>17</v>
      </c>
      <c r="N4768" s="2" t="s">
        <v>45</v>
      </c>
      <c r="O4768" s="2" t="str">
        <f>VLOOKUP(OrganizedData[[#This Row],[Product Code]],ProductData[[Code]:[Item]],2,FALSE)</f>
        <v>Gigastuff</v>
      </c>
      <c r="P4768" s="4">
        <f>OrganizedData[[#This Row],[Quantity]]*VLOOKUP(OrganizedData[[#This Row],[Product Code]],ProductData[],4,FALSE)</f>
        <v>306</v>
      </c>
      <c r="Q4768" s="6">
        <f>OrganizedData[[#This Row],[Total Items Ordered]]*VLOOKUP(OrganizedData[[#This Row],[Product Code]],ProductData[],3,FALSE)</f>
        <v>578.33999999999992</v>
      </c>
      <c r="R47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4769" spans="1:18" x14ac:dyDescent="0.3">
      <c r="A4769" s="2">
        <v>4762</v>
      </c>
      <c r="B4769" s="2" t="s">
        <v>10157</v>
      </c>
      <c r="C4769" s="2" t="s">
        <v>9475</v>
      </c>
      <c r="D4769" s="2" t="s">
        <v>15</v>
      </c>
      <c r="E4769" s="2" t="s">
        <v>16</v>
      </c>
      <c r="F4769" s="2">
        <v>90</v>
      </c>
      <c r="G4769" s="2" t="s">
        <v>10158</v>
      </c>
      <c r="H4769" s="2" t="s">
        <v>4214</v>
      </c>
      <c r="I4769" s="2" t="s">
        <v>187</v>
      </c>
      <c r="J4769" s="3">
        <v>43837</v>
      </c>
      <c r="K4769" s="5">
        <f>YEAR(OrganizedData[[#This Row],[Order Date]])</f>
        <v>2020</v>
      </c>
      <c r="L4769" s="7" t="str">
        <f>TEXT(OrganizedData[[#This Row],[Order Date]],"mmm")</f>
        <v>Jan</v>
      </c>
      <c r="M4769" s="2">
        <v>58</v>
      </c>
      <c r="N4769" s="2" t="s">
        <v>159</v>
      </c>
      <c r="O4769" s="2" t="str">
        <f>VLOOKUP(OrganizedData[[#This Row],[Product Code]],ProductData[[Code]:[Item]],2,FALSE)</f>
        <v>Ultrathing V3</v>
      </c>
      <c r="P4769" s="4">
        <f>OrganizedData[[#This Row],[Quantity]]*VLOOKUP(OrganizedData[[#This Row],[Product Code]],ProductData[],4,FALSE)</f>
        <v>1392</v>
      </c>
      <c r="Q4769" s="6">
        <f>OrganizedData[[#This Row],[Total Items Ordered]]*VLOOKUP(OrganizedData[[#This Row],[Product Code]],ProductData[],3,FALSE)</f>
        <v>4718.88</v>
      </c>
      <c r="R47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4770" spans="1:18" x14ac:dyDescent="0.3">
      <c r="A4770" s="2">
        <v>4763</v>
      </c>
      <c r="B4770" s="2" t="s">
        <v>10159</v>
      </c>
      <c r="C4770" s="2" t="s">
        <v>10160</v>
      </c>
      <c r="D4770" s="2" t="s">
        <v>51</v>
      </c>
      <c r="E4770" s="2" t="s">
        <v>16</v>
      </c>
      <c r="F4770" s="2">
        <v>90</v>
      </c>
      <c r="G4770" s="2" t="s">
        <v>10161</v>
      </c>
      <c r="H4770" s="2" t="s">
        <v>2325</v>
      </c>
      <c r="I4770" s="2" t="s">
        <v>173</v>
      </c>
      <c r="J4770" s="3">
        <v>43915</v>
      </c>
      <c r="K4770" s="5">
        <f>YEAR(OrganizedData[[#This Row],[Order Date]])</f>
        <v>2020</v>
      </c>
      <c r="L4770" s="7" t="str">
        <f>TEXT(OrganizedData[[#This Row],[Order Date]],"mmm")</f>
        <v>Mar</v>
      </c>
      <c r="M4770" s="2">
        <v>20</v>
      </c>
      <c r="N4770" s="2" t="s">
        <v>45</v>
      </c>
      <c r="O4770" s="2" t="str">
        <f>VLOOKUP(OrganizedData[[#This Row],[Product Code]],ProductData[[Code]:[Item]],2,FALSE)</f>
        <v>Gigastuff</v>
      </c>
      <c r="P4770" s="4">
        <f>OrganizedData[[#This Row],[Quantity]]*VLOOKUP(OrganizedData[[#This Row],[Product Code]],ProductData[],4,FALSE)</f>
        <v>360</v>
      </c>
      <c r="Q4770" s="6">
        <f>OrganizedData[[#This Row],[Total Items Ordered]]*VLOOKUP(OrganizedData[[#This Row],[Product Code]],ProductData[],3,FALSE)</f>
        <v>680.4</v>
      </c>
      <c r="R47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680.4</v>
      </c>
    </row>
    <row r="4771" spans="1:18" x14ac:dyDescent="0.3">
      <c r="A4771" s="2">
        <v>4764</v>
      </c>
      <c r="B4771" s="2" t="s">
        <v>4740</v>
      </c>
      <c r="C4771" s="2" t="s">
        <v>116</v>
      </c>
      <c r="D4771" s="2" t="s">
        <v>15</v>
      </c>
      <c r="E4771" s="2" t="s">
        <v>16</v>
      </c>
      <c r="F4771" s="2">
        <v>30</v>
      </c>
      <c r="G4771" s="2" t="s">
        <v>10162</v>
      </c>
      <c r="H4771" s="2" t="s">
        <v>5619</v>
      </c>
      <c r="I4771" s="2" t="s">
        <v>32</v>
      </c>
      <c r="J4771" s="3">
        <v>44204</v>
      </c>
      <c r="K4771" s="5">
        <f>YEAR(OrganizedData[[#This Row],[Order Date]])</f>
        <v>2021</v>
      </c>
      <c r="L4771" s="7" t="str">
        <f>TEXT(OrganizedData[[#This Row],[Order Date]],"mmm")</f>
        <v>Jan</v>
      </c>
      <c r="M4771" s="2">
        <v>23</v>
      </c>
      <c r="N4771" s="2" t="s">
        <v>70</v>
      </c>
      <c r="O4771" s="2" t="str">
        <f>VLOOKUP(OrganizedData[[#This Row],[Product Code]],ProductData[[Code]:[Item]],2,FALSE)</f>
        <v>Megawidget M</v>
      </c>
      <c r="P4771" s="4">
        <f>OrganizedData[[#This Row],[Quantity]]*VLOOKUP(OrganizedData[[#This Row],[Product Code]],ProductData[],4,FALSE)</f>
        <v>552</v>
      </c>
      <c r="Q4771" s="6">
        <f>OrganizedData[[#This Row],[Total Items Ordered]]*VLOOKUP(OrganizedData[[#This Row],[Product Code]],ProductData[],3,FALSE)</f>
        <v>712.08</v>
      </c>
      <c r="R47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690.71760000000006</v>
      </c>
    </row>
    <row r="4772" spans="1:18" x14ac:dyDescent="0.3">
      <c r="A4772" s="2">
        <v>4765</v>
      </c>
      <c r="B4772" s="2" t="s">
        <v>7121</v>
      </c>
      <c r="C4772" s="2" t="s">
        <v>804</v>
      </c>
      <c r="D4772" s="2" t="s">
        <v>28</v>
      </c>
      <c r="E4772" s="2" t="s">
        <v>29</v>
      </c>
      <c r="F4772" s="2">
        <v>90</v>
      </c>
      <c r="G4772" s="2" t="s">
        <v>10163</v>
      </c>
      <c r="H4772" s="2" t="s">
        <v>275</v>
      </c>
      <c r="I4772" s="2" t="s">
        <v>32</v>
      </c>
      <c r="J4772" s="3">
        <v>44770</v>
      </c>
      <c r="K4772" s="5">
        <f>YEAR(OrganizedData[[#This Row],[Order Date]])</f>
        <v>2022</v>
      </c>
      <c r="L4772" s="7" t="str">
        <f>TEXT(OrganizedData[[#This Row],[Order Date]],"mmm")</f>
        <v>Jul</v>
      </c>
      <c r="M4772" s="2">
        <v>11</v>
      </c>
      <c r="N4772" s="2" t="s">
        <v>101</v>
      </c>
      <c r="O4772" s="2" t="str">
        <f>VLOOKUP(OrganizedData[[#This Row],[Product Code]],ProductData[[Code]:[Item]],2,FALSE)</f>
        <v>Superwossname</v>
      </c>
      <c r="P4772" s="4">
        <f>OrganizedData[[#This Row],[Quantity]]*VLOOKUP(OrganizedData[[#This Row],[Product Code]],ProductData[],4,FALSE)</f>
        <v>220</v>
      </c>
      <c r="Q4772" s="6">
        <f>OrganizedData[[#This Row],[Total Items Ordered]]*VLOOKUP(OrganizedData[[#This Row],[Product Code]],ProductData[],3,FALSE)</f>
        <v>767.80000000000007</v>
      </c>
      <c r="R47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767.80000000000007</v>
      </c>
    </row>
    <row r="4773" spans="1:18" x14ac:dyDescent="0.3">
      <c r="A4773" s="2">
        <v>4766</v>
      </c>
      <c r="B4773" s="2" t="s">
        <v>10164</v>
      </c>
      <c r="C4773" s="2" t="s">
        <v>5084</v>
      </c>
      <c r="D4773" s="2" t="s">
        <v>15</v>
      </c>
      <c r="E4773" s="2" t="s">
        <v>16</v>
      </c>
      <c r="F4773" s="2">
        <v>30</v>
      </c>
      <c r="G4773" s="2" t="s">
        <v>10165</v>
      </c>
      <c r="H4773" s="2" t="s">
        <v>8028</v>
      </c>
      <c r="I4773" s="2" t="s">
        <v>294</v>
      </c>
      <c r="J4773" s="3">
        <v>44370</v>
      </c>
      <c r="K4773" s="5">
        <f>YEAR(OrganizedData[[#This Row],[Order Date]])</f>
        <v>2021</v>
      </c>
      <c r="L4773" s="7" t="str">
        <f>TEXT(OrganizedData[[#This Row],[Order Date]],"mmm")</f>
        <v>Jun</v>
      </c>
      <c r="M4773" s="2">
        <v>89</v>
      </c>
      <c r="N4773" s="2" t="s">
        <v>45</v>
      </c>
      <c r="O4773" s="2" t="str">
        <f>VLOOKUP(OrganizedData[[#This Row],[Product Code]],ProductData[[Code]:[Item]],2,FALSE)</f>
        <v>Gigastuff</v>
      </c>
      <c r="P4773" s="4">
        <f>OrganizedData[[#This Row],[Quantity]]*VLOOKUP(OrganizedData[[#This Row],[Product Code]],ProductData[],4,FALSE)</f>
        <v>1602</v>
      </c>
      <c r="Q4773" s="6">
        <f>OrganizedData[[#This Row],[Total Items Ordered]]*VLOOKUP(OrganizedData[[#This Row],[Product Code]],ProductData[],3,FALSE)</f>
        <v>3027.7799999999997</v>
      </c>
      <c r="R47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2876.3909999999996</v>
      </c>
    </row>
    <row r="4774" spans="1:18" x14ac:dyDescent="0.3">
      <c r="A4774" s="2">
        <v>4767</v>
      </c>
      <c r="B4774" s="2" t="s">
        <v>5421</v>
      </c>
      <c r="C4774" s="2" t="s">
        <v>2735</v>
      </c>
      <c r="D4774" s="2" t="s">
        <v>28</v>
      </c>
      <c r="E4774" s="2" t="s">
        <v>29</v>
      </c>
      <c r="F4774" s="2">
        <v>90</v>
      </c>
      <c r="G4774" s="2" t="s">
        <v>10166</v>
      </c>
      <c r="H4774" s="2" t="s">
        <v>1884</v>
      </c>
      <c r="I4774" s="2" t="s">
        <v>1885</v>
      </c>
      <c r="J4774" s="3">
        <v>44421</v>
      </c>
      <c r="K4774" s="5">
        <f>YEAR(OrganizedData[[#This Row],[Order Date]])</f>
        <v>2021</v>
      </c>
      <c r="L4774" s="7" t="str">
        <f>TEXT(OrganizedData[[#This Row],[Order Date]],"mmm")</f>
        <v>Aug</v>
      </c>
      <c r="M4774" s="2">
        <v>58</v>
      </c>
      <c r="N4774" s="2" t="s">
        <v>159</v>
      </c>
      <c r="O4774" s="2" t="str">
        <f>VLOOKUP(OrganizedData[[#This Row],[Product Code]],ProductData[[Code]:[Item]],2,FALSE)</f>
        <v>Ultrathing V3</v>
      </c>
      <c r="P4774" s="4">
        <f>OrganizedData[[#This Row],[Quantity]]*VLOOKUP(OrganizedData[[#This Row],[Product Code]],ProductData[],4,FALSE)</f>
        <v>1392</v>
      </c>
      <c r="Q4774" s="6">
        <f>OrganizedData[[#This Row],[Total Items Ordered]]*VLOOKUP(OrganizedData[[#This Row],[Product Code]],ProductData[],3,FALSE)</f>
        <v>4718.88</v>
      </c>
      <c r="R47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4482.9359999999997</v>
      </c>
    </row>
    <row r="4775" spans="1:18" x14ac:dyDescent="0.3">
      <c r="A4775" s="2">
        <v>4768</v>
      </c>
      <c r="B4775" s="2" t="s">
        <v>3158</v>
      </c>
      <c r="C4775" s="2" t="s">
        <v>10167</v>
      </c>
      <c r="D4775" s="2" t="s">
        <v>28</v>
      </c>
      <c r="E4775" s="2" t="s">
        <v>29</v>
      </c>
      <c r="F4775" s="2">
        <v>90</v>
      </c>
      <c r="G4775" s="2" t="s">
        <v>10166</v>
      </c>
      <c r="H4775" s="2" t="s">
        <v>2053</v>
      </c>
      <c r="I4775" s="2" t="s">
        <v>187</v>
      </c>
      <c r="J4775" s="3">
        <v>44589</v>
      </c>
      <c r="K4775" s="5">
        <f>YEAR(OrganizedData[[#This Row],[Order Date]])</f>
        <v>2022</v>
      </c>
      <c r="L4775" s="7" t="str">
        <f>TEXT(OrganizedData[[#This Row],[Order Date]],"mmm")</f>
        <v>Jan</v>
      </c>
      <c r="M4775" s="2">
        <v>50</v>
      </c>
      <c r="N4775" s="2" t="s">
        <v>45</v>
      </c>
      <c r="O4775" s="2" t="str">
        <f>VLOOKUP(OrganizedData[[#This Row],[Product Code]],ProductData[[Code]:[Item]],2,FALSE)</f>
        <v>Gigastuff</v>
      </c>
      <c r="P4775" s="4">
        <f>OrganizedData[[#This Row],[Quantity]]*VLOOKUP(OrganizedData[[#This Row],[Product Code]],ProductData[],4,FALSE)</f>
        <v>900</v>
      </c>
      <c r="Q4775" s="6">
        <f>OrganizedData[[#This Row],[Total Items Ordered]]*VLOOKUP(OrganizedData[[#This Row],[Product Code]],ProductData[],3,FALSE)</f>
        <v>1701</v>
      </c>
      <c r="R47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1649.97</v>
      </c>
    </row>
    <row r="4776" spans="1:18" x14ac:dyDescent="0.3">
      <c r="A4776" s="2">
        <v>4769</v>
      </c>
      <c r="B4776" s="2" t="s">
        <v>774</v>
      </c>
      <c r="C4776" s="2" t="s">
        <v>8046</v>
      </c>
      <c r="D4776" s="2" t="s">
        <v>51</v>
      </c>
      <c r="E4776" s="2" t="s">
        <v>16</v>
      </c>
      <c r="F4776" s="2">
        <v>60</v>
      </c>
      <c r="G4776" s="2" t="s">
        <v>10168</v>
      </c>
      <c r="H4776" s="2" t="s">
        <v>3987</v>
      </c>
      <c r="I4776" s="2" t="s">
        <v>554</v>
      </c>
      <c r="J4776" s="3">
        <v>44143</v>
      </c>
      <c r="K4776" s="5">
        <f>YEAR(OrganizedData[[#This Row],[Order Date]])</f>
        <v>2020</v>
      </c>
      <c r="L4776" s="7" t="str">
        <f>TEXT(OrganizedData[[#This Row],[Order Date]],"mmm")</f>
        <v>Nov</v>
      </c>
      <c r="M4776" s="2">
        <v>43</v>
      </c>
      <c r="N4776" s="2" t="s">
        <v>54</v>
      </c>
      <c r="O4776" s="2" t="str">
        <f>VLOOKUP(OrganizedData[[#This Row],[Product Code]],ProductData[[Code]:[Item]],2,FALSE)</f>
        <v>Megawidget S</v>
      </c>
      <c r="P4776" s="4">
        <f>OrganizedData[[#This Row],[Quantity]]*VLOOKUP(OrganizedData[[#This Row],[Product Code]],ProductData[],4,FALSE)</f>
        <v>1032</v>
      </c>
      <c r="Q4776" s="6">
        <f>OrganizedData[[#This Row],[Total Items Ordered]]*VLOOKUP(OrganizedData[[#This Row],[Product Code]],ProductData[],3,FALSE)</f>
        <v>712.07999999999993</v>
      </c>
      <c r="R47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690.71759999999995</v>
      </c>
    </row>
    <row r="4777" spans="1:18" x14ac:dyDescent="0.3">
      <c r="A4777" s="2">
        <v>4770</v>
      </c>
      <c r="B4777" s="2" t="s">
        <v>960</v>
      </c>
      <c r="C4777" s="2" t="s">
        <v>1564</v>
      </c>
      <c r="D4777" s="2" t="s">
        <v>28</v>
      </c>
      <c r="E4777" s="2" t="s">
        <v>29</v>
      </c>
      <c r="F4777" s="2">
        <v>60</v>
      </c>
      <c r="G4777" s="2" t="s">
        <v>10169</v>
      </c>
      <c r="H4777" s="2" t="s">
        <v>4203</v>
      </c>
      <c r="I4777" s="2" t="s">
        <v>208</v>
      </c>
      <c r="J4777" s="3">
        <v>44575</v>
      </c>
      <c r="K4777" s="5">
        <f>YEAR(OrganizedData[[#This Row],[Order Date]])</f>
        <v>2022</v>
      </c>
      <c r="L4777" s="7" t="str">
        <f>TEXT(OrganizedData[[#This Row],[Order Date]],"mmm")</f>
        <v>Jan</v>
      </c>
      <c r="M4777" s="2">
        <v>50</v>
      </c>
      <c r="N4777" s="2" t="s">
        <v>70</v>
      </c>
      <c r="O4777" s="2" t="str">
        <f>VLOOKUP(OrganizedData[[#This Row],[Product Code]],ProductData[[Code]:[Item]],2,FALSE)</f>
        <v>Megawidget M</v>
      </c>
      <c r="P4777" s="4">
        <f>OrganizedData[[#This Row],[Quantity]]*VLOOKUP(OrganizedData[[#This Row],[Product Code]],ProductData[],4,FALSE)</f>
        <v>1200</v>
      </c>
      <c r="Q4777" s="6">
        <f>OrganizedData[[#This Row],[Total Items Ordered]]*VLOOKUP(OrganizedData[[#This Row],[Product Code]],ProductData[],3,FALSE)</f>
        <v>1548</v>
      </c>
      <c r="R47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1501.56</v>
      </c>
    </row>
    <row r="4778" spans="1:18" x14ac:dyDescent="0.3">
      <c r="A4778" s="2">
        <v>4771</v>
      </c>
      <c r="B4778" s="2" t="s">
        <v>10170</v>
      </c>
      <c r="C4778" s="2" t="s">
        <v>4828</v>
      </c>
      <c r="D4778" s="2" t="s">
        <v>117</v>
      </c>
      <c r="E4778" s="2" t="s">
        <v>16</v>
      </c>
      <c r="F4778" s="2">
        <v>30</v>
      </c>
      <c r="G4778" s="2" t="s">
        <v>10171</v>
      </c>
      <c r="H4778" s="2" t="s">
        <v>284</v>
      </c>
      <c r="I4778" s="2" t="s">
        <v>146</v>
      </c>
      <c r="J4778" s="3">
        <v>44346</v>
      </c>
      <c r="K4778" s="5">
        <f>YEAR(OrganizedData[[#This Row],[Order Date]])</f>
        <v>2021</v>
      </c>
      <c r="L4778" s="7" t="str">
        <f>TEXT(OrganizedData[[#This Row],[Order Date]],"mmm")</f>
        <v>May</v>
      </c>
      <c r="M4778" s="2">
        <v>93</v>
      </c>
      <c r="N4778" s="2" t="s">
        <v>45</v>
      </c>
      <c r="O4778" s="2" t="str">
        <f>VLOOKUP(OrganizedData[[#This Row],[Product Code]],ProductData[[Code]:[Item]],2,FALSE)</f>
        <v>Gigastuff</v>
      </c>
      <c r="P4778" s="4">
        <f>OrganizedData[[#This Row],[Quantity]]*VLOOKUP(OrganizedData[[#This Row],[Product Code]],ProductData[],4,FALSE)</f>
        <v>1674</v>
      </c>
      <c r="Q4778" s="6">
        <f>OrganizedData[[#This Row],[Total Items Ordered]]*VLOOKUP(OrganizedData[[#This Row],[Product Code]],ProductData[],3,FALSE)</f>
        <v>3163.8599999999997</v>
      </c>
      <c r="R47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3005.6669999999995</v>
      </c>
    </row>
    <row r="4779" spans="1:18" x14ac:dyDescent="0.3">
      <c r="A4779" s="2">
        <v>4772</v>
      </c>
      <c r="B4779" s="2" t="s">
        <v>82</v>
      </c>
      <c r="C4779" s="2" t="s">
        <v>305</v>
      </c>
      <c r="D4779" s="2" t="s">
        <v>28</v>
      </c>
      <c r="E4779" s="2" t="s">
        <v>29</v>
      </c>
      <c r="F4779" s="2">
        <v>30</v>
      </c>
      <c r="G4779" s="2" t="s">
        <v>10172</v>
      </c>
      <c r="H4779" s="2" t="s">
        <v>4424</v>
      </c>
      <c r="I4779" s="2" t="s">
        <v>25</v>
      </c>
      <c r="J4779" s="3">
        <v>44241</v>
      </c>
      <c r="K4779" s="5">
        <f>YEAR(OrganizedData[[#This Row],[Order Date]])</f>
        <v>2021</v>
      </c>
      <c r="L4779" s="7" t="str">
        <f>TEXT(OrganizedData[[#This Row],[Order Date]],"mmm")</f>
        <v>Feb</v>
      </c>
      <c r="M4779" s="2">
        <v>52</v>
      </c>
      <c r="N4779" s="2" t="s">
        <v>70</v>
      </c>
      <c r="O4779" s="2" t="str">
        <f>VLOOKUP(OrganizedData[[#This Row],[Product Code]],ProductData[[Code]:[Item]],2,FALSE)</f>
        <v>Megawidget M</v>
      </c>
      <c r="P4779" s="4">
        <f>OrganizedData[[#This Row],[Quantity]]*VLOOKUP(OrganizedData[[#This Row],[Product Code]],ProductData[],4,FALSE)</f>
        <v>1248</v>
      </c>
      <c r="Q4779" s="6">
        <f>OrganizedData[[#This Row],[Total Items Ordered]]*VLOOKUP(OrganizedData[[#This Row],[Product Code]],ProductData[],3,FALSE)</f>
        <v>1609.92</v>
      </c>
      <c r="R47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1529.424</v>
      </c>
    </row>
    <row r="4780" spans="1:18" x14ac:dyDescent="0.3">
      <c r="A4780" s="2">
        <v>4773</v>
      </c>
      <c r="B4780" s="2" t="s">
        <v>10173</v>
      </c>
      <c r="C4780" s="2" t="s">
        <v>7270</v>
      </c>
      <c r="D4780" s="2" t="s">
        <v>51</v>
      </c>
      <c r="E4780" s="2" t="s">
        <v>16</v>
      </c>
      <c r="F4780" s="2">
        <v>60</v>
      </c>
      <c r="G4780" s="2" t="s">
        <v>10174</v>
      </c>
      <c r="H4780" s="2" t="s">
        <v>4678</v>
      </c>
      <c r="I4780" s="2" t="s">
        <v>886</v>
      </c>
      <c r="J4780" s="3">
        <v>44070</v>
      </c>
      <c r="K4780" s="5">
        <f>YEAR(OrganizedData[[#This Row],[Order Date]])</f>
        <v>2020</v>
      </c>
      <c r="L4780" s="7" t="str">
        <f>TEXT(OrganizedData[[#This Row],[Order Date]],"mmm")</f>
        <v>Aug</v>
      </c>
      <c r="M4780" s="2">
        <v>79</v>
      </c>
      <c r="N4780" s="2" t="s">
        <v>45</v>
      </c>
      <c r="O4780" s="2" t="str">
        <f>VLOOKUP(OrganizedData[[#This Row],[Product Code]],ProductData[[Code]:[Item]],2,FALSE)</f>
        <v>Gigastuff</v>
      </c>
      <c r="P4780" s="4">
        <f>OrganizedData[[#This Row],[Quantity]]*VLOOKUP(OrganizedData[[#This Row],[Product Code]],ProductData[],4,FALSE)</f>
        <v>1422</v>
      </c>
      <c r="Q4780" s="6">
        <f>OrganizedData[[#This Row],[Total Items Ordered]]*VLOOKUP(OrganizedData[[#This Row],[Product Code]],ProductData[],3,FALSE)</f>
        <v>2687.58</v>
      </c>
      <c r="R47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2553.201</v>
      </c>
    </row>
    <row r="4781" spans="1:18" x14ac:dyDescent="0.3">
      <c r="A4781" s="2">
        <v>4774</v>
      </c>
      <c r="B4781" s="2" t="s">
        <v>7134</v>
      </c>
      <c r="C4781" s="2" t="s">
        <v>5928</v>
      </c>
      <c r="D4781" s="2" t="s">
        <v>41</v>
      </c>
      <c r="E4781" s="2" t="s">
        <v>16</v>
      </c>
      <c r="F4781" s="2">
        <v>30</v>
      </c>
      <c r="G4781" s="2" t="s">
        <v>10175</v>
      </c>
      <c r="H4781" s="2" t="s">
        <v>2329</v>
      </c>
      <c r="I4781" s="2" t="s">
        <v>2330</v>
      </c>
      <c r="J4781" s="3">
        <v>44841</v>
      </c>
      <c r="K4781" s="5">
        <f>YEAR(OrganizedData[[#This Row],[Order Date]])</f>
        <v>2022</v>
      </c>
      <c r="L4781" s="7" t="str">
        <f>TEXT(OrganizedData[[#This Row],[Order Date]],"mmm")</f>
        <v>Oct</v>
      </c>
      <c r="M4781" s="2">
        <v>94</v>
      </c>
      <c r="N4781" s="2" t="s">
        <v>39</v>
      </c>
      <c r="O4781" s="2" t="str">
        <f>VLOOKUP(OrganizedData[[#This Row],[Product Code]],ProductData[[Code]:[Item]],2,FALSE)</f>
        <v>Ultrathing V1</v>
      </c>
      <c r="P4781" s="4">
        <f>OrganizedData[[#This Row],[Quantity]]*VLOOKUP(OrganizedData[[#This Row],[Product Code]],ProductData[],4,FALSE)</f>
        <v>1598</v>
      </c>
      <c r="Q4781" s="6">
        <f>OrganizedData[[#This Row],[Total Items Ordered]]*VLOOKUP(OrganizedData[[#This Row],[Product Code]],ProductData[],3,FALSE)</f>
        <v>2860.42</v>
      </c>
      <c r="R47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2717.3989999999999</v>
      </c>
    </row>
    <row r="4782" spans="1:18" x14ac:dyDescent="0.3">
      <c r="A4782" s="2">
        <v>4775</v>
      </c>
      <c r="B4782" s="2" t="s">
        <v>1036</v>
      </c>
      <c r="C4782" s="2" t="s">
        <v>1710</v>
      </c>
      <c r="D4782" s="2" t="s">
        <v>28</v>
      </c>
      <c r="E4782" s="2" t="s">
        <v>29</v>
      </c>
      <c r="F4782" s="2">
        <v>30</v>
      </c>
      <c r="G4782" s="2" t="s">
        <v>10176</v>
      </c>
      <c r="H4782" s="2" t="s">
        <v>1519</v>
      </c>
      <c r="I4782" s="2" t="s">
        <v>32</v>
      </c>
      <c r="J4782" s="3">
        <v>44442</v>
      </c>
      <c r="K4782" s="5">
        <f>YEAR(OrganizedData[[#This Row],[Order Date]])</f>
        <v>2021</v>
      </c>
      <c r="L4782" s="7" t="str">
        <f>TEXT(OrganizedData[[#This Row],[Order Date]],"mmm")</f>
        <v>Sep</v>
      </c>
      <c r="M4782" s="2">
        <v>10</v>
      </c>
      <c r="N4782" s="2" t="s">
        <v>39</v>
      </c>
      <c r="O4782" s="2" t="str">
        <f>VLOOKUP(OrganizedData[[#This Row],[Product Code]],ProductData[[Code]:[Item]],2,FALSE)</f>
        <v>Ultrathing V1</v>
      </c>
      <c r="P4782" s="4">
        <f>OrganizedData[[#This Row],[Quantity]]*VLOOKUP(OrganizedData[[#This Row],[Product Code]],ProductData[],4,FALSE)</f>
        <v>170</v>
      </c>
      <c r="Q4782" s="6">
        <f>OrganizedData[[#This Row],[Total Items Ordered]]*VLOOKUP(OrganizedData[[#This Row],[Product Code]],ProductData[],3,FALSE)</f>
        <v>304.3</v>
      </c>
      <c r="R47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304.3</v>
      </c>
    </row>
    <row r="4783" spans="1:18" x14ac:dyDescent="0.3">
      <c r="A4783" s="2">
        <v>4776</v>
      </c>
      <c r="B4783" s="2" t="s">
        <v>10177</v>
      </c>
      <c r="C4783" s="2" t="s">
        <v>5546</v>
      </c>
      <c r="D4783" s="2" t="s">
        <v>28</v>
      </c>
      <c r="E4783" s="2" t="s">
        <v>29</v>
      </c>
      <c r="F4783" s="2">
        <v>30</v>
      </c>
      <c r="G4783" s="2" t="s">
        <v>10178</v>
      </c>
      <c r="H4783" s="2" t="s">
        <v>109</v>
      </c>
      <c r="I4783" s="2" t="s">
        <v>110</v>
      </c>
      <c r="J4783" s="3">
        <v>44421</v>
      </c>
      <c r="K4783" s="5">
        <f>YEAR(OrganizedData[[#This Row],[Order Date]])</f>
        <v>2021</v>
      </c>
      <c r="L4783" s="7" t="str">
        <f>TEXT(OrganizedData[[#This Row],[Order Date]],"mmm")</f>
        <v>Aug</v>
      </c>
      <c r="M4783" s="2">
        <v>18</v>
      </c>
      <c r="N4783" s="2" t="s">
        <v>54</v>
      </c>
      <c r="O4783" s="2" t="str">
        <f>VLOOKUP(OrganizedData[[#This Row],[Product Code]],ProductData[[Code]:[Item]],2,FALSE)</f>
        <v>Megawidget S</v>
      </c>
      <c r="P4783" s="4">
        <f>OrganizedData[[#This Row],[Quantity]]*VLOOKUP(OrganizedData[[#This Row],[Product Code]],ProductData[],4,FALSE)</f>
        <v>432</v>
      </c>
      <c r="Q4783" s="6">
        <f>OrganizedData[[#This Row],[Total Items Ordered]]*VLOOKUP(OrganizedData[[#This Row],[Product Code]],ProductData[],3,FALSE)</f>
        <v>298.08</v>
      </c>
      <c r="R47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298.08</v>
      </c>
    </row>
    <row r="4784" spans="1:18" x14ac:dyDescent="0.3">
      <c r="A4784" s="2">
        <v>4777</v>
      </c>
      <c r="B4784" s="2" t="s">
        <v>10179</v>
      </c>
      <c r="C4784" s="2" t="s">
        <v>215</v>
      </c>
      <c r="D4784" s="2" t="s">
        <v>92</v>
      </c>
      <c r="E4784" s="2" t="s">
        <v>16</v>
      </c>
      <c r="F4784" s="2">
        <v>60</v>
      </c>
      <c r="G4784" s="2" t="s">
        <v>10180</v>
      </c>
      <c r="H4784" s="2" t="s">
        <v>4860</v>
      </c>
      <c r="I4784" s="2" t="s">
        <v>32</v>
      </c>
      <c r="J4784" s="3">
        <v>44786</v>
      </c>
      <c r="K4784" s="5">
        <f>YEAR(OrganizedData[[#This Row],[Order Date]])</f>
        <v>2022</v>
      </c>
      <c r="L4784" s="7" t="str">
        <f>TEXT(OrganizedData[[#This Row],[Order Date]],"mmm")</f>
        <v>Aug</v>
      </c>
      <c r="M4784" s="2">
        <v>91</v>
      </c>
      <c r="N4784" s="2" t="s">
        <v>80</v>
      </c>
      <c r="O4784" s="2" t="str">
        <f>VLOOKUP(OrganizedData[[#This Row],[Product Code]],ProductData[[Code]:[Item]],2,FALSE)</f>
        <v>Ultrathing V2</v>
      </c>
      <c r="P4784" s="4">
        <f>OrganizedData[[#This Row],[Quantity]]*VLOOKUP(OrganizedData[[#This Row],[Product Code]],ProductData[],4,FALSE)</f>
        <v>1820</v>
      </c>
      <c r="Q4784" s="6">
        <f>OrganizedData[[#This Row],[Total Items Ordered]]*VLOOKUP(OrganizedData[[#This Row],[Product Code]],ProductData[],3,FALSE)</f>
        <v>5369</v>
      </c>
      <c r="R47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4785" spans="1:18" x14ac:dyDescent="0.3">
      <c r="A4785" s="2">
        <v>4778</v>
      </c>
      <c r="B4785" s="2" t="s">
        <v>5083</v>
      </c>
      <c r="C4785" s="2" t="s">
        <v>4913</v>
      </c>
      <c r="D4785" s="2" t="s">
        <v>92</v>
      </c>
      <c r="E4785" s="2" t="s">
        <v>29</v>
      </c>
      <c r="F4785" s="2">
        <v>90</v>
      </c>
      <c r="G4785" s="2" t="s">
        <v>10587</v>
      </c>
      <c r="H4785" s="2" t="s">
        <v>6343</v>
      </c>
      <c r="I4785" s="2" t="s">
        <v>32</v>
      </c>
      <c r="J4785" s="3">
        <v>43984</v>
      </c>
      <c r="K4785" s="5">
        <f>YEAR(OrganizedData[[#This Row],[Order Date]])</f>
        <v>2020</v>
      </c>
      <c r="L4785" s="7" t="str">
        <f>TEXT(OrganizedData[[#This Row],[Order Date]],"mmm")</f>
        <v>Jun</v>
      </c>
      <c r="M4785" s="2">
        <v>24</v>
      </c>
      <c r="N4785" s="2" t="s">
        <v>39</v>
      </c>
      <c r="O4785" s="2" t="str">
        <f>VLOOKUP(OrganizedData[[#This Row],[Product Code]],ProductData[[Code]:[Item]],2,FALSE)</f>
        <v>Ultrathing V1</v>
      </c>
      <c r="P4785" s="4">
        <f>OrganizedData[[#This Row],[Quantity]]*VLOOKUP(OrganizedData[[#This Row],[Product Code]],ProductData[],4,FALSE)</f>
        <v>408</v>
      </c>
      <c r="Q4785" s="6">
        <f>OrganizedData[[#This Row],[Total Items Ordered]]*VLOOKUP(OrganizedData[[#This Row],[Product Code]],ProductData[],3,FALSE)</f>
        <v>730.32</v>
      </c>
      <c r="R47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708.41039999999998</v>
      </c>
    </row>
    <row r="4786" spans="1:18" x14ac:dyDescent="0.3">
      <c r="A4786" s="2">
        <v>4779</v>
      </c>
      <c r="B4786" s="2" t="s">
        <v>9466</v>
      </c>
      <c r="C4786" s="2" t="s">
        <v>1211</v>
      </c>
      <c r="D4786" s="2" t="s">
        <v>15</v>
      </c>
      <c r="E4786" s="2" t="s">
        <v>16</v>
      </c>
      <c r="F4786" s="2">
        <v>90</v>
      </c>
      <c r="G4786" s="2" t="s">
        <v>10182</v>
      </c>
      <c r="H4786" s="2" t="s">
        <v>68</v>
      </c>
      <c r="I4786" s="2" t="s">
        <v>69</v>
      </c>
      <c r="J4786" s="3">
        <v>44281</v>
      </c>
      <c r="K4786" s="5">
        <f>YEAR(OrganizedData[[#This Row],[Order Date]])</f>
        <v>2021</v>
      </c>
      <c r="L4786" s="7" t="str">
        <f>TEXT(OrganizedData[[#This Row],[Order Date]],"mmm")</f>
        <v>Mar</v>
      </c>
      <c r="M4786" s="2">
        <v>78</v>
      </c>
      <c r="N4786" s="2" t="s">
        <v>33</v>
      </c>
      <c r="O4786" s="2" t="str">
        <f>VLOOKUP(OrganizedData[[#This Row],[Product Code]],ProductData[[Code]:[Item]],2,FALSE)</f>
        <v>Megawidget L</v>
      </c>
      <c r="P4786" s="4">
        <f>OrganizedData[[#This Row],[Quantity]]*VLOOKUP(OrganizedData[[#This Row],[Product Code]],ProductData[],4,FALSE)</f>
        <v>1872</v>
      </c>
      <c r="Q4786" s="6">
        <f>OrganizedData[[#This Row],[Total Items Ordered]]*VLOOKUP(OrganizedData[[#This Row],[Product Code]],ProductData[],3,FALSE)</f>
        <v>3350.88</v>
      </c>
      <c r="R47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3183.3359999999998</v>
      </c>
    </row>
    <row r="4787" spans="1:18" x14ac:dyDescent="0.3">
      <c r="A4787" s="2">
        <v>4780</v>
      </c>
      <c r="B4787" s="2" t="s">
        <v>3709</v>
      </c>
      <c r="C4787" s="2" t="s">
        <v>309</v>
      </c>
      <c r="D4787" s="2" t="s">
        <v>51</v>
      </c>
      <c r="E4787" s="2" t="s">
        <v>16</v>
      </c>
      <c r="F4787" s="2">
        <v>60</v>
      </c>
      <c r="G4787" s="2" t="s">
        <v>10183</v>
      </c>
      <c r="H4787" s="2" t="s">
        <v>1893</v>
      </c>
      <c r="I4787" s="2" t="s">
        <v>294</v>
      </c>
      <c r="J4787" s="3">
        <v>44220</v>
      </c>
      <c r="K4787" s="5">
        <f>YEAR(OrganizedData[[#This Row],[Order Date]])</f>
        <v>2021</v>
      </c>
      <c r="L4787" s="7" t="str">
        <f>TEXT(OrganizedData[[#This Row],[Order Date]],"mmm")</f>
        <v>Jan</v>
      </c>
      <c r="M4787" s="2">
        <v>20</v>
      </c>
      <c r="N4787" s="2" t="s">
        <v>33</v>
      </c>
      <c r="O4787" s="2" t="str">
        <f>VLOOKUP(OrganizedData[[#This Row],[Product Code]],ProductData[[Code]:[Item]],2,FALSE)</f>
        <v>Megawidget L</v>
      </c>
      <c r="P4787" s="4">
        <f>OrganizedData[[#This Row],[Quantity]]*VLOOKUP(OrganizedData[[#This Row],[Product Code]],ProductData[],4,FALSE)</f>
        <v>480</v>
      </c>
      <c r="Q4787" s="6">
        <f>OrganizedData[[#This Row],[Total Items Ordered]]*VLOOKUP(OrganizedData[[#This Row],[Product Code]],ProductData[],3,FALSE)</f>
        <v>859.2</v>
      </c>
      <c r="R47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4788" spans="1:18" x14ac:dyDescent="0.3">
      <c r="A4788" s="2">
        <v>4781</v>
      </c>
      <c r="B4788" s="2" t="s">
        <v>8365</v>
      </c>
      <c r="C4788" s="2" t="s">
        <v>1994</v>
      </c>
      <c r="D4788" s="2" t="s">
        <v>51</v>
      </c>
      <c r="E4788" s="2" t="s">
        <v>16</v>
      </c>
      <c r="F4788" s="2">
        <v>90</v>
      </c>
      <c r="G4788" s="2" t="s">
        <v>10184</v>
      </c>
      <c r="H4788" s="2" t="s">
        <v>6122</v>
      </c>
      <c r="I4788" s="2" t="s">
        <v>25</v>
      </c>
      <c r="J4788" s="3">
        <v>44689</v>
      </c>
      <c r="K4788" s="5">
        <f>YEAR(OrganizedData[[#This Row],[Order Date]])</f>
        <v>2022</v>
      </c>
      <c r="L4788" s="7" t="str">
        <f>TEXT(OrganizedData[[#This Row],[Order Date]],"mmm")</f>
        <v>May</v>
      </c>
      <c r="M4788" s="2">
        <v>11</v>
      </c>
      <c r="N4788" s="2" t="s">
        <v>20</v>
      </c>
      <c r="O4788" s="2" t="str">
        <f>VLOOKUP(OrganizedData[[#This Row],[Product Code]],ProductData[[Code]:[Item]],2,FALSE)</f>
        <v>Hyperwotsit</v>
      </c>
      <c r="P4788" s="4">
        <f>OrganizedData[[#This Row],[Quantity]]*VLOOKUP(OrganizedData[[#This Row],[Product Code]],ProductData[],4,FALSE)</f>
        <v>220</v>
      </c>
      <c r="Q4788" s="6">
        <f>OrganizedData[[#This Row],[Total Items Ordered]]*VLOOKUP(OrganizedData[[#This Row],[Product Code]],ProductData[],3,FALSE)</f>
        <v>442.19999999999993</v>
      </c>
      <c r="R47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442.19999999999993</v>
      </c>
    </row>
    <row r="4789" spans="1:18" x14ac:dyDescent="0.3">
      <c r="A4789" s="2">
        <v>4782</v>
      </c>
      <c r="B4789" s="2" t="s">
        <v>1778</v>
      </c>
      <c r="C4789" s="2" t="s">
        <v>3546</v>
      </c>
      <c r="D4789" s="2" t="s">
        <v>51</v>
      </c>
      <c r="E4789" s="2" t="s">
        <v>16</v>
      </c>
      <c r="F4789" s="2">
        <v>60</v>
      </c>
      <c r="G4789" s="2" t="s">
        <v>10184</v>
      </c>
      <c r="H4789" s="2" t="s">
        <v>4404</v>
      </c>
      <c r="I4789" s="2" t="s">
        <v>32</v>
      </c>
      <c r="J4789" s="3">
        <v>44327</v>
      </c>
      <c r="K4789" s="5">
        <f>YEAR(OrganizedData[[#This Row],[Order Date]])</f>
        <v>2021</v>
      </c>
      <c r="L4789" s="7" t="str">
        <f>TEXT(OrganizedData[[#This Row],[Order Date]],"mmm")</f>
        <v>May</v>
      </c>
      <c r="M4789" s="2">
        <v>9</v>
      </c>
      <c r="N4789" s="2" t="s">
        <v>39</v>
      </c>
      <c r="O4789" s="2" t="str">
        <f>VLOOKUP(OrganizedData[[#This Row],[Product Code]],ProductData[[Code]:[Item]],2,FALSE)</f>
        <v>Ultrathing V1</v>
      </c>
      <c r="P4789" s="4">
        <f>OrganizedData[[#This Row],[Quantity]]*VLOOKUP(OrganizedData[[#This Row],[Product Code]],ProductData[],4,FALSE)</f>
        <v>153</v>
      </c>
      <c r="Q4789" s="6">
        <f>OrganizedData[[#This Row],[Total Items Ordered]]*VLOOKUP(OrganizedData[[#This Row],[Product Code]],ProductData[],3,FALSE)</f>
        <v>273.87</v>
      </c>
      <c r="R47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273.87</v>
      </c>
    </row>
    <row r="4790" spans="1:18" x14ac:dyDescent="0.3">
      <c r="A4790" s="2">
        <v>4783</v>
      </c>
      <c r="B4790" s="2" t="s">
        <v>6715</v>
      </c>
      <c r="C4790" s="2" t="s">
        <v>5323</v>
      </c>
      <c r="D4790" s="2" t="s">
        <v>28</v>
      </c>
      <c r="E4790" s="2" t="s">
        <v>29</v>
      </c>
      <c r="F4790" s="2">
        <v>60</v>
      </c>
      <c r="G4790" s="2" t="s">
        <v>10185</v>
      </c>
      <c r="H4790" s="2" t="s">
        <v>802</v>
      </c>
      <c r="I4790" s="2" t="s">
        <v>294</v>
      </c>
      <c r="J4790" s="3">
        <v>44016</v>
      </c>
      <c r="K4790" s="5">
        <f>YEAR(OrganizedData[[#This Row],[Order Date]])</f>
        <v>2020</v>
      </c>
      <c r="L4790" s="7" t="str">
        <f>TEXT(OrganizedData[[#This Row],[Order Date]],"mmm")</f>
        <v>Jul</v>
      </c>
      <c r="M4790" s="2">
        <v>63</v>
      </c>
      <c r="N4790" s="2" t="s">
        <v>33</v>
      </c>
      <c r="O4790" s="2" t="str">
        <f>VLOOKUP(OrganizedData[[#This Row],[Product Code]],ProductData[[Code]:[Item]],2,FALSE)</f>
        <v>Megawidget L</v>
      </c>
      <c r="P4790" s="4">
        <f>OrganizedData[[#This Row],[Quantity]]*VLOOKUP(OrganizedData[[#This Row],[Product Code]],ProductData[],4,FALSE)</f>
        <v>1512</v>
      </c>
      <c r="Q4790" s="6">
        <f>OrganizedData[[#This Row],[Total Items Ordered]]*VLOOKUP(OrganizedData[[#This Row],[Product Code]],ProductData[],3,FALSE)</f>
        <v>2706.48</v>
      </c>
      <c r="R47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2571.1559999999999</v>
      </c>
    </row>
    <row r="4791" spans="1:18" x14ac:dyDescent="0.3">
      <c r="A4791" s="2">
        <v>4784</v>
      </c>
      <c r="B4791" s="2" t="s">
        <v>1900</v>
      </c>
      <c r="C4791" s="2" t="s">
        <v>481</v>
      </c>
      <c r="D4791" s="2" t="s">
        <v>51</v>
      </c>
      <c r="E4791" s="2" t="s">
        <v>16</v>
      </c>
      <c r="F4791" s="2">
        <v>30</v>
      </c>
      <c r="G4791" s="2" t="s">
        <v>10186</v>
      </c>
      <c r="H4791" s="2" t="s">
        <v>4133</v>
      </c>
      <c r="I4791" s="2" t="s">
        <v>32</v>
      </c>
      <c r="J4791" s="3">
        <v>44609</v>
      </c>
      <c r="K4791" s="5">
        <f>YEAR(OrganizedData[[#This Row],[Order Date]])</f>
        <v>2022</v>
      </c>
      <c r="L4791" s="7" t="str">
        <f>TEXT(OrganizedData[[#This Row],[Order Date]],"mmm")</f>
        <v>Feb</v>
      </c>
      <c r="M4791" s="2">
        <v>85</v>
      </c>
      <c r="N4791" s="2" t="s">
        <v>101</v>
      </c>
      <c r="O4791" s="2" t="str">
        <f>VLOOKUP(OrganizedData[[#This Row],[Product Code]],ProductData[[Code]:[Item]],2,FALSE)</f>
        <v>Superwossname</v>
      </c>
      <c r="P4791" s="4">
        <f>OrganizedData[[#This Row],[Quantity]]*VLOOKUP(OrganizedData[[#This Row],[Product Code]],ProductData[],4,FALSE)</f>
        <v>1700</v>
      </c>
      <c r="Q4791" s="6">
        <f>OrganizedData[[#This Row],[Total Items Ordered]]*VLOOKUP(OrganizedData[[#This Row],[Product Code]],ProductData[],3,FALSE)</f>
        <v>5933</v>
      </c>
      <c r="R47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5636.3499999999995</v>
      </c>
    </row>
    <row r="4792" spans="1:18" x14ac:dyDescent="0.3">
      <c r="A4792" s="2">
        <v>4785</v>
      </c>
      <c r="B4792" s="2" t="s">
        <v>10187</v>
      </c>
      <c r="C4792" s="2" t="s">
        <v>1821</v>
      </c>
      <c r="D4792" s="2" t="s">
        <v>41</v>
      </c>
      <c r="E4792" s="2" t="s">
        <v>16</v>
      </c>
      <c r="F4792" s="2">
        <v>60</v>
      </c>
      <c r="G4792" s="2" t="s">
        <v>10188</v>
      </c>
      <c r="H4792" s="2" t="s">
        <v>195</v>
      </c>
      <c r="I4792" s="2" t="s">
        <v>187</v>
      </c>
      <c r="J4792" s="3">
        <v>44778</v>
      </c>
      <c r="K4792" s="5">
        <f>YEAR(OrganizedData[[#This Row],[Order Date]])</f>
        <v>2022</v>
      </c>
      <c r="L4792" s="7" t="str">
        <f>TEXT(OrganizedData[[#This Row],[Order Date]],"mmm")</f>
        <v>Aug</v>
      </c>
      <c r="M4792" s="2">
        <v>104</v>
      </c>
      <c r="N4792" s="2" t="s">
        <v>64</v>
      </c>
      <c r="O4792" s="2" t="str">
        <f>VLOOKUP(OrganizedData[[#This Row],[Product Code]],ProductData[[Code]:[Item]],2,FALSE)</f>
        <v>Ultrathing V4</v>
      </c>
      <c r="P4792" s="4">
        <f>OrganizedData[[#This Row],[Quantity]]*VLOOKUP(OrganizedData[[#This Row],[Product Code]],ProductData[],4,FALSE)</f>
        <v>2496</v>
      </c>
      <c r="Q4792" s="6">
        <f>OrganizedData[[#This Row],[Total Items Ordered]]*VLOOKUP(OrganizedData[[#This Row],[Product Code]],ProductData[],3,FALSE)</f>
        <v>9959.0400000000009</v>
      </c>
      <c r="R47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9261.9072000000015</v>
      </c>
    </row>
    <row r="4793" spans="1:18" x14ac:dyDescent="0.3">
      <c r="A4793" s="2">
        <v>4786</v>
      </c>
      <c r="B4793" s="2" t="s">
        <v>10189</v>
      </c>
      <c r="C4793" s="2" t="s">
        <v>696</v>
      </c>
      <c r="D4793" s="2" t="s">
        <v>15</v>
      </c>
      <c r="E4793" s="2" t="s">
        <v>16</v>
      </c>
      <c r="F4793" s="2">
        <v>90</v>
      </c>
      <c r="G4793" s="2" t="s">
        <v>10190</v>
      </c>
      <c r="H4793" s="2" t="s">
        <v>641</v>
      </c>
      <c r="I4793" s="2" t="s">
        <v>294</v>
      </c>
      <c r="J4793" s="3">
        <v>44197</v>
      </c>
      <c r="K4793" s="5">
        <f>YEAR(OrganizedData[[#This Row],[Order Date]])</f>
        <v>2021</v>
      </c>
      <c r="L4793" s="7" t="str">
        <f>TEXT(OrganizedData[[#This Row],[Order Date]],"mmm")</f>
        <v>Jan</v>
      </c>
      <c r="M4793" s="2">
        <v>13</v>
      </c>
      <c r="N4793" s="2" t="s">
        <v>33</v>
      </c>
      <c r="O4793" s="2" t="str">
        <f>VLOOKUP(OrganizedData[[#This Row],[Product Code]],ProductData[[Code]:[Item]],2,FALSE)</f>
        <v>Megawidget L</v>
      </c>
      <c r="P4793" s="4">
        <f>OrganizedData[[#This Row],[Quantity]]*VLOOKUP(OrganizedData[[#This Row],[Product Code]],ProductData[],4,FALSE)</f>
        <v>312</v>
      </c>
      <c r="Q4793" s="6">
        <f>OrganizedData[[#This Row],[Total Items Ordered]]*VLOOKUP(OrganizedData[[#This Row],[Product Code]],ProductData[],3,FALSE)</f>
        <v>558.48</v>
      </c>
      <c r="R47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558.48</v>
      </c>
    </row>
    <row r="4794" spans="1:18" x14ac:dyDescent="0.3">
      <c r="A4794" s="2">
        <v>4787</v>
      </c>
      <c r="B4794" s="2" t="s">
        <v>10191</v>
      </c>
      <c r="C4794" s="2" t="s">
        <v>10192</v>
      </c>
      <c r="D4794" s="2" t="s">
        <v>51</v>
      </c>
      <c r="E4794" s="2" t="s">
        <v>16</v>
      </c>
      <c r="F4794" s="2">
        <v>60</v>
      </c>
      <c r="G4794" s="2" t="s">
        <v>10193</v>
      </c>
      <c r="H4794" s="2" t="s">
        <v>659</v>
      </c>
      <c r="I4794" s="2" t="s">
        <v>32</v>
      </c>
      <c r="J4794" s="3">
        <v>44547</v>
      </c>
      <c r="K4794" s="5">
        <f>YEAR(OrganizedData[[#This Row],[Order Date]])</f>
        <v>2021</v>
      </c>
      <c r="L4794" s="7" t="str">
        <f>TEXT(OrganizedData[[#This Row],[Order Date]],"mmm")</f>
        <v>Dec</v>
      </c>
      <c r="M4794" s="2">
        <v>7</v>
      </c>
      <c r="N4794" s="2" t="s">
        <v>101</v>
      </c>
      <c r="O4794" s="2" t="str">
        <f>VLOOKUP(OrganizedData[[#This Row],[Product Code]],ProductData[[Code]:[Item]],2,FALSE)</f>
        <v>Superwossname</v>
      </c>
      <c r="P4794" s="4">
        <f>OrganizedData[[#This Row],[Quantity]]*VLOOKUP(OrganizedData[[#This Row],[Product Code]],ProductData[],4,FALSE)</f>
        <v>140</v>
      </c>
      <c r="Q4794" s="6">
        <f>OrganizedData[[#This Row],[Total Items Ordered]]*VLOOKUP(OrganizedData[[#This Row],[Product Code]],ProductData[],3,FALSE)</f>
        <v>488.6</v>
      </c>
      <c r="R47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488.6</v>
      </c>
    </row>
    <row r="4795" spans="1:18" x14ac:dyDescent="0.3">
      <c r="A4795" s="2">
        <v>4788</v>
      </c>
      <c r="B4795" s="2" t="s">
        <v>10194</v>
      </c>
      <c r="C4795" s="2" t="s">
        <v>4679</v>
      </c>
      <c r="D4795" s="2" t="s">
        <v>51</v>
      </c>
      <c r="E4795" s="2" t="s">
        <v>16</v>
      </c>
      <c r="F4795" s="2">
        <v>60</v>
      </c>
      <c r="G4795" s="2" t="s">
        <v>10195</v>
      </c>
      <c r="H4795" s="2" t="s">
        <v>6430</v>
      </c>
      <c r="I4795" s="2" t="s">
        <v>32</v>
      </c>
      <c r="J4795" s="3">
        <v>44452</v>
      </c>
      <c r="K4795" s="5">
        <f>YEAR(OrganizedData[[#This Row],[Order Date]])</f>
        <v>2021</v>
      </c>
      <c r="L4795" s="7" t="str">
        <f>TEXT(OrganizedData[[#This Row],[Order Date]],"mmm")</f>
        <v>Sep</v>
      </c>
      <c r="M4795" s="2">
        <v>38</v>
      </c>
      <c r="N4795" s="2" t="s">
        <v>45</v>
      </c>
      <c r="O4795" s="2" t="str">
        <f>VLOOKUP(OrganizedData[[#This Row],[Product Code]],ProductData[[Code]:[Item]],2,FALSE)</f>
        <v>Gigastuff</v>
      </c>
      <c r="P4795" s="4">
        <f>OrganizedData[[#This Row],[Quantity]]*VLOOKUP(OrganizedData[[#This Row],[Product Code]],ProductData[],4,FALSE)</f>
        <v>684</v>
      </c>
      <c r="Q4795" s="6">
        <f>OrganizedData[[#This Row],[Total Items Ordered]]*VLOOKUP(OrganizedData[[#This Row],[Product Code]],ProductData[],3,FALSE)</f>
        <v>1292.76</v>
      </c>
      <c r="R47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1253.9772</v>
      </c>
    </row>
    <row r="4796" spans="1:18" x14ac:dyDescent="0.3">
      <c r="A4796" s="2">
        <v>4789</v>
      </c>
      <c r="B4796" s="2" t="s">
        <v>9550</v>
      </c>
      <c r="C4796" s="2" t="s">
        <v>5677</v>
      </c>
      <c r="D4796" s="2" t="s">
        <v>15</v>
      </c>
      <c r="E4796" s="2" t="s">
        <v>16</v>
      </c>
      <c r="F4796" s="2">
        <v>90</v>
      </c>
      <c r="G4796" s="2" t="s">
        <v>10196</v>
      </c>
      <c r="H4796" s="2" t="s">
        <v>455</v>
      </c>
      <c r="I4796" s="2" t="s">
        <v>187</v>
      </c>
      <c r="J4796" s="3">
        <v>43872</v>
      </c>
      <c r="K4796" s="5">
        <f>YEAR(OrganizedData[[#This Row],[Order Date]])</f>
        <v>2020</v>
      </c>
      <c r="L4796" s="7" t="str">
        <f>TEXT(OrganizedData[[#This Row],[Order Date]],"mmm")</f>
        <v>Feb</v>
      </c>
      <c r="M4796" s="2">
        <v>8</v>
      </c>
      <c r="N4796" s="2" t="s">
        <v>45</v>
      </c>
      <c r="O4796" s="2" t="str">
        <f>VLOOKUP(OrganizedData[[#This Row],[Product Code]],ProductData[[Code]:[Item]],2,FALSE)</f>
        <v>Gigastuff</v>
      </c>
      <c r="P4796" s="4">
        <f>OrganizedData[[#This Row],[Quantity]]*VLOOKUP(OrganizedData[[#This Row],[Product Code]],ProductData[],4,FALSE)</f>
        <v>144</v>
      </c>
      <c r="Q4796" s="6">
        <f>OrganizedData[[#This Row],[Total Items Ordered]]*VLOOKUP(OrganizedData[[#This Row],[Product Code]],ProductData[],3,FALSE)</f>
        <v>272.15999999999997</v>
      </c>
      <c r="R47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4797" spans="1:18" x14ac:dyDescent="0.3">
      <c r="A4797" s="2">
        <v>4790</v>
      </c>
      <c r="B4797" s="2" t="s">
        <v>882</v>
      </c>
      <c r="C4797" s="2" t="s">
        <v>4635</v>
      </c>
      <c r="D4797" s="2" t="s">
        <v>28</v>
      </c>
      <c r="E4797" s="2" t="s">
        <v>29</v>
      </c>
      <c r="F4797" s="2">
        <v>90</v>
      </c>
      <c r="G4797" s="2" t="s">
        <v>10196</v>
      </c>
      <c r="H4797" s="2" t="s">
        <v>970</v>
      </c>
      <c r="I4797" s="2" t="s">
        <v>187</v>
      </c>
      <c r="J4797" s="3">
        <v>44832</v>
      </c>
      <c r="K4797" s="5">
        <f>YEAR(OrganizedData[[#This Row],[Order Date]])</f>
        <v>2022</v>
      </c>
      <c r="L4797" s="7" t="str">
        <f>TEXT(OrganizedData[[#This Row],[Order Date]],"mmm")</f>
        <v>Sep</v>
      </c>
      <c r="M4797" s="2">
        <v>88</v>
      </c>
      <c r="N4797" s="2" t="s">
        <v>70</v>
      </c>
      <c r="O4797" s="2" t="str">
        <f>VLOOKUP(OrganizedData[[#This Row],[Product Code]],ProductData[[Code]:[Item]],2,FALSE)</f>
        <v>Megawidget M</v>
      </c>
      <c r="P4797" s="4">
        <f>OrganizedData[[#This Row],[Quantity]]*VLOOKUP(OrganizedData[[#This Row],[Product Code]],ProductData[],4,FALSE)</f>
        <v>2112</v>
      </c>
      <c r="Q4797" s="6">
        <f>OrganizedData[[#This Row],[Total Items Ordered]]*VLOOKUP(OrganizedData[[#This Row],[Product Code]],ProductData[],3,FALSE)</f>
        <v>2724.48</v>
      </c>
      <c r="R47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2588.2559999999999</v>
      </c>
    </row>
    <row r="4798" spans="1:18" x14ac:dyDescent="0.3">
      <c r="A4798" s="2">
        <v>4791</v>
      </c>
      <c r="B4798" s="2" t="s">
        <v>10197</v>
      </c>
      <c r="C4798" s="2" t="s">
        <v>4790</v>
      </c>
      <c r="D4798" s="2" t="s">
        <v>15</v>
      </c>
      <c r="E4798" s="2" t="s">
        <v>16</v>
      </c>
      <c r="F4798" s="2">
        <v>60</v>
      </c>
      <c r="G4798" s="2" t="s">
        <v>10198</v>
      </c>
      <c r="H4798" s="2" t="s">
        <v>1568</v>
      </c>
      <c r="I4798" s="2" t="s">
        <v>32</v>
      </c>
      <c r="J4798" s="3">
        <v>44015</v>
      </c>
      <c r="K4798" s="5">
        <f>YEAR(OrganizedData[[#This Row],[Order Date]])</f>
        <v>2020</v>
      </c>
      <c r="L4798" s="7" t="str">
        <f>TEXT(OrganizedData[[#This Row],[Order Date]],"mmm")</f>
        <v>Jul</v>
      </c>
      <c r="M4798" s="2">
        <v>22</v>
      </c>
      <c r="N4798" s="2" t="s">
        <v>33</v>
      </c>
      <c r="O4798" s="2" t="str">
        <f>VLOOKUP(OrganizedData[[#This Row],[Product Code]],ProductData[[Code]:[Item]],2,FALSE)</f>
        <v>Megawidget L</v>
      </c>
      <c r="P4798" s="4">
        <f>OrganizedData[[#This Row],[Quantity]]*VLOOKUP(OrganizedData[[#This Row],[Product Code]],ProductData[],4,FALSE)</f>
        <v>528</v>
      </c>
      <c r="Q4798" s="6">
        <f>OrganizedData[[#This Row],[Total Items Ordered]]*VLOOKUP(OrganizedData[[#This Row],[Product Code]],ProductData[],3,FALSE)</f>
        <v>945.12</v>
      </c>
      <c r="R47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916.76639999999998</v>
      </c>
    </row>
    <row r="4799" spans="1:18" x14ac:dyDescent="0.3">
      <c r="A4799" s="2">
        <v>4792</v>
      </c>
      <c r="B4799" s="2" t="s">
        <v>4936</v>
      </c>
      <c r="C4799" s="2" t="s">
        <v>1528</v>
      </c>
      <c r="D4799" s="2" t="s">
        <v>28</v>
      </c>
      <c r="E4799" s="2" t="s">
        <v>29</v>
      </c>
      <c r="F4799" s="2">
        <v>60</v>
      </c>
      <c r="G4799" s="2" t="s">
        <v>10199</v>
      </c>
      <c r="H4799" s="2" t="s">
        <v>9098</v>
      </c>
      <c r="I4799" s="2" t="s">
        <v>38</v>
      </c>
      <c r="J4799" s="3">
        <v>44118</v>
      </c>
      <c r="K4799" s="5">
        <f>YEAR(OrganizedData[[#This Row],[Order Date]])</f>
        <v>2020</v>
      </c>
      <c r="L4799" s="7" t="str">
        <f>TEXT(OrganizedData[[#This Row],[Order Date]],"mmm")</f>
        <v>Oct</v>
      </c>
      <c r="M4799" s="2">
        <v>81</v>
      </c>
      <c r="N4799" s="2" t="s">
        <v>45</v>
      </c>
      <c r="O4799" s="2" t="str">
        <f>VLOOKUP(OrganizedData[[#This Row],[Product Code]],ProductData[[Code]:[Item]],2,FALSE)</f>
        <v>Gigastuff</v>
      </c>
      <c r="P4799" s="4">
        <f>OrganizedData[[#This Row],[Quantity]]*VLOOKUP(OrganizedData[[#This Row],[Product Code]],ProductData[],4,FALSE)</f>
        <v>1458</v>
      </c>
      <c r="Q4799" s="6">
        <f>OrganizedData[[#This Row],[Total Items Ordered]]*VLOOKUP(OrganizedData[[#This Row],[Product Code]],ProductData[],3,FALSE)</f>
        <v>2755.62</v>
      </c>
      <c r="R47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2617.8389999999999</v>
      </c>
    </row>
    <row r="4800" spans="1:18" x14ac:dyDescent="0.3">
      <c r="A4800" s="2">
        <v>4793</v>
      </c>
      <c r="B4800" s="2" t="s">
        <v>2840</v>
      </c>
      <c r="C4800" s="2" t="s">
        <v>4218</v>
      </c>
      <c r="D4800" s="2" t="s">
        <v>28</v>
      </c>
      <c r="E4800" s="2" t="s">
        <v>29</v>
      </c>
      <c r="F4800" s="2">
        <v>60</v>
      </c>
      <c r="G4800" s="2" t="s">
        <v>10200</v>
      </c>
      <c r="H4800" s="2" t="s">
        <v>128</v>
      </c>
      <c r="I4800" s="2" t="s">
        <v>129</v>
      </c>
      <c r="J4800" s="3">
        <v>44480</v>
      </c>
      <c r="K4800" s="5">
        <f>YEAR(OrganizedData[[#This Row],[Order Date]])</f>
        <v>2021</v>
      </c>
      <c r="L4800" s="7" t="str">
        <f>TEXT(OrganizedData[[#This Row],[Order Date]],"mmm")</f>
        <v>Oct</v>
      </c>
      <c r="M4800" s="2">
        <v>69</v>
      </c>
      <c r="N4800" s="2" t="s">
        <v>45</v>
      </c>
      <c r="O4800" s="2" t="str">
        <f>VLOOKUP(OrganizedData[[#This Row],[Product Code]],ProductData[[Code]:[Item]],2,FALSE)</f>
        <v>Gigastuff</v>
      </c>
      <c r="P4800" s="4">
        <f>OrganizedData[[#This Row],[Quantity]]*VLOOKUP(OrganizedData[[#This Row],[Product Code]],ProductData[],4,FALSE)</f>
        <v>1242</v>
      </c>
      <c r="Q4800" s="6">
        <f>OrganizedData[[#This Row],[Total Items Ordered]]*VLOOKUP(OrganizedData[[#This Row],[Product Code]],ProductData[],3,FALSE)</f>
        <v>2347.3799999999997</v>
      </c>
      <c r="R48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2230.0109999999995</v>
      </c>
    </row>
    <row r="4801" spans="1:18" x14ac:dyDescent="0.3">
      <c r="A4801" s="2">
        <v>4794</v>
      </c>
      <c r="B4801" s="2" t="s">
        <v>1079</v>
      </c>
      <c r="C4801" s="2" t="s">
        <v>4366</v>
      </c>
      <c r="D4801" s="2" t="s">
        <v>51</v>
      </c>
      <c r="E4801" s="2" t="s">
        <v>16</v>
      </c>
      <c r="F4801" s="2">
        <v>30</v>
      </c>
      <c r="G4801" s="2" t="s">
        <v>10456</v>
      </c>
      <c r="H4801" s="2" t="s">
        <v>7261</v>
      </c>
      <c r="I4801" s="2" t="s">
        <v>32</v>
      </c>
      <c r="J4801" s="3">
        <v>44711</v>
      </c>
      <c r="K4801" s="5">
        <f>YEAR(OrganizedData[[#This Row],[Order Date]])</f>
        <v>2022</v>
      </c>
      <c r="L4801" s="7" t="str">
        <f>TEXT(OrganizedData[[#This Row],[Order Date]],"mmm")</f>
        <v>May</v>
      </c>
      <c r="M4801" s="2">
        <v>88</v>
      </c>
      <c r="N4801" s="2" t="s">
        <v>70</v>
      </c>
      <c r="O4801" s="2" t="str">
        <f>VLOOKUP(OrganizedData[[#This Row],[Product Code]],ProductData[[Code]:[Item]],2,FALSE)</f>
        <v>Megawidget M</v>
      </c>
      <c r="P4801" s="4">
        <f>OrganizedData[[#This Row],[Quantity]]*VLOOKUP(OrganizedData[[#This Row],[Product Code]],ProductData[],4,FALSE)</f>
        <v>2112</v>
      </c>
      <c r="Q4801" s="6">
        <f>OrganizedData[[#This Row],[Total Items Ordered]]*VLOOKUP(OrganizedData[[#This Row],[Product Code]],ProductData[],3,FALSE)</f>
        <v>2724.48</v>
      </c>
      <c r="R48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2588.2559999999999</v>
      </c>
    </row>
    <row r="4802" spans="1:18" x14ac:dyDescent="0.3">
      <c r="A4802" s="2">
        <v>4795</v>
      </c>
      <c r="B4802" s="2" t="s">
        <v>10202</v>
      </c>
      <c r="C4802" s="2" t="s">
        <v>7187</v>
      </c>
      <c r="D4802" s="2" t="s">
        <v>15</v>
      </c>
      <c r="E4802" s="2" t="s">
        <v>16</v>
      </c>
      <c r="F4802" s="2">
        <v>90</v>
      </c>
      <c r="G4802" s="2" t="s">
        <v>10203</v>
      </c>
      <c r="H4802" s="2" t="s">
        <v>8331</v>
      </c>
      <c r="I4802" s="2" t="s">
        <v>32</v>
      </c>
      <c r="J4802" s="3">
        <v>44717</v>
      </c>
      <c r="K4802" s="5">
        <f>YEAR(OrganizedData[[#This Row],[Order Date]])</f>
        <v>2022</v>
      </c>
      <c r="L4802" s="7" t="str">
        <f>TEXT(OrganizedData[[#This Row],[Order Date]],"mmm")</f>
        <v>Jun</v>
      </c>
      <c r="M4802" s="2">
        <v>79</v>
      </c>
      <c r="N4802" s="2" t="s">
        <v>64</v>
      </c>
      <c r="O4802" s="2" t="str">
        <f>VLOOKUP(OrganizedData[[#This Row],[Product Code]],ProductData[[Code]:[Item]],2,FALSE)</f>
        <v>Ultrathing V4</v>
      </c>
      <c r="P4802" s="4">
        <f>OrganizedData[[#This Row],[Quantity]]*VLOOKUP(OrganizedData[[#This Row],[Product Code]],ProductData[],4,FALSE)</f>
        <v>1896</v>
      </c>
      <c r="Q4802" s="6">
        <f>OrganizedData[[#This Row],[Total Items Ordered]]*VLOOKUP(OrganizedData[[#This Row],[Product Code]],ProductData[],3,FALSE)</f>
        <v>7565.04</v>
      </c>
      <c r="R48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7186.7879999999996</v>
      </c>
    </row>
    <row r="4803" spans="1:18" x14ac:dyDescent="0.3">
      <c r="A4803" s="2">
        <v>4796</v>
      </c>
      <c r="B4803" s="2" t="s">
        <v>10204</v>
      </c>
      <c r="C4803" s="2" t="s">
        <v>4671</v>
      </c>
      <c r="D4803" s="2" t="s">
        <v>15</v>
      </c>
      <c r="E4803" s="2" t="s">
        <v>16</v>
      </c>
      <c r="F4803" s="2">
        <v>30</v>
      </c>
      <c r="G4803" s="2" t="s">
        <v>10205</v>
      </c>
      <c r="H4803" s="2" t="s">
        <v>4915</v>
      </c>
      <c r="I4803" s="2" t="s">
        <v>32</v>
      </c>
      <c r="J4803" s="3">
        <v>44743</v>
      </c>
      <c r="K4803" s="5">
        <f>YEAR(OrganizedData[[#This Row],[Order Date]])</f>
        <v>2022</v>
      </c>
      <c r="L4803" s="7" t="str">
        <f>TEXT(OrganizedData[[#This Row],[Order Date]],"mmm")</f>
        <v>Jul</v>
      </c>
      <c r="M4803" s="2">
        <v>100</v>
      </c>
      <c r="N4803" s="2" t="s">
        <v>159</v>
      </c>
      <c r="O4803" s="2" t="str">
        <f>VLOOKUP(OrganizedData[[#This Row],[Product Code]],ProductData[[Code]:[Item]],2,FALSE)</f>
        <v>Ultrathing V3</v>
      </c>
      <c r="P4803" s="4">
        <f>OrganizedData[[#This Row],[Quantity]]*VLOOKUP(OrganizedData[[#This Row],[Product Code]],ProductData[],4,FALSE)</f>
        <v>2400</v>
      </c>
      <c r="Q4803" s="6">
        <f>OrganizedData[[#This Row],[Total Items Ordered]]*VLOOKUP(OrganizedData[[#This Row],[Product Code]],ProductData[],3,FALSE)</f>
        <v>8136</v>
      </c>
      <c r="R48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7729.2</v>
      </c>
    </row>
    <row r="4804" spans="1:18" x14ac:dyDescent="0.3">
      <c r="A4804" s="2">
        <v>4797</v>
      </c>
      <c r="B4804" s="2" t="s">
        <v>9096</v>
      </c>
      <c r="C4804" s="2" t="s">
        <v>6971</v>
      </c>
      <c r="D4804" s="2" t="s">
        <v>41</v>
      </c>
      <c r="E4804" s="2" t="s">
        <v>16</v>
      </c>
      <c r="F4804" s="2">
        <v>60</v>
      </c>
      <c r="G4804" s="2" t="s">
        <v>10206</v>
      </c>
      <c r="H4804" s="2" t="s">
        <v>2799</v>
      </c>
      <c r="I4804" s="2" t="s">
        <v>32</v>
      </c>
      <c r="J4804" s="3">
        <v>44835</v>
      </c>
      <c r="K4804" s="5">
        <f>YEAR(OrganizedData[[#This Row],[Order Date]])</f>
        <v>2022</v>
      </c>
      <c r="L4804" s="7" t="str">
        <f>TEXT(OrganizedData[[#This Row],[Order Date]],"mmm")</f>
        <v>Oct</v>
      </c>
      <c r="M4804" s="2">
        <v>94</v>
      </c>
      <c r="N4804" s="2" t="s">
        <v>159</v>
      </c>
      <c r="O4804" s="2" t="str">
        <f>VLOOKUP(OrganizedData[[#This Row],[Product Code]],ProductData[[Code]:[Item]],2,FALSE)</f>
        <v>Ultrathing V3</v>
      </c>
      <c r="P4804" s="4">
        <f>OrganizedData[[#This Row],[Quantity]]*VLOOKUP(OrganizedData[[#This Row],[Product Code]],ProductData[],4,FALSE)</f>
        <v>2256</v>
      </c>
      <c r="Q4804" s="6">
        <f>OrganizedData[[#This Row],[Total Items Ordered]]*VLOOKUP(OrganizedData[[#This Row],[Product Code]],ProductData[],3,FALSE)</f>
        <v>7647.84</v>
      </c>
      <c r="R48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7265.4479999999994</v>
      </c>
    </row>
    <row r="4805" spans="1:18" x14ac:dyDescent="0.3">
      <c r="A4805" s="2">
        <v>4798</v>
      </c>
      <c r="B4805" s="2" t="s">
        <v>8091</v>
      </c>
      <c r="C4805" s="2" t="s">
        <v>5323</v>
      </c>
      <c r="D4805" s="2" t="s">
        <v>15</v>
      </c>
      <c r="E4805" s="2" t="s">
        <v>16</v>
      </c>
      <c r="F4805" s="2">
        <v>30</v>
      </c>
      <c r="G4805" s="2" t="s">
        <v>10207</v>
      </c>
      <c r="H4805" s="2" t="s">
        <v>5108</v>
      </c>
      <c r="I4805" s="2" t="s">
        <v>38</v>
      </c>
      <c r="J4805" s="3">
        <v>43832</v>
      </c>
      <c r="K4805" s="5">
        <f>YEAR(OrganizedData[[#This Row],[Order Date]])</f>
        <v>2020</v>
      </c>
      <c r="L4805" s="7" t="str">
        <f>TEXT(OrganizedData[[#This Row],[Order Date]],"mmm")</f>
        <v>Jan</v>
      </c>
      <c r="M4805" s="2">
        <v>13</v>
      </c>
      <c r="N4805" s="2" t="s">
        <v>70</v>
      </c>
      <c r="O4805" s="2" t="str">
        <f>VLOOKUP(OrganizedData[[#This Row],[Product Code]],ProductData[[Code]:[Item]],2,FALSE)</f>
        <v>Megawidget M</v>
      </c>
      <c r="P4805" s="4">
        <f>OrganizedData[[#This Row],[Quantity]]*VLOOKUP(OrganizedData[[#This Row],[Product Code]],ProductData[],4,FALSE)</f>
        <v>312</v>
      </c>
      <c r="Q4805" s="6">
        <f>OrganizedData[[#This Row],[Total Items Ordered]]*VLOOKUP(OrganizedData[[#This Row],[Product Code]],ProductData[],3,FALSE)</f>
        <v>402.48</v>
      </c>
      <c r="R48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402.48</v>
      </c>
    </row>
    <row r="4806" spans="1:18" x14ac:dyDescent="0.3">
      <c r="A4806" s="2">
        <v>4799</v>
      </c>
      <c r="B4806" s="2" t="s">
        <v>10208</v>
      </c>
      <c r="C4806" s="2" t="s">
        <v>61</v>
      </c>
      <c r="D4806" s="2" t="s">
        <v>15</v>
      </c>
      <c r="E4806" s="2" t="s">
        <v>16</v>
      </c>
      <c r="F4806" s="2">
        <v>90</v>
      </c>
      <c r="G4806" s="2" t="s">
        <v>10209</v>
      </c>
      <c r="H4806" s="2" t="s">
        <v>5714</v>
      </c>
      <c r="I4806" s="2" t="s">
        <v>187</v>
      </c>
      <c r="J4806" s="3">
        <v>44629</v>
      </c>
      <c r="K4806" s="5">
        <f>YEAR(OrganizedData[[#This Row],[Order Date]])</f>
        <v>2022</v>
      </c>
      <c r="L4806" s="7" t="str">
        <f>TEXT(OrganizedData[[#This Row],[Order Date]],"mmm")</f>
        <v>Mar</v>
      </c>
      <c r="M4806" s="2">
        <v>59</v>
      </c>
      <c r="N4806" s="2" t="s">
        <v>159</v>
      </c>
      <c r="O4806" s="2" t="str">
        <f>VLOOKUP(OrganizedData[[#This Row],[Product Code]],ProductData[[Code]:[Item]],2,FALSE)</f>
        <v>Ultrathing V3</v>
      </c>
      <c r="P4806" s="4">
        <f>OrganizedData[[#This Row],[Quantity]]*VLOOKUP(OrganizedData[[#This Row],[Product Code]],ProductData[],4,FALSE)</f>
        <v>1416</v>
      </c>
      <c r="Q4806" s="6">
        <f>OrganizedData[[#This Row],[Total Items Ordered]]*VLOOKUP(OrganizedData[[#This Row],[Product Code]],ProductData[],3,FALSE)</f>
        <v>4800.24</v>
      </c>
      <c r="R48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4560.2279999999992</v>
      </c>
    </row>
    <row r="4807" spans="1:18" x14ac:dyDescent="0.3">
      <c r="A4807" s="2">
        <v>4800</v>
      </c>
      <c r="B4807" s="2" t="s">
        <v>6251</v>
      </c>
      <c r="C4807" s="2" t="s">
        <v>2611</v>
      </c>
      <c r="D4807" s="2" t="s">
        <v>15</v>
      </c>
      <c r="E4807" s="2" t="s">
        <v>16</v>
      </c>
      <c r="F4807" s="2">
        <v>30</v>
      </c>
      <c r="G4807" s="2" t="s">
        <v>10210</v>
      </c>
      <c r="H4807" s="2" t="s">
        <v>498</v>
      </c>
      <c r="I4807" s="2" t="s">
        <v>32</v>
      </c>
      <c r="J4807" s="3">
        <v>43859</v>
      </c>
      <c r="K4807" s="5">
        <f>YEAR(OrganizedData[[#This Row],[Order Date]])</f>
        <v>2020</v>
      </c>
      <c r="L4807" s="7" t="str">
        <f>TEXT(OrganizedData[[#This Row],[Order Date]],"mmm")</f>
        <v>Jan</v>
      </c>
      <c r="M4807" s="2">
        <v>78</v>
      </c>
      <c r="N4807" s="2" t="s">
        <v>80</v>
      </c>
      <c r="O4807" s="2" t="str">
        <f>VLOOKUP(OrganizedData[[#This Row],[Product Code]],ProductData[[Code]:[Item]],2,FALSE)</f>
        <v>Ultrathing V2</v>
      </c>
      <c r="P4807" s="4">
        <f>OrganizedData[[#This Row],[Quantity]]*VLOOKUP(OrganizedData[[#This Row],[Product Code]],ProductData[],4,FALSE)</f>
        <v>1560</v>
      </c>
      <c r="Q4807" s="6">
        <f>OrganizedData[[#This Row],[Total Items Ordered]]*VLOOKUP(OrganizedData[[#This Row],[Product Code]],ProductData[],3,FALSE)</f>
        <v>4602</v>
      </c>
      <c r="R48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4371.8999999999996</v>
      </c>
    </row>
    <row r="4808" spans="1:18" x14ac:dyDescent="0.3">
      <c r="A4808" s="2">
        <v>4801</v>
      </c>
      <c r="B4808" s="2" t="s">
        <v>2580</v>
      </c>
      <c r="C4808" s="2" t="s">
        <v>3454</v>
      </c>
      <c r="D4808" s="2" t="s">
        <v>15</v>
      </c>
      <c r="E4808" s="2" t="s">
        <v>16</v>
      </c>
      <c r="F4808" s="2">
        <v>60</v>
      </c>
      <c r="G4808" s="2" t="s">
        <v>10211</v>
      </c>
      <c r="H4808" s="2" t="s">
        <v>6621</v>
      </c>
      <c r="I4808" s="2" t="s">
        <v>38</v>
      </c>
      <c r="J4808" s="3">
        <v>44572</v>
      </c>
      <c r="K4808" s="5">
        <f>YEAR(OrganizedData[[#This Row],[Order Date]])</f>
        <v>2022</v>
      </c>
      <c r="L4808" s="7" t="str">
        <f>TEXT(OrganizedData[[#This Row],[Order Date]],"mmm")</f>
        <v>Jan</v>
      </c>
      <c r="M4808" s="2">
        <v>19</v>
      </c>
      <c r="N4808" s="2" t="s">
        <v>64</v>
      </c>
      <c r="O4808" s="2" t="str">
        <f>VLOOKUP(OrganizedData[[#This Row],[Product Code]],ProductData[[Code]:[Item]],2,FALSE)</f>
        <v>Ultrathing V4</v>
      </c>
      <c r="P4808" s="4">
        <f>OrganizedData[[#This Row],[Quantity]]*VLOOKUP(OrganizedData[[#This Row],[Product Code]],ProductData[],4,FALSE)</f>
        <v>456</v>
      </c>
      <c r="Q4808" s="6">
        <f>OrganizedData[[#This Row],[Total Items Ordered]]*VLOOKUP(OrganizedData[[#This Row],[Product Code]],ProductData[],3,FALSE)</f>
        <v>1819.44</v>
      </c>
      <c r="R48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1819.44</v>
      </c>
    </row>
    <row r="4809" spans="1:18" x14ac:dyDescent="0.3">
      <c r="A4809" s="2">
        <v>4802</v>
      </c>
      <c r="B4809" s="2" t="s">
        <v>4159</v>
      </c>
      <c r="C4809" s="2" t="s">
        <v>3301</v>
      </c>
      <c r="D4809" s="2" t="s">
        <v>15</v>
      </c>
      <c r="E4809" s="2" t="s">
        <v>16</v>
      </c>
      <c r="F4809" s="2">
        <v>30</v>
      </c>
      <c r="G4809" s="2" t="s">
        <v>10212</v>
      </c>
      <c r="H4809" s="2" t="s">
        <v>1119</v>
      </c>
      <c r="I4809" s="2" t="s">
        <v>240</v>
      </c>
      <c r="J4809" s="3">
        <v>43853</v>
      </c>
      <c r="K4809" s="5">
        <f>YEAR(OrganizedData[[#This Row],[Order Date]])</f>
        <v>2020</v>
      </c>
      <c r="L4809" s="7" t="str">
        <f>TEXT(OrganizedData[[#This Row],[Order Date]],"mmm")</f>
        <v>Jan</v>
      </c>
      <c r="M4809" s="2">
        <v>75</v>
      </c>
      <c r="N4809" s="2" t="s">
        <v>45</v>
      </c>
      <c r="O4809" s="2" t="str">
        <f>VLOOKUP(OrganizedData[[#This Row],[Product Code]],ProductData[[Code]:[Item]],2,FALSE)</f>
        <v>Gigastuff</v>
      </c>
      <c r="P4809" s="4">
        <f>OrganizedData[[#This Row],[Quantity]]*VLOOKUP(OrganizedData[[#This Row],[Product Code]],ProductData[],4,FALSE)</f>
        <v>1350</v>
      </c>
      <c r="Q4809" s="6">
        <f>OrganizedData[[#This Row],[Total Items Ordered]]*VLOOKUP(OrganizedData[[#This Row],[Product Code]],ProductData[],3,FALSE)</f>
        <v>2551.5</v>
      </c>
      <c r="R48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2423.9249999999997</v>
      </c>
    </row>
    <row r="4810" spans="1:18" x14ac:dyDescent="0.3">
      <c r="A4810" s="2">
        <v>4803</v>
      </c>
      <c r="B4810" s="2" t="s">
        <v>10213</v>
      </c>
      <c r="C4810" s="2" t="s">
        <v>107</v>
      </c>
      <c r="D4810" s="2" t="s">
        <v>51</v>
      </c>
      <c r="E4810" s="2" t="s">
        <v>16</v>
      </c>
      <c r="F4810" s="2">
        <v>60</v>
      </c>
      <c r="G4810" s="2" t="s">
        <v>10214</v>
      </c>
      <c r="H4810" s="2" t="s">
        <v>730</v>
      </c>
      <c r="I4810" s="2" t="s">
        <v>187</v>
      </c>
      <c r="J4810" s="3">
        <v>44620</v>
      </c>
      <c r="K4810" s="5">
        <f>YEAR(OrganizedData[[#This Row],[Order Date]])</f>
        <v>2022</v>
      </c>
      <c r="L4810" s="7" t="str">
        <f>TEXT(OrganizedData[[#This Row],[Order Date]],"mmm")</f>
        <v>Feb</v>
      </c>
      <c r="M4810" s="2">
        <v>58</v>
      </c>
      <c r="N4810" s="2" t="s">
        <v>101</v>
      </c>
      <c r="O4810" s="2" t="str">
        <f>VLOOKUP(OrganizedData[[#This Row],[Product Code]],ProductData[[Code]:[Item]],2,FALSE)</f>
        <v>Superwossname</v>
      </c>
      <c r="P4810" s="4">
        <f>OrganizedData[[#This Row],[Quantity]]*VLOOKUP(OrganizedData[[#This Row],[Product Code]],ProductData[],4,FALSE)</f>
        <v>1160</v>
      </c>
      <c r="Q4810" s="6">
        <f>OrganizedData[[#This Row],[Total Items Ordered]]*VLOOKUP(OrganizedData[[#This Row],[Product Code]],ProductData[],3,FALSE)</f>
        <v>4048.4</v>
      </c>
      <c r="R48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4811" spans="1:18" x14ac:dyDescent="0.3">
      <c r="A4811" s="2">
        <v>4804</v>
      </c>
      <c r="B4811" s="2" t="s">
        <v>2300</v>
      </c>
      <c r="C4811" s="2" t="s">
        <v>10215</v>
      </c>
      <c r="D4811" s="2" t="s">
        <v>51</v>
      </c>
      <c r="E4811" s="2" t="s">
        <v>16</v>
      </c>
      <c r="F4811" s="2">
        <v>60</v>
      </c>
      <c r="G4811" s="2" t="s">
        <v>10216</v>
      </c>
      <c r="H4811" s="2" t="s">
        <v>2587</v>
      </c>
      <c r="I4811" s="2" t="s">
        <v>124</v>
      </c>
      <c r="J4811" s="3">
        <v>44828</v>
      </c>
      <c r="K4811" s="5">
        <f>YEAR(OrganizedData[[#This Row],[Order Date]])</f>
        <v>2022</v>
      </c>
      <c r="L4811" s="7" t="str">
        <f>TEXT(OrganizedData[[#This Row],[Order Date]],"mmm")</f>
        <v>Sep</v>
      </c>
      <c r="M4811" s="2">
        <v>87</v>
      </c>
      <c r="N4811" s="2" t="s">
        <v>20</v>
      </c>
      <c r="O4811" s="2" t="str">
        <f>VLOOKUP(OrganizedData[[#This Row],[Product Code]],ProductData[[Code]:[Item]],2,FALSE)</f>
        <v>Hyperwotsit</v>
      </c>
      <c r="P4811" s="4">
        <f>OrganizedData[[#This Row],[Quantity]]*VLOOKUP(OrganizedData[[#This Row],[Product Code]],ProductData[],4,FALSE)</f>
        <v>1740</v>
      </c>
      <c r="Q4811" s="6">
        <f>OrganizedData[[#This Row],[Total Items Ordered]]*VLOOKUP(OrganizedData[[#This Row],[Product Code]],ProductData[],3,FALSE)</f>
        <v>3497.3999999999996</v>
      </c>
      <c r="R48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3322.5299999999993</v>
      </c>
    </row>
    <row r="4812" spans="1:18" x14ac:dyDescent="0.3">
      <c r="A4812" s="2">
        <v>4805</v>
      </c>
      <c r="B4812" s="2" t="s">
        <v>3117</v>
      </c>
      <c r="C4812" s="2" t="s">
        <v>5084</v>
      </c>
      <c r="D4812" s="2" t="s">
        <v>28</v>
      </c>
      <c r="E4812" s="2" t="s">
        <v>29</v>
      </c>
      <c r="F4812" s="2">
        <v>90</v>
      </c>
      <c r="G4812" s="2" t="s">
        <v>10217</v>
      </c>
      <c r="H4812" s="2" t="s">
        <v>750</v>
      </c>
      <c r="I4812" s="2" t="s">
        <v>25</v>
      </c>
      <c r="J4812" s="3">
        <v>44623</v>
      </c>
      <c r="K4812" s="5">
        <f>YEAR(OrganizedData[[#This Row],[Order Date]])</f>
        <v>2022</v>
      </c>
      <c r="L4812" s="7" t="str">
        <f>TEXT(OrganizedData[[#This Row],[Order Date]],"mmm")</f>
        <v>Mar</v>
      </c>
      <c r="M4812" s="2">
        <v>18</v>
      </c>
      <c r="N4812" s="2" t="s">
        <v>101</v>
      </c>
      <c r="O4812" s="2" t="str">
        <f>VLOOKUP(OrganizedData[[#This Row],[Product Code]],ProductData[[Code]:[Item]],2,FALSE)</f>
        <v>Superwossname</v>
      </c>
      <c r="P4812" s="4">
        <f>OrganizedData[[#This Row],[Quantity]]*VLOOKUP(OrganizedData[[#This Row],[Product Code]],ProductData[],4,FALSE)</f>
        <v>360</v>
      </c>
      <c r="Q4812" s="6">
        <f>OrganizedData[[#This Row],[Total Items Ordered]]*VLOOKUP(OrganizedData[[#This Row],[Product Code]],ProductData[],3,FALSE)</f>
        <v>1256.4000000000001</v>
      </c>
      <c r="R48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1256.4000000000001</v>
      </c>
    </row>
    <row r="4813" spans="1:18" x14ac:dyDescent="0.3">
      <c r="A4813" s="2">
        <v>4806</v>
      </c>
      <c r="B4813" s="2" t="s">
        <v>1849</v>
      </c>
      <c r="C4813" s="2" t="s">
        <v>3965</v>
      </c>
      <c r="D4813" s="2" t="s">
        <v>51</v>
      </c>
      <c r="E4813" s="2" t="s">
        <v>16</v>
      </c>
      <c r="F4813" s="2">
        <v>90</v>
      </c>
      <c r="G4813" s="2" t="s">
        <v>10218</v>
      </c>
      <c r="H4813" s="2" t="s">
        <v>2123</v>
      </c>
      <c r="I4813" s="2" t="s">
        <v>187</v>
      </c>
      <c r="J4813" s="3">
        <v>44621</v>
      </c>
      <c r="K4813" s="5">
        <f>YEAR(OrganizedData[[#This Row],[Order Date]])</f>
        <v>2022</v>
      </c>
      <c r="L4813" s="7" t="str">
        <f>TEXT(OrganizedData[[#This Row],[Order Date]],"mmm")</f>
        <v>Mar</v>
      </c>
      <c r="M4813" s="2">
        <v>104</v>
      </c>
      <c r="N4813" s="2" t="s">
        <v>39</v>
      </c>
      <c r="O4813" s="2" t="str">
        <f>VLOOKUP(OrganizedData[[#This Row],[Product Code]],ProductData[[Code]:[Item]],2,FALSE)</f>
        <v>Ultrathing V1</v>
      </c>
      <c r="P4813" s="4">
        <f>OrganizedData[[#This Row],[Quantity]]*VLOOKUP(OrganizedData[[#This Row],[Product Code]],ProductData[],4,FALSE)</f>
        <v>1768</v>
      </c>
      <c r="Q4813" s="6">
        <f>OrganizedData[[#This Row],[Total Items Ordered]]*VLOOKUP(OrganizedData[[#This Row],[Product Code]],ProductData[],3,FALSE)</f>
        <v>3164.7200000000003</v>
      </c>
      <c r="R48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2943.1896000000006</v>
      </c>
    </row>
    <row r="4814" spans="1:18" x14ac:dyDescent="0.3">
      <c r="A4814" s="2">
        <v>4807</v>
      </c>
      <c r="B4814" s="2" t="s">
        <v>2197</v>
      </c>
      <c r="C4814" s="2" t="s">
        <v>2449</v>
      </c>
      <c r="D4814" s="2" t="s">
        <v>28</v>
      </c>
      <c r="E4814" s="2" t="s">
        <v>29</v>
      </c>
      <c r="F4814" s="2">
        <v>60</v>
      </c>
      <c r="G4814" s="2" t="s">
        <v>10219</v>
      </c>
      <c r="H4814" s="2" t="s">
        <v>6687</v>
      </c>
      <c r="I4814" s="2" t="s">
        <v>32</v>
      </c>
      <c r="J4814" s="3">
        <v>44386</v>
      </c>
      <c r="K4814" s="5">
        <f>YEAR(OrganizedData[[#This Row],[Order Date]])</f>
        <v>2021</v>
      </c>
      <c r="L4814" s="7" t="str">
        <f>TEXT(OrganizedData[[#This Row],[Order Date]],"mmm")</f>
        <v>Jul</v>
      </c>
      <c r="M4814" s="2">
        <v>79</v>
      </c>
      <c r="N4814" s="2" t="s">
        <v>80</v>
      </c>
      <c r="O4814" s="2" t="str">
        <f>VLOOKUP(OrganizedData[[#This Row],[Product Code]],ProductData[[Code]:[Item]],2,FALSE)</f>
        <v>Ultrathing V2</v>
      </c>
      <c r="P4814" s="4">
        <f>OrganizedData[[#This Row],[Quantity]]*VLOOKUP(OrganizedData[[#This Row],[Product Code]],ProductData[],4,FALSE)</f>
        <v>1580</v>
      </c>
      <c r="Q4814" s="6">
        <f>OrganizedData[[#This Row],[Total Items Ordered]]*VLOOKUP(OrganizedData[[#This Row],[Product Code]],ProductData[],3,FALSE)</f>
        <v>4661</v>
      </c>
      <c r="R48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4427.95</v>
      </c>
    </row>
    <row r="4815" spans="1:18" x14ac:dyDescent="0.3">
      <c r="A4815" s="2">
        <v>4808</v>
      </c>
      <c r="B4815" s="2" t="s">
        <v>10220</v>
      </c>
      <c r="C4815" s="2" t="s">
        <v>348</v>
      </c>
      <c r="D4815" s="2" t="s">
        <v>15</v>
      </c>
      <c r="E4815" s="2" t="s">
        <v>16</v>
      </c>
      <c r="F4815" s="2">
        <v>30</v>
      </c>
      <c r="G4815" s="2" t="s">
        <v>10221</v>
      </c>
      <c r="H4815" s="2" t="s">
        <v>3157</v>
      </c>
      <c r="I4815" s="2" t="s">
        <v>32</v>
      </c>
      <c r="J4815" s="3">
        <v>44395</v>
      </c>
      <c r="K4815" s="5">
        <f>YEAR(OrganizedData[[#This Row],[Order Date]])</f>
        <v>2021</v>
      </c>
      <c r="L4815" s="7" t="str">
        <f>TEXT(OrganizedData[[#This Row],[Order Date]],"mmm")</f>
        <v>Jul</v>
      </c>
      <c r="M4815" s="2">
        <v>40</v>
      </c>
      <c r="N4815" s="2" t="s">
        <v>159</v>
      </c>
      <c r="O4815" s="2" t="str">
        <f>VLOOKUP(OrganizedData[[#This Row],[Product Code]],ProductData[[Code]:[Item]],2,FALSE)</f>
        <v>Ultrathing V3</v>
      </c>
      <c r="P4815" s="4">
        <f>OrganizedData[[#This Row],[Quantity]]*VLOOKUP(OrganizedData[[#This Row],[Product Code]],ProductData[],4,FALSE)</f>
        <v>960</v>
      </c>
      <c r="Q4815" s="6">
        <f>OrganizedData[[#This Row],[Total Items Ordered]]*VLOOKUP(OrganizedData[[#This Row],[Product Code]],ProductData[],3,FALSE)</f>
        <v>3254.4</v>
      </c>
      <c r="R48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3156.768</v>
      </c>
    </row>
    <row r="4816" spans="1:18" x14ac:dyDescent="0.3">
      <c r="A4816" s="2">
        <v>4809</v>
      </c>
      <c r="B4816" s="2" t="s">
        <v>9030</v>
      </c>
      <c r="C4816" s="2" t="s">
        <v>672</v>
      </c>
      <c r="D4816" s="2" t="s">
        <v>51</v>
      </c>
      <c r="E4816" s="2" t="s">
        <v>16</v>
      </c>
      <c r="F4816" s="2">
        <v>90</v>
      </c>
      <c r="G4816" s="2" t="s">
        <v>10222</v>
      </c>
      <c r="H4816" s="2" t="s">
        <v>3365</v>
      </c>
      <c r="I4816" s="2" t="s">
        <v>146</v>
      </c>
      <c r="J4816" s="3">
        <v>44290</v>
      </c>
      <c r="K4816" s="5">
        <f>YEAR(OrganizedData[[#This Row],[Order Date]])</f>
        <v>2021</v>
      </c>
      <c r="L4816" s="7" t="str">
        <f>TEXT(OrganizedData[[#This Row],[Order Date]],"mmm")</f>
        <v>Apr</v>
      </c>
      <c r="M4816" s="2">
        <v>52</v>
      </c>
      <c r="N4816" s="2" t="s">
        <v>39</v>
      </c>
      <c r="O4816" s="2" t="str">
        <f>VLOOKUP(OrganizedData[[#This Row],[Product Code]],ProductData[[Code]:[Item]],2,FALSE)</f>
        <v>Ultrathing V1</v>
      </c>
      <c r="P4816" s="4">
        <f>OrganizedData[[#This Row],[Quantity]]*VLOOKUP(OrganizedData[[#This Row],[Product Code]],ProductData[],4,FALSE)</f>
        <v>884</v>
      </c>
      <c r="Q4816" s="6">
        <f>OrganizedData[[#This Row],[Total Items Ordered]]*VLOOKUP(OrganizedData[[#This Row],[Product Code]],ProductData[],3,FALSE)</f>
        <v>1582.3600000000001</v>
      </c>
      <c r="R48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1503.242</v>
      </c>
    </row>
    <row r="4817" spans="1:18" x14ac:dyDescent="0.3">
      <c r="A4817" s="2">
        <v>4810</v>
      </c>
      <c r="B4817" s="2" t="s">
        <v>10223</v>
      </c>
      <c r="C4817" s="2" t="s">
        <v>10224</v>
      </c>
      <c r="D4817" s="2" t="s">
        <v>51</v>
      </c>
      <c r="E4817" s="2" t="s">
        <v>16</v>
      </c>
      <c r="F4817" s="2">
        <v>30</v>
      </c>
      <c r="G4817" s="2" t="s">
        <v>10225</v>
      </c>
      <c r="H4817" s="2" t="s">
        <v>2084</v>
      </c>
      <c r="I4817" s="2" t="s">
        <v>294</v>
      </c>
      <c r="J4817" s="3">
        <v>44743</v>
      </c>
      <c r="K4817" s="5">
        <f>YEAR(OrganizedData[[#This Row],[Order Date]])</f>
        <v>2022</v>
      </c>
      <c r="L4817" s="7" t="str">
        <f>TEXT(OrganizedData[[#This Row],[Order Date]],"mmm")</f>
        <v>Jul</v>
      </c>
      <c r="M4817" s="2">
        <v>98</v>
      </c>
      <c r="N4817" s="2" t="s">
        <v>45</v>
      </c>
      <c r="O4817" s="2" t="str">
        <f>VLOOKUP(OrganizedData[[#This Row],[Product Code]],ProductData[[Code]:[Item]],2,FALSE)</f>
        <v>Gigastuff</v>
      </c>
      <c r="P4817" s="4">
        <f>OrganizedData[[#This Row],[Quantity]]*VLOOKUP(OrganizedData[[#This Row],[Product Code]],ProductData[],4,FALSE)</f>
        <v>1764</v>
      </c>
      <c r="Q4817" s="6">
        <f>OrganizedData[[#This Row],[Total Items Ordered]]*VLOOKUP(OrganizedData[[#This Row],[Product Code]],ProductData[],3,FALSE)</f>
        <v>3333.96</v>
      </c>
      <c r="R48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3167.2619999999997</v>
      </c>
    </row>
    <row r="4818" spans="1:18" x14ac:dyDescent="0.3">
      <c r="A4818" s="2">
        <v>4811</v>
      </c>
      <c r="B4818" s="2" t="s">
        <v>463</v>
      </c>
      <c r="C4818" s="2" t="s">
        <v>7684</v>
      </c>
      <c r="D4818" s="2" t="s">
        <v>41</v>
      </c>
      <c r="E4818" s="2" t="s">
        <v>16</v>
      </c>
      <c r="F4818" s="2">
        <v>90</v>
      </c>
      <c r="G4818" s="2" t="s">
        <v>10588</v>
      </c>
      <c r="H4818" s="2" t="s">
        <v>2066</v>
      </c>
      <c r="I4818" s="2" t="s">
        <v>294</v>
      </c>
      <c r="J4818" s="3">
        <v>44277</v>
      </c>
      <c r="K4818" s="5">
        <f>YEAR(OrganizedData[[#This Row],[Order Date]])</f>
        <v>2021</v>
      </c>
      <c r="L4818" s="7" t="str">
        <f>TEXT(OrganizedData[[#This Row],[Order Date]],"mmm")</f>
        <v>Mar</v>
      </c>
      <c r="M4818" s="2">
        <v>75</v>
      </c>
      <c r="N4818" s="2" t="s">
        <v>159</v>
      </c>
      <c r="O4818" s="2" t="str">
        <f>VLOOKUP(OrganizedData[[#This Row],[Product Code]],ProductData[[Code]:[Item]],2,FALSE)</f>
        <v>Ultrathing V3</v>
      </c>
      <c r="P4818" s="4">
        <f>OrganizedData[[#This Row],[Quantity]]*VLOOKUP(OrganizedData[[#This Row],[Product Code]],ProductData[],4,FALSE)</f>
        <v>1800</v>
      </c>
      <c r="Q4818" s="6">
        <f>OrganizedData[[#This Row],[Total Items Ordered]]*VLOOKUP(OrganizedData[[#This Row],[Product Code]],ProductData[],3,FALSE)</f>
        <v>6102</v>
      </c>
      <c r="R48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5796.9</v>
      </c>
    </row>
    <row r="4819" spans="1:18" x14ac:dyDescent="0.3">
      <c r="A4819" s="2">
        <v>4812</v>
      </c>
      <c r="B4819" s="2" t="s">
        <v>10227</v>
      </c>
      <c r="C4819" s="2" t="s">
        <v>2813</v>
      </c>
      <c r="D4819" s="2" t="s">
        <v>51</v>
      </c>
      <c r="E4819" s="2" t="s">
        <v>16</v>
      </c>
      <c r="F4819" s="2">
        <v>30</v>
      </c>
      <c r="G4819" s="2" t="s">
        <v>10228</v>
      </c>
      <c r="H4819" s="2" t="s">
        <v>3579</v>
      </c>
      <c r="I4819" s="2" t="s">
        <v>1576</v>
      </c>
      <c r="J4819" s="3">
        <v>43868</v>
      </c>
      <c r="K4819" s="5">
        <f>YEAR(OrganizedData[[#This Row],[Order Date]])</f>
        <v>2020</v>
      </c>
      <c r="L4819" s="7" t="str">
        <f>TEXT(OrganizedData[[#This Row],[Order Date]],"mmm")</f>
        <v>Feb</v>
      </c>
      <c r="M4819" s="2">
        <v>51</v>
      </c>
      <c r="N4819" s="2" t="s">
        <v>101</v>
      </c>
      <c r="O4819" s="2" t="str">
        <f>VLOOKUP(OrganizedData[[#This Row],[Product Code]],ProductData[[Code]:[Item]],2,FALSE)</f>
        <v>Superwossname</v>
      </c>
      <c r="P4819" s="4">
        <f>OrganizedData[[#This Row],[Quantity]]*VLOOKUP(OrganizedData[[#This Row],[Product Code]],ProductData[],4,FALSE)</f>
        <v>1020</v>
      </c>
      <c r="Q4819" s="6">
        <f>OrganizedData[[#This Row],[Total Items Ordered]]*VLOOKUP(OrganizedData[[#This Row],[Product Code]],ProductData[],3,FALSE)</f>
        <v>3559.8</v>
      </c>
      <c r="R48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3381.81</v>
      </c>
    </row>
    <row r="4820" spans="1:18" x14ac:dyDescent="0.3">
      <c r="A4820" s="2">
        <v>4813</v>
      </c>
      <c r="B4820" s="2" t="s">
        <v>7821</v>
      </c>
      <c r="C4820" s="2" t="s">
        <v>4635</v>
      </c>
      <c r="D4820" s="2" t="s">
        <v>15</v>
      </c>
      <c r="E4820" s="2" t="s">
        <v>16</v>
      </c>
      <c r="F4820" s="2">
        <v>60</v>
      </c>
      <c r="G4820" s="2" t="s">
        <v>10229</v>
      </c>
      <c r="H4820" s="2" t="s">
        <v>3724</v>
      </c>
      <c r="I4820" s="2" t="s">
        <v>1078</v>
      </c>
      <c r="J4820" s="3">
        <v>44744</v>
      </c>
      <c r="K4820" s="5">
        <f>YEAR(OrganizedData[[#This Row],[Order Date]])</f>
        <v>2022</v>
      </c>
      <c r="L4820" s="7" t="str">
        <f>TEXT(OrganizedData[[#This Row],[Order Date]],"mmm")</f>
        <v>Jul</v>
      </c>
      <c r="M4820" s="2">
        <v>40</v>
      </c>
      <c r="N4820" s="2" t="s">
        <v>20</v>
      </c>
      <c r="O4820" s="2" t="str">
        <f>VLOOKUP(OrganizedData[[#This Row],[Product Code]],ProductData[[Code]:[Item]],2,FALSE)</f>
        <v>Hyperwotsit</v>
      </c>
      <c r="P4820" s="4">
        <f>OrganizedData[[#This Row],[Quantity]]*VLOOKUP(OrganizedData[[#This Row],[Product Code]],ProductData[],4,FALSE)</f>
        <v>800</v>
      </c>
      <c r="Q4820" s="6">
        <f>OrganizedData[[#This Row],[Total Items Ordered]]*VLOOKUP(OrganizedData[[#This Row],[Product Code]],ProductData[],3,FALSE)</f>
        <v>1607.9999999999998</v>
      </c>
      <c r="R48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1559.7599999999998</v>
      </c>
    </row>
    <row r="4821" spans="1:18" x14ac:dyDescent="0.3">
      <c r="A4821" s="2">
        <v>4814</v>
      </c>
      <c r="B4821" s="2" t="s">
        <v>1877</v>
      </c>
      <c r="C4821" s="2" t="s">
        <v>9715</v>
      </c>
      <c r="D4821" s="2" t="s">
        <v>28</v>
      </c>
      <c r="E4821" s="2" t="s">
        <v>29</v>
      </c>
      <c r="F4821" s="2">
        <v>30</v>
      </c>
      <c r="G4821" s="2" t="s">
        <v>10230</v>
      </c>
      <c r="H4821" s="2" t="s">
        <v>9286</v>
      </c>
      <c r="I4821" s="2" t="s">
        <v>178</v>
      </c>
      <c r="J4821" s="3">
        <v>44203</v>
      </c>
      <c r="K4821" s="5">
        <f>YEAR(OrganizedData[[#This Row],[Order Date]])</f>
        <v>2021</v>
      </c>
      <c r="L4821" s="7" t="str">
        <f>TEXT(OrganizedData[[#This Row],[Order Date]],"mmm")</f>
        <v>Jan</v>
      </c>
      <c r="M4821" s="2">
        <v>63</v>
      </c>
      <c r="N4821" s="2" t="s">
        <v>101</v>
      </c>
      <c r="O4821" s="2" t="str">
        <f>VLOOKUP(OrganizedData[[#This Row],[Product Code]],ProductData[[Code]:[Item]],2,FALSE)</f>
        <v>Superwossname</v>
      </c>
      <c r="P4821" s="4">
        <f>OrganizedData[[#This Row],[Quantity]]*VLOOKUP(OrganizedData[[#This Row],[Product Code]],ProductData[],4,FALSE)</f>
        <v>1260</v>
      </c>
      <c r="Q4821" s="6">
        <f>OrganizedData[[#This Row],[Total Items Ordered]]*VLOOKUP(OrganizedData[[#This Row],[Product Code]],ProductData[],3,FALSE)</f>
        <v>4397.4000000000005</v>
      </c>
      <c r="R48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4177.5300000000007</v>
      </c>
    </row>
    <row r="4822" spans="1:18" x14ac:dyDescent="0.3">
      <c r="A4822" s="2">
        <v>4815</v>
      </c>
      <c r="B4822" s="2" t="s">
        <v>10231</v>
      </c>
      <c r="C4822" s="2" t="s">
        <v>1410</v>
      </c>
      <c r="D4822" s="2" t="s">
        <v>41</v>
      </c>
      <c r="E4822" s="2" t="s">
        <v>16</v>
      </c>
      <c r="F4822" s="2">
        <v>90</v>
      </c>
      <c r="G4822" s="2" t="s">
        <v>10232</v>
      </c>
      <c r="H4822" s="2" t="s">
        <v>350</v>
      </c>
      <c r="I4822" s="2" t="s">
        <v>25</v>
      </c>
      <c r="J4822" s="3">
        <v>43947</v>
      </c>
      <c r="K4822" s="5">
        <f>YEAR(OrganizedData[[#This Row],[Order Date]])</f>
        <v>2020</v>
      </c>
      <c r="L4822" s="7" t="str">
        <f>TEXT(OrganizedData[[#This Row],[Order Date]],"mmm")</f>
        <v>Apr</v>
      </c>
      <c r="M4822" s="2">
        <v>4</v>
      </c>
      <c r="N4822" s="2" t="s">
        <v>33</v>
      </c>
      <c r="O4822" s="2" t="str">
        <f>VLOOKUP(OrganizedData[[#This Row],[Product Code]],ProductData[[Code]:[Item]],2,FALSE)</f>
        <v>Megawidget L</v>
      </c>
      <c r="P4822" s="4">
        <f>OrganizedData[[#This Row],[Quantity]]*VLOOKUP(OrganizedData[[#This Row],[Product Code]],ProductData[],4,FALSE)</f>
        <v>96</v>
      </c>
      <c r="Q4822" s="6">
        <f>OrganizedData[[#This Row],[Total Items Ordered]]*VLOOKUP(OrganizedData[[#This Row],[Product Code]],ProductData[],3,FALSE)</f>
        <v>171.84</v>
      </c>
      <c r="R48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171.84</v>
      </c>
    </row>
    <row r="4823" spans="1:18" x14ac:dyDescent="0.3">
      <c r="A4823" s="2">
        <v>4816</v>
      </c>
      <c r="B4823" s="2" t="s">
        <v>10233</v>
      </c>
      <c r="C4823" s="2" t="s">
        <v>816</v>
      </c>
      <c r="D4823" s="2" t="s">
        <v>28</v>
      </c>
      <c r="E4823" s="2" t="s">
        <v>29</v>
      </c>
      <c r="F4823" s="2">
        <v>60</v>
      </c>
      <c r="G4823" s="2" t="s">
        <v>10234</v>
      </c>
      <c r="H4823" s="2" t="s">
        <v>6312</v>
      </c>
      <c r="I4823" s="2" t="s">
        <v>173</v>
      </c>
      <c r="J4823" s="3">
        <v>43946</v>
      </c>
      <c r="K4823" s="5">
        <f>YEAR(OrganizedData[[#This Row],[Order Date]])</f>
        <v>2020</v>
      </c>
      <c r="L4823" s="7" t="str">
        <f>TEXT(OrganizedData[[#This Row],[Order Date]],"mmm")</f>
        <v>Apr</v>
      </c>
      <c r="M4823" s="2">
        <v>36</v>
      </c>
      <c r="N4823" s="2" t="s">
        <v>70</v>
      </c>
      <c r="O4823" s="2" t="str">
        <f>VLOOKUP(OrganizedData[[#This Row],[Product Code]],ProductData[[Code]:[Item]],2,FALSE)</f>
        <v>Megawidget M</v>
      </c>
      <c r="P4823" s="4">
        <f>OrganizedData[[#This Row],[Quantity]]*VLOOKUP(OrganizedData[[#This Row],[Product Code]],ProductData[],4,FALSE)</f>
        <v>864</v>
      </c>
      <c r="Q4823" s="6">
        <f>OrganizedData[[#This Row],[Total Items Ordered]]*VLOOKUP(OrganizedData[[#This Row],[Product Code]],ProductData[],3,FALSE)</f>
        <v>1114.56</v>
      </c>
      <c r="R48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1081.1232</v>
      </c>
    </row>
    <row r="4824" spans="1:18" x14ac:dyDescent="0.3">
      <c r="A4824" s="2">
        <v>4817</v>
      </c>
      <c r="B4824" s="2" t="s">
        <v>8785</v>
      </c>
      <c r="C4824" s="2" t="s">
        <v>795</v>
      </c>
      <c r="D4824" s="2" t="s">
        <v>51</v>
      </c>
      <c r="E4824" s="2" t="s">
        <v>16</v>
      </c>
      <c r="F4824" s="2">
        <v>90</v>
      </c>
      <c r="G4824" s="2" t="s">
        <v>10235</v>
      </c>
      <c r="H4824" s="2" t="s">
        <v>2311</v>
      </c>
      <c r="I4824" s="2" t="s">
        <v>32</v>
      </c>
      <c r="J4824" s="3">
        <v>43924</v>
      </c>
      <c r="K4824" s="5">
        <f>YEAR(OrganizedData[[#This Row],[Order Date]])</f>
        <v>2020</v>
      </c>
      <c r="L4824" s="7" t="str">
        <f>TEXT(OrganizedData[[#This Row],[Order Date]],"mmm")</f>
        <v>Apr</v>
      </c>
      <c r="M4824" s="2">
        <v>80</v>
      </c>
      <c r="N4824" s="2" t="s">
        <v>20</v>
      </c>
      <c r="O4824" s="2" t="str">
        <f>VLOOKUP(OrganizedData[[#This Row],[Product Code]],ProductData[[Code]:[Item]],2,FALSE)</f>
        <v>Hyperwotsit</v>
      </c>
      <c r="P4824" s="4">
        <f>OrganizedData[[#This Row],[Quantity]]*VLOOKUP(OrganizedData[[#This Row],[Product Code]],ProductData[],4,FALSE)</f>
        <v>1600</v>
      </c>
      <c r="Q4824" s="6">
        <f>OrganizedData[[#This Row],[Total Items Ordered]]*VLOOKUP(OrganizedData[[#This Row],[Product Code]],ProductData[],3,FALSE)</f>
        <v>3215.9999999999995</v>
      </c>
      <c r="R48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3055.1999999999994</v>
      </c>
    </row>
    <row r="4825" spans="1:18" x14ac:dyDescent="0.3">
      <c r="A4825" s="2">
        <v>4818</v>
      </c>
      <c r="B4825" s="2" t="s">
        <v>10236</v>
      </c>
      <c r="C4825" s="2" t="s">
        <v>1654</v>
      </c>
      <c r="D4825" s="2" t="s">
        <v>51</v>
      </c>
      <c r="E4825" s="2" t="s">
        <v>16</v>
      </c>
      <c r="F4825" s="2">
        <v>90</v>
      </c>
      <c r="G4825" s="2" t="s">
        <v>10237</v>
      </c>
      <c r="H4825" s="2" t="s">
        <v>1168</v>
      </c>
      <c r="I4825" s="2" t="s">
        <v>32</v>
      </c>
      <c r="J4825" s="3">
        <v>43888</v>
      </c>
      <c r="K4825" s="5">
        <f>YEAR(OrganizedData[[#This Row],[Order Date]])</f>
        <v>2020</v>
      </c>
      <c r="L4825" s="7" t="str">
        <f>TEXT(OrganizedData[[#This Row],[Order Date]],"mmm")</f>
        <v>Feb</v>
      </c>
      <c r="M4825" s="2">
        <v>61</v>
      </c>
      <c r="N4825" s="2" t="s">
        <v>64</v>
      </c>
      <c r="O4825" s="2" t="str">
        <f>VLOOKUP(OrganizedData[[#This Row],[Product Code]],ProductData[[Code]:[Item]],2,FALSE)</f>
        <v>Ultrathing V4</v>
      </c>
      <c r="P4825" s="4">
        <f>OrganizedData[[#This Row],[Quantity]]*VLOOKUP(OrganizedData[[#This Row],[Product Code]],ProductData[],4,FALSE)</f>
        <v>1464</v>
      </c>
      <c r="Q4825" s="6">
        <f>OrganizedData[[#This Row],[Total Items Ordered]]*VLOOKUP(OrganizedData[[#This Row],[Product Code]],ProductData[],3,FALSE)</f>
        <v>5841.3600000000006</v>
      </c>
      <c r="R48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4826" spans="1:18" x14ac:dyDescent="0.3">
      <c r="A4826" s="2">
        <v>4819</v>
      </c>
      <c r="B4826" s="2" t="s">
        <v>10238</v>
      </c>
      <c r="C4826" s="2" t="s">
        <v>3251</v>
      </c>
      <c r="D4826" s="2" t="s">
        <v>28</v>
      </c>
      <c r="E4826" s="2" t="s">
        <v>29</v>
      </c>
      <c r="F4826" s="2">
        <v>60</v>
      </c>
      <c r="G4826" s="2" t="s">
        <v>10239</v>
      </c>
      <c r="H4826" s="2" t="s">
        <v>5170</v>
      </c>
      <c r="I4826" s="2" t="s">
        <v>294</v>
      </c>
      <c r="J4826" s="3">
        <v>44004</v>
      </c>
      <c r="K4826" s="5">
        <f>YEAR(OrganizedData[[#This Row],[Order Date]])</f>
        <v>2020</v>
      </c>
      <c r="L4826" s="7" t="str">
        <f>TEXT(OrganizedData[[#This Row],[Order Date]],"mmm")</f>
        <v>Jun</v>
      </c>
      <c r="M4826" s="2">
        <v>6</v>
      </c>
      <c r="N4826" s="2" t="s">
        <v>70</v>
      </c>
      <c r="O4826" s="2" t="str">
        <f>VLOOKUP(OrganizedData[[#This Row],[Product Code]],ProductData[[Code]:[Item]],2,FALSE)</f>
        <v>Megawidget M</v>
      </c>
      <c r="P4826" s="4">
        <f>OrganizedData[[#This Row],[Quantity]]*VLOOKUP(OrganizedData[[#This Row],[Product Code]],ProductData[],4,FALSE)</f>
        <v>144</v>
      </c>
      <c r="Q4826" s="6">
        <f>OrganizedData[[#This Row],[Total Items Ordered]]*VLOOKUP(OrganizedData[[#This Row],[Product Code]],ProductData[],3,FALSE)</f>
        <v>185.76</v>
      </c>
      <c r="R48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185.76</v>
      </c>
    </row>
    <row r="4827" spans="1:18" x14ac:dyDescent="0.3">
      <c r="A4827" s="2">
        <v>4820</v>
      </c>
      <c r="B4827" s="2" t="s">
        <v>5695</v>
      </c>
      <c r="C4827" s="2" t="s">
        <v>7398</v>
      </c>
      <c r="D4827" s="2" t="s">
        <v>28</v>
      </c>
      <c r="E4827" s="2" t="s">
        <v>29</v>
      </c>
      <c r="F4827" s="2">
        <v>90</v>
      </c>
      <c r="G4827" s="2" t="s">
        <v>10242</v>
      </c>
      <c r="H4827" s="2" t="s">
        <v>5867</v>
      </c>
      <c r="I4827" s="2" t="s">
        <v>32</v>
      </c>
      <c r="J4827" s="3">
        <v>44508</v>
      </c>
      <c r="K4827" s="5">
        <f>YEAR(OrganizedData[[#This Row],[Order Date]])</f>
        <v>2021</v>
      </c>
      <c r="L4827" s="7" t="str">
        <f>TEXT(OrganizedData[[#This Row],[Order Date]],"mmm")</f>
        <v>Nov</v>
      </c>
      <c r="M4827" s="2">
        <v>17</v>
      </c>
      <c r="N4827" s="2" t="s">
        <v>45</v>
      </c>
      <c r="O4827" s="2" t="str">
        <f>VLOOKUP(OrganizedData[[#This Row],[Product Code]],ProductData[[Code]:[Item]],2,FALSE)</f>
        <v>Gigastuff</v>
      </c>
      <c r="P4827" s="4">
        <f>OrganizedData[[#This Row],[Quantity]]*VLOOKUP(OrganizedData[[#This Row],[Product Code]],ProductData[],4,FALSE)</f>
        <v>306</v>
      </c>
      <c r="Q4827" s="6">
        <f>OrganizedData[[#This Row],[Total Items Ordered]]*VLOOKUP(OrganizedData[[#This Row],[Product Code]],ProductData[],3,FALSE)</f>
        <v>578.33999999999992</v>
      </c>
      <c r="R48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4828" spans="1:18" x14ac:dyDescent="0.3">
      <c r="A4828" s="2">
        <v>4821</v>
      </c>
      <c r="B4828" s="2" t="s">
        <v>5571</v>
      </c>
      <c r="C4828" s="2" t="s">
        <v>6776</v>
      </c>
      <c r="D4828" s="2" t="s">
        <v>15</v>
      </c>
      <c r="E4828" s="2" t="s">
        <v>16</v>
      </c>
      <c r="F4828" s="2">
        <v>90</v>
      </c>
      <c r="G4828" s="2" t="s">
        <v>10243</v>
      </c>
      <c r="H4828" s="2" t="s">
        <v>1601</v>
      </c>
      <c r="I4828" s="2" t="s">
        <v>32</v>
      </c>
      <c r="J4828" s="3">
        <v>44741</v>
      </c>
      <c r="K4828" s="5">
        <f>YEAR(OrganizedData[[#This Row],[Order Date]])</f>
        <v>2022</v>
      </c>
      <c r="L4828" s="7" t="str">
        <f>TEXT(OrganizedData[[#This Row],[Order Date]],"mmm")</f>
        <v>Jun</v>
      </c>
      <c r="M4828" s="2">
        <v>43</v>
      </c>
      <c r="N4828" s="2" t="s">
        <v>70</v>
      </c>
      <c r="O4828" s="2" t="str">
        <f>VLOOKUP(OrganizedData[[#This Row],[Product Code]],ProductData[[Code]:[Item]],2,FALSE)</f>
        <v>Megawidget M</v>
      </c>
      <c r="P4828" s="4">
        <f>OrganizedData[[#This Row],[Quantity]]*VLOOKUP(OrganizedData[[#This Row],[Product Code]],ProductData[],4,FALSE)</f>
        <v>1032</v>
      </c>
      <c r="Q4828" s="6">
        <f>OrganizedData[[#This Row],[Total Items Ordered]]*VLOOKUP(OrganizedData[[#This Row],[Product Code]],ProductData[],3,FALSE)</f>
        <v>1331.28</v>
      </c>
      <c r="R48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1291.3416</v>
      </c>
    </row>
    <row r="4829" spans="1:18" x14ac:dyDescent="0.3">
      <c r="A4829" s="2">
        <v>4822</v>
      </c>
      <c r="B4829" s="2" t="s">
        <v>10244</v>
      </c>
      <c r="C4829" s="2" t="s">
        <v>348</v>
      </c>
      <c r="D4829" s="2" t="s">
        <v>92</v>
      </c>
      <c r="E4829" s="2" t="s">
        <v>16</v>
      </c>
      <c r="F4829" s="2">
        <v>60</v>
      </c>
      <c r="G4829" s="2" t="s">
        <v>10245</v>
      </c>
      <c r="H4829" s="2" t="s">
        <v>5711</v>
      </c>
      <c r="I4829" s="2" t="s">
        <v>25</v>
      </c>
      <c r="J4829" s="3">
        <v>44133</v>
      </c>
      <c r="K4829" s="5">
        <f>YEAR(OrganizedData[[#This Row],[Order Date]])</f>
        <v>2020</v>
      </c>
      <c r="L4829" s="7" t="str">
        <f>TEXT(OrganizedData[[#This Row],[Order Date]],"mmm")</f>
        <v>Oct</v>
      </c>
      <c r="M4829" s="2">
        <v>61</v>
      </c>
      <c r="N4829" s="2" t="s">
        <v>159</v>
      </c>
      <c r="O4829" s="2" t="str">
        <f>VLOOKUP(OrganizedData[[#This Row],[Product Code]],ProductData[[Code]:[Item]],2,FALSE)</f>
        <v>Ultrathing V3</v>
      </c>
      <c r="P4829" s="4">
        <f>OrganizedData[[#This Row],[Quantity]]*VLOOKUP(OrganizedData[[#This Row],[Product Code]],ProductData[],4,FALSE)</f>
        <v>1464</v>
      </c>
      <c r="Q4829" s="6">
        <f>OrganizedData[[#This Row],[Total Items Ordered]]*VLOOKUP(OrganizedData[[#This Row],[Product Code]],ProductData[],3,FALSE)</f>
        <v>4962.96</v>
      </c>
      <c r="R48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4714.8119999999999</v>
      </c>
    </row>
    <row r="4830" spans="1:18" x14ac:dyDescent="0.3">
      <c r="A4830" s="2">
        <v>4823</v>
      </c>
      <c r="B4830" s="2" t="s">
        <v>4509</v>
      </c>
      <c r="C4830" s="2" t="s">
        <v>86</v>
      </c>
      <c r="D4830" s="2" t="s">
        <v>28</v>
      </c>
      <c r="E4830" s="2" t="s">
        <v>29</v>
      </c>
      <c r="F4830" s="2">
        <v>90</v>
      </c>
      <c r="G4830" s="2" t="s">
        <v>10246</v>
      </c>
      <c r="H4830" s="2" t="s">
        <v>5007</v>
      </c>
      <c r="I4830" s="2" t="s">
        <v>89</v>
      </c>
      <c r="J4830" s="3">
        <v>44662</v>
      </c>
      <c r="K4830" s="5">
        <f>YEAR(OrganizedData[[#This Row],[Order Date]])</f>
        <v>2022</v>
      </c>
      <c r="L4830" s="7" t="str">
        <f>TEXT(OrganizedData[[#This Row],[Order Date]],"mmm")</f>
        <v>Apr</v>
      </c>
      <c r="M4830" s="2">
        <v>104</v>
      </c>
      <c r="N4830" s="2" t="s">
        <v>45</v>
      </c>
      <c r="O4830" s="2" t="str">
        <f>VLOOKUP(OrganizedData[[#This Row],[Product Code]],ProductData[[Code]:[Item]],2,FALSE)</f>
        <v>Gigastuff</v>
      </c>
      <c r="P4830" s="4">
        <f>OrganizedData[[#This Row],[Quantity]]*VLOOKUP(OrganizedData[[#This Row],[Product Code]],ProductData[],4,FALSE)</f>
        <v>1872</v>
      </c>
      <c r="Q4830" s="6">
        <f>OrganizedData[[#This Row],[Total Items Ordered]]*VLOOKUP(OrganizedData[[#This Row],[Product Code]],ProductData[],3,FALSE)</f>
        <v>3538.08</v>
      </c>
      <c r="R48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3290.4144000000001</v>
      </c>
    </row>
    <row r="4831" spans="1:18" x14ac:dyDescent="0.3">
      <c r="A4831" s="2">
        <v>4824</v>
      </c>
      <c r="B4831" s="2" t="s">
        <v>7340</v>
      </c>
      <c r="C4831" s="2" t="s">
        <v>6845</v>
      </c>
      <c r="D4831" s="2" t="s">
        <v>28</v>
      </c>
      <c r="E4831" s="2" t="s">
        <v>29</v>
      </c>
      <c r="F4831" s="2">
        <v>30</v>
      </c>
      <c r="G4831" s="2" t="s">
        <v>10247</v>
      </c>
      <c r="H4831" s="2" t="s">
        <v>9022</v>
      </c>
      <c r="I4831" s="2" t="s">
        <v>187</v>
      </c>
      <c r="J4831" s="3">
        <v>44646</v>
      </c>
      <c r="K4831" s="5">
        <f>YEAR(OrganizedData[[#This Row],[Order Date]])</f>
        <v>2022</v>
      </c>
      <c r="L4831" s="7" t="str">
        <f>TEXT(OrganizedData[[#This Row],[Order Date]],"mmm")</f>
        <v>Mar</v>
      </c>
      <c r="M4831" s="2">
        <v>91</v>
      </c>
      <c r="N4831" s="2" t="s">
        <v>54</v>
      </c>
      <c r="O4831" s="2" t="str">
        <f>VLOOKUP(OrganizedData[[#This Row],[Product Code]],ProductData[[Code]:[Item]],2,FALSE)</f>
        <v>Megawidget S</v>
      </c>
      <c r="P4831" s="4">
        <f>OrganizedData[[#This Row],[Quantity]]*VLOOKUP(OrganizedData[[#This Row],[Product Code]],ProductData[],4,FALSE)</f>
        <v>2184</v>
      </c>
      <c r="Q4831" s="6">
        <f>OrganizedData[[#This Row],[Total Items Ordered]]*VLOOKUP(OrganizedData[[#This Row],[Product Code]],ProductData[],3,FALSE)</f>
        <v>1506.9599999999998</v>
      </c>
      <c r="R48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1431.6119999999999</v>
      </c>
    </row>
    <row r="4832" spans="1:18" x14ac:dyDescent="0.3">
      <c r="A4832" s="2">
        <v>4825</v>
      </c>
      <c r="B4832" s="2" t="s">
        <v>1058</v>
      </c>
      <c r="C4832" s="2" t="s">
        <v>1307</v>
      </c>
      <c r="D4832" s="2" t="s">
        <v>28</v>
      </c>
      <c r="E4832" s="2" t="s">
        <v>29</v>
      </c>
      <c r="F4832" s="2">
        <v>90</v>
      </c>
      <c r="G4832" s="2" t="s">
        <v>10589</v>
      </c>
      <c r="H4832" s="2" t="s">
        <v>1103</v>
      </c>
      <c r="I4832" s="2" t="s">
        <v>25</v>
      </c>
      <c r="J4832" s="3">
        <v>44912</v>
      </c>
      <c r="K4832" s="5">
        <f>YEAR(OrganizedData[[#This Row],[Order Date]])</f>
        <v>2022</v>
      </c>
      <c r="L4832" s="7" t="str">
        <f>TEXT(OrganizedData[[#This Row],[Order Date]],"mmm")</f>
        <v>Dec</v>
      </c>
      <c r="M4832" s="2">
        <v>69</v>
      </c>
      <c r="N4832" s="2" t="s">
        <v>39</v>
      </c>
      <c r="O4832" s="2" t="str">
        <f>VLOOKUP(OrganizedData[[#This Row],[Product Code]],ProductData[[Code]:[Item]],2,FALSE)</f>
        <v>Ultrathing V1</v>
      </c>
      <c r="P4832" s="4">
        <f>OrganizedData[[#This Row],[Quantity]]*VLOOKUP(OrganizedData[[#This Row],[Product Code]],ProductData[],4,FALSE)</f>
        <v>1173</v>
      </c>
      <c r="Q4832" s="6">
        <f>OrganizedData[[#This Row],[Total Items Ordered]]*VLOOKUP(OrganizedData[[#This Row],[Product Code]],ProductData[],3,FALSE)</f>
        <v>2099.67</v>
      </c>
      <c r="R48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1994.6865</v>
      </c>
    </row>
    <row r="4833" spans="1:18" x14ac:dyDescent="0.3">
      <c r="A4833" s="2">
        <v>4826</v>
      </c>
      <c r="B4833" s="2" t="s">
        <v>10249</v>
      </c>
      <c r="C4833" s="2" t="s">
        <v>2505</v>
      </c>
      <c r="D4833" s="2" t="s">
        <v>51</v>
      </c>
      <c r="E4833" s="2" t="s">
        <v>16</v>
      </c>
      <c r="F4833" s="2">
        <v>60</v>
      </c>
      <c r="G4833" s="2" t="s">
        <v>10589</v>
      </c>
      <c r="H4833" s="2" t="s">
        <v>924</v>
      </c>
      <c r="I4833" s="2" t="s">
        <v>32</v>
      </c>
      <c r="J4833" s="3">
        <v>43926</v>
      </c>
      <c r="K4833" s="5">
        <f>YEAR(OrganizedData[[#This Row],[Order Date]])</f>
        <v>2020</v>
      </c>
      <c r="L4833" s="7" t="str">
        <f>TEXT(OrganizedData[[#This Row],[Order Date]],"mmm")</f>
        <v>Apr</v>
      </c>
      <c r="M4833" s="2">
        <v>54</v>
      </c>
      <c r="N4833" s="2" t="s">
        <v>64</v>
      </c>
      <c r="O4833" s="2" t="str">
        <f>VLOOKUP(OrganizedData[[#This Row],[Product Code]],ProductData[[Code]:[Item]],2,FALSE)</f>
        <v>Ultrathing V4</v>
      </c>
      <c r="P4833" s="4">
        <f>OrganizedData[[#This Row],[Quantity]]*VLOOKUP(OrganizedData[[#This Row],[Product Code]],ProductData[],4,FALSE)</f>
        <v>1296</v>
      </c>
      <c r="Q4833" s="6">
        <f>OrganizedData[[#This Row],[Total Items Ordered]]*VLOOKUP(OrganizedData[[#This Row],[Product Code]],ProductData[],3,FALSE)</f>
        <v>5171.04</v>
      </c>
      <c r="R48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4912.4879999999994</v>
      </c>
    </row>
    <row r="4834" spans="1:18" x14ac:dyDescent="0.3">
      <c r="A4834" s="2">
        <v>4827</v>
      </c>
      <c r="B4834" s="2" t="s">
        <v>10250</v>
      </c>
      <c r="C4834" s="2" t="s">
        <v>2980</v>
      </c>
      <c r="D4834" s="2" t="s">
        <v>51</v>
      </c>
      <c r="E4834" s="2" t="s">
        <v>16</v>
      </c>
      <c r="F4834" s="2">
        <v>60</v>
      </c>
      <c r="G4834" s="2" t="s">
        <v>10251</v>
      </c>
      <c r="H4834" s="2" t="s">
        <v>1477</v>
      </c>
      <c r="I4834" s="2" t="s">
        <v>1478</v>
      </c>
      <c r="J4834" s="3">
        <v>44067</v>
      </c>
      <c r="K4834" s="5">
        <f>YEAR(OrganizedData[[#This Row],[Order Date]])</f>
        <v>2020</v>
      </c>
      <c r="L4834" s="7" t="str">
        <f>TEXT(OrganizedData[[#This Row],[Order Date]],"mmm")</f>
        <v>Aug</v>
      </c>
      <c r="M4834" s="2">
        <v>58</v>
      </c>
      <c r="N4834" s="2" t="s">
        <v>54</v>
      </c>
      <c r="O4834" s="2" t="str">
        <f>VLOOKUP(OrganizedData[[#This Row],[Product Code]],ProductData[[Code]:[Item]],2,FALSE)</f>
        <v>Megawidget S</v>
      </c>
      <c r="P4834" s="4">
        <f>OrganizedData[[#This Row],[Quantity]]*VLOOKUP(OrganizedData[[#This Row],[Product Code]],ProductData[],4,FALSE)</f>
        <v>1392</v>
      </c>
      <c r="Q4834" s="6">
        <f>OrganizedData[[#This Row],[Total Items Ordered]]*VLOOKUP(OrganizedData[[#This Row],[Product Code]],ProductData[],3,FALSE)</f>
        <v>960.4799999999999</v>
      </c>
      <c r="R48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912.4559999999999</v>
      </c>
    </row>
    <row r="4835" spans="1:18" x14ac:dyDescent="0.3">
      <c r="A4835" s="2">
        <v>4828</v>
      </c>
      <c r="B4835" s="2" t="s">
        <v>7418</v>
      </c>
      <c r="C4835" s="2" t="s">
        <v>3265</v>
      </c>
      <c r="D4835" s="2" t="s">
        <v>28</v>
      </c>
      <c r="E4835" s="2" t="s">
        <v>29</v>
      </c>
      <c r="F4835" s="2">
        <v>30</v>
      </c>
      <c r="G4835" s="2" t="s">
        <v>10252</v>
      </c>
      <c r="H4835" s="2" t="s">
        <v>4330</v>
      </c>
      <c r="I4835" s="2" t="s">
        <v>187</v>
      </c>
      <c r="J4835" s="3">
        <v>43958</v>
      </c>
      <c r="K4835" s="5">
        <f>YEAR(OrganizedData[[#This Row],[Order Date]])</f>
        <v>2020</v>
      </c>
      <c r="L4835" s="7" t="str">
        <f>TEXT(OrganizedData[[#This Row],[Order Date]],"mmm")</f>
        <v>May</v>
      </c>
      <c r="M4835" s="2">
        <v>2</v>
      </c>
      <c r="N4835" s="2" t="s">
        <v>33</v>
      </c>
      <c r="O4835" s="2" t="str">
        <f>VLOOKUP(OrganizedData[[#This Row],[Product Code]],ProductData[[Code]:[Item]],2,FALSE)</f>
        <v>Megawidget L</v>
      </c>
      <c r="P4835" s="4">
        <f>OrganizedData[[#This Row],[Quantity]]*VLOOKUP(OrganizedData[[#This Row],[Product Code]],ProductData[],4,FALSE)</f>
        <v>48</v>
      </c>
      <c r="Q4835" s="6">
        <f>OrganizedData[[#This Row],[Total Items Ordered]]*VLOOKUP(OrganizedData[[#This Row],[Product Code]],ProductData[],3,FALSE)</f>
        <v>85.92</v>
      </c>
      <c r="R48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85.92</v>
      </c>
    </row>
    <row r="4836" spans="1:18" x14ac:dyDescent="0.3">
      <c r="A4836" s="2">
        <v>4829</v>
      </c>
      <c r="B4836" s="2" t="s">
        <v>2866</v>
      </c>
      <c r="C4836" s="2" t="s">
        <v>1581</v>
      </c>
      <c r="D4836" s="2" t="s">
        <v>28</v>
      </c>
      <c r="E4836" s="2" t="s">
        <v>29</v>
      </c>
      <c r="F4836" s="2">
        <v>90</v>
      </c>
      <c r="G4836" s="2" t="s">
        <v>10253</v>
      </c>
      <c r="H4836" s="2" t="s">
        <v>74</v>
      </c>
      <c r="I4836" s="2" t="s">
        <v>32</v>
      </c>
      <c r="J4836" s="3">
        <v>44340</v>
      </c>
      <c r="K4836" s="5">
        <f>YEAR(OrganizedData[[#This Row],[Order Date]])</f>
        <v>2021</v>
      </c>
      <c r="L4836" s="7" t="str">
        <f>TEXT(OrganizedData[[#This Row],[Order Date]],"mmm")</f>
        <v>May</v>
      </c>
      <c r="M4836" s="2">
        <v>13</v>
      </c>
      <c r="N4836" s="2" t="s">
        <v>54</v>
      </c>
      <c r="O4836" s="2" t="str">
        <f>VLOOKUP(OrganizedData[[#This Row],[Product Code]],ProductData[[Code]:[Item]],2,FALSE)</f>
        <v>Megawidget S</v>
      </c>
      <c r="P4836" s="4">
        <f>OrganizedData[[#This Row],[Quantity]]*VLOOKUP(OrganizedData[[#This Row],[Product Code]],ProductData[],4,FALSE)</f>
        <v>312</v>
      </c>
      <c r="Q4836" s="6">
        <f>OrganizedData[[#This Row],[Total Items Ordered]]*VLOOKUP(OrganizedData[[#This Row],[Product Code]],ProductData[],3,FALSE)</f>
        <v>215.27999999999997</v>
      </c>
      <c r="R48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215.27999999999997</v>
      </c>
    </row>
    <row r="4837" spans="1:18" x14ac:dyDescent="0.3">
      <c r="A4837" s="2">
        <v>4830</v>
      </c>
      <c r="B4837" s="2" t="s">
        <v>10254</v>
      </c>
      <c r="C4837" s="2" t="s">
        <v>1853</v>
      </c>
      <c r="D4837" s="2" t="s">
        <v>15</v>
      </c>
      <c r="E4837" s="2" t="s">
        <v>16</v>
      </c>
      <c r="F4837" s="2">
        <v>60</v>
      </c>
      <c r="G4837" s="2" t="s">
        <v>10255</v>
      </c>
      <c r="H4837" s="2" t="s">
        <v>8155</v>
      </c>
      <c r="I4837" s="2" t="s">
        <v>32</v>
      </c>
      <c r="J4837" s="3">
        <v>44610</v>
      </c>
      <c r="K4837" s="5">
        <f>YEAR(OrganizedData[[#This Row],[Order Date]])</f>
        <v>2022</v>
      </c>
      <c r="L4837" s="7" t="str">
        <f>TEXT(OrganizedData[[#This Row],[Order Date]],"mmm")</f>
        <v>Feb</v>
      </c>
      <c r="M4837" s="2">
        <v>10</v>
      </c>
      <c r="N4837" s="2" t="s">
        <v>101</v>
      </c>
      <c r="O4837" s="2" t="str">
        <f>VLOOKUP(OrganizedData[[#This Row],[Product Code]],ProductData[[Code]:[Item]],2,FALSE)</f>
        <v>Superwossname</v>
      </c>
      <c r="P4837" s="4">
        <f>OrganizedData[[#This Row],[Quantity]]*VLOOKUP(OrganizedData[[#This Row],[Product Code]],ProductData[],4,FALSE)</f>
        <v>200</v>
      </c>
      <c r="Q4837" s="6">
        <f>OrganizedData[[#This Row],[Total Items Ordered]]*VLOOKUP(OrganizedData[[#This Row],[Product Code]],ProductData[],3,FALSE)</f>
        <v>698</v>
      </c>
      <c r="R48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698</v>
      </c>
    </row>
    <row r="4838" spans="1:18" x14ac:dyDescent="0.3">
      <c r="A4838" s="2">
        <v>4831</v>
      </c>
      <c r="B4838" s="2" t="s">
        <v>5380</v>
      </c>
      <c r="C4838" s="2" t="s">
        <v>9600</v>
      </c>
      <c r="D4838" s="2" t="s">
        <v>51</v>
      </c>
      <c r="E4838" s="2" t="s">
        <v>16</v>
      </c>
      <c r="F4838" s="2">
        <v>90</v>
      </c>
      <c r="G4838" s="2" t="s">
        <v>10256</v>
      </c>
      <c r="H4838" s="2" t="s">
        <v>1977</v>
      </c>
      <c r="I4838" s="2" t="s">
        <v>124</v>
      </c>
      <c r="J4838" s="3">
        <v>44779</v>
      </c>
      <c r="K4838" s="5">
        <f>YEAR(OrganizedData[[#This Row],[Order Date]])</f>
        <v>2022</v>
      </c>
      <c r="L4838" s="7" t="str">
        <f>TEXT(OrganizedData[[#This Row],[Order Date]],"mmm")</f>
        <v>Aug</v>
      </c>
      <c r="M4838" s="2">
        <v>29</v>
      </c>
      <c r="N4838" s="2" t="s">
        <v>64</v>
      </c>
      <c r="O4838" s="2" t="str">
        <f>VLOOKUP(OrganizedData[[#This Row],[Product Code]],ProductData[[Code]:[Item]],2,FALSE)</f>
        <v>Ultrathing V4</v>
      </c>
      <c r="P4838" s="4">
        <f>OrganizedData[[#This Row],[Quantity]]*VLOOKUP(OrganizedData[[#This Row],[Product Code]],ProductData[],4,FALSE)</f>
        <v>696</v>
      </c>
      <c r="Q4838" s="6">
        <f>OrganizedData[[#This Row],[Total Items Ordered]]*VLOOKUP(OrganizedData[[#This Row],[Product Code]],ProductData[],3,FALSE)</f>
        <v>2777.04</v>
      </c>
      <c r="R48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2693.7287999999999</v>
      </c>
    </row>
    <row r="4839" spans="1:18" x14ac:dyDescent="0.3">
      <c r="A4839" s="2">
        <v>4832</v>
      </c>
      <c r="B4839" s="2" t="s">
        <v>683</v>
      </c>
      <c r="C4839" s="2" t="s">
        <v>5037</v>
      </c>
      <c r="D4839" s="2" t="s">
        <v>28</v>
      </c>
      <c r="E4839" s="2" t="s">
        <v>29</v>
      </c>
      <c r="F4839" s="2">
        <v>90</v>
      </c>
      <c r="G4839" s="2" t="s">
        <v>10257</v>
      </c>
      <c r="H4839" s="2" t="s">
        <v>1896</v>
      </c>
      <c r="I4839" s="2" t="s">
        <v>294</v>
      </c>
      <c r="J4839" s="3">
        <v>44539</v>
      </c>
      <c r="K4839" s="5">
        <f>YEAR(OrganizedData[[#This Row],[Order Date]])</f>
        <v>2021</v>
      </c>
      <c r="L4839" s="7" t="str">
        <f>TEXT(OrganizedData[[#This Row],[Order Date]],"mmm")</f>
        <v>Dec</v>
      </c>
      <c r="M4839" s="2">
        <v>61</v>
      </c>
      <c r="N4839" s="2" t="s">
        <v>64</v>
      </c>
      <c r="O4839" s="2" t="str">
        <f>VLOOKUP(OrganizedData[[#This Row],[Product Code]],ProductData[[Code]:[Item]],2,FALSE)</f>
        <v>Ultrathing V4</v>
      </c>
      <c r="P4839" s="4">
        <f>OrganizedData[[#This Row],[Quantity]]*VLOOKUP(OrganizedData[[#This Row],[Product Code]],ProductData[],4,FALSE)</f>
        <v>1464</v>
      </c>
      <c r="Q4839" s="6">
        <f>OrganizedData[[#This Row],[Total Items Ordered]]*VLOOKUP(OrganizedData[[#This Row],[Product Code]],ProductData[],3,FALSE)</f>
        <v>5841.3600000000006</v>
      </c>
      <c r="R48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5549.2920000000004</v>
      </c>
    </row>
    <row r="4840" spans="1:18" x14ac:dyDescent="0.3">
      <c r="A4840" s="2">
        <v>4833</v>
      </c>
      <c r="B4840" s="2" t="s">
        <v>10258</v>
      </c>
      <c r="C4840" s="2" t="s">
        <v>2095</v>
      </c>
      <c r="D4840" s="2" t="s">
        <v>51</v>
      </c>
      <c r="E4840" s="2" t="s">
        <v>16</v>
      </c>
      <c r="F4840" s="2">
        <v>30</v>
      </c>
      <c r="G4840" s="2" t="s">
        <v>10259</v>
      </c>
      <c r="H4840" s="2" t="s">
        <v>1332</v>
      </c>
      <c r="I4840" s="2" t="s">
        <v>32</v>
      </c>
      <c r="J4840" s="3">
        <v>44836</v>
      </c>
      <c r="K4840" s="5">
        <f>YEAR(OrganizedData[[#This Row],[Order Date]])</f>
        <v>2022</v>
      </c>
      <c r="L4840" s="7" t="str">
        <f>TEXT(OrganizedData[[#This Row],[Order Date]],"mmm")</f>
        <v>Oct</v>
      </c>
      <c r="M4840" s="2">
        <v>51</v>
      </c>
      <c r="N4840" s="2" t="s">
        <v>54</v>
      </c>
      <c r="O4840" s="2" t="str">
        <f>VLOOKUP(OrganizedData[[#This Row],[Product Code]],ProductData[[Code]:[Item]],2,FALSE)</f>
        <v>Megawidget S</v>
      </c>
      <c r="P4840" s="4">
        <f>OrganizedData[[#This Row],[Quantity]]*VLOOKUP(OrganizedData[[#This Row],[Product Code]],ProductData[],4,FALSE)</f>
        <v>1224</v>
      </c>
      <c r="Q4840" s="6">
        <f>OrganizedData[[#This Row],[Total Items Ordered]]*VLOOKUP(OrganizedData[[#This Row],[Product Code]],ProductData[],3,FALSE)</f>
        <v>844.56</v>
      </c>
      <c r="R48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802.33199999999988</v>
      </c>
    </row>
    <row r="4841" spans="1:18" x14ac:dyDescent="0.3">
      <c r="A4841" s="2">
        <v>4834</v>
      </c>
      <c r="B4841" s="2" t="s">
        <v>10260</v>
      </c>
      <c r="C4841" s="2" t="s">
        <v>1468</v>
      </c>
      <c r="D4841" s="2" t="s">
        <v>28</v>
      </c>
      <c r="E4841" s="2" t="s">
        <v>29</v>
      </c>
      <c r="F4841" s="2">
        <v>30</v>
      </c>
      <c r="G4841" s="2" t="s">
        <v>10261</v>
      </c>
      <c r="H4841" s="2" t="s">
        <v>2766</v>
      </c>
      <c r="I4841" s="2" t="s">
        <v>294</v>
      </c>
      <c r="J4841" s="3">
        <v>44001</v>
      </c>
      <c r="K4841" s="5">
        <f>YEAR(OrganizedData[[#This Row],[Order Date]])</f>
        <v>2020</v>
      </c>
      <c r="L4841" s="7" t="str">
        <f>TEXT(OrganizedData[[#This Row],[Order Date]],"mmm")</f>
        <v>Jun</v>
      </c>
      <c r="M4841" s="2">
        <v>47</v>
      </c>
      <c r="N4841" s="2" t="s">
        <v>20</v>
      </c>
      <c r="O4841" s="2" t="str">
        <f>VLOOKUP(OrganizedData[[#This Row],[Product Code]],ProductData[[Code]:[Item]],2,FALSE)</f>
        <v>Hyperwotsit</v>
      </c>
      <c r="P4841" s="4">
        <f>OrganizedData[[#This Row],[Quantity]]*VLOOKUP(OrganizedData[[#This Row],[Product Code]],ProductData[],4,FALSE)</f>
        <v>940</v>
      </c>
      <c r="Q4841" s="6">
        <f>OrganizedData[[#This Row],[Total Items Ordered]]*VLOOKUP(OrganizedData[[#This Row],[Product Code]],ProductData[],3,FALSE)</f>
        <v>1889.3999999999999</v>
      </c>
      <c r="R48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1832.7179999999998</v>
      </c>
    </row>
    <row r="4842" spans="1:18" x14ac:dyDescent="0.3">
      <c r="A4842" s="2">
        <v>4835</v>
      </c>
      <c r="B4842" s="2" t="s">
        <v>8288</v>
      </c>
      <c r="C4842" s="2" t="s">
        <v>6040</v>
      </c>
      <c r="D4842" s="2" t="s">
        <v>28</v>
      </c>
      <c r="E4842" s="2" t="s">
        <v>29</v>
      </c>
      <c r="F4842" s="2">
        <v>30</v>
      </c>
      <c r="G4842" s="2" t="s">
        <v>10262</v>
      </c>
      <c r="H4842" s="2" t="s">
        <v>7383</v>
      </c>
      <c r="I4842" s="2" t="s">
        <v>110</v>
      </c>
      <c r="J4842" s="3">
        <v>44314</v>
      </c>
      <c r="K4842" s="5">
        <f>YEAR(OrganizedData[[#This Row],[Order Date]])</f>
        <v>2021</v>
      </c>
      <c r="L4842" s="7" t="str">
        <f>TEXT(OrganizedData[[#This Row],[Order Date]],"mmm")</f>
        <v>Apr</v>
      </c>
      <c r="M4842" s="2">
        <v>2</v>
      </c>
      <c r="N4842" s="2" t="s">
        <v>39</v>
      </c>
      <c r="O4842" s="2" t="str">
        <f>VLOOKUP(OrganizedData[[#This Row],[Product Code]],ProductData[[Code]:[Item]],2,FALSE)</f>
        <v>Ultrathing V1</v>
      </c>
      <c r="P4842" s="4">
        <f>OrganizedData[[#This Row],[Quantity]]*VLOOKUP(OrganizedData[[#This Row],[Product Code]],ProductData[],4,FALSE)</f>
        <v>34</v>
      </c>
      <c r="Q4842" s="6">
        <f>OrganizedData[[#This Row],[Total Items Ordered]]*VLOOKUP(OrganizedData[[#This Row],[Product Code]],ProductData[],3,FALSE)</f>
        <v>60.86</v>
      </c>
      <c r="R48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4843" spans="1:18" x14ac:dyDescent="0.3">
      <c r="A4843" s="2">
        <v>4836</v>
      </c>
      <c r="B4843" s="2" t="s">
        <v>3483</v>
      </c>
      <c r="C4843" s="2" t="s">
        <v>6291</v>
      </c>
      <c r="D4843" s="2" t="s">
        <v>28</v>
      </c>
      <c r="E4843" s="2" t="s">
        <v>29</v>
      </c>
      <c r="F4843" s="2">
        <v>60</v>
      </c>
      <c r="G4843" s="2" t="s">
        <v>10262</v>
      </c>
      <c r="H4843" s="2" t="s">
        <v>2931</v>
      </c>
      <c r="I4843" s="2" t="s">
        <v>32</v>
      </c>
      <c r="J4843" s="3">
        <v>44816</v>
      </c>
      <c r="K4843" s="5">
        <f>YEAR(OrganizedData[[#This Row],[Order Date]])</f>
        <v>2022</v>
      </c>
      <c r="L4843" s="7" t="str">
        <f>TEXT(OrganizedData[[#This Row],[Order Date]],"mmm")</f>
        <v>Sep</v>
      </c>
      <c r="M4843" s="2">
        <v>100</v>
      </c>
      <c r="N4843" s="2" t="s">
        <v>159</v>
      </c>
      <c r="O4843" s="2" t="str">
        <f>VLOOKUP(OrganizedData[[#This Row],[Product Code]],ProductData[[Code]:[Item]],2,FALSE)</f>
        <v>Ultrathing V3</v>
      </c>
      <c r="P4843" s="4">
        <f>OrganizedData[[#This Row],[Quantity]]*VLOOKUP(OrganizedData[[#This Row],[Product Code]],ProductData[],4,FALSE)</f>
        <v>2400</v>
      </c>
      <c r="Q4843" s="6">
        <f>OrganizedData[[#This Row],[Total Items Ordered]]*VLOOKUP(OrganizedData[[#This Row],[Product Code]],ProductData[],3,FALSE)</f>
        <v>8136</v>
      </c>
      <c r="R48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7729.2</v>
      </c>
    </row>
    <row r="4844" spans="1:18" x14ac:dyDescent="0.3">
      <c r="A4844" s="2">
        <v>4837</v>
      </c>
      <c r="B4844" s="2" t="s">
        <v>3073</v>
      </c>
      <c r="C4844" s="2" t="s">
        <v>6062</v>
      </c>
      <c r="D4844" s="2" t="s">
        <v>28</v>
      </c>
      <c r="E4844" s="2" t="s">
        <v>29</v>
      </c>
      <c r="F4844" s="2">
        <v>30</v>
      </c>
      <c r="G4844" s="2" t="s">
        <v>10263</v>
      </c>
      <c r="H4844" s="2" t="s">
        <v>1077</v>
      </c>
      <c r="I4844" s="2" t="s">
        <v>1078</v>
      </c>
      <c r="J4844" s="3">
        <v>44070</v>
      </c>
      <c r="K4844" s="5">
        <f>YEAR(OrganizedData[[#This Row],[Order Date]])</f>
        <v>2020</v>
      </c>
      <c r="L4844" s="7" t="str">
        <f>TEXT(OrganizedData[[#This Row],[Order Date]],"mmm")</f>
        <v>Aug</v>
      </c>
      <c r="M4844" s="2">
        <v>34</v>
      </c>
      <c r="N4844" s="2" t="s">
        <v>39</v>
      </c>
      <c r="O4844" s="2" t="str">
        <f>VLOOKUP(OrganizedData[[#This Row],[Product Code]],ProductData[[Code]:[Item]],2,FALSE)</f>
        <v>Ultrathing V1</v>
      </c>
      <c r="P4844" s="4">
        <f>OrganizedData[[#This Row],[Quantity]]*VLOOKUP(OrganizedData[[#This Row],[Product Code]],ProductData[],4,FALSE)</f>
        <v>578</v>
      </c>
      <c r="Q4844" s="6">
        <f>OrganizedData[[#This Row],[Total Items Ordered]]*VLOOKUP(OrganizedData[[#This Row],[Product Code]],ProductData[],3,FALSE)</f>
        <v>1034.6200000000001</v>
      </c>
      <c r="R48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1003.5814</v>
      </c>
    </row>
    <row r="4845" spans="1:18" x14ac:dyDescent="0.3">
      <c r="A4845" s="2">
        <v>4838</v>
      </c>
      <c r="B4845" s="2" t="s">
        <v>6804</v>
      </c>
      <c r="C4845" s="2" t="s">
        <v>6044</v>
      </c>
      <c r="D4845" s="2" t="s">
        <v>28</v>
      </c>
      <c r="E4845" s="2" t="s">
        <v>29</v>
      </c>
      <c r="F4845" s="2">
        <v>60</v>
      </c>
      <c r="G4845" s="2" t="s">
        <v>10264</v>
      </c>
      <c r="H4845" s="2" t="s">
        <v>558</v>
      </c>
      <c r="I4845" s="2" t="s">
        <v>32</v>
      </c>
      <c r="J4845" s="3">
        <v>44678</v>
      </c>
      <c r="K4845" s="5">
        <f>YEAR(OrganizedData[[#This Row],[Order Date]])</f>
        <v>2022</v>
      </c>
      <c r="L4845" s="7" t="str">
        <f>TEXT(OrganizedData[[#This Row],[Order Date]],"mmm")</f>
        <v>Apr</v>
      </c>
      <c r="M4845" s="2">
        <v>23</v>
      </c>
      <c r="N4845" s="2" t="s">
        <v>45</v>
      </c>
      <c r="O4845" s="2" t="str">
        <f>VLOOKUP(OrganizedData[[#This Row],[Product Code]],ProductData[[Code]:[Item]],2,FALSE)</f>
        <v>Gigastuff</v>
      </c>
      <c r="P4845" s="4">
        <f>OrganizedData[[#This Row],[Quantity]]*VLOOKUP(OrganizedData[[#This Row],[Product Code]],ProductData[],4,FALSE)</f>
        <v>414</v>
      </c>
      <c r="Q4845" s="6">
        <f>OrganizedData[[#This Row],[Total Items Ordered]]*VLOOKUP(OrganizedData[[#This Row],[Product Code]],ProductData[],3,FALSE)</f>
        <v>782.45999999999992</v>
      </c>
      <c r="R48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758.98619999999994</v>
      </c>
    </row>
    <row r="4846" spans="1:18" x14ac:dyDescent="0.3">
      <c r="A4846" s="2">
        <v>4839</v>
      </c>
      <c r="B4846" s="2" t="s">
        <v>10265</v>
      </c>
      <c r="C4846" s="2" t="s">
        <v>906</v>
      </c>
      <c r="D4846" s="2" t="s">
        <v>15</v>
      </c>
      <c r="E4846" s="2" t="s">
        <v>16</v>
      </c>
      <c r="F4846" s="2">
        <v>30</v>
      </c>
      <c r="G4846" s="2" t="s">
        <v>10266</v>
      </c>
      <c r="H4846" s="2" t="s">
        <v>7056</v>
      </c>
      <c r="I4846" s="2" t="s">
        <v>95</v>
      </c>
      <c r="J4846" s="3">
        <v>43957</v>
      </c>
      <c r="K4846" s="5">
        <f>YEAR(OrganizedData[[#This Row],[Order Date]])</f>
        <v>2020</v>
      </c>
      <c r="L4846" s="7" t="str">
        <f>TEXT(OrganizedData[[#This Row],[Order Date]],"mmm")</f>
        <v>May</v>
      </c>
      <c r="M4846" s="2">
        <v>37</v>
      </c>
      <c r="N4846" s="2" t="s">
        <v>54</v>
      </c>
      <c r="O4846" s="2" t="str">
        <f>VLOOKUP(OrganizedData[[#This Row],[Product Code]],ProductData[[Code]:[Item]],2,FALSE)</f>
        <v>Megawidget S</v>
      </c>
      <c r="P4846" s="4">
        <f>OrganizedData[[#This Row],[Quantity]]*VLOOKUP(OrganizedData[[#This Row],[Product Code]],ProductData[],4,FALSE)</f>
        <v>888</v>
      </c>
      <c r="Q4846" s="6">
        <f>OrganizedData[[#This Row],[Total Items Ordered]]*VLOOKUP(OrganizedData[[#This Row],[Product Code]],ProductData[],3,FALSE)</f>
        <v>612.71999999999991</v>
      </c>
      <c r="R48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594.33839999999987</v>
      </c>
    </row>
    <row r="4847" spans="1:18" x14ac:dyDescent="0.3">
      <c r="A4847" s="2">
        <v>4840</v>
      </c>
      <c r="B4847" s="2" t="s">
        <v>3397</v>
      </c>
      <c r="C4847" s="2" t="s">
        <v>1783</v>
      </c>
      <c r="D4847" s="2" t="s">
        <v>28</v>
      </c>
      <c r="E4847" s="2" t="s">
        <v>29</v>
      </c>
      <c r="F4847" s="2">
        <v>60</v>
      </c>
      <c r="G4847" s="2" t="s">
        <v>10267</v>
      </c>
      <c r="H4847" s="2" t="s">
        <v>2583</v>
      </c>
      <c r="I4847" s="2" t="s">
        <v>32</v>
      </c>
      <c r="J4847" s="3">
        <v>44647</v>
      </c>
      <c r="K4847" s="5">
        <f>YEAR(OrganizedData[[#This Row],[Order Date]])</f>
        <v>2022</v>
      </c>
      <c r="L4847" s="7" t="str">
        <f>TEXT(OrganizedData[[#This Row],[Order Date]],"mmm")</f>
        <v>Mar</v>
      </c>
      <c r="M4847" s="2">
        <v>95</v>
      </c>
      <c r="N4847" s="2" t="s">
        <v>45</v>
      </c>
      <c r="O4847" s="2" t="str">
        <f>VLOOKUP(OrganizedData[[#This Row],[Product Code]],ProductData[[Code]:[Item]],2,FALSE)</f>
        <v>Gigastuff</v>
      </c>
      <c r="P4847" s="4">
        <f>OrganizedData[[#This Row],[Quantity]]*VLOOKUP(OrganizedData[[#This Row],[Product Code]],ProductData[],4,FALSE)</f>
        <v>1710</v>
      </c>
      <c r="Q4847" s="6">
        <f>OrganizedData[[#This Row],[Total Items Ordered]]*VLOOKUP(OrganizedData[[#This Row],[Product Code]],ProductData[],3,FALSE)</f>
        <v>3231.8999999999996</v>
      </c>
      <c r="R48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3070.3049999999994</v>
      </c>
    </row>
    <row r="4848" spans="1:18" x14ac:dyDescent="0.3">
      <c r="A4848" s="2">
        <v>4841</v>
      </c>
      <c r="B4848" s="2" t="s">
        <v>10268</v>
      </c>
      <c r="C4848" s="2" t="s">
        <v>3262</v>
      </c>
      <c r="D4848" s="2" t="s">
        <v>51</v>
      </c>
      <c r="E4848" s="2" t="s">
        <v>16</v>
      </c>
      <c r="F4848" s="2">
        <v>60</v>
      </c>
      <c r="G4848" s="2" t="s">
        <v>10269</v>
      </c>
      <c r="H4848" s="2" t="s">
        <v>1519</v>
      </c>
      <c r="I4848" s="2" t="s">
        <v>32</v>
      </c>
      <c r="J4848" s="3">
        <v>44166</v>
      </c>
      <c r="K4848" s="5">
        <f>YEAR(OrganizedData[[#This Row],[Order Date]])</f>
        <v>2020</v>
      </c>
      <c r="L4848" s="7" t="str">
        <f>TEXT(OrganizedData[[#This Row],[Order Date]],"mmm")</f>
        <v>Dec</v>
      </c>
      <c r="M4848" s="2">
        <v>44</v>
      </c>
      <c r="N4848" s="2" t="s">
        <v>101</v>
      </c>
      <c r="O4848" s="2" t="str">
        <f>VLOOKUP(OrganizedData[[#This Row],[Product Code]],ProductData[[Code]:[Item]],2,FALSE)</f>
        <v>Superwossname</v>
      </c>
      <c r="P4848" s="4">
        <f>OrganizedData[[#This Row],[Quantity]]*VLOOKUP(OrganizedData[[#This Row],[Product Code]],ProductData[],4,FALSE)</f>
        <v>880</v>
      </c>
      <c r="Q4848" s="6">
        <f>OrganizedData[[#This Row],[Total Items Ordered]]*VLOOKUP(OrganizedData[[#This Row],[Product Code]],ProductData[],3,FALSE)</f>
        <v>3071.2000000000003</v>
      </c>
      <c r="R48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4849" spans="1:18" x14ac:dyDescent="0.3">
      <c r="A4849" s="2">
        <v>4842</v>
      </c>
      <c r="B4849" s="2" t="s">
        <v>10270</v>
      </c>
      <c r="C4849" s="2" t="s">
        <v>1044</v>
      </c>
      <c r="D4849" s="2" t="s">
        <v>51</v>
      </c>
      <c r="E4849" s="2" t="s">
        <v>16</v>
      </c>
      <c r="F4849" s="2">
        <v>30</v>
      </c>
      <c r="G4849" s="2" t="s">
        <v>10271</v>
      </c>
      <c r="H4849" s="2" t="s">
        <v>7777</v>
      </c>
      <c r="I4849" s="2" t="s">
        <v>32</v>
      </c>
      <c r="J4849" s="3">
        <v>44092</v>
      </c>
      <c r="K4849" s="5">
        <f>YEAR(OrganizedData[[#This Row],[Order Date]])</f>
        <v>2020</v>
      </c>
      <c r="L4849" s="7" t="str">
        <f>TEXT(OrganizedData[[#This Row],[Order Date]],"mmm")</f>
        <v>Sep</v>
      </c>
      <c r="M4849" s="2">
        <v>43</v>
      </c>
      <c r="N4849" s="2" t="s">
        <v>33</v>
      </c>
      <c r="O4849" s="2" t="str">
        <f>VLOOKUP(OrganizedData[[#This Row],[Product Code]],ProductData[[Code]:[Item]],2,FALSE)</f>
        <v>Megawidget L</v>
      </c>
      <c r="P4849" s="4">
        <f>OrganizedData[[#This Row],[Quantity]]*VLOOKUP(OrganizedData[[#This Row],[Product Code]],ProductData[],4,FALSE)</f>
        <v>1032</v>
      </c>
      <c r="Q4849" s="6">
        <f>OrganizedData[[#This Row],[Total Items Ordered]]*VLOOKUP(OrganizedData[[#This Row],[Product Code]],ProductData[],3,FALSE)</f>
        <v>1847.28</v>
      </c>
      <c r="R48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1791.8616</v>
      </c>
    </row>
    <row r="4850" spans="1:18" x14ac:dyDescent="0.3">
      <c r="A4850" s="2">
        <v>4843</v>
      </c>
      <c r="B4850" s="2" t="s">
        <v>10272</v>
      </c>
      <c r="C4850" s="2" t="s">
        <v>1774</v>
      </c>
      <c r="D4850" s="2" t="s">
        <v>621</v>
      </c>
      <c r="E4850" s="2" t="s">
        <v>29</v>
      </c>
      <c r="F4850" s="2">
        <v>90</v>
      </c>
      <c r="G4850" s="2" t="s">
        <v>10273</v>
      </c>
      <c r="H4850" s="2" t="s">
        <v>63</v>
      </c>
      <c r="I4850" s="2" t="s">
        <v>32</v>
      </c>
      <c r="J4850" s="3">
        <v>44042</v>
      </c>
      <c r="K4850" s="5">
        <f>YEAR(OrganizedData[[#This Row],[Order Date]])</f>
        <v>2020</v>
      </c>
      <c r="L4850" s="7" t="str">
        <f>TEXT(OrganizedData[[#This Row],[Order Date]],"mmm")</f>
        <v>Jul</v>
      </c>
      <c r="M4850" s="2">
        <v>8</v>
      </c>
      <c r="N4850" s="2" t="s">
        <v>20</v>
      </c>
      <c r="O4850" s="2" t="str">
        <f>VLOOKUP(OrganizedData[[#This Row],[Product Code]],ProductData[[Code]:[Item]],2,FALSE)</f>
        <v>Hyperwotsit</v>
      </c>
      <c r="P4850" s="4">
        <f>OrganizedData[[#This Row],[Quantity]]*VLOOKUP(OrganizedData[[#This Row],[Product Code]],ProductData[],4,FALSE)</f>
        <v>160</v>
      </c>
      <c r="Q4850" s="6">
        <f>OrganizedData[[#This Row],[Total Items Ordered]]*VLOOKUP(OrganizedData[[#This Row],[Product Code]],ProductData[],3,FALSE)</f>
        <v>321.59999999999997</v>
      </c>
      <c r="R48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321.59999999999997</v>
      </c>
    </row>
    <row r="4851" spans="1:18" x14ac:dyDescent="0.3">
      <c r="A4851" s="2">
        <v>4844</v>
      </c>
      <c r="B4851" s="2" t="s">
        <v>10274</v>
      </c>
      <c r="C4851" s="2" t="s">
        <v>453</v>
      </c>
      <c r="D4851" s="2" t="s">
        <v>15</v>
      </c>
      <c r="E4851" s="2" t="s">
        <v>16</v>
      </c>
      <c r="F4851" s="2">
        <v>90</v>
      </c>
      <c r="G4851" s="2" t="s">
        <v>10275</v>
      </c>
      <c r="H4851" s="2" t="s">
        <v>2105</v>
      </c>
      <c r="I4851" s="2" t="s">
        <v>110</v>
      </c>
      <c r="J4851" s="3">
        <v>44404</v>
      </c>
      <c r="K4851" s="5">
        <f>YEAR(OrganizedData[[#This Row],[Order Date]])</f>
        <v>2021</v>
      </c>
      <c r="L4851" s="7" t="str">
        <f>TEXT(OrganizedData[[#This Row],[Order Date]],"mmm")</f>
        <v>Jul</v>
      </c>
      <c r="M4851" s="2">
        <v>80</v>
      </c>
      <c r="N4851" s="2" t="s">
        <v>20</v>
      </c>
      <c r="O4851" s="2" t="str">
        <f>VLOOKUP(OrganizedData[[#This Row],[Product Code]],ProductData[[Code]:[Item]],2,FALSE)</f>
        <v>Hyperwotsit</v>
      </c>
      <c r="P4851" s="4">
        <f>OrganizedData[[#This Row],[Quantity]]*VLOOKUP(OrganizedData[[#This Row],[Product Code]],ProductData[],4,FALSE)</f>
        <v>1600</v>
      </c>
      <c r="Q4851" s="6">
        <f>OrganizedData[[#This Row],[Total Items Ordered]]*VLOOKUP(OrganizedData[[#This Row],[Product Code]],ProductData[],3,FALSE)</f>
        <v>3215.9999999999995</v>
      </c>
      <c r="R48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3055.1999999999994</v>
      </c>
    </row>
    <row r="4852" spans="1:18" x14ac:dyDescent="0.3">
      <c r="A4852" s="2">
        <v>4845</v>
      </c>
      <c r="B4852" s="2" t="s">
        <v>1158</v>
      </c>
      <c r="C4852" s="2" t="s">
        <v>6812</v>
      </c>
      <c r="D4852" s="2" t="s">
        <v>28</v>
      </c>
      <c r="E4852" s="2" t="s">
        <v>29</v>
      </c>
      <c r="F4852" s="2">
        <v>30</v>
      </c>
      <c r="G4852" s="2" t="s">
        <v>10590</v>
      </c>
      <c r="H4852" s="2" t="s">
        <v>989</v>
      </c>
      <c r="I4852" s="2" t="s">
        <v>124</v>
      </c>
      <c r="J4852" s="3">
        <v>43940</v>
      </c>
      <c r="K4852" s="5">
        <f>YEAR(OrganizedData[[#This Row],[Order Date]])</f>
        <v>2020</v>
      </c>
      <c r="L4852" s="7" t="str">
        <f>TEXT(OrganizedData[[#This Row],[Order Date]],"mmm")</f>
        <v>Apr</v>
      </c>
      <c r="M4852" s="2">
        <v>70</v>
      </c>
      <c r="N4852" s="2" t="s">
        <v>70</v>
      </c>
      <c r="O4852" s="2" t="str">
        <f>VLOOKUP(OrganizedData[[#This Row],[Product Code]],ProductData[[Code]:[Item]],2,FALSE)</f>
        <v>Megawidget M</v>
      </c>
      <c r="P4852" s="4">
        <f>OrganizedData[[#This Row],[Quantity]]*VLOOKUP(OrganizedData[[#This Row],[Product Code]],ProductData[],4,FALSE)</f>
        <v>1680</v>
      </c>
      <c r="Q4852" s="6">
        <f>OrganizedData[[#This Row],[Total Items Ordered]]*VLOOKUP(OrganizedData[[#This Row],[Product Code]],ProductData[],3,FALSE)</f>
        <v>2167.2000000000003</v>
      </c>
      <c r="R48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2058.84</v>
      </c>
    </row>
    <row r="4853" spans="1:18" x14ac:dyDescent="0.3">
      <c r="A4853" s="2">
        <v>4846</v>
      </c>
      <c r="B4853" s="2" t="s">
        <v>9683</v>
      </c>
      <c r="C4853" s="2" t="s">
        <v>10277</v>
      </c>
      <c r="D4853" s="2" t="s">
        <v>51</v>
      </c>
      <c r="E4853" s="2" t="s">
        <v>16</v>
      </c>
      <c r="F4853" s="2">
        <v>30</v>
      </c>
      <c r="G4853" s="2" t="s">
        <v>10278</v>
      </c>
      <c r="H4853" s="2" t="s">
        <v>818</v>
      </c>
      <c r="I4853" s="2" t="s">
        <v>819</v>
      </c>
      <c r="J4853" s="3">
        <v>44087</v>
      </c>
      <c r="K4853" s="5">
        <f>YEAR(OrganizedData[[#This Row],[Order Date]])</f>
        <v>2020</v>
      </c>
      <c r="L4853" s="7" t="str">
        <f>TEXT(OrganizedData[[#This Row],[Order Date]],"mmm")</f>
        <v>Sep</v>
      </c>
      <c r="M4853" s="2">
        <v>66</v>
      </c>
      <c r="N4853" s="2" t="s">
        <v>54</v>
      </c>
      <c r="O4853" s="2" t="str">
        <f>VLOOKUP(OrganizedData[[#This Row],[Product Code]],ProductData[[Code]:[Item]],2,FALSE)</f>
        <v>Megawidget S</v>
      </c>
      <c r="P4853" s="4">
        <f>OrganizedData[[#This Row],[Quantity]]*VLOOKUP(OrganizedData[[#This Row],[Product Code]],ProductData[],4,FALSE)</f>
        <v>1584</v>
      </c>
      <c r="Q4853" s="6">
        <f>OrganizedData[[#This Row],[Total Items Ordered]]*VLOOKUP(OrganizedData[[#This Row],[Product Code]],ProductData[],3,FALSE)</f>
        <v>1092.9599999999998</v>
      </c>
      <c r="R48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1038.3119999999997</v>
      </c>
    </row>
    <row r="4854" spans="1:18" x14ac:dyDescent="0.3">
      <c r="A4854" s="2">
        <v>4847</v>
      </c>
      <c r="B4854" s="2" t="s">
        <v>10279</v>
      </c>
      <c r="C4854" s="2" t="s">
        <v>5583</v>
      </c>
      <c r="D4854" s="2" t="s">
        <v>51</v>
      </c>
      <c r="E4854" s="2" t="s">
        <v>16</v>
      </c>
      <c r="F4854" s="2">
        <v>60</v>
      </c>
      <c r="G4854" s="2" t="s">
        <v>10278</v>
      </c>
      <c r="H4854" s="2" t="s">
        <v>8534</v>
      </c>
      <c r="I4854" s="2" t="s">
        <v>294</v>
      </c>
      <c r="J4854" s="3">
        <v>44612</v>
      </c>
      <c r="K4854" s="5">
        <f>YEAR(OrganizedData[[#This Row],[Order Date]])</f>
        <v>2022</v>
      </c>
      <c r="L4854" s="7" t="str">
        <f>TEXT(OrganizedData[[#This Row],[Order Date]],"mmm")</f>
        <v>Feb</v>
      </c>
      <c r="M4854" s="2">
        <v>92</v>
      </c>
      <c r="N4854" s="2" t="s">
        <v>64</v>
      </c>
      <c r="O4854" s="2" t="str">
        <f>VLOOKUP(OrganizedData[[#This Row],[Product Code]],ProductData[[Code]:[Item]],2,FALSE)</f>
        <v>Ultrathing V4</v>
      </c>
      <c r="P4854" s="4">
        <f>OrganizedData[[#This Row],[Quantity]]*VLOOKUP(OrganizedData[[#This Row],[Product Code]],ProductData[],4,FALSE)</f>
        <v>2208</v>
      </c>
      <c r="Q4854" s="6">
        <f>OrganizedData[[#This Row],[Total Items Ordered]]*VLOOKUP(OrganizedData[[#This Row],[Product Code]],ProductData[],3,FALSE)</f>
        <v>8809.92</v>
      </c>
      <c r="R48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8369.4239999999991</v>
      </c>
    </row>
    <row r="4855" spans="1:18" x14ac:dyDescent="0.3">
      <c r="A4855" s="2">
        <v>4848</v>
      </c>
      <c r="B4855" s="2" t="s">
        <v>10280</v>
      </c>
      <c r="C4855" s="2" t="s">
        <v>161</v>
      </c>
      <c r="D4855" s="2" t="s">
        <v>51</v>
      </c>
      <c r="E4855" s="2" t="s">
        <v>16</v>
      </c>
      <c r="F4855" s="2">
        <v>30</v>
      </c>
      <c r="G4855" s="2" t="s">
        <v>10281</v>
      </c>
      <c r="H4855" s="2" t="s">
        <v>724</v>
      </c>
      <c r="I4855" s="2" t="s">
        <v>240</v>
      </c>
      <c r="J4855" s="3">
        <v>44365</v>
      </c>
      <c r="K4855" s="5">
        <f>YEAR(OrganizedData[[#This Row],[Order Date]])</f>
        <v>2021</v>
      </c>
      <c r="L4855" s="7" t="str">
        <f>TEXT(OrganizedData[[#This Row],[Order Date]],"mmm")</f>
        <v>Jun</v>
      </c>
      <c r="M4855" s="2">
        <v>73</v>
      </c>
      <c r="N4855" s="2" t="s">
        <v>80</v>
      </c>
      <c r="O4855" s="2" t="str">
        <f>VLOOKUP(OrganizedData[[#This Row],[Product Code]],ProductData[[Code]:[Item]],2,FALSE)</f>
        <v>Ultrathing V2</v>
      </c>
      <c r="P4855" s="4">
        <f>OrganizedData[[#This Row],[Quantity]]*VLOOKUP(OrganizedData[[#This Row],[Product Code]],ProductData[],4,FALSE)</f>
        <v>1460</v>
      </c>
      <c r="Q4855" s="6">
        <f>OrganizedData[[#This Row],[Total Items Ordered]]*VLOOKUP(OrganizedData[[#This Row],[Product Code]],ProductData[],3,FALSE)</f>
        <v>4307</v>
      </c>
      <c r="R48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4091.6499999999996</v>
      </c>
    </row>
    <row r="4856" spans="1:18" x14ac:dyDescent="0.3">
      <c r="A4856" s="2">
        <v>4849</v>
      </c>
      <c r="B4856" s="2" t="s">
        <v>831</v>
      </c>
      <c r="C4856" s="2" t="s">
        <v>4732</v>
      </c>
      <c r="D4856" s="2" t="s">
        <v>92</v>
      </c>
      <c r="E4856" s="2" t="s">
        <v>29</v>
      </c>
      <c r="F4856" s="2">
        <v>60</v>
      </c>
      <c r="G4856" s="2" t="s">
        <v>10282</v>
      </c>
      <c r="H4856" s="2" t="s">
        <v>1018</v>
      </c>
      <c r="I4856" s="2" t="s">
        <v>294</v>
      </c>
      <c r="J4856" s="3">
        <v>44574</v>
      </c>
      <c r="K4856" s="5">
        <f>YEAR(OrganizedData[[#This Row],[Order Date]])</f>
        <v>2022</v>
      </c>
      <c r="L4856" s="7" t="str">
        <f>TEXT(OrganizedData[[#This Row],[Order Date]],"mmm")</f>
        <v>Jan</v>
      </c>
      <c r="M4856" s="2">
        <v>12</v>
      </c>
      <c r="N4856" s="2" t="s">
        <v>39</v>
      </c>
      <c r="O4856" s="2" t="str">
        <f>VLOOKUP(OrganizedData[[#This Row],[Product Code]],ProductData[[Code]:[Item]],2,FALSE)</f>
        <v>Ultrathing V1</v>
      </c>
      <c r="P4856" s="4">
        <f>OrganizedData[[#This Row],[Quantity]]*VLOOKUP(OrganizedData[[#This Row],[Product Code]],ProductData[],4,FALSE)</f>
        <v>204</v>
      </c>
      <c r="Q4856" s="6">
        <f>OrganizedData[[#This Row],[Total Items Ordered]]*VLOOKUP(OrganizedData[[#This Row],[Product Code]],ProductData[],3,FALSE)</f>
        <v>365.16</v>
      </c>
      <c r="R48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365.16</v>
      </c>
    </row>
    <row r="4857" spans="1:18" x14ac:dyDescent="0.3">
      <c r="A4857" s="2">
        <v>4850</v>
      </c>
      <c r="B4857" s="2" t="s">
        <v>1752</v>
      </c>
      <c r="C4857" s="2" t="s">
        <v>481</v>
      </c>
      <c r="D4857" s="2" t="s">
        <v>28</v>
      </c>
      <c r="E4857" s="2" t="s">
        <v>29</v>
      </c>
      <c r="F4857" s="2">
        <v>90</v>
      </c>
      <c r="G4857" s="2" t="s">
        <v>10283</v>
      </c>
      <c r="H4857" s="2" t="s">
        <v>1228</v>
      </c>
      <c r="I4857" s="2" t="s">
        <v>25</v>
      </c>
      <c r="J4857" s="3">
        <v>44306</v>
      </c>
      <c r="K4857" s="5">
        <f>YEAR(OrganizedData[[#This Row],[Order Date]])</f>
        <v>2021</v>
      </c>
      <c r="L4857" s="7" t="str">
        <f>TEXT(OrganizedData[[#This Row],[Order Date]],"mmm")</f>
        <v>Apr</v>
      </c>
      <c r="M4857" s="2">
        <v>27</v>
      </c>
      <c r="N4857" s="2" t="s">
        <v>80</v>
      </c>
      <c r="O4857" s="2" t="str">
        <f>VLOOKUP(OrganizedData[[#This Row],[Product Code]],ProductData[[Code]:[Item]],2,FALSE)</f>
        <v>Ultrathing V2</v>
      </c>
      <c r="P4857" s="4">
        <f>OrganizedData[[#This Row],[Quantity]]*VLOOKUP(OrganizedData[[#This Row],[Product Code]],ProductData[],4,FALSE)</f>
        <v>540</v>
      </c>
      <c r="Q4857" s="6">
        <f>OrganizedData[[#This Row],[Total Items Ordered]]*VLOOKUP(OrganizedData[[#This Row],[Product Code]],ProductData[],3,FALSE)</f>
        <v>1593</v>
      </c>
      <c r="R48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1545.21</v>
      </c>
    </row>
    <row r="4858" spans="1:18" x14ac:dyDescent="0.3">
      <c r="A4858" s="2">
        <v>4851</v>
      </c>
      <c r="B4858" s="2" t="s">
        <v>9128</v>
      </c>
      <c r="C4858" s="2" t="s">
        <v>10284</v>
      </c>
      <c r="D4858" s="2" t="s">
        <v>51</v>
      </c>
      <c r="E4858" s="2" t="s">
        <v>16</v>
      </c>
      <c r="F4858" s="2">
        <v>90</v>
      </c>
      <c r="G4858" s="2" t="s">
        <v>10285</v>
      </c>
      <c r="H4858" s="2" t="s">
        <v>1269</v>
      </c>
      <c r="I4858" s="2" t="s">
        <v>187</v>
      </c>
      <c r="J4858" s="3">
        <v>43911</v>
      </c>
      <c r="K4858" s="5">
        <f>YEAR(OrganizedData[[#This Row],[Order Date]])</f>
        <v>2020</v>
      </c>
      <c r="L4858" s="7" t="str">
        <f>TEXT(OrganizedData[[#This Row],[Order Date]],"mmm")</f>
        <v>Mar</v>
      </c>
      <c r="M4858" s="2">
        <v>14</v>
      </c>
      <c r="N4858" s="2" t="s">
        <v>101</v>
      </c>
      <c r="O4858" s="2" t="str">
        <f>VLOOKUP(OrganizedData[[#This Row],[Product Code]],ProductData[[Code]:[Item]],2,FALSE)</f>
        <v>Superwossname</v>
      </c>
      <c r="P4858" s="4">
        <f>OrganizedData[[#This Row],[Quantity]]*VLOOKUP(OrganizedData[[#This Row],[Product Code]],ProductData[],4,FALSE)</f>
        <v>280</v>
      </c>
      <c r="Q4858" s="6">
        <f>OrganizedData[[#This Row],[Total Items Ordered]]*VLOOKUP(OrganizedData[[#This Row],[Product Code]],ProductData[],3,FALSE)</f>
        <v>977.2</v>
      </c>
      <c r="R48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977.2</v>
      </c>
    </row>
    <row r="4859" spans="1:18" x14ac:dyDescent="0.3">
      <c r="A4859" s="2">
        <v>4852</v>
      </c>
      <c r="B4859" s="2" t="s">
        <v>10286</v>
      </c>
      <c r="C4859" s="2" t="s">
        <v>1765</v>
      </c>
      <c r="D4859" s="2" t="s">
        <v>51</v>
      </c>
      <c r="E4859" s="2" t="s">
        <v>16</v>
      </c>
      <c r="F4859" s="2">
        <v>60</v>
      </c>
      <c r="G4859" s="2" t="s">
        <v>10287</v>
      </c>
      <c r="H4859" s="2" t="s">
        <v>4849</v>
      </c>
      <c r="I4859" s="2" t="s">
        <v>294</v>
      </c>
      <c r="J4859" s="3">
        <v>43904</v>
      </c>
      <c r="K4859" s="5">
        <f>YEAR(OrganizedData[[#This Row],[Order Date]])</f>
        <v>2020</v>
      </c>
      <c r="L4859" s="7" t="str">
        <f>TEXT(OrganizedData[[#This Row],[Order Date]],"mmm")</f>
        <v>Mar</v>
      </c>
      <c r="M4859" s="2">
        <v>17</v>
      </c>
      <c r="N4859" s="2" t="s">
        <v>45</v>
      </c>
      <c r="O4859" s="2" t="str">
        <f>VLOOKUP(OrganizedData[[#This Row],[Product Code]],ProductData[[Code]:[Item]],2,FALSE)</f>
        <v>Gigastuff</v>
      </c>
      <c r="P4859" s="4">
        <f>OrganizedData[[#This Row],[Quantity]]*VLOOKUP(OrganizedData[[#This Row],[Product Code]],ProductData[],4,FALSE)</f>
        <v>306</v>
      </c>
      <c r="Q4859" s="6">
        <f>OrganizedData[[#This Row],[Total Items Ordered]]*VLOOKUP(OrganizedData[[#This Row],[Product Code]],ProductData[],3,FALSE)</f>
        <v>578.33999999999992</v>
      </c>
      <c r="R48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578.33999999999992</v>
      </c>
    </row>
    <row r="4860" spans="1:18" x14ac:dyDescent="0.3">
      <c r="A4860" s="2">
        <v>4853</v>
      </c>
      <c r="B4860" s="2" t="s">
        <v>10288</v>
      </c>
      <c r="C4860" s="2" t="s">
        <v>7078</v>
      </c>
      <c r="D4860" s="2" t="s">
        <v>51</v>
      </c>
      <c r="E4860" s="2" t="s">
        <v>16</v>
      </c>
      <c r="F4860" s="2">
        <v>90</v>
      </c>
      <c r="G4860" s="2" t="s">
        <v>10289</v>
      </c>
      <c r="H4860" s="2" t="s">
        <v>6105</v>
      </c>
      <c r="I4860" s="2" t="s">
        <v>32</v>
      </c>
      <c r="J4860" s="3">
        <v>44742</v>
      </c>
      <c r="K4860" s="5">
        <f>YEAR(OrganizedData[[#This Row],[Order Date]])</f>
        <v>2022</v>
      </c>
      <c r="L4860" s="7" t="str">
        <f>TEXT(OrganizedData[[#This Row],[Order Date]],"mmm")</f>
        <v>Jun</v>
      </c>
      <c r="M4860" s="2">
        <v>46</v>
      </c>
      <c r="N4860" s="2" t="s">
        <v>70</v>
      </c>
      <c r="O4860" s="2" t="str">
        <f>VLOOKUP(OrganizedData[[#This Row],[Product Code]],ProductData[[Code]:[Item]],2,FALSE)</f>
        <v>Megawidget M</v>
      </c>
      <c r="P4860" s="4">
        <f>OrganizedData[[#This Row],[Quantity]]*VLOOKUP(OrganizedData[[#This Row],[Product Code]],ProductData[],4,FALSE)</f>
        <v>1104</v>
      </c>
      <c r="Q4860" s="6">
        <f>OrganizedData[[#This Row],[Total Items Ordered]]*VLOOKUP(OrganizedData[[#This Row],[Product Code]],ProductData[],3,FALSE)</f>
        <v>1424.16</v>
      </c>
      <c r="R486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1381.4352000000001</v>
      </c>
    </row>
    <row r="4861" spans="1:18" x14ac:dyDescent="0.3">
      <c r="A4861" s="2">
        <v>4854</v>
      </c>
      <c r="B4861" s="2" t="s">
        <v>10290</v>
      </c>
      <c r="C4861" s="2" t="s">
        <v>2195</v>
      </c>
      <c r="D4861" s="2" t="s">
        <v>28</v>
      </c>
      <c r="E4861" s="2" t="s">
        <v>29</v>
      </c>
      <c r="F4861" s="2">
        <v>60</v>
      </c>
      <c r="G4861" s="2" t="s">
        <v>10291</v>
      </c>
      <c r="H4861" s="2" t="s">
        <v>1568</v>
      </c>
      <c r="I4861" s="2" t="s">
        <v>32</v>
      </c>
      <c r="J4861" s="3">
        <v>44161</v>
      </c>
      <c r="K4861" s="5">
        <f>YEAR(OrganizedData[[#This Row],[Order Date]])</f>
        <v>2020</v>
      </c>
      <c r="L4861" s="7" t="str">
        <f>TEXT(OrganizedData[[#This Row],[Order Date]],"mmm")</f>
        <v>Nov</v>
      </c>
      <c r="M4861" s="2">
        <v>60</v>
      </c>
      <c r="N4861" s="2" t="s">
        <v>80</v>
      </c>
      <c r="O4861" s="2" t="str">
        <f>VLOOKUP(OrganizedData[[#This Row],[Product Code]],ProductData[[Code]:[Item]],2,FALSE)</f>
        <v>Ultrathing V2</v>
      </c>
      <c r="P4861" s="4">
        <f>OrganizedData[[#This Row],[Quantity]]*VLOOKUP(OrganizedData[[#This Row],[Product Code]],ProductData[],4,FALSE)</f>
        <v>1200</v>
      </c>
      <c r="Q4861" s="6">
        <f>OrganizedData[[#This Row],[Total Items Ordered]]*VLOOKUP(OrganizedData[[#This Row],[Product Code]],ProductData[],3,FALSE)</f>
        <v>3540</v>
      </c>
      <c r="R486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3363</v>
      </c>
    </row>
    <row r="4862" spans="1:18" x14ac:dyDescent="0.3">
      <c r="A4862" s="2">
        <v>4855</v>
      </c>
      <c r="B4862" s="2" t="s">
        <v>492</v>
      </c>
      <c r="C4862" s="2" t="s">
        <v>4254</v>
      </c>
      <c r="D4862" s="2" t="s">
        <v>28</v>
      </c>
      <c r="E4862" s="2" t="s">
        <v>29</v>
      </c>
      <c r="F4862" s="2">
        <v>60</v>
      </c>
      <c r="G4862" s="2" t="s">
        <v>10292</v>
      </c>
      <c r="H4862" s="2" t="s">
        <v>5643</v>
      </c>
      <c r="I4862" s="2" t="s">
        <v>886</v>
      </c>
      <c r="J4862" s="3">
        <v>44417</v>
      </c>
      <c r="K4862" s="5">
        <f>YEAR(OrganizedData[[#This Row],[Order Date]])</f>
        <v>2021</v>
      </c>
      <c r="L4862" s="7" t="str">
        <f>TEXT(OrganizedData[[#This Row],[Order Date]],"mmm")</f>
        <v>Aug</v>
      </c>
      <c r="M4862" s="2">
        <v>56</v>
      </c>
      <c r="N4862" s="2" t="s">
        <v>33</v>
      </c>
      <c r="O4862" s="2" t="str">
        <f>VLOOKUP(OrganizedData[[#This Row],[Product Code]],ProductData[[Code]:[Item]],2,FALSE)</f>
        <v>Megawidget L</v>
      </c>
      <c r="P4862" s="4">
        <f>OrganizedData[[#This Row],[Quantity]]*VLOOKUP(OrganizedData[[#This Row],[Product Code]],ProductData[],4,FALSE)</f>
        <v>1344</v>
      </c>
      <c r="Q4862" s="6">
        <f>OrganizedData[[#This Row],[Total Items Ordered]]*VLOOKUP(OrganizedData[[#This Row],[Product Code]],ProductData[],3,FALSE)</f>
        <v>2405.7600000000002</v>
      </c>
      <c r="R486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2285.4720000000002</v>
      </c>
    </row>
    <row r="4863" spans="1:18" x14ac:dyDescent="0.3">
      <c r="A4863" s="2">
        <v>4856</v>
      </c>
      <c r="B4863" s="2" t="s">
        <v>6359</v>
      </c>
      <c r="C4863" s="2" t="s">
        <v>2977</v>
      </c>
      <c r="D4863" s="2" t="s">
        <v>41</v>
      </c>
      <c r="E4863" s="2" t="s">
        <v>16</v>
      </c>
      <c r="F4863" s="2">
        <v>60</v>
      </c>
      <c r="G4863" s="2" t="s">
        <v>10293</v>
      </c>
      <c r="H4863" s="2" t="s">
        <v>3551</v>
      </c>
      <c r="I4863" s="2" t="s">
        <v>32</v>
      </c>
      <c r="J4863" s="3">
        <v>44473</v>
      </c>
      <c r="K4863" s="5">
        <f>YEAR(OrganizedData[[#This Row],[Order Date]])</f>
        <v>2021</v>
      </c>
      <c r="L4863" s="7" t="str">
        <f>TEXT(OrganizedData[[#This Row],[Order Date]],"mmm")</f>
        <v>Oct</v>
      </c>
      <c r="M4863" s="2">
        <v>53</v>
      </c>
      <c r="N4863" s="2" t="s">
        <v>159</v>
      </c>
      <c r="O4863" s="2" t="str">
        <f>VLOOKUP(OrganizedData[[#This Row],[Product Code]],ProductData[[Code]:[Item]],2,FALSE)</f>
        <v>Ultrathing V3</v>
      </c>
      <c r="P4863" s="4">
        <f>OrganizedData[[#This Row],[Quantity]]*VLOOKUP(OrganizedData[[#This Row],[Product Code]],ProductData[],4,FALSE)</f>
        <v>1272</v>
      </c>
      <c r="Q4863" s="6">
        <f>OrganizedData[[#This Row],[Total Items Ordered]]*VLOOKUP(OrganizedData[[#This Row],[Product Code]],ProductData[],3,FALSE)</f>
        <v>4312.08</v>
      </c>
      <c r="R486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4096.4759999999997</v>
      </c>
    </row>
    <row r="4864" spans="1:18" x14ac:dyDescent="0.3">
      <c r="A4864" s="2">
        <v>4857</v>
      </c>
      <c r="B4864" s="2" t="s">
        <v>6540</v>
      </c>
      <c r="C4864" s="2" t="s">
        <v>5072</v>
      </c>
      <c r="D4864" s="2" t="s">
        <v>28</v>
      </c>
      <c r="E4864" s="2" t="s">
        <v>29</v>
      </c>
      <c r="F4864" s="2">
        <v>90</v>
      </c>
      <c r="G4864" s="2" t="s">
        <v>10294</v>
      </c>
      <c r="H4864" s="2" t="s">
        <v>5714</v>
      </c>
      <c r="I4864" s="2" t="s">
        <v>187</v>
      </c>
      <c r="J4864" s="3">
        <v>44230</v>
      </c>
      <c r="K4864" s="5">
        <f>YEAR(OrganizedData[[#This Row],[Order Date]])</f>
        <v>2021</v>
      </c>
      <c r="L4864" s="7" t="str">
        <f>TEXT(OrganizedData[[#This Row],[Order Date]],"mmm")</f>
        <v>Feb</v>
      </c>
      <c r="M4864" s="2">
        <v>47</v>
      </c>
      <c r="N4864" s="2" t="s">
        <v>70</v>
      </c>
      <c r="O4864" s="2" t="str">
        <f>VLOOKUP(OrganizedData[[#This Row],[Product Code]],ProductData[[Code]:[Item]],2,FALSE)</f>
        <v>Megawidget M</v>
      </c>
      <c r="P4864" s="4">
        <f>OrganizedData[[#This Row],[Quantity]]*VLOOKUP(OrganizedData[[#This Row],[Product Code]],ProductData[],4,FALSE)</f>
        <v>1128</v>
      </c>
      <c r="Q4864" s="6">
        <f>OrganizedData[[#This Row],[Total Items Ordered]]*VLOOKUP(OrganizedData[[#This Row],[Product Code]],ProductData[],3,FALSE)</f>
        <v>1455.1200000000001</v>
      </c>
      <c r="R486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1411.4664</v>
      </c>
    </row>
    <row r="4865" spans="1:18" x14ac:dyDescent="0.3">
      <c r="A4865" s="2">
        <v>4858</v>
      </c>
      <c r="B4865" s="2" t="s">
        <v>10295</v>
      </c>
      <c r="C4865" s="2" t="s">
        <v>4845</v>
      </c>
      <c r="D4865" s="2" t="s">
        <v>51</v>
      </c>
      <c r="E4865" s="2" t="s">
        <v>16</v>
      </c>
      <c r="F4865" s="2">
        <v>90</v>
      </c>
      <c r="G4865" s="2" t="s">
        <v>10294</v>
      </c>
      <c r="H4865" s="2" t="s">
        <v>2156</v>
      </c>
      <c r="I4865" s="2" t="s">
        <v>32</v>
      </c>
      <c r="J4865" s="3">
        <v>44118</v>
      </c>
      <c r="K4865" s="5">
        <f>YEAR(OrganizedData[[#This Row],[Order Date]])</f>
        <v>2020</v>
      </c>
      <c r="L4865" s="7" t="str">
        <f>TEXT(OrganizedData[[#This Row],[Order Date]],"mmm")</f>
        <v>Oct</v>
      </c>
      <c r="M4865" s="2">
        <v>34</v>
      </c>
      <c r="N4865" s="2" t="s">
        <v>64</v>
      </c>
      <c r="O4865" s="2" t="str">
        <f>VLOOKUP(OrganizedData[[#This Row],[Product Code]],ProductData[[Code]:[Item]],2,FALSE)</f>
        <v>Ultrathing V4</v>
      </c>
      <c r="P4865" s="4">
        <f>OrganizedData[[#This Row],[Quantity]]*VLOOKUP(OrganizedData[[#This Row],[Product Code]],ProductData[],4,FALSE)</f>
        <v>816</v>
      </c>
      <c r="Q4865" s="6">
        <f>OrganizedData[[#This Row],[Total Items Ordered]]*VLOOKUP(OrganizedData[[#This Row],[Product Code]],ProductData[],3,FALSE)</f>
        <v>3255.84</v>
      </c>
      <c r="R486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3158.1648</v>
      </c>
    </row>
    <row r="4866" spans="1:18" x14ac:dyDescent="0.3">
      <c r="A4866" s="2">
        <v>4859</v>
      </c>
      <c r="B4866" s="2" t="s">
        <v>6413</v>
      </c>
      <c r="C4866" s="2" t="s">
        <v>3330</v>
      </c>
      <c r="D4866" s="2" t="s">
        <v>28</v>
      </c>
      <c r="E4866" s="2" t="s">
        <v>29</v>
      </c>
      <c r="F4866" s="2">
        <v>90</v>
      </c>
      <c r="G4866" s="2" t="s">
        <v>10296</v>
      </c>
      <c r="H4866" s="2" t="s">
        <v>1168</v>
      </c>
      <c r="I4866" s="2" t="s">
        <v>32</v>
      </c>
      <c r="J4866" s="3">
        <v>44488</v>
      </c>
      <c r="K4866" s="5">
        <f>YEAR(OrganizedData[[#This Row],[Order Date]])</f>
        <v>2021</v>
      </c>
      <c r="L4866" s="7" t="str">
        <f>TEXT(OrganizedData[[#This Row],[Order Date]],"mmm")</f>
        <v>Oct</v>
      </c>
      <c r="M4866" s="2">
        <v>19</v>
      </c>
      <c r="N4866" s="2" t="s">
        <v>20</v>
      </c>
      <c r="O4866" s="2" t="str">
        <f>VLOOKUP(OrganizedData[[#This Row],[Product Code]],ProductData[[Code]:[Item]],2,FALSE)</f>
        <v>Hyperwotsit</v>
      </c>
      <c r="P4866" s="4">
        <f>OrganizedData[[#This Row],[Quantity]]*VLOOKUP(OrganizedData[[#This Row],[Product Code]],ProductData[],4,FALSE)</f>
        <v>380</v>
      </c>
      <c r="Q4866" s="6">
        <f>OrganizedData[[#This Row],[Total Items Ordered]]*VLOOKUP(OrganizedData[[#This Row],[Product Code]],ProductData[],3,FALSE)</f>
        <v>763.8</v>
      </c>
      <c r="R486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763.8</v>
      </c>
    </row>
    <row r="4867" spans="1:18" x14ac:dyDescent="0.3">
      <c r="A4867" s="2">
        <v>4860</v>
      </c>
      <c r="B4867" s="2" t="s">
        <v>8660</v>
      </c>
      <c r="C4867" s="2" t="s">
        <v>3379</v>
      </c>
      <c r="D4867" s="2" t="s">
        <v>51</v>
      </c>
      <c r="E4867" s="2" t="s">
        <v>16</v>
      </c>
      <c r="F4867" s="2">
        <v>30</v>
      </c>
      <c r="G4867" s="2" t="s">
        <v>10296</v>
      </c>
      <c r="H4867" s="2" t="s">
        <v>2703</v>
      </c>
      <c r="I4867" s="2" t="s">
        <v>32</v>
      </c>
      <c r="J4867" s="3">
        <v>44472</v>
      </c>
      <c r="K4867" s="5">
        <f>YEAR(OrganizedData[[#This Row],[Order Date]])</f>
        <v>2021</v>
      </c>
      <c r="L4867" s="7" t="str">
        <f>TEXT(OrganizedData[[#This Row],[Order Date]],"mmm")</f>
        <v>Oct</v>
      </c>
      <c r="M4867" s="2">
        <v>83</v>
      </c>
      <c r="N4867" s="2" t="s">
        <v>54</v>
      </c>
      <c r="O4867" s="2" t="str">
        <f>VLOOKUP(OrganizedData[[#This Row],[Product Code]],ProductData[[Code]:[Item]],2,FALSE)</f>
        <v>Megawidget S</v>
      </c>
      <c r="P4867" s="4">
        <f>OrganizedData[[#This Row],[Quantity]]*VLOOKUP(OrganizedData[[#This Row],[Product Code]],ProductData[],4,FALSE)</f>
        <v>1992</v>
      </c>
      <c r="Q4867" s="6">
        <f>OrganizedData[[#This Row],[Total Items Ordered]]*VLOOKUP(OrganizedData[[#This Row],[Product Code]],ProductData[],3,FALSE)</f>
        <v>1374.4799999999998</v>
      </c>
      <c r="R486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1305.7559999999996</v>
      </c>
    </row>
    <row r="4868" spans="1:18" x14ac:dyDescent="0.3">
      <c r="A4868" s="2">
        <v>4861</v>
      </c>
      <c r="B4868" s="2" t="s">
        <v>312</v>
      </c>
      <c r="C4868" s="2" t="s">
        <v>10297</v>
      </c>
      <c r="D4868" s="2" t="s">
        <v>41</v>
      </c>
      <c r="E4868" s="2" t="s">
        <v>16</v>
      </c>
      <c r="F4868" s="2">
        <v>30</v>
      </c>
      <c r="G4868" s="2" t="s">
        <v>10298</v>
      </c>
      <c r="H4868" s="2" t="s">
        <v>2671</v>
      </c>
      <c r="I4868" s="2" t="s">
        <v>1157</v>
      </c>
      <c r="J4868" s="3">
        <v>44727</v>
      </c>
      <c r="K4868" s="5">
        <f>YEAR(OrganizedData[[#This Row],[Order Date]])</f>
        <v>2022</v>
      </c>
      <c r="L4868" s="7" t="str">
        <f>TEXT(OrganizedData[[#This Row],[Order Date]],"mmm")</f>
        <v>Jun</v>
      </c>
      <c r="M4868" s="2">
        <v>62</v>
      </c>
      <c r="N4868" s="2" t="s">
        <v>33</v>
      </c>
      <c r="O4868" s="2" t="str">
        <f>VLOOKUP(OrganizedData[[#This Row],[Product Code]],ProductData[[Code]:[Item]],2,FALSE)</f>
        <v>Megawidget L</v>
      </c>
      <c r="P4868" s="4">
        <f>OrganizedData[[#This Row],[Quantity]]*VLOOKUP(OrganizedData[[#This Row],[Product Code]],ProductData[],4,FALSE)</f>
        <v>1488</v>
      </c>
      <c r="Q4868" s="6">
        <f>OrganizedData[[#This Row],[Total Items Ordered]]*VLOOKUP(OrganizedData[[#This Row],[Product Code]],ProductData[],3,FALSE)</f>
        <v>2663.52</v>
      </c>
      <c r="R486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2530.3440000000001</v>
      </c>
    </row>
    <row r="4869" spans="1:18" x14ac:dyDescent="0.3">
      <c r="A4869" s="2">
        <v>4862</v>
      </c>
      <c r="B4869" s="2" t="s">
        <v>4327</v>
      </c>
      <c r="C4869" s="2" t="s">
        <v>3322</v>
      </c>
      <c r="D4869" s="2" t="s">
        <v>51</v>
      </c>
      <c r="E4869" s="2" t="s">
        <v>16</v>
      </c>
      <c r="F4869" s="2">
        <v>30</v>
      </c>
      <c r="G4869" s="2" t="s">
        <v>10299</v>
      </c>
      <c r="H4869" s="2" t="s">
        <v>5631</v>
      </c>
      <c r="I4869" s="2" t="s">
        <v>129</v>
      </c>
      <c r="J4869" s="3">
        <v>43998</v>
      </c>
      <c r="K4869" s="5">
        <f>YEAR(OrganizedData[[#This Row],[Order Date]])</f>
        <v>2020</v>
      </c>
      <c r="L4869" s="7" t="str">
        <f>TEXT(OrganizedData[[#This Row],[Order Date]],"mmm")</f>
        <v>Jun</v>
      </c>
      <c r="M4869" s="2">
        <v>60</v>
      </c>
      <c r="N4869" s="2" t="s">
        <v>33</v>
      </c>
      <c r="O4869" s="2" t="str">
        <f>VLOOKUP(OrganizedData[[#This Row],[Product Code]],ProductData[[Code]:[Item]],2,FALSE)</f>
        <v>Megawidget L</v>
      </c>
      <c r="P4869" s="4">
        <f>OrganizedData[[#This Row],[Quantity]]*VLOOKUP(OrganizedData[[#This Row],[Product Code]],ProductData[],4,FALSE)</f>
        <v>1440</v>
      </c>
      <c r="Q4869" s="6">
        <f>OrganizedData[[#This Row],[Total Items Ordered]]*VLOOKUP(OrganizedData[[#This Row],[Product Code]],ProductData[],3,FALSE)</f>
        <v>2577.6</v>
      </c>
      <c r="R486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2448.7199999999998</v>
      </c>
    </row>
    <row r="4870" spans="1:18" x14ac:dyDescent="0.3">
      <c r="A4870" s="2">
        <v>4863</v>
      </c>
      <c r="B4870" s="2" t="s">
        <v>3216</v>
      </c>
      <c r="C4870" s="2" t="s">
        <v>9473</v>
      </c>
      <c r="D4870" s="2" t="s">
        <v>92</v>
      </c>
      <c r="E4870" s="2" t="s">
        <v>29</v>
      </c>
      <c r="F4870" s="2">
        <v>90</v>
      </c>
      <c r="G4870" s="2" t="s">
        <v>10300</v>
      </c>
      <c r="H4870" s="2" t="s">
        <v>3175</v>
      </c>
      <c r="I4870" s="2" t="s">
        <v>1233</v>
      </c>
      <c r="J4870" s="3">
        <v>43894</v>
      </c>
      <c r="K4870" s="5">
        <f>YEAR(OrganizedData[[#This Row],[Order Date]])</f>
        <v>2020</v>
      </c>
      <c r="L4870" s="7" t="str">
        <f>TEXT(OrganizedData[[#This Row],[Order Date]],"mmm")</f>
        <v>Mar</v>
      </c>
      <c r="M4870" s="2">
        <v>33</v>
      </c>
      <c r="N4870" s="2" t="s">
        <v>80</v>
      </c>
      <c r="O4870" s="2" t="str">
        <f>VLOOKUP(OrganizedData[[#This Row],[Product Code]],ProductData[[Code]:[Item]],2,FALSE)</f>
        <v>Ultrathing V2</v>
      </c>
      <c r="P4870" s="4">
        <f>OrganizedData[[#This Row],[Quantity]]*VLOOKUP(OrganizedData[[#This Row],[Product Code]],ProductData[],4,FALSE)</f>
        <v>660</v>
      </c>
      <c r="Q4870" s="6">
        <f>OrganizedData[[#This Row],[Total Items Ordered]]*VLOOKUP(OrganizedData[[#This Row],[Product Code]],ProductData[],3,FALSE)</f>
        <v>1947.0000000000002</v>
      </c>
      <c r="R487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1888.5900000000001</v>
      </c>
    </row>
    <row r="4871" spans="1:18" x14ac:dyDescent="0.3">
      <c r="A4871" s="2">
        <v>4864</v>
      </c>
      <c r="B4871" s="2" t="s">
        <v>1207</v>
      </c>
      <c r="C4871" s="2" t="s">
        <v>5797</v>
      </c>
      <c r="D4871" s="2" t="s">
        <v>28</v>
      </c>
      <c r="E4871" s="2" t="s">
        <v>29</v>
      </c>
      <c r="F4871" s="2">
        <v>60</v>
      </c>
      <c r="G4871" s="2" t="s">
        <v>10301</v>
      </c>
      <c r="H4871" s="2" t="s">
        <v>2875</v>
      </c>
      <c r="I4871" s="2" t="s">
        <v>32</v>
      </c>
      <c r="J4871" s="3">
        <v>44805</v>
      </c>
      <c r="K4871" s="5">
        <f>YEAR(OrganizedData[[#This Row],[Order Date]])</f>
        <v>2022</v>
      </c>
      <c r="L4871" s="7" t="str">
        <f>TEXT(OrganizedData[[#This Row],[Order Date]],"mmm")</f>
        <v>Sep</v>
      </c>
      <c r="M4871" s="2">
        <v>81</v>
      </c>
      <c r="N4871" s="2" t="s">
        <v>39</v>
      </c>
      <c r="O4871" s="2" t="str">
        <f>VLOOKUP(OrganizedData[[#This Row],[Product Code]],ProductData[[Code]:[Item]],2,FALSE)</f>
        <v>Ultrathing V1</v>
      </c>
      <c r="P4871" s="4">
        <f>OrganizedData[[#This Row],[Quantity]]*VLOOKUP(OrganizedData[[#This Row],[Product Code]],ProductData[],4,FALSE)</f>
        <v>1377</v>
      </c>
      <c r="Q4871" s="6">
        <f>OrganizedData[[#This Row],[Total Items Ordered]]*VLOOKUP(OrganizedData[[#This Row],[Product Code]],ProductData[],3,FALSE)</f>
        <v>2464.83</v>
      </c>
      <c r="R487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2341.5884999999998</v>
      </c>
    </row>
    <row r="4872" spans="1:18" x14ac:dyDescent="0.3">
      <c r="A4872" s="2">
        <v>4865</v>
      </c>
      <c r="B4872" s="2" t="s">
        <v>3985</v>
      </c>
      <c r="C4872" s="2" t="s">
        <v>8377</v>
      </c>
      <c r="D4872" s="2" t="s">
        <v>51</v>
      </c>
      <c r="E4872" s="2" t="s">
        <v>16</v>
      </c>
      <c r="F4872" s="2">
        <v>30</v>
      </c>
      <c r="G4872" s="2" t="s">
        <v>10302</v>
      </c>
      <c r="H4872" s="2" t="s">
        <v>558</v>
      </c>
      <c r="I4872" s="2" t="s">
        <v>32</v>
      </c>
      <c r="J4872" s="3">
        <v>44894</v>
      </c>
      <c r="K4872" s="5">
        <f>YEAR(OrganizedData[[#This Row],[Order Date]])</f>
        <v>2022</v>
      </c>
      <c r="L4872" s="7" t="str">
        <f>TEXT(OrganizedData[[#This Row],[Order Date]],"mmm")</f>
        <v>Nov</v>
      </c>
      <c r="M4872" s="2">
        <v>30</v>
      </c>
      <c r="N4872" s="2" t="s">
        <v>101</v>
      </c>
      <c r="O4872" s="2" t="str">
        <f>VLOOKUP(OrganizedData[[#This Row],[Product Code]],ProductData[[Code]:[Item]],2,FALSE)</f>
        <v>Superwossname</v>
      </c>
      <c r="P4872" s="4">
        <f>OrganizedData[[#This Row],[Quantity]]*VLOOKUP(OrganizedData[[#This Row],[Product Code]],ProductData[],4,FALSE)</f>
        <v>600</v>
      </c>
      <c r="Q4872" s="6">
        <f>OrganizedData[[#This Row],[Total Items Ordered]]*VLOOKUP(OrganizedData[[#This Row],[Product Code]],ProductData[],3,FALSE)</f>
        <v>2094</v>
      </c>
      <c r="R487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2031.1799999999998</v>
      </c>
    </row>
    <row r="4873" spans="1:18" x14ac:dyDescent="0.3">
      <c r="A4873" s="2">
        <v>4866</v>
      </c>
      <c r="B4873" s="2" t="s">
        <v>1644</v>
      </c>
      <c r="C4873" s="2" t="s">
        <v>1002</v>
      </c>
      <c r="D4873" s="2" t="s">
        <v>51</v>
      </c>
      <c r="E4873" s="2" t="s">
        <v>16</v>
      </c>
      <c r="F4873" s="2">
        <v>60</v>
      </c>
      <c r="G4873" s="2" t="s">
        <v>10303</v>
      </c>
      <c r="H4873" s="2" t="s">
        <v>7154</v>
      </c>
      <c r="I4873" s="2" t="s">
        <v>32</v>
      </c>
      <c r="J4873" s="3">
        <v>44758</v>
      </c>
      <c r="K4873" s="5">
        <f>YEAR(OrganizedData[[#This Row],[Order Date]])</f>
        <v>2022</v>
      </c>
      <c r="L4873" s="7" t="str">
        <f>TEXT(OrganizedData[[#This Row],[Order Date]],"mmm")</f>
        <v>Jul</v>
      </c>
      <c r="M4873" s="2">
        <v>4</v>
      </c>
      <c r="N4873" s="2" t="s">
        <v>70</v>
      </c>
      <c r="O4873" s="2" t="str">
        <f>VLOOKUP(OrganizedData[[#This Row],[Product Code]],ProductData[[Code]:[Item]],2,FALSE)</f>
        <v>Megawidget M</v>
      </c>
      <c r="P4873" s="4">
        <f>OrganizedData[[#This Row],[Quantity]]*VLOOKUP(OrganizedData[[#This Row],[Product Code]],ProductData[],4,FALSE)</f>
        <v>96</v>
      </c>
      <c r="Q4873" s="6">
        <f>OrganizedData[[#This Row],[Total Items Ordered]]*VLOOKUP(OrganizedData[[#This Row],[Product Code]],ProductData[],3,FALSE)</f>
        <v>123.84</v>
      </c>
      <c r="R487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123.84</v>
      </c>
    </row>
    <row r="4874" spans="1:18" x14ac:dyDescent="0.3">
      <c r="A4874" s="2">
        <v>4867</v>
      </c>
      <c r="B4874" s="2" t="s">
        <v>5772</v>
      </c>
      <c r="C4874" s="2" t="s">
        <v>2815</v>
      </c>
      <c r="D4874" s="2" t="s">
        <v>28</v>
      </c>
      <c r="E4874" s="2" t="s">
        <v>29</v>
      </c>
      <c r="F4874" s="2">
        <v>60</v>
      </c>
      <c r="G4874" s="2" t="s">
        <v>10304</v>
      </c>
      <c r="H4874" s="2" t="s">
        <v>5957</v>
      </c>
      <c r="I4874" s="2" t="s">
        <v>187</v>
      </c>
      <c r="J4874" s="3">
        <v>44219</v>
      </c>
      <c r="K4874" s="5">
        <f>YEAR(OrganizedData[[#This Row],[Order Date]])</f>
        <v>2021</v>
      </c>
      <c r="L4874" s="7" t="str">
        <f>TEXT(OrganizedData[[#This Row],[Order Date]],"mmm")</f>
        <v>Jan</v>
      </c>
      <c r="M4874" s="2">
        <v>30</v>
      </c>
      <c r="N4874" s="2" t="s">
        <v>45</v>
      </c>
      <c r="O4874" s="2" t="str">
        <f>VLOOKUP(OrganizedData[[#This Row],[Product Code]],ProductData[[Code]:[Item]],2,FALSE)</f>
        <v>Gigastuff</v>
      </c>
      <c r="P4874" s="4">
        <f>OrganizedData[[#This Row],[Quantity]]*VLOOKUP(OrganizedData[[#This Row],[Product Code]],ProductData[],4,FALSE)</f>
        <v>540</v>
      </c>
      <c r="Q4874" s="6">
        <f>OrganizedData[[#This Row],[Total Items Ordered]]*VLOOKUP(OrganizedData[[#This Row],[Product Code]],ProductData[],3,FALSE)</f>
        <v>1020.5999999999999</v>
      </c>
      <c r="R487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989.98199999999986</v>
      </c>
    </row>
    <row r="4875" spans="1:18" x14ac:dyDescent="0.3">
      <c r="A4875" s="2">
        <v>4868</v>
      </c>
      <c r="B4875" s="2" t="s">
        <v>10305</v>
      </c>
      <c r="C4875" s="2" t="s">
        <v>10091</v>
      </c>
      <c r="D4875" s="2" t="s">
        <v>41</v>
      </c>
      <c r="E4875" s="2" t="s">
        <v>16</v>
      </c>
      <c r="F4875" s="2">
        <v>90</v>
      </c>
      <c r="G4875" s="2" t="s">
        <v>10306</v>
      </c>
      <c r="H4875" s="2" t="s">
        <v>466</v>
      </c>
      <c r="I4875" s="2" t="s">
        <v>187</v>
      </c>
      <c r="J4875" s="3">
        <v>44585</v>
      </c>
      <c r="K4875" s="5">
        <f>YEAR(OrganizedData[[#This Row],[Order Date]])</f>
        <v>2022</v>
      </c>
      <c r="L4875" s="7" t="str">
        <f>TEXT(OrganizedData[[#This Row],[Order Date]],"mmm")</f>
        <v>Jan</v>
      </c>
      <c r="M4875" s="2">
        <v>21</v>
      </c>
      <c r="N4875" s="2" t="s">
        <v>64</v>
      </c>
      <c r="O4875" s="2" t="str">
        <f>VLOOKUP(OrganizedData[[#This Row],[Product Code]],ProductData[[Code]:[Item]],2,FALSE)</f>
        <v>Ultrathing V4</v>
      </c>
      <c r="P4875" s="4">
        <f>OrganizedData[[#This Row],[Quantity]]*VLOOKUP(OrganizedData[[#This Row],[Product Code]],ProductData[],4,FALSE)</f>
        <v>504</v>
      </c>
      <c r="Q4875" s="6">
        <f>OrganizedData[[#This Row],[Total Items Ordered]]*VLOOKUP(OrganizedData[[#This Row],[Product Code]],ProductData[],3,FALSE)</f>
        <v>2010.96</v>
      </c>
      <c r="R487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1950.6312</v>
      </c>
    </row>
    <row r="4876" spans="1:18" x14ac:dyDescent="0.3">
      <c r="A4876" s="2">
        <v>4869</v>
      </c>
      <c r="B4876" s="2" t="s">
        <v>7463</v>
      </c>
      <c r="C4876" s="2" t="s">
        <v>5764</v>
      </c>
      <c r="D4876" s="2" t="s">
        <v>28</v>
      </c>
      <c r="E4876" s="2" t="s">
        <v>29</v>
      </c>
      <c r="F4876" s="2">
        <v>90</v>
      </c>
      <c r="G4876" s="2" t="s">
        <v>10307</v>
      </c>
      <c r="H4876" s="2" t="s">
        <v>4979</v>
      </c>
      <c r="I4876" s="2" t="s">
        <v>294</v>
      </c>
      <c r="J4876" s="3">
        <v>44041</v>
      </c>
      <c r="K4876" s="5">
        <f>YEAR(OrganizedData[[#This Row],[Order Date]])</f>
        <v>2020</v>
      </c>
      <c r="L4876" s="7" t="str">
        <f>TEXT(OrganizedData[[#This Row],[Order Date]],"mmm")</f>
        <v>Jul</v>
      </c>
      <c r="M4876" s="2">
        <v>26</v>
      </c>
      <c r="N4876" s="2" t="s">
        <v>45</v>
      </c>
      <c r="O4876" s="2" t="str">
        <f>VLOOKUP(OrganizedData[[#This Row],[Product Code]],ProductData[[Code]:[Item]],2,FALSE)</f>
        <v>Gigastuff</v>
      </c>
      <c r="P4876" s="4">
        <f>OrganizedData[[#This Row],[Quantity]]*VLOOKUP(OrganizedData[[#This Row],[Product Code]],ProductData[],4,FALSE)</f>
        <v>468</v>
      </c>
      <c r="Q4876" s="6">
        <f>OrganizedData[[#This Row],[Total Items Ordered]]*VLOOKUP(OrganizedData[[#This Row],[Product Code]],ProductData[],3,FALSE)</f>
        <v>884.52</v>
      </c>
      <c r="R487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857.98439999999994</v>
      </c>
    </row>
    <row r="4877" spans="1:18" x14ac:dyDescent="0.3">
      <c r="A4877" s="2">
        <v>4870</v>
      </c>
      <c r="B4877" s="2" t="s">
        <v>592</v>
      </c>
      <c r="C4877" s="2" t="s">
        <v>2832</v>
      </c>
      <c r="D4877" s="2" t="s">
        <v>28</v>
      </c>
      <c r="E4877" s="2" t="s">
        <v>29</v>
      </c>
      <c r="F4877" s="2">
        <v>30</v>
      </c>
      <c r="G4877" s="2" t="s">
        <v>10308</v>
      </c>
      <c r="H4877" s="2" t="s">
        <v>1325</v>
      </c>
      <c r="I4877" s="2" t="s">
        <v>187</v>
      </c>
      <c r="J4877" s="3">
        <v>44627</v>
      </c>
      <c r="K4877" s="5">
        <f>YEAR(OrganizedData[[#This Row],[Order Date]])</f>
        <v>2022</v>
      </c>
      <c r="L4877" s="7" t="str">
        <f>TEXT(OrganizedData[[#This Row],[Order Date]],"mmm")</f>
        <v>Mar</v>
      </c>
      <c r="M4877" s="2">
        <v>55</v>
      </c>
      <c r="N4877" s="2" t="s">
        <v>39</v>
      </c>
      <c r="O4877" s="2" t="str">
        <f>VLOOKUP(OrganizedData[[#This Row],[Product Code]],ProductData[[Code]:[Item]],2,FALSE)</f>
        <v>Ultrathing V1</v>
      </c>
      <c r="P4877" s="4">
        <f>OrganizedData[[#This Row],[Quantity]]*VLOOKUP(OrganizedData[[#This Row],[Product Code]],ProductData[],4,FALSE)</f>
        <v>935</v>
      </c>
      <c r="Q4877" s="6">
        <f>OrganizedData[[#This Row],[Total Items Ordered]]*VLOOKUP(OrganizedData[[#This Row],[Product Code]],ProductData[],3,FALSE)</f>
        <v>1673.65</v>
      </c>
      <c r="R487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4878" spans="1:18" x14ac:dyDescent="0.3">
      <c r="A4878" s="2">
        <v>4871</v>
      </c>
      <c r="B4878" s="2" t="s">
        <v>1805</v>
      </c>
      <c r="C4878" s="2" t="s">
        <v>9351</v>
      </c>
      <c r="D4878" s="2" t="s">
        <v>28</v>
      </c>
      <c r="E4878" s="2" t="s">
        <v>29</v>
      </c>
      <c r="F4878" s="2">
        <v>90</v>
      </c>
      <c r="G4878" s="2" t="s">
        <v>10309</v>
      </c>
      <c r="H4878" s="2" t="s">
        <v>738</v>
      </c>
      <c r="I4878" s="2" t="s">
        <v>38</v>
      </c>
      <c r="J4878" s="3">
        <v>43957</v>
      </c>
      <c r="K4878" s="5">
        <f>YEAR(OrganizedData[[#This Row],[Order Date]])</f>
        <v>2020</v>
      </c>
      <c r="L4878" s="7" t="str">
        <f>TEXT(OrganizedData[[#This Row],[Order Date]],"mmm")</f>
        <v>May</v>
      </c>
      <c r="M4878" s="2">
        <v>29</v>
      </c>
      <c r="N4878" s="2" t="s">
        <v>101</v>
      </c>
      <c r="O4878" s="2" t="str">
        <f>VLOOKUP(OrganizedData[[#This Row],[Product Code]],ProductData[[Code]:[Item]],2,FALSE)</f>
        <v>Superwossname</v>
      </c>
      <c r="P4878" s="4">
        <f>OrganizedData[[#This Row],[Quantity]]*VLOOKUP(OrganizedData[[#This Row],[Product Code]],ProductData[],4,FALSE)</f>
        <v>580</v>
      </c>
      <c r="Q4878" s="6">
        <f>OrganizedData[[#This Row],[Total Items Ordered]]*VLOOKUP(OrganizedData[[#This Row],[Product Code]],ProductData[],3,FALSE)</f>
        <v>2024.2</v>
      </c>
      <c r="R487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1963.4739999999999</v>
      </c>
    </row>
    <row r="4879" spans="1:18" x14ac:dyDescent="0.3">
      <c r="A4879" s="2">
        <v>4872</v>
      </c>
      <c r="B4879" s="2" t="s">
        <v>10310</v>
      </c>
      <c r="C4879" s="2" t="s">
        <v>10311</v>
      </c>
      <c r="D4879" s="2" t="s">
        <v>15</v>
      </c>
      <c r="E4879" s="2" t="s">
        <v>16</v>
      </c>
      <c r="F4879" s="2">
        <v>30</v>
      </c>
      <c r="G4879" s="2" t="s">
        <v>10312</v>
      </c>
      <c r="H4879" s="2" t="s">
        <v>10313</v>
      </c>
      <c r="I4879" s="2" t="s">
        <v>124</v>
      </c>
      <c r="J4879" s="3">
        <v>44828</v>
      </c>
      <c r="K4879" s="5">
        <f>YEAR(OrganizedData[[#This Row],[Order Date]])</f>
        <v>2022</v>
      </c>
      <c r="L4879" s="7" t="str">
        <f>TEXT(OrganizedData[[#This Row],[Order Date]],"mmm")</f>
        <v>Sep</v>
      </c>
      <c r="M4879" s="2">
        <v>28</v>
      </c>
      <c r="N4879" s="2" t="s">
        <v>33</v>
      </c>
      <c r="O4879" s="2" t="str">
        <f>VLOOKUP(OrganizedData[[#This Row],[Product Code]],ProductData[[Code]:[Item]],2,FALSE)</f>
        <v>Megawidget L</v>
      </c>
      <c r="P4879" s="4">
        <f>OrganizedData[[#This Row],[Quantity]]*VLOOKUP(OrganizedData[[#This Row],[Product Code]],ProductData[],4,FALSE)</f>
        <v>672</v>
      </c>
      <c r="Q4879" s="6">
        <f>OrganizedData[[#This Row],[Total Items Ordered]]*VLOOKUP(OrganizedData[[#This Row],[Product Code]],ProductData[],3,FALSE)</f>
        <v>1202.8800000000001</v>
      </c>
      <c r="R487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1166.7936</v>
      </c>
    </row>
    <row r="4880" spans="1:18" x14ac:dyDescent="0.3">
      <c r="A4880" s="2">
        <v>4873</v>
      </c>
      <c r="B4880" s="2" t="s">
        <v>3616</v>
      </c>
      <c r="C4880" s="2" t="s">
        <v>5370</v>
      </c>
      <c r="D4880" s="2" t="s">
        <v>51</v>
      </c>
      <c r="E4880" s="2" t="s">
        <v>16</v>
      </c>
      <c r="F4880" s="2">
        <v>60</v>
      </c>
      <c r="G4880" s="2" t="s">
        <v>10314</v>
      </c>
      <c r="H4880" s="2" t="s">
        <v>163</v>
      </c>
      <c r="I4880" s="2" t="s">
        <v>164</v>
      </c>
      <c r="J4880" s="3">
        <v>44256</v>
      </c>
      <c r="K4880" s="5">
        <f>YEAR(OrganizedData[[#This Row],[Order Date]])</f>
        <v>2021</v>
      </c>
      <c r="L4880" s="7" t="str">
        <f>TEXT(OrganizedData[[#This Row],[Order Date]],"mmm")</f>
        <v>Mar</v>
      </c>
      <c r="M4880" s="2">
        <v>94</v>
      </c>
      <c r="N4880" s="2" t="s">
        <v>45</v>
      </c>
      <c r="O4880" s="2" t="str">
        <f>VLOOKUP(OrganizedData[[#This Row],[Product Code]],ProductData[[Code]:[Item]],2,FALSE)</f>
        <v>Gigastuff</v>
      </c>
      <c r="P4880" s="4">
        <f>OrganizedData[[#This Row],[Quantity]]*VLOOKUP(OrganizedData[[#This Row],[Product Code]],ProductData[],4,FALSE)</f>
        <v>1692</v>
      </c>
      <c r="Q4880" s="6">
        <f>OrganizedData[[#This Row],[Total Items Ordered]]*VLOOKUP(OrganizedData[[#This Row],[Product Code]],ProductData[],3,FALSE)</f>
        <v>3197.8799999999997</v>
      </c>
      <c r="R488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3037.9859999999994</v>
      </c>
    </row>
    <row r="4881" spans="1:18" x14ac:dyDescent="0.3">
      <c r="A4881" s="2">
        <v>4874</v>
      </c>
      <c r="B4881" s="2" t="s">
        <v>1139</v>
      </c>
      <c r="C4881" s="2" t="s">
        <v>4664</v>
      </c>
      <c r="D4881" s="2" t="s">
        <v>51</v>
      </c>
      <c r="E4881" s="2" t="s">
        <v>16</v>
      </c>
      <c r="F4881" s="2">
        <v>60</v>
      </c>
      <c r="G4881" s="2" t="s">
        <v>10315</v>
      </c>
      <c r="H4881" s="2" t="s">
        <v>522</v>
      </c>
      <c r="I4881" s="2" t="s">
        <v>32</v>
      </c>
      <c r="J4881" s="3">
        <v>43850</v>
      </c>
      <c r="K4881" s="5">
        <f>YEAR(OrganizedData[[#This Row],[Order Date]])</f>
        <v>2020</v>
      </c>
      <c r="L4881" s="7" t="str">
        <f>TEXT(OrganizedData[[#This Row],[Order Date]],"mmm")</f>
        <v>Jan</v>
      </c>
      <c r="M4881" s="2">
        <v>40</v>
      </c>
      <c r="N4881" s="2" t="s">
        <v>159</v>
      </c>
      <c r="O4881" s="2" t="str">
        <f>VLOOKUP(OrganizedData[[#This Row],[Product Code]],ProductData[[Code]:[Item]],2,FALSE)</f>
        <v>Ultrathing V3</v>
      </c>
      <c r="P4881" s="4">
        <f>OrganizedData[[#This Row],[Quantity]]*VLOOKUP(OrganizedData[[#This Row],[Product Code]],ProductData[],4,FALSE)</f>
        <v>960</v>
      </c>
      <c r="Q4881" s="6">
        <f>OrganizedData[[#This Row],[Total Items Ordered]]*VLOOKUP(OrganizedData[[#This Row],[Product Code]],ProductData[],3,FALSE)</f>
        <v>3254.4</v>
      </c>
      <c r="R488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3156.768</v>
      </c>
    </row>
    <row r="4882" spans="1:18" x14ac:dyDescent="0.3">
      <c r="A4882" s="2">
        <v>4875</v>
      </c>
      <c r="B4882" s="2" t="s">
        <v>3946</v>
      </c>
      <c r="C4882" s="2" t="s">
        <v>309</v>
      </c>
      <c r="D4882" s="2" t="s">
        <v>28</v>
      </c>
      <c r="E4882" s="2" t="s">
        <v>29</v>
      </c>
      <c r="F4882" s="2">
        <v>90</v>
      </c>
      <c r="G4882" s="2" t="s">
        <v>10316</v>
      </c>
      <c r="H4882" s="2" t="s">
        <v>6101</v>
      </c>
      <c r="I4882" s="2" t="s">
        <v>32</v>
      </c>
      <c r="J4882" s="3">
        <v>43960</v>
      </c>
      <c r="K4882" s="5">
        <f>YEAR(OrganizedData[[#This Row],[Order Date]])</f>
        <v>2020</v>
      </c>
      <c r="L4882" s="7" t="str">
        <f>TEXT(OrganizedData[[#This Row],[Order Date]],"mmm")</f>
        <v>May</v>
      </c>
      <c r="M4882" s="2">
        <v>55</v>
      </c>
      <c r="N4882" s="2" t="s">
        <v>39</v>
      </c>
      <c r="O4882" s="2" t="str">
        <f>VLOOKUP(OrganizedData[[#This Row],[Product Code]],ProductData[[Code]:[Item]],2,FALSE)</f>
        <v>Ultrathing V1</v>
      </c>
      <c r="P4882" s="4">
        <f>OrganizedData[[#This Row],[Quantity]]*VLOOKUP(OrganizedData[[#This Row],[Product Code]],ProductData[],4,FALSE)</f>
        <v>935</v>
      </c>
      <c r="Q4882" s="6">
        <f>OrganizedData[[#This Row],[Total Items Ordered]]*VLOOKUP(OrganizedData[[#This Row],[Product Code]],ProductData[],3,FALSE)</f>
        <v>1673.65</v>
      </c>
      <c r="R488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1589.9675</v>
      </c>
    </row>
    <row r="4883" spans="1:18" x14ac:dyDescent="0.3">
      <c r="A4883" s="2">
        <v>4876</v>
      </c>
      <c r="B4883" s="2" t="s">
        <v>10317</v>
      </c>
      <c r="C4883" s="2" t="s">
        <v>2089</v>
      </c>
      <c r="D4883" s="2" t="s">
        <v>51</v>
      </c>
      <c r="E4883" s="2" t="s">
        <v>16</v>
      </c>
      <c r="F4883" s="2">
        <v>30</v>
      </c>
      <c r="G4883" s="2" t="s">
        <v>10318</v>
      </c>
      <c r="H4883" s="2" t="s">
        <v>10319</v>
      </c>
      <c r="I4883" s="2" t="s">
        <v>2022</v>
      </c>
      <c r="J4883" s="3">
        <v>44036</v>
      </c>
      <c r="K4883" s="5">
        <f>YEAR(OrganizedData[[#This Row],[Order Date]])</f>
        <v>2020</v>
      </c>
      <c r="L4883" s="7" t="str">
        <f>TEXT(OrganizedData[[#This Row],[Order Date]],"mmm")</f>
        <v>Jul</v>
      </c>
      <c r="M4883" s="2">
        <v>45</v>
      </c>
      <c r="N4883" s="2" t="s">
        <v>70</v>
      </c>
      <c r="O4883" s="2" t="str">
        <f>VLOOKUP(OrganizedData[[#This Row],[Product Code]],ProductData[[Code]:[Item]],2,FALSE)</f>
        <v>Megawidget M</v>
      </c>
      <c r="P4883" s="4">
        <f>OrganizedData[[#This Row],[Quantity]]*VLOOKUP(OrganizedData[[#This Row],[Product Code]],ProductData[],4,FALSE)</f>
        <v>1080</v>
      </c>
      <c r="Q4883" s="6">
        <f>OrganizedData[[#This Row],[Total Items Ordered]]*VLOOKUP(OrganizedData[[#This Row],[Product Code]],ProductData[],3,FALSE)</f>
        <v>1393.2</v>
      </c>
      <c r="R488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1351.404</v>
      </c>
    </row>
    <row r="4884" spans="1:18" x14ac:dyDescent="0.3">
      <c r="A4884" s="2">
        <v>4877</v>
      </c>
      <c r="B4884" s="2" t="s">
        <v>9700</v>
      </c>
      <c r="C4884" s="2" t="s">
        <v>4795</v>
      </c>
      <c r="D4884" s="2" t="s">
        <v>15</v>
      </c>
      <c r="E4884" s="2" t="s">
        <v>16</v>
      </c>
      <c r="F4884" s="2">
        <v>30</v>
      </c>
      <c r="G4884" s="2" t="s">
        <v>10318</v>
      </c>
      <c r="H4884" s="2" t="s">
        <v>2066</v>
      </c>
      <c r="I4884" s="2" t="s">
        <v>294</v>
      </c>
      <c r="J4884" s="3">
        <v>44423</v>
      </c>
      <c r="K4884" s="5">
        <f>YEAR(OrganizedData[[#This Row],[Order Date]])</f>
        <v>2021</v>
      </c>
      <c r="L4884" s="7" t="str">
        <f>TEXT(OrganizedData[[#This Row],[Order Date]],"mmm")</f>
        <v>Aug</v>
      </c>
      <c r="M4884" s="2">
        <v>24</v>
      </c>
      <c r="N4884" s="2" t="s">
        <v>54</v>
      </c>
      <c r="O4884" s="2" t="str">
        <f>VLOOKUP(OrganizedData[[#This Row],[Product Code]],ProductData[[Code]:[Item]],2,FALSE)</f>
        <v>Megawidget S</v>
      </c>
      <c r="P4884" s="4">
        <f>OrganizedData[[#This Row],[Quantity]]*VLOOKUP(OrganizedData[[#This Row],[Product Code]],ProductData[],4,FALSE)</f>
        <v>576</v>
      </c>
      <c r="Q4884" s="6">
        <f>OrganizedData[[#This Row],[Total Items Ordered]]*VLOOKUP(OrganizedData[[#This Row],[Product Code]],ProductData[],3,FALSE)</f>
        <v>397.43999999999994</v>
      </c>
      <c r="R488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385.51679999999993</v>
      </c>
    </row>
    <row r="4885" spans="1:18" x14ac:dyDescent="0.3">
      <c r="A4885" s="2">
        <v>4878</v>
      </c>
      <c r="B4885" s="2" t="s">
        <v>2191</v>
      </c>
      <c r="C4885" s="2" t="s">
        <v>6452</v>
      </c>
      <c r="D4885" s="2" t="s">
        <v>28</v>
      </c>
      <c r="E4885" s="2" t="s">
        <v>29</v>
      </c>
      <c r="F4885" s="2">
        <v>30</v>
      </c>
      <c r="G4885" s="2" t="s">
        <v>10320</v>
      </c>
      <c r="H4885" s="2" t="s">
        <v>993</v>
      </c>
      <c r="I4885" s="2" t="s">
        <v>32</v>
      </c>
      <c r="J4885" s="3">
        <v>44554</v>
      </c>
      <c r="K4885" s="5">
        <f>YEAR(OrganizedData[[#This Row],[Order Date]])</f>
        <v>2021</v>
      </c>
      <c r="L4885" s="7" t="str">
        <f>TEXT(OrganizedData[[#This Row],[Order Date]],"mmm")</f>
        <v>Dec</v>
      </c>
      <c r="M4885" s="2">
        <v>40</v>
      </c>
      <c r="N4885" s="2" t="s">
        <v>80</v>
      </c>
      <c r="O4885" s="2" t="str">
        <f>VLOOKUP(OrganizedData[[#This Row],[Product Code]],ProductData[[Code]:[Item]],2,FALSE)</f>
        <v>Ultrathing V2</v>
      </c>
      <c r="P4885" s="4">
        <f>OrganizedData[[#This Row],[Quantity]]*VLOOKUP(OrganizedData[[#This Row],[Product Code]],ProductData[],4,FALSE)</f>
        <v>800</v>
      </c>
      <c r="Q4885" s="6">
        <f>OrganizedData[[#This Row],[Total Items Ordered]]*VLOOKUP(OrganizedData[[#This Row],[Product Code]],ProductData[],3,FALSE)</f>
        <v>2360</v>
      </c>
      <c r="R488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2289.1999999999998</v>
      </c>
    </row>
    <row r="4886" spans="1:18" x14ac:dyDescent="0.3">
      <c r="A4886" s="2">
        <v>4879</v>
      </c>
      <c r="B4886" s="2" t="s">
        <v>10321</v>
      </c>
      <c r="C4886" s="2" t="s">
        <v>1923</v>
      </c>
      <c r="D4886" s="2" t="s">
        <v>15</v>
      </c>
      <c r="E4886" s="2" t="s">
        <v>16</v>
      </c>
      <c r="F4886" s="2">
        <v>30</v>
      </c>
      <c r="G4886" s="2" t="s">
        <v>10591</v>
      </c>
      <c r="H4886" s="2" t="s">
        <v>4729</v>
      </c>
      <c r="I4886" s="2" t="s">
        <v>32</v>
      </c>
      <c r="J4886" s="3">
        <v>44906</v>
      </c>
      <c r="K4886" s="5">
        <f>YEAR(OrganizedData[[#This Row],[Order Date]])</f>
        <v>2022</v>
      </c>
      <c r="L4886" s="7" t="str">
        <f>TEXT(OrganizedData[[#This Row],[Order Date]],"mmm")</f>
        <v>Dec</v>
      </c>
      <c r="M4886" s="2">
        <v>30</v>
      </c>
      <c r="N4886" s="2" t="s">
        <v>45</v>
      </c>
      <c r="O4886" s="2" t="str">
        <f>VLOOKUP(OrganizedData[[#This Row],[Product Code]],ProductData[[Code]:[Item]],2,FALSE)</f>
        <v>Gigastuff</v>
      </c>
      <c r="P4886" s="4">
        <f>OrganizedData[[#This Row],[Quantity]]*VLOOKUP(OrganizedData[[#This Row],[Product Code]],ProductData[],4,FALSE)</f>
        <v>540</v>
      </c>
      <c r="Q4886" s="6">
        <f>OrganizedData[[#This Row],[Total Items Ordered]]*VLOOKUP(OrganizedData[[#This Row],[Product Code]],ProductData[],3,FALSE)</f>
        <v>1020.5999999999999</v>
      </c>
      <c r="R488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989.98199999999986</v>
      </c>
    </row>
    <row r="4887" spans="1:18" x14ac:dyDescent="0.3">
      <c r="A4887" s="2">
        <v>4880</v>
      </c>
      <c r="B4887" s="2" t="s">
        <v>4218</v>
      </c>
      <c r="C4887" s="2" t="s">
        <v>1133</v>
      </c>
      <c r="D4887" s="2" t="s">
        <v>28</v>
      </c>
      <c r="E4887" s="2" t="s">
        <v>29</v>
      </c>
      <c r="F4887" s="2">
        <v>90</v>
      </c>
      <c r="G4887" s="2" t="s">
        <v>10323</v>
      </c>
      <c r="H4887" s="2" t="s">
        <v>4028</v>
      </c>
      <c r="I4887" s="2" t="s">
        <v>32</v>
      </c>
      <c r="J4887" s="3">
        <v>44029</v>
      </c>
      <c r="K4887" s="5">
        <f>YEAR(OrganizedData[[#This Row],[Order Date]])</f>
        <v>2020</v>
      </c>
      <c r="L4887" s="7" t="str">
        <f>TEXT(OrganizedData[[#This Row],[Order Date]],"mmm")</f>
        <v>Jul</v>
      </c>
      <c r="M4887" s="2">
        <v>2</v>
      </c>
      <c r="N4887" s="2" t="s">
        <v>39</v>
      </c>
      <c r="O4887" s="2" t="str">
        <f>VLOOKUP(OrganizedData[[#This Row],[Product Code]],ProductData[[Code]:[Item]],2,FALSE)</f>
        <v>Ultrathing V1</v>
      </c>
      <c r="P4887" s="4">
        <f>OrganizedData[[#This Row],[Quantity]]*VLOOKUP(OrganizedData[[#This Row],[Product Code]],ProductData[],4,FALSE)</f>
        <v>34</v>
      </c>
      <c r="Q4887" s="6">
        <f>OrganizedData[[#This Row],[Total Items Ordered]]*VLOOKUP(OrganizedData[[#This Row],[Product Code]],ProductData[],3,FALSE)</f>
        <v>60.86</v>
      </c>
      <c r="R488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60.86</v>
      </c>
    </row>
    <row r="4888" spans="1:18" x14ac:dyDescent="0.3">
      <c r="A4888" s="2">
        <v>4881</v>
      </c>
      <c r="B4888" s="2" t="s">
        <v>8238</v>
      </c>
      <c r="C4888" s="2" t="s">
        <v>3141</v>
      </c>
      <c r="D4888" s="2" t="s">
        <v>28</v>
      </c>
      <c r="E4888" s="2" t="s">
        <v>29</v>
      </c>
      <c r="F4888" s="2">
        <v>90</v>
      </c>
      <c r="G4888" s="2" t="s">
        <v>10323</v>
      </c>
      <c r="H4888" s="2" t="s">
        <v>1629</v>
      </c>
      <c r="I4888" s="2" t="s">
        <v>32</v>
      </c>
      <c r="J4888" s="3">
        <v>44322</v>
      </c>
      <c r="K4888" s="5">
        <f>YEAR(OrganizedData[[#This Row],[Order Date]])</f>
        <v>2021</v>
      </c>
      <c r="L4888" s="7" t="str">
        <f>TEXT(OrganizedData[[#This Row],[Order Date]],"mmm")</f>
        <v>May</v>
      </c>
      <c r="M4888" s="2">
        <v>7</v>
      </c>
      <c r="N4888" s="2" t="s">
        <v>33</v>
      </c>
      <c r="O4888" s="2" t="str">
        <f>VLOOKUP(OrganizedData[[#This Row],[Product Code]],ProductData[[Code]:[Item]],2,FALSE)</f>
        <v>Megawidget L</v>
      </c>
      <c r="P4888" s="4">
        <f>OrganizedData[[#This Row],[Quantity]]*VLOOKUP(OrganizedData[[#This Row],[Product Code]],ProductData[],4,FALSE)</f>
        <v>168</v>
      </c>
      <c r="Q4888" s="6">
        <f>OrganizedData[[#This Row],[Total Items Ordered]]*VLOOKUP(OrganizedData[[#This Row],[Product Code]],ProductData[],3,FALSE)</f>
        <v>300.72000000000003</v>
      </c>
      <c r="R488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300.72000000000003</v>
      </c>
    </row>
    <row r="4889" spans="1:18" x14ac:dyDescent="0.3">
      <c r="A4889" s="2">
        <v>4882</v>
      </c>
      <c r="B4889" s="2" t="s">
        <v>2322</v>
      </c>
      <c r="C4889" s="2" t="s">
        <v>2451</v>
      </c>
      <c r="D4889" s="2" t="s">
        <v>51</v>
      </c>
      <c r="E4889" s="2" t="s">
        <v>16</v>
      </c>
      <c r="F4889" s="2">
        <v>90</v>
      </c>
      <c r="G4889" s="2" t="s">
        <v>10324</v>
      </c>
      <c r="H4889" s="2" t="s">
        <v>10069</v>
      </c>
      <c r="I4889" s="2" t="s">
        <v>32</v>
      </c>
      <c r="J4889" s="3">
        <v>44762</v>
      </c>
      <c r="K4889" s="5">
        <f>YEAR(OrganizedData[[#This Row],[Order Date]])</f>
        <v>2022</v>
      </c>
      <c r="L4889" s="7" t="str">
        <f>TEXT(OrganizedData[[#This Row],[Order Date]],"mmm")</f>
        <v>Jul</v>
      </c>
      <c r="M4889" s="2">
        <v>60</v>
      </c>
      <c r="N4889" s="2" t="s">
        <v>101</v>
      </c>
      <c r="O4889" s="2" t="str">
        <f>VLOOKUP(OrganizedData[[#This Row],[Product Code]],ProductData[[Code]:[Item]],2,FALSE)</f>
        <v>Superwossname</v>
      </c>
      <c r="P4889" s="4">
        <f>OrganizedData[[#This Row],[Quantity]]*VLOOKUP(OrganizedData[[#This Row],[Product Code]],ProductData[],4,FALSE)</f>
        <v>1200</v>
      </c>
      <c r="Q4889" s="6">
        <f>OrganizedData[[#This Row],[Total Items Ordered]]*VLOOKUP(OrganizedData[[#This Row],[Product Code]],ProductData[],3,FALSE)</f>
        <v>4188</v>
      </c>
      <c r="R488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3978.6</v>
      </c>
    </row>
    <row r="4890" spans="1:18" x14ac:dyDescent="0.3">
      <c r="A4890" s="2">
        <v>4883</v>
      </c>
      <c r="B4890" s="2" t="s">
        <v>4029</v>
      </c>
      <c r="C4890" s="2" t="s">
        <v>4113</v>
      </c>
      <c r="D4890" s="2" t="s">
        <v>28</v>
      </c>
      <c r="E4890" s="2" t="s">
        <v>29</v>
      </c>
      <c r="F4890" s="2">
        <v>60</v>
      </c>
      <c r="G4890" s="2" t="s">
        <v>10324</v>
      </c>
      <c r="H4890" s="2" t="s">
        <v>2902</v>
      </c>
      <c r="I4890" s="2" t="s">
        <v>32</v>
      </c>
      <c r="J4890" s="3">
        <v>44166</v>
      </c>
      <c r="K4890" s="5">
        <f>YEAR(OrganizedData[[#This Row],[Order Date]])</f>
        <v>2020</v>
      </c>
      <c r="L4890" s="7" t="str">
        <f>TEXT(OrganizedData[[#This Row],[Order Date]],"mmm")</f>
        <v>Dec</v>
      </c>
      <c r="M4890" s="2">
        <v>81</v>
      </c>
      <c r="N4890" s="2" t="s">
        <v>159</v>
      </c>
      <c r="O4890" s="2" t="str">
        <f>VLOOKUP(OrganizedData[[#This Row],[Product Code]],ProductData[[Code]:[Item]],2,FALSE)</f>
        <v>Ultrathing V3</v>
      </c>
      <c r="P4890" s="4">
        <f>OrganizedData[[#This Row],[Quantity]]*VLOOKUP(OrganizedData[[#This Row],[Product Code]],ProductData[],4,FALSE)</f>
        <v>1944</v>
      </c>
      <c r="Q4890" s="6">
        <f>OrganizedData[[#This Row],[Total Items Ordered]]*VLOOKUP(OrganizedData[[#This Row],[Product Code]],ProductData[],3,FALSE)</f>
        <v>6590.16</v>
      </c>
      <c r="R489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4891" spans="1:18" x14ac:dyDescent="0.3">
      <c r="A4891" s="2">
        <v>4884</v>
      </c>
      <c r="B4891" s="2" t="s">
        <v>9720</v>
      </c>
      <c r="C4891" s="2" t="s">
        <v>10325</v>
      </c>
      <c r="D4891" s="2" t="s">
        <v>15</v>
      </c>
      <c r="E4891" s="2" t="s">
        <v>16</v>
      </c>
      <c r="F4891" s="2">
        <v>30</v>
      </c>
      <c r="G4891" s="2" t="s">
        <v>10326</v>
      </c>
      <c r="H4891" s="2" t="s">
        <v>5376</v>
      </c>
      <c r="I4891" s="2" t="s">
        <v>32</v>
      </c>
      <c r="J4891" s="3">
        <v>43963</v>
      </c>
      <c r="K4891" s="5">
        <f>YEAR(OrganizedData[[#This Row],[Order Date]])</f>
        <v>2020</v>
      </c>
      <c r="L4891" s="7" t="str">
        <f>TEXT(OrganizedData[[#This Row],[Order Date]],"mmm")</f>
        <v>May</v>
      </c>
      <c r="M4891" s="2">
        <v>36</v>
      </c>
      <c r="N4891" s="2" t="s">
        <v>33</v>
      </c>
      <c r="O4891" s="2" t="str">
        <f>VLOOKUP(OrganizedData[[#This Row],[Product Code]],ProductData[[Code]:[Item]],2,FALSE)</f>
        <v>Megawidget L</v>
      </c>
      <c r="P4891" s="4">
        <f>OrganizedData[[#This Row],[Quantity]]*VLOOKUP(OrganizedData[[#This Row],[Product Code]],ProductData[],4,FALSE)</f>
        <v>864</v>
      </c>
      <c r="Q4891" s="6">
        <f>OrganizedData[[#This Row],[Total Items Ordered]]*VLOOKUP(OrganizedData[[#This Row],[Product Code]],ProductData[],3,FALSE)</f>
        <v>1546.56</v>
      </c>
      <c r="R489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1500.1632</v>
      </c>
    </row>
    <row r="4892" spans="1:18" x14ac:dyDescent="0.3">
      <c r="A4892" s="2">
        <v>4885</v>
      </c>
      <c r="B4892" s="2" t="s">
        <v>1572</v>
      </c>
      <c r="C4892" s="2" t="s">
        <v>2101</v>
      </c>
      <c r="D4892" s="2" t="s">
        <v>28</v>
      </c>
      <c r="E4892" s="2" t="s">
        <v>29</v>
      </c>
      <c r="F4892" s="2">
        <v>60</v>
      </c>
      <c r="G4892" s="2" t="s">
        <v>10327</v>
      </c>
      <c r="H4892" s="2" t="s">
        <v>2622</v>
      </c>
      <c r="I4892" s="2" t="s">
        <v>294</v>
      </c>
      <c r="J4892" s="3">
        <v>44342</v>
      </c>
      <c r="K4892" s="5">
        <f>YEAR(OrganizedData[[#This Row],[Order Date]])</f>
        <v>2021</v>
      </c>
      <c r="L4892" s="7" t="str">
        <f>TEXT(OrganizedData[[#This Row],[Order Date]],"mmm")</f>
        <v>May</v>
      </c>
      <c r="M4892" s="2">
        <v>65</v>
      </c>
      <c r="N4892" s="2" t="s">
        <v>101</v>
      </c>
      <c r="O4892" s="2" t="str">
        <f>VLOOKUP(OrganizedData[[#This Row],[Product Code]],ProductData[[Code]:[Item]],2,FALSE)</f>
        <v>Superwossname</v>
      </c>
      <c r="P4892" s="4">
        <f>OrganizedData[[#This Row],[Quantity]]*VLOOKUP(OrganizedData[[#This Row],[Product Code]],ProductData[],4,FALSE)</f>
        <v>1300</v>
      </c>
      <c r="Q4892" s="6">
        <f>OrganizedData[[#This Row],[Total Items Ordered]]*VLOOKUP(OrganizedData[[#This Row],[Product Code]],ProductData[],3,FALSE)</f>
        <v>4537</v>
      </c>
      <c r="R489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4310.1499999999996</v>
      </c>
    </row>
    <row r="4893" spans="1:18" x14ac:dyDescent="0.3">
      <c r="A4893" s="2">
        <v>4886</v>
      </c>
      <c r="B4893" s="2" t="s">
        <v>10328</v>
      </c>
      <c r="C4893" s="2" t="s">
        <v>2690</v>
      </c>
      <c r="D4893" s="2" t="s">
        <v>15</v>
      </c>
      <c r="E4893" s="2" t="s">
        <v>16</v>
      </c>
      <c r="F4893" s="2">
        <v>90</v>
      </c>
      <c r="G4893" s="2" t="s">
        <v>10329</v>
      </c>
      <c r="H4893" s="2" t="s">
        <v>68</v>
      </c>
      <c r="I4893" s="2" t="s">
        <v>69</v>
      </c>
      <c r="J4893" s="3">
        <v>44471</v>
      </c>
      <c r="K4893" s="5">
        <f>YEAR(OrganizedData[[#This Row],[Order Date]])</f>
        <v>2021</v>
      </c>
      <c r="L4893" s="7" t="str">
        <f>TEXT(OrganizedData[[#This Row],[Order Date]],"mmm")</f>
        <v>Oct</v>
      </c>
      <c r="M4893" s="2">
        <v>62</v>
      </c>
      <c r="N4893" s="2" t="s">
        <v>54</v>
      </c>
      <c r="O4893" s="2" t="str">
        <f>VLOOKUP(OrganizedData[[#This Row],[Product Code]],ProductData[[Code]:[Item]],2,FALSE)</f>
        <v>Megawidget S</v>
      </c>
      <c r="P4893" s="4">
        <f>OrganizedData[[#This Row],[Quantity]]*VLOOKUP(OrganizedData[[#This Row],[Product Code]],ProductData[],4,FALSE)</f>
        <v>1488</v>
      </c>
      <c r="Q4893" s="6">
        <f>OrganizedData[[#This Row],[Total Items Ordered]]*VLOOKUP(OrganizedData[[#This Row],[Product Code]],ProductData[],3,FALSE)</f>
        <v>1026.72</v>
      </c>
      <c r="R489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975.38400000000001</v>
      </c>
    </row>
    <row r="4894" spans="1:18" x14ac:dyDescent="0.3">
      <c r="A4894" s="2">
        <v>4887</v>
      </c>
      <c r="B4894" s="2" t="s">
        <v>55</v>
      </c>
      <c r="C4894" s="2" t="s">
        <v>9110</v>
      </c>
      <c r="D4894" s="2" t="s">
        <v>28</v>
      </c>
      <c r="E4894" s="2" t="s">
        <v>29</v>
      </c>
      <c r="F4894" s="2">
        <v>60</v>
      </c>
      <c r="G4894" s="2" t="s">
        <v>10330</v>
      </c>
      <c r="H4894" s="2" t="s">
        <v>5718</v>
      </c>
      <c r="I4894" s="2" t="s">
        <v>294</v>
      </c>
      <c r="J4894" s="3">
        <v>44073</v>
      </c>
      <c r="K4894" s="5">
        <f>YEAR(OrganizedData[[#This Row],[Order Date]])</f>
        <v>2020</v>
      </c>
      <c r="L4894" s="7" t="str">
        <f>TEXT(OrganizedData[[#This Row],[Order Date]],"mmm")</f>
        <v>Aug</v>
      </c>
      <c r="M4894" s="2">
        <v>36</v>
      </c>
      <c r="N4894" s="2" t="s">
        <v>80</v>
      </c>
      <c r="O4894" s="2" t="str">
        <f>VLOOKUP(OrganizedData[[#This Row],[Product Code]],ProductData[[Code]:[Item]],2,FALSE)</f>
        <v>Ultrathing V2</v>
      </c>
      <c r="P4894" s="4">
        <f>OrganizedData[[#This Row],[Quantity]]*VLOOKUP(OrganizedData[[#This Row],[Product Code]],ProductData[],4,FALSE)</f>
        <v>720</v>
      </c>
      <c r="Q4894" s="6">
        <f>OrganizedData[[#This Row],[Total Items Ordered]]*VLOOKUP(OrganizedData[[#This Row],[Product Code]],ProductData[],3,FALSE)</f>
        <v>2124</v>
      </c>
      <c r="R489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2060.2799999999997</v>
      </c>
    </row>
    <row r="4895" spans="1:18" x14ac:dyDescent="0.3">
      <c r="A4895" s="2">
        <v>4888</v>
      </c>
      <c r="B4895" s="2" t="s">
        <v>7195</v>
      </c>
      <c r="C4895" s="2" t="s">
        <v>2293</v>
      </c>
      <c r="D4895" s="2" t="s">
        <v>117</v>
      </c>
      <c r="E4895" s="2" t="s">
        <v>16</v>
      </c>
      <c r="F4895" s="2">
        <v>90</v>
      </c>
      <c r="G4895" s="2" t="s">
        <v>10331</v>
      </c>
      <c r="H4895" s="2" t="s">
        <v>912</v>
      </c>
      <c r="I4895" s="2" t="s">
        <v>913</v>
      </c>
      <c r="J4895" s="3">
        <v>44109</v>
      </c>
      <c r="K4895" s="5">
        <f>YEAR(OrganizedData[[#This Row],[Order Date]])</f>
        <v>2020</v>
      </c>
      <c r="L4895" s="7" t="str">
        <f>TEXT(OrganizedData[[#This Row],[Order Date]],"mmm")</f>
        <v>Oct</v>
      </c>
      <c r="M4895" s="2">
        <v>34</v>
      </c>
      <c r="N4895" s="2" t="s">
        <v>54</v>
      </c>
      <c r="O4895" s="2" t="str">
        <f>VLOOKUP(OrganizedData[[#This Row],[Product Code]],ProductData[[Code]:[Item]],2,FALSE)</f>
        <v>Megawidget S</v>
      </c>
      <c r="P4895" s="4">
        <f>OrganizedData[[#This Row],[Quantity]]*VLOOKUP(OrganizedData[[#This Row],[Product Code]],ProductData[],4,FALSE)</f>
        <v>816</v>
      </c>
      <c r="Q4895" s="6">
        <f>OrganizedData[[#This Row],[Total Items Ordered]]*VLOOKUP(OrganizedData[[#This Row],[Product Code]],ProductData[],3,FALSE)</f>
        <v>563.04</v>
      </c>
      <c r="R489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546.14879999999994</v>
      </c>
    </row>
    <row r="4896" spans="1:18" x14ac:dyDescent="0.3">
      <c r="A4896" s="2">
        <v>4889</v>
      </c>
      <c r="B4896" s="2" t="s">
        <v>7200</v>
      </c>
      <c r="C4896" s="2" t="s">
        <v>6272</v>
      </c>
      <c r="D4896" s="2" t="s">
        <v>28</v>
      </c>
      <c r="E4896" s="2" t="s">
        <v>29</v>
      </c>
      <c r="F4896" s="2">
        <v>60</v>
      </c>
      <c r="G4896" s="2" t="s">
        <v>10332</v>
      </c>
      <c r="H4896" s="2" t="s">
        <v>3996</v>
      </c>
      <c r="I4896" s="2" t="s">
        <v>294</v>
      </c>
      <c r="J4896" s="3">
        <v>44341</v>
      </c>
      <c r="K4896" s="5">
        <f>YEAR(OrganizedData[[#This Row],[Order Date]])</f>
        <v>2021</v>
      </c>
      <c r="L4896" s="7" t="str">
        <f>TEXT(OrganizedData[[#This Row],[Order Date]],"mmm")</f>
        <v>May</v>
      </c>
      <c r="M4896" s="2">
        <v>78</v>
      </c>
      <c r="N4896" s="2" t="s">
        <v>45</v>
      </c>
      <c r="O4896" s="2" t="str">
        <f>VLOOKUP(OrganizedData[[#This Row],[Product Code]],ProductData[[Code]:[Item]],2,FALSE)</f>
        <v>Gigastuff</v>
      </c>
      <c r="P4896" s="4">
        <f>OrganizedData[[#This Row],[Quantity]]*VLOOKUP(OrganizedData[[#This Row],[Product Code]],ProductData[],4,FALSE)</f>
        <v>1404</v>
      </c>
      <c r="Q4896" s="6">
        <f>OrganizedData[[#This Row],[Total Items Ordered]]*VLOOKUP(OrganizedData[[#This Row],[Product Code]],ProductData[],3,FALSE)</f>
        <v>2653.56</v>
      </c>
      <c r="R489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2520.8819999999996</v>
      </c>
    </row>
    <row r="4897" spans="1:18" x14ac:dyDescent="0.3">
      <c r="A4897" s="2">
        <v>4890</v>
      </c>
      <c r="B4897" s="2" t="s">
        <v>339</v>
      </c>
      <c r="C4897" s="2" t="s">
        <v>629</v>
      </c>
      <c r="D4897" s="2" t="s">
        <v>51</v>
      </c>
      <c r="E4897" s="2" t="s">
        <v>16</v>
      </c>
      <c r="F4897" s="2">
        <v>30</v>
      </c>
      <c r="G4897" s="2" t="s">
        <v>10333</v>
      </c>
      <c r="H4897" s="2" t="s">
        <v>2341</v>
      </c>
      <c r="I4897" s="2" t="s">
        <v>2342</v>
      </c>
      <c r="J4897" s="3">
        <v>44657</v>
      </c>
      <c r="K4897" s="5">
        <f>YEAR(OrganizedData[[#This Row],[Order Date]])</f>
        <v>2022</v>
      </c>
      <c r="L4897" s="7" t="str">
        <f>TEXT(OrganizedData[[#This Row],[Order Date]],"mmm")</f>
        <v>Apr</v>
      </c>
      <c r="M4897" s="2">
        <v>42</v>
      </c>
      <c r="N4897" s="2" t="s">
        <v>54</v>
      </c>
      <c r="O4897" s="2" t="str">
        <f>VLOOKUP(OrganizedData[[#This Row],[Product Code]],ProductData[[Code]:[Item]],2,FALSE)</f>
        <v>Megawidget S</v>
      </c>
      <c r="P4897" s="4">
        <f>OrganizedData[[#This Row],[Quantity]]*VLOOKUP(OrganizedData[[#This Row],[Product Code]],ProductData[],4,FALSE)</f>
        <v>1008</v>
      </c>
      <c r="Q4897" s="6">
        <f>OrganizedData[[#This Row],[Total Items Ordered]]*VLOOKUP(OrganizedData[[#This Row],[Product Code]],ProductData[],3,FALSE)</f>
        <v>695.52</v>
      </c>
      <c r="R489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674.65440000000001</v>
      </c>
    </row>
    <row r="4898" spans="1:18" x14ac:dyDescent="0.3">
      <c r="A4898" s="2">
        <v>4891</v>
      </c>
      <c r="B4898" s="2" t="s">
        <v>2906</v>
      </c>
      <c r="C4898" s="2" t="s">
        <v>2647</v>
      </c>
      <c r="D4898" s="2" t="s">
        <v>28</v>
      </c>
      <c r="E4898" s="2" t="s">
        <v>29</v>
      </c>
      <c r="F4898" s="2">
        <v>30</v>
      </c>
      <c r="G4898" s="2" t="s">
        <v>10334</v>
      </c>
      <c r="H4898" s="2" t="s">
        <v>270</v>
      </c>
      <c r="I4898" s="2" t="s">
        <v>187</v>
      </c>
      <c r="J4898" s="3">
        <v>44328</v>
      </c>
      <c r="K4898" s="5">
        <f>YEAR(OrganizedData[[#This Row],[Order Date]])</f>
        <v>2021</v>
      </c>
      <c r="L4898" s="7" t="str">
        <f>TEXT(OrganizedData[[#This Row],[Order Date]],"mmm")</f>
        <v>May</v>
      </c>
      <c r="M4898" s="2">
        <v>13</v>
      </c>
      <c r="N4898" s="2" t="s">
        <v>159</v>
      </c>
      <c r="O4898" s="2" t="str">
        <f>VLOOKUP(OrganizedData[[#This Row],[Product Code]],ProductData[[Code]:[Item]],2,FALSE)</f>
        <v>Ultrathing V3</v>
      </c>
      <c r="P4898" s="4">
        <f>OrganizedData[[#This Row],[Quantity]]*VLOOKUP(OrganizedData[[#This Row],[Product Code]],ProductData[],4,FALSE)</f>
        <v>312</v>
      </c>
      <c r="Q4898" s="6">
        <f>OrganizedData[[#This Row],[Total Items Ordered]]*VLOOKUP(OrganizedData[[#This Row],[Product Code]],ProductData[],3,FALSE)</f>
        <v>1057.68</v>
      </c>
      <c r="R489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1057.68</v>
      </c>
    </row>
    <row r="4899" spans="1:18" x14ac:dyDescent="0.3">
      <c r="A4899" s="2">
        <v>4892</v>
      </c>
      <c r="B4899" s="2" t="s">
        <v>10335</v>
      </c>
      <c r="C4899" s="2" t="s">
        <v>3589</v>
      </c>
      <c r="D4899" s="2" t="s">
        <v>15</v>
      </c>
      <c r="E4899" s="2" t="s">
        <v>16</v>
      </c>
      <c r="F4899" s="2">
        <v>90</v>
      </c>
      <c r="G4899" s="2" t="s">
        <v>10336</v>
      </c>
      <c r="H4899" s="2" t="s">
        <v>583</v>
      </c>
      <c r="I4899" s="2" t="s">
        <v>32</v>
      </c>
      <c r="J4899" s="3">
        <v>44413</v>
      </c>
      <c r="K4899" s="5">
        <f>YEAR(OrganizedData[[#This Row],[Order Date]])</f>
        <v>2021</v>
      </c>
      <c r="L4899" s="7" t="str">
        <f>TEXT(OrganizedData[[#This Row],[Order Date]],"mmm")</f>
        <v>Aug</v>
      </c>
      <c r="M4899" s="2">
        <v>80</v>
      </c>
      <c r="N4899" s="2" t="s">
        <v>80</v>
      </c>
      <c r="O4899" s="2" t="str">
        <f>VLOOKUP(OrganizedData[[#This Row],[Product Code]],ProductData[[Code]:[Item]],2,FALSE)</f>
        <v>Ultrathing V2</v>
      </c>
      <c r="P4899" s="4">
        <f>OrganizedData[[#This Row],[Quantity]]*VLOOKUP(OrganizedData[[#This Row],[Product Code]],ProductData[],4,FALSE)</f>
        <v>1600</v>
      </c>
      <c r="Q4899" s="6">
        <f>OrganizedData[[#This Row],[Total Items Ordered]]*VLOOKUP(OrganizedData[[#This Row],[Product Code]],ProductData[],3,FALSE)</f>
        <v>4720</v>
      </c>
      <c r="R489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4484</v>
      </c>
    </row>
    <row r="4900" spans="1:18" x14ac:dyDescent="0.3">
      <c r="A4900" s="2">
        <v>4893</v>
      </c>
      <c r="B4900" s="2" t="s">
        <v>259</v>
      </c>
      <c r="C4900" s="2" t="s">
        <v>5354</v>
      </c>
      <c r="D4900" s="2" t="s">
        <v>15</v>
      </c>
      <c r="E4900" s="2" t="s">
        <v>16</v>
      </c>
      <c r="F4900" s="2">
        <v>30</v>
      </c>
      <c r="G4900" s="2" t="s">
        <v>10337</v>
      </c>
      <c r="H4900" s="2" t="s">
        <v>1864</v>
      </c>
      <c r="I4900" s="2" t="s">
        <v>294</v>
      </c>
      <c r="J4900" s="3">
        <v>44770</v>
      </c>
      <c r="K4900" s="5">
        <f>YEAR(OrganizedData[[#This Row],[Order Date]])</f>
        <v>2022</v>
      </c>
      <c r="L4900" s="7" t="str">
        <f>TEXT(OrganizedData[[#This Row],[Order Date]],"mmm")</f>
        <v>Jul</v>
      </c>
      <c r="M4900" s="2">
        <v>105</v>
      </c>
      <c r="N4900" s="2" t="s">
        <v>20</v>
      </c>
      <c r="O4900" s="2" t="str">
        <f>VLOOKUP(OrganizedData[[#This Row],[Product Code]],ProductData[[Code]:[Item]],2,FALSE)</f>
        <v>Hyperwotsit</v>
      </c>
      <c r="P4900" s="4">
        <f>OrganizedData[[#This Row],[Quantity]]*VLOOKUP(OrganizedData[[#This Row],[Product Code]],ProductData[],4,FALSE)</f>
        <v>2100</v>
      </c>
      <c r="Q4900" s="6">
        <f>OrganizedData[[#This Row],[Total Items Ordered]]*VLOOKUP(OrganizedData[[#This Row],[Product Code]],ProductData[],3,FALSE)</f>
        <v>4221</v>
      </c>
      <c r="R490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3925.53</v>
      </c>
    </row>
    <row r="4901" spans="1:18" x14ac:dyDescent="0.3">
      <c r="A4901" s="2">
        <v>4894</v>
      </c>
      <c r="B4901" s="2" t="s">
        <v>657</v>
      </c>
      <c r="C4901" s="2" t="s">
        <v>4379</v>
      </c>
      <c r="D4901" s="2" t="s">
        <v>28</v>
      </c>
      <c r="E4901" s="2" t="s">
        <v>29</v>
      </c>
      <c r="F4901" s="2">
        <v>30</v>
      </c>
      <c r="G4901" s="2" t="s">
        <v>10338</v>
      </c>
      <c r="H4901" s="2" t="s">
        <v>5823</v>
      </c>
      <c r="I4901" s="2" t="s">
        <v>110</v>
      </c>
      <c r="J4901" s="3">
        <v>44348</v>
      </c>
      <c r="K4901" s="5">
        <f>YEAR(OrganizedData[[#This Row],[Order Date]])</f>
        <v>2021</v>
      </c>
      <c r="L4901" s="7" t="str">
        <f>TEXT(OrganizedData[[#This Row],[Order Date]],"mmm")</f>
        <v>Jun</v>
      </c>
      <c r="M4901" s="2">
        <v>53</v>
      </c>
      <c r="N4901" s="2" t="s">
        <v>101</v>
      </c>
      <c r="O4901" s="2" t="str">
        <f>VLOOKUP(OrganizedData[[#This Row],[Product Code]],ProductData[[Code]:[Item]],2,FALSE)</f>
        <v>Superwossname</v>
      </c>
      <c r="P4901" s="4">
        <f>OrganizedData[[#This Row],[Quantity]]*VLOOKUP(OrganizedData[[#This Row],[Product Code]],ProductData[],4,FALSE)</f>
        <v>1060</v>
      </c>
      <c r="Q4901" s="6">
        <f>OrganizedData[[#This Row],[Total Items Ordered]]*VLOOKUP(OrganizedData[[#This Row],[Product Code]],ProductData[],3,FALSE)</f>
        <v>3699.4</v>
      </c>
      <c r="R490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3514.43</v>
      </c>
    </row>
    <row r="4902" spans="1:18" x14ac:dyDescent="0.3">
      <c r="A4902" s="2">
        <v>4895</v>
      </c>
      <c r="B4902" s="2" t="s">
        <v>5785</v>
      </c>
      <c r="C4902" s="2" t="s">
        <v>9172</v>
      </c>
      <c r="D4902" s="2" t="s">
        <v>15</v>
      </c>
      <c r="E4902" s="2" t="s">
        <v>16</v>
      </c>
      <c r="F4902" s="2">
        <v>90</v>
      </c>
      <c r="G4902" s="2" t="s">
        <v>10339</v>
      </c>
      <c r="H4902" s="2" t="s">
        <v>6544</v>
      </c>
      <c r="I4902" s="2" t="s">
        <v>32</v>
      </c>
      <c r="J4902" s="3">
        <v>44539</v>
      </c>
      <c r="K4902" s="5">
        <f>YEAR(OrganizedData[[#This Row],[Order Date]])</f>
        <v>2021</v>
      </c>
      <c r="L4902" s="7" t="str">
        <f>TEXT(OrganizedData[[#This Row],[Order Date]],"mmm")</f>
        <v>Dec</v>
      </c>
      <c r="M4902" s="2">
        <v>91</v>
      </c>
      <c r="N4902" s="2" t="s">
        <v>80</v>
      </c>
      <c r="O4902" s="2" t="str">
        <f>VLOOKUP(OrganizedData[[#This Row],[Product Code]],ProductData[[Code]:[Item]],2,FALSE)</f>
        <v>Ultrathing V2</v>
      </c>
      <c r="P4902" s="4">
        <f>OrganizedData[[#This Row],[Quantity]]*VLOOKUP(OrganizedData[[#This Row],[Product Code]],ProductData[],4,FALSE)</f>
        <v>1820</v>
      </c>
      <c r="Q4902" s="6">
        <f>OrganizedData[[#This Row],[Total Items Ordered]]*VLOOKUP(OrganizedData[[#This Row],[Product Code]],ProductData[],3,FALSE)</f>
        <v>5369</v>
      </c>
      <c r="R490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5100.55</v>
      </c>
    </row>
    <row r="4903" spans="1:18" x14ac:dyDescent="0.3">
      <c r="A4903" s="2">
        <v>4896</v>
      </c>
      <c r="B4903" s="2" t="s">
        <v>305</v>
      </c>
      <c r="C4903" s="2" t="s">
        <v>5891</v>
      </c>
      <c r="D4903" s="2" t="s">
        <v>28</v>
      </c>
      <c r="E4903" s="2" t="s">
        <v>29</v>
      </c>
      <c r="F4903" s="2">
        <v>60</v>
      </c>
      <c r="G4903" s="2" t="s">
        <v>10340</v>
      </c>
      <c r="H4903" s="2" t="s">
        <v>4683</v>
      </c>
      <c r="I4903" s="2" t="s">
        <v>178</v>
      </c>
      <c r="J4903" s="3">
        <v>44545</v>
      </c>
      <c r="K4903" s="5">
        <f>YEAR(OrganizedData[[#This Row],[Order Date]])</f>
        <v>2021</v>
      </c>
      <c r="L4903" s="7" t="str">
        <f>TEXT(OrganizedData[[#This Row],[Order Date]],"mmm")</f>
        <v>Dec</v>
      </c>
      <c r="M4903" s="2">
        <v>83</v>
      </c>
      <c r="N4903" s="2" t="s">
        <v>70</v>
      </c>
      <c r="O4903" s="2" t="str">
        <f>VLOOKUP(OrganizedData[[#This Row],[Product Code]],ProductData[[Code]:[Item]],2,FALSE)</f>
        <v>Megawidget M</v>
      </c>
      <c r="P4903" s="4">
        <f>OrganizedData[[#This Row],[Quantity]]*VLOOKUP(OrganizedData[[#This Row],[Product Code]],ProductData[],4,FALSE)</f>
        <v>1992</v>
      </c>
      <c r="Q4903" s="6">
        <f>OrganizedData[[#This Row],[Total Items Ordered]]*VLOOKUP(OrganizedData[[#This Row],[Product Code]],ProductData[],3,FALSE)</f>
        <v>2569.6800000000003</v>
      </c>
      <c r="R490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2441.1960000000004</v>
      </c>
    </row>
    <row r="4904" spans="1:18" x14ac:dyDescent="0.3">
      <c r="A4904" s="2">
        <v>4897</v>
      </c>
      <c r="B4904" s="2" t="s">
        <v>6267</v>
      </c>
      <c r="C4904" s="2" t="s">
        <v>1471</v>
      </c>
      <c r="D4904" s="2" t="s">
        <v>28</v>
      </c>
      <c r="E4904" s="2" t="s">
        <v>29</v>
      </c>
      <c r="F4904" s="2">
        <v>90</v>
      </c>
      <c r="G4904" s="2" t="s">
        <v>10341</v>
      </c>
      <c r="H4904" s="2" t="s">
        <v>396</v>
      </c>
      <c r="I4904" s="2" t="s">
        <v>32</v>
      </c>
      <c r="J4904" s="3">
        <v>43849</v>
      </c>
      <c r="K4904" s="5">
        <f>YEAR(OrganizedData[[#This Row],[Order Date]])</f>
        <v>2020</v>
      </c>
      <c r="L4904" s="7" t="str">
        <f>TEXT(OrganizedData[[#This Row],[Order Date]],"mmm")</f>
        <v>Jan</v>
      </c>
      <c r="M4904" s="2">
        <v>83</v>
      </c>
      <c r="N4904" s="2" t="s">
        <v>159</v>
      </c>
      <c r="O4904" s="2" t="str">
        <f>VLOOKUP(OrganizedData[[#This Row],[Product Code]],ProductData[[Code]:[Item]],2,FALSE)</f>
        <v>Ultrathing V3</v>
      </c>
      <c r="P4904" s="4">
        <f>OrganizedData[[#This Row],[Quantity]]*VLOOKUP(OrganizedData[[#This Row],[Product Code]],ProductData[],4,FALSE)</f>
        <v>1992</v>
      </c>
      <c r="Q4904" s="6">
        <f>OrganizedData[[#This Row],[Total Items Ordered]]*VLOOKUP(OrganizedData[[#This Row],[Product Code]],ProductData[],3,FALSE)</f>
        <v>6752.88</v>
      </c>
      <c r="R490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6415.2359999999999</v>
      </c>
    </row>
    <row r="4905" spans="1:18" x14ac:dyDescent="0.3">
      <c r="A4905" s="2">
        <v>4898</v>
      </c>
      <c r="B4905" s="2" t="s">
        <v>10065</v>
      </c>
      <c r="C4905" s="2" t="s">
        <v>1554</v>
      </c>
      <c r="D4905" s="2" t="s">
        <v>15</v>
      </c>
      <c r="E4905" s="2" t="s">
        <v>16</v>
      </c>
      <c r="F4905" s="2">
        <v>60</v>
      </c>
      <c r="G4905" s="2" t="s">
        <v>10342</v>
      </c>
      <c r="H4905" s="2" t="s">
        <v>8946</v>
      </c>
      <c r="I4905" s="2" t="s">
        <v>95</v>
      </c>
      <c r="J4905" s="3">
        <v>43944</v>
      </c>
      <c r="K4905" s="5">
        <f>YEAR(OrganizedData[[#This Row],[Order Date]])</f>
        <v>2020</v>
      </c>
      <c r="L4905" s="7" t="str">
        <f>TEXT(OrganizedData[[#This Row],[Order Date]],"mmm")</f>
        <v>Apr</v>
      </c>
      <c r="M4905" s="2">
        <v>72</v>
      </c>
      <c r="N4905" s="2" t="s">
        <v>33</v>
      </c>
      <c r="O4905" s="2" t="str">
        <f>VLOOKUP(OrganizedData[[#This Row],[Product Code]],ProductData[[Code]:[Item]],2,FALSE)</f>
        <v>Megawidget L</v>
      </c>
      <c r="P4905" s="4">
        <f>OrganizedData[[#This Row],[Quantity]]*VLOOKUP(OrganizedData[[#This Row],[Product Code]],ProductData[],4,FALSE)</f>
        <v>1728</v>
      </c>
      <c r="Q4905" s="6">
        <f>OrganizedData[[#This Row],[Total Items Ordered]]*VLOOKUP(OrganizedData[[#This Row],[Product Code]],ProductData[],3,FALSE)</f>
        <v>3093.12</v>
      </c>
      <c r="R490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2938.4639999999999</v>
      </c>
    </row>
    <row r="4906" spans="1:18" x14ac:dyDescent="0.3">
      <c r="A4906" s="2">
        <v>4899</v>
      </c>
      <c r="B4906" s="2" t="s">
        <v>10343</v>
      </c>
      <c r="C4906" s="2" t="s">
        <v>2427</v>
      </c>
      <c r="D4906" s="2" t="s">
        <v>28</v>
      </c>
      <c r="E4906" s="2" t="s">
        <v>29</v>
      </c>
      <c r="F4906" s="2">
        <v>30</v>
      </c>
      <c r="G4906" s="2" t="s">
        <v>10592</v>
      </c>
      <c r="H4906" s="2" t="s">
        <v>574</v>
      </c>
      <c r="I4906" s="2" t="s">
        <v>575</v>
      </c>
      <c r="J4906" s="3">
        <v>44469</v>
      </c>
      <c r="K4906" s="5">
        <f>YEAR(OrganizedData[[#This Row],[Order Date]])</f>
        <v>2021</v>
      </c>
      <c r="L4906" s="7" t="str">
        <f>TEXT(OrganizedData[[#This Row],[Order Date]],"mmm")</f>
        <v>Sep</v>
      </c>
      <c r="M4906" s="2">
        <v>66</v>
      </c>
      <c r="N4906" s="2" t="s">
        <v>45</v>
      </c>
      <c r="O4906" s="2" t="str">
        <f>VLOOKUP(OrganizedData[[#This Row],[Product Code]],ProductData[[Code]:[Item]],2,FALSE)</f>
        <v>Gigastuff</v>
      </c>
      <c r="P4906" s="4">
        <f>OrganizedData[[#This Row],[Quantity]]*VLOOKUP(OrganizedData[[#This Row],[Product Code]],ProductData[],4,FALSE)</f>
        <v>1188</v>
      </c>
      <c r="Q4906" s="6">
        <f>OrganizedData[[#This Row],[Total Items Ordered]]*VLOOKUP(OrganizedData[[#This Row],[Product Code]],ProductData[],3,FALSE)</f>
        <v>2245.3199999999997</v>
      </c>
      <c r="R490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2133.0539999999996</v>
      </c>
    </row>
    <row r="4907" spans="1:18" x14ac:dyDescent="0.3">
      <c r="A4907" s="2">
        <v>4900</v>
      </c>
      <c r="B4907" s="2" t="s">
        <v>2819</v>
      </c>
      <c r="C4907" s="2" t="s">
        <v>111</v>
      </c>
      <c r="D4907" s="2" t="s">
        <v>28</v>
      </c>
      <c r="E4907" s="2" t="s">
        <v>29</v>
      </c>
      <c r="F4907" s="2">
        <v>90</v>
      </c>
      <c r="G4907" s="2" t="s">
        <v>10345</v>
      </c>
      <c r="H4907" s="2" t="s">
        <v>374</v>
      </c>
      <c r="I4907" s="2" t="s">
        <v>25</v>
      </c>
      <c r="J4907" s="3">
        <v>44261</v>
      </c>
      <c r="K4907" s="5">
        <f>YEAR(OrganizedData[[#This Row],[Order Date]])</f>
        <v>2021</v>
      </c>
      <c r="L4907" s="7" t="str">
        <f>TEXT(OrganizedData[[#This Row],[Order Date]],"mmm")</f>
        <v>Mar</v>
      </c>
      <c r="M4907" s="2">
        <v>47</v>
      </c>
      <c r="N4907" s="2" t="s">
        <v>45</v>
      </c>
      <c r="O4907" s="2" t="str">
        <f>VLOOKUP(OrganizedData[[#This Row],[Product Code]],ProductData[[Code]:[Item]],2,FALSE)</f>
        <v>Gigastuff</v>
      </c>
      <c r="P4907" s="4">
        <f>OrganizedData[[#This Row],[Quantity]]*VLOOKUP(OrganizedData[[#This Row],[Product Code]],ProductData[],4,FALSE)</f>
        <v>846</v>
      </c>
      <c r="Q4907" s="6">
        <f>OrganizedData[[#This Row],[Total Items Ordered]]*VLOOKUP(OrganizedData[[#This Row],[Product Code]],ProductData[],3,FALSE)</f>
        <v>1598.9399999999998</v>
      </c>
      <c r="R490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1550.9717999999998</v>
      </c>
    </row>
    <row r="4908" spans="1:18" x14ac:dyDescent="0.3">
      <c r="A4908" s="2">
        <v>4901</v>
      </c>
      <c r="B4908" s="2" t="s">
        <v>9508</v>
      </c>
      <c r="C4908" s="2" t="s">
        <v>8144</v>
      </c>
      <c r="D4908" s="2" t="s">
        <v>51</v>
      </c>
      <c r="E4908" s="2" t="s">
        <v>16</v>
      </c>
      <c r="F4908" s="2">
        <v>30</v>
      </c>
      <c r="G4908" s="2" t="s">
        <v>10346</v>
      </c>
      <c r="H4908" s="2" t="s">
        <v>3271</v>
      </c>
      <c r="I4908" s="2" t="s">
        <v>173</v>
      </c>
      <c r="J4908" s="3">
        <v>44513</v>
      </c>
      <c r="K4908" s="5">
        <f>YEAR(OrganizedData[[#This Row],[Order Date]])</f>
        <v>2021</v>
      </c>
      <c r="L4908" s="7" t="str">
        <f>TEXT(OrganizedData[[#This Row],[Order Date]],"mmm")</f>
        <v>Nov</v>
      </c>
      <c r="M4908" s="2">
        <v>8</v>
      </c>
      <c r="N4908" s="2" t="s">
        <v>54</v>
      </c>
      <c r="O4908" s="2" t="str">
        <f>VLOOKUP(OrganizedData[[#This Row],[Product Code]],ProductData[[Code]:[Item]],2,FALSE)</f>
        <v>Megawidget S</v>
      </c>
      <c r="P4908" s="4">
        <f>OrganizedData[[#This Row],[Quantity]]*VLOOKUP(OrganizedData[[#This Row],[Product Code]],ProductData[],4,FALSE)</f>
        <v>192</v>
      </c>
      <c r="Q4908" s="6">
        <f>OrganizedData[[#This Row],[Total Items Ordered]]*VLOOKUP(OrganizedData[[#This Row],[Product Code]],ProductData[],3,FALSE)</f>
        <v>132.47999999999999</v>
      </c>
      <c r="R490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132.47999999999999</v>
      </c>
    </row>
    <row r="4909" spans="1:18" x14ac:dyDescent="0.3">
      <c r="A4909" s="2">
        <v>4902</v>
      </c>
      <c r="B4909" s="2" t="s">
        <v>7104</v>
      </c>
      <c r="C4909" s="2" t="s">
        <v>4222</v>
      </c>
      <c r="D4909" s="2" t="s">
        <v>28</v>
      </c>
      <c r="E4909" s="2" t="s">
        <v>29</v>
      </c>
      <c r="F4909" s="2">
        <v>60</v>
      </c>
      <c r="G4909" s="2" t="s">
        <v>10347</v>
      </c>
      <c r="H4909" s="2" t="s">
        <v>1880</v>
      </c>
      <c r="I4909" s="2" t="s">
        <v>32</v>
      </c>
      <c r="J4909" s="3">
        <v>44143</v>
      </c>
      <c r="K4909" s="5">
        <f>YEAR(OrganizedData[[#This Row],[Order Date]])</f>
        <v>2020</v>
      </c>
      <c r="L4909" s="7" t="str">
        <f>TEXT(OrganizedData[[#This Row],[Order Date]],"mmm")</f>
        <v>Nov</v>
      </c>
      <c r="M4909" s="2">
        <v>20</v>
      </c>
      <c r="N4909" s="2" t="s">
        <v>101</v>
      </c>
      <c r="O4909" s="2" t="str">
        <f>VLOOKUP(OrganizedData[[#This Row],[Product Code]],ProductData[[Code]:[Item]],2,FALSE)</f>
        <v>Superwossname</v>
      </c>
      <c r="P4909" s="4">
        <f>OrganizedData[[#This Row],[Quantity]]*VLOOKUP(OrganizedData[[#This Row],[Product Code]],ProductData[],4,FALSE)</f>
        <v>400</v>
      </c>
      <c r="Q4909" s="6">
        <f>OrganizedData[[#This Row],[Total Items Ordered]]*VLOOKUP(OrganizedData[[#This Row],[Product Code]],ProductData[],3,FALSE)</f>
        <v>1396</v>
      </c>
      <c r="R490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1396</v>
      </c>
    </row>
    <row r="4910" spans="1:18" x14ac:dyDescent="0.3">
      <c r="A4910" s="2">
        <v>4903</v>
      </c>
      <c r="B4910" s="2" t="s">
        <v>10348</v>
      </c>
      <c r="C4910" s="2" t="s">
        <v>1741</v>
      </c>
      <c r="D4910" s="2" t="s">
        <v>15</v>
      </c>
      <c r="E4910" s="2" t="s">
        <v>16</v>
      </c>
      <c r="F4910" s="2">
        <v>30</v>
      </c>
      <c r="G4910" s="2" t="s">
        <v>10349</v>
      </c>
      <c r="H4910" s="2" t="s">
        <v>1310</v>
      </c>
      <c r="I4910" s="2" t="s">
        <v>1311</v>
      </c>
      <c r="J4910" s="3">
        <v>43885</v>
      </c>
      <c r="K4910" s="5">
        <f>YEAR(OrganizedData[[#This Row],[Order Date]])</f>
        <v>2020</v>
      </c>
      <c r="L4910" s="7" t="str">
        <f>TEXT(OrganizedData[[#This Row],[Order Date]],"mmm")</f>
        <v>Feb</v>
      </c>
      <c r="M4910" s="2">
        <v>36</v>
      </c>
      <c r="N4910" s="2" t="s">
        <v>159</v>
      </c>
      <c r="O4910" s="2" t="str">
        <f>VLOOKUP(OrganizedData[[#This Row],[Product Code]],ProductData[[Code]:[Item]],2,FALSE)</f>
        <v>Ultrathing V3</v>
      </c>
      <c r="P4910" s="4">
        <f>OrganizedData[[#This Row],[Quantity]]*VLOOKUP(OrganizedData[[#This Row],[Product Code]],ProductData[],4,FALSE)</f>
        <v>864</v>
      </c>
      <c r="Q4910" s="6">
        <f>OrganizedData[[#This Row],[Total Items Ordered]]*VLOOKUP(OrganizedData[[#This Row],[Product Code]],ProductData[],3,FALSE)</f>
        <v>2928.96</v>
      </c>
      <c r="R491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2841.0911999999998</v>
      </c>
    </row>
    <row r="4911" spans="1:18" x14ac:dyDescent="0.3">
      <c r="A4911" s="2">
        <v>4904</v>
      </c>
      <c r="B4911" s="2" t="s">
        <v>4946</v>
      </c>
      <c r="C4911" s="2" t="s">
        <v>9475</v>
      </c>
      <c r="D4911" s="2" t="s">
        <v>28</v>
      </c>
      <c r="E4911" s="2" t="s">
        <v>29</v>
      </c>
      <c r="F4911" s="2">
        <v>90</v>
      </c>
      <c r="G4911" s="2" t="s">
        <v>10350</v>
      </c>
      <c r="H4911" s="2" t="s">
        <v>6778</v>
      </c>
      <c r="I4911" s="2" t="s">
        <v>38</v>
      </c>
      <c r="J4911" s="3">
        <v>44860</v>
      </c>
      <c r="K4911" s="5">
        <f>YEAR(OrganizedData[[#This Row],[Order Date]])</f>
        <v>2022</v>
      </c>
      <c r="L4911" s="7" t="str">
        <f>TEXT(OrganizedData[[#This Row],[Order Date]],"mmm")</f>
        <v>Oct</v>
      </c>
      <c r="M4911" s="2">
        <v>50</v>
      </c>
      <c r="N4911" s="2" t="s">
        <v>70</v>
      </c>
      <c r="O4911" s="2" t="str">
        <f>VLOOKUP(OrganizedData[[#This Row],[Product Code]],ProductData[[Code]:[Item]],2,FALSE)</f>
        <v>Megawidget M</v>
      </c>
      <c r="P4911" s="4">
        <f>OrganizedData[[#This Row],[Quantity]]*VLOOKUP(OrganizedData[[#This Row],[Product Code]],ProductData[],4,FALSE)</f>
        <v>1200</v>
      </c>
      <c r="Q4911" s="6">
        <f>OrganizedData[[#This Row],[Total Items Ordered]]*VLOOKUP(OrganizedData[[#This Row],[Product Code]],ProductData[],3,FALSE)</f>
        <v>1548</v>
      </c>
      <c r="R491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1501.56</v>
      </c>
    </row>
    <row r="4912" spans="1:18" x14ac:dyDescent="0.3">
      <c r="A4912" s="2">
        <v>4905</v>
      </c>
      <c r="B4912" s="2" t="s">
        <v>10351</v>
      </c>
      <c r="C4912" s="2" t="s">
        <v>1832</v>
      </c>
      <c r="D4912" s="2" t="s">
        <v>92</v>
      </c>
      <c r="E4912" s="2" t="s">
        <v>16</v>
      </c>
      <c r="F4912" s="2">
        <v>60</v>
      </c>
      <c r="G4912" s="2" t="s">
        <v>10352</v>
      </c>
      <c r="H4912" s="2" t="s">
        <v>974</v>
      </c>
      <c r="I4912" s="2" t="s">
        <v>32</v>
      </c>
      <c r="J4912" s="3">
        <v>44562</v>
      </c>
      <c r="K4912" s="5">
        <f>YEAR(OrganizedData[[#This Row],[Order Date]])</f>
        <v>2022</v>
      </c>
      <c r="L4912" s="7" t="str">
        <f>TEXT(OrganizedData[[#This Row],[Order Date]],"mmm")</f>
        <v>Jan</v>
      </c>
      <c r="M4912" s="2">
        <v>28</v>
      </c>
      <c r="N4912" s="2" t="s">
        <v>64</v>
      </c>
      <c r="O4912" s="2" t="str">
        <f>VLOOKUP(OrganizedData[[#This Row],[Product Code]],ProductData[[Code]:[Item]],2,FALSE)</f>
        <v>Ultrathing V4</v>
      </c>
      <c r="P4912" s="4">
        <f>OrganizedData[[#This Row],[Quantity]]*VLOOKUP(OrganizedData[[#This Row],[Product Code]],ProductData[],4,FALSE)</f>
        <v>672</v>
      </c>
      <c r="Q4912" s="6">
        <f>OrganizedData[[#This Row],[Total Items Ordered]]*VLOOKUP(OrganizedData[[#This Row],[Product Code]],ProductData[],3,FALSE)</f>
        <v>2681.28</v>
      </c>
      <c r="R491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2600.8416000000002</v>
      </c>
    </row>
    <row r="4913" spans="1:18" x14ac:dyDescent="0.3">
      <c r="A4913" s="2">
        <v>4906</v>
      </c>
      <c r="B4913" s="2" t="s">
        <v>10353</v>
      </c>
      <c r="C4913" s="2" t="s">
        <v>5926</v>
      </c>
      <c r="D4913" s="2" t="s">
        <v>51</v>
      </c>
      <c r="E4913" s="2" t="s">
        <v>16</v>
      </c>
      <c r="F4913" s="2">
        <v>60</v>
      </c>
      <c r="G4913" s="2" t="s">
        <v>10354</v>
      </c>
      <c r="H4913" s="2" t="s">
        <v>7151</v>
      </c>
      <c r="I4913" s="2" t="s">
        <v>38</v>
      </c>
      <c r="J4913" s="3">
        <v>44219</v>
      </c>
      <c r="K4913" s="5">
        <f>YEAR(OrganizedData[[#This Row],[Order Date]])</f>
        <v>2021</v>
      </c>
      <c r="L4913" s="7" t="str">
        <f>TEXT(OrganizedData[[#This Row],[Order Date]],"mmm")</f>
        <v>Jan</v>
      </c>
      <c r="M4913" s="2">
        <v>75</v>
      </c>
      <c r="N4913" s="2" t="s">
        <v>70</v>
      </c>
      <c r="O4913" s="2" t="str">
        <f>VLOOKUP(OrganizedData[[#This Row],[Product Code]],ProductData[[Code]:[Item]],2,FALSE)</f>
        <v>Megawidget M</v>
      </c>
      <c r="P4913" s="4">
        <f>OrganizedData[[#This Row],[Quantity]]*VLOOKUP(OrganizedData[[#This Row],[Product Code]],ProductData[],4,FALSE)</f>
        <v>1800</v>
      </c>
      <c r="Q4913" s="6">
        <f>OrganizedData[[#This Row],[Total Items Ordered]]*VLOOKUP(OrganizedData[[#This Row],[Product Code]],ProductData[],3,FALSE)</f>
        <v>2322</v>
      </c>
      <c r="R491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2205.9</v>
      </c>
    </row>
    <row r="4914" spans="1:18" x14ac:dyDescent="0.3">
      <c r="A4914" s="2">
        <v>4907</v>
      </c>
      <c r="B4914" s="2" t="s">
        <v>824</v>
      </c>
      <c r="C4914" s="2" t="s">
        <v>3301</v>
      </c>
      <c r="D4914" s="2" t="s">
        <v>28</v>
      </c>
      <c r="E4914" s="2" t="s">
        <v>29</v>
      </c>
      <c r="F4914" s="2">
        <v>30</v>
      </c>
      <c r="G4914" s="2" t="s">
        <v>10355</v>
      </c>
      <c r="H4914" s="2" t="s">
        <v>2799</v>
      </c>
      <c r="I4914" s="2" t="s">
        <v>32</v>
      </c>
      <c r="J4914" s="3">
        <v>44615</v>
      </c>
      <c r="K4914" s="5">
        <f>YEAR(OrganizedData[[#This Row],[Order Date]])</f>
        <v>2022</v>
      </c>
      <c r="L4914" s="7" t="str">
        <f>TEXT(OrganizedData[[#This Row],[Order Date]],"mmm")</f>
        <v>Feb</v>
      </c>
      <c r="M4914" s="2">
        <v>12</v>
      </c>
      <c r="N4914" s="2" t="s">
        <v>70</v>
      </c>
      <c r="O4914" s="2" t="str">
        <f>VLOOKUP(OrganizedData[[#This Row],[Product Code]],ProductData[[Code]:[Item]],2,FALSE)</f>
        <v>Megawidget M</v>
      </c>
      <c r="P4914" s="4">
        <f>OrganizedData[[#This Row],[Quantity]]*VLOOKUP(OrganizedData[[#This Row],[Product Code]],ProductData[],4,FALSE)</f>
        <v>288</v>
      </c>
      <c r="Q4914" s="6">
        <f>OrganizedData[[#This Row],[Total Items Ordered]]*VLOOKUP(OrganizedData[[#This Row],[Product Code]],ProductData[],3,FALSE)</f>
        <v>371.52</v>
      </c>
      <c r="R491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371.52</v>
      </c>
    </row>
    <row r="4915" spans="1:18" x14ac:dyDescent="0.3">
      <c r="A4915" s="2">
        <v>4908</v>
      </c>
      <c r="B4915" s="2" t="s">
        <v>2027</v>
      </c>
      <c r="C4915" s="2" t="s">
        <v>10356</v>
      </c>
      <c r="D4915" s="2" t="s">
        <v>51</v>
      </c>
      <c r="E4915" s="2" t="s">
        <v>16</v>
      </c>
      <c r="F4915" s="2">
        <v>90</v>
      </c>
      <c r="G4915" s="2" t="s">
        <v>10357</v>
      </c>
      <c r="H4915" s="2" t="s">
        <v>2021</v>
      </c>
      <c r="I4915" s="2" t="s">
        <v>2022</v>
      </c>
      <c r="J4915" s="3">
        <v>44223</v>
      </c>
      <c r="K4915" s="5">
        <f>YEAR(OrganizedData[[#This Row],[Order Date]])</f>
        <v>2021</v>
      </c>
      <c r="L4915" s="7" t="str">
        <f>TEXT(OrganizedData[[#This Row],[Order Date]],"mmm")</f>
        <v>Jan</v>
      </c>
      <c r="M4915" s="2">
        <v>74</v>
      </c>
      <c r="N4915" s="2" t="s">
        <v>33</v>
      </c>
      <c r="O4915" s="2" t="str">
        <f>VLOOKUP(OrganizedData[[#This Row],[Product Code]],ProductData[[Code]:[Item]],2,FALSE)</f>
        <v>Megawidget L</v>
      </c>
      <c r="P4915" s="4">
        <f>OrganizedData[[#This Row],[Quantity]]*VLOOKUP(OrganizedData[[#This Row],[Product Code]],ProductData[],4,FALSE)</f>
        <v>1776</v>
      </c>
      <c r="Q4915" s="6">
        <f>OrganizedData[[#This Row],[Total Items Ordered]]*VLOOKUP(OrganizedData[[#This Row],[Product Code]],ProductData[],3,FALSE)</f>
        <v>3179.04</v>
      </c>
      <c r="R491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3020.0879999999997</v>
      </c>
    </row>
    <row r="4916" spans="1:18" x14ac:dyDescent="0.3">
      <c r="A4916" s="2">
        <v>4909</v>
      </c>
      <c r="B4916" s="2" t="s">
        <v>196</v>
      </c>
      <c r="C4916" s="2" t="s">
        <v>4504</v>
      </c>
      <c r="D4916" s="2" t="s">
        <v>28</v>
      </c>
      <c r="E4916" s="2" t="s">
        <v>29</v>
      </c>
      <c r="F4916" s="2">
        <v>60</v>
      </c>
      <c r="G4916" s="2" t="s">
        <v>10358</v>
      </c>
      <c r="H4916" s="2" t="s">
        <v>2376</v>
      </c>
      <c r="I4916" s="2" t="s">
        <v>32</v>
      </c>
      <c r="J4916" s="3">
        <v>44166</v>
      </c>
      <c r="K4916" s="5">
        <f>YEAR(OrganizedData[[#This Row],[Order Date]])</f>
        <v>2020</v>
      </c>
      <c r="L4916" s="7" t="str">
        <f>TEXT(OrganizedData[[#This Row],[Order Date]],"mmm")</f>
        <v>Dec</v>
      </c>
      <c r="M4916" s="2">
        <v>55</v>
      </c>
      <c r="N4916" s="2" t="s">
        <v>33</v>
      </c>
      <c r="O4916" s="2" t="str">
        <f>VLOOKUP(OrganizedData[[#This Row],[Product Code]],ProductData[[Code]:[Item]],2,FALSE)</f>
        <v>Megawidget L</v>
      </c>
      <c r="P4916" s="4">
        <f>OrganizedData[[#This Row],[Quantity]]*VLOOKUP(OrganizedData[[#This Row],[Product Code]],ProductData[],4,FALSE)</f>
        <v>1320</v>
      </c>
      <c r="Q4916" s="6">
        <f>OrganizedData[[#This Row],[Total Items Ordered]]*VLOOKUP(OrganizedData[[#This Row],[Product Code]],ProductData[],3,FALSE)</f>
        <v>2362.8000000000002</v>
      </c>
      <c r="R491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2244.66</v>
      </c>
    </row>
    <row r="4917" spans="1:18" x14ac:dyDescent="0.3">
      <c r="A4917" s="2">
        <v>4910</v>
      </c>
      <c r="B4917" s="2" t="s">
        <v>10359</v>
      </c>
      <c r="C4917" s="2" t="s">
        <v>2841</v>
      </c>
      <c r="D4917" s="2" t="s">
        <v>15</v>
      </c>
      <c r="E4917" s="2" t="s">
        <v>16</v>
      </c>
      <c r="F4917" s="2">
        <v>90</v>
      </c>
      <c r="G4917" s="2" t="s">
        <v>10360</v>
      </c>
      <c r="H4917" s="2" t="s">
        <v>3764</v>
      </c>
      <c r="I4917" s="2" t="s">
        <v>32</v>
      </c>
      <c r="J4917" s="3">
        <v>44656</v>
      </c>
      <c r="K4917" s="5">
        <f>YEAR(OrganizedData[[#This Row],[Order Date]])</f>
        <v>2022</v>
      </c>
      <c r="L4917" s="7" t="str">
        <f>TEXT(OrganizedData[[#This Row],[Order Date]],"mmm")</f>
        <v>Apr</v>
      </c>
      <c r="M4917" s="2">
        <v>8</v>
      </c>
      <c r="N4917" s="2" t="s">
        <v>45</v>
      </c>
      <c r="O4917" s="2" t="str">
        <f>VLOOKUP(OrganizedData[[#This Row],[Product Code]],ProductData[[Code]:[Item]],2,FALSE)</f>
        <v>Gigastuff</v>
      </c>
      <c r="P4917" s="4">
        <f>OrganizedData[[#This Row],[Quantity]]*VLOOKUP(OrganizedData[[#This Row],[Product Code]],ProductData[],4,FALSE)</f>
        <v>144</v>
      </c>
      <c r="Q4917" s="6">
        <f>OrganizedData[[#This Row],[Total Items Ordered]]*VLOOKUP(OrganizedData[[#This Row],[Product Code]],ProductData[],3,FALSE)</f>
        <v>272.15999999999997</v>
      </c>
      <c r="R491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272.15999999999997</v>
      </c>
    </row>
    <row r="4918" spans="1:18" x14ac:dyDescent="0.3">
      <c r="A4918" s="2">
        <v>4911</v>
      </c>
      <c r="B4918" s="2" t="s">
        <v>10361</v>
      </c>
      <c r="C4918" s="2" t="s">
        <v>9953</v>
      </c>
      <c r="D4918" s="2" t="s">
        <v>41</v>
      </c>
      <c r="E4918" s="2" t="s">
        <v>16</v>
      </c>
      <c r="F4918" s="2">
        <v>60</v>
      </c>
      <c r="G4918" s="2" t="s">
        <v>10593</v>
      </c>
      <c r="H4918" s="2" t="s">
        <v>7768</v>
      </c>
      <c r="I4918" s="2" t="s">
        <v>19</v>
      </c>
      <c r="J4918" s="3">
        <v>43960</v>
      </c>
      <c r="K4918" s="5">
        <f>YEAR(OrganizedData[[#This Row],[Order Date]])</f>
        <v>2020</v>
      </c>
      <c r="L4918" s="7" t="str">
        <f>TEXT(OrganizedData[[#This Row],[Order Date]],"mmm")</f>
        <v>May</v>
      </c>
      <c r="M4918" s="2">
        <v>36</v>
      </c>
      <c r="N4918" s="2" t="s">
        <v>20</v>
      </c>
      <c r="O4918" s="2" t="str">
        <f>VLOOKUP(OrganizedData[[#This Row],[Product Code]],ProductData[[Code]:[Item]],2,FALSE)</f>
        <v>Hyperwotsit</v>
      </c>
      <c r="P4918" s="4">
        <f>OrganizedData[[#This Row],[Quantity]]*VLOOKUP(OrganizedData[[#This Row],[Product Code]],ProductData[],4,FALSE)</f>
        <v>720</v>
      </c>
      <c r="Q4918" s="6">
        <f>OrganizedData[[#This Row],[Total Items Ordered]]*VLOOKUP(OrganizedData[[#This Row],[Product Code]],ProductData[],3,FALSE)</f>
        <v>1447.1999999999998</v>
      </c>
      <c r="R491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1403.7839999999999</v>
      </c>
    </row>
    <row r="4919" spans="1:18" x14ac:dyDescent="0.3">
      <c r="A4919" s="2">
        <v>4912</v>
      </c>
      <c r="B4919" s="2" t="s">
        <v>10363</v>
      </c>
      <c r="C4919" s="2" t="s">
        <v>1439</v>
      </c>
      <c r="D4919" s="2" t="s">
        <v>15</v>
      </c>
      <c r="E4919" s="2" t="s">
        <v>16</v>
      </c>
      <c r="F4919" s="2">
        <v>30</v>
      </c>
      <c r="G4919" s="2" t="s">
        <v>10364</v>
      </c>
      <c r="H4919" s="2" t="s">
        <v>6479</v>
      </c>
      <c r="I4919" s="2" t="s">
        <v>187</v>
      </c>
      <c r="J4919" s="3">
        <v>44606</v>
      </c>
      <c r="K4919" s="5">
        <f>YEAR(OrganizedData[[#This Row],[Order Date]])</f>
        <v>2022</v>
      </c>
      <c r="L4919" s="7" t="str">
        <f>TEXT(OrganizedData[[#This Row],[Order Date]],"mmm")</f>
        <v>Feb</v>
      </c>
      <c r="M4919" s="2">
        <v>22</v>
      </c>
      <c r="N4919" s="2" t="s">
        <v>39</v>
      </c>
      <c r="O4919" s="2" t="str">
        <f>VLOOKUP(OrganizedData[[#This Row],[Product Code]],ProductData[[Code]:[Item]],2,FALSE)</f>
        <v>Ultrathing V1</v>
      </c>
      <c r="P4919" s="4">
        <f>OrganizedData[[#This Row],[Quantity]]*VLOOKUP(OrganizedData[[#This Row],[Product Code]],ProductData[],4,FALSE)</f>
        <v>374</v>
      </c>
      <c r="Q4919" s="6">
        <f>OrganizedData[[#This Row],[Total Items Ordered]]*VLOOKUP(OrganizedData[[#This Row],[Product Code]],ProductData[],3,FALSE)</f>
        <v>669.46</v>
      </c>
      <c r="R491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649.37620000000004</v>
      </c>
    </row>
    <row r="4920" spans="1:18" x14ac:dyDescent="0.3">
      <c r="A4920" s="2">
        <v>4913</v>
      </c>
      <c r="B4920" s="2" t="s">
        <v>4372</v>
      </c>
      <c r="C4920" s="2" t="s">
        <v>2402</v>
      </c>
      <c r="D4920" s="2" t="s">
        <v>28</v>
      </c>
      <c r="E4920" s="2" t="s">
        <v>29</v>
      </c>
      <c r="F4920" s="2">
        <v>90</v>
      </c>
      <c r="G4920" s="2" t="s">
        <v>10365</v>
      </c>
      <c r="H4920" s="2" t="s">
        <v>4285</v>
      </c>
      <c r="I4920" s="2" t="s">
        <v>124</v>
      </c>
      <c r="J4920" s="3">
        <v>43898</v>
      </c>
      <c r="K4920" s="5">
        <f>YEAR(OrganizedData[[#This Row],[Order Date]])</f>
        <v>2020</v>
      </c>
      <c r="L4920" s="7" t="str">
        <f>TEXT(OrganizedData[[#This Row],[Order Date]],"mmm")</f>
        <v>Mar</v>
      </c>
      <c r="M4920" s="2">
        <v>58</v>
      </c>
      <c r="N4920" s="2" t="s">
        <v>20</v>
      </c>
      <c r="O4920" s="2" t="str">
        <f>VLOOKUP(OrganizedData[[#This Row],[Product Code]],ProductData[[Code]:[Item]],2,FALSE)</f>
        <v>Hyperwotsit</v>
      </c>
      <c r="P4920" s="4">
        <f>OrganizedData[[#This Row],[Quantity]]*VLOOKUP(OrganizedData[[#This Row],[Product Code]],ProductData[],4,FALSE)</f>
        <v>1160</v>
      </c>
      <c r="Q4920" s="6">
        <f>OrganizedData[[#This Row],[Total Items Ordered]]*VLOOKUP(OrganizedData[[#This Row],[Product Code]],ProductData[],3,FALSE)</f>
        <v>2331.6</v>
      </c>
      <c r="R492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2215.02</v>
      </c>
    </row>
    <row r="4921" spans="1:18" x14ac:dyDescent="0.3">
      <c r="A4921" s="2">
        <v>4914</v>
      </c>
      <c r="B4921" s="2" t="s">
        <v>1229</v>
      </c>
      <c r="C4921" s="2" t="s">
        <v>589</v>
      </c>
      <c r="D4921" s="2" t="s">
        <v>28</v>
      </c>
      <c r="E4921" s="2" t="s">
        <v>29</v>
      </c>
      <c r="F4921" s="2">
        <v>30</v>
      </c>
      <c r="G4921" s="2" t="s">
        <v>10365</v>
      </c>
      <c r="H4921" s="2" t="s">
        <v>3678</v>
      </c>
      <c r="I4921" s="2" t="s">
        <v>32</v>
      </c>
      <c r="J4921" s="3">
        <v>44618</v>
      </c>
      <c r="K4921" s="5">
        <f>YEAR(OrganizedData[[#This Row],[Order Date]])</f>
        <v>2022</v>
      </c>
      <c r="L4921" s="7" t="str">
        <f>TEXT(OrganizedData[[#This Row],[Order Date]],"mmm")</f>
        <v>Feb</v>
      </c>
      <c r="M4921" s="2">
        <v>50</v>
      </c>
      <c r="N4921" s="2" t="s">
        <v>70</v>
      </c>
      <c r="O4921" s="2" t="str">
        <f>VLOOKUP(OrganizedData[[#This Row],[Product Code]],ProductData[[Code]:[Item]],2,FALSE)</f>
        <v>Megawidget M</v>
      </c>
      <c r="P4921" s="4">
        <f>OrganizedData[[#This Row],[Quantity]]*VLOOKUP(OrganizedData[[#This Row],[Product Code]],ProductData[],4,FALSE)</f>
        <v>1200</v>
      </c>
      <c r="Q4921" s="6">
        <f>OrganizedData[[#This Row],[Total Items Ordered]]*VLOOKUP(OrganizedData[[#This Row],[Product Code]],ProductData[],3,FALSE)</f>
        <v>1548</v>
      </c>
      <c r="R492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1501.56</v>
      </c>
    </row>
    <row r="4922" spans="1:18" x14ac:dyDescent="0.3">
      <c r="A4922" s="2">
        <v>4915</v>
      </c>
      <c r="B4922" s="2" t="s">
        <v>2398</v>
      </c>
      <c r="C4922" s="2" t="s">
        <v>2653</v>
      </c>
      <c r="D4922" s="2" t="s">
        <v>15</v>
      </c>
      <c r="E4922" s="2" t="s">
        <v>16</v>
      </c>
      <c r="F4922" s="2">
        <v>60</v>
      </c>
      <c r="G4922" s="2" t="s">
        <v>10366</v>
      </c>
      <c r="H4922" s="2" t="s">
        <v>137</v>
      </c>
      <c r="I4922" s="2" t="s">
        <v>32</v>
      </c>
      <c r="J4922" s="3">
        <v>44452</v>
      </c>
      <c r="K4922" s="5">
        <f>YEAR(OrganizedData[[#This Row],[Order Date]])</f>
        <v>2021</v>
      </c>
      <c r="L4922" s="7" t="str">
        <f>TEXT(OrganizedData[[#This Row],[Order Date]],"mmm")</f>
        <v>Sep</v>
      </c>
      <c r="M4922" s="2">
        <v>63</v>
      </c>
      <c r="N4922" s="2" t="s">
        <v>39</v>
      </c>
      <c r="O4922" s="2" t="str">
        <f>VLOOKUP(OrganizedData[[#This Row],[Product Code]],ProductData[[Code]:[Item]],2,FALSE)</f>
        <v>Ultrathing V1</v>
      </c>
      <c r="P4922" s="4">
        <f>OrganizedData[[#This Row],[Quantity]]*VLOOKUP(OrganizedData[[#This Row],[Product Code]],ProductData[],4,FALSE)</f>
        <v>1071</v>
      </c>
      <c r="Q4922" s="6">
        <f>OrganizedData[[#This Row],[Total Items Ordered]]*VLOOKUP(OrganizedData[[#This Row],[Product Code]],ProductData[],3,FALSE)</f>
        <v>1917.0900000000001</v>
      </c>
      <c r="R492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1821.2355</v>
      </c>
    </row>
    <row r="4923" spans="1:18" x14ac:dyDescent="0.3">
      <c r="A4923" s="2">
        <v>4916</v>
      </c>
      <c r="B4923" s="2" t="s">
        <v>10367</v>
      </c>
      <c r="C4923" s="2" t="s">
        <v>143</v>
      </c>
      <c r="D4923" s="2" t="s">
        <v>15</v>
      </c>
      <c r="E4923" s="2" t="s">
        <v>16</v>
      </c>
      <c r="F4923" s="2">
        <v>30</v>
      </c>
      <c r="G4923" s="2" t="s">
        <v>10368</v>
      </c>
      <c r="H4923" s="2" t="s">
        <v>5634</v>
      </c>
      <c r="I4923" s="2" t="s">
        <v>32</v>
      </c>
      <c r="J4923" s="3">
        <v>44228</v>
      </c>
      <c r="K4923" s="5">
        <f>YEAR(OrganizedData[[#This Row],[Order Date]])</f>
        <v>2021</v>
      </c>
      <c r="L4923" s="7" t="str">
        <f>TEXT(OrganizedData[[#This Row],[Order Date]],"mmm")</f>
        <v>Feb</v>
      </c>
      <c r="M4923" s="2">
        <v>20</v>
      </c>
      <c r="N4923" s="2" t="s">
        <v>64</v>
      </c>
      <c r="O4923" s="2" t="str">
        <f>VLOOKUP(OrganizedData[[#This Row],[Product Code]],ProductData[[Code]:[Item]],2,FALSE)</f>
        <v>Ultrathing V4</v>
      </c>
      <c r="P4923" s="4">
        <f>OrganizedData[[#This Row],[Quantity]]*VLOOKUP(OrganizedData[[#This Row],[Product Code]],ProductData[],4,FALSE)</f>
        <v>480</v>
      </c>
      <c r="Q4923" s="6">
        <f>OrganizedData[[#This Row],[Total Items Ordered]]*VLOOKUP(OrganizedData[[#This Row],[Product Code]],ProductData[],3,FALSE)</f>
        <v>1915.2</v>
      </c>
      <c r="R492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1915.2</v>
      </c>
    </row>
    <row r="4924" spans="1:18" x14ac:dyDescent="0.3">
      <c r="A4924" s="2">
        <v>4917</v>
      </c>
      <c r="B4924" s="2" t="s">
        <v>7678</v>
      </c>
      <c r="C4924" s="2" t="s">
        <v>1851</v>
      </c>
      <c r="D4924" s="2" t="s">
        <v>28</v>
      </c>
      <c r="E4924" s="2" t="s">
        <v>29</v>
      </c>
      <c r="F4924" s="2">
        <v>60</v>
      </c>
      <c r="G4924" s="2" t="s">
        <v>10369</v>
      </c>
      <c r="H4924" s="2" t="s">
        <v>2673</v>
      </c>
      <c r="I4924" s="2" t="s">
        <v>19</v>
      </c>
      <c r="J4924" s="3">
        <v>44456</v>
      </c>
      <c r="K4924" s="5">
        <f>YEAR(OrganizedData[[#This Row],[Order Date]])</f>
        <v>2021</v>
      </c>
      <c r="L4924" s="7" t="str">
        <f>TEXT(OrganizedData[[#This Row],[Order Date]],"mmm")</f>
        <v>Sep</v>
      </c>
      <c r="M4924" s="2">
        <v>51</v>
      </c>
      <c r="N4924" s="2" t="s">
        <v>39</v>
      </c>
      <c r="O4924" s="2" t="str">
        <f>VLOOKUP(OrganizedData[[#This Row],[Product Code]],ProductData[[Code]:[Item]],2,FALSE)</f>
        <v>Ultrathing V1</v>
      </c>
      <c r="P4924" s="4">
        <f>OrganizedData[[#This Row],[Quantity]]*VLOOKUP(OrganizedData[[#This Row],[Product Code]],ProductData[],4,FALSE)</f>
        <v>867</v>
      </c>
      <c r="Q4924" s="6">
        <f>OrganizedData[[#This Row],[Total Items Ordered]]*VLOOKUP(OrganizedData[[#This Row],[Product Code]],ProductData[],3,FALSE)</f>
        <v>1551.93</v>
      </c>
      <c r="R492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1474.3335</v>
      </c>
    </row>
    <row r="4925" spans="1:18" x14ac:dyDescent="0.3">
      <c r="A4925" s="2">
        <v>4918</v>
      </c>
      <c r="B4925" s="2" t="s">
        <v>10370</v>
      </c>
      <c r="C4925" s="2" t="s">
        <v>1638</v>
      </c>
      <c r="D4925" s="2" t="s">
        <v>28</v>
      </c>
      <c r="E4925" s="2" t="s">
        <v>29</v>
      </c>
      <c r="F4925" s="2">
        <v>60</v>
      </c>
      <c r="G4925" s="2" t="s">
        <v>10594</v>
      </c>
      <c r="H4925" s="2" t="s">
        <v>1674</v>
      </c>
      <c r="I4925" s="2" t="s">
        <v>25</v>
      </c>
      <c r="J4925" s="3">
        <v>44532</v>
      </c>
      <c r="K4925" s="5">
        <f>YEAR(OrganizedData[[#This Row],[Order Date]])</f>
        <v>2021</v>
      </c>
      <c r="L4925" s="7" t="str">
        <f>TEXT(OrganizedData[[#This Row],[Order Date]],"mmm")</f>
        <v>Dec</v>
      </c>
      <c r="M4925" s="2">
        <v>86</v>
      </c>
      <c r="N4925" s="2" t="s">
        <v>70</v>
      </c>
      <c r="O4925" s="2" t="str">
        <f>VLOOKUP(OrganizedData[[#This Row],[Product Code]],ProductData[[Code]:[Item]],2,FALSE)</f>
        <v>Megawidget M</v>
      </c>
      <c r="P4925" s="4">
        <f>OrganizedData[[#This Row],[Quantity]]*VLOOKUP(OrganizedData[[#This Row],[Product Code]],ProductData[],4,FALSE)</f>
        <v>2064</v>
      </c>
      <c r="Q4925" s="6">
        <f>OrganizedData[[#This Row],[Total Items Ordered]]*VLOOKUP(OrganizedData[[#This Row],[Product Code]],ProductData[],3,FALSE)</f>
        <v>2662.56</v>
      </c>
      <c r="R492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2529.4319999999998</v>
      </c>
    </row>
    <row r="4926" spans="1:18" x14ac:dyDescent="0.3">
      <c r="A4926" s="2">
        <v>4919</v>
      </c>
      <c r="B4926" s="2" t="s">
        <v>2690</v>
      </c>
      <c r="C4926" s="2" t="s">
        <v>7062</v>
      </c>
      <c r="D4926" s="2" t="s">
        <v>28</v>
      </c>
      <c r="E4926" s="2" t="s">
        <v>29</v>
      </c>
      <c r="F4926" s="2">
        <v>90</v>
      </c>
      <c r="G4926" s="2" t="s">
        <v>10372</v>
      </c>
      <c r="H4926" s="2" t="s">
        <v>4451</v>
      </c>
      <c r="I4926" s="2" t="s">
        <v>32</v>
      </c>
      <c r="J4926" s="3">
        <v>44787</v>
      </c>
      <c r="K4926" s="5">
        <f>YEAR(OrganizedData[[#This Row],[Order Date]])</f>
        <v>2022</v>
      </c>
      <c r="L4926" s="7" t="str">
        <f>TEXT(OrganizedData[[#This Row],[Order Date]],"mmm")</f>
        <v>Aug</v>
      </c>
      <c r="M4926" s="2">
        <v>39</v>
      </c>
      <c r="N4926" s="2" t="s">
        <v>20</v>
      </c>
      <c r="O4926" s="2" t="str">
        <f>VLOOKUP(OrganizedData[[#This Row],[Product Code]],ProductData[[Code]:[Item]],2,FALSE)</f>
        <v>Hyperwotsit</v>
      </c>
      <c r="P4926" s="4">
        <f>OrganizedData[[#This Row],[Quantity]]*VLOOKUP(OrganizedData[[#This Row],[Product Code]],ProductData[],4,FALSE)</f>
        <v>780</v>
      </c>
      <c r="Q4926" s="6">
        <f>OrganizedData[[#This Row],[Total Items Ordered]]*VLOOKUP(OrganizedData[[#This Row],[Product Code]],ProductData[],3,FALSE)</f>
        <v>1567.7999999999997</v>
      </c>
      <c r="R492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1520.7659999999996</v>
      </c>
    </row>
    <row r="4927" spans="1:18" x14ac:dyDescent="0.3">
      <c r="A4927" s="2">
        <v>4920</v>
      </c>
      <c r="B4927" s="2" t="s">
        <v>6874</v>
      </c>
      <c r="C4927" s="2" t="s">
        <v>4121</v>
      </c>
      <c r="D4927" s="2" t="s">
        <v>51</v>
      </c>
      <c r="E4927" s="2" t="s">
        <v>16</v>
      </c>
      <c r="F4927" s="2">
        <v>90</v>
      </c>
      <c r="G4927" s="2" t="s">
        <v>10373</v>
      </c>
      <c r="H4927" s="2" t="s">
        <v>1334</v>
      </c>
      <c r="I4927" s="2" t="s">
        <v>38</v>
      </c>
      <c r="J4927" s="3">
        <v>44352</v>
      </c>
      <c r="K4927" s="5">
        <f>YEAR(OrganizedData[[#This Row],[Order Date]])</f>
        <v>2021</v>
      </c>
      <c r="L4927" s="7" t="str">
        <f>TEXT(OrganizedData[[#This Row],[Order Date]],"mmm")</f>
        <v>Jun</v>
      </c>
      <c r="M4927" s="2">
        <v>86</v>
      </c>
      <c r="N4927" s="2" t="s">
        <v>70</v>
      </c>
      <c r="O4927" s="2" t="str">
        <f>VLOOKUP(OrganizedData[[#This Row],[Product Code]],ProductData[[Code]:[Item]],2,FALSE)</f>
        <v>Megawidget M</v>
      </c>
      <c r="P4927" s="4">
        <f>OrganizedData[[#This Row],[Quantity]]*VLOOKUP(OrganizedData[[#This Row],[Product Code]],ProductData[],4,FALSE)</f>
        <v>2064</v>
      </c>
      <c r="Q4927" s="6">
        <f>OrganizedData[[#This Row],[Total Items Ordered]]*VLOOKUP(OrganizedData[[#This Row],[Product Code]],ProductData[],3,FALSE)</f>
        <v>2662.56</v>
      </c>
      <c r="R492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2529.4319999999998</v>
      </c>
    </row>
    <row r="4928" spans="1:18" x14ac:dyDescent="0.3">
      <c r="A4928" s="2">
        <v>4921</v>
      </c>
      <c r="B4928" s="2" t="s">
        <v>10374</v>
      </c>
      <c r="C4928" s="2" t="s">
        <v>4596</v>
      </c>
      <c r="D4928" s="2" t="s">
        <v>51</v>
      </c>
      <c r="E4928" s="2" t="s">
        <v>16</v>
      </c>
      <c r="F4928" s="2">
        <v>30</v>
      </c>
      <c r="G4928" s="2" t="s">
        <v>10373</v>
      </c>
      <c r="H4928" s="2" t="s">
        <v>389</v>
      </c>
      <c r="I4928" s="2" t="s">
        <v>32</v>
      </c>
      <c r="J4928" s="3">
        <v>44756</v>
      </c>
      <c r="K4928" s="5">
        <f>YEAR(OrganizedData[[#This Row],[Order Date]])</f>
        <v>2022</v>
      </c>
      <c r="L4928" s="7" t="str">
        <f>TEXT(OrganizedData[[#This Row],[Order Date]],"mmm")</f>
        <v>Jul</v>
      </c>
      <c r="M4928" s="2">
        <v>52</v>
      </c>
      <c r="N4928" s="2" t="s">
        <v>64</v>
      </c>
      <c r="O4928" s="2" t="str">
        <f>VLOOKUP(OrganizedData[[#This Row],[Product Code]],ProductData[[Code]:[Item]],2,FALSE)</f>
        <v>Ultrathing V4</v>
      </c>
      <c r="P4928" s="4">
        <f>OrganizedData[[#This Row],[Quantity]]*VLOOKUP(OrganizedData[[#This Row],[Product Code]],ProductData[],4,FALSE)</f>
        <v>1248</v>
      </c>
      <c r="Q4928" s="6">
        <f>OrganizedData[[#This Row],[Total Items Ordered]]*VLOOKUP(OrganizedData[[#This Row],[Product Code]],ProductData[],3,FALSE)</f>
        <v>4979.5200000000004</v>
      </c>
      <c r="R492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4730.5439999999999</v>
      </c>
    </row>
    <row r="4929" spans="1:18" x14ac:dyDescent="0.3">
      <c r="A4929" s="2">
        <v>4922</v>
      </c>
      <c r="B4929" s="2" t="s">
        <v>1602</v>
      </c>
      <c r="C4929" s="2" t="s">
        <v>4681</v>
      </c>
      <c r="D4929" s="2" t="s">
        <v>28</v>
      </c>
      <c r="E4929" s="2" t="s">
        <v>29</v>
      </c>
      <c r="F4929" s="2">
        <v>90</v>
      </c>
      <c r="G4929" s="2" t="s">
        <v>10375</v>
      </c>
      <c r="H4929" s="2" t="s">
        <v>694</v>
      </c>
      <c r="I4929" s="2" t="s">
        <v>32</v>
      </c>
      <c r="J4929" s="3">
        <v>44051</v>
      </c>
      <c r="K4929" s="5">
        <f>YEAR(OrganizedData[[#This Row],[Order Date]])</f>
        <v>2020</v>
      </c>
      <c r="L4929" s="7" t="str">
        <f>TEXT(OrganizedData[[#This Row],[Order Date]],"mmm")</f>
        <v>Aug</v>
      </c>
      <c r="M4929" s="2">
        <v>39</v>
      </c>
      <c r="N4929" s="2" t="s">
        <v>64</v>
      </c>
      <c r="O4929" s="2" t="str">
        <f>VLOOKUP(OrganizedData[[#This Row],[Product Code]],ProductData[[Code]:[Item]],2,FALSE)</f>
        <v>Ultrathing V4</v>
      </c>
      <c r="P4929" s="4">
        <f>OrganizedData[[#This Row],[Quantity]]*VLOOKUP(OrganizedData[[#This Row],[Product Code]],ProductData[],4,FALSE)</f>
        <v>936</v>
      </c>
      <c r="Q4929" s="6">
        <f>OrganizedData[[#This Row],[Total Items Ordered]]*VLOOKUP(OrganizedData[[#This Row],[Product Code]],ProductData[],3,FALSE)</f>
        <v>3734.6400000000003</v>
      </c>
      <c r="R492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3622.6008000000002</v>
      </c>
    </row>
    <row r="4930" spans="1:18" x14ac:dyDescent="0.3">
      <c r="A4930" s="2">
        <v>4923</v>
      </c>
      <c r="B4930" s="2" t="s">
        <v>4977</v>
      </c>
      <c r="C4930" s="2" t="s">
        <v>6226</v>
      </c>
      <c r="D4930" s="2" t="s">
        <v>51</v>
      </c>
      <c r="E4930" s="2" t="s">
        <v>16</v>
      </c>
      <c r="F4930" s="2">
        <v>90</v>
      </c>
      <c r="G4930" s="2" t="s">
        <v>10376</v>
      </c>
      <c r="H4930" s="2" t="s">
        <v>9609</v>
      </c>
      <c r="I4930" s="2" t="s">
        <v>19</v>
      </c>
      <c r="J4930" s="3">
        <v>44344</v>
      </c>
      <c r="K4930" s="5">
        <f>YEAR(OrganizedData[[#This Row],[Order Date]])</f>
        <v>2021</v>
      </c>
      <c r="L4930" s="7" t="str">
        <f>TEXT(OrganizedData[[#This Row],[Order Date]],"mmm")</f>
        <v>May</v>
      </c>
      <c r="M4930" s="2">
        <v>95</v>
      </c>
      <c r="N4930" s="2" t="s">
        <v>39</v>
      </c>
      <c r="O4930" s="2" t="str">
        <f>VLOOKUP(OrganizedData[[#This Row],[Product Code]],ProductData[[Code]:[Item]],2,FALSE)</f>
        <v>Ultrathing V1</v>
      </c>
      <c r="P4930" s="4">
        <f>OrganizedData[[#This Row],[Quantity]]*VLOOKUP(OrganizedData[[#This Row],[Product Code]],ProductData[],4,FALSE)</f>
        <v>1615</v>
      </c>
      <c r="Q4930" s="6">
        <f>OrganizedData[[#This Row],[Total Items Ordered]]*VLOOKUP(OrganizedData[[#This Row],[Product Code]],ProductData[],3,FALSE)</f>
        <v>2890.85</v>
      </c>
      <c r="R493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2746.3074999999999</v>
      </c>
    </row>
    <row r="4931" spans="1:18" x14ac:dyDescent="0.3">
      <c r="A4931" s="2">
        <v>4924</v>
      </c>
      <c r="B4931" s="2" t="s">
        <v>3225</v>
      </c>
      <c r="C4931" s="2" t="s">
        <v>10377</v>
      </c>
      <c r="D4931" s="2" t="s">
        <v>51</v>
      </c>
      <c r="E4931" s="2" t="s">
        <v>16</v>
      </c>
      <c r="F4931" s="2">
        <v>30</v>
      </c>
      <c r="G4931" s="2" t="s">
        <v>10378</v>
      </c>
      <c r="H4931" s="2" t="s">
        <v>8019</v>
      </c>
      <c r="I4931" s="2" t="s">
        <v>32</v>
      </c>
      <c r="J4931" s="3">
        <v>44628</v>
      </c>
      <c r="K4931" s="5">
        <f>YEAR(OrganizedData[[#This Row],[Order Date]])</f>
        <v>2022</v>
      </c>
      <c r="L4931" s="7" t="str">
        <f>TEXT(OrganizedData[[#This Row],[Order Date]],"mmm")</f>
        <v>Mar</v>
      </c>
      <c r="M4931" s="2">
        <v>81</v>
      </c>
      <c r="N4931" s="2" t="s">
        <v>159</v>
      </c>
      <c r="O4931" s="2" t="str">
        <f>VLOOKUP(OrganizedData[[#This Row],[Product Code]],ProductData[[Code]:[Item]],2,FALSE)</f>
        <v>Ultrathing V3</v>
      </c>
      <c r="P4931" s="4">
        <f>OrganizedData[[#This Row],[Quantity]]*VLOOKUP(OrganizedData[[#This Row],[Product Code]],ProductData[],4,FALSE)</f>
        <v>1944</v>
      </c>
      <c r="Q4931" s="6">
        <f>OrganizedData[[#This Row],[Total Items Ordered]]*VLOOKUP(OrganizedData[[#This Row],[Product Code]],ProductData[],3,FALSE)</f>
        <v>6590.16</v>
      </c>
      <c r="R493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6260.6519999999991</v>
      </c>
    </row>
    <row r="4932" spans="1:18" x14ac:dyDescent="0.3">
      <c r="A4932" s="2">
        <v>4925</v>
      </c>
      <c r="B4932" s="2" t="s">
        <v>1509</v>
      </c>
      <c r="C4932" s="2" t="s">
        <v>6922</v>
      </c>
      <c r="D4932" s="2" t="s">
        <v>28</v>
      </c>
      <c r="E4932" s="2" t="s">
        <v>29</v>
      </c>
      <c r="F4932" s="2">
        <v>60</v>
      </c>
      <c r="G4932" s="2" t="s">
        <v>10379</v>
      </c>
      <c r="H4932" s="2" t="s">
        <v>5974</v>
      </c>
      <c r="I4932" s="2" t="s">
        <v>19</v>
      </c>
      <c r="J4932" s="3">
        <v>44101</v>
      </c>
      <c r="K4932" s="5">
        <f>YEAR(OrganizedData[[#This Row],[Order Date]])</f>
        <v>2020</v>
      </c>
      <c r="L4932" s="7" t="str">
        <f>TEXT(OrganizedData[[#This Row],[Order Date]],"mmm")</f>
        <v>Sep</v>
      </c>
      <c r="M4932" s="2">
        <v>64</v>
      </c>
      <c r="N4932" s="2" t="s">
        <v>39</v>
      </c>
      <c r="O4932" s="2" t="str">
        <f>VLOOKUP(OrganizedData[[#This Row],[Product Code]],ProductData[[Code]:[Item]],2,FALSE)</f>
        <v>Ultrathing V1</v>
      </c>
      <c r="P4932" s="4">
        <f>OrganizedData[[#This Row],[Quantity]]*VLOOKUP(OrganizedData[[#This Row],[Product Code]],ProductData[],4,FALSE)</f>
        <v>1088</v>
      </c>
      <c r="Q4932" s="6">
        <f>OrganizedData[[#This Row],[Total Items Ordered]]*VLOOKUP(OrganizedData[[#This Row],[Product Code]],ProductData[],3,FALSE)</f>
        <v>1947.52</v>
      </c>
      <c r="R493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1850.144</v>
      </c>
    </row>
    <row r="4933" spans="1:18" x14ac:dyDescent="0.3">
      <c r="A4933" s="2">
        <v>4926</v>
      </c>
      <c r="B4933" s="2" t="s">
        <v>2206</v>
      </c>
      <c r="C4933" s="2" t="s">
        <v>1672</v>
      </c>
      <c r="D4933" s="2" t="s">
        <v>28</v>
      </c>
      <c r="E4933" s="2" t="s">
        <v>29</v>
      </c>
      <c r="F4933" s="2">
        <v>90</v>
      </c>
      <c r="G4933" s="2" t="s">
        <v>10380</v>
      </c>
      <c r="H4933" s="2" t="s">
        <v>7598</v>
      </c>
      <c r="I4933" s="2" t="s">
        <v>187</v>
      </c>
      <c r="J4933" s="3">
        <v>44705</v>
      </c>
      <c r="K4933" s="5">
        <f>YEAR(OrganizedData[[#This Row],[Order Date]])</f>
        <v>2022</v>
      </c>
      <c r="L4933" s="7" t="str">
        <f>TEXT(OrganizedData[[#This Row],[Order Date]],"mmm")</f>
        <v>May</v>
      </c>
      <c r="M4933" s="2">
        <v>42</v>
      </c>
      <c r="N4933" s="2" t="s">
        <v>39</v>
      </c>
      <c r="O4933" s="2" t="str">
        <f>VLOOKUP(OrganizedData[[#This Row],[Product Code]],ProductData[[Code]:[Item]],2,FALSE)</f>
        <v>Ultrathing V1</v>
      </c>
      <c r="P4933" s="4">
        <f>OrganizedData[[#This Row],[Quantity]]*VLOOKUP(OrganizedData[[#This Row],[Product Code]],ProductData[],4,FALSE)</f>
        <v>714</v>
      </c>
      <c r="Q4933" s="6">
        <f>OrganizedData[[#This Row],[Total Items Ordered]]*VLOOKUP(OrganizedData[[#This Row],[Product Code]],ProductData[],3,FALSE)</f>
        <v>1278.06</v>
      </c>
      <c r="R493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1239.7182</v>
      </c>
    </row>
    <row r="4934" spans="1:18" x14ac:dyDescent="0.3">
      <c r="A4934" s="2">
        <v>4927</v>
      </c>
      <c r="B4934" s="2" t="s">
        <v>10381</v>
      </c>
      <c r="C4934" s="2" t="s">
        <v>7253</v>
      </c>
      <c r="D4934" s="2" t="s">
        <v>15</v>
      </c>
      <c r="E4934" s="2" t="s">
        <v>16</v>
      </c>
      <c r="F4934" s="2">
        <v>30</v>
      </c>
      <c r="G4934" s="2" t="s">
        <v>10382</v>
      </c>
      <c r="H4934" s="2" t="s">
        <v>5248</v>
      </c>
      <c r="I4934" s="2" t="s">
        <v>32</v>
      </c>
      <c r="J4934" s="3">
        <v>44153</v>
      </c>
      <c r="K4934" s="5">
        <f>YEAR(OrganizedData[[#This Row],[Order Date]])</f>
        <v>2020</v>
      </c>
      <c r="L4934" s="7" t="str">
        <f>TEXT(OrganizedData[[#This Row],[Order Date]],"mmm")</f>
        <v>Nov</v>
      </c>
      <c r="M4934" s="2">
        <v>20</v>
      </c>
      <c r="N4934" s="2" t="s">
        <v>45</v>
      </c>
      <c r="O4934" s="2" t="str">
        <f>VLOOKUP(OrganizedData[[#This Row],[Product Code]],ProductData[[Code]:[Item]],2,FALSE)</f>
        <v>Gigastuff</v>
      </c>
      <c r="P4934" s="4">
        <f>OrganizedData[[#This Row],[Quantity]]*VLOOKUP(OrganizedData[[#This Row],[Product Code]],ProductData[],4,FALSE)</f>
        <v>360</v>
      </c>
      <c r="Q4934" s="6">
        <f>OrganizedData[[#This Row],[Total Items Ordered]]*VLOOKUP(OrganizedData[[#This Row],[Product Code]],ProductData[],3,FALSE)</f>
        <v>680.4</v>
      </c>
      <c r="R493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680.4</v>
      </c>
    </row>
    <row r="4935" spans="1:18" x14ac:dyDescent="0.3">
      <c r="A4935" s="2">
        <v>4928</v>
      </c>
      <c r="B4935" s="2" t="s">
        <v>1703</v>
      </c>
      <c r="C4935" s="2" t="s">
        <v>3439</v>
      </c>
      <c r="D4935" s="2" t="s">
        <v>28</v>
      </c>
      <c r="E4935" s="2" t="s">
        <v>29</v>
      </c>
      <c r="F4935" s="2">
        <v>30</v>
      </c>
      <c r="G4935" s="2" t="s">
        <v>10384</v>
      </c>
      <c r="H4935" s="2" t="s">
        <v>6312</v>
      </c>
      <c r="I4935" s="2" t="s">
        <v>173</v>
      </c>
      <c r="J4935" s="3">
        <v>43872</v>
      </c>
      <c r="K4935" s="5">
        <f>YEAR(OrganizedData[[#This Row],[Order Date]])</f>
        <v>2020</v>
      </c>
      <c r="L4935" s="7" t="str">
        <f>TEXT(OrganizedData[[#This Row],[Order Date]],"mmm")</f>
        <v>Feb</v>
      </c>
      <c r="M4935" s="2">
        <v>39</v>
      </c>
      <c r="N4935" s="2" t="s">
        <v>64</v>
      </c>
      <c r="O4935" s="2" t="str">
        <f>VLOOKUP(OrganizedData[[#This Row],[Product Code]],ProductData[[Code]:[Item]],2,FALSE)</f>
        <v>Ultrathing V4</v>
      </c>
      <c r="P4935" s="4">
        <f>OrganizedData[[#This Row],[Quantity]]*VLOOKUP(OrganizedData[[#This Row],[Product Code]],ProductData[],4,FALSE)</f>
        <v>936</v>
      </c>
      <c r="Q4935" s="6">
        <f>OrganizedData[[#This Row],[Total Items Ordered]]*VLOOKUP(OrganizedData[[#This Row],[Product Code]],ProductData[],3,FALSE)</f>
        <v>3734.6400000000003</v>
      </c>
      <c r="R493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3622.6008000000002</v>
      </c>
    </row>
    <row r="4936" spans="1:18" x14ac:dyDescent="0.3">
      <c r="A4936" s="2">
        <v>4929</v>
      </c>
      <c r="B4936" s="2" t="s">
        <v>9394</v>
      </c>
      <c r="C4936" s="2" t="s">
        <v>5084</v>
      </c>
      <c r="D4936" s="2" t="s">
        <v>117</v>
      </c>
      <c r="E4936" s="2" t="s">
        <v>29</v>
      </c>
      <c r="F4936" s="2">
        <v>90</v>
      </c>
      <c r="G4936" s="2" t="s">
        <v>10384</v>
      </c>
      <c r="H4936" s="2" t="s">
        <v>2152</v>
      </c>
      <c r="I4936" s="2" t="s">
        <v>32</v>
      </c>
      <c r="J4936" s="3">
        <v>44425</v>
      </c>
      <c r="K4936" s="5">
        <f>YEAR(OrganizedData[[#This Row],[Order Date]])</f>
        <v>2021</v>
      </c>
      <c r="L4936" s="7" t="str">
        <f>TEXT(OrganizedData[[#This Row],[Order Date]],"mmm")</f>
        <v>Aug</v>
      </c>
      <c r="M4936" s="2">
        <v>88</v>
      </c>
      <c r="N4936" s="2" t="s">
        <v>64</v>
      </c>
      <c r="O4936" s="2" t="str">
        <f>VLOOKUP(OrganizedData[[#This Row],[Product Code]],ProductData[[Code]:[Item]],2,FALSE)</f>
        <v>Ultrathing V4</v>
      </c>
      <c r="P4936" s="4">
        <f>OrganizedData[[#This Row],[Quantity]]*VLOOKUP(OrganizedData[[#This Row],[Product Code]],ProductData[],4,FALSE)</f>
        <v>2112</v>
      </c>
      <c r="Q4936" s="6">
        <f>OrganizedData[[#This Row],[Total Items Ordered]]*VLOOKUP(OrganizedData[[#This Row],[Product Code]],ProductData[],3,FALSE)</f>
        <v>8426.880000000001</v>
      </c>
      <c r="R493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8005.536000000001</v>
      </c>
    </row>
    <row r="4937" spans="1:18" x14ac:dyDescent="0.3">
      <c r="A4937" s="2">
        <v>4930</v>
      </c>
      <c r="B4937" s="2" t="s">
        <v>10385</v>
      </c>
      <c r="C4937" s="2" t="s">
        <v>4026</v>
      </c>
      <c r="D4937" s="2" t="s">
        <v>41</v>
      </c>
      <c r="E4937" s="2" t="s">
        <v>16</v>
      </c>
      <c r="F4937" s="2">
        <v>30</v>
      </c>
      <c r="G4937" s="2" t="s">
        <v>10386</v>
      </c>
      <c r="H4937" s="2" t="s">
        <v>137</v>
      </c>
      <c r="I4937" s="2" t="s">
        <v>32</v>
      </c>
      <c r="J4937" s="3">
        <v>44016</v>
      </c>
      <c r="K4937" s="5">
        <f>YEAR(OrganizedData[[#This Row],[Order Date]])</f>
        <v>2020</v>
      </c>
      <c r="L4937" s="7" t="str">
        <f>TEXT(OrganizedData[[#This Row],[Order Date]],"mmm")</f>
        <v>Jul</v>
      </c>
      <c r="M4937" s="2">
        <v>15</v>
      </c>
      <c r="N4937" s="2" t="s">
        <v>80</v>
      </c>
      <c r="O4937" s="2" t="str">
        <f>VLOOKUP(OrganizedData[[#This Row],[Product Code]],ProductData[[Code]:[Item]],2,FALSE)</f>
        <v>Ultrathing V2</v>
      </c>
      <c r="P4937" s="4">
        <f>OrganizedData[[#This Row],[Quantity]]*VLOOKUP(OrganizedData[[#This Row],[Product Code]],ProductData[],4,FALSE)</f>
        <v>300</v>
      </c>
      <c r="Q4937" s="6">
        <f>OrganizedData[[#This Row],[Total Items Ordered]]*VLOOKUP(OrganizedData[[#This Row],[Product Code]],ProductData[],3,FALSE)</f>
        <v>885</v>
      </c>
      <c r="R493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885</v>
      </c>
    </row>
    <row r="4938" spans="1:18" x14ac:dyDescent="0.3">
      <c r="A4938" s="2">
        <v>4931</v>
      </c>
      <c r="B4938" s="2" t="s">
        <v>10387</v>
      </c>
      <c r="C4938" s="2" t="s">
        <v>3352</v>
      </c>
      <c r="D4938" s="2" t="s">
        <v>15</v>
      </c>
      <c r="E4938" s="2" t="s">
        <v>16</v>
      </c>
      <c r="F4938" s="2">
        <v>90</v>
      </c>
      <c r="G4938" s="2" t="s">
        <v>10388</v>
      </c>
      <c r="H4938" s="2" t="s">
        <v>4056</v>
      </c>
      <c r="I4938" s="2" t="s">
        <v>124</v>
      </c>
      <c r="J4938" s="3">
        <v>44714</v>
      </c>
      <c r="K4938" s="5">
        <f>YEAR(OrganizedData[[#This Row],[Order Date]])</f>
        <v>2022</v>
      </c>
      <c r="L4938" s="7" t="str">
        <f>TEXT(OrganizedData[[#This Row],[Order Date]],"mmm")</f>
        <v>Jun</v>
      </c>
      <c r="M4938" s="2">
        <v>98</v>
      </c>
      <c r="N4938" s="2" t="s">
        <v>54</v>
      </c>
      <c r="O4938" s="2" t="str">
        <f>VLOOKUP(OrganizedData[[#This Row],[Product Code]],ProductData[[Code]:[Item]],2,FALSE)</f>
        <v>Megawidget S</v>
      </c>
      <c r="P4938" s="4">
        <f>OrganizedData[[#This Row],[Quantity]]*VLOOKUP(OrganizedData[[#This Row],[Product Code]],ProductData[],4,FALSE)</f>
        <v>2352</v>
      </c>
      <c r="Q4938" s="6">
        <f>OrganizedData[[#This Row],[Total Items Ordered]]*VLOOKUP(OrganizedData[[#This Row],[Product Code]],ProductData[],3,FALSE)</f>
        <v>1622.8799999999999</v>
      </c>
      <c r="R493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1541.7359999999999</v>
      </c>
    </row>
    <row r="4939" spans="1:18" x14ac:dyDescent="0.3">
      <c r="A4939" s="2">
        <v>4932</v>
      </c>
      <c r="B4939" s="2" t="s">
        <v>2731</v>
      </c>
      <c r="C4939" s="2" t="s">
        <v>3922</v>
      </c>
      <c r="D4939" s="2" t="s">
        <v>28</v>
      </c>
      <c r="E4939" s="2" t="s">
        <v>29</v>
      </c>
      <c r="F4939" s="2">
        <v>90</v>
      </c>
      <c r="G4939" s="2" t="s">
        <v>10389</v>
      </c>
      <c r="H4939" s="2" t="s">
        <v>2436</v>
      </c>
      <c r="I4939" s="2" t="s">
        <v>294</v>
      </c>
      <c r="J4939" s="3">
        <v>44191</v>
      </c>
      <c r="K4939" s="5">
        <f>YEAR(OrganizedData[[#This Row],[Order Date]])</f>
        <v>2020</v>
      </c>
      <c r="L4939" s="7" t="str">
        <f>TEXT(OrganizedData[[#This Row],[Order Date]],"mmm")</f>
        <v>Dec</v>
      </c>
      <c r="M4939" s="2">
        <v>44</v>
      </c>
      <c r="N4939" s="2" t="s">
        <v>101</v>
      </c>
      <c r="O4939" s="2" t="str">
        <f>VLOOKUP(OrganizedData[[#This Row],[Product Code]],ProductData[[Code]:[Item]],2,FALSE)</f>
        <v>Superwossname</v>
      </c>
      <c r="P4939" s="4">
        <f>OrganizedData[[#This Row],[Quantity]]*VLOOKUP(OrganizedData[[#This Row],[Product Code]],ProductData[],4,FALSE)</f>
        <v>880</v>
      </c>
      <c r="Q4939" s="6">
        <f>OrganizedData[[#This Row],[Total Items Ordered]]*VLOOKUP(OrganizedData[[#This Row],[Product Code]],ProductData[],3,FALSE)</f>
        <v>3071.2000000000003</v>
      </c>
      <c r="R493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2979.0640000000003</v>
      </c>
    </row>
    <row r="4940" spans="1:18" x14ac:dyDescent="0.3">
      <c r="A4940" s="2">
        <v>4933</v>
      </c>
      <c r="B4940" s="2" t="s">
        <v>10390</v>
      </c>
      <c r="C4940" s="2" t="s">
        <v>4173</v>
      </c>
      <c r="D4940" s="2" t="s">
        <v>51</v>
      </c>
      <c r="E4940" s="2" t="s">
        <v>16</v>
      </c>
      <c r="F4940" s="2">
        <v>60</v>
      </c>
      <c r="G4940" s="2" t="s">
        <v>10391</v>
      </c>
      <c r="H4940" s="2" t="s">
        <v>298</v>
      </c>
      <c r="I4940" s="2" t="s">
        <v>25</v>
      </c>
      <c r="J4940" s="3">
        <v>44679</v>
      </c>
      <c r="K4940" s="5">
        <f>YEAR(OrganizedData[[#This Row],[Order Date]])</f>
        <v>2022</v>
      </c>
      <c r="L4940" s="7" t="str">
        <f>TEXT(OrganizedData[[#This Row],[Order Date]],"mmm")</f>
        <v>Apr</v>
      </c>
      <c r="M4940" s="2">
        <v>87</v>
      </c>
      <c r="N4940" s="2" t="s">
        <v>39</v>
      </c>
      <c r="O4940" s="2" t="str">
        <f>VLOOKUP(OrganizedData[[#This Row],[Product Code]],ProductData[[Code]:[Item]],2,FALSE)</f>
        <v>Ultrathing V1</v>
      </c>
      <c r="P4940" s="4">
        <f>OrganizedData[[#This Row],[Quantity]]*VLOOKUP(OrganizedData[[#This Row],[Product Code]],ProductData[],4,FALSE)</f>
        <v>1479</v>
      </c>
      <c r="Q4940" s="6">
        <f>OrganizedData[[#This Row],[Total Items Ordered]]*VLOOKUP(OrganizedData[[#This Row],[Product Code]],ProductData[],3,FALSE)</f>
        <v>2647.41</v>
      </c>
      <c r="R494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2515.0394999999999</v>
      </c>
    </row>
    <row r="4941" spans="1:18" x14ac:dyDescent="0.3">
      <c r="A4941" s="2">
        <v>4934</v>
      </c>
      <c r="B4941" s="2" t="s">
        <v>10392</v>
      </c>
      <c r="C4941" s="2" t="s">
        <v>3911</v>
      </c>
      <c r="D4941" s="2" t="s">
        <v>51</v>
      </c>
      <c r="E4941" s="2" t="s">
        <v>16</v>
      </c>
      <c r="F4941" s="2">
        <v>90</v>
      </c>
      <c r="G4941" s="2" t="s">
        <v>10393</v>
      </c>
      <c r="H4941" s="2" t="s">
        <v>522</v>
      </c>
      <c r="I4941" s="2" t="s">
        <v>32</v>
      </c>
      <c r="J4941" s="3">
        <v>43887</v>
      </c>
      <c r="K4941" s="5">
        <f>YEAR(OrganizedData[[#This Row],[Order Date]])</f>
        <v>2020</v>
      </c>
      <c r="L4941" s="7" t="str">
        <f>TEXT(OrganizedData[[#This Row],[Order Date]],"mmm")</f>
        <v>Feb</v>
      </c>
      <c r="M4941" s="2">
        <v>76</v>
      </c>
      <c r="N4941" s="2" t="s">
        <v>101</v>
      </c>
      <c r="O4941" s="2" t="str">
        <f>VLOOKUP(OrganizedData[[#This Row],[Product Code]],ProductData[[Code]:[Item]],2,FALSE)</f>
        <v>Superwossname</v>
      </c>
      <c r="P4941" s="4">
        <f>OrganizedData[[#This Row],[Quantity]]*VLOOKUP(OrganizedData[[#This Row],[Product Code]],ProductData[],4,FALSE)</f>
        <v>1520</v>
      </c>
      <c r="Q4941" s="6">
        <f>OrganizedData[[#This Row],[Total Items Ordered]]*VLOOKUP(OrganizedData[[#This Row],[Product Code]],ProductData[],3,FALSE)</f>
        <v>5304.8</v>
      </c>
      <c r="R494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5039.5599999999995</v>
      </c>
    </row>
    <row r="4942" spans="1:18" x14ac:dyDescent="0.3">
      <c r="A4942" s="2">
        <v>4935</v>
      </c>
      <c r="B4942" s="2" t="s">
        <v>4307</v>
      </c>
      <c r="C4942" s="2" t="s">
        <v>6638</v>
      </c>
      <c r="D4942" s="2" t="s">
        <v>51</v>
      </c>
      <c r="E4942" s="2" t="s">
        <v>16</v>
      </c>
      <c r="F4942" s="2">
        <v>60</v>
      </c>
      <c r="G4942" s="2" t="s">
        <v>10394</v>
      </c>
      <c r="H4942" s="2" t="s">
        <v>150</v>
      </c>
      <c r="I4942" s="2" t="s">
        <v>110</v>
      </c>
      <c r="J4942" s="3">
        <v>44403</v>
      </c>
      <c r="K4942" s="5">
        <f>YEAR(OrganizedData[[#This Row],[Order Date]])</f>
        <v>2021</v>
      </c>
      <c r="L4942" s="7" t="str">
        <f>TEXT(OrganizedData[[#This Row],[Order Date]],"mmm")</f>
        <v>Jul</v>
      </c>
      <c r="M4942" s="2">
        <v>50</v>
      </c>
      <c r="N4942" s="2" t="s">
        <v>20</v>
      </c>
      <c r="O4942" s="2" t="str">
        <f>VLOOKUP(OrganizedData[[#This Row],[Product Code]],ProductData[[Code]:[Item]],2,FALSE)</f>
        <v>Hyperwotsit</v>
      </c>
      <c r="P4942" s="4">
        <f>OrganizedData[[#This Row],[Quantity]]*VLOOKUP(OrganizedData[[#This Row],[Product Code]],ProductData[],4,FALSE)</f>
        <v>1000</v>
      </c>
      <c r="Q4942" s="6">
        <f>OrganizedData[[#This Row],[Total Items Ordered]]*VLOOKUP(OrganizedData[[#This Row],[Product Code]],ProductData[],3,FALSE)</f>
        <v>2009.9999999999998</v>
      </c>
      <c r="R494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1949.6999999999998</v>
      </c>
    </row>
    <row r="4943" spans="1:18" x14ac:dyDescent="0.3">
      <c r="A4943" s="2">
        <v>4936</v>
      </c>
      <c r="B4943" s="2" t="s">
        <v>5088</v>
      </c>
      <c r="C4943" s="2" t="s">
        <v>7953</v>
      </c>
      <c r="D4943" s="2" t="s">
        <v>28</v>
      </c>
      <c r="E4943" s="2" t="s">
        <v>29</v>
      </c>
      <c r="F4943" s="2">
        <v>90</v>
      </c>
      <c r="G4943" s="2" t="s">
        <v>10394</v>
      </c>
      <c r="H4943" s="2" t="s">
        <v>1791</v>
      </c>
      <c r="I4943" s="2" t="s">
        <v>32</v>
      </c>
      <c r="J4943" s="3">
        <v>44431</v>
      </c>
      <c r="K4943" s="5">
        <f>YEAR(OrganizedData[[#This Row],[Order Date]])</f>
        <v>2021</v>
      </c>
      <c r="L4943" s="7" t="str">
        <f>TEXT(OrganizedData[[#This Row],[Order Date]],"mmm")</f>
        <v>Aug</v>
      </c>
      <c r="M4943" s="2">
        <v>87</v>
      </c>
      <c r="N4943" s="2" t="s">
        <v>45</v>
      </c>
      <c r="O4943" s="2" t="str">
        <f>VLOOKUP(OrganizedData[[#This Row],[Product Code]],ProductData[[Code]:[Item]],2,FALSE)</f>
        <v>Gigastuff</v>
      </c>
      <c r="P4943" s="4">
        <f>OrganizedData[[#This Row],[Quantity]]*VLOOKUP(OrganizedData[[#This Row],[Product Code]],ProductData[],4,FALSE)</f>
        <v>1566</v>
      </c>
      <c r="Q4943" s="6">
        <f>OrganizedData[[#This Row],[Total Items Ordered]]*VLOOKUP(OrganizedData[[#This Row],[Product Code]],ProductData[],3,FALSE)</f>
        <v>2959.74</v>
      </c>
      <c r="R494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2811.7529999999997</v>
      </c>
    </row>
    <row r="4944" spans="1:18" x14ac:dyDescent="0.3">
      <c r="A4944" s="2">
        <v>4937</v>
      </c>
      <c r="B4944" s="2" t="s">
        <v>3588</v>
      </c>
      <c r="C4944" s="2" t="s">
        <v>10395</v>
      </c>
      <c r="D4944" s="2" t="s">
        <v>28</v>
      </c>
      <c r="E4944" s="2" t="s">
        <v>29</v>
      </c>
      <c r="F4944" s="2">
        <v>30</v>
      </c>
      <c r="G4944" s="2" t="s">
        <v>10396</v>
      </c>
      <c r="H4944" s="2" t="s">
        <v>3882</v>
      </c>
      <c r="I4944" s="2" t="s">
        <v>38</v>
      </c>
      <c r="J4944" s="3">
        <v>43953</v>
      </c>
      <c r="K4944" s="5">
        <f>YEAR(OrganizedData[[#This Row],[Order Date]])</f>
        <v>2020</v>
      </c>
      <c r="L4944" s="7" t="str">
        <f>TEXT(OrganizedData[[#This Row],[Order Date]],"mmm")</f>
        <v>May</v>
      </c>
      <c r="M4944" s="2">
        <v>43</v>
      </c>
      <c r="N4944" s="2" t="s">
        <v>101</v>
      </c>
      <c r="O4944" s="2" t="str">
        <f>VLOOKUP(OrganizedData[[#This Row],[Product Code]],ProductData[[Code]:[Item]],2,FALSE)</f>
        <v>Superwossname</v>
      </c>
      <c r="P4944" s="4">
        <f>OrganizedData[[#This Row],[Quantity]]*VLOOKUP(OrganizedData[[#This Row],[Product Code]],ProductData[],4,FALSE)</f>
        <v>860</v>
      </c>
      <c r="Q4944" s="6">
        <f>OrganizedData[[#This Row],[Total Items Ordered]]*VLOOKUP(OrganizedData[[#This Row],[Product Code]],ProductData[],3,FALSE)</f>
        <v>3001.4</v>
      </c>
      <c r="R494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2911.3580000000002</v>
      </c>
    </row>
    <row r="4945" spans="1:18" x14ac:dyDescent="0.3">
      <c r="A4945" s="2">
        <v>4938</v>
      </c>
      <c r="B4945" s="2" t="s">
        <v>10397</v>
      </c>
      <c r="C4945" s="2" t="s">
        <v>5649</v>
      </c>
      <c r="D4945" s="2" t="s">
        <v>28</v>
      </c>
      <c r="E4945" s="2" t="s">
        <v>29</v>
      </c>
      <c r="F4945" s="2">
        <v>60</v>
      </c>
      <c r="G4945" s="2" t="s">
        <v>10398</v>
      </c>
      <c r="H4945" s="2" t="s">
        <v>4779</v>
      </c>
      <c r="I4945" s="2" t="s">
        <v>686</v>
      </c>
      <c r="J4945" s="3">
        <v>44338</v>
      </c>
      <c r="K4945" s="5">
        <f>YEAR(OrganizedData[[#This Row],[Order Date]])</f>
        <v>2021</v>
      </c>
      <c r="L4945" s="7" t="str">
        <f>TEXT(OrganizedData[[#This Row],[Order Date]],"mmm")</f>
        <v>May</v>
      </c>
      <c r="M4945" s="2">
        <v>29</v>
      </c>
      <c r="N4945" s="2" t="s">
        <v>33</v>
      </c>
      <c r="O4945" s="2" t="str">
        <f>VLOOKUP(OrganizedData[[#This Row],[Product Code]],ProductData[[Code]:[Item]],2,FALSE)</f>
        <v>Megawidget L</v>
      </c>
      <c r="P4945" s="4">
        <f>OrganizedData[[#This Row],[Quantity]]*VLOOKUP(OrganizedData[[#This Row],[Product Code]],ProductData[],4,FALSE)</f>
        <v>696</v>
      </c>
      <c r="Q4945" s="6">
        <f>OrganizedData[[#This Row],[Total Items Ordered]]*VLOOKUP(OrganizedData[[#This Row],[Product Code]],ProductData[],3,FALSE)</f>
        <v>1245.8399999999999</v>
      </c>
      <c r="R494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1208.4648</v>
      </c>
    </row>
    <row r="4946" spans="1:18" x14ac:dyDescent="0.3">
      <c r="A4946" s="2">
        <v>4939</v>
      </c>
      <c r="B4946" s="2" t="s">
        <v>2399</v>
      </c>
      <c r="C4946" s="2" t="s">
        <v>5164</v>
      </c>
      <c r="D4946" s="2" t="s">
        <v>28</v>
      </c>
      <c r="E4946" s="2" t="s">
        <v>29</v>
      </c>
      <c r="F4946" s="2">
        <v>90</v>
      </c>
      <c r="G4946" s="2" t="s">
        <v>10399</v>
      </c>
      <c r="H4946" s="2" t="s">
        <v>3194</v>
      </c>
      <c r="I4946" s="2" t="s">
        <v>819</v>
      </c>
      <c r="J4946" s="3">
        <v>44130</v>
      </c>
      <c r="K4946" s="5">
        <f>YEAR(OrganizedData[[#This Row],[Order Date]])</f>
        <v>2020</v>
      </c>
      <c r="L4946" s="7" t="str">
        <f>TEXT(OrganizedData[[#This Row],[Order Date]],"mmm")</f>
        <v>Oct</v>
      </c>
      <c r="M4946" s="2">
        <v>56</v>
      </c>
      <c r="N4946" s="2" t="s">
        <v>45</v>
      </c>
      <c r="O4946" s="2" t="str">
        <f>VLOOKUP(OrganizedData[[#This Row],[Product Code]],ProductData[[Code]:[Item]],2,FALSE)</f>
        <v>Gigastuff</v>
      </c>
      <c r="P4946" s="4">
        <f>OrganizedData[[#This Row],[Quantity]]*VLOOKUP(OrganizedData[[#This Row],[Product Code]],ProductData[],4,FALSE)</f>
        <v>1008</v>
      </c>
      <c r="Q4946" s="6">
        <f>OrganizedData[[#This Row],[Total Items Ordered]]*VLOOKUP(OrganizedData[[#This Row],[Product Code]],ProductData[],3,FALSE)</f>
        <v>1905.12</v>
      </c>
      <c r="R494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1809.8639999999998</v>
      </c>
    </row>
    <row r="4947" spans="1:18" x14ac:dyDescent="0.3">
      <c r="A4947" s="2">
        <v>4940</v>
      </c>
      <c r="B4947" s="2" t="s">
        <v>2027</v>
      </c>
      <c r="C4947" s="2" t="s">
        <v>8347</v>
      </c>
      <c r="D4947" s="2" t="s">
        <v>28</v>
      </c>
      <c r="E4947" s="2" t="s">
        <v>29</v>
      </c>
      <c r="F4947" s="2">
        <v>30</v>
      </c>
      <c r="G4947" s="2" t="s">
        <v>10399</v>
      </c>
      <c r="H4947" s="2" t="s">
        <v>603</v>
      </c>
      <c r="I4947" s="2" t="s">
        <v>187</v>
      </c>
      <c r="J4947" s="3">
        <v>43908</v>
      </c>
      <c r="K4947" s="5">
        <f>YEAR(OrganizedData[[#This Row],[Order Date]])</f>
        <v>2020</v>
      </c>
      <c r="L4947" s="7" t="str">
        <f>TEXT(OrganizedData[[#This Row],[Order Date]],"mmm")</f>
        <v>Mar</v>
      </c>
      <c r="M4947" s="2">
        <v>49</v>
      </c>
      <c r="N4947" s="2" t="s">
        <v>70</v>
      </c>
      <c r="O4947" s="2" t="str">
        <f>VLOOKUP(OrganizedData[[#This Row],[Product Code]],ProductData[[Code]:[Item]],2,FALSE)</f>
        <v>Megawidget M</v>
      </c>
      <c r="P4947" s="4">
        <f>OrganizedData[[#This Row],[Quantity]]*VLOOKUP(OrganizedData[[#This Row],[Product Code]],ProductData[],4,FALSE)</f>
        <v>1176</v>
      </c>
      <c r="Q4947" s="6">
        <f>OrganizedData[[#This Row],[Total Items Ordered]]*VLOOKUP(OrganizedData[[#This Row],[Product Code]],ProductData[],3,FALSE)</f>
        <v>1517.04</v>
      </c>
      <c r="R494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1471.5287999999998</v>
      </c>
    </row>
    <row r="4948" spans="1:18" x14ac:dyDescent="0.3">
      <c r="A4948" s="2">
        <v>4941</v>
      </c>
      <c r="B4948" s="2" t="s">
        <v>717</v>
      </c>
      <c r="C4948" s="2" t="s">
        <v>1829</v>
      </c>
      <c r="D4948" s="2" t="s">
        <v>51</v>
      </c>
      <c r="E4948" s="2" t="s">
        <v>16</v>
      </c>
      <c r="F4948" s="2">
        <v>60</v>
      </c>
      <c r="G4948" s="2" t="s">
        <v>10399</v>
      </c>
      <c r="H4948" s="2" t="s">
        <v>168</v>
      </c>
      <c r="I4948" s="2" t="s">
        <v>32</v>
      </c>
      <c r="J4948" s="3">
        <v>44156</v>
      </c>
      <c r="K4948" s="5">
        <f>YEAR(OrganizedData[[#This Row],[Order Date]])</f>
        <v>2020</v>
      </c>
      <c r="L4948" s="7" t="str">
        <f>TEXT(OrganizedData[[#This Row],[Order Date]],"mmm")</f>
        <v>Nov</v>
      </c>
      <c r="M4948" s="2">
        <v>32</v>
      </c>
      <c r="N4948" s="2" t="s">
        <v>64</v>
      </c>
      <c r="O4948" s="2" t="str">
        <f>VLOOKUP(OrganizedData[[#This Row],[Product Code]],ProductData[[Code]:[Item]],2,FALSE)</f>
        <v>Ultrathing V4</v>
      </c>
      <c r="P4948" s="4">
        <f>OrganizedData[[#This Row],[Quantity]]*VLOOKUP(OrganizedData[[#This Row],[Product Code]],ProductData[],4,FALSE)</f>
        <v>768</v>
      </c>
      <c r="Q4948" s="6">
        <f>OrganizedData[[#This Row],[Total Items Ordered]]*VLOOKUP(OrganizedData[[#This Row],[Product Code]],ProductData[],3,FALSE)</f>
        <v>3064.32</v>
      </c>
      <c r="R494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2972.3904000000002</v>
      </c>
    </row>
    <row r="4949" spans="1:18" x14ac:dyDescent="0.3">
      <c r="A4949" s="2">
        <v>4942</v>
      </c>
      <c r="B4949" s="2" t="s">
        <v>10400</v>
      </c>
      <c r="C4949" s="2" t="s">
        <v>5413</v>
      </c>
      <c r="D4949" s="2" t="s">
        <v>41</v>
      </c>
      <c r="E4949" s="2" t="s">
        <v>16</v>
      </c>
      <c r="F4949" s="2">
        <v>60</v>
      </c>
      <c r="G4949" s="2" t="s">
        <v>10401</v>
      </c>
      <c r="H4949" s="2" t="s">
        <v>1845</v>
      </c>
      <c r="I4949" s="2" t="s">
        <v>294</v>
      </c>
      <c r="J4949" s="3">
        <v>44786</v>
      </c>
      <c r="K4949" s="5">
        <f>YEAR(OrganizedData[[#This Row],[Order Date]])</f>
        <v>2022</v>
      </c>
      <c r="L4949" s="7" t="str">
        <f>TEXT(OrganizedData[[#This Row],[Order Date]],"mmm")</f>
        <v>Aug</v>
      </c>
      <c r="M4949" s="2">
        <v>88</v>
      </c>
      <c r="N4949" s="2" t="s">
        <v>80</v>
      </c>
      <c r="O4949" s="2" t="str">
        <f>VLOOKUP(OrganizedData[[#This Row],[Product Code]],ProductData[[Code]:[Item]],2,FALSE)</f>
        <v>Ultrathing V2</v>
      </c>
      <c r="P4949" s="4">
        <f>OrganizedData[[#This Row],[Quantity]]*VLOOKUP(OrganizedData[[#This Row],[Product Code]],ProductData[],4,FALSE)</f>
        <v>1760</v>
      </c>
      <c r="Q4949" s="6">
        <f>OrganizedData[[#This Row],[Total Items Ordered]]*VLOOKUP(OrganizedData[[#This Row],[Product Code]],ProductData[],3,FALSE)</f>
        <v>5192</v>
      </c>
      <c r="R494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4932.3999999999996</v>
      </c>
    </row>
    <row r="4950" spans="1:18" x14ac:dyDescent="0.3">
      <c r="A4950" s="2">
        <v>4943</v>
      </c>
      <c r="B4950" s="2" t="s">
        <v>8355</v>
      </c>
      <c r="C4950" s="2" t="s">
        <v>10402</v>
      </c>
      <c r="D4950" s="2" t="s">
        <v>51</v>
      </c>
      <c r="E4950" s="2" t="s">
        <v>16</v>
      </c>
      <c r="F4950" s="2">
        <v>90</v>
      </c>
      <c r="G4950" s="2" t="s">
        <v>10403</v>
      </c>
      <c r="H4950" s="2" t="s">
        <v>2179</v>
      </c>
      <c r="I4950" s="2" t="s">
        <v>294</v>
      </c>
      <c r="J4950" s="3">
        <v>44678</v>
      </c>
      <c r="K4950" s="5">
        <f>YEAR(OrganizedData[[#This Row],[Order Date]])</f>
        <v>2022</v>
      </c>
      <c r="L4950" s="7" t="str">
        <f>TEXT(OrganizedData[[#This Row],[Order Date]],"mmm")</f>
        <v>Apr</v>
      </c>
      <c r="M4950" s="2">
        <v>76</v>
      </c>
      <c r="N4950" s="2" t="s">
        <v>33</v>
      </c>
      <c r="O4950" s="2" t="str">
        <f>VLOOKUP(OrganizedData[[#This Row],[Product Code]],ProductData[[Code]:[Item]],2,FALSE)</f>
        <v>Megawidget L</v>
      </c>
      <c r="P4950" s="4">
        <f>OrganizedData[[#This Row],[Quantity]]*VLOOKUP(OrganizedData[[#This Row],[Product Code]],ProductData[],4,FALSE)</f>
        <v>1824</v>
      </c>
      <c r="Q4950" s="6">
        <f>OrganizedData[[#This Row],[Total Items Ordered]]*VLOOKUP(OrganizedData[[#This Row],[Product Code]],ProductData[],3,FALSE)</f>
        <v>3264.96</v>
      </c>
      <c r="R4950"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3101.712</v>
      </c>
    </row>
    <row r="4951" spans="1:18" x14ac:dyDescent="0.3">
      <c r="A4951" s="2">
        <v>4944</v>
      </c>
      <c r="B4951" s="2" t="s">
        <v>3113</v>
      </c>
      <c r="C4951" s="2" t="s">
        <v>336</v>
      </c>
      <c r="D4951" s="2" t="s">
        <v>15</v>
      </c>
      <c r="E4951" s="2" t="s">
        <v>16</v>
      </c>
      <c r="F4951" s="2">
        <v>30</v>
      </c>
      <c r="G4951" s="2" t="s">
        <v>10404</v>
      </c>
      <c r="H4951" s="2" t="s">
        <v>8906</v>
      </c>
      <c r="I4951" s="2" t="s">
        <v>240</v>
      </c>
      <c r="J4951" s="3">
        <v>44257</v>
      </c>
      <c r="K4951" s="5">
        <f>YEAR(OrganizedData[[#This Row],[Order Date]])</f>
        <v>2021</v>
      </c>
      <c r="L4951" s="7" t="str">
        <f>TEXT(OrganizedData[[#This Row],[Order Date]],"mmm")</f>
        <v>Mar</v>
      </c>
      <c r="M4951" s="2">
        <v>44</v>
      </c>
      <c r="N4951" s="2" t="s">
        <v>20</v>
      </c>
      <c r="O4951" s="2" t="str">
        <f>VLOOKUP(OrganizedData[[#This Row],[Product Code]],ProductData[[Code]:[Item]],2,FALSE)</f>
        <v>Hyperwotsit</v>
      </c>
      <c r="P4951" s="4">
        <f>OrganizedData[[#This Row],[Quantity]]*VLOOKUP(OrganizedData[[#This Row],[Product Code]],ProductData[],4,FALSE)</f>
        <v>880</v>
      </c>
      <c r="Q4951" s="6">
        <f>OrganizedData[[#This Row],[Total Items Ordered]]*VLOOKUP(OrganizedData[[#This Row],[Product Code]],ProductData[],3,FALSE)</f>
        <v>1768.7999999999997</v>
      </c>
      <c r="R4951"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1715.7359999999996</v>
      </c>
    </row>
    <row r="4952" spans="1:18" x14ac:dyDescent="0.3">
      <c r="A4952" s="2">
        <v>4945</v>
      </c>
      <c r="B4952" s="2" t="s">
        <v>1623</v>
      </c>
      <c r="C4952" s="2" t="s">
        <v>222</v>
      </c>
      <c r="D4952" s="2" t="s">
        <v>28</v>
      </c>
      <c r="E4952" s="2" t="s">
        <v>29</v>
      </c>
      <c r="F4952" s="2">
        <v>30</v>
      </c>
      <c r="G4952" s="2" t="s">
        <v>10405</v>
      </c>
      <c r="H4952" s="2" t="s">
        <v>3713</v>
      </c>
      <c r="I4952" s="2" t="s">
        <v>32</v>
      </c>
      <c r="J4952" s="3">
        <v>44599</v>
      </c>
      <c r="K4952" s="5">
        <f>YEAR(OrganizedData[[#This Row],[Order Date]])</f>
        <v>2022</v>
      </c>
      <c r="L4952" s="7" t="str">
        <f>TEXT(OrganizedData[[#This Row],[Order Date]],"mmm")</f>
        <v>Feb</v>
      </c>
      <c r="M4952" s="2">
        <v>58</v>
      </c>
      <c r="N4952" s="2" t="s">
        <v>101</v>
      </c>
      <c r="O4952" s="2" t="str">
        <f>VLOOKUP(OrganizedData[[#This Row],[Product Code]],ProductData[[Code]:[Item]],2,FALSE)</f>
        <v>Superwossname</v>
      </c>
      <c r="P4952" s="4">
        <f>OrganizedData[[#This Row],[Quantity]]*VLOOKUP(OrganizedData[[#This Row],[Product Code]],ProductData[],4,FALSE)</f>
        <v>1160</v>
      </c>
      <c r="Q4952" s="6">
        <f>OrganizedData[[#This Row],[Total Items Ordered]]*VLOOKUP(OrganizedData[[#This Row],[Product Code]],ProductData[],3,FALSE)</f>
        <v>4048.4</v>
      </c>
      <c r="R4952"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3845.98</v>
      </c>
    </row>
    <row r="4953" spans="1:18" x14ac:dyDescent="0.3">
      <c r="A4953" s="2">
        <v>4946</v>
      </c>
      <c r="B4953" s="2" t="s">
        <v>5607</v>
      </c>
      <c r="C4953" s="2" t="s">
        <v>1237</v>
      </c>
      <c r="D4953" s="2" t="s">
        <v>51</v>
      </c>
      <c r="E4953" s="2" t="s">
        <v>16</v>
      </c>
      <c r="F4953" s="2">
        <v>60</v>
      </c>
      <c r="G4953" s="2" t="s">
        <v>10406</v>
      </c>
      <c r="H4953" s="2" t="s">
        <v>2685</v>
      </c>
      <c r="I4953" s="2" t="s">
        <v>32</v>
      </c>
      <c r="J4953" s="3">
        <v>43924</v>
      </c>
      <c r="K4953" s="5">
        <f>YEAR(OrganizedData[[#This Row],[Order Date]])</f>
        <v>2020</v>
      </c>
      <c r="L4953" s="7" t="str">
        <f>TEXT(OrganizedData[[#This Row],[Order Date]],"mmm")</f>
        <v>Apr</v>
      </c>
      <c r="M4953" s="2">
        <v>49</v>
      </c>
      <c r="N4953" s="2" t="s">
        <v>45</v>
      </c>
      <c r="O4953" s="2" t="str">
        <f>VLOOKUP(OrganizedData[[#This Row],[Product Code]],ProductData[[Code]:[Item]],2,FALSE)</f>
        <v>Gigastuff</v>
      </c>
      <c r="P4953" s="4">
        <f>OrganizedData[[#This Row],[Quantity]]*VLOOKUP(OrganizedData[[#This Row],[Product Code]],ProductData[],4,FALSE)</f>
        <v>882</v>
      </c>
      <c r="Q4953" s="6">
        <f>OrganizedData[[#This Row],[Total Items Ordered]]*VLOOKUP(OrganizedData[[#This Row],[Product Code]],ProductData[],3,FALSE)</f>
        <v>1666.98</v>
      </c>
      <c r="R4953"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1616.9705999999999</v>
      </c>
    </row>
    <row r="4954" spans="1:18" x14ac:dyDescent="0.3">
      <c r="A4954" s="2">
        <v>4947</v>
      </c>
      <c r="B4954" s="2" t="s">
        <v>4233</v>
      </c>
      <c r="C4954" s="2" t="s">
        <v>6351</v>
      </c>
      <c r="D4954" s="2" t="s">
        <v>28</v>
      </c>
      <c r="E4954" s="2" t="s">
        <v>29</v>
      </c>
      <c r="F4954" s="2">
        <v>60</v>
      </c>
      <c r="G4954" s="2" t="s">
        <v>10407</v>
      </c>
      <c r="H4954" s="2" t="s">
        <v>5427</v>
      </c>
      <c r="I4954" s="2" t="s">
        <v>32</v>
      </c>
      <c r="J4954" s="3">
        <v>44718</v>
      </c>
      <c r="K4954" s="5">
        <f>YEAR(OrganizedData[[#This Row],[Order Date]])</f>
        <v>2022</v>
      </c>
      <c r="L4954" s="7" t="str">
        <f>TEXT(OrganizedData[[#This Row],[Order Date]],"mmm")</f>
        <v>Jun</v>
      </c>
      <c r="M4954" s="2">
        <v>34</v>
      </c>
      <c r="N4954" s="2" t="s">
        <v>101</v>
      </c>
      <c r="O4954" s="2" t="str">
        <f>VLOOKUP(OrganizedData[[#This Row],[Product Code]],ProductData[[Code]:[Item]],2,FALSE)</f>
        <v>Superwossname</v>
      </c>
      <c r="P4954" s="4">
        <f>OrganizedData[[#This Row],[Quantity]]*VLOOKUP(OrganizedData[[#This Row],[Product Code]],ProductData[],4,FALSE)</f>
        <v>680</v>
      </c>
      <c r="Q4954" s="6">
        <f>OrganizedData[[#This Row],[Total Items Ordered]]*VLOOKUP(OrganizedData[[#This Row],[Product Code]],ProductData[],3,FALSE)</f>
        <v>2373.2000000000003</v>
      </c>
      <c r="R4954"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2302.0040000000004</v>
      </c>
    </row>
    <row r="4955" spans="1:18" x14ac:dyDescent="0.3">
      <c r="A4955" s="2">
        <v>4948</v>
      </c>
      <c r="B4955" s="2" t="s">
        <v>9081</v>
      </c>
      <c r="C4955" s="2" t="s">
        <v>189</v>
      </c>
      <c r="D4955" s="2" t="s">
        <v>28</v>
      </c>
      <c r="E4955" s="2" t="s">
        <v>29</v>
      </c>
      <c r="F4955" s="2">
        <v>60</v>
      </c>
      <c r="G4955" s="2" t="s">
        <v>10408</v>
      </c>
      <c r="H4955" s="2" t="s">
        <v>7965</v>
      </c>
      <c r="I4955" s="2" t="s">
        <v>38</v>
      </c>
      <c r="J4955" s="3">
        <v>44396</v>
      </c>
      <c r="K4955" s="5">
        <f>YEAR(OrganizedData[[#This Row],[Order Date]])</f>
        <v>2021</v>
      </c>
      <c r="L4955" s="7" t="str">
        <f>TEXT(OrganizedData[[#This Row],[Order Date]],"mmm")</f>
        <v>Jul</v>
      </c>
      <c r="M4955" s="2">
        <v>26</v>
      </c>
      <c r="N4955" s="2" t="s">
        <v>159</v>
      </c>
      <c r="O4955" s="2" t="str">
        <f>VLOOKUP(OrganizedData[[#This Row],[Product Code]],ProductData[[Code]:[Item]],2,FALSE)</f>
        <v>Ultrathing V3</v>
      </c>
      <c r="P4955" s="4">
        <f>OrganizedData[[#This Row],[Quantity]]*VLOOKUP(OrganizedData[[#This Row],[Product Code]],ProductData[],4,FALSE)</f>
        <v>624</v>
      </c>
      <c r="Q4955" s="6">
        <f>OrganizedData[[#This Row],[Total Items Ordered]]*VLOOKUP(OrganizedData[[#This Row],[Product Code]],ProductData[],3,FALSE)</f>
        <v>2115.36</v>
      </c>
      <c r="R4955"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2051.8992000000003</v>
      </c>
    </row>
    <row r="4956" spans="1:18" x14ac:dyDescent="0.3">
      <c r="A4956" s="2">
        <v>4949</v>
      </c>
      <c r="B4956" s="2" t="s">
        <v>7791</v>
      </c>
      <c r="C4956" s="2" t="s">
        <v>2127</v>
      </c>
      <c r="D4956" s="2" t="s">
        <v>28</v>
      </c>
      <c r="E4956" s="2" t="s">
        <v>29</v>
      </c>
      <c r="F4956" s="2">
        <v>90</v>
      </c>
      <c r="G4956" s="2" t="s">
        <v>10409</v>
      </c>
      <c r="H4956" s="2" t="s">
        <v>5459</v>
      </c>
      <c r="I4956" s="2" t="s">
        <v>1478</v>
      </c>
      <c r="J4956" s="3">
        <v>43887</v>
      </c>
      <c r="K4956" s="5">
        <f>YEAR(OrganizedData[[#This Row],[Order Date]])</f>
        <v>2020</v>
      </c>
      <c r="L4956" s="7" t="str">
        <f>TEXT(OrganizedData[[#This Row],[Order Date]],"mmm")</f>
        <v>Feb</v>
      </c>
      <c r="M4956" s="2">
        <v>42</v>
      </c>
      <c r="N4956" s="2" t="s">
        <v>33</v>
      </c>
      <c r="O4956" s="2" t="str">
        <f>VLOOKUP(OrganizedData[[#This Row],[Product Code]],ProductData[[Code]:[Item]],2,FALSE)</f>
        <v>Megawidget L</v>
      </c>
      <c r="P4956" s="4">
        <f>OrganizedData[[#This Row],[Quantity]]*VLOOKUP(OrganizedData[[#This Row],[Product Code]],ProductData[],4,FALSE)</f>
        <v>1008</v>
      </c>
      <c r="Q4956" s="6">
        <f>OrganizedData[[#This Row],[Total Items Ordered]]*VLOOKUP(OrganizedData[[#This Row],[Product Code]],ProductData[],3,FALSE)</f>
        <v>1804.32</v>
      </c>
      <c r="R4956"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1750.1904</v>
      </c>
    </row>
    <row r="4957" spans="1:18" x14ac:dyDescent="0.3">
      <c r="A4957" s="2">
        <v>4950</v>
      </c>
      <c r="B4957" s="2" t="s">
        <v>6126</v>
      </c>
      <c r="C4957" s="2" t="s">
        <v>5797</v>
      </c>
      <c r="D4957" s="2" t="s">
        <v>28</v>
      </c>
      <c r="E4957" s="2" t="s">
        <v>29</v>
      </c>
      <c r="F4957" s="2">
        <v>90</v>
      </c>
      <c r="G4957" s="2" t="s">
        <v>10410</v>
      </c>
      <c r="H4957" s="2" t="s">
        <v>562</v>
      </c>
      <c r="I4957" s="2" t="s">
        <v>187</v>
      </c>
      <c r="J4957" s="3">
        <v>43919</v>
      </c>
      <c r="K4957" s="5">
        <f>YEAR(OrganizedData[[#This Row],[Order Date]])</f>
        <v>2020</v>
      </c>
      <c r="L4957" s="7" t="str">
        <f>TEXT(OrganizedData[[#This Row],[Order Date]],"mmm")</f>
        <v>Mar</v>
      </c>
      <c r="M4957" s="2">
        <v>57</v>
      </c>
      <c r="N4957" s="2" t="s">
        <v>33</v>
      </c>
      <c r="O4957" s="2" t="str">
        <f>VLOOKUP(OrganizedData[[#This Row],[Product Code]],ProductData[[Code]:[Item]],2,FALSE)</f>
        <v>Megawidget L</v>
      </c>
      <c r="P4957" s="4">
        <f>OrganizedData[[#This Row],[Quantity]]*VLOOKUP(OrganizedData[[#This Row],[Product Code]],ProductData[],4,FALSE)</f>
        <v>1368</v>
      </c>
      <c r="Q4957" s="6">
        <f>OrganizedData[[#This Row],[Total Items Ordered]]*VLOOKUP(OrganizedData[[#This Row],[Product Code]],ProductData[],3,FALSE)</f>
        <v>2448.7200000000003</v>
      </c>
      <c r="R4957"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2326.2840000000001</v>
      </c>
    </row>
    <row r="4958" spans="1:18" x14ac:dyDescent="0.3">
      <c r="A4958" s="2">
        <v>4951</v>
      </c>
      <c r="B4958" s="2" t="s">
        <v>6434</v>
      </c>
      <c r="C4958" s="2" t="s">
        <v>4880</v>
      </c>
      <c r="D4958" s="2" t="s">
        <v>15</v>
      </c>
      <c r="E4958" s="2" t="s">
        <v>16</v>
      </c>
      <c r="F4958" s="2">
        <v>90</v>
      </c>
      <c r="G4958" s="2" t="s">
        <v>10410</v>
      </c>
      <c r="H4958" s="2" t="s">
        <v>6675</v>
      </c>
      <c r="I4958" s="2" t="s">
        <v>32</v>
      </c>
      <c r="J4958" s="3">
        <v>44489</v>
      </c>
      <c r="K4958" s="5">
        <f>YEAR(OrganizedData[[#This Row],[Order Date]])</f>
        <v>2021</v>
      </c>
      <c r="L4958" s="7" t="str">
        <f>TEXT(OrganizedData[[#This Row],[Order Date]],"mmm")</f>
        <v>Oct</v>
      </c>
      <c r="M4958" s="2">
        <v>2</v>
      </c>
      <c r="N4958" s="2" t="s">
        <v>70</v>
      </c>
      <c r="O4958" s="2" t="str">
        <f>VLOOKUP(OrganizedData[[#This Row],[Product Code]],ProductData[[Code]:[Item]],2,FALSE)</f>
        <v>Megawidget M</v>
      </c>
      <c r="P4958" s="4">
        <f>OrganizedData[[#This Row],[Quantity]]*VLOOKUP(OrganizedData[[#This Row],[Product Code]],ProductData[],4,FALSE)</f>
        <v>48</v>
      </c>
      <c r="Q4958" s="6">
        <f>OrganizedData[[#This Row],[Total Items Ordered]]*VLOOKUP(OrganizedData[[#This Row],[Product Code]],ProductData[],3,FALSE)</f>
        <v>61.92</v>
      </c>
      <c r="R4958"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61.92</v>
      </c>
    </row>
    <row r="4959" spans="1:18" x14ac:dyDescent="0.3">
      <c r="A4959" s="2">
        <v>4952</v>
      </c>
      <c r="B4959" s="2" t="s">
        <v>4278</v>
      </c>
      <c r="C4959" s="2" t="s">
        <v>5267</v>
      </c>
      <c r="D4959" s="2" t="s">
        <v>28</v>
      </c>
      <c r="E4959" s="2" t="s">
        <v>29</v>
      </c>
      <c r="F4959" s="2">
        <v>60</v>
      </c>
      <c r="G4959" s="2" t="s">
        <v>10411</v>
      </c>
      <c r="H4959" s="2" t="s">
        <v>1992</v>
      </c>
      <c r="I4959" s="2" t="s">
        <v>32</v>
      </c>
      <c r="J4959" s="3">
        <v>44600</v>
      </c>
      <c r="K4959" s="5">
        <f>YEAR(OrganizedData[[#This Row],[Order Date]])</f>
        <v>2022</v>
      </c>
      <c r="L4959" s="7" t="str">
        <f>TEXT(OrganizedData[[#This Row],[Order Date]],"mmm")</f>
        <v>Feb</v>
      </c>
      <c r="M4959" s="2">
        <v>72</v>
      </c>
      <c r="N4959" s="2" t="s">
        <v>101</v>
      </c>
      <c r="O4959" s="2" t="str">
        <f>VLOOKUP(OrganizedData[[#This Row],[Product Code]],ProductData[[Code]:[Item]],2,FALSE)</f>
        <v>Superwossname</v>
      </c>
      <c r="P4959" s="4">
        <f>OrganizedData[[#This Row],[Quantity]]*VLOOKUP(OrganizedData[[#This Row],[Product Code]],ProductData[],4,FALSE)</f>
        <v>1440</v>
      </c>
      <c r="Q4959" s="6">
        <f>OrganizedData[[#This Row],[Total Items Ordered]]*VLOOKUP(OrganizedData[[#This Row],[Product Code]],ProductData[],3,FALSE)</f>
        <v>5025.6000000000004</v>
      </c>
      <c r="R4959" s="6">
        <f>IF(OrganizedData[[#This Row],[Quantity]]&gt;'Reference Sheet'!$A$29,OrganizedData[[#This Row],[Total Order Value]]*'Reference Sheet'!$C$29,IF(OrganizedData[[#This Row],[Quantity]]&gt;'Reference Sheet'!$A$28,OrganizedData[[#This Row],[Total Order Value]]*'Reference Sheet'!$C$28,IF(OrganizedData[[#This Row],[Quantity]]&gt;'Reference Sheet'!$A$27, OrganizedData[[#This Row],[Total Order Value]]*'Reference Sheet'!$C$27,OrganizedData[Total Order Value])))</f>
        <v>4774.32</v>
      </c>
    </row>
    <row r="4960" spans="1:18" x14ac:dyDescent="0.3">
      <c r="Q4960" s="6"/>
      <c r="R4960" s="6"/>
    </row>
    <row r="4961" spans="16:16" x14ac:dyDescent="0.3">
      <c r="P4961" s="4"/>
    </row>
  </sheetData>
  <phoneticPr fontId="8" type="noConversion"/>
  <pageMargins left="0.7" right="0.7" top="0.75" bottom="0.75" header="0.3" footer="0.3"/>
  <ignoredErrors>
    <ignoredError sqref="L8" calculatedColumn="1"/>
  </ignoredErrors>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27A3C-114C-422D-8687-9CE267104B59}">
  <sheetPr codeName="Sheet2">
    <tabColor rgb="FFCDDBFF"/>
  </sheetPr>
  <dimension ref="A1:L4963"/>
  <sheetViews>
    <sheetView workbookViewId="0"/>
  </sheetViews>
  <sheetFormatPr defaultRowHeight="14.4" x14ac:dyDescent="0.3"/>
  <cols>
    <col min="1" max="1" width="5" style="2" bestFit="1" customWidth="1"/>
    <col min="2" max="2" width="12.109375" style="2" bestFit="1" customWidth="1"/>
    <col min="3" max="3" width="12.21875" style="2" bestFit="1" customWidth="1"/>
    <col min="4" max="4" width="6.77734375" style="2" bestFit="1" customWidth="1"/>
    <col min="5" max="5" width="9.33203125" style="2" bestFit="1" customWidth="1"/>
    <col min="6" max="6" width="8.21875" style="2" bestFit="1" customWidth="1"/>
    <col min="7" max="7" width="21.109375" style="2" bestFit="1" customWidth="1"/>
    <col min="8" max="8" width="21.6640625" style="2" bestFit="1" customWidth="1"/>
    <col min="9" max="9" width="16.109375" style="2" bestFit="1" customWidth="1"/>
    <col min="10" max="10" width="15.6640625" style="2" bestFit="1" customWidth="1"/>
    <col min="11" max="11" width="10.5546875" style="2" bestFit="1" customWidth="1"/>
    <col min="12" max="12" width="9.88671875" style="2" bestFit="1" customWidth="1"/>
    <col min="13" max="16384" width="8.88671875" style="2"/>
  </cols>
  <sheetData>
    <row r="1" spans="1:12" x14ac:dyDescent="0.3">
      <c r="A1" s="10" t="s">
        <v>10650</v>
      </c>
    </row>
    <row r="2" spans="1:12" x14ac:dyDescent="0.3">
      <c r="A2" s="2" t="s">
        <v>10651</v>
      </c>
    </row>
    <row r="3" spans="1:12" x14ac:dyDescent="0.3">
      <c r="A3" s="2" t="s">
        <v>10635</v>
      </c>
    </row>
    <row r="4" spans="1:12" x14ac:dyDescent="0.3">
      <c r="A4" s="2" t="s">
        <v>10636</v>
      </c>
    </row>
    <row r="5" spans="1:12" x14ac:dyDescent="0.3">
      <c r="A5" s="2" t="s">
        <v>10637</v>
      </c>
    </row>
    <row r="6" spans="1:12" x14ac:dyDescent="0.3">
      <c r="A6" s="2" t="s">
        <v>10638</v>
      </c>
    </row>
    <row r="7" spans="1:12" x14ac:dyDescent="0.3">
      <c r="A7" s="2" t="s">
        <v>10639</v>
      </c>
    </row>
    <row r="8" spans="1:12" x14ac:dyDescent="0.3">
      <c r="A8" s="2" t="s">
        <v>10640</v>
      </c>
    </row>
    <row r="9" spans="1:12" x14ac:dyDescent="0.3">
      <c r="A9" s="2" t="s">
        <v>10641</v>
      </c>
    </row>
    <row r="11" spans="1:12" x14ac:dyDescent="0.3">
      <c r="A11" s="2" t="s">
        <v>0</v>
      </c>
      <c r="B11" s="2" t="s">
        <v>1</v>
      </c>
      <c r="C11" s="2" t="s">
        <v>2</v>
      </c>
      <c r="D11" s="2" t="s">
        <v>3</v>
      </c>
      <c r="E11" s="2" t="s">
        <v>4</v>
      </c>
      <c r="F11" s="2" t="s">
        <v>5</v>
      </c>
      <c r="G11" s="2" t="s">
        <v>6</v>
      </c>
      <c r="H11" s="2" t="s">
        <v>7</v>
      </c>
      <c r="I11" s="2" t="s">
        <v>8</v>
      </c>
      <c r="J11" s="2" t="s">
        <v>9</v>
      </c>
      <c r="K11" s="2" t="s">
        <v>10</v>
      </c>
      <c r="L11" s="2" t="s">
        <v>11</v>
      </c>
    </row>
    <row r="12" spans="1:12" x14ac:dyDescent="0.3">
      <c r="A12" s="2">
        <v>1</v>
      </c>
      <c r="B12" s="2" t="s">
        <v>13</v>
      </c>
      <c r="C12" s="2" t="s">
        <v>14</v>
      </c>
      <c r="D12" s="2" t="s">
        <v>15</v>
      </c>
      <c r="E12" s="2" t="s">
        <v>16</v>
      </c>
      <c r="F12" s="2">
        <v>30</v>
      </c>
      <c r="G12" s="2" t="s">
        <v>17</v>
      </c>
      <c r="H12" s="2" t="s">
        <v>18</v>
      </c>
      <c r="I12" s="2" t="s">
        <v>19</v>
      </c>
      <c r="J12" s="3">
        <v>44754</v>
      </c>
      <c r="K12" s="2">
        <v>73</v>
      </c>
      <c r="L12" s="2" t="s">
        <v>20</v>
      </c>
    </row>
    <row r="13" spans="1:12" x14ac:dyDescent="0.3">
      <c r="A13" s="2">
        <v>2</v>
      </c>
      <c r="B13" s="2" t="s">
        <v>21</v>
      </c>
      <c r="C13" s="2" t="s">
        <v>22</v>
      </c>
      <c r="D13" s="2" t="s">
        <v>15</v>
      </c>
      <c r="E13" s="2" t="s">
        <v>16</v>
      </c>
      <c r="F13" s="2">
        <v>60</v>
      </c>
      <c r="G13" s="2" t="s">
        <v>23</v>
      </c>
      <c r="H13" s="2" t="s">
        <v>24</v>
      </c>
      <c r="I13" s="2" t="s">
        <v>25</v>
      </c>
      <c r="J13" s="3">
        <v>44865</v>
      </c>
      <c r="K13" s="2">
        <v>13</v>
      </c>
      <c r="L13" s="2" t="s">
        <v>20</v>
      </c>
    </row>
    <row r="14" spans="1:12" x14ac:dyDescent="0.3">
      <c r="A14" s="2">
        <v>3</v>
      </c>
      <c r="B14" s="2" t="s">
        <v>26</v>
      </c>
      <c r="C14" s="2" t="s">
        <v>27</v>
      </c>
      <c r="D14" s="2" t="s">
        <v>28</v>
      </c>
      <c r="E14" s="2" t="s">
        <v>29</v>
      </c>
      <c r="F14" s="2">
        <v>90</v>
      </c>
      <c r="G14" s="2" t="s">
        <v>30</v>
      </c>
      <c r="H14" s="2" t="s">
        <v>31</v>
      </c>
      <c r="I14" s="2" t="s">
        <v>32</v>
      </c>
      <c r="J14" s="3">
        <v>44348</v>
      </c>
      <c r="K14" s="2">
        <v>75</v>
      </c>
      <c r="L14" s="2" t="s">
        <v>33</v>
      </c>
    </row>
    <row r="15" spans="1:12" x14ac:dyDescent="0.3">
      <c r="A15" s="2">
        <v>4</v>
      </c>
      <c r="B15" s="2" t="s">
        <v>34</v>
      </c>
      <c r="C15" s="2" t="s">
        <v>35</v>
      </c>
      <c r="D15" s="2" t="s">
        <v>28</v>
      </c>
      <c r="E15" s="2" t="s">
        <v>29</v>
      </c>
      <c r="F15" s="2">
        <v>60</v>
      </c>
      <c r="G15" s="2" t="s">
        <v>36</v>
      </c>
      <c r="H15" s="2" t="s">
        <v>37</v>
      </c>
      <c r="I15" s="2" t="s">
        <v>38</v>
      </c>
      <c r="J15" s="3">
        <v>44796</v>
      </c>
      <c r="K15" s="2">
        <v>91</v>
      </c>
      <c r="L15" s="2" t="s">
        <v>39</v>
      </c>
    </row>
    <row r="16" spans="1:12" x14ac:dyDescent="0.3">
      <c r="A16" s="2">
        <v>5</v>
      </c>
      <c r="B16" s="2" t="s">
        <v>49</v>
      </c>
      <c r="C16" s="2" t="s">
        <v>50</v>
      </c>
      <c r="D16" s="2" t="s">
        <v>51</v>
      </c>
      <c r="E16" s="2" t="s">
        <v>16</v>
      </c>
      <c r="F16" s="2">
        <v>30</v>
      </c>
      <c r="G16" s="2" t="s">
        <v>52</v>
      </c>
      <c r="H16" s="2" t="s">
        <v>53</v>
      </c>
      <c r="I16" s="2" t="s">
        <v>32</v>
      </c>
      <c r="J16" s="3">
        <v>44681</v>
      </c>
      <c r="K16" s="2">
        <v>104</v>
      </c>
      <c r="L16" s="2" t="s">
        <v>54</v>
      </c>
    </row>
    <row r="17" spans="1:12" x14ac:dyDescent="0.3">
      <c r="A17" s="2">
        <v>6</v>
      </c>
      <c r="B17" s="2" t="s">
        <v>55</v>
      </c>
      <c r="C17" s="2" t="s">
        <v>56</v>
      </c>
      <c r="D17" s="2" t="s">
        <v>28</v>
      </c>
      <c r="E17" s="2" t="s">
        <v>29</v>
      </c>
      <c r="F17" s="2">
        <v>60</v>
      </c>
      <c r="G17" s="2" t="s">
        <v>57</v>
      </c>
      <c r="H17" s="2" t="s">
        <v>58</v>
      </c>
      <c r="I17" s="2" t="s">
        <v>59</v>
      </c>
      <c r="J17" s="3">
        <v>44651</v>
      </c>
      <c r="K17" s="2">
        <v>79</v>
      </c>
      <c r="L17" s="2" t="s">
        <v>45</v>
      </c>
    </row>
    <row r="18" spans="1:12" x14ac:dyDescent="0.3">
      <c r="A18" s="2">
        <v>7</v>
      </c>
      <c r="B18" s="2" t="s">
        <v>60</v>
      </c>
      <c r="C18" s="2" t="s">
        <v>61</v>
      </c>
      <c r="D18" s="2" t="s">
        <v>15</v>
      </c>
      <c r="E18" s="2" t="s">
        <v>16</v>
      </c>
      <c r="F18" s="2">
        <v>90</v>
      </c>
      <c r="G18" s="2" t="s">
        <v>62</v>
      </c>
      <c r="H18" s="2" t="s">
        <v>63</v>
      </c>
      <c r="I18" s="2" t="s">
        <v>32</v>
      </c>
      <c r="J18" s="3">
        <v>44417</v>
      </c>
      <c r="K18" s="2">
        <v>86</v>
      </c>
      <c r="L18" s="2" t="s">
        <v>64</v>
      </c>
    </row>
    <row r="19" spans="1:12" x14ac:dyDescent="0.3">
      <c r="A19" s="2">
        <v>8</v>
      </c>
      <c r="B19" s="2" t="s">
        <v>65</v>
      </c>
      <c r="C19" s="2" t="s">
        <v>66</v>
      </c>
      <c r="D19" s="2" t="s">
        <v>41</v>
      </c>
      <c r="E19" s="2" t="s">
        <v>16</v>
      </c>
      <c r="F19" s="2">
        <v>90</v>
      </c>
      <c r="G19" s="2" t="s">
        <v>67</v>
      </c>
      <c r="H19" s="2" t="s">
        <v>68</v>
      </c>
      <c r="I19" s="2" t="s">
        <v>69</v>
      </c>
      <c r="J19" s="3">
        <v>43854</v>
      </c>
      <c r="K19" s="2">
        <v>66</v>
      </c>
      <c r="L19" s="2" t="s">
        <v>70</v>
      </c>
    </row>
    <row r="20" spans="1:12" x14ac:dyDescent="0.3">
      <c r="A20" s="2">
        <v>9</v>
      </c>
      <c r="B20" s="2" t="s">
        <v>71</v>
      </c>
      <c r="C20" s="2" t="s">
        <v>72</v>
      </c>
      <c r="D20" s="2" t="s">
        <v>51</v>
      </c>
      <c r="E20" s="2" t="s">
        <v>16</v>
      </c>
      <c r="F20" s="2">
        <v>90</v>
      </c>
      <c r="G20" s="2" t="s">
        <v>73</v>
      </c>
      <c r="H20" s="2" t="s">
        <v>74</v>
      </c>
      <c r="I20" s="2" t="s">
        <v>32</v>
      </c>
      <c r="J20" s="3">
        <v>44030</v>
      </c>
      <c r="K20" s="2">
        <v>18</v>
      </c>
      <c r="L20" s="2" t="s">
        <v>54</v>
      </c>
    </row>
    <row r="21" spans="1:12" x14ac:dyDescent="0.3">
      <c r="A21" s="2">
        <v>10</v>
      </c>
      <c r="B21" s="2" t="s">
        <v>75</v>
      </c>
      <c r="C21" s="2" t="s">
        <v>76</v>
      </c>
      <c r="D21" s="2" t="s">
        <v>28</v>
      </c>
      <c r="E21" s="2" t="s">
        <v>29</v>
      </c>
      <c r="F21" s="2">
        <v>30</v>
      </c>
      <c r="G21" s="2" t="s">
        <v>77</v>
      </c>
      <c r="H21" s="2" t="s">
        <v>78</v>
      </c>
      <c r="I21" s="2" t="s">
        <v>79</v>
      </c>
      <c r="J21" s="3">
        <v>44512</v>
      </c>
      <c r="K21" s="2">
        <v>77</v>
      </c>
      <c r="L21" s="2" t="s">
        <v>80</v>
      </c>
    </row>
    <row r="22" spans="1:12" x14ac:dyDescent="0.3">
      <c r="A22" s="2">
        <v>11</v>
      </c>
      <c r="B22" s="2" t="s">
        <v>81</v>
      </c>
      <c r="C22" s="2" t="s">
        <v>82</v>
      </c>
      <c r="D22" s="2" t="s">
        <v>15</v>
      </c>
      <c r="E22" s="2" t="s">
        <v>16</v>
      </c>
      <c r="F22" s="2">
        <v>30</v>
      </c>
      <c r="G22" s="2" t="s">
        <v>83</v>
      </c>
      <c r="H22" s="2" t="s">
        <v>84</v>
      </c>
      <c r="I22" s="2" t="s">
        <v>32</v>
      </c>
      <c r="J22" s="3">
        <v>44025</v>
      </c>
      <c r="K22" s="2">
        <v>5</v>
      </c>
      <c r="L22" s="2" t="s">
        <v>45</v>
      </c>
    </row>
    <row r="23" spans="1:12" x14ac:dyDescent="0.3">
      <c r="A23" s="2">
        <v>12</v>
      </c>
      <c r="B23" s="2" t="s">
        <v>85</v>
      </c>
      <c r="C23" s="2" t="s">
        <v>86</v>
      </c>
      <c r="D23" s="2" t="s">
        <v>28</v>
      </c>
      <c r="E23" s="2" t="s">
        <v>29</v>
      </c>
      <c r="F23" s="2">
        <v>60</v>
      </c>
      <c r="G23" s="2" t="s">
        <v>87</v>
      </c>
      <c r="H23" s="2" t="s">
        <v>88</v>
      </c>
      <c r="I23" s="2" t="s">
        <v>89</v>
      </c>
      <c r="J23" s="3">
        <v>44282</v>
      </c>
      <c r="K23" s="2">
        <v>50</v>
      </c>
      <c r="L23" s="2" t="s">
        <v>54</v>
      </c>
    </row>
    <row r="24" spans="1:12" x14ac:dyDescent="0.3">
      <c r="A24" s="2">
        <v>13</v>
      </c>
      <c r="B24" s="2" t="s">
        <v>90</v>
      </c>
      <c r="C24" s="2" t="s">
        <v>91</v>
      </c>
      <c r="D24" s="2" t="s">
        <v>92</v>
      </c>
      <c r="E24" s="2" t="s">
        <v>29</v>
      </c>
      <c r="F24" s="2">
        <v>60</v>
      </c>
      <c r="G24" s="2" t="s">
        <v>93</v>
      </c>
      <c r="H24" s="2" t="s">
        <v>94</v>
      </c>
      <c r="I24" s="2" t="s">
        <v>95</v>
      </c>
      <c r="J24" s="3">
        <v>44773</v>
      </c>
      <c r="K24" s="2">
        <v>16</v>
      </c>
      <c r="L24" s="2" t="s">
        <v>20</v>
      </c>
    </row>
    <row r="25" spans="1:12" x14ac:dyDescent="0.3">
      <c r="A25" s="2">
        <v>14</v>
      </c>
      <c r="B25" s="2" t="s">
        <v>96</v>
      </c>
      <c r="C25" s="2" t="s">
        <v>97</v>
      </c>
      <c r="D25" s="2" t="s">
        <v>28</v>
      </c>
      <c r="E25" s="2" t="s">
        <v>29</v>
      </c>
      <c r="F25" s="2">
        <v>30</v>
      </c>
      <c r="G25" s="2" t="s">
        <v>98</v>
      </c>
      <c r="H25" s="2" t="s">
        <v>99</v>
      </c>
      <c r="I25" s="2" t="s">
        <v>100</v>
      </c>
      <c r="J25" s="3">
        <v>44548</v>
      </c>
      <c r="K25" s="2">
        <v>49</v>
      </c>
      <c r="L25" s="2" t="s">
        <v>101</v>
      </c>
    </row>
    <row r="26" spans="1:12" x14ac:dyDescent="0.3">
      <c r="A26" s="2">
        <v>15</v>
      </c>
      <c r="B26" s="2" t="s">
        <v>102</v>
      </c>
      <c r="C26" s="2" t="s">
        <v>103</v>
      </c>
      <c r="D26" s="2" t="s">
        <v>28</v>
      </c>
      <c r="E26" s="2" t="s">
        <v>29</v>
      </c>
      <c r="F26" s="2">
        <v>90</v>
      </c>
      <c r="G26" s="2" t="s">
        <v>104</v>
      </c>
      <c r="H26" s="2" t="s">
        <v>105</v>
      </c>
      <c r="I26" s="2" t="s">
        <v>32</v>
      </c>
      <c r="J26" s="3">
        <v>44160</v>
      </c>
      <c r="K26" s="2">
        <v>83</v>
      </c>
      <c r="L26" s="2" t="s">
        <v>101</v>
      </c>
    </row>
    <row r="27" spans="1:12" x14ac:dyDescent="0.3">
      <c r="A27" s="2">
        <v>16</v>
      </c>
      <c r="B27" s="2" t="s">
        <v>106</v>
      </c>
      <c r="C27" s="2" t="s">
        <v>107</v>
      </c>
      <c r="D27" s="2" t="s">
        <v>28</v>
      </c>
      <c r="E27" s="2" t="s">
        <v>29</v>
      </c>
      <c r="F27" s="2">
        <v>90</v>
      </c>
      <c r="G27" s="2" t="s">
        <v>108</v>
      </c>
      <c r="H27" s="2" t="s">
        <v>109</v>
      </c>
      <c r="I27" s="2" t="s">
        <v>110</v>
      </c>
      <c r="J27" s="3">
        <v>44281</v>
      </c>
      <c r="K27" s="2">
        <v>66</v>
      </c>
      <c r="L27" s="2" t="s">
        <v>45</v>
      </c>
    </row>
    <row r="28" spans="1:12" x14ac:dyDescent="0.3">
      <c r="A28" s="2">
        <v>17</v>
      </c>
      <c r="B28" s="2" t="s">
        <v>111</v>
      </c>
      <c r="C28" s="2" t="s">
        <v>112</v>
      </c>
      <c r="D28" s="2" t="s">
        <v>28</v>
      </c>
      <c r="E28" s="2" t="s">
        <v>29</v>
      </c>
      <c r="F28" s="2">
        <v>90</v>
      </c>
      <c r="G28" s="2" t="s">
        <v>113</v>
      </c>
      <c r="H28" s="2" t="s">
        <v>114</v>
      </c>
      <c r="I28" s="2" t="s">
        <v>38</v>
      </c>
      <c r="J28" s="3">
        <v>44455</v>
      </c>
      <c r="K28" s="2">
        <v>85</v>
      </c>
      <c r="L28" s="2" t="s">
        <v>45</v>
      </c>
    </row>
    <row r="29" spans="1:12" x14ac:dyDescent="0.3">
      <c r="A29" s="2">
        <v>18</v>
      </c>
      <c r="B29" s="2" t="s">
        <v>115</v>
      </c>
      <c r="C29" s="2" t="s">
        <v>116</v>
      </c>
      <c r="D29" s="2" t="s">
        <v>117</v>
      </c>
      <c r="E29" s="2" t="s">
        <v>29</v>
      </c>
      <c r="F29" s="2">
        <v>30</v>
      </c>
      <c r="G29" s="2" t="s">
        <v>118</v>
      </c>
      <c r="H29" s="2" t="s">
        <v>119</v>
      </c>
      <c r="I29" s="2" t="s">
        <v>32</v>
      </c>
      <c r="J29" s="3">
        <v>44272</v>
      </c>
      <c r="K29" s="2">
        <v>38</v>
      </c>
      <c r="L29" s="2" t="s">
        <v>33</v>
      </c>
    </row>
    <row r="30" spans="1:12" x14ac:dyDescent="0.3">
      <c r="A30" s="2">
        <v>19</v>
      </c>
      <c r="B30" s="2" t="s">
        <v>120</v>
      </c>
      <c r="C30" s="2" t="s">
        <v>121</v>
      </c>
      <c r="D30" s="2" t="s">
        <v>15</v>
      </c>
      <c r="E30" s="2" t="s">
        <v>16</v>
      </c>
      <c r="F30" s="2">
        <v>90</v>
      </c>
      <c r="G30" s="2" t="s">
        <v>122</v>
      </c>
      <c r="H30" s="2" t="s">
        <v>123</v>
      </c>
      <c r="I30" s="2" t="s">
        <v>124</v>
      </c>
      <c r="J30" s="3">
        <v>44202</v>
      </c>
      <c r="K30" s="2">
        <v>18</v>
      </c>
      <c r="L30" s="2" t="s">
        <v>20</v>
      </c>
    </row>
    <row r="31" spans="1:12" x14ac:dyDescent="0.3">
      <c r="A31" s="2">
        <v>20</v>
      </c>
      <c r="B31" s="2" t="s">
        <v>125</v>
      </c>
      <c r="C31" s="2" t="s">
        <v>126</v>
      </c>
      <c r="D31" s="2" t="s">
        <v>28</v>
      </c>
      <c r="E31" s="2" t="s">
        <v>29</v>
      </c>
      <c r="F31" s="2">
        <v>60</v>
      </c>
      <c r="G31" s="2" t="s">
        <v>127</v>
      </c>
      <c r="H31" s="2" t="s">
        <v>128</v>
      </c>
      <c r="I31" s="2" t="s">
        <v>129</v>
      </c>
      <c r="J31" s="3">
        <v>44595</v>
      </c>
      <c r="K31" s="2">
        <v>50</v>
      </c>
      <c r="L31" s="2" t="s">
        <v>33</v>
      </c>
    </row>
    <row r="32" spans="1:12" x14ac:dyDescent="0.3">
      <c r="A32" s="2">
        <v>21</v>
      </c>
      <c r="B32" s="2" t="s">
        <v>130</v>
      </c>
      <c r="C32" s="2" t="s">
        <v>131</v>
      </c>
      <c r="D32" s="2" t="s">
        <v>28</v>
      </c>
      <c r="E32" s="2" t="s">
        <v>29</v>
      </c>
      <c r="F32" s="2">
        <v>60</v>
      </c>
      <c r="G32" s="2" t="s">
        <v>132</v>
      </c>
      <c r="H32" s="2" t="s">
        <v>133</v>
      </c>
      <c r="I32" s="2" t="s">
        <v>124</v>
      </c>
      <c r="J32" s="3">
        <v>43944</v>
      </c>
      <c r="K32" s="2">
        <v>75</v>
      </c>
      <c r="L32" s="2" t="s">
        <v>20</v>
      </c>
    </row>
    <row r="33" spans="1:12" x14ac:dyDescent="0.3">
      <c r="A33" s="2">
        <v>22</v>
      </c>
      <c r="B33" s="2" t="s">
        <v>134</v>
      </c>
      <c r="C33" s="2" t="s">
        <v>135</v>
      </c>
      <c r="D33" s="2" t="s">
        <v>28</v>
      </c>
      <c r="E33" s="2" t="s">
        <v>29</v>
      </c>
      <c r="F33" s="2">
        <v>60</v>
      </c>
      <c r="G33" s="2" t="s">
        <v>136</v>
      </c>
      <c r="H33" s="2" t="s">
        <v>137</v>
      </c>
      <c r="I33" s="2" t="s">
        <v>32</v>
      </c>
      <c r="J33" s="3">
        <v>44818</v>
      </c>
      <c r="K33" s="2">
        <v>68</v>
      </c>
      <c r="L33" s="2" t="s">
        <v>39</v>
      </c>
    </row>
    <row r="34" spans="1:12" x14ac:dyDescent="0.3">
      <c r="A34" s="2">
        <v>23</v>
      </c>
      <c r="B34" s="2" t="s">
        <v>138</v>
      </c>
      <c r="C34" s="2" t="s">
        <v>139</v>
      </c>
      <c r="D34" s="2" t="s">
        <v>28</v>
      </c>
      <c r="E34" s="2" t="s">
        <v>29</v>
      </c>
      <c r="F34" s="2">
        <v>30</v>
      </c>
      <c r="G34" s="2" t="s">
        <v>140</v>
      </c>
      <c r="H34" s="2" t="s">
        <v>141</v>
      </c>
      <c r="I34" s="2" t="s">
        <v>32</v>
      </c>
      <c r="J34" s="3">
        <v>44490</v>
      </c>
      <c r="K34" s="2">
        <v>14</v>
      </c>
      <c r="L34" s="2" t="s">
        <v>20</v>
      </c>
    </row>
    <row r="35" spans="1:12" x14ac:dyDescent="0.3">
      <c r="A35" s="2">
        <v>24</v>
      </c>
      <c r="B35" s="2" t="s">
        <v>142</v>
      </c>
      <c r="C35" s="2" t="s">
        <v>143</v>
      </c>
      <c r="D35" s="2" t="s">
        <v>15</v>
      </c>
      <c r="E35" s="2" t="s">
        <v>16</v>
      </c>
      <c r="F35" s="2">
        <v>90</v>
      </c>
      <c r="G35" s="2" t="s">
        <v>144</v>
      </c>
      <c r="H35" s="2" t="s">
        <v>145</v>
      </c>
      <c r="I35" s="2" t="s">
        <v>146</v>
      </c>
      <c r="J35" s="3">
        <v>44374</v>
      </c>
      <c r="K35" s="2">
        <v>75</v>
      </c>
      <c r="L35" s="2" t="s">
        <v>45</v>
      </c>
    </row>
    <row r="36" spans="1:12" x14ac:dyDescent="0.3">
      <c r="A36" s="2">
        <v>25</v>
      </c>
      <c r="B36" s="2" t="s">
        <v>147</v>
      </c>
      <c r="C36" s="2" t="s">
        <v>148</v>
      </c>
      <c r="D36" s="2" t="s">
        <v>15</v>
      </c>
      <c r="E36" s="2" t="s">
        <v>16</v>
      </c>
      <c r="F36" s="2">
        <v>30</v>
      </c>
      <c r="G36" s="2" t="s">
        <v>149</v>
      </c>
      <c r="H36" s="2" t="s">
        <v>150</v>
      </c>
      <c r="I36" s="2" t="s">
        <v>110</v>
      </c>
      <c r="J36" s="3">
        <v>44466</v>
      </c>
      <c r="K36" s="2">
        <v>18</v>
      </c>
      <c r="L36" s="2" t="s">
        <v>101</v>
      </c>
    </row>
    <row r="37" spans="1:12" x14ac:dyDescent="0.3">
      <c r="A37" s="2">
        <v>26</v>
      </c>
      <c r="B37" s="2" t="s">
        <v>151</v>
      </c>
      <c r="C37" s="2" t="s">
        <v>152</v>
      </c>
      <c r="D37" s="2" t="s">
        <v>51</v>
      </c>
      <c r="E37" s="2" t="s">
        <v>16</v>
      </c>
      <c r="F37" s="2">
        <v>30</v>
      </c>
      <c r="G37" s="2" t="s">
        <v>153</v>
      </c>
      <c r="H37" s="2" t="s">
        <v>154</v>
      </c>
      <c r="I37" s="2" t="s">
        <v>25</v>
      </c>
      <c r="J37" s="3">
        <v>44901</v>
      </c>
      <c r="K37" s="2">
        <v>89</v>
      </c>
      <c r="L37" s="2" t="s">
        <v>80</v>
      </c>
    </row>
    <row r="38" spans="1:12" x14ac:dyDescent="0.3">
      <c r="A38" s="2">
        <v>27</v>
      </c>
      <c r="B38" s="2" t="s">
        <v>155</v>
      </c>
      <c r="C38" s="2" t="s">
        <v>156</v>
      </c>
      <c r="D38" s="2" t="s">
        <v>28</v>
      </c>
      <c r="E38" s="2" t="s">
        <v>29</v>
      </c>
      <c r="F38" s="2">
        <v>90</v>
      </c>
      <c r="G38" s="2" t="s">
        <v>157</v>
      </c>
      <c r="H38" s="2" t="s">
        <v>158</v>
      </c>
      <c r="I38" s="2" t="s">
        <v>32</v>
      </c>
      <c r="J38" s="3">
        <v>44313</v>
      </c>
      <c r="K38" s="2">
        <v>89</v>
      </c>
      <c r="L38" s="2" t="s">
        <v>159</v>
      </c>
    </row>
    <row r="39" spans="1:12" x14ac:dyDescent="0.3">
      <c r="A39" s="2">
        <v>28</v>
      </c>
      <c r="B39" s="2" t="s">
        <v>160</v>
      </c>
      <c r="C39" s="2" t="s">
        <v>161</v>
      </c>
      <c r="D39" s="2" t="s">
        <v>28</v>
      </c>
      <c r="E39" s="2" t="s">
        <v>29</v>
      </c>
      <c r="F39" s="2">
        <v>60</v>
      </c>
      <c r="G39" s="2" t="s">
        <v>162</v>
      </c>
      <c r="H39" s="2" t="s">
        <v>163</v>
      </c>
      <c r="I39" s="2" t="s">
        <v>164</v>
      </c>
      <c r="J39" s="3">
        <v>44402</v>
      </c>
      <c r="K39" s="2">
        <v>43</v>
      </c>
      <c r="L39" s="2" t="s">
        <v>70</v>
      </c>
    </row>
    <row r="40" spans="1:12" x14ac:dyDescent="0.3">
      <c r="A40" s="2">
        <v>29</v>
      </c>
      <c r="B40" s="2" t="s">
        <v>165</v>
      </c>
      <c r="C40" s="2" t="s">
        <v>166</v>
      </c>
      <c r="D40" s="2" t="s">
        <v>15</v>
      </c>
      <c r="E40" s="2" t="s">
        <v>16</v>
      </c>
      <c r="F40" s="2">
        <v>60</v>
      </c>
      <c r="G40" s="2" t="s">
        <v>167</v>
      </c>
      <c r="H40" s="2" t="s">
        <v>168</v>
      </c>
      <c r="I40" s="2" t="s">
        <v>32</v>
      </c>
      <c r="J40" s="3">
        <v>44266</v>
      </c>
      <c r="K40" s="2">
        <v>37</v>
      </c>
      <c r="L40" s="2" t="s">
        <v>45</v>
      </c>
    </row>
    <row r="41" spans="1:12" x14ac:dyDescent="0.3">
      <c r="A41" s="2">
        <v>30</v>
      </c>
      <c r="B41" s="2" t="s">
        <v>169</v>
      </c>
      <c r="C41" s="2" t="s">
        <v>170</v>
      </c>
      <c r="D41" s="2" t="s">
        <v>15</v>
      </c>
      <c r="E41" s="2" t="s">
        <v>16</v>
      </c>
      <c r="F41" s="2">
        <v>90</v>
      </c>
      <c r="G41" s="2" t="s">
        <v>171</v>
      </c>
      <c r="H41" s="2" t="s">
        <v>172</v>
      </c>
      <c r="I41" s="2" t="s">
        <v>173</v>
      </c>
      <c r="J41" s="3">
        <v>44540</v>
      </c>
      <c r="K41" s="2">
        <v>55</v>
      </c>
      <c r="L41" s="2" t="s">
        <v>64</v>
      </c>
    </row>
    <row r="42" spans="1:12" x14ac:dyDescent="0.3">
      <c r="A42" s="2">
        <v>31</v>
      </c>
      <c r="B42" s="2" t="s">
        <v>174</v>
      </c>
      <c r="C42" s="2" t="s">
        <v>175</v>
      </c>
      <c r="D42" s="2" t="s">
        <v>51</v>
      </c>
      <c r="E42" s="2" t="s">
        <v>16</v>
      </c>
      <c r="F42" s="2">
        <v>60</v>
      </c>
      <c r="G42" s="2" t="s">
        <v>176</v>
      </c>
      <c r="H42" s="2" t="s">
        <v>177</v>
      </c>
      <c r="I42" s="2" t="s">
        <v>178</v>
      </c>
      <c r="J42" s="3">
        <v>44354</v>
      </c>
      <c r="K42" s="2">
        <v>92</v>
      </c>
      <c r="L42" s="2" t="s">
        <v>64</v>
      </c>
    </row>
    <row r="43" spans="1:12" x14ac:dyDescent="0.3">
      <c r="A43" s="2">
        <v>32</v>
      </c>
      <c r="B43" s="2" t="s">
        <v>179</v>
      </c>
      <c r="C43" s="2" t="s">
        <v>180</v>
      </c>
      <c r="D43" s="2" t="s">
        <v>28</v>
      </c>
      <c r="E43" s="2" t="s">
        <v>29</v>
      </c>
      <c r="F43" s="2">
        <v>60</v>
      </c>
      <c r="G43" s="2" t="s">
        <v>181</v>
      </c>
      <c r="H43" s="2" t="s">
        <v>182</v>
      </c>
      <c r="I43" s="2" t="s">
        <v>32</v>
      </c>
      <c r="J43" s="3">
        <v>44577</v>
      </c>
      <c r="K43" s="2">
        <v>105</v>
      </c>
      <c r="L43" s="2" t="s">
        <v>45</v>
      </c>
    </row>
    <row r="44" spans="1:12" x14ac:dyDescent="0.3">
      <c r="A44" s="2">
        <v>33</v>
      </c>
      <c r="B44" s="2" t="s">
        <v>183</v>
      </c>
      <c r="C44" s="2" t="s">
        <v>184</v>
      </c>
      <c r="D44" s="2" t="s">
        <v>28</v>
      </c>
      <c r="E44" s="2" t="s">
        <v>29</v>
      </c>
      <c r="F44" s="2">
        <v>30</v>
      </c>
      <c r="G44" s="2" t="s">
        <v>185</v>
      </c>
      <c r="H44" s="2" t="s">
        <v>186</v>
      </c>
      <c r="I44" s="2" t="s">
        <v>187</v>
      </c>
      <c r="J44" s="3">
        <v>44036</v>
      </c>
      <c r="K44" s="2">
        <v>30</v>
      </c>
      <c r="L44" s="2" t="s">
        <v>101</v>
      </c>
    </row>
    <row r="45" spans="1:12" x14ac:dyDescent="0.3">
      <c r="A45" s="2">
        <v>34</v>
      </c>
      <c r="B45" s="2" t="s">
        <v>188</v>
      </c>
      <c r="C45" s="2" t="s">
        <v>189</v>
      </c>
      <c r="D45" s="2" t="s">
        <v>28</v>
      </c>
      <c r="E45" s="2" t="s">
        <v>29</v>
      </c>
      <c r="F45" s="2">
        <v>90</v>
      </c>
      <c r="G45" s="2" t="s">
        <v>190</v>
      </c>
      <c r="H45" s="2" t="s">
        <v>191</v>
      </c>
      <c r="I45" s="2" t="s">
        <v>89</v>
      </c>
      <c r="J45" s="3">
        <v>43982</v>
      </c>
      <c r="K45" s="2">
        <v>7</v>
      </c>
      <c r="L45" s="2" t="s">
        <v>54</v>
      </c>
    </row>
    <row r="46" spans="1:12" x14ac:dyDescent="0.3">
      <c r="A46" s="2">
        <v>35</v>
      </c>
      <c r="B46" s="2" t="s">
        <v>192</v>
      </c>
      <c r="C46" s="2" t="s">
        <v>193</v>
      </c>
      <c r="D46" s="2" t="s">
        <v>15</v>
      </c>
      <c r="E46" s="2" t="s">
        <v>16</v>
      </c>
      <c r="F46" s="2">
        <v>90</v>
      </c>
      <c r="G46" s="2" t="s">
        <v>194</v>
      </c>
      <c r="H46" s="2" t="s">
        <v>195</v>
      </c>
      <c r="I46" s="2" t="s">
        <v>187</v>
      </c>
      <c r="J46" s="3">
        <v>44049</v>
      </c>
      <c r="K46" s="2">
        <v>10</v>
      </c>
      <c r="L46" s="2" t="s">
        <v>159</v>
      </c>
    </row>
    <row r="47" spans="1:12" x14ac:dyDescent="0.3">
      <c r="A47" s="2">
        <v>36</v>
      </c>
      <c r="B47" s="2" t="s">
        <v>196</v>
      </c>
      <c r="C47" s="2" t="s">
        <v>197</v>
      </c>
      <c r="D47" s="2" t="s">
        <v>28</v>
      </c>
      <c r="E47" s="2" t="s">
        <v>29</v>
      </c>
      <c r="F47" s="2">
        <v>30</v>
      </c>
      <c r="G47" s="2" t="s">
        <v>198</v>
      </c>
      <c r="H47" s="2" t="s">
        <v>199</v>
      </c>
      <c r="I47" s="2" t="s">
        <v>32</v>
      </c>
      <c r="J47" s="3">
        <v>44190</v>
      </c>
      <c r="K47" s="2">
        <v>14</v>
      </c>
      <c r="L47" s="2" t="s">
        <v>101</v>
      </c>
    </row>
    <row r="48" spans="1:12" x14ac:dyDescent="0.3">
      <c r="A48" s="2">
        <v>37</v>
      </c>
      <c r="B48" s="2" t="s">
        <v>200</v>
      </c>
      <c r="C48" s="2" t="s">
        <v>201</v>
      </c>
      <c r="D48" s="2" t="s">
        <v>51</v>
      </c>
      <c r="E48" s="2" t="s">
        <v>16</v>
      </c>
      <c r="F48" s="2">
        <v>30</v>
      </c>
      <c r="G48" s="2" t="s">
        <v>202</v>
      </c>
      <c r="H48" s="2" t="s">
        <v>203</v>
      </c>
      <c r="I48" s="2" t="s">
        <v>32</v>
      </c>
      <c r="J48" s="3">
        <v>43853</v>
      </c>
      <c r="K48" s="2">
        <v>5</v>
      </c>
      <c r="L48" s="2" t="s">
        <v>39</v>
      </c>
    </row>
    <row r="49" spans="1:12" x14ac:dyDescent="0.3">
      <c r="A49" s="2">
        <v>38</v>
      </c>
      <c r="B49" s="2" t="s">
        <v>204</v>
      </c>
      <c r="C49" s="2" t="s">
        <v>205</v>
      </c>
      <c r="D49" s="2" t="s">
        <v>28</v>
      </c>
      <c r="E49" s="2" t="s">
        <v>29</v>
      </c>
      <c r="F49" s="2">
        <v>60</v>
      </c>
      <c r="G49" s="2" t="s">
        <v>206</v>
      </c>
      <c r="H49" s="2" t="s">
        <v>207</v>
      </c>
      <c r="I49" s="2" t="s">
        <v>208</v>
      </c>
      <c r="J49" s="3">
        <v>44897</v>
      </c>
      <c r="K49" s="2">
        <v>2</v>
      </c>
      <c r="L49" s="2" t="s">
        <v>80</v>
      </c>
    </row>
    <row r="50" spans="1:12" x14ac:dyDescent="0.3">
      <c r="A50" s="2">
        <v>39</v>
      </c>
      <c r="B50" s="2" t="s">
        <v>209</v>
      </c>
      <c r="C50" s="2" t="s">
        <v>210</v>
      </c>
      <c r="D50" s="2" t="s">
        <v>28</v>
      </c>
      <c r="E50" s="2" t="s">
        <v>29</v>
      </c>
      <c r="F50" s="2">
        <v>90</v>
      </c>
      <c r="G50" s="2" t="s">
        <v>211</v>
      </c>
      <c r="H50" s="2" t="s">
        <v>212</v>
      </c>
      <c r="I50" s="2" t="s">
        <v>213</v>
      </c>
      <c r="J50" s="3">
        <v>44101</v>
      </c>
      <c r="K50" s="2">
        <v>46</v>
      </c>
      <c r="L50" s="2" t="s">
        <v>39</v>
      </c>
    </row>
    <row r="51" spans="1:12" x14ac:dyDescent="0.3">
      <c r="A51" s="2">
        <v>40</v>
      </c>
      <c r="B51" s="2" t="s">
        <v>214</v>
      </c>
      <c r="C51" s="2" t="s">
        <v>215</v>
      </c>
      <c r="D51" s="2" t="s">
        <v>28</v>
      </c>
      <c r="E51" s="2" t="s">
        <v>29</v>
      </c>
      <c r="F51" s="2">
        <v>90</v>
      </c>
      <c r="G51" s="2" t="s">
        <v>216</v>
      </c>
      <c r="H51" s="2" t="s">
        <v>217</v>
      </c>
      <c r="I51" s="2" t="s">
        <v>124</v>
      </c>
      <c r="J51" s="3">
        <v>44030</v>
      </c>
      <c r="K51" s="2">
        <v>18</v>
      </c>
      <c r="L51" s="2" t="s">
        <v>33</v>
      </c>
    </row>
    <row r="52" spans="1:12" x14ac:dyDescent="0.3">
      <c r="A52" s="2">
        <v>41</v>
      </c>
      <c r="B52" s="2" t="s">
        <v>218</v>
      </c>
      <c r="C52" s="2" t="s">
        <v>219</v>
      </c>
      <c r="D52" s="2" t="s">
        <v>28</v>
      </c>
      <c r="E52" s="2" t="s">
        <v>29</v>
      </c>
      <c r="F52" s="2">
        <v>60</v>
      </c>
      <c r="G52" s="2" t="s">
        <v>220</v>
      </c>
      <c r="H52" s="2" t="s">
        <v>221</v>
      </c>
      <c r="I52" s="2" t="s">
        <v>32</v>
      </c>
      <c r="J52" s="3">
        <v>44346</v>
      </c>
      <c r="K52" s="2">
        <v>56</v>
      </c>
      <c r="L52" s="2" t="s">
        <v>101</v>
      </c>
    </row>
    <row r="53" spans="1:12" x14ac:dyDescent="0.3">
      <c r="A53" s="2">
        <v>42</v>
      </c>
      <c r="B53" s="2" t="s">
        <v>222</v>
      </c>
      <c r="C53" s="2" t="s">
        <v>152</v>
      </c>
      <c r="D53" s="2" t="s">
        <v>28</v>
      </c>
      <c r="E53" s="2" t="s">
        <v>29</v>
      </c>
      <c r="F53" s="2">
        <v>60</v>
      </c>
      <c r="G53" s="2" t="s">
        <v>223</v>
      </c>
      <c r="H53" s="2" t="s">
        <v>224</v>
      </c>
      <c r="I53" s="2" t="s">
        <v>124</v>
      </c>
      <c r="J53" s="3">
        <v>44127</v>
      </c>
      <c r="K53" s="2">
        <v>63</v>
      </c>
      <c r="L53" s="2" t="s">
        <v>20</v>
      </c>
    </row>
    <row r="54" spans="1:12" x14ac:dyDescent="0.3">
      <c r="A54" s="2">
        <v>43</v>
      </c>
      <c r="B54" s="2" t="s">
        <v>142</v>
      </c>
      <c r="C54" s="2" t="s">
        <v>225</v>
      </c>
      <c r="D54" s="2" t="s">
        <v>41</v>
      </c>
      <c r="E54" s="2" t="s">
        <v>16</v>
      </c>
      <c r="F54" s="2">
        <v>30</v>
      </c>
      <c r="G54" s="2" t="s">
        <v>226</v>
      </c>
      <c r="H54" s="2" t="s">
        <v>227</v>
      </c>
      <c r="I54" s="2" t="s">
        <v>178</v>
      </c>
      <c r="J54" s="3">
        <v>44829</v>
      </c>
      <c r="K54" s="2">
        <v>6</v>
      </c>
      <c r="L54" s="2" t="s">
        <v>20</v>
      </c>
    </row>
    <row r="55" spans="1:12" x14ac:dyDescent="0.3">
      <c r="A55" s="2">
        <v>44</v>
      </c>
      <c r="B55" s="2" t="s">
        <v>228</v>
      </c>
      <c r="C55" s="2" t="s">
        <v>229</v>
      </c>
      <c r="D55" s="2" t="s">
        <v>28</v>
      </c>
      <c r="E55" s="2" t="s">
        <v>29</v>
      </c>
      <c r="F55" s="2">
        <v>30</v>
      </c>
      <c r="G55" s="2" t="s">
        <v>230</v>
      </c>
      <c r="H55" s="2" t="s">
        <v>231</v>
      </c>
      <c r="I55" s="2" t="s">
        <v>178</v>
      </c>
      <c r="J55" s="3">
        <v>44199</v>
      </c>
      <c r="K55" s="2">
        <v>31</v>
      </c>
      <c r="L55" s="2" t="s">
        <v>80</v>
      </c>
    </row>
    <row r="56" spans="1:12" x14ac:dyDescent="0.3">
      <c r="A56" s="2">
        <v>45</v>
      </c>
      <c r="B56" s="2" t="s">
        <v>232</v>
      </c>
      <c r="C56" s="2" t="s">
        <v>233</v>
      </c>
      <c r="D56" s="2" t="s">
        <v>51</v>
      </c>
      <c r="E56" s="2" t="s">
        <v>16</v>
      </c>
      <c r="F56" s="2">
        <v>30</v>
      </c>
      <c r="G56" s="2" t="s">
        <v>234</v>
      </c>
      <c r="H56" s="2" t="s">
        <v>235</v>
      </c>
      <c r="I56" s="2" t="s">
        <v>146</v>
      </c>
      <c r="J56" s="3">
        <v>44706</v>
      </c>
      <c r="K56" s="2">
        <v>19</v>
      </c>
      <c r="L56" s="2" t="s">
        <v>20</v>
      </c>
    </row>
    <row r="57" spans="1:12" x14ac:dyDescent="0.3">
      <c r="A57" s="2">
        <v>46</v>
      </c>
      <c r="B57" s="2" t="s">
        <v>236</v>
      </c>
      <c r="C57" s="2" t="s">
        <v>237</v>
      </c>
      <c r="D57" s="2" t="s">
        <v>51</v>
      </c>
      <c r="E57" s="2" t="s">
        <v>16</v>
      </c>
      <c r="F57" s="2">
        <v>90</v>
      </c>
      <c r="G57" s="2" t="s">
        <v>238</v>
      </c>
      <c r="H57" s="2" t="s">
        <v>239</v>
      </c>
      <c r="I57" s="2" t="s">
        <v>240</v>
      </c>
      <c r="J57" s="3">
        <v>43941</v>
      </c>
      <c r="K57" s="2">
        <v>44</v>
      </c>
      <c r="L57" s="2" t="s">
        <v>33</v>
      </c>
    </row>
    <row r="58" spans="1:12" x14ac:dyDescent="0.3">
      <c r="A58" s="2">
        <v>47</v>
      </c>
      <c r="B58" s="2" t="s">
        <v>241</v>
      </c>
      <c r="C58" s="2" t="s">
        <v>242</v>
      </c>
      <c r="D58" s="2" t="s">
        <v>15</v>
      </c>
      <c r="E58" s="2" t="s">
        <v>16</v>
      </c>
      <c r="F58" s="2">
        <v>90</v>
      </c>
      <c r="G58" s="2" t="s">
        <v>243</v>
      </c>
      <c r="H58" s="2" t="s">
        <v>244</v>
      </c>
      <c r="I58" s="2" t="s">
        <v>240</v>
      </c>
      <c r="J58" s="3">
        <v>44071</v>
      </c>
      <c r="K58" s="2">
        <v>5</v>
      </c>
      <c r="L58" s="2" t="s">
        <v>45</v>
      </c>
    </row>
    <row r="59" spans="1:12" x14ac:dyDescent="0.3">
      <c r="A59" s="2">
        <v>48</v>
      </c>
      <c r="B59" s="2" t="s">
        <v>245</v>
      </c>
      <c r="C59" s="2" t="s">
        <v>246</v>
      </c>
      <c r="D59" s="2" t="s">
        <v>28</v>
      </c>
      <c r="E59" s="2" t="s">
        <v>29</v>
      </c>
      <c r="F59" s="2">
        <v>30</v>
      </c>
      <c r="G59" s="2" t="s">
        <v>247</v>
      </c>
      <c r="H59" s="2" t="s">
        <v>248</v>
      </c>
      <c r="I59" s="2" t="s">
        <v>178</v>
      </c>
      <c r="J59" s="3">
        <v>44374</v>
      </c>
      <c r="K59" s="2">
        <v>24</v>
      </c>
      <c r="L59" s="2" t="s">
        <v>20</v>
      </c>
    </row>
    <row r="60" spans="1:12" x14ac:dyDescent="0.3">
      <c r="A60" s="2">
        <v>49</v>
      </c>
      <c r="B60" s="2" t="s">
        <v>249</v>
      </c>
      <c r="C60" s="2" t="s">
        <v>66</v>
      </c>
      <c r="D60" s="2" t="s">
        <v>28</v>
      </c>
      <c r="E60" s="2" t="s">
        <v>29</v>
      </c>
      <c r="F60" s="2">
        <v>30</v>
      </c>
      <c r="G60" s="2" t="s">
        <v>250</v>
      </c>
      <c r="H60" s="2" t="s">
        <v>251</v>
      </c>
      <c r="I60" s="2" t="s">
        <v>146</v>
      </c>
      <c r="J60" s="3">
        <v>44084</v>
      </c>
      <c r="K60" s="2">
        <v>85</v>
      </c>
      <c r="L60" s="2" t="s">
        <v>101</v>
      </c>
    </row>
    <row r="61" spans="1:12" x14ac:dyDescent="0.3">
      <c r="A61" s="2">
        <v>50</v>
      </c>
      <c r="B61" s="2" t="s">
        <v>252</v>
      </c>
      <c r="C61" s="2" t="s">
        <v>253</v>
      </c>
      <c r="D61" s="2" t="s">
        <v>15</v>
      </c>
      <c r="E61" s="2" t="s">
        <v>16</v>
      </c>
      <c r="F61" s="2">
        <v>30</v>
      </c>
      <c r="G61" s="2" t="s">
        <v>254</v>
      </c>
      <c r="H61" s="2" t="s">
        <v>255</v>
      </c>
      <c r="I61" s="2" t="s">
        <v>32</v>
      </c>
      <c r="J61" s="3">
        <v>43895</v>
      </c>
      <c r="K61" s="2">
        <v>56</v>
      </c>
      <c r="L61" s="2" t="s">
        <v>45</v>
      </c>
    </row>
    <row r="62" spans="1:12" x14ac:dyDescent="0.3">
      <c r="A62" s="2">
        <v>51</v>
      </c>
      <c r="B62" s="2" t="s">
        <v>256</v>
      </c>
      <c r="C62" s="2" t="s">
        <v>257</v>
      </c>
      <c r="D62" s="2" t="s">
        <v>117</v>
      </c>
      <c r="E62" s="2" t="s">
        <v>29</v>
      </c>
      <c r="F62" s="2">
        <v>30</v>
      </c>
      <c r="G62" s="2" t="s">
        <v>254</v>
      </c>
      <c r="H62" s="2" t="s">
        <v>258</v>
      </c>
      <c r="I62" s="2" t="s">
        <v>32</v>
      </c>
      <c r="J62" s="3">
        <v>44451</v>
      </c>
      <c r="K62" s="2">
        <v>77</v>
      </c>
      <c r="L62" s="2" t="s">
        <v>80</v>
      </c>
    </row>
    <row r="63" spans="1:12" x14ac:dyDescent="0.3">
      <c r="A63" s="2">
        <v>52</v>
      </c>
      <c r="B63" s="2" t="s">
        <v>259</v>
      </c>
      <c r="C63" s="2" t="s">
        <v>260</v>
      </c>
      <c r="D63" s="2" t="s">
        <v>28</v>
      </c>
      <c r="E63" s="2" t="s">
        <v>29</v>
      </c>
      <c r="F63" s="2">
        <v>60</v>
      </c>
      <c r="G63" s="2" t="s">
        <v>261</v>
      </c>
      <c r="H63" s="2" t="s">
        <v>262</v>
      </c>
      <c r="I63" s="2" t="s">
        <v>110</v>
      </c>
      <c r="J63" s="3">
        <v>44050</v>
      </c>
      <c r="K63" s="2">
        <v>39</v>
      </c>
      <c r="L63" s="2" t="s">
        <v>101</v>
      </c>
    </row>
    <row r="64" spans="1:12" x14ac:dyDescent="0.3">
      <c r="A64" s="2">
        <v>53</v>
      </c>
      <c r="B64" s="2" t="s">
        <v>263</v>
      </c>
      <c r="C64" s="2" t="s">
        <v>264</v>
      </c>
      <c r="D64" s="2" t="s">
        <v>51</v>
      </c>
      <c r="E64" s="2" t="s">
        <v>16</v>
      </c>
      <c r="F64" s="2">
        <v>30</v>
      </c>
      <c r="G64" s="2" t="s">
        <v>265</v>
      </c>
      <c r="H64" s="2" t="s">
        <v>266</v>
      </c>
      <c r="I64" s="2" t="s">
        <v>32</v>
      </c>
      <c r="J64" s="3">
        <v>43908</v>
      </c>
      <c r="K64" s="2">
        <v>63</v>
      </c>
      <c r="L64" s="2" t="s">
        <v>54</v>
      </c>
    </row>
    <row r="65" spans="1:12" x14ac:dyDescent="0.3">
      <c r="A65" s="2">
        <v>54</v>
      </c>
      <c r="B65" s="2" t="s">
        <v>267</v>
      </c>
      <c r="C65" s="2" t="s">
        <v>268</v>
      </c>
      <c r="D65" s="2" t="s">
        <v>28</v>
      </c>
      <c r="E65" s="2" t="s">
        <v>29</v>
      </c>
      <c r="F65" s="2">
        <v>90</v>
      </c>
      <c r="G65" s="2" t="s">
        <v>269</v>
      </c>
      <c r="H65" s="2" t="s">
        <v>270</v>
      </c>
      <c r="I65" s="2" t="s">
        <v>187</v>
      </c>
      <c r="J65" s="3">
        <v>44590</v>
      </c>
      <c r="K65" s="2">
        <v>60</v>
      </c>
      <c r="L65" s="2" t="s">
        <v>33</v>
      </c>
    </row>
    <row r="66" spans="1:12" x14ac:dyDescent="0.3">
      <c r="A66" s="2">
        <v>55</v>
      </c>
      <c r="B66" s="2" t="s">
        <v>271</v>
      </c>
      <c r="C66" s="2" t="s">
        <v>272</v>
      </c>
      <c r="D66" s="2" t="s">
        <v>15</v>
      </c>
      <c r="E66" s="2" t="s">
        <v>16</v>
      </c>
      <c r="F66" s="2">
        <v>90</v>
      </c>
      <c r="G66" s="2" t="s">
        <v>274</v>
      </c>
      <c r="H66" s="2" t="s">
        <v>275</v>
      </c>
      <c r="I66" s="2" t="s">
        <v>32</v>
      </c>
      <c r="J66" s="3">
        <v>44375</v>
      </c>
      <c r="K66" s="2">
        <v>26</v>
      </c>
      <c r="L66" s="2" t="s">
        <v>70</v>
      </c>
    </row>
    <row r="67" spans="1:12" x14ac:dyDescent="0.3">
      <c r="A67" s="2">
        <v>56</v>
      </c>
      <c r="B67" s="2" t="s">
        <v>276</v>
      </c>
      <c r="C67" s="2" t="s">
        <v>277</v>
      </c>
      <c r="D67" s="2" t="s">
        <v>15</v>
      </c>
      <c r="E67" s="2" t="s">
        <v>16</v>
      </c>
      <c r="F67" s="2">
        <v>30</v>
      </c>
      <c r="G67" s="2" t="s">
        <v>278</v>
      </c>
      <c r="H67" s="2" t="s">
        <v>279</v>
      </c>
      <c r="I67" s="2" t="s">
        <v>213</v>
      </c>
      <c r="J67" s="3">
        <v>44612</v>
      </c>
      <c r="K67" s="2">
        <v>31</v>
      </c>
      <c r="L67" s="2" t="s">
        <v>54</v>
      </c>
    </row>
    <row r="68" spans="1:12" x14ac:dyDescent="0.3">
      <c r="A68" s="2">
        <v>57</v>
      </c>
      <c r="B68" s="2" t="s">
        <v>280</v>
      </c>
      <c r="C68" s="2" t="s">
        <v>281</v>
      </c>
      <c r="D68" s="2" t="s">
        <v>51</v>
      </c>
      <c r="E68" s="2" t="s">
        <v>16</v>
      </c>
      <c r="F68" s="2">
        <v>30</v>
      </c>
      <c r="G68" s="2" t="s">
        <v>283</v>
      </c>
      <c r="H68" s="2" t="s">
        <v>284</v>
      </c>
      <c r="I68" s="2" t="s">
        <v>146</v>
      </c>
      <c r="J68" s="3">
        <v>44645</v>
      </c>
      <c r="K68" s="2">
        <v>50</v>
      </c>
      <c r="L68" s="2" t="s">
        <v>54</v>
      </c>
    </row>
    <row r="69" spans="1:12" x14ac:dyDescent="0.3">
      <c r="A69" s="2">
        <v>58</v>
      </c>
      <c r="B69" s="2" t="s">
        <v>289</v>
      </c>
      <c r="C69" s="2" t="s">
        <v>290</v>
      </c>
      <c r="D69" s="2" t="s">
        <v>51</v>
      </c>
      <c r="E69" s="2" t="s">
        <v>16</v>
      </c>
      <c r="F69" s="2">
        <v>90</v>
      </c>
      <c r="G69" s="2" t="s">
        <v>292</v>
      </c>
      <c r="H69" s="2" t="s">
        <v>293</v>
      </c>
      <c r="I69" s="2" t="s">
        <v>294</v>
      </c>
      <c r="J69" s="3">
        <v>44445</v>
      </c>
      <c r="K69" s="2">
        <v>11</v>
      </c>
      <c r="L69" s="2" t="s">
        <v>33</v>
      </c>
    </row>
    <row r="70" spans="1:12" x14ac:dyDescent="0.3">
      <c r="A70" s="2">
        <v>59</v>
      </c>
      <c r="B70" s="2" t="s">
        <v>295</v>
      </c>
      <c r="C70" s="2" t="s">
        <v>296</v>
      </c>
      <c r="D70" s="2" t="s">
        <v>28</v>
      </c>
      <c r="E70" s="2" t="s">
        <v>29</v>
      </c>
      <c r="F70" s="2">
        <v>60</v>
      </c>
      <c r="G70" s="2" t="s">
        <v>297</v>
      </c>
      <c r="H70" s="2" t="s">
        <v>298</v>
      </c>
      <c r="I70" s="2" t="s">
        <v>25</v>
      </c>
      <c r="J70" s="3">
        <v>44714</v>
      </c>
      <c r="K70" s="2">
        <v>28</v>
      </c>
      <c r="L70" s="2" t="s">
        <v>159</v>
      </c>
    </row>
    <row r="71" spans="1:12" x14ac:dyDescent="0.3">
      <c r="A71" s="2">
        <v>60</v>
      </c>
      <c r="B71" s="2" t="s">
        <v>299</v>
      </c>
      <c r="C71" s="2" t="s">
        <v>300</v>
      </c>
      <c r="D71" s="2" t="s">
        <v>41</v>
      </c>
      <c r="E71" s="2" t="s">
        <v>16</v>
      </c>
      <c r="F71" s="2">
        <v>60</v>
      </c>
      <c r="G71" s="2" t="s">
        <v>301</v>
      </c>
      <c r="H71" s="2" t="s">
        <v>302</v>
      </c>
      <c r="I71" s="2" t="s">
        <v>303</v>
      </c>
      <c r="J71" s="3">
        <v>43922</v>
      </c>
      <c r="K71" s="2">
        <v>49</v>
      </c>
      <c r="L71" s="2" t="s">
        <v>70</v>
      </c>
    </row>
    <row r="72" spans="1:12" x14ac:dyDescent="0.3">
      <c r="A72" s="2">
        <v>61</v>
      </c>
      <c r="B72" s="2" t="s">
        <v>304</v>
      </c>
      <c r="C72" s="2" t="s">
        <v>305</v>
      </c>
      <c r="D72" s="2" t="s">
        <v>51</v>
      </c>
      <c r="E72" s="2" t="s">
        <v>16</v>
      </c>
      <c r="F72" s="2">
        <v>60</v>
      </c>
      <c r="G72" s="2" t="s">
        <v>306</v>
      </c>
      <c r="H72" s="2" t="s">
        <v>307</v>
      </c>
      <c r="I72" s="2" t="s">
        <v>32</v>
      </c>
      <c r="J72" s="3">
        <v>44792</v>
      </c>
      <c r="K72" s="2">
        <v>105</v>
      </c>
      <c r="L72" s="2" t="s">
        <v>39</v>
      </c>
    </row>
    <row r="73" spans="1:12" x14ac:dyDescent="0.3">
      <c r="A73" s="2">
        <v>62</v>
      </c>
      <c r="B73" s="2" t="s">
        <v>308</v>
      </c>
      <c r="C73" s="2" t="s">
        <v>309</v>
      </c>
      <c r="D73" s="2" t="s">
        <v>51</v>
      </c>
      <c r="E73" s="2" t="s">
        <v>16</v>
      </c>
      <c r="F73" s="2">
        <v>90</v>
      </c>
      <c r="G73" s="2" t="s">
        <v>310</v>
      </c>
      <c r="H73" s="2" t="s">
        <v>311</v>
      </c>
      <c r="I73" s="2" t="s">
        <v>32</v>
      </c>
      <c r="J73" s="3">
        <v>44425</v>
      </c>
      <c r="K73" s="2">
        <v>32</v>
      </c>
      <c r="L73" s="2" t="s">
        <v>45</v>
      </c>
    </row>
    <row r="74" spans="1:12" x14ac:dyDescent="0.3">
      <c r="A74" s="2">
        <v>63</v>
      </c>
      <c r="B74" s="2" t="s">
        <v>312</v>
      </c>
      <c r="C74" s="2" t="s">
        <v>313</v>
      </c>
      <c r="D74" s="2" t="s">
        <v>41</v>
      </c>
      <c r="E74" s="2" t="s">
        <v>16</v>
      </c>
      <c r="F74" s="2">
        <v>90</v>
      </c>
      <c r="G74" s="2" t="s">
        <v>314</v>
      </c>
      <c r="H74" s="2" t="s">
        <v>315</v>
      </c>
      <c r="I74" s="2" t="s">
        <v>32</v>
      </c>
      <c r="J74" s="3">
        <v>44024</v>
      </c>
      <c r="K74" s="2">
        <v>31</v>
      </c>
      <c r="L74" s="2" t="s">
        <v>33</v>
      </c>
    </row>
    <row r="75" spans="1:12" x14ac:dyDescent="0.3">
      <c r="A75" s="2">
        <v>64</v>
      </c>
      <c r="B75" s="2" t="s">
        <v>316</v>
      </c>
      <c r="C75" s="2" t="s">
        <v>317</v>
      </c>
      <c r="D75" s="2" t="s">
        <v>15</v>
      </c>
      <c r="E75" s="2" t="s">
        <v>16</v>
      </c>
      <c r="F75" s="2">
        <v>30</v>
      </c>
      <c r="G75" s="2" t="s">
        <v>318</v>
      </c>
      <c r="H75" s="2" t="s">
        <v>319</v>
      </c>
      <c r="I75" s="2" t="s">
        <v>208</v>
      </c>
      <c r="J75" s="3">
        <v>44110</v>
      </c>
      <c r="K75" s="2">
        <v>23</v>
      </c>
      <c r="L75" s="2" t="s">
        <v>159</v>
      </c>
    </row>
    <row r="76" spans="1:12" x14ac:dyDescent="0.3">
      <c r="A76" s="2">
        <v>65</v>
      </c>
      <c r="B76" s="2" t="s">
        <v>320</v>
      </c>
      <c r="C76" s="2" t="s">
        <v>321</v>
      </c>
      <c r="D76" s="2" t="s">
        <v>15</v>
      </c>
      <c r="E76" s="2" t="s">
        <v>16</v>
      </c>
      <c r="F76" s="2">
        <v>60</v>
      </c>
      <c r="G76" s="2" t="s">
        <v>318</v>
      </c>
      <c r="H76" s="2" t="s">
        <v>322</v>
      </c>
      <c r="I76" s="2" t="s">
        <v>32</v>
      </c>
      <c r="J76" s="3">
        <v>43845</v>
      </c>
      <c r="K76" s="2">
        <v>51</v>
      </c>
      <c r="L76" s="2" t="s">
        <v>33</v>
      </c>
    </row>
    <row r="77" spans="1:12" x14ac:dyDescent="0.3">
      <c r="A77" s="2">
        <v>66</v>
      </c>
      <c r="B77" s="2" t="s">
        <v>323</v>
      </c>
      <c r="C77" s="2" t="s">
        <v>324</v>
      </c>
      <c r="D77" s="2" t="s">
        <v>28</v>
      </c>
      <c r="E77" s="2" t="s">
        <v>29</v>
      </c>
      <c r="F77" s="2">
        <v>60</v>
      </c>
      <c r="G77" s="2" t="s">
        <v>325</v>
      </c>
      <c r="H77" s="2" t="s">
        <v>326</v>
      </c>
      <c r="I77" s="2" t="s">
        <v>25</v>
      </c>
      <c r="J77" s="3">
        <v>44084</v>
      </c>
      <c r="K77" s="2">
        <v>59</v>
      </c>
      <c r="L77" s="2" t="s">
        <v>159</v>
      </c>
    </row>
    <row r="78" spans="1:12" x14ac:dyDescent="0.3">
      <c r="A78" s="2">
        <v>67</v>
      </c>
      <c r="B78" s="2" t="s">
        <v>327</v>
      </c>
      <c r="C78" s="2" t="s">
        <v>328</v>
      </c>
      <c r="D78" s="2" t="s">
        <v>51</v>
      </c>
      <c r="E78" s="2" t="s">
        <v>16</v>
      </c>
      <c r="F78" s="2">
        <v>60</v>
      </c>
      <c r="G78" s="2" t="s">
        <v>329</v>
      </c>
      <c r="H78" s="2" t="s">
        <v>330</v>
      </c>
      <c r="I78" s="2" t="s">
        <v>32</v>
      </c>
      <c r="J78" s="3">
        <v>44465</v>
      </c>
      <c r="K78" s="2">
        <v>37</v>
      </c>
      <c r="L78" s="2" t="s">
        <v>45</v>
      </c>
    </row>
    <row r="79" spans="1:12" x14ac:dyDescent="0.3">
      <c r="A79" s="2">
        <v>68</v>
      </c>
      <c r="B79" s="2" t="s">
        <v>331</v>
      </c>
      <c r="C79" s="2" t="s">
        <v>332</v>
      </c>
      <c r="D79" s="2" t="s">
        <v>51</v>
      </c>
      <c r="E79" s="2" t="s">
        <v>16</v>
      </c>
      <c r="F79" s="2">
        <v>90</v>
      </c>
      <c r="G79" s="2" t="s">
        <v>333</v>
      </c>
      <c r="H79" s="2" t="s">
        <v>334</v>
      </c>
      <c r="I79" s="2" t="s">
        <v>124</v>
      </c>
      <c r="J79" s="3">
        <v>43929</v>
      </c>
      <c r="K79" s="2">
        <v>29</v>
      </c>
      <c r="L79" s="2" t="s">
        <v>54</v>
      </c>
    </row>
    <row r="80" spans="1:12" x14ac:dyDescent="0.3">
      <c r="A80" s="2">
        <v>69</v>
      </c>
      <c r="B80" s="2" t="s">
        <v>335</v>
      </c>
      <c r="C80" s="2" t="s">
        <v>336</v>
      </c>
      <c r="D80" s="2" t="s">
        <v>28</v>
      </c>
      <c r="E80" s="2" t="s">
        <v>29</v>
      </c>
      <c r="F80" s="2">
        <v>90</v>
      </c>
      <c r="G80" s="2" t="s">
        <v>337</v>
      </c>
      <c r="H80" s="2" t="s">
        <v>338</v>
      </c>
      <c r="I80" s="2" t="s">
        <v>173</v>
      </c>
      <c r="J80" s="3">
        <v>44347</v>
      </c>
      <c r="K80" s="2">
        <v>83</v>
      </c>
      <c r="L80" s="2" t="s">
        <v>101</v>
      </c>
    </row>
    <row r="81" spans="1:12" x14ac:dyDescent="0.3">
      <c r="A81" s="2">
        <v>70</v>
      </c>
      <c r="B81" s="2" t="s">
        <v>339</v>
      </c>
      <c r="C81" s="2" t="s">
        <v>340</v>
      </c>
      <c r="D81" s="2" t="s">
        <v>28</v>
      </c>
      <c r="E81" s="2" t="s">
        <v>29</v>
      </c>
      <c r="F81" s="2">
        <v>30</v>
      </c>
      <c r="G81" s="2" t="s">
        <v>341</v>
      </c>
      <c r="H81" s="2" t="s">
        <v>342</v>
      </c>
      <c r="I81" s="2" t="s">
        <v>25</v>
      </c>
      <c r="J81" s="3">
        <v>44641</v>
      </c>
      <c r="K81" s="2">
        <v>5</v>
      </c>
      <c r="L81" s="2" t="s">
        <v>64</v>
      </c>
    </row>
    <row r="82" spans="1:12" x14ac:dyDescent="0.3">
      <c r="A82" s="2">
        <v>71</v>
      </c>
      <c r="B82" s="2" t="s">
        <v>343</v>
      </c>
      <c r="C82" s="2" t="s">
        <v>344</v>
      </c>
      <c r="D82" s="2" t="s">
        <v>28</v>
      </c>
      <c r="E82" s="2" t="s">
        <v>29</v>
      </c>
      <c r="F82" s="2">
        <v>90</v>
      </c>
      <c r="G82" s="2" t="s">
        <v>345</v>
      </c>
      <c r="H82" s="2" t="s">
        <v>346</v>
      </c>
      <c r="I82" s="2" t="s">
        <v>32</v>
      </c>
      <c r="J82" s="3">
        <v>44145</v>
      </c>
      <c r="K82" s="2">
        <v>55</v>
      </c>
      <c r="L82" s="2" t="s">
        <v>54</v>
      </c>
    </row>
    <row r="83" spans="1:12" x14ac:dyDescent="0.3">
      <c r="A83" s="2">
        <v>72</v>
      </c>
      <c r="B83" s="2" t="s">
        <v>347</v>
      </c>
      <c r="C83" s="2" t="s">
        <v>348</v>
      </c>
      <c r="D83" s="2" t="s">
        <v>51</v>
      </c>
      <c r="E83" s="2" t="s">
        <v>16</v>
      </c>
      <c r="F83" s="2">
        <v>30</v>
      </c>
      <c r="G83" s="2" t="s">
        <v>349</v>
      </c>
      <c r="H83" s="2" t="s">
        <v>350</v>
      </c>
      <c r="I83" s="2" t="s">
        <v>25</v>
      </c>
      <c r="J83" s="3">
        <v>44827</v>
      </c>
      <c r="K83" s="2">
        <v>88</v>
      </c>
      <c r="L83" s="2" t="s">
        <v>33</v>
      </c>
    </row>
    <row r="84" spans="1:12" x14ac:dyDescent="0.3">
      <c r="A84" s="2">
        <v>73</v>
      </c>
      <c r="B84" s="2" t="s">
        <v>351</v>
      </c>
      <c r="C84" s="2" t="s">
        <v>352</v>
      </c>
      <c r="D84" s="2" t="s">
        <v>15</v>
      </c>
      <c r="E84" s="2" t="s">
        <v>16</v>
      </c>
      <c r="F84" s="2">
        <v>60</v>
      </c>
      <c r="G84" s="2" t="s">
        <v>353</v>
      </c>
      <c r="H84" s="2" t="s">
        <v>123</v>
      </c>
      <c r="I84" s="2" t="s">
        <v>124</v>
      </c>
      <c r="J84" s="3">
        <v>44035</v>
      </c>
      <c r="K84" s="2">
        <v>9</v>
      </c>
      <c r="L84" s="2" t="s">
        <v>33</v>
      </c>
    </row>
    <row r="85" spans="1:12" x14ac:dyDescent="0.3">
      <c r="A85" s="2">
        <v>74</v>
      </c>
      <c r="B85" s="2" t="s">
        <v>134</v>
      </c>
      <c r="C85" s="2" t="s">
        <v>354</v>
      </c>
      <c r="D85" s="2" t="s">
        <v>28</v>
      </c>
      <c r="E85" s="2" t="s">
        <v>29</v>
      </c>
      <c r="F85" s="2">
        <v>90</v>
      </c>
      <c r="G85" s="2" t="s">
        <v>355</v>
      </c>
      <c r="H85" s="2" t="s">
        <v>356</v>
      </c>
      <c r="I85" s="2" t="s">
        <v>178</v>
      </c>
      <c r="J85" s="3">
        <v>44152</v>
      </c>
      <c r="K85" s="2">
        <v>84</v>
      </c>
      <c r="L85" s="2" t="s">
        <v>70</v>
      </c>
    </row>
    <row r="86" spans="1:12" x14ac:dyDescent="0.3">
      <c r="A86" s="2">
        <v>75</v>
      </c>
      <c r="B86" s="2" t="s">
        <v>357</v>
      </c>
      <c r="C86" s="2" t="s">
        <v>358</v>
      </c>
      <c r="D86" s="2" t="s">
        <v>51</v>
      </c>
      <c r="E86" s="2" t="s">
        <v>16</v>
      </c>
      <c r="F86" s="2">
        <v>30</v>
      </c>
      <c r="G86" s="2" t="s">
        <v>359</v>
      </c>
      <c r="H86" s="2" t="s">
        <v>360</v>
      </c>
      <c r="I86" s="2" t="s">
        <v>25</v>
      </c>
      <c r="J86" s="3">
        <v>44115</v>
      </c>
      <c r="K86" s="2">
        <v>19</v>
      </c>
      <c r="L86" s="2" t="s">
        <v>54</v>
      </c>
    </row>
    <row r="87" spans="1:12" x14ac:dyDescent="0.3">
      <c r="A87" s="2">
        <v>76</v>
      </c>
      <c r="B87" s="2" t="s">
        <v>34</v>
      </c>
      <c r="C87" s="2" t="s">
        <v>361</v>
      </c>
      <c r="D87" s="2" t="s">
        <v>28</v>
      </c>
      <c r="E87" s="2" t="s">
        <v>29</v>
      </c>
      <c r="F87" s="2">
        <v>90</v>
      </c>
      <c r="G87" s="2" t="s">
        <v>362</v>
      </c>
      <c r="H87" s="2" t="s">
        <v>363</v>
      </c>
      <c r="I87" s="2" t="s">
        <v>110</v>
      </c>
      <c r="J87" s="3">
        <v>44118</v>
      </c>
      <c r="K87" s="2">
        <v>13</v>
      </c>
      <c r="L87" s="2" t="s">
        <v>80</v>
      </c>
    </row>
    <row r="88" spans="1:12" x14ac:dyDescent="0.3">
      <c r="A88" s="2">
        <v>77</v>
      </c>
      <c r="B88" s="2" t="s">
        <v>367</v>
      </c>
      <c r="C88" s="2" t="s">
        <v>368</v>
      </c>
      <c r="D88" s="2" t="s">
        <v>28</v>
      </c>
      <c r="E88" s="2" t="s">
        <v>29</v>
      </c>
      <c r="F88" s="2">
        <v>90</v>
      </c>
      <c r="G88" s="2" t="s">
        <v>369</v>
      </c>
      <c r="H88" s="2" t="s">
        <v>370</v>
      </c>
      <c r="I88" s="2" t="s">
        <v>32</v>
      </c>
      <c r="J88" s="3">
        <v>44202</v>
      </c>
      <c r="K88" s="2">
        <v>5</v>
      </c>
      <c r="L88" s="2" t="s">
        <v>101</v>
      </c>
    </row>
    <row r="89" spans="1:12" x14ac:dyDescent="0.3">
      <c r="A89" s="2">
        <v>78</v>
      </c>
      <c r="B89" s="2" t="s">
        <v>371</v>
      </c>
      <c r="C89" s="2" t="s">
        <v>372</v>
      </c>
      <c r="D89" s="2" t="s">
        <v>28</v>
      </c>
      <c r="E89" s="2" t="s">
        <v>29</v>
      </c>
      <c r="F89" s="2">
        <v>60</v>
      </c>
      <c r="G89" s="2" t="s">
        <v>373</v>
      </c>
      <c r="H89" s="2" t="s">
        <v>374</v>
      </c>
      <c r="I89" s="2" t="s">
        <v>25</v>
      </c>
      <c r="J89" s="3">
        <v>44484</v>
      </c>
      <c r="K89" s="2">
        <v>14</v>
      </c>
      <c r="L89" s="2" t="s">
        <v>80</v>
      </c>
    </row>
    <row r="90" spans="1:12" x14ac:dyDescent="0.3">
      <c r="A90" s="2">
        <v>79</v>
      </c>
      <c r="B90" s="2" t="s">
        <v>375</v>
      </c>
      <c r="C90" s="2" t="s">
        <v>376</v>
      </c>
      <c r="D90" s="2" t="s">
        <v>28</v>
      </c>
      <c r="E90" s="2" t="s">
        <v>29</v>
      </c>
      <c r="F90" s="2">
        <v>30</v>
      </c>
      <c r="G90" s="2" t="s">
        <v>377</v>
      </c>
      <c r="H90" s="2" t="s">
        <v>378</v>
      </c>
      <c r="I90" s="2" t="s">
        <v>146</v>
      </c>
      <c r="J90" s="3">
        <v>44191</v>
      </c>
      <c r="K90" s="2">
        <v>36</v>
      </c>
      <c r="L90" s="2" t="s">
        <v>70</v>
      </c>
    </row>
    <row r="91" spans="1:12" x14ac:dyDescent="0.3">
      <c r="A91" s="2">
        <v>80</v>
      </c>
      <c r="B91" s="2" t="s">
        <v>379</v>
      </c>
      <c r="C91" s="2" t="s">
        <v>380</v>
      </c>
      <c r="D91" s="2" t="s">
        <v>51</v>
      </c>
      <c r="E91" s="2" t="s">
        <v>16</v>
      </c>
      <c r="F91" s="2">
        <v>30</v>
      </c>
      <c r="G91" s="2" t="s">
        <v>381</v>
      </c>
      <c r="H91" s="2" t="s">
        <v>382</v>
      </c>
      <c r="I91" s="2" t="s">
        <v>32</v>
      </c>
      <c r="J91" s="3">
        <v>43944</v>
      </c>
      <c r="K91" s="2">
        <v>79</v>
      </c>
      <c r="L91" s="2" t="s">
        <v>70</v>
      </c>
    </row>
    <row r="92" spans="1:12" x14ac:dyDescent="0.3">
      <c r="A92" s="2">
        <v>81</v>
      </c>
      <c r="B92" s="2" t="s">
        <v>383</v>
      </c>
      <c r="C92" s="2" t="s">
        <v>384</v>
      </c>
      <c r="D92" s="2" t="s">
        <v>51</v>
      </c>
      <c r="E92" s="2" t="s">
        <v>16</v>
      </c>
      <c r="F92" s="2">
        <v>60</v>
      </c>
      <c r="G92" s="2" t="s">
        <v>385</v>
      </c>
      <c r="H92" s="2" t="s">
        <v>386</v>
      </c>
      <c r="I92" s="2" t="s">
        <v>294</v>
      </c>
      <c r="J92" s="3">
        <v>44141</v>
      </c>
      <c r="K92" s="2">
        <v>80</v>
      </c>
      <c r="L92" s="2" t="s">
        <v>45</v>
      </c>
    </row>
    <row r="93" spans="1:12" x14ac:dyDescent="0.3">
      <c r="A93" s="2">
        <v>82</v>
      </c>
      <c r="B93" s="2" t="s">
        <v>387</v>
      </c>
      <c r="C93" s="2" t="s">
        <v>388</v>
      </c>
      <c r="D93" s="2" t="s">
        <v>92</v>
      </c>
      <c r="E93" s="2" t="s">
        <v>16</v>
      </c>
      <c r="F93" s="2">
        <v>30</v>
      </c>
      <c r="G93" s="2" t="s">
        <v>385</v>
      </c>
      <c r="H93" s="2" t="s">
        <v>389</v>
      </c>
      <c r="I93" s="2" t="s">
        <v>32</v>
      </c>
      <c r="J93" s="3">
        <v>44473</v>
      </c>
      <c r="K93" s="2">
        <v>43</v>
      </c>
      <c r="L93" s="2" t="s">
        <v>33</v>
      </c>
    </row>
    <row r="94" spans="1:12" x14ac:dyDescent="0.3">
      <c r="A94" s="2">
        <v>83</v>
      </c>
      <c r="B94" s="2" t="s">
        <v>390</v>
      </c>
      <c r="C94" s="2" t="s">
        <v>391</v>
      </c>
      <c r="D94" s="2" t="s">
        <v>28</v>
      </c>
      <c r="E94" s="2" t="s">
        <v>29</v>
      </c>
      <c r="F94" s="2">
        <v>30</v>
      </c>
      <c r="G94" s="2" t="s">
        <v>392</v>
      </c>
      <c r="H94" s="2" t="s">
        <v>393</v>
      </c>
      <c r="I94" s="2" t="s">
        <v>32</v>
      </c>
      <c r="J94" s="3">
        <v>44171</v>
      </c>
      <c r="K94" s="2">
        <v>85</v>
      </c>
      <c r="L94" s="2" t="s">
        <v>45</v>
      </c>
    </row>
    <row r="95" spans="1:12" x14ac:dyDescent="0.3">
      <c r="A95" s="2">
        <v>84</v>
      </c>
      <c r="B95" s="2" t="s">
        <v>106</v>
      </c>
      <c r="C95" s="2" t="s">
        <v>394</v>
      </c>
      <c r="D95" s="2" t="s">
        <v>28</v>
      </c>
      <c r="E95" s="2" t="s">
        <v>29</v>
      </c>
      <c r="F95" s="2">
        <v>30</v>
      </c>
      <c r="G95" s="2" t="s">
        <v>395</v>
      </c>
      <c r="H95" s="2" t="s">
        <v>396</v>
      </c>
      <c r="I95" s="2" t="s">
        <v>32</v>
      </c>
      <c r="J95" s="3">
        <v>43922</v>
      </c>
      <c r="K95" s="2">
        <v>71</v>
      </c>
      <c r="L95" s="2" t="s">
        <v>33</v>
      </c>
    </row>
    <row r="96" spans="1:12" x14ac:dyDescent="0.3">
      <c r="A96" s="2">
        <v>85</v>
      </c>
      <c r="B96" s="2" t="s">
        <v>397</v>
      </c>
      <c r="C96" s="2" t="s">
        <v>398</v>
      </c>
      <c r="D96" s="2" t="s">
        <v>51</v>
      </c>
      <c r="E96" s="2" t="s">
        <v>16</v>
      </c>
      <c r="F96" s="2">
        <v>90</v>
      </c>
      <c r="G96" s="2" t="s">
        <v>399</v>
      </c>
      <c r="H96" s="2" t="s">
        <v>400</v>
      </c>
      <c r="I96" s="2" t="s">
        <v>401</v>
      </c>
      <c r="J96" s="3">
        <v>44084</v>
      </c>
      <c r="K96" s="2">
        <v>47</v>
      </c>
      <c r="L96" s="2" t="s">
        <v>45</v>
      </c>
    </row>
    <row r="97" spans="1:12" x14ac:dyDescent="0.3">
      <c r="A97" s="2">
        <v>86</v>
      </c>
      <c r="B97" s="2" t="s">
        <v>402</v>
      </c>
      <c r="C97" s="2" t="s">
        <v>403</v>
      </c>
      <c r="D97" s="2" t="s">
        <v>15</v>
      </c>
      <c r="E97" s="2" t="s">
        <v>16</v>
      </c>
      <c r="F97" s="2">
        <v>30</v>
      </c>
      <c r="G97" s="2" t="s">
        <v>404</v>
      </c>
      <c r="H97" s="2" t="s">
        <v>405</v>
      </c>
      <c r="I97" s="2" t="s">
        <v>32</v>
      </c>
      <c r="J97" s="3">
        <v>43997</v>
      </c>
      <c r="K97" s="2">
        <v>77</v>
      </c>
      <c r="L97" s="2" t="s">
        <v>39</v>
      </c>
    </row>
    <row r="98" spans="1:12" x14ac:dyDescent="0.3">
      <c r="A98" s="2">
        <v>87</v>
      </c>
      <c r="B98" s="2" t="s">
        <v>116</v>
      </c>
      <c r="C98" s="2" t="s">
        <v>406</v>
      </c>
      <c r="D98" s="2" t="s">
        <v>28</v>
      </c>
      <c r="E98" s="2" t="s">
        <v>29</v>
      </c>
      <c r="F98" s="2">
        <v>90</v>
      </c>
      <c r="G98" s="2" t="s">
        <v>407</v>
      </c>
      <c r="H98" s="2" t="s">
        <v>408</v>
      </c>
      <c r="I98" s="2" t="s">
        <v>25</v>
      </c>
      <c r="J98" s="3">
        <v>44160</v>
      </c>
      <c r="K98" s="2">
        <v>11</v>
      </c>
      <c r="L98" s="2" t="s">
        <v>54</v>
      </c>
    </row>
    <row r="99" spans="1:12" x14ac:dyDescent="0.3">
      <c r="A99" s="2">
        <v>88</v>
      </c>
      <c r="B99" s="2" t="s">
        <v>409</v>
      </c>
      <c r="C99" s="2" t="s">
        <v>410</v>
      </c>
      <c r="D99" s="2" t="s">
        <v>51</v>
      </c>
      <c r="E99" s="2" t="s">
        <v>16</v>
      </c>
      <c r="F99" s="2">
        <v>30</v>
      </c>
      <c r="G99" s="2" t="s">
        <v>411</v>
      </c>
      <c r="H99" s="2" t="s">
        <v>412</v>
      </c>
      <c r="I99" s="2" t="s">
        <v>187</v>
      </c>
      <c r="J99" s="3">
        <v>44091</v>
      </c>
      <c r="K99" s="2">
        <v>61</v>
      </c>
      <c r="L99" s="2" t="s">
        <v>39</v>
      </c>
    </row>
    <row r="100" spans="1:12" x14ac:dyDescent="0.3">
      <c r="A100" s="2">
        <v>89</v>
      </c>
      <c r="B100" s="2" t="s">
        <v>413</v>
      </c>
      <c r="C100" s="2" t="s">
        <v>414</v>
      </c>
      <c r="D100" s="2" t="s">
        <v>15</v>
      </c>
      <c r="E100" s="2" t="s">
        <v>16</v>
      </c>
      <c r="F100" s="2">
        <v>90</v>
      </c>
      <c r="G100" s="2" t="s">
        <v>415</v>
      </c>
      <c r="H100" s="2" t="s">
        <v>416</v>
      </c>
      <c r="I100" s="2" t="s">
        <v>32</v>
      </c>
      <c r="J100" s="3">
        <v>44707</v>
      </c>
      <c r="K100" s="2">
        <v>92</v>
      </c>
      <c r="L100" s="2" t="s">
        <v>54</v>
      </c>
    </row>
    <row r="101" spans="1:12" x14ac:dyDescent="0.3">
      <c r="A101" s="2">
        <v>90</v>
      </c>
      <c r="B101" s="2" t="s">
        <v>417</v>
      </c>
      <c r="C101" s="2" t="s">
        <v>418</v>
      </c>
      <c r="D101" s="2" t="s">
        <v>51</v>
      </c>
      <c r="E101" s="2" t="s">
        <v>16</v>
      </c>
      <c r="F101" s="2">
        <v>30</v>
      </c>
      <c r="G101" s="2" t="s">
        <v>419</v>
      </c>
      <c r="H101" s="2" t="s">
        <v>420</v>
      </c>
      <c r="I101" s="2" t="s">
        <v>32</v>
      </c>
      <c r="J101" s="3">
        <v>44823</v>
      </c>
      <c r="K101" s="2">
        <v>81</v>
      </c>
      <c r="L101" s="2" t="s">
        <v>101</v>
      </c>
    </row>
    <row r="102" spans="1:12" x14ac:dyDescent="0.3">
      <c r="A102" s="2">
        <v>91</v>
      </c>
      <c r="B102" s="2" t="s">
        <v>421</v>
      </c>
      <c r="C102" s="2" t="s">
        <v>422</v>
      </c>
      <c r="D102" s="2" t="s">
        <v>51</v>
      </c>
      <c r="E102" s="2" t="s">
        <v>16</v>
      </c>
      <c r="F102" s="2">
        <v>60</v>
      </c>
      <c r="G102" s="2" t="s">
        <v>423</v>
      </c>
      <c r="H102" s="2" t="s">
        <v>424</v>
      </c>
      <c r="I102" s="2" t="s">
        <v>425</v>
      </c>
      <c r="J102" s="3">
        <v>44746</v>
      </c>
      <c r="K102" s="2">
        <v>50</v>
      </c>
      <c r="L102" s="2" t="s">
        <v>159</v>
      </c>
    </row>
    <row r="103" spans="1:12" x14ac:dyDescent="0.3">
      <c r="A103" s="2">
        <v>92</v>
      </c>
      <c r="B103" s="2" t="s">
        <v>426</v>
      </c>
      <c r="C103" s="2" t="s">
        <v>427</v>
      </c>
      <c r="D103" s="2" t="s">
        <v>15</v>
      </c>
      <c r="E103" s="2" t="s">
        <v>16</v>
      </c>
      <c r="F103" s="2">
        <v>30</v>
      </c>
      <c r="G103" s="2" t="s">
        <v>428</v>
      </c>
      <c r="H103" s="2" t="s">
        <v>429</v>
      </c>
      <c r="I103" s="2" t="s">
        <v>32</v>
      </c>
      <c r="J103" s="3">
        <v>44218</v>
      </c>
      <c r="K103" s="2">
        <v>38</v>
      </c>
      <c r="L103" s="2" t="s">
        <v>101</v>
      </c>
    </row>
    <row r="104" spans="1:12" x14ac:dyDescent="0.3">
      <c r="A104" s="2">
        <v>93</v>
      </c>
      <c r="B104" s="2" t="s">
        <v>430</v>
      </c>
      <c r="C104" s="2" t="s">
        <v>232</v>
      </c>
      <c r="D104" s="2" t="s">
        <v>28</v>
      </c>
      <c r="E104" s="2" t="s">
        <v>29</v>
      </c>
      <c r="F104" s="2">
        <v>30</v>
      </c>
      <c r="G104" s="2" t="s">
        <v>431</v>
      </c>
      <c r="H104" s="2" t="s">
        <v>432</v>
      </c>
      <c r="I104" s="2" t="s">
        <v>32</v>
      </c>
      <c r="J104" s="3">
        <v>44616</v>
      </c>
      <c r="K104" s="2">
        <v>86</v>
      </c>
      <c r="L104" s="2" t="s">
        <v>101</v>
      </c>
    </row>
    <row r="105" spans="1:12" x14ac:dyDescent="0.3">
      <c r="A105" s="2">
        <v>94</v>
      </c>
      <c r="B105" s="2" t="s">
        <v>433</v>
      </c>
      <c r="C105" s="2" t="s">
        <v>434</v>
      </c>
      <c r="D105" s="2" t="s">
        <v>28</v>
      </c>
      <c r="E105" s="2" t="s">
        <v>29</v>
      </c>
      <c r="F105" s="2">
        <v>30</v>
      </c>
      <c r="G105" s="2" t="s">
        <v>435</v>
      </c>
      <c r="H105" s="2" t="s">
        <v>436</v>
      </c>
      <c r="I105" s="2" t="s">
        <v>32</v>
      </c>
      <c r="J105" s="3">
        <v>44050</v>
      </c>
      <c r="K105" s="2">
        <v>56</v>
      </c>
      <c r="L105" s="2" t="s">
        <v>159</v>
      </c>
    </row>
    <row r="106" spans="1:12" x14ac:dyDescent="0.3">
      <c r="A106" s="2">
        <v>95</v>
      </c>
      <c r="B106" s="2" t="s">
        <v>437</v>
      </c>
      <c r="C106" s="2" t="s">
        <v>438</v>
      </c>
      <c r="D106" s="2" t="s">
        <v>15</v>
      </c>
      <c r="E106" s="2" t="s">
        <v>16</v>
      </c>
      <c r="F106" s="2">
        <v>90</v>
      </c>
      <c r="G106" s="2" t="s">
        <v>439</v>
      </c>
      <c r="H106" s="2" t="s">
        <v>440</v>
      </c>
      <c r="I106" s="2" t="s">
        <v>25</v>
      </c>
      <c r="J106" s="3">
        <v>44178</v>
      </c>
      <c r="K106" s="2">
        <v>85</v>
      </c>
      <c r="L106" s="2" t="s">
        <v>64</v>
      </c>
    </row>
    <row r="107" spans="1:12" x14ac:dyDescent="0.3">
      <c r="A107" s="2">
        <v>96</v>
      </c>
      <c r="B107" s="2" t="s">
        <v>68</v>
      </c>
      <c r="C107" s="2" t="s">
        <v>441</v>
      </c>
      <c r="D107" s="2" t="s">
        <v>51</v>
      </c>
      <c r="E107" s="2" t="s">
        <v>16</v>
      </c>
      <c r="F107" s="2">
        <v>30</v>
      </c>
      <c r="G107" s="2" t="s">
        <v>442</v>
      </c>
      <c r="H107" s="2" t="s">
        <v>443</v>
      </c>
      <c r="I107" s="2" t="s">
        <v>294</v>
      </c>
      <c r="J107" s="3">
        <v>44891</v>
      </c>
      <c r="K107" s="2">
        <v>9</v>
      </c>
      <c r="L107" s="2" t="s">
        <v>39</v>
      </c>
    </row>
    <row r="108" spans="1:12" x14ac:dyDescent="0.3">
      <c r="A108" s="2">
        <v>97</v>
      </c>
      <c r="B108" s="2" t="s">
        <v>444</v>
      </c>
      <c r="C108" s="2" t="s">
        <v>445</v>
      </c>
      <c r="D108" s="2" t="s">
        <v>51</v>
      </c>
      <c r="E108" s="2" t="s">
        <v>16</v>
      </c>
      <c r="F108" s="2">
        <v>90</v>
      </c>
      <c r="G108" s="2" t="s">
        <v>446</v>
      </c>
      <c r="H108" s="2" t="s">
        <v>447</v>
      </c>
      <c r="I108" s="2" t="s">
        <v>32</v>
      </c>
      <c r="J108" s="3">
        <v>44703</v>
      </c>
      <c r="K108" s="2">
        <v>83</v>
      </c>
      <c r="L108" s="2" t="s">
        <v>45</v>
      </c>
    </row>
    <row r="109" spans="1:12" x14ac:dyDescent="0.3">
      <c r="A109" s="2">
        <v>98</v>
      </c>
      <c r="B109" s="2" t="s">
        <v>448</v>
      </c>
      <c r="C109" s="2" t="s">
        <v>449</v>
      </c>
      <c r="D109" s="2" t="s">
        <v>15</v>
      </c>
      <c r="E109" s="2" t="s">
        <v>16</v>
      </c>
      <c r="F109" s="2">
        <v>60</v>
      </c>
      <c r="G109" s="2" t="s">
        <v>450</v>
      </c>
      <c r="H109" s="2" t="s">
        <v>451</v>
      </c>
      <c r="I109" s="2" t="s">
        <v>294</v>
      </c>
      <c r="J109" s="3">
        <v>44784</v>
      </c>
      <c r="K109" s="2">
        <v>49</v>
      </c>
      <c r="L109" s="2" t="s">
        <v>70</v>
      </c>
    </row>
    <row r="110" spans="1:12" x14ac:dyDescent="0.3">
      <c r="A110" s="2">
        <v>99</v>
      </c>
      <c r="B110" s="2" t="s">
        <v>452</v>
      </c>
      <c r="C110" s="2" t="s">
        <v>453</v>
      </c>
      <c r="D110" s="2" t="s">
        <v>28</v>
      </c>
      <c r="E110" s="2" t="s">
        <v>29</v>
      </c>
      <c r="F110" s="2">
        <v>30</v>
      </c>
      <c r="G110" s="2" t="s">
        <v>454</v>
      </c>
      <c r="H110" s="2" t="s">
        <v>455</v>
      </c>
      <c r="I110" s="2" t="s">
        <v>187</v>
      </c>
      <c r="J110" s="3">
        <v>44243</v>
      </c>
      <c r="K110" s="2">
        <v>77</v>
      </c>
      <c r="L110" s="2" t="s">
        <v>33</v>
      </c>
    </row>
    <row r="111" spans="1:12" x14ac:dyDescent="0.3">
      <c r="A111" s="2">
        <v>100</v>
      </c>
      <c r="B111" s="2" t="s">
        <v>456</v>
      </c>
      <c r="C111" s="2" t="s">
        <v>457</v>
      </c>
      <c r="D111" s="2" t="s">
        <v>15</v>
      </c>
      <c r="E111" s="2" t="s">
        <v>16</v>
      </c>
      <c r="F111" s="2">
        <v>90</v>
      </c>
      <c r="G111" s="2" t="s">
        <v>454</v>
      </c>
      <c r="H111" s="2" t="s">
        <v>458</v>
      </c>
      <c r="I111" s="2" t="s">
        <v>294</v>
      </c>
      <c r="J111" s="3">
        <v>44755</v>
      </c>
      <c r="K111" s="2">
        <v>29</v>
      </c>
      <c r="L111" s="2" t="s">
        <v>70</v>
      </c>
    </row>
    <row r="112" spans="1:12" x14ac:dyDescent="0.3">
      <c r="A112" s="2">
        <v>101</v>
      </c>
      <c r="B112" s="2" t="s">
        <v>459</v>
      </c>
      <c r="C112" s="2" t="s">
        <v>460</v>
      </c>
      <c r="D112" s="2" t="s">
        <v>51</v>
      </c>
      <c r="E112" s="2" t="s">
        <v>16</v>
      </c>
      <c r="F112" s="2">
        <v>30</v>
      </c>
      <c r="G112" s="2" t="s">
        <v>461</v>
      </c>
      <c r="H112" s="2" t="s">
        <v>462</v>
      </c>
      <c r="I112" s="2" t="s">
        <v>32</v>
      </c>
      <c r="J112" s="3">
        <v>44636</v>
      </c>
      <c r="K112" s="2">
        <v>93</v>
      </c>
      <c r="L112" s="2" t="s">
        <v>70</v>
      </c>
    </row>
    <row r="113" spans="1:12" x14ac:dyDescent="0.3">
      <c r="A113" s="2">
        <v>102</v>
      </c>
      <c r="B113" s="2" t="s">
        <v>463</v>
      </c>
      <c r="C113" s="2" t="s">
        <v>464</v>
      </c>
      <c r="D113" s="2" t="s">
        <v>15</v>
      </c>
      <c r="E113" s="2" t="s">
        <v>16</v>
      </c>
      <c r="F113" s="2">
        <v>60</v>
      </c>
      <c r="G113" s="2" t="s">
        <v>465</v>
      </c>
      <c r="H113" s="2" t="s">
        <v>466</v>
      </c>
      <c r="I113" s="2" t="s">
        <v>187</v>
      </c>
      <c r="J113" s="3">
        <v>44153</v>
      </c>
      <c r="K113" s="2">
        <v>79</v>
      </c>
      <c r="L113" s="2" t="s">
        <v>64</v>
      </c>
    </row>
    <row r="114" spans="1:12" x14ac:dyDescent="0.3">
      <c r="A114" s="2">
        <v>103</v>
      </c>
      <c r="B114" s="2" t="s">
        <v>467</v>
      </c>
      <c r="C114" s="2" t="s">
        <v>468</v>
      </c>
      <c r="D114" s="2" t="s">
        <v>51</v>
      </c>
      <c r="E114" s="2" t="s">
        <v>16</v>
      </c>
      <c r="F114" s="2">
        <v>60</v>
      </c>
      <c r="G114" s="2" t="s">
        <v>469</v>
      </c>
      <c r="H114" s="2" t="s">
        <v>470</v>
      </c>
      <c r="I114" s="2" t="s">
        <v>32</v>
      </c>
      <c r="J114" s="3">
        <v>44400</v>
      </c>
      <c r="K114" s="2">
        <v>87</v>
      </c>
      <c r="L114" s="2" t="s">
        <v>45</v>
      </c>
    </row>
    <row r="115" spans="1:12" x14ac:dyDescent="0.3">
      <c r="A115" s="2">
        <v>104</v>
      </c>
      <c r="B115" s="2" t="s">
        <v>471</v>
      </c>
      <c r="C115" s="2" t="s">
        <v>472</v>
      </c>
      <c r="D115" s="2" t="s">
        <v>28</v>
      </c>
      <c r="E115" s="2" t="s">
        <v>29</v>
      </c>
      <c r="F115" s="2">
        <v>30</v>
      </c>
      <c r="G115" s="2" t="s">
        <v>473</v>
      </c>
      <c r="H115" s="2" t="s">
        <v>474</v>
      </c>
      <c r="I115" s="2" t="s">
        <v>475</v>
      </c>
      <c r="J115" s="3">
        <v>44622</v>
      </c>
      <c r="K115" s="2">
        <v>67</v>
      </c>
      <c r="L115" s="2" t="s">
        <v>39</v>
      </c>
    </row>
    <row r="116" spans="1:12" x14ac:dyDescent="0.3">
      <c r="A116" s="2">
        <v>105</v>
      </c>
      <c r="B116" s="2" t="s">
        <v>476</v>
      </c>
      <c r="C116" s="2" t="s">
        <v>477</v>
      </c>
      <c r="D116" s="2" t="s">
        <v>28</v>
      </c>
      <c r="E116" s="2" t="s">
        <v>29</v>
      </c>
      <c r="F116" s="2">
        <v>60</v>
      </c>
      <c r="G116" s="2" t="s">
        <v>478</v>
      </c>
      <c r="H116" s="2" t="s">
        <v>479</v>
      </c>
      <c r="I116" s="2" t="s">
        <v>303</v>
      </c>
      <c r="J116" s="3">
        <v>44274</v>
      </c>
      <c r="K116" s="2">
        <v>54</v>
      </c>
      <c r="L116" s="2" t="s">
        <v>64</v>
      </c>
    </row>
    <row r="117" spans="1:12" x14ac:dyDescent="0.3">
      <c r="A117" s="2">
        <v>106</v>
      </c>
      <c r="B117" s="2" t="s">
        <v>480</v>
      </c>
      <c r="C117" s="2" t="s">
        <v>481</v>
      </c>
      <c r="D117" s="2" t="s">
        <v>51</v>
      </c>
      <c r="E117" s="2" t="s">
        <v>16</v>
      </c>
      <c r="F117" s="2">
        <v>60</v>
      </c>
      <c r="G117" s="2" t="s">
        <v>482</v>
      </c>
      <c r="H117" s="2" t="s">
        <v>483</v>
      </c>
      <c r="I117" s="2" t="s">
        <v>32</v>
      </c>
      <c r="J117" s="3">
        <v>43834</v>
      </c>
      <c r="K117" s="2">
        <v>64</v>
      </c>
      <c r="L117" s="2" t="s">
        <v>39</v>
      </c>
    </row>
    <row r="118" spans="1:12" x14ac:dyDescent="0.3">
      <c r="A118" s="2">
        <v>107</v>
      </c>
      <c r="B118" s="2" t="s">
        <v>484</v>
      </c>
      <c r="C118" s="2" t="s">
        <v>485</v>
      </c>
      <c r="D118" s="2" t="s">
        <v>28</v>
      </c>
      <c r="E118" s="2" t="s">
        <v>29</v>
      </c>
      <c r="F118" s="2">
        <v>30</v>
      </c>
      <c r="G118" s="2" t="s">
        <v>486</v>
      </c>
      <c r="H118" s="2" t="s">
        <v>487</v>
      </c>
      <c r="I118" s="2" t="s">
        <v>32</v>
      </c>
      <c r="J118" s="3">
        <v>43896</v>
      </c>
      <c r="K118" s="2">
        <v>37</v>
      </c>
      <c r="L118" s="2" t="s">
        <v>101</v>
      </c>
    </row>
    <row r="119" spans="1:12" x14ac:dyDescent="0.3">
      <c r="A119" s="2">
        <v>108</v>
      </c>
      <c r="B119" s="2" t="s">
        <v>488</v>
      </c>
      <c r="C119" s="2" t="s">
        <v>489</v>
      </c>
      <c r="D119" s="2" t="s">
        <v>51</v>
      </c>
      <c r="E119" s="2" t="s">
        <v>16</v>
      </c>
      <c r="F119" s="2">
        <v>90</v>
      </c>
      <c r="G119" s="2" t="s">
        <v>490</v>
      </c>
      <c r="H119" s="2" t="s">
        <v>491</v>
      </c>
      <c r="I119" s="2" t="s">
        <v>32</v>
      </c>
      <c r="J119" s="3">
        <v>43944</v>
      </c>
      <c r="K119" s="2">
        <v>78</v>
      </c>
      <c r="L119" s="2" t="s">
        <v>33</v>
      </c>
    </row>
    <row r="120" spans="1:12" x14ac:dyDescent="0.3">
      <c r="A120" s="2">
        <v>109</v>
      </c>
      <c r="B120" s="2" t="s">
        <v>492</v>
      </c>
      <c r="C120" s="2" t="s">
        <v>493</v>
      </c>
      <c r="D120" s="2" t="s">
        <v>51</v>
      </c>
      <c r="E120" s="2" t="s">
        <v>16</v>
      </c>
      <c r="F120" s="2">
        <v>90</v>
      </c>
      <c r="G120" s="2" t="s">
        <v>494</v>
      </c>
      <c r="H120" s="2" t="s">
        <v>495</v>
      </c>
      <c r="I120" s="2" t="s">
        <v>173</v>
      </c>
      <c r="J120" s="3">
        <v>44699</v>
      </c>
      <c r="K120" s="2">
        <v>60</v>
      </c>
      <c r="L120" s="2" t="s">
        <v>159</v>
      </c>
    </row>
    <row r="121" spans="1:12" x14ac:dyDescent="0.3">
      <c r="A121" s="2">
        <v>110</v>
      </c>
      <c r="B121" s="2" t="s">
        <v>496</v>
      </c>
      <c r="C121" s="2" t="s">
        <v>290</v>
      </c>
      <c r="D121" s="2" t="s">
        <v>28</v>
      </c>
      <c r="E121" s="2" t="s">
        <v>29</v>
      </c>
      <c r="F121" s="2">
        <v>90</v>
      </c>
      <c r="G121" s="2" t="s">
        <v>497</v>
      </c>
      <c r="H121" s="2" t="s">
        <v>498</v>
      </c>
      <c r="I121" s="2" t="s">
        <v>32</v>
      </c>
      <c r="J121" s="3">
        <v>44235</v>
      </c>
      <c r="K121" s="2">
        <v>58</v>
      </c>
      <c r="L121" s="2" t="s">
        <v>54</v>
      </c>
    </row>
    <row r="122" spans="1:12" x14ac:dyDescent="0.3">
      <c r="A122" s="2">
        <v>111</v>
      </c>
      <c r="B122" s="2" t="s">
        <v>499</v>
      </c>
      <c r="C122" s="2" t="s">
        <v>500</v>
      </c>
      <c r="D122" s="2" t="s">
        <v>51</v>
      </c>
      <c r="E122" s="2" t="s">
        <v>16</v>
      </c>
      <c r="F122" s="2">
        <v>90</v>
      </c>
      <c r="G122" s="2" t="s">
        <v>501</v>
      </c>
      <c r="H122" s="2" t="s">
        <v>502</v>
      </c>
      <c r="I122" s="2" t="s">
        <v>294</v>
      </c>
      <c r="J122" s="3">
        <v>44604</v>
      </c>
      <c r="K122" s="2">
        <v>10</v>
      </c>
      <c r="L122" s="2" t="s">
        <v>54</v>
      </c>
    </row>
    <row r="123" spans="1:12" x14ac:dyDescent="0.3">
      <c r="A123" s="2">
        <v>112</v>
      </c>
      <c r="B123" s="2" t="s">
        <v>503</v>
      </c>
      <c r="C123" s="2" t="s">
        <v>504</v>
      </c>
      <c r="D123" s="2" t="s">
        <v>28</v>
      </c>
      <c r="E123" s="2" t="s">
        <v>29</v>
      </c>
      <c r="F123" s="2">
        <v>30</v>
      </c>
      <c r="G123" s="2" t="s">
        <v>505</v>
      </c>
      <c r="H123" s="2" t="s">
        <v>506</v>
      </c>
      <c r="I123" s="2" t="s">
        <v>32</v>
      </c>
      <c r="J123" s="3">
        <v>44494</v>
      </c>
      <c r="K123" s="2">
        <v>70</v>
      </c>
      <c r="L123" s="2" t="s">
        <v>64</v>
      </c>
    </row>
    <row r="124" spans="1:12" x14ac:dyDescent="0.3">
      <c r="A124" s="2">
        <v>113</v>
      </c>
      <c r="B124" s="2" t="s">
        <v>507</v>
      </c>
      <c r="C124" s="2" t="s">
        <v>508</v>
      </c>
      <c r="D124" s="2" t="s">
        <v>28</v>
      </c>
      <c r="E124" s="2" t="s">
        <v>29</v>
      </c>
      <c r="F124" s="2">
        <v>30</v>
      </c>
      <c r="G124" s="2" t="s">
        <v>509</v>
      </c>
      <c r="H124" s="2" t="s">
        <v>510</v>
      </c>
      <c r="I124" s="2" t="s">
        <v>32</v>
      </c>
      <c r="J124" s="3">
        <v>44273</v>
      </c>
      <c r="K124" s="2">
        <v>73</v>
      </c>
      <c r="L124" s="2" t="s">
        <v>54</v>
      </c>
    </row>
    <row r="125" spans="1:12" x14ac:dyDescent="0.3">
      <c r="A125" s="2">
        <v>114</v>
      </c>
      <c r="B125" s="2" t="s">
        <v>511</v>
      </c>
      <c r="C125" s="2" t="s">
        <v>512</v>
      </c>
      <c r="D125" s="2" t="s">
        <v>28</v>
      </c>
      <c r="E125" s="2" t="s">
        <v>29</v>
      </c>
      <c r="F125" s="2">
        <v>60</v>
      </c>
      <c r="G125" s="2" t="s">
        <v>513</v>
      </c>
      <c r="H125" s="2" t="s">
        <v>514</v>
      </c>
      <c r="I125" s="2" t="s">
        <v>19</v>
      </c>
      <c r="J125" s="3">
        <v>44853</v>
      </c>
      <c r="K125" s="2">
        <v>101</v>
      </c>
      <c r="L125" s="2" t="s">
        <v>54</v>
      </c>
    </row>
    <row r="126" spans="1:12" x14ac:dyDescent="0.3">
      <c r="A126" s="2">
        <v>115</v>
      </c>
      <c r="B126" s="2" t="s">
        <v>515</v>
      </c>
      <c r="C126" s="2" t="s">
        <v>516</v>
      </c>
      <c r="D126" s="2" t="s">
        <v>15</v>
      </c>
      <c r="E126" s="2" t="s">
        <v>16</v>
      </c>
      <c r="F126" s="2">
        <v>60</v>
      </c>
      <c r="G126" s="2" t="s">
        <v>517</v>
      </c>
      <c r="H126" s="2" t="s">
        <v>518</v>
      </c>
      <c r="I126" s="2" t="s">
        <v>32</v>
      </c>
      <c r="J126" s="3">
        <v>43975</v>
      </c>
      <c r="K126" s="2">
        <v>38</v>
      </c>
      <c r="L126" s="2" t="s">
        <v>159</v>
      </c>
    </row>
    <row r="127" spans="1:12" x14ac:dyDescent="0.3">
      <c r="A127" s="2">
        <v>116</v>
      </c>
      <c r="B127" s="2" t="s">
        <v>519</v>
      </c>
      <c r="C127" s="2" t="s">
        <v>520</v>
      </c>
      <c r="D127" s="2" t="s">
        <v>15</v>
      </c>
      <c r="E127" s="2" t="s">
        <v>16</v>
      </c>
      <c r="F127" s="2">
        <v>60</v>
      </c>
      <c r="G127" s="2" t="s">
        <v>521</v>
      </c>
      <c r="H127" s="2" t="s">
        <v>522</v>
      </c>
      <c r="I127" s="2" t="s">
        <v>32</v>
      </c>
      <c r="J127" s="3">
        <v>44912</v>
      </c>
      <c r="K127" s="2">
        <v>95</v>
      </c>
      <c r="L127" s="2" t="s">
        <v>80</v>
      </c>
    </row>
    <row r="128" spans="1:12" x14ac:dyDescent="0.3">
      <c r="A128" s="2">
        <v>117</v>
      </c>
      <c r="B128" s="2" t="s">
        <v>523</v>
      </c>
      <c r="C128" s="2" t="s">
        <v>524</v>
      </c>
      <c r="D128" s="2" t="s">
        <v>15</v>
      </c>
      <c r="E128" s="2" t="s">
        <v>16</v>
      </c>
      <c r="F128" s="2">
        <v>60</v>
      </c>
      <c r="G128" s="2" t="s">
        <v>525</v>
      </c>
      <c r="H128" s="2" t="s">
        <v>526</v>
      </c>
      <c r="I128" s="2" t="s">
        <v>32</v>
      </c>
      <c r="J128" s="3">
        <v>44084</v>
      </c>
      <c r="K128" s="2">
        <v>43</v>
      </c>
      <c r="L128" s="2" t="s">
        <v>20</v>
      </c>
    </row>
    <row r="129" spans="1:12" x14ac:dyDescent="0.3">
      <c r="A129" s="2">
        <v>118</v>
      </c>
      <c r="B129" s="2" t="s">
        <v>527</v>
      </c>
      <c r="C129" s="2" t="s">
        <v>528</v>
      </c>
      <c r="D129" s="2" t="s">
        <v>28</v>
      </c>
      <c r="E129" s="2" t="s">
        <v>29</v>
      </c>
      <c r="F129" s="2">
        <v>90</v>
      </c>
      <c r="G129" s="2" t="s">
        <v>529</v>
      </c>
      <c r="H129" s="2" t="s">
        <v>530</v>
      </c>
      <c r="I129" s="2" t="s">
        <v>124</v>
      </c>
      <c r="J129" s="3">
        <v>44369</v>
      </c>
      <c r="K129" s="2">
        <v>26</v>
      </c>
      <c r="L129" s="2" t="s">
        <v>80</v>
      </c>
    </row>
    <row r="130" spans="1:12" x14ac:dyDescent="0.3">
      <c r="A130" s="2">
        <v>119</v>
      </c>
      <c r="B130" s="2" t="s">
        <v>531</v>
      </c>
      <c r="C130" s="2" t="s">
        <v>532</v>
      </c>
      <c r="D130" s="2" t="s">
        <v>51</v>
      </c>
      <c r="E130" s="2" t="s">
        <v>16</v>
      </c>
      <c r="F130" s="2">
        <v>90</v>
      </c>
      <c r="G130" s="2" t="s">
        <v>533</v>
      </c>
      <c r="H130" s="2" t="s">
        <v>534</v>
      </c>
      <c r="I130" s="2" t="s">
        <v>32</v>
      </c>
      <c r="J130" s="3">
        <v>43905</v>
      </c>
      <c r="K130" s="2">
        <v>26</v>
      </c>
      <c r="L130" s="2" t="s">
        <v>101</v>
      </c>
    </row>
    <row r="131" spans="1:12" x14ac:dyDescent="0.3">
      <c r="A131" s="2">
        <v>120</v>
      </c>
      <c r="B131" s="2" t="s">
        <v>535</v>
      </c>
      <c r="C131" s="2" t="s">
        <v>536</v>
      </c>
      <c r="D131" s="2" t="s">
        <v>28</v>
      </c>
      <c r="E131" s="2" t="s">
        <v>29</v>
      </c>
      <c r="F131" s="2">
        <v>30</v>
      </c>
      <c r="G131" s="2" t="s">
        <v>537</v>
      </c>
      <c r="H131" s="2" t="s">
        <v>538</v>
      </c>
      <c r="I131" s="2" t="s">
        <v>32</v>
      </c>
      <c r="J131" s="3">
        <v>44199</v>
      </c>
      <c r="K131" s="2">
        <v>45</v>
      </c>
      <c r="L131" s="2" t="s">
        <v>64</v>
      </c>
    </row>
    <row r="132" spans="1:12" x14ac:dyDescent="0.3">
      <c r="A132" s="2">
        <v>121</v>
      </c>
      <c r="B132" s="2" t="s">
        <v>539</v>
      </c>
      <c r="C132" s="2" t="s">
        <v>540</v>
      </c>
      <c r="D132" s="2" t="s">
        <v>15</v>
      </c>
      <c r="E132" s="2" t="s">
        <v>16</v>
      </c>
      <c r="F132" s="2">
        <v>30</v>
      </c>
      <c r="G132" s="2" t="s">
        <v>541</v>
      </c>
      <c r="H132" s="2" t="s">
        <v>31</v>
      </c>
      <c r="I132" s="2" t="s">
        <v>32</v>
      </c>
      <c r="J132" s="3">
        <v>44887</v>
      </c>
      <c r="K132" s="2">
        <v>88</v>
      </c>
      <c r="L132" s="2" t="s">
        <v>80</v>
      </c>
    </row>
    <row r="133" spans="1:12" x14ac:dyDescent="0.3">
      <c r="A133" s="2">
        <v>122</v>
      </c>
      <c r="B133" s="2" t="s">
        <v>542</v>
      </c>
      <c r="C133" s="2" t="s">
        <v>543</v>
      </c>
      <c r="D133" s="2" t="s">
        <v>15</v>
      </c>
      <c r="E133" s="2" t="s">
        <v>16</v>
      </c>
      <c r="F133" s="2">
        <v>60</v>
      </c>
      <c r="G133" s="2" t="s">
        <v>544</v>
      </c>
      <c r="H133" s="2" t="s">
        <v>545</v>
      </c>
      <c r="I133" s="2" t="s">
        <v>173</v>
      </c>
      <c r="J133" s="3">
        <v>44584</v>
      </c>
      <c r="K133" s="2">
        <v>87</v>
      </c>
      <c r="L133" s="2" t="s">
        <v>80</v>
      </c>
    </row>
    <row r="134" spans="1:12" x14ac:dyDescent="0.3">
      <c r="A134" s="2">
        <v>123</v>
      </c>
      <c r="B134" s="2" t="s">
        <v>546</v>
      </c>
      <c r="C134" s="2" t="s">
        <v>547</v>
      </c>
      <c r="D134" s="2" t="s">
        <v>51</v>
      </c>
      <c r="E134" s="2" t="s">
        <v>16</v>
      </c>
      <c r="F134" s="2">
        <v>30</v>
      </c>
      <c r="G134" s="2" t="s">
        <v>548</v>
      </c>
      <c r="H134" s="2" t="s">
        <v>549</v>
      </c>
      <c r="I134" s="2" t="s">
        <v>425</v>
      </c>
      <c r="J134" s="3">
        <v>44804</v>
      </c>
      <c r="K134" s="2">
        <v>19</v>
      </c>
      <c r="L134" s="2" t="s">
        <v>70</v>
      </c>
    </row>
    <row r="135" spans="1:12" x14ac:dyDescent="0.3">
      <c r="A135" s="2">
        <v>124</v>
      </c>
      <c r="B135" s="2" t="s">
        <v>550</v>
      </c>
      <c r="C135" s="2" t="s">
        <v>551</v>
      </c>
      <c r="D135" s="2" t="s">
        <v>28</v>
      </c>
      <c r="E135" s="2" t="s">
        <v>29</v>
      </c>
      <c r="F135" s="2">
        <v>30</v>
      </c>
      <c r="G135" s="2" t="s">
        <v>552</v>
      </c>
      <c r="H135" s="2" t="s">
        <v>553</v>
      </c>
      <c r="I135" s="2" t="s">
        <v>554</v>
      </c>
      <c r="J135" s="3">
        <v>44813</v>
      </c>
      <c r="K135" s="2">
        <v>81</v>
      </c>
      <c r="L135" s="2" t="s">
        <v>20</v>
      </c>
    </row>
    <row r="136" spans="1:12" x14ac:dyDescent="0.3">
      <c r="A136" s="2">
        <v>125</v>
      </c>
      <c r="B136" s="2" t="s">
        <v>555</v>
      </c>
      <c r="C136" s="2" t="s">
        <v>556</v>
      </c>
      <c r="D136" s="2" t="s">
        <v>28</v>
      </c>
      <c r="E136" s="2" t="s">
        <v>29</v>
      </c>
      <c r="F136" s="2">
        <v>30</v>
      </c>
      <c r="G136" s="2" t="s">
        <v>10414</v>
      </c>
      <c r="H136" s="2" t="s">
        <v>558</v>
      </c>
      <c r="I136" s="2" t="s">
        <v>32</v>
      </c>
      <c r="J136" s="3">
        <v>44280</v>
      </c>
      <c r="K136" s="2">
        <v>38</v>
      </c>
      <c r="L136" s="2" t="s">
        <v>54</v>
      </c>
    </row>
    <row r="137" spans="1:12" x14ac:dyDescent="0.3">
      <c r="A137" s="2">
        <v>126</v>
      </c>
      <c r="B137" s="2" t="s">
        <v>559</v>
      </c>
      <c r="C137" s="2" t="s">
        <v>560</v>
      </c>
      <c r="D137" s="2" t="s">
        <v>51</v>
      </c>
      <c r="E137" s="2" t="s">
        <v>16</v>
      </c>
      <c r="F137" s="2">
        <v>30</v>
      </c>
      <c r="G137" s="2" t="s">
        <v>10415</v>
      </c>
      <c r="H137" s="2" t="s">
        <v>562</v>
      </c>
      <c r="I137" s="2" t="s">
        <v>187</v>
      </c>
      <c r="J137" s="3">
        <v>43852</v>
      </c>
      <c r="K137" s="2">
        <v>56</v>
      </c>
      <c r="L137" s="2" t="s">
        <v>54</v>
      </c>
    </row>
    <row r="138" spans="1:12" x14ac:dyDescent="0.3">
      <c r="A138" s="2">
        <v>127</v>
      </c>
      <c r="B138" s="2" t="s">
        <v>563</v>
      </c>
      <c r="C138" s="2" t="s">
        <v>564</v>
      </c>
      <c r="D138" s="2" t="s">
        <v>28</v>
      </c>
      <c r="E138" s="2" t="s">
        <v>29</v>
      </c>
      <c r="F138" s="2">
        <v>60</v>
      </c>
      <c r="G138" s="2" t="s">
        <v>565</v>
      </c>
      <c r="H138" s="2" t="s">
        <v>566</v>
      </c>
      <c r="I138" s="2" t="s">
        <v>110</v>
      </c>
      <c r="J138" s="3">
        <v>43864</v>
      </c>
      <c r="K138" s="2">
        <v>52</v>
      </c>
      <c r="L138" s="2" t="s">
        <v>70</v>
      </c>
    </row>
    <row r="139" spans="1:12" x14ac:dyDescent="0.3">
      <c r="A139" s="2">
        <v>128</v>
      </c>
      <c r="B139" s="2" t="s">
        <v>567</v>
      </c>
      <c r="C139" s="2" t="s">
        <v>568</v>
      </c>
      <c r="D139" s="2" t="s">
        <v>28</v>
      </c>
      <c r="E139" s="2" t="s">
        <v>29</v>
      </c>
      <c r="F139" s="2">
        <v>30</v>
      </c>
      <c r="G139" s="2" t="s">
        <v>569</v>
      </c>
      <c r="H139" s="2" t="s">
        <v>570</v>
      </c>
      <c r="I139" s="2" t="s">
        <v>187</v>
      </c>
      <c r="J139" s="3">
        <v>44748</v>
      </c>
      <c r="K139" s="2">
        <v>25</v>
      </c>
      <c r="L139" s="2" t="s">
        <v>159</v>
      </c>
    </row>
    <row r="140" spans="1:12" x14ac:dyDescent="0.3">
      <c r="A140" s="2">
        <v>129</v>
      </c>
      <c r="B140" s="2" t="s">
        <v>571</v>
      </c>
      <c r="C140" s="2" t="s">
        <v>572</v>
      </c>
      <c r="D140" s="2" t="s">
        <v>15</v>
      </c>
      <c r="E140" s="2" t="s">
        <v>16</v>
      </c>
      <c r="F140" s="2">
        <v>60</v>
      </c>
      <c r="G140" s="2" t="s">
        <v>573</v>
      </c>
      <c r="H140" s="2" t="s">
        <v>574</v>
      </c>
      <c r="I140" s="2" t="s">
        <v>575</v>
      </c>
      <c r="J140" s="3">
        <v>43922</v>
      </c>
      <c r="K140" s="2">
        <v>38</v>
      </c>
      <c r="L140" s="2" t="s">
        <v>80</v>
      </c>
    </row>
    <row r="141" spans="1:12" x14ac:dyDescent="0.3">
      <c r="A141" s="2">
        <v>130</v>
      </c>
      <c r="B141" s="2" t="s">
        <v>576</v>
      </c>
      <c r="C141" s="2" t="s">
        <v>577</v>
      </c>
      <c r="D141" s="2" t="s">
        <v>28</v>
      </c>
      <c r="E141" s="2" t="s">
        <v>29</v>
      </c>
      <c r="F141" s="2">
        <v>60</v>
      </c>
      <c r="G141" s="2" t="s">
        <v>578</v>
      </c>
      <c r="H141" s="2" t="s">
        <v>579</v>
      </c>
      <c r="I141" s="2" t="s">
        <v>32</v>
      </c>
      <c r="J141" s="3">
        <v>44359</v>
      </c>
      <c r="K141" s="2">
        <v>74</v>
      </c>
      <c r="L141" s="2" t="s">
        <v>64</v>
      </c>
    </row>
    <row r="142" spans="1:12" x14ac:dyDescent="0.3">
      <c r="A142" s="2">
        <v>131</v>
      </c>
      <c r="B142" s="2" t="s">
        <v>580</v>
      </c>
      <c r="C142" s="2" t="s">
        <v>581</v>
      </c>
      <c r="D142" s="2" t="s">
        <v>28</v>
      </c>
      <c r="E142" s="2" t="s">
        <v>29</v>
      </c>
      <c r="F142" s="2">
        <v>60</v>
      </c>
      <c r="G142" s="2" t="s">
        <v>582</v>
      </c>
      <c r="H142" s="2" t="s">
        <v>583</v>
      </c>
      <c r="I142" s="2" t="s">
        <v>32</v>
      </c>
      <c r="J142" s="3">
        <v>44671</v>
      </c>
      <c r="K142" s="2">
        <v>97</v>
      </c>
      <c r="L142" s="2" t="s">
        <v>20</v>
      </c>
    </row>
    <row r="143" spans="1:12" x14ac:dyDescent="0.3">
      <c r="A143" s="2">
        <v>132</v>
      </c>
      <c r="B143" s="2" t="s">
        <v>584</v>
      </c>
      <c r="C143" s="2" t="s">
        <v>585</v>
      </c>
      <c r="D143" s="2" t="s">
        <v>15</v>
      </c>
      <c r="E143" s="2" t="s">
        <v>16</v>
      </c>
      <c r="F143" s="2">
        <v>30</v>
      </c>
      <c r="G143" s="2" t="s">
        <v>586</v>
      </c>
      <c r="H143" s="2" t="s">
        <v>587</v>
      </c>
      <c r="I143" s="2" t="s">
        <v>25</v>
      </c>
      <c r="J143" s="3">
        <v>44581</v>
      </c>
      <c r="K143" s="2">
        <v>84</v>
      </c>
      <c r="L143" s="2" t="s">
        <v>45</v>
      </c>
    </row>
    <row r="144" spans="1:12" x14ac:dyDescent="0.3">
      <c r="A144" s="2">
        <v>133</v>
      </c>
      <c r="B144" s="2" t="s">
        <v>588</v>
      </c>
      <c r="C144" s="2" t="s">
        <v>589</v>
      </c>
      <c r="D144" s="2" t="s">
        <v>28</v>
      </c>
      <c r="E144" s="2" t="s">
        <v>29</v>
      </c>
      <c r="F144" s="2">
        <v>90</v>
      </c>
      <c r="G144" s="2" t="s">
        <v>590</v>
      </c>
      <c r="H144" s="2" t="s">
        <v>591</v>
      </c>
      <c r="I144" s="2" t="s">
        <v>32</v>
      </c>
      <c r="J144" s="3">
        <v>44223</v>
      </c>
      <c r="K144" s="2">
        <v>91</v>
      </c>
      <c r="L144" s="2" t="s">
        <v>39</v>
      </c>
    </row>
    <row r="145" spans="1:12" x14ac:dyDescent="0.3">
      <c r="A145" s="2">
        <v>134</v>
      </c>
      <c r="B145" s="2" t="s">
        <v>592</v>
      </c>
      <c r="C145" s="2" t="s">
        <v>593</v>
      </c>
      <c r="D145" s="2" t="s">
        <v>28</v>
      </c>
      <c r="E145" s="2" t="s">
        <v>29</v>
      </c>
      <c r="F145" s="2">
        <v>60</v>
      </c>
      <c r="G145" s="2" t="s">
        <v>594</v>
      </c>
      <c r="H145" s="2" t="s">
        <v>595</v>
      </c>
      <c r="I145" s="2" t="s">
        <v>124</v>
      </c>
      <c r="J145" s="3">
        <v>44386</v>
      </c>
      <c r="K145" s="2">
        <v>23</v>
      </c>
      <c r="L145" s="2" t="s">
        <v>159</v>
      </c>
    </row>
    <row r="146" spans="1:12" x14ac:dyDescent="0.3">
      <c r="A146" s="2">
        <v>135</v>
      </c>
      <c r="B146" s="2" t="s">
        <v>596</v>
      </c>
      <c r="C146" s="2" t="s">
        <v>597</v>
      </c>
      <c r="D146" s="2" t="s">
        <v>28</v>
      </c>
      <c r="E146" s="2" t="s">
        <v>29</v>
      </c>
      <c r="F146" s="2">
        <v>90</v>
      </c>
      <c r="G146" s="2" t="s">
        <v>598</v>
      </c>
      <c r="H146" s="2" t="s">
        <v>599</v>
      </c>
      <c r="I146" s="2" t="s">
        <v>32</v>
      </c>
      <c r="J146" s="3">
        <v>43877</v>
      </c>
      <c r="K146" s="2">
        <v>81</v>
      </c>
      <c r="L146" s="2" t="s">
        <v>33</v>
      </c>
    </row>
    <row r="147" spans="1:12" x14ac:dyDescent="0.3">
      <c r="A147" s="2">
        <v>136</v>
      </c>
      <c r="B147" s="2" t="s">
        <v>600</v>
      </c>
      <c r="C147" s="2" t="s">
        <v>601</v>
      </c>
      <c r="D147" s="2" t="s">
        <v>15</v>
      </c>
      <c r="E147" s="2" t="s">
        <v>16</v>
      </c>
      <c r="F147" s="2">
        <v>30</v>
      </c>
      <c r="G147" s="2" t="s">
        <v>602</v>
      </c>
      <c r="H147" s="2" t="s">
        <v>603</v>
      </c>
      <c r="I147" s="2" t="s">
        <v>187</v>
      </c>
      <c r="J147" s="3">
        <v>43949</v>
      </c>
      <c r="K147" s="2">
        <v>51</v>
      </c>
      <c r="L147" s="2" t="s">
        <v>101</v>
      </c>
    </row>
    <row r="148" spans="1:12" x14ac:dyDescent="0.3">
      <c r="A148" s="2">
        <v>137</v>
      </c>
      <c r="B148" s="2" t="s">
        <v>604</v>
      </c>
      <c r="C148" s="2" t="s">
        <v>605</v>
      </c>
      <c r="D148" s="2" t="s">
        <v>51</v>
      </c>
      <c r="E148" s="2" t="s">
        <v>16</v>
      </c>
      <c r="F148" s="2">
        <v>30</v>
      </c>
      <c r="G148" s="2" t="s">
        <v>606</v>
      </c>
      <c r="H148" s="2" t="s">
        <v>607</v>
      </c>
      <c r="I148" s="2" t="s">
        <v>32</v>
      </c>
      <c r="J148" s="3">
        <v>44150</v>
      </c>
      <c r="K148" s="2">
        <v>13</v>
      </c>
      <c r="L148" s="2" t="s">
        <v>33</v>
      </c>
    </row>
    <row r="149" spans="1:12" x14ac:dyDescent="0.3">
      <c r="A149" s="2">
        <v>138</v>
      </c>
      <c r="B149" s="2" t="s">
        <v>608</v>
      </c>
      <c r="C149" s="2" t="s">
        <v>609</v>
      </c>
      <c r="D149" s="2" t="s">
        <v>15</v>
      </c>
      <c r="E149" s="2" t="s">
        <v>16</v>
      </c>
      <c r="F149" s="2">
        <v>30</v>
      </c>
      <c r="G149" s="2" t="s">
        <v>610</v>
      </c>
      <c r="H149" s="2" t="s">
        <v>611</v>
      </c>
      <c r="I149" s="2" t="s">
        <v>32</v>
      </c>
      <c r="J149" s="3">
        <v>43925</v>
      </c>
      <c r="K149" s="2">
        <v>12</v>
      </c>
      <c r="L149" s="2" t="s">
        <v>54</v>
      </c>
    </row>
    <row r="150" spans="1:12" x14ac:dyDescent="0.3">
      <c r="A150" s="2">
        <v>139</v>
      </c>
      <c r="B150" s="2" t="s">
        <v>612</v>
      </c>
      <c r="C150" s="2" t="s">
        <v>613</v>
      </c>
      <c r="D150" s="2" t="s">
        <v>28</v>
      </c>
      <c r="E150" s="2" t="s">
        <v>29</v>
      </c>
      <c r="F150" s="2">
        <v>30</v>
      </c>
      <c r="G150" s="2" t="s">
        <v>614</v>
      </c>
      <c r="H150" s="2" t="s">
        <v>615</v>
      </c>
      <c r="I150" s="2" t="s">
        <v>32</v>
      </c>
      <c r="J150" s="3">
        <v>44713</v>
      </c>
      <c r="K150" s="2">
        <v>101</v>
      </c>
      <c r="L150" s="2" t="s">
        <v>39</v>
      </c>
    </row>
    <row r="151" spans="1:12" x14ac:dyDescent="0.3">
      <c r="A151" s="2">
        <v>140</v>
      </c>
      <c r="B151" s="2" t="s">
        <v>616</v>
      </c>
      <c r="C151" s="2" t="s">
        <v>617</v>
      </c>
      <c r="D151" s="2" t="s">
        <v>28</v>
      </c>
      <c r="E151" s="2" t="s">
        <v>29</v>
      </c>
      <c r="F151" s="2">
        <v>30</v>
      </c>
      <c r="G151" s="2" t="s">
        <v>618</v>
      </c>
      <c r="H151" s="2" t="s">
        <v>619</v>
      </c>
      <c r="I151" s="2" t="s">
        <v>187</v>
      </c>
      <c r="J151" s="3">
        <v>44725</v>
      </c>
      <c r="K151" s="2">
        <v>25</v>
      </c>
      <c r="L151" s="2" t="s">
        <v>70</v>
      </c>
    </row>
    <row r="152" spans="1:12" x14ac:dyDescent="0.3">
      <c r="A152" s="2">
        <v>141</v>
      </c>
      <c r="B152" s="2" t="s">
        <v>179</v>
      </c>
      <c r="C152" s="2" t="s">
        <v>620</v>
      </c>
      <c r="D152" s="2" t="s">
        <v>621</v>
      </c>
      <c r="E152" s="2" t="s">
        <v>29</v>
      </c>
      <c r="F152" s="2">
        <v>30</v>
      </c>
      <c r="G152" s="2" t="s">
        <v>622</v>
      </c>
      <c r="H152" s="2" t="s">
        <v>623</v>
      </c>
      <c r="I152" s="2" t="s">
        <v>32</v>
      </c>
      <c r="J152" s="3">
        <v>44846</v>
      </c>
      <c r="K152" s="2">
        <v>71</v>
      </c>
      <c r="L152" s="2" t="s">
        <v>80</v>
      </c>
    </row>
    <row r="153" spans="1:12" x14ac:dyDescent="0.3">
      <c r="A153" s="2">
        <v>142</v>
      </c>
      <c r="B153" s="2" t="s">
        <v>624</v>
      </c>
      <c r="C153" s="2" t="s">
        <v>625</v>
      </c>
      <c r="D153" s="2" t="s">
        <v>28</v>
      </c>
      <c r="E153" s="2" t="s">
        <v>29</v>
      </c>
      <c r="F153" s="2">
        <v>60</v>
      </c>
      <c r="G153" s="2" t="s">
        <v>626</v>
      </c>
      <c r="H153" s="2" t="s">
        <v>627</v>
      </c>
      <c r="I153" s="2" t="s">
        <v>294</v>
      </c>
      <c r="J153" s="3">
        <v>44499</v>
      </c>
      <c r="K153" s="2">
        <v>58</v>
      </c>
      <c r="L153" s="2" t="s">
        <v>45</v>
      </c>
    </row>
    <row r="154" spans="1:12" x14ac:dyDescent="0.3">
      <c r="A154" s="2">
        <v>143</v>
      </c>
      <c r="B154" s="2" t="s">
        <v>628</v>
      </c>
      <c r="C154" s="2" t="s">
        <v>629</v>
      </c>
      <c r="D154" s="2" t="s">
        <v>15</v>
      </c>
      <c r="E154" s="2" t="s">
        <v>16</v>
      </c>
      <c r="F154" s="2">
        <v>60</v>
      </c>
      <c r="G154" s="2" t="s">
        <v>630</v>
      </c>
      <c r="H154" s="2" t="s">
        <v>203</v>
      </c>
      <c r="I154" s="2" t="s">
        <v>32</v>
      </c>
      <c r="J154" s="3">
        <v>43928</v>
      </c>
      <c r="K154" s="2">
        <v>75</v>
      </c>
      <c r="L154" s="2" t="s">
        <v>101</v>
      </c>
    </row>
    <row r="155" spans="1:12" x14ac:dyDescent="0.3">
      <c r="A155" s="2">
        <v>144</v>
      </c>
      <c r="B155" s="2" t="s">
        <v>631</v>
      </c>
      <c r="C155" s="2" t="s">
        <v>632</v>
      </c>
      <c r="D155" s="2" t="s">
        <v>51</v>
      </c>
      <c r="E155" s="2" t="s">
        <v>16</v>
      </c>
      <c r="F155" s="2">
        <v>60</v>
      </c>
      <c r="G155" s="2" t="s">
        <v>633</v>
      </c>
      <c r="H155" s="2" t="s">
        <v>634</v>
      </c>
      <c r="I155" s="2" t="s">
        <v>32</v>
      </c>
      <c r="J155" s="3">
        <v>44167</v>
      </c>
      <c r="K155" s="2">
        <v>72</v>
      </c>
      <c r="L155" s="2" t="s">
        <v>39</v>
      </c>
    </row>
    <row r="156" spans="1:12" x14ac:dyDescent="0.3">
      <c r="A156" s="2">
        <v>145</v>
      </c>
      <c r="B156" s="2" t="s">
        <v>347</v>
      </c>
      <c r="C156" s="2" t="s">
        <v>635</v>
      </c>
      <c r="D156" s="2" t="s">
        <v>15</v>
      </c>
      <c r="E156" s="2" t="s">
        <v>16</v>
      </c>
      <c r="F156" s="2">
        <v>90</v>
      </c>
      <c r="G156" s="2" t="s">
        <v>636</v>
      </c>
      <c r="H156" s="2" t="s">
        <v>637</v>
      </c>
      <c r="I156" s="2" t="s">
        <v>32</v>
      </c>
      <c r="J156" s="3">
        <v>44374</v>
      </c>
      <c r="K156" s="2">
        <v>35</v>
      </c>
      <c r="L156" s="2" t="s">
        <v>45</v>
      </c>
    </row>
    <row r="157" spans="1:12" x14ac:dyDescent="0.3">
      <c r="A157" s="2">
        <v>146</v>
      </c>
      <c r="B157" s="2" t="s">
        <v>638</v>
      </c>
      <c r="C157" s="2" t="s">
        <v>639</v>
      </c>
      <c r="D157" s="2" t="s">
        <v>51</v>
      </c>
      <c r="E157" s="2" t="s">
        <v>16</v>
      </c>
      <c r="F157" s="2">
        <v>30</v>
      </c>
      <c r="G157" s="2" t="s">
        <v>640</v>
      </c>
      <c r="H157" s="2" t="s">
        <v>641</v>
      </c>
      <c r="I157" s="2" t="s">
        <v>294</v>
      </c>
      <c r="J157" s="3">
        <v>44136</v>
      </c>
      <c r="K157" s="2">
        <v>62</v>
      </c>
      <c r="L157" s="2" t="s">
        <v>45</v>
      </c>
    </row>
    <row r="158" spans="1:12" x14ac:dyDescent="0.3">
      <c r="A158" s="2">
        <v>147</v>
      </c>
      <c r="B158" s="2" t="s">
        <v>642</v>
      </c>
      <c r="C158" s="2" t="s">
        <v>97</v>
      </c>
      <c r="D158" s="2" t="s">
        <v>15</v>
      </c>
      <c r="E158" s="2" t="s">
        <v>16</v>
      </c>
      <c r="F158" s="2">
        <v>90</v>
      </c>
      <c r="G158" s="2" t="s">
        <v>643</v>
      </c>
      <c r="H158" s="2" t="s">
        <v>644</v>
      </c>
      <c r="I158" s="2" t="s">
        <v>645</v>
      </c>
      <c r="J158" s="3">
        <v>44565</v>
      </c>
      <c r="K158" s="2">
        <v>95</v>
      </c>
      <c r="L158" s="2" t="s">
        <v>20</v>
      </c>
    </row>
    <row r="159" spans="1:12" x14ac:dyDescent="0.3">
      <c r="A159" s="2">
        <v>148</v>
      </c>
      <c r="B159" s="2" t="s">
        <v>646</v>
      </c>
      <c r="C159" s="2" t="s">
        <v>647</v>
      </c>
      <c r="D159" s="2" t="s">
        <v>28</v>
      </c>
      <c r="E159" s="2" t="s">
        <v>29</v>
      </c>
      <c r="F159" s="2">
        <v>30</v>
      </c>
      <c r="G159" s="2" t="s">
        <v>648</v>
      </c>
      <c r="H159" s="2" t="s">
        <v>649</v>
      </c>
      <c r="I159" s="2" t="s">
        <v>240</v>
      </c>
      <c r="J159" s="3">
        <v>43902</v>
      </c>
      <c r="K159" s="2">
        <v>54</v>
      </c>
      <c r="L159" s="2" t="s">
        <v>39</v>
      </c>
    </row>
    <row r="160" spans="1:12" x14ac:dyDescent="0.3">
      <c r="A160" s="2">
        <v>149</v>
      </c>
      <c r="B160" s="2" t="s">
        <v>650</v>
      </c>
      <c r="C160" s="2" t="s">
        <v>651</v>
      </c>
      <c r="D160" s="2" t="s">
        <v>15</v>
      </c>
      <c r="E160" s="2" t="s">
        <v>16</v>
      </c>
      <c r="F160" s="2">
        <v>60</v>
      </c>
      <c r="G160" s="2" t="s">
        <v>648</v>
      </c>
      <c r="H160" s="2" t="s">
        <v>652</v>
      </c>
      <c r="I160" s="2" t="s">
        <v>32</v>
      </c>
      <c r="J160" s="3">
        <v>44196</v>
      </c>
      <c r="K160" s="2">
        <v>69</v>
      </c>
      <c r="L160" s="2" t="s">
        <v>33</v>
      </c>
    </row>
    <row r="161" spans="1:12" x14ac:dyDescent="0.3">
      <c r="A161" s="2">
        <v>150</v>
      </c>
      <c r="B161" s="2" t="s">
        <v>653</v>
      </c>
      <c r="C161" s="2" t="s">
        <v>585</v>
      </c>
      <c r="D161" s="2" t="s">
        <v>28</v>
      </c>
      <c r="E161" s="2" t="s">
        <v>29</v>
      </c>
      <c r="F161" s="2">
        <v>60</v>
      </c>
      <c r="G161" s="2" t="s">
        <v>654</v>
      </c>
      <c r="H161" s="2" t="s">
        <v>655</v>
      </c>
      <c r="I161" s="2" t="s">
        <v>32</v>
      </c>
      <c r="J161" s="3">
        <v>43989</v>
      </c>
      <c r="K161" s="2">
        <v>15</v>
      </c>
      <c r="L161" s="2" t="s">
        <v>45</v>
      </c>
    </row>
    <row r="162" spans="1:12" x14ac:dyDescent="0.3">
      <c r="A162" s="2">
        <v>151</v>
      </c>
      <c r="B162" s="2" t="s">
        <v>656</v>
      </c>
      <c r="C162" s="2" t="s">
        <v>657</v>
      </c>
      <c r="D162" s="2" t="s">
        <v>51</v>
      </c>
      <c r="E162" s="2" t="s">
        <v>16</v>
      </c>
      <c r="F162" s="2">
        <v>90</v>
      </c>
      <c r="G162" s="2" t="s">
        <v>658</v>
      </c>
      <c r="H162" s="2" t="s">
        <v>659</v>
      </c>
      <c r="I162" s="2" t="s">
        <v>32</v>
      </c>
      <c r="J162" s="3">
        <v>44411</v>
      </c>
      <c r="K162" s="2">
        <v>65</v>
      </c>
      <c r="L162" s="2" t="s">
        <v>64</v>
      </c>
    </row>
    <row r="163" spans="1:12" x14ac:dyDescent="0.3">
      <c r="A163" s="2">
        <v>152</v>
      </c>
      <c r="B163" s="2" t="s">
        <v>660</v>
      </c>
      <c r="C163" s="2" t="s">
        <v>661</v>
      </c>
      <c r="D163" s="2" t="s">
        <v>28</v>
      </c>
      <c r="E163" s="2" t="s">
        <v>29</v>
      </c>
      <c r="F163" s="2">
        <v>90</v>
      </c>
      <c r="G163" s="2" t="s">
        <v>662</v>
      </c>
      <c r="H163" s="2" t="s">
        <v>663</v>
      </c>
      <c r="I163" s="2" t="s">
        <v>32</v>
      </c>
      <c r="J163" s="3">
        <v>44090</v>
      </c>
      <c r="K163" s="2">
        <v>54</v>
      </c>
      <c r="L163" s="2" t="s">
        <v>39</v>
      </c>
    </row>
    <row r="164" spans="1:12" x14ac:dyDescent="0.3">
      <c r="A164" s="2">
        <v>153</v>
      </c>
      <c r="B164" s="2" t="s">
        <v>664</v>
      </c>
      <c r="C164" s="2" t="s">
        <v>665</v>
      </c>
      <c r="D164" s="2" t="s">
        <v>51</v>
      </c>
      <c r="E164" s="2" t="s">
        <v>16</v>
      </c>
      <c r="F164" s="2">
        <v>30</v>
      </c>
      <c r="G164" s="2" t="s">
        <v>666</v>
      </c>
      <c r="H164" s="2" t="s">
        <v>667</v>
      </c>
      <c r="I164" s="2" t="s">
        <v>25</v>
      </c>
      <c r="J164" s="3">
        <v>44613</v>
      </c>
      <c r="K164" s="2">
        <v>58</v>
      </c>
      <c r="L164" s="2" t="s">
        <v>80</v>
      </c>
    </row>
    <row r="165" spans="1:12" x14ac:dyDescent="0.3">
      <c r="A165" s="2">
        <v>154</v>
      </c>
      <c r="B165" s="2" t="s">
        <v>668</v>
      </c>
      <c r="C165" s="2" t="s">
        <v>669</v>
      </c>
      <c r="D165" s="2" t="s">
        <v>28</v>
      </c>
      <c r="E165" s="2" t="s">
        <v>29</v>
      </c>
      <c r="F165" s="2">
        <v>60</v>
      </c>
      <c r="G165" s="2" t="s">
        <v>670</v>
      </c>
      <c r="H165" s="2" t="s">
        <v>549</v>
      </c>
      <c r="I165" s="2" t="s">
        <v>425</v>
      </c>
      <c r="J165" s="3">
        <v>44877</v>
      </c>
      <c r="K165" s="2">
        <v>43</v>
      </c>
      <c r="L165" s="2" t="s">
        <v>20</v>
      </c>
    </row>
    <row r="166" spans="1:12" x14ac:dyDescent="0.3">
      <c r="A166" s="2">
        <v>155</v>
      </c>
      <c r="B166" s="2" t="s">
        <v>671</v>
      </c>
      <c r="C166" s="2" t="s">
        <v>672</v>
      </c>
      <c r="D166" s="2" t="s">
        <v>15</v>
      </c>
      <c r="E166" s="2" t="s">
        <v>16</v>
      </c>
      <c r="F166" s="2">
        <v>30</v>
      </c>
      <c r="G166" s="2" t="s">
        <v>673</v>
      </c>
      <c r="H166" s="2" t="s">
        <v>674</v>
      </c>
      <c r="I166" s="2" t="s">
        <v>32</v>
      </c>
      <c r="J166" s="3">
        <v>44881</v>
      </c>
      <c r="K166" s="2">
        <v>67</v>
      </c>
      <c r="L166" s="2" t="s">
        <v>20</v>
      </c>
    </row>
    <row r="167" spans="1:12" x14ac:dyDescent="0.3">
      <c r="A167" s="2">
        <v>156</v>
      </c>
      <c r="B167" s="2" t="s">
        <v>675</v>
      </c>
      <c r="C167" s="2" t="s">
        <v>676</v>
      </c>
      <c r="D167" s="2" t="s">
        <v>28</v>
      </c>
      <c r="E167" s="2" t="s">
        <v>29</v>
      </c>
      <c r="F167" s="2">
        <v>30</v>
      </c>
      <c r="G167" s="2" t="s">
        <v>677</v>
      </c>
      <c r="H167" s="2" t="s">
        <v>678</v>
      </c>
      <c r="I167" s="2" t="s">
        <v>32</v>
      </c>
      <c r="J167" s="3">
        <v>44494</v>
      </c>
      <c r="K167" s="2">
        <v>87</v>
      </c>
      <c r="L167" s="2" t="s">
        <v>80</v>
      </c>
    </row>
    <row r="168" spans="1:12" x14ac:dyDescent="0.3">
      <c r="A168" s="2">
        <v>157</v>
      </c>
      <c r="B168" s="2" t="s">
        <v>679</v>
      </c>
      <c r="C168" s="2" t="s">
        <v>680</v>
      </c>
      <c r="D168" s="2" t="s">
        <v>28</v>
      </c>
      <c r="E168" s="2" t="s">
        <v>29</v>
      </c>
      <c r="F168" s="2">
        <v>90</v>
      </c>
      <c r="G168" s="2" t="s">
        <v>681</v>
      </c>
      <c r="H168" s="2" t="s">
        <v>682</v>
      </c>
      <c r="I168" s="2" t="s">
        <v>32</v>
      </c>
      <c r="J168" s="3">
        <v>44121</v>
      </c>
      <c r="K168" s="2">
        <v>13</v>
      </c>
      <c r="L168" s="2" t="s">
        <v>45</v>
      </c>
    </row>
    <row r="169" spans="1:12" x14ac:dyDescent="0.3">
      <c r="A169" s="2">
        <v>158</v>
      </c>
      <c r="B169" s="2" t="s">
        <v>683</v>
      </c>
      <c r="C169" s="2" t="s">
        <v>445</v>
      </c>
      <c r="D169" s="2" t="s">
        <v>28</v>
      </c>
      <c r="E169" s="2" t="s">
        <v>29</v>
      </c>
      <c r="F169" s="2">
        <v>60</v>
      </c>
      <c r="G169" s="2" t="s">
        <v>684</v>
      </c>
      <c r="H169" s="2" t="s">
        <v>685</v>
      </c>
      <c r="I169" s="2" t="s">
        <v>686</v>
      </c>
      <c r="J169" s="3">
        <v>43985</v>
      </c>
      <c r="K169" s="2">
        <v>54</v>
      </c>
      <c r="L169" s="2" t="s">
        <v>70</v>
      </c>
    </row>
    <row r="170" spans="1:12" x14ac:dyDescent="0.3">
      <c r="A170" s="2">
        <v>159</v>
      </c>
      <c r="B170" s="2" t="s">
        <v>687</v>
      </c>
      <c r="C170" s="2" t="s">
        <v>688</v>
      </c>
      <c r="D170" s="2" t="s">
        <v>51</v>
      </c>
      <c r="E170" s="2" t="s">
        <v>16</v>
      </c>
      <c r="F170" s="2">
        <v>60</v>
      </c>
      <c r="G170" s="2" t="s">
        <v>689</v>
      </c>
      <c r="H170" s="2" t="s">
        <v>690</v>
      </c>
      <c r="I170" s="2" t="s">
        <v>32</v>
      </c>
      <c r="J170" s="3">
        <v>44255</v>
      </c>
      <c r="K170" s="2">
        <v>39</v>
      </c>
      <c r="L170" s="2" t="s">
        <v>80</v>
      </c>
    </row>
    <row r="171" spans="1:12" x14ac:dyDescent="0.3">
      <c r="A171" s="2">
        <v>160</v>
      </c>
      <c r="B171" s="2" t="s">
        <v>691</v>
      </c>
      <c r="C171" s="2" t="s">
        <v>692</v>
      </c>
      <c r="D171" s="2" t="s">
        <v>28</v>
      </c>
      <c r="E171" s="2" t="s">
        <v>29</v>
      </c>
      <c r="F171" s="2">
        <v>30</v>
      </c>
      <c r="G171" s="2" t="s">
        <v>693</v>
      </c>
      <c r="H171" s="2" t="s">
        <v>694</v>
      </c>
      <c r="I171" s="2" t="s">
        <v>32</v>
      </c>
      <c r="J171" s="3">
        <v>44019</v>
      </c>
      <c r="K171" s="2">
        <v>75</v>
      </c>
      <c r="L171" s="2" t="s">
        <v>159</v>
      </c>
    </row>
    <row r="172" spans="1:12" x14ac:dyDescent="0.3">
      <c r="A172" s="2">
        <v>161</v>
      </c>
      <c r="B172" s="2" t="s">
        <v>695</v>
      </c>
      <c r="C172" s="2" t="s">
        <v>696</v>
      </c>
      <c r="D172" s="2" t="s">
        <v>51</v>
      </c>
      <c r="E172" s="2" t="s">
        <v>16</v>
      </c>
      <c r="F172" s="2">
        <v>30</v>
      </c>
      <c r="G172" s="2" t="s">
        <v>697</v>
      </c>
      <c r="H172" s="2" t="s">
        <v>698</v>
      </c>
      <c r="I172" s="2" t="s">
        <v>213</v>
      </c>
      <c r="J172" s="3">
        <v>44022</v>
      </c>
      <c r="K172" s="2">
        <v>47</v>
      </c>
      <c r="L172" s="2" t="s">
        <v>33</v>
      </c>
    </row>
    <row r="173" spans="1:12" x14ac:dyDescent="0.3">
      <c r="A173" s="2">
        <v>162</v>
      </c>
      <c r="B173" s="2" t="s">
        <v>699</v>
      </c>
      <c r="C173" s="2" t="s">
        <v>700</v>
      </c>
      <c r="D173" s="2" t="s">
        <v>28</v>
      </c>
      <c r="E173" s="2" t="s">
        <v>29</v>
      </c>
      <c r="F173" s="2">
        <v>60</v>
      </c>
      <c r="G173" s="2" t="s">
        <v>701</v>
      </c>
      <c r="H173" s="2" t="s">
        <v>702</v>
      </c>
      <c r="I173" s="2" t="s">
        <v>703</v>
      </c>
      <c r="J173" s="3">
        <v>44743</v>
      </c>
      <c r="K173" s="2">
        <v>83</v>
      </c>
      <c r="L173" s="2" t="s">
        <v>80</v>
      </c>
    </row>
    <row r="174" spans="1:12" x14ac:dyDescent="0.3">
      <c r="A174" s="2">
        <v>163</v>
      </c>
      <c r="B174" s="2" t="s">
        <v>704</v>
      </c>
      <c r="C174" s="2" t="s">
        <v>705</v>
      </c>
      <c r="D174" s="2" t="s">
        <v>51</v>
      </c>
      <c r="E174" s="2" t="s">
        <v>16</v>
      </c>
      <c r="F174" s="2">
        <v>60</v>
      </c>
      <c r="G174" s="2" t="s">
        <v>706</v>
      </c>
      <c r="H174" s="2" t="s">
        <v>163</v>
      </c>
      <c r="I174" s="2" t="s">
        <v>164</v>
      </c>
      <c r="J174" s="3">
        <v>44405</v>
      </c>
      <c r="K174" s="2">
        <v>64</v>
      </c>
      <c r="L174" s="2" t="s">
        <v>101</v>
      </c>
    </row>
    <row r="175" spans="1:12" x14ac:dyDescent="0.3">
      <c r="A175" s="2">
        <v>164</v>
      </c>
      <c r="B175" s="2" t="s">
        <v>707</v>
      </c>
      <c r="C175" s="2" t="s">
        <v>708</v>
      </c>
      <c r="D175" s="2" t="s">
        <v>28</v>
      </c>
      <c r="E175" s="2" t="s">
        <v>29</v>
      </c>
      <c r="F175" s="2">
        <v>30</v>
      </c>
      <c r="G175" s="2" t="s">
        <v>709</v>
      </c>
      <c r="H175" s="2" t="s">
        <v>710</v>
      </c>
      <c r="I175" s="2" t="s">
        <v>187</v>
      </c>
      <c r="J175" s="3">
        <v>44495</v>
      </c>
      <c r="K175" s="2">
        <v>36</v>
      </c>
      <c r="L175" s="2" t="s">
        <v>45</v>
      </c>
    </row>
    <row r="176" spans="1:12" x14ac:dyDescent="0.3">
      <c r="A176" s="2">
        <v>165</v>
      </c>
      <c r="B176" s="2" t="s">
        <v>711</v>
      </c>
      <c r="C176" s="2" t="s">
        <v>82</v>
      </c>
      <c r="D176" s="2" t="s">
        <v>28</v>
      </c>
      <c r="E176" s="2" t="s">
        <v>29</v>
      </c>
      <c r="F176" s="2">
        <v>30</v>
      </c>
      <c r="G176" s="2" t="s">
        <v>712</v>
      </c>
      <c r="H176" s="2" t="s">
        <v>713</v>
      </c>
      <c r="I176" s="2" t="s">
        <v>146</v>
      </c>
      <c r="J176" s="3">
        <v>44252</v>
      </c>
      <c r="K176" s="2">
        <v>36</v>
      </c>
      <c r="L176" s="2" t="s">
        <v>45</v>
      </c>
    </row>
    <row r="177" spans="1:12" x14ac:dyDescent="0.3">
      <c r="A177" s="2">
        <v>166</v>
      </c>
      <c r="B177" s="2" t="s">
        <v>714</v>
      </c>
      <c r="C177" s="2" t="s">
        <v>715</v>
      </c>
      <c r="D177" s="2" t="s">
        <v>28</v>
      </c>
      <c r="E177" s="2" t="s">
        <v>29</v>
      </c>
      <c r="F177" s="2">
        <v>30</v>
      </c>
      <c r="G177" s="2" t="s">
        <v>712</v>
      </c>
      <c r="H177" s="2" t="s">
        <v>716</v>
      </c>
      <c r="I177" s="2" t="s">
        <v>32</v>
      </c>
      <c r="J177" s="3">
        <v>44294</v>
      </c>
      <c r="K177" s="2">
        <v>91</v>
      </c>
      <c r="L177" s="2" t="s">
        <v>80</v>
      </c>
    </row>
    <row r="178" spans="1:12" x14ac:dyDescent="0.3">
      <c r="A178" s="2">
        <v>167</v>
      </c>
      <c r="B178" s="2" t="s">
        <v>717</v>
      </c>
      <c r="C178" s="2" t="s">
        <v>718</v>
      </c>
      <c r="D178" s="2" t="s">
        <v>51</v>
      </c>
      <c r="E178" s="2" t="s">
        <v>16</v>
      </c>
      <c r="F178" s="2">
        <v>60</v>
      </c>
      <c r="G178" s="2" t="s">
        <v>10459</v>
      </c>
      <c r="H178" s="2" t="s">
        <v>720</v>
      </c>
      <c r="I178" s="2" t="s">
        <v>686</v>
      </c>
      <c r="J178" s="3">
        <v>44720</v>
      </c>
      <c r="K178" s="2">
        <v>73</v>
      </c>
      <c r="L178" s="2" t="s">
        <v>159</v>
      </c>
    </row>
    <row r="179" spans="1:12" x14ac:dyDescent="0.3">
      <c r="A179" s="2">
        <v>168</v>
      </c>
      <c r="B179" s="2" t="s">
        <v>721</v>
      </c>
      <c r="C179" s="2" t="s">
        <v>722</v>
      </c>
      <c r="D179" s="2" t="s">
        <v>28</v>
      </c>
      <c r="E179" s="2" t="s">
        <v>29</v>
      </c>
      <c r="F179" s="2">
        <v>60</v>
      </c>
      <c r="G179" s="2" t="s">
        <v>723</v>
      </c>
      <c r="H179" s="2" t="s">
        <v>724</v>
      </c>
      <c r="I179" s="2" t="s">
        <v>240</v>
      </c>
      <c r="J179" s="3">
        <v>44849</v>
      </c>
      <c r="K179" s="2">
        <v>52</v>
      </c>
      <c r="L179" s="2" t="s">
        <v>70</v>
      </c>
    </row>
    <row r="180" spans="1:12" x14ac:dyDescent="0.3">
      <c r="A180" s="2">
        <v>169</v>
      </c>
      <c r="B180" s="2" t="s">
        <v>725</v>
      </c>
      <c r="C180" s="2" t="s">
        <v>242</v>
      </c>
      <c r="D180" s="2" t="s">
        <v>28</v>
      </c>
      <c r="E180" s="2" t="s">
        <v>29</v>
      </c>
      <c r="F180" s="2">
        <v>60</v>
      </c>
      <c r="G180" s="2" t="s">
        <v>723</v>
      </c>
      <c r="H180" s="2" t="s">
        <v>726</v>
      </c>
      <c r="I180" s="2" t="s">
        <v>32</v>
      </c>
      <c r="J180" s="3">
        <v>44766</v>
      </c>
      <c r="K180" s="2">
        <v>94</v>
      </c>
      <c r="L180" s="2" t="s">
        <v>33</v>
      </c>
    </row>
    <row r="181" spans="1:12" x14ac:dyDescent="0.3">
      <c r="A181" s="2">
        <v>170</v>
      </c>
      <c r="B181" s="2" t="s">
        <v>727</v>
      </c>
      <c r="C181" s="2" t="s">
        <v>728</v>
      </c>
      <c r="D181" s="2" t="s">
        <v>28</v>
      </c>
      <c r="E181" s="2" t="s">
        <v>29</v>
      </c>
      <c r="F181" s="2">
        <v>90</v>
      </c>
      <c r="G181" s="2" t="s">
        <v>10460</v>
      </c>
      <c r="H181" s="2" t="s">
        <v>730</v>
      </c>
      <c r="I181" s="2" t="s">
        <v>187</v>
      </c>
      <c r="J181" s="3">
        <v>44484</v>
      </c>
      <c r="K181" s="2">
        <v>17</v>
      </c>
      <c r="L181" s="2" t="s">
        <v>64</v>
      </c>
    </row>
    <row r="182" spans="1:12" x14ac:dyDescent="0.3">
      <c r="A182" s="2">
        <v>171</v>
      </c>
      <c r="B182" s="2" t="s">
        <v>731</v>
      </c>
      <c r="C182" s="2" t="s">
        <v>732</v>
      </c>
      <c r="D182" s="2" t="s">
        <v>28</v>
      </c>
      <c r="E182" s="2" t="s">
        <v>29</v>
      </c>
      <c r="F182" s="2">
        <v>60</v>
      </c>
      <c r="G182" s="2" t="s">
        <v>10461</v>
      </c>
      <c r="H182" s="2" t="s">
        <v>734</v>
      </c>
      <c r="I182" s="2" t="s">
        <v>32</v>
      </c>
      <c r="J182" s="3">
        <v>43835</v>
      </c>
      <c r="K182" s="2">
        <v>40</v>
      </c>
      <c r="L182" s="2" t="s">
        <v>54</v>
      </c>
    </row>
    <row r="183" spans="1:12" x14ac:dyDescent="0.3">
      <c r="A183" s="2">
        <v>172</v>
      </c>
      <c r="B183" s="2" t="s">
        <v>735</v>
      </c>
      <c r="C183" s="2" t="s">
        <v>736</v>
      </c>
      <c r="D183" s="2" t="s">
        <v>28</v>
      </c>
      <c r="E183" s="2" t="s">
        <v>29</v>
      </c>
      <c r="F183" s="2">
        <v>60</v>
      </c>
      <c r="G183" s="2" t="s">
        <v>737</v>
      </c>
      <c r="H183" s="2" t="s">
        <v>738</v>
      </c>
      <c r="I183" s="2" t="s">
        <v>38</v>
      </c>
      <c r="J183" s="3">
        <v>44222</v>
      </c>
      <c r="K183" s="2">
        <v>2</v>
      </c>
      <c r="L183" s="2" t="s">
        <v>20</v>
      </c>
    </row>
    <row r="184" spans="1:12" x14ac:dyDescent="0.3">
      <c r="A184" s="2">
        <v>173</v>
      </c>
      <c r="B184" s="2" t="s">
        <v>739</v>
      </c>
      <c r="C184" s="2" t="s">
        <v>740</v>
      </c>
      <c r="D184" s="2" t="s">
        <v>51</v>
      </c>
      <c r="E184" s="2" t="s">
        <v>16</v>
      </c>
      <c r="F184" s="2">
        <v>30</v>
      </c>
      <c r="G184" s="2" t="s">
        <v>741</v>
      </c>
      <c r="H184" s="2" t="s">
        <v>742</v>
      </c>
      <c r="I184" s="2" t="s">
        <v>124</v>
      </c>
      <c r="J184" s="3">
        <v>44311</v>
      </c>
      <c r="K184" s="2">
        <v>50</v>
      </c>
      <c r="L184" s="2" t="s">
        <v>45</v>
      </c>
    </row>
    <row r="185" spans="1:12" x14ac:dyDescent="0.3">
      <c r="A185" s="2">
        <v>174</v>
      </c>
      <c r="B185" s="2" t="s">
        <v>743</v>
      </c>
      <c r="C185" s="2" t="s">
        <v>744</v>
      </c>
      <c r="D185" s="2" t="s">
        <v>28</v>
      </c>
      <c r="E185" s="2" t="s">
        <v>29</v>
      </c>
      <c r="F185" s="2">
        <v>60</v>
      </c>
      <c r="G185" s="2" t="s">
        <v>745</v>
      </c>
      <c r="H185" s="2" t="s">
        <v>746</v>
      </c>
      <c r="I185" s="2" t="s">
        <v>32</v>
      </c>
      <c r="J185" s="3">
        <v>43991</v>
      </c>
      <c r="K185" s="2">
        <v>66</v>
      </c>
      <c r="L185" s="2" t="s">
        <v>54</v>
      </c>
    </row>
    <row r="186" spans="1:12" x14ac:dyDescent="0.3">
      <c r="A186" s="2">
        <v>175</v>
      </c>
      <c r="B186" s="2" t="s">
        <v>747</v>
      </c>
      <c r="C186" s="2" t="s">
        <v>748</v>
      </c>
      <c r="D186" s="2" t="s">
        <v>28</v>
      </c>
      <c r="E186" s="2" t="s">
        <v>29</v>
      </c>
      <c r="F186" s="2">
        <v>90</v>
      </c>
      <c r="G186" s="2" t="s">
        <v>749</v>
      </c>
      <c r="H186" s="2" t="s">
        <v>750</v>
      </c>
      <c r="I186" s="2" t="s">
        <v>25</v>
      </c>
      <c r="J186" s="3">
        <v>44887</v>
      </c>
      <c r="K186" s="2">
        <v>50</v>
      </c>
      <c r="L186" s="2" t="s">
        <v>64</v>
      </c>
    </row>
    <row r="187" spans="1:12" x14ac:dyDescent="0.3">
      <c r="A187" s="2">
        <v>176</v>
      </c>
      <c r="B187" s="2" t="s">
        <v>751</v>
      </c>
      <c r="C187" s="2" t="s">
        <v>752</v>
      </c>
      <c r="D187" s="2" t="s">
        <v>28</v>
      </c>
      <c r="E187" s="2" t="s">
        <v>29</v>
      </c>
      <c r="F187" s="2">
        <v>90</v>
      </c>
      <c r="G187" s="2" t="s">
        <v>753</v>
      </c>
      <c r="H187" s="2" t="s">
        <v>754</v>
      </c>
      <c r="I187" s="2" t="s">
        <v>25</v>
      </c>
      <c r="J187" s="3">
        <v>44872</v>
      </c>
      <c r="K187" s="2">
        <v>96</v>
      </c>
      <c r="L187" s="2" t="s">
        <v>39</v>
      </c>
    </row>
    <row r="188" spans="1:12" x14ac:dyDescent="0.3">
      <c r="A188" s="2">
        <v>177</v>
      </c>
      <c r="B188" s="2" t="s">
        <v>755</v>
      </c>
      <c r="C188" s="2" t="s">
        <v>756</v>
      </c>
      <c r="D188" s="2" t="s">
        <v>28</v>
      </c>
      <c r="E188" s="2" t="s">
        <v>29</v>
      </c>
      <c r="F188" s="2">
        <v>30</v>
      </c>
      <c r="G188" s="2" t="s">
        <v>757</v>
      </c>
      <c r="H188" s="2" t="s">
        <v>462</v>
      </c>
      <c r="I188" s="2" t="s">
        <v>32</v>
      </c>
      <c r="J188" s="3">
        <v>44779</v>
      </c>
      <c r="K188" s="2">
        <v>38</v>
      </c>
      <c r="L188" s="2" t="s">
        <v>39</v>
      </c>
    </row>
    <row r="189" spans="1:12" x14ac:dyDescent="0.3">
      <c r="A189" s="2">
        <v>178</v>
      </c>
      <c r="B189" s="2" t="s">
        <v>758</v>
      </c>
      <c r="C189" s="2" t="s">
        <v>759</v>
      </c>
      <c r="D189" s="2" t="s">
        <v>51</v>
      </c>
      <c r="E189" s="2" t="s">
        <v>16</v>
      </c>
      <c r="F189" s="2">
        <v>60</v>
      </c>
      <c r="G189" s="2" t="s">
        <v>760</v>
      </c>
      <c r="H189" s="2" t="s">
        <v>627</v>
      </c>
      <c r="I189" s="2" t="s">
        <v>294</v>
      </c>
      <c r="J189" s="3">
        <v>43881</v>
      </c>
      <c r="K189" s="2">
        <v>42</v>
      </c>
      <c r="L189" s="2" t="s">
        <v>70</v>
      </c>
    </row>
    <row r="190" spans="1:12" x14ac:dyDescent="0.3">
      <c r="A190" s="2">
        <v>179</v>
      </c>
      <c r="B190" s="2" t="s">
        <v>761</v>
      </c>
      <c r="C190" s="2" t="s">
        <v>762</v>
      </c>
      <c r="D190" s="2" t="s">
        <v>15</v>
      </c>
      <c r="E190" s="2" t="s">
        <v>16</v>
      </c>
      <c r="F190" s="2">
        <v>60</v>
      </c>
      <c r="G190" s="2" t="s">
        <v>763</v>
      </c>
      <c r="H190" s="2" t="s">
        <v>764</v>
      </c>
      <c r="I190" s="2" t="s">
        <v>32</v>
      </c>
      <c r="J190" s="3">
        <v>44347</v>
      </c>
      <c r="K190" s="2">
        <v>31</v>
      </c>
      <c r="L190" s="2" t="s">
        <v>45</v>
      </c>
    </row>
    <row r="191" spans="1:12" x14ac:dyDescent="0.3">
      <c r="A191" s="2">
        <v>180</v>
      </c>
      <c r="B191" s="2" t="s">
        <v>765</v>
      </c>
      <c r="C191" s="2" t="s">
        <v>766</v>
      </c>
      <c r="D191" s="2" t="s">
        <v>28</v>
      </c>
      <c r="E191" s="2" t="s">
        <v>29</v>
      </c>
      <c r="F191" s="2">
        <v>60</v>
      </c>
      <c r="G191" s="2" t="s">
        <v>767</v>
      </c>
      <c r="H191" s="2" t="s">
        <v>768</v>
      </c>
      <c r="I191" s="2" t="s">
        <v>124</v>
      </c>
      <c r="J191" s="3">
        <v>44198</v>
      </c>
      <c r="K191" s="2">
        <v>18</v>
      </c>
      <c r="L191" s="2" t="s">
        <v>20</v>
      </c>
    </row>
    <row r="192" spans="1:12" x14ac:dyDescent="0.3">
      <c r="A192" s="2">
        <v>181</v>
      </c>
      <c r="B192" s="2" t="s">
        <v>769</v>
      </c>
      <c r="C192" s="2" t="s">
        <v>770</v>
      </c>
      <c r="D192" s="2" t="s">
        <v>51</v>
      </c>
      <c r="E192" s="2" t="s">
        <v>16</v>
      </c>
      <c r="F192" s="2">
        <v>30</v>
      </c>
      <c r="G192" s="2" t="s">
        <v>771</v>
      </c>
      <c r="H192" s="2" t="s">
        <v>772</v>
      </c>
      <c r="I192" s="2" t="s">
        <v>32</v>
      </c>
      <c r="J192" s="3">
        <v>43943</v>
      </c>
      <c r="K192" s="2">
        <v>73</v>
      </c>
      <c r="L192" s="2" t="s">
        <v>70</v>
      </c>
    </row>
    <row r="193" spans="1:12" x14ac:dyDescent="0.3">
      <c r="A193" s="2">
        <v>182</v>
      </c>
      <c r="B193" s="2" t="s">
        <v>773</v>
      </c>
      <c r="C193" s="2" t="s">
        <v>774</v>
      </c>
      <c r="D193" s="2" t="s">
        <v>28</v>
      </c>
      <c r="E193" s="2" t="s">
        <v>29</v>
      </c>
      <c r="F193" s="2">
        <v>30</v>
      </c>
      <c r="G193" s="2" t="s">
        <v>775</v>
      </c>
      <c r="H193" s="2" t="s">
        <v>776</v>
      </c>
      <c r="I193" s="2" t="s">
        <v>777</v>
      </c>
      <c r="J193" s="3">
        <v>44557</v>
      </c>
      <c r="K193" s="2">
        <v>44</v>
      </c>
      <c r="L193" s="2" t="s">
        <v>33</v>
      </c>
    </row>
    <row r="194" spans="1:12" x14ac:dyDescent="0.3">
      <c r="A194" s="2">
        <v>183</v>
      </c>
      <c r="B194" s="2" t="s">
        <v>778</v>
      </c>
      <c r="C194" s="2" t="s">
        <v>779</v>
      </c>
      <c r="D194" s="2" t="s">
        <v>28</v>
      </c>
      <c r="E194" s="2" t="s">
        <v>29</v>
      </c>
      <c r="F194" s="2">
        <v>60</v>
      </c>
      <c r="G194" s="2" t="s">
        <v>780</v>
      </c>
      <c r="H194" s="2" t="s">
        <v>781</v>
      </c>
      <c r="I194" s="2" t="s">
        <v>294</v>
      </c>
      <c r="J194" s="3">
        <v>44049</v>
      </c>
      <c r="K194" s="2">
        <v>21</v>
      </c>
      <c r="L194" s="2" t="s">
        <v>20</v>
      </c>
    </row>
    <row r="195" spans="1:12" x14ac:dyDescent="0.3">
      <c r="A195" s="2">
        <v>184</v>
      </c>
      <c r="B195" s="2" t="s">
        <v>782</v>
      </c>
      <c r="C195" s="2" t="s">
        <v>783</v>
      </c>
      <c r="D195" s="2" t="s">
        <v>41</v>
      </c>
      <c r="E195" s="2" t="s">
        <v>16</v>
      </c>
      <c r="F195" s="2">
        <v>90</v>
      </c>
      <c r="G195" s="2" t="s">
        <v>784</v>
      </c>
      <c r="H195" s="2" t="s">
        <v>443</v>
      </c>
      <c r="I195" s="2" t="s">
        <v>294</v>
      </c>
      <c r="J195" s="3">
        <v>44054</v>
      </c>
      <c r="K195" s="2">
        <v>46</v>
      </c>
      <c r="L195" s="2" t="s">
        <v>101</v>
      </c>
    </row>
    <row r="196" spans="1:12" x14ac:dyDescent="0.3">
      <c r="A196" s="2">
        <v>185</v>
      </c>
      <c r="B196" s="2" t="s">
        <v>785</v>
      </c>
      <c r="C196" s="2" t="s">
        <v>121</v>
      </c>
      <c r="D196" s="2" t="s">
        <v>28</v>
      </c>
      <c r="E196" s="2" t="s">
        <v>29</v>
      </c>
      <c r="F196" s="2">
        <v>30</v>
      </c>
      <c r="G196" s="2" t="s">
        <v>786</v>
      </c>
      <c r="H196" s="2" t="s">
        <v>538</v>
      </c>
      <c r="I196" s="2" t="s">
        <v>32</v>
      </c>
      <c r="J196" s="3">
        <v>43946</v>
      </c>
      <c r="K196" s="2">
        <v>20</v>
      </c>
      <c r="L196" s="2" t="s">
        <v>70</v>
      </c>
    </row>
    <row r="197" spans="1:12" x14ac:dyDescent="0.3">
      <c r="A197" s="2">
        <v>186</v>
      </c>
      <c r="B197" s="2" t="s">
        <v>787</v>
      </c>
      <c r="C197" s="2" t="s">
        <v>788</v>
      </c>
      <c r="D197" s="2" t="s">
        <v>28</v>
      </c>
      <c r="E197" s="2" t="s">
        <v>29</v>
      </c>
      <c r="F197" s="2">
        <v>30</v>
      </c>
      <c r="G197" s="2" t="s">
        <v>789</v>
      </c>
      <c r="H197" s="2" t="s">
        <v>378</v>
      </c>
      <c r="I197" s="2" t="s">
        <v>146</v>
      </c>
      <c r="J197" s="3">
        <v>44417</v>
      </c>
      <c r="K197" s="2">
        <v>6</v>
      </c>
      <c r="L197" s="2" t="s">
        <v>45</v>
      </c>
    </row>
    <row r="198" spans="1:12" x14ac:dyDescent="0.3">
      <c r="A198" s="2">
        <v>187</v>
      </c>
      <c r="B198" s="2" t="s">
        <v>790</v>
      </c>
      <c r="C198" s="2" t="s">
        <v>791</v>
      </c>
      <c r="D198" s="2" t="s">
        <v>117</v>
      </c>
      <c r="E198" s="2" t="s">
        <v>16</v>
      </c>
      <c r="F198" s="2">
        <v>90</v>
      </c>
      <c r="G198" s="2" t="s">
        <v>792</v>
      </c>
      <c r="H198" s="2" t="s">
        <v>793</v>
      </c>
      <c r="I198" s="2" t="s">
        <v>178</v>
      </c>
      <c r="J198" s="3">
        <v>44348</v>
      </c>
      <c r="K198" s="2">
        <v>38</v>
      </c>
      <c r="L198" s="2" t="s">
        <v>33</v>
      </c>
    </row>
    <row r="199" spans="1:12" x14ac:dyDescent="0.3">
      <c r="A199" s="2">
        <v>188</v>
      </c>
      <c r="B199" s="2" t="s">
        <v>794</v>
      </c>
      <c r="C199" s="2" t="s">
        <v>795</v>
      </c>
      <c r="D199" s="2" t="s">
        <v>51</v>
      </c>
      <c r="E199" s="2" t="s">
        <v>16</v>
      </c>
      <c r="F199" s="2">
        <v>30</v>
      </c>
      <c r="G199" s="2" t="s">
        <v>796</v>
      </c>
      <c r="H199" s="2" t="s">
        <v>288</v>
      </c>
      <c r="I199" s="2" t="s">
        <v>32</v>
      </c>
      <c r="J199" s="3">
        <v>43965</v>
      </c>
      <c r="K199" s="2">
        <v>56</v>
      </c>
      <c r="L199" s="2" t="s">
        <v>39</v>
      </c>
    </row>
    <row r="200" spans="1:12" x14ac:dyDescent="0.3">
      <c r="A200" s="2">
        <v>189</v>
      </c>
      <c r="B200" s="2" t="s">
        <v>797</v>
      </c>
      <c r="C200" s="2" t="s">
        <v>798</v>
      </c>
      <c r="D200" s="2" t="s">
        <v>15</v>
      </c>
      <c r="E200" s="2" t="s">
        <v>16</v>
      </c>
      <c r="F200" s="2">
        <v>90</v>
      </c>
      <c r="G200" s="2" t="s">
        <v>799</v>
      </c>
      <c r="H200" s="2" t="s">
        <v>781</v>
      </c>
      <c r="I200" s="2" t="s">
        <v>294</v>
      </c>
      <c r="J200" s="3">
        <v>44449</v>
      </c>
      <c r="K200" s="2">
        <v>88</v>
      </c>
      <c r="L200" s="2" t="s">
        <v>20</v>
      </c>
    </row>
    <row r="201" spans="1:12" x14ac:dyDescent="0.3">
      <c r="A201" s="2">
        <v>190</v>
      </c>
      <c r="B201" s="2" t="s">
        <v>800</v>
      </c>
      <c r="C201" s="2" t="s">
        <v>317</v>
      </c>
      <c r="D201" s="2" t="s">
        <v>28</v>
      </c>
      <c r="E201" s="2" t="s">
        <v>29</v>
      </c>
      <c r="F201" s="2">
        <v>60</v>
      </c>
      <c r="G201" s="2" t="s">
        <v>801</v>
      </c>
      <c r="H201" s="2" t="s">
        <v>802</v>
      </c>
      <c r="I201" s="2" t="s">
        <v>294</v>
      </c>
      <c r="J201" s="3">
        <v>44500</v>
      </c>
      <c r="K201" s="2">
        <v>9</v>
      </c>
      <c r="L201" s="2" t="s">
        <v>70</v>
      </c>
    </row>
    <row r="202" spans="1:12" x14ac:dyDescent="0.3">
      <c r="A202" s="2">
        <v>191</v>
      </c>
      <c r="B202" s="2" t="s">
        <v>803</v>
      </c>
      <c r="C202" s="2" t="s">
        <v>804</v>
      </c>
      <c r="D202" s="2" t="s">
        <v>28</v>
      </c>
      <c r="E202" s="2" t="s">
        <v>29</v>
      </c>
      <c r="F202" s="2">
        <v>90</v>
      </c>
      <c r="G202" s="2" t="s">
        <v>805</v>
      </c>
      <c r="H202" s="2" t="s">
        <v>806</v>
      </c>
      <c r="I202" s="2" t="s">
        <v>178</v>
      </c>
      <c r="J202" s="3">
        <v>44536</v>
      </c>
      <c r="K202" s="2">
        <v>38</v>
      </c>
      <c r="L202" s="2" t="s">
        <v>33</v>
      </c>
    </row>
    <row r="203" spans="1:12" x14ac:dyDescent="0.3">
      <c r="A203" s="2">
        <v>192</v>
      </c>
      <c r="B203" s="2" t="s">
        <v>807</v>
      </c>
      <c r="C203" s="2" t="s">
        <v>808</v>
      </c>
      <c r="D203" s="2" t="s">
        <v>117</v>
      </c>
      <c r="E203" s="2" t="s">
        <v>29</v>
      </c>
      <c r="F203" s="2">
        <v>60</v>
      </c>
      <c r="G203" s="2" t="s">
        <v>809</v>
      </c>
      <c r="H203" s="2" t="s">
        <v>810</v>
      </c>
      <c r="I203" s="2" t="s">
        <v>32</v>
      </c>
      <c r="J203" s="3">
        <v>44565</v>
      </c>
      <c r="K203" s="2">
        <v>10</v>
      </c>
      <c r="L203" s="2" t="s">
        <v>70</v>
      </c>
    </row>
    <row r="204" spans="1:12" x14ac:dyDescent="0.3">
      <c r="A204" s="2">
        <v>193</v>
      </c>
      <c r="B204" s="2" t="s">
        <v>811</v>
      </c>
      <c r="C204" s="2" t="s">
        <v>812</v>
      </c>
      <c r="D204" s="2" t="s">
        <v>28</v>
      </c>
      <c r="E204" s="2" t="s">
        <v>29</v>
      </c>
      <c r="F204" s="2">
        <v>30</v>
      </c>
      <c r="G204" s="2" t="s">
        <v>813</v>
      </c>
      <c r="H204" s="2" t="s">
        <v>814</v>
      </c>
      <c r="I204" s="2" t="s">
        <v>124</v>
      </c>
      <c r="J204" s="3">
        <v>44494</v>
      </c>
      <c r="K204" s="2">
        <v>72</v>
      </c>
      <c r="L204" s="2" t="s">
        <v>54</v>
      </c>
    </row>
    <row r="205" spans="1:12" x14ac:dyDescent="0.3">
      <c r="A205" s="2">
        <v>194</v>
      </c>
      <c r="B205" s="2" t="s">
        <v>815</v>
      </c>
      <c r="C205" s="2" t="s">
        <v>816</v>
      </c>
      <c r="D205" s="2" t="s">
        <v>15</v>
      </c>
      <c r="E205" s="2" t="s">
        <v>16</v>
      </c>
      <c r="F205" s="2">
        <v>60</v>
      </c>
      <c r="G205" s="2" t="s">
        <v>817</v>
      </c>
      <c r="H205" s="2" t="s">
        <v>818</v>
      </c>
      <c r="I205" s="2" t="s">
        <v>819</v>
      </c>
      <c r="J205" s="3">
        <v>44531</v>
      </c>
      <c r="K205" s="2">
        <v>69</v>
      </c>
      <c r="L205" s="2" t="s">
        <v>159</v>
      </c>
    </row>
    <row r="206" spans="1:12" x14ac:dyDescent="0.3">
      <c r="A206" s="2">
        <v>195</v>
      </c>
      <c r="B206" s="2" t="s">
        <v>820</v>
      </c>
      <c r="C206" s="2" t="s">
        <v>821</v>
      </c>
      <c r="D206" s="2" t="s">
        <v>28</v>
      </c>
      <c r="E206" s="2" t="s">
        <v>29</v>
      </c>
      <c r="F206" s="2">
        <v>90</v>
      </c>
      <c r="G206" s="2" t="s">
        <v>822</v>
      </c>
      <c r="H206" s="2" t="s">
        <v>823</v>
      </c>
      <c r="I206" s="2" t="s">
        <v>187</v>
      </c>
      <c r="J206" s="3">
        <v>44584</v>
      </c>
      <c r="K206" s="2">
        <v>80</v>
      </c>
      <c r="L206" s="2" t="s">
        <v>39</v>
      </c>
    </row>
    <row r="207" spans="1:12" x14ac:dyDescent="0.3">
      <c r="A207" s="2">
        <v>196</v>
      </c>
      <c r="B207" s="2" t="s">
        <v>824</v>
      </c>
      <c r="C207" s="2" t="s">
        <v>825</v>
      </c>
      <c r="D207" s="2" t="s">
        <v>28</v>
      </c>
      <c r="E207" s="2" t="s">
        <v>29</v>
      </c>
      <c r="F207" s="2">
        <v>30</v>
      </c>
      <c r="G207" s="2" t="s">
        <v>826</v>
      </c>
      <c r="H207" s="2" t="s">
        <v>827</v>
      </c>
      <c r="I207" s="2" t="s">
        <v>124</v>
      </c>
      <c r="J207" s="3">
        <v>44352</v>
      </c>
      <c r="K207" s="2">
        <v>80</v>
      </c>
      <c r="L207" s="2" t="s">
        <v>159</v>
      </c>
    </row>
    <row r="208" spans="1:12" x14ac:dyDescent="0.3">
      <c r="A208" s="2">
        <v>197</v>
      </c>
      <c r="B208" s="2" t="s">
        <v>831</v>
      </c>
      <c r="C208" s="2" t="s">
        <v>832</v>
      </c>
      <c r="D208" s="2" t="s">
        <v>28</v>
      </c>
      <c r="E208" s="2" t="s">
        <v>29</v>
      </c>
      <c r="F208" s="2">
        <v>30</v>
      </c>
      <c r="G208" s="2" t="s">
        <v>833</v>
      </c>
      <c r="H208" s="2" t="s">
        <v>834</v>
      </c>
      <c r="I208" s="2" t="s">
        <v>32</v>
      </c>
      <c r="J208" s="3">
        <v>44823</v>
      </c>
      <c r="K208" s="2">
        <v>50</v>
      </c>
      <c r="L208" s="2" t="s">
        <v>45</v>
      </c>
    </row>
    <row r="209" spans="1:12" x14ac:dyDescent="0.3">
      <c r="A209" s="2">
        <v>198</v>
      </c>
      <c r="B209" s="2" t="s">
        <v>835</v>
      </c>
      <c r="C209" s="2" t="s">
        <v>836</v>
      </c>
      <c r="D209" s="2" t="s">
        <v>51</v>
      </c>
      <c r="E209" s="2" t="s">
        <v>16</v>
      </c>
      <c r="F209" s="2">
        <v>60</v>
      </c>
      <c r="G209" s="2" t="s">
        <v>837</v>
      </c>
      <c r="H209" s="2" t="s">
        <v>838</v>
      </c>
      <c r="I209" s="2" t="s">
        <v>839</v>
      </c>
      <c r="J209" s="3">
        <v>44065</v>
      </c>
      <c r="K209" s="2">
        <v>19</v>
      </c>
      <c r="L209" s="2" t="s">
        <v>20</v>
      </c>
    </row>
    <row r="210" spans="1:12" x14ac:dyDescent="0.3">
      <c r="A210" s="2">
        <v>199</v>
      </c>
      <c r="B210" s="2" t="s">
        <v>840</v>
      </c>
      <c r="C210" s="2" t="s">
        <v>841</v>
      </c>
      <c r="D210" s="2" t="s">
        <v>28</v>
      </c>
      <c r="E210" s="2" t="s">
        <v>29</v>
      </c>
      <c r="F210" s="2">
        <v>30</v>
      </c>
      <c r="G210" s="2" t="s">
        <v>837</v>
      </c>
      <c r="H210" s="2" t="s">
        <v>842</v>
      </c>
      <c r="I210" s="2" t="s">
        <v>32</v>
      </c>
      <c r="J210" s="3">
        <v>44261</v>
      </c>
      <c r="K210" s="2">
        <v>46</v>
      </c>
      <c r="L210" s="2" t="s">
        <v>54</v>
      </c>
    </row>
    <row r="211" spans="1:12" x14ac:dyDescent="0.3">
      <c r="A211" s="2">
        <v>200</v>
      </c>
      <c r="B211" s="2" t="s">
        <v>843</v>
      </c>
      <c r="C211" s="2" t="s">
        <v>844</v>
      </c>
      <c r="D211" s="2" t="s">
        <v>51</v>
      </c>
      <c r="E211" s="2" t="s">
        <v>16</v>
      </c>
      <c r="F211" s="2">
        <v>90</v>
      </c>
      <c r="G211" s="2" t="s">
        <v>845</v>
      </c>
      <c r="H211" s="2" t="s">
        <v>447</v>
      </c>
      <c r="I211" s="2" t="s">
        <v>32</v>
      </c>
      <c r="J211" s="3">
        <v>44524</v>
      </c>
      <c r="K211" s="2">
        <v>74</v>
      </c>
      <c r="L211" s="2" t="s">
        <v>20</v>
      </c>
    </row>
    <row r="212" spans="1:12" x14ac:dyDescent="0.3">
      <c r="A212" s="2">
        <v>201</v>
      </c>
      <c r="B212" s="2" t="s">
        <v>846</v>
      </c>
      <c r="C212" s="2" t="s">
        <v>847</v>
      </c>
      <c r="D212" s="2" t="s">
        <v>28</v>
      </c>
      <c r="E212" s="2" t="s">
        <v>29</v>
      </c>
      <c r="F212" s="2">
        <v>60</v>
      </c>
      <c r="G212" s="2" t="s">
        <v>848</v>
      </c>
      <c r="H212" s="2" t="s">
        <v>849</v>
      </c>
      <c r="I212" s="2" t="s">
        <v>124</v>
      </c>
      <c r="J212" s="3">
        <v>43844</v>
      </c>
      <c r="K212" s="2">
        <v>17</v>
      </c>
      <c r="L212" s="2" t="s">
        <v>33</v>
      </c>
    </row>
    <row r="213" spans="1:12" x14ac:dyDescent="0.3">
      <c r="A213" s="2">
        <v>202</v>
      </c>
      <c r="B213" s="2" t="s">
        <v>850</v>
      </c>
      <c r="C213" s="2" t="s">
        <v>851</v>
      </c>
      <c r="D213" s="2" t="s">
        <v>15</v>
      </c>
      <c r="E213" s="2" t="s">
        <v>16</v>
      </c>
      <c r="F213" s="2">
        <v>60</v>
      </c>
      <c r="G213" s="2" t="s">
        <v>852</v>
      </c>
      <c r="H213" s="2" t="s">
        <v>853</v>
      </c>
      <c r="I213" s="2" t="s">
        <v>32</v>
      </c>
      <c r="J213" s="3">
        <v>44758</v>
      </c>
      <c r="K213" s="2">
        <v>8</v>
      </c>
      <c r="L213" s="2" t="s">
        <v>33</v>
      </c>
    </row>
    <row r="214" spans="1:12" x14ac:dyDescent="0.3">
      <c r="A214" s="2">
        <v>203</v>
      </c>
      <c r="B214" s="2" t="s">
        <v>854</v>
      </c>
      <c r="C214" s="2" t="s">
        <v>855</v>
      </c>
      <c r="D214" s="2" t="s">
        <v>51</v>
      </c>
      <c r="E214" s="2" t="s">
        <v>16</v>
      </c>
      <c r="F214" s="2">
        <v>60</v>
      </c>
      <c r="G214" s="2" t="s">
        <v>856</v>
      </c>
      <c r="H214" s="2" t="s">
        <v>702</v>
      </c>
      <c r="I214" s="2" t="s">
        <v>703</v>
      </c>
      <c r="J214" s="3">
        <v>44813</v>
      </c>
      <c r="K214" s="2">
        <v>4</v>
      </c>
      <c r="L214" s="2" t="s">
        <v>159</v>
      </c>
    </row>
    <row r="215" spans="1:12" x14ac:dyDescent="0.3">
      <c r="A215" s="2">
        <v>204</v>
      </c>
      <c r="B215" s="2" t="s">
        <v>857</v>
      </c>
      <c r="C215" s="2" t="s">
        <v>858</v>
      </c>
      <c r="D215" s="2" t="s">
        <v>51</v>
      </c>
      <c r="E215" s="2" t="s">
        <v>16</v>
      </c>
      <c r="F215" s="2">
        <v>30</v>
      </c>
      <c r="G215" s="2" t="s">
        <v>859</v>
      </c>
      <c r="H215" s="2" t="s">
        <v>860</v>
      </c>
      <c r="I215" s="2" t="s">
        <v>861</v>
      </c>
      <c r="J215" s="3">
        <v>44397</v>
      </c>
      <c r="K215" s="2">
        <v>35</v>
      </c>
      <c r="L215" s="2" t="s">
        <v>64</v>
      </c>
    </row>
    <row r="216" spans="1:12" x14ac:dyDescent="0.3">
      <c r="A216" s="2">
        <v>205</v>
      </c>
      <c r="B216" s="2" t="s">
        <v>862</v>
      </c>
      <c r="C216" s="2" t="s">
        <v>653</v>
      </c>
      <c r="D216" s="2" t="s">
        <v>15</v>
      </c>
      <c r="E216" s="2" t="s">
        <v>16</v>
      </c>
      <c r="F216" s="2">
        <v>30</v>
      </c>
      <c r="G216" s="2" t="s">
        <v>863</v>
      </c>
      <c r="H216" s="2" t="s">
        <v>864</v>
      </c>
      <c r="I216" s="2" t="s">
        <v>19</v>
      </c>
      <c r="J216" s="3">
        <v>44175</v>
      </c>
      <c r="K216" s="2">
        <v>3</v>
      </c>
      <c r="L216" s="2" t="s">
        <v>70</v>
      </c>
    </row>
    <row r="217" spans="1:12" x14ac:dyDescent="0.3">
      <c r="A217" s="2">
        <v>206</v>
      </c>
      <c r="B217" s="2" t="s">
        <v>865</v>
      </c>
      <c r="C217" s="2" t="s">
        <v>866</v>
      </c>
      <c r="D217" s="2" t="s">
        <v>28</v>
      </c>
      <c r="E217" s="2" t="s">
        <v>29</v>
      </c>
      <c r="F217" s="2">
        <v>90</v>
      </c>
      <c r="G217" s="2" t="s">
        <v>867</v>
      </c>
      <c r="H217" s="2" t="s">
        <v>868</v>
      </c>
      <c r="I217" s="2" t="s">
        <v>32</v>
      </c>
      <c r="J217" s="3">
        <v>44462</v>
      </c>
      <c r="K217" s="2">
        <v>87</v>
      </c>
      <c r="L217" s="2" t="s">
        <v>20</v>
      </c>
    </row>
    <row r="218" spans="1:12" x14ac:dyDescent="0.3">
      <c r="A218" s="2">
        <v>207</v>
      </c>
      <c r="B218" s="2" t="s">
        <v>869</v>
      </c>
      <c r="C218" s="2" t="s">
        <v>870</v>
      </c>
      <c r="D218" s="2" t="s">
        <v>28</v>
      </c>
      <c r="E218" s="2" t="s">
        <v>29</v>
      </c>
      <c r="F218" s="2">
        <v>60</v>
      </c>
      <c r="G218" s="2" t="s">
        <v>871</v>
      </c>
      <c r="H218" s="2" t="s">
        <v>466</v>
      </c>
      <c r="I218" s="2" t="s">
        <v>187</v>
      </c>
      <c r="J218" s="3">
        <v>44518</v>
      </c>
      <c r="K218" s="2">
        <v>42</v>
      </c>
      <c r="L218" s="2" t="s">
        <v>33</v>
      </c>
    </row>
    <row r="219" spans="1:12" x14ac:dyDescent="0.3">
      <c r="A219" s="2">
        <v>208</v>
      </c>
      <c r="B219" s="2" t="s">
        <v>872</v>
      </c>
      <c r="C219" s="2" t="s">
        <v>873</v>
      </c>
      <c r="D219" s="2" t="s">
        <v>28</v>
      </c>
      <c r="E219" s="2" t="s">
        <v>29</v>
      </c>
      <c r="F219" s="2">
        <v>60</v>
      </c>
      <c r="G219" s="2" t="s">
        <v>874</v>
      </c>
      <c r="H219" s="2" t="s">
        <v>875</v>
      </c>
      <c r="I219" s="2" t="s">
        <v>187</v>
      </c>
      <c r="J219" s="3">
        <v>44819</v>
      </c>
      <c r="K219" s="2">
        <v>93</v>
      </c>
      <c r="L219" s="2" t="s">
        <v>159</v>
      </c>
    </row>
    <row r="220" spans="1:12" x14ac:dyDescent="0.3">
      <c r="A220" s="2">
        <v>209</v>
      </c>
      <c r="B220" s="2" t="s">
        <v>782</v>
      </c>
      <c r="C220" s="2" t="s">
        <v>441</v>
      </c>
      <c r="D220" s="2" t="s">
        <v>51</v>
      </c>
      <c r="E220" s="2" t="s">
        <v>16</v>
      </c>
      <c r="F220" s="2">
        <v>60</v>
      </c>
      <c r="G220" s="2" t="s">
        <v>876</v>
      </c>
      <c r="H220" s="2" t="s">
        <v>877</v>
      </c>
      <c r="I220" s="2" t="s">
        <v>32</v>
      </c>
      <c r="J220" s="3">
        <v>44651</v>
      </c>
      <c r="K220" s="2">
        <v>100</v>
      </c>
      <c r="L220" s="2" t="s">
        <v>45</v>
      </c>
    </row>
    <row r="221" spans="1:12" x14ac:dyDescent="0.3">
      <c r="A221" s="2">
        <v>210</v>
      </c>
      <c r="B221" s="2" t="s">
        <v>878</v>
      </c>
      <c r="C221" s="2" t="s">
        <v>879</v>
      </c>
      <c r="D221" s="2" t="s">
        <v>28</v>
      </c>
      <c r="E221" s="2" t="s">
        <v>29</v>
      </c>
      <c r="F221" s="2">
        <v>30</v>
      </c>
      <c r="G221" s="2" t="s">
        <v>880</v>
      </c>
      <c r="H221" s="2" t="s">
        <v>881</v>
      </c>
      <c r="I221" s="2" t="s">
        <v>178</v>
      </c>
      <c r="J221" s="3">
        <v>44382</v>
      </c>
      <c r="K221" s="2">
        <v>42</v>
      </c>
      <c r="L221" s="2" t="s">
        <v>39</v>
      </c>
    </row>
    <row r="222" spans="1:12" x14ac:dyDescent="0.3">
      <c r="A222" s="2">
        <v>211</v>
      </c>
      <c r="B222" s="2" t="s">
        <v>882</v>
      </c>
      <c r="C222" s="2" t="s">
        <v>883</v>
      </c>
      <c r="D222" s="2" t="s">
        <v>28</v>
      </c>
      <c r="E222" s="2" t="s">
        <v>29</v>
      </c>
      <c r="F222" s="2">
        <v>90</v>
      </c>
      <c r="G222" s="2" t="s">
        <v>884</v>
      </c>
      <c r="H222" s="2" t="s">
        <v>885</v>
      </c>
      <c r="I222" s="2" t="s">
        <v>886</v>
      </c>
      <c r="J222" s="3">
        <v>44582</v>
      </c>
      <c r="K222" s="2">
        <v>92</v>
      </c>
      <c r="L222" s="2" t="s">
        <v>64</v>
      </c>
    </row>
    <row r="223" spans="1:12" x14ac:dyDescent="0.3">
      <c r="A223" s="2">
        <v>212</v>
      </c>
      <c r="B223" s="2" t="s">
        <v>887</v>
      </c>
      <c r="C223" s="2" t="s">
        <v>888</v>
      </c>
      <c r="D223" s="2" t="s">
        <v>28</v>
      </c>
      <c r="E223" s="2" t="s">
        <v>29</v>
      </c>
      <c r="F223" s="2">
        <v>60</v>
      </c>
      <c r="G223" s="2" t="s">
        <v>889</v>
      </c>
      <c r="H223" s="2" t="s">
        <v>890</v>
      </c>
      <c r="I223" s="2" t="s">
        <v>178</v>
      </c>
      <c r="J223" s="3">
        <v>44653</v>
      </c>
      <c r="K223" s="2">
        <v>100</v>
      </c>
      <c r="L223" s="2" t="s">
        <v>45</v>
      </c>
    </row>
    <row r="224" spans="1:12" x14ac:dyDescent="0.3">
      <c r="A224" s="2">
        <v>213</v>
      </c>
      <c r="B224" s="2" t="s">
        <v>891</v>
      </c>
      <c r="C224" s="2" t="s">
        <v>892</v>
      </c>
      <c r="D224" s="2" t="s">
        <v>28</v>
      </c>
      <c r="E224" s="2" t="s">
        <v>29</v>
      </c>
      <c r="F224" s="2">
        <v>90</v>
      </c>
      <c r="G224" s="2" t="s">
        <v>893</v>
      </c>
      <c r="H224" s="2" t="s">
        <v>894</v>
      </c>
      <c r="I224" s="2" t="s">
        <v>38</v>
      </c>
      <c r="J224" s="3">
        <v>44542</v>
      </c>
      <c r="K224" s="2">
        <v>16</v>
      </c>
      <c r="L224" s="2" t="s">
        <v>54</v>
      </c>
    </row>
    <row r="225" spans="1:12" x14ac:dyDescent="0.3">
      <c r="A225" s="2">
        <v>214</v>
      </c>
      <c r="B225" s="2" t="s">
        <v>895</v>
      </c>
      <c r="C225" s="2" t="s">
        <v>896</v>
      </c>
      <c r="D225" s="2" t="s">
        <v>51</v>
      </c>
      <c r="E225" s="2" t="s">
        <v>16</v>
      </c>
      <c r="F225" s="2">
        <v>30</v>
      </c>
      <c r="G225" s="2" t="s">
        <v>897</v>
      </c>
      <c r="H225" s="2" t="s">
        <v>898</v>
      </c>
      <c r="I225" s="2" t="s">
        <v>32</v>
      </c>
      <c r="J225" s="3">
        <v>44507</v>
      </c>
      <c r="K225" s="2">
        <v>24</v>
      </c>
      <c r="L225" s="2" t="s">
        <v>101</v>
      </c>
    </row>
    <row r="226" spans="1:12" x14ac:dyDescent="0.3">
      <c r="A226" s="2">
        <v>215</v>
      </c>
      <c r="B226" s="2" t="s">
        <v>899</v>
      </c>
      <c r="C226" s="2" t="s">
        <v>644</v>
      </c>
      <c r="D226" s="2" t="s">
        <v>28</v>
      </c>
      <c r="E226" s="2" t="s">
        <v>29</v>
      </c>
      <c r="F226" s="2">
        <v>30</v>
      </c>
      <c r="G226" s="2" t="s">
        <v>900</v>
      </c>
      <c r="H226" s="2" t="s">
        <v>901</v>
      </c>
      <c r="I226" s="2" t="s">
        <v>146</v>
      </c>
      <c r="J226" s="3">
        <v>44726</v>
      </c>
      <c r="K226" s="2">
        <v>25</v>
      </c>
      <c r="L226" s="2" t="s">
        <v>80</v>
      </c>
    </row>
    <row r="227" spans="1:12" x14ac:dyDescent="0.3">
      <c r="A227" s="2">
        <v>216</v>
      </c>
      <c r="B227" s="2" t="s">
        <v>188</v>
      </c>
      <c r="C227" s="2" t="s">
        <v>902</v>
      </c>
      <c r="D227" s="2" t="s">
        <v>117</v>
      </c>
      <c r="E227" s="2" t="s">
        <v>29</v>
      </c>
      <c r="F227" s="2">
        <v>90</v>
      </c>
      <c r="G227" s="2" t="s">
        <v>903</v>
      </c>
      <c r="H227" s="2" t="s">
        <v>904</v>
      </c>
      <c r="I227" s="2" t="s">
        <v>32</v>
      </c>
      <c r="J227" s="3">
        <v>44517</v>
      </c>
      <c r="K227" s="2">
        <v>4</v>
      </c>
      <c r="L227" s="2" t="s">
        <v>80</v>
      </c>
    </row>
    <row r="228" spans="1:12" x14ac:dyDescent="0.3">
      <c r="A228" s="2">
        <v>217</v>
      </c>
      <c r="B228" s="2" t="s">
        <v>905</v>
      </c>
      <c r="C228" s="2" t="s">
        <v>906</v>
      </c>
      <c r="D228" s="2" t="s">
        <v>28</v>
      </c>
      <c r="E228" s="2" t="s">
        <v>29</v>
      </c>
      <c r="F228" s="2">
        <v>60</v>
      </c>
      <c r="G228" s="2" t="s">
        <v>907</v>
      </c>
      <c r="H228" s="2" t="s">
        <v>908</v>
      </c>
      <c r="I228" s="2" t="s">
        <v>575</v>
      </c>
      <c r="J228" s="3">
        <v>44728</v>
      </c>
      <c r="K228" s="2">
        <v>103</v>
      </c>
      <c r="L228" s="2" t="s">
        <v>39</v>
      </c>
    </row>
    <row r="229" spans="1:12" x14ac:dyDescent="0.3">
      <c r="A229" s="2">
        <v>218</v>
      </c>
      <c r="B229" s="2" t="s">
        <v>909</v>
      </c>
      <c r="C229" s="2" t="s">
        <v>910</v>
      </c>
      <c r="D229" s="2" t="s">
        <v>51</v>
      </c>
      <c r="E229" s="2" t="s">
        <v>16</v>
      </c>
      <c r="F229" s="2">
        <v>30</v>
      </c>
      <c r="G229" s="2" t="s">
        <v>911</v>
      </c>
      <c r="H229" s="2" t="s">
        <v>912</v>
      </c>
      <c r="I229" s="2" t="s">
        <v>913</v>
      </c>
      <c r="J229" s="3">
        <v>44334</v>
      </c>
      <c r="K229" s="2">
        <v>28</v>
      </c>
      <c r="L229" s="2" t="s">
        <v>39</v>
      </c>
    </row>
    <row r="230" spans="1:12" x14ac:dyDescent="0.3">
      <c r="A230" s="2">
        <v>219</v>
      </c>
      <c r="B230" s="2" t="s">
        <v>914</v>
      </c>
      <c r="C230" s="2" t="s">
        <v>915</v>
      </c>
      <c r="D230" s="2" t="s">
        <v>28</v>
      </c>
      <c r="E230" s="2" t="s">
        <v>29</v>
      </c>
      <c r="F230" s="2">
        <v>30</v>
      </c>
      <c r="G230" s="2" t="s">
        <v>916</v>
      </c>
      <c r="H230" s="2" t="s">
        <v>917</v>
      </c>
      <c r="I230" s="2" t="s">
        <v>32</v>
      </c>
      <c r="J230" s="3">
        <v>44802</v>
      </c>
      <c r="K230" s="2">
        <v>14</v>
      </c>
      <c r="L230" s="2" t="s">
        <v>70</v>
      </c>
    </row>
    <row r="231" spans="1:12" x14ac:dyDescent="0.3">
      <c r="A231" s="2">
        <v>220</v>
      </c>
      <c r="B231" s="2" t="s">
        <v>918</v>
      </c>
      <c r="C231" s="2" t="s">
        <v>189</v>
      </c>
      <c r="D231" s="2" t="s">
        <v>15</v>
      </c>
      <c r="E231" s="2" t="s">
        <v>16</v>
      </c>
      <c r="F231" s="2">
        <v>30</v>
      </c>
      <c r="G231" s="2" t="s">
        <v>919</v>
      </c>
      <c r="H231" s="2" t="s">
        <v>920</v>
      </c>
      <c r="I231" s="2" t="s">
        <v>178</v>
      </c>
      <c r="J231" s="3">
        <v>44544</v>
      </c>
      <c r="K231" s="2">
        <v>54</v>
      </c>
      <c r="L231" s="2" t="s">
        <v>45</v>
      </c>
    </row>
    <row r="232" spans="1:12" x14ac:dyDescent="0.3">
      <c r="A232" s="2">
        <v>221</v>
      </c>
      <c r="B232" s="2" t="s">
        <v>921</v>
      </c>
      <c r="C232" s="2" t="s">
        <v>922</v>
      </c>
      <c r="D232" s="2" t="s">
        <v>28</v>
      </c>
      <c r="E232" s="2" t="s">
        <v>29</v>
      </c>
      <c r="F232" s="2">
        <v>30</v>
      </c>
      <c r="G232" s="2" t="s">
        <v>923</v>
      </c>
      <c r="H232" s="2" t="s">
        <v>924</v>
      </c>
      <c r="I232" s="2" t="s">
        <v>32</v>
      </c>
      <c r="J232" s="3">
        <v>44815</v>
      </c>
      <c r="K232" s="2">
        <v>68</v>
      </c>
      <c r="L232" s="2" t="s">
        <v>64</v>
      </c>
    </row>
    <row r="233" spans="1:12" x14ac:dyDescent="0.3">
      <c r="A233" s="2">
        <v>222</v>
      </c>
      <c r="B233" s="2" t="s">
        <v>452</v>
      </c>
      <c r="C233" s="2" t="s">
        <v>925</v>
      </c>
      <c r="D233" s="2" t="s">
        <v>28</v>
      </c>
      <c r="E233" s="2" t="s">
        <v>29</v>
      </c>
      <c r="F233" s="2">
        <v>60</v>
      </c>
      <c r="G233" s="2" t="s">
        <v>926</v>
      </c>
      <c r="H233" s="2" t="s">
        <v>927</v>
      </c>
      <c r="I233" s="2" t="s">
        <v>129</v>
      </c>
      <c r="J233" s="3">
        <v>44158</v>
      </c>
      <c r="K233" s="2">
        <v>9</v>
      </c>
      <c r="L233" s="2" t="s">
        <v>101</v>
      </c>
    </row>
    <row r="234" spans="1:12" x14ac:dyDescent="0.3">
      <c r="A234" s="2">
        <v>223</v>
      </c>
      <c r="B234" s="2" t="s">
        <v>928</v>
      </c>
      <c r="C234" s="2" t="s">
        <v>929</v>
      </c>
      <c r="D234" s="2" t="s">
        <v>28</v>
      </c>
      <c r="E234" s="2" t="s">
        <v>29</v>
      </c>
      <c r="F234" s="2">
        <v>30</v>
      </c>
      <c r="G234" s="2" t="s">
        <v>930</v>
      </c>
      <c r="H234" s="2" t="s">
        <v>742</v>
      </c>
      <c r="I234" s="2" t="s">
        <v>124</v>
      </c>
      <c r="J234" s="3">
        <v>44897</v>
      </c>
      <c r="K234" s="2">
        <v>46</v>
      </c>
      <c r="L234" s="2" t="s">
        <v>70</v>
      </c>
    </row>
    <row r="235" spans="1:12" x14ac:dyDescent="0.3">
      <c r="A235" s="2">
        <v>224</v>
      </c>
      <c r="B235" s="2" t="s">
        <v>492</v>
      </c>
      <c r="C235" s="2" t="s">
        <v>931</v>
      </c>
      <c r="D235" s="2" t="s">
        <v>28</v>
      </c>
      <c r="E235" s="2" t="s">
        <v>29</v>
      </c>
      <c r="F235" s="2">
        <v>60</v>
      </c>
      <c r="G235" s="2" t="s">
        <v>932</v>
      </c>
      <c r="H235" s="2" t="s">
        <v>933</v>
      </c>
      <c r="I235" s="2" t="s">
        <v>934</v>
      </c>
      <c r="J235" s="3">
        <v>44214</v>
      </c>
      <c r="K235" s="2">
        <v>53</v>
      </c>
      <c r="L235" s="2" t="s">
        <v>20</v>
      </c>
    </row>
    <row r="236" spans="1:12" x14ac:dyDescent="0.3">
      <c r="A236" s="2">
        <v>225</v>
      </c>
      <c r="B236" s="2" t="s">
        <v>935</v>
      </c>
      <c r="C236" s="2" t="s">
        <v>936</v>
      </c>
      <c r="D236" s="2" t="s">
        <v>28</v>
      </c>
      <c r="E236" s="2" t="s">
        <v>29</v>
      </c>
      <c r="F236" s="2">
        <v>30</v>
      </c>
      <c r="G236" s="2" t="s">
        <v>937</v>
      </c>
      <c r="H236" s="2" t="s">
        <v>938</v>
      </c>
      <c r="I236" s="2" t="s">
        <v>25</v>
      </c>
      <c r="J236" s="3">
        <v>43959</v>
      </c>
      <c r="K236" s="2">
        <v>20</v>
      </c>
      <c r="L236" s="2" t="s">
        <v>70</v>
      </c>
    </row>
    <row r="237" spans="1:12" x14ac:dyDescent="0.3">
      <c r="A237" s="2">
        <v>226</v>
      </c>
      <c r="B237" s="2" t="s">
        <v>939</v>
      </c>
      <c r="C237" s="2" t="s">
        <v>940</v>
      </c>
      <c r="D237" s="2" t="s">
        <v>15</v>
      </c>
      <c r="E237" s="2" t="s">
        <v>16</v>
      </c>
      <c r="F237" s="2">
        <v>30</v>
      </c>
      <c r="G237" s="2" t="s">
        <v>941</v>
      </c>
      <c r="H237" s="2" t="s">
        <v>942</v>
      </c>
      <c r="I237" s="2" t="s">
        <v>32</v>
      </c>
      <c r="J237" s="3">
        <v>44635</v>
      </c>
      <c r="K237" s="2">
        <v>55</v>
      </c>
      <c r="L237" s="2" t="s">
        <v>64</v>
      </c>
    </row>
    <row r="238" spans="1:12" x14ac:dyDescent="0.3">
      <c r="A238" s="2">
        <v>227</v>
      </c>
      <c r="B238" s="2" t="s">
        <v>943</v>
      </c>
      <c r="C238" s="2" t="s">
        <v>944</v>
      </c>
      <c r="D238" s="2" t="s">
        <v>92</v>
      </c>
      <c r="E238" s="2" t="s">
        <v>29</v>
      </c>
      <c r="F238" s="2">
        <v>30</v>
      </c>
      <c r="G238" s="2" t="s">
        <v>945</v>
      </c>
      <c r="H238" s="2" t="s">
        <v>946</v>
      </c>
      <c r="I238" s="2" t="s">
        <v>947</v>
      </c>
      <c r="J238" s="3">
        <v>44299</v>
      </c>
      <c r="K238" s="2">
        <v>86</v>
      </c>
      <c r="L238" s="2" t="s">
        <v>33</v>
      </c>
    </row>
    <row r="239" spans="1:12" x14ac:dyDescent="0.3">
      <c r="A239" s="2">
        <v>228</v>
      </c>
      <c r="B239" s="2" t="s">
        <v>948</v>
      </c>
      <c r="C239" s="2" t="s">
        <v>949</v>
      </c>
      <c r="D239" s="2" t="s">
        <v>28</v>
      </c>
      <c r="E239" s="2" t="s">
        <v>29</v>
      </c>
      <c r="F239" s="2">
        <v>60</v>
      </c>
      <c r="G239" s="2" t="s">
        <v>950</v>
      </c>
      <c r="H239" s="2" t="s">
        <v>951</v>
      </c>
      <c r="I239" s="2" t="s">
        <v>95</v>
      </c>
      <c r="J239" s="3">
        <v>44219</v>
      </c>
      <c r="K239" s="2">
        <v>70</v>
      </c>
      <c r="L239" s="2" t="s">
        <v>45</v>
      </c>
    </row>
    <row r="240" spans="1:12" x14ac:dyDescent="0.3">
      <c r="A240" s="2">
        <v>229</v>
      </c>
      <c r="B240" s="2" t="s">
        <v>952</v>
      </c>
      <c r="C240" s="2" t="s">
        <v>953</v>
      </c>
      <c r="D240" s="2" t="s">
        <v>15</v>
      </c>
      <c r="E240" s="2" t="s">
        <v>16</v>
      </c>
      <c r="F240" s="2">
        <v>60</v>
      </c>
      <c r="G240" s="2" t="s">
        <v>954</v>
      </c>
      <c r="H240" s="2" t="s">
        <v>908</v>
      </c>
      <c r="I240" s="2" t="s">
        <v>575</v>
      </c>
      <c r="J240" s="3">
        <v>44836</v>
      </c>
      <c r="K240" s="2">
        <v>2</v>
      </c>
      <c r="L240" s="2" t="s">
        <v>80</v>
      </c>
    </row>
    <row r="241" spans="1:12" x14ac:dyDescent="0.3">
      <c r="A241" s="2">
        <v>230</v>
      </c>
      <c r="B241" s="2" t="s">
        <v>68</v>
      </c>
      <c r="C241" s="2" t="s">
        <v>955</v>
      </c>
      <c r="D241" s="2" t="s">
        <v>51</v>
      </c>
      <c r="E241" s="2" t="s">
        <v>16</v>
      </c>
      <c r="F241" s="2">
        <v>90</v>
      </c>
      <c r="G241" s="2" t="s">
        <v>956</v>
      </c>
      <c r="H241" s="2" t="s">
        <v>957</v>
      </c>
      <c r="I241" s="2" t="s">
        <v>95</v>
      </c>
      <c r="J241" s="3">
        <v>44580</v>
      </c>
      <c r="K241" s="2">
        <v>99</v>
      </c>
      <c r="L241" s="2" t="s">
        <v>20</v>
      </c>
    </row>
    <row r="242" spans="1:12" x14ac:dyDescent="0.3">
      <c r="A242" s="2">
        <v>231</v>
      </c>
      <c r="B242" s="2" t="s">
        <v>958</v>
      </c>
      <c r="C242" s="2" t="s">
        <v>928</v>
      </c>
      <c r="D242" s="2" t="s">
        <v>15</v>
      </c>
      <c r="E242" s="2" t="s">
        <v>16</v>
      </c>
      <c r="F242" s="2">
        <v>90</v>
      </c>
      <c r="G242" s="2" t="s">
        <v>959</v>
      </c>
      <c r="H242" s="2" t="s">
        <v>408</v>
      </c>
      <c r="I242" s="2" t="s">
        <v>25</v>
      </c>
      <c r="J242" s="3">
        <v>44164</v>
      </c>
      <c r="K242" s="2">
        <v>30</v>
      </c>
      <c r="L242" s="2" t="s">
        <v>101</v>
      </c>
    </row>
    <row r="243" spans="1:12" x14ac:dyDescent="0.3">
      <c r="A243" s="2">
        <v>232</v>
      </c>
      <c r="B243" s="2" t="s">
        <v>960</v>
      </c>
      <c r="C243" s="2" t="s">
        <v>961</v>
      </c>
      <c r="D243" s="2" t="s">
        <v>28</v>
      </c>
      <c r="E243" s="2" t="s">
        <v>29</v>
      </c>
      <c r="F243" s="2">
        <v>60</v>
      </c>
      <c r="G243" s="2" t="s">
        <v>962</v>
      </c>
      <c r="H243" s="2" t="s">
        <v>963</v>
      </c>
      <c r="I243" s="2" t="s">
        <v>25</v>
      </c>
      <c r="J243" s="3">
        <v>44416</v>
      </c>
      <c r="K243" s="2">
        <v>89</v>
      </c>
      <c r="L243" s="2" t="s">
        <v>54</v>
      </c>
    </row>
    <row r="244" spans="1:12" x14ac:dyDescent="0.3">
      <c r="A244" s="2">
        <v>233</v>
      </c>
      <c r="B244" s="2" t="s">
        <v>964</v>
      </c>
      <c r="C244" s="2" t="s">
        <v>335</v>
      </c>
      <c r="D244" s="2" t="s">
        <v>28</v>
      </c>
      <c r="E244" s="2" t="s">
        <v>29</v>
      </c>
      <c r="F244" s="2">
        <v>60</v>
      </c>
      <c r="G244" s="2" t="s">
        <v>965</v>
      </c>
      <c r="H244" s="2" t="s">
        <v>966</v>
      </c>
      <c r="I244" s="2" t="s">
        <v>187</v>
      </c>
      <c r="J244" s="3">
        <v>44677</v>
      </c>
      <c r="K244" s="2">
        <v>80</v>
      </c>
      <c r="L244" s="2" t="s">
        <v>70</v>
      </c>
    </row>
    <row r="245" spans="1:12" x14ac:dyDescent="0.3">
      <c r="A245" s="2">
        <v>234</v>
      </c>
      <c r="B245" s="2" t="s">
        <v>967</v>
      </c>
      <c r="C245" s="2" t="s">
        <v>968</v>
      </c>
      <c r="D245" s="2" t="s">
        <v>51</v>
      </c>
      <c r="E245" s="2" t="s">
        <v>16</v>
      </c>
      <c r="F245" s="2">
        <v>30</v>
      </c>
      <c r="G245" s="2" t="s">
        <v>969</v>
      </c>
      <c r="H245" s="2" t="s">
        <v>970</v>
      </c>
      <c r="I245" s="2" t="s">
        <v>187</v>
      </c>
      <c r="J245" s="3">
        <v>44516</v>
      </c>
      <c r="K245" s="2">
        <v>42</v>
      </c>
      <c r="L245" s="2" t="s">
        <v>39</v>
      </c>
    </row>
    <row r="246" spans="1:12" x14ac:dyDescent="0.3">
      <c r="A246" s="2">
        <v>235</v>
      </c>
      <c r="B246" s="2" t="s">
        <v>971</v>
      </c>
      <c r="C246" s="2" t="s">
        <v>972</v>
      </c>
      <c r="D246" s="2" t="s">
        <v>51</v>
      </c>
      <c r="E246" s="2" t="s">
        <v>16</v>
      </c>
      <c r="F246" s="2">
        <v>60</v>
      </c>
      <c r="G246" s="2" t="s">
        <v>10416</v>
      </c>
      <c r="H246" s="2" t="s">
        <v>974</v>
      </c>
      <c r="I246" s="2" t="s">
        <v>32</v>
      </c>
      <c r="J246" s="3">
        <v>44063</v>
      </c>
      <c r="K246" s="2">
        <v>84</v>
      </c>
      <c r="L246" s="2" t="s">
        <v>80</v>
      </c>
    </row>
    <row r="247" spans="1:12" x14ac:dyDescent="0.3">
      <c r="A247" s="2">
        <v>236</v>
      </c>
      <c r="B247" s="2" t="s">
        <v>975</v>
      </c>
      <c r="C247" s="2" t="s">
        <v>976</v>
      </c>
      <c r="D247" s="2" t="s">
        <v>28</v>
      </c>
      <c r="E247" s="2" t="s">
        <v>29</v>
      </c>
      <c r="F247" s="2">
        <v>30</v>
      </c>
      <c r="G247" s="2" t="s">
        <v>977</v>
      </c>
      <c r="H247" s="2" t="s">
        <v>978</v>
      </c>
      <c r="I247" s="2" t="s">
        <v>294</v>
      </c>
      <c r="J247" s="3">
        <v>43923</v>
      </c>
      <c r="K247" s="2">
        <v>80</v>
      </c>
      <c r="L247" s="2" t="s">
        <v>70</v>
      </c>
    </row>
    <row r="248" spans="1:12" x14ac:dyDescent="0.3">
      <c r="A248" s="2">
        <v>237</v>
      </c>
      <c r="B248" s="2" t="s">
        <v>979</v>
      </c>
      <c r="C248" s="2" t="s">
        <v>940</v>
      </c>
      <c r="D248" s="2" t="s">
        <v>28</v>
      </c>
      <c r="E248" s="2" t="s">
        <v>29</v>
      </c>
      <c r="F248" s="2">
        <v>60</v>
      </c>
      <c r="G248" s="2" t="s">
        <v>980</v>
      </c>
      <c r="H248" s="2" t="s">
        <v>981</v>
      </c>
      <c r="I248" s="2" t="s">
        <v>32</v>
      </c>
      <c r="J248" s="3">
        <v>44609</v>
      </c>
      <c r="K248" s="2">
        <v>40</v>
      </c>
      <c r="L248" s="2" t="s">
        <v>39</v>
      </c>
    </row>
    <row r="249" spans="1:12" x14ac:dyDescent="0.3">
      <c r="A249" s="2">
        <v>238</v>
      </c>
      <c r="B249" s="2" t="s">
        <v>982</v>
      </c>
      <c r="C249" s="2" t="s">
        <v>983</v>
      </c>
      <c r="D249" s="2" t="s">
        <v>28</v>
      </c>
      <c r="E249" s="2" t="s">
        <v>29</v>
      </c>
      <c r="F249" s="2">
        <v>90</v>
      </c>
      <c r="G249" s="2" t="s">
        <v>984</v>
      </c>
      <c r="H249" s="2" t="s">
        <v>985</v>
      </c>
      <c r="I249" s="2" t="s">
        <v>38</v>
      </c>
      <c r="J249" s="3">
        <v>44093</v>
      </c>
      <c r="K249" s="2">
        <v>7</v>
      </c>
      <c r="L249" s="2" t="s">
        <v>39</v>
      </c>
    </row>
    <row r="250" spans="1:12" x14ac:dyDescent="0.3">
      <c r="A250" s="2">
        <v>239</v>
      </c>
      <c r="B250" s="2" t="s">
        <v>986</v>
      </c>
      <c r="C250" s="2" t="s">
        <v>987</v>
      </c>
      <c r="D250" s="2" t="s">
        <v>28</v>
      </c>
      <c r="E250" s="2" t="s">
        <v>29</v>
      </c>
      <c r="F250" s="2">
        <v>60</v>
      </c>
      <c r="G250" s="2" t="s">
        <v>988</v>
      </c>
      <c r="H250" s="2" t="s">
        <v>989</v>
      </c>
      <c r="I250" s="2" t="s">
        <v>124</v>
      </c>
      <c r="J250" s="3">
        <v>43846</v>
      </c>
      <c r="K250" s="2">
        <v>71</v>
      </c>
      <c r="L250" s="2" t="s">
        <v>20</v>
      </c>
    </row>
    <row r="251" spans="1:12" x14ac:dyDescent="0.3">
      <c r="A251" s="2">
        <v>240</v>
      </c>
      <c r="B251" s="2" t="s">
        <v>990</v>
      </c>
      <c r="C251" s="2" t="s">
        <v>991</v>
      </c>
      <c r="D251" s="2" t="s">
        <v>28</v>
      </c>
      <c r="E251" s="2" t="s">
        <v>29</v>
      </c>
      <c r="F251" s="2">
        <v>90</v>
      </c>
      <c r="G251" s="2" t="s">
        <v>992</v>
      </c>
      <c r="H251" s="2" t="s">
        <v>993</v>
      </c>
      <c r="I251" s="2" t="s">
        <v>32</v>
      </c>
      <c r="J251" s="3">
        <v>44272</v>
      </c>
      <c r="K251" s="2">
        <v>20</v>
      </c>
      <c r="L251" s="2" t="s">
        <v>20</v>
      </c>
    </row>
    <row r="252" spans="1:12" x14ac:dyDescent="0.3">
      <c r="A252" s="2">
        <v>241</v>
      </c>
      <c r="B252" s="2" t="s">
        <v>994</v>
      </c>
      <c r="C252" s="2" t="s">
        <v>995</v>
      </c>
      <c r="D252" s="2" t="s">
        <v>28</v>
      </c>
      <c r="E252" s="2" t="s">
        <v>29</v>
      </c>
      <c r="F252" s="2">
        <v>30</v>
      </c>
      <c r="G252" s="2" t="s">
        <v>996</v>
      </c>
      <c r="H252" s="2" t="s">
        <v>997</v>
      </c>
      <c r="I252" s="2" t="s">
        <v>110</v>
      </c>
      <c r="J252" s="3">
        <v>44826</v>
      </c>
      <c r="K252" s="2">
        <v>8</v>
      </c>
      <c r="L252" s="2" t="s">
        <v>20</v>
      </c>
    </row>
    <row r="253" spans="1:12" x14ac:dyDescent="0.3">
      <c r="A253" s="2">
        <v>242</v>
      </c>
      <c r="B253" s="2" t="s">
        <v>998</v>
      </c>
      <c r="C253" s="2" t="s">
        <v>999</v>
      </c>
      <c r="D253" s="2" t="s">
        <v>51</v>
      </c>
      <c r="E253" s="2" t="s">
        <v>16</v>
      </c>
      <c r="F253" s="2">
        <v>30</v>
      </c>
      <c r="G253" s="2" t="s">
        <v>1000</v>
      </c>
      <c r="H253" s="2" t="s">
        <v>1001</v>
      </c>
      <c r="I253" s="2" t="s">
        <v>32</v>
      </c>
      <c r="J253" s="3">
        <v>44450</v>
      </c>
      <c r="K253" s="2">
        <v>6</v>
      </c>
      <c r="L253" s="2" t="s">
        <v>64</v>
      </c>
    </row>
    <row r="254" spans="1:12" x14ac:dyDescent="0.3">
      <c r="A254" s="2">
        <v>243</v>
      </c>
      <c r="B254" s="2" t="s">
        <v>1002</v>
      </c>
      <c r="C254" s="2" t="s">
        <v>1003</v>
      </c>
      <c r="D254" s="2" t="s">
        <v>28</v>
      </c>
      <c r="E254" s="2" t="s">
        <v>29</v>
      </c>
      <c r="F254" s="2">
        <v>90</v>
      </c>
      <c r="G254" s="2" t="s">
        <v>1004</v>
      </c>
      <c r="H254" s="2" t="s">
        <v>1005</v>
      </c>
      <c r="I254" s="2" t="s">
        <v>178</v>
      </c>
      <c r="J254" s="3">
        <v>44108</v>
      </c>
      <c r="K254" s="2">
        <v>8</v>
      </c>
      <c r="L254" s="2" t="s">
        <v>54</v>
      </c>
    </row>
    <row r="255" spans="1:12" x14ac:dyDescent="0.3">
      <c r="A255" s="2">
        <v>244</v>
      </c>
      <c r="B255" s="2" t="s">
        <v>1006</v>
      </c>
      <c r="C255" s="2" t="s">
        <v>955</v>
      </c>
      <c r="D255" s="2" t="s">
        <v>41</v>
      </c>
      <c r="E255" s="2" t="s">
        <v>16</v>
      </c>
      <c r="F255" s="2">
        <v>90</v>
      </c>
      <c r="G255" s="2" t="s">
        <v>1007</v>
      </c>
      <c r="H255" s="2" t="s">
        <v>1008</v>
      </c>
      <c r="I255" s="2" t="s">
        <v>32</v>
      </c>
      <c r="J255" s="3">
        <v>44308</v>
      </c>
      <c r="K255" s="2">
        <v>32</v>
      </c>
      <c r="L255" s="2" t="s">
        <v>45</v>
      </c>
    </row>
    <row r="256" spans="1:12" x14ac:dyDescent="0.3">
      <c r="A256" s="2">
        <v>245</v>
      </c>
      <c r="B256" s="2" t="s">
        <v>1009</v>
      </c>
      <c r="C256" s="2" t="s">
        <v>1010</v>
      </c>
      <c r="D256" s="2" t="s">
        <v>28</v>
      </c>
      <c r="E256" s="2" t="s">
        <v>29</v>
      </c>
      <c r="F256" s="2">
        <v>90</v>
      </c>
      <c r="G256" s="2" t="s">
        <v>1007</v>
      </c>
      <c r="H256" s="2" t="s">
        <v>1011</v>
      </c>
      <c r="I256" s="2" t="s">
        <v>32</v>
      </c>
      <c r="J256" s="3">
        <v>44710</v>
      </c>
      <c r="K256" s="2">
        <v>85</v>
      </c>
      <c r="L256" s="2" t="s">
        <v>39</v>
      </c>
    </row>
    <row r="257" spans="1:12" x14ac:dyDescent="0.3">
      <c r="A257" s="2">
        <v>246</v>
      </c>
      <c r="B257" s="2" t="s">
        <v>1012</v>
      </c>
      <c r="C257" s="2" t="s">
        <v>1013</v>
      </c>
      <c r="D257" s="2" t="s">
        <v>15</v>
      </c>
      <c r="E257" s="2" t="s">
        <v>16</v>
      </c>
      <c r="F257" s="2">
        <v>60</v>
      </c>
      <c r="G257" s="2" t="s">
        <v>1014</v>
      </c>
      <c r="H257" s="2" t="s">
        <v>641</v>
      </c>
      <c r="I257" s="2" t="s">
        <v>294</v>
      </c>
      <c r="J257" s="3">
        <v>44838</v>
      </c>
      <c r="K257" s="2">
        <v>24</v>
      </c>
      <c r="L257" s="2" t="s">
        <v>54</v>
      </c>
    </row>
    <row r="258" spans="1:12" x14ac:dyDescent="0.3">
      <c r="A258" s="2">
        <v>247</v>
      </c>
      <c r="B258" s="2" t="s">
        <v>1015</v>
      </c>
      <c r="C258" s="2" t="s">
        <v>1016</v>
      </c>
      <c r="D258" s="2" t="s">
        <v>28</v>
      </c>
      <c r="E258" s="2" t="s">
        <v>29</v>
      </c>
      <c r="F258" s="2">
        <v>90</v>
      </c>
      <c r="G258" s="2" t="s">
        <v>1017</v>
      </c>
      <c r="H258" s="2" t="s">
        <v>1018</v>
      </c>
      <c r="I258" s="2" t="s">
        <v>294</v>
      </c>
      <c r="J258" s="3">
        <v>43929</v>
      </c>
      <c r="K258" s="2">
        <v>55</v>
      </c>
      <c r="L258" s="2" t="s">
        <v>80</v>
      </c>
    </row>
    <row r="259" spans="1:12" x14ac:dyDescent="0.3">
      <c r="A259" s="2">
        <v>248</v>
      </c>
      <c r="B259" s="2" t="s">
        <v>1019</v>
      </c>
      <c r="C259" s="2" t="s">
        <v>1020</v>
      </c>
      <c r="D259" s="2" t="s">
        <v>28</v>
      </c>
      <c r="E259" s="2" t="s">
        <v>29</v>
      </c>
      <c r="F259" s="2">
        <v>90</v>
      </c>
      <c r="G259" s="2" t="s">
        <v>1021</v>
      </c>
      <c r="H259" s="2" t="s">
        <v>1022</v>
      </c>
      <c r="I259" s="2" t="s">
        <v>164</v>
      </c>
      <c r="J259" s="3">
        <v>44887</v>
      </c>
      <c r="K259" s="2">
        <v>95</v>
      </c>
      <c r="L259" s="2" t="s">
        <v>64</v>
      </c>
    </row>
    <row r="260" spans="1:12" x14ac:dyDescent="0.3">
      <c r="A260" s="2">
        <v>249</v>
      </c>
      <c r="B260" s="2" t="s">
        <v>1023</v>
      </c>
      <c r="C260" s="2" t="s">
        <v>1024</v>
      </c>
      <c r="D260" s="2" t="s">
        <v>28</v>
      </c>
      <c r="E260" s="2" t="s">
        <v>29</v>
      </c>
      <c r="F260" s="2">
        <v>60</v>
      </c>
      <c r="G260" s="2" t="s">
        <v>1025</v>
      </c>
      <c r="H260" s="2" t="s">
        <v>1026</v>
      </c>
      <c r="I260" s="2" t="s">
        <v>32</v>
      </c>
      <c r="J260" s="3">
        <v>43856</v>
      </c>
      <c r="K260" s="2">
        <v>12</v>
      </c>
      <c r="L260" s="2" t="s">
        <v>45</v>
      </c>
    </row>
    <row r="261" spans="1:12" x14ac:dyDescent="0.3">
      <c r="A261" s="2">
        <v>250</v>
      </c>
      <c r="B261" s="2" t="s">
        <v>1027</v>
      </c>
      <c r="C261" s="2" t="s">
        <v>564</v>
      </c>
      <c r="D261" s="2" t="s">
        <v>28</v>
      </c>
      <c r="E261" s="2" t="s">
        <v>29</v>
      </c>
      <c r="F261" s="2">
        <v>60</v>
      </c>
      <c r="G261" s="2" t="s">
        <v>1028</v>
      </c>
      <c r="H261" s="2" t="s">
        <v>641</v>
      </c>
      <c r="I261" s="2" t="s">
        <v>294</v>
      </c>
      <c r="J261" s="3">
        <v>43846</v>
      </c>
      <c r="K261" s="2">
        <v>79</v>
      </c>
      <c r="L261" s="2" t="s">
        <v>159</v>
      </c>
    </row>
    <row r="262" spans="1:12" x14ac:dyDescent="0.3">
      <c r="A262" s="2">
        <v>251</v>
      </c>
      <c r="B262" s="2" t="s">
        <v>1029</v>
      </c>
      <c r="C262" s="2" t="s">
        <v>1030</v>
      </c>
      <c r="D262" s="2" t="s">
        <v>15</v>
      </c>
      <c r="E262" s="2" t="s">
        <v>16</v>
      </c>
      <c r="F262" s="2">
        <v>30</v>
      </c>
      <c r="G262" s="2" t="s">
        <v>1028</v>
      </c>
      <c r="H262" s="2" t="s">
        <v>393</v>
      </c>
      <c r="I262" s="2" t="s">
        <v>32</v>
      </c>
      <c r="J262" s="3">
        <v>44653</v>
      </c>
      <c r="K262" s="2">
        <v>12</v>
      </c>
      <c r="L262" s="2" t="s">
        <v>101</v>
      </c>
    </row>
    <row r="263" spans="1:12" x14ac:dyDescent="0.3">
      <c r="A263" s="2">
        <v>252</v>
      </c>
      <c r="B263" s="2" t="s">
        <v>1031</v>
      </c>
      <c r="C263" s="2" t="s">
        <v>1032</v>
      </c>
      <c r="D263" s="2" t="s">
        <v>28</v>
      </c>
      <c r="E263" s="2" t="s">
        <v>29</v>
      </c>
      <c r="F263" s="2">
        <v>60</v>
      </c>
      <c r="G263" s="2" t="s">
        <v>1033</v>
      </c>
      <c r="H263" s="2" t="s">
        <v>1034</v>
      </c>
      <c r="I263" s="2" t="s">
        <v>1035</v>
      </c>
      <c r="J263" s="3">
        <v>44021</v>
      </c>
      <c r="K263" s="2">
        <v>3</v>
      </c>
      <c r="L263" s="2" t="s">
        <v>54</v>
      </c>
    </row>
    <row r="264" spans="1:12" x14ac:dyDescent="0.3">
      <c r="A264" s="2">
        <v>253</v>
      </c>
      <c r="B264" s="2" t="s">
        <v>1036</v>
      </c>
      <c r="C264" s="2" t="s">
        <v>1037</v>
      </c>
      <c r="D264" s="2" t="s">
        <v>28</v>
      </c>
      <c r="E264" s="2" t="s">
        <v>29</v>
      </c>
      <c r="F264" s="2">
        <v>30</v>
      </c>
      <c r="G264" s="2" t="s">
        <v>1038</v>
      </c>
      <c r="H264" s="2" t="s">
        <v>1039</v>
      </c>
      <c r="I264" s="2" t="s">
        <v>25</v>
      </c>
      <c r="J264" s="3">
        <v>44819</v>
      </c>
      <c r="K264" s="2">
        <v>85</v>
      </c>
      <c r="L264" s="2" t="s">
        <v>159</v>
      </c>
    </row>
    <row r="265" spans="1:12" x14ac:dyDescent="0.3">
      <c r="A265" s="2">
        <v>254</v>
      </c>
      <c r="B265" s="2" t="s">
        <v>1040</v>
      </c>
      <c r="C265" s="2" t="s">
        <v>1041</v>
      </c>
      <c r="D265" s="2" t="s">
        <v>15</v>
      </c>
      <c r="E265" s="2" t="s">
        <v>16</v>
      </c>
      <c r="F265" s="2">
        <v>30</v>
      </c>
      <c r="G265" s="2" t="s">
        <v>1038</v>
      </c>
      <c r="H265" s="2" t="s">
        <v>1042</v>
      </c>
      <c r="I265" s="2" t="s">
        <v>32</v>
      </c>
      <c r="J265" s="3">
        <v>44681</v>
      </c>
      <c r="K265" s="2">
        <v>46</v>
      </c>
      <c r="L265" s="2" t="s">
        <v>45</v>
      </c>
    </row>
    <row r="266" spans="1:12" x14ac:dyDescent="0.3">
      <c r="A266" s="2">
        <v>255</v>
      </c>
      <c r="B266" s="2" t="s">
        <v>1043</v>
      </c>
      <c r="C266" s="2" t="s">
        <v>1044</v>
      </c>
      <c r="D266" s="2" t="s">
        <v>15</v>
      </c>
      <c r="E266" s="2" t="s">
        <v>16</v>
      </c>
      <c r="F266" s="2">
        <v>30</v>
      </c>
      <c r="G266" s="2" t="s">
        <v>1045</v>
      </c>
      <c r="H266" s="2" t="s">
        <v>378</v>
      </c>
      <c r="I266" s="2" t="s">
        <v>146</v>
      </c>
      <c r="J266" s="3">
        <v>44525</v>
      </c>
      <c r="K266" s="2">
        <v>68</v>
      </c>
      <c r="L266" s="2" t="s">
        <v>33</v>
      </c>
    </row>
    <row r="267" spans="1:12" x14ac:dyDescent="0.3">
      <c r="A267" s="2">
        <v>256</v>
      </c>
      <c r="B267" s="2" t="s">
        <v>1046</v>
      </c>
      <c r="C267" s="2" t="s">
        <v>1047</v>
      </c>
      <c r="D267" s="2" t="s">
        <v>117</v>
      </c>
      <c r="E267" s="2" t="s">
        <v>16</v>
      </c>
      <c r="F267" s="2">
        <v>30</v>
      </c>
      <c r="G267" s="2" t="s">
        <v>1048</v>
      </c>
      <c r="H267" s="2" t="s">
        <v>443</v>
      </c>
      <c r="I267" s="2" t="s">
        <v>294</v>
      </c>
      <c r="J267" s="3">
        <v>44018</v>
      </c>
      <c r="K267" s="2">
        <v>31</v>
      </c>
      <c r="L267" s="2" t="s">
        <v>39</v>
      </c>
    </row>
    <row r="268" spans="1:12" x14ac:dyDescent="0.3">
      <c r="A268" s="2">
        <v>257</v>
      </c>
      <c r="B268" s="2" t="s">
        <v>1049</v>
      </c>
      <c r="C268" s="2" t="s">
        <v>1050</v>
      </c>
      <c r="D268" s="2" t="s">
        <v>28</v>
      </c>
      <c r="E268" s="2" t="s">
        <v>29</v>
      </c>
      <c r="F268" s="2">
        <v>30</v>
      </c>
      <c r="G268" s="2" t="s">
        <v>1051</v>
      </c>
      <c r="H268" s="2" t="s">
        <v>1052</v>
      </c>
      <c r="I268" s="2" t="s">
        <v>32</v>
      </c>
      <c r="J268" s="3">
        <v>44453</v>
      </c>
      <c r="K268" s="2">
        <v>49</v>
      </c>
      <c r="L268" s="2" t="s">
        <v>54</v>
      </c>
    </row>
    <row r="269" spans="1:12" x14ac:dyDescent="0.3">
      <c r="A269" s="2">
        <v>258</v>
      </c>
      <c r="B269" s="2" t="s">
        <v>1053</v>
      </c>
      <c r="C269" s="2" t="s">
        <v>1054</v>
      </c>
      <c r="D269" s="2" t="s">
        <v>51</v>
      </c>
      <c r="E269" s="2" t="s">
        <v>16</v>
      </c>
      <c r="F269" s="2">
        <v>60</v>
      </c>
      <c r="G269" s="2" t="s">
        <v>1055</v>
      </c>
      <c r="H269" s="2" t="s">
        <v>1056</v>
      </c>
      <c r="I269" s="2" t="s">
        <v>129</v>
      </c>
      <c r="J269" s="3">
        <v>44235</v>
      </c>
      <c r="K269" s="2">
        <v>11</v>
      </c>
      <c r="L269" s="2" t="s">
        <v>45</v>
      </c>
    </row>
    <row r="270" spans="1:12" x14ac:dyDescent="0.3">
      <c r="A270" s="2">
        <v>259</v>
      </c>
      <c r="B270" s="2" t="s">
        <v>1057</v>
      </c>
      <c r="C270" s="2" t="s">
        <v>1058</v>
      </c>
      <c r="D270" s="2" t="s">
        <v>51</v>
      </c>
      <c r="E270" s="2" t="s">
        <v>16</v>
      </c>
      <c r="F270" s="2">
        <v>60</v>
      </c>
      <c r="G270" s="2" t="s">
        <v>10462</v>
      </c>
      <c r="H270" s="2" t="s">
        <v>1060</v>
      </c>
      <c r="I270" s="2" t="s">
        <v>38</v>
      </c>
      <c r="J270" s="3">
        <v>43973</v>
      </c>
      <c r="K270" s="2">
        <v>6</v>
      </c>
      <c r="L270" s="2" t="s">
        <v>80</v>
      </c>
    </row>
    <row r="271" spans="1:12" x14ac:dyDescent="0.3">
      <c r="A271" s="2">
        <v>260</v>
      </c>
      <c r="B271" s="2" t="s">
        <v>1061</v>
      </c>
      <c r="C271" s="2" t="s">
        <v>1062</v>
      </c>
      <c r="D271" s="2" t="s">
        <v>15</v>
      </c>
      <c r="E271" s="2" t="s">
        <v>16</v>
      </c>
      <c r="F271" s="2">
        <v>90</v>
      </c>
      <c r="G271" s="2" t="s">
        <v>1063</v>
      </c>
      <c r="H271" s="2" t="s">
        <v>1064</v>
      </c>
      <c r="I271" s="2" t="s">
        <v>886</v>
      </c>
      <c r="J271" s="3">
        <v>44134</v>
      </c>
      <c r="K271" s="2">
        <v>14</v>
      </c>
      <c r="L271" s="2" t="s">
        <v>70</v>
      </c>
    </row>
    <row r="272" spans="1:12" x14ac:dyDescent="0.3">
      <c r="A272" s="2">
        <v>261</v>
      </c>
      <c r="B272" s="2" t="s">
        <v>1065</v>
      </c>
      <c r="C272" s="2" t="s">
        <v>1066</v>
      </c>
      <c r="D272" s="2" t="s">
        <v>28</v>
      </c>
      <c r="E272" s="2" t="s">
        <v>29</v>
      </c>
      <c r="F272" s="2">
        <v>30</v>
      </c>
      <c r="G272" s="2" t="s">
        <v>1067</v>
      </c>
      <c r="H272" s="2" t="s">
        <v>293</v>
      </c>
      <c r="I272" s="2" t="s">
        <v>294</v>
      </c>
      <c r="J272" s="3">
        <v>44014</v>
      </c>
      <c r="K272" s="2">
        <v>40</v>
      </c>
      <c r="L272" s="2" t="s">
        <v>159</v>
      </c>
    </row>
    <row r="273" spans="1:12" x14ac:dyDescent="0.3">
      <c r="A273" s="2">
        <v>262</v>
      </c>
      <c r="B273" s="2" t="s">
        <v>1068</v>
      </c>
      <c r="C273" s="2" t="s">
        <v>800</v>
      </c>
      <c r="D273" s="2" t="s">
        <v>15</v>
      </c>
      <c r="E273" s="2" t="s">
        <v>16</v>
      </c>
      <c r="F273" s="2">
        <v>30</v>
      </c>
      <c r="G273" s="2" t="s">
        <v>1069</v>
      </c>
      <c r="H273" s="2" t="s">
        <v>1070</v>
      </c>
      <c r="I273" s="2" t="s">
        <v>32</v>
      </c>
      <c r="J273" s="3">
        <v>43978</v>
      </c>
      <c r="K273" s="2">
        <v>21</v>
      </c>
      <c r="L273" s="2" t="s">
        <v>54</v>
      </c>
    </row>
    <row r="274" spans="1:12" x14ac:dyDescent="0.3">
      <c r="A274" s="2">
        <v>263</v>
      </c>
      <c r="B274" s="2" t="s">
        <v>1071</v>
      </c>
      <c r="C274" s="2" t="s">
        <v>1072</v>
      </c>
      <c r="D274" s="2" t="s">
        <v>51</v>
      </c>
      <c r="E274" s="2" t="s">
        <v>16</v>
      </c>
      <c r="F274" s="2">
        <v>60</v>
      </c>
      <c r="G274" s="2" t="s">
        <v>1073</v>
      </c>
      <c r="H274" s="2" t="s">
        <v>981</v>
      </c>
      <c r="I274" s="2" t="s">
        <v>32</v>
      </c>
      <c r="J274" s="3">
        <v>44682</v>
      </c>
      <c r="K274" s="2">
        <v>64</v>
      </c>
      <c r="L274" s="2" t="s">
        <v>80</v>
      </c>
    </row>
    <row r="275" spans="1:12" x14ac:dyDescent="0.3">
      <c r="A275" s="2">
        <v>264</v>
      </c>
      <c r="B275" s="2" t="s">
        <v>1074</v>
      </c>
      <c r="C275" s="2" t="s">
        <v>1075</v>
      </c>
      <c r="D275" s="2" t="s">
        <v>15</v>
      </c>
      <c r="E275" s="2" t="s">
        <v>16</v>
      </c>
      <c r="F275" s="2">
        <v>90</v>
      </c>
      <c r="G275" s="2" t="s">
        <v>1076</v>
      </c>
      <c r="H275" s="2" t="s">
        <v>1077</v>
      </c>
      <c r="I275" s="2" t="s">
        <v>1078</v>
      </c>
      <c r="J275" s="3">
        <v>44450</v>
      </c>
      <c r="K275" s="2">
        <v>30</v>
      </c>
      <c r="L275" s="2" t="s">
        <v>64</v>
      </c>
    </row>
    <row r="276" spans="1:12" x14ac:dyDescent="0.3">
      <c r="A276" s="2">
        <v>265</v>
      </c>
      <c r="B276" s="2" t="s">
        <v>1079</v>
      </c>
      <c r="C276" s="2" t="s">
        <v>1080</v>
      </c>
      <c r="D276" s="2" t="s">
        <v>51</v>
      </c>
      <c r="E276" s="2" t="s">
        <v>16</v>
      </c>
      <c r="F276" s="2">
        <v>60</v>
      </c>
      <c r="G276" s="2" t="s">
        <v>1081</v>
      </c>
      <c r="H276" s="2" t="s">
        <v>1082</v>
      </c>
      <c r="I276" s="2" t="s">
        <v>1083</v>
      </c>
      <c r="J276" s="3">
        <v>44769</v>
      </c>
      <c r="K276" s="2">
        <v>41</v>
      </c>
      <c r="L276" s="2" t="s">
        <v>101</v>
      </c>
    </row>
    <row r="277" spans="1:12" x14ac:dyDescent="0.3">
      <c r="A277" s="2">
        <v>266</v>
      </c>
      <c r="B277" s="2" t="s">
        <v>1084</v>
      </c>
      <c r="C277" s="2" t="s">
        <v>1085</v>
      </c>
      <c r="D277" s="2" t="s">
        <v>15</v>
      </c>
      <c r="E277" s="2" t="s">
        <v>16</v>
      </c>
      <c r="F277" s="2">
        <v>90</v>
      </c>
      <c r="G277" s="2" t="s">
        <v>1086</v>
      </c>
      <c r="H277" s="2" t="s">
        <v>1087</v>
      </c>
      <c r="I277" s="2" t="s">
        <v>554</v>
      </c>
      <c r="J277" s="3">
        <v>44908</v>
      </c>
      <c r="K277" s="2">
        <v>27</v>
      </c>
      <c r="L277" s="2" t="s">
        <v>64</v>
      </c>
    </row>
    <row r="278" spans="1:12" x14ac:dyDescent="0.3">
      <c r="A278" s="2">
        <v>267</v>
      </c>
      <c r="B278" s="2" t="s">
        <v>1088</v>
      </c>
      <c r="C278" s="2" t="s">
        <v>1089</v>
      </c>
      <c r="D278" s="2" t="s">
        <v>51</v>
      </c>
      <c r="E278" s="2" t="s">
        <v>16</v>
      </c>
      <c r="F278" s="2">
        <v>90</v>
      </c>
      <c r="G278" s="2" t="s">
        <v>1090</v>
      </c>
      <c r="H278" s="2" t="s">
        <v>1091</v>
      </c>
      <c r="I278" s="2" t="s">
        <v>32</v>
      </c>
      <c r="J278" s="3">
        <v>44413</v>
      </c>
      <c r="K278" s="2">
        <v>58</v>
      </c>
      <c r="L278" s="2" t="s">
        <v>54</v>
      </c>
    </row>
    <row r="279" spans="1:12" x14ac:dyDescent="0.3">
      <c r="A279" s="2">
        <v>268</v>
      </c>
      <c r="B279" s="2" t="s">
        <v>1092</v>
      </c>
      <c r="C279" s="2" t="s">
        <v>1093</v>
      </c>
      <c r="D279" s="2" t="s">
        <v>15</v>
      </c>
      <c r="E279" s="2" t="s">
        <v>16</v>
      </c>
      <c r="F279" s="2">
        <v>30</v>
      </c>
      <c r="G279" s="2" t="s">
        <v>1094</v>
      </c>
      <c r="H279" s="2" t="s">
        <v>1095</v>
      </c>
      <c r="I279" s="2" t="s">
        <v>178</v>
      </c>
      <c r="J279" s="3">
        <v>44480</v>
      </c>
      <c r="K279" s="2">
        <v>3</v>
      </c>
      <c r="L279" s="2" t="s">
        <v>159</v>
      </c>
    </row>
    <row r="280" spans="1:12" x14ac:dyDescent="0.3">
      <c r="A280" s="2">
        <v>269</v>
      </c>
      <c r="B280" s="2" t="s">
        <v>1096</v>
      </c>
      <c r="C280" s="2" t="s">
        <v>1097</v>
      </c>
      <c r="D280" s="2" t="s">
        <v>28</v>
      </c>
      <c r="E280" s="2" t="s">
        <v>29</v>
      </c>
      <c r="F280" s="2">
        <v>30</v>
      </c>
      <c r="G280" s="2" t="s">
        <v>1098</v>
      </c>
      <c r="H280" s="2" t="s">
        <v>1099</v>
      </c>
      <c r="I280" s="2" t="s">
        <v>25</v>
      </c>
      <c r="J280" s="3">
        <v>44360</v>
      </c>
      <c r="K280" s="2">
        <v>38</v>
      </c>
      <c r="L280" s="2" t="s">
        <v>159</v>
      </c>
    </row>
    <row r="281" spans="1:12" x14ac:dyDescent="0.3">
      <c r="A281" s="2">
        <v>270</v>
      </c>
      <c r="B281" s="2" t="s">
        <v>1100</v>
      </c>
      <c r="C281" s="2" t="s">
        <v>1101</v>
      </c>
      <c r="D281" s="2" t="s">
        <v>51</v>
      </c>
      <c r="E281" s="2" t="s">
        <v>16</v>
      </c>
      <c r="F281" s="2">
        <v>30</v>
      </c>
      <c r="G281" s="2" t="s">
        <v>1102</v>
      </c>
      <c r="H281" s="2" t="s">
        <v>1103</v>
      </c>
      <c r="I281" s="2" t="s">
        <v>25</v>
      </c>
      <c r="J281" s="3">
        <v>44561</v>
      </c>
      <c r="K281" s="2">
        <v>43</v>
      </c>
      <c r="L281" s="2" t="s">
        <v>101</v>
      </c>
    </row>
    <row r="282" spans="1:12" x14ac:dyDescent="0.3">
      <c r="A282" s="2">
        <v>271</v>
      </c>
      <c r="B282" s="2" t="s">
        <v>1104</v>
      </c>
      <c r="C282" s="2" t="s">
        <v>1105</v>
      </c>
      <c r="D282" s="2" t="s">
        <v>28</v>
      </c>
      <c r="E282" s="2" t="s">
        <v>29</v>
      </c>
      <c r="F282" s="2">
        <v>60</v>
      </c>
      <c r="G282" s="2" t="s">
        <v>1106</v>
      </c>
      <c r="H282" s="2" t="s">
        <v>1107</v>
      </c>
      <c r="I282" s="2" t="s">
        <v>32</v>
      </c>
      <c r="J282" s="3">
        <v>44305</v>
      </c>
      <c r="K282" s="2">
        <v>36</v>
      </c>
      <c r="L282" s="2" t="s">
        <v>64</v>
      </c>
    </row>
    <row r="283" spans="1:12" x14ac:dyDescent="0.3">
      <c r="A283" s="2">
        <v>272</v>
      </c>
      <c r="B283" s="2" t="s">
        <v>1108</v>
      </c>
      <c r="C283" s="2" t="s">
        <v>1109</v>
      </c>
      <c r="D283" s="2" t="s">
        <v>28</v>
      </c>
      <c r="E283" s="2" t="s">
        <v>29</v>
      </c>
      <c r="F283" s="2">
        <v>60</v>
      </c>
      <c r="G283" s="2" t="s">
        <v>1110</v>
      </c>
      <c r="H283" s="2" t="s">
        <v>1111</v>
      </c>
      <c r="I283" s="2" t="s">
        <v>32</v>
      </c>
      <c r="J283" s="3">
        <v>44204</v>
      </c>
      <c r="K283" s="2">
        <v>51</v>
      </c>
      <c r="L283" s="2" t="s">
        <v>54</v>
      </c>
    </row>
    <row r="284" spans="1:12" x14ac:dyDescent="0.3">
      <c r="A284" s="2">
        <v>273</v>
      </c>
      <c r="B284" s="2" t="s">
        <v>1112</v>
      </c>
      <c r="C284" s="2" t="s">
        <v>1113</v>
      </c>
      <c r="D284" s="2" t="s">
        <v>51</v>
      </c>
      <c r="E284" s="2" t="s">
        <v>16</v>
      </c>
      <c r="F284" s="2">
        <v>60</v>
      </c>
      <c r="G284" s="2" t="s">
        <v>1114</v>
      </c>
      <c r="H284" s="2" t="s">
        <v>1115</v>
      </c>
      <c r="I284" s="2" t="s">
        <v>32</v>
      </c>
      <c r="J284" s="3">
        <v>44578</v>
      </c>
      <c r="K284" s="2">
        <v>86</v>
      </c>
      <c r="L284" s="2" t="s">
        <v>159</v>
      </c>
    </row>
    <row r="285" spans="1:12" x14ac:dyDescent="0.3">
      <c r="A285" s="2">
        <v>274</v>
      </c>
      <c r="B285" s="2" t="s">
        <v>1116</v>
      </c>
      <c r="C285" s="2" t="s">
        <v>1117</v>
      </c>
      <c r="D285" s="2" t="s">
        <v>28</v>
      </c>
      <c r="E285" s="2" t="s">
        <v>29</v>
      </c>
      <c r="F285" s="2">
        <v>30</v>
      </c>
      <c r="G285" s="2" t="s">
        <v>1118</v>
      </c>
      <c r="H285" s="2" t="s">
        <v>1119</v>
      </c>
      <c r="I285" s="2" t="s">
        <v>240</v>
      </c>
      <c r="J285" s="3">
        <v>44416</v>
      </c>
      <c r="K285" s="2">
        <v>6</v>
      </c>
      <c r="L285" s="2" t="s">
        <v>80</v>
      </c>
    </row>
    <row r="286" spans="1:12" x14ac:dyDescent="0.3">
      <c r="A286" s="2">
        <v>275</v>
      </c>
      <c r="B286" s="2" t="s">
        <v>1120</v>
      </c>
      <c r="C286" s="2" t="s">
        <v>1121</v>
      </c>
      <c r="D286" s="2" t="s">
        <v>28</v>
      </c>
      <c r="E286" s="2" t="s">
        <v>29</v>
      </c>
      <c r="F286" s="2">
        <v>60</v>
      </c>
      <c r="G286" s="2" t="s">
        <v>10463</v>
      </c>
      <c r="H286" s="2" t="s">
        <v>917</v>
      </c>
      <c r="I286" s="2" t="s">
        <v>32</v>
      </c>
      <c r="J286" s="3">
        <v>44372</v>
      </c>
      <c r="K286" s="2">
        <v>40</v>
      </c>
      <c r="L286" s="2" t="s">
        <v>20</v>
      </c>
    </row>
    <row r="287" spans="1:12" x14ac:dyDescent="0.3">
      <c r="A287" s="2">
        <v>276</v>
      </c>
      <c r="B287" s="2" t="s">
        <v>1123</v>
      </c>
      <c r="C287" s="2" t="s">
        <v>657</v>
      </c>
      <c r="D287" s="2" t="s">
        <v>51</v>
      </c>
      <c r="E287" s="2" t="s">
        <v>16</v>
      </c>
      <c r="F287" s="2">
        <v>90</v>
      </c>
      <c r="G287" s="2" t="s">
        <v>1124</v>
      </c>
      <c r="H287" s="2" t="s">
        <v>1125</v>
      </c>
      <c r="I287" s="2" t="s">
        <v>1126</v>
      </c>
      <c r="J287" s="3">
        <v>44053</v>
      </c>
      <c r="K287" s="2">
        <v>52</v>
      </c>
      <c r="L287" s="2" t="s">
        <v>54</v>
      </c>
    </row>
    <row r="288" spans="1:12" x14ac:dyDescent="0.3">
      <c r="A288" s="2">
        <v>277</v>
      </c>
      <c r="B288" s="2" t="s">
        <v>437</v>
      </c>
      <c r="C288" s="2" t="s">
        <v>770</v>
      </c>
      <c r="D288" s="2" t="s">
        <v>15</v>
      </c>
      <c r="E288" s="2" t="s">
        <v>16</v>
      </c>
      <c r="F288" s="2">
        <v>30</v>
      </c>
      <c r="G288" s="2" t="s">
        <v>1127</v>
      </c>
      <c r="H288" s="2" t="s">
        <v>1018</v>
      </c>
      <c r="I288" s="2" t="s">
        <v>294</v>
      </c>
      <c r="J288" s="3">
        <v>44261</v>
      </c>
      <c r="K288" s="2">
        <v>66</v>
      </c>
      <c r="L288" s="2" t="s">
        <v>101</v>
      </c>
    </row>
    <row r="289" spans="1:12" x14ac:dyDescent="0.3">
      <c r="A289" s="2">
        <v>278</v>
      </c>
      <c r="B289" s="2" t="s">
        <v>1128</v>
      </c>
      <c r="C289" s="2" t="s">
        <v>1129</v>
      </c>
      <c r="D289" s="2" t="s">
        <v>28</v>
      </c>
      <c r="E289" s="2" t="s">
        <v>29</v>
      </c>
      <c r="F289" s="2">
        <v>60</v>
      </c>
      <c r="G289" s="2" t="s">
        <v>1130</v>
      </c>
      <c r="H289" s="2" t="s">
        <v>1131</v>
      </c>
      <c r="I289" s="2" t="s">
        <v>32</v>
      </c>
      <c r="J289" s="3">
        <v>44509</v>
      </c>
      <c r="K289" s="2">
        <v>41</v>
      </c>
      <c r="L289" s="2" t="s">
        <v>101</v>
      </c>
    </row>
    <row r="290" spans="1:12" x14ac:dyDescent="0.3">
      <c r="A290" s="2">
        <v>279</v>
      </c>
      <c r="B290" s="2" t="s">
        <v>1132</v>
      </c>
      <c r="C290" s="2" t="s">
        <v>1133</v>
      </c>
      <c r="D290" s="2" t="s">
        <v>28</v>
      </c>
      <c r="E290" s="2" t="s">
        <v>29</v>
      </c>
      <c r="F290" s="2">
        <v>30</v>
      </c>
      <c r="G290" s="2" t="s">
        <v>1134</v>
      </c>
      <c r="H290" s="2" t="s">
        <v>1135</v>
      </c>
      <c r="I290" s="2" t="s">
        <v>38</v>
      </c>
      <c r="J290" s="3">
        <v>44515</v>
      </c>
      <c r="K290" s="2">
        <v>33</v>
      </c>
      <c r="L290" s="2" t="s">
        <v>80</v>
      </c>
    </row>
    <row r="291" spans="1:12" x14ac:dyDescent="0.3">
      <c r="A291" s="2">
        <v>280</v>
      </c>
      <c r="B291" s="2" t="s">
        <v>1136</v>
      </c>
      <c r="C291" s="2" t="s">
        <v>1137</v>
      </c>
      <c r="D291" s="2" t="s">
        <v>51</v>
      </c>
      <c r="E291" s="2" t="s">
        <v>16</v>
      </c>
      <c r="F291" s="2">
        <v>90</v>
      </c>
      <c r="G291" s="2" t="s">
        <v>1134</v>
      </c>
      <c r="H291" s="2" t="s">
        <v>1138</v>
      </c>
      <c r="I291" s="2" t="s">
        <v>124</v>
      </c>
      <c r="J291" s="3">
        <v>44805</v>
      </c>
      <c r="K291" s="2">
        <v>29</v>
      </c>
      <c r="L291" s="2" t="s">
        <v>20</v>
      </c>
    </row>
    <row r="292" spans="1:12" x14ac:dyDescent="0.3">
      <c r="A292" s="2">
        <v>281</v>
      </c>
      <c r="B292" s="2" t="s">
        <v>1139</v>
      </c>
      <c r="C292" s="2" t="s">
        <v>1140</v>
      </c>
      <c r="D292" s="2" t="s">
        <v>15</v>
      </c>
      <c r="E292" s="2" t="s">
        <v>16</v>
      </c>
      <c r="F292" s="2">
        <v>30</v>
      </c>
      <c r="G292" s="2" t="s">
        <v>1141</v>
      </c>
      <c r="H292" s="2" t="s">
        <v>1142</v>
      </c>
      <c r="I292" s="2" t="s">
        <v>38</v>
      </c>
      <c r="J292" s="3">
        <v>44862</v>
      </c>
      <c r="K292" s="2">
        <v>38</v>
      </c>
      <c r="L292" s="2" t="s">
        <v>64</v>
      </c>
    </row>
    <row r="293" spans="1:12" x14ac:dyDescent="0.3">
      <c r="A293" s="2">
        <v>282</v>
      </c>
      <c r="B293" s="2" t="s">
        <v>843</v>
      </c>
      <c r="C293" s="2" t="s">
        <v>394</v>
      </c>
      <c r="D293" s="2" t="s">
        <v>15</v>
      </c>
      <c r="E293" s="2" t="s">
        <v>16</v>
      </c>
      <c r="F293" s="2">
        <v>60</v>
      </c>
      <c r="G293" s="2" t="s">
        <v>1143</v>
      </c>
      <c r="H293" s="2" t="s">
        <v>951</v>
      </c>
      <c r="I293" s="2" t="s">
        <v>95</v>
      </c>
      <c r="J293" s="3">
        <v>44622</v>
      </c>
      <c r="K293" s="2">
        <v>4</v>
      </c>
      <c r="L293" s="2" t="s">
        <v>33</v>
      </c>
    </row>
    <row r="294" spans="1:12" x14ac:dyDescent="0.3">
      <c r="A294" s="2">
        <v>283</v>
      </c>
      <c r="B294" s="2" t="s">
        <v>1144</v>
      </c>
      <c r="C294" s="2" t="s">
        <v>1145</v>
      </c>
      <c r="D294" s="2" t="s">
        <v>117</v>
      </c>
      <c r="E294" s="2" t="s">
        <v>16</v>
      </c>
      <c r="F294" s="2">
        <v>60</v>
      </c>
      <c r="G294" s="2" t="s">
        <v>1146</v>
      </c>
      <c r="H294" s="2" t="s">
        <v>182</v>
      </c>
      <c r="I294" s="2" t="s">
        <v>32</v>
      </c>
      <c r="J294" s="3">
        <v>44733</v>
      </c>
      <c r="K294" s="2">
        <v>29</v>
      </c>
      <c r="L294" s="2" t="s">
        <v>80</v>
      </c>
    </row>
    <row r="295" spans="1:12" x14ac:dyDescent="0.3">
      <c r="A295" s="2">
        <v>284</v>
      </c>
      <c r="B295" s="2" t="s">
        <v>1147</v>
      </c>
      <c r="C295" s="2" t="s">
        <v>1148</v>
      </c>
      <c r="D295" s="2" t="s">
        <v>28</v>
      </c>
      <c r="E295" s="2" t="s">
        <v>29</v>
      </c>
      <c r="F295" s="2">
        <v>30</v>
      </c>
      <c r="G295" s="2" t="s">
        <v>1149</v>
      </c>
      <c r="H295" s="2" t="s">
        <v>1150</v>
      </c>
      <c r="I295" s="2" t="s">
        <v>32</v>
      </c>
      <c r="J295" s="3">
        <v>44023</v>
      </c>
      <c r="K295" s="2">
        <v>48</v>
      </c>
      <c r="L295" s="2" t="s">
        <v>45</v>
      </c>
    </row>
    <row r="296" spans="1:12" x14ac:dyDescent="0.3">
      <c r="A296" s="2">
        <v>285</v>
      </c>
      <c r="B296" s="2" t="s">
        <v>1151</v>
      </c>
      <c r="C296" s="2" t="s">
        <v>1152</v>
      </c>
      <c r="D296" s="2" t="s">
        <v>15</v>
      </c>
      <c r="E296" s="2" t="s">
        <v>16</v>
      </c>
      <c r="F296" s="2">
        <v>30</v>
      </c>
      <c r="G296" s="2" t="s">
        <v>1153</v>
      </c>
      <c r="H296" s="2" t="s">
        <v>917</v>
      </c>
      <c r="I296" s="2" t="s">
        <v>32</v>
      </c>
      <c r="J296" s="3">
        <v>44625</v>
      </c>
      <c r="K296" s="2">
        <v>11</v>
      </c>
      <c r="L296" s="2" t="s">
        <v>64</v>
      </c>
    </row>
    <row r="297" spans="1:12" x14ac:dyDescent="0.3">
      <c r="A297" s="2">
        <v>286</v>
      </c>
      <c r="B297" s="2" t="s">
        <v>34</v>
      </c>
      <c r="C297" s="2" t="s">
        <v>1154</v>
      </c>
      <c r="D297" s="2" t="s">
        <v>28</v>
      </c>
      <c r="E297" s="2" t="s">
        <v>29</v>
      </c>
      <c r="F297" s="2">
        <v>30</v>
      </c>
      <c r="G297" s="2" t="s">
        <v>1155</v>
      </c>
      <c r="H297" s="2" t="s">
        <v>1156</v>
      </c>
      <c r="I297" s="2" t="s">
        <v>1157</v>
      </c>
      <c r="J297" s="3">
        <v>44863</v>
      </c>
      <c r="K297" s="2">
        <v>72</v>
      </c>
      <c r="L297" s="2" t="s">
        <v>70</v>
      </c>
    </row>
    <row r="298" spans="1:12" x14ac:dyDescent="0.3">
      <c r="A298" s="2">
        <v>287</v>
      </c>
      <c r="B298" s="2" t="s">
        <v>1158</v>
      </c>
      <c r="C298" s="2" t="s">
        <v>1159</v>
      </c>
      <c r="D298" s="2" t="s">
        <v>28</v>
      </c>
      <c r="E298" s="2" t="s">
        <v>29</v>
      </c>
      <c r="F298" s="2">
        <v>60</v>
      </c>
      <c r="G298" s="2" t="s">
        <v>1155</v>
      </c>
      <c r="H298" s="2" t="s">
        <v>1160</v>
      </c>
      <c r="I298" s="2" t="s">
        <v>25</v>
      </c>
      <c r="J298" s="3">
        <v>44018</v>
      </c>
      <c r="K298" s="2">
        <v>14</v>
      </c>
      <c r="L298" s="2" t="s">
        <v>33</v>
      </c>
    </row>
    <row r="299" spans="1:12" x14ac:dyDescent="0.3">
      <c r="A299" s="2">
        <v>288</v>
      </c>
      <c r="B299" s="2" t="s">
        <v>1161</v>
      </c>
      <c r="C299" s="2" t="s">
        <v>1162</v>
      </c>
      <c r="D299" s="2" t="s">
        <v>41</v>
      </c>
      <c r="E299" s="2" t="s">
        <v>16</v>
      </c>
      <c r="F299" s="2">
        <v>30</v>
      </c>
      <c r="G299" s="2" t="s">
        <v>1163</v>
      </c>
      <c r="H299" s="2" t="s">
        <v>1164</v>
      </c>
      <c r="I299" s="2" t="s">
        <v>89</v>
      </c>
      <c r="J299" s="3">
        <v>44701</v>
      </c>
      <c r="K299" s="2">
        <v>70</v>
      </c>
      <c r="L299" s="2" t="s">
        <v>101</v>
      </c>
    </row>
    <row r="300" spans="1:12" x14ac:dyDescent="0.3">
      <c r="A300" s="2">
        <v>289</v>
      </c>
      <c r="B300" s="2" t="s">
        <v>1165</v>
      </c>
      <c r="C300" s="2" t="s">
        <v>1166</v>
      </c>
      <c r="D300" s="2" t="s">
        <v>41</v>
      </c>
      <c r="E300" s="2" t="s">
        <v>16</v>
      </c>
      <c r="F300" s="2">
        <v>30</v>
      </c>
      <c r="G300" s="2" t="s">
        <v>1167</v>
      </c>
      <c r="H300" s="2" t="s">
        <v>1168</v>
      </c>
      <c r="I300" s="2" t="s">
        <v>32</v>
      </c>
      <c r="J300" s="3">
        <v>43913</v>
      </c>
      <c r="K300" s="2">
        <v>82</v>
      </c>
      <c r="L300" s="2" t="s">
        <v>80</v>
      </c>
    </row>
    <row r="301" spans="1:12" x14ac:dyDescent="0.3">
      <c r="A301" s="2">
        <v>290</v>
      </c>
      <c r="B301" s="2" t="s">
        <v>1169</v>
      </c>
      <c r="C301" s="2" t="s">
        <v>1170</v>
      </c>
      <c r="D301" s="2" t="s">
        <v>28</v>
      </c>
      <c r="E301" s="2" t="s">
        <v>29</v>
      </c>
      <c r="F301" s="2">
        <v>60</v>
      </c>
      <c r="G301" s="2" t="s">
        <v>1171</v>
      </c>
      <c r="H301" s="2" t="s">
        <v>534</v>
      </c>
      <c r="I301" s="2" t="s">
        <v>32</v>
      </c>
      <c r="J301" s="3">
        <v>44493</v>
      </c>
      <c r="K301" s="2">
        <v>44</v>
      </c>
      <c r="L301" s="2" t="s">
        <v>54</v>
      </c>
    </row>
    <row r="302" spans="1:12" x14ac:dyDescent="0.3">
      <c r="A302" s="2">
        <v>291</v>
      </c>
      <c r="B302" s="2" t="s">
        <v>612</v>
      </c>
      <c r="C302" s="2" t="s">
        <v>1172</v>
      </c>
      <c r="D302" s="2" t="s">
        <v>28</v>
      </c>
      <c r="E302" s="2" t="s">
        <v>29</v>
      </c>
      <c r="F302" s="2">
        <v>90</v>
      </c>
      <c r="G302" s="2" t="s">
        <v>1171</v>
      </c>
      <c r="H302" s="2" t="s">
        <v>1173</v>
      </c>
      <c r="I302" s="2" t="s">
        <v>32</v>
      </c>
      <c r="J302" s="3">
        <v>44256</v>
      </c>
      <c r="K302" s="2">
        <v>18</v>
      </c>
      <c r="L302" s="2" t="s">
        <v>70</v>
      </c>
    </row>
    <row r="303" spans="1:12" x14ac:dyDescent="0.3">
      <c r="A303" s="2">
        <v>292</v>
      </c>
      <c r="B303" s="2" t="s">
        <v>1174</v>
      </c>
      <c r="C303" s="2" t="s">
        <v>1175</v>
      </c>
      <c r="D303" s="2" t="s">
        <v>15</v>
      </c>
      <c r="E303" s="2" t="s">
        <v>16</v>
      </c>
      <c r="F303" s="2">
        <v>30</v>
      </c>
      <c r="G303" s="2" t="s">
        <v>1176</v>
      </c>
      <c r="H303" s="2" t="s">
        <v>1177</v>
      </c>
      <c r="I303" s="2" t="s">
        <v>32</v>
      </c>
      <c r="J303" s="3">
        <v>44160</v>
      </c>
      <c r="K303" s="2">
        <v>8</v>
      </c>
      <c r="L303" s="2" t="s">
        <v>80</v>
      </c>
    </row>
    <row r="304" spans="1:12" x14ac:dyDescent="0.3">
      <c r="A304" s="2">
        <v>293</v>
      </c>
      <c r="B304" s="2" t="s">
        <v>1178</v>
      </c>
      <c r="C304" s="2" t="s">
        <v>1179</v>
      </c>
      <c r="D304" s="2" t="s">
        <v>51</v>
      </c>
      <c r="E304" s="2" t="s">
        <v>16</v>
      </c>
      <c r="F304" s="2">
        <v>90</v>
      </c>
      <c r="G304" s="2" t="s">
        <v>1180</v>
      </c>
      <c r="H304" s="2" t="s">
        <v>702</v>
      </c>
      <c r="I304" s="2" t="s">
        <v>703</v>
      </c>
      <c r="J304" s="3">
        <v>44857</v>
      </c>
      <c r="K304" s="2">
        <v>5</v>
      </c>
      <c r="L304" s="2" t="s">
        <v>39</v>
      </c>
    </row>
    <row r="305" spans="1:12" x14ac:dyDescent="0.3">
      <c r="A305" s="2">
        <v>294</v>
      </c>
      <c r="B305" s="2" t="s">
        <v>1181</v>
      </c>
      <c r="C305" s="2" t="s">
        <v>1182</v>
      </c>
      <c r="D305" s="2" t="s">
        <v>15</v>
      </c>
      <c r="E305" s="2" t="s">
        <v>16</v>
      </c>
      <c r="F305" s="2">
        <v>90</v>
      </c>
      <c r="G305" s="2" t="s">
        <v>1183</v>
      </c>
      <c r="H305" s="2" t="s">
        <v>1184</v>
      </c>
      <c r="I305" s="2" t="s">
        <v>886</v>
      </c>
      <c r="J305" s="3">
        <v>44891</v>
      </c>
      <c r="K305" s="2">
        <v>36</v>
      </c>
      <c r="L305" s="2" t="s">
        <v>80</v>
      </c>
    </row>
    <row r="306" spans="1:12" x14ac:dyDescent="0.3">
      <c r="A306" s="2">
        <v>295</v>
      </c>
      <c r="B306" s="2" t="s">
        <v>935</v>
      </c>
      <c r="C306" s="2" t="s">
        <v>196</v>
      </c>
      <c r="D306" s="2" t="s">
        <v>28</v>
      </c>
      <c r="E306" s="2" t="s">
        <v>29</v>
      </c>
      <c r="F306" s="2">
        <v>30</v>
      </c>
      <c r="G306" s="2" t="s">
        <v>10457</v>
      </c>
      <c r="H306" s="2" t="s">
        <v>1186</v>
      </c>
      <c r="I306" s="2" t="s">
        <v>32</v>
      </c>
      <c r="J306" s="3">
        <v>44042</v>
      </c>
      <c r="K306" s="2">
        <v>65</v>
      </c>
      <c r="L306" s="2" t="s">
        <v>54</v>
      </c>
    </row>
    <row r="307" spans="1:12" x14ac:dyDescent="0.3">
      <c r="A307" s="2">
        <v>296</v>
      </c>
      <c r="B307" s="2" t="s">
        <v>1187</v>
      </c>
      <c r="C307" s="2" t="s">
        <v>1188</v>
      </c>
      <c r="D307" s="2" t="s">
        <v>28</v>
      </c>
      <c r="E307" s="2" t="s">
        <v>29</v>
      </c>
      <c r="F307" s="2">
        <v>30</v>
      </c>
      <c r="G307" s="2" t="s">
        <v>1189</v>
      </c>
      <c r="H307" s="2" t="s">
        <v>1190</v>
      </c>
      <c r="I307" s="2" t="s">
        <v>173</v>
      </c>
      <c r="J307" s="3">
        <v>44681</v>
      </c>
      <c r="K307" s="2">
        <v>3</v>
      </c>
      <c r="L307" s="2" t="s">
        <v>80</v>
      </c>
    </row>
    <row r="308" spans="1:12" x14ac:dyDescent="0.3">
      <c r="A308" s="2">
        <v>297</v>
      </c>
      <c r="B308" s="2" t="s">
        <v>1191</v>
      </c>
      <c r="C308" s="2" t="s">
        <v>1192</v>
      </c>
      <c r="D308" s="2" t="s">
        <v>28</v>
      </c>
      <c r="E308" s="2" t="s">
        <v>29</v>
      </c>
      <c r="F308" s="2">
        <v>90</v>
      </c>
      <c r="G308" s="2" t="s">
        <v>1193</v>
      </c>
      <c r="H308" s="2" t="s">
        <v>1194</v>
      </c>
      <c r="I308" s="2" t="s">
        <v>38</v>
      </c>
      <c r="J308" s="3">
        <v>44556</v>
      </c>
      <c r="K308" s="2">
        <v>22</v>
      </c>
      <c r="L308" s="2" t="s">
        <v>101</v>
      </c>
    </row>
    <row r="309" spans="1:12" x14ac:dyDescent="0.3">
      <c r="A309" s="2">
        <v>298</v>
      </c>
      <c r="B309" s="2" t="s">
        <v>1195</v>
      </c>
      <c r="C309" s="2" t="s">
        <v>1196</v>
      </c>
      <c r="D309" s="2" t="s">
        <v>15</v>
      </c>
      <c r="E309" s="2" t="s">
        <v>16</v>
      </c>
      <c r="F309" s="2">
        <v>90</v>
      </c>
      <c r="G309" s="2" t="s">
        <v>1197</v>
      </c>
      <c r="H309" s="2" t="s">
        <v>1198</v>
      </c>
      <c r="I309" s="2" t="s">
        <v>1199</v>
      </c>
      <c r="J309" s="3">
        <v>44298</v>
      </c>
      <c r="K309" s="2">
        <v>4</v>
      </c>
      <c r="L309" s="2" t="s">
        <v>64</v>
      </c>
    </row>
    <row r="310" spans="1:12" x14ac:dyDescent="0.3">
      <c r="A310" s="2">
        <v>299</v>
      </c>
      <c r="B310" s="2" t="s">
        <v>1200</v>
      </c>
      <c r="C310" s="2" t="s">
        <v>441</v>
      </c>
      <c r="D310" s="2" t="s">
        <v>28</v>
      </c>
      <c r="E310" s="2" t="s">
        <v>29</v>
      </c>
      <c r="F310" s="2">
        <v>60</v>
      </c>
      <c r="G310" s="2" t="s">
        <v>10417</v>
      </c>
      <c r="H310" s="2" t="s">
        <v>1202</v>
      </c>
      <c r="I310" s="2" t="s">
        <v>32</v>
      </c>
      <c r="J310" s="3">
        <v>44534</v>
      </c>
      <c r="K310" s="2">
        <v>60</v>
      </c>
      <c r="L310" s="2" t="s">
        <v>54</v>
      </c>
    </row>
    <row r="311" spans="1:12" x14ac:dyDescent="0.3">
      <c r="A311" s="2">
        <v>300</v>
      </c>
      <c r="B311" s="2" t="s">
        <v>1203</v>
      </c>
      <c r="C311" s="2" t="s">
        <v>1204</v>
      </c>
      <c r="D311" s="2" t="s">
        <v>51</v>
      </c>
      <c r="E311" s="2" t="s">
        <v>16</v>
      </c>
      <c r="F311" s="2">
        <v>60</v>
      </c>
      <c r="G311" s="2" t="s">
        <v>1205</v>
      </c>
      <c r="H311" s="2" t="s">
        <v>1206</v>
      </c>
      <c r="I311" s="2" t="s">
        <v>294</v>
      </c>
      <c r="J311" s="3">
        <v>44359</v>
      </c>
      <c r="K311" s="2">
        <v>4</v>
      </c>
      <c r="L311" s="2" t="s">
        <v>159</v>
      </c>
    </row>
    <row r="312" spans="1:12" x14ac:dyDescent="0.3">
      <c r="A312" s="2">
        <v>301</v>
      </c>
      <c r="B312" s="2" t="s">
        <v>1207</v>
      </c>
      <c r="C312" s="2" t="s">
        <v>1208</v>
      </c>
      <c r="D312" s="2" t="s">
        <v>28</v>
      </c>
      <c r="E312" s="2" t="s">
        <v>29</v>
      </c>
      <c r="F312" s="2">
        <v>90</v>
      </c>
      <c r="G312" s="2" t="s">
        <v>1209</v>
      </c>
      <c r="H312" s="2" t="s">
        <v>1210</v>
      </c>
      <c r="I312" s="2" t="s">
        <v>294</v>
      </c>
      <c r="J312" s="3">
        <v>44920</v>
      </c>
      <c r="K312" s="2">
        <v>104</v>
      </c>
      <c r="L312" s="2" t="s">
        <v>45</v>
      </c>
    </row>
    <row r="313" spans="1:12" x14ac:dyDescent="0.3">
      <c r="A313" s="2">
        <v>302</v>
      </c>
      <c r="B313" s="2" t="s">
        <v>1211</v>
      </c>
      <c r="C313" s="2" t="s">
        <v>1212</v>
      </c>
      <c r="D313" s="2" t="s">
        <v>28</v>
      </c>
      <c r="E313" s="2" t="s">
        <v>29</v>
      </c>
      <c r="F313" s="2">
        <v>30</v>
      </c>
      <c r="G313" s="2" t="s">
        <v>1213</v>
      </c>
      <c r="H313" s="2" t="s">
        <v>1214</v>
      </c>
      <c r="I313" s="2" t="s">
        <v>32</v>
      </c>
      <c r="J313" s="3">
        <v>43953</v>
      </c>
      <c r="K313" s="2">
        <v>82</v>
      </c>
      <c r="L313" s="2" t="s">
        <v>101</v>
      </c>
    </row>
    <row r="314" spans="1:12" x14ac:dyDescent="0.3">
      <c r="A314" s="2">
        <v>303</v>
      </c>
      <c r="B314" s="2" t="s">
        <v>1215</v>
      </c>
      <c r="C314" s="2" t="s">
        <v>1216</v>
      </c>
      <c r="D314" s="2" t="s">
        <v>51</v>
      </c>
      <c r="E314" s="2" t="s">
        <v>16</v>
      </c>
      <c r="F314" s="2">
        <v>90</v>
      </c>
      <c r="G314" s="2" t="s">
        <v>1217</v>
      </c>
      <c r="H314" s="2" t="s">
        <v>1218</v>
      </c>
      <c r="I314" s="2" t="s">
        <v>294</v>
      </c>
      <c r="J314" s="3">
        <v>44899</v>
      </c>
      <c r="K314" s="2">
        <v>2</v>
      </c>
      <c r="L314" s="2" t="s">
        <v>101</v>
      </c>
    </row>
    <row r="315" spans="1:12" x14ac:dyDescent="0.3">
      <c r="A315" s="2">
        <v>304</v>
      </c>
      <c r="B315" s="2" t="s">
        <v>1129</v>
      </c>
      <c r="C315" s="2" t="s">
        <v>1219</v>
      </c>
      <c r="D315" s="2" t="s">
        <v>28</v>
      </c>
      <c r="E315" s="2" t="s">
        <v>29</v>
      </c>
      <c r="F315" s="2">
        <v>90</v>
      </c>
      <c r="G315" s="2" t="s">
        <v>1220</v>
      </c>
      <c r="H315" s="2" t="s">
        <v>1221</v>
      </c>
      <c r="I315" s="2" t="s">
        <v>124</v>
      </c>
      <c r="J315" s="3">
        <v>44249</v>
      </c>
      <c r="K315" s="2">
        <v>71</v>
      </c>
      <c r="L315" s="2" t="s">
        <v>45</v>
      </c>
    </row>
    <row r="316" spans="1:12" x14ac:dyDescent="0.3">
      <c r="A316" s="2">
        <v>305</v>
      </c>
      <c r="B316" s="2" t="s">
        <v>846</v>
      </c>
      <c r="C316" s="2" t="s">
        <v>1222</v>
      </c>
      <c r="D316" s="2" t="s">
        <v>28</v>
      </c>
      <c r="E316" s="2" t="s">
        <v>29</v>
      </c>
      <c r="F316" s="2">
        <v>90</v>
      </c>
      <c r="G316" s="2" t="s">
        <v>1223</v>
      </c>
      <c r="H316" s="2" t="s">
        <v>1224</v>
      </c>
      <c r="I316" s="2" t="s">
        <v>25</v>
      </c>
      <c r="J316" s="3">
        <v>44036</v>
      </c>
      <c r="K316" s="2">
        <v>75</v>
      </c>
      <c r="L316" s="2" t="s">
        <v>33</v>
      </c>
    </row>
    <row r="317" spans="1:12" x14ac:dyDescent="0.3">
      <c r="A317" s="2">
        <v>306</v>
      </c>
      <c r="B317" s="2" t="s">
        <v>1225</v>
      </c>
      <c r="C317" s="2" t="s">
        <v>1226</v>
      </c>
      <c r="D317" s="2" t="s">
        <v>28</v>
      </c>
      <c r="E317" s="2" t="s">
        <v>29</v>
      </c>
      <c r="F317" s="2">
        <v>90</v>
      </c>
      <c r="G317" s="2" t="s">
        <v>10464</v>
      </c>
      <c r="H317" s="2" t="s">
        <v>1228</v>
      </c>
      <c r="I317" s="2" t="s">
        <v>25</v>
      </c>
      <c r="J317" s="3">
        <v>44758</v>
      </c>
      <c r="K317" s="2">
        <v>45</v>
      </c>
      <c r="L317" s="2" t="s">
        <v>54</v>
      </c>
    </row>
    <row r="318" spans="1:12" x14ac:dyDescent="0.3">
      <c r="A318" s="2">
        <v>307</v>
      </c>
      <c r="B318" s="2" t="s">
        <v>1229</v>
      </c>
      <c r="C318" s="2" t="s">
        <v>1230</v>
      </c>
      <c r="D318" s="2" t="s">
        <v>28</v>
      </c>
      <c r="E318" s="2" t="s">
        <v>29</v>
      </c>
      <c r="F318" s="2">
        <v>30</v>
      </c>
      <c r="G318" s="2" t="s">
        <v>1231</v>
      </c>
      <c r="H318" s="2" t="s">
        <v>1232</v>
      </c>
      <c r="I318" s="2" t="s">
        <v>1233</v>
      </c>
      <c r="J318" s="3">
        <v>44724</v>
      </c>
      <c r="K318" s="2">
        <v>86</v>
      </c>
      <c r="L318" s="2" t="s">
        <v>39</v>
      </c>
    </row>
    <row r="319" spans="1:12" x14ac:dyDescent="0.3">
      <c r="A319" s="2">
        <v>308</v>
      </c>
      <c r="B319" s="2" t="s">
        <v>1234</v>
      </c>
      <c r="C319" s="2" t="s">
        <v>500</v>
      </c>
      <c r="D319" s="2" t="s">
        <v>28</v>
      </c>
      <c r="E319" s="2" t="s">
        <v>29</v>
      </c>
      <c r="F319" s="2">
        <v>60</v>
      </c>
      <c r="G319" s="2" t="s">
        <v>1235</v>
      </c>
      <c r="H319" s="2" t="s">
        <v>99</v>
      </c>
      <c r="I319" s="2" t="s">
        <v>100</v>
      </c>
      <c r="J319" s="3">
        <v>44838</v>
      </c>
      <c r="K319" s="2">
        <v>19</v>
      </c>
      <c r="L319" s="2" t="s">
        <v>64</v>
      </c>
    </row>
    <row r="320" spans="1:12" x14ac:dyDescent="0.3">
      <c r="A320" s="2">
        <v>309</v>
      </c>
      <c r="B320" s="2" t="s">
        <v>1236</v>
      </c>
      <c r="C320" s="2" t="s">
        <v>1237</v>
      </c>
      <c r="D320" s="2" t="s">
        <v>51</v>
      </c>
      <c r="E320" s="2" t="s">
        <v>16</v>
      </c>
      <c r="F320" s="2">
        <v>90</v>
      </c>
      <c r="G320" s="2" t="s">
        <v>1238</v>
      </c>
      <c r="H320" s="2" t="s">
        <v>746</v>
      </c>
      <c r="I320" s="2" t="s">
        <v>32</v>
      </c>
      <c r="J320" s="3">
        <v>44358</v>
      </c>
      <c r="K320" s="2">
        <v>85</v>
      </c>
      <c r="L320" s="2" t="s">
        <v>45</v>
      </c>
    </row>
    <row r="321" spans="1:12" x14ac:dyDescent="0.3">
      <c r="A321" s="2">
        <v>310</v>
      </c>
      <c r="B321" s="2" t="s">
        <v>1239</v>
      </c>
      <c r="C321" s="2" t="s">
        <v>1240</v>
      </c>
      <c r="D321" s="2" t="s">
        <v>28</v>
      </c>
      <c r="E321" s="2" t="s">
        <v>29</v>
      </c>
      <c r="F321" s="2">
        <v>90</v>
      </c>
      <c r="G321" s="2" t="s">
        <v>1241</v>
      </c>
      <c r="H321" s="2" t="s">
        <v>1242</v>
      </c>
      <c r="I321" s="2" t="s">
        <v>38</v>
      </c>
      <c r="J321" s="3">
        <v>44625</v>
      </c>
      <c r="K321" s="2">
        <v>104</v>
      </c>
      <c r="L321" s="2" t="s">
        <v>64</v>
      </c>
    </row>
    <row r="322" spans="1:12" x14ac:dyDescent="0.3">
      <c r="A322" s="2">
        <v>311</v>
      </c>
      <c r="B322" s="2" t="s">
        <v>1243</v>
      </c>
      <c r="C322" s="2" t="s">
        <v>1244</v>
      </c>
      <c r="D322" s="2" t="s">
        <v>28</v>
      </c>
      <c r="E322" s="2" t="s">
        <v>29</v>
      </c>
      <c r="F322" s="2">
        <v>30</v>
      </c>
      <c r="G322" s="2" t="s">
        <v>10465</v>
      </c>
      <c r="H322" s="2" t="s">
        <v>145</v>
      </c>
      <c r="I322" s="2" t="s">
        <v>146</v>
      </c>
      <c r="J322" s="3">
        <v>43887</v>
      </c>
      <c r="K322" s="2">
        <v>18</v>
      </c>
      <c r="L322" s="2" t="s">
        <v>70</v>
      </c>
    </row>
    <row r="323" spans="1:12" x14ac:dyDescent="0.3">
      <c r="A323" s="2">
        <v>312</v>
      </c>
      <c r="B323" s="2" t="s">
        <v>1246</v>
      </c>
      <c r="C323" s="2" t="s">
        <v>1247</v>
      </c>
      <c r="D323" s="2" t="s">
        <v>28</v>
      </c>
      <c r="E323" s="2" t="s">
        <v>29</v>
      </c>
      <c r="F323" s="2">
        <v>60</v>
      </c>
      <c r="G323" s="2" t="s">
        <v>1248</v>
      </c>
      <c r="H323" s="2" t="s">
        <v>1249</v>
      </c>
      <c r="I323" s="2" t="s">
        <v>146</v>
      </c>
      <c r="J323" s="3">
        <v>44006</v>
      </c>
      <c r="K323" s="2">
        <v>67</v>
      </c>
      <c r="L323" s="2" t="s">
        <v>159</v>
      </c>
    </row>
    <row r="324" spans="1:12" x14ac:dyDescent="0.3">
      <c r="A324" s="2">
        <v>313</v>
      </c>
      <c r="B324" s="2" t="s">
        <v>1250</v>
      </c>
      <c r="C324" s="2" t="s">
        <v>1251</v>
      </c>
      <c r="D324" s="2" t="s">
        <v>51</v>
      </c>
      <c r="E324" s="2" t="s">
        <v>16</v>
      </c>
      <c r="F324" s="2">
        <v>30</v>
      </c>
      <c r="G324" s="2" t="s">
        <v>1252</v>
      </c>
      <c r="H324" s="2" t="s">
        <v>1253</v>
      </c>
      <c r="I324" s="2" t="s">
        <v>32</v>
      </c>
      <c r="J324" s="3">
        <v>44573</v>
      </c>
      <c r="K324" s="2">
        <v>68</v>
      </c>
      <c r="L324" s="2" t="s">
        <v>20</v>
      </c>
    </row>
    <row r="325" spans="1:12" x14ac:dyDescent="0.3">
      <c r="A325" s="2">
        <v>314</v>
      </c>
      <c r="B325" s="2" t="s">
        <v>1254</v>
      </c>
      <c r="C325" s="2" t="s">
        <v>948</v>
      </c>
      <c r="D325" s="2" t="s">
        <v>15</v>
      </c>
      <c r="E325" s="2" t="s">
        <v>16</v>
      </c>
      <c r="F325" s="2">
        <v>60</v>
      </c>
      <c r="G325" s="2" t="s">
        <v>1255</v>
      </c>
      <c r="H325" s="2" t="s">
        <v>1256</v>
      </c>
      <c r="I325" s="2" t="s">
        <v>32</v>
      </c>
      <c r="J325" s="3">
        <v>44561</v>
      </c>
      <c r="K325" s="2">
        <v>54</v>
      </c>
      <c r="L325" s="2" t="s">
        <v>70</v>
      </c>
    </row>
    <row r="326" spans="1:12" x14ac:dyDescent="0.3">
      <c r="A326" s="2">
        <v>315</v>
      </c>
      <c r="B326" s="2" t="s">
        <v>752</v>
      </c>
      <c r="C326" s="2" t="s">
        <v>394</v>
      </c>
      <c r="D326" s="2" t="s">
        <v>28</v>
      </c>
      <c r="E326" s="2" t="s">
        <v>29</v>
      </c>
      <c r="F326" s="2">
        <v>60</v>
      </c>
      <c r="G326" s="2" t="s">
        <v>1257</v>
      </c>
      <c r="H326" s="2" t="s">
        <v>1258</v>
      </c>
      <c r="I326" s="2" t="s">
        <v>32</v>
      </c>
      <c r="J326" s="3">
        <v>44817</v>
      </c>
      <c r="K326" s="2">
        <v>42</v>
      </c>
      <c r="L326" s="2" t="s">
        <v>20</v>
      </c>
    </row>
    <row r="327" spans="1:12" x14ac:dyDescent="0.3">
      <c r="A327" s="2">
        <v>316</v>
      </c>
      <c r="B327" s="2" t="s">
        <v>351</v>
      </c>
      <c r="C327" s="2" t="s">
        <v>1259</v>
      </c>
      <c r="D327" s="2" t="s">
        <v>51</v>
      </c>
      <c r="E327" s="2" t="s">
        <v>16</v>
      </c>
      <c r="F327" s="2">
        <v>30</v>
      </c>
      <c r="G327" s="2" t="s">
        <v>1260</v>
      </c>
      <c r="H327" s="2" t="s">
        <v>1261</v>
      </c>
      <c r="I327" s="2" t="s">
        <v>32</v>
      </c>
      <c r="J327" s="3">
        <v>44820</v>
      </c>
      <c r="K327" s="2">
        <v>86</v>
      </c>
      <c r="L327" s="2" t="s">
        <v>101</v>
      </c>
    </row>
    <row r="328" spans="1:12" x14ac:dyDescent="0.3">
      <c r="A328" s="2">
        <v>317</v>
      </c>
      <c r="B328" s="2" t="s">
        <v>1262</v>
      </c>
      <c r="C328" s="2" t="s">
        <v>1263</v>
      </c>
      <c r="D328" s="2" t="s">
        <v>28</v>
      </c>
      <c r="E328" s="2" t="s">
        <v>29</v>
      </c>
      <c r="F328" s="2">
        <v>60</v>
      </c>
      <c r="G328" s="2" t="s">
        <v>1264</v>
      </c>
      <c r="H328" s="2" t="s">
        <v>1265</v>
      </c>
      <c r="I328" s="2" t="s">
        <v>32</v>
      </c>
      <c r="J328" s="3">
        <v>43939</v>
      </c>
      <c r="K328" s="2">
        <v>49</v>
      </c>
      <c r="L328" s="2" t="s">
        <v>39</v>
      </c>
    </row>
    <row r="329" spans="1:12" x14ac:dyDescent="0.3">
      <c r="A329" s="2">
        <v>318</v>
      </c>
      <c r="B329" s="2" t="s">
        <v>1266</v>
      </c>
      <c r="C329" s="2" t="s">
        <v>1267</v>
      </c>
      <c r="D329" s="2" t="s">
        <v>51</v>
      </c>
      <c r="E329" s="2" t="s">
        <v>16</v>
      </c>
      <c r="F329" s="2">
        <v>90</v>
      </c>
      <c r="G329" s="2" t="s">
        <v>1268</v>
      </c>
      <c r="H329" s="2" t="s">
        <v>1269</v>
      </c>
      <c r="I329" s="2" t="s">
        <v>187</v>
      </c>
      <c r="J329" s="3">
        <v>44622</v>
      </c>
      <c r="K329" s="2">
        <v>15</v>
      </c>
      <c r="L329" s="2" t="s">
        <v>159</v>
      </c>
    </row>
    <row r="330" spans="1:12" x14ac:dyDescent="0.3">
      <c r="A330" s="2">
        <v>319</v>
      </c>
      <c r="B330" s="2" t="s">
        <v>559</v>
      </c>
      <c r="C330" s="2" t="s">
        <v>1270</v>
      </c>
      <c r="D330" s="2" t="s">
        <v>51</v>
      </c>
      <c r="E330" s="2" t="s">
        <v>16</v>
      </c>
      <c r="F330" s="2">
        <v>60</v>
      </c>
      <c r="G330" s="2" t="s">
        <v>1271</v>
      </c>
      <c r="H330" s="2" t="s">
        <v>1272</v>
      </c>
      <c r="I330" s="2" t="s">
        <v>59</v>
      </c>
      <c r="J330" s="3">
        <v>44413</v>
      </c>
      <c r="K330" s="2">
        <v>42</v>
      </c>
      <c r="L330" s="2" t="s">
        <v>64</v>
      </c>
    </row>
    <row r="331" spans="1:12" x14ac:dyDescent="0.3">
      <c r="A331" s="2">
        <v>320</v>
      </c>
      <c r="B331" s="2" t="s">
        <v>1273</v>
      </c>
      <c r="C331" s="2" t="s">
        <v>1274</v>
      </c>
      <c r="D331" s="2" t="s">
        <v>28</v>
      </c>
      <c r="E331" s="2" t="s">
        <v>29</v>
      </c>
      <c r="F331" s="2">
        <v>60</v>
      </c>
      <c r="G331" s="2" t="s">
        <v>1275</v>
      </c>
      <c r="H331" s="2" t="s">
        <v>1276</v>
      </c>
      <c r="I331" s="2" t="s">
        <v>32</v>
      </c>
      <c r="J331" s="3">
        <v>43886</v>
      </c>
      <c r="K331" s="2">
        <v>36</v>
      </c>
      <c r="L331" s="2" t="s">
        <v>80</v>
      </c>
    </row>
    <row r="332" spans="1:12" x14ac:dyDescent="0.3">
      <c r="A332" s="2">
        <v>321</v>
      </c>
      <c r="B332" s="2" t="s">
        <v>1277</v>
      </c>
      <c r="C332" s="2" t="s">
        <v>1278</v>
      </c>
      <c r="D332" s="2" t="s">
        <v>51</v>
      </c>
      <c r="E332" s="2" t="s">
        <v>16</v>
      </c>
      <c r="F332" s="2">
        <v>90</v>
      </c>
      <c r="G332" s="2" t="s">
        <v>1279</v>
      </c>
      <c r="H332" s="2" t="s">
        <v>1280</v>
      </c>
      <c r="I332" s="2" t="s">
        <v>95</v>
      </c>
      <c r="J332" s="3">
        <v>44749</v>
      </c>
      <c r="K332" s="2">
        <v>14</v>
      </c>
      <c r="L332" s="2" t="s">
        <v>64</v>
      </c>
    </row>
    <row r="333" spans="1:12" x14ac:dyDescent="0.3">
      <c r="A333" s="2">
        <v>322</v>
      </c>
      <c r="B333" s="2" t="s">
        <v>1281</v>
      </c>
      <c r="C333" s="2" t="s">
        <v>1282</v>
      </c>
      <c r="D333" s="2" t="s">
        <v>28</v>
      </c>
      <c r="E333" s="2" t="s">
        <v>29</v>
      </c>
      <c r="F333" s="2">
        <v>60</v>
      </c>
      <c r="G333" s="2" t="s">
        <v>1283</v>
      </c>
      <c r="H333" s="2" t="s">
        <v>1284</v>
      </c>
      <c r="I333" s="2" t="s">
        <v>32</v>
      </c>
      <c r="J333" s="3">
        <v>43841</v>
      </c>
      <c r="K333" s="2">
        <v>73</v>
      </c>
      <c r="L333" s="2" t="s">
        <v>64</v>
      </c>
    </row>
    <row r="334" spans="1:12" x14ac:dyDescent="0.3">
      <c r="A334" s="2">
        <v>323</v>
      </c>
      <c r="B334" s="2" t="s">
        <v>1285</v>
      </c>
      <c r="C334" s="2" t="s">
        <v>1286</v>
      </c>
      <c r="D334" s="2" t="s">
        <v>15</v>
      </c>
      <c r="E334" s="2" t="s">
        <v>16</v>
      </c>
      <c r="F334" s="2">
        <v>90</v>
      </c>
      <c r="G334" s="2" t="s">
        <v>10642</v>
      </c>
      <c r="H334" s="2" t="s">
        <v>1214</v>
      </c>
      <c r="I334" s="2" t="s">
        <v>32</v>
      </c>
      <c r="J334" s="3">
        <v>44318</v>
      </c>
      <c r="K334" s="2">
        <v>80</v>
      </c>
      <c r="L334" s="2" t="s">
        <v>54</v>
      </c>
    </row>
    <row r="335" spans="1:12" x14ac:dyDescent="0.3">
      <c r="A335" s="2">
        <v>324</v>
      </c>
      <c r="B335" s="2" t="s">
        <v>1288</v>
      </c>
      <c r="C335" s="2" t="s">
        <v>365</v>
      </c>
      <c r="D335" s="2" t="s">
        <v>15</v>
      </c>
      <c r="E335" s="2" t="s">
        <v>16</v>
      </c>
      <c r="F335" s="2">
        <v>30</v>
      </c>
      <c r="G335" s="2" t="s">
        <v>1289</v>
      </c>
      <c r="H335" s="2" t="s">
        <v>637</v>
      </c>
      <c r="I335" s="2" t="s">
        <v>32</v>
      </c>
      <c r="J335" s="3">
        <v>43833</v>
      </c>
      <c r="K335" s="2">
        <v>60</v>
      </c>
      <c r="L335" s="2" t="s">
        <v>70</v>
      </c>
    </row>
    <row r="336" spans="1:12" x14ac:dyDescent="0.3">
      <c r="A336" s="2">
        <v>325</v>
      </c>
      <c r="B336" s="2" t="s">
        <v>1290</v>
      </c>
      <c r="C336" s="2" t="s">
        <v>111</v>
      </c>
      <c r="D336" s="2" t="s">
        <v>15</v>
      </c>
      <c r="E336" s="2" t="s">
        <v>16</v>
      </c>
      <c r="F336" s="2">
        <v>60</v>
      </c>
      <c r="G336" s="2" t="s">
        <v>1291</v>
      </c>
      <c r="H336" s="2" t="s">
        <v>1292</v>
      </c>
      <c r="I336" s="2" t="s">
        <v>32</v>
      </c>
      <c r="J336" s="3">
        <v>44482</v>
      </c>
      <c r="K336" s="2">
        <v>58</v>
      </c>
      <c r="L336" s="2" t="s">
        <v>33</v>
      </c>
    </row>
    <row r="337" spans="1:12" x14ac:dyDescent="0.3">
      <c r="A337" s="2">
        <v>326</v>
      </c>
      <c r="B337" s="2" t="s">
        <v>1293</v>
      </c>
      <c r="C337" s="2" t="s">
        <v>26</v>
      </c>
      <c r="D337" s="2" t="s">
        <v>51</v>
      </c>
      <c r="E337" s="2" t="s">
        <v>16</v>
      </c>
      <c r="F337" s="2">
        <v>30</v>
      </c>
      <c r="G337" s="2" t="s">
        <v>1294</v>
      </c>
      <c r="H337" s="2" t="s">
        <v>1295</v>
      </c>
      <c r="I337" s="2" t="s">
        <v>32</v>
      </c>
      <c r="J337" s="3">
        <v>44344</v>
      </c>
      <c r="K337" s="2">
        <v>70</v>
      </c>
      <c r="L337" s="2" t="s">
        <v>39</v>
      </c>
    </row>
    <row r="338" spans="1:12" x14ac:dyDescent="0.3">
      <c r="A338" s="2">
        <v>327</v>
      </c>
      <c r="B338" s="2" t="s">
        <v>1296</v>
      </c>
      <c r="C338" s="2" t="s">
        <v>1297</v>
      </c>
      <c r="D338" s="2" t="s">
        <v>28</v>
      </c>
      <c r="E338" s="2" t="s">
        <v>29</v>
      </c>
      <c r="F338" s="2">
        <v>30</v>
      </c>
      <c r="G338" s="2" t="s">
        <v>1298</v>
      </c>
      <c r="H338" s="2" t="s">
        <v>1299</v>
      </c>
      <c r="I338" s="2" t="s">
        <v>1199</v>
      </c>
      <c r="J338" s="3">
        <v>44170</v>
      </c>
      <c r="K338" s="2">
        <v>55</v>
      </c>
      <c r="L338" s="2" t="s">
        <v>54</v>
      </c>
    </row>
    <row r="339" spans="1:12" x14ac:dyDescent="0.3">
      <c r="A339" s="2">
        <v>328</v>
      </c>
      <c r="B339" s="2" t="s">
        <v>1300</v>
      </c>
      <c r="C339" s="2" t="s">
        <v>1301</v>
      </c>
      <c r="D339" s="2" t="s">
        <v>28</v>
      </c>
      <c r="E339" s="2" t="s">
        <v>29</v>
      </c>
      <c r="F339" s="2">
        <v>90</v>
      </c>
      <c r="G339" s="2" t="s">
        <v>1302</v>
      </c>
      <c r="H339" s="2" t="s">
        <v>1261</v>
      </c>
      <c r="I339" s="2" t="s">
        <v>32</v>
      </c>
      <c r="J339" s="3">
        <v>44383</v>
      </c>
      <c r="K339" s="2">
        <v>32</v>
      </c>
      <c r="L339" s="2" t="s">
        <v>54</v>
      </c>
    </row>
    <row r="340" spans="1:12" x14ac:dyDescent="0.3">
      <c r="A340" s="2">
        <v>329</v>
      </c>
      <c r="B340" s="2" t="s">
        <v>1303</v>
      </c>
      <c r="C340" s="2" t="s">
        <v>1304</v>
      </c>
      <c r="D340" s="2" t="s">
        <v>41</v>
      </c>
      <c r="E340" s="2" t="s">
        <v>16</v>
      </c>
      <c r="F340" s="2">
        <v>30</v>
      </c>
      <c r="G340" s="2" t="s">
        <v>1305</v>
      </c>
      <c r="H340" s="2" t="s">
        <v>1306</v>
      </c>
      <c r="I340" s="2" t="s">
        <v>32</v>
      </c>
      <c r="J340" s="3">
        <v>44123</v>
      </c>
      <c r="K340" s="2">
        <v>77</v>
      </c>
      <c r="L340" s="2" t="s">
        <v>64</v>
      </c>
    </row>
    <row r="341" spans="1:12" x14ac:dyDescent="0.3">
      <c r="A341" s="2">
        <v>330</v>
      </c>
      <c r="B341" s="2" t="s">
        <v>1307</v>
      </c>
      <c r="C341" s="2" t="s">
        <v>1308</v>
      </c>
      <c r="D341" s="2" t="s">
        <v>28</v>
      </c>
      <c r="E341" s="2" t="s">
        <v>29</v>
      </c>
      <c r="F341" s="2">
        <v>30</v>
      </c>
      <c r="G341" s="2" t="s">
        <v>1309</v>
      </c>
      <c r="H341" s="2" t="s">
        <v>1310</v>
      </c>
      <c r="I341" s="2" t="s">
        <v>1311</v>
      </c>
      <c r="J341" s="3">
        <v>43861</v>
      </c>
      <c r="K341" s="2">
        <v>57</v>
      </c>
      <c r="L341" s="2" t="s">
        <v>101</v>
      </c>
    </row>
    <row r="342" spans="1:12" x14ac:dyDescent="0.3">
      <c r="A342" s="2">
        <v>331</v>
      </c>
      <c r="B342" s="2" t="s">
        <v>1312</v>
      </c>
      <c r="C342" s="2" t="s">
        <v>1313</v>
      </c>
      <c r="D342" s="2" t="s">
        <v>28</v>
      </c>
      <c r="E342" s="2" t="s">
        <v>29</v>
      </c>
      <c r="F342" s="2">
        <v>90</v>
      </c>
      <c r="G342" s="2" t="s">
        <v>1314</v>
      </c>
      <c r="H342" s="2" t="s">
        <v>1315</v>
      </c>
      <c r="I342" s="2" t="s">
        <v>32</v>
      </c>
      <c r="J342" s="3">
        <v>44304</v>
      </c>
      <c r="K342" s="2">
        <v>5</v>
      </c>
      <c r="L342" s="2" t="s">
        <v>64</v>
      </c>
    </row>
    <row r="343" spans="1:12" x14ac:dyDescent="0.3">
      <c r="A343" s="2">
        <v>332</v>
      </c>
      <c r="B343" s="2" t="s">
        <v>1316</v>
      </c>
      <c r="C343" s="2" t="s">
        <v>1317</v>
      </c>
      <c r="D343" s="2" t="s">
        <v>28</v>
      </c>
      <c r="E343" s="2" t="s">
        <v>29</v>
      </c>
      <c r="F343" s="2">
        <v>60</v>
      </c>
      <c r="G343" s="2" t="s">
        <v>1314</v>
      </c>
      <c r="H343" s="2" t="s">
        <v>1318</v>
      </c>
      <c r="I343" s="2" t="s">
        <v>32</v>
      </c>
      <c r="J343" s="3">
        <v>44275</v>
      </c>
      <c r="K343" s="2">
        <v>10</v>
      </c>
      <c r="L343" s="2" t="s">
        <v>64</v>
      </c>
    </row>
    <row r="344" spans="1:12" x14ac:dyDescent="0.3">
      <c r="A344" s="2">
        <v>333</v>
      </c>
      <c r="B344" s="2" t="s">
        <v>1319</v>
      </c>
      <c r="C344" s="2" t="s">
        <v>1320</v>
      </c>
      <c r="D344" s="2" t="s">
        <v>15</v>
      </c>
      <c r="E344" s="2" t="s">
        <v>16</v>
      </c>
      <c r="F344" s="2">
        <v>90</v>
      </c>
      <c r="G344" s="2" t="s">
        <v>1321</v>
      </c>
      <c r="H344" s="2" t="s">
        <v>978</v>
      </c>
      <c r="I344" s="2" t="s">
        <v>294</v>
      </c>
      <c r="J344" s="3">
        <v>44258</v>
      </c>
      <c r="K344" s="2">
        <v>58</v>
      </c>
      <c r="L344" s="2" t="s">
        <v>101</v>
      </c>
    </row>
    <row r="345" spans="1:12" x14ac:dyDescent="0.3">
      <c r="A345" s="2">
        <v>334</v>
      </c>
      <c r="B345" s="2" t="s">
        <v>1322</v>
      </c>
      <c r="C345" s="2" t="s">
        <v>1323</v>
      </c>
      <c r="D345" s="2" t="s">
        <v>15</v>
      </c>
      <c r="E345" s="2" t="s">
        <v>16</v>
      </c>
      <c r="F345" s="2">
        <v>60</v>
      </c>
      <c r="G345" s="2" t="s">
        <v>1324</v>
      </c>
      <c r="H345" s="2" t="s">
        <v>1325</v>
      </c>
      <c r="I345" s="2" t="s">
        <v>187</v>
      </c>
      <c r="J345" s="3">
        <v>44790</v>
      </c>
      <c r="K345" s="2">
        <v>105</v>
      </c>
      <c r="L345" s="2" t="s">
        <v>54</v>
      </c>
    </row>
    <row r="346" spans="1:12" x14ac:dyDescent="0.3">
      <c r="A346" s="2">
        <v>335</v>
      </c>
      <c r="B346" s="2" t="s">
        <v>1326</v>
      </c>
      <c r="C346" s="2" t="s">
        <v>1327</v>
      </c>
      <c r="D346" s="2" t="s">
        <v>28</v>
      </c>
      <c r="E346" s="2" t="s">
        <v>29</v>
      </c>
      <c r="F346" s="2">
        <v>30</v>
      </c>
      <c r="G346" s="2" t="s">
        <v>1328</v>
      </c>
      <c r="H346" s="2" t="s">
        <v>1329</v>
      </c>
      <c r="I346" s="2" t="s">
        <v>95</v>
      </c>
      <c r="J346" s="3">
        <v>43898</v>
      </c>
      <c r="K346" s="2">
        <v>84</v>
      </c>
      <c r="L346" s="2" t="s">
        <v>45</v>
      </c>
    </row>
    <row r="347" spans="1:12" x14ac:dyDescent="0.3">
      <c r="A347" s="2">
        <v>336</v>
      </c>
      <c r="B347" s="2" t="s">
        <v>616</v>
      </c>
      <c r="C347" s="2" t="s">
        <v>1330</v>
      </c>
      <c r="D347" s="2" t="s">
        <v>28</v>
      </c>
      <c r="E347" s="2" t="s">
        <v>29</v>
      </c>
      <c r="F347" s="2">
        <v>60</v>
      </c>
      <c r="G347" s="2" t="s">
        <v>1331</v>
      </c>
      <c r="H347" s="2" t="s">
        <v>1332</v>
      </c>
      <c r="I347" s="2" t="s">
        <v>32</v>
      </c>
      <c r="J347" s="3">
        <v>43937</v>
      </c>
      <c r="K347" s="2">
        <v>35</v>
      </c>
      <c r="L347" s="2" t="s">
        <v>101</v>
      </c>
    </row>
    <row r="348" spans="1:12" x14ac:dyDescent="0.3">
      <c r="A348" s="2">
        <v>337</v>
      </c>
      <c r="B348" s="2" t="s">
        <v>1333</v>
      </c>
      <c r="C348" s="2" t="s">
        <v>1334</v>
      </c>
      <c r="D348" s="2" t="s">
        <v>28</v>
      </c>
      <c r="E348" s="2" t="s">
        <v>29</v>
      </c>
      <c r="F348" s="2">
        <v>90</v>
      </c>
      <c r="G348" s="2" t="s">
        <v>1335</v>
      </c>
      <c r="H348" s="2" t="s">
        <v>1336</v>
      </c>
      <c r="I348" s="2" t="s">
        <v>129</v>
      </c>
      <c r="J348" s="3">
        <v>44853</v>
      </c>
      <c r="K348" s="2">
        <v>42</v>
      </c>
      <c r="L348" s="2" t="s">
        <v>101</v>
      </c>
    </row>
    <row r="349" spans="1:12" x14ac:dyDescent="0.3">
      <c r="A349" s="2">
        <v>338</v>
      </c>
      <c r="B349" s="2" t="s">
        <v>1337</v>
      </c>
      <c r="C349" s="2" t="s">
        <v>1338</v>
      </c>
      <c r="D349" s="2" t="s">
        <v>28</v>
      </c>
      <c r="E349" s="2" t="s">
        <v>29</v>
      </c>
      <c r="F349" s="2">
        <v>60</v>
      </c>
      <c r="G349" s="2" t="s">
        <v>1339</v>
      </c>
      <c r="H349" s="2" t="s">
        <v>199</v>
      </c>
      <c r="I349" s="2" t="s">
        <v>32</v>
      </c>
      <c r="J349" s="3">
        <v>44900</v>
      </c>
      <c r="K349" s="2">
        <v>55</v>
      </c>
      <c r="L349" s="2" t="s">
        <v>33</v>
      </c>
    </row>
    <row r="350" spans="1:12" x14ac:dyDescent="0.3">
      <c r="A350" s="2">
        <v>339</v>
      </c>
      <c r="B350" s="2" t="s">
        <v>1340</v>
      </c>
      <c r="C350" s="2" t="s">
        <v>1341</v>
      </c>
      <c r="D350" s="2" t="s">
        <v>41</v>
      </c>
      <c r="E350" s="2" t="s">
        <v>16</v>
      </c>
      <c r="F350" s="2">
        <v>30</v>
      </c>
      <c r="G350" s="2" t="s">
        <v>1342</v>
      </c>
      <c r="H350" s="2" t="s">
        <v>1343</v>
      </c>
      <c r="I350" s="2" t="s">
        <v>294</v>
      </c>
      <c r="J350" s="3">
        <v>44451</v>
      </c>
      <c r="K350" s="2">
        <v>82</v>
      </c>
      <c r="L350" s="2" t="s">
        <v>45</v>
      </c>
    </row>
    <row r="351" spans="1:12" x14ac:dyDescent="0.3">
      <c r="A351" s="2">
        <v>340</v>
      </c>
      <c r="B351" s="2" t="s">
        <v>1344</v>
      </c>
      <c r="C351" s="2" t="s">
        <v>1345</v>
      </c>
      <c r="D351" s="2" t="s">
        <v>15</v>
      </c>
      <c r="E351" s="2" t="s">
        <v>16</v>
      </c>
      <c r="F351" s="2">
        <v>60</v>
      </c>
      <c r="G351" s="2" t="s">
        <v>1346</v>
      </c>
      <c r="H351" s="2" t="s">
        <v>1347</v>
      </c>
      <c r="I351" s="2" t="s">
        <v>32</v>
      </c>
      <c r="J351" s="3">
        <v>44806</v>
      </c>
      <c r="K351" s="2">
        <v>37</v>
      </c>
      <c r="L351" s="2" t="s">
        <v>70</v>
      </c>
    </row>
    <row r="352" spans="1:12" x14ac:dyDescent="0.3">
      <c r="A352" s="2">
        <v>341</v>
      </c>
      <c r="B352" s="2" t="s">
        <v>800</v>
      </c>
      <c r="C352" s="2" t="s">
        <v>1348</v>
      </c>
      <c r="D352" s="2" t="s">
        <v>28</v>
      </c>
      <c r="E352" s="2" t="s">
        <v>29</v>
      </c>
      <c r="F352" s="2">
        <v>30</v>
      </c>
      <c r="G352" s="2" t="s">
        <v>1349</v>
      </c>
      <c r="H352" s="2" t="s">
        <v>1350</v>
      </c>
      <c r="I352" s="2" t="s">
        <v>32</v>
      </c>
      <c r="J352" s="3">
        <v>44189</v>
      </c>
      <c r="K352" s="2">
        <v>81</v>
      </c>
      <c r="L352" s="2" t="s">
        <v>39</v>
      </c>
    </row>
    <row r="353" spans="1:12" x14ac:dyDescent="0.3">
      <c r="A353" s="2">
        <v>342</v>
      </c>
      <c r="B353" s="2" t="s">
        <v>1351</v>
      </c>
      <c r="C353" s="2" t="s">
        <v>1352</v>
      </c>
      <c r="D353" s="2" t="s">
        <v>28</v>
      </c>
      <c r="E353" s="2" t="s">
        <v>29</v>
      </c>
      <c r="F353" s="2">
        <v>60</v>
      </c>
      <c r="G353" s="2" t="s">
        <v>1353</v>
      </c>
      <c r="H353" s="2" t="s">
        <v>1354</v>
      </c>
      <c r="I353" s="2" t="s">
        <v>294</v>
      </c>
      <c r="J353" s="3">
        <v>44470</v>
      </c>
      <c r="K353" s="2">
        <v>52</v>
      </c>
      <c r="L353" s="2" t="s">
        <v>54</v>
      </c>
    </row>
    <row r="354" spans="1:12" x14ac:dyDescent="0.3">
      <c r="A354" s="2">
        <v>343</v>
      </c>
      <c r="B354" s="2" t="s">
        <v>1355</v>
      </c>
      <c r="C354" s="2" t="s">
        <v>1356</v>
      </c>
      <c r="D354" s="2" t="s">
        <v>15</v>
      </c>
      <c r="E354" s="2" t="s">
        <v>16</v>
      </c>
      <c r="F354" s="2">
        <v>60</v>
      </c>
      <c r="G354" s="2" t="s">
        <v>1357</v>
      </c>
      <c r="H354" s="2" t="s">
        <v>1358</v>
      </c>
      <c r="I354" s="2" t="s">
        <v>1359</v>
      </c>
      <c r="J354" s="3">
        <v>44015</v>
      </c>
      <c r="K354" s="2">
        <v>83</v>
      </c>
      <c r="L354" s="2" t="s">
        <v>70</v>
      </c>
    </row>
    <row r="355" spans="1:12" x14ac:dyDescent="0.3">
      <c r="A355" s="2">
        <v>344</v>
      </c>
      <c r="B355" s="2" t="s">
        <v>1360</v>
      </c>
      <c r="C355" s="2" t="s">
        <v>1361</v>
      </c>
      <c r="D355" s="2" t="s">
        <v>51</v>
      </c>
      <c r="E355" s="2" t="s">
        <v>16</v>
      </c>
      <c r="F355" s="2">
        <v>30</v>
      </c>
      <c r="G355" s="2" t="s">
        <v>1357</v>
      </c>
      <c r="H355" s="2" t="s">
        <v>1362</v>
      </c>
      <c r="I355" s="2" t="s">
        <v>178</v>
      </c>
      <c r="J355" s="3">
        <v>43851</v>
      </c>
      <c r="K355" s="2">
        <v>29</v>
      </c>
      <c r="L355" s="2" t="s">
        <v>101</v>
      </c>
    </row>
    <row r="356" spans="1:12" x14ac:dyDescent="0.3">
      <c r="A356" s="2">
        <v>345</v>
      </c>
      <c r="B356" s="2" t="s">
        <v>1363</v>
      </c>
      <c r="C356" s="2" t="s">
        <v>1364</v>
      </c>
      <c r="D356" s="2" t="s">
        <v>28</v>
      </c>
      <c r="E356" s="2" t="s">
        <v>29</v>
      </c>
      <c r="F356" s="2">
        <v>90</v>
      </c>
      <c r="G356" s="2" t="s">
        <v>1365</v>
      </c>
      <c r="H356" s="2" t="s">
        <v>1366</v>
      </c>
      <c r="I356" s="2" t="s">
        <v>1367</v>
      </c>
      <c r="J356" s="3">
        <v>44727</v>
      </c>
      <c r="K356" s="2">
        <v>71</v>
      </c>
      <c r="L356" s="2" t="s">
        <v>45</v>
      </c>
    </row>
    <row r="357" spans="1:12" x14ac:dyDescent="0.3">
      <c r="A357" s="2">
        <v>346</v>
      </c>
      <c r="B357" s="2" t="s">
        <v>1368</v>
      </c>
      <c r="C357" s="2" t="s">
        <v>367</v>
      </c>
      <c r="D357" s="2" t="s">
        <v>15</v>
      </c>
      <c r="E357" s="2" t="s">
        <v>16</v>
      </c>
      <c r="F357" s="2">
        <v>90</v>
      </c>
      <c r="G357" s="2" t="s">
        <v>1369</v>
      </c>
      <c r="H357" s="2" t="s">
        <v>1370</v>
      </c>
      <c r="I357" s="2" t="s">
        <v>32</v>
      </c>
      <c r="J357" s="3">
        <v>44926</v>
      </c>
      <c r="K357" s="2">
        <v>13</v>
      </c>
      <c r="L357" s="2" t="s">
        <v>54</v>
      </c>
    </row>
    <row r="358" spans="1:12" x14ac:dyDescent="0.3">
      <c r="A358" s="2">
        <v>347</v>
      </c>
      <c r="B358" s="2" t="s">
        <v>1371</v>
      </c>
      <c r="C358" s="2" t="s">
        <v>1372</v>
      </c>
      <c r="D358" s="2" t="s">
        <v>28</v>
      </c>
      <c r="E358" s="2" t="s">
        <v>29</v>
      </c>
      <c r="F358" s="2">
        <v>90</v>
      </c>
      <c r="G358" s="2" t="s">
        <v>1373</v>
      </c>
      <c r="H358" s="2" t="s">
        <v>1374</v>
      </c>
      <c r="I358" s="2" t="s">
        <v>294</v>
      </c>
      <c r="J358" s="3">
        <v>44430</v>
      </c>
      <c r="K358" s="2">
        <v>92</v>
      </c>
      <c r="L358" s="2" t="s">
        <v>20</v>
      </c>
    </row>
    <row r="359" spans="1:12" x14ac:dyDescent="0.3">
      <c r="A359" s="2">
        <v>348</v>
      </c>
      <c r="B359" s="2" t="s">
        <v>1375</v>
      </c>
      <c r="C359" s="2" t="s">
        <v>1376</v>
      </c>
      <c r="D359" s="2" t="s">
        <v>28</v>
      </c>
      <c r="E359" s="2" t="s">
        <v>29</v>
      </c>
      <c r="F359" s="2">
        <v>30</v>
      </c>
      <c r="G359" s="2" t="s">
        <v>1377</v>
      </c>
      <c r="H359" s="2" t="s">
        <v>1378</v>
      </c>
      <c r="I359" s="2" t="s">
        <v>32</v>
      </c>
      <c r="J359" s="3">
        <v>44860</v>
      </c>
      <c r="K359" s="2">
        <v>55</v>
      </c>
      <c r="L359" s="2" t="s">
        <v>101</v>
      </c>
    </row>
    <row r="360" spans="1:12" x14ac:dyDescent="0.3">
      <c r="A360" s="2">
        <v>349</v>
      </c>
      <c r="B360" s="2" t="s">
        <v>1379</v>
      </c>
      <c r="C360" s="2" t="s">
        <v>1380</v>
      </c>
      <c r="D360" s="2" t="s">
        <v>28</v>
      </c>
      <c r="E360" s="2" t="s">
        <v>29</v>
      </c>
      <c r="F360" s="2">
        <v>90</v>
      </c>
      <c r="G360" s="2" t="s">
        <v>1381</v>
      </c>
      <c r="H360" s="2" t="s">
        <v>1382</v>
      </c>
      <c r="I360" s="2" t="s">
        <v>32</v>
      </c>
      <c r="J360" s="3">
        <v>43962</v>
      </c>
      <c r="K360" s="2">
        <v>39</v>
      </c>
      <c r="L360" s="2" t="s">
        <v>70</v>
      </c>
    </row>
    <row r="361" spans="1:12" x14ac:dyDescent="0.3">
      <c r="A361" s="2">
        <v>350</v>
      </c>
      <c r="B361" s="2" t="s">
        <v>1383</v>
      </c>
      <c r="C361" s="2" t="s">
        <v>1384</v>
      </c>
      <c r="D361" s="2" t="s">
        <v>28</v>
      </c>
      <c r="E361" s="2" t="s">
        <v>29</v>
      </c>
      <c r="F361" s="2">
        <v>60</v>
      </c>
      <c r="G361" s="2" t="s">
        <v>1385</v>
      </c>
      <c r="H361" s="2" t="s">
        <v>957</v>
      </c>
      <c r="I361" s="2" t="s">
        <v>95</v>
      </c>
      <c r="J361" s="3">
        <v>44042</v>
      </c>
      <c r="K361" s="2">
        <v>7</v>
      </c>
      <c r="L361" s="2" t="s">
        <v>101</v>
      </c>
    </row>
    <row r="362" spans="1:12" x14ac:dyDescent="0.3">
      <c r="A362" s="2">
        <v>351</v>
      </c>
      <c r="B362" s="2" t="s">
        <v>879</v>
      </c>
      <c r="C362" s="2" t="s">
        <v>1386</v>
      </c>
      <c r="D362" s="2" t="s">
        <v>621</v>
      </c>
      <c r="E362" s="2" t="s">
        <v>29</v>
      </c>
      <c r="F362" s="2">
        <v>60</v>
      </c>
      <c r="G362" s="2" t="s">
        <v>1387</v>
      </c>
      <c r="H362" s="2" t="s">
        <v>1388</v>
      </c>
      <c r="I362" s="2" t="s">
        <v>32</v>
      </c>
      <c r="J362" s="3">
        <v>44131</v>
      </c>
      <c r="K362" s="2">
        <v>50</v>
      </c>
      <c r="L362" s="2" t="s">
        <v>39</v>
      </c>
    </row>
    <row r="363" spans="1:12" x14ac:dyDescent="0.3">
      <c r="A363" s="2">
        <v>352</v>
      </c>
      <c r="B363" s="2" t="s">
        <v>1389</v>
      </c>
      <c r="C363" s="2" t="s">
        <v>1390</v>
      </c>
      <c r="D363" s="2" t="s">
        <v>41</v>
      </c>
      <c r="E363" s="2" t="s">
        <v>16</v>
      </c>
      <c r="F363" s="2">
        <v>30</v>
      </c>
      <c r="G363" s="2" t="s">
        <v>1387</v>
      </c>
      <c r="H363" s="2" t="s">
        <v>1391</v>
      </c>
      <c r="I363" s="2" t="s">
        <v>32</v>
      </c>
      <c r="J363" s="3">
        <v>44105</v>
      </c>
      <c r="K363" s="2">
        <v>27</v>
      </c>
      <c r="L363" s="2" t="s">
        <v>101</v>
      </c>
    </row>
    <row r="364" spans="1:12" x14ac:dyDescent="0.3">
      <c r="A364" s="2">
        <v>353</v>
      </c>
      <c r="B364" s="2" t="s">
        <v>1392</v>
      </c>
      <c r="C364" s="2" t="s">
        <v>883</v>
      </c>
      <c r="D364" s="2" t="s">
        <v>28</v>
      </c>
      <c r="E364" s="2" t="s">
        <v>29</v>
      </c>
      <c r="F364" s="2">
        <v>30</v>
      </c>
      <c r="G364" s="2" t="s">
        <v>1393</v>
      </c>
      <c r="H364" s="2" t="s">
        <v>1394</v>
      </c>
      <c r="I364" s="2" t="s">
        <v>1199</v>
      </c>
      <c r="J364" s="3">
        <v>43889</v>
      </c>
      <c r="K364" s="2">
        <v>55</v>
      </c>
      <c r="L364" s="2" t="s">
        <v>101</v>
      </c>
    </row>
    <row r="365" spans="1:12" x14ac:dyDescent="0.3">
      <c r="A365" s="2">
        <v>354</v>
      </c>
      <c r="B365" s="2" t="s">
        <v>1395</v>
      </c>
      <c r="C365" s="2" t="s">
        <v>1396</v>
      </c>
      <c r="D365" s="2" t="s">
        <v>15</v>
      </c>
      <c r="E365" s="2" t="s">
        <v>16</v>
      </c>
      <c r="F365" s="2">
        <v>60</v>
      </c>
      <c r="G365" s="2" t="s">
        <v>1397</v>
      </c>
      <c r="H365" s="2" t="s">
        <v>534</v>
      </c>
      <c r="I365" s="2" t="s">
        <v>32</v>
      </c>
      <c r="J365" s="3">
        <v>44895</v>
      </c>
      <c r="K365" s="2">
        <v>80</v>
      </c>
      <c r="L365" s="2" t="s">
        <v>39</v>
      </c>
    </row>
    <row r="366" spans="1:12" x14ac:dyDescent="0.3">
      <c r="A366" s="2">
        <v>355</v>
      </c>
      <c r="B366" s="2" t="s">
        <v>1398</v>
      </c>
      <c r="C366" s="2" t="s">
        <v>1399</v>
      </c>
      <c r="D366" s="2" t="s">
        <v>15</v>
      </c>
      <c r="E366" s="2" t="s">
        <v>16</v>
      </c>
      <c r="F366" s="2">
        <v>90</v>
      </c>
      <c r="G366" s="2" t="s">
        <v>1400</v>
      </c>
      <c r="H366" s="2" t="s">
        <v>1401</v>
      </c>
      <c r="I366" s="2" t="s">
        <v>1402</v>
      </c>
      <c r="J366" s="3">
        <v>44297</v>
      </c>
      <c r="K366" s="2">
        <v>34</v>
      </c>
      <c r="L366" s="2" t="s">
        <v>80</v>
      </c>
    </row>
    <row r="367" spans="1:12" x14ac:dyDescent="0.3">
      <c r="A367" s="2">
        <v>356</v>
      </c>
      <c r="B367" s="2" t="s">
        <v>1403</v>
      </c>
      <c r="C367" s="2" t="s">
        <v>281</v>
      </c>
      <c r="D367" s="2" t="s">
        <v>28</v>
      </c>
      <c r="E367" s="2" t="s">
        <v>29</v>
      </c>
      <c r="F367" s="2">
        <v>60</v>
      </c>
      <c r="G367" s="2" t="s">
        <v>1404</v>
      </c>
      <c r="H367" s="2" t="s">
        <v>458</v>
      </c>
      <c r="I367" s="2" t="s">
        <v>294</v>
      </c>
      <c r="J367" s="3">
        <v>43924</v>
      </c>
      <c r="K367" s="2">
        <v>49</v>
      </c>
      <c r="L367" s="2" t="s">
        <v>101</v>
      </c>
    </row>
    <row r="368" spans="1:12" x14ac:dyDescent="0.3">
      <c r="A368" s="2">
        <v>357</v>
      </c>
      <c r="B368" s="2" t="s">
        <v>1405</v>
      </c>
      <c r="C368" s="2" t="s">
        <v>1406</v>
      </c>
      <c r="D368" s="2" t="s">
        <v>28</v>
      </c>
      <c r="E368" s="2" t="s">
        <v>29</v>
      </c>
      <c r="F368" s="2">
        <v>60</v>
      </c>
      <c r="G368" s="2" t="s">
        <v>1407</v>
      </c>
      <c r="H368" s="2" t="s">
        <v>1408</v>
      </c>
      <c r="I368" s="2" t="s">
        <v>1083</v>
      </c>
      <c r="J368" s="3">
        <v>44166</v>
      </c>
      <c r="K368" s="2">
        <v>18</v>
      </c>
      <c r="L368" s="2" t="s">
        <v>45</v>
      </c>
    </row>
    <row r="369" spans="1:12" x14ac:dyDescent="0.3">
      <c r="A369" s="2">
        <v>358</v>
      </c>
      <c r="B369" s="2" t="s">
        <v>1409</v>
      </c>
      <c r="C369" s="2" t="s">
        <v>1410</v>
      </c>
      <c r="D369" s="2" t="s">
        <v>28</v>
      </c>
      <c r="E369" s="2" t="s">
        <v>29</v>
      </c>
      <c r="F369" s="2">
        <v>30</v>
      </c>
      <c r="G369" s="2" t="s">
        <v>1411</v>
      </c>
      <c r="H369" s="2" t="s">
        <v>1412</v>
      </c>
      <c r="I369" s="2" t="s">
        <v>1413</v>
      </c>
      <c r="J369" s="3">
        <v>44865</v>
      </c>
      <c r="K369" s="2">
        <v>101</v>
      </c>
      <c r="L369" s="2" t="s">
        <v>20</v>
      </c>
    </row>
    <row r="370" spans="1:12" x14ac:dyDescent="0.3">
      <c r="A370" s="2">
        <v>359</v>
      </c>
      <c r="B370" s="2" t="s">
        <v>1414</v>
      </c>
      <c r="C370" s="2" t="s">
        <v>1415</v>
      </c>
      <c r="D370" s="2" t="s">
        <v>28</v>
      </c>
      <c r="E370" s="2" t="s">
        <v>29</v>
      </c>
      <c r="F370" s="2">
        <v>60</v>
      </c>
      <c r="G370" s="2" t="s">
        <v>1416</v>
      </c>
      <c r="H370" s="2" t="s">
        <v>1417</v>
      </c>
      <c r="I370" s="2" t="s">
        <v>32</v>
      </c>
      <c r="J370" s="3">
        <v>44369</v>
      </c>
      <c r="K370" s="2">
        <v>72</v>
      </c>
      <c r="L370" s="2" t="s">
        <v>70</v>
      </c>
    </row>
    <row r="371" spans="1:12" x14ac:dyDescent="0.3">
      <c r="A371" s="2">
        <v>360</v>
      </c>
      <c r="B371" s="2" t="s">
        <v>1234</v>
      </c>
      <c r="C371" s="2" t="s">
        <v>1418</v>
      </c>
      <c r="D371" s="2" t="s">
        <v>28</v>
      </c>
      <c r="E371" s="2" t="s">
        <v>29</v>
      </c>
      <c r="F371" s="2">
        <v>30</v>
      </c>
      <c r="G371" s="2" t="s">
        <v>1419</v>
      </c>
      <c r="H371" s="2" t="s">
        <v>105</v>
      </c>
      <c r="I371" s="2" t="s">
        <v>32</v>
      </c>
      <c r="J371" s="3">
        <v>44051</v>
      </c>
      <c r="K371" s="2">
        <v>80</v>
      </c>
      <c r="L371" s="2" t="s">
        <v>45</v>
      </c>
    </row>
    <row r="372" spans="1:12" x14ac:dyDescent="0.3">
      <c r="A372" s="2">
        <v>361</v>
      </c>
      <c r="B372" s="2" t="s">
        <v>1420</v>
      </c>
      <c r="C372" s="2" t="s">
        <v>870</v>
      </c>
      <c r="D372" s="2" t="s">
        <v>15</v>
      </c>
      <c r="E372" s="2" t="s">
        <v>16</v>
      </c>
      <c r="F372" s="2">
        <v>90</v>
      </c>
      <c r="G372" s="2" t="s">
        <v>1421</v>
      </c>
      <c r="H372" s="2" t="s">
        <v>1422</v>
      </c>
      <c r="I372" s="2" t="s">
        <v>575</v>
      </c>
      <c r="J372" s="3">
        <v>44813</v>
      </c>
      <c r="K372" s="2">
        <v>27</v>
      </c>
      <c r="L372" s="2" t="s">
        <v>45</v>
      </c>
    </row>
    <row r="373" spans="1:12" x14ac:dyDescent="0.3">
      <c r="A373" s="2">
        <v>362</v>
      </c>
      <c r="B373" s="2" t="s">
        <v>1423</v>
      </c>
      <c r="C373" s="2" t="s">
        <v>1424</v>
      </c>
      <c r="D373" s="2" t="s">
        <v>51</v>
      </c>
      <c r="E373" s="2" t="s">
        <v>16</v>
      </c>
      <c r="F373" s="2">
        <v>30</v>
      </c>
      <c r="G373" s="2" t="s">
        <v>1425</v>
      </c>
      <c r="H373" s="2" t="s">
        <v>1426</v>
      </c>
      <c r="I373" s="2" t="s">
        <v>32</v>
      </c>
      <c r="J373" s="3">
        <v>44920</v>
      </c>
      <c r="K373" s="2">
        <v>61</v>
      </c>
      <c r="L373" s="2" t="s">
        <v>80</v>
      </c>
    </row>
    <row r="374" spans="1:12" x14ac:dyDescent="0.3">
      <c r="A374" s="2">
        <v>363</v>
      </c>
      <c r="B374" s="2" t="s">
        <v>1427</v>
      </c>
      <c r="C374" s="2" t="s">
        <v>1428</v>
      </c>
      <c r="D374" s="2" t="s">
        <v>28</v>
      </c>
      <c r="E374" s="2" t="s">
        <v>29</v>
      </c>
      <c r="F374" s="2">
        <v>90</v>
      </c>
      <c r="G374" s="2" t="s">
        <v>1429</v>
      </c>
      <c r="H374" s="2" t="s">
        <v>1430</v>
      </c>
      <c r="I374" s="2" t="s">
        <v>32</v>
      </c>
      <c r="J374" s="3">
        <v>44646</v>
      </c>
      <c r="K374" s="2">
        <v>54</v>
      </c>
      <c r="L374" s="2" t="s">
        <v>80</v>
      </c>
    </row>
    <row r="375" spans="1:12" x14ac:dyDescent="0.3">
      <c r="A375" s="2">
        <v>364</v>
      </c>
      <c r="B375" s="2" t="s">
        <v>1431</v>
      </c>
      <c r="C375" s="2" t="s">
        <v>1432</v>
      </c>
      <c r="D375" s="2" t="s">
        <v>51</v>
      </c>
      <c r="E375" s="2" t="s">
        <v>16</v>
      </c>
      <c r="F375" s="2">
        <v>90</v>
      </c>
      <c r="G375" s="2" t="s">
        <v>1433</v>
      </c>
      <c r="H375" s="2" t="s">
        <v>1434</v>
      </c>
      <c r="I375" s="2" t="s">
        <v>1435</v>
      </c>
      <c r="J375" s="3">
        <v>44698</v>
      </c>
      <c r="K375" s="2">
        <v>26</v>
      </c>
      <c r="L375" s="2" t="s">
        <v>101</v>
      </c>
    </row>
    <row r="376" spans="1:12" x14ac:dyDescent="0.3">
      <c r="A376" s="2">
        <v>365</v>
      </c>
      <c r="B376" s="2" t="s">
        <v>1436</v>
      </c>
      <c r="C376" s="2" t="s">
        <v>257</v>
      </c>
      <c r="D376" s="2" t="s">
        <v>28</v>
      </c>
      <c r="E376" s="2" t="s">
        <v>29</v>
      </c>
      <c r="F376" s="2">
        <v>90</v>
      </c>
      <c r="G376" s="2" t="s">
        <v>1437</v>
      </c>
      <c r="H376" s="2" t="s">
        <v>827</v>
      </c>
      <c r="I376" s="2" t="s">
        <v>124</v>
      </c>
      <c r="J376" s="3">
        <v>44617</v>
      </c>
      <c r="K376" s="2">
        <v>54</v>
      </c>
      <c r="L376" s="2" t="s">
        <v>54</v>
      </c>
    </row>
    <row r="377" spans="1:12" x14ac:dyDescent="0.3">
      <c r="A377" s="2">
        <v>366</v>
      </c>
      <c r="B377" s="2" t="s">
        <v>1441</v>
      </c>
      <c r="C377" s="2" t="s">
        <v>1442</v>
      </c>
      <c r="D377" s="2" t="s">
        <v>41</v>
      </c>
      <c r="E377" s="2" t="s">
        <v>16</v>
      </c>
      <c r="F377" s="2">
        <v>60</v>
      </c>
      <c r="G377" s="2" t="s">
        <v>1443</v>
      </c>
      <c r="H377" s="2" t="s">
        <v>1444</v>
      </c>
      <c r="I377" s="2" t="s">
        <v>1199</v>
      </c>
      <c r="J377" s="3">
        <v>44710</v>
      </c>
      <c r="K377" s="2">
        <v>22</v>
      </c>
      <c r="L377" s="2" t="s">
        <v>54</v>
      </c>
    </row>
    <row r="378" spans="1:12" x14ac:dyDescent="0.3">
      <c r="A378" s="2">
        <v>367</v>
      </c>
      <c r="B378" s="2" t="s">
        <v>1445</v>
      </c>
      <c r="C378" s="2" t="s">
        <v>1446</v>
      </c>
      <c r="D378" s="2" t="s">
        <v>28</v>
      </c>
      <c r="E378" s="2" t="s">
        <v>29</v>
      </c>
      <c r="F378" s="2">
        <v>30</v>
      </c>
      <c r="G378" s="2" t="s">
        <v>1447</v>
      </c>
      <c r="H378" s="2" t="s">
        <v>1448</v>
      </c>
      <c r="I378" s="2" t="s">
        <v>1449</v>
      </c>
      <c r="J378" s="3">
        <v>44546</v>
      </c>
      <c r="K378" s="2">
        <v>7</v>
      </c>
      <c r="L378" s="2" t="s">
        <v>45</v>
      </c>
    </row>
    <row r="379" spans="1:12" x14ac:dyDescent="0.3">
      <c r="A379" s="2">
        <v>368</v>
      </c>
      <c r="B379" s="2" t="s">
        <v>1450</v>
      </c>
      <c r="C379" s="2" t="s">
        <v>1451</v>
      </c>
      <c r="D379" s="2" t="s">
        <v>51</v>
      </c>
      <c r="E379" s="2" t="s">
        <v>16</v>
      </c>
      <c r="F379" s="2">
        <v>60</v>
      </c>
      <c r="G379" s="2" t="s">
        <v>1452</v>
      </c>
      <c r="H379" s="2" t="s">
        <v>1453</v>
      </c>
      <c r="I379" s="2" t="s">
        <v>1454</v>
      </c>
      <c r="J379" s="3">
        <v>44633</v>
      </c>
      <c r="K379" s="2">
        <v>48</v>
      </c>
      <c r="L379" s="2" t="s">
        <v>33</v>
      </c>
    </row>
    <row r="380" spans="1:12" x14ac:dyDescent="0.3">
      <c r="A380" s="2">
        <v>369</v>
      </c>
      <c r="B380" s="2" t="s">
        <v>1455</v>
      </c>
      <c r="C380" s="2" t="s">
        <v>700</v>
      </c>
      <c r="D380" s="2" t="s">
        <v>51</v>
      </c>
      <c r="E380" s="2" t="s">
        <v>16</v>
      </c>
      <c r="F380" s="2">
        <v>90</v>
      </c>
      <c r="G380" s="2" t="s">
        <v>1456</v>
      </c>
      <c r="H380" s="2" t="s">
        <v>1457</v>
      </c>
      <c r="I380" s="2" t="s">
        <v>187</v>
      </c>
      <c r="J380" s="3">
        <v>43899</v>
      </c>
      <c r="K380" s="2">
        <v>57</v>
      </c>
      <c r="L380" s="2" t="s">
        <v>159</v>
      </c>
    </row>
    <row r="381" spans="1:12" x14ac:dyDescent="0.3">
      <c r="A381" s="2">
        <v>370</v>
      </c>
      <c r="B381" s="2" t="s">
        <v>1458</v>
      </c>
      <c r="C381" s="2" t="s">
        <v>1459</v>
      </c>
      <c r="D381" s="2" t="s">
        <v>28</v>
      </c>
      <c r="E381" s="2" t="s">
        <v>29</v>
      </c>
      <c r="F381" s="2">
        <v>90</v>
      </c>
      <c r="G381" s="2" t="s">
        <v>1460</v>
      </c>
      <c r="H381" s="2" t="s">
        <v>663</v>
      </c>
      <c r="I381" s="2" t="s">
        <v>32</v>
      </c>
      <c r="J381" s="3">
        <v>44135</v>
      </c>
      <c r="K381" s="2">
        <v>75</v>
      </c>
      <c r="L381" s="2" t="s">
        <v>54</v>
      </c>
    </row>
    <row r="382" spans="1:12" x14ac:dyDescent="0.3">
      <c r="A382" s="2">
        <v>371</v>
      </c>
      <c r="B382" s="2" t="s">
        <v>1019</v>
      </c>
      <c r="C382" s="2" t="s">
        <v>1461</v>
      </c>
      <c r="D382" s="2" t="s">
        <v>28</v>
      </c>
      <c r="E382" s="2" t="s">
        <v>29</v>
      </c>
      <c r="F382" s="2">
        <v>60</v>
      </c>
      <c r="G382" s="2" t="s">
        <v>1462</v>
      </c>
      <c r="H382" s="2" t="s">
        <v>1463</v>
      </c>
      <c r="I382" s="2" t="s">
        <v>19</v>
      </c>
      <c r="J382" s="3">
        <v>44707</v>
      </c>
      <c r="K382" s="2">
        <v>37</v>
      </c>
      <c r="L382" s="2" t="s">
        <v>101</v>
      </c>
    </row>
    <row r="383" spans="1:12" x14ac:dyDescent="0.3">
      <c r="A383" s="2">
        <v>372</v>
      </c>
      <c r="B383" s="2" t="s">
        <v>1464</v>
      </c>
      <c r="C383" s="2" t="s">
        <v>1465</v>
      </c>
      <c r="D383" s="2" t="s">
        <v>28</v>
      </c>
      <c r="E383" s="2" t="s">
        <v>29</v>
      </c>
      <c r="F383" s="2">
        <v>90</v>
      </c>
      <c r="G383" s="2" t="s">
        <v>1466</v>
      </c>
      <c r="H383" s="2" t="s">
        <v>993</v>
      </c>
      <c r="I383" s="2" t="s">
        <v>32</v>
      </c>
      <c r="J383" s="3">
        <v>44644</v>
      </c>
      <c r="K383" s="2">
        <v>32</v>
      </c>
      <c r="L383" s="2" t="s">
        <v>20</v>
      </c>
    </row>
    <row r="384" spans="1:12" x14ac:dyDescent="0.3">
      <c r="A384" s="2">
        <v>373</v>
      </c>
      <c r="B384" s="2" t="s">
        <v>1467</v>
      </c>
      <c r="C384" s="2" t="s">
        <v>1468</v>
      </c>
      <c r="D384" s="2" t="s">
        <v>28</v>
      </c>
      <c r="E384" s="2" t="s">
        <v>29</v>
      </c>
      <c r="F384" s="2">
        <v>90</v>
      </c>
      <c r="G384" s="2" t="s">
        <v>1469</v>
      </c>
      <c r="H384" s="2" t="s">
        <v>1378</v>
      </c>
      <c r="I384" s="2" t="s">
        <v>32</v>
      </c>
      <c r="J384" s="3">
        <v>44388</v>
      </c>
      <c r="K384" s="2">
        <v>22</v>
      </c>
      <c r="L384" s="2" t="s">
        <v>70</v>
      </c>
    </row>
    <row r="385" spans="1:12" x14ac:dyDescent="0.3">
      <c r="A385" s="2">
        <v>374</v>
      </c>
      <c r="B385" s="2" t="s">
        <v>1470</v>
      </c>
      <c r="C385" s="2" t="s">
        <v>1471</v>
      </c>
      <c r="D385" s="2" t="s">
        <v>28</v>
      </c>
      <c r="E385" s="2" t="s">
        <v>29</v>
      </c>
      <c r="F385" s="2">
        <v>60</v>
      </c>
      <c r="G385" s="2" t="s">
        <v>1472</v>
      </c>
      <c r="H385" s="2" t="s">
        <v>1473</v>
      </c>
      <c r="I385" s="2" t="s">
        <v>38</v>
      </c>
      <c r="J385" s="3">
        <v>43885</v>
      </c>
      <c r="K385" s="2">
        <v>10</v>
      </c>
      <c r="L385" s="2" t="s">
        <v>39</v>
      </c>
    </row>
    <row r="386" spans="1:12" x14ac:dyDescent="0.3">
      <c r="A386" s="2">
        <v>375</v>
      </c>
      <c r="B386" s="2" t="s">
        <v>1474</v>
      </c>
      <c r="C386" s="2" t="s">
        <v>1475</v>
      </c>
      <c r="D386" s="2" t="s">
        <v>15</v>
      </c>
      <c r="E386" s="2" t="s">
        <v>16</v>
      </c>
      <c r="F386" s="2">
        <v>60</v>
      </c>
      <c r="G386" s="2" t="s">
        <v>1476</v>
      </c>
      <c r="H386" s="2" t="s">
        <v>1477</v>
      </c>
      <c r="I386" s="2" t="s">
        <v>1478</v>
      </c>
      <c r="J386" s="3">
        <v>44305</v>
      </c>
      <c r="K386" s="2">
        <v>2</v>
      </c>
      <c r="L386" s="2" t="s">
        <v>33</v>
      </c>
    </row>
    <row r="387" spans="1:12" x14ac:dyDescent="0.3">
      <c r="A387" s="2">
        <v>376</v>
      </c>
      <c r="B387" s="2" t="s">
        <v>1479</v>
      </c>
      <c r="C387" s="2" t="s">
        <v>1480</v>
      </c>
      <c r="D387" s="2" t="s">
        <v>15</v>
      </c>
      <c r="E387" s="2" t="s">
        <v>16</v>
      </c>
      <c r="F387" s="2">
        <v>60</v>
      </c>
      <c r="G387" s="2" t="s">
        <v>1481</v>
      </c>
      <c r="H387" s="2" t="s">
        <v>1482</v>
      </c>
      <c r="I387" s="2" t="s">
        <v>1483</v>
      </c>
      <c r="J387" s="3">
        <v>44447</v>
      </c>
      <c r="K387" s="2">
        <v>12</v>
      </c>
      <c r="L387" s="2" t="s">
        <v>70</v>
      </c>
    </row>
    <row r="388" spans="1:12" x14ac:dyDescent="0.3">
      <c r="A388" s="2">
        <v>377</v>
      </c>
      <c r="B388" s="2" t="s">
        <v>1484</v>
      </c>
      <c r="C388" s="2" t="s">
        <v>1485</v>
      </c>
      <c r="D388" s="2" t="s">
        <v>15</v>
      </c>
      <c r="E388" s="2" t="s">
        <v>16</v>
      </c>
      <c r="F388" s="2">
        <v>30</v>
      </c>
      <c r="G388" s="2" t="s">
        <v>1481</v>
      </c>
      <c r="H388" s="2" t="s">
        <v>1486</v>
      </c>
      <c r="I388" s="2" t="s">
        <v>32</v>
      </c>
      <c r="J388" s="3">
        <v>44684</v>
      </c>
      <c r="K388" s="2">
        <v>42</v>
      </c>
      <c r="L388" s="2" t="s">
        <v>101</v>
      </c>
    </row>
    <row r="389" spans="1:12" x14ac:dyDescent="0.3">
      <c r="A389" s="2">
        <v>378</v>
      </c>
      <c r="B389" s="2" t="s">
        <v>1487</v>
      </c>
      <c r="C389" s="2" t="s">
        <v>1488</v>
      </c>
      <c r="D389" s="2" t="s">
        <v>15</v>
      </c>
      <c r="E389" s="2" t="s">
        <v>16</v>
      </c>
      <c r="F389" s="2">
        <v>30</v>
      </c>
      <c r="G389" s="2" t="s">
        <v>1489</v>
      </c>
      <c r="H389" s="2" t="s">
        <v>1490</v>
      </c>
      <c r="I389" s="2" t="s">
        <v>294</v>
      </c>
      <c r="J389" s="3">
        <v>44701</v>
      </c>
      <c r="K389" s="2">
        <v>2</v>
      </c>
      <c r="L389" s="2" t="s">
        <v>64</v>
      </c>
    </row>
    <row r="390" spans="1:12" x14ac:dyDescent="0.3">
      <c r="A390" s="2">
        <v>379</v>
      </c>
      <c r="B390" s="2" t="s">
        <v>1491</v>
      </c>
      <c r="C390" s="2" t="s">
        <v>1492</v>
      </c>
      <c r="D390" s="2" t="s">
        <v>51</v>
      </c>
      <c r="E390" s="2" t="s">
        <v>16</v>
      </c>
      <c r="F390" s="2">
        <v>90</v>
      </c>
      <c r="G390" s="2" t="s">
        <v>1493</v>
      </c>
      <c r="H390" s="2" t="s">
        <v>1494</v>
      </c>
      <c r="I390" s="2" t="s">
        <v>32</v>
      </c>
      <c r="J390" s="3">
        <v>44386</v>
      </c>
      <c r="K390" s="2">
        <v>83</v>
      </c>
      <c r="L390" s="2" t="s">
        <v>54</v>
      </c>
    </row>
    <row r="391" spans="1:12" x14ac:dyDescent="0.3">
      <c r="A391" s="2">
        <v>380</v>
      </c>
      <c r="B391" s="2" t="s">
        <v>1495</v>
      </c>
      <c r="C391" s="2" t="s">
        <v>1496</v>
      </c>
      <c r="D391" s="2" t="s">
        <v>51</v>
      </c>
      <c r="E391" s="2" t="s">
        <v>16</v>
      </c>
      <c r="F391" s="2">
        <v>60</v>
      </c>
      <c r="G391" s="2" t="s">
        <v>1497</v>
      </c>
      <c r="H391" s="2" t="s">
        <v>738</v>
      </c>
      <c r="I391" s="2" t="s">
        <v>38</v>
      </c>
      <c r="J391" s="3">
        <v>44011</v>
      </c>
      <c r="K391" s="2">
        <v>36</v>
      </c>
      <c r="L391" s="2" t="s">
        <v>45</v>
      </c>
    </row>
    <row r="392" spans="1:12" x14ac:dyDescent="0.3">
      <c r="A392" s="2">
        <v>381</v>
      </c>
      <c r="B392" s="2" t="s">
        <v>1498</v>
      </c>
      <c r="C392" s="2" t="s">
        <v>752</v>
      </c>
      <c r="D392" s="2" t="s">
        <v>28</v>
      </c>
      <c r="E392" s="2" t="s">
        <v>29</v>
      </c>
      <c r="F392" s="2">
        <v>90</v>
      </c>
      <c r="G392" s="2" t="s">
        <v>1499</v>
      </c>
      <c r="H392" s="2" t="s">
        <v>1242</v>
      </c>
      <c r="I392" s="2" t="s">
        <v>38</v>
      </c>
      <c r="J392" s="3">
        <v>44189</v>
      </c>
      <c r="K392" s="2">
        <v>12</v>
      </c>
      <c r="L392" s="2" t="s">
        <v>33</v>
      </c>
    </row>
    <row r="393" spans="1:12" x14ac:dyDescent="0.3">
      <c r="A393" s="2">
        <v>382</v>
      </c>
      <c r="B393" s="2" t="s">
        <v>1500</v>
      </c>
      <c r="C393" s="2" t="s">
        <v>1501</v>
      </c>
      <c r="D393" s="2" t="s">
        <v>28</v>
      </c>
      <c r="E393" s="2" t="s">
        <v>29</v>
      </c>
      <c r="F393" s="2">
        <v>30</v>
      </c>
      <c r="G393" s="2" t="s">
        <v>1502</v>
      </c>
      <c r="H393" s="2" t="s">
        <v>288</v>
      </c>
      <c r="I393" s="2" t="s">
        <v>32</v>
      </c>
      <c r="J393" s="3">
        <v>44876</v>
      </c>
      <c r="K393" s="2">
        <v>98</v>
      </c>
      <c r="L393" s="2" t="s">
        <v>80</v>
      </c>
    </row>
    <row r="394" spans="1:12" x14ac:dyDescent="0.3">
      <c r="A394" s="2">
        <v>383</v>
      </c>
      <c r="B394" s="2" t="s">
        <v>1503</v>
      </c>
      <c r="C394" s="2" t="s">
        <v>500</v>
      </c>
      <c r="D394" s="2" t="s">
        <v>92</v>
      </c>
      <c r="E394" s="2" t="s">
        <v>29</v>
      </c>
      <c r="F394" s="2">
        <v>60</v>
      </c>
      <c r="G394" s="2" t="s">
        <v>10418</v>
      </c>
      <c r="H394" s="2" t="s">
        <v>1505</v>
      </c>
      <c r="I394" s="2" t="s">
        <v>32</v>
      </c>
      <c r="J394" s="3">
        <v>44842</v>
      </c>
      <c r="K394" s="2">
        <v>87</v>
      </c>
      <c r="L394" s="2" t="s">
        <v>101</v>
      </c>
    </row>
    <row r="395" spans="1:12" x14ac:dyDescent="0.3">
      <c r="A395" s="2">
        <v>384</v>
      </c>
      <c r="B395" s="2" t="s">
        <v>1506</v>
      </c>
      <c r="C395" s="2" t="s">
        <v>639</v>
      </c>
      <c r="D395" s="2" t="s">
        <v>51</v>
      </c>
      <c r="E395" s="2" t="s">
        <v>16</v>
      </c>
      <c r="F395" s="2">
        <v>60</v>
      </c>
      <c r="G395" s="2" t="s">
        <v>1507</v>
      </c>
      <c r="H395" s="2" t="s">
        <v>1508</v>
      </c>
      <c r="I395" s="2" t="s">
        <v>32</v>
      </c>
      <c r="J395" s="3">
        <v>43983</v>
      </c>
      <c r="K395" s="2">
        <v>36</v>
      </c>
      <c r="L395" s="2" t="s">
        <v>20</v>
      </c>
    </row>
    <row r="396" spans="1:12" x14ac:dyDescent="0.3">
      <c r="A396" s="2">
        <v>385</v>
      </c>
      <c r="B396" s="2" t="s">
        <v>1509</v>
      </c>
      <c r="C396" s="2" t="s">
        <v>1510</v>
      </c>
      <c r="D396" s="2" t="s">
        <v>28</v>
      </c>
      <c r="E396" s="2" t="s">
        <v>29</v>
      </c>
      <c r="F396" s="2">
        <v>90</v>
      </c>
      <c r="G396" s="2" t="s">
        <v>1511</v>
      </c>
      <c r="H396" s="2" t="s">
        <v>1512</v>
      </c>
      <c r="I396" s="2" t="s">
        <v>25</v>
      </c>
      <c r="J396" s="3">
        <v>44537</v>
      </c>
      <c r="K396" s="2">
        <v>79</v>
      </c>
      <c r="L396" s="2" t="s">
        <v>101</v>
      </c>
    </row>
    <row r="397" spans="1:12" x14ac:dyDescent="0.3">
      <c r="A397" s="2">
        <v>386</v>
      </c>
      <c r="B397" s="2" t="s">
        <v>1513</v>
      </c>
      <c r="C397" s="2" t="s">
        <v>836</v>
      </c>
      <c r="D397" s="2" t="s">
        <v>15</v>
      </c>
      <c r="E397" s="2" t="s">
        <v>16</v>
      </c>
      <c r="F397" s="2">
        <v>60</v>
      </c>
      <c r="G397" s="2" t="s">
        <v>1514</v>
      </c>
      <c r="H397" s="2" t="s">
        <v>1515</v>
      </c>
      <c r="I397" s="2" t="s">
        <v>124</v>
      </c>
      <c r="J397" s="3">
        <v>44019</v>
      </c>
      <c r="K397" s="2">
        <v>66</v>
      </c>
      <c r="L397" s="2" t="s">
        <v>101</v>
      </c>
    </row>
    <row r="398" spans="1:12" x14ac:dyDescent="0.3">
      <c r="A398" s="2">
        <v>387</v>
      </c>
      <c r="B398" s="2" t="s">
        <v>1516</v>
      </c>
      <c r="C398" s="2" t="s">
        <v>1517</v>
      </c>
      <c r="D398" s="2" t="s">
        <v>51</v>
      </c>
      <c r="E398" s="2" t="s">
        <v>16</v>
      </c>
      <c r="F398" s="2">
        <v>30</v>
      </c>
      <c r="G398" s="2" t="s">
        <v>1518</v>
      </c>
      <c r="H398" s="2" t="s">
        <v>1519</v>
      </c>
      <c r="I398" s="2" t="s">
        <v>32</v>
      </c>
      <c r="J398" s="3">
        <v>44024</v>
      </c>
      <c r="K398" s="2">
        <v>44</v>
      </c>
      <c r="L398" s="2" t="s">
        <v>101</v>
      </c>
    </row>
    <row r="399" spans="1:12" x14ac:dyDescent="0.3">
      <c r="A399" s="2">
        <v>388</v>
      </c>
      <c r="B399" s="2" t="s">
        <v>1520</v>
      </c>
      <c r="C399" s="2" t="s">
        <v>1521</v>
      </c>
      <c r="D399" s="2" t="s">
        <v>15</v>
      </c>
      <c r="E399" s="2" t="s">
        <v>16</v>
      </c>
      <c r="F399" s="2">
        <v>90</v>
      </c>
      <c r="G399" s="2" t="s">
        <v>1522</v>
      </c>
      <c r="H399" s="2" t="s">
        <v>1523</v>
      </c>
      <c r="I399" s="2" t="s">
        <v>32</v>
      </c>
      <c r="J399" s="3">
        <v>44540</v>
      </c>
      <c r="K399" s="2">
        <v>14</v>
      </c>
      <c r="L399" s="2" t="s">
        <v>39</v>
      </c>
    </row>
    <row r="400" spans="1:12" x14ac:dyDescent="0.3">
      <c r="A400" s="2">
        <v>389</v>
      </c>
      <c r="B400" s="2" t="s">
        <v>1524</v>
      </c>
      <c r="C400" s="2" t="s">
        <v>380</v>
      </c>
      <c r="D400" s="2" t="s">
        <v>51</v>
      </c>
      <c r="E400" s="2" t="s">
        <v>16</v>
      </c>
      <c r="F400" s="2">
        <v>60</v>
      </c>
      <c r="G400" s="2" t="s">
        <v>1525</v>
      </c>
      <c r="H400" s="2" t="s">
        <v>1526</v>
      </c>
      <c r="I400" s="2" t="s">
        <v>173</v>
      </c>
      <c r="J400" s="3">
        <v>43876</v>
      </c>
      <c r="K400" s="2">
        <v>58</v>
      </c>
      <c r="L400" s="2" t="s">
        <v>54</v>
      </c>
    </row>
    <row r="401" spans="1:12" x14ac:dyDescent="0.3">
      <c r="A401" s="2">
        <v>390</v>
      </c>
      <c r="B401" s="2" t="s">
        <v>1527</v>
      </c>
      <c r="C401" s="2" t="s">
        <v>1528</v>
      </c>
      <c r="D401" s="2" t="s">
        <v>41</v>
      </c>
      <c r="E401" s="2" t="s">
        <v>16</v>
      </c>
      <c r="F401" s="2">
        <v>60</v>
      </c>
      <c r="G401" s="2" t="s">
        <v>1529</v>
      </c>
      <c r="H401" s="2" t="s">
        <v>1530</v>
      </c>
      <c r="I401" s="2" t="s">
        <v>32</v>
      </c>
      <c r="J401" s="3">
        <v>44559</v>
      </c>
      <c r="K401" s="2">
        <v>42</v>
      </c>
      <c r="L401" s="2" t="s">
        <v>64</v>
      </c>
    </row>
    <row r="402" spans="1:12" x14ac:dyDescent="0.3">
      <c r="A402" s="2">
        <v>391</v>
      </c>
      <c r="B402" s="2" t="s">
        <v>1531</v>
      </c>
      <c r="C402" s="2" t="s">
        <v>1532</v>
      </c>
      <c r="D402" s="2" t="s">
        <v>51</v>
      </c>
      <c r="E402" s="2" t="s">
        <v>16</v>
      </c>
      <c r="F402" s="2">
        <v>90</v>
      </c>
      <c r="G402" s="2" t="s">
        <v>1533</v>
      </c>
      <c r="H402" s="2" t="s">
        <v>1534</v>
      </c>
      <c r="I402" s="2" t="s">
        <v>32</v>
      </c>
      <c r="J402" s="3">
        <v>44774</v>
      </c>
      <c r="K402" s="2">
        <v>20</v>
      </c>
      <c r="L402" s="2" t="s">
        <v>33</v>
      </c>
    </row>
    <row r="403" spans="1:12" x14ac:dyDescent="0.3">
      <c r="A403" s="2">
        <v>392</v>
      </c>
      <c r="B403" s="2" t="s">
        <v>1363</v>
      </c>
      <c r="C403" s="2" t="s">
        <v>1535</v>
      </c>
      <c r="D403" s="2" t="s">
        <v>28</v>
      </c>
      <c r="E403" s="2" t="s">
        <v>29</v>
      </c>
      <c r="F403" s="2">
        <v>60</v>
      </c>
      <c r="G403" s="2" t="s">
        <v>1536</v>
      </c>
      <c r="H403" s="2" t="s">
        <v>1537</v>
      </c>
      <c r="I403" s="2" t="s">
        <v>294</v>
      </c>
      <c r="J403" s="3">
        <v>44642</v>
      </c>
      <c r="K403" s="2">
        <v>77</v>
      </c>
      <c r="L403" s="2" t="s">
        <v>54</v>
      </c>
    </row>
    <row r="404" spans="1:12" x14ac:dyDescent="0.3">
      <c r="A404" s="2">
        <v>393</v>
      </c>
      <c r="B404" s="2" t="s">
        <v>1538</v>
      </c>
      <c r="C404" s="2" t="s">
        <v>1539</v>
      </c>
      <c r="D404" s="2" t="s">
        <v>15</v>
      </c>
      <c r="E404" s="2" t="s">
        <v>16</v>
      </c>
      <c r="F404" s="2">
        <v>90</v>
      </c>
      <c r="G404" s="2" t="s">
        <v>1540</v>
      </c>
      <c r="H404" s="2" t="s">
        <v>1541</v>
      </c>
      <c r="I404" s="2" t="s">
        <v>32</v>
      </c>
      <c r="J404" s="3">
        <v>44557</v>
      </c>
      <c r="K404" s="2">
        <v>20</v>
      </c>
      <c r="L404" s="2" t="s">
        <v>159</v>
      </c>
    </row>
    <row r="405" spans="1:12" x14ac:dyDescent="0.3">
      <c r="A405" s="2">
        <v>394</v>
      </c>
      <c r="B405" s="2" t="s">
        <v>1542</v>
      </c>
      <c r="C405" s="2" t="s">
        <v>1543</v>
      </c>
      <c r="D405" s="2" t="s">
        <v>41</v>
      </c>
      <c r="E405" s="2" t="s">
        <v>16</v>
      </c>
      <c r="F405" s="2">
        <v>60</v>
      </c>
      <c r="G405" s="2" t="s">
        <v>1544</v>
      </c>
      <c r="H405" s="2" t="s">
        <v>951</v>
      </c>
      <c r="I405" s="2" t="s">
        <v>95</v>
      </c>
      <c r="J405" s="3">
        <v>44369</v>
      </c>
      <c r="K405" s="2">
        <v>40</v>
      </c>
      <c r="L405" s="2" t="s">
        <v>54</v>
      </c>
    </row>
    <row r="406" spans="1:12" x14ac:dyDescent="0.3">
      <c r="A406" s="2">
        <v>395</v>
      </c>
      <c r="B406" s="2" t="s">
        <v>1545</v>
      </c>
      <c r="C406" s="2" t="s">
        <v>1546</v>
      </c>
      <c r="D406" s="2" t="s">
        <v>15</v>
      </c>
      <c r="E406" s="2" t="s">
        <v>16</v>
      </c>
      <c r="F406" s="2">
        <v>90</v>
      </c>
      <c r="G406" s="2" t="s">
        <v>1547</v>
      </c>
      <c r="H406" s="2" t="s">
        <v>1548</v>
      </c>
      <c r="I406" s="2" t="s">
        <v>1549</v>
      </c>
      <c r="J406" s="3">
        <v>44467</v>
      </c>
      <c r="K406" s="2">
        <v>21</v>
      </c>
      <c r="L406" s="2" t="s">
        <v>70</v>
      </c>
    </row>
    <row r="407" spans="1:12" x14ac:dyDescent="0.3">
      <c r="A407" s="2">
        <v>396</v>
      </c>
      <c r="B407" s="2" t="s">
        <v>1550</v>
      </c>
      <c r="C407" s="2" t="s">
        <v>1551</v>
      </c>
      <c r="D407" s="2" t="s">
        <v>51</v>
      </c>
      <c r="E407" s="2" t="s">
        <v>16</v>
      </c>
      <c r="F407" s="2">
        <v>60</v>
      </c>
      <c r="G407" s="2" t="s">
        <v>1552</v>
      </c>
      <c r="H407" s="2" t="s">
        <v>1064</v>
      </c>
      <c r="I407" s="2" t="s">
        <v>886</v>
      </c>
      <c r="J407" s="3">
        <v>43959</v>
      </c>
      <c r="K407" s="2">
        <v>63</v>
      </c>
      <c r="L407" s="2" t="s">
        <v>33</v>
      </c>
    </row>
    <row r="408" spans="1:12" x14ac:dyDescent="0.3">
      <c r="A408" s="2">
        <v>397</v>
      </c>
      <c r="B408" s="2" t="s">
        <v>1553</v>
      </c>
      <c r="C408" s="2" t="s">
        <v>1554</v>
      </c>
      <c r="D408" s="2" t="s">
        <v>28</v>
      </c>
      <c r="E408" s="2" t="s">
        <v>29</v>
      </c>
      <c r="F408" s="2">
        <v>90</v>
      </c>
      <c r="G408" s="2" t="s">
        <v>1555</v>
      </c>
      <c r="H408" s="2" t="s">
        <v>1556</v>
      </c>
      <c r="I408" s="2" t="s">
        <v>1311</v>
      </c>
      <c r="J408" s="3">
        <v>44887</v>
      </c>
      <c r="K408" s="2">
        <v>65</v>
      </c>
      <c r="L408" s="2" t="s">
        <v>101</v>
      </c>
    </row>
    <row r="409" spans="1:12" x14ac:dyDescent="0.3">
      <c r="A409" s="2">
        <v>398</v>
      </c>
      <c r="B409" s="2" t="s">
        <v>1557</v>
      </c>
      <c r="C409" s="2" t="s">
        <v>1558</v>
      </c>
      <c r="D409" s="2" t="s">
        <v>15</v>
      </c>
      <c r="E409" s="2" t="s">
        <v>16</v>
      </c>
      <c r="F409" s="2">
        <v>60</v>
      </c>
      <c r="G409" s="2" t="s">
        <v>1559</v>
      </c>
      <c r="H409" s="2" t="s">
        <v>641</v>
      </c>
      <c r="I409" s="2" t="s">
        <v>294</v>
      </c>
      <c r="J409" s="3">
        <v>44165</v>
      </c>
      <c r="K409" s="2">
        <v>71</v>
      </c>
      <c r="L409" s="2" t="s">
        <v>54</v>
      </c>
    </row>
    <row r="410" spans="1:12" x14ac:dyDescent="0.3">
      <c r="A410" s="2">
        <v>399</v>
      </c>
      <c r="B410" s="2" t="s">
        <v>1560</v>
      </c>
      <c r="C410" s="2" t="s">
        <v>1561</v>
      </c>
      <c r="D410" s="2" t="s">
        <v>15</v>
      </c>
      <c r="E410" s="2" t="s">
        <v>16</v>
      </c>
      <c r="F410" s="2">
        <v>30</v>
      </c>
      <c r="G410" s="2" t="s">
        <v>1562</v>
      </c>
      <c r="H410" s="2" t="s">
        <v>641</v>
      </c>
      <c r="I410" s="2" t="s">
        <v>294</v>
      </c>
      <c r="J410" s="3">
        <v>44243</v>
      </c>
      <c r="K410" s="2">
        <v>27</v>
      </c>
      <c r="L410" s="2" t="s">
        <v>20</v>
      </c>
    </row>
    <row r="411" spans="1:12" x14ac:dyDescent="0.3">
      <c r="A411" s="2">
        <v>400</v>
      </c>
      <c r="B411" s="2" t="s">
        <v>1563</v>
      </c>
      <c r="C411" s="2" t="s">
        <v>1564</v>
      </c>
      <c r="D411" s="2" t="s">
        <v>51</v>
      </c>
      <c r="E411" s="2" t="s">
        <v>16</v>
      </c>
      <c r="F411" s="2">
        <v>90</v>
      </c>
      <c r="G411" s="2" t="s">
        <v>1565</v>
      </c>
      <c r="H411" s="2" t="s">
        <v>877</v>
      </c>
      <c r="I411" s="2" t="s">
        <v>32</v>
      </c>
      <c r="J411" s="3">
        <v>44589</v>
      </c>
      <c r="K411" s="2">
        <v>19</v>
      </c>
      <c r="L411" s="2" t="s">
        <v>39</v>
      </c>
    </row>
    <row r="412" spans="1:12" x14ac:dyDescent="0.3">
      <c r="A412" s="2">
        <v>401</v>
      </c>
      <c r="B412" s="2" t="s">
        <v>476</v>
      </c>
      <c r="C412" s="2" t="s">
        <v>1566</v>
      </c>
      <c r="D412" s="2" t="s">
        <v>28</v>
      </c>
      <c r="E412" s="2" t="s">
        <v>29</v>
      </c>
      <c r="F412" s="2">
        <v>90</v>
      </c>
      <c r="G412" s="2" t="s">
        <v>1567</v>
      </c>
      <c r="H412" s="2" t="s">
        <v>1568</v>
      </c>
      <c r="I412" s="2" t="s">
        <v>32</v>
      </c>
      <c r="J412" s="3">
        <v>43997</v>
      </c>
      <c r="K412" s="2">
        <v>30</v>
      </c>
      <c r="L412" s="2" t="s">
        <v>64</v>
      </c>
    </row>
    <row r="413" spans="1:12" x14ac:dyDescent="0.3">
      <c r="A413" s="2">
        <v>402</v>
      </c>
      <c r="B413" s="2" t="s">
        <v>1569</v>
      </c>
      <c r="C413" s="2" t="s">
        <v>1251</v>
      </c>
      <c r="D413" s="2" t="s">
        <v>15</v>
      </c>
      <c r="E413" s="2" t="s">
        <v>16</v>
      </c>
      <c r="F413" s="2">
        <v>30</v>
      </c>
      <c r="G413" s="2" t="s">
        <v>1570</v>
      </c>
      <c r="H413" s="2" t="s">
        <v>1571</v>
      </c>
      <c r="I413" s="2" t="s">
        <v>110</v>
      </c>
      <c r="J413" s="3">
        <v>44766</v>
      </c>
      <c r="K413" s="2">
        <v>41</v>
      </c>
      <c r="L413" s="2" t="s">
        <v>45</v>
      </c>
    </row>
    <row r="414" spans="1:12" x14ac:dyDescent="0.3">
      <c r="A414" s="2">
        <v>403</v>
      </c>
      <c r="B414" s="2" t="s">
        <v>1572</v>
      </c>
      <c r="C414" s="2" t="s">
        <v>1573</v>
      </c>
      <c r="D414" s="2" t="s">
        <v>28</v>
      </c>
      <c r="E414" s="2" t="s">
        <v>29</v>
      </c>
      <c r="F414" s="2">
        <v>30</v>
      </c>
      <c r="G414" s="2" t="s">
        <v>1574</v>
      </c>
      <c r="H414" s="2" t="s">
        <v>1575</v>
      </c>
      <c r="I414" s="2" t="s">
        <v>1576</v>
      </c>
      <c r="J414" s="3">
        <v>44021</v>
      </c>
      <c r="K414" s="2">
        <v>38</v>
      </c>
      <c r="L414" s="2" t="s">
        <v>159</v>
      </c>
    </row>
    <row r="415" spans="1:12" x14ac:dyDescent="0.3">
      <c r="A415" s="2">
        <v>404</v>
      </c>
      <c r="B415" s="2" t="s">
        <v>1577</v>
      </c>
      <c r="C415" s="2" t="s">
        <v>1578</v>
      </c>
      <c r="D415" s="2" t="s">
        <v>15</v>
      </c>
      <c r="E415" s="2" t="s">
        <v>16</v>
      </c>
      <c r="F415" s="2">
        <v>30</v>
      </c>
      <c r="G415" s="2" t="s">
        <v>1579</v>
      </c>
      <c r="H415" s="2" t="s">
        <v>1095</v>
      </c>
      <c r="I415" s="2" t="s">
        <v>178</v>
      </c>
      <c r="J415" s="3">
        <v>44592</v>
      </c>
      <c r="K415" s="2">
        <v>31</v>
      </c>
      <c r="L415" s="2" t="s">
        <v>39</v>
      </c>
    </row>
    <row r="416" spans="1:12" x14ac:dyDescent="0.3">
      <c r="A416" s="2">
        <v>405</v>
      </c>
      <c r="B416" s="2" t="s">
        <v>1580</v>
      </c>
      <c r="C416" s="2" t="s">
        <v>1581</v>
      </c>
      <c r="D416" s="2" t="s">
        <v>41</v>
      </c>
      <c r="E416" s="2" t="s">
        <v>16</v>
      </c>
      <c r="F416" s="2">
        <v>30</v>
      </c>
      <c r="G416" s="2" t="s">
        <v>1582</v>
      </c>
      <c r="H416" s="2" t="s">
        <v>1583</v>
      </c>
      <c r="I416" s="2" t="s">
        <v>178</v>
      </c>
      <c r="J416" s="3">
        <v>43950</v>
      </c>
      <c r="K416" s="2">
        <v>5</v>
      </c>
      <c r="L416" s="2" t="s">
        <v>101</v>
      </c>
    </row>
    <row r="417" spans="1:12" x14ac:dyDescent="0.3">
      <c r="A417" s="2">
        <v>406</v>
      </c>
      <c r="B417" s="2" t="s">
        <v>1584</v>
      </c>
      <c r="C417" s="2" t="s">
        <v>1585</v>
      </c>
      <c r="D417" s="2" t="s">
        <v>15</v>
      </c>
      <c r="E417" s="2" t="s">
        <v>16</v>
      </c>
      <c r="F417" s="2">
        <v>30</v>
      </c>
      <c r="G417" s="2" t="s">
        <v>1586</v>
      </c>
      <c r="H417" s="2" t="s">
        <v>1587</v>
      </c>
      <c r="I417" s="2" t="s">
        <v>32</v>
      </c>
      <c r="J417" s="3">
        <v>43997</v>
      </c>
      <c r="K417" s="2">
        <v>37</v>
      </c>
      <c r="L417" s="2" t="s">
        <v>70</v>
      </c>
    </row>
    <row r="418" spans="1:12" x14ac:dyDescent="0.3">
      <c r="A418" s="2">
        <v>407</v>
      </c>
      <c r="B418" s="2" t="s">
        <v>1506</v>
      </c>
      <c r="C418" s="2" t="s">
        <v>1588</v>
      </c>
      <c r="D418" s="2" t="s">
        <v>15</v>
      </c>
      <c r="E418" s="2" t="s">
        <v>16</v>
      </c>
      <c r="F418" s="2">
        <v>90</v>
      </c>
      <c r="G418" s="2" t="s">
        <v>1589</v>
      </c>
      <c r="H418" s="2" t="s">
        <v>1590</v>
      </c>
      <c r="I418" s="2" t="s">
        <v>32</v>
      </c>
      <c r="J418" s="3">
        <v>44223</v>
      </c>
      <c r="K418" s="2">
        <v>66</v>
      </c>
      <c r="L418" s="2" t="s">
        <v>20</v>
      </c>
    </row>
    <row r="419" spans="1:12" x14ac:dyDescent="0.3">
      <c r="A419" s="2">
        <v>408</v>
      </c>
      <c r="B419" s="2" t="s">
        <v>1591</v>
      </c>
      <c r="C419" s="2" t="s">
        <v>1592</v>
      </c>
      <c r="D419" s="2" t="s">
        <v>15</v>
      </c>
      <c r="E419" s="2" t="s">
        <v>16</v>
      </c>
      <c r="F419" s="2">
        <v>90</v>
      </c>
      <c r="G419" s="2" t="s">
        <v>1593</v>
      </c>
      <c r="H419" s="2" t="s">
        <v>1594</v>
      </c>
      <c r="I419" s="2" t="s">
        <v>178</v>
      </c>
      <c r="J419" s="3">
        <v>44403</v>
      </c>
      <c r="K419" s="2">
        <v>32</v>
      </c>
      <c r="L419" s="2" t="s">
        <v>20</v>
      </c>
    </row>
    <row r="420" spans="1:12" x14ac:dyDescent="0.3">
      <c r="A420" s="2">
        <v>409</v>
      </c>
      <c r="B420" s="2" t="s">
        <v>1595</v>
      </c>
      <c r="C420" s="2" t="s">
        <v>1596</v>
      </c>
      <c r="D420" s="2" t="s">
        <v>15</v>
      </c>
      <c r="E420" s="2" t="s">
        <v>16</v>
      </c>
      <c r="F420" s="2">
        <v>60</v>
      </c>
      <c r="G420" s="2" t="s">
        <v>10419</v>
      </c>
      <c r="H420" s="2" t="s">
        <v>1598</v>
      </c>
      <c r="I420" s="2" t="s">
        <v>32</v>
      </c>
      <c r="J420" s="3">
        <v>44450</v>
      </c>
      <c r="K420" s="2">
        <v>25</v>
      </c>
      <c r="L420" s="2" t="s">
        <v>54</v>
      </c>
    </row>
    <row r="421" spans="1:12" x14ac:dyDescent="0.3">
      <c r="A421" s="2">
        <v>410</v>
      </c>
      <c r="B421" s="2" t="s">
        <v>1290</v>
      </c>
      <c r="C421" s="2" t="s">
        <v>1599</v>
      </c>
      <c r="D421" s="2" t="s">
        <v>51</v>
      </c>
      <c r="E421" s="2" t="s">
        <v>16</v>
      </c>
      <c r="F421" s="2">
        <v>30</v>
      </c>
      <c r="G421" s="2" t="s">
        <v>1600</v>
      </c>
      <c r="H421" s="2" t="s">
        <v>1601</v>
      </c>
      <c r="I421" s="2" t="s">
        <v>32</v>
      </c>
      <c r="J421" s="3">
        <v>44353</v>
      </c>
      <c r="K421" s="2">
        <v>63</v>
      </c>
      <c r="L421" s="2" t="s">
        <v>39</v>
      </c>
    </row>
    <row r="422" spans="1:12" x14ac:dyDescent="0.3">
      <c r="A422" s="2">
        <v>411</v>
      </c>
      <c r="B422" s="2" t="s">
        <v>1602</v>
      </c>
      <c r="C422" s="2" t="s">
        <v>1603</v>
      </c>
      <c r="D422" s="2" t="s">
        <v>15</v>
      </c>
      <c r="E422" s="2" t="s">
        <v>16</v>
      </c>
      <c r="F422" s="2">
        <v>90</v>
      </c>
      <c r="G422" s="2" t="s">
        <v>1604</v>
      </c>
      <c r="H422" s="2" t="s">
        <v>1605</v>
      </c>
      <c r="I422" s="2" t="s">
        <v>32</v>
      </c>
      <c r="J422" s="3">
        <v>44864</v>
      </c>
      <c r="K422" s="2">
        <v>99</v>
      </c>
      <c r="L422" s="2" t="s">
        <v>45</v>
      </c>
    </row>
    <row r="423" spans="1:12" x14ac:dyDescent="0.3">
      <c r="A423" s="2">
        <v>412</v>
      </c>
      <c r="B423" s="2" t="s">
        <v>1606</v>
      </c>
      <c r="C423" s="2" t="s">
        <v>1607</v>
      </c>
      <c r="D423" s="2" t="s">
        <v>28</v>
      </c>
      <c r="E423" s="2" t="s">
        <v>29</v>
      </c>
      <c r="F423" s="2">
        <v>60</v>
      </c>
      <c r="G423" s="2" t="s">
        <v>1608</v>
      </c>
      <c r="H423" s="2" t="s">
        <v>1609</v>
      </c>
      <c r="I423" s="2" t="s">
        <v>32</v>
      </c>
      <c r="J423" s="3">
        <v>44093</v>
      </c>
      <c r="K423" s="2">
        <v>62</v>
      </c>
      <c r="L423" s="2" t="s">
        <v>70</v>
      </c>
    </row>
    <row r="424" spans="1:12" x14ac:dyDescent="0.3">
      <c r="A424" s="2">
        <v>413</v>
      </c>
      <c r="B424" s="2" t="s">
        <v>1610</v>
      </c>
      <c r="C424" s="2" t="s">
        <v>1030</v>
      </c>
      <c r="D424" s="2" t="s">
        <v>28</v>
      </c>
      <c r="E424" s="2" t="s">
        <v>29</v>
      </c>
      <c r="F424" s="2">
        <v>90</v>
      </c>
      <c r="G424" s="2" t="s">
        <v>1611</v>
      </c>
      <c r="H424" s="2" t="s">
        <v>1612</v>
      </c>
      <c r="I424" s="2" t="s">
        <v>240</v>
      </c>
      <c r="J424" s="3">
        <v>44236</v>
      </c>
      <c r="K424" s="2">
        <v>85</v>
      </c>
      <c r="L424" s="2" t="s">
        <v>80</v>
      </c>
    </row>
    <row r="425" spans="1:12" x14ac:dyDescent="0.3">
      <c r="A425" s="2">
        <v>414</v>
      </c>
      <c r="B425" s="2" t="s">
        <v>1613</v>
      </c>
      <c r="C425" s="2" t="s">
        <v>1614</v>
      </c>
      <c r="D425" s="2" t="s">
        <v>28</v>
      </c>
      <c r="E425" s="2" t="s">
        <v>29</v>
      </c>
      <c r="F425" s="2">
        <v>60</v>
      </c>
      <c r="G425" s="2" t="s">
        <v>1611</v>
      </c>
      <c r="H425" s="2" t="s">
        <v>1615</v>
      </c>
      <c r="I425" s="2" t="s">
        <v>32</v>
      </c>
      <c r="J425" s="3">
        <v>44140</v>
      </c>
      <c r="K425" s="2">
        <v>10</v>
      </c>
      <c r="L425" s="2" t="s">
        <v>39</v>
      </c>
    </row>
    <row r="426" spans="1:12" x14ac:dyDescent="0.3">
      <c r="A426" s="2">
        <v>415</v>
      </c>
      <c r="B426" s="2" t="s">
        <v>1616</v>
      </c>
      <c r="C426" s="2" t="s">
        <v>1617</v>
      </c>
      <c r="D426" s="2" t="s">
        <v>15</v>
      </c>
      <c r="E426" s="2" t="s">
        <v>16</v>
      </c>
      <c r="F426" s="2">
        <v>60</v>
      </c>
      <c r="G426" s="2" t="s">
        <v>1618</v>
      </c>
      <c r="H426" s="2" t="s">
        <v>1619</v>
      </c>
      <c r="I426" s="2" t="s">
        <v>44</v>
      </c>
      <c r="J426" s="3">
        <v>43950</v>
      </c>
      <c r="K426" s="2">
        <v>65</v>
      </c>
      <c r="L426" s="2" t="s">
        <v>20</v>
      </c>
    </row>
    <row r="427" spans="1:12" x14ac:dyDescent="0.3">
      <c r="A427" s="2">
        <v>416</v>
      </c>
      <c r="B427" s="2" t="s">
        <v>371</v>
      </c>
      <c r="C427" s="2" t="s">
        <v>1296</v>
      </c>
      <c r="D427" s="2" t="s">
        <v>28</v>
      </c>
      <c r="E427" s="2" t="s">
        <v>29</v>
      </c>
      <c r="F427" s="2">
        <v>90</v>
      </c>
      <c r="G427" s="2" t="s">
        <v>1620</v>
      </c>
      <c r="H427" s="2" t="s">
        <v>1621</v>
      </c>
      <c r="I427" s="2" t="s">
        <v>146</v>
      </c>
      <c r="J427" s="3">
        <v>44535</v>
      </c>
      <c r="K427" s="2">
        <v>82</v>
      </c>
      <c r="L427" s="2" t="s">
        <v>101</v>
      </c>
    </row>
    <row r="428" spans="1:12" x14ac:dyDescent="0.3">
      <c r="A428" s="2">
        <v>417</v>
      </c>
      <c r="B428" s="2" t="s">
        <v>1622</v>
      </c>
      <c r="C428" s="2" t="s">
        <v>1623</v>
      </c>
      <c r="D428" s="2" t="s">
        <v>28</v>
      </c>
      <c r="E428" s="2" t="s">
        <v>29</v>
      </c>
      <c r="F428" s="2">
        <v>60</v>
      </c>
      <c r="G428" s="2" t="s">
        <v>1624</v>
      </c>
      <c r="H428" s="2" t="s">
        <v>1625</v>
      </c>
      <c r="I428" s="2" t="s">
        <v>32</v>
      </c>
      <c r="J428" s="3">
        <v>44622</v>
      </c>
      <c r="K428" s="2">
        <v>21</v>
      </c>
      <c r="L428" s="2" t="s">
        <v>45</v>
      </c>
    </row>
    <row r="429" spans="1:12" x14ac:dyDescent="0.3">
      <c r="A429" s="2">
        <v>418</v>
      </c>
      <c r="B429" s="2" t="s">
        <v>1626</v>
      </c>
      <c r="C429" s="2" t="s">
        <v>1627</v>
      </c>
      <c r="D429" s="2" t="s">
        <v>51</v>
      </c>
      <c r="E429" s="2" t="s">
        <v>16</v>
      </c>
      <c r="F429" s="2">
        <v>60</v>
      </c>
      <c r="G429" s="2" t="s">
        <v>1628</v>
      </c>
      <c r="H429" s="2" t="s">
        <v>1629</v>
      </c>
      <c r="I429" s="2" t="s">
        <v>32</v>
      </c>
      <c r="J429" s="3">
        <v>44597</v>
      </c>
      <c r="K429" s="2">
        <v>19</v>
      </c>
      <c r="L429" s="2" t="s">
        <v>20</v>
      </c>
    </row>
    <row r="430" spans="1:12" x14ac:dyDescent="0.3">
      <c r="A430" s="2">
        <v>419</v>
      </c>
      <c r="B430" s="2" t="s">
        <v>1630</v>
      </c>
      <c r="C430" s="2" t="s">
        <v>708</v>
      </c>
      <c r="D430" s="2" t="s">
        <v>28</v>
      </c>
      <c r="E430" s="2" t="s">
        <v>29</v>
      </c>
      <c r="F430" s="2">
        <v>60</v>
      </c>
      <c r="G430" s="2" t="s">
        <v>1631</v>
      </c>
      <c r="H430" s="2" t="s">
        <v>1632</v>
      </c>
      <c r="I430" s="2" t="s">
        <v>32</v>
      </c>
      <c r="J430" s="3">
        <v>44694</v>
      </c>
      <c r="K430" s="2">
        <v>76</v>
      </c>
      <c r="L430" s="2" t="s">
        <v>39</v>
      </c>
    </row>
    <row r="431" spans="1:12" x14ac:dyDescent="0.3">
      <c r="A431" s="2">
        <v>420</v>
      </c>
      <c r="B431" s="2" t="s">
        <v>179</v>
      </c>
      <c r="C431" s="2" t="s">
        <v>357</v>
      </c>
      <c r="D431" s="2" t="s">
        <v>28</v>
      </c>
      <c r="E431" s="2" t="s">
        <v>29</v>
      </c>
      <c r="F431" s="2">
        <v>90</v>
      </c>
      <c r="G431" s="2" t="s">
        <v>1633</v>
      </c>
      <c r="H431" s="2" t="s">
        <v>750</v>
      </c>
      <c r="I431" s="2" t="s">
        <v>25</v>
      </c>
      <c r="J431" s="3">
        <v>44461</v>
      </c>
      <c r="K431" s="2">
        <v>41</v>
      </c>
      <c r="L431" s="2" t="s">
        <v>159</v>
      </c>
    </row>
    <row r="432" spans="1:12" x14ac:dyDescent="0.3">
      <c r="A432" s="2">
        <v>421</v>
      </c>
      <c r="B432" s="2" t="s">
        <v>1634</v>
      </c>
      <c r="C432" s="2" t="s">
        <v>1635</v>
      </c>
      <c r="D432" s="2" t="s">
        <v>28</v>
      </c>
      <c r="E432" s="2" t="s">
        <v>29</v>
      </c>
      <c r="F432" s="2">
        <v>60</v>
      </c>
      <c r="G432" s="2" t="s">
        <v>1636</v>
      </c>
      <c r="H432" s="2" t="s">
        <v>137</v>
      </c>
      <c r="I432" s="2" t="s">
        <v>32</v>
      </c>
      <c r="J432" s="3">
        <v>44911</v>
      </c>
      <c r="K432" s="2">
        <v>42</v>
      </c>
      <c r="L432" s="2" t="s">
        <v>80</v>
      </c>
    </row>
    <row r="433" spans="1:12" x14ac:dyDescent="0.3">
      <c r="A433" s="2">
        <v>422</v>
      </c>
      <c r="B433" s="2" t="s">
        <v>1637</v>
      </c>
      <c r="C433" s="2" t="s">
        <v>1638</v>
      </c>
      <c r="D433" s="2" t="s">
        <v>28</v>
      </c>
      <c r="E433" s="2" t="s">
        <v>29</v>
      </c>
      <c r="F433" s="2">
        <v>30</v>
      </c>
      <c r="G433" s="2" t="s">
        <v>1639</v>
      </c>
      <c r="H433" s="2" t="s">
        <v>498</v>
      </c>
      <c r="I433" s="2" t="s">
        <v>32</v>
      </c>
      <c r="J433" s="3">
        <v>44645</v>
      </c>
      <c r="K433" s="2">
        <v>38</v>
      </c>
      <c r="L433" s="2" t="s">
        <v>70</v>
      </c>
    </row>
    <row r="434" spans="1:12" x14ac:dyDescent="0.3">
      <c r="A434" s="2">
        <v>423</v>
      </c>
      <c r="B434" s="2" t="s">
        <v>1640</v>
      </c>
      <c r="C434" s="2" t="s">
        <v>1641</v>
      </c>
      <c r="D434" s="2" t="s">
        <v>51</v>
      </c>
      <c r="E434" s="2" t="s">
        <v>16</v>
      </c>
      <c r="F434" s="2">
        <v>30</v>
      </c>
      <c r="G434" s="2" t="s">
        <v>1642</v>
      </c>
      <c r="H434" s="2" t="s">
        <v>1643</v>
      </c>
      <c r="I434" s="2" t="s">
        <v>124</v>
      </c>
      <c r="J434" s="3">
        <v>44343</v>
      </c>
      <c r="K434" s="2">
        <v>87</v>
      </c>
      <c r="L434" s="2" t="s">
        <v>159</v>
      </c>
    </row>
    <row r="435" spans="1:12" x14ac:dyDescent="0.3">
      <c r="A435" s="2">
        <v>424</v>
      </c>
      <c r="B435" s="2" t="s">
        <v>1644</v>
      </c>
      <c r="C435" s="2" t="s">
        <v>1645</v>
      </c>
      <c r="D435" s="2" t="s">
        <v>41</v>
      </c>
      <c r="E435" s="2" t="s">
        <v>16</v>
      </c>
      <c r="F435" s="2">
        <v>90</v>
      </c>
      <c r="G435" s="2" t="s">
        <v>1646</v>
      </c>
      <c r="H435" s="2" t="s">
        <v>1647</v>
      </c>
      <c r="I435" s="2" t="s">
        <v>554</v>
      </c>
      <c r="J435" s="3">
        <v>44709</v>
      </c>
      <c r="K435" s="2">
        <v>96</v>
      </c>
      <c r="L435" s="2" t="s">
        <v>159</v>
      </c>
    </row>
    <row r="436" spans="1:12" x14ac:dyDescent="0.3">
      <c r="A436" s="2">
        <v>425</v>
      </c>
      <c r="B436" s="2" t="s">
        <v>1648</v>
      </c>
      <c r="C436" s="2" t="s">
        <v>1649</v>
      </c>
      <c r="D436" s="2" t="s">
        <v>41</v>
      </c>
      <c r="E436" s="2" t="s">
        <v>16</v>
      </c>
      <c r="F436" s="2">
        <v>30</v>
      </c>
      <c r="G436" s="2" t="s">
        <v>1650</v>
      </c>
      <c r="H436" s="2" t="s">
        <v>1651</v>
      </c>
      <c r="I436" s="2" t="s">
        <v>1652</v>
      </c>
      <c r="J436" s="3">
        <v>44425</v>
      </c>
      <c r="K436" s="2">
        <v>79</v>
      </c>
      <c r="L436" s="2" t="s">
        <v>101</v>
      </c>
    </row>
    <row r="437" spans="1:12" x14ac:dyDescent="0.3">
      <c r="A437" s="2">
        <v>426</v>
      </c>
      <c r="B437" s="2" t="s">
        <v>1653</v>
      </c>
      <c r="C437" s="2" t="s">
        <v>1654</v>
      </c>
      <c r="D437" s="2" t="s">
        <v>92</v>
      </c>
      <c r="E437" s="2" t="s">
        <v>16</v>
      </c>
      <c r="F437" s="2">
        <v>30</v>
      </c>
      <c r="G437" s="2" t="s">
        <v>1655</v>
      </c>
      <c r="H437" s="2" t="s">
        <v>1656</v>
      </c>
      <c r="I437" s="2" t="s">
        <v>187</v>
      </c>
      <c r="J437" s="3">
        <v>44102</v>
      </c>
      <c r="K437" s="2">
        <v>78</v>
      </c>
      <c r="L437" s="2" t="s">
        <v>159</v>
      </c>
    </row>
    <row r="438" spans="1:12" x14ac:dyDescent="0.3">
      <c r="A438" s="2">
        <v>427</v>
      </c>
      <c r="B438" s="2" t="s">
        <v>1657</v>
      </c>
      <c r="C438" s="2" t="s">
        <v>1658</v>
      </c>
      <c r="D438" s="2" t="s">
        <v>28</v>
      </c>
      <c r="E438" s="2" t="s">
        <v>29</v>
      </c>
      <c r="F438" s="2">
        <v>60</v>
      </c>
      <c r="G438" s="2" t="s">
        <v>1659</v>
      </c>
      <c r="H438" s="2" t="s">
        <v>1660</v>
      </c>
      <c r="I438" s="2" t="s">
        <v>32</v>
      </c>
      <c r="J438" s="3">
        <v>44760</v>
      </c>
      <c r="K438" s="2">
        <v>23</v>
      </c>
      <c r="L438" s="2" t="s">
        <v>39</v>
      </c>
    </row>
    <row r="439" spans="1:12" x14ac:dyDescent="0.3">
      <c r="A439" s="2">
        <v>428</v>
      </c>
      <c r="B439" s="2" t="s">
        <v>1664</v>
      </c>
      <c r="C439" s="2" t="s">
        <v>1665</v>
      </c>
      <c r="D439" s="2" t="s">
        <v>15</v>
      </c>
      <c r="E439" s="2" t="s">
        <v>16</v>
      </c>
      <c r="F439" s="2">
        <v>60</v>
      </c>
      <c r="G439" s="2" t="s">
        <v>1666</v>
      </c>
      <c r="H439" s="2" t="s">
        <v>1667</v>
      </c>
      <c r="I439" s="2" t="s">
        <v>32</v>
      </c>
      <c r="J439" s="3">
        <v>44288</v>
      </c>
      <c r="K439" s="2">
        <v>63</v>
      </c>
      <c r="L439" s="2" t="s">
        <v>159</v>
      </c>
    </row>
    <row r="440" spans="1:12" x14ac:dyDescent="0.3">
      <c r="A440" s="2">
        <v>429</v>
      </c>
      <c r="B440" s="2" t="s">
        <v>1668</v>
      </c>
      <c r="C440" s="2" t="s">
        <v>1669</v>
      </c>
      <c r="D440" s="2" t="s">
        <v>15</v>
      </c>
      <c r="E440" s="2" t="s">
        <v>16</v>
      </c>
      <c r="F440" s="2">
        <v>30</v>
      </c>
      <c r="G440" s="2" t="s">
        <v>1670</v>
      </c>
      <c r="H440" s="2" t="s">
        <v>1022</v>
      </c>
      <c r="I440" s="2" t="s">
        <v>164</v>
      </c>
      <c r="J440" s="3">
        <v>44348</v>
      </c>
      <c r="K440" s="2">
        <v>22</v>
      </c>
      <c r="L440" s="2" t="s">
        <v>70</v>
      </c>
    </row>
    <row r="441" spans="1:12" x14ac:dyDescent="0.3">
      <c r="A441" s="2">
        <v>430</v>
      </c>
      <c r="B441" s="2" t="s">
        <v>1671</v>
      </c>
      <c r="C441" s="2" t="s">
        <v>1672</v>
      </c>
      <c r="D441" s="2" t="s">
        <v>28</v>
      </c>
      <c r="E441" s="2" t="s">
        <v>29</v>
      </c>
      <c r="F441" s="2">
        <v>90</v>
      </c>
      <c r="G441" s="2" t="s">
        <v>1673</v>
      </c>
      <c r="H441" s="2" t="s">
        <v>1674</v>
      </c>
      <c r="I441" s="2" t="s">
        <v>25</v>
      </c>
      <c r="J441" s="3">
        <v>43891</v>
      </c>
      <c r="K441" s="2">
        <v>57</v>
      </c>
      <c r="L441" s="2" t="s">
        <v>54</v>
      </c>
    </row>
    <row r="442" spans="1:12" x14ac:dyDescent="0.3">
      <c r="A442" s="2">
        <v>431</v>
      </c>
      <c r="B442" s="2" t="s">
        <v>1675</v>
      </c>
      <c r="C442" s="2" t="s">
        <v>722</v>
      </c>
      <c r="D442" s="2" t="s">
        <v>15</v>
      </c>
      <c r="E442" s="2" t="s">
        <v>16</v>
      </c>
      <c r="F442" s="2">
        <v>90</v>
      </c>
      <c r="G442" s="2" t="s">
        <v>1676</v>
      </c>
      <c r="H442" s="2" t="s">
        <v>655</v>
      </c>
      <c r="I442" s="2" t="s">
        <v>32</v>
      </c>
      <c r="J442" s="3">
        <v>44885</v>
      </c>
      <c r="K442" s="2">
        <v>49</v>
      </c>
      <c r="L442" s="2" t="s">
        <v>20</v>
      </c>
    </row>
    <row r="443" spans="1:12" x14ac:dyDescent="0.3">
      <c r="A443" s="2">
        <v>432</v>
      </c>
      <c r="B443" s="2" t="s">
        <v>1677</v>
      </c>
      <c r="C443" s="2" t="s">
        <v>1678</v>
      </c>
      <c r="D443" s="2" t="s">
        <v>28</v>
      </c>
      <c r="E443" s="2" t="s">
        <v>29</v>
      </c>
      <c r="F443" s="2">
        <v>60</v>
      </c>
      <c r="G443" s="2" t="s">
        <v>1679</v>
      </c>
      <c r="H443" s="2" t="s">
        <v>1680</v>
      </c>
      <c r="I443" s="2" t="s">
        <v>19</v>
      </c>
      <c r="J443" s="3">
        <v>44021</v>
      </c>
      <c r="K443" s="2">
        <v>50</v>
      </c>
      <c r="L443" s="2" t="s">
        <v>159</v>
      </c>
    </row>
    <row r="444" spans="1:12" x14ac:dyDescent="0.3">
      <c r="A444" s="2">
        <v>433</v>
      </c>
      <c r="B444" s="2" t="s">
        <v>1681</v>
      </c>
      <c r="C444" s="2" t="s">
        <v>1682</v>
      </c>
      <c r="D444" s="2" t="s">
        <v>51</v>
      </c>
      <c r="E444" s="2" t="s">
        <v>16</v>
      </c>
      <c r="F444" s="2">
        <v>90</v>
      </c>
      <c r="G444" s="2" t="s">
        <v>1683</v>
      </c>
      <c r="H444" s="2" t="s">
        <v>685</v>
      </c>
      <c r="I444" s="2" t="s">
        <v>686</v>
      </c>
      <c r="J444" s="3">
        <v>44150</v>
      </c>
      <c r="K444" s="2">
        <v>59</v>
      </c>
      <c r="L444" s="2" t="s">
        <v>64</v>
      </c>
    </row>
    <row r="445" spans="1:12" x14ac:dyDescent="0.3">
      <c r="A445" s="2">
        <v>434</v>
      </c>
      <c r="B445" s="2" t="s">
        <v>1684</v>
      </c>
      <c r="C445" s="2" t="s">
        <v>1685</v>
      </c>
      <c r="D445" s="2" t="s">
        <v>28</v>
      </c>
      <c r="E445" s="2" t="s">
        <v>29</v>
      </c>
      <c r="F445" s="2">
        <v>60</v>
      </c>
      <c r="G445" s="2" t="s">
        <v>1686</v>
      </c>
      <c r="H445" s="2" t="s">
        <v>510</v>
      </c>
      <c r="I445" s="2" t="s">
        <v>32</v>
      </c>
      <c r="J445" s="3">
        <v>44106</v>
      </c>
      <c r="K445" s="2">
        <v>16</v>
      </c>
      <c r="L445" s="2" t="s">
        <v>39</v>
      </c>
    </row>
    <row r="446" spans="1:12" x14ac:dyDescent="0.3">
      <c r="A446" s="2">
        <v>435</v>
      </c>
      <c r="B446" s="2" t="s">
        <v>1687</v>
      </c>
      <c r="C446" s="2" t="s">
        <v>1688</v>
      </c>
      <c r="D446" s="2" t="s">
        <v>117</v>
      </c>
      <c r="E446" s="2" t="s">
        <v>29</v>
      </c>
      <c r="F446" s="2">
        <v>90</v>
      </c>
      <c r="G446" s="2" t="s">
        <v>1689</v>
      </c>
      <c r="H446" s="2" t="s">
        <v>1690</v>
      </c>
      <c r="I446" s="2" t="s">
        <v>208</v>
      </c>
      <c r="J446" s="3">
        <v>43846</v>
      </c>
      <c r="K446" s="2">
        <v>74</v>
      </c>
      <c r="L446" s="2" t="s">
        <v>33</v>
      </c>
    </row>
    <row r="447" spans="1:12" x14ac:dyDescent="0.3">
      <c r="A447" s="2">
        <v>436</v>
      </c>
      <c r="B447" s="2" t="s">
        <v>1691</v>
      </c>
      <c r="C447" s="2" t="s">
        <v>1692</v>
      </c>
      <c r="D447" s="2" t="s">
        <v>15</v>
      </c>
      <c r="E447" s="2" t="s">
        <v>16</v>
      </c>
      <c r="F447" s="2">
        <v>90</v>
      </c>
      <c r="G447" s="2" t="s">
        <v>1693</v>
      </c>
      <c r="H447" s="2" t="s">
        <v>1694</v>
      </c>
      <c r="I447" s="2" t="s">
        <v>32</v>
      </c>
      <c r="J447" s="3">
        <v>44630</v>
      </c>
      <c r="K447" s="2">
        <v>95</v>
      </c>
      <c r="L447" s="2" t="s">
        <v>54</v>
      </c>
    </row>
    <row r="448" spans="1:12" x14ac:dyDescent="0.3">
      <c r="A448" s="2">
        <v>437</v>
      </c>
      <c r="B448" s="2" t="s">
        <v>1695</v>
      </c>
      <c r="C448" s="2" t="s">
        <v>1696</v>
      </c>
      <c r="D448" s="2" t="s">
        <v>51</v>
      </c>
      <c r="E448" s="2" t="s">
        <v>16</v>
      </c>
      <c r="F448" s="2">
        <v>60</v>
      </c>
      <c r="G448" s="2" t="s">
        <v>1697</v>
      </c>
      <c r="H448" s="2" t="s">
        <v>1556</v>
      </c>
      <c r="I448" s="2" t="s">
        <v>1311</v>
      </c>
      <c r="J448" s="3">
        <v>44524</v>
      </c>
      <c r="K448" s="2">
        <v>34</v>
      </c>
      <c r="L448" s="2" t="s">
        <v>33</v>
      </c>
    </row>
    <row r="449" spans="1:12" x14ac:dyDescent="0.3">
      <c r="A449" s="2">
        <v>438</v>
      </c>
      <c r="B449" s="2" t="s">
        <v>1657</v>
      </c>
      <c r="C449" s="2" t="s">
        <v>1698</v>
      </c>
      <c r="D449" s="2" t="s">
        <v>28</v>
      </c>
      <c r="E449" s="2" t="s">
        <v>29</v>
      </c>
      <c r="F449" s="2">
        <v>30</v>
      </c>
      <c r="G449" s="2" t="s">
        <v>1697</v>
      </c>
      <c r="H449" s="2" t="s">
        <v>1473</v>
      </c>
      <c r="I449" s="2" t="s">
        <v>38</v>
      </c>
      <c r="J449" s="3">
        <v>43887</v>
      </c>
      <c r="K449" s="2">
        <v>61</v>
      </c>
      <c r="L449" s="2" t="s">
        <v>45</v>
      </c>
    </row>
    <row r="450" spans="1:12" x14ac:dyDescent="0.3">
      <c r="A450" s="2">
        <v>439</v>
      </c>
      <c r="B450" s="2" t="s">
        <v>1699</v>
      </c>
      <c r="C450" s="2" t="s">
        <v>1700</v>
      </c>
      <c r="D450" s="2" t="s">
        <v>28</v>
      </c>
      <c r="E450" s="2" t="s">
        <v>29</v>
      </c>
      <c r="F450" s="2">
        <v>30</v>
      </c>
      <c r="G450" s="2" t="s">
        <v>1701</v>
      </c>
      <c r="H450" s="2" t="s">
        <v>685</v>
      </c>
      <c r="I450" s="2" t="s">
        <v>686</v>
      </c>
      <c r="J450" s="3">
        <v>44550</v>
      </c>
      <c r="K450" s="2">
        <v>36</v>
      </c>
      <c r="L450" s="2" t="s">
        <v>64</v>
      </c>
    </row>
    <row r="451" spans="1:12" x14ac:dyDescent="0.3">
      <c r="A451" s="2">
        <v>440</v>
      </c>
      <c r="B451" s="2" t="s">
        <v>1702</v>
      </c>
      <c r="C451" s="2" t="s">
        <v>1703</v>
      </c>
      <c r="D451" s="2" t="s">
        <v>51</v>
      </c>
      <c r="E451" s="2" t="s">
        <v>16</v>
      </c>
      <c r="F451" s="2">
        <v>60</v>
      </c>
      <c r="G451" s="2" t="s">
        <v>1704</v>
      </c>
      <c r="H451" s="2" t="s">
        <v>1177</v>
      </c>
      <c r="I451" s="2" t="s">
        <v>32</v>
      </c>
      <c r="J451" s="3">
        <v>44239</v>
      </c>
      <c r="K451" s="2">
        <v>50</v>
      </c>
      <c r="L451" s="2" t="s">
        <v>80</v>
      </c>
    </row>
    <row r="452" spans="1:12" x14ac:dyDescent="0.3">
      <c r="A452" s="2">
        <v>441</v>
      </c>
      <c r="B452" s="2" t="s">
        <v>1705</v>
      </c>
      <c r="C452" s="2" t="s">
        <v>1706</v>
      </c>
      <c r="D452" s="2" t="s">
        <v>15</v>
      </c>
      <c r="E452" s="2" t="s">
        <v>16</v>
      </c>
      <c r="F452" s="2">
        <v>30</v>
      </c>
      <c r="G452" s="2" t="s">
        <v>1707</v>
      </c>
      <c r="H452" s="2" t="s">
        <v>1708</v>
      </c>
      <c r="I452" s="2" t="s">
        <v>124</v>
      </c>
      <c r="J452" s="3">
        <v>44743</v>
      </c>
      <c r="K452" s="2">
        <v>94</v>
      </c>
      <c r="L452" s="2" t="s">
        <v>20</v>
      </c>
    </row>
    <row r="453" spans="1:12" x14ac:dyDescent="0.3">
      <c r="A453" s="2">
        <v>442</v>
      </c>
      <c r="B453" s="2" t="s">
        <v>1709</v>
      </c>
      <c r="C453" s="2" t="s">
        <v>1710</v>
      </c>
      <c r="D453" s="2" t="s">
        <v>51</v>
      </c>
      <c r="E453" s="2" t="s">
        <v>16</v>
      </c>
      <c r="F453" s="2">
        <v>90</v>
      </c>
      <c r="G453" s="2" t="s">
        <v>1711</v>
      </c>
      <c r="H453" s="2" t="s">
        <v>1712</v>
      </c>
      <c r="I453" s="2" t="s">
        <v>187</v>
      </c>
      <c r="J453" s="3">
        <v>43852</v>
      </c>
      <c r="K453" s="2">
        <v>64</v>
      </c>
      <c r="L453" s="2" t="s">
        <v>33</v>
      </c>
    </row>
    <row r="454" spans="1:12" x14ac:dyDescent="0.3">
      <c r="A454" s="2">
        <v>443</v>
      </c>
      <c r="B454" s="2" t="s">
        <v>1713</v>
      </c>
      <c r="C454" s="2" t="s">
        <v>1714</v>
      </c>
      <c r="D454" s="2" t="s">
        <v>15</v>
      </c>
      <c r="E454" s="2" t="s">
        <v>16</v>
      </c>
      <c r="F454" s="2">
        <v>60</v>
      </c>
      <c r="G454" s="2" t="s">
        <v>1715</v>
      </c>
      <c r="H454" s="2" t="s">
        <v>1716</v>
      </c>
      <c r="I454" s="2" t="s">
        <v>425</v>
      </c>
      <c r="J454" s="3">
        <v>44246</v>
      </c>
      <c r="K454" s="2">
        <v>84</v>
      </c>
      <c r="L454" s="2" t="s">
        <v>159</v>
      </c>
    </row>
    <row r="455" spans="1:12" x14ac:dyDescent="0.3">
      <c r="A455" s="2">
        <v>444</v>
      </c>
      <c r="B455" s="2" t="s">
        <v>642</v>
      </c>
      <c r="C455" s="2" t="s">
        <v>1717</v>
      </c>
      <c r="D455" s="2" t="s">
        <v>28</v>
      </c>
      <c r="E455" s="2" t="s">
        <v>29</v>
      </c>
      <c r="F455" s="2">
        <v>90</v>
      </c>
      <c r="G455" s="2" t="s">
        <v>1718</v>
      </c>
      <c r="H455" s="2" t="s">
        <v>1719</v>
      </c>
      <c r="I455" s="2" t="s">
        <v>38</v>
      </c>
      <c r="J455" s="3">
        <v>44847</v>
      </c>
      <c r="K455" s="2">
        <v>89</v>
      </c>
      <c r="L455" s="2" t="s">
        <v>54</v>
      </c>
    </row>
    <row r="456" spans="1:12" x14ac:dyDescent="0.3">
      <c r="A456" s="2">
        <v>445</v>
      </c>
      <c r="B456" s="2" t="s">
        <v>1720</v>
      </c>
      <c r="C456" s="2" t="s">
        <v>1721</v>
      </c>
      <c r="D456" s="2" t="s">
        <v>15</v>
      </c>
      <c r="E456" s="2" t="s">
        <v>16</v>
      </c>
      <c r="F456" s="2">
        <v>30</v>
      </c>
      <c r="G456" s="2" t="s">
        <v>1722</v>
      </c>
      <c r="H456" s="2" t="s">
        <v>1723</v>
      </c>
      <c r="I456" s="2" t="s">
        <v>173</v>
      </c>
      <c r="J456" s="3">
        <v>44105</v>
      </c>
      <c r="K456" s="2">
        <v>3</v>
      </c>
      <c r="L456" s="2" t="s">
        <v>45</v>
      </c>
    </row>
    <row r="457" spans="1:12" x14ac:dyDescent="0.3">
      <c r="A457" s="2">
        <v>446</v>
      </c>
      <c r="B457" s="2" t="s">
        <v>1724</v>
      </c>
      <c r="C457" s="2" t="s">
        <v>629</v>
      </c>
      <c r="D457" s="2" t="s">
        <v>15</v>
      </c>
      <c r="E457" s="2" t="s">
        <v>16</v>
      </c>
      <c r="F457" s="2">
        <v>60</v>
      </c>
      <c r="G457" s="2" t="s">
        <v>1725</v>
      </c>
      <c r="H457" s="2" t="s">
        <v>105</v>
      </c>
      <c r="I457" s="2" t="s">
        <v>32</v>
      </c>
      <c r="J457" s="3">
        <v>44013</v>
      </c>
      <c r="K457" s="2">
        <v>67</v>
      </c>
      <c r="L457" s="2" t="s">
        <v>20</v>
      </c>
    </row>
    <row r="458" spans="1:12" x14ac:dyDescent="0.3">
      <c r="A458" s="2">
        <v>447</v>
      </c>
      <c r="B458" s="2" t="s">
        <v>1726</v>
      </c>
      <c r="C458" s="2" t="s">
        <v>1727</v>
      </c>
      <c r="D458" s="2" t="s">
        <v>51</v>
      </c>
      <c r="E458" s="2" t="s">
        <v>16</v>
      </c>
      <c r="F458" s="2">
        <v>30</v>
      </c>
      <c r="G458" s="2" t="s">
        <v>1728</v>
      </c>
      <c r="H458" s="2" t="s">
        <v>1729</v>
      </c>
      <c r="I458" s="2" t="s">
        <v>32</v>
      </c>
      <c r="J458" s="3">
        <v>44829</v>
      </c>
      <c r="K458" s="2">
        <v>72</v>
      </c>
      <c r="L458" s="2" t="s">
        <v>159</v>
      </c>
    </row>
    <row r="459" spans="1:12" x14ac:dyDescent="0.3">
      <c r="A459" s="2">
        <v>448</v>
      </c>
      <c r="B459" s="2" t="s">
        <v>188</v>
      </c>
      <c r="C459" s="2" t="s">
        <v>1730</v>
      </c>
      <c r="D459" s="2" t="s">
        <v>15</v>
      </c>
      <c r="E459" s="2" t="s">
        <v>16</v>
      </c>
      <c r="F459" s="2">
        <v>30</v>
      </c>
      <c r="G459" s="2" t="s">
        <v>1731</v>
      </c>
      <c r="H459" s="2" t="s">
        <v>1732</v>
      </c>
      <c r="I459" s="2" t="s">
        <v>1733</v>
      </c>
      <c r="J459" s="3">
        <v>44775</v>
      </c>
      <c r="K459" s="2">
        <v>4</v>
      </c>
      <c r="L459" s="2" t="s">
        <v>64</v>
      </c>
    </row>
    <row r="460" spans="1:12" x14ac:dyDescent="0.3">
      <c r="A460" s="2">
        <v>449</v>
      </c>
      <c r="B460" s="2" t="s">
        <v>1734</v>
      </c>
      <c r="C460" s="2" t="s">
        <v>770</v>
      </c>
      <c r="D460" s="2" t="s">
        <v>28</v>
      </c>
      <c r="E460" s="2" t="s">
        <v>29</v>
      </c>
      <c r="F460" s="2">
        <v>30</v>
      </c>
      <c r="G460" s="2" t="s">
        <v>1735</v>
      </c>
      <c r="H460" s="2" t="s">
        <v>818</v>
      </c>
      <c r="I460" s="2" t="s">
        <v>819</v>
      </c>
      <c r="J460" s="3">
        <v>44213</v>
      </c>
      <c r="K460" s="2">
        <v>68</v>
      </c>
      <c r="L460" s="2" t="s">
        <v>80</v>
      </c>
    </row>
    <row r="461" spans="1:12" x14ac:dyDescent="0.3">
      <c r="A461" s="2">
        <v>450</v>
      </c>
      <c r="B461" s="2" t="s">
        <v>1736</v>
      </c>
      <c r="C461" s="2" t="s">
        <v>1737</v>
      </c>
      <c r="D461" s="2" t="s">
        <v>15</v>
      </c>
      <c r="E461" s="2" t="s">
        <v>16</v>
      </c>
      <c r="F461" s="2">
        <v>30</v>
      </c>
      <c r="G461" s="2" t="s">
        <v>1738</v>
      </c>
      <c r="H461" s="2" t="s">
        <v>1739</v>
      </c>
      <c r="I461" s="2" t="s">
        <v>32</v>
      </c>
      <c r="J461" s="3">
        <v>43935</v>
      </c>
      <c r="K461" s="2">
        <v>52</v>
      </c>
      <c r="L461" s="2" t="s">
        <v>101</v>
      </c>
    </row>
    <row r="462" spans="1:12" x14ac:dyDescent="0.3">
      <c r="A462" s="2">
        <v>451</v>
      </c>
      <c r="B462" s="2" t="s">
        <v>1740</v>
      </c>
      <c r="C462" s="2" t="s">
        <v>1741</v>
      </c>
      <c r="D462" s="2" t="s">
        <v>15</v>
      </c>
      <c r="E462" s="2" t="s">
        <v>16</v>
      </c>
      <c r="F462" s="2">
        <v>90</v>
      </c>
      <c r="G462" s="2" t="s">
        <v>1742</v>
      </c>
      <c r="H462" s="2" t="s">
        <v>1743</v>
      </c>
      <c r="I462" s="2" t="s">
        <v>1744</v>
      </c>
      <c r="J462" s="3">
        <v>44865</v>
      </c>
      <c r="K462" s="2">
        <v>64</v>
      </c>
      <c r="L462" s="2" t="s">
        <v>64</v>
      </c>
    </row>
    <row r="463" spans="1:12" x14ac:dyDescent="0.3">
      <c r="A463" s="2">
        <v>452</v>
      </c>
      <c r="B463" s="2" t="s">
        <v>1745</v>
      </c>
      <c r="C463" s="2" t="s">
        <v>1746</v>
      </c>
      <c r="D463" s="2" t="s">
        <v>15</v>
      </c>
      <c r="E463" s="2" t="s">
        <v>16</v>
      </c>
      <c r="F463" s="2">
        <v>60</v>
      </c>
      <c r="G463" s="2" t="s">
        <v>1742</v>
      </c>
      <c r="H463" s="2" t="s">
        <v>1747</v>
      </c>
      <c r="I463" s="2" t="s">
        <v>294</v>
      </c>
      <c r="J463" s="3">
        <v>44562</v>
      </c>
      <c r="K463" s="2">
        <v>5</v>
      </c>
      <c r="L463" s="2" t="s">
        <v>33</v>
      </c>
    </row>
    <row r="464" spans="1:12" x14ac:dyDescent="0.3">
      <c r="A464" s="2">
        <v>453</v>
      </c>
      <c r="B464" s="2" t="s">
        <v>1748</v>
      </c>
      <c r="C464" s="2" t="s">
        <v>1749</v>
      </c>
      <c r="D464" s="2" t="s">
        <v>28</v>
      </c>
      <c r="E464" s="2" t="s">
        <v>29</v>
      </c>
      <c r="F464" s="2">
        <v>30</v>
      </c>
      <c r="G464" s="2" t="s">
        <v>1750</v>
      </c>
      <c r="H464" s="2" t="s">
        <v>1751</v>
      </c>
      <c r="I464" s="2" t="s">
        <v>32</v>
      </c>
      <c r="J464" s="3">
        <v>44701</v>
      </c>
      <c r="K464" s="2">
        <v>102</v>
      </c>
      <c r="L464" s="2" t="s">
        <v>80</v>
      </c>
    </row>
    <row r="465" spans="1:12" x14ac:dyDescent="0.3">
      <c r="A465" s="2">
        <v>454</v>
      </c>
      <c r="B465" s="2" t="s">
        <v>1752</v>
      </c>
      <c r="C465" s="2" t="s">
        <v>22</v>
      </c>
      <c r="D465" s="2" t="s">
        <v>15</v>
      </c>
      <c r="E465" s="2" t="s">
        <v>16</v>
      </c>
      <c r="F465" s="2">
        <v>90</v>
      </c>
      <c r="G465" s="2" t="s">
        <v>1753</v>
      </c>
      <c r="H465" s="2" t="s">
        <v>1754</v>
      </c>
      <c r="I465" s="2" t="s">
        <v>25</v>
      </c>
      <c r="J465" s="3">
        <v>44884</v>
      </c>
      <c r="K465" s="2">
        <v>50</v>
      </c>
      <c r="L465" s="2" t="s">
        <v>39</v>
      </c>
    </row>
    <row r="466" spans="1:12" x14ac:dyDescent="0.3">
      <c r="A466" s="2">
        <v>455</v>
      </c>
      <c r="B466" s="2" t="s">
        <v>1755</v>
      </c>
      <c r="C466" s="2" t="s">
        <v>1756</v>
      </c>
      <c r="D466" s="2" t="s">
        <v>28</v>
      </c>
      <c r="E466" s="2" t="s">
        <v>29</v>
      </c>
      <c r="F466" s="2">
        <v>30</v>
      </c>
      <c r="G466" s="2" t="s">
        <v>1753</v>
      </c>
      <c r="H466" s="2" t="s">
        <v>1757</v>
      </c>
      <c r="I466" s="2" t="s">
        <v>294</v>
      </c>
      <c r="J466" s="3">
        <v>44857</v>
      </c>
      <c r="K466" s="2">
        <v>68</v>
      </c>
      <c r="L466" s="2" t="s">
        <v>80</v>
      </c>
    </row>
    <row r="467" spans="1:12" x14ac:dyDescent="0.3">
      <c r="A467" s="2">
        <v>456</v>
      </c>
      <c r="B467" s="2" t="s">
        <v>1758</v>
      </c>
      <c r="C467" s="2" t="s">
        <v>1759</v>
      </c>
      <c r="D467" s="2" t="s">
        <v>15</v>
      </c>
      <c r="E467" s="2" t="s">
        <v>16</v>
      </c>
      <c r="F467" s="2">
        <v>60</v>
      </c>
      <c r="G467" s="2" t="s">
        <v>1760</v>
      </c>
      <c r="H467" s="2" t="s">
        <v>1761</v>
      </c>
      <c r="I467" s="2" t="s">
        <v>38</v>
      </c>
      <c r="J467" s="3">
        <v>44165</v>
      </c>
      <c r="K467" s="2">
        <v>63</v>
      </c>
      <c r="L467" s="2" t="s">
        <v>70</v>
      </c>
    </row>
    <row r="468" spans="1:12" x14ac:dyDescent="0.3">
      <c r="A468" s="2">
        <v>457</v>
      </c>
      <c r="B468" s="2" t="s">
        <v>1191</v>
      </c>
      <c r="C468" s="2" t="s">
        <v>1762</v>
      </c>
      <c r="D468" s="2" t="s">
        <v>28</v>
      </c>
      <c r="E468" s="2" t="s">
        <v>29</v>
      </c>
      <c r="F468" s="2">
        <v>60</v>
      </c>
      <c r="G468" s="2" t="s">
        <v>1763</v>
      </c>
      <c r="H468" s="2" t="s">
        <v>1764</v>
      </c>
      <c r="I468" s="2" t="s">
        <v>124</v>
      </c>
      <c r="J468" s="3">
        <v>43889</v>
      </c>
      <c r="K468" s="2">
        <v>11</v>
      </c>
      <c r="L468" s="2" t="s">
        <v>159</v>
      </c>
    </row>
    <row r="469" spans="1:12" x14ac:dyDescent="0.3">
      <c r="A469" s="2">
        <v>458</v>
      </c>
      <c r="B469" s="2" t="s">
        <v>1765</v>
      </c>
      <c r="C469" s="2" t="s">
        <v>1766</v>
      </c>
      <c r="D469" s="2" t="s">
        <v>28</v>
      </c>
      <c r="E469" s="2" t="s">
        <v>29</v>
      </c>
      <c r="F469" s="2">
        <v>90</v>
      </c>
      <c r="G469" s="2" t="s">
        <v>1767</v>
      </c>
      <c r="H469" s="2" t="s">
        <v>1768</v>
      </c>
      <c r="I469" s="2" t="s">
        <v>32</v>
      </c>
      <c r="J469" s="3">
        <v>44532</v>
      </c>
      <c r="K469" s="2">
        <v>11</v>
      </c>
      <c r="L469" s="2" t="s">
        <v>70</v>
      </c>
    </row>
    <row r="470" spans="1:12" x14ac:dyDescent="0.3">
      <c r="A470" s="2">
        <v>459</v>
      </c>
      <c r="B470" s="2" t="s">
        <v>1769</v>
      </c>
      <c r="C470" s="2" t="s">
        <v>1770</v>
      </c>
      <c r="D470" s="2" t="s">
        <v>28</v>
      </c>
      <c r="E470" s="2" t="s">
        <v>29</v>
      </c>
      <c r="F470" s="2">
        <v>30</v>
      </c>
      <c r="G470" s="2" t="s">
        <v>1771</v>
      </c>
      <c r="H470" s="2" t="s">
        <v>1772</v>
      </c>
      <c r="I470" s="2" t="s">
        <v>178</v>
      </c>
      <c r="J470" s="3">
        <v>44055</v>
      </c>
      <c r="K470" s="2">
        <v>60</v>
      </c>
      <c r="L470" s="2" t="s">
        <v>20</v>
      </c>
    </row>
    <row r="471" spans="1:12" x14ac:dyDescent="0.3">
      <c r="A471" s="2">
        <v>460</v>
      </c>
      <c r="B471" s="2" t="s">
        <v>1773</v>
      </c>
      <c r="C471" s="2" t="s">
        <v>1774</v>
      </c>
      <c r="D471" s="2" t="s">
        <v>15</v>
      </c>
      <c r="E471" s="2" t="s">
        <v>16</v>
      </c>
      <c r="F471" s="2">
        <v>30</v>
      </c>
      <c r="G471" s="2" t="s">
        <v>10466</v>
      </c>
      <c r="H471" s="2" t="s">
        <v>99</v>
      </c>
      <c r="I471" s="2" t="s">
        <v>100</v>
      </c>
      <c r="J471" s="3">
        <v>43969</v>
      </c>
      <c r="K471" s="2">
        <v>37</v>
      </c>
      <c r="L471" s="2" t="s">
        <v>101</v>
      </c>
    </row>
    <row r="472" spans="1:12" x14ac:dyDescent="0.3">
      <c r="A472" s="2">
        <v>461</v>
      </c>
      <c r="B472" s="2" t="s">
        <v>1158</v>
      </c>
      <c r="C472" s="2" t="s">
        <v>1776</v>
      </c>
      <c r="D472" s="2" t="s">
        <v>28</v>
      </c>
      <c r="E472" s="2" t="s">
        <v>29</v>
      </c>
      <c r="F472" s="2">
        <v>90</v>
      </c>
      <c r="G472" s="2" t="s">
        <v>1777</v>
      </c>
      <c r="H472" s="2" t="s">
        <v>1453</v>
      </c>
      <c r="I472" s="2" t="s">
        <v>1454</v>
      </c>
      <c r="J472" s="3">
        <v>43907</v>
      </c>
      <c r="K472" s="2">
        <v>79</v>
      </c>
      <c r="L472" s="2" t="s">
        <v>45</v>
      </c>
    </row>
    <row r="473" spans="1:12" x14ac:dyDescent="0.3">
      <c r="A473" s="2">
        <v>462</v>
      </c>
      <c r="B473" s="2" t="s">
        <v>1778</v>
      </c>
      <c r="C473" s="2" t="s">
        <v>1779</v>
      </c>
      <c r="D473" s="2" t="s">
        <v>15</v>
      </c>
      <c r="E473" s="2" t="s">
        <v>16</v>
      </c>
      <c r="F473" s="2">
        <v>60</v>
      </c>
      <c r="G473" s="2" t="s">
        <v>1780</v>
      </c>
      <c r="H473" s="2" t="s">
        <v>1781</v>
      </c>
      <c r="I473" s="2" t="s">
        <v>32</v>
      </c>
      <c r="J473" s="3">
        <v>44724</v>
      </c>
      <c r="K473" s="2">
        <v>3</v>
      </c>
      <c r="L473" s="2" t="s">
        <v>64</v>
      </c>
    </row>
    <row r="474" spans="1:12" x14ac:dyDescent="0.3">
      <c r="A474" s="2">
        <v>463</v>
      </c>
      <c r="B474" s="2" t="s">
        <v>1782</v>
      </c>
      <c r="C474" s="2" t="s">
        <v>1783</v>
      </c>
      <c r="D474" s="2" t="s">
        <v>28</v>
      </c>
      <c r="E474" s="2" t="s">
        <v>29</v>
      </c>
      <c r="F474" s="2">
        <v>60</v>
      </c>
      <c r="G474" s="2" t="s">
        <v>1784</v>
      </c>
      <c r="H474" s="2" t="s">
        <v>1785</v>
      </c>
      <c r="I474" s="2" t="s">
        <v>32</v>
      </c>
      <c r="J474" s="3">
        <v>44817</v>
      </c>
      <c r="K474" s="2">
        <v>54</v>
      </c>
      <c r="L474" s="2" t="s">
        <v>33</v>
      </c>
    </row>
    <row r="475" spans="1:12" x14ac:dyDescent="0.3">
      <c r="A475" s="2">
        <v>464</v>
      </c>
      <c r="B475" s="2" t="s">
        <v>1741</v>
      </c>
      <c r="C475" s="2" t="s">
        <v>1786</v>
      </c>
      <c r="D475" s="2" t="s">
        <v>28</v>
      </c>
      <c r="E475" s="2" t="s">
        <v>29</v>
      </c>
      <c r="F475" s="2">
        <v>60</v>
      </c>
      <c r="G475" s="2" t="s">
        <v>1787</v>
      </c>
      <c r="H475" s="2" t="s">
        <v>270</v>
      </c>
      <c r="I475" s="2" t="s">
        <v>187</v>
      </c>
      <c r="J475" s="3">
        <v>44127</v>
      </c>
      <c r="K475" s="2">
        <v>83</v>
      </c>
      <c r="L475" s="2" t="s">
        <v>101</v>
      </c>
    </row>
    <row r="476" spans="1:12" x14ac:dyDescent="0.3">
      <c r="A476" s="2">
        <v>465</v>
      </c>
      <c r="B476" s="2" t="s">
        <v>1788</v>
      </c>
      <c r="C476" s="2" t="s">
        <v>1789</v>
      </c>
      <c r="D476" s="2" t="s">
        <v>28</v>
      </c>
      <c r="E476" s="2" t="s">
        <v>29</v>
      </c>
      <c r="F476" s="2">
        <v>30</v>
      </c>
      <c r="G476" s="2" t="s">
        <v>1790</v>
      </c>
      <c r="H476" s="2" t="s">
        <v>1791</v>
      </c>
      <c r="I476" s="2" t="s">
        <v>32</v>
      </c>
      <c r="J476" s="3">
        <v>44562</v>
      </c>
      <c r="K476" s="2">
        <v>21</v>
      </c>
      <c r="L476" s="2" t="s">
        <v>54</v>
      </c>
    </row>
    <row r="477" spans="1:12" x14ac:dyDescent="0.3">
      <c r="A477" s="2">
        <v>466</v>
      </c>
      <c r="B477" s="2" t="s">
        <v>1792</v>
      </c>
      <c r="C477" s="2" t="s">
        <v>1793</v>
      </c>
      <c r="D477" s="2" t="s">
        <v>28</v>
      </c>
      <c r="E477" s="2" t="s">
        <v>29</v>
      </c>
      <c r="F477" s="2">
        <v>90</v>
      </c>
      <c r="G477" s="2" t="s">
        <v>1795</v>
      </c>
      <c r="H477" s="2" t="s">
        <v>1796</v>
      </c>
      <c r="I477" s="2" t="s">
        <v>178</v>
      </c>
      <c r="J477" s="3">
        <v>44733</v>
      </c>
      <c r="K477" s="2">
        <v>52</v>
      </c>
      <c r="L477" s="2" t="s">
        <v>45</v>
      </c>
    </row>
    <row r="478" spans="1:12" x14ac:dyDescent="0.3">
      <c r="A478" s="2">
        <v>467</v>
      </c>
      <c r="B478" s="2" t="s">
        <v>1797</v>
      </c>
      <c r="C478" s="2" t="s">
        <v>1798</v>
      </c>
      <c r="D478" s="2" t="s">
        <v>51</v>
      </c>
      <c r="E478" s="2" t="s">
        <v>16</v>
      </c>
      <c r="F478" s="2">
        <v>60</v>
      </c>
      <c r="G478" s="2" t="s">
        <v>1799</v>
      </c>
      <c r="H478" s="2" t="s">
        <v>1800</v>
      </c>
      <c r="I478" s="2" t="s">
        <v>32</v>
      </c>
      <c r="J478" s="3">
        <v>44477</v>
      </c>
      <c r="K478" s="2">
        <v>81</v>
      </c>
      <c r="L478" s="2" t="s">
        <v>70</v>
      </c>
    </row>
    <row r="479" spans="1:12" x14ac:dyDescent="0.3">
      <c r="A479" s="2">
        <v>468</v>
      </c>
      <c r="B479" s="2" t="s">
        <v>1801</v>
      </c>
      <c r="C479" s="2" t="s">
        <v>1802</v>
      </c>
      <c r="D479" s="2" t="s">
        <v>51</v>
      </c>
      <c r="E479" s="2" t="s">
        <v>16</v>
      </c>
      <c r="F479" s="2">
        <v>90</v>
      </c>
      <c r="G479" s="2" t="s">
        <v>1803</v>
      </c>
      <c r="H479" s="2" t="s">
        <v>1804</v>
      </c>
      <c r="I479" s="2" t="s">
        <v>32</v>
      </c>
      <c r="J479" s="3">
        <v>44039</v>
      </c>
      <c r="K479" s="2">
        <v>14</v>
      </c>
      <c r="L479" s="2" t="s">
        <v>101</v>
      </c>
    </row>
    <row r="480" spans="1:12" x14ac:dyDescent="0.3">
      <c r="A480" s="2">
        <v>469</v>
      </c>
      <c r="B480" s="2" t="s">
        <v>1805</v>
      </c>
      <c r="C480" s="2" t="s">
        <v>1806</v>
      </c>
      <c r="D480" s="2" t="s">
        <v>28</v>
      </c>
      <c r="E480" s="2" t="s">
        <v>29</v>
      </c>
      <c r="F480" s="2">
        <v>90</v>
      </c>
      <c r="G480" s="2" t="s">
        <v>1807</v>
      </c>
      <c r="H480" s="2" t="s">
        <v>1808</v>
      </c>
      <c r="I480" s="2" t="s">
        <v>124</v>
      </c>
      <c r="J480" s="3">
        <v>43875</v>
      </c>
      <c r="K480" s="2">
        <v>8</v>
      </c>
      <c r="L480" s="2" t="s">
        <v>33</v>
      </c>
    </row>
    <row r="481" spans="1:12" x14ac:dyDescent="0.3">
      <c r="A481" s="2">
        <v>470</v>
      </c>
      <c r="B481" s="2" t="s">
        <v>1809</v>
      </c>
      <c r="C481" s="2" t="s">
        <v>1810</v>
      </c>
      <c r="D481" s="2" t="s">
        <v>28</v>
      </c>
      <c r="E481" s="2" t="s">
        <v>29</v>
      </c>
      <c r="F481" s="2">
        <v>30</v>
      </c>
      <c r="G481" s="2" t="s">
        <v>1811</v>
      </c>
      <c r="H481" s="2" t="s">
        <v>1785</v>
      </c>
      <c r="I481" s="2" t="s">
        <v>32</v>
      </c>
      <c r="J481" s="3">
        <v>44124</v>
      </c>
      <c r="K481" s="2">
        <v>16</v>
      </c>
      <c r="L481" s="2" t="s">
        <v>20</v>
      </c>
    </row>
    <row r="482" spans="1:12" x14ac:dyDescent="0.3">
      <c r="A482" s="2">
        <v>471</v>
      </c>
      <c r="B482" s="2" t="s">
        <v>1812</v>
      </c>
      <c r="C482" s="2" t="s">
        <v>1813</v>
      </c>
      <c r="D482" s="2" t="s">
        <v>28</v>
      </c>
      <c r="E482" s="2" t="s">
        <v>29</v>
      </c>
      <c r="F482" s="2">
        <v>90</v>
      </c>
      <c r="G482" s="2" t="s">
        <v>1814</v>
      </c>
      <c r="H482" s="2" t="s">
        <v>1815</v>
      </c>
      <c r="I482" s="2" t="s">
        <v>32</v>
      </c>
      <c r="J482" s="3">
        <v>43955</v>
      </c>
      <c r="K482" s="2">
        <v>59</v>
      </c>
      <c r="L482" s="2" t="s">
        <v>54</v>
      </c>
    </row>
    <row r="483" spans="1:12" x14ac:dyDescent="0.3">
      <c r="A483" s="2">
        <v>472</v>
      </c>
      <c r="B483" s="2" t="s">
        <v>1816</v>
      </c>
      <c r="C483" s="2" t="s">
        <v>1817</v>
      </c>
      <c r="D483" s="2" t="s">
        <v>15</v>
      </c>
      <c r="E483" s="2" t="s">
        <v>16</v>
      </c>
      <c r="F483" s="2">
        <v>60</v>
      </c>
      <c r="G483" s="2" t="s">
        <v>1818</v>
      </c>
      <c r="H483" s="2" t="s">
        <v>1819</v>
      </c>
      <c r="I483" s="2" t="s">
        <v>89</v>
      </c>
      <c r="J483" s="3">
        <v>43831</v>
      </c>
      <c r="K483" s="2">
        <v>60</v>
      </c>
      <c r="L483" s="2" t="s">
        <v>101</v>
      </c>
    </row>
    <row r="484" spans="1:12" x14ac:dyDescent="0.3">
      <c r="A484" s="2">
        <v>473</v>
      </c>
      <c r="B484" s="2" t="s">
        <v>1820</v>
      </c>
      <c r="C484" s="2" t="s">
        <v>1821</v>
      </c>
      <c r="D484" s="2" t="s">
        <v>28</v>
      </c>
      <c r="E484" s="2" t="s">
        <v>29</v>
      </c>
      <c r="F484" s="2">
        <v>30</v>
      </c>
      <c r="G484" s="2" t="s">
        <v>1822</v>
      </c>
      <c r="H484" s="2" t="s">
        <v>1823</v>
      </c>
      <c r="I484" s="2" t="s">
        <v>1824</v>
      </c>
      <c r="J484" s="3">
        <v>44316</v>
      </c>
      <c r="K484" s="2">
        <v>51</v>
      </c>
      <c r="L484" s="2" t="s">
        <v>39</v>
      </c>
    </row>
    <row r="485" spans="1:12" x14ac:dyDescent="0.3">
      <c r="A485" s="2">
        <v>474</v>
      </c>
      <c r="B485" s="2" t="s">
        <v>1825</v>
      </c>
      <c r="C485" s="2" t="s">
        <v>1826</v>
      </c>
      <c r="D485" s="2" t="s">
        <v>51</v>
      </c>
      <c r="E485" s="2" t="s">
        <v>16</v>
      </c>
      <c r="F485" s="2">
        <v>30</v>
      </c>
      <c r="G485" s="2" t="s">
        <v>1822</v>
      </c>
      <c r="H485" s="2" t="s">
        <v>1827</v>
      </c>
      <c r="I485" s="2" t="s">
        <v>25</v>
      </c>
      <c r="J485" s="3">
        <v>44398</v>
      </c>
      <c r="K485" s="2">
        <v>13</v>
      </c>
      <c r="L485" s="2" t="s">
        <v>33</v>
      </c>
    </row>
    <row r="486" spans="1:12" x14ac:dyDescent="0.3">
      <c r="A486" s="2">
        <v>475</v>
      </c>
      <c r="B486" s="2" t="s">
        <v>1828</v>
      </c>
      <c r="C486" s="2" t="s">
        <v>1829</v>
      </c>
      <c r="D486" s="2" t="s">
        <v>28</v>
      </c>
      <c r="E486" s="2" t="s">
        <v>29</v>
      </c>
      <c r="F486" s="2">
        <v>90</v>
      </c>
      <c r="G486" s="2" t="s">
        <v>1822</v>
      </c>
      <c r="H486" s="2" t="s">
        <v>1830</v>
      </c>
      <c r="I486" s="2" t="s">
        <v>32</v>
      </c>
      <c r="J486" s="3">
        <v>44660</v>
      </c>
      <c r="K486" s="2">
        <v>13</v>
      </c>
      <c r="L486" s="2" t="s">
        <v>54</v>
      </c>
    </row>
    <row r="487" spans="1:12" x14ac:dyDescent="0.3">
      <c r="A487" s="2">
        <v>476</v>
      </c>
      <c r="B487" s="2" t="s">
        <v>1831</v>
      </c>
      <c r="C487" s="2" t="s">
        <v>1832</v>
      </c>
      <c r="D487" s="2" t="s">
        <v>28</v>
      </c>
      <c r="E487" s="2" t="s">
        <v>29</v>
      </c>
      <c r="F487" s="2">
        <v>30</v>
      </c>
      <c r="G487" s="2" t="s">
        <v>1833</v>
      </c>
      <c r="H487" s="2" t="s">
        <v>1834</v>
      </c>
      <c r="I487" s="2" t="s">
        <v>32</v>
      </c>
      <c r="J487" s="3">
        <v>43889</v>
      </c>
      <c r="K487" s="2">
        <v>35</v>
      </c>
      <c r="L487" s="2" t="s">
        <v>39</v>
      </c>
    </row>
    <row r="488" spans="1:12" x14ac:dyDescent="0.3">
      <c r="A488" s="2">
        <v>477</v>
      </c>
      <c r="B488" s="2" t="s">
        <v>1326</v>
      </c>
      <c r="C488" s="2" t="s">
        <v>1835</v>
      </c>
      <c r="D488" s="2" t="s">
        <v>28</v>
      </c>
      <c r="E488" s="2" t="s">
        <v>29</v>
      </c>
      <c r="F488" s="2">
        <v>90</v>
      </c>
      <c r="G488" s="2" t="s">
        <v>1836</v>
      </c>
      <c r="H488" s="2" t="s">
        <v>1837</v>
      </c>
      <c r="I488" s="2" t="s">
        <v>173</v>
      </c>
      <c r="J488" s="3">
        <v>44836</v>
      </c>
      <c r="K488" s="2">
        <v>89</v>
      </c>
      <c r="L488" s="2" t="s">
        <v>39</v>
      </c>
    </row>
    <row r="489" spans="1:12" x14ac:dyDescent="0.3">
      <c r="A489" s="2">
        <v>478</v>
      </c>
      <c r="B489" s="2" t="s">
        <v>1838</v>
      </c>
      <c r="C489" s="2" t="s">
        <v>1480</v>
      </c>
      <c r="D489" s="2" t="s">
        <v>28</v>
      </c>
      <c r="E489" s="2" t="s">
        <v>29</v>
      </c>
      <c r="F489" s="2">
        <v>30</v>
      </c>
      <c r="G489" s="2" t="s">
        <v>1836</v>
      </c>
      <c r="H489" s="2" t="s">
        <v>138</v>
      </c>
      <c r="I489" s="2" t="s">
        <v>294</v>
      </c>
      <c r="J489" s="3">
        <v>44214</v>
      </c>
      <c r="K489" s="2">
        <v>91</v>
      </c>
      <c r="L489" s="2" t="s">
        <v>159</v>
      </c>
    </row>
    <row r="490" spans="1:12" x14ac:dyDescent="0.3">
      <c r="A490" s="2">
        <v>479</v>
      </c>
      <c r="B490" s="2" t="s">
        <v>1839</v>
      </c>
      <c r="C490" s="2" t="s">
        <v>1840</v>
      </c>
      <c r="D490" s="2" t="s">
        <v>15</v>
      </c>
      <c r="E490" s="2" t="s">
        <v>16</v>
      </c>
      <c r="F490" s="2">
        <v>90</v>
      </c>
      <c r="G490" s="2" t="s">
        <v>1841</v>
      </c>
      <c r="H490" s="2" t="s">
        <v>1660</v>
      </c>
      <c r="I490" s="2" t="s">
        <v>32</v>
      </c>
      <c r="J490" s="3">
        <v>44799</v>
      </c>
      <c r="K490" s="2">
        <v>65</v>
      </c>
      <c r="L490" s="2" t="s">
        <v>45</v>
      </c>
    </row>
    <row r="491" spans="1:12" x14ac:dyDescent="0.3">
      <c r="A491" s="2">
        <v>480</v>
      </c>
      <c r="B491" s="2" t="s">
        <v>1842</v>
      </c>
      <c r="C491" s="2" t="s">
        <v>1843</v>
      </c>
      <c r="D491" s="2" t="s">
        <v>51</v>
      </c>
      <c r="E491" s="2" t="s">
        <v>16</v>
      </c>
      <c r="F491" s="2">
        <v>30</v>
      </c>
      <c r="G491" s="2" t="s">
        <v>1844</v>
      </c>
      <c r="H491" s="2" t="s">
        <v>1845</v>
      </c>
      <c r="I491" s="2" t="s">
        <v>294</v>
      </c>
      <c r="J491" s="3">
        <v>44911</v>
      </c>
      <c r="K491" s="2">
        <v>18</v>
      </c>
      <c r="L491" s="2" t="s">
        <v>159</v>
      </c>
    </row>
    <row r="492" spans="1:12" x14ac:dyDescent="0.3">
      <c r="A492" s="2">
        <v>481</v>
      </c>
      <c r="B492" s="2" t="s">
        <v>256</v>
      </c>
      <c r="C492" s="2" t="s">
        <v>1846</v>
      </c>
      <c r="D492" s="2" t="s">
        <v>28</v>
      </c>
      <c r="E492" s="2" t="s">
        <v>29</v>
      </c>
      <c r="F492" s="2">
        <v>30</v>
      </c>
      <c r="G492" s="2" t="s">
        <v>1847</v>
      </c>
      <c r="H492" s="2" t="s">
        <v>1848</v>
      </c>
      <c r="I492" s="2" t="s">
        <v>839</v>
      </c>
      <c r="J492" s="3">
        <v>44786</v>
      </c>
      <c r="K492" s="2">
        <v>19</v>
      </c>
      <c r="L492" s="2" t="s">
        <v>80</v>
      </c>
    </row>
    <row r="493" spans="1:12" x14ac:dyDescent="0.3">
      <c r="A493" s="2">
        <v>482</v>
      </c>
      <c r="B493" s="2" t="s">
        <v>1849</v>
      </c>
      <c r="C493" s="2" t="s">
        <v>1637</v>
      </c>
      <c r="D493" s="2" t="s">
        <v>28</v>
      </c>
      <c r="E493" s="2" t="s">
        <v>29</v>
      </c>
      <c r="F493" s="2">
        <v>30</v>
      </c>
      <c r="G493" s="2" t="s">
        <v>1847</v>
      </c>
      <c r="H493" s="2" t="s">
        <v>1077</v>
      </c>
      <c r="I493" s="2" t="s">
        <v>1078</v>
      </c>
      <c r="J493" s="3">
        <v>44132</v>
      </c>
      <c r="K493" s="2">
        <v>57</v>
      </c>
      <c r="L493" s="2" t="s">
        <v>20</v>
      </c>
    </row>
    <row r="494" spans="1:12" x14ac:dyDescent="0.3">
      <c r="A494" s="2">
        <v>483</v>
      </c>
      <c r="B494" s="2" t="s">
        <v>1850</v>
      </c>
      <c r="C494" s="2" t="s">
        <v>1851</v>
      </c>
      <c r="D494" s="2" t="s">
        <v>28</v>
      </c>
      <c r="E494" s="2" t="s">
        <v>29</v>
      </c>
      <c r="F494" s="2">
        <v>60</v>
      </c>
      <c r="G494" s="2" t="s">
        <v>1852</v>
      </c>
      <c r="H494" s="2" t="s">
        <v>545</v>
      </c>
      <c r="I494" s="2" t="s">
        <v>173</v>
      </c>
      <c r="J494" s="3">
        <v>44229</v>
      </c>
      <c r="K494" s="2">
        <v>62</v>
      </c>
      <c r="L494" s="2" t="s">
        <v>101</v>
      </c>
    </row>
    <row r="495" spans="1:12" x14ac:dyDescent="0.3">
      <c r="A495" s="2">
        <v>484</v>
      </c>
      <c r="B495" s="2" t="s">
        <v>375</v>
      </c>
      <c r="C495" s="2" t="s">
        <v>1853</v>
      </c>
      <c r="D495" s="2" t="s">
        <v>28</v>
      </c>
      <c r="E495" s="2" t="s">
        <v>29</v>
      </c>
      <c r="F495" s="2">
        <v>30</v>
      </c>
      <c r="G495" s="2" t="s">
        <v>1854</v>
      </c>
      <c r="H495" s="2" t="s">
        <v>1855</v>
      </c>
      <c r="I495" s="2" t="s">
        <v>25</v>
      </c>
      <c r="J495" s="3">
        <v>44799</v>
      </c>
      <c r="K495" s="2">
        <v>59</v>
      </c>
      <c r="L495" s="2" t="s">
        <v>33</v>
      </c>
    </row>
    <row r="496" spans="1:12" x14ac:dyDescent="0.3">
      <c r="A496" s="2">
        <v>485</v>
      </c>
      <c r="B496" s="2" t="s">
        <v>1856</v>
      </c>
      <c r="C496" s="2" t="s">
        <v>1857</v>
      </c>
      <c r="D496" s="2" t="s">
        <v>51</v>
      </c>
      <c r="E496" s="2" t="s">
        <v>16</v>
      </c>
      <c r="F496" s="2">
        <v>90</v>
      </c>
      <c r="G496" s="2" t="s">
        <v>1858</v>
      </c>
      <c r="H496" s="2" t="s">
        <v>1859</v>
      </c>
      <c r="I496" s="2" t="s">
        <v>89</v>
      </c>
      <c r="J496" s="3">
        <v>43944</v>
      </c>
      <c r="K496" s="2">
        <v>35</v>
      </c>
      <c r="L496" s="2" t="s">
        <v>159</v>
      </c>
    </row>
    <row r="497" spans="1:12" x14ac:dyDescent="0.3">
      <c r="A497" s="2">
        <v>486</v>
      </c>
      <c r="B497" s="2" t="s">
        <v>1860</v>
      </c>
      <c r="C497" s="2" t="s">
        <v>1861</v>
      </c>
      <c r="D497" s="2" t="s">
        <v>28</v>
      </c>
      <c r="E497" s="2" t="s">
        <v>29</v>
      </c>
      <c r="F497" s="2">
        <v>60</v>
      </c>
      <c r="G497" s="2" t="s">
        <v>1858</v>
      </c>
      <c r="H497" s="2" t="s">
        <v>1862</v>
      </c>
      <c r="I497" s="2" t="s">
        <v>187</v>
      </c>
      <c r="J497" s="3">
        <v>44110</v>
      </c>
      <c r="K497" s="2">
        <v>14</v>
      </c>
      <c r="L497" s="2" t="s">
        <v>45</v>
      </c>
    </row>
    <row r="498" spans="1:12" x14ac:dyDescent="0.3">
      <c r="A498" s="2">
        <v>487</v>
      </c>
      <c r="B498" s="2" t="s">
        <v>357</v>
      </c>
      <c r="C498" s="2" t="s">
        <v>1863</v>
      </c>
      <c r="D498" s="2" t="s">
        <v>28</v>
      </c>
      <c r="E498" s="2" t="s">
        <v>29</v>
      </c>
      <c r="F498" s="2">
        <v>30</v>
      </c>
      <c r="G498" s="2" t="s">
        <v>1858</v>
      </c>
      <c r="H498" s="2" t="s">
        <v>1864</v>
      </c>
      <c r="I498" s="2" t="s">
        <v>294</v>
      </c>
      <c r="J498" s="3">
        <v>43987</v>
      </c>
      <c r="K498" s="2">
        <v>46</v>
      </c>
      <c r="L498" s="2" t="s">
        <v>45</v>
      </c>
    </row>
    <row r="499" spans="1:12" x14ac:dyDescent="0.3">
      <c r="A499" s="2">
        <v>488</v>
      </c>
      <c r="B499" s="2" t="s">
        <v>1865</v>
      </c>
      <c r="C499" s="2" t="s">
        <v>1866</v>
      </c>
      <c r="D499" s="2" t="s">
        <v>51</v>
      </c>
      <c r="E499" s="2" t="s">
        <v>16</v>
      </c>
      <c r="F499" s="2">
        <v>90</v>
      </c>
      <c r="G499" s="2" t="s">
        <v>10467</v>
      </c>
      <c r="H499" s="2" t="s">
        <v>1868</v>
      </c>
      <c r="I499" s="2" t="s">
        <v>1869</v>
      </c>
      <c r="J499" s="3">
        <v>44535</v>
      </c>
      <c r="K499" s="2">
        <v>34</v>
      </c>
      <c r="L499" s="2" t="s">
        <v>20</v>
      </c>
    </row>
    <row r="500" spans="1:12" x14ac:dyDescent="0.3">
      <c r="A500" s="2">
        <v>489</v>
      </c>
      <c r="B500" s="2" t="s">
        <v>1389</v>
      </c>
      <c r="C500" s="2" t="s">
        <v>1870</v>
      </c>
      <c r="D500" s="2" t="s">
        <v>51</v>
      </c>
      <c r="E500" s="2" t="s">
        <v>16</v>
      </c>
      <c r="F500" s="2">
        <v>30</v>
      </c>
      <c r="G500" s="2" t="s">
        <v>1871</v>
      </c>
      <c r="H500" s="2" t="s">
        <v>1872</v>
      </c>
      <c r="I500" s="2" t="s">
        <v>124</v>
      </c>
      <c r="J500" s="3">
        <v>44705</v>
      </c>
      <c r="K500" s="2">
        <v>37</v>
      </c>
      <c r="L500" s="2" t="s">
        <v>80</v>
      </c>
    </row>
    <row r="501" spans="1:12" x14ac:dyDescent="0.3">
      <c r="A501" s="2">
        <v>490</v>
      </c>
      <c r="B501" s="2" t="s">
        <v>1873</v>
      </c>
      <c r="C501" s="2" t="s">
        <v>1874</v>
      </c>
      <c r="D501" s="2" t="s">
        <v>51</v>
      </c>
      <c r="E501" s="2" t="s">
        <v>16</v>
      </c>
      <c r="F501" s="2">
        <v>60</v>
      </c>
      <c r="G501" s="2" t="s">
        <v>1875</v>
      </c>
      <c r="H501" s="2" t="s">
        <v>1876</v>
      </c>
      <c r="I501" s="2" t="s">
        <v>32</v>
      </c>
      <c r="J501" s="3">
        <v>44833</v>
      </c>
      <c r="K501" s="2">
        <v>54</v>
      </c>
      <c r="L501" s="2" t="s">
        <v>70</v>
      </c>
    </row>
    <row r="502" spans="1:12" x14ac:dyDescent="0.3">
      <c r="A502" s="2">
        <v>491</v>
      </c>
      <c r="B502" s="2" t="s">
        <v>1877</v>
      </c>
      <c r="C502" s="2" t="s">
        <v>1878</v>
      </c>
      <c r="D502" s="2" t="s">
        <v>28</v>
      </c>
      <c r="E502" s="2" t="s">
        <v>29</v>
      </c>
      <c r="F502" s="2">
        <v>30</v>
      </c>
      <c r="G502" s="2" t="s">
        <v>1879</v>
      </c>
      <c r="H502" s="2" t="s">
        <v>1880</v>
      </c>
      <c r="I502" s="2" t="s">
        <v>32</v>
      </c>
      <c r="J502" s="3">
        <v>44460</v>
      </c>
      <c r="K502" s="2">
        <v>70</v>
      </c>
      <c r="L502" s="2" t="s">
        <v>80</v>
      </c>
    </row>
    <row r="503" spans="1:12" x14ac:dyDescent="0.3">
      <c r="A503" s="2">
        <v>492</v>
      </c>
      <c r="B503" s="2" t="s">
        <v>1881</v>
      </c>
      <c r="C503" s="2" t="s">
        <v>1882</v>
      </c>
      <c r="D503" s="2" t="s">
        <v>28</v>
      </c>
      <c r="E503" s="2" t="s">
        <v>29</v>
      </c>
      <c r="F503" s="2">
        <v>30</v>
      </c>
      <c r="G503" s="2" t="s">
        <v>1883</v>
      </c>
      <c r="H503" s="2" t="s">
        <v>1884</v>
      </c>
      <c r="I503" s="2" t="s">
        <v>1885</v>
      </c>
      <c r="J503" s="3">
        <v>44483</v>
      </c>
      <c r="K503" s="2">
        <v>49</v>
      </c>
      <c r="L503" s="2" t="s">
        <v>101</v>
      </c>
    </row>
    <row r="504" spans="1:12" x14ac:dyDescent="0.3">
      <c r="A504" s="2">
        <v>493</v>
      </c>
      <c r="B504" s="2" t="s">
        <v>1886</v>
      </c>
      <c r="C504" s="2" t="s">
        <v>928</v>
      </c>
      <c r="D504" s="2" t="s">
        <v>51</v>
      </c>
      <c r="E504" s="2" t="s">
        <v>16</v>
      </c>
      <c r="F504" s="2">
        <v>60</v>
      </c>
      <c r="G504" s="2" t="s">
        <v>1887</v>
      </c>
      <c r="H504" s="2" t="s">
        <v>1888</v>
      </c>
      <c r="I504" s="2" t="s">
        <v>1889</v>
      </c>
      <c r="J504" s="3">
        <v>44440</v>
      </c>
      <c r="K504" s="2">
        <v>54</v>
      </c>
      <c r="L504" s="2" t="s">
        <v>70</v>
      </c>
    </row>
    <row r="505" spans="1:12" x14ac:dyDescent="0.3">
      <c r="A505" s="2">
        <v>494</v>
      </c>
      <c r="B505" s="2" t="s">
        <v>1890</v>
      </c>
      <c r="C505" s="2" t="s">
        <v>1891</v>
      </c>
      <c r="D505" s="2" t="s">
        <v>51</v>
      </c>
      <c r="E505" s="2" t="s">
        <v>16</v>
      </c>
      <c r="F505" s="2">
        <v>60</v>
      </c>
      <c r="G505" s="2" t="s">
        <v>1892</v>
      </c>
      <c r="H505" s="2" t="s">
        <v>1893</v>
      </c>
      <c r="I505" s="2" t="s">
        <v>294</v>
      </c>
      <c r="J505" s="3">
        <v>44572</v>
      </c>
      <c r="K505" s="2">
        <v>81</v>
      </c>
      <c r="L505" s="2" t="s">
        <v>20</v>
      </c>
    </row>
    <row r="506" spans="1:12" x14ac:dyDescent="0.3">
      <c r="A506" s="2">
        <v>495</v>
      </c>
      <c r="B506" s="2" t="s">
        <v>747</v>
      </c>
      <c r="C506" s="2" t="s">
        <v>1894</v>
      </c>
      <c r="D506" s="2" t="s">
        <v>28</v>
      </c>
      <c r="E506" s="2" t="s">
        <v>29</v>
      </c>
      <c r="F506" s="2">
        <v>60</v>
      </c>
      <c r="G506" s="2" t="s">
        <v>1895</v>
      </c>
      <c r="H506" s="2" t="s">
        <v>1896</v>
      </c>
      <c r="I506" s="2" t="s">
        <v>294</v>
      </c>
      <c r="J506" s="3">
        <v>44705</v>
      </c>
      <c r="K506" s="2">
        <v>103</v>
      </c>
      <c r="L506" s="2" t="s">
        <v>80</v>
      </c>
    </row>
    <row r="507" spans="1:12" x14ac:dyDescent="0.3">
      <c r="A507" s="2">
        <v>496</v>
      </c>
      <c r="B507" s="2" t="s">
        <v>1897</v>
      </c>
      <c r="C507" s="2" t="s">
        <v>1898</v>
      </c>
      <c r="D507" s="2" t="s">
        <v>51</v>
      </c>
      <c r="E507" s="2" t="s">
        <v>16</v>
      </c>
      <c r="F507" s="2">
        <v>90</v>
      </c>
      <c r="G507" s="2" t="s">
        <v>1899</v>
      </c>
      <c r="H507" s="2" t="s">
        <v>607</v>
      </c>
      <c r="I507" s="2" t="s">
        <v>32</v>
      </c>
      <c r="J507" s="3">
        <v>44344</v>
      </c>
      <c r="K507" s="2">
        <v>45</v>
      </c>
      <c r="L507" s="2" t="s">
        <v>80</v>
      </c>
    </row>
    <row r="508" spans="1:12" x14ac:dyDescent="0.3">
      <c r="A508" s="2">
        <v>497</v>
      </c>
      <c r="B508" s="2" t="s">
        <v>1900</v>
      </c>
      <c r="C508" s="2" t="s">
        <v>1901</v>
      </c>
      <c r="D508" s="2" t="s">
        <v>15</v>
      </c>
      <c r="E508" s="2" t="s">
        <v>16</v>
      </c>
      <c r="F508" s="2">
        <v>90</v>
      </c>
      <c r="G508" s="2" t="s">
        <v>1902</v>
      </c>
      <c r="H508" s="2" t="s">
        <v>1382</v>
      </c>
      <c r="I508" s="2" t="s">
        <v>32</v>
      </c>
      <c r="J508" s="3">
        <v>44223</v>
      </c>
      <c r="K508" s="2">
        <v>50</v>
      </c>
      <c r="L508" s="2" t="s">
        <v>54</v>
      </c>
    </row>
    <row r="509" spans="1:12" x14ac:dyDescent="0.3">
      <c r="A509" s="2">
        <v>498</v>
      </c>
      <c r="B509" s="2" t="s">
        <v>1903</v>
      </c>
      <c r="C509" s="2" t="s">
        <v>1010</v>
      </c>
      <c r="D509" s="2" t="s">
        <v>15</v>
      </c>
      <c r="E509" s="2" t="s">
        <v>16</v>
      </c>
      <c r="F509" s="2">
        <v>60</v>
      </c>
      <c r="G509" s="2" t="s">
        <v>1904</v>
      </c>
      <c r="H509" s="2" t="s">
        <v>1905</v>
      </c>
      <c r="I509" s="2" t="s">
        <v>187</v>
      </c>
      <c r="J509" s="3">
        <v>44471</v>
      </c>
      <c r="K509" s="2">
        <v>8</v>
      </c>
      <c r="L509" s="2" t="s">
        <v>159</v>
      </c>
    </row>
    <row r="510" spans="1:12" x14ac:dyDescent="0.3">
      <c r="A510" s="2">
        <v>499</v>
      </c>
      <c r="B510" s="2" t="s">
        <v>1906</v>
      </c>
      <c r="C510" s="2" t="s">
        <v>1907</v>
      </c>
      <c r="D510" s="2" t="s">
        <v>51</v>
      </c>
      <c r="E510" s="2" t="s">
        <v>16</v>
      </c>
      <c r="F510" s="2">
        <v>30</v>
      </c>
      <c r="G510" s="2" t="s">
        <v>1908</v>
      </c>
      <c r="H510" s="2" t="s">
        <v>1052</v>
      </c>
      <c r="I510" s="2" t="s">
        <v>32</v>
      </c>
      <c r="J510" s="3">
        <v>44870</v>
      </c>
      <c r="K510" s="2">
        <v>73</v>
      </c>
      <c r="L510" s="2" t="s">
        <v>70</v>
      </c>
    </row>
    <row r="511" spans="1:12" x14ac:dyDescent="0.3">
      <c r="A511" s="2">
        <v>500</v>
      </c>
      <c r="B511" s="2" t="s">
        <v>1909</v>
      </c>
      <c r="C511" s="2" t="s">
        <v>229</v>
      </c>
      <c r="D511" s="2" t="s">
        <v>28</v>
      </c>
      <c r="E511" s="2" t="s">
        <v>29</v>
      </c>
      <c r="F511" s="2">
        <v>60</v>
      </c>
      <c r="G511" s="2" t="s">
        <v>1910</v>
      </c>
      <c r="H511" s="2" t="s">
        <v>1911</v>
      </c>
      <c r="I511" s="2" t="s">
        <v>32</v>
      </c>
      <c r="J511" s="3">
        <v>44892</v>
      </c>
      <c r="K511" s="2">
        <v>96</v>
      </c>
      <c r="L511" s="2" t="s">
        <v>54</v>
      </c>
    </row>
    <row r="512" spans="1:12" x14ac:dyDescent="0.3">
      <c r="A512" s="2">
        <v>501</v>
      </c>
      <c r="B512" s="2" t="s">
        <v>1912</v>
      </c>
      <c r="C512" s="2" t="s">
        <v>1913</v>
      </c>
      <c r="D512" s="2" t="s">
        <v>51</v>
      </c>
      <c r="E512" s="2" t="s">
        <v>16</v>
      </c>
      <c r="F512" s="2">
        <v>30</v>
      </c>
      <c r="G512" s="2" t="s">
        <v>1914</v>
      </c>
      <c r="H512" s="2" t="s">
        <v>1915</v>
      </c>
      <c r="I512" s="2" t="s">
        <v>19</v>
      </c>
      <c r="J512" s="3">
        <v>43994</v>
      </c>
      <c r="K512" s="2">
        <v>5</v>
      </c>
      <c r="L512" s="2" t="s">
        <v>64</v>
      </c>
    </row>
    <row r="513" spans="1:12" x14ac:dyDescent="0.3">
      <c r="A513" s="2">
        <v>502</v>
      </c>
      <c r="B513" s="2" t="s">
        <v>375</v>
      </c>
      <c r="C513" s="2" t="s">
        <v>844</v>
      </c>
      <c r="D513" s="2" t="s">
        <v>28</v>
      </c>
      <c r="E513" s="2" t="s">
        <v>29</v>
      </c>
      <c r="F513" s="2">
        <v>90</v>
      </c>
      <c r="G513" s="2" t="s">
        <v>1916</v>
      </c>
      <c r="H513" s="2" t="s">
        <v>487</v>
      </c>
      <c r="I513" s="2" t="s">
        <v>32</v>
      </c>
      <c r="J513" s="3">
        <v>44567</v>
      </c>
      <c r="K513" s="2">
        <v>66</v>
      </c>
      <c r="L513" s="2" t="s">
        <v>159</v>
      </c>
    </row>
    <row r="514" spans="1:12" x14ac:dyDescent="0.3">
      <c r="A514" s="2">
        <v>503</v>
      </c>
      <c r="B514" s="2" t="s">
        <v>1917</v>
      </c>
      <c r="C514" s="2" t="s">
        <v>1918</v>
      </c>
      <c r="D514" s="2" t="s">
        <v>15</v>
      </c>
      <c r="E514" s="2" t="s">
        <v>16</v>
      </c>
      <c r="F514" s="2">
        <v>60</v>
      </c>
      <c r="G514" s="2" t="s">
        <v>1919</v>
      </c>
      <c r="H514" s="2" t="s">
        <v>1920</v>
      </c>
      <c r="I514" s="2" t="s">
        <v>1921</v>
      </c>
      <c r="J514" s="3">
        <v>43974</v>
      </c>
      <c r="K514" s="2">
        <v>75</v>
      </c>
      <c r="L514" s="2" t="s">
        <v>20</v>
      </c>
    </row>
    <row r="515" spans="1:12" x14ac:dyDescent="0.3">
      <c r="A515" s="2">
        <v>504</v>
      </c>
      <c r="B515" s="2" t="s">
        <v>1922</v>
      </c>
      <c r="C515" s="2" t="s">
        <v>1923</v>
      </c>
      <c r="D515" s="2" t="s">
        <v>15</v>
      </c>
      <c r="E515" s="2" t="s">
        <v>16</v>
      </c>
      <c r="F515" s="2">
        <v>90</v>
      </c>
      <c r="G515" s="2" t="s">
        <v>1924</v>
      </c>
      <c r="H515" s="2" t="s">
        <v>34</v>
      </c>
      <c r="I515" s="2" t="s">
        <v>1454</v>
      </c>
      <c r="J515" s="3">
        <v>44533</v>
      </c>
      <c r="K515" s="2">
        <v>45</v>
      </c>
      <c r="L515" s="2" t="s">
        <v>80</v>
      </c>
    </row>
    <row r="516" spans="1:12" x14ac:dyDescent="0.3">
      <c r="A516" s="2">
        <v>505</v>
      </c>
      <c r="B516" s="2" t="s">
        <v>1925</v>
      </c>
      <c r="C516" s="2" t="s">
        <v>601</v>
      </c>
      <c r="D516" s="2" t="s">
        <v>41</v>
      </c>
      <c r="E516" s="2" t="s">
        <v>16</v>
      </c>
      <c r="F516" s="2">
        <v>60</v>
      </c>
      <c r="G516" s="2" t="s">
        <v>1926</v>
      </c>
      <c r="H516" s="2" t="s">
        <v>1927</v>
      </c>
      <c r="I516" s="2" t="s">
        <v>100</v>
      </c>
      <c r="J516" s="3">
        <v>44577</v>
      </c>
      <c r="K516" s="2">
        <v>76</v>
      </c>
      <c r="L516" s="2" t="s">
        <v>64</v>
      </c>
    </row>
    <row r="517" spans="1:12" x14ac:dyDescent="0.3">
      <c r="A517" s="2">
        <v>506</v>
      </c>
      <c r="B517" s="2" t="s">
        <v>1928</v>
      </c>
      <c r="C517" s="2" t="s">
        <v>1929</v>
      </c>
      <c r="D517" s="2" t="s">
        <v>28</v>
      </c>
      <c r="E517" s="2" t="s">
        <v>29</v>
      </c>
      <c r="F517" s="2">
        <v>60</v>
      </c>
      <c r="G517" s="2" t="s">
        <v>1930</v>
      </c>
      <c r="H517" s="2" t="s">
        <v>1931</v>
      </c>
      <c r="I517" s="2" t="s">
        <v>32</v>
      </c>
      <c r="J517" s="3">
        <v>44866</v>
      </c>
      <c r="K517" s="2">
        <v>30</v>
      </c>
      <c r="L517" s="2" t="s">
        <v>80</v>
      </c>
    </row>
    <row r="518" spans="1:12" x14ac:dyDescent="0.3">
      <c r="A518" s="2">
        <v>507</v>
      </c>
      <c r="B518" s="2" t="s">
        <v>531</v>
      </c>
      <c r="C518" s="2" t="s">
        <v>1932</v>
      </c>
      <c r="D518" s="2" t="s">
        <v>51</v>
      </c>
      <c r="E518" s="2" t="s">
        <v>16</v>
      </c>
      <c r="F518" s="2">
        <v>30</v>
      </c>
      <c r="G518" s="2" t="s">
        <v>1933</v>
      </c>
      <c r="H518" s="2" t="s">
        <v>416</v>
      </c>
      <c r="I518" s="2" t="s">
        <v>32</v>
      </c>
      <c r="J518" s="3">
        <v>44388</v>
      </c>
      <c r="K518" s="2">
        <v>13</v>
      </c>
      <c r="L518" s="2" t="s">
        <v>159</v>
      </c>
    </row>
    <row r="519" spans="1:12" x14ac:dyDescent="0.3">
      <c r="A519" s="2">
        <v>508</v>
      </c>
      <c r="B519" s="2" t="s">
        <v>1934</v>
      </c>
      <c r="C519" s="2" t="s">
        <v>1935</v>
      </c>
      <c r="D519" s="2" t="s">
        <v>51</v>
      </c>
      <c r="E519" s="2" t="s">
        <v>16</v>
      </c>
      <c r="F519" s="2">
        <v>60</v>
      </c>
      <c r="G519" s="2" t="s">
        <v>1936</v>
      </c>
      <c r="H519" s="2" t="s">
        <v>1937</v>
      </c>
      <c r="I519" s="2" t="s">
        <v>25</v>
      </c>
      <c r="J519" s="3">
        <v>44917</v>
      </c>
      <c r="K519" s="2">
        <v>42</v>
      </c>
      <c r="L519" s="2" t="s">
        <v>45</v>
      </c>
    </row>
    <row r="520" spans="1:12" x14ac:dyDescent="0.3">
      <c r="A520" s="2">
        <v>509</v>
      </c>
      <c r="B520" s="2" t="s">
        <v>1938</v>
      </c>
      <c r="C520" s="2" t="s">
        <v>468</v>
      </c>
      <c r="D520" s="2" t="s">
        <v>15</v>
      </c>
      <c r="E520" s="2" t="s">
        <v>16</v>
      </c>
      <c r="F520" s="2">
        <v>90</v>
      </c>
      <c r="G520" s="2" t="s">
        <v>1939</v>
      </c>
      <c r="H520" s="2" t="s">
        <v>1940</v>
      </c>
      <c r="I520" s="2" t="s">
        <v>294</v>
      </c>
      <c r="J520" s="3">
        <v>44306</v>
      </c>
      <c r="K520" s="2">
        <v>21</v>
      </c>
      <c r="L520" s="2" t="s">
        <v>33</v>
      </c>
    </row>
    <row r="521" spans="1:12" x14ac:dyDescent="0.3">
      <c r="A521" s="2">
        <v>510</v>
      </c>
      <c r="B521" s="2" t="s">
        <v>1079</v>
      </c>
      <c r="C521" s="2" t="s">
        <v>1941</v>
      </c>
      <c r="D521" s="2" t="s">
        <v>15</v>
      </c>
      <c r="E521" s="2" t="s">
        <v>16</v>
      </c>
      <c r="F521" s="2">
        <v>60</v>
      </c>
      <c r="G521" s="2" t="s">
        <v>1942</v>
      </c>
      <c r="H521" s="2" t="s">
        <v>251</v>
      </c>
      <c r="I521" s="2" t="s">
        <v>146</v>
      </c>
      <c r="J521" s="3">
        <v>44906</v>
      </c>
      <c r="K521" s="2">
        <v>66</v>
      </c>
      <c r="L521" s="2" t="s">
        <v>70</v>
      </c>
    </row>
    <row r="522" spans="1:12" x14ac:dyDescent="0.3">
      <c r="A522" s="2">
        <v>511</v>
      </c>
      <c r="B522" s="2" t="s">
        <v>1943</v>
      </c>
      <c r="C522" s="2" t="s">
        <v>286</v>
      </c>
      <c r="D522" s="2" t="s">
        <v>51</v>
      </c>
      <c r="E522" s="2" t="s">
        <v>16</v>
      </c>
      <c r="F522" s="2">
        <v>30</v>
      </c>
      <c r="G522" s="2" t="s">
        <v>1944</v>
      </c>
      <c r="H522" s="2" t="s">
        <v>1945</v>
      </c>
      <c r="I522" s="2" t="s">
        <v>32</v>
      </c>
      <c r="J522" s="3">
        <v>44295</v>
      </c>
      <c r="K522" s="2">
        <v>43</v>
      </c>
      <c r="L522" s="2" t="s">
        <v>80</v>
      </c>
    </row>
    <row r="523" spans="1:12" x14ac:dyDescent="0.3">
      <c r="A523" s="2">
        <v>512</v>
      </c>
      <c r="B523" s="2" t="s">
        <v>1946</v>
      </c>
      <c r="C523" s="2" t="s">
        <v>309</v>
      </c>
      <c r="D523" s="2" t="s">
        <v>28</v>
      </c>
      <c r="E523" s="2" t="s">
        <v>29</v>
      </c>
      <c r="F523" s="2">
        <v>60</v>
      </c>
      <c r="G523" s="2" t="s">
        <v>1947</v>
      </c>
      <c r="H523" s="2" t="s">
        <v>1948</v>
      </c>
      <c r="I523" s="2" t="s">
        <v>25</v>
      </c>
      <c r="J523" s="3">
        <v>44264</v>
      </c>
      <c r="K523" s="2">
        <v>56</v>
      </c>
      <c r="L523" s="2" t="s">
        <v>54</v>
      </c>
    </row>
    <row r="524" spans="1:12" x14ac:dyDescent="0.3">
      <c r="A524" s="2">
        <v>513</v>
      </c>
      <c r="B524" s="2" t="s">
        <v>1949</v>
      </c>
      <c r="C524" s="2" t="s">
        <v>1950</v>
      </c>
      <c r="D524" s="2" t="s">
        <v>51</v>
      </c>
      <c r="E524" s="2" t="s">
        <v>16</v>
      </c>
      <c r="F524" s="2">
        <v>30</v>
      </c>
      <c r="G524" s="2" t="s">
        <v>1951</v>
      </c>
      <c r="H524" s="2" t="s">
        <v>1952</v>
      </c>
      <c r="I524" s="2" t="s">
        <v>32</v>
      </c>
      <c r="J524" s="3">
        <v>44131</v>
      </c>
      <c r="K524" s="2">
        <v>48</v>
      </c>
      <c r="L524" s="2" t="s">
        <v>20</v>
      </c>
    </row>
    <row r="525" spans="1:12" x14ac:dyDescent="0.3">
      <c r="A525" s="2">
        <v>514</v>
      </c>
      <c r="B525" s="2" t="s">
        <v>1953</v>
      </c>
      <c r="C525" s="2" t="s">
        <v>1954</v>
      </c>
      <c r="D525" s="2" t="s">
        <v>51</v>
      </c>
      <c r="E525" s="2" t="s">
        <v>16</v>
      </c>
      <c r="F525" s="2">
        <v>90</v>
      </c>
      <c r="G525" s="2" t="s">
        <v>1955</v>
      </c>
      <c r="H525" s="2" t="s">
        <v>1956</v>
      </c>
      <c r="I525" s="2" t="s">
        <v>32</v>
      </c>
      <c r="J525" s="3">
        <v>44657</v>
      </c>
      <c r="K525" s="2">
        <v>11</v>
      </c>
      <c r="L525" s="2" t="s">
        <v>39</v>
      </c>
    </row>
    <row r="526" spans="1:12" x14ac:dyDescent="0.3">
      <c r="A526" s="2">
        <v>515</v>
      </c>
      <c r="B526" s="2" t="s">
        <v>1678</v>
      </c>
      <c r="C526" s="2" t="s">
        <v>1957</v>
      </c>
      <c r="D526" s="2" t="s">
        <v>28</v>
      </c>
      <c r="E526" s="2" t="s">
        <v>29</v>
      </c>
      <c r="F526" s="2">
        <v>90</v>
      </c>
      <c r="G526" s="2" t="s">
        <v>1958</v>
      </c>
      <c r="H526" s="2" t="s">
        <v>1764</v>
      </c>
      <c r="I526" s="2" t="s">
        <v>124</v>
      </c>
      <c r="J526" s="3">
        <v>43930</v>
      </c>
      <c r="K526" s="2">
        <v>45</v>
      </c>
      <c r="L526" s="2" t="s">
        <v>101</v>
      </c>
    </row>
    <row r="527" spans="1:12" x14ac:dyDescent="0.3">
      <c r="A527" s="2">
        <v>516</v>
      </c>
      <c r="B527" s="2" t="s">
        <v>1959</v>
      </c>
      <c r="C527" s="2" t="s">
        <v>1432</v>
      </c>
      <c r="D527" s="2" t="s">
        <v>15</v>
      </c>
      <c r="E527" s="2" t="s">
        <v>16</v>
      </c>
      <c r="F527" s="2">
        <v>60</v>
      </c>
      <c r="G527" s="2" t="s">
        <v>1960</v>
      </c>
      <c r="H527" s="2" t="s">
        <v>31</v>
      </c>
      <c r="I527" s="2" t="s">
        <v>32</v>
      </c>
      <c r="J527" s="3">
        <v>43916</v>
      </c>
      <c r="K527" s="2">
        <v>45</v>
      </c>
      <c r="L527" s="2" t="s">
        <v>33</v>
      </c>
    </row>
    <row r="528" spans="1:12" x14ac:dyDescent="0.3">
      <c r="A528" s="2">
        <v>517</v>
      </c>
      <c r="B528" s="2" t="s">
        <v>1961</v>
      </c>
      <c r="C528" s="2" t="s">
        <v>50</v>
      </c>
      <c r="D528" s="2" t="s">
        <v>51</v>
      </c>
      <c r="E528" s="2" t="s">
        <v>16</v>
      </c>
      <c r="F528" s="2">
        <v>30</v>
      </c>
      <c r="G528" s="2" t="s">
        <v>1960</v>
      </c>
      <c r="H528" s="2" t="s">
        <v>491</v>
      </c>
      <c r="I528" s="2" t="s">
        <v>32</v>
      </c>
      <c r="J528" s="3">
        <v>44179</v>
      </c>
      <c r="K528" s="2">
        <v>54</v>
      </c>
      <c r="L528" s="2" t="s">
        <v>54</v>
      </c>
    </row>
    <row r="529" spans="1:12" x14ac:dyDescent="0.3">
      <c r="A529" s="2">
        <v>518</v>
      </c>
      <c r="B529" s="2" t="s">
        <v>1962</v>
      </c>
      <c r="C529" s="2" t="s">
        <v>1963</v>
      </c>
      <c r="D529" s="2" t="s">
        <v>15</v>
      </c>
      <c r="E529" s="2" t="s">
        <v>16</v>
      </c>
      <c r="F529" s="2">
        <v>30</v>
      </c>
      <c r="G529" s="2" t="s">
        <v>1964</v>
      </c>
      <c r="H529" s="2" t="s">
        <v>1965</v>
      </c>
      <c r="I529" s="2" t="s">
        <v>32</v>
      </c>
      <c r="J529" s="3">
        <v>44445</v>
      </c>
      <c r="K529" s="2">
        <v>34</v>
      </c>
      <c r="L529" s="2" t="s">
        <v>101</v>
      </c>
    </row>
    <row r="530" spans="1:12" x14ac:dyDescent="0.3">
      <c r="A530" s="2">
        <v>519</v>
      </c>
      <c r="B530" s="2" t="s">
        <v>1966</v>
      </c>
      <c r="C530" s="2" t="s">
        <v>1967</v>
      </c>
      <c r="D530" s="2" t="s">
        <v>15</v>
      </c>
      <c r="E530" s="2" t="s">
        <v>16</v>
      </c>
      <c r="F530" s="2">
        <v>90</v>
      </c>
      <c r="G530" s="2" t="s">
        <v>1968</v>
      </c>
      <c r="H530" s="2" t="s">
        <v>1969</v>
      </c>
      <c r="I530" s="2" t="s">
        <v>32</v>
      </c>
      <c r="J530" s="3">
        <v>43982</v>
      </c>
      <c r="K530" s="2">
        <v>81</v>
      </c>
      <c r="L530" s="2" t="s">
        <v>45</v>
      </c>
    </row>
    <row r="531" spans="1:12" x14ac:dyDescent="0.3">
      <c r="A531" s="2">
        <v>520</v>
      </c>
      <c r="B531" s="2" t="s">
        <v>1970</v>
      </c>
      <c r="C531" s="2" t="s">
        <v>1971</v>
      </c>
      <c r="D531" s="2" t="s">
        <v>51</v>
      </c>
      <c r="E531" s="2" t="s">
        <v>16</v>
      </c>
      <c r="F531" s="2">
        <v>60</v>
      </c>
      <c r="G531" s="2" t="s">
        <v>1972</v>
      </c>
      <c r="H531" s="2" t="s">
        <v>1973</v>
      </c>
      <c r="I531" s="2" t="s">
        <v>110</v>
      </c>
      <c r="J531" s="3">
        <v>44556</v>
      </c>
      <c r="K531" s="2">
        <v>22</v>
      </c>
      <c r="L531" s="2" t="s">
        <v>70</v>
      </c>
    </row>
    <row r="532" spans="1:12" x14ac:dyDescent="0.3">
      <c r="A532" s="2">
        <v>521</v>
      </c>
      <c r="B532" s="2" t="s">
        <v>1974</v>
      </c>
      <c r="C532" s="2" t="s">
        <v>368</v>
      </c>
      <c r="D532" s="2" t="s">
        <v>51</v>
      </c>
      <c r="E532" s="2" t="s">
        <v>16</v>
      </c>
      <c r="F532" s="2">
        <v>90</v>
      </c>
      <c r="G532" s="2" t="s">
        <v>10468</v>
      </c>
      <c r="H532" s="2" t="s">
        <v>1530</v>
      </c>
      <c r="I532" s="2" t="s">
        <v>32</v>
      </c>
      <c r="J532" s="3">
        <v>44860</v>
      </c>
      <c r="K532" s="2">
        <v>31</v>
      </c>
      <c r="L532" s="2" t="s">
        <v>159</v>
      </c>
    </row>
    <row r="533" spans="1:12" x14ac:dyDescent="0.3">
      <c r="A533" s="2">
        <v>522</v>
      </c>
      <c r="B533" s="2" t="s">
        <v>1337</v>
      </c>
      <c r="C533" s="2" t="s">
        <v>1446</v>
      </c>
      <c r="D533" s="2" t="s">
        <v>28</v>
      </c>
      <c r="E533" s="2" t="s">
        <v>29</v>
      </c>
      <c r="F533" s="2">
        <v>90</v>
      </c>
      <c r="G533" s="2" t="s">
        <v>1976</v>
      </c>
      <c r="H533" s="2" t="s">
        <v>1977</v>
      </c>
      <c r="I533" s="2" t="s">
        <v>124</v>
      </c>
      <c r="J533" s="3">
        <v>44615</v>
      </c>
      <c r="K533" s="2">
        <v>19</v>
      </c>
      <c r="L533" s="2" t="s">
        <v>159</v>
      </c>
    </row>
    <row r="534" spans="1:12" x14ac:dyDescent="0.3">
      <c r="A534" s="2">
        <v>523</v>
      </c>
      <c r="B534" s="2" t="s">
        <v>1978</v>
      </c>
      <c r="C534" s="2" t="s">
        <v>1979</v>
      </c>
      <c r="D534" s="2" t="s">
        <v>41</v>
      </c>
      <c r="E534" s="2" t="s">
        <v>16</v>
      </c>
      <c r="F534" s="2">
        <v>90</v>
      </c>
      <c r="G534" s="2" t="s">
        <v>1980</v>
      </c>
      <c r="H534" s="2" t="s">
        <v>1981</v>
      </c>
      <c r="I534" s="2" t="s">
        <v>187</v>
      </c>
      <c r="J534" s="3">
        <v>43869</v>
      </c>
      <c r="K534" s="2">
        <v>73</v>
      </c>
      <c r="L534" s="2" t="s">
        <v>20</v>
      </c>
    </row>
    <row r="535" spans="1:12" x14ac:dyDescent="0.3">
      <c r="A535" s="2">
        <v>524</v>
      </c>
      <c r="B535" s="2" t="s">
        <v>1982</v>
      </c>
      <c r="C535" s="2" t="s">
        <v>361</v>
      </c>
      <c r="D535" s="2" t="s">
        <v>28</v>
      </c>
      <c r="E535" s="2" t="s">
        <v>29</v>
      </c>
      <c r="F535" s="2">
        <v>60</v>
      </c>
      <c r="G535" s="2" t="s">
        <v>1983</v>
      </c>
      <c r="H535" s="2" t="s">
        <v>1473</v>
      </c>
      <c r="I535" s="2" t="s">
        <v>38</v>
      </c>
      <c r="J535" s="3">
        <v>44292</v>
      </c>
      <c r="K535" s="2">
        <v>95</v>
      </c>
      <c r="L535" s="2" t="s">
        <v>20</v>
      </c>
    </row>
    <row r="536" spans="1:12" x14ac:dyDescent="0.3">
      <c r="A536" s="2">
        <v>525</v>
      </c>
      <c r="B536" s="2" t="s">
        <v>1984</v>
      </c>
      <c r="C536" s="2" t="s">
        <v>1985</v>
      </c>
      <c r="D536" s="2" t="s">
        <v>51</v>
      </c>
      <c r="E536" s="2" t="s">
        <v>16</v>
      </c>
      <c r="F536" s="2">
        <v>30</v>
      </c>
      <c r="G536" s="2" t="s">
        <v>1986</v>
      </c>
      <c r="H536" s="2" t="s">
        <v>1987</v>
      </c>
      <c r="I536" s="2" t="s">
        <v>19</v>
      </c>
      <c r="J536" s="3">
        <v>44221</v>
      </c>
      <c r="K536" s="2">
        <v>64</v>
      </c>
      <c r="L536" s="2" t="s">
        <v>70</v>
      </c>
    </row>
    <row r="537" spans="1:12" x14ac:dyDescent="0.3">
      <c r="A537" s="2">
        <v>526</v>
      </c>
      <c r="B537" s="2" t="s">
        <v>1988</v>
      </c>
      <c r="C537" s="2" t="s">
        <v>1989</v>
      </c>
      <c r="D537" s="2" t="s">
        <v>15</v>
      </c>
      <c r="E537" s="2" t="s">
        <v>16</v>
      </c>
      <c r="F537" s="2">
        <v>90</v>
      </c>
      <c r="G537" s="2" t="s">
        <v>1990</v>
      </c>
      <c r="H537" s="2" t="s">
        <v>1473</v>
      </c>
      <c r="I537" s="2" t="s">
        <v>38</v>
      </c>
      <c r="J537" s="3">
        <v>44839</v>
      </c>
      <c r="K537" s="2">
        <v>54</v>
      </c>
      <c r="L537" s="2" t="s">
        <v>33</v>
      </c>
    </row>
    <row r="538" spans="1:12" x14ac:dyDescent="0.3">
      <c r="A538" s="2">
        <v>527</v>
      </c>
      <c r="B538" s="2" t="s">
        <v>1991</v>
      </c>
      <c r="C538" s="2" t="s">
        <v>1662</v>
      </c>
      <c r="D538" s="2" t="s">
        <v>28</v>
      </c>
      <c r="E538" s="2" t="s">
        <v>29</v>
      </c>
      <c r="F538" s="2">
        <v>60</v>
      </c>
      <c r="G538" s="2" t="s">
        <v>1990</v>
      </c>
      <c r="H538" s="2" t="s">
        <v>1992</v>
      </c>
      <c r="I538" s="2" t="s">
        <v>32</v>
      </c>
      <c r="J538" s="3">
        <v>43965</v>
      </c>
      <c r="K538" s="2">
        <v>4</v>
      </c>
      <c r="L538" s="2" t="s">
        <v>39</v>
      </c>
    </row>
    <row r="539" spans="1:12" x14ac:dyDescent="0.3">
      <c r="A539" s="2">
        <v>528</v>
      </c>
      <c r="B539" s="2" t="s">
        <v>1993</v>
      </c>
      <c r="C539" s="2" t="s">
        <v>1994</v>
      </c>
      <c r="D539" s="2" t="s">
        <v>41</v>
      </c>
      <c r="E539" s="2" t="s">
        <v>16</v>
      </c>
      <c r="F539" s="2">
        <v>60</v>
      </c>
      <c r="G539" s="2" t="s">
        <v>1995</v>
      </c>
      <c r="H539" s="2" t="s">
        <v>1996</v>
      </c>
      <c r="I539" s="2" t="s">
        <v>208</v>
      </c>
      <c r="J539" s="3">
        <v>44913</v>
      </c>
      <c r="K539" s="2">
        <v>29</v>
      </c>
      <c r="L539" s="2" t="s">
        <v>101</v>
      </c>
    </row>
    <row r="540" spans="1:12" x14ac:dyDescent="0.3">
      <c r="A540" s="2">
        <v>529</v>
      </c>
      <c r="B540" s="2" t="s">
        <v>990</v>
      </c>
      <c r="C540" s="2" t="s">
        <v>1997</v>
      </c>
      <c r="D540" s="2" t="s">
        <v>28</v>
      </c>
      <c r="E540" s="2" t="s">
        <v>29</v>
      </c>
      <c r="F540" s="2">
        <v>90</v>
      </c>
      <c r="G540" s="2" t="s">
        <v>1995</v>
      </c>
      <c r="H540" s="2" t="s">
        <v>827</v>
      </c>
      <c r="I540" s="2" t="s">
        <v>124</v>
      </c>
      <c r="J540" s="3">
        <v>44732</v>
      </c>
      <c r="K540" s="2">
        <v>80</v>
      </c>
      <c r="L540" s="2" t="s">
        <v>54</v>
      </c>
    </row>
    <row r="541" spans="1:12" x14ac:dyDescent="0.3">
      <c r="A541" s="2">
        <v>530</v>
      </c>
      <c r="B541" s="2" t="s">
        <v>1998</v>
      </c>
      <c r="C541" s="2" t="s">
        <v>1999</v>
      </c>
      <c r="D541" s="2" t="s">
        <v>28</v>
      </c>
      <c r="E541" s="2" t="s">
        <v>29</v>
      </c>
      <c r="F541" s="2">
        <v>90</v>
      </c>
      <c r="G541" s="2" t="s">
        <v>2000</v>
      </c>
      <c r="H541" s="2" t="s">
        <v>288</v>
      </c>
      <c r="I541" s="2" t="s">
        <v>32</v>
      </c>
      <c r="J541" s="3">
        <v>44336</v>
      </c>
      <c r="K541" s="2">
        <v>61</v>
      </c>
      <c r="L541" s="2" t="s">
        <v>39</v>
      </c>
    </row>
    <row r="542" spans="1:12" x14ac:dyDescent="0.3">
      <c r="A542" s="2">
        <v>531</v>
      </c>
      <c r="B542" s="2" t="s">
        <v>2001</v>
      </c>
      <c r="C542" s="2" t="s">
        <v>76</v>
      </c>
      <c r="D542" s="2" t="s">
        <v>28</v>
      </c>
      <c r="E542" s="2" t="s">
        <v>29</v>
      </c>
      <c r="F542" s="2">
        <v>90</v>
      </c>
      <c r="G542" s="2" t="s">
        <v>2002</v>
      </c>
      <c r="H542" s="2" t="s">
        <v>447</v>
      </c>
      <c r="I542" s="2" t="s">
        <v>32</v>
      </c>
      <c r="J542" s="3">
        <v>44500</v>
      </c>
      <c r="K542" s="2">
        <v>3</v>
      </c>
      <c r="L542" s="2" t="s">
        <v>159</v>
      </c>
    </row>
    <row r="543" spans="1:12" x14ac:dyDescent="0.3">
      <c r="A543" s="2">
        <v>532</v>
      </c>
      <c r="B543" s="2" t="s">
        <v>2005</v>
      </c>
      <c r="C543" s="2" t="s">
        <v>2006</v>
      </c>
      <c r="D543" s="2" t="s">
        <v>15</v>
      </c>
      <c r="E543" s="2" t="s">
        <v>16</v>
      </c>
      <c r="F543" s="2">
        <v>60</v>
      </c>
      <c r="G543" s="2" t="s">
        <v>2007</v>
      </c>
      <c r="H543" s="2" t="s">
        <v>2008</v>
      </c>
      <c r="I543" s="2" t="s">
        <v>129</v>
      </c>
      <c r="J543" s="3">
        <v>44421</v>
      </c>
      <c r="K543" s="2">
        <v>47</v>
      </c>
      <c r="L543" s="2" t="s">
        <v>20</v>
      </c>
    </row>
    <row r="544" spans="1:12" x14ac:dyDescent="0.3">
      <c r="A544" s="2">
        <v>533</v>
      </c>
      <c r="B544" s="2" t="s">
        <v>2009</v>
      </c>
      <c r="C544" s="2" t="s">
        <v>2010</v>
      </c>
      <c r="D544" s="2" t="s">
        <v>28</v>
      </c>
      <c r="E544" s="2" t="s">
        <v>29</v>
      </c>
      <c r="F544" s="2">
        <v>30</v>
      </c>
      <c r="G544" s="2" t="s">
        <v>2011</v>
      </c>
      <c r="H544" s="2" t="s">
        <v>2012</v>
      </c>
      <c r="I544" s="2" t="s">
        <v>32</v>
      </c>
      <c r="J544" s="3">
        <v>44775</v>
      </c>
      <c r="K544" s="2">
        <v>44</v>
      </c>
      <c r="L544" s="2" t="s">
        <v>70</v>
      </c>
    </row>
    <row r="545" spans="1:12" x14ac:dyDescent="0.3">
      <c r="A545" s="2">
        <v>534</v>
      </c>
      <c r="B545" s="2" t="s">
        <v>2013</v>
      </c>
      <c r="C545" s="2" t="s">
        <v>2014</v>
      </c>
      <c r="D545" s="2" t="s">
        <v>15</v>
      </c>
      <c r="E545" s="2" t="s">
        <v>16</v>
      </c>
      <c r="F545" s="2">
        <v>90</v>
      </c>
      <c r="G545" s="2" t="s">
        <v>2015</v>
      </c>
      <c r="H545" s="2" t="s">
        <v>881</v>
      </c>
      <c r="I545" s="2" t="s">
        <v>178</v>
      </c>
      <c r="J545" s="3">
        <v>44908</v>
      </c>
      <c r="K545" s="2">
        <v>20</v>
      </c>
      <c r="L545" s="2" t="s">
        <v>64</v>
      </c>
    </row>
    <row r="546" spans="1:12" x14ac:dyDescent="0.3">
      <c r="A546" s="2">
        <v>535</v>
      </c>
      <c r="B546" s="2" t="s">
        <v>2016</v>
      </c>
      <c r="C546" s="2" t="s">
        <v>2017</v>
      </c>
      <c r="D546" s="2" t="s">
        <v>51</v>
      </c>
      <c r="E546" s="2" t="s">
        <v>16</v>
      </c>
      <c r="F546" s="2">
        <v>60</v>
      </c>
      <c r="G546" s="2" t="s">
        <v>2015</v>
      </c>
      <c r="H546" s="2" t="s">
        <v>1052</v>
      </c>
      <c r="I546" s="2" t="s">
        <v>32</v>
      </c>
      <c r="J546" s="3">
        <v>44020</v>
      </c>
      <c r="K546" s="2">
        <v>44</v>
      </c>
      <c r="L546" s="2" t="s">
        <v>64</v>
      </c>
    </row>
    <row r="547" spans="1:12" x14ac:dyDescent="0.3">
      <c r="A547" s="2">
        <v>536</v>
      </c>
      <c r="B547" s="2" t="s">
        <v>2018</v>
      </c>
      <c r="C547" s="2" t="s">
        <v>2019</v>
      </c>
      <c r="D547" s="2" t="s">
        <v>28</v>
      </c>
      <c r="E547" s="2" t="s">
        <v>29</v>
      </c>
      <c r="F547" s="2">
        <v>30</v>
      </c>
      <c r="G547" s="2" t="s">
        <v>2020</v>
      </c>
      <c r="H547" s="2" t="s">
        <v>2021</v>
      </c>
      <c r="I547" s="2" t="s">
        <v>2022</v>
      </c>
      <c r="J547" s="3">
        <v>44611</v>
      </c>
      <c r="K547" s="2">
        <v>56</v>
      </c>
      <c r="L547" s="2" t="s">
        <v>101</v>
      </c>
    </row>
    <row r="548" spans="1:12" x14ac:dyDescent="0.3">
      <c r="A548" s="2">
        <v>537</v>
      </c>
      <c r="B548" s="2" t="s">
        <v>2023</v>
      </c>
      <c r="C548" s="2" t="s">
        <v>2024</v>
      </c>
      <c r="D548" s="2" t="s">
        <v>15</v>
      </c>
      <c r="E548" s="2" t="s">
        <v>16</v>
      </c>
      <c r="F548" s="2">
        <v>90</v>
      </c>
      <c r="G548" s="2" t="s">
        <v>2025</v>
      </c>
      <c r="H548" s="2" t="s">
        <v>2026</v>
      </c>
      <c r="I548" s="2" t="s">
        <v>1078</v>
      </c>
      <c r="J548" s="3">
        <v>43965</v>
      </c>
      <c r="K548" s="2">
        <v>43</v>
      </c>
      <c r="L548" s="2" t="s">
        <v>64</v>
      </c>
    </row>
    <row r="549" spans="1:12" x14ac:dyDescent="0.3">
      <c r="A549" s="2">
        <v>538</v>
      </c>
      <c r="B549" s="2" t="s">
        <v>2027</v>
      </c>
      <c r="C549" s="2" t="s">
        <v>2028</v>
      </c>
      <c r="D549" s="2" t="s">
        <v>28</v>
      </c>
      <c r="E549" s="2" t="s">
        <v>29</v>
      </c>
      <c r="F549" s="2">
        <v>60</v>
      </c>
      <c r="G549" s="2" t="s">
        <v>2029</v>
      </c>
      <c r="H549" s="2" t="s">
        <v>530</v>
      </c>
      <c r="I549" s="2" t="s">
        <v>124</v>
      </c>
      <c r="J549" s="3">
        <v>44864</v>
      </c>
      <c r="K549" s="2">
        <v>85</v>
      </c>
      <c r="L549" s="2" t="s">
        <v>80</v>
      </c>
    </row>
    <row r="550" spans="1:12" x14ac:dyDescent="0.3">
      <c r="A550" s="2">
        <v>539</v>
      </c>
      <c r="B550" s="2" t="s">
        <v>555</v>
      </c>
      <c r="C550" s="2" t="s">
        <v>2030</v>
      </c>
      <c r="D550" s="2" t="s">
        <v>28</v>
      </c>
      <c r="E550" s="2" t="s">
        <v>29</v>
      </c>
      <c r="F550" s="2">
        <v>60</v>
      </c>
      <c r="G550" s="2" t="s">
        <v>2031</v>
      </c>
      <c r="H550" s="2" t="s">
        <v>2032</v>
      </c>
      <c r="I550" s="2" t="s">
        <v>173</v>
      </c>
      <c r="J550" s="3">
        <v>44775</v>
      </c>
      <c r="K550" s="2">
        <v>104</v>
      </c>
      <c r="L550" s="2" t="s">
        <v>80</v>
      </c>
    </row>
    <row r="551" spans="1:12" x14ac:dyDescent="0.3">
      <c r="A551" s="2">
        <v>540</v>
      </c>
      <c r="B551" s="2" t="s">
        <v>1741</v>
      </c>
      <c r="C551" s="2" t="s">
        <v>2033</v>
      </c>
      <c r="D551" s="2" t="s">
        <v>28</v>
      </c>
      <c r="E551" s="2" t="s">
        <v>29</v>
      </c>
      <c r="F551" s="2">
        <v>90</v>
      </c>
      <c r="G551" s="2" t="s">
        <v>2034</v>
      </c>
      <c r="H551" s="2" t="s">
        <v>2035</v>
      </c>
      <c r="I551" s="2" t="s">
        <v>32</v>
      </c>
      <c r="J551" s="3">
        <v>44153</v>
      </c>
      <c r="K551" s="2">
        <v>10</v>
      </c>
      <c r="L551" s="2" t="s">
        <v>45</v>
      </c>
    </row>
    <row r="552" spans="1:12" x14ac:dyDescent="0.3">
      <c r="A552" s="2">
        <v>541</v>
      </c>
      <c r="B552" s="2" t="s">
        <v>2036</v>
      </c>
      <c r="C552" s="2" t="s">
        <v>2037</v>
      </c>
      <c r="D552" s="2" t="s">
        <v>51</v>
      </c>
      <c r="E552" s="2" t="s">
        <v>16</v>
      </c>
      <c r="F552" s="2">
        <v>90</v>
      </c>
      <c r="G552" s="2" t="s">
        <v>2038</v>
      </c>
      <c r="H552" s="2" t="s">
        <v>2039</v>
      </c>
      <c r="I552" s="2" t="s">
        <v>1199</v>
      </c>
      <c r="J552" s="3">
        <v>44765</v>
      </c>
      <c r="K552" s="2">
        <v>56</v>
      </c>
      <c r="L552" s="2" t="s">
        <v>20</v>
      </c>
    </row>
    <row r="553" spans="1:12" x14ac:dyDescent="0.3">
      <c r="A553" s="2">
        <v>542</v>
      </c>
      <c r="B553" s="2" t="s">
        <v>2040</v>
      </c>
      <c r="C553" s="2" t="s">
        <v>2041</v>
      </c>
      <c r="D553" s="2" t="s">
        <v>41</v>
      </c>
      <c r="E553" s="2" t="s">
        <v>16</v>
      </c>
      <c r="F553" s="2">
        <v>30</v>
      </c>
      <c r="G553" s="2" t="s">
        <v>2042</v>
      </c>
      <c r="H553" s="2" t="s">
        <v>1568</v>
      </c>
      <c r="I553" s="2" t="s">
        <v>32</v>
      </c>
      <c r="J553" s="3">
        <v>44843</v>
      </c>
      <c r="K553" s="2">
        <v>76</v>
      </c>
      <c r="L553" s="2" t="s">
        <v>80</v>
      </c>
    </row>
    <row r="554" spans="1:12" x14ac:dyDescent="0.3">
      <c r="A554" s="2">
        <v>543</v>
      </c>
      <c r="B554" s="2" t="s">
        <v>2043</v>
      </c>
      <c r="C554" s="2" t="s">
        <v>1145</v>
      </c>
      <c r="D554" s="2" t="s">
        <v>28</v>
      </c>
      <c r="E554" s="2" t="s">
        <v>29</v>
      </c>
      <c r="F554" s="2">
        <v>60</v>
      </c>
      <c r="G554" s="2" t="s">
        <v>2044</v>
      </c>
      <c r="H554" s="2" t="s">
        <v>2045</v>
      </c>
      <c r="I554" s="2" t="s">
        <v>38</v>
      </c>
      <c r="J554" s="3">
        <v>44564</v>
      </c>
      <c r="K554" s="2">
        <v>105</v>
      </c>
      <c r="L554" s="2" t="s">
        <v>101</v>
      </c>
    </row>
    <row r="555" spans="1:12" x14ac:dyDescent="0.3">
      <c r="A555" s="2">
        <v>544</v>
      </c>
      <c r="B555" s="2" t="s">
        <v>2046</v>
      </c>
      <c r="C555" s="2" t="s">
        <v>2047</v>
      </c>
      <c r="D555" s="2" t="s">
        <v>28</v>
      </c>
      <c r="E555" s="2" t="s">
        <v>29</v>
      </c>
      <c r="F555" s="2">
        <v>30</v>
      </c>
      <c r="G555" s="2" t="s">
        <v>2048</v>
      </c>
      <c r="H555" s="2" t="s">
        <v>2049</v>
      </c>
      <c r="I555" s="2" t="s">
        <v>32</v>
      </c>
      <c r="J555" s="3">
        <v>44075</v>
      </c>
      <c r="K555" s="2">
        <v>81</v>
      </c>
      <c r="L555" s="2" t="s">
        <v>20</v>
      </c>
    </row>
    <row r="556" spans="1:12" x14ac:dyDescent="0.3">
      <c r="A556" s="2">
        <v>545</v>
      </c>
      <c r="B556" s="2" t="s">
        <v>2050</v>
      </c>
      <c r="C556" s="2" t="s">
        <v>2051</v>
      </c>
      <c r="D556" s="2" t="s">
        <v>28</v>
      </c>
      <c r="E556" s="2" t="s">
        <v>29</v>
      </c>
      <c r="F556" s="2">
        <v>90</v>
      </c>
      <c r="G556" s="2" t="s">
        <v>2052</v>
      </c>
      <c r="H556" s="2" t="s">
        <v>2053</v>
      </c>
      <c r="I556" s="2" t="s">
        <v>187</v>
      </c>
      <c r="J556" s="3">
        <v>44139</v>
      </c>
      <c r="K556" s="2">
        <v>27</v>
      </c>
      <c r="L556" s="2" t="s">
        <v>39</v>
      </c>
    </row>
    <row r="557" spans="1:12" x14ac:dyDescent="0.3">
      <c r="A557" s="2">
        <v>546</v>
      </c>
      <c r="B557" s="2" t="s">
        <v>1383</v>
      </c>
      <c r="C557" s="2" t="s">
        <v>2054</v>
      </c>
      <c r="D557" s="2" t="s">
        <v>28</v>
      </c>
      <c r="E557" s="2" t="s">
        <v>29</v>
      </c>
      <c r="F557" s="2">
        <v>90</v>
      </c>
      <c r="G557" s="2" t="s">
        <v>2055</v>
      </c>
      <c r="H557" s="2" t="s">
        <v>2056</v>
      </c>
      <c r="I557" s="2" t="s">
        <v>32</v>
      </c>
      <c r="J557" s="3">
        <v>44104</v>
      </c>
      <c r="K557" s="2">
        <v>55</v>
      </c>
      <c r="L557" s="2" t="s">
        <v>20</v>
      </c>
    </row>
    <row r="558" spans="1:12" x14ac:dyDescent="0.3">
      <c r="A558" s="2">
        <v>547</v>
      </c>
      <c r="B558" s="2" t="s">
        <v>2057</v>
      </c>
      <c r="C558" s="2" t="s">
        <v>2043</v>
      </c>
      <c r="D558" s="2" t="s">
        <v>51</v>
      </c>
      <c r="E558" s="2" t="s">
        <v>16</v>
      </c>
      <c r="F558" s="2">
        <v>60</v>
      </c>
      <c r="G558" s="2" t="s">
        <v>2058</v>
      </c>
      <c r="H558" s="2" t="s">
        <v>2059</v>
      </c>
      <c r="I558" s="2" t="s">
        <v>146</v>
      </c>
      <c r="J558" s="3">
        <v>44429</v>
      </c>
      <c r="K558" s="2">
        <v>42</v>
      </c>
      <c r="L558" s="2" t="s">
        <v>159</v>
      </c>
    </row>
    <row r="559" spans="1:12" x14ac:dyDescent="0.3">
      <c r="A559" s="2">
        <v>548</v>
      </c>
      <c r="B559" s="2" t="s">
        <v>2060</v>
      </c>
      <c r="C559" s="2" t="s">
        <v>161</v>
      </c>
      <c r="D559" s="2" t="s">
        <v>15</v>
      </c>
      <c r="E559" s="2" t="s">
        <v>16</v>
      </c>
      <c r="F559" s="2">
        <v>60</v>
      </c>
      <c r="G559" s="2" t="s">
        <v>2061</v>
      </c>
      <c r="H559" s="2" t="s">
        <v>2062</v>
      </c>
      <c r="I559" s="2" t="s">
        <v>187</v>
      </c>
      <c r="J559" s="3">
        <v>44319</v>
      </c>
      <c r="K559" s="2">
        <v>20</v>
      </c>
      <c r="L559" s="2" t="s">
        <v>20</v>
      </c>
    </row>
    <row r="560" spans="1:12" x14ac:dyDescent="0.3">
      <c r="A560" s="2">
        <v>549</v>
      </c>
      <c r="B560" s="2" t="s">
        <v>2063</v>
      </c>
      <c r="C560" s="2" t="s">
        <v>2064</v>
      </c>
      <c r="D560" s="2" t="s">
        <v>28</v>
      </c>
      <c r="E560" s="2" t="s">
        <v>29</v>
      </c>
      <c r="F560" s="2">
        <v>60</v>
      </c>
      <c r="G560" s="2" t="s">
        <v>2065</v>
      </c>
      <c r="H560" s="2" t="s">
        <v>2066</v>
      </c>
      <c r="I560" s="2" t="s">
        <v>294</v>
      </c>
      <c r="J560" s="3">
        <v>44301</v>
      </c>
      <c r="K560" s="2">
        <v>86</v>
      </c>
      <c r="L560" s="2" t="s">
        <v>54</v>
      </c>
    </row>
    <row r="561" spans="1:12" x14ac:dyDescent="0.3">
      <c r="A561" s="2">
        <v>550</v>
      </c>
      <c r="B561" s="2" t="s">
        <v>2067</v>
      </c>
      <c r="C561" s="2" t="s">
        <v>715</v>
      </c>
      <c r="D561" s="2" t="s">
        <v>15</v>
      </c>
      <c r="E561" s="2" t="s">
        <v>16</v>
      </c>
      <c r="F561" s="2">
        <v>60</v>
      </c>
      <c r="G561" s="2" t="s">
        <v>2068</v>
      </c>
      <c r="H561" s="2" t="s">
        <v>2069</v>
      </c>
      <c r="I561" s="2" t="s">
        <v>1035</v>
      </c>
      <c r="J561" s="3">
        <v>44850</v>
      </c>
      <c r="K561" s="2">
        <v>37</v>
      </c>
      <c r="L561" s="2" t="s">
        <v>80</v>
      </c>
    </row>
    <row r="562" spans="1:12" x14ac:dyDescent="0.3">
      <c r="A562" s="2">
        <v>551</v>
      </c>
      <c r="B562" s="2" t="s">
        <v>2070</v>
      </c>
      <c r="C562" s="2" t="s">
        <v>2071</v>
      </c>
      <c r="D562" s="2" t="s">
        <v>51</v>
      </c>
      <c r="E562" s="2" t="s">
        <v>16</v>
      </c>
      <c r="F562" s="2">
        <v>60</v>
      </c>
      <c r="G562" s="2" t="s">
        <v>2068</v>
      </c>
      <c r="H562" s="2" t="s">
        <v>2072</v>
      </c>
      <c r="I562" s="2" t="s">
        <v>32</v>
      </c>
      <c r="J562" s="3">
        <v>44085</v>
      </c>
      <c r="K562" s="2">
        <v>63</v>
      </c>
      <c r="L562" s="2" t="s">
        <v>101</v>
      </c>
    </row>
    <row r="563" spans="1:12" x14ac:dyDescent="0.3">
      <c r="A563" s="2">
        <v>552</v>
      </c>
      <c r="B563" s="2" t="s">
        <v>2073</v>
      </c>
      <c r="C563" s="2" t="s">
        <v>2074</v>
      </c>
      <c r="D563" s="2" t="s">
        <v>28</v>
      </c>
      <c r="E563" s="2" t="s">
        <v>29</v>
      </c>
      <c r="F563" s="2">
        <v>30</v>
      </c>
      <c r="G563" s="2" t="s">
        <v>2075</v>
      </c>
      <c r="H563" s="2" t="s">
        <v>2076</v>
      </c>
      <c r="I563" s="2" t="s">
        <v>2077</v>
      </c>
      <c r="J563" s="3">
        <v>44521</v>
      </c>
      <c r="K563" s="2">
        <v>43</v>
      </c>
      <c r="L563" s="2" t="s">
        <v>70</v>
      </c>
    </row>
    <row r="564" spans="1:12" x14ac:dyDescent="0.3">
      <c r="A564" s="2">
        <v>553</v>
      </c>
      <c r="B564" s="2" t="s">
        <v>2078</v>
      </c>
      <c r="C564" s="2" t="s">
        <v>1656</v>
      </c>
      <c r="D564" s="2" t="s">
        <v>28</v>
      </c>
      <c r="E564" s="2" t="s">
        <v>29</v>
      </c>
      <c r="F564" s="2">
        <v>60</v>
      </c>
      <c r="G564" s="2" t="s">
        <v>2079</v>
      </c>
      <c r="H564" s="2" t="s">
        <v>2080</v>
      </c>
      <c r="I564" s="2" t="s">
        <v>124</v>
      </c>
      <c r="J564" s="3">
        <v>44162</v>
      </c>
      <c r="K564" s="2">
        <v>57</v>
      </c>
      <c r="L564" s="2" t="s">
        <v>33</v>
      </c>
    </row>
    <row r="565" spans="1:12" x14ac:dyDescent="0.3">
      <c r="A565" s="2">
        <v>554</v>
      </c>
      <c r="B565" s="2" t="s">
        <v>2081</v>
      </c>
      <c r="C565" s="2" t="s">
        <v>2082</v>
      </c>
      <c r="D565" s="2" t="s">
        <v>15</v>
      </c>
      <c r="E565" s="2" t="s">
        <v>16</v>
      </c>
      <c r="F565" s="2">
        <v>90</v>
      </c>
      <c r="G565" s="2" t="s">
        <v>2083</v>
      </c>
      <c r="H565" s="2" t="s">
        <v>2084</v>
      </c>
      <c r="I565" s="2" t="s">
        <v>294</v>
      </c>
      <c r="J565" s="3">
        <v>44621</v>
      </c>
      <c r="K565" s="2">
        <v>25</v>
      </c>
      <c r="L565" s="2" t="s">
        <v>33</v>
      </c>
    </row>
    <row r="566" spans="1:12" x14ac:dyDescent="0.3">
      <c r="A566" s="2">
        <v>555</v>
      </c>
      <c r="B566" s="2" t="s">
        <v>1147</v>
      </c>
      <c r="C566" s="2" t="s">
        <v>367</v>
      </c>
      <c r="D566" s="2" t="s">
        <v>28</v>
      </c>
      <c r="E566" s="2" t="s">
        <v>29</v>
      </c>
      <c r="F566" s="2">
        <v>90</v>
      </c>
      <c r="G566" s="2" t="s">
        <v>2085</v>
      </c>
      <c r="H566" s="2" t="s">
        <v>405</v>
      </c>
      <c r="I566" s="2" t="s">
        <v>32</v>
      </c>
      <c r="J566" s="3">
        <v>44815</v>
      </c>
      <c r="K566" s="2">
        <v>59</v>
      </c>
      <c r="L566" s="2" t="s">
        <v>39</v>
      </c>
    </row>
    <row r="567" spans="1:12" x14ac:dyDescent="0.3">
      <c r="A567" s="2">
        <v>556</v>
      </c>
      <c r="B567" s="2" t="s">
        <v>2086</v>
      </c>
      <c r="C567" s="2" t="s">
        <v>1554</v>
      </c>
      <c r="D567" s="2" t="s">
        <v>28</v>
      </c>
      <c r="E567" s="2" t="s">
        <v>29</v>
      </c>
      <c r="F567" s="2">
        <v>90</v>
      </c>
      <c r="G567" s="2" t="s">
        <v>2087</v>
      </c>
      <c r="H567" s="2" t="s">
        <v>579</v>
      </c>
      <c r="I567" s="2" t="s">
        <v>32</v>
      </c>
      <c r="J567" s="3">
        <v>44559</v>
      </c>
      <c r="K567" s="2">
        <v>65</v>
      </c>
      <c r="L567" s="2" t="s">
        <v>159</v>
      </c>
    </row>
    <row r="568" spans="1:12" x14ac:dyDescent="0.3">
      <c r="A568" s="2">
        <v>557</v>
      </c>
      <c r="B568" s="2" t="s">
        <v>2088</v>
      </c>
      <c r="C568" s="2" t="s">
        <v>2089</v>
      </c>
      <c r="D568" s="2" t="s">
        <v>28</v>
      </c>
      <c r="E568" s="2" t="s">
        <v>29</v>
      </c>
      <c r="F568" s="2">
        <v>60</v>
      </c>
      <c r="G568" s="2" t="s">
        <v>2090</v>
      </c>
      <c r="H568" s="2" t="s">
        <v>63</v>
      </c>
      <c r="I568" s="2" t="s">
        <v>32</v>
      </c>
      <c r="J568" s="3">
        <v>44104</v>
      </c>
      <c r="K568" s="2">
        <v>84</v>
      </c>
      <c r="L568" s="2" t="s">
        <v>159</v>
      </c>
    </row>
    <row r="569" spans="1:12" x14ac:dyDescent="0.3">
      <c r="A569" s="2">
        <v>558</v>
      </c>
      <c r="B569" s="2" t="s">
        <v>1296</v>
      </c>
      <c r="C569" s="2" t="s">
        <v>2091</v>
      </c>
      <c r="D569" s="2" t="s">
        <v>28</v>
      </c>
      <c r="E569" s="2" t="s">
        <v>29</v>
      </c>
      <c r="F569" s="2">
        <v>90</v>
      </c>
      <c r="G569" s="2" t="s">
        <v>2092</v>
      </c>
      <c r="H569" s="2" t="s">
        <v>2093</v>
      </c>
      <c r="I569" s="2" t="s">
        <v>32</v>
      </c>
      <c r="J569" s="3">
        <v>44150</v>
      </c>
      <c r="K569" s="2">
        <v>32</v>
      </c>
      <c r="L569" s="2" t="s">
        <v>101</v>
      </c>
    </row>
    <row r="570" spans="1:12" x14ac:dyDescent="0.3">
      <c r="A570" s="2">
        <v>559</v>
      </c>
      <c r="B570" s="2" t="s">
        <v>2094</v>
      </c>
      <c r="C570" s="2" t="s">
        <v>2095</v>
      </c>
      <c r="D570" s="2" t="s">
        <v>51</v>
      </c>
      <c r="E570" s="2" t="s">
        <v>16</v>
      </c>
      <c r="F570" s="2">
        <v>30</v>
      </c>
      <c r="G570" s="2" t="s">
        <v>2096</v>
      </c>
      <c r="H570" s="2" t="s">
        <v>2097</v>
      </c>
      <c r="I570" s="2" t="s">
        <v>178</v>
      </c>
      <c r="J570" s="3">
        <v>44414</v>
      </c>
      <c r="K570" s="2">
        <v>16</v>
      </c>
      <c r="L570" s="2" t="s">
        <v>33</v>
      </c>
    </row>
    <row r="571" spans="1:12" x14ac:dyDescent="0.3">
      <c r="A571" s="2">
        <v>560</v>
      </c>
      <c r="B571" s="2" t="s">
        <v>2098</v>
      </c>
      <c r="C571" s="2" t="s">
        <v>629</v>
      </c>
      <c r="D571" s="2" t="s">
        <v>28</v>
      </c>
      <c r="E571" s="2" t="s">
        <v>29</v>
      </c>
      <c r="F571" s="2">
        <v>90</v>
      </c>
      <c r="G571" s="2" t="s">
        <v>2099</v>
      </c>
      <c r="H571" s="2" t="s">
        <v>2100</v>
      </c>
      <c r="I571" s="2" t="s">
        <v>819</v>
      </c>
      <c r="J571" s="3">
        <v>44524</v>
      </c>
      <c r="K571" s="2">
        <v>33</v>
      </c>
      <c r="L571" s="2" t="s">
        <v>54</v>
      </c>
    </row>
    <row r="572" spans="1:12" x14ac:dyDescent="0.3">
      <c r="A572" s="2">
        <v>561</v>
      </c>
      <c r="B572" s="2" t="s">
        <v>2101</v>
      </c>
      <c r="C572" s="2" t="s">
        <v>705</v>
      </c>
      <c r="D572" s="2" t="s">
        <v>28</v>
      </c>
      <c r="E572" s="2" t="s">
        <v>29</v>
      </c>
      <c r="F572" s="2">
        <v>90</v>
      </c>
      <c r="G572" s="2" t="s">
        <v>2102</v>
      </c>
      <c r="H572" s="2" t="s">
        <v>498</v>
      </c>
      <c r="I572" s="2" t="s">
        <v>32</v>
      </c>
      <c r="J572" s="3">
        <v>44795</v>
      </c>
      <c r="K572" s="2">
        <v>44</v>
      </c>
      <c r="L572" s="2" t="s">
        <v>101</v>
      </c>
    </row>
    <row r="573" spans="1:12" x14ac:dyDescent="0.3">
      <c r="A573" s="2">
        <v>562</v>
      </c>
      <c r="B573" s="2" t="s">
        <v>2103</v>
      </c>
      <c r="C573" s="2" t="s">
        <v>589</v>
      </c>
      <c r="D573" s="2" t="s">
        <v>51</v>
      </c>
      <c r="E573" s="2" t="s">
        <v>16</v>
      </c>
      <c r="F573" s="2">
        <v>60</v>
      </c>
      <c r="G573" s="2" t="s">
        <v>2104</v>
      </c>
      <c r="H573" s="2" t="s">
        <v>2105</v>
      </c>
      <c r="I573" s="2" t="s">
        <v>110</v>
      </c>
      <c r="J573" s="3">
        <v>44320</v>
      </c>
      <c r="K573" s="2">
        <v>88</v>
      </c>
      <c r="L573" s="2" t="s">
        <v>159</v>
      </c>
    </row>
    <row r="574" spans="1:12" x14ac:dyDescent="0.3">
      <c r="A574" s="2">
        <v>563</v>
      </c>
      <c r="B574" s="2" t="s">
        <v>2106</v>
      </c>
      <c r="C574" s="2" t="s">
        <v>2107</v>
      </c>
      <c r="D574" s="2" t="s">
        <v>28</v>
      </c>
      <c r="E574" s="2" t="s">
        <v>29</v>
      </c>
      <c r="F574" s="2">
        <v>60</v>
      </c>
      <c r="G574" s="2" t="s">
        <v>2108</v>
      </c>
      <c r="H574" s="2" t="s">
        <v>2109</v>
      </c>
      <c r="I574" s="2" t="s">
        <v>32</v>
      </c>
      <c r="J574" s="3">
        <v>44674</v>
      </c>
      <c r="K574" s="2">
        <v>70</v>
      </c>
      <c r="L574" s="2" t="s">
        <v>101</v>
      </c>
    </row>
    <row r="575" spans="1:12" x14ac:dyDescent="0.3">
      <c r="A575" s="2">
        <v>564</v>
      </c>
      <c r="B575" s="2" t="s">
        <v>2110</v>
      </c>
      <c r="C575" s="2" t="s">
        <v>1703</v>
      </c>
      <c r="D575" s="2" t="s">
        <v>28</v>
      </c>
      <c r="E575" s="2" t="s">
        <v>29</v>
      </c>
      <c r="F575" s="2">
        <v>60</v>
      </c>
      <c r="G575" s="2" t="s">
        <v>2111</v>
      </c>
      <c r="H575" s="2" t="s">
        <v>48</v>
      </c>
      <c r="I575" s="2" t="s">
        <v>25</v>
      </c>
      <c r="J575" s="3">
        <v>44785</v>
      </c>
      <c r="K575" s="2">
        <v>42</v>
      </c>
      <c r="L575" s="2" t="s">
        <v>33</v>
      </c>
    </row>
    <row r="576" spans="1:12" x14ac:dyDescent="0.3">
      <c r="A576" s="2">
        <v>565</v>
      </c>
      <c r="B576" s="2" t="s">
        <v>2112</v>
      </c>
      <c r="C576" s="2" t="s">
        <v>2113</v>
      </c>
      <c r="D576" s="2" t="s">
        <v>51</v>
      </c>
      <c r="E576" s="2" t="s">
        <v>16</v>
      </c>
      <c r="F576" s="2">
        <v>90</v>
      </c>
      <c r="G576" s="2" t="s">
        <v>2114</v>
      </c>
      <c r="H576" s="2" t="s">
        <v>105</v>
      </c>
      <c r="I576" s="2" t="s">
        <v>32</v>
      </c>
      <c r="J576" s="3">
        <v>44894</v>
      </c>
      <c r="K576" s="2">
        <v>100</v>
      </c>
      <c r="L576" s="2" t="s">
        <v>54</v>
      </c>
    </row>
    <row r="577" spans="1:12" x14ac:dyDescent="0.3">
      <c r="A577" s="2">
        <v>566</v>
      </c>
      <c r="B577" s="2" t="s">
        <v>2115</v>
      </c>
      <c r="C577" s="2" t="s">
        <v>1596</v>
      </c>
      <c r="D577" s="2" t="s">
        <v>117</v>
      </c>
      <c r="E577" s="2" t="s">
        <v>29</v>
      </c>
      <c r="F577" s="2">
        <v>90</v>
      </c>
      <c r="G577" s="2" t="s">
        <v>2116</v>
      </c>
      <c r="H577" s="2" t="s">
        <v>2117</v>
      </c>
      <c r="I577" s="2" t="s">
        <v>886</v>
      </c>
      <c r="J577" s="3">
        <v>43921</v>
      </c>
      <c r="K577" s="2">
        <v>65</v>
      </c>
      <c r="L577" s="2" t="s">
        <v>80</v>
      </c>
    </row>
    <row r="578" spans="1:12" x14ac:dyDescent="0.3">
      <c r="A578" s="2">
        <v>567</v>
      </c>
      <c r="B578" s="2" t="s">
        <v>2118</v>
      </c>
      <c r="C578" s="2" t="s">
        <v>2119</v>
      </c>
      <c r="D578" s="2" t="s">
        <v>28</v>
      </c>
      <c r="E578" s="2" t="s">
        <v>29</v>
      </c>
      <c r="F578" s="2">
        <v>30</v>
      </c>
      <c r="G578" s="2" t="s">
        <v>2120</v>
      </c>
      <c r="H578" s="2" t="s">
        <v>2121</v>
      </c>
      <c r="I578" s="2" t="s">
        <v>38</v>
      </c>
      <c r="J578" s="3">
        <v>44427</v>
      </c>
      <c r="K578" s="2">
        <v>7</v>
      </c>
      <c r="L578" s="2" t="s">
        <v>45</v>
      </c>
    </row>
    <row r="579" spans="1:12" x14ac:dyDescent="0.3">
      <c r="A579" s="2">
        <v>568</v>
      </c>
      <c r="B579" s="2" t="s">
        <v>1423</v>
      </c>
      <c r="C579" s="2" t="s">
        <v>139</v>
      </c>
      <c r="D579" s="2" t="s">
        <v>51</v>
      </c>
      <c r="E579" s="2" t="s">
        <v>16</v>
      </c>
      <c r="F579" s="2">
        <v>90</v>
      </c>
      <c r="G579" s="2" t="s">
        <v>2122</v>
      </c>
      <c r="H579" s="2" t="s">
        <v>2123</v>
      </c>
      <c r="I579" s="2" t="s">
        <v>187</v>
      </c>
      <c r="J579" s="3">
        <v>44463</v>
      </c>
      <c r="K579" s="2">
        <v>46</v>
      </c>
      <c r="L579" s="2" t="s">
        <v>101</v>
      </c>
    </row>
    <row r="580" spans="1:12" x14ac:dyDescent="0.3">
      <c r="A580" s="2">
        <v>569</v>
      </c>
      <c r="B580" s="2" t="s">
        <v>2124</v>
      </c>
      <c r="C580" s="2" t="s">
        <v>2125</v>
      </c>
      <c r="D580" s="2" t="s">
        <v>15</v>
      </c>
      <c r="E580" s="2" t="s">
        <v>16</v>
      </c>
      <c r="F580" s="2">
        <v>30</v>
      </c>
      <c r="G580" s="2" t="s">
        <v>10420</v>
      </c>
      <c r="H580" s="2" t="s">
        <v>2127</v>
      </c>
      <c r="I580" s="2" t="s">
        <v>32</v>
      </c>
      <c r="J580" s="3">
        <v>44853</v>
      </c>
      <c r="K580" s="2">
        <v>86</v>
      </c>
      <c r="L580" s="2" t="s">
        <v>64</v>
      </c>
    </row>
    <row r="581" spans="1:12" x14ac:dyDescent="0.3">
      <c r="A581" s="2">
        <v>570</v>
      </c>
      <c r="B581" s="2" t="s">
        <v>2128</v>
      </c>
      <c r="C581" s="2" t="s">
        <v>1496</v>
      </c>
      <c r="D581" s="2" t="s">
        <v>28</v>
      </c>
      <c r="E581" s="2" t="s">
        <v>29</v>
      </c>
      <c r="F581" s="2">
        <v>90</v>
      </c>
      <c r="G581" s="2" t="s">
        <v>2129</v>
      </c>
      <c r="H581" s="2" t="s">
        <v>2130</v>
      </c>
      <c r="I581" s="2" t="s">
        <v>32</v>
      </c>
      <c r="J581" s="3">
        <v>44166</v>
      </c>
      <c r="K581" s="2">
        <v>45</v>
      </c>
      <c r="L581" s="2" t="s">
        <v>39</v>
      </c>
    </row>
    <row r="582" spans="1:12" x14ac:dyDescent="0.3">
      <c r="A582" s="2">
        <v>571</v>
      </c>
      <c r="B582" s="2" t="s">
        <v>2131</v>
      </c>
      <c r="C582" s="2" t="s">
        <v>2132</v>
      </c>
      <c r="D582" s="2" t="s">
        <v>15</v>
      </c>
      <c r="E582" s="2" t="s">
        <v>16</v>
      </c>
      <c r="F582" s="2">
        <v>30</v>
      </c>
      <c r="G582" s="2" t="s">
        <v>2129</v>
      </c>
      <c r="H582" s="2" t="s">
        <v>2133</v>
      </c>
      <c r="I582" s="2" t="s">
        <v>32</v>
      </c>
      <c r="J582" s="3">
        <v>44762</v>
      </c>
      <c r="K582" s="2">
        <v>15</v>
      </c>
      <c r="L582" s="2" t="s">
        <v>64</v>
      </c>
    </row>
    <row r="583" spans="1:12" x14ac:dyDescent="0.3">
      <c r="A583" s="2">
        <v>572</v>
      </c>
      <c r="B583" s="2" t="s">
        <v>2134</v>
      </c>
      <c r="C583" s="2" t="s">
        <v>2135</v>
      </c>
      <c r="D583" s="2" t="s">
        <v>15</v>
      </c>
      <c r="E583" s="2" t="s">
        <v>16</v>
      </c>
      <c r="F583" s="2">
        <v>30</v>
      </c>
      <c r="G583" s="2" t="s">
        <v>2136</v>
      </c>
      <c r="H583" s="2" t="s">
        <v>2137</v>
      </c>
      <c r="I583" s="2" t="s">
        <v>187</v>
      </c>
      <c r="J583" s="3">
        <v>44860</v>
      </c>
      <c r="K583" s="2">
        <v>103</v>
      </c>
      <c r="L583" s="2" t="s">
        <v>20</v>
      </c>
    </row>
    <row r="584" spans="1:12" x14ac:dyDescent="0.3">
      <c r="A584" s="2">
        <v>573</v>
      </c>
      <c r="B584" s="2" t="s">
        <v>2138</v>
      </c>
      <c r="C584" s="2" t="s">
        <v>2139</v>
      </c>
      <c r="D584" s="2" t="s">
        <v>28</v>
      </c>
      <c r="E584" s="2" t="s">
        <v>29</v>
      </c>
      <c r="F584" s="2">
        <v>60</v>
      </c>
      <c r="G584" s="2" t="s">
        <v>2140</v>
      </c>
      <c r="H584" s="2" t="s">
        <v>2141</v>
      </c>
      <c r="I584" s="2" t="s">
        <v>1078</v>
      </c>
      <c r="J584" s="3">
        <v>43989</v>
      </c>
      <c r="K584" s="2">
        <v>12</v>
      </c>
      <c r="L584" s="2" t="s">
        <v>80</v>
      </c>
    </row>
    <row r="585" spans="1:12" x14ac:dyDescent="0.3">
      <c r="A585" s="2">
        <v>574</v>
      </c>
      <c r="B585" s="2" t="s">
        <v>2142</v>
      </c>
      <c r="C585" s="2" t="s">
        <v>2143</v>
      </c>
      <c r="D585" s="2" t="s">
        <v>28</v>
      </c>
      <c r="E585" s="2" t="s">
        <v>29</v>
      </c>
      <c r="F585" s="2">
        <v>30</v>
      </c>
      <c r="G585" s="2" t="s">
        <v>2144</v>
      </c>
      <c r="H585" s="2" t="s">
        <v>1077</v>
      </c>
      <c r="I585" s="2" t="s">
        <v>1078</v>
      </c>
      <c r="J585" s="3">
        <v>43953</v>
      </c>
      <c r="K585" s="2">
        <v>56</v>
      </c>
      <c r="L585" s="2" t="s">
        <v>101</v>
      </c>
    </row>
    <row r="586" spans="1:12" x14ac:dyDescent="0.3">
      <c r="A586" s="2">
        <v>575</v>
      </c>
      <c r="B586" s="2" t="s">
        <v>755</v>
      </c>
      <c r="C586" s="2" t="s">
        <v>2145</v>
      </c>
      <c r="D586" s="2" t="s">
        <v>28</v>
      </c>
      <c r="E586" s="2" t="s">
        <v>29</v>
      </c>
      <c r="F586" s="2">
        <v>30</v>
      </c>
      <c r="G586" s="2" t="s">
        <v>2146</v>
      </c>
      <c r="H586" s="2" t="s">
        <v>1512</v>
      </c>
      <c r="I586" s="2" t="s">
        <v>25</v>
      </c>
      <c r="J586" s="3">
        <v>44726</v>
      </c>
      <c r="K586" s="2">
        <v>31</v>
      </c>
      <c r="L586" s="2" t="s">
        <v>70</v>
      </c>
    </row>
    <row r="587" spans="1:12" x14ac:dyDescent="0.3">
      <c r="A587" s="2">
        <v>576</v>
      </c>
      <c r="B587" s="2" t="s">
        <v>2147</v>
      </c>
      <c r="C587" s="2" t="s">
        <v>2148</v>
      </c>
      <c r="D587" s="2" t="s">
        <v>28</v>
      </c>
      <c r="E587" s="2" t="s">
        <v>29</v>
      </c>
      <c r="F587" s="2">
        <v>30</v>
      </c>
      <c r="G587" s="2" t="s">
        <v>2149</v>
      </c>
      <c r="H587" s="2" t="s">
        <v>1855</v>
      </c>
      <c r="I587" s="2" t="s">
        <v>25</v>
      </c>
      <c r="J587" s="3">
        <v>44620</v>
      </c>
      <c r="K587" s="2">
        <v>58</v>
      </c>
      <c r="L587" s="2" t="s">
        <v>45</v>
      </c>
    </row>
    <row r="588" spans="1:12" x14ac:dyDescent="0.3">
      <c r="A588" s="2">
        <v>577</v>
      </c>
      <c r="B588" s="2" t="s">
        <v>2150</v>
      </c>
      <c r="C588" s="2" t="s">
        <v>1471</v>
      </c>
      <c r="D588" s="2" t="s">
        <v>117</v>
      </c>
      <c r="E588" s="2" t="s">
        <v>16</v>
      </c>
      <c r="F588" s="2">
        <v>30</v>
      </c>
      <c r="G588" s="2" t="s">
        <v>2151</v>
      </c>
      <c r="H588" s="2" t="s">
        <v>2152</v>
      </c>
      <c r="I588" s="2" t="s">
        <v>32</v>
      </c>
      <c r="J588" s="3">
        <v>43936</v>
      </c>
      <c r="K588" s="2">
        <v>62</v>
      </c>
      <c r="L588" s="2" t="s">
        <v>159</v>
      </c>
    </row>
    <row r="589" spans="1:12" x14ac:dyDescent="0.3">
      <c r="A589" s="2">
        <v>578</v>
      </c>
      <c r="B589" s="2" t="s">
        <v>2153</v>
      </c>
      <c r="C589" s="2" t="s">
        <v>2154</v>
      </c>
      <c r="D589" s="2" t="s">
        <v>28</v>
      </c>
      <c r="E589" s="2" t="s">
        <v>29</v>
      </c>
      <c r="F589" s="2">
        <v>60</v>
      </c>
      <c r="G589" s="2" t="s">
        <v>2155</v>
      </c>
      <c r="H589" s="2" t="s">
        <v>2156</v>
      </c>
      <c r="I589" s="2" t="s">
        <v>32</v>
      </c>
      <c r="J589" s="3">
        <v>44873</v>
      </c>
      <c r="K589" s="2">
        <v>67</v>
      </c>
      <c r="L589" s="2" t="s">
        <v>101</v>
      </c>
    </row>
    <row r="590" spans="1:12" x14ac:dyDescent="0.3">
      <c r="A590" s="2">
        <v>579</v>
      </c>
      <c r="B590" s="2" t="s">
        <v>2157</v>
      </c>
      <c r="C590" s="2" t="s">
        <v>2158</v>
      </c>
      <c r="D590" s="2" t="s">
        <v>15</v>
      </c>
      <c r="E590" s="2" t="s">
        <v>16</v>
      </c>
      <c r="F590" s="2">
        <v>90</v>
      </c>
      <c r="G590" s="2" t="s">
        <v>2159</v>
      </c>
      <c r="H590" s="2" t="s">
        <v>912</v>
      </c>
      <c r="I590" s="2" t="s">
        <v>913</v>
      </c>
      <c r="J590" s="3">
        <v>44242</v>
      </c>
      <c r="K590" s="2">
        <v>87</v>
      </c>
      <c r="L590" s="2" t="s">
        <v>70</v>
      </c>
    </row>
    <row r="591" spans="1:12" x14ac:dyDescent="0.3">
      <c r="A591" s="2">
        <v>580</v>
      </c>
      <c r="B591" s="2" t="s">
        <v>2160</v>
      </c>
      <c r="C591" s="2" t="s">
        <v>2161</v>
      </c>
      <c r="D591" s="2" t="s">
        <v>51</v>
      </c>
      <c r="E591" s="2" t="s">
        <v>16</v>
      </c>
      <c r="F591" s="2">
        <v>30</v>
      </c>
      <c r="G591" s="2" t="s">
        <v>2162</v>
      </c>
      <c r="H591" s="2" t="s">
        <v>2163</v>
      </c>
      <c r="I591" s="2" t="s">
        <v>1824</v>
      </c>
      <c r="J591" s="3">
        <v>44223</v>
      </c>
      <c r="K591" s="2">
        <v>24</v>
      </c>
      <c r="L591" s="2" t="s">
        <v>64</v>
      </c>
    </row>
    <row r="592" spans="1:12" x14ac:dyDescent="0.3">
      <c r="A592" s="2">
        <v>581</v>
      </c>
      <c r="B592" s="2" t="s">
        <v>2164</v>
      </c>
      <c r="C592" s="2" t="s">
        <v>1913</v>
      </c>
      <c r="D592" s="2" t="s">
        <v>92</v>
      </c>
      <c r="E592" s="2" t="s">
        <v>16</v>
      </c>
      <c r="F592" s="2">
        <v>30</v>
      </c>
      <c r="G592" s="2" t="s">
        <v>2165</v>
      </c>
      <c r="H592" s="2" t="s">
        <v>1969</v>
      </c>
      <c r="I592" s="2" t="s">
        <v>32</v>
      </c>
      <c r="J592" s="3">
        <v>44821</v>
      </c>
      <c r="K592" s="2">
        <v>77</v>
      </c>
      <c r="L592" s="2" t="s">
        <v>54</v>
      </c>
    </row>
    <row r="593" spans="1:12" x14ac:dyDescent="0.3">
      <c r="A593" s="2">
        <v>582</v>
      </c>
      <c r="B593" s="2" t="s">
        <v>2166</v>
      </c>
      <c r="C593" s="2" t="s">
        <v>2167</v>
      </c>
      <c r="D593" s="2" t="s">
        <v>28</v>
      </c>
      <c r="E593" s="2" t="s">
        <v>29</v>
      </c>
      <c r="F593" s="2">
        <v>60</v>
      </c>
      <c r="G593" s="2" t="s">
        <v>2168</v>
      </c>
      <c r="H593" s="2" t="s">
        <v>2169</v>
      </c>
      <c r="I593" s="2" t="s">
        <v>32</v>
      </c>
      <c r="J593" s="3">
        <v>44805</v>
      </c>
      <c r="K593" s="2">
        <v>65</v>
      </c>
      <c r="L593" s="2" t="s">
        <v>33</v>
      </c>
    </row>
    <row r="594" spans="1:12" x14ac:dyDescent="0.3">
      <c r="A594" s="2">
        <v>583</v>
      </c>
      <c r="B594" s="2" t="s">
        <v>2170</v>
      </c>
      <c r="C594" s="2" t="s">
        <v>653</v>
      </c>
      <c r="D594" s="2" t="s">
        <v>15</v>
      </c>
      <c r="E594" s="2" t="s">
        <v>16</v>
      </c>
      <c r="F594" s="2">
        <v>90</v>
      </c>
      <c r="G594" s="2" t="s">
        <v>2171</v>
      </c>
      <c r="H594" s="2" t="s">
        <v>2172</v>
      </c>
      <c r="I594" s="2" t="s">
        <v>32</v>
      </c>
      <c r="J594" s="3">
        <v>44304</v>
      </c>
      <c r="K594" s="2">
        <v>6</v>
      </c>
      <c r="L594" s="2" t="s">
        <v>54</v>
      </c>
    </row>
    <row r="595" spans="1:12" x14ac:dyDescent="0.3">
      <c r="A595" s="2">
        <v>584</v>
      </c>
      <c r="B595" s="2" t="s">
        <v>2173</v>
      </c>
      <c r="C595" s="2" t="s">
        <v>2174</v>
      </c>
      <c r="D595" s="2" t="s">
        <v>51</v>
      </c>
      <c r="E595" s="2" t="s">
        <v>16</v>
      </c>
      <c r="F595" s="2">
        <v>90</v>
      </c>
      <c r="G595" s="2" t="s">
        <v>2175</v>
      </c>
      <c r="H595" s="2" t="s">
        <v>1768</v>
      </c>
      <c r="I595" s="2" t="s">
        <v>32</v>
      </c>
      <c r="J595" s="3">
        <v>43884</v>
      </c>
      <c r="K595" s="2">
        <v>67</v>
      </c>
      <c r="L595" s="2" t="s">
        <v>54</v>
      </c>
    </row>
    <row r="596" spans="1:12" x14ac:dyDescent="0.3">
      <c r="A596" s="2">
        <v>585</v>
      </c>
      <c r="B596" s="2" t="s">
        <v>2176</v>
      </c>
      <c r="C596" s="2" t="s">
        <v>2177</v>
      </c>
      <c r="D596" s="2" t="s">
        <v>15</v>
      </c>
      <c r="E596" s="2" t="s">
        <v>16</v>
      </c>
      <c r="F596" s="2">
        <v>60</v>
      </c>
      <c r="G596" s="2" t="s">
        <v>2178</v>
      </c>
      <c r="H596" s="2" t="s">
        <v>2179</v>
      </c>
      <c r="I596" s="2" t="s">
        <v>294</v>
      </c>
      <c r="J596" s="3">
        <v>44045</v>
      </c>
      <c r="K596" s="2">
        <v>59</v>
      </c>
      <c r="L596" s="2" t="s">
        <v>33</v>
      </c>
    </row>
    <row r="597" spans="1:12" x14ac:dyDescent="0.3">
      <c r="A597" s="2">
        <v>586</v>
      </c>
      <c r="B597" s="2" t="s">
        <v>2180</v>
      </c>
      <c r="C597" s="2" t="s">
        <v>2181</v>
      </c>
      <c r="D597" s="2" t="s">
        <v>51</v>
      </c>
      <c r="E597" s="2" t="s">
        <v>16</v>
      </c>
      <c r="F597" s="2">
        <v>60</v>
      </c>
      <c r="G597" s="2" t="s">
        <v>2182</v>
      </c>
      <c r="H597" s="2" t="s">
        <v>2183</v>
      </c>
      <c r="I597" s="2" t="s">
        <v>124</v>
      </c>
      <c r="J597" s="3">
        <v>44234</v>
      </c>
      <c r="K597" s="2">
        <v>35</v>
      </c>
      <c r="L597" s="2" t="s">
        <v>64</v>
      </c>
    </row>
    <row r="598" spans="1:12" x14ac:dyDescent="0.3">
      <c r="A598" s="2">
        <v>587</v>
      </c>
      <c r="B598" s="2" t="s">
        <v>2184</v>
      </c>
      <c r="C598" s="2" t="s">
        <v>812</v>
      </c>
      <c r="D598" s="2" t="s">
        <v>28</v>
      </c>
      <c r="E598" s="2" t="s">
        <v>29</v>
      </c>
      <c r="F598" s="2">
        <v>90</v>
      </c>
      <c r="G598" s="2" t="s">
        <v>2185</v>
      </c>
      <c r="H598" s="2" t="s">
        <v>2186</v>
      </c>
      <c r="I598" s="2" t="s">
        <v>187</v>
      </c>
      <c r="J598" s="3">
        <v>44176</v>
      </c>
      <c r="K598" s="2">
        <v>56</v>
      </c>
      <c r="L598" s="2" t="s">
        <v>20</v>
      </c>
    </row>
    <row r="599" spans="1:12" x14ac:dyDescent="0.3">
      <c r="A599" s="2">
        <v>588</v>
      </c>
      <c r="B599" s="2" t="s">
        <v>2187</v>
      </c>
      <c r="C599" s="2" t="s">
        <v>2089</v>
      </c>
      <c r="D599" s="2" t="s">
        <v>51</v>
      </c>
      <c r="E599" s="2" t="s">
        <v>16</v>
      </c>
      <c r="F599" s="2">
        <v>60</v>
      </c>
      <c r="G599" s="2" t="s">
        <v>2185</v>
      </c>
      <c r="H599" s="2" t="s">
        <v>690</v>
      </c>
      <c r="I599" s="2" t="s">
        <v>32</v>
      </c>
      <c r="J599" s="3">
        <v>44856</v>
      </c>
      <c r="K599" s="2">
        <v>104</v>
      </c>
      <c r="L599" s="2" t="s">
        <v>39</v>
      </c>
    </row>
    <row r="600" spans="1:12" x14ac:dyDescent="0.3">
      <c r="A600" s="2">
        <v>589</v>
      </c>
      <c r="B600" s="2" t="s">
        <v>249</v>
      </c>
      <c r="C600" s="2" t="s">
        <v>2188</v>
      </c>
      <c r="D600" s="2" t="s">
        <v>51</v>
      </c>
      <c r="E600" s="2" t="s">
        <v>16</v>
      </c>
      <c r="F600" s="2">
        <v>90</v>
      </c>
      <c r="G600" s="2" t="s">
        <v>2189</v>
      </c>
      <c r="H600" s="2" t="s">
        <v>2121</v>
      </c>
      <c r="I600" s="2" t="s">
        <v>38</v>
      </c>
      <c r="J600" s="3">
        <v>44102</v>
      </c>
      <c r="K600" s="2">
        <v>51</v>
      </c>
      <c r="L600" s="2" t="s">
        <v>54</v>
      </c>
    </row>
    <row r="601" spans="1:12" x14ac:dyDescent="0.3">
      <c r="A601" s="2">
        <v>590</v>
      </c>
      <c r="B601" s="2" t="s">
        <v>1991</v>
      </c>
      <c r="C601" s="2" t="s">
        <v>655</v>
      </c>
      <c r="D601" s="2" t="s">
        <v>28</v>
      </c>
      <c r="E601" s="2" t="s">
        <v>29</v>
      </c>
      <c r="F601" s="2">
        <v>60</v>
      </c>
      <c r="G601" s="2" t="s">
        <v>2189</v>
      </c>
      <c r="H601" s="2" t="s">
        <v>2190</v>
      </c>
      <c r="I601" s="2" t="s">
        <v>32</v>
      </c>
      <c r="J601" s="3">
        <v>44185</v>
      </c>
      <c r="K601" s="2">
        <v>64</v>
      </c>
      <c r="L601" s="2" t="s">
        <v>39</v>
      </c>
    </row>
    <row r="602" spans="1:12" x14ac:dyDescent="0.3">
      <c r="A602" s="2">
        <v>591</v>
      </c>
      <c r="B602" s="2" t="s">
        <v>2191</v>
      </c>
      <c r="C602" s="2" t="s">
        <v>770</v>
      </c>
      <c r="D602" s="2" t="s">
        <v>28</v>
      </c>
      <c r="E602" s="2" t="s">
        <v>29</v>
      </c>
      <c r="F602" s="2">
        <v>30</v>
      </c>
      <c r="G602" s="2" t="s">
        <v>10469</v>
      </c>
      <c r="H602" s="2" t="s">
        <v>177</v>
      </c>
      <c r="I602" s="2" t="s">
        <v>178</v>
      </c>
      <c r="J602" s="3">
        <v>44016</v>
      </c>
      <c r="K602" s="2">
        <v>49</v>
      </c>
      <c r="L602" s="2" t="s">
        <v>159</v>
      </c>
    </row>
    <row r="603" spans="1:12" x14ac:dyDescent="0.3">
      <c r="A603" s="2">
        <v>592</v>
      </c>
      <c r="B603" s="2" t="s">
        <v>650</v>
      </c>
      <c r="C603" s="2" t="s">
        <v>1773</v>
      </c>
      <c r="D603" s="2" t="s">
        <v>51</v>
      </c>
      <c r="E603" s="2" t="s">
        <v>16</v>
      </c>
      <c r="F603" s="2">
        <v>60</v>
      </c>
      <c r="G603" s="2" t="s">
        <v>2193</v>
      </c>
      <c r="H603" s="2" t="s">
        <v>2194</v>
      </c>
      <c r="I603" s="2" t="s">
        <v>32</v>
      </c>
      <c r="J603" s="3">
        <v>43881</v>
      </c>
      <c r="K603" s="2">
        <v>53</v>
      </c>
      <c r="L603" s="2" t="s">
        <v>39</v>
      </c>
    </row>
    <row r="604" spans="1:12" x14ac:dyDescent="0.3">
      <c r="A604" s="2">
        <v>593</v>
      </c>
      <c r="B604" s="2" t="s">
        <v>85</v>
      </c>
      <c r="C604" s="2" t="s">
        <v>2195</v>
      </c>
      <c r="D604" s="2" t="s">
        <v>28</v>
      </c>
      <c r="E604" s="2" t="s">
        <v>29</v>
      </c>
      <c r="F604" s="2">
        <v>90</v>
      </c>
      <c r="G604" s="2" t="s">
        <v>2196</v>
      </c>
      <c r="H604" s="2" t="s">
        <v>2021</v>
      </c>
      <c r="I604" s="2" t="s">
        <v>2022</v>
      </c>
      <c r="J604" s="3">
        <v>44761</v>
      </c>
      <c r="K604" s="2">
        <v>100</v>
      </c>
      <c r="L604" s="2" t="s">
        <v>20</v>
      </c>
    </row>
    <row r="605" spans="1:12" x14ac:dyDescent="0.3">
      <c r="A605" s="2">
        <v>594</v>
      </c>
      <c r="B605" s="2" t="s">
        <v>2197</v>
      </c>
      <c r="C605" s="2" t="s">
        <v>2198</v>
      </c>
      <c r="D605" s="2" t="s">
        <v>28</v>
      </c>
      <c r="E605" s="2" t="s">
        <v>29</v>
      </c>
      <c r="F605" s="2">
        <v>90</v>
      </c>
      <c r="G605" s="2" t="s">
        <v>2196</v>
      </c>
      <c r="H605" s="2" t="s">
        <v>2199</v>
      </c>
      <c r="I605" s="2" t="s">
        <v>32</v>
      </c>
      <c r="J605" s="3">
        <v>43901</v>
      </c>
      <c r="K605" s="2">
        <v>57</v>
      </c>
      <c r="L605" s="2" t="s">
        <v>64</v>
      </c>
    </row>
    <row r="606" spans="1:12" x14ac:dyDescent="0.3">
      <c r="A606" s="2">
        <v>595</v>
      </c>
      <c r="B606" s="2" t="s">
        <v>2200</v>
      </c>
      <c r="C606" s="2" t="s">
        <v>457</v>
      </c>
      <c r="D606" s="2" t="s">
        <v>28</v>
      </c>
      <c r="E606" s="2" t="s">
        <v>29</v>
      </c>
      <c r="F606" s="2">
        <v>60</v>
      </c>
      <c r="G606" s="2" t="s">
        <v>2201</v>
      </c>
      <c r="H606" s="2" t="s">
        <v>545</v>
      </c>
      <c r="I606" s="2" t="s">
        <v>173</v>
      </c>
      <c r="J606" s="3">
        <v>44419</v>
      </c>
      <c r="K606" s="2">
        <v>46</v>
      </c>
      <c r="L606" s="2" t="s">
        <v>64</v>
      </c>
    </row>
    <row r="607" spans="1:12" x14ac:dyDescent="0.3">
      <c r="A607" s="2">
        <v>596</v>
      </c>
      <c r="B607" s="2" t="s">
        <v>2202</v>
      </c>
      <c r="C607" s="2" t="s">
        <v>2203</v>
      </c>
      <c r="D607" s="2" t="s">
        <v>92</v>
      </c>
      <c r="E607" s="2" t="s">
        <v>16</v>
      </c>
      <c r="F607" s="2">
        <v>30</v>
      </c>
      <c r="G607" s="2" t="s">
        <v>2204</v>
      </c>
      <c r="H607" s="2" t="s">
        <v>1583</v>
      </c>
      <c r="I607" s="2" t="s">
        <v>178</v>
      </c>
      <c r="J607" s="3">
        <v>44284</v>
      </c>
      <c r="K607" s="2">
        <v>34</v>
      </c>
      <c r="L607" s="2" t="s">
        <v>54</v>
      </c>
    </row>
    <row r="608" spans="1:12" x14ac:dyDescent="0.3">
      <c r="A608" s="2">
        <v>597</v>
      </c>
      <c r="B608" s="2" t="s">
        <v>2205</v>
      </c>
      <c r="C608" s="2" t="s">
        <v>2198</v>
      </c>
      <c r="D608" s="2" t="s">
        <v>51</v>
      </c>
      <c r="E608" s="2" t="s">
        <v>16</v>
      </c>
      <c r="F608" s="2">
        <v>30</v>
      </c>
      <c r="G608" s="2" t="s">
        <v>2204</v>
      </c>
      <c r="H608" s="2" t="s">
        <v>1318</v>
      </c>
      <c r="I608" s="2" t="s">
        <v>32</v>
      </c>
      <c r="J608" s="3">
        <v>43882</v>
      </c>
      <c r="K608" s="2">
        <v>75</v>
      </c>
      <c r="L608" s="2" t="s">
        <v>39</v>
      </c>
    </row>
    <row r="609" spans="1:12" x14ac:dyDescent="0.3">
      <c r="A609" s="2">
        <v>598</v>
      </c>
      <c r="B609" s="2" t="s">
        <v>2206</v>
      </c>
      <c r="C609" s="2" t="s">
        <v>2207</v>
      </c>
      <c r="D609" s="2" t="s">
        <v>28</v>
      </c>
      <c r="E609" s="2" t="s">
        <v>29</v>
      </c>
      <c r="F609" s="2">
        <v>30</v>
      </c>
      <c r="G609" s="2" t="s">
        <v>2208</v>
      </c>
      <c r="H609" s="2" t="s">
        <v>720</v>
      </c>
      <c r="I609" s="2" t="s">
        <v>686</v>
      </c>
      <c r="J609" s="3">
        <v>44774</v>
      </c>
      <c r="K609" s="2">
        <v>82</v>
      </c>
      <c r="L609" s="2" t="s">
        <v>80</v>
      </c>
    </row>
    <row r="610" spans="1:12" x14ac:dyDescent="0.3">
      <c r="A610" s="2">
        <v>599</v>
      </c>
      <c r="B610" s="2" t="s">
        <v>2209</v>
      </c>
      <c r="C610" s="2" t="s">
        <v>2210</v>
      </c>
      <c r="D610" s="2" t="s">
        <v>28</v>
      </c>
      <c r="E610" s="2" t="s">
        <v>29</v>
      </c>
      <c r="F610" s="2">
        <v>30</v>
      </c>
      <c r="G610" s="2" t="s">
        <v>2211</v>
      </c>
      <c r="H610" s="2" t="s">
        <v>2212</v>
      </c>
      <c r="I610" s="2" t="s">
        <v>32</v>
      </c>
      <c r="J610" s="3">
        <v>43875</v>
      </c>
      <c r="K610" s="2">
        <v>25</v>
      </c>
      <c r="L610" s="2" t="s">
        <v>33</v>
      </c>
    </row>
    <row r="611" spans="1:12" x14ac:dyDescent="0.3">
      <c r="A611" s="2">
        <v>600</v>
      </c>
      <c r="B611" s="2" t="s">
        <v>2213</v>
      </c>
      <c r="C611" s="2" t="s">
        <v>1985</v>
      </c>
      <c r="D611" s="2" t="s">
        <v>28</v>
      </c>
      <c r="E611" s="2" t="s">
        <v>29</v>
      </c>
      <c r="F611" s="2">
        <v>90</v>
      </c>
      <c r="G611" s="2" t="s">
        <v>2214</v>
      </c>
      <c r="H611" s="2" t="s">
        <v>137</v>
      </c>
      <c r="I611" s="2" t="s">
        <v>32</v>
      </c>
      <c r="J611" s="3">
        <v>44724</v>
      </c>
      <c r="K611" s="2">
        <v>6</v>
      </c>
      <c r="L611" s="2" t="s">
        <v>33</v>
      </c>
    </row>
    <row r="612" spans="1:12" x14ac:dyDescent="0.3">
      <c r="A612" s="2">
        <v>601</v>
      </c>
      <c r="B612" s="2" t="s">
        <v>496</v>
      </c>
      <c r="C612" s="2" t="s">
        <v>1950</v>
      </c>
      <c r="D612" s="2" t="s">
        <v>28</v>
      </c>
      <c r="E612" s="2" t="s">
        <v>29</v>
      </c>
      <c r="F612" s="2">
        <v>60</v>
      </c>
      <c r="G612" s="2" t="s">
        <v>2215</v>
      </c>
      <c r="H612" s="2" t="s">
        <v>1747</v>
      </c>
      <c r="I612" s="2" t="s">
        <v>294</v>
      </c>
      <c r="J612" s="3">
        <v>43875</v>
      </c>
      <c r="K612" s="2">
        <v>78</v>
      </c>
      <c r="L612" s="2" t="s">
        <v>33</v>
      </c>
    </row>
    <row r="613" spans="1:12" x14ac:dyDescent="0.3">
      <c r="A613" s="2">
        <v>602</v>
      </c>
      <c r="B613" s="2" t="s">
        <v>134</v>
      </c>
      <c r="C613" s="2" t="s">
        <v>2216</v>
      </c>
      <c r="D613" s="2" t="s">
        <v>28</v>
      </c>
      <c r="E613" s="2" t="s">
        <v>29</v>
      </c>
      <c r="F613" s="2">
        <v>60</v>
      </c>
      <c r="G613" s="2" t="s">
        <v>2217</v>
      </c>
      <c r="H613" s="2" t="s">
        <v>2218</v>
      </c>
      <c r="I613" s="2" t="s">
        <v>173</v>
      </c>
      <c r="J613" s="3">
        <v>44196</v>
      </c>
      <c r="K613" s="2">
        <v>10</v>
      </c>
      <c r="L613" s="2" t="s">
        <v>39</v>
      </c>
    </row>
    <row r="614" spans="1:12" x14ac:dyDescent="0.3">
      <c r="A614" s="2">
        <v>603</v>
      </c>
      <c r="B614" s="2" t="s">
        <v>2219</v>
      </c>
      <c r="C614" s="2" t="s">
        <v>2220</v>
      </c>
      <c r="D614" s="2" t="s">
        <v>15</v>
      </c>
      <c r="E614" s="2" t="s">
        <v>16</v>
      </c>
      <c r="F614" s="2">
        <v>90</v>
      </c>
      <c r="G614" s="2" t="s">
        <v>2221</v>
      </c>
      <c r="H614" s="2" t="s">
        <v>1325</v>
      </c>
      <c r="I614" s="2" t="s">
        <v>187</v>
      </c>
      <c r="J614" s="3">
        <v>44802</v>
      </c>
      <c r="K614" s="2">
        <v>46</v>
      </c>
      <c r="L614" s="2" t="s">
        <v>101</v>
      </c>
    </row>
    <row r="615" spans="1:12" x14ac:dyDescent="0.3">
      <c r="A615" s="2">
        <v>604</v>
      </c>
      <c r="B615" s="2" t="s">
        <v>2222</v>
      </c>
      <c r="C615" s="2" t="s">
        <v>2223</v>
      </c>
      <c r="D615" s="2" t="s">
        <v>51</v>
      </c>
      <c r="E615" s="2" t="s">
        <v>16</v>
      </c>
      <c r="F615" s="2">
        <v>90</v>
      </c>
      <c r="G615" s="2" t="s">
        <v>2224</v>
      </c>
      <c r="H615" s="2" t="s">
        <v>641</v>
      </c>
      <c r="I615" s="2" t="s">
        <v>294</v>
      </c>
      <c r="J615" s="3">
        <v>44494</v>
      </c>
      <c r="K615" s="2">
        <v>62</v>
      </c>
      <c r="L615" s="2" t="s">
        <v>33</v>
      </c>
    </row>
    <row r="616" spans="1:12" x14ac:dyDescent="0.3">
      <c r="A616" s="2">
        <v>605</v>
      </c>
      <c r="B616" s="2" t="s">
        <v>2225</v>
      </c>
      <c r="C616" s="2" t="s">
        <v>944</v>
      </c>
      <c r="D616" s="2" t="s">
        <v>15</v>
      </c>
      <c r="E616" s="2" t="s">
        <v>16</v>
      </c>
      <c r="F616" s="2">
        <v>60</v>
      </c>
      <c r="G616" s="2" t="s">
        <v>2226</v>
      </c>
      <c r="H616" s="2" t="s">
        <v>2227</v>
      </c>
      <c r="I616" s="2" t="s">
        <v>38</v>
      </c>
      <c r="J616" s="3">
        <v>44739</v>
      </c>
      <c r="K616" s="2">
        <v>16</v>
      </c>
      <c r="L616" s="2" t="s">
        <v>33</v>
      </c>
    </row>
    <row r="617" spans="1:12" x14ac:dyDescent="0.3">
      <c r="A617" s="2">
        <v>606</v>
      </c>
      <c r="B617" s="2" t="s">
        <v>1074</v>
      </c>
      <c r="C617" s="2" t="s">
        <v>2228</v>
      </c>
      <c r="D617" s="2" t="s">
        <v>15</v>
      </c>
      <c r="E617" s="2" t="s">
        <v>16</v>
      </c>
      <c r="F617" s="2">
        <v>30</v>
      </c>
      <c r="G617" s="2" t="s">
        <v>2229</v>
      </c>
      <c r="H617" s="2" t="s">
        <v>2230</v>
      </c>
      <c r="I617" s="2" t="s">
        <v>32</v>
      </c>
      <c r="J617" s="3">
        <v>44676</v>
      </c>
      <c r="K617" s="2">
        <v>89</v>
      </c>
      <c r="L617" s="2" t="s">
        <v>64</v>
      </c>
    </row>
    <row r="618" spans="1:12" x14ac:dyDescent="0.3">
      <c r="A618" s="2">
        <v>607</v>
      </c>
      <c r="B618" s="2" t="s">
        <v>2231</v>
      </c>
      <c r="C618" s="2" t="s">
        <v>804</v>
      </c>
      <c r="D618" s="2" t="s">
        <v>28</v>
      </c>
      <c r="E618" s="2" t="s">
        <v>29</v>
      </c>
      <c r="F618" s="2">
        <v>60</v>
      </c>
      <c r="G618" s="2" t="s">
        <v>2232</v>
      </c>
      <c r="H618" s="2" t="s">
        <v>2233</v>
      </c>
      <c r="I618" s="2" t="s">
        <v>187</v>
      </c>
      <c r="J618" s="3">
        <v>44746</v>
      </c>
      <c r="K618" s="2">
        <v>33</v>
      </c>
      <c r="L618" s="2" t="s">
        <v>45</v>
      </c>
    </row>
    <row r="619" spans="1:12" x14ac:dyDescent="0.3">
      <c r="A619" s="2">
        <v>608</v>
      </c>
      <c r="B619" s="2" t="s">
        <v>2234</v>
      </c>
      <c r="C619" s="2" t="s">
        <v>1020</v>
      </c>
      <c r="D619" s="2" t="s">
        <v>15</v>
      </c>
      <c r="E619" s="2" t="s">
        <v>16</v>
      </c>
      <c r="F619" s="2">
        <v>60</v>
      </c>
      <c r="G619" s="2" t="s">
        <v>2235</v>
      </c>
      <c r="H619" s="2" t="s">
        <v>2236</v>
      </c>
      <c r="I619" s="2" t="s">
        <v>2237</v>
      </c>
      <c r="J619" s="3">
        <v>43922</v>
      </c>
      <c r="K619" s="2">
        <v>38</v>
      </c>
      <c r="L619" s="2" t="s">
        <v>20</v>
      </c>
    </row>
    <row r="620" spans="1:12" x14ac:dyDescent="0.3">
      <c r="A620" s="2">
        <v>609</v>
      </c>
      <c r="B620" s="2" t="s">
        <v>2238</v>
      </c>
      <c r="C620" s="2" t="s">
        <v>410</v>
      </c>
      <c r="D620" s="2" t="s">
        <v>51</v>
      </c>
      <c r="E620" s="2" t="s">
        <v>16</v>
      </c>
      <c r="F620" s="2">
        <v>90</v>
      </c>
      <c r="G620" s="2" t="s">
        <v>2239</v>
      </c>
      <c r="H620" s="2" t="s">
        <v>2240</v>
      </c>
      <c r="I620" s="2" t="s">
        <v>32</v>
      </c>
      <c r="J620" s="3">
        <v>44216</v>
      </c>
      <c r="K620" s="2">
        <v>59</v>
      </c>
      <c r="L620" s="2" t="s">
        <v>70</v>
      </c>
    </row>
    <row r="621" spans="1:12" x14ac:dyDescent="0.3">
      <c r="A621" s="2">
        <v>610</v>
      </c>
      <c r="B621" s="2" t="s">
        <v>2241</v>
      </c>
      <c r="C621" s="2" t="s">
        <v>438</v>
      </c>
      <c r="D621" s="2" t="s">
        <v>51</v>
      </c>
      <c r="E621" s="2" t="s">
        <v>16</v>
      </c>
      <c r="F621" s="2">
        <v>30</v>
      </c>
      <c r="G621" s="2" t="s">
        <v>2242</v>
      </c>
      <c r="H621" s="2" t="s">
        <v>2243</v>
      </c>
      <c r="I621" s="2" t="s">
        <v>32</v>
      </c>
      <c r="J621" s="3">
        <v>44852</v>
      </c>
      <c r="K621" s="2">
        <v>47</v>
      </c>
      <c r="L621" s="2" t="s">
        <v>54</v>
      </c>
    </row>
    <row r="622" spans="1:12" x14ac:dyDescent="0.3">
      <c r="A622" s="2">
        <v>611</v>
      </c>
      <c r="B622" s="2" t="s">
        <v>2244</v>
      </c>
      <c r="C622" s="2" t="s">
        <v>1766</v>
      </c>
      <c r="D622" s="2" t="s">
        <v>28</v>
      </c>
      <c r="E622" s="2" t="s">
        <v>29</v>
      </c>
      <c r="F622" s="2">
        <v>60</v>
      </c>
      <c r="G622" s="2" t="s">
        <v>2245</v>
      </c>
      <c r="H622" s="2" t="s">
        <v>667</v>
      </c>
      <c r="I622" s="2" t="s">
        <v>25</v>
      </c>
      <c r="J622" s="3">
        <v>44339</v>
      </c>
      <c r="K622" s="2">
        <v>17</v>
      </c>
      <c r="L622" s="2" t="s">
        <v>159</v>
      </c>
    </row>
    <row r="623" spans="1:12" x14ac:dyDescent="0.3">
      <c r="A623" s="2">
        <v>612</v>
      </c>
      <c r="B623" s="2" t="s">
        <v>2246</v>
      </c>
      <c r="C623" s="2" t="s">
        <v>2247</v>
      </c>
      <c r="D623" s="2" t="s">
        <v>92</v>
      </c>
      <c r="E623" s="2" t="s">
        <v>29</v>
      </c>
      <c r="F623" s="2">
        <v>60</v>
      </c>
      <c r="G623" s="2" t="s">
        <v>2248</v>
      </c>
      <c r="H623" s="2" t="s">
        <v>34</v>
      </c>
      <c r="I623" s="2" t="s">
        <v>1454</v>
      </c>
      <c r="J623" s="3">
        <v>44867</v>
      </c>
      <c r="K623" s="2">
        <v>15</v>
      </c>
      <c r="L623" s="2" t="s">
        <v>33</v>
      </c>
    </row>
    <row r="624" spans="1:12" x14ac:dyDescent="0.3">
      <c r="A624" s="2">
        <v>613</v>
      </c>
      <c r="B624" s="2" t="s">
        <v>2249</v>
      </c>
      <c r="C624" s="2" t="s">
        <v>2188</v>
      </c>
      <c r="D624" s="2" t="s">
        <v>28</v>
      </c>
      <c r="E624" s="2" t="s">
        <v>29</v>
      </c>
      <c r="F624" s="2">
        <v>60</v>
      </c>
      <c r="G624" s="2" t="s">
        <v>2248</v>
      </c>
      <c r="H624" s="2" t="s">
        <v>2250</v>
      </c>
      <c r="I624" s="2" t="s">
        <v>187</v>
      </c>
      <c r="J624" s="3">
        <v>44408</v>
      </c>
      <c r="K624" s="2">
        <v>32</v>
      </c>
      <c r="L624" s="2" t="s">
        <v>33</v>
      </c>
    </row>
    <row r="625" spans="1:12" x14ac:dyDescent="0.3">
      <c r="A625" s="2">
        <v>614</v>
      </c>
      <c r="B625" s="2" t="s">
        <v>2251</v>
      </c>
      <c r="C625" s="2" t="s">
        <v>2252</v>
      </c>
      <c r="D625" s="2" t="s">
        <v>28</v>
      </c>
      <c r="E625" s="2" t="s">
        <v>29</v>
      </c>
      <c r="F625" s="2">
        <v>30</v>
      </c>
      <c r="G625" s="2" t="s">
        <v>2248</v>
      </c>
      <c r="H625" s="2" t="s">
        <v>615</v>
      </c>
      <c r="I625" s="2" t="s">
        <v>32</v>
      </c>
      <c r="J625" s="3">
        <v>43854</v>
      </c>
      <c r="K625" s="2">
        <v>25</v>
      </c>
      <c r="L625" s="2" t="s">
        <v>159</v>
      </c>
    </row>
    <row r="626" spans="1:12" x14ac:dyDescent="0.3">
      <c r="A626" s="2">
        <v>615</v>
      </c>
      <c r="B626" s="2" t="s">
        <v>2253</v>
      </c>
      <c r="C626" s="2" t="s">
        <v>2254</v>
      </c>
      <c r="D626" s="2" t="s">
        <v>92</v>
      </c>
      <c r="E626" s="2" t="s">
        <v>29</v>
      </c>
      <c r="F626" s="2">
        <v>30</v>
      </c>
      <c r="G626" s="2" t="s">
        <v>2255</v>
      </c>
      <c r="H626" s="2" t="s">
        <v>708</v>
      </c>
      <c r="I626" s="2" t="s">
        <v>294</v>
      </c>
      <c r="J626" s="3">
        <v>44126</v>
      </c>
      <c r="K626" s="2">
        <v>37</v>
      </c>
      <c r="L626" s="2" t="s">
        <v>70</v>
      </c>
    </row>
    <row r="627" spans="1:12" x14ac:dyDescent="0.3">
      <c r="A627" s="2">
        <v>616</v>
      </c>
      <c r="B627" s="2" t="s">
        <v>2256</v>
      </c>
      <c r="C627" s="2" t="s">
        <v>2257</v>
      </c>
      <c r="D627" s="2" t="s">
        <v>28</v>
      </c>
      <c r="E627" s="2" t="s">
        <v>29</v>
      </c>
      <c r="F627" s="2">
        <v>60</v>
      </c>
      <c r="G627" s="2" t="s">
        <v>2258</v>
      </c>
      <c r="H627" s="2" t="s">
        <v>674</v>
      </c>
      <c r="I627" s="2" t="s">
        <v>32</v>
      </c>
      <c r="J627" s="3">
        <v>43916</v>
      </c>
      <c r="K627" s="2">
        <v>78</v>
      </c>
      <c r="L627" s="2" t="s">
        <v>159</v>
      </c>
    </row>
    <row r="628" spans="1:12" x14ac:dyDescent="0.3">
      <c r="A628" s="2">
        <v>617</v>
      </c>
      <c r="B628" s="2" t="s">
        <v>2259</v>
      </c>
      <c r="C628" s="2" t="s">
        <v>106</v>
      </c>
      <c r="D628" s="2" t="s">
        <v>28</v>
      </c>
      <c r="E628" s="2" t="s">
        <v>29</v>
      </c>
      <c r="F628" s="2">
        <v>30</v>
      </c>
      <c r="G628" s="2" t="s">
        <v>2260</v>
      </c>
      <c r="H628" s="2" t="s">
        <v>2261</v>
      </c>
      <c r="I628" s="2" t="s">
        <v>32</v>
      </c>
      <c r="J628" s="3">
        <v>44867</v>
      </c>
      <c r="K628" s="2">
        <v>69</v>
      </c>
      <c r="L628" s="2" t="s">
        <v>70</v>
      </c>
    </row>
    <row r="629" spans="1:12" x14ac:dyDescent="0.3">
      <c r="A629" s="2">
        <v>618</v>
      </c>
      <c r="B629" s="2" t="s">
        <v>2262</v>
      </c>
      <c r="C629" s="2" t="s">
        <v>2263</v>
      </c>
      <c r="D629" s="2" t="s">
        <v>15</v>
      </c>
      <c r="E629" s="2" t="s">
        <v>16</v>
      </c>
      <c r="F629" s="2">
        <v>60</v>
      </c>
      <c r="G629" s="2" t="s">
        <v>2264</v>
      </c>
      <c r="H629" s="2" t="s">
        <v>2265</v>
      </c>
      <c r="I629" s="2" t="s">
        <v>1083</v>
      </c>
      <c r="J629" s="3">
        <v>44844</v>
      </c>
      <c r="K629" s="2">
        <v>65</v>
      </c>
      <c r="L629" s="2" t="s">
        <v>45</v>
      </c>
    </row>
    <row r="630" spans="1:12" x14ac:dyDescent="0.3">
      <c r="A630" s="2">
        <v>619</v>
      </c>
      <c r="B630" s="2" t="s">
        <v>2213</v>
      </c>
      <c r="C630" s="2" t="s">
        <v>2266</v>
      </c>
      <c r="D630" s="2" t="s">
        <v>28</v>
      </c>
      <c r="E630" s="2" t="s">
        <v>29</v>
      </c>
      <c r="F630" s="2">
        <v>60</v>
      </c>
      <c r="G630" s="2" t="s">
        <v>2264</v>
      </c>
      <c r="H630" s="2" t="s">
        <v>2267</v>
      </c>
      <c r="I630" s="2" t="s">
        <v>124</v>
      </c>
      <c r="J630" s="3">
        <v>43929</v>
      </c>
      <c r="K630" s="2">
        <v>12</v>
      </c>
      <c r="L630" s="2" t="s">
        <v>64</v>
      </c>
    </row>
    <row r="631" spans="1:12" x14ac:dyDescent="0.3">
      <c r="A631" s="2">
        <v>620</v>
      </c>
      <c r="B631" s="2" t="s">
        <v>2268</v>
      </c>
      <c r="C631" s="2" t="s">
        <v>2269</v>
      </c>
      <c r="D631" s="2" t="s">
        <v>51</v>
      </c>
      <c r="E631" s="2" t="s">
        <v>16</v>
      </c>
      <c r="F631" s="2">
        <v>90</v>
      </c>
      <c r="G631" s="2" t="s">
        <v>2270</v>
      </c>
      <c r="H631" s="2" t="s">
        <v>2271</v>
      </c>
      <c r="I631" s="2" t="s">
        <v>208</v>
      </c>
      <c r="J631" s="3">
        <v>43879</v>
      </c>
      <c r="K631" s="2">
        <v>40</v>
      </c>
      <c r="L631" s="2" t="s">
        <v>101</v>
      </c>
    </row>
    <row r="632" spans="1:12" x14ac:dyDescent="0.3">
      <c r="A632" s="2">
        <v>621</v>
      </c>
      <c r="B632" s="2" t="s">
        <v>2272</v>
      </c>
      <c r="C632" s="2" t="s">
        <v>2273</v>
      </c>
      <c r="D632" s="2" t="s">
        <v>15</v>
      </c>
      <c r="E632" s="2" t="s">
        <v>16</v>
      </c>
      <c r="F632" s="2">
        <v>90</v>
      </c>
      <c r="G632" s="2" t="s">
        <v>2274</v>
      </c>
      <c r="H632" s="2" t="s">
        <v>1956</v>
      </c>
      <c r="I632" s="2" t="s">
        <v>32</v>
      </c>
      <c r="J632" s="3">
        <v>44847</v>
      </c>
      <c r="K632" s="2">
        <v>98</v>
      </c>
      <c r="L632" s="2" t="s">
        <v>33</v>
      </c>
    </row>
    <row r="633" spans="1:12" x14ac:dyDescent="0.3">
      <c r="A633" s="2">
        <v>622</v>
      </c>
      <c r="B633" s="2" t="s">
        <v>2275</v>
      </c>
      <c r="C633" s="2" t="s">
        <v>2276</v>
      </c>
      <c r="D633" s="2" t="s">
        <v>28</v>
      </c>
      <c r="E633" s="2" t="s">
        <v>29</v>
      </c>
      <c r="F633" s="2">
        <v>30</v>
      </c>
      <c r="G633" s="2" t="s">
        <v>2277</v>
      </c>
      <c r="H633" s="2" t="s">
        <v>2109</v>
      </c>
      <c r="I633" s="2" t="s">
        <v>32</v>
      </c>
      <c r="J633" s="3">
        <v>44273</v>
      </c>
      <c r="K633" s="2">
        <v>59</v>
      </c>
      <c r="L633" s="2" t="s">
        <v>33</v>
      </c>
    </row>
    <row r="634" spans="1:12" x14ac:dyDescent="0.3">
      <c r="A634" s="2">
        <v>623</v>
      </c>
      <c r="B634" s="2" t="s">
        <v>2278</v>
      </c>
      <c r="C634" s="2" t="s">
        <v>2279</v>
      </c>
      <c r="D634" s="2" t="s">
        <v>28</v>
      </c>
      <c r="E634" s="2" t="s">
        <v>29</v>
      </c>
      <c r="F634" s="2">
        <v>30</v>
      </c>
      <c r="G634" s="2" t="s">
        <v>2280</v>
      </c>
      <c r="H634" s="2" t="s">
        <v>1568</v>
      </c>
      <c r="I634" s="2" t="s">
        <v>32</v>
      </c>
      <c r="J634" s="3">
        <v>44665</v>
      </c>
      <c r="K634" s="2">
        <v>73</v>
      </c>
      <c r="L634" s="2" t="s">
        <v>33</v>
      </c>
    </row>
    <row r="635" spans="1:12" x14ac:dyDescent="0.3">
      <c r="A635" s="2">
        <v>624</v>
      </c>
      <c r="B635" s="2" t="s">
        <v>2281</v>
      </c>
      <c r="C635" s="2" t="s">
        <v>2282</v>
      </c>
      <c r="D635" s="2" t="s">
        <v>28</v>
      </c>
      <c r="E635" s="2" t="s">
        <v>29</v>
      </c>
      <c r="F635" s="2">
        <v>30</v>
      </c>
      <c r="G635" s="2" t="s">
        <v>2283</v>
      </c>
      <c r="H635" s="2" t="s">
        <v>2284</v>
      </c>
      <c r="I635" s="2" t="s">
        <v>32</v>
      </c>
      <c r="J635" s="3">
        <v>44428</v>
      </c>
      <c r="K635" s="2">
        <v>58</v>
      </c>
      <c r="L635" s="2" t="s">
        <v>45</v>
      </c>
    </row>
    <row r="636" spans="1:12" x14ac:dyDescent="0.3">
      <c r="A636" s="2">
        <v>625</v>
      </c>
      <c r="B636" s="2" t="s">
        <v>2285</v>
      </c>
      <c r="C636" s="2" t="s">
        <v>2286</v>
      </c>
      <c r="D636" s="2" t="s">
        <v>15</v>
      </c>
      <c r="E636" s="2" t="s">
        <v>16</v>
      </c>
      <c r="F636" s="2">
        <v>30</v>
      </c>
      <c r="G636" s="2" t="s">
        <v>2287</v>
      </c>
      <c r="H636" s="2" t="s">
        <v>2288</v>
      </c>
      <c r="I636" s="2" t="s">
        <v>32</v>
      </c>
      <c r="J636" s="3">
        <v>44159</v>
      </c>
      <c r="K636" s="2">
        <v>29</v>
      </c>
      <c r="L636" s="2" t="s">
        <v>39</v>
      </c>
    </row>
    <row r="637" spans="1:12" x14ac:dyDescent="0.3">
      <c r="A637" s="2">
        <v>626</v>
      </c>
      <c r="B637" s="2" t="s">
        <v>2289</v>
      </c>
      <c r="C637" s="2" t="s">
        <v>1461</v>
      </c>
      <c r="D637" s="2" t="s">
        <v>28</v>
      </c>
      <c r="E637" s="2" t="s">
        <v>29</v>
      </c>
      <c r="F637" s="2">
        <v>60</v>
      </c>
      <c r="G637" s="2" t="s">
        <v>2290</v>
      </c>
      <c r="H637" s="2" t="s">
        <v>2291</v>
      </c>
      <c r="I637" s="2" t="s">
        <v>25</v>
      </c>
      <c r="J637" s="3">
        <v>44680</v>
      </c>
      <c r="K637" s="2">
        <v>61</v>
      </c>
      <c r="L637" s="2" t="s">
        <v>101</v>
      </c>
    </row>
    <row r="638" spans="1:12" x14ac:dyDescent="0.3">
      <c r="A638" s="2">
        <v>627</v>
      </c>
      <c r="B638" s="2" t="s">
        <v>2292</v>
      </c>
      <c r="C638" s="2" t="s">
        <v>2293</v>
      </c>
      <c r="D638" s="2" t="s">
        <v>28</v>
      </c>
      <c r="E638" s="2" t="s">
        <v>29</v>
      </c>
      <c r="F638" s="2">
        <v>30</v>
      </c>
      <c r="G638" s="2" t="s">
        <v>2290</v>
      </c>
      <c r="H638" s="2" t="s">
        <v>2294</v>
      </c>
      <c r="I638" s="2" t="s">
        <v>32</v>
      </c>
      <c r="J638" s="3">
        <v>44000</v>
      </c>
      <c r="K638" s="2">
        <v>68</v>
      </c>
      <c r="L638" s="2" t="s">
        <v>33</v>
      </c>
    </row>
    <row r="639" spans="1:12" x14ac:dyDescent="0.3">
      <c r="A639" s="2">
        <v>628</v>
      </c>
      <c r="B639" s="2" t="s">
        <v>2295</v>
      </c>
      <c r="C639" s="2" t="s">
        <v>2296</v>
      </c>
      <c r="D639" s="2" t="s">
        <v>15</v>
      </c>
      <c r="E639" s="2" t="s">
        <v>16</v>
      </c>
      <c r="F639" s="2">
        <v>90</v>
      </c>
      <c r="G639" s="2" t="s">
        <v>2297</v>
      </c>
      <c r="H639" s="2" t="s">
        <v>1732</v>
      </c>
      <c r="I639" s="2" t="s">
        <v>1733</v>
      </c>
      <c r="J639" s="3">
        <v>44710</v>
      </c>
      <c r="K639" s="2">
        <v>67</v>
      </c>
      <c r="L639" s="2" t="s">
        <v>101</v>
      </c>
    </row>
    <row r="640" spans="1:12" x14ac:dyDescent="0.3">
      <c r="A640" s="2">
        <v>629</v>
      </c>
      <c r="B640" s="2" t="s">
        <v>2298</v>
      </c>
      <c r="C640" s="2" t="s">
        <v>1581</v>
      </c>
      <c r="D640" s="2" t="s">
        <v>28</v>
      </c>
      <c r="E640" s="2" t="s">
        <v>29</v>
      </c>
      <c r="F640" s="2">
        <v>30</v>
      </c>
      <c r="G640" s="2" t="s">
        <v>2299</v>
      </c>
      <c r="H640" s="2" t="s">
        <v>1598</v>
      </c>
      <c r="I640" s="2" t="s">
        <v>32</v>
      </c>
      <c r="J640" s="3">
        <v>44715</v>
      </c>
      <c r="K640" s="2">
        <v>98</v>
      </c>
      <c r="L640" s="2" t="s">
        <v>39</v>
      </c>
    </row>
    <row r="641" spans="1:12" x14ac:dyDescent="0.3">
      <c r="A641" s="2">
        <v>630</v>
      </c>
      <c r="B641" s="2" t="s">
        <v>2300</v>
      </c>
      <c r="C641" s="2" t="s">
        <v>2301</v>
      </c>
      <c r="D641" s="2" t="s">
        <v>15</v>
      </c>
      <c r="E641" s="2" t="s">
        <v>16</v>
      </c>
      <c r="F641" s="2">
        <v>30</v>
      </c>
      <c r="G641" s="2" t="s">
        <v>2302</v>
      </c>
      <c r="H641" s="2" t="s">
        <v>1785</v>
      </c>
      <c r="I641" s="2" t="s">
        <v>32</v>
      </c>
      <c r="J641" s="3">
        <v>44901</v>
      </c>
      <c r="K641" s="2">
        <v>97</v>
      </c>
      <c r="L641" s="2" t="s">
        <v>80</v>
      </c>
    </row>
    <row r="642" spans="1:12" x14ac:dyDescent="0.3">
      <c r="A642" s="2">
        <v>631</v>
      </c>
      <c r="B642" s="2" t="s">
        <v>2303</v>
      </c>
      <c r="C642" s="2" t="s">
        <v>556</v>
      </c>
      <c r="D642" s="2" t="s">
        <v>28</v>
      </c>
      <c r="E642" s="2" t="s">
        <v>29</v>
      </c>
      <c r="F642" s="2">
        <v>90</v>
      </c>
      <c r="G642" s="2" t="s">
        <v>2304</v>
      </c>
      <c r="H642" s="2" t="s">
        <v>2305</v>
      </c>
      <c r="I642" s="2" t="s">
        <v>25</v>
      </c>
      <c r="J642" s="3">
        <v>43921</v>
      </c>
      <c r="K642" s="2">
        <v>23</v>
      </c>
      <c r="L642" s="2" t="s">
        <v>101</v>
      </c>
    </row>
    <row r="643" spans="1:12" x14ac:dyDescent="0.3">
      <c r="A643" s="2">
        <v>632</v>
      </c>
      <c r="B643" s="2" t="s">
        <v>2234</v>
      </c>
      <c r="C643" s="2" t="s">
        <v>2306</v>
      </c>
      <c r="D643" s="2" t="s">
        <v>51</v>
      </c>
      <c r="E643" s="2" t="s">
        <v>16</v>
      </c>
      <c r="F643" s="2">
        <v>60</v>
      </c>
      <c r="G643" s="2" t="s">
        <v>2307</v>
      </c>
      <c r="H643" s="2" t="s">
        <v>928</v>
      </c>
      <c r="I643" s="2" t="s">
        <v>38</v>
      </c>
      <c r="J643" s="3">
        <v>44725</v>
      </c>
      <c r="K643" s="2">
        <v>101</v>
      </c>
      <c r="L643" s="2" t="s">
        <v>54</v>
      </c>
    </row>
    <row r="644" spans="1:12" x14ac:dyDescent="0.3">
      <c r="A644" s="2">
        <v>633</v>
      </c>
      <c r="B644" s="2" t="s">
        <v>2308</v>
      </c>
      <c r="C644" s="2" t="s">
        <v>2309</v>
      </c>
      <c r="D644" s="2" t="s">
        <v>51</v>
      </c>
      <c r="E644" s="2" t="s">
        <v>16</v>
      </c>
      <c r="F644" s="2">
        <v>30</v>
      </c>
      <c r="G644" s="2" t="s">
        <v>2310</v>
      </c>
      <c r="H644" s="2" t="s">
        <v>2311</v>
      </c>
      <c r="I644" s="2" t="s">
        <v>32</v>
      </c>
      <c r="J644" s="3">
        <v>44608</v>
      </c>
      <c r="K644" s="2">
        <v>22</v>
      </c>
      <c r="L644" s="2" t="s">
        <v>70</v>
      </c>
    </row>
    <row r="645" spans="1:12" x14ac:dyDescent="0.3">
      <c r="A645" s="2">
        <v>634</v>
      </c>
      <c r="B645" s="2" t="s">
        <v>2312</v>
      </c>
      <c r="C645" s="2" t="s">
        <v>1585</v>
      </c>
      <c r="D645" s="2" t="s">
        <v>28</v>
      </c>
      <c r="E645" s="2" t="s">
        <v>29</v>
      </c>
      <c r="F645" s="2">
        <v>60</v>
      </c>
      <c r="G645" s="2" t="s">
        <v>2313</v>
      </c>
      <c r="H645" s="2" t="s">
        <v>634</v>
      </c>
      <c r="I645" s="2" t="s">
        <v>32</v>
      </c>
      <c r="J645" s="3">
        <v>44772</v>
      </c>
      <c r="K645" s="2">
        <v>4</v>
      </c>
      <c r="L645" s="2" t="s">
        <v>45</v>
      </c>
    </row>
    <row r="646" spans="1:12" x14ac:dyDescent="0.3">
      <c r="A646" s="2">
        <v>635</v>
      </c>
      <c r="B646" s="2" t="s">
        <v>2314</v>
      </c>
      <c r="C646" s="2" t="s">
        <v>940</v>
      </c>
      <c r="D646" s="2" t="s">
        <v>15</v>
      </c>
      <c r="E646" s="2" t="s">
        <v>16</v>
      </c>
      <c r="F646" s="2">
        <v>90</v>
      </c>
      <c r="G646" s="2" t="s">
        <v>10470</v>
      </c>
      <c r="H646" s="2" t="s">
        <v>702</v>
      </c>
      <c r="I646" s="2" t="s">
        <v>703</v>
      </c>
      <c r="J646" s="3">
        <v>44431</v>
      </c>
      <c r="K646" s="2">
        <v>59</v>
      </c>
      <c r="L646" s="2" t="s">
        <v>159</v>
      </c>
    </row>
    <row r="647" spans="1:12" x14ac:dyDescent="0.3">
      <c r="A647" s="2">
        <v>636</v>
      </c>
      <c r="B647" s="2" t="s">
        <v>2316</v>
      </c>
      <c r="C647" s="2" t="s">
        <v>2317</v>
      </c>
      <c r="D647" s="2" t="s">
        <v>41</v>
      </c>
      <c r="E647" s="2" t="s">
        <v>16</v>
      </c>
      <c r="F647" s="2">
        <v>30</v>
      </c>
      <c r="G647" s="2" t="s">
        <v>2318</v>
      </c>
      <c r="H647" s="2" t="s">
        <v>1077</v>
      </c>
      <c r="I647" s="2" t="s">
        <v>1078</v>
      </c>
      <c r="J647" s="3">
        <v>44502</v>
      </c>
      <c r="K647" s="2">
        <v>74</v>
      </c>
      <c r="L647" s="2" t="s">
        <v>33</v>
      </c>
    </row>
    <row r="648" spans="1:12" x14ac:dyDescent="0.3">
      <c r="A648" s="2">
        <v>637</v>
      </c>
      <c r="B648" s="2" t="s">
        <v>1470</v>
      </c>
      <c r="C648" s="2" t="s">
        <v>2319</v>
      </c>
      <c r="D648" s="2" t="s">
        <v>28</v>
      </c>
      <c r="E648" s="2" t="s">
        <v>29</v>
      </c>
      <c r="F648" s="2">
        <v>60</v>
      </c>
      <c r="G648" s="2" t="s">
        <v>2320</v>
      </c>
      <c r="H648" s="2" t="s">
        <v>2321</v>
      </c>
      <c r="I648" s="2" t="s">
        <v>129</v>
      </c>
      <c r="J648" s="3">
        <v>44667</v>
      </c>
      <c r="K648" s="2">
        <v>96</v>
      </c>
      <c r="L648" s="2" t="s">
        <v>39</v>
      </c>
    </row>
    <row r="649" spans="1:12" x14ac:dyDescent="0.3">
      <c r="A649" s="2">
        <v>638</v>
      </c>
      <c r="B649" s="2" t="s">
        <v>2322</v>
      </c>
      <c r="C649" s="2" t="s">
        <v>2323</v>
      </c>
      <c r="D649" s="2" t="s">
        <v>15</v>
      </c>
      <c r="E649" s="2" t="s">
        <v>16</v>
      </c>
      <c r="F649" s="2">
        <v>60</v>
      </c>
      <c r="G649" s="2" t="s">
        <v>2324</v>
      </c>
      <c r="H649" s="2" t="s">
        <v>2325</v>
      </c>
      <c r="I649" s="2" t="s">
        <v>173</v>
      </c>
      <c r="J649" s="3">
        <v>43946</v>
      </c>
      <c r="K649" s="2">
        <v>48</v>
      </c>
      <c r="L649" s="2" t="s">
        <v>70</v>
      </c>
    </row>
    <row r="650" spans="1:12" x14ac:dyDescent="0.3">
      <c r="A650" s="2">
        <v>639</v>
      </c>
      <c r="B650" s="2" t="s">
        <v>2326</v>
      </c>
      <c r="C650" s="2" t="s">
        <v>152</v>
      </c>
      <c r="D650" s="2" t="s">
        <v>15</v>
      </c>
      <c r="E650" s="2" t="s">
        <v>16</v>
      </c>
      <c r="F650" s="2">
        <v>60</v>
      </c>
      <c r="G650" s="2" t="s">
        <v>2324</v>
      </c>
      <c r="H650" s="2" t="s">
        <v>1292</v>
      </c>
      <c r="I650" s="2" t="s">
        <v>32</v>
      </c>
      <c r="J650" s="3">
        <v>43836</v>
      </c>
      <c r="K650" s="2">
        <v>13</v>
      </c>
      <c r="L650" s="2" t="s">
        <v>20</v>
      </c>
    </row>
    <row r="651" spans="1:12" x14ac:dyDescent="0.3">
      <c r="A651" s="2">
        <v>640</v>
      </c>
      <c r="B651" s="2" t="s">
        <v>743</v>
      </c>
      <c r="C651" s="2" t="s">
        <v>2327</v>
      </c>
      <c r="D651" s="2" t="s">
        <v>28</v>
      </c>
      <c r="E651" s="2" t="s">
        <v>29</v>
      </c>
      <c r="F651" s="2">
        <v>60</v>
      </c>
      <c r="G651" s="2" t="s">
        <v>2328</v>
      </c>
      <c r="H651" s="2" t="s">
        <v>2329</v>
      </c>
      <c r="I651" s="2" t="s">
        <v>2330</v>
      </c>
      <c r="J651" s="3">
        <v>44473</v>
      </c>
      <c r="K651" s="2">
        <v>50</v>
      </c>
      <c r="L651" s="2" t="s">
        <v>64</v>
      </c>
    </row>
    <row r="652" spans="1:12" x14ac:dyDescent="0.3">
      <c r="A652" s="2">
        <v>641</v>
      </c>
      <c r="B652" s="2" t="s">
        <v>2331</v>
      </c>
      <c r="C652" s="2" t="s">
        <v>2332</v>
      </c>
      <c r="D652" s="2" t="s">
        <v>51</v>
      </c>
      <c r="E652" s="2" t="s">
        <v>16</v>
      </c>
      <c r="F652" s="2">
        <v>30</v>
      </c>
      <c r="G652" s="2" t="s">
        <v>2333</v>
      </c>
      <c r="H652" s="2" t="s">
        <v>2334</v>
      </c>
      <c r="I652" s="2" t="s">
        <v>32</v>
      </c>
      <c r="J652" s="3">
        <v>43969</v>
      </c>
      <c r="K652" s="2">
        <v>9</v>
      </c>
      <c r="L652" s="2" t="s">
        <v>80</v>
      </c>
    </row>
    <row r="653" spans="1:12" x14ac:dyDescent="0.3">
      <c r="A653" s="2">
        <v>642</v>
      </c>
      <c r="B653" s="2" t="s">
        <v>2335</v>
      </c>
      <c r="C653" s="2" t="s">
        <v>2336</v>
      </c>
      <c r="D653" s="2" t="s">
        <v>28</v>
      </c>
      <c r="E653" s="2" t="s">
        <v>29</v>
      </c>
      <c r="F653" s="2">
        <v>90</v>
      </c>
      <c r="G653" s="2" t="s">
        <v>2337</v>
      </c>
      <c r="H653" s="2" t="s">
        <v>2338</v>
      </c>
      <c r="I653" s="2" t="s">
        <v>240</v>
      </c>
      <c r="J653" s="3">
        <v>44677</v>
      </c>
      <c r="K653" s="2">
        <v>60</v>
      </c>
      <c r="L653" s="2" t="s">
        <v>70</v>
      </c>
    </row>
    <row r="654" spans="1:12" x14ac:dyDescent="0.3">
      <c r="A654" s="2">
        <v>643</v>
      </c>
      <c r="B654" s="2" t="s">
        <v>642</v>
      </c>
      <c r="C654" s="2" t="s">
        <v>2339</v>
      </c>
      <c r="D654" s="2" t="s">
        <v>41</v>
      </c>
      <c r="E654" s="2" t="s">
        <v>16</v>
      </c>
      <c r="F654" s="2">
        <v>90</v>
      </c>
      <c r="G654" s="2" t="s">
        <v>2340</v>
      </c>
      <c r="H654" s="2" t="s">
        <v>2341</v>
      </c>
      <c r="I654" s="2" t="s">
        <v>2342</v>
      </c>
      <c r="J654" s="3">
        <v>44792</v>
      </c>
      <c r="K654" s="2">
        <v>57</v>
      </c>
      <c r="L654" s="2" t="s">
        <v>39</v>
      </c>
    </row>
    <row r="655" spans="1:12" x14ac:dyDescent="0.3">
      <c r="A655" s="2">
        <v>644</v>
      </c>
      <c r="B655" s="2" t="s">
        <v>2343</v>
      </c>
      <c r="C655" s="2" t="s">
        <v>2344</v>
      </c>
      <c r="D655" s="2" t="s">
        <v>15</v>
      </c>
      <c r="E655" s="2" t="s">
        <v>16</v>
      </c>
      <c r="F655" s="2">
        <v>30</v>
      </c>
      <c r="G655" s="2" t="s">
        <v>2345</v>
      </c>
      <c r="H655" s="2" t="s">
        <v>389</v>
      </c>
      <c r="I655" s="2" t="s">
        <v>32</v>
      </c>
      <c r="J655" s="3">
        <v>43974</v>
      </c>
      <c r="K655" s="2">
        <v>24</v>
      </c>
      <c r="L655" s="2" t="s">
        <v>54</v>
      </c>
    </row>
    <row r="656" spans="1:12" x14ac:dyDescent="0.3">
      <c r="A656" s="2">
        <v>645</v>
      </c>
      <c r="B656" s="2" t="s">
        <v>2346</v>
      </c>
      <c r="C656" s="2" t="s">
        <v>1080</v>
      </c>
      <c r="D656" s="2" t="s">
        <v>28</v>
      </c>
      <c r="E656" s="2" t="s">
        <v>29</v>
      </c>
      <c r="F656" s="2">
        <v>90</v>
      </c>
      <c r="G656" s="2" t="s">
        <v>2347</v>
      </c>
      <c r="H656" s="2" t="s">
        <v>2348</v>
      </c>
      <c r="I656" s="2" t="s">
        <v>32</v>
      </c>
      <c r="J656" s="3">
        <v>44110</v>
      </c>
      <c r="K656" s="2">
        <v>61</v>
      </c>
      <c r="L656" s="2" t="s">
        <v>33</v>
      </c>
    </row>
    <row r="657" spans="1:12" x14ac:dyDescent="0.3">
      <c r="A657" s="2">
        <v>646</v>
      </c>
      <c r="B657" s="2" t="s">
        <v>276</v>
      </c>
      <c r="C657" s="2" t="s">
        <v>2349</v>
      </c>
      <c r="D657" s="2" t="s">
        <v>15</v>
      </c>
      <c r="E657" s="2" t="s">
        <v>16</v>
      </c>
      <c r="F657" s="2">
        <v>60</v>
      </c>
      <c r="G657" s="2" t="s">
        <v>2350</v>
      </c>
      <c r="H657" s="2" t="s">
        <v>2351</v>
      </c>
      <c r="I657" s="2" t="s">
        <v>32</v>
      </c>
      <c r="J657" s="3">
        <v>44060</v>
      </c>
      <c r="K657" s="2">
        <v>84</v>
      </c>
      <c r="L657" s="2" t="s">
        <v>45</v>
      </c>
    </row>
    <row r="658" spans="1:12" x14ac:dyDescent="0.3">
      <c r="A658" s="2">
        <v>647</v>
      </c>
      <c r="B658" s="2" t="s">
        <v>2352</v>
      </c>
      <c r="C658" s="2" t="s">
        <v>1840</v>
      </c>
      <c r="D658" s="2" t="s">
        <v>15</v>
      </c>
      <c r="E658" s="2" t="s">
        <v>16</v>
      </c>
      <c r="F658" s="2">
        <v>30</v>
      </c>
      <c r="G658" s="2" t="s">
        <v>2353</v>
      </c>
      <c r="H658" s="2" t="s">
        <v>2354</v>
      </c>
      <c r="I658" s="2" t="s">
        <v>178</v>
      </c>
      <c r="J658" s="3">
        <v>44675</v>
      </c>
      <c r="K658" s="2">
        <v>17</v>
      </c>
      <c r="L658" s="2" t="s">
        <v>39</v>
      </c>
    </row>
    <row r="659" spans="1:12" x14ac:dyDescent="0.3">
      <c r="A659" s="2">
        <v>648</v>
      </c>
      <c r="B659" s="2" t="s">
        <v>1065</v>
      </c>
      <c r="C659" s="2" t="s">
        <v>2355</v>
      </c>
      <c r="D659" s="2" t="s">
        <v>28</v>
      </c>
      <c r="E659" s="2" t="s">
        <v>29</v>
      </c>
      <c r="F659" s="2">
        <v>30</v>
      </c>
      <c r="G659" s="2" t="s">
        <v>2356</v>
      </c>
      <c r="H659" s="2" t="s">
        <v>2357</v>
      </c>
      <c r="I659" s="2" t="s">
        <v>32</v>
      </c>
      <c r="J659" s="3">
        <v>44386</v>
      </c>
      <c r="K659" s="2">
        <v>75</v>
      </c>
      <c r="L659" s="2" t="s">
        <v>33</v>
      </c>
    </row>
    <row r="660" spans="1:12" x14ac:dyDescent="0.3">
      <c r="A660" s="2">
        <v>649</v>
      </c>
      <c r="B660" s="2" t="s">
        <v>2358</v>
      </c>
      <c r="C660" s="2" t="s">
        <v>2359</v>
      </c>
      <c r="D660" s="2" t="s">
        <v>28</v>
      </c>
      <c r="E660" s="2" t="s">
        <v>29</v>
      </c>
      <c r="F660" s="2">
        <v>30</v>
      </c>
      <c r="G660" s="2" t="s">
        <v>2360</v>
      </c>
      <c r="H660" s="2" t="s">
        <v>2361</v>
      </c>
      <c r="I660" s="2" t="s">
        <v>110</v>
      </c>
      <c r="J660" s="3">
        <v>44378</v>
      </c>
      <c r="K660" s="2">
        <v>66</v>
      </c>
      <c r="L660" s="2" t="s">
        <v>54</v>
      </c>
    </row>
    <row r="661" spans="1:12" x14ac:dyDescent="0.3">
      <c r="A661" s="2">
        <v>650</v>
      </c>
      <c r="B661" s="2" t="s">
        <v>2335</v>
      </c>
      <c r="C661" s="2" t="s">
        <v>2362</v>
      </c>
      <c r="D661" s="2" t="s">
        <v>28</v>
      </c>
      <c r="E661" s="2" t="s">
        <v>29</v>
      </c>
      <c r="F661" s="2">
        <v>90</v>
      </c>
      <c r="G661" s="2" t="s">
        <v>2363</v>
      </c>
      <c r="H661" s="2" t="s">
        <v>1732</v>
      </c>
      <c r="I661" s="2" t="s">
        <v>1733</v>
      </c>
      <c r="J661" s="3">
        <v>44385</v>
      </c>
      <c r="K661" s="2">
        <v>17</v>
      </c>
      <c r="L661" s="2" t="s">
        <v>70</v>
      </c>
    </row>
    <row r="662" spans="1:12" x14ac:dyDescent="0.3">
      <c r="A662" s="2">
        <v>651</v>
      </c>
      <c r="B662" s="2" t="s">
        <v>2364</v>
      </c>
      <c r="C662" s="2" t="s">
        <v>2365</v>
      </c>
      <c r="D662" s="2" t="s">
        <v>28</v>
      </c>
      <c r="E662" s="2" t="s">
        <v>29</v>
      </c>
      <c r="F662" s="2">
        <v>30</v>
      </c>
      <c r="G662" s="2" t="s">
        <v>2363</v>
      </c>
      <c r="H662" s="2" t="s">
        <v>2366</v>
      </c>
      <c r="I662" s="2" t="s">
        <v>1367</v>
      </c>
      <c r="J662" s="3">
        <v>44439</v>
      </c>
      <c r="K662" s="2">
        <v>37</v>
      </c>
      <c r="L662" s="2" t="s">
        <v>80</v>
      </c>
    </row>
    <row r="663" spans="1:12" x14ac:dyDescent="0.3">
      <c r="A663" s="2">
        <v>652</v>
      </c>
      <c r="B663" s="2" t="s">
        <v>2367</v>
      </c>
      <c r="C663" s="2" t="s">
        <v>2368</v>
      </c>
      <c r="D663" s="2" t="s">
        <v>28</v>
      </c>
      <c r="E663" s="2" t="s">
        <v>29</v>
      </c>
      <c r="F663" s="2">
        <v>30</v>
      </c>
      <c r="G663" s="2" t="s">
        <v>10471</v>
      </c>
      <c r="H663" s="2" t="s">
        <v>951</v>
      </c>
      <c r="I663" s="2" t="s">
        <v>95</v>
      </c>
      <c r="J663" s="3">
        <v>44014</v>
      </c>
      <c r="K663" s="2">
        <v>84</v>
      </c>
      <c r="L663" s="2" t="s">
        <v>159</v>
      </c>
    </row>
    <row r="664" spans="1:12" x14ac:dyDescent="0.3">
      <c r="A664" s="2">
        <v>653</v>
      </c>
      <c r="B664" s="2" t="s">
        <v>2370</v>
      </c>
      <c r="C664" s="2" t="s">
        <v>2371</v>
      </c>
      <c r="D664" s="2" t="s">
        <v>51</v>
      </c>
      <c r="E664" s="2" t="s">
        <v>16</v>
      </c>
      <c r="F664" s="2">
        <v>30</v>
      </c>
      <c r="G664" s="2" t="s">
        <v>10472</v>
      </c>
      <c r="H664" s="2" t="s">
        <v>2373</v>
      </c>
      <c r="I664" s="2" t="s">
        <v>32</v>
      </c>
      <c r="J664" s="3">
        <v>44034</v>
      </c>
      <c r="K664" s="2">
        <v>9</v>
      </c>
      <c r="L664" s="2" t="s">
        <v>80</v>
      </c>
    </row>
    <row r="665" spans="1:12" x14ac:dyDescent="0.3">
      <c r="A665" s="2">
        <v>654</v>
      </c>
      <c r="B665" s="2" t="s">
        <v>2374</v>
      </c>
      <c r="C665" s="2" t="s">
        <v>1356</v>
      </c>
      <c r="D665" s="2" t="s">
        <v>51</v>
      </c>
      <c r="E665" s="2" t="s">
        <v>16</v>
      </c>
      <c r="F665" s="2">
        <v>60</v>
      </c>
      <c r="G665" s="2" t="s">
        <v>2375</v>
      </c>
      <c r="H665" s="2" t="s">
        <v>2376</v>
      </c>
      <c r="I665" s="2" t="s">
        <v>32</v>
      </c>
      <c r="J665" s="3">
        <v>43898</v>
      </c>
      <c r="K665" s="2">
        <v>10</v>
      </c>
      <c r="L665" s="2" t="s">
        <v>159</v>
      </c>
    </row>
    <row r="666" spans="1:12" x14ac:dyDescent="0.3">
      <c r="A666" s="2">
        <v>655</v>
      </c>
      <c r="B666" s="2" t="s">
        <v>2377</v>
      </c>
      <c r="C666" s="2" t="s">
        <v>2378</v>
      </c>
      <c r="D666" s="2" t="s">
        <v>41</v>
      </c>
      <c r="E666" s="2" t="s">
        <v>16</v>
      </c>
      <c r="F666" s="2">
        <v>30</v>
      </c>
      <c r="G666" s="2" t="s">
        <v>2379</v>
      </c>
      <c r="H666" s="2" t="s">
        <v>2380</v>
      </c>
      <c r="I666" s="2" t="s">
        <v>173</v>
      </c>
      <c r="J666" s="3">
        <v>44074</v>
      </c>
      <c r="K666" s="2">
        <v>76</v>
      </c>
      <c r="L666" s="2" t="s">
        <v>39</v>
      </c>
    </row>
    <row r="667" spans="1:12" x14ac:dyDescent="0.3">
      <c r="A667" s="2">
        <v>656</v>
      </c>
      <c r="B667" s="2" t="s">
        <v>2381</v>
      </c>
      <c r="C667" s="2" t="s">
        <v>2382</v>
      </c>
      <c r="D667" s="2" t="s">
        <v>28</v>
      </c>
      <c r="E667" s="2" t="s">
        <v>29</v>
      </c>
      <c r="F667" s="2">
        <v>30</v>
      </c>
      <c r="G667" s="2" t="s">
        <v>2383</v>
      </c>
      <c r="H667" s="2" t="s">
        <v>641</v>
      </c>
      <c r="I667" s="2" t="s">
        <v>294</v>
      </c>
      <c r="J667" s="3">
        <v>44826</v>
      </c>
      <c r="K667" s="2">
        <v>7</v>
      </c>
      <c r="L667" s="2" t="s">
        <v>45</v>
      </c>
    </row>
    <row r="668" spans="1:12" x14ac:dyDescent="0.3">
      <c r="A668" s="2">
        <v>657</v>
      </c>
      <c r="B668" s="2" t="s">
        <v>2384</v>
      </c>
      <c r="C668" s="2" t="s">
        <v>2385</v>
      </c>
      <c r="D668" s="2" t="s">
        <v>28</v>
      </c>
      <c r="E668" s="2" t="s">
        <v>29</v>
      </c>
      <c r="F668" s="2">
        <v>60</v>
      </c>
      <c r="G668" s="2" t="s">
        <v>2386</v>
      </c>
      <c r="H668" s="2" t="s">
        <v>2387</v>
      </c>
      <c r="I668" s="2" t="s">
        <v>146</v>
      </c>
      <c r="J668" s="3">
        <v>44881</v>
      </c>
      <c r="K668" s="2">
        <v>101</v>
      </c>
      <c r="L668" s="2" t="s">
        <v>159</v>
      </c>
    </row>
    <row r="669" spans="1:12" x14ac:dyDescent="0.3">
      <c r="A669" s="2">
        <v>658</v>
      </c>
      <c r="B669" s="2" t="s">
        <v>2388</v>
      </c>
      <c r="C669" s="2" t="s">
        <v>2389</v>
      </c>
      <c r="D669" s="2" t="s">
        <v>28</v>
      </c>
      <c r="E669" s="2" t="s">
        <v>29</v>
      </c>
      <c r="F669" s="2">
        <v>60</v>
      </c>
      <c r="G669" s="2" t="s">
        <v>2390</v>
      </c>
      <c r="H669" s="2" t="s">
        <v>1619</v>
      </c>
      <c r="I669" s="2" t="s">
        <v>44</v>
      </c>
      <c r="J669" s="3">
        <v>44290</v>
      </c>
      <c r="K669" s="2">
        <v>61</v>
      </c>
      <c r="L669" s="2" t="s">
        <v>101</v>
      </c>
    </row>
    <row r="670" spans="1:12" x14ac:dyDescent="0.3">
      <c r="A670" s="2">
        <v>659</v>
      </c>
      <c r="B670" s="2" t="s">
        <v>2391</v>
      </c>
      <c r="C670" s="2" t="s">
        <v>2392</v>
      </c>
      <c r="D670" s="2" t="s">
        <v>15</v>
      </c>
      <c r="E670" s="2" t="s">
        <v>16</v>
      </c>
      <c r="F670" s="2">
        <v>30</v>
      </c>
      <c r="G670" s="2" t="s">
        <v>2390</v>
      </c>
      <c r="H670" s="2" t="s">
        <v>2393</v>
      </c>
      <c r="I670" s="2" t="s">
        <v>1449</v>
      </c>
      <c r="J670" s="3">
        <v>44457</v>
      </c>
      <c r="K670" s="2">
        <v>91</v>
      </c>
      <c r="L670" s="2" t="s">
        <v>64</v>
      </c>
    </row>
    <row r="671" spans="1:12" x14ac:dyDescent="0.3">
      <c r="A671" s="2">
        <v>660</v>
      </c>
      <c r="B671" s="2" t="s">
        <v>2394</v>
      </c>
      <c r="C671" s="2" t="s">
        <v>2395</v>
      </c>
      <c r="D671" s="2" t="s">
        <v>15</v>
      </c>
      <c r="E671" s="2" t="s">
        <v>16</v>
      </c>
      <c r="F671" s="2">
        <v>30</v>
      </c>
      <c r="G671" s="2" t="s">
        <v>2396</v>
      </c>
      <c r="H671" s="2" t="s">
        <v>2397</v>
      </c>
      <c r="I671" s="2" t="s">
        <v>187</v>
      </c>
      <c r="J671" s="3">
        <v>44721</v>
      </c>
      <c r="K671" s="2">
        <v>86</v>
      </c>
      <c r="L671" s="2" t="s">
        <v>80</v>
      </c>
    </row>
    <row r="672" spans="1:12" x14ac:dyDescent="0.3">
      <c r="A672" s="2">
        <v>661</v>
      </c>
      <c r="B672" s="2" t="s">
        <v>2398</v>
      </c>
      <c r="C672" s="2" t="s">
        <v>2399</v>
      </c>
      <c r="D672" s="2" t="s">
        <v>28</v>
      </c>
      <c r="E672" s="2" t="s">
        <v>29</v>
      </c>
      <c r="F672" s="2">
        <v>90</v>
      </c>
      <c r="G672" s="2" t="s">
        <v>2400</v>
      </c>
      <c r="H672" s="2" t="s">
        <v>2401</v>
      </c>
      <c r="I672" s="2" t="s">
        <v>178</v>
      </c>
      <c r="J672" s="3">
        <v>44358</v>
      </c>
      <c r="K672" s="2">
        <v>60</v>
      </c>
      <c r="L672" s="2" t="s">
        <v>54</v>
      </c>
    </row>
    <row r="673" spans="1:12" x14ac:dyDescent="0.3">
      <c r="A673" s="2">
        <v>662</v>
      </c>
      <c r="B673" s="2" t="s">
        <v>2402</v>
      </c>
      <c r="C673" s="2" t="s">
        <v>1863</v>
      </c>
      <c r="D673" s="2" t="s">
        <v>28</v>
      </c>
      <c r="E673" s="2" t="s">
        <v>29</v>
      </c>
      <c r="F673" s="2">
        <v>60</v>
      </c>
      <c r="G673" s="2" t="s">
        <v>2403</v>
      </c>
      <c r="H673" s="2" t="s">
        <v>2404</v>
      </c>
      <c r="I673" s="2" t="s">
        <v>886</v>
      </c>
      <c r="J673" s="3">
        <v>44337</v>
      </c>
      <c r="K673" s="2">
        <v>68</v>
      </c>
      <c r="L673" s="2" t="s">
        <v>159</v>
      </c>
    </row>
    <row r="674" spans="1:12" x14ac:dyDescent="0.3">
      <c r="A674" s="2">
        <v>663</v>
      </c>
      <c r="B674" s="2" t="s">
        <v>2405</v>
      </c>
      <c r="C674" s="2" t="s">
        <v>2406</v>
      </c>
      <c r="D674" s="2" t="s">
        <v>28</v>
      </c>
      <c r="E674" s="2" t="s">
        <v>29</v>
      </c>
      <c r="F674" s="2">
        <v>90</v>
      </c>
      <c r="G674" s="2" t="s">
        <v>10421</v>
      </c>
      <c r="H674" s="2" t="s">
        <v>2408</v>
      </c>
      <c r="I674" s="2" t="s">
        <v>187</v>
      </c>
      <c r="J674" s="3">
        <v>44463</v>
      </c>
      <c r="K674" s="2">
        <v>61</v>
      </c>
      <c r="L674" s="2" t="s">
        <v>33</v>
      </c>
    </row>
    <row r="675" spans="1:12" x14ac:dyDescent="0.3">
      <c r="A675" s="2">
        <v>664</v>
      </c>
      <c r="B675" s="2" t="s">
        <v>2409</v>
      </c>
      <c r="C675" s="2" t="s">
        <v>2410</v>
      </c>
      <c r="D675" s="2" t="s">
        <v>28</v>
      </c>
      <c r="E675" s="2" t="s">
        <v>29</v>
      </c>
      <c r="F675" s="2">
        <v>90</v>
      </c>
      <c r="G675" s="2" t="s">
        <v>10421</v>
      </c>
      <c r="H675" s="2" t="s">
        <v>2411</v>
      </c>
      <c r="I675" s="2" t="s">
        <v>25</v>
      </c>
      <c r="J675" s="3">
        <v>44535</v>
      </c>
      <c r="K675" s="2">
        <v>69</v>
      </c>
      <c r="L675" s="2" t="s">
        <v>20</v>
      </c>
    </row>
    <row r="676" spans="1:12" x14ac:dyDescent="0.3">
      <c r="A676" s="2">
        <v>665</v>
      </c>
      <c r="B676" s="2" t="s">
        <v>2412</v>
      </c>
      <c r="C676" s="2" t="s">
        <v>2413</v>
      </c>
      <c r="D676" s="2" t="s">
        <v>28</v>
      </c>
      <c r="E676" s="2" t="s">
        <v>29</v>
      </c>
      <c r="F676" s="2">
        <v>60</v>
      </c>
      <c r="G676" s="2" t="s">
        <v>2414</v>
      </c>
      <c r="H676" s="2" t="s">
        <v>451</v>
      </c>
      <c r="I676" s="2" t="s">
        <v>294</v>
      </c>
      <c r="J676" s="3">
        <v>44292</v>
      </c>
      <c r="K676" s="2">
        <v>27</v>
      </c>
      <c r="L676" s="2" t="s">
        <v>45</v>
      </c>
    </row>
    <row r="677" spans="1:12" x14ac:dyDescent="0.3">
      <c r="A677" s="2">
        <v>666</v>
      </c>
      <c r="B677" s="2" t="s">
        <v>2415</v>
      </c>
      <c r="C677" s="2" t="s">
        <v>2416</v>
      </c>
      <c r="D677" s="2" t="s">
        <v>28</v>
      </c>
      <c r="E677" s="2" t="s">
        <v>29</v>
      </c>
      <c r="F677" s="2">
        <v>30</v>
      </c>
      <c r="G677" s="2" t="s">
        <v>2417</v>
      </c>
      <c r="H677" s="2" t="s">
        <v>2418</v>
      </c>
      <c r="I677" s="2" t="s">
        <v>32</v>
      </c>
      <c r="J677" s="3">
        <v>44379</v>
      </c>
      <c r="K677" s="2">
        <v>64</v>
      </c>
      <c r="L677" s="2" t="s">
        <v>20</v>
      </c>
    </row>
    <row r="678" spans="1:12" x14ac:dyDescent="0.3">
      <c r="A678" s="2">
        <v>667</v>
      </c>
      <c r="B678" s="2" t="s">
        <v>2419</v>
      </c>
      <c r="C678" s="2" t="s">
        <v>1286</v>
      </c>
      <c r="D678" s="2" t="s">
        <v>15</v>
      </c>
      <c r="E678" s="2" t="s">
        <v>16</v>
      </c>
      <c r="F678" s="2">
        <v>90</v>
      </c>
      <c r="G678" s="2" t="s">
        <v>2420</v>
      </c>
      <c r="H678" s="2" t="s">
        <v>1977</v>
      </c>
      <c r="I678" s="2" t="s">
        <v>124</v>
      </c>
      <c r="J678" s="3">
        <v>44039</v>
      </c>
      <c r="K678" s="2">
        <v>7</v>
      </c>
      <c r="L678" s="2" t="s">
        <v>64</v>
      </c>
    </row>
    <row r="679" spans="1:12" x14ac:dyDescent="0.3">
      <c r="A679" s="2">
        <v>668</v>
      </c>
      <c r="B679" s="2" t="s">
        <v>2421</v>
      </c>
      <c r="C679" s="2" t="s">
        <v>2422</v>
      </c>
      <c r="D679" s="2" t="s">
        <v>51</v>
      </c>
      <c r="E679" s="2" t="s">
        <v>16</v>
      </c>
      <c r="F679" s="2">
        <v>90</v>
      </c>
      <c r="G679" s="2" t="s">
        <v>2423</v>
      </c>
      <c r="H679" s="2" t="s">
        <v>491</v>
      </c>
      <c r="I679" s="2" t="s">
        <v>32</v>
      </c>
      <c r="J679" s="3">
        <v>44548</v>
      </c>
      <c r="K679" s="2">
        <v>70</v>
      </c>
      <c r="L679" s="2" t="s">
        <v>54</v>
      </c>
    </row>
    <row r="680" spans="1:12" x14ac:dyDescent="0.3">
      <c r="A680" s="2">
        <v>669</v>
      </c>
      <c r="B680" s="2" t="s">
        <v>2424</v>
      </c>
      <c r="C680" s="2" t="s">
        <v>1669</v>
      </c>
      <c r="D680" s="2" t="s">
        <v>28</v>
      </c>
      <c r="E680" s="2" t="s">
        <v>29</v>
      </c>
      <c r="F680" s="2">
        <v>90</v>
      </c>
      <c r="G680" s="2" t="s">
        <v>10473</v>
      </c>
      <c r="H680" s="2" t="s">
        <v>776</v>
      </c>
      <c r="I680" s="2" t="s">
        <v>777</v>
      </c>
      <c r="J680" s="3">
        <v>44064</v>
      </c>
      <c r="K680" s="2">
        <v>57</v>
      </c>
      <c r="L680" s="2" t="s">
        <v>80</v>
      </c>
    </row>
    <row r="681" spans="1:12" x14ac:dyDescent="0.3">
      <c r="A681" s="2">
        <v>670</v>
      </c>
      <c r="B681" s="2" t="s">
        <v>2426</v>
      </c>
      <c r="C681" s="2" t="s">
        <v>2427</v>
      </c>
      <c r="D681" s="2" t="s">
        <v>28</v>
      </c>
      <c r="E681" s="2" t="s">
        <v>29</v>
      </c>
      <c r="F681" s="2">
        <v>60</v>
      </c>
      <c r="G681" s="2" t="s">
        <v>10473</v>
      </c>
      <c r="H681" s="2" t="s">
        <v>502</v>
      </c>
      <c r="I681" s="2" t="s">
        <v>294</v>
      </c>
      <c r="J681" s="3">
        <v>44662</v>
      </c>
      <c r="K681" s="2">
        <v>42</v>
      </c>
      <c r="L681" s="2" t="s">
        <v>45</v>
      </c>
    </row>
    <row r="682" spans="1:12" x14ac:dyDescent="0.3">
      <c r="A682" s="2">
        <v>671</v>
      </c>
      <c r="B682" s="2" t="s">
        <v>905</v>
      </c>
      <c r="C682" s="2" t="s">
        <v>2428</v>
      </c>
      <c r="D682" s="2" t="s">
        <v>28</v>
      </c>
      <c r="E682" s="2" t="s">
        <v>29</v>
      </c>
      <c r="F682" s="2">
        <v>60</v>
      </c>
      <c r="G682" s="2" t="s">
        <v>2429</v>
      </c>
      <c r="H682" s="2" t="s">
        <v>2341</v>
      </c>
      <c r="I682" s="2" t="s">
        <v>2342</v>
      </c>
      <c r="J682" s="3">
        <v>44320</v>
      </c>
      <c r="K682" s="2">
        <v>24</v>
      </c>
      <c r="L682" s="2" t="s">
        <v>64</v>
      </c>
    </row>
    <row r="683" spans="1:12" x14ac:dyDescent="0.3">
      <c r="A683" s="2">
        <v>672</v>
      </c>
      <c r="B683" s="2" t="s">
        <v>2430</v>
      </c>
      <c r="C683" s="2" t="s">
        <v>2431</v>
      </c>
      <c r="D683" s="2" t="s">
        <v>28</v>
      </c>
      <c r="E683" s="2" t="s">
        <v>29</v>
      </c>
      <c r="F683" s="2">
        <v>30</v>
      </c>
      <c r="G683" s="2" t="s">
        <v>2432</v>
      </c>
      <c r="H683" s="2" t="s">
        <v>18</v>
      </c>
      <c r="I683" s="2" t="s">
        <v>19</v>
      </c>
      <c r="J683" s="3">
        <v>44783</v>
      </c>
      <c r="K683" s="2">
        <v>82</v>
      </c>
      <c r="L683" s="2" t="s">
        <v>45</v>
      </c>
    </row>
    <row r="684" spans="1:12" x14ac:dyDescent="0.3">
      <c r="A684" s="2">
        <v>673</v>
      </c>
      <c r="B684" s="2" t="s">
        <v>2433</v>
      </c>
      <c r="C684" s="2" t="s">
        <v>2434</v>
      </c>
      <c r="D684" s="2" t="s">
        <v>51</v>
      </c>
      <c r="E684" s="2" t="s">
        <v>16</v>
      </c>
      <c r="F684" s="2">
        <v>30</v>
      </c>
      <c r="G684" s="2" t="s">
        <v>2435</v>
      </c>
      <c r="H684" s="2" t="s">
        <v>2436</v>
      </c>
      <c r="I684" s="2" t="s">
        <v>294</v>
      </c>
      <c r="J684" s="3">
        <v>44729</v>
      </c>
      <c r="K684" s="2">
        <v>34</v>
      </c>
      <c r="L684" s="2" t="s">
        <v>39</v>
      </c>
    </row>
    <row r="685" spans="1:12" x14ac:dyDescent="0.3">
      <c r="A685" s="2">
        <v>674</v>
      </c>
      <c r="B685" s="2" t="s">
        <v>2437</v>
      </c>
      <c r="C685" s="2" t="s">
        <v>2438</v>
      </c>
      <c r="D685" s="2" t="s">
        <v>28</v>
      </c>
      <c r="E685" s="2" t="s">
        <v>29</v>
      </c>
      <c r="F685" s="2">
        <v>30</v>
      </c>
      <c r="G685" s="2" t="s">
        <v>2435</v>
      </c>
      <c r="H685" s="2" t="s">
        <v>311</v>
      </c>
      <c r="I685" s="2" t="s">
        <v>32</v>
      </c>
      <c r="J685" s="3">
        <v>44117</v>
      </c>
      <c r="K685" s="2">
        <v>34</v>
      </c>
      <c r="L685" s="2" t="s">
        <v>45</v>
      </c>
    </row>
    <row r="686" spans="1:12" x14ac:dyDescent="0.3">
      <c r="A686" s="2">
        <v>675</v>
      </c>
      <c r="B686" s="2" t="s">
        <v>2439</v>
      </c>
      <c r="C686" s="2" t="s">
        <v>1154</v>
      </c>
      <c r="D686" s="2" t="s">
        <v>15</v>
      </c>
      <c r="E686" s="2" t="s">
        <v>16</v>
      </c>
      <c r="F686" s="2">
        <v>90</v>
      </c>
      <c r="G686" s="2" t="s">
        <v>2440</v>
      </c>
      <c r="H686" s="2" t="s">
        <v>2441</v>
      </c>
      <c r="I686" s="2" t="s">
        <v>1199</v>
      </c>
      <c r="J686" s="3">
        <v>44154</v>
      </c>
      <c r="K686" s="2">
        <v>11</v>
      </c>
      <c r="L686" s="2" t="s">
        <v>39</v>
      </c>
    </row>
    <row r="687" spans="1:12" x14ac:dyDescent="0.3">
      <c r="A687" s="2">
        <v>676</v>
      </c>
      <c r="B687" s="2" t="s">
        <v>2442</v>
      </c>
      <c r="C687" s="2" t="s">
        <v>1935</v>
      </c>
      <c r="D687" s="2" t="s">
        <v>92</v>
      </c>
      <c r="E687" s="2" t="s">
        <v>16</v>
      </c>
      <c r="F687" s="2">
        <v>90</v>
      </c>
      <c r="G687" s="2" t="s">
        <v>2443</v>
      </c>
      <c r="H687" s="2" t="s">
        <v>2444</v>
      </c>
      <c r="I687" s="2" t="s">
        <v>32</v>
      </c>
      <c r="J687" s="3">
        <v>43909</v>
      </c>
      <c r="K687" s="2">
        <v>85</v>
      </c>
      <c r="L687" s="2" t="s">
        <v>39</v>
      </c>
    </row>
    <row r="688" spans="1:12" x14ac:dyDescent="0.3">
      <c r="A688" s="2">
        <v>677</v>
      </c>
      <c r="B688" s="2" t="s">
        <v>2445</v>
      </c>
      <c r="C688" s="2" t="s">
        <v>1251</v>
      </c>
      <c r="D688" s="2" t="s">
        <v>28</v>
      </c>
      <c r="E688" s="2" t="s">
        <v>29</v>
      </c>
      <c r="F688" s="2">
        <v>90</v>
      </c>
      <c r="G688" s="2" t="s">
        <v>2446</v>
      </c>
      <c r="H688" s="2" t="s">
        <v>2447</v>
      </c>
      <c r="I688" s="2" t="s">
        <v>1869</v>
      </c>
      <c r="J688" s="3">
        <v>44175</v>
      </c>
      <c r="K688" s="2">
        <v>20</v>
      </c>
      <c r="L688" s="2" t="s">
        <v>20</v>
      </c>
    </row>
    <row r="689" spans="1:12" x14ac:dyDescent="0.3">
      <c r="A689" s="2">
        <v>678</v>
      </c>
      <c r="B689" s="2" t="s">
        <v>2448</v>
      </c>
      <c r="C689" s="2" t="s">
        <v>2449</v>
      </c>
      <c r="D689" s="2" t="s">
        <v>28</v>
      </c>
      <c r="E689" s="2" t="s">
        <v>29</v>
      </c>
      <c r="F689" s="2">
        <v>30</v>
      </c>
      <c r="G689" s="2" t="s">
        <v>2450</v>
      </c>
      <c r="H689" s="2" t="s">
        <v>1845</v>
      </c>
      <c r="I689" s="2" t="s">
        <v>294</v>
      </c>
      <c r="J689" s="3">
        <v>44516</v>
      </c>
      <c r="K689" s="2">
        <v>31</v>
      </c>
      <c r="L689" s="2" t="s">
        <v>101</v>
      </c>
    </row>
    <row r="690" spans="1:12" x14ac:dyDescent="0.3">
      <c r="A690" s="2">
        <v>679</v>
      </c>
      <c r="B690" s="2" t="s">
        <v>2206</v>
      </c>
      <c r="C690" s="2" t="s">
        <v>2451</v>
      </c>
      <c r="D690" s="2" t="s">
        <v>28</v>
      </c>
      <c r="E690" s="2" t="s">
        <v>29</v>
      </c>
      <c r="F690" s="2">
        <v>90</v>
      </c>
      <c r="G690" s="2" t="s">
        <v>2450</v>
      </c>
      <c r="H690" s="2" t="s">
        <v>275</v>
      </c>
      <c r="I690" s="2" t="s">
        <v>32</v>
      </c>
      <c r="J690" s="3">
        <v>44322</v>
      </c>
      <c r="K690" s="2">
        <v>18</v>
      </c>
      <c r="L690" s="2" t="s">
        <v>33</v>
      </c>
    </row>
    <row r="691" spans="1:12" x14ac:dyDescent="0.3">
      <c r="A691" s="2">
        <v>680</v>
      </c>
      <c r="B691" s="2" t="s">
        <v>2452</v>
      </c>
      <c r="C691" s="2" t="s">
        <v>2453</v>
      </c>
      <c r="D691" s="2" t="s">
        <v>15</v>
      </c>
      <c r="E691" s="2" t="s">
        <v>16</v>
      </c>
      <c r="F691" s="2">
        <v>90</v>
      </c>
      <c r="G691" s="2" t="s">
        <v>2454</v>
      </c>
      <c r="H691" s="2" t="s">
        <v>2336</v>
      </c>
      <c r="I691" s="2" t="s">
        <v>32</v>
      </c>
      <c r="J691" s="3">
        <v>44620</v>
      </c>
      <c r="K691" s="2">
        <v>10</v>
      </c>
      <c r="L691" s="2" t="s">
        <v>54</v>
      </c>
    </row>
    <row r="692" spans="1:12" x14ac:dyDescent="0.3">
      <c r="A692" s="2">
        <v>681</v>
      </c>
      <c r="B692" s="2" t="s">
        <v>2455</v>
      </c>
      <c r="C692" s="2" t="s">
        <v>1710</v>
      </c>
      <c r="D692" s="2" t="s">
        <v>51</v>
      </c>
      <c r="E692" s="2" t="s">
        <v>16</v>
      </c>
      <c r="F692" s="2">
        <v>30</v>
      </c>
      <c r="G692" s="2" t="s">
        <v>2456</v>
      </c>
      <c r="H692" s="2" t="s">
        <v>641</v>
      </c>
      <c r="I692" s="2" t="s">
        <v>294</v>
      </c>
      <c r="J692" s="3">
        <v>44925</v>
      </c>
      <c r="K692" s="2">
        <v>17</v>
      </c>
      <c r="L692" s="2" t="s">
        <v>80</v>
      </c>
    </row>
    <row r="693" spans="1:12" x14ac:dyDescent="0.3">
      <c r="A693" s="2">
        <v>682</v>
      </c>
      <c r="B693" s="2" t="s">
        <v>2457</v>
      </c>
      <c r="C693" s="2" t="s">
        <v>2458</v>
      </c>
      <c r="D693" s="2" t="s">
        <v>51</v>
      </c>
      <c r="E693" s="2" t="s">
        <v>16</v>
      </c>
      <c r="F693" s="2">
        <v>30</v>
      </c>
      <c r="G693" s="2" t="s">
        <v>2459</v>
      </c>
      <c r="H693" s="2" t="s">
        <v>346</v>
      </c>
      <c r="I693" s="2" t="s">
        <v>32</v>
      </c>
      <c r="J693" s="3">
        <v>43985</v>
      </c>
      <c r="K693" s="2">
        <v>44</v>
      </c>
      <c r="L693" s="2" t="s">
        <v>70</v>
      </c>
    </row>
    <row r="694" spans="1:12" x14ac:dyDescent="0.3">
      <c r="A694" s="2">
        <v>683</v>
      </c>
      <c r="B694" s="2" t="s">
        <v>2460</v>
      </c>
      <c r="C694" s="2" t="s">
        <v>2461</v>
      </c>
      <c r="D694" s="2" t="s">
        <v>51</v>
      </c>
      <c r="E694" s="2" t="s">
        <v>16</v>
      </c>
      <c r="F694" s="2">
        <v>90</v>
      </c>
      <c r="G694" s="2" t="s">
        <v>2462</v>
      </c>
      <c r="H694" s="2" t="s">
        <v>2049</v>
      </c>
      <c r="I694" s="2" t="s">
        <v>32</v>
      </c>
      <c r="J694" s="3">
        <v>44887</v>
      </c>
      <c r="K694" s="2">
        <v>53</v>
      </c>
      <c r="L694" s="2" t="s">
        <v>39</v>
      </c>
    </row>
    <row r="695" spans="1:12" x14ac:dyDescent="0.3">
      <c r="A695" s="2">
        <v>684</v>
      </c>
      <c r="B695" s="2" t="s">
        <v>2463</v>
      </c>
      <c r="C695" s="2" t="s">
        <v>1573</v>
      </c>
      <c r="D695" s="2" t="s">
        <v>15</v>
      </c>
      <c r="E695" s="2" t="s">
        <v>16</v>
      </c>
      <c r="F695" s="2">
        <v>60</v>
      </c>
      <c r="G695" s="2" t="s">
        <v>2464</v>
      </c>
      <c r="H695" s="2" t="s">
        <v>1845</v>
      </c>
      <c r="I695" s="2" t="s">
        <v>294</v>
      </c>
      <c r="J695" s="3">
        <v>44775</v>
      </c>
      <c r="K695" s="2">
        <v>17</v>
      </c>
      <c r="L695" s="2" t="s">
        <v>54</v>
      </c>
    </row>
    <row r="696" spans="1:12" x14ac:dyDescent="0.3">
      <c r="A696" s="2">
        <v>685</v>
      </c>
      <c r="B696" s="2" t="s">
        <v>2465</v>
      </c>
      <c r="C696" s="2" t="s">
        <v>653</v>
      </c>
      <c r="D696" s="2" t="s">
        <v>51</v>
      </c>
      <c r="E696" s="2" t="s">
        <v>16</v>
      </c>
      <c r="F696" s="2">
        <v>90</v>
      </c>
      <c r="G696" s="2" t="s">
        <v>2466</v>
      </c>
      <c r="H696" s="2" t="s">
        <v>641</v>
      </c>
      <c r="I696" s="2" t="s">
        <v>294</v>
      </c>
      <c r="J696" s="3">
        <v>43882</v>
      </c>
      <c r="K696" s="2">
        <v>70</v>
      </c>
      <c r="L696" s="2" t="s">
        <v>20</v>
      </c>
    </row>
    <row r="697" spans="1:12" x14ac:dyDescent="0.3">
      <c r="A697" s="2">
        <v>686</v>
      </c>
      <c r="B697" s="2" t="s">
        <v>200</v>
      </c>
      <c r="C697" s="2" t="s">
        <v>2467</v>
      </c>
      <c r="D697" s="2" t="s">
        <v>15</v>
      </c>
      <c r="E697" s="2" t="s">
        <v>16</v>
      </c>
      <c r="F697" s="2">
        <v>30</v>
      </c>
      <c r="G697" s="2" t="s">
        <v>2468</v>
      </c>
      <c r="H697" s="2" t="s">
        <v>2469</v>
      </c>
      <c r="I697" s="2" t="s">
        <v>32</v>
      </c>
      <c r="J697" s="3">
        <v>44571</v>
      </c>
      <c r="K697" s="2">
        <v>78</v>
      </c>
      <c r="L697" s="2" t="s">
        <v>159</v>
      </c>
    </row>
    <row r="698" spans="1:12" x14ac:dyDescent="0.3">
      <c r="A698" s="2">
        <v>687</v>
      </c>
      <c r="B698" s="2" t="s">
        <v>2470</v>
      </c>
      <c r="C698" s="2" t="s">
        <v>2471</v>
      </c>
      <c r="D698" s="2" t="s">
        <v>28</v>
      </c>
      <c r="E698" s="2" t="s">
        <v>29</v>
      </c>
      <c r="F698" s="2">
        <v>90</v>
      </c>
      <c r="G698" s="2" t="s">
        <v>2472</v>
      </c>
      <c r="H698" s="2" t="s">
        <v>123</v>
      </c>
      <c r="I698" s="2" t="s">
        <v>124</v>
      </c>
      <c r="J698" s="3">
        <v>44420</v>
      </c>
      <c r="K698" s="2">
        <v>47</v>
      </c>
      <c r="L698" s="2" t="s">
        <v>70</v>
      </c>
    </row>
    <row r="699" spans="1:12" x14ac:dyDescent="0.3">
      <c r="A699" s="2">
        <v>688</v>
      </c>
      <c r="B699" s="2" t="s">
        <v>2473</v>
      </c>
      <c r="C699" s="2" t="s">
        <v>2474</v>
      </c>
      <c r="D699" s="2" t="s">
        <v>51</v>
      </c>
      <c r="E699" s="2" t="s">
        <v>16</v>
      </c>
      <c r="F699" s="2">
        <v>90</v>
      </c>
      <c r="G699" s="2" t="s">
        <v>2475</v>
      </c>
      <c r="H699" s="2" t="s">
        <v>2476</v>
      </c>
      <c r="I699" s="2" t="s">
        <v>38</v>
      </c>
      <c r="J699" s="3">
        <v>44673</v>
      </c>
      <c r="K699" s="2">
        <v>87</v>
      </c>
      <c r="L699" s="2" t="s">
        <v>20</v>
      </c>
    </row>
    <row r="700" spans="1:12" x14ac:dyDescent="0.3">
      <c r="A700" s="2">
        <v>689</v>
      </c>
      <c r="B700" s="2" t="s">
        <v>2477</v>
      </c>
      <c r="C700" s="2" t="s">
        <v>1979</v>
      </c>
      <c r="D700" s="2" t="s">
        <v>28</v>
      </c>
      <c r="E700" s="2" t="s">
        <v>29</v>
      </c>
      <c r="F700" s="2">
        <v>90</v>
      </c>
      <c r="G700" s="2" t="s">
        <v>2478</v>
      </c>
      <c r="H700" s="2" t="s">
        <v>2479</v>
      </c>
      <c r="I700" s="2" t="s">
        <v>1233</v>
      </c>
      <c r="J700" s="3">
        <v>44439</v>
      </c>
      <c r="K700" s="2">
        <v>88</v>
      </c>
      <c r="L700" s="2" t="s">
        <v>39</v>
      </c>
    </row>
    <row r="701" spans="1:12" x14ac:dyDescent="0.3">
      <c r="A701" s="2">
        <v>690</v>
      </c>
      <c r="B701" s="2" t="s">
        <v>2480</v>
      </c>
      <c r="C701" s="2" t="s">
        <v>2174</v>
      </c>
      <c r="D701" s="2" t="s">
        <v>28</v>
      </c>
      <c r="E701" s="2" t="s">
        <v>29</v>
      </c>
      <c r="F701" s="2">
        <v>90</v>
      </c>
      <c r="G701" s="2" t="s">
        <v>2478</v>
      </c>
      <c r="H701" s="2" t="s">
        <v>641</v>
      </c>
      <c r="I701" s="2" t="s">
        <v>294</v>
      </c>
      <c r="J701" s="3">
        <v>44691</v>
      </c>
      <c r="K701" s="2">
        <v>100</v>
      </c>
      <c r="L701" s="2" t="s">
        <v>54</v>
      </c>
    </row>
    <row r="702" spans="1:12" x14ac:dyDescent="0.3">
      <c r="A702" s="2">
        <v>691</v>
      </c>
      <c r="B702" s="2" t="s">
        <v>2481</v>
      </c>
      <c r="C702" s="2" t="s">
        <v>580</v>
      </c>
      <c r="D702" s="2" t="s">
        <v>51</v>
      </c>
      <c r="E702" s="2" t="s">
        <v>16</v>
      </c>
      <c r="F702" s="2">
        <v>90</v>
      </c>
      <c r="G702" s="2" t="s">
        <v>2482</v>
      </c>
      <c r="H702" s="2" t="s">
        <v>2483</v>
      </c>
      <c r="I702" s="2" t="s">
        <v>1199</v>
      </c>
      <c r="J702" s="3">
        <v>44424</v>
      </c>
      <c r="K702" s="2">
        <v>35</v>
      </c>
      <c r="L702" s="2" t="s">
        <v>70</v>
      </c>
    </row>
    <row r="703" spans="1:12" x14ac:dyDescent="0.3">
      <c r="A703" s="2">
        <v>692</v>
      </c>
      <c r="B703" s="2" t="s">
        <v>2484</v>
      </c>
      <c r="C703" s="2" t="s">
        <v>2485</v>
      </c>
      <c r="D703" s="2" t="s">
        <v>15</v>
      </c>
      <c r="E703" s="2" t="s">
        <v>16</v>
      </c>
      <c r="F703" s="2">
        <v>30</v>
      </c>
      <c r="G703" s="2" t="s">
        <v>10474</v>
      </c>
      <c r="H703" s="2" t="s">
        <v>1712</v>
      </c>
      <c r="I703" s="2" t="s">
        <v>187</v>
      </c>
      <c r="J703" s="3">
        <v>44336</v>
      </c>
      <c r="K703" s="2">
        <v>45</v>
      </c>
      <c r="L703" s="2" t="s">
        <v>64</v>
      </c>
    </row>
    <row r="704" spans="1:12" x14ac:dyDescent="0.3">
      <c r="A704" s="2">
        <v>693</v>
      </c>
      <c r="B704" s="2" t="s">
        <v>2487</v>
      </c>
      <c r="C704" s="2" t="s">
        <v>2488</v>
      </c>
      <c r="D704" s="2" t="s">
        <v>41</v>
      </c>
      <c r="E704" s="2" t="s">
        <v>16</v>
      </c>
      <c r="F704" s="2">
        <v>60</v>
      </c>
      <c r="G704" s="2" t="s">
        <v>2489</v>
      </c>
      <c r="H704" s="2" t="s">
        <v>2490</v>
      </c>
      <c r="I704" s="2" t="s">
        <v>32</v>
      </c>
      <c r="J704" s="3">
        <v>44783</v>
      </c>
      <c r="K704" s="2">
        <v>68</v>
      </c>
      <c r="L704" s="2" t="s">
        <v>54</v>
      </c>
    </row>
    <row r="705" spans="1:12" x14ac:dyDescent="0.3">
      <c r="A705" s="2">
        <v>694</v>
      </c>
      <c r="B705" s="2" t="s">
        <v>2491</v>
      </c>
      <c r="C705" s="2" t="s">
        <v>2492</v>
      </c>
      <c r="D705" s="2" t="s">
        <v>28</v>
      </c>
      <c r="E705" s="2" t="s">
        <v>29</v>
      </c>
      <c r="F705" s="2">
        <v>60</v>
      </c>
      <c r="G705" s="2" t="s">
        <v>2493</v>
      </c>
      <c r="H705" s="2" t="s">
        <v>2494</v>
      </c>
      <c r="I705" s="2" t="s">
        <v>25</v>
      </c>
      <c r="J705" s="3">
        <v>44605</v>
      </c>
      <c r="K705" s="2">
        <v>73</v>
      </c>
      <c r="L705" s="2" t="s">
        <v>80</v>
      </c>
    </row>
    <row r="706" spans="1:12" x14ac:dyDescent="0.3">
      <c r="A706" s="2">
        <v>695</v>
      </c>
      <c r="B706" s="2" t="s">
        <v>2495</v>
      </c>
      <c r="C706" s="2" t="s">
        <v>2496</v>
      </c>
      <c r="D706" s="2" t="s">
        <v>28</v>
      </c>
      <c r="E706" s="2" t="s">
        <v>29</v>
      </c>
      <c r="F706" s="2">
        <v>90</v>
      </c>
      <c r="G706" s="2" t="s">
        <v>2497</v>
      </c>
      <c r="H706" s="2" t="s">
        <v>2498</v>
      </c>
      <c r="I706" s="2" t="s">
        <v>913</v>
      </c>
      <c r="J706" s="3">
        <v>44567</v>
      </c>
      <c r="K706" s="2">
        <v>12</v>
      </c>
      <c r="L706" s="2" t="s">
        <v>101</v>
      </c>
    </row>
    <row r="707" spans="1:12" x14ac:dyDescent="0.3">
      <c r="A707" s="2">
        <v>696</v>
      </c>
      <c r="B707" s="2" t="s">
        <v>794</v>
      </c>
      <c r="C707" s="2" t="s">
        <v>2499</v>
      </c>
      <c r="D707" s="2" t="s">
        <v>15</v>
      </c>
      <c r="E707" s="2" t="s">
        <v>16</v>
      </c>
      <c r="F707" s="2">
        <v>30</v>
      </c>
      <c r="G707" s="2" t="s">
        <v>2500</v>
      </c>
      <c r="H707" s="2" t="s">
        <v>734</v>
      </c>
      <c r="I707" s="2" t="s">
        <v>32</v>
      </c>
      <c r="J707" s="3">
        <v>44914</v>
      </c>
      <c r="K707" s="2">
        <v>59</v>
      </c>
      <c r="L707" s="2" t="s">
        <v>159</v>
      </c>
    </row>
    <row r="708" spans="1:12" x14ac:dyDescent="0.3">
      <c r="A708" s="2">
        <v>697</v>
      </c>
      <c r="B708" s="2" t="s">
        <v>2501</v>
      </c>
      <c r="C708" s="2" t="s">
        <v>2071</v>
      </c>
      <c r="D708" s="2" t="s">
        <v>28</v>
      </c>
      <c r="E708" s="2" t="s">
        <v>29</v>
      </c>
      <c r="F708" s="2">
        <v>90</v>
      </c>
      <c r="G708" s="2" t="s">
        <v>2502</v>
      </c>
      <c r="H708" s="2" t="s">
        <v>2503</v>
      </c>
      <c r="I708" s="2" t="s">
        <v>187</v>
      </c>
      <c r="J708" s="3">
        <v>44722</v>
      </c>
      <c r="K708" s="2">
        <v>10</v>
      </c>
      <c r="L708" s="2" t="s">
        <v>39</v>
      </c>
    </row>
    <row r="709" spans="1:12" x14ac:dyDescent="0.3">
      <c r="A709" s="2">
        <v>698</v>
      </c>
      <c r="B709" s="2" t="s">
        <v>2504</v>
      </c>
      <c r="C709" s="2" t="s">
        <v>2505</v>
      </c>
      <c r="D709" s="2" t="s">
        <v>51</v>
      </c>
      <c r="E709" s="2" t="s">
        <v>16</v>
      </c>
      <c r="F709" s="2">
        <v>30</v>
      </c>
      <c r="G709" s="2" t="s">
        <v>2502</v>
      </c>
      <c r="H709" s="2" t="s">
        <v>2506</v>
      </c>
      <c r="I709" s="2" t="s">
        <v>32</v>
      </c>
      <c r="J709" s="3">
        <v>44860</v>
      </c>
      <c r="K709" s="2">
        <v>95</v>
      </c>
      <c r="L709" s="2" t="s">
        <v>64</v>
      </c>
    </row>
    <row r="710" spans="1:12" x14ac:dyDescent="0.3">
      <c r="A710" s="2">
        <v>699</v>
      </c>
      <c r="B710" s="2" t="s">
        <v>21</v>
      </c>
      <c r="C710" s="2" t="s">
        <v>2507</v>
      </c>
      <c r="D710" s="2" t="s">
        <v>51</v>
      </c>
      <c r="E710" s="2" t="s">
        <v>16</v>
      </c>
      <c r="F710" s="2">
        <v>90</v>
      </c>
      <c r="G710" s="2" t="s">
        <v>2508</v>
      </c>
      <c r="H710" s="2" t="s">
        <v>2509</v>
      </c>
      <c r="I710" s="2" t="s">
        <v>32</v>
      </c>
      <c r="J710" s="3">
        <v>44197</v>
      </c>
      <c r="K710" s="2">
        <v>71</v>
      </c>
      <c r="L710" s="2" t="s">
        <v>45</v>
      </c>
    </row>
    <row r="711" spans="1:12" x14ac:dyDescent="0.3">
      <c r="A711" s="2">
        <v>700</v>
      </c>
      <c r="B711" s="2" t="s">
        <v>2510</v>
      </c>
      <c r="C711" s="2" t="s">
        <v>1380</v>
      </c>
      <c r="D711" s="2" t="s">
        <v>92</v>
      </c>
      <c r="E711" s="2" t="s">
        <v>29</v>
      </c>
      <c r="F711" s="2">
        <v>90</v>
      </c>
      <c r="G711" s="2" t="s">
        <v>2511</v>
      </c>
      <c r="H711" s="2" t="s">
        <v>2512</v>
      </c>
      <c r="I711" s="2" t="s">
        <v>32</v>
      </c>
      <c r="J711" s="3">
        <v>44803</v>
      </c>
      <c r="K711" s="2">
        <v>54</v>
      </c>
      <c r="L711" s="2" t="s">
        <v>64</v>
      </c>
    </row>
    <row r="712" spans="1:12" x14ac:dyDescent="0.3">
      <c r="A712" s="2">
        <v>701</v>
      </c>
      <c r="B712" s="2" t="s">
        <v>2513</v>
      </c>
      <c r="C712" s="2" t="s">
        <v>1662</v>
      </c>
      <c r="D712" s="2" t="s">
        <v>51</v>
      </c>
      <c r="E712" s="2" t="s">
        <v>16</v>
      </c>
      <c r="F712" s="2">
        <v>30</v>
      </c>
      <c r="G712" s="2" t="s">
        <v>2514</v>
      </c>
      <c r="H712" s="2" t="s">
        <v>698</v>
      </c>
      <c r="I712" s="2" t="s">
        <v>213</v>
      </c>
      <c r="J712" s="3">
        <v>44810</v>
      </c>
      <c r="K712" s="2">
        <v>103</v>
      </c>
      <c r="L712" s="2" t="s">
        <v>45</v>
      </c>
    </row>
    <row r="713" spans="1:12" x14ac:dyDescent="0.3">
      <c r="A713" s="2">
        <v>702</v>
      </c>
      <c r="B713" s="2" t="s">
        <v>2364</v>
      </c>
      <c r="C713" s="2" t="s">
        <v>2515</v>
      </c>
      <c r="D713" s="2" t="s">
        <v>28</v>
      </c>
      <c r="E713" s="2" t="s">
        <v>29</v>
      </c>
      <c r="F713" s="2">
        <v>30</v>
      </c>
      <c r="G713" s="2" t="s">
        <v>2514</v>
      </c>
      <c r="H713" s="2" t="s">
        <v>2516</v>
      </c>
      <c r="I713" s="2" t="s">
        <v>32</v>
      </c>
      <c r="J713" s="3">
        <v>44476</v>
      </c>
      <c r="K713" s="2">
        <v>35</v>
      </c>
      <c r="L713" s="2" t="s">
        <v>39</v>
      </c>
    </row>
    <row r="714" spans="1:12" x14ac:dyDescent="0.3">
      <c r="A714" s="2">
        <v>703</v>
      </c>
      <c r="B714" s="2" t="s">
        <v>2517</v>
      </c>
      <c r="C714" s="2" t="s">
        <v>2518</v>
      </c>
      <c r="D714" s="2" t="s">
        <v>15</v>
      </c>
      <c r="E714" s="2" t="s">
        <v>16</v>
      </c>
      <c r="F714" s="2">
        <v>30</v>
      </c>
      <c r="G714" s="2" t="s">
        <v>2519</v>
      </c>
      <c r="H714" s="2" t="s">
        <v>641</v>
      </c>
      <c r="I714" s="2" t="s">
        <v>294</v>
      </c>
      <c r="J714" s="3">
        <v>44887</v>
      </c>
      <c r="K714" s="2">
        <v>39</v>
      </c>
      <c r="L714" s="2" t="s">
        <v>159</v>
      </c>
    </row>
    <row r="715" spans="1:12" x14ac:dyDescent="0.3">
      <c r="A715" s="2">
        <v>704</v>
      </c>
      <c r="B715" s="2" t="s">
        <v>2520</v>
      </c>
      <c r="C715" s="2" t="s">
        <v>2521</v>
      </c>
      <c r="D715" s="2" t="s">
        <v>28</v>
      </c>
      <c r="E715" s="2" t="s">
        <v>29</v>
      </c>
      <c r="F715" s="2">
        <v>90</v>
      </c>
      <c r="G715" s="2" t="s">
        <v>2522</v>
      </c>
      <c r="H715" s="2" t="s">
        <v>1119</v>
      </c>
      <c r="I715" s="2" t="s">
        <v>240</v>
      </c>
      <c r="J715" s="3">
        <v>44647</v>
      </c>
      <c r="K715" s="2">
        <v>83</v>
      </c>
      <c r="L715" s="2" t="s">
        <v>70</v>
      </c>
    </row>
    <row r="716" spans="1:12" x14ac:dyDescent="0.3">
      <c r="A716" s="2">
        <v>705</v>
      </c>
      <c r="B716" s="2" t="s">
        <v>2523</v>
      </c>
      <c r="C716" s="2" t="s">
        <v>2524</v>
      </c>
      <c r="D716" s="2" t="s">
        <v>28</v>
      </c>
      <c r="E716" s="2" t="s">
        <v>29</v>
      </c>
      <c r="F716" s="2">
        <v>60</v>
      </c>
      <c r="G716" s="2" t="s">
        <v>2525</v>
      </c>
      <c r="H716" s="2" t="s">
        <v>2526</v>
      </c>
      <c r="I716" s="2" t="s">
        <v>95</v>
      </c>
      <c r="J716" s="3">
        <v>44592</v>
      </c>
      <c r="K716" s="2">
        <v>61</v>
      </c>
      <c r="L716" s="2" t="s">
        <v>64</v>
      </c>
    </row>
    <row r="717" spans="1:12" x14ac:dyDescent="0.3">
      <c r="A717" s="2">
        <v>706</v>
      </c>
      <c r="B717" s="2" t="s">
        <v>2527</v>
      </c>
      <c r="C717" s="2" t="s">
        <v>2528</v>
      </c>
      <c r="D717" s="2" t="s">
        <v>28</v>
      </c>
      <c r="E717" s="2" t="s">
        <v>29</v>
      </c>
      <c r="F717" s="2">
        <v>60</v>
      </c>
      <c r="G717" s="2" t="s">
        <v>2529</v>
      </c>
      <c r="H717" s="2" t="s">
        <v>2530</v>
      </c>
      <c r="I717" s="2" t="s">
        <v>32</v>
      </c>
      <c r="J717" s="3">
        <v>44308</v>
      </c>
      <c r="K717" s="2">
        <v>53</v>
      </c>
      <c r="L717" s="2" t="s">
        <v>80</v>
      </c>
    </row>
    <row r="718" spans="1:12" x14ac:dyDescent="0.3">
      <c r="A718" s="2">
        <v>707</v>
      </c>
      <c r="B718" s="2" t="s">
        <v>2531</v>
      </c>
      <c r="C718" s="2" t="s">
        <v>647</v>
      </c>
      <c r="D718" s="2" t="s">
        <v>41</v>
      </c>
      <c r="E718" s="2" t="s">
        <v>16</v>
      </c>
      <c r="F718" s="2">
        <v>60</v>
      </c>
      <c r="G718" s="2" t="s">
        <v>2532</v>
      </c>
      <c r="H718" s="2" t="s">
        <v>2533</v>
      </c>
      <c r="I718" s="2" t="s">
        <v>2534</v>
      </c>
      <c r="J718" s="3">
        <v>44361</v>
      </c>
      <c r="K718" s="2">
        <v>15</v>
      </c>
      <c r="L718" s="2" t="s">
        <v>101</v>
      </c>
    </row>
    <row r="719" spans="1:12" x14ac:dyDescent="0.3">
      <c r="A719" s="2">
        <v>708</v>
      </c>
      <c r="B719" s="2" t="s">
        <v>2445</v>
      </c>
      <c r="C719" s="2" t="s">
        <v>2344</v>
      </c>
      <c r="D719" s="2" t="s">
        <v>28</v>
      </c>
      <c r="E719" s="2" t="s">
        <v>29</v>
      </c>
      <c r="F719" s="2">
        <v>60</v>
      </c>
      <c r="G719" s="2" t="s">
        <v>2535</v>
      </c>
      <c r="H719" s="2" t="s">
        <v>2536</v>
      </c>
      <c r="I719" s="2" t="s">
        <v>124</v>
      </c>
      <c r="J719" s="3">
        <v>44174</v>
      </c>
      <c r="K719" s="2">
        <v>58</v>
      </c>
      <c r="L719" s="2" t="s">
        <v>45</v>
      </c>
    </row>
    <row r="720" spans="1:12" x14ac:dyDescent="0.3">
      <c r="A720" s="2">
        <v>709</v>
      </c>
      <c r="B720" s="2" t="s">
        <v>2537</v>
      </c>
      <c r="C720" s="2" t="s">
        <v>1148</v>
      </c>
      <c r="D720" s="2" t="s">
        <v>51</v>
      </c>
      <c r="E720" s="2" t="s">
        <v>16</v>
      </c>
      <c r="F720" s="2">
        <v>30</v>
      </c>
      <c r="G720" s="2" t="s">
        <v>2538</v>
      </c>
      <c r="H720" s="2" t="s">
        <v>2539</v>
      </c>
      <c r="I720" s="2" t="s">
        <v>178</v>
      </c>
      <c r="J720" s="3">
        <v>44702</v>
      </c>
      <c r="K720" s="2">
        <v>35</v>
      </c>
      <c r="L720" s="2" t="s">
        <v>101</v>
      </c>
    </row>
    <row r="721" spans="1:12" x14ac:dyDescent="0.3">
      <c r="A721" s="2">
        <v>710</v>
      </c>
      <c r="B721" s="2" t="s">
        <v>237</v>
      </c>
      <c r="C721" s="2" t="s">
        <v>268</v>
      </c>
      <c r="D721" s="2" t="s">
        <v>28</v>
      </c>
      <c r="E721" s="2" t="s">
        <v>29</v>
      </c>
      <c r="F721" s="2">
        <v>30</v>
      </c>
      <c r="G721" s="2" t="s">
        <v>2538</v>
      </c>
      <c r="H721" s="2" t="s">
        <v>2183</v>
      </c>
      <c r="I721" s="2" t="s">
        <v>124</v>
      </c>
      <c r="J721" s="3">
        <v>44676</v>
      </c>
      <c r="K721" s="2">
        <v>7</v>
      </c>
      <c r="L721" s="2" t="s">
        <v>80</v>
      </c>
    </row>
    <row r="722" spans="1:12" x14ac:dyDescent="0.3">
      <c r="A722" s="2">
        <v>711</v>
      </c>
      <c r="B722" s="2" t="s">
        <v>2540</v>
      </c>
      <c r="C722" s="2" t="s">
        <v>2017</v>
      </c>
      <c r="D722" s="2" t="s">
        <v>28</v>
      </c>
      <c r="E722" s="2" t="s">
        <v>29</v>
      </c>
      <c r="F722" s="2">
        <v>60</v>
      </c>
      <c r="G722" s="2" t="s">
        <v>2541</v>
      </c>
      <c r="H722" s="2" t="s">
        <v>2542</v>
      </c>
      <c r="I722" s="2" t="s">
        <v>2543</v>
      </c>
      <c r="J722" s="3">
        <v>44601</v>
      </c>
      <c r="K722" s="2">
        <v>60</v>
      </c>
      <c r="L722" s="2" t="s">
        <v>64</v>
      </c>
    </row>
    <row r="723" spans="1:12" x14ac:dyDescent="0.3">
      <c r="A723" s="2">
        <v>712</v>
      </c>
      <c r="B723" s="2" t="s">
        <v>2544</v>
      </c>
      <c r="C723" s="2" t="s">
        <v>2515</v>
      </c>
      <c r="D723" s="2" t="s">
        <v>51</v>
      </c>
      <c r="E723" s="2" t="s">
        <v>16</v>
      </c>
      <c r="F723" s="2">
        <v>90</v>
      </c>
      <c r="G723" s="2" t="s">
        <v>2545</v>
      </c>
      <c r="H723" s="2" t="s">
        <v>1837</v>
      </c>
      <c r="I723" s="2" t="s">
        <v>173</v>
      </c>
      <c r="J723" s="3">
        <v>44228</v>
      </c>
      <c r="K723" s="2">
        <v>52</v>
      </c>
      <c r="L723" s="2" t="s">
        <v>70</v>
      </c>
    </row>
    <row r="724" spans="1:12" x14ac:dyDescent="0.3">
      <c r="A724" s="2">
        <v>713</v>
      </c>
      <c r="B724" s="2" t="s">
        <v>2546</v>
      </c>
      <c r="C724" s="2" t="s">
        <v>2547</v>
      </c>
      <c r="D724" s="2" t="s">
        <v>15</v>
      </c>
      <c r="E724" s="2" t="s">
        <v>16</v>
      </c>
      <c r="F724" s="2">
        <v>60</v>
      </c>
      <c r="G724" s="2" t="s">
        <v>2548</v>
      </c>
      <c r="H724" s="2" t="s">
        <v>1768</v>
      </c>
      <c r="I724" s="2" t="s">
        <v>32</v>
      </c>
      <c r="J724" s="3">
        <v>44031</v>
      </c>
      <c r="K724" s="2">
        <v>73</v>
      </c>
      <c r="L724" s="2" t="s">
        <v>45</v>
      </c>
    </row>
    <row r="725" spans="1:12" x14ac:dyDescent="0.3">
      <c r="A725" s="2">
        <v>714</v>
      </c>
      <c r="B725" s="2" t="s">
        <v>2549</v>
      </c>
      <c r="C725" s="2" t="s">
        <v>2550</v>
      </c>
      <c r="D725" s="2" t="s">
        <v>15</v>
      </c>
      <c r="E725" s="2" t="s">
        <v>16</v>
      </c>
      <c r="F725" s="2">
        <v>60</v>
      </c>
      <c r="G725" s="2" t="s">
        <v>2551</v>
      </c>
      <c r="H725" s="2" t="s">
        <v>2552</v>
      </c>
      <c r="I725" s="2" t="s">
        <v>32</v>
      </c>
      <c r="J725" s="3">
        <v>44842</v>
      </c>
      <c r="K725" s="2">
        <v>17</v>
      </c>
      <c r="L725" s="2" t="s">
        <v>54</v>
      </c>
    </row>
    <row r="726" spans="1:12" x14ac:dyDescent="0.3">
      <c r="A726" s="2">
        <v>715</v>
      </c>
      <c r="B726" s="2" t="s">
        <v>683</v>
      </c>
      <c r="C726" s="2" t="s">
        <v>2553</v>
      </c>
      <c r="D726" s="2" t="s">
        <v>28</v>
      </c>
      <c r="E726" s="2" t="s">
        <v>29</v>
      </c>
      <c r="F726" s="2">
        <v>30</v>
      </c>
      <c r="G726" s="2" t="s">
        <v>2554</v>
      </c>
      <c r="H726" s="2" t="s">
        <v>2555</v>
      </c>
      <c r="I726" s="2" t="s">
        <v>32</v>
      </c>
      <c r="J726" s="3">
        <v>44681</v>
      </c>
      <c r="K726" s="2">
        <v>87</v>
      </c>
      <c r="L726" s="2" t="s">
        <v>20</v>
      </c>
    </row>
    <row r="727" spans="1:12" x14ac:dyDescent="0.3">
      <c r="A727" s="2">
        <v>716</v>
      </c>
      <c r="B727" s="2" t="s">
        <v>2556</v>
      </c>
      <c r="C727" s="2" t="s">
        <v>2557</v>
      </c>
      <c r="D727" s="2" t="s">
        <v>28</v>
      </c>
      <c r="E727" s="2" t="s">
        <v>29</v>
      </c>
      <c r="F727" s="2">
        <v>60</v>
      </c>
      <c r="G727" s="2" t="s">
        <v>2558</v>
      </c>
      <c r="H727" s="2" t="s">
        <v>2559</v>
      </c>
      <c r="I727" s="2" t="s">
        <v>124</v>
      </c>
      <c r="J727" s="3">
        <v>44073</v>
      </c>
      <c r="K727" s="2">
        <v>60</v>
      </c>
      <c r="L727" s="2" t="s">
        <v>39</v>
      </c>
    </row>
    <row r="728" spans="1:12" x14ac:dyDescent="0.3">
      <c r="A728" s="2">
        <v>717</v>
      </c>
      <c r="B728" s="2" t="s">
        <v>2560</v>
      </c>
      <c r="C728" s="2" t="s">
        <v>2561</v>
      </c>
      <c r="D728" s="2" t="s">
        <v>15</v>
      </c>
      <c r="E728" s="2" t="s">
        <v>16</v>
      </c>
      <c r="F728" s="2">
        <v>60</v>
      </c>
      <c r="G728" s="2" t="s">
        <v>2558</v>
      </c>
      <c r="H728" s="2" t="s">
        <v>1519</v>
      </c>
      <c r="I728" s="2" t="s">
        <v>32</v>
      </c>
      <c r="J728" s="3">
        <v>43920</v>
      </c>
      <c r="K728" s="2">
        <v>50</v>
      </c>
      <c r="L728" s="2" t="s">
        <v>45</v>
      </c>
    </row>
    <row r="729" spans="1:12" x14ac:dyDescent="0.3">
      <c r="A729" s="2">
        <v>718</v>
      </c>
      <c r="B729" s="2" t="s">
        <v>2562</v>
      </c>
      <c r="C729" s="2" t="s">
        <v>2563</v>
      </c>
      <c r="D729" s="2" t="s">
        <v>28</v>
      </c>
      <c r="E729" s="2" t="s">
        <v>29</v>
      </c>
      <c r="F729" s="2">
        <v>90</v>
      </c>
      <c r="G729" s="2" t="s">
        <v>2564</v>
      </c>
      <c r="H729" s="2" t="s">
        <v>781</v>
      </c>
      <c r="I729" s="2" t="s">
        <v>294</v>
      </c>
      <c r="J729" s="3">
        <v>44139</v>
      </c>
      <c r="K729" s="2">
        <v>32</v>
      </c>
      <c r="L729" s="2" t="s">
        <v>101</v>
      </c>
    </row>
    <row r="730" spans="1:12" x14ac:dyDescent="0.3">
      <c r="A730" s="2">
        <v>719</v>
      </c>
      <c r="B730" s="2" t="s">
        <v>2565</v>
      </c>
      <c r="C730" s="2" t="s">
        <v>2566</v>
      </c>
      <c r="D730" s="2" t="s">
        <v>28</v>
      </c>
      <c r="E730" s="2" t="s">
        <v>29</v>
      </c>
      <c r="F730" s="2">
        <v>30</v>
      </c>
      <c r="G730" s="2" t="s">
        <v>2567</v>
      </c>
      <c r="H730" s="2" t="s">
        <v>781</v>
      </c>
      <c r="I730" s="2" t="s">
        <v>294</v>
      </c>
      <c r="J730" s="3">
        <v>43998</v>
      </c>
      <c r="K730" s="2">
        <v>44</v>
      </c>
      <c r="L730" s="2" t="s">
        <v>70</v>
      </c>
    </row>
    <row r="731" spans="1:12" x14ac:dyDescent="0.3">
      <c r="A731" s="2">
        <v>720</v>
      </c>
      <c r="B731" s="2" t="s">
        <v>2568</v>
      </c>
      <c r="C731" s="2" t="s">
        <v>394</v>
      </c>
      <c r="D731" s="2" t="s">
        <v>15</v>
      </c>
      <c r="E731" s="2" t="s">
        <v>16</v>
      </c>
      <c r="F731" s="2">
        <v>30</v>
      </c>
      <c r="G731" s="2" t="s">
        <v>2569</v>
      </c>
      <c r="H731" s="2" t="s">
        <v>2570</v>
      </c>
      <c r="I731" s="2" t="s">
        <v>32</v>
      </c>
      <c r="J731" s="3">
        <v>44190</v>
      </c>
      <c r="K731" s="2">
        <v>62</v>
      </c>
      <c r="L731" s="2" t="s">
        <v>33</v>
      </c>
    </row>
    <row r="732" spans="1:12" x14ac:dyDescent="0.3">
      <c r="A732" s="2">
        <v>721</v>
      </c>
      <c r="B732" s="2" t="s">
        <v>2571</v>
      </c>
      <c r="C732" s="2" t="s">
        <v>2572</v>
      </c>
      <c r="D732" s="2" t="s">
        <v>15</v>
      </c>
      <c r="E732" s="2" t="s">
        <v>16</v>
      </c>
      <c r="F732" s="2">
        <v>30</v>
      </c>
      <c r="G732" s="2" t="s">
        <v>2573</v>
      </c>
      <c r="H732" s="2" t="s">
        <v>2137</v>
      </c>
      <c r="I732" s="2" t="s">
        <v>187</v>
      </c>
      <c r="J732" s="3">
        <v>44136</v>
      </c>
      <c r="K732" s="2">
        <v>7</v>
      </c>
      <c r="L732" s="2" t="s">
        <v>20</v>
      </c>
    </row>
    <row r="733" spans="1:12" x14ac:dyDescent="0.3">
      <c r="A733" s="2">
        <v>722</v>
      </c>
      <c r="B733" s="2" t="s">
        <v>2574</v>
      </c>
      <c r="C733" s="2" t="s">
        <v>2575</v>
      </c>
      <c r="D733" s="2" t="s">
        <v>28</v>
      </c>
      <c r="E733" s="2" t="s">
        <v>29</v>
      </c>
      <c r="F733" s="2">
        <v>30</v>
      </c>
      <c r="G733" s="2" t="s">
        <v>2576</v>
      </c>
      <c r="H733" s="2" t="s">
        <v>2577</v>
      </c>
      <c r="I733" s="2" t="s">
        <v>645</v>
      </c>
      <c r="J733" s="3">
        <v>44612</v>
      </c>
      <c r="K733" s="2">
        <v>33</v>
      </c>
      <c r="L733" s="2" t="s">
        <v>64</v>
      </c>
    </row>
    <row r="734" spans="1:12" x14ac:dyDescent="0.3">
      <c r="A734" s="2">
        <v>723</v>
      </c>
      <c r="B734" s="2" t="s">
        <v>2520</v>
      </c>
      <c r="C734" s="2" t="s">
        <v>107</v>
      </c>
      <c r="D734" s="2" t="s">
        <v>28</v>
      </c>
      <c r="E734" s="2" t="s">
        <v>29</v>
      </c>
      <c r="F734" s="2">
        <v>60</v>
      </c>
      <c r="G734" s="2" t="s">
        <v>2578</v>
      </c>
      <c r="H734" s="2" t="s">
        <v>2579</v>
      </c>
      <c r="I734" s="2" t="s">
        <v>425</v>
      </c>
      <c r="J734" s="3">
        <v>44603</v>
      </c>
      <c r="K734" s="2">
        <v>70</v>
      </c>
      <c r="L734" s="2" t="s">
        <v>54</v>
      </c>
    </row>
    <row r="735" spans="1:12" x14ac:dyDescent="0.3">
      <c r="A735" s="2">
        <v>724</v>
      </c>
      <c r="B735" s="2" t="s">
        <v>2580</v>
      </c>
      <c r="C735" s="2" t="s">
        <v>2581</v>
      </c>
      <c r="D735" s="2" t="s">
        <v>51</v>
      </c>
      <c r="E735" s="2" t="s">
        <v>16</v>
      </c>
      <c r="F735" s="2">
        <v>60</v>
      </c>
      <c r="G735" s="2" t="s">
        <v>2582</v>
      </c>
      <c r="H735" s="2" t="s">
        <v>2583</v>
      </c>
      <c r="I735" s="2" t="s">
        <v>32</v>
      </c>
      <c r="J735" s="3">
        <v>44496</v>
      </c>
      <c r="K735" s="2">
        <v>58</v>
      </c>
      <c r="L735" s="2" t="s">
        <v>33</v>
      </c>
    </row>
    <row r="736" spans="1:12" x14ac:dyDescent="0.3">
      <c r="A736" s="2">
        <v>725</v>
      </c>
      <c r="B736" s="2" t="s">
        <v>2584</v>
      </c>
      <c r="C736" s="2" t="s">
        <v>2585</v>
      </c>
      <c r="D736" s="2" t="s">
        <v>28</v>
      </c>
      <c r="E736" s="2" t="s">
        <v>29</v>
      </c>
      <c r="F736" s="2">
        <v>60</v>
      </c>
      <c r="G736" s="2" t="s">
        <v>2586</v>
      </c>
      <c r="H736" s="2" t="s">
        <v>2587</v>
      </c>
      <c r="I736" s="2" t="s">
        <v>124</v>
      </c>
      <c r="J736" s="3">
        <v>44747</v>
      </c>
      <c r="K736" s="2">
        <v>81</v>
      </c>
      <c r="L736" s="2" t="s">
        <v>45</v>
      </c>
    </row>
    <row r="737" spans="1:12" x14ac:dyDescent="0.3">
      <c r="A737" s="2">
        <v>726</v>
      </c>
      <c r="B737" s="2" t="s">
        <v>2588</v>
      </c>
      <c r="C737" s="2" t="s">
        <v>2589</v>
      </c>
      <c r="D737" s="2" t="s">
        <v>15</v>
      </c>
      <c r="E737" s="2" t="s">
        <v>16</v>
      </c>
      <c r="F737" s="2">
        <v>90</v>
      </c>
      <c r="G737" s="2" t="s">
        <v>2590</v>
      </c>
      <c r="H737" s="2" t="s">
        <v>2591</v>
      </c>
      <c r="I737" s="2" t="s">
        <v>38</v>
      </c>
      <c r="J737" s="3">
        <v>44219</v>
      </c>
      <c r="K737" s="2">
        <v>72</v>
      </c>
      <c r="L737" s="2" t="s">
        <v>159</v>
      </c>
    </row>
    <row r="738" spans="1:12" x14ac:dyDescent="0.3">
      <c r="A738" s="2">
        <v>727</v>
      </c>
      <c r="B738" s="2" t="s">
        <v>308</v>
      </c>
      <c r="C738" s="2" t="s">
        <v>2553</v>
      </c>
      <c r="D738" s="2" t="s">
        <v>15</v>
      </c>
      <c r="E738" s="2" t="s">
        <v>16</v>
      </c>
      <c r="F738" s="2">
        <v>60</v>
      </c>
      <c r="G738" s="2" t="s">
        <v>2592</v>
      </c>
      <c r="H738" s="2" t="s">
        <v>139</v>
      </c>
      <c r="I738" s="2" t="s">
        <v>2593</v>
      </c>
      <c r="J738" s="3">
        <v>44248</v>
      </c>
      <c r="K738" s="2">
        <v>26</v>
      </c>
      <c r="L738" s="2" t="s">
        <v>54</v>
      </c>
    </row>
    <row r="739" spans="1:12" x14ac:dyDescent="0.3">
      <c r="A739" s="2">
        <v>728</v>
      </c>
      <c r="B739" s="2" t="s">
        <v>249</v>
      </c>
      <c r="C739" s="2" t="s">
        <v>2594</v>
      </c>
      <c r="D739" s="2" t="s">
        <v>28</v>
      </c>
      <c r="E739" s="2" t="s">
        <v>29</v>
      </c>
      <c r="F739" s="2">
        <v>60</v>
      </c>
      <c r="G739" s="2" t="s">
        <v>2595</v>
      </c>
      <c r="H739" s="2" t="s">
        <v>904</v>
      </c>
      <c r="I739" s="2" t="s">
        <v>32</v>
      </c>
      <c r="J739" s="3">
        <v>44502</v>
      </c>
      <c r="K739" s="2">
        <v>11</v>
      </c>
      <c r="L739" s="2" t="s">
        <v>70</v>
      </c>
    </row>
    <row r="740" spans="1:12" x14ac:dyDescent="0.3">
      <c r="A740" s="2">
        <v>729</v>
      </c>
      <c r="B740" s="2" t="s">
        <v>2596</v>
      </c>
      <c r="C740" s="2" t="s">
        <v>2597</v>
      </c>
      <c r="D740" s="2" t="s">
        <v>51</v>
      </c>
      <c r="E740" s="2" t="s">
        <v>16</v>
      </c>
      <c r="F740" s="2">
        <v>90</v>
      </c>
      <c r="G740" s="2" t="s">
        <v>2598</v>
      </c>
      <c r="H740" s="2" t="s">
        <v>2599</v>
      </c>
      <c r="I740" s="2" t="s">
        <v>25</v>
      </c>
      <c r="J740" s="3">
        <v>44861</v>
      </c>
      <c r="K740" s="2">
        <v>9</v>
      </c>
      <c r="L740" s="2" t="s">
        <v>80</v>
      </c>
    </row>
    <row r="741" spans="1:12" x14ac:dyDescent="0.3">
      <c r="A741" s="2">
        <v>730</v>
      </c>
      <c r="B741" s="2" t="s">
        <v>2600</v>
      </c>
      <c r="C741" s="2" t="s">
        <v>2601</v>
      </c>
      <c r="D741" s="2" t="s">
        <v>51</v>
      </c>
      <c r="E741" s="2" t="s">
        <v>16</v>
      </c>
      <c r="F741" s="2">
        <v>30</v>
      </c>
      <c r="G741" s="2" t="s">
        <v>2602</v>
      </c>
      <c r="H741" s="2" t="s">
        <v>2603</v>
      </c>
      <c r="I741" s="2" t="s">
        <v>2604</v>
      </c>
      <c r="J741" s="3">
        <v>44169</v>
      </c>
      <c r="K741" s="2">
        <v>74</v>
      </c>
      <c r="L741" s="2" t="s">
        <v>159</v>
      </c>
    </row>
    <row r="742" spans="1:12" x14ac:dyDescent="0.3">
      <c r="A742" s="2">
        <v>731</v>
      </c>
      <c r="B742" s="2" t="s">
        <v>2605</v>
      </c>
      <c r="C742" s="2" t="s">
        <v>2606</v>
      </c>
      <c r="D742" s="2" t="s">
        <v>28</v>
      </c>
      <c r="E742" s="2" t="s">
        <v>29</v>
      </c>
      <c r="F742" s="2">
        <v>90</v>
      </c>
      <c r="G742" s="2" t="s">
        <v>2607</v>
      </c>
      <c r="H742" s="2" t="s">
        <v>2608</v>
      </c>
      <c r="I742" s="2" t="s">
        <v>38</v>
      </c>
      <c r="J742" s="3">
        <v>44812</v>
      </c>
      <c r="K742" s="2">
        <v>102</v>
      </c>
      <c r="L742" s="2" t="s">
        <v>70</v>
      </c>
    </row>
    <row r="743" spans="1:12" x14ac:dyDescent="0.3">
      <c r="A743" s="2">
        <v>732</v>
      </c>
      <c r="B743" s="2" t="s">
        <v>1262</v>
      </c>
      <c r="C743" s="2" t="s">
        <v>1154</v>
      </c>
      <c r="D743" s="2" t="s">
        <v>28</v>
      </c>
      <c r="E743" s="2" t="s">
        <v>29</v>
      </c>
      <c r="F743" s="2">
        <v>90</v>
      </c>
      <c r="G743" s="2" t="s">
        <v>2609</v>
      </c>
      <c r="H743" s="2" t="s">
        <v>235</v>
      </c>
      <c r="I743" s="2" t="s">
        <v>146</v>
      </c>
      <c r="J743" s="3">
        <v>44626</v>
      </c>
      <c r="K743" s="2">
        <v>91</v>
      </c>
      <c r="L743" s="2" t="s">
        <v>70</v>
      </c>
    </row>
    <row r="744" spans="1:12" x14ac:dyDescent="0.3">
      <c r="A744" s="2">
        <v>733</v>
      </c>
      <c r="B744" s="2" t="s">
        <v>2200</v>
      </c>
      <c r="C744" s="2" t="s">
        <v>76</v>
      </c>
      <c r="D744" s="2" t="s">
        <v>28</v>
      </c>
      <c r="E744" s="2" t="s">
        <v>29</v>
      </c>
      <c r="F744" s="2">
        <v>30</v>
      </c>
      <c r="G744" s="2" t="s">
        <v>2610</v>
      </c>
      <c r="H744" s="2" t="s">
        <v>530</v>
      </c>
      <c r="I744" s="2" t="s">
        <v>124</v>
      </c>
      <c r="J744" s="3">
        <v>44577</v>
      </c>
      <c r="K744" s="2">
        <v>105</v>
      </c>
      <c r="L744" s="2" t="s">
        <v>45</v>
      </c>
    </row>
    <row r="745" spans="1:12" x14ac:dyDescent="0.3">
      <c r="A745" s="2">
        <v>734</v>
      </c>
      <c r="B745" s="2" t="s">
        <v>948</v>
      </c>
      <c r="C745" s="2" t="s">
        <v>2611</v>
      </c>
      <c r="D745" s="2" t="s">
        <v>28</v>
      </c>
      <c r="E745" s="2" t="s">
        <v>29</v>
      </c>
      <c r="F745" s="2">
        <v>30</v>
      </c>
      <c r="G745" s="2" t="s">
        <v>2612</v>
      </c>
      <c r="H745" s="2" t="s">
        <v>2613</v>
      </c>
      <c r="I745" s="2" t="s">
        <v>32</v>
      </c>
      <c r="J745" s="3">
        <v>44540</v>
      </c>
      <c r="K745" s="2">
        <v>92</v>
      </c>
      <c r="L745" s="2" t="s">
        <v>159</v>
      </c>
    </row>
    <row r="746" spans="1:12" x14ac:dyDescent="0.3">
      <c r="A746" s="2">
        <v>735</v>
      </c>
      <c r="B746" s="2" t="s">
        <v>2614</v>
      </c>
      <c r="C746" s="2" t="s">
        <v>1861</v>
      </c>
      <c r="D746" s="2" t="s">
        <v>51</v>
      </c>
      <c r="E746" s="2" t="s">
        <v>16</v>
      </c>
      <c r="F746" s="2">
        <v>30</v>
      </c>
      <c r="G746" s="2" t="s">
        <v>2615</v>
      </c>
      <c r="H746" s="2" t="s">
        <v>2616</v>
      </c>
      <c r="I746" s="2" t="s">
        <v>886</v>
      </c>
      <c r="J746" s="3">
        <v>44923</v>
      </c>
      <c r="K746" s="2">
        <v>88</v>
      </c>
      <c r="L746" s="2" t="s">
        <v>39</v>
      </c>
    </row>
    <row r="747" spans="1:12" x14ac:dyDescent="0.3">
      <c r="A747" s="2">
        <v>736</v>
      </c>
      <c r="B747" s="2" t="s">
        <v>2617</v>
      </c>
      <c r="C747" s="2" t="s">
        <v>2618</v>
      </c>
      <c r="D747" s="2" t="s">
        <v>28</v>
      </c>
      <c r="E747" s="2" t="s">
        <v>29</v>
      </c>
      <c r="F747" s="2">
        <v>90</v>
      </c>
      <c r="G747" s="2" t="s">
        <v>2619</v>
      </c>
      <c r="H747" s="2" t="s">
        <v>823</v>
      </c>
      <c r="I747" s="2" t="s">
        <v>187</v>
      </c>
      <c r="J747" s="3">
        <v>44238</v>
      </c>
      <c r="K747" s="2">
        <v>39</v>
      </c>
      <c r="L747" s="2" t="s">
        <v>70</v>
      </c>
    </row>
    <row r="748" spans="1:12" x14ac:dyDescent="0.3">
      <c r="A748" s="2">
        <v>737</v>
      </c>
      <c r="B748" s="2" t="s">
        <v>1144</v>
      </c>
      <c r="C748" s="2" t="s">
        <v>61</v>
      </c>
      <c r="D748" s="2" t="s">
        <v>51</v>
      </c>
      <c r="E748" s="2" t="s">
        <v>16</v>
      </c>
      <c r="F748" s="2">
        <v>60</v>
      </c>
      <c r="G748" s="2" t="s">
        <v>2620</v>
      </c>
      <c r="H748" s="2" t="s">
        <v>942</v>
      </c>
      <c r="I748" s="2" t="s">
        <v>32</v>
      </c>
      <c r="J748" s="3">
        <v>44764</v>
      </c>
      <c r="K748" s="2">
        <v>47</v>
      </c>
      <c r="L748" s="2" t="s">
        <v>33</v>
      </c>
    </row>
    <row r="749" spans="1:12" x14ac:dyDescent="0.3">
      <c r="A749" s="2">
        <v>738</v>
      </c>
      <c r="B749" s="2" t="s">
        <v>1376</v>
      </c>
      <c r="C749" s="2" t="s">
        <v>1010</v>
      </c>
      <c r="D749" s="2" t="s">
        <v>28</v>
      </c>
      <c r="E749" s="2" t="s">
        <v>29</v>
      </c>
      <c r="F749" s="2">
        <v>30</v>
      </c>
      <c r="G749" s="2" t="s">
        <v>2621</v>
      </c>
      <c r="H749" s="2" t="s">
        <v>2622</v>
      </c>
      <c r="I749" s="2" t="s">
        <v>294</v>
      </c>
      <c r="J749" s="3">
        <v>44116</v>
      </c>
      <c r="K749" s="2">
        <v>16</v>
      </c>
      <c r="L749" s="2" t="s">
        <v>54</v>
      </c>
    </row>
    <row r="750" spans="1:12" x14ac:dyDescent="0.3">
      <c r="A750" s="2">
        <v>739</v>
      </c>
      <c r="B750" s="2" t="s">
        <v>2623</v>
      </c>
      <c r="C750" s="2" t="s">
        <v>2210</v>
      </c>
      <c r="D750" s="2" t="s">
        <v>51</v>
      </c>
      <c r="E750" s="2" t="s">
        <v>16</v>
      </c>
      <c r="F750" s="2">
        <v>60</v>
      </c>
      <c r="G750" s="2" t="s">
        <v>2621</v>
      </c>
      <c r="H750" s="2" t="s">
        <v>2624</v>
      </c>
      <c r="I750" s="2" t="s">
        <v>32</v>
      </c>
      <c r="J750" s="3">
        <v>44129</v>
      </c>
      <c r="K750" s="2">
        <v>32</v>
      </c>
      <c r="L750" s="2" t="s">
        <v>20</v>
      </c>
    </row>
    <row r="751" spans="1:12" x14ac:dyDescent="0.3">
      <c r="A751" s="2">
        <v>740</v>
      </c>
      <c r="B751" s="2" t="s">
        <v>2625</v>
      </c>
      <c r="C751" s="2" t="s">
        <v>593</v>
      </c>
      <c r="D751" s="2" t="s">
        <v>51</v>
      </c>
      <c r="E751" s="2" t="s">
        <v>16</v>
      </c>
      <c r="F751" s="2">
        <v>60</v>
      </c>
      <c r="G751" s="2" t="s">
        <v>2626</v>
      </c>
      <c r="H751" s="2" t="s">
        <v>738</v>
      </c>
      <c r="I751" s="2" t="s">
        <v>38</v>
      </c>
      <c r="J751" s="3">
        <v>44098</v>
      </c>
      <c r="K751" s="2">
        <v>59</v>
      </c>
      <c r="L751" s="2" t="s">
        <v>33</v>
      </c>
    </row>
    <row r="752" spans="1:12" x14ac:dyDescent="0.3">
      <c r="A752" s="2">
        <v>741</v>
      </c>
      <c r="B752" s="2" t="s">
        <v>2627</v>
      </c>
      <c r="C752" s="2" t="s">
        <v>1211</v>
      </c>
      <c r="D752" s="2" t="s">
        <v>15</v>
      </c>
      <c r="E752" s="2" t="s">
        <v>16</v>
      </c>
      <c r="F752" s="2">
        <v>30</v>
      </c>
      <c r="G752" s="2" t="s">
        <v>2628</v>
      </c>
      <c r="H752" s="2" t="s">
        <v>2629</v>
      </c>
      <c r="I752" s="2" t="s">
        <v>95</v>
      </c>
      <c r="J752" s="3">
        <v>43966</v>
      </c>
      <c r="K752" s="2">
        <v>20</v>
      </c>
      <c r="L752" s="2" t="s">
        <v>70</v>
      </c>
    </row>
    <row r="753" spans="1:12" x14ac:dyDescent="0.3">
      <c r="A753" s="2">
        <v>742</v>
      </c>
      <c r="B753" s="2" t="s">
        <v>2630</v>
      </c>
      <c r="C753" s="2" t="s">
        <v>2631</v>
      </c>
      <c r="D753" s="2" t="s">
        <v>51</v>
      </c>
      <c r="E753" s="2" t="s">
        <v>16</v>
      </c>
      <c r="F753" s="2">
        <v>90</v>
      </c>
      <c r="G753" s="2" t="s">
        <v>2632</v>
      </c>
      <c r="H753" s="2" t="s">
        <v>2633</v>
      </c>
      <c r="I753" s="2" t="s">
        <v>32</v>
      </c>
      <c r="J753" s="3">
        <v>44631</v>
      </c>
      <c r="K753" s="2">
        <v>105</v>
      </c>
      <c r="L753" s="2" t="s">
        <v>54</v>
      </c>
    </row>
    <row r="754" spans="1:12" x14ac:dyDescent="0.3">
      <c r="A754" s="2">
        <v>743</v>
      </c>
      <c r="B754" s="2" t="s">
        <v>2634</v>
      </c>
      <c r="C754" s="2" t="s">
        <v>2635</v>
      </c>
      <c r="D754" s="2" t="s">
        <v>15</v>
      </c>
      <c r="E754" s="2" t="s">
        <v>16</v>
      </c>
      <c r="F754" s="2">
        <v>90</v>
      </c>
      <c r="G754" s="2" t="s">
        <v>2636</v>
      </c>
      <c r="H754" s="2" t="s">
        <v>2156</v>
      </c>
      <c r="I754" s="2" t="s">
        <v>32</v>
      </c>
      <c r="J754" s="3">
        <v>44775</v>
      </c>
      <c r="K754" s="2">
        <v>44</v>
      </c>
      <c r="L754" s="2" t="s">
        <v>20</v>
      </c>
    </row>
    <row r="755" spans="1:12" x14ac:dyDescent="0.3">
      <c r="A755" s="2">
        <v>744</v>
      </c>
      <c r="B755" s="2" t="s">
        <v>2605</v>
      </c>
      <c r="C755" s="2" t="s">
        <v>2637</v>
      </c>
      <c r="D755" s="2" t="s">
        <v>28</v>
      </c>
      <c r="E755" s="2" t="s">
        <v>29</v>
      </c>
      <c r="F755" s="2">
        <v>90</v>
      </c>
      <c r="G755" s="2" t="s">
        <v>2638</v>
      </c>
      <c r="H755" s="2" t="s">
        <v>2062</v>
      </c>
      <c r="I755" s="2" t="s">
        <v>187</v>
      </c>
      <c r="J755" s="3">
        <v>44030</v>
      </c>
      <c r="K755" s="2">
        <v>36</v>
      </c>
      <c r="L755" s="2" t="s">
        <v>80</v>
      </c>
    </row>
    <row r="756" spans="1:12" x14ac:dyDescent="0.3">
      <c r="A756" s="2">
        <v>745</v>
      </c>
      <c r="B756" s="2" t="s">
        <v>2639</v>
      </c>
      <c r="C756" s="2" t="s">
        <v>2640</v>
      </c>
      <c r="D756" s="2" t="s">
        <v>28</v>
      </c>
      <c r="E756" s="2" t="s">
        <v>29</v>
      </c>
      <c r="F756" s="2">
        <v>90</v>
      </c>
      <c r="G756" s="2" t="s">
        <v>2641</v>
      </c>
      <c r="H756" s="2" t="s">
        <v>1605</v>
      </c>
      <c r="I756" s="2" t="s">
        <v>32</v>
      </c>
      <c r="J756" s="3">
        <v>44732</v>
      </c>
      <c r="K756" s="2">
        <v>18</v>
      </c>
      <c r="L756" s="2" t="s">
        <v>70</v>
      </c>
    </row>
    <row r="757" spans="1:12" x14ac:dyDescent="0.3">
      <c r="A757" s="2">
        <v>746</v>
      </c>
      <c r="B757" s="2" t="s">
        <v>2642</v>
      </c>
      <c r="C757" s="2" t="s">
        <v>2643</v>
      </c>
      <c r="D757" s="2" t="s">
        <v>15</v>
      </c>
      <c r="E757" s="2" t="s">
        <v>16</v>
      </c>
      <c r="F757" s="2">
        <v>30</v>
      </c>
      <c r="G757" s="2" t="s">
        <v>2644</v>
      </c>
      <c r="H757" s="2" t="s">
        <v>2645</v>
      </c>
      <c r="I757" s="2" t="s">
        <v>32</v>
      </c>
      <c r="J757" s="3">
        <v>44410</v>
      </c>
      <c r="K757" s="2">
        <v>71</v>
      </c>
      <c r="L757" s="2" t="s">
        <v>64</v>
      </c>
    </row>
    <row r="758" spans="1:12" x14ac:dyDescent="0.3">
      <c r="A758" s="2">
        <v>747</v>
      </c>
      <c r="B758" s="2" t="s">
        <v>2646</v>
      </c>
      <c r="C758" s="2" t="s">
        <v>2647</v>
      </c>
      <c r="D758" s="2" t="s">
        <v>51</v>
      </c>
      <c r="E758" s="2" t="s">
        <v>16</v>
      </c>
      <c r="F758" s="2">
        <v>60</v>
      </c>
      <c r="G758" s="2" t="s">
        <v>2648</v>
      </c>
      <c r="H758" s="2" t="s">
        <v>2649</v>
      </c>
      <c r="I758" s="2" t="s">
        <v>32</v>
      </c>
      <c r="J758" s="3">
        <v>44591</v>
      </c>
      <c r="K758" s="2">
        <v>85</v>
      </c>
      <c r="L758" s="2" t="s">
        <v>33</v>
      </c>
    </row>
    <row r="759" spans="1:12" x14ac:dyDescent="0.3">
      <c r="A759" s="2">
        <v>748</v>
      </c>
      <c r="B759" s="2" t="s">
        <v>2326</v>
      </c>
      <c r="C759" s="2" t="s">
        <v>2650</v>
      </c>
      <c r="D759" s="2" t="s">
        <v>92</v>
      </c>
      <c r="E759" s="2" t="s">
        <v>16</v>
      </c>
      <c r="F759" s="2">
        <v>90</v>
      </c>
      <c r="G759" s="2" t="s">
        <v>2651</v>
      </c>
      <c r="H759" s="2" t="s">
        <v>275</v>
      </c>
      <c r="I759" s="2" t="s">
        <v>32</v>
      </c>
      <c r="J759" s="3">
        <v>44696</v>
      </c>
      <c r="K759" s="2">
        <v>66</v>
      </c>
      <c r="L759" s="2" t="s">
        <v>101</v>
      </c>
    </row>
    <row r="760" spans="1:12" x14ac:dyDescent="0.3">
      <c r="A760" s="2">
        <v>749</v>
      </c>
      <c r="B760" s="2" t="s">
        <v>2652</v>
      </c>
      <c r="C760" s="2" t="s">
        <v>2653</v>
      </c>
      <c r="D760" s="2" t="s">
        <v>28</v>
      </c>
      <c r="E760" s="2" t="s">
        <v>29</v>
      </c>
      <c r="F760" s="2">
        <v>60</v>
      </c>
      <c r="G760" s="2" t="s">
        <v>2654</v>
      </c>
      <c r="H760" s="2" t="s">
        <v>2655</v>
      </c>
      <c r="I760" s="2" t="s">
        <v>1083</v>
      </c>
      <c r="J760" s="3">
        <v>43940</v>
      </c>
      <c r="K760" s="2">
        <v>15</v>
      </c>
      <c r="L760" s="2" t="s">
        <v>54</v>
      </c>
    </row>
    <row r="761" spans="1:12" x14ac:dyDescent="0.3">
      <c r="A761" s="2">
        <v>750</v>
      </c>
      <c r="B761" s="2" t="s">
        <v>2656</v>
      </c>
      <c r="C761" s="2" t="s">
        <v>2207</v>
      </c>
      <c r="D761" s="2" t="s">
        <v>15</v>
      </c>
      <c r="E761" s="2" t="s">
        <v>16</v>
      </c>
      <c r="F761" s="2">
        <v>90</v>
      </c>
      <c r="G761" s="2" t="s">
        <v>2657</v>
      </c>
      <c r="H761" s="2" t="s">
        <v>2658</v>
      </c>
      <c r="I761" s="2" t="s">
        <v>173</v>
      </c>
      <c r="J761" s="3">
        <v>44839</v>
      </c>
      <c r="K761" s="2">
        <v>57</v>
      </c>
      <c r="L761" s="2" t="s">
        <v>20</v>
      </c>
    </row>
    <row r="762" spans="1:12" x14ac:dyDescent="0.3">
      <c r="A762" s="2">
        <v>751</v>
      </c>
      <c r="B762" s="2" t="s">
        <v>2659</v>
      </c>
      <c r="C762" s="2" t="s">
        <v>2269</v>
      </c>
      <c r="D762" s="2" t="s">
        <v>51</v>
      </c>
      <c r="E762" s="2" t="s">
        <v>16</v>
      </c>
      <c r="F762" s="2">
        <v>30</v>
      </c>
      <c r="G762" s="2" t="s">
        <v>2660</v>
      </c>
      <c r="H762" s="2" t="s">
        <v>2661</v>
      </c>
      <c r="I762" s="2" t="s">
        <v>187</v>
      </c>
      <c r="J762" s="3">
        <v>44064</v>
      </c>
      <c r="K762" s="2">
        <v>46</v>
      </c>
      <c r="L762" s="2" t="s">
        <v>54</v>
      </c>
    </row>
    <row r="763" spans="1:12" x14ac:dyDescent="0.3">
      <c r="A763" s="2">
        <v>752</v>
      </c>
      <c r="B763" s="2" t="s">
        <v>624</v>
      </c>
      <c r="C763" s="2" t="s">
        <v>593</v>
      </c>
      <c r="D763" s="2" t="s">
        <v>28</v>
      </c>
      <c r="E763" s="2" t="s">
        <v>29</v>
      </c>
      <c r="F763" s="2">
        <v>30</v>
      </c>
      <c r="G763" s="2" t="s">
        <v>2662</v>
      </c>
      <c r="H763" s="2" t="s">
        <v>534</v>
      </c>
      <c r="I763" s="2" t="s">
        <v>32</v>
      </c>
      <c r="J763" s="3">
        <v>44075</v>
      </c>
      <c r="K763" s="2">
        <v>22</v>
      </c>
      <c r="L763" s="2" t="s">
        <v>33</v>
      </c>
    </row>
    <row r="764" spans="1:12" x14ac:dyDescent="0.3">
      <c r="A764" s="2">
        <v>753</v>
      </c>
      <c r="B764" s="2" t="s">
        <v>2491</v>
      </c>
      <c r="C764" s="2" t="s">
        <v>2663</v>
      </c>
      <c r="D764" s="2" t="s">
        <v>28</v>
      </c>
      <c r="E764" s="2" t="s">
        <v>29</v>
      </c>
      <c r="F764" s="2">
        <v>90</v>
      </c>
      <c r="G764" s="2" t="s">
        <v>2662</v>
      </c>
      <c r="H764" s="2" t="s">
        <v>2664</v>
      </c>
      <c r="I764" s="2" t="s">
        <v>32</v>
      </c>
      <c r="J764" s="3">
        <v>44643</v>
      </c>
      <c r="K764" s="2">
        <v>50</v>
      </c>
      <c r="L764" s="2" t="s">
        <v>54</v>
      </c>
    </row>
    <row r="765" spans="1:12" x14ac:dyDescent="0.3">
      <c r="A765" s="2">
        <v>754</v>
      </c>
      <c r="B765" s="2" t="s">
        <v>2665</v>
      </c>
      <c r="C765" s="2" t="s">
        <v>2246</v>
      </c>
      <c r="D765" s="2" t="s">
        <v>28</v>
      </c>
      <c r="E765" s="2" t="s">
        <v>29</v>
      </c>
      <c r="F765" s="2">
        <v>90</v>
      </c>
      <c r="G765" s="2" t="s">
        <v>2666</v>
      </c>
      <c r="H765" s="2" t="s">
        <v>2667</v>
      </c>
      <c r="I765" s="2" t="s">
        <v>187</v>
      </c>
      <c r="J765" s="3">
        <v>44107</v>
      </c>
      <c r="K765" s="2">
        <v>53</v>
      </c>
      <c r="L765" s="2" t="s">
        <v>64</v>
      </c>
    </row>
    <row r="766" spans="1:12" x14ac:dyDescent="0.3">
      <c r="A766" s="2">
        <v>755</v>
      </c>
      <c r="B766" s="2" t="s">
        <v>2668</v>
      </c>
      <c r="C766" s="2" t="s">
        <v>2669</v>
      </c>
      <c r="D766" s="2" t="s">
        <v>15</v>
      </c>
      <c r="E766" s="2" t="s">
        <v>16</v>
      </c>
      <c r="F766" s="2">
        <v>90</v>
      </c>
      <c r="G766" s="2" t="s">
        <v>2670</v>
      </c>
      <c r="H766" s="2" t="s">
        <v>2671</v>
      </c>
      <c r="I766" s="2" t="s">
        <v>1157</v>
      </c>
      <c r="J766" s="3">
        <v>44396</v>
      </c>
      <c r="K766" s="2">
        <v>61</v>
      </c>
      <c r="L766" s="2" t="s">
        <v>45</v>
      </c>
    </row>
    <row r="767" spans="1:12" x14ac:dyDescent="0.3">
      <c r="A767" s="2">
        <v>756</v>
      </c>
      <c r="B767" s="2" t="s">
        <v>511</v>
      </c>
      <c r="C767" s="2" t="s">
        <v>2223</v>
      </c>
      <c r="D767" s="2" t="s">
        <v>51</v>
      </c>
      <c r="E767" s="2" t="s">
        <v>16</v>
      </c>
      <c r="F767" s="2">
        <v>90</v>
      </c>
      <c r="G767" s="2" t="s">
        <v>10475</v>
      </c>
      <c r="H767" s="2" t="s">
        <v>2673</v>
      </c>
      <c r="I767" s="2" t="s">
        <v>19</v>
      </c>
      <c r="J767" s="3">
        <v>44778</v>
      </c>
      <c r="K767" s="2">
        <v>54</v>
      </c>
      <c r="L767" s="2" t="s">
        <v>159</v>
      </c>
    </row>
    <row r="768" spans="1:12" x14ac:dyDescent="0.3">
      <c r="A768" s="2">
        <v>757</v>
      </c>
      <c r="B768" s="2" t="s">
        <v>2674</v>
      </c>
      <c r="C768" s="2" t="s">
        <v>995</v>
      </c>
      <c r="D768" s="2" t="s">
        <v>15</v>
      </c>
      <c r="E768" s="2" t="s">
        <v>16</v>
      </c>
      <c r="F768" s="2">
        <v>60</v>
      </c>
      <c r="G768" s="2" t="s">
        <v>2675</v>
      </c>
      <c r="H768" s="2" t="s">
        <v>2676</v>
      </c>
      <c r="I768" s="2" t="s">
        <v>32</v>
      </c>
      <c r="J768" s="3">
        <v>44458</v>
      </c>
      <c r="K768" s="2">
        <v>3</v>
      </c>
      <c r="L768" s="2" t="s">
        <v>45</v>
      </c>
    </row>
    <row r="769" spans="1:12" x14ac:dyDescent="0.3">
      <c r="A769" s="2">
        <v>758</v>
      </c>
      <c r="B769" s="2" t="s">
        <v>1239</v>
      </c>
      <c r="C769" s="2" t="s">
        <v>2677</v>
      </c>
      <c r="D769" s="2" t="s">
        <v>28</v>
      </c>
      <c r="E769" s="2" t="s">
        <v>29</v>
      </c>
      <c r="F769" s="2">
        <v>90</v>
      </c>
      <c r="G769" s="2" t="s">
        <v>2675</v>
      </c>
      <c r="H769" s="2" t="s">
        <v>2678</v>
      </c>
      <c r="I769" s="2" t="s">
        <v>32</v>
      </c>
      <c r="J769" s="3">
        <v>44014</v>
      </c>
      <c r="K769" s="2">
        <v>35</v>
      </c>
      <c r="L769" s="2" t="s">
        <v>54</v>
      </c>
    </row>
    <row r="770" spans="1:12" x14ac:dyDescent="0.3">
      <c r="A770" s="2">
        <v>759</v>
      </c>
      <c r="B770" s="2" t="s">
        <v>2679</v>
      </c>
      <c r="C770" s="2" t="s">
        <v>464</v>
      </c>
      <c r="D770" s="2" t="s">
        <v>28</v>
      </c>
      <c r="E770" s="2" t="s">
        <v>29</v>
      </c>
      <c r="F770" s="2">
        <v>90</v>
      </c>
      <c r="G770" s="2" t="s">
        <v>2680</v>
      </c>
      <c r="H770" s="2" t="s">
        <v>2681</v>
      </c>
      <c r="I770" s="2" t="s">
        <v>686</v>
      </c>
      <c r="J770" s="3">
        <v>44607</v>
      </c>
      <c r="K770" s="2">
        <v>11</v>
      </c>
      <c r="L770" s="2" t="s">
        <v>64</v>
      </c>
    </row>
    <row r="771" spans="1:12" x14ac:dyDescent="0.3">
      <c r="A771" s="2">
        <v>760</v>
      </c>
      <c r="B771" s="2" t="s">
        <v>2682</v>
      </c>
      <c r="C771" s="2" t="s">
        <v>2683</v>
      </c>
      <c r="D771" s="2" t="s">
        <v>28</v>
      </c>
      <c r="E771" s="2" t="s">
        <v>29</v>
      </c>
      <c r="F771" s="2">
        <v>30</v>
      </c>
      <c r="G771" s="2" t="s">
        <v>2684</v>
      </c>
      <c r="H771" s="2" t="s">
        <v>2685</v>
      </c>
      <c r="I771" s="2" t="s">
        <v>32</v>
      </c>
      <c r="J771" s="3">
        <v>44826</v>
      </c>
      <c r="K771" s="2">
        <v>93</v>
      </c>
      <c r="L771" s="2" t="s">
        <v>45</v>
      </c>
    </row>
    <row r="772" spans="1:12" x14ac:dyDescent="0.3">
      <c r="A772" s="2">
        <v>761</v>
      </c>
      <c r="B772" s="2" t="s">
        <v>891</v>
      </c>
      <c r="C772" s="2" t="s">
        <v>2686</v>
      </c>
      <c r="D772" s="2" t="s">
        <v>28</v>
      </c>
      <c r="E772" s="2" t="s">
        <v>29</v>
      </c>
      <c r="F772" s="2">
        <v>90</v>
      </c>
      <c r="G772" s="2" t="s">
        <v>2687</v>
      </c>
      <c r="H772" s="2" t="s">
        <v>2688</v>
      </c>
      <c r="I772" s="2" t="s">
        <v>1199</v>
      </c>
      <c r="J772" s="3">
        <v>43934</v>
      </c>
      <c r="K772" s="2">
        <v>16</v>
      </c>
      <c r="L772" s="2" t="s">
        <v>70</v>
      </c>
    </row>
    <row r="773" spans="1:12" x14ac:dyDescent="0.3">
      <c r="A773" s="2">
        <v>762</v>
      </c>
      <c r="B773" s="2" t="s">
        <v>2689</v>
      </c>
      <c r="C773" s="2" t="s">
        <v>2690</v>
      </c>
      <c r="D773" s="2" t="s">
        <v>51</v>
      </c>
      <c r="E773" s="2" t="s">
        <v>16</v>
      </c>
      <c r="F773" s="2">
        <v>60</v>
      </c>
      <c r="G773" s="2" t="s">
        <v>2691</v>
      </c>
      <c r="H773" s="2" t="s">
        <v>1347</v>
      </c>
      <c r="I773" s="2" t="s">
        <v>32</v>
      </c>
      <c r="J773" s="3">
        <v>43940</v>
      </c>
      <c r="K773" s="2">
        <v>8</v>
      </c>
      <c r="L773" s="2" t="s">
        <v>64</v>
      </c>
    </row>
    <row r="774" spans="1:12" x14ac:dyDescent="0.3">
      <c r="A774" s="2">
        <v>763</v>
      </c>
      <c r="B774" s="2" t="s">
        <v>600</v>
      </c>
      <c r="C774" s="2" t="s">
        <v>2692</v>
      </c>
      <c r="D774" s="2" t="s">
        <v>15</v>
      </c>
      <c r="E774" s="2" t="s">
        <v>16</v>
      </c>
      <c r="F774" s="2">
        <v>30</v>
      </c>
      <c r="G774" s="2" t="s">
        <v>2693</v>
      </c>
      <c r="H774" s="2" t="s">
        <v>1819</v>
      </c>
      <c r="I774" s="2" t="s">
        <v>89</v>
      </c>
      <c r="J774" s="3">
        <v>44175</v>
      </c>
      <c r="K774" s="2">
        <v>17</v>
      </c>
      <c r="L774" s="2" t="s">
        <v>70</v>
      </c>
    </row>
    <row r="775" spans="1:12" x14ac:dyDescent="0.3">
      <c r="A775" s="2">
        <v>764</v>
      </c>
      <c r="B775" s="2" t="s">
        <v>2694</v>
      </c>
      <c r="C775" s="2" t="s">
        <v>2695</v>
      </c>
      <c r="D775" s="2" t="s">
        <v>15</v>
      </c>
      <c r="E775" s="2" t="s">
        <v>16</v>
      </c>
      <c r="F775" s="2">
        <v>30</v>
      </c>
      <c r="G775" s="2" t="s">
        <v>2693</v>
      </c>
      <c r="H775" s="2" t="s">
        <v>2696</v>
      </c>
      <c r="I775" s="2" t="s">
        <v>95</v>
      </c>
      <c r="J775" s="3">
        <v>44841</v>
      </c>
      <c r="K775" s="2">
        <v>81</v>
      </c>
      <c r="L775" s="2" t="s">
        <v>80</v>
      </c>
    </row>
    <row r="776" spans="1:12" x14ac:dyDescent="0.3">
      <c r="A776" s="2">
        <v>765</v>
      </c>
      <c r="B776" s="2" t="s">
        <v>914</v>
      </c>
      <c r="C776" s="2" t="s">
        <v>2697</v>
      </c>
      <c r="D776" s="2" t="s">
        <v>28</v>
      </c>
      <c r="E776" s="2" t="s">
        <v>29</v>
      </c>
      <c r="F776" s="2">
        <v>90</v>
      </c>
      <c r="G776" s="2" t="s">
        <v>2698</v>
      </c>
      <c r="H776" s="2" t="s">
        <v>1391</v>
      </c>
      <c r="I776" s="2" t="s">
        <v>32</v>
      </c>
      <c r="J776" s="3">
        <v>44343</v>
      </c>
      <c r="K776" s="2">
        <v>2</v>
      </c>
      <c r="L776" s="2" t="s">
        <v>45</v>
      </c>
    </row>
    <row r="777" spans="1:12" x14ac:dyDescent="0.3">
      <c r="A777" s="2">
        <v>766</v>
      </c>
      <c r="B777" s="2" t="s">
        <v>2699</v>
      </c>
      <c r="C777" s="2" t="s">
        <v>795</v>
      </c>
      <c r="D777" s="2" t="s">
        <v>28</v>
      </c>
      <c r="E777" s="2" t="s">
        <v>29</v>
      </c>
      <c r="F777" s="2">
        <v>60</v>
      </c>
      <c r="G777" s="2" t="s">
        <v>2700</v>
      </c>
      <c r="H777" s="2" t="s">
        <v>1629</v>
      </c>
      <c r="I777" s="2" t="s">
        <v>32</v>
      </c>
      <c r="J777" s="3">
        <v>44571</v>
      </c>
      <c r="K777" s="2">
        <v>47</v>
      </c>
      <c r="L777" s="2" t="s">
        <v>80</v>
      </c>
    </row>
    <row r="778" spans="1:12" x14ac:dyDescent="0.3">
      <c r="A778" s="2">
        <v>767</v>
      </c>
      <c r="B778" s="2" t="s">
        <v>2701</v>
      </c>
      <c r="C778" s="2" t="s">
        <v>1093</v>
      </c>
      <c r="D778" s="2" t="s">
        <v>28</v>
      </c>
      <c r="E778" s="2" t="s">
        <v>29</v>
      </c>
      <c r="F778" s="2">
        <v>90</v>
      </c>
      <c r="G778" s="2" t="s">
        <v>2702</v>
      </c>
      <c r="H778" s="2" t="s">
        <v>2703</v>
      </c>
      <c r="I778" s="2" t="s">
        <v>32</v>
      </c>
      <c r="J778" s="3">
        <v>43991</v>
      </c>
      <c r="K778" s="2">
        <v>13</v>
      </c>
      <c r="L778" s="2" t="s">
        <v>80</v>
      </c>
    </row>
    <row r="779" spans="1:12" x14ac:dyDescent="0.3">
      <c r="A779" s="2">
        <v>768</v>
      </c>
      <c r="B779" s="2" t="s">
        <v>2704</v>
      </c>
      <c r="C779" s="2" t="s">
        <v>1410</v>
      </c>
      <c r="D779" s="2" t="s">
        <v>15</v>
      </c>
      <c r="E779" s="2" t="s">
        <v>16</v>
      </c>
      <c r="F779" s="2">
        <v>30</v>
      </c>
      <c r="G779" s="2" t="s">
        <v>2705</v>
      </c>
      <c r="H779" s="2" t="s">
        <v>2706</v>
      </c>
      <c r="I779" s="2" t="s">
        <v>294</v>
      </c>
      <c r="J779" s="3">
        <v>44558</v>
      </c>
      <c r="K779" s="2">
        <v>54</v>
      </c>
      <c r="L779" s="2" t="s">
        <v>45</v>
      </c>
    </row>
    <row r="780" spans="1:12" x14ac:dyDescent="0.3">
      <c r="A780" s="2">
        <v>769</v>
      </c>
      <c r="B780" s="2" t="s">
        <v>2707</v>
      </c>
      <c r="C780" s="2" t="s">
        <v>2708</v>
      </c>
      <c r="D780" s="2" t="s">
        <v>15</v>
      </c>
      <c r="E780" s="2" t="s">
        <v>16</v>
      </c>
      <c r="F780" s="2">
        <v>90</v>
      </c>
      <c r="G780" s="2" t="s">
        <v>2709</v>
      </c>
      <c r="H780" s="2" t="s">
        <v>2710</v>
      </c>
      <c r="I780" s="2" t="s">
        <v>294</v>
      </c>
      <c r="J780" s="3">
        <v>44426</v>
      </c>
      <c r="K780" s="2">
        <v>11</v>
      </c>
      <c r="L780" s="2" t="s">
        <v>64</v>
      </c>
    </row>
    <row r="781" spans="1:12" x14ac:dyDescent="0.3">
      <c r="A781" s="2">
        <v>770</v>
      </c>
      <c r="B781" s="2" t="s">
        <v>2711</v>
      </c>
      <c r="C781" s="2" t="s">
        <v>653</v>
      </c>
      <c r="D781" s="2" t="s">
        <v>51</v>
      </c>
      <c r="E781" s="2" t="s">
        <v>16</v>
      </c>
      <c r="F781" s="2">
        <v>60</v>
      </c>
      <c r="G781" s="2" t="s">
        <v>2712</v>
      </c>
      <c r="H781" s="2" t="s">
        <v>2713</v>
      </c>
      <c r="I781" s="2" t="s">
        <v>38</v>
      </c>
      <c r="J781" s="3">
        <v>44595</v>
      </c>
      <c r="K781" s="2">
        <v>77</v>
      </c>
      <c r="L781" s="2" t="s">
        <v>101</v>
      </c>
    </row>
    <row r="782" spans="1:12" x14ac:dyDescent="0.3">
      <c r="A782" s="2">
        <v>771</v>
      </c>
      <c r="B782" s="2" t="s">
        <v>2714</v>
      </c>
      <c r="C782" s="2" t="s">
        <v>2715</v>
      </c>
      <c r="D782" s="2" t="s">
        <v>51</v>
      </c>
      <c r="E782" s="2" t="s">
        <v>16</v>
      </c>
      <c r="F782" s="2">
        <v>90</v>
      </c>
      <c r="G782" s="2" t="s">
        <v>2716</v>
      </c>
      <c r="H782" s="2" t="s">
        <v>2717</v>
      </c>
      <c r="I782" s="2" t="s">
        <v>1889</v>
      </c>
      <c r="J782" s="3">
        <v>44655</v>
      </c>
      <c r="K782" s="2">
        <v>32</v>
      </c>
      <c r="L782" s="2" t="s">
        <v>39</v>
      </c>
    </row>
    <row r="783" spans="1:12" x14ac:dyDescent="0.3">
      <c r="A783" s="2">
        <v>772</v>
      </c>
      <c r="B783" s="2" t="s">
        <v>2718</v>
      </c>
      <c r="C783" s="2" t="s">
        <v>2719</v>
      </c>
      <c r="D783" s="2" t="s">
        <v>15</v>
      </c>
      <c r="E783" s="2" t="s">
        <v>16</v>
      </c>
      <c r="F783" s="2">
        <v>90</v>
      </c>
      <c r="G783" s="2" t="s">
        <v>2716</v>
      </c>
      <c r="H783" s="2" t="s">
        <v>2720</v>
      </c>
      <c r="I783" s="2" t="s">
        <v>32</v>
      </c>
      <c r="J783" s="3">
        <v>44490</v>
      </c>
      <c r="K783" s="2">
        <v>10</v>
      </c>
      <c r="L783" s="2" t="s">
        <v>64</v>
      </c>
    </row>
    <row r="784" spans="1:12" x14ac:dyDescent="0.3">
      <c r="A784" s="2">
        <v>773</v>
      </c>
      <c r="B784" s="2" t="s">
        <v>2721</v>
      </c>
      <c r="C784" s="2" t="s">
        <v>2722</v>
      </c>
      <c r="D784" s="2" t="s">
        <v>28</v>
      </c>
      <c r="E784" s="2" t="s">
        <v>29</v>
      </c>
      <c r="F784" s="2">
        <v>30</v>
      </c>
      <c r="G784" s="2" t="s">
        <v>2723</v>
      </c>
      <c r="H784" s="2" t="s">
        <v>2724</v>
      </c>
      <c r="I784" s="2" t="s">
        <v>32</v>
      </c>
      <c r="J784" s="3">
        <v>44080</v>
      </c>
      <c r="K784" s="2">
        <v>30</v>
      </c>
      <c r="L784" s="2" t="s">
        <v>39</v>
      </c>
    </row>
    <row r="785" spans="1:12" x14ac:dyDescent="0.3">
      <c r="A785" s="2">
        <v>774</v>
      </c>
      <c r="B785" s="2" t="s">
        <v>1531</v>
      </c>
      <c r="C785" s="2" t="s">
        <v>581</v>
      </c>
      <c r="D785" s="2" t="s">
        <v>51</v>
      </c>
      <c r="E785" s="2" t="s">
        <v>16</v>
      </c>
      <c r="F785" s="2">
        <v>60</v>
      </c>
      <c r="G785" s="2" t="s">
        <v>2725</v>
      </c>
      <c r="H785" s="2" t="s">
        <v>2494</v>
      </c>
      <c r="I785" s="2" t="s">
        <v>25</v>
      </c>
      <c r="J785" s="3">
        <v>44833</v>
      </c>
      <c r="K785" s="2">
        <v>34</v>
      </c>
      <c r="L785" s="2" t="s">
        <v>20</v>
      </c>
    </row>
    <row r="786" spans="1:12" x14ac:dyDescent="0.3">
      <c r="A786" s="2">
        <v>775</v>
      </c>
      <c r="B786" s="2" t="s">
        <v>1467</v>
      </c>
      <c r="C786" s="2" t="s">
        <v>1356</v>
      </c>
      <c r="D786" s="2" t="s">
        <v>28</v>
      </c>
      <c r="E786" s="2" t="s">
        <v>29</v>
      </c>
      <c r="F786" s="2">
        <v>60</v>
      </c>
      <c r="G786" s="2" t="s">
        <v>2726</v>
      </c>
      <c r="H786" s="2" t="s">
        <v>2727</v>
      </c>
      <c r="I786" s="2" t="s">
        <v>2330</v>
      </c>
      <c r="J786" s="3">
        <v>44604</v>
      </c>
      <c r="K786" s="2">
        <v>28</v>
      </c>
      <c r="L786" s="2" t="s">
        <v>80</v>
      </c>
    </row>
    <row r="787" spans="1:12" x14ac:dyDescent="0.3">
      <c r="A787" s="2">
        <v>776</v>
      </c>
      <c r="B787" s="2" t="s">
        <v>2728</v>
      </c>
      <c r="C787" s="2" t="s">
        <v>106</v>
      </c>
      <c r="D787" s="2" t="s">
        <v>28</v>
      </c>
      <c r="E787" s="2" t="s">
        <v>29</v>
      </c>
      <c r="F787" s="2">
        <v>90</v>
      </c>
      <c r="G787" s="2" t="s">
        <v>2729</v>
      </c>
      <c r="H787" s="2" t="s">
        <v>1194</v>
      </c>
      <c r="I787" s="2" t="s">
        <v>38</v>
      </c>
      <c r="J787" s="3">
        <v>44793</v>
      </c>
      <c r="K787" s="2">
        <v>58</v>
      </c>
      <c r="L787" s="2" t="s">
        <v>70</v>
      </c>
    </row>
    <row r="788" spans="1:12" x14ac:dyDescent="0.3">
      <c r="A788" s="2">
        <v>777</v>
      </c>
      <c r="B788" s="2" t="s">
        <v>2730</v>
      </c>
      <c r="C788" s="2" t="s">
        <v>2731</v>
      </c>
      <c r="D788" s="2" t="s">
        <v>15</v>
      </c>
      <c r="E788" s="2" t="s">
        <v>16</v>
      </c>
      <c r="F788" s="2">
        <v>30</v>
      </c>
      <c r="G788" s="2" t="s">
        <v>2732</v>
      </c>
      <c r="H788" s="2" t="s">
        <v>2733</v>
      </c>
      <c r="I788" s="2" t="s">
        <v>25</v>
      </c>
      <c r="J788" s="3">
        <v>43855</v>
      </c>
      <c r="K788" s="2">
        <v>40</v>
      </c>
      <c r="L788" s="2" t="s">
        <v>33</v>
      </c>
    </row>
    <row r="789" spans="1:12" x14ac:dyDescent="0.3">
      <c r="A789" s="2">
        <v>778</v>
      </c>
      <c r="B789" s="2" t="s">
        <v>2734</v>
      </c>
      <c r="C789" s="2" t="s">
        <v>2735</v>
      </c>
      <c r="D789" s="2" t="s">
        <v>15</v>
      </c>
      <c r="E789" s="2" t="s">
        <v>16</v>
      </c>
      <c r="F789" s="2">
        <v>90</v>
      </c>
      <c r="G789" s="2" t="s">
        <v>2736</v>
      </c>
      <c r="H789" s="2" t="s">
        <v>2737</v>
      </c>
      <c r="I789" s="2" t="s">
        <v>32</v>
      </c>
      <c r="J789" s="3">
        <v>44235</v>
      </c>
      <c r="K789" s="2">
        <v>21</v>
      </c>
      <c r="L789" s="2" t="s">
        <v>101</v>
      </c>
    </row>
    <row r="790" spans="1:12" x14ac:dyDescent="0.3">
      <c r="A790" s="2">
        <v>779</v>
      </c>
      <c r="B790" s="2" t="s">
        <v>563</v>
      </c>
      <c r="C790" s="2" t="s">
        <v>2738</v>
      </c>
      <c r="D790" s="2" t="s">
        <v>28</v>
      </c>
      <c r="E790" s="2" t="s">
        <v>29</v>
      </c>
      <c r="F790" s="2">
        <v>90</v>
      </c>
      <c r="G790" s="2" t="s">
        <v>2739</v>
      </c>
      <c r="H790" s="2" t="s">
        <v>2329</v>
      </c>
      <c r="I790" s="2" t="s">
        <v>2330</v>
      </c>
      <c r="J790" s="3">
        <v>44182</v>
      </c>
      <c r="K790" s="2">
        <v>11</v>
      </c>
      <c r="L790" s="2" t="s">
        <v>159</v>
      </c>
    </row>
    <row r="791" spans="1:12" x14ac:dyDescent="0.3">
      <c r="A791" s="2">
        <v>780</v>
      </c>
      <c r="B791" s="2" t="s">
        <v>2740</v>
      </c>
      <c r="C791" s="2" t="s">
        <v>175</v>
      </c>
      <c r="D791" s="2" t="s">
        <v>28</v>
      </c>
      <c r="E791" s="2" t="s">
        <v>29</v>
      </c>
      <c r="F791" s="2">
        <v>60</v>
      </c>
      <c r="G791" s="2" t="s">
        <v>2741</v>
      </c>
      <c r="H791" s="2" t="s">
        <v>2742</v>
      </c>
      <c r="I791" s="2" t="s">
        <v>124</v>
      </c>
      <c r="J791" s="3">
        <v>44478</v>
      </c>
      <c r="K791" s="2">
        <v>39</v>
      </c>
      <c r="L791" s="2" t="s">
        <v>39</v>
      </c>
    </row>
    <row r="792" spans="1:12" x14ac:dyDescent="0.3">
      <c r="A792" s="2">
        <v>781</v>
      </c>
      <c r="B792" s="2" t="s">
        <v>2743</v>
      </c>
      <c r="C792" s="2" t="s">
        <v>2041</v>
      </c>
      <c r="D792" s="2" t="s">
        <v>28</v>
      </c>
      <c r="E792" s="2" t="s">
        <v>29</v>
      </c>
      <c r="F792" s="2">
        <v>30</v>
      </c>
      <c r="G792" s="2" t="s">
        <v>2744</v>
      </c>
      <c r="H792" s="2" t="s">
        <v>2745</v>
      </c>
      <c r="I792" s="2" t="s">
        <v>32</v>
      </c>
      <c r="J792" s="3">
        <v>44443</v>
      </c>
      <c r="K792" s="2">
        <v>71</v>
      </c>
      <c r="L792" s="2" t="s">
        <v>20</v>
      </c>
    </row>
    <row r="793" spans="1:12" x14ac:dyDescent="0.3">
      <c r="A793" s="2">
        <v>782</v>
      </c>
      <c r="B793" s="2" t="s">
        <v>2746</v>
      </c>
      <c r="C793" s="2" t="s">
        <v>2747</v>
      </c>
      <c r="D793" s="2" t="s">
        <v>51</v>
      </c>
      <c r="E793" s="2" t="s">
        <v>16</v>
      </c>
      <c r="F793" s="2">
        <v>30</v>
      </c>
      <c r="G793" s="2" t="s">
        <v>2748</v>
      </c>
      <c r="H793" s="2" t="s">
        <v>2749</v>
      </c>
      <c r="I793" s="2" t="s">
        <v>187</v>
      </c>
      <c r="J793" s="3">
        <v>44381</v>
      </c>
      <c r="K793" s="2">
        <v>71</v>
      </c>
      <c r="L793" s="2" t="s">
        <v>20</v>
      </c>
    </row>
    <row r="794" spans="1:12" x14ac:dyDescent="0.3">
      <c r="A794" s="2">
        <v>783</v>
      </c>
      <c r="B794" s="2" t="s">
        <v>2750</v>
      </c>
      <c r="C794" s="2" t="s">
        <v>2751</v>
      </c>
      <c r="D794" s="2" t="s">
        <v>28</v>
      </c>
      <c r="E794" s="2" t="s">
        <v>29</v>
      </c>
      <c r="F794" s="2">
        <v>90</v>
      </c>
      <c r="G794" s="2" t="s">
        <v>2752</v>
      </c>
      <c r="H794" s="2" t="s">
        <v>2753</v>
      </c>
      <c r="I794" s="2" t="s">
        <v>124</v>
      </c>
      <c r="J794" s="3">
        <v>43876</v>
      </c>
      <c r="K794" s="2">
        <v>81</v>
      </c>
      <c r="L794" s="2" t="s">
        <v>54</v>
      </c>
    </row>
    <row r="795" spans="1:12" x14ac:dyDescent="0.3">
      <c r="A795" s="2">
        <v>784</v>
      </c>
      <c r="B795" s="2" t="s">
        <v>2754</v>
      </c>
      <c r="C795" s="2" t="s">
        <v>1641</v>
      </c>
      <c r="D795" s="2" t="s">
        <v>15</v>
      </c>
      <c r="E795" s="2" t="s">
        <v>16</v>
      </c>
      <c r="F795" s="2">
        <v>30</v>
      </c>
      <c r="G795" s="2" t="s">
        <v>2755</v>
      </c>
      <c r="H795" s="2" t="s">
        <v>1621</v>
      </c>
      <c r="I795" s="2" t="s">
        <v>146</v>
      </c>
      <c r="J795" s="3">
        <v>44617</v>
      </c>
      <c r="K795" s="2">
        <v>18</v>
      </c>
      <c r="L795" s="2" t="s">
        <v>70</v>
      </c>
    </row>
    <row r="796" spans="1:12" x14ac:dyDescent="0.3">
      <c r="A796" s="2">
        <v>785</v>
      </c>
      <c r="B796" s="2" t="s">
        <v>2756</v>
      </c>
      <c r="C796" s="2" t="s">
        <v>2757</v>
      </c>
      <c r="D796" s="2" t="s">
        <v>51</v>
      </c>
      <c r="E796" s="2" t="s">
        <v>16</v>
      </c>
      <c r="F796" s="2">
        <v>30</v>
      </c>
      <c r="G796" s="2" t="s">
        <v>2758</v>
      </c>
      <c r="H796" s="2" t="s">
        <v>2759</v>
      </c>
      <c r="I796" s="2" t="s">
        <v>32</v>
      </c>
      <c r="J796" s="3">
        <v>44227</v>
      </c>
      <c r="K796" s="2">
        <v>90</v>
      </c>
      <c r="L796" s="2" t="s">
        <v>33</v>
      </c>
    </row>
    <row r="797" spans="1:12" x14ac:dyDescent="0.3">
      <c r="A797" s="2">
        <v>786</v>
      </c>
      <c r="B797" s="2" t="s">
        <v>2760</v>
      </c>
      <c r="C797" s="2" t="s">
        <v>2761</v>
      </c>
      <c r="D797" s="2" t="s">
        <v>51</v>
      </c>
      <c r="E797" s="2" t="s">
        <v>16</v>
      </c>
      <c r="F797" s="2">
        <v>30</v>
      </c>
      <c r="G797" s="2" t="s">
        <v>2762</v>
      </c>
      <c r="H797" s="2" t="s">
        <v>2763</v>
      </c>
      <c r="I797" s="2" t="s">
        <v>294</v>
      </c>
      <c r="J797" s="3">
        <v>44409</v>
      </c>
      <c r="K797" s="2">
        <v>68</v>
      </c>
      <c r="L797" s="2" t="s">
        <v>33</v>
      </c>
    </row>
    <row r="798" spans="1:12" x14ac:dyDescent="0.3">
      <c r="A798" s="2">
        <v>787</v>
      </c>
      <c r="B798" s="2" t="s">
        <v>2764</v>
      </c>
      <c r="C798" s="2" t="s">
        <v>783</v>
      </c>
      <c r="D798" s="2" t="s">
        <v>41</v>
      </c>
      <c r="E798" s="2" t="s">
        <v>16</v>
      </c>
      <c r="F798" s="2">
        <v>30</v>
      </c>
      <c r="G798" s="2" t="s">
        <v>2765</v>
      </c>
      <c r="H798" s="2" t="s">
        <v>2766</v>
      </c>
      <c r="I798" s="2" t="s">
        <v>294</v>
      </c>
      <c r="J798" s="3">
        <v>44252</v>
      </c>
      <c r="K798" s="2">
        <v>52</v>
      </c>
      <c r="L798" s="2" t="s">
        <v>70</v>
      </c>
    </row>
    <row r="799" spans="1:12" x14ac:dyDescent="0.3">
      <c r="A799" s="2">
        <v>788</v>
      </c>
      <c r="B799" s="2" t="s">
        <v>990</v>
      </c>
      <c r="C799" s="2" t="s">
        <v>1658</v>
      </c>
      <c r="D799" s="2" t="s">
        <v>28</v>
      </c>
      <c r="E799" s="2" t="s">
        <v>29</v>
      </c>
      <c r="F799" s="2">
        <v>90</v>
      </c>
      <c r="G799" s="2" t="s">
        <v>2767</v>
      </c>
      <c r="H799" s="2" t="s">
        <v>2768</v>
      </c>
      <c r="I799" s="2" t="s">
        <v>554</v>
      </c>
      <c r="J799" s="3">
        <v>44361</v>
      </c>
      <c r="K799" s="2">
        <v>16</v>
      </c>
      <c r="L799" s="2" t="s">
        <v>39</v>
      </c>
    </row>
    <row r="800" spans="1:12" x14ac:dyDescent="0.3">
      <c r="A800" s="2">
        <v>789</v>
      </c>
      <c r="B800" s="2" t="s">
        <v>2769</v>
      </c>
      <c r="C800" s="2" t="s">
        <v>2770</v>
      </c>
      <c r="D800" s="2" t="s">
        <v>15</v>
      </c>
      <c r="E800" s="2" t="s">
        <v>16</v>
      </c>
      <c r="F800" s="2">
        <v>90</v>
      </c>
      <c r="G800" s="2" t="s">
        <v>2771</v>
      </c>
      <c r="H800" s="2" t="s">
        <v>2772</v>
      </c>
      <c r="I800" s="2" t="s">
        <v>32</v>
      </c>
      <c r="J800" s="3">
        <v>44648</v>
      </c>
      <c r="K800" s="2">
        <v>6</v>
      </c>
      <c r="L800" s="2" t="s">
        <v>159</v>
      </c>
    </row>
    <row r="801" spans="1:12" x14ac:dyDescent="0.3">
      <c r="A801" s="2">
        <v>790</v>
      </c>
      <c r="B801" s="2" t="s">
        <v>1978</v>
      </c>
      <c r="C801" s="2" t="s">
        <v>2773</v>
      </c>
      <c r="D801" s="2" t="s">
        <v>15</v>
      </c>
      <c r="E801" s="2" t="s">
        <v>16</v>
      </c>
      <c r="F801" s="2">
        <v>60</v>
      </c>
      <c r="G801" s="2" t="s">
        <v>2774</v>
      </c>
      <c r="H801" s="2" t="s">
        <v>667</v>
      </c>
      <c r="I801" s="2" t="s">
        <v>25</v>
      </c>
      <c r="J801" s="3">
        <v>44232</v>
      </c>
      <c r="K801" s="2">
        <v>2</v>
      </c>
      <c r="L801" s="2" t="s">
        <v>64</v>
      </c>
    </row>
    <row r="802" spans="1:12" x14ac:dyDescent="0.3">
      <c r="A802" s="2">
        <v>791</v>
      </c>
      <c r="B802" s="2" t="s">
        <v>2775</v>
      </c>
      <c r="C802" s="2" t="s">
        <v>2776</v>
      </c>
      <c r="D802" s="2" t="s">
        <v>51</v>
      </c>
      <c r="E802" s="2" t="s">
        <v>16</v>
      </c>
      <c r="F802" s="2">
        <v>30</v>
      </c>
      <c r="G802" s="2" t="s">
        <v>10422</v>
      </c>
      <c r="H802" s="2" t="s">
        <v>1430</v>
      </c>
      <c r="I802" s="2" t="s">
        <v>32</v>
      </c>
      <c r="J802" s="3">
        <v>44882</v>
      </c>
      <c r="K802" s="2">
        <v>24</v>
      </c>
      <c r="L802" s="2" t="s">
        <v>20</v>
      </c>
    </row>
    <row r="803" spans="1:12" x14ac:dyDescent="0.3">
      <c r="A803" s="2">
        <v>792</v>
      </c>
      <c r="B803" s="2" t="s">
        <v>824</v>
      </c>
      <c r="C803" s="2" t="s">
        <v>143</v>
      </c>
      <c r="D803" s="2" t="s">
        <v>28</v>
      </c>
      <c r="E803" s="2" t="s">
        <v>29</v>
      </c>
      <c r="F803" s="2">
        <v>30</v>
      </c>
      <c r="G803" s="2" t="s">
        <v>2778</v>
      </c>
      <c r="H803" s="2" t="s">
        <v>652</v>
      </c>
      <c r="I803" s="2" t="s">
        <v>32</v>
      </c>
      <c r="J803" s="3">
        <v>44480</v>
      </c>
      <c r="K803" s="2">
        <v>72</v>
      </c>
      <c r="L803" s="2" t="s">
        <v>64</v>
      </c>
    </row>
    <row r="804" spans="1:12" x14ac:dyDescent="0.3">
      <c r="A804" s="2">
        <v>793</v>
      </c>
      <c r="B804" s="2" t="s">
        <v>2779</v>
      </c>
      <c r="C804" s="2" t="s">
        <v>481</v>
      </c>
      <c r="D804" s="2" t="s">
        <v>28</v>
      </c>
      <c r="E804" s="2" t="s">
        <v>29</v>
      </c>
      <c r="F804" s="2">
        <v>60</v>
      </c>
      <c r="G804" s="2" t="s">
        <v>2780</v>
      </c>
      <c r="H804" s="2" t="s">
        <v>2781</v>
      </c>
      <c r="I804" s="2" t="s">
        <v>129</v>
      </c>
      <c r="J804" s="3">
        <v>44061</v>
      </c>
      <c r="K804" s="2">
        <v>51</v>
      </c>
      <c r="L804" s="2" t="s">
        <v>45</v>
      </c>
    </row>
    <row r="805" spans="1:12" x14ac:dyDescent="0.3">
      <c r="A805" s="2">
        <v>794</v>
      </c>
      <c r="B805" s="2" t="s">
        <v>2782</v>
      </c>
      <c r="C805" s="2" t="s">
        <v>520</v>
      </c>
      <c r="D805" s="2" t="s">
        <v>28</v>
      </c>
      <c r="E805" s="2" t="s">
        <v>29</v>
      </c>
      <c r="F805" s="2">
        <v>30</v>
      </c>
      <c r="G805" s="2" t="s">
        <v>2783</v>
      </c>
      <c r="H805" s="2" t="s">
        <v>48</v>
      </c>
      <c r="I805" s="2" t="s">
        <v>25</v>
      </c>
      <c r="J805" s="3">
        <v>44715</v>
      </c>
      <c r="K805" s="2">
        <v>70</v>
      </c>
      <c r="L805" s="2" t="s">
        <v>159</v>
      </c>
    </row>
    <row r="806" spans="1:12" x14ac:dyDescent="0.3">
      <c r="A806" s="2">
        <v>795</v>
      </c>
      <c r="B806" s="2" t="s">
        <v>2784</v>
      </c>
      <c r="C806" s="2" t="s">
        <v>2785</v>
      </c>
      <c r="D806" s="2" t="s">
        <v>28</v>
      </c>
      <c r="E806" s="2" t="s">
        <v>29</v>
      </c>
      <c r="F806" s="2">
        <v>30</v>
      </c>
      <c r="G806" s="2" t="s">
        <v>10476</v>
      </c>
      <c r="H806" s="2" t="s">
        <v>2787</v>
      </c>
      <c r="I806" s="2" t="s">
        <v>32</v>
      </c>
      <c r="J806" s="3">
        <v>44679</v>
      </c>
      <c r="K806" s="2">
        <v>46</v>
      </c>
      <c r="L806" s="2" t="s">
        <v>54</v>
      </c>
    </row>
    <row r="807" spans="1:12" x14ac:dyDescent="0.3">
      <c r="A807" s="2">
        <v>796</v>
      </c>
      <c r="B807" s="2" t="s">
        <v>2788</v>
      </c>
      <c r="C807" s="2" t="s">
        <v>2789</v>
      </c>
      <c r="D807" s="2" t="s">
        <v>28</v>
      </c>
      <c r="E807" s="2" t="s">
        <v>29</v>
      </c>
      <c r="F807" s="2">
        <v>60</v>
      </c>
      <c r="G807" s="2" t="s">
        <v>2790</v>
      </c>
      <c r="H807" s="2" t="s">
        <v>2791</v>
      </c>
      <c r="I807" s="2" t="s">
        <v>178</v>
      </c>
      <c r="J807" s="3">
        <v>44312</v>
      </c>
      <c r="K807" s="2">
        <v>73</v>
      </c>
      <c r="L807" s="2" t="s">
        <v>39</v>
      </c>
    </row>
    <row r="808" spans="1:12" x14ac:dyDescent="0.3">
      <c r="A808" s="2">
        <v>797</v>
      </c>
      <c r="B808" s="2" t="s">
        <v>2792</v>
      </c>
      <c r="C808" s="2" t="s">
        <v>2793</v>
      </c>
      <c r="D808" s="2" t="s">
        <v>15</v>
      </c>
      <c r="E808" s="2" t="s">
        <v>16</v>
      </c>
      <c r="F808" s="2">
        <v>60</v>
      </c>
      <c r="G808" s="2" t="s">
        <v>2794</v>
      </c>
      <c r="H808" s="2" t="s">
        <v>2795</v>
      </c>
      <c r="I808" s="2" t="s">
        <v>38</v>
      </c>
      <c r="J808" s="3">
        <v>44056</v>
      </c>
      <c r="K808" s="2">
        <v>49</v>
      </c>
      <c r="L808" s="2" t="s">
        <v>33</v>
      </c>
    </row>
    <row r="809" spans="1:12" x14ac:dyDescent="0.3">
      <c r="A809" s="2">
        <v>798</v>
      </c>
      <c r="B809" s="2" t="s">
        <v>2796</v>
      </c>
      <c r="C809" s="2" t="s">
        <v>2797</v>
      </c>
      <c r="D809" s="2" t="s">
        <v>28</v>
      </c>
      <c r="E809" s="2" t="s">
        <v>29</v>
      </c>
      <c r="F809" s="2">
        <v>30</v>
      </c>
      <c r="G809" s="2" t="s">
        <v>2798</v>
      </c>
      <c r="H809" s="2" t="s">
        <v>2799</v>
      </c>
      <c r="I809" s="2" t="s">
        <v>32</v>
      </c>
      <c r="J809" s="3">
        <v>44030</v>
      </c>
      <c r="K809" s="2">
        <v>26</v>
      </c>
      <c r="L809" s="2" t="s">
        <v>64</v>
      </c>
    </row>
    <row r="810" spans="1:12" x14ac:dyDescent="0.3">
      <c r="A810" s="2">
        <v>799</v>
      </c>
      <c r="B810" s="2" t="s">
        <v>2800</v>
      </c>
      <c r="C810" s="2" t="s">
        <v>2203</v>
      </c>
      <c r="D810" s="2" t="s">
        <v>92</v>
      </c>
      <c r="E810" s="2" t="s">
        <v>16</v>
      </c>
      <c r="F810" s="2">
        <v>30</v>
      </c>
      <c r="G810" s="2" t="s">
        <v>2801</v>
      </c>
      <c r="H810" s="2" t="s">
        <v>1615</v>
      </c>
      <c r="I810" s="2" t="s">
        <v>32</v>
      </c>
      <c r="J810" s="3">
        <v>44736</v>
      </c>
      <c r="K810" s="2">
        <v>11</v>
      </c>
      <c r="L810" s="2" t="s">
        <v>45</v>
      </c>
    </row>
    <row r="811" spans="1:12" x14ac:dyDescent="0.3">
      <c r="A811" s="2">
        <v>800</v>
      </c>
      <c r="B811" s="2" t="s">
        <v>2802</v>
      </c>
      <c r="C811" s="2" t="s">
        <v>983</v>
      </c>
      <c r="D811" s="2" t="s">
        <v>51</v>
      </c>
      <c r="E811" s="2" t="s">
        <v>16</v>
      </c>
      <c r="F811" s="2">
        <v>60</v>
      </c>
      <c r="G811" s="2" t="s">
        <v>2803</v>
      </c>
      <c r="H811" s="2" t="s">
        <v>2804</v>
      </c>
      <c r="I811" s="2" t="s">
        <v>124</v>
      </c>
      <c r="J811" s="3">
        <v>44891</v>
      </c>
      <c r="K811" s="2">
        <v>36</v>
      </c>
      <c r="L811" s="2" t="s">
        <v>20</v>
      </c>
    </row>
    <row r="812" spans="1:12" x14ac:dyDescent="0.3">
      <c r="A812" s="2">
        <v>801</v>
      </c>
      <c r="B812" s="2" t="s">
        <v>2805</v>
      </c>
      <c r="C812" s="2" t="s">
        <v>2806</v>
      </c>
      <c r="D812" s="2" t="s">
        <v>28</v>
      </c>
      <c r="E812" s="2" t="s">
        <v>29</v>
      </c>
      <c r="F812" s="2">
        <v>90</v>
      </c>
      <c r="G812" s="2" t="s">
        <v>2807</v>
      </c>
      <c r="H812" s="2" t="s">
        <v>1568</v>
      </c>
      <c r="I812" s="2" t="s">
        <v>32</v>
      </c>
      <c r="J812" s="3">
        <v>44157</v>
      </c>
      <c r="K812" s="2">
        <v>72</v>
      </c>
      <c r="L812" s="2" t="s">
        <v>20</v>
      </c>
    </row>
    <row r="813" spans="1:12" x14ac:dyDescent="0.3">
      <c r="A813" s="2">
        <v>802</v>
      </c>
      <c r="B813" s="2" t="s">
        <v>2808</v>
      </c>
      <c r="C813" s="2" t="s">
        <v>2809</v>
      </c>
      <c r="D813" s="2" t="s">
        <v>15</v>
      </c>
      <c r="E813" s="2" t="s">
        <v>16</v>
      </c>
      <c r="F813" s="2">
        <v>60</v>
      </c>
      <c r="G813" s="2" t="s">
        <v>2810</v>
      </c>
      <c r="H813" s="2" t="s">
        <v>2811</v>
      </c>
      <c r="I813" s="2" t="s">
        <v>32</v>
      </c>
      <c r="J813" s="3">
        <v>44734</v>
      </c>
      <c r="K813" s="2">
        <v>70</v>
      </c>
      <c r="L813" s="2" t="s">
        <v>33</v>
      </c>
    </row>
    <row r="814" spans="1:12" x14ac:dyDescent="0.3">
      <c r="A814" s="2">
        <v>803</v>
      </c>
      <c r="B814" s="2" t="s">
        <v>2812</v>
      </c>
      <c r="C814" s="2" t="s">
        <v>2813</v>
      </c>
      <c r="D814" s="2" t="s">
        <v>51</v>
      </c>
      <c r="E814" s="2" t="s">
        <v>16</v>
      </c>
      <c r="F814" s="2">
        <v>60</v>
      </c>
      <c r="G814" s="2" t="s">
        <v>2814</v>
      </c>
      <c r="H814" s="2" t="s">
        <v>2667</v>
      </c>
      <c r="I814" s="2" t="s">
        <v>187</v>
      </c>
      <c r="J814" s="3">
        <v>44837</v>
      </c>
      <c r="K814" s="2">
        <v>40</v>
      </c>
      <c r="L814" s="2" t="s">
        <v>101</v>
      </c>
    </row>
    <row r="815" spans="1:12" x14ac:dyDescent="0.3">
      <c r="A815" s="2">
        <v>804</v>
      </c>
      <c r="B815" s="2" t="s">
        <v>2815</v>
      </c>
      <c r="C815" s="2" t="s">
        <v>2816</v>
      </c>
      <c r="D815" s="2" t="s">
        <v>28</v>
      </c>
      <c r="E815" s="2" t="s">
        <v>29</v>
      </c>
      <c r="F815" s="2">
        <v>90</v>
      </c>
      <c r="G815" s="2" t="s">
        <v>2817</v>
      </c>
      <c r="H815" s="2" t="s">
        <v>2818</v>
      </c>
      <c r="I815" s="2" t="s">
        <v>32</v>
      </c>
      <c r="J815" s="3">
        <v>44904</v>
      </c>
      <c r="K815" s="2">
        <v>37</v>
      </c>
      <c r="L815" s="2" t="s">
        <v>54</v>
      </c>
    </row>
    <row r="816" spans="1:12" x14ac:dyDescent="0.3">
      <c r="A816" s="2">
        <v>805</v>
      </c>
      <c r="B816" s="2" t="s">
        <v>2819</v>
      </c>
      <c r="C816" s="2" t="s">
        <v>2820</v>
      </c>
      <c r="D816" s="2" t="s">
        <v>28</v>
      </c>
      <c r="E816" s="2" t="s">
        <v>29</v>
      </c>
      <c r="F816" s="2">
        <v>60</v>
      </c>
      <c r="G816" s="2" t="s">
        <v>2821</v>
      </c>
      <c r="H816" s="2" t="s">
        <v>2822</v>
      </c>
      <c r="I816" s="2" t="s">
        <v>32</v>
      </c>
      <c r="J816" s="3">
        <v>44815</v>
      </c>
      <c r="K816" s="2">
        <v>96</v>
      </c>
      <c r="L816" s="2" t="s">
        <v>54</v>
      </c>
    </row>
    <row r="817" spans="1:12" x14ac:dyDescent="0.3">
      <c r="A817" s="2">
        <v>806</v>
      </c>
      <c r="B817" s="2" t="s">
        <v>2823</v>
      </c>
      <c r="C817" s="2" t="s">
        <v>2824</v>
      </c>
      <c r="D817" s="2" t="s">
        <v>15</v>
      </c>
      <c r="E817" s="2" t="s">
        <v>16</v>
      </c>
      <c r="F817" s="2">
        <v>30</v>
      </c>
      <c r="G817" s="2" t="s">
        <v>2825</v>
      </c>
      <c r="H817" s="2" t="s">
        <v>1206</v>
      </c>
      <c r="I817" s="2" t="s">
        <v>294</v>
      </c>
      <c r="J817" s="3">
        <v>44300</v>
      </c>
      <c r="K817" s="2">
        <v>51</v>
      </c>
      <c r="L817" s="2" t="s">
        <v>80</v>
      </c>
    </row>
    <row r="818" spans="1:12" x14ac:dyDescent="0.3">
      <c r="A818" s="2">
        <v>807</v>
      </c>
      <c r="B818" s="2" t="s">
        <v>2308</v>
      </c>
      <c r="C818" s="2" t="s">
        <v>2826</v>
      </c>
      <c r="D818" s="2" t="s">
        <v>51</v>
      </c>
      <c r="E818" s="2" t="s">
        <v>16</v>
      </c>
      <c r="F818" s="2">
        <v>30</v>
      </c>
      <c r="G818" s="2" t="s">
        <v>2827</v>
      </c>
      <c r="H818" s="2" t="s">
        <v>702</v>
      </c>
      <c r="I818" s="2" t="s">
        <v>703</v>
      </c>
      <c r="J818" s="3">
        <v>43928</v>
      </c>
      <c r="K818" s="2">
        <v>64</v>
      </c>
      <c r="L818" s="2" t="s">
        <v>101</v>
      </c>
    </row>
    <row r="819" spans="1:12" x14ac:dyDescent="0.3">
      <c r="A819" s="2">
        <v>808</v>
      </c>
      <c r="B819" s="2" t="s">
        <v>2828</v>
      </c>
      <c r="C819" s="2" t="s">
        <v>2829</v>
      </c>
      <c r="D819" s="2" t="s">
        <v>28</v>
      </c>
      <c r="E819" s="2" t="s">
        <v>29</v>
      </c>
      <c r="F819" s="2">
        <v>90</v>
      </c>
      <c r="G819" s="2" t="s">
        <v>10477</v>
      </c>
      <c r="H819" s="2" t="s">
        <v>2831</v>
      </c>
      <c r="I819" s="2" t="s">
        <v>32</v>
      </c>
      <c r="J819" s="3">
        <v>44080</v>
      </c>
      <c r="K819" s="2">
        <v>6</v>
      </c>
      <c r="L819" s="2" t="s">
        <v>101</v>
      </c>
    </row>
    <row r="820" spans="1:12" x14ac:dyDescent="0.3">
      <c r="A820" s="2">
        <v>809</v>
      </c>
      <c r="B820" s="2" t="s">
        <v>2682</v>
      </c>
      <c r="C820" s="2" t="s">
        <v>2832</v>
      </c>
      <c r="D820" s="2" t="s">
        <v>28</v>
      </c>
      <c r="E820" s="2" t="s">
        <v>29</v>
      </c>
      <c r="F820" s="2">
        <v>60</v>
      </c>
      <c r="G820" s="2" t="s">
        <v>2833</v>
      </c>
      <c r="H820" s="2" t="s">
        <v>2834</v>
      </c>
      <c r="I820" s="2" t="s">
        <v>19</v>
      </c>
      <c r="J820" s="3">
        <v>44577</v>
      </c>
      <c r="K820" s="2">
        <v>101</v>
      </c>
      <c r="L820" s="2" t="s">
        <v>80</v>
      </c>
    </row>
    <row r="821" spans="1:12" x14ac:dyDescent="0.3">
      <c r="A821" s="2">
        <v>810</v>
      </c>
      <c r="B821" s="2" t="s">
        <v>2835</v>
      </c>
      <c r="C821" s="2" t="s">
        <v>1737</v>
      </c>
      <c r="D821" s="2" t="s">
        <v>28</v>
      </c>
      <c r="E821" s="2" t="s">
        <v>29</v>
      </c>
      <c r="F821" s="2">
        <v>90</v>
      </c>
      <c r="G821" s="2" t="s">
        <v>2836</v>
      </c>
      <c r="H821" s="2" t="s">
        <v>2250</v>
      </c>
      <c r="I821" s="2" t="s">
        <v>187</v>
      </c>
      <c r="J821" s="3">
        <v>44669</v>
      </c>
      <c r="K821" s="2">
        <v>4</v>
      </c>
      <c r="L821" s="2" t="s">
        <v>80</v>
      </c>
    </row>
    <row r="822" spans="1:12" x14ac:dyDescent="0.3">
      <c r="A822" s="2">
        <v>811</v>
      </c>
      <c r="B822" s="2" t="s">
        <v>2837</v>
      </c>
      <c r="C822" s="2" t="s">
        <v>2838</v>
      </c>
      <c r="D822" s="2" t="s">
        <v>28</v>
      </c>
      <c r="E822" s="2" t="s">
        <v>29</v>
      </c>
      <c r="F822" s="2">
        <v>90</v>
      </c>
      <c r="G822" s="2" t="s">
        <v>2839</v>
      </c>
      <c r="H822" s="2" t="s">
        <v>266</v>
      </c>
      <c r="I822" s="2" t="s">
        <v>32</v>
      </c>
      <c r="J822" s="3">
        <v>44924</v>
      </c>
      <c r="K822" s="2">
        <v>6</v>
      </c>
      <c r="L822" s="2" t="s">
        <v>33</v>
      </c>
    </row>
    <row r="823" spans="1:12" x14ac:dyDescent="0.3">
      <c r="A823" s="2">
        <v>812</v>
      </c>
      <c r="B823" s="2" t="s">
        <v>2840</v>
      </c>
      <c r="C823" s="2" t="s">
        <v>2841</v>
      </c>
      <c r="D823" s="2" t="s">
        <v>28</v>
      </c>
      <c r="E823" s="2" t="s">
        <v>29</v>
      </c>
      <c r="F823" s="2">
        <v>30</v>
      </c>
      <c r="G823" s="2" t="s">
        <v>2842</v>
      </c>
      <c r="H823" s="2" t="s">
        <v>1142</v>
      </c>
      <c r="I823" s="2" t="s">
        <v>38</v>
      </c>
      <c r="J823" s="3">
        <v>44444</v>
      </c>
      <c r="K823" s="2">
        <v>73</v>
      </c>
      <c r="L823" s="2" t="s">
        <v>20</v>
      </c>
    </row>
    <row r="824" spans="1:12" x14ac:dyDescent="0.3">
      <c r="A824" s="2">
        <v>813</v>
      </c>
      <c r="B824" s="2" t="s">
        <v>2843</v>
      </c>
      <c r="C824" s="2" t="s">
        <v>2844</v>
      </c>
      <c r="D824" s="2" t="s">
        <v>92</v>
      </c>
      <c r="E824" s="2" t="s">
        <v>16</v>
      </c>
      <c r="F824" s="2">
        <v>90</v>
      </c>
      <c r="G824" s="2" t="s">
        <v>2845</v>
      </c>
      <c r="H824" s="2" t="s">
        <v>2846</v>
      </c>
      <c r="I824" s="2" t="s">
        <v>32</v>
      </c>
      <c r="J824" s="3">
        <v>44410</v>
      </c>
      <c r="K824" s="2">
        <v>63</v>
      </c>
      <c r="L824" s="2" t="s">
        <v>64</v>
      </c>
    </row>
    <row r="825" spans="1:12" x14ac:dyDescent="0.3">
      <c r="A825" s="2">
        <v>814</v>
      </c>
      <c r="B825" s="2" t="s">
        <v>2665</v>
      </c>
      <c r="C825" s="2" t="s">
        <v>143</v>
      </c>
      <c r="D825" s="2" t="s">
        <v>28</v>
      </c>
      <c r="E825" s="2" t="s">
        <v>29</v>
      </c>
      <c r="F825" s="2">
        <v>30</v>
      </c>
      <c r="G825" s="2" t="s">
        <v>2847</v>
      </c>
      <c r="H825" s="2" t="s">
        <v>2848</v>
      </c>
      <c r="I825" s="2" t="s">
        <v>129</v>
      </c>
      <c r="J825" s="3">
        <v>43901</v>
      </c>
      <c r="K825" s="2">
        <v>17</v>
      </c>
      <c r="L825" s="2" t="s">
        <v>45</v>
      </c>
    </row>
    <row r="826" spans="1:12" x14ac:dyDescent="0.3">
      <c r="A826" s="2">
        <v>815</v>
      </c>
      <c r="B826" s="2" t="s">
        <v>2849</v>
      </c>
      <c r="C826" s="2" t="s">
        <v>193</v>
      </c>
      <c r="D826" s="2" t="s">
        <v>28</v>
      </c>
      <c r="E826" s="2" t="s">
        <v>29</v>
      </c>
      <c r="F826" s="2">
        <v>60</v>
      </c>
      <c r="G826" s="2" t="s">
        <v>2850</v>
      </c>
      <c r="H826" s="2" t="s">
        <v>2851</v>
      </c>
      <c r="I826" s="2" t="s">
        <v>32</v>
      </c>
      <c r="J826" s="3">
        <v>44322</v>
      </c>
      <c r="K826" s="2">
        <v>21</v>
      </c>
      <c r="L826" s="2" t="s">
        <v>64</v>
      </c>
    </row>
    <row r="827" spans="1:12" x14ac:dyDescent="0.3">
      <c r="A827" s="2">
        <v>816</v>
      </c>
      <c r="B827" s="2" t="s">
        <v>2852</v>
      </c>
      <c r="C827" s="2" t="s">
        <v>2853</v>
      </c>
      <c r="D827" s="2" t="s">
        <v>15</v>
      </c>
      <c r="E827" s="2" t="s">
        <v>16</v>
      </c>
      <c r="F827" s="2">
        <v>90</v>
      </c>
      <c r="G827" s="2" t="s">
        <v>2854</v>
      </c>
      <c r="H827" s="2" t="s">
        <v>2855</v>
      </c>
      <c r="I827" s="2" t="s">
        <v>110</v>
      </c>
      <c r="J827" s="3">
        <v>44701</v>
      </c>
      <c r="K827" s="2">
        <v>5</v>
      </c>
      <c r="L827" s="2" t="s">
        <v>101</v>
      </c>
    </row>
    <row r="828" spans="1:12" x14ac:dyDescent="0.3">
      <c r="A828" s="2">
        <v>817</v>
      </c>
      <c r="B828" s="2" t="s">
        <v>1985</v>
      </c>
      <c r="C828" s="2" t="s">
        <v>2856</v>
      </c>
      <c r="D828" s="2" t="s">
        <v>28</v>
      </c>
      <c r="E828" s="2" t="s">
        <v>29</v>
      </c>
      <c r="F828" s="2">
        <v>30</v>
      </c>
      <c r="G828" s="2" t="s">
        <v>2857</v>
      </c>
      <c r="H828" s="2" t="s">
        <v>248</v>
      </c>
      <c r="I828" s="2" t="s">
        <v>178</v>
      </c>
      <c r="J828" s="3">
        <v>44002</v>
      </c>
      <c r="K828" s="2">
        <v>77</v>
      </c>
      <c r="L828" s="2" t="s">
        <v>39</v>
      </c>
    </row>
    <row r="829" spans="1:12" x14ac:dyDescent="0.3">
      <c r="A829" s="2">
        <v>818</v>
      </c>
      <c r="B829" s="2" t="s">
        <v>990</v>
      </c>
      <c r="C829" s="2" t="s">
        <v>2858</v>
      </c>
      <c r="D829" s="2" t="s">
        <v>28</v>
      </c>
      <c r="E829" s="2" t="s">
        <v>29</v>
      </c>
      <c r="F829" s="2">
        <v>60</v>
      </c>
      <c r="G829" s="2" t="s">
        <v>2859</v>
      </c>
      <c r="H829" s="2" t="s">
        <v>2860</v>
      </c>
      <c r="I829" s="2" t="s">
        <v>32</v>
      </c>
      <c r="J829" s="3">
        <v>44355</v>
      </c>
      <c r="K829" s="2">
        <v>9</v>
      </c>
      <c r="L829" s="2" t="s">
        <v>33</v>
      </c>
    </row>
    <row r="830" spans="1:12" x14ac:dyDescent="0.3">
      <c r="A830" s="2">
        <v>819</v>
      </c>
      <c r="B830" s="2" t="s">
        <v>2861</v>
      </c>
      <c r="C830" s="2" t="s">
        <v>2862</v>
      </c>
      <c r="D830" s="2" t="s">
        <v>51</v>
      </c>
      <c r="E830" s="2" t="s">
        <v>16</v>
      </c>
      <c r="F830" s="2">
        <v>90</v>
      </c>
      <c r="G830" s="2" t="s">
        <v>2863</v>
      </c>
      <c r="H830" s="2" t="s">
        <v>2864</v>
      </c>
      <c r="I830" s="2" t="s">
        <v>187</v>
      </c>
      <c r="J830" s="3">
        <v>44113</v>
      </c>
      <c r="K830" s="2">
        <v>18</v>
      </c>
      <c r="L830" s="2" t="s">
        <v>20</v>
      </c>
    </row>
    <row r="831" spans="1:12" x14ac:dyDescent="0.3">
      <c r="A831" s="2">
        <v>820</v>
      </c>
      <c r="B831" s="2" t="s">
        <v>2865</v>
      </c>
      <c r="C831" s="2" t="s">
        <v>2866</v>
      </c>
      <c r="D831" s="2" t="s">
        <v>51</v>
      </c>
      <c r="E831" s="2" t="s">
        <v>16</v>
      </c>
      <c r="F831" s="2">
        <v>90</v>
      </c>
      <c r="G831" s="2" t="s">
        <v>2867</v>
      </c>
      <c r="H831" s="2" t="s">
        <v>1022</v>
      </c>
      <c r="I831" s="2" t="s">
        <v>164</v>
      </c>
      <c r="J831" s="3">
        <v>44108</v>
      </c>
      <c r="K831" s="2">
        <v>4</v>
      </c>
      <c r="L831" s="2" t="s">
        <v>64</v>
      </c>
    </row>
    <row r="832" spans="1:12" x14ac:dyDescent="0.3">
      <c r="A832" s="2">
        <v>821</v>
      </c>
      <c r="B832" s="2" t="s">
        <v>2868</v>
      </c>
      <c r="C832" s="2" t="s">
        <v>2161</v>
      </c>
      <c r="D832" s="2" t="s">
        <v>51</v>
      </c>
      <c r="E832" s="2" t="s">
        <v>16</v>
      </c>
      <c r="F832" s="2">
        <v>30</v>
      </c>
      <c r="G832" s="2" t="s">
        <v>2869</v>
      </c>
      <c r="H832" s="2" t="s">
        <v>730</v>
      </c>
      <c r="I832" s="2" t="s">
        <v>187</v>
      </c>
      <c r="J832" s="3">
        <v>43923</v>
      </c>
      <c r="K832" s="2">
        <v>84</v>
      </c>
      <c r="L832" s="2" t="s">
        <v>70</v>
      </c>
    </row>
    <row r="833" spans="1:12" x14ac:dyDescent="0.3">
      <c r="A833" s="2">
        <v>822</v>
      </c>
      <c r="B833" s="2" t="s">
        <v>2870</v>
      </c>
      <c r="C833" s="2" t="s">
        <v>2518</v>
      </c>
      <c r="D833" s="2" t="s">
        <v>51</v>
      </c>
      <c r="E833" s="2" t="s">
        <v>16</v>
      </c>
      <c r="F833" s="2">
        <v>90</v>
      </c>
      <c r="G833" s="2" t="s">
        <v>2871</v>
      </c>
      <c r="H833" s="2" t="s">
        <v>2872</v>
      </c>
      <c r="I833" s="2" t="s">
        <v>294</v>
      </c>
      <c r="J833" s="3">
        <v>44215</v>
      </c>
      <c r="K833" s="2">
        <v>23</v>
      </c>
      <c r="L833" s="2" t="s">
        <v>39</v>
      </c>
    </row>
    <row r="834" spans="1:12" x14ac:dyDescent="0.3">
      <c r="A834" s="2">
        <v>823</v>
      </c>
      <c r="B834" s="2" t="s">
        <v>2873</v>
      </c>
      <c r="C834" s="2" t="s">
        <v>2874</v>
      </c>
      <c r="D834" s="2" t="s">
        <v>51</v>
      </c>
      <c r="E834" s="2" t="s">
        <v>16</v>
      </c>
      <c r="F834" s="2">
        <v>90</v>
      </c>
      <c r="G834" s="2" t="s">
        <v>2871</v>
      </c>
      <c r="H834" s="2" t="s">
        <v>2875</v>
      </c>
      <c r="I834" s="2" t="s">
        <v>32</v>
      </c>
      <c r="J834" s="3">
        <v>44507</v>
      </c>
      <c r="K834" s="2">
        <v>27</v>
      </c>
      <c r="L834" s="2" t="s">
        <v>33</v>
      </c>
    </row>
    <row r="835" spans="1:12" x14ac:dyDescent="0.3">
      <c r="A835" s="2">
        <v>824</v>
      </c>
      <c r="B835" s="2" t="s">
        <v>1019</v>
      </c>
      <c r="C835" s="2" t="s">
        <v>86</v>
      </c>
      <c r="D835" s="2" t="s">
        <v>28</v>
      </c>
      <c r="E835" s="2" t="s">
        <v>29</v>
      </c>
      <c r="F835" s="2">
        <v>90</v>
      </c>
      <c r="G835" s="2" t="s">
        <v>2876</v>
      </c>
      <c r="H835" s="2" t="s">
        <v>2877</v>
      </c>
      <c r="I835" s="2" t="s">
        <v>2878</v>
      </c>
      <c r="J835" s="3">
        <v>44259</v>
      </c>
      <c r="K835" s="2">
        <v>59</v>
      </c>
      <c r="L835" s="2" t="s">
        <v>159</v>
      </c>
    </row>
    <row r="836" spans="1:12" x14ac:dyDescent="0.3">
      <c r="A836" s="2">
        <v>825</v>
      </c>
      <c r="B836" s="2" t="s">
        <v>2879</v>
      </c>
      <c r="C836" s="2" t="s">
        <v>2880</v>
      </c>
      <c r="D836" s="2" t="s">
        <v>15</v>
      </c>
      <c r="E836" s="2" t="s">
        <v>16</v>
      </c>
      <c r="F836" s="2">
        <v>30</v>
      </c>
      <c r="G836" s="2" t="s">
        <v>2881</v>
      </c>
      <c r="H836" s="2" t="s">
        <v>978</v>
      </c>
      <c r="I836" s="2" t="s">
        <v>294</v>
      </c>
      <c r="J836" s="3">
        <v>44608</v>
      </c>
      <c r="K836" s="2">
        <v>99</v>
      </c>
      <c r="L836" s="2" t="s">
        <v>20</v>
      </c>
    </row>
    <row r="837" spans="1:12" x14ac:dyDescent="0.3">
      <c r="A837" s="2">
        <v>826</v>
      </c>
      <c r="B837" s="2" t="s">
        <v>2882</v>
      </c>
      <c r="C837" s="2" t="s">
        <v>2883</v>
      </c>
      <c r="D837" s="2" t="s">
        <v>51</v>
      </c>
      <c r="E837" s="2" t="s">
        <v>16</v>
      </c>
      <c r="F837" s="2">
        <v>60</v>
      </c>
      <c r="G837" s="2" t="s">
        <v>2884</v>
      </c>
      <c r="H837" s="2" t="s">
        <v>405</v>
      </c>
      <c r="I837" s="2" t="s">
        <v>32</v>
      </c>
      <c r="J837" s="3">
        <v>44789</v>
      </c>
      <c r="K837" s="2">
        <v>22</v>
      </c>
      <c r="L837" s="2" t="s">
        <v>33</v>
      </c>
    </row>
    <row r="838" spans="1:12" x14ac:dyDescent="0.3">
      <c r="A838" s="2">
        <v>827</v>
      </c>
      <c r="B838" s="2" t="s">
        <v>2086</v>
      </c>
      <c r="C838" s="2" t="s">
        <v>2885</v>
      </c>
      <c r="D838" s="2" t="s">
        <v>28</v>
      </c>
      <c r="E838" s="2" t="s">
        <v>29</v>
      </c>
      <c r="F838" s="2">
        <v>90</v>
      </c>
      <c r="G838" s="2" t="s">
        <v>2886</v>
      </c>
      <c r="H838" s="2" t="s">
        <v>2012</v>
      </c>
      <c r="I838" s="2" t="s">
        <v>32</v>
      </c>
      <c r="J838" s="3">
        <v>44568</v>
      </c>
      <c r="K838" s="2">
        <v>45</v>
      </c>
      <c r="L838" s="2" t="s">
        <v>70</v>
      </c>
    </row>
    <row r="839" spans="1:12" x14ac:dyDescent="0.3">
      <c r="A839" s="2">
        <v>828</v>
      </c>
      <c r="B839" s="2" t="s">
        <v>2887</v>
      </c>
      <c r="C839" s="2" t="s">
        <v>2888</v>
      </c>
      <c r="D839" s="2" t="s">
        <v>28</v>
      </c>
      <c r="E839" s="2" t="s">
        <v>29</v>
      </c>
      <c r="F839" s="2">
        <v>90</v>
      </c>
      <c r="G839" s="2" t="s">
        <v>2889</v>
      </c>
      <c r="H839" s="2" t="s">
        <v>2890</v>
      </c>
      <c r="I839" s="2" t="s">
        <v>32</v>
      </c>
      <c r="J839" s="3">
        <v>44905</v>
      </c>
      <c r="K839" s="2">
        <v>25</v>
      </c>
      <c r="L839" s="2" t="s">
        <v>70</v>
      </c>
    </row>
    <row r="840" spans="1:12" x14ac:dyDescent="0.3">
      <c r="A840" s="2">
        <v>829</v>
      </c>
      <c r="B840" s="2" t="s">
        <v>2891</v>
      </c>
      <c r="C840" s="2" t="s">
        <v>1304</v>
      </c>
      <c r="D840" s="2" t="s">
        <v>28</v>
      </c>
      <c r="E840" s="2" t="s">
        <v>29</v>
      </c>
      <c r="F840" s="2">
        <v>60</v>
      </c>
      <c r="G840" s="2" t="s">
        <v>2892</v>
      </c>
      <c r="H840" s="2" t="s">
        <v>2893</v>
      </c>
      <c r="I840" s="2" t="s">
        <v>32</v>
      </c>
      <c r="J840" s="3">
        <v>44343</v>
      </c>
      <c r="K840" s="2">
        <v>11</v>
      </c>
      <c r="L840" s="2" t="s">
        <v>39</v>
      </c>
    </row>
    <row r="841" spans="1:12" x14ac:dyDescent="0.3">
      <c r="A841" s="2">
        <v>830</v>
      </c>
      <c r="B841" s="2" t="s">
        <v>2894</v>
      </c>
      <c r="C841" s="2" t="s">
        <v>728</v>
      </c>
      <c r="D841" s="2" t="s">
        <v>15</v>
      </c>
      <c r="E841" s="2" t="s">
        <v>16</v>
      </c>
      <c r="F841" s="2">
        <v>60</v>
      </c>
      <c r="G841" s="2" t="s">
        <v>2895</v>
      </c>
      <c r="H841" s="2" t="s">
        <v>2896</v>
      </c>
      <c r="I841" s="2" t="s">
        <v>110</v>
      </c>
      <c r="J841" s="3">
        <v>44855</v>
      </c>
      <c r="K841" s="2">
        <v>53</v>
      </c>
      <c r="L841" s="2" t="s">
        <v>64</v>
      </c>
    </row>
    <row r="842" spans="1:12" x14ac:dyDescent="0.3">
      <c r="A842" s="2">
        <v>831</v>
      </c>
      <c r="B842" s="2" t="s">
        <v>2897</v>
      </c>
      <c r="C842" s="2" t="s">
        <v>2898</v>
      </c>
      <c r="D842" s="2" t="s">
        <v>51</v>
      </c>
      <c r="E842" s="2" t="s">
        <v>16</v>
      </c>
      <c r="F842" s="2">
        <v>60</v>
      </c>
      <c r="G842" s="2" t="s">
        <v>2899</v>
      </c>
      <c r="H842" s="2" t="s">
        <v>963</v>
      </c>
      <c r="I842" s="2" t="s">
        <v>25</v>
      </c>
      <c r="J842" s="3">
        <v>44511</v>
      </c>
      <c r="K842" s="2">
        <v>64</v>
      </c>
      <c r="L842" s="2" t="s">
        <v>70</v>
      </c>
    </row>
    <row r="843" spans="1:12" x14ac:dyDescent="0.3">
      <c r="A843" s="2">
        <v>832</v>
      </c>
      <c r="B843" s="2" t="s">
        <v>2900</v>
      </c>
      <c r="C843" s="2" t="s">
        <v>620</v>
      </c>
      <c r="D843" s="2" t="s">
        <v>51</v>
      </c>
      <c r="E843" s="2" t="s">
        <v>16</v>
      </c>
      <c r="F843" s="2">
        <v>30</v>
      </c>
      <c r="G843" s="2" t="s">
        <v>2901</v>
      </c>
      <c r="H843" s="2" t="s">
        <v>2902</v>
      </c>
      <c r="I843" s="2" t="s">
        <v>32</v>
      </c>
      <c r="J843" s="3">
        <v>44710</v>
      </c>
      <c r="K843" s="2">
        <v>64</v>
      </c>
      <c r="L843" s="2" t="s">
        <v>20</v>
      </c>
    </row>
    <row r="844" spans="1:12" x14ac:dyDescent="0.3">
      <c r="A844" s="2">
        <v>833</v>
      </c>
      <c r="B844" s="2" t="s">
        <v>922</v>
      </c>
      <c r="C844" s="2" t="s">
        <v>2903</v>
      </c>
      <c r="D844" s="2" t="s">
        <v>28</v>
      </c>
      <c r="E844" s="2" t="s">
        <v>29</v>
      </c>
      <c r="F844" s="2">
        <v>90</v>
      </c>
      <c r="G844" s="2" t="s">
        <v>2904</v>
      </c>
      <c r="H844" s="2" t="s">
        <v>43</v>
      </c>
      <c r="I844" s="2" t="s">
        <v>44</v>
      </c>
      <c r="J844" s="3">
        <v>44693</v>
      </c>
      <c r="K844" s="2">
        <v>97</v>
      </c>
      <c r="L844" s="2" t="s">
        <v>54</v>
      </c>
    </row>
    <row r="845" spans="1:12" x14ac:dyDescent="0.3">
      <c r="A845" s="2">
        <v>834</v>
      </c>
      <c r="B845" s="2" t="s">
        <v>1262</v>
      </c>
      <c r="C845" s="2" t="s">
        <v>2905</v>
      </c>
      <c r="D845" s="2" t="s">
        <v>28</v>
      </c>
      <c r="E845" s="2" t="s">
        <v>29</v>
      </c>
      <c r="F845" s="2">
        <v>60</v>
      </c>
      <c r="G845" s="2" t="s">
        <v>2904</v>
      </c>
      <c r="H845" s="2" t="s">
        <v>1001</v>
      </c>
      <c r="I845" s="2" t="s">
        <v>32</v>
      </c>
      <c r="J845" s="3">
        <v>44180</v>
      </c>
      <c r="K845" s="2">
        <v>77</v>
      </c>
      <c r="L845" s="2" t="s">
        <v>159</v>
      </c>
    </row>
    <row r="846" spans="1:12" x14ac:dyDescent="0.3">
      <c r="A846" s="2">
        <v>835</v>
      </c>
      <c r="B846" s="2" t="s">
        <v>2906</v>
      </c>
      <c r="C846" s="2" t="s">
        <v>1044</v>
      </c>
      <c r="D846" s="2" t="s">
        <v>28</v>
      </c>
      <c r="E846" s="2" t="s">
        <v>29</v>
      </c>
      <c r="F846" s="2">
        <v>60</v>
      </c>
      <c r="G846" s="2" t="s">
        <v>2907</v>
      </c>
      <c r="H846" s="2" t="s">
        <v>2908</v>
      </c>
      <c r="I846" s="2" t="s">
        <v>25</v>
      </c>
      <c r="J846" s="3">
        <v>44502</v>
      </c>
      <c r="K846" s="2">
        <v>44</v>
      </c>
      <c r="L846" s="2" t="s">
        <v>101</v>
      </c>
    </row>
    <row r="847" spans="1:12" x14ac:dyDescent="0.3">
      <c r="A847" s="2">
        <v>836</v>
      </c>
      <c r="B847" s="2" t="s">
        <v>1140</v>
      </c>
      <c r="C847" s="2" t="s">
        <v>2909</v>
      </c>
      <c r="D847" s="2" t="s">
        <v>28</v>
      </c>
      <c r="E847" s="2" t="s">
        <v>29</v>
      </c>
      <c r="F847" s="2">
        <v>30</v>
      </c>
      <c r="G847" s="2" t="s">
        <v>2910</v>
      </c>
      <c r="H847" s="2" t="s">
        <v>2447</v>
      </c>
      <c r="I847" s="2" t="s">
        <v>1869</v>
      </c>
      <c r="J847" s="3">
        <v>44254</v>
      </c>
      <c r="K847" s="2">
        <v>64</v>
      </c>
      <c r="L847" s="2" t="s">
        <v>20</v>
      </c>
    </row>
    <row r="848" spans="1:12" x14ac:dyDescent="0.3">
      <c r="A848" s="2">
        <v>837</v>
      </c>
      <c r="B848" s="2" t="s">
        <v>2911</v>
      </c>
      <c r="C848" s="2" t="s">
        <v>2912</v>
      </c>
      <c r="D848" s="2" t="s">
        <v>51</v>
      </c>
      <c r="E848" s="2" t="s">
        <v>16</v>
      </c>
      <c r="F848" s="2">
        <v>90</v>
      </c>
      <c r="G848" s="2" t="s">
        <v>2910</v>
      </c>
      <c r="H848" s="2" t="s">
        <v>2913</v>
      </c>
      <c r="I848" s="2" t="s">
        <v>1035</v>
      </c>
      <c r="J848" s="3">
        <v>43989</v>
      </c>
      <c r="K848" s="2">
        <v>85</v>
      </c>
      <c r="L848" s="2" t="s">
        <v>54</v>
      </c>
    </row>
    <row r="849" spans="1:12" x14ac:dyDescent="0.3">
      <c r="A849" s="2">
        <v>838</v>
      </c>
      <c r="B849" s="2" t="s">
        <v>2914</v>
      </c>
      <c r="C849" s="2" t="s">
        <v>2915</v>
      </c>
      <c r="D849" s="2" t="s">
        <v>28</v>
      </c>
      <c r="E849" s="2" t="s">
        <v>29</v>
      </c>
      <c r="F849" s="2">
        <v>60</v>
      </c>
      <c r="G849" s="2" t="s">
        <v>2916</v>
      </c>
      <c r="H849" s="2" t="s">
        <v>2917</v>
      </c>
      <c r="I849" s="2" t="s">
        <v>95</v>
      </c>
      <c r="J849" s="3">
        <v>43884</v>
      </c>
      <c r="K849" s="2">
        <v>39</v>
      </c>
      <c r="L849" s="2" t="s">
        <v>33</v>
      </c>
    </row>
    <row r="850" spans="1:12" x14ac:dyDescent="0.3">
      <c r="A850" s="2">
        <v>839</v>
      </c>
      <c r="B850" s="2" t="s">
        <v>1140</v>
      </c>
      <c r="C850" s="2" t="s">
        <v>139</v>
      </c>
      <c r="D850" s="2" t="s">
        <v>51</v>
      </c>
      <c r="E850" s="2" t="s">
        <v>16</v>
      </c>
      <c r="F850" s="2">
        <v>60</v>
      </c>
      <c r="G850" s="2" t="s">
        <v>2918</v>
      </c>
      <c r="H850" s="2" t="s">
        <v>1077</v>
      </c>
      <c r="I850" s="2" t="s">
        <v>1078</v>
      </c>
      <c r="J850" s="3">
        <v>44220</v>
      </c>
      <c r="K850" s="2">
        <v>90</v>
      </c>
      <c r="L850" s="2" t="s">
        <v>64</v>
      </c>
    </row>
    <row r="851" spans="1:12" x14ac:dyDescent="0.3">
      <c r="A851" s="2">
        <v>840</v>
      </c>
      <c r="B851" s="2" t="s">
        <v>2919</v>
      </c>
      <c r="C851" s="2" t="s">
        <v>2920</v>
      </c>
      <c r="D851" s="2" t="s">
        <v>28</v>
      </c>
      <c r="E851" s="2" t="s">
        <v>29</v>
      </c>
      <c r="F851" s="2">
        <v>60</v>
      </c>
      <c r="G851" s="2" t="s">
        <v>2921</v>
      </c>
      <c r="H851" s="2" t="s">
        <v>698</v>
      </c>
      <c r="I851" s="2" t="s">
        <v>213</v>
      </c>
      <c r="J851" s="3">
        <v>44781</v>
      </c>
      <c r="K851" s="2">
        <v>42</v>
      </c>
      <c r="L851" s="2" t="s">
        <v>101</v>
      </c>
    </row>
    <row r="852" spans="1:12" x14ac:dyDescent="0.3">
      <c r="A852" s="2">
        <v>841</v>
      </c>
      <c r="B852" s="2" t="s">
        <v>2922</v>
      </c>
      <c r="C852" s="2" t="s">
        <v>2923</v>
      </c>
      <c r="D852" s="2" t="s">
        <v>15</v>
      </c>
      <c r="E852" s="2" t="s">
        <v>16</v>
      </c>
      <c r="F852" s="2">
        <v>60</v>
      </c>
      <c r="G852" s="2" t="s">
        <v>2924</v>
      </c>
      <c r="H852" s="2" t="s">
        <v>2925</v>
      </c>
      <c r="I852" s="2" t="s">
        <v>32</v>
      </c>
      <c r="J852" s="3">
        <v>44434</v>
      </c>
      <c r="K852" s="2">
        <v>84</v>
      </c>
      <c r="L852" s="2" t="s">
        <v>64</v>
      </c>
    </row>
    <row r="853" spans="1:12" x14ac:dyDescent="0.3">
      <c r="A853" s="2">
        <v>842</v>
      </c>
      <c r="B853" s="2" t="s">
        <v>2926</v>
      </c>
      <c r="C853" s="2" t="s">
        <v>1301</v>
      </c>
      <c r="D853" s="2" t="s">
        <v>15</v>
      </c>
      <c r="E853" s="2" t="s">
        <v>16</v>
      </c>
      <c r="F853" s="2">
        <v>60</v>
      </c>
      <c r="G853" s="2" t="s">
        <v>2927</v>
      </c>
      <c r="H853" s="2" t="s">
        <v>802</v>
      </c>
      <c r="I853" s="2" t="s">
        <v>294</v>
      </c>
      <c r="J853" s="3">
        <v>44345</v>
      </c>
      <c r="K853" s="2">
        <v>54</v>
      </c>
      <c r="L853" s="2" t="s">
        <v>64</v>
      </c>
    </row>
    <row r="854" spans="1:12" x14ac:dyDescent="0.3">
      <c r="A854" s="2">
        <v>843</v>
      </c>
      <c r="B854" s="2" t="s">
        <v>725</v>
      </c>
      <c r="C854" s="2" t="s">
        <v>2928</v>
      </c>
      <c r="D854" s="2" t="s">
        <v>28</v>
      </c>
      <c r="E854" s="2" t="s">
        <v>29</v>
      </c>
      <c r="F854" s="2">
        <v>30</v>
      </c>
      <c r="G854" s="2" t="s">
        <v>2929</v>
      </c>
      <c r="H854" s="2" t="s">
        <v>1537</v>
      </c>
      <c r="I854" s="2" t="s">
        <v>294</v>
      </c>
      <c r="J854" s="3">
        <v>44694</v>
      </c>
      <c r="K854" s="2">
        <v>87</v>
      </c>
      <c r="L854" s="2" t="s">
        <v>101</v>
      </c>
    </row>
    <row r="855" spans="1:12" x14ac:dyDescent="0.3">
      <c r="A855" s="2">
        <v>844</v>
      </c>
      <c r="B855" s="2" t="s">
        <v>441</v>
      </c>
      <c r="C855" s="2" t="s">
        <v>2467</v>
      </c>
      <c r="D855" s="2" t="s">
        <v>28</v>
      </c>
      <c r="E855" s="2" t="s">
        <v>29</v>
      </c>
      <c r="F855" s="2">
        <v>30</v>
      </c>
      <c r="G855" s="2" t="s">
        <v>2930</v>
      </c>
      <c r="H855" s="2" t="s">
        <v>2931</v>
      </c>
      <c r="I855" s="2" t="s">
        <v>32</v>
      </c>
      <c r="J855" s="3">
        <v>44267</v>
      </c>
      <c r="K855" s="2">
        <v>20</v>
      </c>
      <c r="L855" s="2" t="s">
        <v>101</v>
      </c>
    </row>
    <row r="856" spans="1:12" x14ac:dyDescent="0.3">
      <c r="A856" s="2">
        <v>845</v>
      </c>
      <c r="B856" s="2" t="s">
        <v>2932</v>
      </c>
      <c r="C856" s="2" t="s">
        <v>2431</v>
      </c>
      <c r="D856" s="2" t="s">
        <v>28</v>
      </c>
      <c r="E856" s="2" t="s">
        <v>29</v>
      </c>
      <c r="F856" s="2">
        <v>90</v>
      </c>
      <c r="G856" s="2" t="s">
        <v>2933</v>
      </c>
      <c r="H856" s="2" t="s">
        <v>2934</v>
      </c>
      <c r="I856" s="2" t="s">
        <v>32</v>
      </c>
      <c r="J856" s="3">
        <v>44149</v>
      </c>
      <c r="K856" s="2">
        <v>12</v>
      </c>
      <c r="L856" s="2" t="s">
        <v>39</v>
      </c>
    </row>
    <row r="857" spans="1:12" x14ac:dyDescent="0.3">
      <c r="A857" s="2">
        <v>846</v>
      </c>
      <c r="B857" s="2" t="s">
        <v>2935</v>
      </c>
      <c r="C857" s="2" t="s">
        <v>2936</v>
      </c>
      <c r="D857" s="2" t="s">
        <v>51</v>
      </c>
      <c r="E857" s="2" t="s">
        <v>16</v>
      </c>
      <c r="F857" s="2">
        <v>60</v>
      </c>
      <c r="G857" s="2" t="s">
        <v>2937</v>
      </c>
      <c r="H857" s="2" t="s">
        <v>1859</v>
      </c>
      <c r="I857" s="2" t="s">
        <v>89</v>
      </c>
      <c r="J857" s="3">
        <v>43889</v>
      </c>
      <c r="K857" s="2">
        <v>70</v>
      </c>
      <c r="L857" s="2" t="s">
        <v>33</v>
      </c>
    </row>
    <row r="858" spans="1:12" x14ac:dyDescent="0.3">
      <c r="A858" s="2">
        <v>847</v>
      </c>
      <c r="B858" s="2" t="s">
        <v>2938</v>
      </c>
      <c r="C858" s="2" t="s">
        <v>2939</v>
      </c>
      <c r="D858" s="2" t="s">
        <v>51</v>
      </c>
      <c r="E858" s="2" t="s">
        <v>16</v>
      </c>
      <c r="F858" s="2">
        <v>90</v>
      </c>
      <c r="G858" s="2" t="s">
        <v>2940</v>
      </c>
      <c r="H858" s="2" t="s">
        <v>1827</v>
      </c>
      <c r="I858" s="2" t="s">
        <v>25</v>
      </c>
      <c r="J858" s="3">
        <v>44047</v>
      </c>
      <c r="K858" s="2">
        <v>79</v>
      </c>
      <c r="L858" s="2" t="s">
        <v>64</v>
      </c>
    </row>
    <row r="859" spans="1:12" x14ac:dyDescent="0.3">
      <c r="A859" s="2">
        <v>848</v>
      </c>
      <c r="B859" s="2" t="s">
        <v>2941</v>
      </c>
      <c r="C859" s="2" t="s">
        <v>2942</v>
      </c>
      <c r="D859" s="2" t="s">
        <v>28</v>
      </c>
      <c r="E859" s="2" t="s">
        <v>29</v>
      </c>
      <c r="F859" s="2">
        <v>60</v>
      </c>
      <c r="G859" s="2" t="s">
        <v>2943</v>
      </c>
      <c r="H859" s="2" t="s">
        <v>912</v>
      </c>
      <c r="I859" s="2" t="s">
        <v>913</v>
      </c>
      <c r="J859" s="3">
        <v>44910</v>
      </c>
      <c r="K859" s="2">
        <v>93</v>
      </c>
      <c r="L859" s="2" t="s">
        <v>101</v>
      </c>
    </row>
    <row r="860" spans="1:12" x14ac:dyDescent="0.3">
      <c r="A860" s="2">
        <v>849</v>
      </c>
      <c r="B860" s="2" t="s">
        <v>2944</v>
      </c>
      <c r="C860" s="2" t="s">
        <v>2945</v>
      </c>
      <c r="D860" s="2" t="s">
        <v>15</v>
      </c>
      <c r="E860" s="2" t="s">
        <v>16</v>
      </c>
      <c r="F860" s="2">
        <v>90</v>
      </c>
      <c r="G860" s="2" t="s">
        <v>2946</v>
      </c>
      <c r="H860" s="2" t="s">
        <v>641</v>
      </c>
      <c r="I860" s="2" t="s">
        <v>294</v>
      </c>
      <c r="J860" s="3">
        <v>44908</v>
      </c>
      <c r="K860" s="2">
        <v>48</v>
      </c>
      <c r="L860" s="2" t="s">
        <v>20</v>
      </c>
    </row>
    <row r="861" spans="1:12" x14ac:dyDescent="0.3">
      <c r="A861" s="2">
        <v>850</v>
      </c>
      <c r="B861" s="2" t="s">
        <v>2947</v>
      </c>
      <c r="C861" s="2" t="s">
        <v>2948</v>
      </c>
      <c r="D861" s="2" t="s">
        <v>28</v>
      </c>
      <c r="E861" s="2" t="s">
        <v>29</v>
      </c>
      <c r="F861" s="2">
        <v>90</v>
      </c>
      <c r="G861" s="2" t="s">
        <v>2949</v>
      </c>
      <c r="H861" s="2" t="s">
        <v>2950</v>
      </c>
      <c r="I861" s="2" t="s">
        <v>38</v>
      </c>
      <c r="J861" s="3">
        <v>44777</v>
      </c>
      <c r="K861" s="2">
        <v>47</v>
      </c>
      <c r="L861" s="2" t="s">
        <v>159</v>
      </c>
    </row>
    <row r="862" spans="1:12" x14ac:dyDescent="0.3">
      <c r="A862" s="2">
        <v>851</v>
      </c>
      <c r="B862" s="2" t="s">
        <v>2951</v>
      </c>
      <c r="C862" s="2" t="s">
        <v>1334</v>
      </c>
      <c r="D862" s="2" t="s">
        <v>28</v>
      </c>
      <c r="E862" s="2" t="s">
        <v>29</v>
      </c>
      <c r="F862" s="2">
        <v>30</v>
      </c>
      <c r="G862" s="2" t="s">
        <v>2952</v>
      </c>
      <c r="H862" s="2" t="s">
        <v>2953</v>
      </c>
      <c r="I862" s="2" t="s">
        <v>124</v>
      </c>
      <c r="J862" s="3">
        <v>44466</v>
      </c>
      <c r="K862" s="2">
        <v>52</v>
      </c>
      <c r="L862" s="2" t="s">
        <v>54</v>
      </c>
    </row>
    <row r="863" spans="1:12" x14ac:dyDescent="0.3">
      <c r="A863" s="2">
        <v>852</v>
      </c>
      <c r="B863" s="2" t="s">
        <v>2954</v>
      </c>
      <c r="C863" s="2" t="s">
        <v>2955</v>
      </c>
      <c r="D863" s="2" t="s">
        <v>51</v>
      </c>
      <c r="E863" s="2" t="s">
        <v>16</v>
      </c>
      <c r="F863" s="2">
        <v>60</v>
      </c>
      <c r="G863" s="2" t="s">
        <v>2956</v>
      </c>
      <c r="H863" s="2" t="s">
        <v>1667</v>
      </c>
      <c r="I863" s="2" t="s">
        <v>32</v>
      </c>
      <c r="J863" s="3">
        <v>43976</v>
      </c>
      <c r="K863" s="2">
        <v>73</v>
      </c>
      <c r="L863" s="2" t="s">
        <v>39</v>
      </c>
    </row>
    <row r="864" spans="1:12" x14ac:dyDescent="0.3">
      <c r="A864" s="2">
        <v>853</v>
      </c>
      <c r="B864" s="2" t="s">
        <v>2406</v>
      </c>
      <c r="C864" s="2" t="s">
        <v>816</v>
      </c>
      <c r="D864" s="2" t="s">
        <v>28</v>
      </c>
      <c r="E864" s="2" t="s">
        <v>29</v>
      </c>
      <c r="F864" s="2">
        <v>90</v>
      </c>
      <c r="G864" s="2" t="s">
        <v>2957</v>
      </c>
      <c r="H864" s="2" t="s">
        <v>1168</v>
      </c>
      <c r="I864" s="2" t="s">
        <v>32</v>
      </c>
      <c r="J864" s="3">
        <v>44117</v>
      </c>
      <c r="K864" s="2">
        <v>9</v>
      </c>
      <c r="L864" s="2" t="s">
        <v>33</v>
      </c>
    </row>
    <row r="865" spans="1:12" x14ac:dyDescent="0.3">
      <c r="A865" s="2">
        <v>854</v>
      </c>
      <c r="B865" s="2" t="s">
        <v>2958</v>
      </c>
      <c r="C865" s="2" t="s">
        <v>394</v>
      </c>
      <c r="D865" s="2" t="s">
        <v>15</v>
      </c>
      <c r="E865" s="2" t="s">
        <v>16</v>
      </c>
      <c r="F865" s="2">
        <v>30</v>
      </c>
      <c r="G865" s="2" t="s">
        <v>2959</v>
      </c>
      <c r="H865" s="2" t="s">
        <v>1625</v>
      </c>
      <c r="I865" s="2" t="s">
        <v>32</v>
      </c>
      <c r="J865" s="3">
        <v>44419</v>
      </c>
      <c r="K865" s="2">
        <v>41</v>
      </c>
      <c r="L865" s="2" t="s">
        <v>159</v>
      </c>
    </row>
    <row r="866" spans="1:12" x14ac:dyDescent="0.3">
      <c r="A866" s="2">
        <v>855</v>
      </c>
      <c r="B866" s="2" t="s">
        <v>2960</v>
      </c>
      <c r="C866" s="2" t="s">
        <v>2385</v>
      </c>
      <c r="D866" s="2" t="s">
        <v>28</v>
      </c>
      <c r="E866" s="2" t="s">
        <v>29</v>
      </c>
      <c r="F866" s="2">
        <v>60</v>
      </c>
      <c r="G866" s="2" t="s">
        <v>2961</v>
      </c>
      <c r="H866" s="2" t="s">
        <v>2294</v>
      </c>
      <c r="I866" s="2" t="s">
        <v>32</v>
      </c>
      <c r="J866" s="3">
        <v>44887</v>
      </c>
      <c r="K866" s="2">
        <v>21</v>
      </c>
      <c r="L866" s="2" t="s">
        <v>45</v>
      </c>
    </row>
    <row r="867" spans="1:12" x14ac:dyDescent="0.3">
      <c r="A867" s="2">
        <v>856</v>
      </c>
      <c r="B867" s="2" t="s">
        <v>2962</v>
      </c>
      <c r="C867" s="2" t="s">
        <v>2963</v>
      </c>
      <c r="D867" s="2" t="s">
        <v>28</v>
      </c>
      <c r="E867" s="2" t="s">
        <v>29</v>
      </c>
      <c r="F867" s="2">
        <v>90</v>
      </c>
      <c r="G867" s="2" t="s">
        <v>2964</v>
      </c>
      <c r="H867" s="2" t="s">
        <v>2965</v>
      </c>
      <c r="I867" s="2" t="s">
        <v>25</v>
      </c>
      <c r="J867" s="3">
        <v>44334</v>
      </c>
      <c r="K867" s="2">
        <v>86</v>
      </c>
      <c r="L867" s="2" t="s">
        <v>33</v>
      </c>
    </row>
    <row r="868" spans="1:12" x14ac:dyDescent="0.3">
      <c r="A868" s="2">
        <v>857</v>
      </c>
      <c r="B868" s="2" t="s">
        <v>2966</v>
      </c>
      <c r="C868" s="2" t="s">
        <v>1546</v>
      </c>
      <c r="D868" s="2" t="s">
        <v>51</v>
      </c>
      <c r="E868" s="2" t="s">
        <v>16</v>
      </c>
      <c r="F868" s="2">
        <v>30</v>
      </c>
      <c r="G868" s="2" t="s">
        <v>2967</v>
      </c>
      <c r="H868" s="2" t="s">
        <v>2076</v>
      </c>
      <c r="I868" s="2" t="s">
        <v>2077</v>
      </c>
      <c r="J868" s="3">
        <v>44019</v>
      </c>
      <c r="K868" s="2">
        <v>70</v>
      </c>
      <c r="L868" s="2" t="s">
        <v>70</v>
      </c>
    </row>
    <row r="869" spans="1:12" x14ac:dyDescent="0.3">
      <c r="A869" s="2">
        <v>858</v>
      </c>
      <c r="B869" s="2" t="s">
        <v>106</v>
      </c>
      <c r="C869" s="2" t="s">
        <v>1656</v>
      </c>
      <c r="D869" s="2" t="s">
        <v>621</v>
      </c>
      <c r="E869" s="2" t="s">
        <v>29</v>
      </c>
      <c r="F869" s="2">
        <v>60</v>
      </c>
      <c r="G869" s="2" t="s">
        <v>2968</v>
      </c>
      <c r="H869" s="2" t="s">
        <v>2759</v>
      </c>
      <c r="I869" s="2" t="s">
        <v>32</v>
      </c>
      <c r="J869" s="3">
        <v>44486</v>
      </c>
      <c r="K869" s="2">
        <v>40</v>
      </c>
      <c r="L869" s="2" t="s">
        <v>64</v>
      </c>
    </row>
    <row r="870" spans="1:12" x14ac:dyDescent="0.3">
      <c r="A870" s="2">
        <v>859</v>
      </c>
      <c r="B870" s="2" t="s">
        <v>2969</v>
      </c>
      <c r="C870" s="2" t="s">
        <v>2970</v>
      </c>
      <c r="D870" s="2" t="s">
        <v>51</v>
      </c>
      <c r="E870" s="2" t="s">
        <v>16</v>
      </c>
      <c r="F870" s="2">
        <v>90</v>
      </c>
      <c r="G870" s="2" t="s">
        <v>2971</v>
      </c>
      <c r="H870" s="2" t="s">
        <v>2972</v>
      </c>
      <c r="I870" s="2" t="s">
        <v>32</v>
      </c>
      <c r="J870" s="3">
        <v>44381</v>
      </c>
      <c r="K870" s="2">
        <v>74</v>
      </c>
      <c r="L870" s="2" t="s">
        <v>80</v>
      </c>
    </row>
    <row r="871" spans="1:12" x14ac:dyDescent="0.3">
      <c r="A871" s="2">
        <v>860</v>
      </c>
      <c r="B871" s="2" t="s">
        <v>2973</v>
      </c>
      <c r="C871" s="2" t="s">
        <v>1392</v>
      </c>
      <c r="D871" s="2" t="s">
        <v>15</v>
      </c>
      <c r="E871" s="2" t="s">
        <v>16</v>
      </c>
      <c r="F871" s="2">
        <v>60</v>
      </c>
      <c r="G871" s="2" t="s">
        <v>2974</v>
      </c>
      <c r="H871" s="2" t="s">
        <v>2975</v>
      </c>
      <c r="I871" s="2" t="s">
        <v>146</v>
      </c>
      <c r="J871" s="3">
        <v>44538</v>
      </c>
      <c r="K871" s="2">
        <v>66</v>
      </c>
      <c r="L871" s="2" t="s">
        <v>159</v>
      </c>
    </row>
    <row r="872" spans="1:12" x14ac:dyDescent="0.3">
      <c r="A872" s="2">
        <v>861</v>
      </c>
      <c r="B872" s="2" t="s">
        <v>2976</v>
      </c>
      <c r="C872" s="2" t="s">
        <v>2977</v>
      </c>
      <c r="D872" s="2" t="s">
        <v>28</v>
      </c>
      <c r="E872" s="2" t="s">
        <v>29</v>
      </c>
      <c r="F872" s="2">
        <v>60</v>
      </c>
      <c r="G872" s="2" t="s">
        <v>2981</v>
      </c>
      <c r="H872" s="2" t="s">
        <v>2341</v>
      </c>
      <c r="I872" s="2" t="s">
        <v>2342</v>
      </c>
      <c r="J872" s="3">
        <v>43925</v>
      </c>
      <c r="K872" s="2">
        <v>35</v>
      </c>
      <c r="L872" s="2" t="s">
        <v>54</v>
      </c>
    </row>
    <row r="873" spans="1:12" x14ac:dyDescent="0.3">
      <c r="A873" s="2">
        <v>862</v>
      </c>
      <c r="B873" s="2" t="s">
        <v>2979</v>
      </c>
      <c r="C873" s="2" t="s">
        <v>2980</v>
      </c>
      <c r="D873" s="2" t="s">
        <v>51</v>
      </c>
      <c r="E873" s="2" t="s">
        <v>16</v>
      </c>
      <c r="F873" s="2">
        <v>30</v>
      </c>
      <c r="G873" s="2" t="s">
        <v>2981</v>
      </c>
      <c r="H873" s="2" t="s">
        <v>2982</v>
      </c>
      <c r="I873" s="2" t="s">
        <v>2983</v>
      </c>
      <c r="J873" s="3">
        <v>44633</v>
      </c>
      <c r="K873" s="2">
        <v>59</v>
      </c>
      <c r="L873" s="2" t="s">
        <v>70</v>
      </c>
    </row>
    <row r="874" spans="1:12" x14ac:dyDescent="0.3">
      <c r="A874" s="2">
        <v>863</v>
      </c>
      <c r="B874" s="2" t="s">
        <v>2984</v>
      </c>
      <c r="C874" s="2" t="s">
        <v>2985</v>
      </c>
      <c r="D874" s="2" t="s">
        <v>28</v>
      </c>
      <c r="E874" s="2" t="s">
        <v>29</v>
      </c>
      <c r="F874" s="2">
        <v>30</v>
      </c>
      <c r="G874" s="2" t="s">
        <v>2986</v>
      </c>
      <c r="H874" s="2" t="s">
        <v>2987</v>
      </c>
      <c r="I874" s="2" t="s">
        <v>32</v>
      </c>
      <c r="J874" s="3">
        <v>44650</v>
      </c>
      <c r="K874" s="2">
        <v>20</v>
      </c>
      <c r="L874" s="2" t="s">
        <v>101</v>
      </c>
    </row>
    <row r="875" spans="1:12" x14ac:dyDescent="0.3">
      <c r="A875" s="2">
        <v>864</v>
      </c>
      <c r="B875" s="2" t="s">
        <v>2988</v>
      </c>
      <c r="C875" s="2" t="s">
        <v>305</v>
      </c>
      <c r="D875" s="2" t="s">
        <v>51</v>
      </c>
      <c r="E875" s="2" t="s">
        <v>16</v>
      </c>
      <c r="F875" s="2">
        <v>30</v>
      </c>
      <c r="G875" s="2" t="s">
        <v>2989</v>
      </c>
      <c r="H875" s="2" t="s">
        <v>2990</v>
      </c>
      <c r="I875" s="2" t="s">
        <v>38</v>
      </c>
      <c r="J875" s="3">
        <v>44359</v>
      </c>
      <c r="K875" s="2">
        <v>42</v>
      </c>
      <c r="L875" s="2" t="s">
        <v>159</v>
      </c>
    </row>
    <row r="876" spans="1:12" x14ac:dyDescent="0.3">
      <c r="A876" s="2">
        <v>865</v>
      </c>
      <c r="B876" s="2" t="s">
        <v>82</v>
      </c>
      <c r="C876" s="2" t="s">
        <v>2991</v>
      </c>
      <c r="D876" s="2" t="s">
        <v>28</v>
      </c>
      <c r="E876" s="2" t="s">
        <v>29</v>
      </c>
      <c r="F876" s="2">
        <v>30</v>
      </c>
      <c r="G876" s="2" t="s">
        <v>2992</v>
      </c>
      <c r="H876" s="2" t="s">
        <v>2993</v>
      </c>
      <c r="I876" s="2" t="s">
        <v>32</v>
      </c>
      <c r="J876" s="3">
        <v>44769</v>
      </c>
      <c r="K876" s="2">
        <v>99</v>
      </c>
      <c r="L876" s="2" t="s">
        <v>45</v>
      </c>
    </row>
    <row r="877" spans="1:12" x14ac:dyDescent="0.3">
      <c r="A877" s="2">
        <v>866</v>
      </c>
      <c r="B877" s="2" t="s">
        <v>2994</v>
      </c>
      <c r="C877" s="2" t="s">
        <v>2995</v>
      </c>
      <c r="D877" s="2" t="s">
        <v>28</v>
      </c>
      <c r="E877" s="2" t="s">
        <v>29</v>
      </c>
      <c r="F877" s="2">
        <v>60</v>
      </c>
      <c r="G877" s="2" t="s">
        <v>2996</v>
      </c>
      <c r="H877" s="2" t="s">
        <v>2997</v>
      </c>
      <c r="I877" s="2" t="s">
        <v>32</v>
      </c>
      <c r="J877" s="3">
        <v>44222</v>
      </c>
      <c r="K877" s="2">
        <v>13</v>
      </c>
      <c r="L877" s="2" t="s">
        <v>20</v>
      </c>
    </row>
    <row r="878" spans="1:12" x14ac:dyDescent="0.3">
      <c r="A878" s="2">
        <v>867</v>
      </c>
      <c r="B878" s="2" t="s">
        <v>2013</v>
      </c>
      <c r="C878" s="2" t="s">
        <v>2998</v>
      </c>
      <c r="D878" s="2" t="s">
        <v>51</v>
      </c>
      <c r="E878" s="2" t="s">
        <v>16</v>
      </c>
      <c r="F878" s="2">
        <v>90</v>
      </c>
      <c r="G878" s="2" t="s">
        <v>2999</v>
      </c>
      <c r="H878" s="2" t="s">
        <v>1221</v>
      </c>
      <c r="I878" s="2" t="s">
        <v>124</v>
      </c>
      <c r="J878" s="3">
        <v>44597</v>
      </c>
      <c r="K878" s="2">
        <v>76</v>
      </c>
      <c r="L878" s="2" t="s">
        <v>39</v>
      </c>
    </row>
    <row r="879" spans="1:12" x14ac:dyDescent="0.3">
      <c r="A879" s="2">
        <v>868</v>
      </c>
      <c r="B879" s="2" t="s">
        <v>3000</v>
      </c>
      <c r="C879" s="2" t="s">
        <v>644</v>
      </c>
      <c r="D879" s="2" t="s">
        <v>15</v>
      </c>
      <c r="E879" s="2" t="s">
        <v>16</v>
      </c>
      <c r="F879" s="2">
        <v>30</v>
      </c>
      <c r="G879" s="2" t="s">
        <v>3001</v>
      </c>
      <c r="H879" s="2" t="s">
        <v>3002</v>
      </c>
      <c r="I879" s="2" t="s">
        <v>32</v>
      </c>
      <c r="J879" s="3">
        <v>44890</v>
      </c>
      <c r="K879" s="2">
        <v>9</v>
      </c>
      <c r="L879" s="2" t="s">
        <v>64</v>
      </c>
    </row>
    <row r="880" spans="1:12" x14ac:dyDescent="0.3">
      <c r="A880" s="2">
        <v>869</v>
      </c>
      <c r="B880" s="2" t="s">
        <v>3003</v>
      </c>
      <c r="C880" s="2" t="s">
        <v>2813</v>
      </c>
      <c r="D880" s="2" t="s">
        <v>51</v>
      </c>
      <c r="E880" s="2" t="s">
        <v>16</v>
      </c>
      <c r="F880" s="2">
        <v>30</v>
      </c>
      <c r="G880" s="2" t="s">
        <v>3004</v>
      </c>
      <c r="H880" s="2" t="s">
        <v>2199</v>
      </c>
      <c r="I880" s="2" t="s">
        <v>32</v>
      </c>
      <c r="J880" s="3">
        <v>43873</v>
      </c>
      <c r="K880" s="2">
        <v>28</v>
      </c>
      <c r="L880" s="2" t="s">
        <v>80</v>
      </c>
    </row>
    <row r="881" spans="1:12" x14ac:dyDescent="0.3">
      <c r="A881" s="2">
        <v>870</v>
      </c>
      <c r="B881" s="2" t="s">
        <v>3005</v>
      </c>
      <c r="C881" s="2" t="s">
        <v>1627</v>
      </c>
      <c r="D881" s="2" t="s">
        <v>28</v>
      </c>
      <c r="E881" s="2" t="s">
        <v>29</v>
      </c>
      <c r="F881" s="2">
        <v>30</v>
      </c>
      <c r="G881" s="2" t="s">
        <v>3006</v>
      </c>
      <c r="H881" s="2" t="s">
        <v>3007</v>
      </c>
      <c r="I881" s="2" t="s">
        <v>554</v>
      </c>
      <c r="J881" s="3">
        <v>44422</v>
      </c>
      <c r="K881" s="2">
        <v>72</v>
      </c>
      <c r="L881" s="2" t="s">
        <v>54</v>
      </c>
    </row>
    <row r="882" spans="1:12" x14ac:dyDescent="0.3">
      <c r="A882" s="2">
        <v>871</v>
      </c>
      <c r="B882" s="2" t="s">
        <v>3008</v>
      </c>
      <c r="C882" s="2" t="s">
        <v>3009</v>
      </c>
      <c r="D882" s="2" t="s">
        <v>28</v>
      </c>
      <c r="E882" s="2" t="s">
        <v>29</v>
      </c>
      <c r="F882" s="2">
        <v>90</v>
      </c>
      <c r="G882" s="2" t="s">
        <v>3006</v>
      </c>
      <c r="H882" s="2" t="s">
        <v>3010</v>
      </c>
      <c r="I882" s="2" t="s">
        <v>187</v>
      </c>
      <c r="J882" s="3">
        <v>44603</v>
      </c>
      <c r="K882" s="2">
        <v>29</v>
      </c>
      <c r="L882" s="2" t="s">
        <v>54</v>
      </c>
    </row>
    <row r="883" spans="1:12" x14ac:dyDescent="0.3">
      <c r="A883" s="2">
        <v>872</v>
      </c>
      <c r="B883" s="2" t="s">
        <v>2721</v>
      </c>
      <c r="C883" s="2" t="s">
        <v>3011</v>
      </c>
      <c r="D883" s="2" t="s">
        <v>28</v>
      </c>
      <c r="E883" s="2" t="s">
        <v>29</v>
      </c>
      <c r="F883" s="2">
        <v>90</v>
      </c>
      <c r="G883" s="2" t="s">
        <v>3012</v>
      </c>
      <c r="H883" s="2" t="s">
        <v>2512</v>
      </c>
      <c r="I883" s="2" t="s">
        <v>32</v>
      </c>
      <c r="J883" s="3">
        <v>44300</v>
      </c>
      <c r="K883" s="2">
        <v>61</v>
      </c>
      <c r="L883" s="2" t="s">
        <v>54</v>
      </c>
    </row>
    <row r="884" spans="1:12" x14ac:dyDescent="0.3">
      <c r="A884" s="2">
        <v>873</v>
      </c>
      <c r="B884" s="2" t="s">
        <v>3013</v>
      </c>
      <c r="C884" s="2" t="s">
        <v>3014</v>
      </c>
      <c r="D884" s="2" t="s">
        <v>51</v>
      </c>
      <c r="E884" s="2" t="s">
        <v>16</v>
      </c>
      <c r="F884" s="2">
        <v>90</v>
      </c>
      <c r="G884" s="2" t="s">
        <v>3015</v>
      </c>
      <c r="H884" s="2" t="s">
        <v>275</v>
      </c>
      <c r="I884" s="2" t="s">
        <v>32</v>
      </c>
      <c r="J884" s="3">
        <v>44186</v>
      </c>
      <c r="K884" s="2">
        <v>16</v>
      </c>
      <c r="L884" s="2" t="s">
        <v>159</v>
      </c>
    </row>
    <row r="885" spans="1:12" x14ac:dyDescent="0.3">
      <c r="A885" s="2">
        <v>874</v>
      </c>
      <c r="B885" s="2" t="s">
        <v>2426</v>
      </c>
      <c r="C885" s="2" t="s">
        <v>3016</v>
      </c>
      <c r="D885" s="2" t="s">
        <v>28</v>
      </c>
      <c r="E885" s="2" t="s">
        <v>29</v>
      </c>
      <c r="F885" s="2">
        <v>30</v>
      </c>
      <c r="G885" s="2" t="s">
        <v>3018</v>
      </c>
      <c r="H885" s="2" t="s">
        <v>1837</v>
      </c>
      <c r="I885" s="2" t="s">
        <v>173</v>
      </c>
      <c r="J885" s="3">
        <v>44852</v>
      </c>
      <c r="K885" s="2">
        <v>53</v>
      </c>
      <c r="L885" s="2" t="s">
        <v>54</v>
      </c>
    </row>
    <row r="886" spans="1:12" x14ac:dyDescent="0.3">
      <c r="A886" s="2">
        <v>875</v>
      </c>
      <c r="B886" s="2" t="s">
        <v>1745</v>
      </c>
      <c r="C886" s="2" t="s">
        <v>3019</v>
      </c>
      <c r="D886" s="2" t="s">
        <v>15</v>
      </c>
      <c r="E886" s="2" t="s">
        <v>16</v>
      </c>
      <c r="F886" s="2">
        <v>60</v>
      </c>
      <c r="G886" s="2" t="s">
        <v>3020</v>
      </c>
      <c r="H886" s="2" t="s">
        <v>1168</v>
      </c>
      <c r="I886" s="2" t="s">
        <v>32</v>
      </c>
      <c r="J886" s="3">
        <v>43940</v>
      </c>
      <c r="K886" s="2">
        <v>38</v>
      </c>
      <c r="L886" s="2" t="s">
        <v>80</v>
      </c>
    </row>
    <row r="887" spans="1:12" x14ac:dyDescent="0.3">
      <c r="A887" s="2">
        <v>876</v>
      </c>
      <c r="B887" s="2" t="s">
        <v>3021</v>
      </c>
      <c r="C887" s="2" t="s">
        <v>3022</v>
      </c>
      <c r="D887" s="2" t="s">
        <v>28</v>
      </c>
      <c r="E887" s="2" t="s">
        <v>29</v>
      </c>
      <c r="F887" s="2">
        <v>90</v>
      </c>
      <c r="G887" s="2" t="s">
        <v>3023</v>
      </c>
      <c r="H887" s="2" t="s">
        <v>3024</v>
      </c>
      <c r="I887" s="2" t="s">
        <v>32</v>
      </c>
      <c r="J887" s="3">
        <v>44408</v>
      </c>
      <c r="K887" s="2">
        <v>38</v>
      </c>
      <c r="L887" s="2" t="s">
        <v>33</v>
      </c>
    </row>
    <row r="888" spans="1:12" x14ac:dyDescent="0.3">
      <c r="A888" s="2">
        <v>877</v>
      </c>
      <c r="B888" s="2" t="s">
        <v>3025</v>
      </c>
      <c r="C888" s="2" t="s">
        <v>3026</v>
      </c>
      <c r="D888" s="2" t="s">
        <v>51</v>
      </c>
      <c r="E888" s="2" t="s">
        <v>16</v>
      </c>
      <c r="F888" s="2">
        <v>60</v>
      </c>
      <c r="G888" s="2" t="s">
        <v>3027</v>
      </c>
      <c r="H888" s="2" t="s">
        <v>2447</v>
      </c>
      <c r="I888" s="2" t="s">
        <v>1869</v>
      </c>
      <c r="J888" s="3">
        <v>44034</v>
      </c>
      <c r="K888" s="2">
        <v>22</v>
      </c>
      <c r="L888" s="2" t="s">
        <v>80</v>
      </c>
    </row>
    <row r="889" spans="1:12" x14ac:dyDescent="0.3">
      <c r="A889" s="2">
        <v>878</v>
      </c>
      <c r="B889" s="2" t="s">
        <v>3028</v>
      </c>
      <c r="C889" s="2" t="s">
        <v>3029</v>
      </c>
      <c r="D889" s="2" t="s">
        <v>15</v>
      </c>
      <c r="E889" s="2" t="s">
        <v>16</v>
      </c>
      <c r="F889" s="2">
        <v>30</v>
      </c>
      <c r="G889" s="2" t="s">
        <v>3030</v>
      </c>
      <c r="H889" s="2" t="s">
        <v>1103</v>
      </c>
      <c r="I889" s="2" t="s">
        <v>25</v>
      </c>
      <c r="J889" s="3">
        <v>44000</v>
      </c>
      <c r="K889" s="2">
        <v>55</v>
      </c>
      <c r="L889" s="2" t="s">
        <v>54</v>
      </c>
    </row>
    <row r="890" spans="1:12" x14ac:dyDescent="0.3">
      <c r="A890" s="2">
        <v>879</v>
      </c>
      <c r="B890" s="2" t="s">
        <v>3031</v>
      </c>
      <c r="C890" s="2" t="s">
        <v>1439</v>
      </c>
      <c r="D890" s="2" t="s">
        <v>51</v>
      </c>
      <c r="E890" s="2" t="s">
        <v>16</v>
      </c>
      <c r="F890" s="2">
        <v>30</v>
      </c>
      <c r="G890" s="2" t="s">
        <v>3032</v>
      </c>
      <c r="H890" s="2" t="s">
        <v>3033</v>
      </c>
      <c r="I890" s="2" t="s">
        <v>32</v>
      </c>
      <c r="J890" s="3">
        <v>44651</v>
      </c>
      <c r="K890" s="2">
        <v>63</v>
      </c>
      <c r="L890" s="2" t="s">
        <v>159</v>
      </c>
    </row>
    <row r="891" spans="1:12" x14ac:dyDescent="0.3">
      <c r="A891" s="2">
        <v>880</v>
      </c>
      <c r="B891" s="2" t="s">
        <v>3034</v>
      </c>
      <c r="C891" s="2" t="s">
        <v>1748</v>
      </c>
      <c r="D891" s="2" t="s">
        <v>51</v>
      </c>
      <c r="E891" s="2" t="s">
        <v>16</v>
      </c>
      <c r="F891" s="2">
        <v>30</v>
      </c>
      <c r="G891" s="2" t="s">
        <v>3035</v>
      </c>
      <c r="H891" s="2" t="s">
        <v>3036</v>
      </c>
      <c r="I891" s="2" t="s">
        <v>32</v>
      </c>
      <c r="J891" s="3">
        <v>44499</v>
      </c>
      <c r="K891" s="2">
        <v>57</v>
      </c>
      <c r="L891" s="2" t="s">
        <v>70</v>
      </c>
    </row>
    <row r="892" spans="1:12" x14ac:dyDescent="0.3">
      <c r="A892" s="2">
        <v>881</v>
      </c>
      <c r="B892" s="2" t="s">
        <v>1312</v>
      </c>
      <c r="C892" s="2" t="s">
        <v>3037</v>
      </c>
      <c r="D892" s="2" t="s">
        <v>28</v>
      </c>
      <c r="E892" s="2" t="s">
        <v>29</v>
      </c>
      <c r="F892" s="2">
        <v>90</v>
      </c>
      <c r="G892" s="2" t="s">
        <v>3038</v>
      </c>
      <c r="H892" s="2" t="s">
        <v>2163</v>
      </c>
      <c r="I892" s="2" t="s">
        <v>1824</v>
      </c>
      <c r="J892" s="3">
        <v>44558</v>
      </c>
      <c r="K892" s="2">
        <v>76</v>
      </c>
      <c r="L892" s="2" t="s">
        <v>159</v>
      </c>
    </row>
    <row r="893" spans="1:12" x14ac:dyDescent="0.3">
      <c r="A893" s="2">
        <v>882</v>
      </c>
      <c r="B893" s="2" t="s">
        <v>3039</v>
      </c>
      <c r="C893" s="2" t="s">
        <v>700</v>
      </c>
      <c r="D893" s="2" t="s">
        <v>15</v>
      </c>
      <c r="E893" s="2" t="s">
        <v>16</v>
      </c>
      <c r="F893" s="2">
        <v>90</v>
      </c>
      <c r="G893" s="2" t="s">
        <v>3040</v>
      </c>
      <c r="H893" s="2" t="s">
        <v>3041</v>
      </c>
      <c r="I893" s="2" t="s">
        <v>124</v>
      </c>
      <c r="J893" s="3">
        <v>44215</v>
      </c>
      <c r="K893" s="2">
        <v>32</v>
      </c>
      <c r="L893" s="2" t="s">
        <v>101</v>
      </c>
    </row>
    <row r="894" spans="1:12" x14ac:dyDescent="0.3">
      <c r="A894" s="2">
        <v>883</v>
      </c>
      <c r="B894" s="2" t="s">
        <v>3042</v>
      </c>
      <c r="C894" s="2" t="s">
        <v>2349</v>
      </c>
      <c r="D894" s="2" t="s">
        <v>15</v>
      </c>
      <c r="E894" s="2" t="s">
        <v>16</v>
      </c>
      <c r="F894" s="2">
        <v>30</v>
      </c>
      <c r="G894" s="2" t="s">
        <v>3043</v>
      </c>
      <c r="H894" s="2" t="s">
        <v>3044</v>
      </c>
      <c r="I894" s="2" t="s">
        <v>1413</v>
      </c>
      <c r="J894" s="3">
        <v>44370</v>
      </c>
      <c r="K894" s="2">
        <v>54</v>
      </c>
      <c r="L894" s="2" t="s">
        <v>80</v>
      </c>
    </row>
    <row r="895" spans="1:12" x14ac:dyDescent="0.3">
      <c r="A895" s="2">
        <v>884</v>
      </c>
      <c r="B895" s="2" t="s">
        <v>3045</v>
      </c>
      <c r="C895" s="2" t="s">
        <v>3046</v>
      </c>
      <c r="D895" s="2" t="s">
        <v>51</v>
      </c>
      <c r="E895" s="2" t="s">
        <v>16</v>
      </c>
      <c r="F895" s="2">
        <v>90</v>
      </c>
      <c r="G895" s="2" t="s">
        <v>3047</v>
      </c>
      <c r="H895" s="2" t="s">
        <v>248</v>
      </c>
      <c r="I895" s="2" t="s">
        <v>178</v>
      </c>
      <c r="J895" s="3">
        <v>44697</v>
      </c>
      <c r="K895" s="2">
        <v>90</v>
      </c>
      <c r="L895" s="2" t="s">
        <v>45</v>
      </c>
    </row>
    <row r="896" spans="1:12" x14ac:dyDescent="0.3">
      <c r="A896" s="2">
        <v>885</v>
      </c>
      <c r="B896" s="2" t="s">
        <v>3048</v>
      </c>
      <c r="C896" s="2" t="s">
        <v>2635</v>
      </c>
      <c r="D896" s="2" t="s">
        <v>51</v>
      </c>
      <c r="E896" s="2" t="s">
        <v>16</v>
      </c>
      <c r="F896" s="2">
        <v>60</v>
      </c>
      <c r="G896" s="2" t="s">
        <v>3049</v>
      </c>
      <c r="H896" s="2" t="s">
        <v>720</v>
      </c>
      <c r="I896" s="2" t="s">
        <v>686</v>
      </c>
      <c r="J896" s="3">
        <v>44857</v>
      </c>
      <c r="K896" s="2">
        <v>48</v>
      </c>
      <c r="L896" s="2" t="s">
        <v>39</v>
      </c>
    </row>
    <row r="897" spans="1:12" x14ac:dyDescent="0.3">
      <c r="A897" s="2">
        <v>886</v>
      </c>
      <c r="B897" s="2" t="s">
        <v>3050</v>
      </c>
      <c r="C897" s="2" t="s">
        <v>3051</v>
      </c>
      <c r="D897" s="2" t="s">
        <v>28</v>
      </c>
      <c r="E897" s="2" t="s">
        <v>29</v>
      </c>
      <c r="F897" s="2">
        <v>60</v>
      </c>
      <c r="G897" s="2" t="s">
        <v>3052</v>
      </c>
      <c r="H897" s="2" t="s">
        <v>3053</v>
      </c>
      <c r="I897" s="2" t="s">
        <v>32</v>
      </c>
      <c r="J897" s="3">
        <v>44344</v>
      </c>
      <c r="K897" s="2">
        <v>18</v>
      </c>
      <c r="L897" s="2" t="s">
        <v>54</v>
      </c>
    </row>
    <row r="898" spans="1:12" x14ac:dyDescent="0.3">
      <c r="A898" s="2">
        <v>887</v>
      </c>
      <c r="B898" s="2" t="s">
        <v>3054</v>
      </c>
      <c r="C898" s="2" t="s">
        <v>2434</v>
      </c>
      <c r="D898" s="2" t="s">
        <v>51</v>
      </c>
      <c r="E898" s="2" t="s">
        <v>16</v>
      </c>
      <c r="F898" s="2">
        <v>30</v>
      </c>
      <c r="G898" s="2" t="s">
        <v>3055</v>
      </c>
      <c r="H898" s="2" t="s">
        <v>3056</v>
      </c>
      <c r="I898" s="2" t="s">
        <v>187</v>
      </c>
      <c r="J898" s="3">
        <v>44146</v>
      </c>
      <c r="K898" s="2">
        <v>17</v>
      </c>
      <c r="L898" s="2" t="s">
        <v>33</v>
      </c>
    </row>
    <row r="899" spans="1:12" x14ac:dyDescent="0.3">
      <c r="A899" s="2">
        <v>888</v>
      </c>
      <c r="B899" s="2" t="s">
        <v>862</v>
      </c>
      <c r="C899" s="2" t="s">
        <v>3057</v>
      </c>
      <c r="D899" s="2" t="s">
        <v>51</v>
      </c>
      <c r="E899" s="2" t="s">
        <v>16</v>
      </c>
      <c r="F899" s="2">
        <v>30</v>
      </c>
      <c r="G899" s="2" t="s">
        <v>3058</v>
      </c>
      <c r="H899" s="2" t="s">
        <v>3059</v>
      </c>
      <c r="I899" s="2" t="s">
        <v>187</v>
      </c>
      <c r="J899" s="3">
        <v>44753</v>
      </c>
      <c r="K899" s="2">
        <v>80</v>
      </c>
      <c r="L899" s="2" t="s">
        <v>64</v>
      </c>
    </row>
    <row r="900" spans="1:12" x14ac:dyDescent="0.3">
      <c r="A900" s="2">
        <v>889</v>
      </c>
      <c r="B900" s="2" t="s">
        <v>1856</v>
      </c>
      <c r="C900" s="2" t="s">
        <v>3060</v>
      </c>
      <c r="D900" s="2" t="s">
        <v>51</v>
      </c>
      <c r="E900" s="2" t="s">
        <v>16</v>
      </c>
      <c r="F900" s="2">
        <v>30</v>
      </c>
      <c r="G900" s="2" t="s">
        <v>3061</v>
      </c>
      <c r="H900" s="2" t="s">
        <v>6</v>
      </c>
      <c r="I900" s="2" t="s">
        <v>32</v>
      </c>
      <c r="J900" s="3">
        <v>44442</v>
      </c>
      <c r="K900" s="2">
        <v>87</v>
      </c>
      <c r="L900" s="2" t="s">
        <v>80</v>
      </c>
    </row>
    <row r="901" spans="1:12" x14ac:dyDescent="0.3">
      <c r="A901" s="2">
        <v>890</v>
      </c>
      <c r="B901" s="2" t="s">
        <v>3062</v>
      </c>
      <c r="C901" s="2" t="s">
        <v>1414</v>
      </c>
      <c r="D901" s="2" t="s">
        <v>28</v>
      </c>
      <c r="E901" s="2" t="s">
        <v>29</v>
      </c>
      <c r="F901" s="2">
        <v>30</v>
      </c>
      <c r="G901" s="2" t="s">
        <v>3063</v>
      </c>
      <c r="H901" s="2" t="s">
        <v>3064</v>
      </c>
      <c r="I901" s="2" t="s">
        <v>32</v>
      </c>
      <c r="J901" s="3">
        <v>44122</v>
      </c>
      <c r="K901" s="2">
        <v>20</v>
      </c>
      <c r="L901" s="2" t="s">
        <v>20</v>
      </c>
    </row>
    <row r="902" spans="1:12" x14ac:dyDescent="0.3">
      <c r="A902" s="2">
        <v>891</v>
      </c>
      <c r="B902" s="2" t="s">
        <v>3065</v>
      </c>
      <c r="C902" s="2" t="s">
        <v>3066</v>
      </c>
      <c r="D902" s="2" t="s">
        <v>28</v>
      </c>
      <c r="E902" s="2" t="s">
        <v>29</v>
      </c>
      <c r="F902" s="2">
        <v>30</v>
      </c>
      <c r="G902" s="2" t="s">
        <v>3067</v>
      </c>
      <c r="H902" s="2" t="s">
        <v>1221</v>
      </c>
      <c r="I902" s="2" t="s">
        <v>124</v>
      </c>
      <c r="J902" s="3">
        <v>44672</v>
      </c>
      <c r="K902" s="2">
        <v>98</v>
      </c>
      <c r="L902" s="2" t="s">
        <v>64</v>
      </c>
    </row>
    <row r="903" spans="1:12" x14ac:dyDescent="0.3">
      <c r="A903" s="2">
        <v>892</v>
      </c>
      <c r="B903" s="2" t="s">
        <v>3068</v>
      </c>
      <c r="C903" s="2" t="s">
        <v>3019</v>
      </c>
      <c r="D903" s="2" t="s">
        <v>41</v>
      </c>
      <c r="E903" s="2" t="s">
        <v>16</v>
      </c>
      <c r="F903" s="2">
        <v>60</v>
      </c>
      <c r="G903" s="2" t="s">
        <v>3069</v>
      </c>
      <c r="H903" s="2" t="s">
        <v>3070</v>
      </c>
      <c r="I903" s="2" t="s">
        <v>575</v>
      </c>
      <c r="J903" s="3">
        <v>43966</v>
      </c>
      <c r="K903" s="2">
        <v>82</v>
      </c>
      <c r="L903" s="2" t="s">
        <v>54</v>
      </c>
    </row>
    <row r="904" spans="1:12" x14ac:dyDescent="0.3">
      <c r="A904" s="2">
        <v>893</v>
      </c>
      <c r="B904" s="2" t="s">
        <v>1169</v>
      </c>
      <c r="C904" s="2" t="s">
        <v>3071</v>
      </c>
      <c r="D904" s="2" t="s">
        <v>28</v>
      </c>
      <c r="E904" s="2" t="s">
        <v>29</v>
      </c>
      <c r="F904" s="2">
        <v>60</v>
      </c>
      <c r="G904" s="2" t="s">
        <v>3072</v>
      </c>
      <c r="H904" s="2" t="s">
        <v>1011</v>
      </c>
      <c r="I904" s="2" t="s">
        <v>32</v>
      </c>
      <c r="J904" s="3">
        <v>43897</v>
      </c>
      <c r="K904" s="2">
        <v>64</v>
      </c>
      <c r="L904" s="2" t="s">
        <v>101</v>
      </c>
    </row>
    <row r="905" spans="1:12" x14ac:dyDescent="0.3">
      <c r="A905" s="2">
        <v>894</v>
      </c>
      <c r="B905" s="2" t="s">
        <v>3073</v>
      </c>
      <c r="C905" s="2" t="s">
        <v>3074</v>
      </c>
      <c r="D905" s="2" t="s">
        <v>28</v>
      </c>
      <c r="E905" s="2" t="s">
        <v>29</v>
      </c>
      <c r="F905" s="2">
        <v>90</v>
      </c>
      <c r="G905" s="2" t="s">
        <v>3075</v>
      </c>
      <c r="H905" s="2" t="s">
        <v>109</v>
      </c>
      <c r="I905" s="2" t="s">
        <v>110</v>
      </c>
      <c r="J905" s="3">
        <v>44063</v>
      </c>
      <c r="K905" s="2">
        <v>23</v>
      </c>
      <c r="L905" s="2" t="s">
        <v>70</v>
      </c>
    </row>
    <row r="906" spans="1:12" x14ac:dyDescent="0.3">
      <c r="A906" s="2">
        <v>895</v>
      </c>
      <c r="B906" s="2" t="s">
        <v>3076</v>
      </c>
      <c r="C906" s="2" t="s">
        <v>3077</v>
      </c>
      <c r="D906" s="2" t="s">
        <v>51</v>
      </c>
      <c r="E906" s="2" t="s">
        <v>16</v>
      </c>
      <c r="F906" s="2">
        <v>90</v>
      </c>
      <c r="G906" s="2" t="s">
        <v>3078</v>
      </c>
      <c r="H906" s="2" t="s">
        <v>518</v>
      </c>
      <c r="I906" s="2" t="s">
        <v>32</v>
      </c>
      <c r="J906" s="3">
        <v>44113</v>
      </c>
      <c r="K906" s="2">
        <v>69</v>
      </c>
      <c r="L906" s="2" t="s">
        <v>101</v>
      </c>
    </row>
    <row r="907" spans="1:12" x14ac:dyDescent="0.3">
      <c r="A907" s="2">
        <v>896</v>
      </c>
      <c r="B907" s="2" t="s">
        <v>3079</v>
      </c>
      <c r="C907" s="2" t="s">
        <v>783</v>
      </c>
      <c r="D907" s="2" t="s">
        <v>15</v>
      </c>
      <c r="E907" s="2" t="s">
        <v>16</v>
      </c>
      <c r="F907" s="2">
        <v>60</v>
      </c>
      <c r="G907" s="2" t="s">
        <v>3080</v>
      </c>
      <c r="H907" s="2" t="s">
        <v>350</v>
      </c>
      <c r="I907" s="2" t="s">
        <v>25</v>
      </c>
      <c r="J907" s="3">
        <v>44751</v>
      </c>
      <c r="K907" s="2">
        <v>79</v>
      </c>
      <c r="L907" s="2" t="s">
        <v>45</v>
      </c>
    </row>
    <row r="908" spans="1:12" x14ac:dyDescent="0.3">
      <c r="A908" s="2">
        <v>897</v>
      </c>
      <c r="B908" s="2" t="s">
        <v>3081</v>
      </c>
      <c r="C908" s="2" t="s">
        <v>300</v>
      </c>
      <c r="D908" s="2" t="s">
        <v>15</v>
      </c>
      <c r="E908" s="2" t="s">
        <v>16</v>
      </c>
      <c r="F908" s="2">
        <v>30</v>
      </c>
      <c r="G908" s="2" t="s">
        <v>3082</v>
      </c>
      <c r="H908" s="2" t="s">
        <v>652</v>
      </c>
      <c r="I908" s="2" t="s">
        <v>32</v>
      </c>
      <c r="J908" s="3">
        <v>44807</v>
      </c>
      <c r="K908" s="2">
        <v>49</v>
      </c>
      <c r="L908" s="2" t="s">
        <v>33</v>
      </c>
    </row>
    <row r="909" spans="1:12" x14ac:dyDescent="0.3">
      <c r="A909" s="2">
        <v>898</v>
      </c>
      <c r="B909" s="2" t="s">
        <v>3083</v>
      </c>
      <c r="C909" s="2" t="s">
        <v>3084</v>
      </c>
      <c r="D909" s="2" t="s">
        <v>28</v>
      </c>
      <c r="E909" s="2" t="s">
        <v>29</v>
      </c>
      <c r="F909" s="2">
        <v>60</v>
      </c>
      <c r="G909" s="2" t="s">
        <v>3086</v>
      </c>
      <c r="H909" s="2" t="s">
        <v>1206</v>
      </c>
      <c r="I909" s="2" t="s">
        <v>294</v>
      </c>
      <c r="J909" s="3">
        <v>44519</v>
      </c>
      <c r="K909" s="2">
        <v>21</v>
      </c>
      <c r="L909" s="2" t="s">
        <v>54</v>
      </c>
    </row>
    <row r="910" spans="1:12" x14ac:dyDescent="0.3">
      <c r="A910" s="2">
        <v>899</v>
      </c>
      <c r="B910" s="2" t="s">
        <v>1678</v>
      </c>
      <c r="C910" s="2" t="s">
        <v>3087</v>
      </c>
      <c r="D910" s="2" t="s">
        <v>28</v>
      </c>
      <c r="E910" s="2" t="s">
        <v>29</v>
      </c>
      <c r="F910" s="2">
        <v>30</v>
      </c>
      <c r="G910" s="2" t="s">
        <v>3088</v>
      </c>
      <c r="H910" s="2" t="s">
        <v>154</v>
      </c>
      <c r="I910" s="2" t="s">
        <v>25</v>
      </c>
      <c r="J910" s="3">
        <v>44543</v>
      </c>
      <c r="K910" s="2">
        <v>53</v>
      </c>
      <c r="L910" s="2" t="s">
        <v>101</v>
      </c>
    </row>
    <row r="911" spans="1:12" x14ac:dyDescent="0.3">
      <c r="A911" s="2">
        <v>900</v>
      </c>
      <c r="B911" s="2" t="s">
        <v>3089</v>
      </c>
      <c r="C911" s="2" t="s">
        <v>3090</v>
      </c>
      <c r="D911" s="2" t="s">
        <v>28</v>
      </c>
      <c r="E911" s="2" t="s">
        <v>29</v>
      </c>
      <c r="F911" s="2">
        <v>30</v>
      </c>
      <c r="G911" s="2" t="s">
        <v>3091</v>
      </c>
      <c r="H911" s="2" t="s">
        <v>3092</v>
      </c>
      <c r="I911" s="2" t="s">
        <v>886</v>
      </c>
      <c r="J911" s="3">
        <v>44921</v>
      </c>
      <c r="K911" s="2">
        <v>40</v>
      </c>
      <c r="L911" s="2" t="s">
        <v>70</v>
      </c>
    </row>
    <row r="912" spans="1:12" x14ac:dyDescent="0.3">
      <c r="A912" s="2">
        <v>901</v>
      </c>
      <c r="B912" s="2" t="s">
        <v>542</v>
      </c>
      <c r="C912" s="2" t="s">
        <v>2431</v>
      </c>
      <c r="D912" s="2" t="s">
        <v>15</v>
      </c>
      <c r="E912" s="2" t="s">
        <v>16</v>
      </c>
      <c r="F912" s="2">
        <v>90</v>
      </c>
      <c r="G912" s="2" t="s">
        <v>3093</v>
      </c>
      <c r="H912" s="2" t="s">
        <v>818</v>
      </c>
      <c r="I912" s="2" t="s">
        <v>819</v>
      </c>
      <c r="J912" s="3">
        <v>44118</v>
      </c>
      <c r="K912" s="2">
        <v>84</v>
      </c>
      <c r="L912" s="2" t="s">
        <v>39</v>
      </c>
    </row>
    <row r="913" spans="1:12" x14ac:dyDescent="0.3">
      <c r="A913" s="2">
        <v>902</v>
      </c>
      <c r="B913" s="2" t="s">
        <v>3094</v>
      </c>
      <c r="C913" s="2" t="s">
        <v>3095</v>
      </c>
      <c r="D913" s="2" t="s">
        <v>51</v>
      </c>
      <c r="E913" s="2" t="s">
        <v>16</v>
      </c>
      <c r="F913" s="2">
        <v>30</v>
      </c>
      <c r="G913" s="2" t="s">
        <v>3096</v>
      </c>
      <c r="H913" s="2" t="s">
        <v>579</v>
      </c>
      <c r="I913" s="2" t="s">
        <v>32</v>
      </c>
      <c r="J913" s="3">
        <v>44646</v>
      </c>
      <c r="K913" s="2">
        <v>100</v>
      </c>
      <c r="L913" s="2" t="s">
        <v>54</v>
      </c>
    </row>
    <row r="914" spans="1:12" x14ac:dyDescent="0.3">
      <c r="A914" s="2">
        <v>903</v>
      </c>
      <c r="B914" s="2" t="s">
        <v>3097</v>
      </c>
      <c r="C914" s="2" t="s">
        <v>3098</v>
      </c>
      <c r="D914" s="2" t="s">
        <v>28</v>
      </c>
      <c r="E914" s="2" t="s">
        <v>29</v>
      </c>
      <c r="F914" s="2">
        <v>60</v>
      </c>
      <c r="G914" s="2" t="s">
        <v>3099</v>
      </c>
      <c r="H914" s="2" t="s">
        <v>3100</v>
      </c>
      <c r="I914" s="2" t="s">
        <v>32</v>
      </c>
      <c r="J914" s="3">
        <v>44047</v>
      </c>
      <c r="K914" s="2">
        <v>72</v>
      </c>
      <c r="L914" s="2" t="s">
        <v>64</v>
      </c>
    </row>
    <row r="915" spans="1:12" x14ac:dyDescent="0.3">
      <c r="A915" s="2">
        <v>904</v>
      </c>
      <c r="B915" s="2" t="s">
        <v>3101</v>
      </c>
      <c r="C915" s="2" t="s">
        <v>3102</v>
      </c>
      <c r="D915" s="2" t="s">
        <v>28</v>
      </c>
      <c r="E915" s="2" t="s">
        <v>29</v>
      </c>
      <c r="F915" s="2">
        <v>90</v>
      </c>
      <c r="G915" s="2" t="s">
        <v>3099</v>
      </c>
      <c r="H915" s="2" t="s">
        <v>1150</v>
      </c>
      <c r="I915" s="2" t="s">
        <v>32</v>
      </c>
      <c r="J915" s="3">
        <v>44521</v>
      </c>
      <c r="K915" s="2">
        <v>92</v>
      </c>
      <c r="L915" s="2" t="s">
        <v>54</v>
      </c>
    </row>
    <row r="916" spans="1:12" x14ac:dyDescent="0.3">
      <c r="A916" s="2">
        <v>905</v>
      </c>
      <c r="B916" s="2" t="s">
        <v>3103</v>
      </c>
      <c r="C916" s="2" t="s">
        <v>878</v>
      </c>
      <c r="D916" s="2" t="s">
        <v>15</v>
      </c>
      <c r="E916" s="2" t="s">
        <v>16</v>
      </c>
      <c r="F916" s="2">
        <v>30</v>
      </c>
      <c r="G916" s="2" t="s">
        <v>3104</v>
      </c>
      <c r="H916" s="2" t="s">
        <v>191</v>
      </c>
      <c r="I916" s="2" t="s">
        <v>89</v>
      </c>
      <c r="J916" s="3">
        <v>44087</v>
      </c>
      <c r="K916" s="2">
        <v>22</v>
      </c>
      <c r="L916" s="2" t="s">
        <v>45</v>
      </c>
    </row>
    <row r="917" spans="1:12" x14ac:dyDescent="0.3">
      <c r="A917" s="2">
        <v>906</v>
      </c>
      <c r="B917" s="2" t="s">
        <v>3105</v>
      </c>
      <c r="C917" s="2" t="s">
        <v>3106</v>
      </c>
      <c r="D917" s="2" t="s">
        <v>15</v>
      </c>
      <c r="E917" s="2" t="s">
        <v>16</v>
      </c>
      <c r="F917" s="2">
        <v>30</v>
      </c>
      <c r="G917" s="2" t="s">
        <v>3107</v>
      </c>
      <c r="H917" s="2" t="s">
        <v>1864</v>
      </c>
      <c r="I917" s="2" t="s">
        <v>294</v>
      </c>
      <c r="J917" s="3">
        <v>44078</v>
      </c>
      <c r="K917" s="2">
        <v>35</v>
      </c>
      <c r="L917" s="2" t="s">
        <v>64</v>
      </c>
    </row>
    <row r="918" spans="1:12" x14ac:dyDescent="0.3">
      <c r="A918" s="2">
        <v>907</v>
      </c>
      <c r="B918" s="2" t="s">
        <v>3108</v>
      </c>
      <c r="C918" s="2" t="s">
        <v>3109</v>
      </c>
      <c r="D918" s="2" t="s">
        <v>15</v>
      </c>
      <c r="E918" s="2" t="s">
        <v>16</v>
      </c>
      <c r="F918" s="2">
        <v>90</v>
      </c>
      <c r="G918" s="2" t="s">
        <v>3110</v>
      </c>
      <c r="H918" s="2" t="s">
        <v>2676</v>
      </c>
      <c r="I918" s="2" t="s">
        <v>32</v>
      </c>
      <c r="J918" s="3">
        <v>44170</v>
      </c>
      <c r="K918" s="2">
        <v>51</v>
      </c>
      <c r="L918" s="2" t="s">
        <v>64</v>
      </c>
    </row>
    <row r="919" spans="1:12" x14ac:dyDescent="0.3">
      <c r="A919" s="2">
        <v>908</v>
      </c>
      <c r="B919" s="2" t="s">
        <v>3111</v>
      </c>
      <c r="C919" s="2" t="s">
        <v>508</v>
      </c>
      <c r="D919" s="2" t="s">
        <v>28</v>
      </c>
      <c r="E919" s="2" t="s">
        <v>29</v>
      </c>
      <c r="F919" s="2">
        <v>60</v>
      </c>
      <c r="G919" s="2" t="s">
        <v>3112</v>
      </c>
      <c r="H919" s="2" t="s">
        <v>1519</v>
      </c>
      <c r="I919" s="2" t="s">
        <v>32</v>
      </c>
      <c r="J919" s="3">
        <v>43931</v>
      </c>
      <c r="K919" s="2">
        <v>34</v>
      </c>
      <c r="L919" s="2" t="s">
        <v>33</v>
      </c>
    </row>
    <row r="920" spans="1:12" x14ac:dyDescent="0.3">
      <c r="A920" s="2">
        <v>909</v>
      </c>
      <c r="B920" s="2" t="s">
        <v>3113</v>
      </c>
      <c r="C920" s="2" t="s">
        <v>3114</v>
      </c>
      <c r="D920" s="2" t="s">
        <v>28</v>
      </c>
      <c r="E920" s="2" t="s">
        <v>29</v>
      </c>
      <c r="F920" s="2">
        <v>90</v>
      </c>
      <c r="G920" s="2" t="s">
        <v>3115</v>
      </c>
      <c r="H920" s="2" t="s">
        <v>3116</v>
      </c>
      <c r="I920" s="2" t="s">
        <v>32</v>
      </c>
      <c r="J920" s="3">
        <v>43983</v>
      </c>
      <c r="K920" s="2">
        <v>11</v>
      </c>
      <c r="L920" s="2" t="s">
        <v>159</v>
      </c>
    </row>
    <row r="921" spans="1:12" x14ac:dyDescent="0.3">
      <c r="A921" s="2">
        <v>910</v>
      </c>
      <c r="B921" s="2" t="s">
        <v>3117</v>
      </c>
      <c r="C921" s="2" t="s">
        <v>3118</v>
      </c>
      <c r="D921" s="2" t="s">
        <v>28</v>
      </c>
      <c r="E921" s="2" t="s">
        <v>29</v>
      </c>
      <c r="F921" s="2">
        <v>30</v>
      </c>
      <c r="G921" s="2" t="s">
        <v>3119</v>
      </c>
      <c r="H921" s="2" t="s">
        <v>279</v>
      </c>
      <c r="I921" s="2" t="s">
        <v>213</v>
      </c>
      <c r="J921" s="3">
        <v>44751</v>
      </c>
      <c r="K921" s="2">
        <v>31</v>
      </c>
      <c r="L921" s="2" t="s">
        <v>159</v>
      </c>
    </row>
    <row r="922" spans="1:12" x14ac:dyDescent="0.3">
      <c r="A922" s="2">
        <v>911</v>
      </c>
      <c r="B922" s="2" t="s">
        <v>596</v>
      </c>
      <c r="C922" s="2" t="s">
        <v>3120</v>
      </c>
      <c r="D922" s="2" t="s">
        <v>28</v>
      </c>
      <c r="E922" s="2" t="s">
        <v>29</v>
      </c>
      <c r="F922" s="2">
        <v>60</v>
      </c>
      <c r="G922" s="2" t="s">
        <v>3121</v>
      </c>
      <c r="H922" s="2" t="s">
        <v>3122</v>
      </c>
      <c r="I922" s="2" t="s">
        <v>1035</v>
      </c>
      <c r="J922" s="3">
        <v>44498</v>
      </c>
      <c r="K922" s="2">
        <v>85</v>
      </c>
      <c r="L922" s="2" t="s">
        <v>54</v>
      </c>
    </row>
    <row r="923" spans="1:12" x14ac:dyDescent="0.3">
      <c r="A923" s="2">
        <v>912</v>
      </c>
      <c r="B923" s="2" t="s">
        <v>2399</v>
      </c>
      <c r="C923" s="2" t="s">
        <v>253</v>
      </c>
      <c r="D923" s="2" t="s">
        <v>28</v>
      </c>
      <c r="E923" s="2" t="s">
        <v>29</v>
      </c>
      <c r="F923" s="2">
        <v>30</v>
      </c>
      <c r="G923" s="2" t="s">
        <v>3123</v>
      </c>
      <c r="H923" s="2" t="s">
        <v>2393</v>
      </c>
      <c r="I923" s="2" t="s">
        <v>1449</v>
      </c>
      <c r="J923" s="3">
        <v>44614</v>
      </c>
      <c r="K923" s="2">
        <v>25</v>
      </c>
      <c r="L923" s="2" t="s">
        <v>39</v>
      </c>
    </row>
    <row r="924" spans="1:12" x14ac:dyDescent="0.3">
      <c r="A924" s="2">
        <v>913</v>
      </c>
      <c r="B924" s="2" t="s">
        <v>3124</v>
      </c>
      <c r="C924" s="2" t="s">
        <v>3014</v>
      </c>
      <c r="D924" s="2" t="s">
        <v>28</v>
      </c>
      <c r="E924" s="2" t="s">
        <v>29</v>
      </c>
      <c r="F924" s="2">
        <v>30</v>
      </c>
      <c r="G924" s="2" t="s">
        <v>3125</v>
      </c>
      <c r="H924" s="2" t="s">
        <v>3126</v>
      </c>
      <c r="I924" s="2" t="s">
        <v>32</v>
      </c>
      <c r="J924" s="3">
        <v>44188</v>
      </c>
      <c r="K924" s="2">
        <v>10</v>
      </c>
      <c r="L924" s="2" t="s">
        <v>39</v>
      </c>
    </row>
    <row r="925" spans="1:12" x14ac:dyDescent="0.3">
      <c r="A925" s="2">
        <v>914</v>
      </c>
      <c r="B925" s="2" t="s">
        <v>2142</v>
      </c>
      <c r="C925" s="2" t="s">
        <v>3127</v>
      </c>
      <c r="D925" s="2" t="s">
        <v>28</v>
      </c>
      <c r="E925" s="2" t="s">
        <v>29</v>
      </c>
      <c r="F925" s="2">
        <v>30</v>
      </c>
      <c r="G925" s="2" t="s">
        <v>3128</v>
      </c>
      <c r="H925" s="2" t="s">
        <v>1426</v>
      </c>
      <c r="I925" s="2" t="s">
        <v>32</v>
      </c>
      <c r="J925" s="3">
        <v>44356</v>
      </c>
      <c r="K925" s="2">
        <v>17</v>
      </c>
      <c r="L925" s="2" t="s">
        <v>70</v>
      </c>
    </row>
    <row r="926" spans="1:12" x14ac:dyDescent="0.3">
      <c r="A926" s="2">
        <v>915</v>
      </c>
      <c r="B926" s="2" t="s">
        <v>3129</v>
      </c>
      <c r="C926" s="2" t="s">
        <v>3130</v>
      </c>
      <c r="D926" s="2" t="s">
        <v>51</v>
      </c>
      <c r="E926" s="2" t="s">
        <v>16</v>
      </c>
      <c r="F926" s="2">
        <v>30</v>
      </c>
      <c r="G926" s="2" t="s">
        <v>3131</v>
      </c>
      <c r="H926" s="2" t="s">
        <v>2348</v>
      </c>
      <c r="I926" s="2" t="s">
        <v>32</v>
      </c>
      <c r="J926" s="3">
        <v>44775</v>
      </c>
      <c r="K926" s="2">
        <v>74</v>
      </c>
      <c r="L926" s="2" t="s">
        <v>101</v>
      </c>
    </row>
    <row r="927" spans="1:12" x14ac:dyDescent="0.3">
      <c r="A927" s="2">
        <v>916</v>
      </c>
      <c r="B927" s="2" t="s">
        <v>3132</v>
      </c>
      <c r="C927" s="2" t="s">
        <v>1817</v>
      </c>
      <c r="D927" s="2" t="s">
        <v>51</v>
      </c>
      <c r="E927" s="2" t="s">
        <v>16</v>
      </c>
      <c r="F927" s="2">
        <v>90</v>
      </c>
      <c r="G927" s="2" t="s">
        <v>10423</v>
      </c>
      <c r="H927" s="2" t="s">
        <v>3134</v>
      </c>
      <c r="I927" s="2" t="s">
        <v>294</v>
      </c>
      <c r="J927" s="3">
        <v>44199</v>
      </c>
      <c r="K927" s="2">
        <v>37</v>
      </c>
      <c r="L927" s="2" t="s">
        <v>54</v>
      </c>
    </row>
    <row r="928" spans="1:12" x14ac:dyDescent="0.3">
      <c r="A928" s="2">
        <v>917</v>
      </c>
      <c r="B928" s="2" t="s">
        <v>1748</v>
      </c>
      <c r="C928" s="2" t="s">
        <v>1696</v>
      </c>
      <c r="D928" s="2" t="s">
        <v>28</v>
      </c>
      <c r="E928" s="2" t="s">
        <v>29</v>
      </c>
      <c r="F928" s="2">
        <v>90</v>
      </c>
      <c r="G928" s="2" t="s">
        <v>3135</v>
      </c>
      <c r="H928" s="2" t="s">
        <v>2655</v>
      </c>
      <c r="I928" s="2" t="s">
        <v>1083</v>
      </c>
      <c r="J928" s="3">
        <v>43873</v>
      </c>
      <c r="K928" s="2">
        <v>67</v>
      </c>
      <c r="L928" s="2" t="s">
        <v>70</v>
      </c>
    </row>
    <row r="929" spans="1:12" x14ac:dyDescent="0.3">
      <c r="A929" s="2">
        <v>918</v>
      </c>
      <c r="B929" s="2" t="s">
        <v>3136</v>
      </c>
      <c r="C929" s="2" t="s">
        <v>3137</v>
      </c>
      <c r="D929" s="2" t="s">
        <v>15</v>
      </c>
      <c r="E929" s="2" t="s">
        <v>16</v>
      </c>
      <c r="F929" s="2">
        <v>60</v>
      </c>
      <c r="G929" s="2" t="s">
        <v>3138</v>
      </c>
      <c r="H929" s="2" t="s">
        <v>139</v>
      </c>
      <c r="I929" s="2" t="s">
        <v>2593</v>
      </c>
      <c r="J929" s="3">
        <v>44259</v>
      </c>
      <c r="K929" s="2">
        <v>9</v>
      </c>
      <c r="L929" s="2" t="s">
        <v>39</v>
      </c>
    </row>
    <row r="930" spans="1:12" x14ac:dyDescent="0.3">
      <c r="A930" s="2">
        <v>919</v>
      </c>
      <c r="B930" s="2" t="s">
        <v>1312</v>
      </c>
      <c r="C930" s="2" t="s">
        <v>1989</v>
      </c>
      <c r="D930" s="2" t="s">
        <v>28</v>
      </c>
      <c r="E930" s="2" t="s">
        <v>29</v>
      </c>
      <c r="F930" s="2">
        <v>30</v>
      </c>
      <c r="G930" s="2" t="s">
        <v>3139</v>
      </c>
      <c r="H930" s="2" t="s">
        <v>2418</v>
      </c>
      <c r="I930" s="2" t="s">
        <v>32</v>
      </c>
      <c r="J930" s="3">
        <v>43984</v>
      </c>
      <c r="K930" s="2">
        <v>40</v>
      </c>
      <c r="L930" s="2" t="s">
        <v>101</v>
      </c>
    </row>
    <row r="931" spans="1:12" x14ac:dyDescent="0.3">
      <c r="A931" s="2">
        <v>920</v>
      </c>
      <c r="B931" s="2" t="s">
        <v>3140</v>
      </c>
      <c r="C931" s="2" t="s">
        <v>3141</v>
      </c>
      <c r="D931" s="2" t="s">
        <v>28</v>
      </c>
      <c r="E931" s="2" t="s">
        <v>29</v>
      </c>
      <c r="F931" s="2">
        <v>30</v>
      </c>
      <c r="G931" s="2" t="s">
        <v>3142</v>
      </c>
      <c r="H931" s="2" t="s">
        <v>1848</v>
      </c>
      <c r="I931" s="2" t="s">
        <v>839</v>
      </c>
      <c r="J931" s="3">
        <v>44696</v>
      </c>
      <c r="K931" s="2">
        <v>44</v>
      </c>
      <c r="L931" s="2" t="s">
        <v>159</v>
      </c>
    </row>
    <row r="932" spans="1:12" x14ac:dyDescent="0.3">
      <c r="A932" s="2">
        <v>921</v>
      </c>
      <c r="B932" s="2" t="s">
        <v>2153</v>
      </c>
      <c r="C932" s="2" t="s">
        <v>3143</v>
      </c>
      <c r="D932" s="2" t="s">
        <v>28</v>
      </c>
      <c r="E932" s="2" t="s">
        <v>29</v>
      </c>
      <c r="F932" s="2">
        <v>30</v>
      </c>
      <c r="G932" s="2" t="s">
        <v>3144</v>
      </c>
      <c r="H932" s="2" t="s">
        <v>2720</v>
      </c>
      <c r="I932" s="2" t="s">
        <v>32</v>
      </c>
      <c r="J932" s="3">
        <v>44458</v>
      </c>
      <c r="K932" s="2">
        <v>50</v>
      </c>
      <c r="L932" s="2" t="s">
        <v>159</v>
      </c>
    </row>
    <row r="933" spans="1:12" x14ac:dyDescent="0.3">
      <c r="A933" s="2">
        <v>922</v>
      </c>
      <c r="B933" s="2" t="s">
        <v>3145</v>
      </c>
      <c r="C933" s="2" t="s">
        <v>3146</v>
      </c>
      <c r="D933" s="2" t="s">
        <v>15</v>
      </c>
      <c r="E933" s="2" t="s">
        <v>16</v>
      </c>
      <c r="F933" s="2">
        <v>90</v>
      </c>
      <c r="G933" s="2" t="s">
        <v>3147</v>
      </c>
      <c r="H933" s="2" t="s">
        <v>3148</v>
      </c>
      <c r="I933" s="2" t="s">
        <v>146</v>
      </c>
      <c r="J933" s="3">
        <v>43986</v>
      </c>
      <c r="K933" s="2">
        <v>19</v>
      </c>
      <c r="L933" s="2" t="s">
        <v>101</v>
      </c>
    </row>
    <row r="934" spans="1:12" x14ac:dyDescent="0.3">
      <c r="A934" s="2">
        <v>923</v>
      </c>
      <c r="B934" s="2" t="s">
        <v>3149</v>
      </c>
      <c r="C934" s="2" t="s">
        <v>688</v>
      </c>
      <c r="D934" s="2" t="s">
        <v>28</v>
      </c>
      <c r="E934" s="2" t="s">
        <v>29</v>
      </c>
      <c r="F934" s="2">
        <v>90</v>
      </c>
      <c r="G934" s="2" t="s">
        <v>3150</v>
      </c>
      <c r="H934" s="2" t="s">
        <v>3151</v>
      </c>
      <c r="I934" s="2" t="s">
        <v>32</v>
      </c>
      <c r="J934" s="3">
        <v>44194</v>
      </c>
      <c r="K934" s="2">
        <v>26</v>
      </c>
      <c r="L934" s="2" t="s">
        <v>45</v>
      </c>
    </row>
    <row r="935" spans="1:12" x14ac:dyDescent="0.3">
      <c r="A935" s="2">
        <v>924</v>
      </c>
      <c r="B935" s="2" t="s">
        <v>3152</v>
      </c>
      <c r="C935" s="2" t="s">
        <v>210</v>
      </c>
      <c r="D935" s="2" t="s">
        <v>51</v>
      </c>
      <c r="E935" s="2" t="s">
        <v>16</v>
      </c>
      <c r="F935" s="2">
        <v>60</v>
      </c>
      <c r="G935" s="2" t="s">
        <v>3153</v>
      </c>
      <c r="H935" s="2" t="s">
        <v>1391</v>
      </c>
      <c r="I935" s="2" t="s">
        <v>32</v>
      </c>
      <c r="J935" s="3">
        <v>44712</v>
      </c>
      <c r="K935" s="2">
        <v>13</v>
      </c>
      <c r="L935" s="2" t="s">
        <v>45</v>
      </c>
    </row>
    <row r="936" spans="1:12" x14ac:dyDescent="0.3">
      <c r="A936" s="2">
        <v>925</v>
      </c>
      <c r="B936" s="2" t="s">
        <v>3154</v>
      </c>
      <c r="C936" s="2" t="s">
        <v>3155</v>
      </c>
      <c r="D936" s="2" t="s">
        <v>15</v>
      </c>
      <c r="E936" s="2" t="s">
        <v>16</v>
      </c>
      <c r="F936" s="2">
        <v>90</v>
      </c>
      <c r="G936" s="2" t="s">
        <v>3156</v>
      </c>
      <c r="H936" s="2" t="s">
        <v>3157</v>
      </c>
      <c r="I936" s="2" t="s">
        <v>32</v>
      </c>
      <c r="J936" s="3">
        <v>44174</v>
      </c>
      <c r="K936" s="2">
        <v>33</v>
      </c>
      <c r="L936" s="2" t="s">
        <v>39</v>
      </c>
    </row>
    <row r="937" spans="1:12" x14ac:dyDescent="0.3">
      <c r="A937" s="2">
        <v>926</v>
      </c>
      <c r="B937" s="2" t="s">
        <v>3158</v>
      </c>
      <c r="C937" s="2" t="s">
        <v>3159</v>
      </c>
      <c r="D937" s="2" t="s">
        <v>28</v>
      </c>
      <c r="E937" s="2" t="s">
        <v>29</v>
      </c>
      <c r="F937" s="2">
        <v>90</v>
      </c>
      <c r="G937" s="2" t="s">
        <v>3160</v>
      </c>
      <c r="H937" s="2" t="s">
        <v>3161</v>
      </c>
      <c r="I937" s="2" t="s">
        <v>32</v>
      </c>
      <c r="J937" s="3">
        <v>44412</v>
      </c>
      <c r="K937" s="2">
        <v>92</v>
      </c>
      <c r="L937" s="2" t="s">
        <v>45</v>
      </c>
    </row>
    <row r="938" spans="1:12" x14ac:dyDescent="0.3">
      <c r="A938" s="2">
        <v>927</v>
      </c>
      <c r="B938" s="2" t="s">
        <v>1897</v>
      </c>
      <c r="C938" s="2" t="s">
        <v>3162</v>
      </c>
      <c r="D938" s="2" t="s">
        <v>15</v>
      </c>
      <c r="E938" s="2" t="s">
        <v>16</v>
      </c>
      <c r="F938" s="2">
        <v>90</v>
      </c>
      <c r="G938" s="2" t="s">
        <v>3163</v>
      </c>
      <c r="H938" s="2" t="s">
        <v>1001</v>
      </c>
      <c r="I938" s="2" t="s">
        <v>32</v>
      </c>
      <c r="J938" s="3">
        <v>44115</v>
      </c>
      <c r="K938" s="2">
        <v>75</v>
      </c>
      <c r="L938" s="2" t="s">
        <v>39</v>
      </c>
    </row>
    <row r="939" spans="1:12" x14ac:dyDescent="0.3">
      <c r="A939" s="2">
        <v>928</v>
      </c>
      <c r="B939" s="2" t="s">
        <v>1296</v>
      </c>
      <c r="C939" s="2" t="s">
        <v>3164</v>
      </c>
      <c r="D939" s="2" t="s">
        <v>15</v>
      </c>
      <c r="E939" s="2" t="s">
        <v>16</v>
      </c>
      <c r="F939" s="2">
        <v>60</v>
      </c>
      <c r="G939" s="2" t="s">
        <v>3163</v>
      </c>
      <c r="H939" s="2" t="s">
        <v>3165</v>
      </c>
      <c r="I939" s="2" t="s">
        <v>32</v>
      </c>
      <c r="J939" s="3">
        <v>44214</v>
      </c>
      <c r="K939" s="2">
        <v>75</v>
      </c>
      <c r="L939" s="2" t="s">
        <v>159</v>
      </c>
    </row>
    <row r="940" spans="1:12" x14ac:dyDescent="0.3">
      <c r="A940" s="2">
        <v>929</v>
      </c>
      <c r="B940" s="2" t="s">
        <v>3166</v>
      </c>
      <c r="C940" s="2" t="s">
        <v>3167</v>
      </c>
      <c r="D940" s="2" t="s">
        <v>28</v>
      </c>
      <c r="E940" s="2" t="s">
        <v>29</v>
      </c>
      <c r="F940" s="2">
        <v>90</v>
      </c>
      <c r="G940" s="2" t="s">
        <v>3168</v>
      </c>
      <c r="H940" s="2" t="s">
        <v>3169</v>
      </c>
      <c r="I940" s="2" t="s">
        <v>110</v>
      </c>
      <c r="J940" s="3">
        <v>44708</v>
      </c>
      <c r="K940" s="2">
        <v>2</v>
      </c>
      <c r="L940" s="2" t="s">
        <v>64</v>
      </c>
    </row>
    <row r="941" spans="1:12" x14ac:dyDescent="0.3">
      <c r="A941" s="2">
        <v>930</v>
      </c>
      <c r="B941" s="2" t="s">
        <v>3170</v>
      </c>
      <c r="C941" s="2" t="s">
        <v>3171</v>
      </c>
      <c r="D941" s="2" t="s">
        <v>28</v>
      </c>
      <c r="E941" s="2" t="s">
        <v>29</v>
      </c>
      <c r="F941" s="2">
        <v>60</v>
      </c>
      <c r="G941" s="2" t="s">
        <v>3172</v>
      </c>
      <c r="H941" s="2" t="s">
        <v>860</v>
      </c>
      <c r="I941" s="2" t="s">
        <v>861</v>
      </c>
      <c r="J941" s="3">
        <v>44499</v>
      </c>
      <c r="K941" s="2">
        <v>30</v>
      </c>
      <c r="L941" s="2" t="s">
        <v>64</v>
      </c>
    </row>
    <row r="942" spans="1:12" x14ac:dyDescent="0.3">
      <c r="A942" s="2">
        <v>931</v>
      </c>
      <c r="B942" s="2" t="s">
        <v>1671</v>
      </c>
      <c r="C942" s="2" t="s">
        <v>3173</v>
      </c>
      <c r="D942" s="2" t="s">
        <v>28</v>
      </c>
      <c r="E942" s="2" t="s">
        <v>29</v>
      </c>
      <c r="F942" s="2">
        <v>90</v>
      </c>
      <c r="G942" s="2" t="s">
        <v>3172</v>
      </c>
      <c r="H942" s="2" t="s">
        <v>1632</v>
      </c>
      <c r="I942" s="2" t="s">
        <v>32</v>
      </c>
      <c r="J942" s="3">
        <v>44346</v>
      </c>
      <c r="K942" s="2">
        <v>71</v>
      </c>
      <c r="L942" s="2" t="s">
        <v>64</v>
      </c>
    </row>
    <row r="943" spans="1:12" x14ac:dyDescent="0.3">
      <c r="A943" s="2">
        <v>932</v>
      </c>
      <c r="B943" s="2" t="s">
        <v>857</v>
      </c>
      <c r="C943" s="2" t="s">
        <v>86</v>
      </c>
      <c r="D943" s="2" t="s">
        <v>15</v>
      </c>
      <c r="E943" s="2" t="s">
        <v>16</v>
      </c>
      <c r="F943" s="2">
        <v>60</v>
      </c>
      <c r="G943" s="2" t="s">
        <v>3174</v>
      </c>
      <c r="H943" s="2" t="s">
        <v>3175</v>
      </c>
      <c r="I943" s="2" t="s">
        <v>1233</v>
      </c>
      <c r="J943" s="3">
        <v>44737</v>
      </c>
      <c r="K943" s="2">
        <v>94</v>
      </c>
      <c r="L943" s="2" t="s">
        <v>70</v>
      </c>
    </row>
    <row r="944" spans="1:12" x14ac:dyDescent="0.3">
      <c r="A944" s="2">
        <v>933</v>
      </c>
      <c r="B944" s="2" t="s">
        <v>3176</v>
      </c>
      <c r="C944" s="2" t="s">
        <v>3177</v>
      </c>
      <c r="D944" s="2" t="s">
        <v>28</v>
      </c>
      <c r="E944" s="2" t="s">
        <v>29</v>
      </c>
      <c r="F944" s="2">
        <v>60</v>
      </c>
      <c r="G944" s="2" t="s">
        <v>3178</v>
      </c>
      <c r="H944" s="2" t="s">
        <v>3179</v>
      </c>
      <c r="I944" s="2" t="s">
        <v>187</v>
      </c>
      <c r="J944" s="3">
        <v>43876</v>
      </c>
      <c r="K944" s="2">
        <v>69</v>
      </c>
      <c r="L944" s="2" t="s">
        <v>54</v>
      </c>
    </row>
    <row r="945" spans="1:12" x14ac:dyDescent="0.3">
      <c r="A945" s="2">
        <v>934</v>
      </c>
      <c r="B945" s="2" t="s">
        <v>3180</v>
      </c>
      <c r="C945" s="2" t="s">
        <v>3181</v>
      </c>
      <c r="D945" s="2" t="s">
        <v>28</v>
      </c>
      <c r="E945" s="2" t="s">
        <v>29</v>
      </c>
      <c r="F945" s="2">
        <v>90</v>
      </c>
      <c r="G945" s="2" t="s">
        <v>3182</v>
      </c>
      <c r="H945" s="2" t="s">
        <v>3183</v>
      </c>
      <c r="I945" s="2" t="s">
        <v>32</v>
      </c>
      <c r="J945" s="3">
        <v>43932</v>
      </c>
      <c r="K945" s="2">
        <v>8</v>
      </c>
      <c r="L945" s="2" t="s">
        <v>101</v>
      </c>
    </row>
    <row r="946" spans="1:12" x14ac:dyDescent="0.3">
      <c r="A946" s="2">
        <v>935</v>
      </c>
      <c r="B946" s="2" t="s">
        <v>165</v>
      </c>
      <c r="C946" s="2" t="s">
        <v>1338</v>
      </c>
      <c r="D946" s="2" t="s">
        <v>51</v>
      </c>
      <c r="E946" s="2" t="s">
        <v>16</v>
      </c>
      <c r="F946" s="2">
        <v>90</v>
      </c>
      <c r="G946" s="2" t="s">
        <v>3184</v>
      </c>
      <c r="H946" s="2" t="s">
        <v>412</v>
      </c>
      <c r="I946" s="2" t="s">
        <v>187</v>
      </c>
      <c r="J946" s="3">
        <v>44357</v>
      </c>
      <c r="K946" s="2">
        <v>33</v>
      </c>
      <c r="L946" s="2" t="s">
        <v>45</v>
      </c>
    </row>
    <row r="947" spans="1:12" x14ac:dyDescent="0.3">
      <c r="A947" s="2">
        <v>936</v>
      </c>
      <c r="B947" s="2" t="s">
        <v>3185</v>
      </c>
      <c r="C947" s="2" t="s">
        <v>3186</v>
      </c>
      <c r="D947" s="2" t="s">
        <v>51</v>
      </c>
      <c r="E947" s="2" t="s">
        <v>16</v>
      </c>
      <c r="F947" s="2">
        <v>90</v>
      </c>
      <c r="G947" s="2" t="s">
        <v>3187</v>
      </c>
      <c r="H947" s="2" t="s">
        <v>1632</v>
      </c>
      <c r="I947" s="2" t="s">
        <v>32</v>
      </c>
      <c r="J947" s="3">
        <v>44749</v>
      </c>
      <c r="K947" s="2">
        <v>44</v>
      </c>
      <c r="L947" s="2" t="s">
        <v>45</v>
      </c>
    </row>
    <row r="948" spans="1:12" x14ac:dyDescent="0.3">
      <c r="A948" s="2">
        <v>937</v>
      </c>
      <c r="B948" s="2" t="s">
        <v>3188</v>
      </c>
      <c r="C948" s="2" t="s">
        <v>3189</v>
      </c>
      <c r="D948" s="2" t="s">
        <v>15</v>
      </c>
      <c r="E948" s="2" t="s">
        <v>16</v>
      </c>
      <c r="F948" s="2">
        <v>30</v>
      </c>
      <c r="G948" s="2" t="s">
        <v>10478</v>
      </c>
      <c r="H948" s="2" t="s">
        <v>1741</v>
      </c>
      <c r="I948" s="2" t="s">
        <v>173</v>
      </c>
      <c r="J948" s="3">
        <v>44910</v>
      </c>
      <c r="K948" s="2">
        <v>2</v>
      </c>
      <c r="L948" s="2" t="s">
        <v>39</v>
      </c>
    </row>
    <row r="949" spans="1:12" x14ac:dyDescent="0.3">
      <c r="A949" s="2">
        <v>938</v>
      </c>
      <c r="B949" s="2" t="s">
        <v>3191</v>
      </c>
      <c r="C949" s="2" t="s">
        <v>3192</v>
      </c>
      <c r="D949" s="2" t="s">
        <v>41</v>
      </c>
      <c r="E949" s="2" t="s">
        <v>16</v>
      </c>
      <c r="F949" s="2">
        <v>30</v>
      </c>
      <c r="G949" s="2" t="s">
        <v>3193</v>
      </c>
      <c r="H949" s="2" t="s">
        <v>3194</v>
      </c>
      <c r="I949" s="2" t="s">
        <v>819</v>
      </c>
      <c r="J949" s="3">
        <v>44417</v>
      </c>
      <c r="K949" s="2">
        <v>10</v>
      </c>
      <c r="L949" s="2" t="s">
        <v>45</v>
      </c>
    </row>
    <row r="950" spans="1:12" x14ac:dyDescent="0.3">
      <c r="A950" s="2">
        <v>939</v>
      </c>
      <c r="B950" s="2" t="s">
        <v>3195</v>
      </c>
      <c r="C950" s="2" t="s">
        <v>1461</v>
      </c>
      <c r="D950" s="2" t="s">
        <v>15</v>
      </c>
      <c r="E950" s="2" t="s">
        <v>16</v>
      </c>
      <c r="F950" s="2">
        <v>30</v>
      </c>
      <c r="G950" s="2" t="s">
        <v>3196</v>
      </c>
      <c r="H950" s="2" t="s">
        <v>3197</v>
      </c>
      <c r="I950" s="2" t="s">
        <v>32</v>
      </c>
      <c r="J950" s="3">
        <v>43950</v>
      </c>
      <c r="K950" s="2">
        <v>34</v>
      </c>
      <c r="L950" s="2" t="s">
        <v>70</v>
      </c>
    </row>
    <row r="951" spans="1:12" x14ac:dyDescent="0.3">
      <c r="A951" s="2">
        <v>940</v>
      </c>
      <c r="B951" s="2" t="s">
        <v>3198</v>
      </c>
      <c r="C951" s="2" t="s">
        <v>1923</v>
      </c>
      <c r="D951" s="2" t="s">
        <v>15</v>
      </c>
      <c r="E951" s="2" t="s">
        <v>16</v>
      </c>
      <c r="F951" s="2">
        <v>60</v>
      </c>
      <c r="G951" s="2" t="s">
        <v>3199</v>
      </c>
      <c r="H951" s="2" t="s">
        <v>3200</v>
      </c>
      <c r="I951" s="2" t="s">
        <v>32</v>
      </c>
      <c r="J951" s="3">
        <v>44385</v>
      </c>
      <c r="K951" s="2">
        <v>34</v>
      </c>
      <c r="L951" s="2" t="s">
        <v>33</v>
      </c>
    </row>
    <row r="952" spans="1:12" x14ac:dyDescent="0.3">
      <c r="A952" s="2">
        <v>941</v>
      </c>
      <c r="B952" s="2" t="s">
        <v>1058</v>
      </c>
      <c r="C952" s="2" t="s">
        <v>3201</v>
      </c>
      <c r="D952" s="2" t="s">
        <v>28</v>
      </c>
      <c r="E952" s="2" t="s">
        <v>29</v>
      </c>
      <c r="F952" s="2">
        <v>90</v>
      </c>
      <c r="G952" s="2" t="s">
        <v>3202</v>
      </c>
      <c r="H952" s="2" t="s">
        <v>3203</v>
      </c>
      <c r="I952" s="2" t="s">
        <v>32</v>
      </c>
      <c r="J952" s="3">
        <v>44620</v>
      </c>
      <c r="K952" s="2">
        <v>75</v>
      </c>
      <c r="L952" s="2" t="s">
        <v>159</v>
      </c>
    </row>
    <row r="953" spans="1:12" x14ac:dyDescent="0.3">
      <c r="A953" s="2">
        <v>942</v>
      </c>
      <c r="B953" s="2" t="s">
        <v>3204</v>
      </c>
      <c r="C953" s="2" t="s">
        <v>2064</v>
      </c>
      <c r="D953" s="2" t="s">
        <v>28</v>
      </c>
      <c r="E953" s="2" t="s">
        <v>29</v>
      </c>
      <c r="F953" s="2">
        <v>90</v>
      </c>
      <c r="G953" s="2" t="s">
        <v>3205</v>
      </c>
      <c r="H953" s="2" t="s">
        <v>3206</v>
      </c>
      <c r="I953" s="2" t="s">
        <v>1199</v>
      </c>
      <c r="J953" s="3">
        <v>44775</v>
      </c>
      <c r="K953" s="2">
        <v>73</v>
      </c>
      <c r="L953" s="2" t="s">
        <v>70</v>
      </c>
    </row>
    <row r="954" spans="1:12" x14ac:dyDescent="0.3">
      <c r="A954" s="2">
        <v>943</v>
      </c>
      <c r="B954" s="2" t="s">
        <v>1909</v>
      </c>
      <c r="C954" s="2" t="s">
        <v>2866</v>
      </c>
      <c r="D954" s="2" t="s">
        <v>28</v>
      </c>
      <c r="E954" s="2" t="s">
        <v>29</v>
      </c>
      <c r="F954" s="2">
        <v>90</v>
      </c>
      <c r="G954" s="2" t="s">
        <v>3207</v>
      </c>
      <c r="H954" s="2" t="s">
        <v>3208</v>
      </c>
      <c r="I954" s="2" t="s">
        <v>32</v>
      </c>
      <c r="J954" s="3">
        <v>44907</v>
      </c>
      <c r="K954" s="2">
        <v>95</v>
      </c>
      <c r="L954" s="2" t="s">
        <v>20</v>
      </c>
    </row>
    <row r="955" spans="1:12" x14ac:dyDescent="0.3">
      <c r="A955" s="2">
        <v>944</v>
      </c>
      <c r="B955" s="2" t="s">
        <v>3209</v>
      </c>
      <c r="C955" s="2" t="s">
        <v>3210</v>
      </c>
      <c r="D955" s="2" t="s">
        <v>15</v>
      </c>
      <c r="E955" s="2" t="s">
        <v>16</v>
      </c>
      <c r="F955" s="2">
        <v>60</v>
      </c>
      <c r="G955" s="2" t="s">
        <v>3211</v>
      </c>
      <c r="H955" s="2" t="s">
        <v>3212</v>
      </c>
      <c r="I955" s="2" t="s">
        <v>25</v>
      </c>
      <c r="J955" s="3">
        <v>44071</v>
      </c>
      <c r="K955" s="2">
        <v>82</v>
      </c>
      <c r="L955" s="2" t="s">
        <v>80</v>
      </c>
    </row>
    <row r="956" spans="1:12" x14ac:dyDescent="0.3">
      <c r="A956" s="2">
        <v>945</v>
      </c>
      <c r="B956" s="2" t="s">
        <v>3213</v>
      </c>
      <c r="C956" s="2" t="s">
        <v>2496</v>
      </c>
      <c r="D956" s="2" t="s">
        <v>15</v>
      </c>
      <c r="E956" s="2" t="s">
        <v>16</v>
      </c>
      <c r="F956" s="2">
        <v>60</v>
      </c>
      <c r="G956" s="2" t="s">
        <v>3214</v>
      </c>
      <c r="H956" s="2" t="s">
        <v>3215</v>
      </c>
      <c r="I956" s="2" t="s">
        <v>32</v>
      </c>
      <c r="J956" s="3">
        <v>44580</v>
      </c>
      <c r="K956" s="2">
        <v>73</v>
      </c>
      <c r="L956" s="2" t="s">
        <v>39</v>
      </c>
    </row>
    <row r="957" spans="1:12" x14ac:dyDescent="0.3">
      <c r="A957" s="2">
        <v>946</v>
      </c>
      <c r="B957" s="2" t="s">
        <v>3216</v>
      </c>
      <c r="C957" s="2" t="s">
        <v>3217</v>
      </c>
      <c r="D957" s="2" t="s">
        <v>28</v>
      </c>
      <c r="E957" s="2" t="s">
        <v>29</v>
      </c>
      <c r="F957" s="2">
        <v>90</v>
      </c>
      <c r="G957" s="2" t="s">
        <v>3218</v>
      </c>
      <c r="H957" s="2" t="s">
        <v>3219</v>
      </c>
      <c r="I957" s="2" t="s">
        <v>3220</v>
      </c>
      <c r="J957" s="3">
        <v>44000</v>
      </c>
      <c r="K957" s="2">
        <v>33</v>
      </c>
      <c r="L957" s="2" t="s">
        <v>39</v>
      </c>
    </row>
    <row r="958" spans="1:12" x14ac:dyDescent="0.3">
      <c r="A958" s="2">
        <v>947</v>
      </c>
      <c r="B958" s="2" t="s">
        <v>3221</v>
      </c>
      <c r="C958" s="2" t="s">
        <v>3222</v>
      </c>
      <c r="D958" s="2" t="s">
        <v>15</v>
      </c>
      <c r="E958" s="2" t="s">
        <v>16</v>
      </c>
      <c r="F958" s="2">
        <v>90</v>
      </c>
      <c r="G958" s="2" t="s">
        <v>3223</v>
      </c>
      <c r="H958" s="2" t="s">
        <v>3224</v>
      </c>
      <c r="I958" s="2" t="s">
        <v>2022</v>
      </c>
      <c r="J958" s="3">
        <v>44825</v>
      </c>
      <c r="K958" s="2">
        <v>99</v>
      </c>
      <c r="L958" s="2" t="s">
        <v>39</v>
      </c>
    </row>
    <row r="959" spans="1:12" x14ac:dyDescent="0.3">
      <c r="A959" s="2">
        <v>948</v>
      </c>
      <c r="B959" s="2" t="s">
        <v>3225</v>
      </c>
      <c r="C959" s="2" t="s">
        <v>3226</v>
      </c>
      <c r="D959" s="2" t="s">
        <v>15</v>
      </c>
      <c r="E959" s="2" t="s">
        <v>16</v>
      </c>
      <c r="F959" s="2">
        <v>90</v>
      </c>
      <c r="G959" s="2" t="s">
        <v>3227</v>
      </c>
      <c r="H959" s="2" t="s">
        <v>3228</v>
      </c>
      <c r="I959" s="2" t="s">
        <v>294</v>
      </c>
      <c r="J959" s="3">
        <v>44821</v>
      </c>
      <c r="K959" s="2">
        <v>94</v>
      </c>
      <c r="L959" s="2" t="s">
        <v>45</v>
      </c>
    </row>
    <row r="960" spans="1:12" x14ac:dyDescent="0.3">
      <c r="A960" s="2">
        <v>949</v>
      </c>
      <c r="B960" s="2" t="s">
        <v>1140</v>
      </c>
      <c r="C960" s="2" t="s">
        <v>1219</v>
      </c>
      <c r="D960" s="2" t="s">
        <v>28</v>
      </c>
      <c r="E960" s="2" t="s">
        <v>29</v>
      </c>
      <c r="F960" s="2">
        <v>90</v>
      </c>
      <c r="G960" s="2" t="s">
        <v>3229</v>
      </c>
      <c r="H960" s="2" t="s">
        <v>510</v>
      </c>
      <c r="I960" s="2" t="s">
        <v>32</v>
      </c>
      <c r="J960" s="3">
        <v>43904</v>
      </c>
      <c r="K960" s="2">
        <v>4</v>
      </c>
      <c r="L960" s="2" t="s">
        <v>64</v>
      </c>
    </row>
    <row r="961" spans="1:12" x14ac:dyDescent="0.3">
      <c r="A961" s="2">
        <v>950</v>
      </c>
      <c r="B961" s="2" t="s">
        <v>3230</v>
      </c>
      <c r="C961" s="2" t="s">
        <v>2355</v>
      </c>
      <c r="D961" s="2" t="s">
        <v>41</v>
      </c>
      <c r="E961" s="2" t="s">
        <v>16</v>
      </c>
      <c r="F961" s="2">
        <v>90</v>
      </c>
      <c r="G961" s="2" t="s">
        <v>3231</v>
      </c>
      <c r="H961" s="2" t="s">
        <v>1430</v>
      </c>
      <c r="I961" s="2" t="s">
        <v>32</v>
      </c>
      <c r="J961" s="3">
        <v>44706</v>
      </c>
      <c r="K961" s="2">
        <v>85</v>
      </c>
      <c r="L961" s="2" t="s">
        <v>39</v>
      </c>
    </row>
    <row r="962" spans="1:12" x14ac:dyDescent="0.3">
      <c r="A962" s="2">
        <v>951</v>
      </c>
      <c r="B962" s="2" t="s">
        <v>3232</v>
      </c>
      <c r="C962" s="2" t="s">
        <v>1013</v>
      </c>
      <c r="D962" s="2" t="s">
        <v>28</v>
      </c>
      <c r="E962" s="2" t="s">
        <v>29</v>
      </c>
      <c r="F962" s="2">
        <v>60</v>
      </c>
      <c r="G962" s="2" t="s">
        <v>3233</v>
      </c>
      <c r="H962" s="2" t="s">
        <v>3234</v>
      </c>
      <c r="I962" s="2" t="s">
        <v>25</v>
      </c>
      <c r="J962" s="3">
        <v>44724</v>
      </c>
      <c r="K962" s="2">
        <v>26</v>
      </c>
      <c r="L962" s="2" t="s">
        <v>64</v>
      </c>
    </row>
    <row r="963" spans="1:12" x14ac:dyDescent="0.3">
      <c r="A963" s="2">
        <v>952</v>
      </c>
      <c r="B963" s="2" t="s">
        <v>3235</v>
      </c>
      <c r="C963" s="2" t="s">
        <v>2815</v>
      </c>
      <c r="D963" s="2" t="s">
        <v>15</v>
      </c>
      <c r="E963" s="2" t="s">
        <v>16</v>
      </c>
      <c r="F963" s="2">
        <v>60</v>
      </c>
      <c r="G963" s="2" t="s">
        <v>3233</v>
      </c>
      <c r="H963" s="2" t="s">
        <v>3236</v>
      </c>
      <c r="I963" s="2" t="s">
        <v>32</v>
      </c>
      <c r="J963" s="3">
        <v>44074</v>
      </c>
      <c r="K963" s="2">
        <v>82</v>
      </c>
      <c r="L963" s="2" t="s">
        <v>80</v>
      </c>
    </row>
    <row r="964" spans="1:12" x14ac:dyDescent="0.3">
      <c r="A964" s="2">
        <v>953</v>
      </c>
      <c r="B964" s="2" t="s">
        <v>1445</v>
      </c>
      <c r="C964" s="2" t="s">
        <v>2575</v>
      </c>
      <c r="D964" s="2" t="s">
        <v>28</v>
      </c>
      <c r="E964" s="2" t="s">
        <v>29</v>
      </c>
      <c r="F964" s="2">
        <v>90</v>
      </c>
      <c r="G964" s="2" t="s">
        <v>3237</v>
      </c>
      <c r="H964" s="2" t="s">
        <v>3238</v>
      </c>
      <c r="I964" s="2" t="s">
        <v>173</v>
      </c>
      <c r="J964" s="3">
        <v>44826</v>
      </c>
      <c r="K964" s="2">
        <v>95</v>
      </c>
      <c r="L964" s="2" t="s">
        <v>64</v>
      </c>
    </row>
    <row r="965" spans="1:12" x14ac:dyDescent="0.3">
      <c r="A965" s="2">
        <v>954</v>
      </c>
      <c r="B965" s="2" t="s">
        <v>964</v>
      </c>
      <c r="C965" s="2" t="s">
        <v>438</v>
      </c>
      <c r="D965" s="2" t="s">
        <v>28</v>
      </c>
      <c r="E965" s="2" t="s">
        <v>29</v>
      </c>
      <c r="F965" s="2">
        <v>30</v>
      </c>
      <c r="G965" s="2" t="s">
        <v>3239</v>
      </c>
      <c r="H965" s="2" t="s">
        <v>3240</v>
      </c>
      <c r="I965" s="2" t="s">
        <v>187</v>
      </c>
      <c r="J965" s="3">
        <v>44210</v>
      </c>
      <c r="K965" s="2">
        <v>23</v>
      </c>
      <c r="L965" s="2" t="s">
        <v>70</v>
      </c>
    </row>
    <row r="966" spans="1:12" x14ac:dyDescent="0.3">
      <c r="A966" s="2">
        <v>955</v>
      </c>
      <c r="B966" s="2" t="s">
        <v>209</v>
      </c>
      <c r="C966" s="2" t="s">
        <v>605</v>
      </c>
      <c r="D966" s="2" t="s">
        <v>28</v>
      </c>
      <c r="E966" s="2" t="s">
        <v>29</v>
      </c>
      <c r="F966" s="2">
        <v>60</v>
      </c>
      <c r="G966" s="2" t="s">
        <v>3241</v>
      </c>
      <c r="H966" s="2" t="s">
        <v>3242</v>
      </c>
      <c r="I966" s="2" t="s">
        <v>32</v>
      </c>
      <c r="J966" s="3">
        <v>44371</v>
      </c>
      <c r="K966" s="2">
        <v>32</v>
      </c>
      <c r="L966" s="2" t="s">
        <v>45</v>
      </c>
    </row>
    <row r="967" spans="1:12" x14ac:dyDescent="0.3">
      <c r="A967" s="2">
        <v>956</v>
      </c>
      <c r="B967" s="2" t="s">
        <v>3243</v>
      </c>
      <c r="C967" s="2" t="s">
        <v>1685</v>
      </c>
      <c r="D967" s="2" t="s">
        <v>28</v>
      </c>
      <c r="E967" s="2" t="s">
        <v>29</v>
      </c>
      <c r="F967" s="2">
        <v>60</v>
      </c>
      <c r="G967" s="2" t="s">
        <v>3244</v>
      </c>
      <c r="H967" s="2" t="s">
        <v>3245</v>
      </c>
      <c r="I967" s="2" t="s">
        <v>32</v>
      </c>
      <c r="J967" s="3">
        <v>44501</v>
      </c>
      <c r="K967" s="2">
        <v>82</v>
      </c>
      <c r="L967" s="2" t="s">
        <v>39</v>
      </c>
    </row>
    <row r="968" spans="1:12" x14ac:dyDescent="0.3">
      <c r="A968" s="2">
        <v>957</v>
      </c>
      <c r="B968" s="2" t="s">
        <v>3246</v>
      </c>
      <c r="C968" s="2" t="s">
        <v>1994</v>
      </c>
      <c r="D968" s="2" t="s">
        <v>28</v>
      </c>
      <c r="E968" s="2" t="s">
        <v>29</v>
      </c>
      <c r="F968" s="2">
        <v>30</v>
      </c>
      <c r="G968" s="2" t="s">
        <v>3247</v>
      </c>
      <c r="H968" s="2" t="s">
        <v>3248</v>
      </c>
      <c r="I968" s="2" t="s">
        <v>38</v>
      </c>
      <c r="J968" s="3">
        <v>44556</v>
      </c>
      <c r="K968" s="2">
        <v>67</v>
      </c>
      <c r="L968" s="2" t="s">
        <v>64</v>
      </c>
    </row>
    <row r="969" spans="1:12" x14ac:dyDescent="0.3">
      <c r="A969" s="2">
        <v>958</v>
      </c>
      <c r="B969" s="2" t="s">
        <v>267</v>
      </c>
      <c r="C969" s="2" t="s">
        <v>1721</v>
      </c>
      <c r="D969" s="2" t="s">
        <v>28</v>
      </c>
      <c r="E969" s="2" t="s">
        <v>29</v>
      </c>
      <c r="F969" s="2">
        <v>90</v>
      </c>
      <c r="G969" s="2" t="s">
        <v>3249</v>
      </c>
      <c r="H969" s="2" t="s">
        <v>3250</v>
      </c>
      <c r="I969" s="2" t="s">
        <v>32</v>
      </c>
      <c r="J969" s="3">
        <v>44057</v>
      </c>
      <c r="K969" s="2">
        <v>38</v>
      </c>
      <c r="L969" s="2" t="s">
        <v>54</v>
      </c>
    </row>
    <row r="970" spans="1:12" x14ac:dyDescent="0.3">
      <c r="A970" s="2">
        <v>959</v>
      </c>
      <c r="B970" s="2" t="s">
        <v>375</v>
      </c>
      <c r="C970" s="2" t="s">
        <v>3251</v>
      </c>
      <c r="D970" s="2" t="s">
        <v>28</v>
      </c>
      <c r="E970" s="2" t="s">
        <v>29</v>
      </c>
      <c r="F970" s="2">
        <v>90</v>
      </c>
      <c r="G970" s="2" t="s">
        <v>3252</v>
      </c>
      <c r="H970" s="2" t="s">
        <v>1751</v>
      </c>
      <c r="I970" s="2" t="s">
        <v>32</v>
      </c>
      <c r="J970" s="3">
        <v>44502</v>
      </c>
      <c r="K970" s="2">
        <v>77</v>
      </c>
      <c r="L970" s="2" t="s">
        <v>45</v>
      </c>
    </row>
    <row r="971" spans="1:12" x14ac:dyDescent="0.3">
      <c r="A971" s="2">
        <v>960</v>
      </c>
      <c r="B971" s="2" t="s">
        <v>2984</v>
      </c>
      <c r="C971" s="2" t="s">
        <v>3253</v>
      </c>
      <c r="D971" s="2" t="s">
        <v>28</v>
      </c>
      <c r="E971" s="2" t="s">
        <v>29</v>
      </c>
      <c r="F971" s="2">
        <v>60</v>
      </c>
      <c r="G971" s="2" t="s">
        <v>3254</v>
      </c>
      <c r="H971" s="2" t="s">
        <v>2230</v>
      </c>
      <c r="I971" s="2" t="s">
        <v>32</v>
      </c>
      <c r="J971" s="3">
        <v>44765</v>
      </c>
      <c r="K971" s="2">
        <v>11</v>
      </c>
      <c r="L971" s="2" t="s">
        <v>70</v>
      </c>
    </row>
    <row r="972" spans="1:12" x14ac:dyDescent="0.3">
      <c r="A972" s="2">
        <v>961</v>
      </c>
      <c r="B972" s="2" t="s">
        <v>507</v>
      </c>
      <c r="C972" s="2" t="s">
        <v>229</v>
      </c>
      <c r="D972" s="2" t="s">
        <v>28</v>
      </c>
      <c r="E972" s="2" t="s">
        <v>29</v>
      </c>
      <c r="F972" s="2">
        <v>60</v>
      </c>
      <c r="G972" s="2" t="s">
        <v>3255</v>
      </c>
      <c r="H972" s="2" t="s">
        <v>2804</v>
      </c>
      <c r="I972" s="2" t="s">
        <v>124</v>
      </c>
      <c r="J972" s="3">
        <v>44708</v>
      </c>
      <c r="K972" s="2">
        <v>101</v>
      </c>
      <c r="L972" s="2" t="s">
        <v>33</v>
      </c>
    </row>
    <row r="973" spans="1:12" x14ac:dyDescent="0.3">
      <c r="A973" s="2">
        <v>962</v>
      </c>
      <c r="B973" s="2" t="s">
        <v>3256</v>
      </c>
      <c r="C973" s="2" t="s">
        <v>138</v>
      </c>
      <c r="D973" s="2" t="s">
        <v>28</v>
      </c>
      <c r="E973" s="2" t="s">
        <v>29</v>
      </c>
      <c r="F973" s="2">
        <v>30</v>
      </c>
      <c r="G973" s="2" t="s">
        <v>3257</v>
      </c>
      <c r="H973" s="2" t="s">
        <v>3197</v>
      </c>
      <c r="I973" s="2" t="s">
        <v>32</v>
      </c>
      <c r="J973" s="3">
        <v>44315</v>
      </c>
      <c r="K973" s="2">
        <v>26</v>
      </c>
      <c r="L973" s="2" t="s">
        <v>33</v>
      </c>
    </row>
    <row r="974" spans="1:12" x14ac:dyDescent="0.3">
      <c r="A974" s="2">
        <v>963</v>
      </c>
      <c r="B974" s="2" t="s">
        <v>1200</v>
      </c>
      <c r="C974" s="2" t="s">
        <v>3258</v>
      </c>
      <c r="D974" s="2" t="s">
        <v>92</v>
      </c>
      <c r="E974" s="2" t="s">
        <v>29</v>
      </c>
      <c r="F974" s="2">
        <v>90</v>
      </c>
      <c r="G974" s="2" t="s">
        <v>3259</v>
      </c>
      <c r="H974" s="2" t="s">
        <v>137</v>
      </c>
      <c r="I974" s="2" t="s">
        <v>32</v>
      </c>
      <c r="J974" s="3">
        <v>44827</v>
      </c>
      <c r="K974" s="2">
        <v>70</v>
      </c>
      <c r="L974" s="2" t="s">
        <v>159</v>
      </c>
    </row>
    <row r="975" spans="1:12" x14ac:dyDescent="0.3">
      <c r="A975" s="2">
        <v>964</v>
      </c>
      <c r="B975" s="2" t="s">
        <v>1776</v>
      </c>
      <c r="C975" s="2" t="s">
        <v>2091</v>
      </c>
      <c r="D975" s="2" t="s">
        <v>28</v>
      </c>
      <c r="E975" s="2" t="s">
        <v>29</v>
      </c>
      <c r="F975" s="2">
        <v>90</v>
      </c>
      <c r="G975" s="2" t="s">
        <v>3260</v>
      </c>
      <c r="H975" s="2" t="s">
        <v>3261</v>
      </c>
      <c r="I975" s="2" t="s">
        <v>124</v>
      </c>
      <c r="J975" s="3">
        <v>44796</v>
      </c>
      <c r="K975" s="2">
        <v>72</v>
      </c>
      <c r="L975" s="2" t="s">
        <v>54</v>
      </c>
    </row>
    <row r="976" spans="1:12" x14ac:dyDescent="0.3">
      <c r="A976" s="2">
        <v>965</v>
      </c>
      <c r="B976" s="2" t="s">
        <v>3262</v>
      </c>
      <c r="C976" s="2" t="s">
        <v>858</v>
      </c>
      <c r="D976" s="2" t="s">
        <v>28</v>
      </c>
      <c r="E976" s="2" t="s">
        <v>29</v>
      </c>
      <c r="F976" s="2">
        <v>90</v>
      </c>
      <c r="G976" s="2" t="s">
        <v>3260</v>
      </c>
      <c r="H976" s="2" t="s">
        <v>3263</v>
      </c>
      <c r="I976" s="2" t="s">
        <v>32</v>
      </c>
      <c r="J976" s="3">
        <v>44613</v>
      </c>
      <c r="K976" s="2">
        <v>7</v>
      </c>
      <c r="L976" s="2" t="s">
        <v>54</v>
      </c>
    </row>
    <row r="977" spans="1:12" x14ac:dyDescent="0.3">
      <c r="A977" s="2">
        <v>966</v>
      </c>
      <c r="B977" s="2" t="s">
        <v>3264</v>
      </c>
      <c r="C977" s="2" t="s">
        <v>3265</v>
      </c>
      <c r="D977" s="2" t="s">
        <v>15</v>
      </c>
      <c r="E977" s="2" t="s">
        <v>16</v>
      </c>
      <c r="F977" s="2">
        <v>90</v>
      </c>
      <c r="G977" s="2" t="s">
        <v>3266</v>
      </c>
      <c r="H977" s="2" t="s">
        <v>3267</v>
      </c>
      <c r="I977" s="2" t="s">
        <v>124</v>
      </c>
      <c r="J977" s="3">
        <v>44027</v>
      </c>
      <c r="K977" s="2">
        <v>50</v>
      </c>
      <c r="L977" s="2" t="s">
        <v>39</v>
      </c>
    </row>
    <row r="978" spans="1:12" x14ac:dyDescent="0.3">
      <c r="A978" s="2">
        <v>967</v>
      </c>
      <c r="B978" s="2" t="s">
        <v>3268</v>
      </c>
      <c r="C978" s="2" t="s">
        <v>3269</v>
      </c>
      <c r="D978" s="2" t="s">
        <v>51</v>
      </c>
      <c r="E978" s="2" t="s">
        <v>16</v>
      </c>
      <c r="F978" s="2">
        <v>90</v>
      </c>
      <c r="G978" s="2" t="s">
        <v>3270</v>
      </c>
      <c r="H978" s="2" t="s">
        <v>3271</v>
      </c>
      <c r="I978" s="2" t="s">
        <v>173</v>
      </c>
      <c r="J978" s="3">
        <v>44000</v>
      </c>
      <c r="K978" s="2">
        <v>65</v>
      </c>
      <c r="L978" s="2" t="s">
        <v>80</v>
      </c>
    </row>
    <row r="979" spans="1:12" x14ac:dyDescent="0.3">
      <c r="A979" s="2">
        <v>968</v>
      </c>
      <c r="B979" s="2" t="s">
        <v>3272</v>
      </c>
      <c r="C979" s="2" t="s">
        <v>3273</v>
      </c>
      <c r="D979" s="2" t="s">
        <v>51</v>
      </c>
      <c r="E979" s="2" t="s">
        <v>16</v>
      </c>
      <c r="F979" s="2">
        <v>90</v>
      </c>
      <c r="G979" s="2" t="s">
        <v>3270</v>
      </c>
      <c r="H979" s="2" t="s">
        <v>3274</v>
      </c>
      <c r="I979" s="2" t="s">
        <v>32</v>
      </c>
      <c r="J979" s="3">
        <v>44098</v>
      </c>
      <c r="K979" s="2">
        <v>10</v>
      </c>
      <c r="L979" s="2" t="s">
        <v>70</v>
      </c>
    </row>
    <row r="980" spans="1:12" x14ac:dyDescent="0.3">
      <c r="A980" s="2">
        <v>969</v>
      </c>
      <c r="B980" s="2" t="s">
        <v>375</v>
      </c>
      <c r="C980" s="2" t="s">
        <v>3275</v>
      </c>
      <c r="D980" s="2" t="s">
        <v>28</v>
      </c>
      <c r="E980" s="2" t="s">
        <v>29</v>
      </c>
      <c r="F980" s="2">
        <v>90</v>
      </c>
      <c r="G980" s="2" t="s">
        <v>3277</v>
      </c>
      <c r="H980" s="2" t="s">
        <v>2267</v>
      </c>
      <c r="I980" s="2" t="s">
        <v>124</v>
      </c>
      <c r="J980" s="3">
        <v>44712</v>
      </c>
      <c r="K980" s="2">
        <v>75</v>
      </c>
      <c r="L980" s="2" t="s">
        <v>70</v>
      </c>
    </row>
    <row r="981" spans="1:12" x14ac:dyDescent="0.3">
      <c r="A981" s="2">
        <v>970</v>
      </c>
      <c r="B981" s="2" t="s">
        <v>3278</v>
      </c>
      <c r="C981" s="2" t="s">
        <v>3279</v>
      </c>
      <c r="D981" s="2" t="s">
        <v>15</v>
      </c>
      <c r="E981" s="2" t="s">
        <v>16</v>
      </c>
      <c r="F981" s="2">
        <v>60</v>
      </c>
      <c r="G981" s="2" t="s">
        <v>3280</v>
      </c>
      <c r="H981" s="2" t="s">
        <v>3197</v>
      </c>
      <c r="I981" s="2" t="s">
        <v>32</v>
      </c>
      <c r="J981" s="3">
        <v>44716</v>
      </c>
      <c r="K981" s="2">
        <v>100</v>
      </c>
      <c r="L981" s="2" t="s">
        <v>33</v>
      </c>
    </row>
    <row r="982" spans="1:12" x14ac:dyDescent="0.3">
      <c r="A982" s="2">
        <v>971</v>
      </c>
      <c r="B982" s="2" t="s">
        <v>3281</v>
      </c>
      <c r="C982" s="2" t="s">
        <v>3282</v>
      </c>
      <c r="D982" s="2" t="s">
        <v>41</v>
      </c>
      <c r="E982" s="2" t="s">
        <v>16</v>
      </c>
      <c r="F982" s="2">
        <v>90</v>
      </c>
      <c r="G982" s="2" t="s">
        <v>3287</v>
      </c>
      <c r="H982" s="2" t="s">
        <v>3284</v>
      </c>
      <c r="I982" s="2" t="s">
        <v>32</v>
      </c>
      <c r="J982" s="3">
        <v>44460</v>
      </c>
      <c r="K982" s="2">
        <v>83</v>
      </c>
      <c r="L982" s="2" t="s">
        <v>54</v>
      </c>
    </row>
    <row r="983" spans="1:12" x14ac:dyDescent="0.3">
      <c r="A983" s="2">
        <v>972</v>
      </c>
      <c r="B983" s="2" t="s">
        <v>3285</v>
      </c>
      <c r="C983" s="2" t="s">
        <v>3286</v>
      </c>
      <c r="D983" s="2" t="s">
        <v>51</v>
      </c>
      <c r="E983" s="2" t="s">
        <v>16</v>
      </c>
      <c r="F983" s="2">
        <v>90</v>
      </c>
      <c r="G983" s="2" t="s">
        <v>3287</v>
      </c>
      <c r="H983" s="2" t="s">
        <v>3288</v>
      </c>
      <c r="I983" s="2" t="s">
        <v>32</v>
      </c>
      <c r="J983" s="3">
        <v>44558</v>
      </c>
      <c r="K983" s="2">
        <v>22</v>
      </c>
      <c r="L983" s="2" t="s">
        <v>159</v>
      </c>
    </row>
    <row r="984" spans="1:12" x14ac:dyDescent="0.3">
      <c r="A984" s="2">
        <v>973</v>
      </c>
      <c r="B984" s="2" t="s">
        <v>3289</v>
      </c>
      <c r="C984" s="2" t="s">
        <v>2795</v>
      </c>
      <c r="D984" s="2" t="s">
        <v>28</v>
      </c>
      <c r="E984" s="2" t="s">
        <v>29</v>
      </c>
      <c r="F984" s="2">
        <v>90</v>
      </c>
      <c r="G984" s="2" t="s">
        <v>3290</v>
      </c>
      <c r="H984" s="2" t="s">
        <v>3291</v>
      </c>
      <c r="I984" s="2" t="s">
        <v>124</v>
      </c>
      <c r="J984" s="3">
        <v>44119</v>
      </c>
      <c r="K984" s="2">
        <v>35</v>
      </c>
      <c r="L984" s="2" t="s">
        <v>20</v>
      </c>
    </row>
    <row r="985" spans="1:12" x14ac:dyDescent="0.3">
      <c r="A985" s="2">
        <v>974</v>
      </c>
      <c r="B985" s="2" t="s">
        <v>3292</v>
      </c>
      <c r="C985" s="2" t="s">
        <v>2941</v>
      </c>
      <c r="D985" s="2" t="s">
        <v>28</v>
      </c>
      <c r="E985" s="2" t="s">
        <v>29</v>
      </c>
      <c r="F985" s="2">
        <v>30</v>
      </c>
      <c r="G985" s="2" t="s">
        <v>3293</v>
      </c>
      <c r="H985" s="2" t="s">
        <v>2401</v>
      </c>
      <c r="I985" s="2" t="s">
        <v>178</v>
      </c>
      <c r="J985" s="3">
        <v>44405</v>
      </c>
      <c r="K985" s="2">
        <v>47</v>
      </c>
      <c r="L985" s="2" t="s">
        <v>54</v>
      </c>
    </row>
    <row r="986" spans="1:12" x14ac:dyDescent="0.3">
      <c r="A986" s="2">
        <v>975</v>
      </c>
      <c r="B986" s="2" t="s">
        <v>125</v>
      </c>
      <c r="C986" s="2" t="s">
        <v>3294</v>
      </c>
      <c r="D986" s="2" t="s">
        <v>28</v>
      </c>
      <c r="E986" s="2" t="s">
        <v>29</v>
      </c>
      <c r="F986" s="2">
        <v>60</v>
      </c>
      <c r="G986" s="2" t="s">
        <v>3295</v>
      </c>
      <c r="H986" s="2" t="s">
        <v>3296</v>
      </c>
      <c r="I986" s="2" t="s">
        <v>32</v>
      </c>
      <c r="J986" s="3">
        <v>44171</v>
      </c>
      <c r="K986" s="2">
        <v>76</v>
      </c>
      <c r="L986" s="2" t="s">
        <v>64</v>
      </c>
    </row>
    <row r="987" spans="1:12" x14ac:dyDescent="0.3">
      <c r="A987" s="2">
        <v>976</v>
      </c>
      <c r="B987" s="2" t="s">
        <v>1027</v>
      </c>
      <c r="C987" s="2" t="s">
        <v>3297</v>
      </c>
      <c r="D987" s="2" t="s">
        <v>28</v>
      </c>
      <c r="E987" s="2" t="s">
        <v>29</v>
      </c>
      <c r="F987" s="2">
        <v>90</v>
      </c>
      <c r="G987" s="2" t="s">
        <v>3298</v>
      </c>
      <c r="H987" s="2" t="s">
        <v>3299</v>
      </c>
      <c r="I987" s="2" t="s">
        <v>32</v>
      </c>
      <c r="J987" s="3">
        <v>44783</v>
      </c>
      <c r="K987" s="2">
        <v>79</v>
      </c>
      <c r="L987" s="2" t="s">
        <v>64</v>
      </c>
    </row>
    <row r="988" spans="1:12" x14ac:dyDescent="0.3">
      <c r="A988" s="2">
        <v>977</v>
      </c>
      <c r="B988" s="2" t="s">
        <v>3300</v>
      </c>
      <c r="C988" s="2" t="s">
        <v>3301</v>
      </c>
      <c r="D988" s="2" t="s">
        <v>28</v>
      </c>
      <c r="E988" s="2" t="s">
        <v>29</v>
      </c>
      <c r="F988" s="2">
        <v>30</v>
      </c>
      <c r="G988" s="2" t="s">
        <v>3302</v>
      </c>
      <c r="H988" s="2" t="s">
        <v>3303</v>
      </c>
      <c r="I988" s="2" t="s">
        <v>294</v>
      </c>
      <c r="J988" s="3">
        <v>44289</v>
      </c>
      <c r="K988" s="2">
        <v>4</v>
      </c>
      <c r="L988" s="2" t="s">
        <v>159</v>
      </c>
    </row>
    <row r="989" spans="1:12" x14ac:dyDescent="0.3">
      <c r="A989" s="2">
        <v>978</v>
      </c>
      <c r="B989" s="2" t="s">
        <v>3304</v>
      </c>
      <c r="C989" s="2" t="s">
        <v>86</v>
      </c>
      <c r="D989" s="2" t="s">
        <v>15</v>
      </c>
      <c r="E989" s="2" t="s">
        <v>16</v>
      </c>
      <c r="F989" s="2">
        <v>60</v>
      </c>
      <c r="G989" s="2" t="s">
        <v>3305</v>
      </c>
      <c r="H989" s="2" t="s">
        <v>3122</v>
      </c>
      <c r="I989" s="2" t="s">
        <v>1035</v>
      </c>
      <c r="J989" s="3">
        <v>44101</v>
      </c>
      <c r="K989" s="2">
        <v>69</v>
      </c>
      <c r="L989" s="2" t="s">
        <v>80</v>
      </c>
    </row>
    <row r="990" spans="1:12" x14ac:dyDescent="0.3">
      <c r="A990" s="2">
        <v>979</v>
      </c>
      <c r="B990" s="2" t="s">
        <v>357</v>
      </c>
      <c r="C990" s="2" t="s">
        <v>156</v>
      </c>
      <c r="D990" s="2" t="s">
        <v>41</v>
      </c>
      <c r="E990" s="2" t="s">
        <v>16</v>
      </c>
      <c r="F990" s="2">
        <v>90</v>
      </c>
      <c r="G990" s="2" t="s">
        <v>3306</v>
      </c>
      <c r="H990" s="2" t="s">
        <v>3307</v>
      </c>
      <c r="I990" s="2" t="s">
        <v>32</v>
      </c>
      <c r="J990" s="3">
        <v>44551</v>
      </c>
      <c r="K990" s="2">
        <v>92</v>
      </c>
      <c r="L990" s="2" t="s">
        <v>101</v>
      </c>
    </row>
    <row r="991" spans="1:12" x14ac:dyDescent="0.3">
      <c r="A991" s="2">
        <v>980</v>
      </c>
      <c r="B991" s="2" t="s">
        <v>3308</v>
      </c>
      <c r="C991" s="2" t="s">
        <v>728</v>
      </c>
      <c r="D991" s="2" t="s">
        <v>15</v>
      </c>
      <c r="E991" s="2" t="s">
        <v>16</v>
      </c>
      <c r="F991" s="2">
        <v>60</v>
      </c>
      <c r="G991" s="2" t="s">
        <v>3309</v>
      </c>
      <c r="H991" s="2" t="s">
        <v>440</v>
      </c>
      <c r="I991" s="2" t="s">
        <v>25</v>
      </c>
      <c r="J991" s="3">
        <v>44137</v>
      </c>
      <c r="K991" s="2">
        <v>31</v>
      </c>
      <c r="L991" s="2" t="s">
        <v>80</v>
      </c>
    </row>
    <row r="992" spans="1:12" x14ac:dyDescent="0.3">
      <c r="A992" s="2">
        <v>981</v>
      </c>
      <c r="B992" s="2" t="s">
        <v>3310</v>
      </c>
      <c r="C992" s="2" t="s">
        <v>3311</v>
      </c>
      <c r="D992" s="2" t="s">
        <v>28</v>
      </c>
      <c r="E992" s="2" t="s">
        <v>29</v>
      </c>
      <c r="F992" s="2">
        <v>30</v>
      </c>
      <c r="G992" s="2" t="s">
        <v>3312</v>
      </c>
      <c r="H992" s="2" t="s">
        <v>255</v>
      </c>
      <c r="I992" s="2" t="s">
        <v>32</v>
      </c>
      <c r="J992" s="3">
        <v>44299</v>
      </c>
      <c r="K992" s="2">
        <v>7</v>
      </c>
      <c r="L992" s="2" t="s">
        <v>33</v>
      </c>
    </row>
    <row r="993" spans="1:12" x14ac:dyDescent="0.3">
      <c r="A993" s="2">
        <v>982</v>
      </c>
      <c r="B993" s="2" t="s">
        <v>3313</v>
      </c>
      <c r="C993" s="2" t="s">
        <v>3314</v>
      </c>
      <c r="D993" s="2" t="s">
        <v>28</v>
      </c>
      <c r="E993" s="2" t="s">
        <v>29</v>
      </c>
      <c r="F993" s="2">
        <v>90</v>
      </c>
      <c r="G993" s="2" t="s">
        <v>3315</v>
      </c>
      <c r="H993" s="2" t="s">
        <v>3316</v>
      </c>
      <c r="I993" s="2" t="s">
        <v>32</v>
      </c>
      <c r="J993" s="3">
        <v>44863</v>
      </c>
      <c r="K993" s="2">
        <v>67</v>
      </c>
      <c r="L993" s="2" t="s">
        <v>39</v>
      </c>
    </row>
    <row r="994" spans="1:12" x14ac:dyDescent="0.3">
      <c r="A994" s="2">
        <v>983</v>
      </c>
      <c r="B994" s="2" t="s">
        <v>668</v>
      </c>
      <c r="C994" s="2" t="s">
        <v>641</v>
      </c>
      <c r="D994" s="2" t="s">
        <v>28</v>
      </c>
      <c r="E994" s="2" t="s">
        <v>29</v>
      </c>
      <c r="F994" s="2">
        <v>30</v>
      </c>
      <c r="G994" s="2" t="s">
        <v>3317</v>
      </c>
      <c r="H994" s="2" t="s">
        <v>405</v>
      </c>
      <c r="I994" s="2" t="s">
        <v>32</v>
      </c>
      <c r="J994" s="3">
        <v>44470</v>
      </c>
      <c r="K994" s="2">
        <v>90</v>
      </c>
      <c r="L994" s="2" t="s">
        <v>39</v>
      </c>
    </row>
    <row r="995" spans="1:12" x14ac:dyDescent="0.3">
      <c r="A995" s="2">
        <v>984</v>
      </c>
      <c r="B995" s="2" t="s">
        <v>3318</v>
      </c>
      <c r="C995" s="2" t="s">
        <v>870</v>
      </c>
      <c r="D995" s="2" t="s">
        <v>51</v>
      </c>
      <c r="E995" s="2" t="s">
        <v>16</v>
      </c>
      <c r="F995" s="2">
        <v>60</v>
      </c>
      <c r="G995" s="2" t="s">
        <v>3319</v>
      </c>
      <c r="H995" s="2" t="s">
        <v>3320</v>
      </c>
      <c r="I995" s="2" t="s">
        <v>32</v>
      </c>
      <c r="J995" s="3">
        <v>44206</v>
      </c>
      <c r="K995" s="2">
        <v>4</v>
      </c>
      <c r="L995" s="2" t="s">
        <v>54</v>
      </c>
    </row>
    <row r="996" spans="1:12" x14ac:dyDescent="0.3">
      <c r="A996" s="2">
        <v>985</v>
      </c>
      <c r="B996" s="2" t="s">
        <v>3321</v>
      </c>
      <c r="C996" s="2" t="s">
        <v>3322</v>
      </c>
      <c r="D996" s="2" t="s">
        <v>15</v>
      </c>
      <c r="E996" s="2" t="s">
        <v>16</v>
      </c>
      <c r="F996" s="2">
        <v>30</v>
      </c>
      <c r="G996" s="2" t="s">
        <v>10424</v>
      </c>
      <c r="H996" s="2" t="s">
        <v>3324</v>
      </c>
      <c r="I996" s="2" t="s">
        <v>32</v>
      </c>
      <c r="J996" s="3">
        <v>44773</v>
      </c>
      <c r="K996" s="2">
        <v>62</v>
      </c>
      <c r="L996" s="2" t="s">
        <v>20</v>
      </c>
    </row>
    <row r="997" spans="1:12" x14ac:dyDescent="0.3">
      <c r="A997" s="2">
        <v>986</v>
      </c>
      <c r="B997" s="2" t="s">
        <v>1569</v>
      </c>
      <c r="C997" s="2" t="s">
        <v>3325</v>
      </c>
      <c r="D997" s="2" t="s">
        <v>15</v>
      </c>
      <c r="E997" s="2" t="s">
        <v>16</v>
      </c>
      <c r="F997" s="2">
        <v>60</v>
      </c>
      <c r="G997" s="2" t="s">
        <v>3326</v>
      </c>
      <c r="H997" s="2" t="s">
        <v>3274</v>
      </c>
      <c r="I997" s="2" t="s">
        <v>32</v>
      </c>
      <c r="J997" s="3">
        <v>44058</v>
      </c>
      <c r="K997" s="2">
        <v>29</v>
      </c>
      <c r="L997" s="2" t="s">
        <v>54</v>
      </c>
    </row>
    <row r="998" spans="1:12" x14ac:dyDescent="0.3">
      <c r="A998" s="2">
        <v>987</v>
      </c>
      <c r="B998" s="2" t="s">
        <v>3327</v>
      </c>
      <c r="C998" s="2" t="s">
        <v>1243</v>
      </c>
      <c r="D998" s="2" t="s">
        <v>51</v>
      </c>
      <c r="E998" s="2" t="s">
        <v>16</v>
      </c>
      <c r="F998" s="2">
        <v>90</v>
      </c>
      <c r="G998" s="2" t="s">
        <v>3328</v>
      </c>
      <c r="H998" s="2" t="s">
        <v>123</v>
      </c>
      <c r="I998" s="2" t="s">
        <v>124</v>
      </c>
      <c r="J998" s="3">
        <v>44067</v>
      </c>
      <c r="K998" s="2">
        <v>58</v>
      </c>
      <c r="L998" s="2" t="s">
        <v>33</v>
      </c>
    </row>
    <row r="999" spans="1:12" x14ac:dyDescent="0.3">
      <c r="A999" s="2">
        <v>988</v>
      </c>
      <c r="B999" s="2" t="s">
        <v>3329</v>
      </c>
      <c r="C999" s="2" t="s">
        <v>3330</v>
      </c>
      <c r="D999" s="2" t="s">
        <v>28</v>
      </c>
      <c r="E999" s="2" t="s">
        <v>29</v>
      </c>
      <c r="F999" s="2">
        <v>30</v>
      </c>
      <c r="G999" s="2" t="s">
        <v>3331</v>
      </c>
      <c r="H999" s="2" t="s">
        <v>1768</v>
      </c>
      <c r="I999" s="2" t="s">
        <v>32</v>
      </c>
      <c r="J999" s="3">
        <v>44006</v>
      </c>
      <c r="K999" s="2">
        <v>42</v>
      </c>
      <c r="L999" s="2" t="s">
        <v>64</v>
      </c>
    </row>
    <row r="1000" spans="1:12" x14ac:dyDescent="0.3">
      <c r="A1000" s="2">
        <v>989</v>
      </c>
      <c r="B1000" s="2" t="s">
        <v>3332</v>
      </c>
      <c r="C1000" s="2" t="s">
        <v>2888</v>
      </c>
      <c r="D1000" s="2" t="s">
        <v>15</v>
      </c>
      <c r="E1000" s="2" t="s">
        <v>16</v>
      </c>
      <c r="F1000" s="2">
        <v>60</v>
      </c>
      <c r="G1000" s="2" t="s">
        <v>3333</v>
      </c>
      <c r="H1000" s="2" t="s">
        <v>3334</v>
      </c>
      <c r="I1000" s="2" t="s">
        <v>32</v>
      </c>
      <c r="J1000" s="3">
        <v>44718</v>
      </c>
      <c r="K1000" s="2">
        <v>21</v>
      </c>
      <c r="L1000" s="2" t="s">
        <v>20</v>
      </c>
    </row>
    <row r="1001" spans="1:12" x14ac:dyDescent="0.3">
      <c r="A1001" s="2">
        <v>990</v>
      </c>
      <c r="B1001" s="2" t="s">
        <v>3335</v>
      </c>
      <c r="C1001" s="2" t="s">
        <v>3336</v>
      </c>
      <c r="D1001" s="2" t="s">
        <v>28</v>
      </c>
      <c r="E1001" s="2" t="s">
        <v>29</v>
      </c>
      <c r="F1001" s="2">
        <v>60</v>
      </c>
      <c r="G1001" s="2" t="s">
        <v>10479</v>
      </c>
      <c r="H1001" s="2" t="s">
        <v>2325</v>
      </c>
      <c r="I1001" s="2" t="s">
        <v>173</v>
      </c>
      <c r="J1001" s="3">
        <v>44584</v>
      </c>
      <c r="K1001" s="2">
        <v>33</v>
      </c>
      <c r="L1001" s="2" t="s">
        <v>159</v>
      </c>
    </row>
    <row r="1002" spans="1:12" x14ac:dyDescent="0.3">
      <c r="A1002" s="2">
        <v>991</v>
      </c>
      <c r="B1002" s="2" t="s">
        <v>1027</v>
      </c>
      <c r="C1002" s="2" t="s">
        <v>3338</v>
      </c>
      <c r="D1002" s="2" t="s">
        <v>28</v>
      </c>
      <c r="E1002" s="2" t="s">
        <v>29</v>
      </c>
      <c r="F1002" s="2">
        <v>60</v>
      </c>
      <c r="G1002" s="2" t="s">
        <v>3339</v>
      </c>
      <c r="H1002" s="2" t="s">
        <v>78</v>
      </c>
      <c r="I1002" s="2" t="s">
        <v>79</v>
      </c>
      <c r="J1002" s="3">
        <v>44059</v>
      </c>
      <c r="K1002" s="2">
        <v>15</v>
      </c>
      <c r="L1002" s="2" t="s">
        <v>80</v>
      </c>
    </row>
    <row r="1003" spans="1:12" x14ac:dyDescent="0.3">
      <c r="A1003" s="2">
        <v>992</v>
      </c>
      <c r="B1003" s="2" t="s">
        <v>3340</v>
      </c>
      <c r="C1003" s="2" t="s">
        <v>3341</v>
      </c>
      <c r="D1003" s="2" t="s">
        <v>15</v>
      </c>
      <c r="E1003" s="2" t="s">
        <v>16</v>
      </c>
      <c r="F1003" s="2">
        <v>60</v>
      </c>
      <c r="G1003" s="2" t="s">
        <v>3342</v>
      </c>
      <c r="H1003" s="2" t="s">
        <v>3343</v>
      </c>
      <c r="I1003" s="2" t="s">
        <v>1199</v>
      </c>
      <c r="J1003" s="3">
        <v>44060</v>
      </c>
      <c r="K1003" s="2">
        <v>57</v>
      </c>
      <c r="L1003" s="2" t="s">
        <v>39</v>
      </c>
    </row>
    <row r="1004" spans="1:12" x14ac:dyDescent="0.3">
      <c r="A1004" s="2">
        <v>993</v>
      </c>
      <c r="B1004" s="2" t="s">
        <v>2919</v>
      </c>
      <c r="C1004" s="2" t="s">
        <v>2428</v>
      </c>
      <c r="D1004" s="2" t="s">
        <v>28</v>
      </c>
      <c r="E1004" s="2" t="s">
        <v>29</v>
      </c>
      <c r="F1004" s="2">
        <v>60</v>
      </c>
      <c r="G1004" s="2" t="s">
        <v>3342</v>
      </c>
      <c r="H1004" s="2" t="s">
        <v>966</v>
      </c>
      <c r="I1004" s="2" t="s">
        <v>187</v>
      </c>
      <c r="J1004" s="3">
        <v>44048</v>
      </c>
      <c r="K1004" s="2">
        <v>50</v>
      </c>
      <c r="L1004" s="2" t="s">
        <v>33</v>
      </c>
    </row>
    <row r="1005" spans="1:12" x14ac:dyDescent="0.3">
      <c r="A1005" s="2">
        <v>994</v>
      </c>
      <c r="B1005" s="2" t="s">
        <v>65</v>
      </c>
      <c r="C1005" s="2" t="s">
        <v>1756</v>
      </c>
      <c r="D1005" s="2" t="s">
        <v>51</v>
      </c>
      <c r="E1005" s="2" t="s">
        <v>16</v>
      </c>
      <c r="F1005" s="2">
        <v>90</v>
      </c>
      <c r="G1005" s="2" t="s">
        <v>3344</v>
      </c>
      <c r="H1005" s="2" t="s">
        <v>2012</v>
      </c>
      <c r="I1005" s="2" t="s">
        <v>32</v>
      </c>
      <c r="J1005" s="3">
        <v>43952</v>
      </c>
      <c r="K1005" s="2">
        <v>47</v>
      </c>
      <c r="L1005" s="2" t="s">
        <v>70</v>
      </c>
    </row>
    <row r="1006" spans="1:12" x14ac:dyDescent="0.3">
      <c r="A1006" s="2">
        <v>995</v>
      </c>
      <c r="B1006" s="2" t="s">
        <v>3345</v>
      </c>
      <c r="C1006" s="2" t="s">
        <v>3346</v>
      </c>
      <c r="D1006" s="2" t="s">
        <v>28</v>
      </c>
      <c r="E1006" s="2" t="s">
        <v>29</v>
      </c>
      <c r="F1006" s="2">
        <v>30</v>
      </c>
      <c r="G1006" s="2" t="s">
        <v>3347</v>
      </c>
      <c r="H1006" s="2" t="s">
        <v>1011</v>
      </c>
      <c r="I1006" s="2" t="s">
        <v>32</v>
      </c>
      <c r="J1006" s="3">
        <v>43972</v>
      </c>
      <c r="K1006" s="2">
        <v>51</v>
      </c>
      <c r="L1006" s="2" t="s">
        <v>80</v>
      </c>
    </row>
    <row r="1007" spans="1:12" x14ac:dyDescent="0.3">
      <c r="A1007" s="2">
        <v>996</v>
      </c>
      <c r="B1007" s="2" t="s">
        <v>2398</v>
      </c>
      <c r="C1007" s="2" t="s">
        <v>3348</v>
      </c>
      <c r="D1007" s="2" t="s">
        <v>28</v>
      </c>
      <c r="E1007" s="2" t="s">
        <v>29</v>
      </c>
      <c r="F1007" s="2">
        <v>30</v>
      </c>
      <c r="G1007" s="2" t="s">
        <v>3349</v>
      </c>
      <c r="H1007" s="2" t="s">
        <v>1512</v>
      </c>
      <c r="I1007" s="2" t="s">
        <v>25</v>
      </c>
      <c r="J1007" s="3">
        <v>44120</v>
      </c>
      <c r="K1007" s="2">
        <v>74</v>
      </c>
      <c r="L1007" s="2" t="s">
        <v>101</v>
      </c>
    </row>
    <row r="1008" spans="1:12" x14ac:dyDescent="0.3">
      <c r="A1008" s="2">
        <v>997</v>
      </c>
      <c r="B1008" s="2" t="s">
        <v>2840</v>
      </c>
      <c r="C1008" s="2" t="s">
        <v>3350</v>
      </c>
      <c r="D1008" s="2" t="s">
        <v>28</v>
      </c>
      <c r="E1008" s="2" t="s">
        <v>29</v>
      </c>
      <c r="F1008" s="2">
        <v>90</v>
      </c>
      <c r="G1008" s="2" t="s">
        <v>3349</v>
      </c>
      <c r="H1008" s="2" t="s">
        <v>3351</v>
      </c>
      <c r="I1008" s="2" t="s">
        <v>32</v>
      </c>
      <c r="J1008" s="3">
        <v>44174</v>
      </c>
      <c r="K1008" s="2">
        <v>44</v>
      </c>
      <c r="L1008" s="2" t="s">
        <v>45</v>
      </c>
    </row>
    <row r="1009" spans="1:12" x14ac:dyDescent="0.3">
      <c r="A1009" s="2">
        <v>998</v>
      </c>
      <c r="B1009" s="2" t="s">
        <v>1225</v>
      </c>
      <c r="C1009" s="2" t="s">
        <v>3352</v>
      </c>
      <c r="D1009" s="2" t="s">
        <v>28</v>
      </c>
      <c r="E1009" s="2" t="s">
        <v>29</v>
      </c>
      <c r="F1009" s="2">
        <v>30</v>
      </c>
      <c r="G1009" s="2" t="s">
        <v>3353</v>
      </c>
      <c r="H1009" s="2" t="s">
        <v>3161</v>
      </c>
      <c r="I1009" s="2" t="s">
        <v>32</v>
      </c>
      <c r="J1009" s="3">
        <v>44817</v>
      </c>
      <c r="K1009" s="2">
        <v>28</v>
      </c>
      <c r="L1009" s="2" t="s">
        <v>20</v>
      </c>
    </row>
    <row r="1010" spans="1:12" x14ac:dyDescent="0.3">
      <c r="A1010" s="2">
        <v>999</v>
      </c>
      <c r="B1010" s="2" t="s">
        <v>3117</v>
      </c>
      <c r="C1010" s="2" t="s">
        <v>3354</v>
      </c>
      <c r="D1010" s="2" t="s">
        <v>28</v>
      </c>
      <c r="E1010" s="2" t="s">
        <v>29</v>
      </c>
      <c r="F1010" s="2">
        <v>90</v>
      </c>
      <c r="G1010" s="2" t="s">
        <v>3355</v>
      </c>
      <c r="H1010" s="2" t="s">
        <v>3356</v>
      </c>
      <c r="I1010" s="2" t="s">
        <v>32</v>
      </c>
      <c r="J1010" s="3">
        <v>44063</v>
      </c>
      <c r="K1010" s="2">
        <v>78</v>
      </c>
      <c r="L1010" s="2" t="s">
        <v>39</v>
      </c>
    </row>
    <row r="1011" spans="1:12" x14ac:dyDescent="0.3">
      <c r="A1011" s="2">
        <v>1000</v>
      </c>
      <c r="B1011" s="2" t="s">
        <v>2556</v>
      </c>
      <c r="C1011" s="2" t="s">
        <v>3357</v>
      </c>
      <c r="D1011" s="2" t="s">
        <v>28</v>
      </c>
      <c r="E1011" s="2" t="s">
        <v>29</v>
      </c>
      <c r="F1011" s="2">
        <v>30</v>
      </c>
      <c r="G1011" s="2" t="s">
        <v>3358</v>
      </c>
      <c r="H1011" s="2" t="s">
        <v>3024</v>
      </c>
      <c r="I1011" s="2" t="s">
        <v>32</v>
      </c>
      <c r="J1011" s="3">
        <v>44012</v>
      </c>
      <c r="K1011" s="2">
        <v>80</v>
      </c>
      <c r="L1011" s="2" t="s">
        <v>70</v>
      </c>
    </row>
    <row r="1012" spans="1:12" x14ac:dyDescent="0.3">
      <c r="A1012" s="2">
        <v>1001</v>
      </c>
      <c r="B1012" s="2" t="s">
        <v>2540</v>
      </c>
      <c r="C1012" s="2" t="s">
        <v>3359</v>
      </c>
      <c r="D1012" s="2" t="s">
        <v>28</v>
      </c>
      <c r="E1012" s="2" t="s">
        <v>29</v>
      </c>
      <c r="F1012" s="2">
        <v>90</v>
      </c>
      <c r="G1012" s="2" t="s">
        <v>3360</v>
      </c>
      <c r="H1012" s="2" t="s">
        <v>3361</v>
      </c>
      <c r="I1012" s="2" t="s">
        <v>95</v>
      </c>
      <c r="J1012" s="3">
        <v>44769</v>
      </c>
      <c r="K1012" s="2">
        <v>74</v>
      </c>
      <c r="L1012" s="2" t="s">
        <v>80</v>
      </c>
    </row>
    <row r="1013" spans="1:12" x14ac:dyDescent="0.3">
      <c r="A1013" s="2">
        <v>1002</v>
      </c>
      <c r="B1013" s="2" t="s">
        <v>3362</v>
      </c>
      <c r="C1013" s="2" t="s">
        <v>3363</v>
      </c>
      <c r="D1013" s="2" t="s">
        <v>28</v>
      </c>
      <c r="E1013" s="2" t="s">
        <v>29</v>
      </c>
      <c r="F1013" s="2">
        <v>60</v>
      </c>
      <c r="G1013" s="2" t="s">
        <v>3364</v>
      </c>
      <c r="H1013" s="2" t="s">
        <v>3365</v>
      </c>
      <c r="I1013" s="2" t="s">
        <v>146</v>
      </c>
      <c r="J1013" s="3">
        <v>44738</v>
      </c>
      <c r="K1013" s="2">
        <v>62</v>
      </c>
      <c r="L1013" s="2" t="s">
        <v>54</v>
      </c>
    </row>
    <row r="1014" spans="1:12" x14ac:dyDescent="0.3">
      <c r="A1014" s="2">
        <v>1003</v>
      </c>
      <c r="B1014" s="2" t="s">
        <v>3366</v>
      </c>
      <c r="C1014" s="2" t="s">
        <v>783</v>
      </c>
      <c r="D1014" s="2" t="s">
        <v>621</v>
      </c>
      <c r="E1014" s="2" t="s">
        <v>29</v>
      </c>
      <c r="F1014" s="2">
        <v>30</v>
      </c>
      <c r="G1014" s="2" t="s">
        <v>3367</v>
      </c>
      <c r="H1014" s="2" t="s">
        <v>139</v>
      </c>
      <c r="I1014" s="2" t="s">
        <v>2593</v>
      </c>
      <c r="J1014" s="3">
        <v>44513</v>
      </c>
      <c r="K1014" s="2">
        <v>55</v>
      </c>
      <c r="L1014" s="2" t="s">
        <v>45</v>
      </c>
    </row>
    <row r="1015" spans="1:12" x14ac:dyDescent="0.3">
      <c r="A1015" s="2">
        <v>1004</v>
      </c>
      <c r="B1015" s="2" t="s">
        <v>3368</v>
      </c>
      <c r="C1015" s="2" t="s">
        <v>3369</v>
      </c>
      <c r="D1015" s="2" t="s">
        <v>51</v>
      </c>
      <c r="E1015" s="2" t="s">
        <v>16</v>
      </c>
      <c r="F1015" s="2">
        <v>90</v>
      </c>
      <c r="G1015" s="2" t="s">
        <v>3367</v>
      </c>
      <c r="H1015" s="2" t="s">
        <v>2516</v>
      </c>
      <c r="I1015" s="2" t="s">
        <v>32</v>
      </c>
      <c r="J1015" s="3">
        <v>44526</v>
      </c>
      <c r="K1015" s="2">
        <v>20</v>
      </c>
      <c r="L1015" s="2" t="s">
        <v>80</v>
      </c>
    </row>
    <row r="1016" spans="1:12" x14ac:dyDescent="0.3">
      <c r="A1016" s="2">
        <v>1005</v>
      </c>
      <c r="B1016" s="2" t="s">
        <v>3370</v>
      </c>
      <c r="C1016" s="2" t="s">
        <v>3371</v>
      </c>
      <c r="D1016" s="2" t="s">
        <v>28</v>
      </c>
      <c r="E1016" s="2" t="s">
        <v>29</v>
      </c>
      <c r="F1016" s="2">
        <v>60</v>
      </c>
      <c r="G1016" s="2" t="s">
        <v>3372</v>
      </c>
      <c r="H1016" s="2" t="s">
        <v>3373</v>
      </c>
      <c r="I1016" s="2" t="s">
        <v>32</v>
      </c>
      <c r="J1016" s="3">
        <v>44221</v>
      </c>
      <c r="K1016" s="2">
        <v>92</v>
      </c>
      <c r="L1016" s="2" t="s">
        <v>39</v>
      </c>
    </row>
    <row r="1017" spans="1:12" x14ac:dyDescent="0.3">
      <c r="A1017" s="2">
        <v>1006</v>
      </c>
      <c r="B1017" s="2" t="s">
        <v>3374</v>
      </c>
      <c r="C1017" s="2" t="s">
        <v>3375</v>
      </c>
      <c r="D1017" s="2" t="s">
        <v>15</v>
      </c>
      <c r="E1017" s="2" t="s">
        <v>16</v>
      </c>
      <c r="F1017" s="2">
        <v>60</v>
      </c>
      <c r="G1017" s="2" t="s">
        <v>3376</v>
      </c>
      <c r="H1017" s="2" t="s">
        <v>3377</v>
      </c>
      <c r="I1017" s="2" t="s">
        <v>32</v>
      </c>
      <c r="J1017" s="3">
        <v>44703</v>
      </c>
      <c r="K1017" s="2">
        <v>58</v>
      </c>
      <c r="L1017" s="2" t="s">
        <v>45</v>
      </c>
    </row>
    <row r="1018" spans="1:12" x14ac:dyDescent="0.3">
      <c r="A1018" s="2">
        <v>1007</v>
      </c>
      <c r="B1018" s="2" t="s">
        <v>3378</v>
      </c>
      <c r="C1018" s="2" t="s">
        <v>3379</v>
      </c>
      <c r="D1018" s="2" t="s">
        <v>51</v>
      </c>
      <c r="E1018" s="2" t="s">
        <v>16</v>
      </c>
      <c r="F1018" s="2">
        <v>90</v>
      </c>
      <c r="G1018" s="2" t="s">
        <v>3380</v>
      </c>
      <c r="H1018" s="2" t="s">
        <v>1347</v>
      </c>
      <c r="I1018" s="2" t="s">
        <v>32</v>
      </c>
      <c r="J1018" s="3">
        <v>44827</v>
      </c>
      <c r="K1018" s="2">
        <v>51</v>
      </c>
      <c r="L1018" s="2" t="s">
        <v>39</v>
      </c>
    </row>
    <row r="1019" spans="1:12" x14ac:dyDescent="0.3">
      <c r="A1019" s="2">
        <v>1008</v>
      </c>
      <c r="B1019" s="2" t="s">
        <v>3381</v>
      </c>
      <c r="C1019" s="2" t="s">
        <v>3382</v>
      </c>
      <c r="D1019" s="2" t="s">
        <v>51</v>
      </c>
      <c r="E1019" s="2" t="s">
        <v>16</v>
      </c>
      <c r="F1019" s="2">
        <v>90</v>
      </c>
      <c r="G1019" s="2" t="s">
        <v>3383</v>
      </c>
      <c r="H1019" s="2" t="s">
        <v>3384</v>
      </c>
      <c r="I1019" s="2" t="s">
        <v>32</v>
      </c>
      <c r="J1019" s="3">
        <v>44549</v>
      </c>
      <c r="K1019" s="2">
        <v>31</v>
      </c>
      <c r="L1019" s="2" t="s">
        <v>20</v>
      </c>
    </row>
    <row r="1020" spans="1:12" x14ac:dyDescent="0.3">
      <c r="A1020" s="2">
        <v>1009</v>
      </c>
      <c r="B1020" s="2" t="s">
        <v>460</v>
      </c>
      <c r="C1020" s="2" t="s">
        <v>3385</v>
      </c>
      <c r="D1020" s="2" t="s">
        <v>28</v>
      </c>
      <c r="E1020" s="2" t="s">
        <v>29</v>
      </c>
      <c r="F1020" s="2">
        <v>60</v>
      </c>
      <c r="G1020" s="2" t="s">
        <v>3386</v>
      </c>
      <c r="H1020" s="2" t="s">
        <v>3387</v>
      </c>
      <c r="I1020" s="2" t="s">
        <v>2878</v>
      </c>
      <c r="J1020" s="3">
        <v>44783</v>
      </c>
      <c r="K1020" s="2">
        <v>12</v>
      </c>
      <c r="L1020" s="2" t="s">
        <v>70</v>
      </c>
    </row>
    <row r="1021" spans="1:12" x14ac:dyDescent="0.3">
      <c r="A1021" s="2">
        <v>1010</v>
      </c>
      <c r="B1021" s="2" t="s">
        <v>3388</v>
      </c>
      <c r="C1021" s="2" t="s">
        <v>3389</v>
      </c>
      <c r="D1021" s="2" t="s">
        <v>51</v>
      </c>
      <c r="E1021" s="2" t="s">
        <v>16</v>
      </c>
      <c r="F1021" s="2">
        <v>60</v>
      </c>
      <c r="G1021" s="2" t="s">
        <v>3390</v>
      </c>
      <c r="H1021" s="2" t="s">
        <v>3391</v>
      </c>
      <c r="I1021" s="2" t="s">
        <v>3392</v>
      </c>
      <c r="J1021" s="3">
        <v>44720</v>
      </c>
      <c r="K1021" s="2">
        <v>65</v>
      </c>
      <c r="L1021" s="2" t="s">
        <v>54</v>
      </c>
    </row>
    <row r="1022" spans="1:12" x14ac:dyDescent="0.3">
      <c r="A1022" s="2">
        <v>1011</v>
      </c>
      <c r="B1022" s="2" t="s">
        <v>3393</v>
      </c>
      <c r="C1022" s="2" t="s">
        <v>3394</v>
      </c>
      <c r="D1022" s="2" t="s">
        <v>51</v>
      </c>
      <c r="E1022" s="2" t="s">
        <v>16</v>
      </c>
      <c r="F1022" s="2">
        <v>30</v>
      </c>
      <c r="G1022" s="2" t="s">
        <v>3395</v>
      </c>
      <c r="H1022" s="2" t="s">
        <v>3396</v>
      </c>
      <c r="I1022" s="2" t="s">
        <v>32</v>
      </c>
      <c r="J1022" s="3">
        <v>44740</v>
      </c>
      <c r="K1022" s="2">
        <v>96</v>
      </c>
      <c r="L1022" s="2" t="s">
        <v>39</v>
      </c>
    </row>
    <row r="1023" spans="1:12" x14ac:dyDescent="0.3">
      <c r="A1023" s="2">
        <v>1012</v>
      </c>
      <c r="B1023" s="2" t="s">
        <v>3397</v>
      </c>
      <c r="C1023" s="2" t="s">
        <v>406</v>
      </c>
      <c r="D1023" s="2" t="s">
        <v>28</v>
      </c>
      <c r="E1023" s="2" t="s">
        <v>29</v>
      </c>
      <c r="F1023" s="2">
        <v>90</v>
      </c>
      <c r="G1023" s="2" t="s">
        <v>3398</v>
      </c>
      <c r="H1023" s="2" t="s">
        <v>3399</v>
      </c>
      <c r="I1023" s="2" t="s">
        <v>124</v>
      </c>
      <c r="J1023" s="3">
        <v>44304</v>
      </c>
      <c r="K1023" s="2">
        <v>32</v>
      </c>
      <c r="L1023" s="2" t="s">
        <v>33</v>
      </c>
    </row>
    <row r="1024" spans="1:12" x14ac:dyDescent="0.3">
      <c r="A1024" s="2">
        <v>1013</v>
      </c>
      <c r="B1024" s="2" t="s">
        <v>3400</v>
      </c>
      <c r="C1024" s="2" t="s">
        <v>1226</v>
      </c>
      <c r="D1024" s="2" t="s">
        <v>51</v>
      </c>
      <c r="E1024" s="2" t="s">
        <v>16</v>
      </c>
      <c r="F1024" s="2">
        <v>90</v>
      </c>
      <c r="G1024" s="2" t="s">
        <v>3401</v>
      </c>
      <c r="H1024" s="2" t="s">
        <v>3402</v>
      </c>
      <c r="I1024" s="2" t="s">
        <v>32</v>
      </c>
      <c r="J1024" s="3">
        <v>43902</v>
      </c>
      <c r="K1024" s="2">
        <v>47</v>
      </c>
      <c r="L1024" s="2" t="s">
        <v>54</v>
      </c>
    </row>
    <row r="1025" spans="1:12" x14ac:dyDescent="0.3">
      <c r="A1025" s="2">
        <v>1014</v>
      </c>
      <c r="B1025" s="2" t="s">
        <v>3403</v>
      </c>
      <c r="C1025" s="2" t="s">
        <v>3014</v>
      </c>
      <c r="D1025" s="2" t="s">
        <v>51</v>
      </c>
      <c r="E1025" s="2" t="s">
        <v>16</v>
      </c>
      <c r="F1025" s="2">
        <v>60</v>
      </c>
      <c r="G1025" s="2" t="s">
        <v>3404</v>
      </c>
      <c r="H1025" s="2" t="s">
        <v>3405</v>
      </c>
      <c r="I1025" s="2" t="s">
        <v>32</v>
      </c>
      <c r="J1025" s="3">
        <v>44221</v>
      </c>
      <c r="K1025" s="2">
        <v>59</v>
      </c>
      <c r="L1025" s="2" t="s">
        <v>20</v>
      </c>
    </row>
    <row r="1026" spans="1:12" x14ac:dyDescent="0.3">
      <c r="A1026" s="2">
        <v>1015</v>
      </c>
      <c r="B1026" s="2" t="s">
        <v>3406</v>
      </c>
      <c r="C1026" s="2" t="s">
        <v>3407</v>
      </c>
      <c r="D1026" s="2" t="s">
        <v>51</v>
      </c>
      <c r="E1026" s="2" t="s">
        <v>16</v>
      </c>
      <c r="F1026" s="2">
        <v>60</v>
      </c>
      <c r="G1026" s="2" t="s">
        <v>3408</v>
      </c>
      <c r="H1026" s="2" t="s">
        <v>3409</v>
      </c>
      <c r="I1026" s="2" t="s">
        <v>95</v>
      </c>
      <c r="J1026" s="3">
        <v>44581</v>
      </c>
      <c r="K1026" s="2">
        <v>74</v>
      </c>
      <c r="L1026" s="2" t="s">
        <v>64</v>
      </c>
    </row>
    <row r="1027" spans="1:12" x14ac:dyDescent="0.3">
      <c r="A1027" s="2">
        <v>1016</v>
      </c>
      <c r="B1027" s="2" t="s">
        <v>3410</v>
      </c>
      <c r="C1027" s="2" t="s">
        <v>2751</v>
      </c>
      <c r="D1027" s="2" t="s">
        <v>28</v>
      </c>
      <c r="E1027" s="2" t="s">
        <v>29</v>
      </c>
      <c r="F1027" s="2">
        <v>30</v>
      </c>
      <c r="G1027" s="2" t="s">
        <v>3408</v>
      </c>
      <c r="H1027" s="2" t="s">
        <v>412</v>
      </c>
      <c r="I1027" s="2" t="s">
        <v>187</v>
      </c>
      <c r="J1027" s="3">
        <v>44498</v>
      </c>
      <c r="K1027" s="2">
        <v>11</v>
      </c>
      <c r="L1027" s="2" t="s">
        <v>45</v>
      </c>
    </row>
    <row r="1028" spans="1:12" x14ac:dyDescent="0.3">
      <c r="A1028" s="2">
        <v>1017</v>
      </c>
      <c r="B1028" s="2" t="s">
        <v>2234</v>
      </c>
      <c r="C1028" s="2" t="s">
        <v>3120</v>
      </c>
      <c r="D1028" s="2" t="s">
        <v>15</v>
      </c>
      <c r="E1028" s="2" t="s">
        <v>16</v>
      </c>
      <c r="F1028" s="2">
        <v>30</v>
      </c>
      <c r="G1028" s="2" t="s">
        <v>3411</v>
      </c>
      <c r="H1028" s="2" t="s">
        <v>522</v>
      </c>
      <c r="I1028" s="2" t="s">
        <v>32</v>
      </c>
      <c r="J1028" s="3">
        <v>43996</v>
      </c>
      <c r="K1028" s="2">
        <v>26</v>
      </c>
      <c r="L1028" s="2" t="s">
        <v>80</v>
      </c>
    </row>
    <row r="1029" spans="1:12" x14ac:dyDescent="0.3">
      <c r="A1029" s="2">
        <v>1018</v>
      </c>
      <c r="B1029" s="2" t="s">
        <v>3415</v>
      </c>
      <c r="C1029" s="2" t="s">
        <v>3416</v>
      </c>
      <c r="D1029" s="2" t="s">
        <v>15</v>
      </c>
      <c r="E1029" s="2" t="s">
        <v>16</v>
      </c>
      <c r="F1029" s="2">
        <v>60</v>
      </c>
      <c r="G1029" s="2" t="s">
        <v>3417</v>
      </c>
      <c r="H1029" s="2" t="s">
        <v>3418</v>
      </c>
      <c r="I1029" s="2" t="s">
        <v>32</v>
      </c>
      <c r="J1029" s="3">
        <v>44789</v>
      </c>
      <c r="K1029" s="2">
        <v>65</v>
      </c>
      <c r="L1029" s="2" t="s">
        <v>54</v>
      </c>
    </row>
    <row r="1030" spans="1:12" x14ac:dyDescent="0.3">
      <c r="A1030" s="2">
        <v>1019</v>
      </c>
      <c r="B1030" s="2" t="s">
        <v>2424</v>
      </c>
      <c r="C1030" s="2" t="s">
        <v>3419</v>
      </c>
      <c r="D1030" s="2" t="s">
        <v>28</v>
      </c>
      <c r="E1030" s="2" t="s">
        <v>29</v>
      </c>
      <c r="F1030" s="2">
        <v>30</v>
      </c>
      <c r="G1030" s="2" t="s">
        <v>3420</v>
      </c>
      <c r="H1030" s="2" t="s">
        <v>3421</v>
      </c>
      <c r="I1030" s="2" t="s">
        <v>25</v>
      </c>
      <c r="J1030" s="3">
        <v>44835</v>
      </c>
      <c r="K1030" s="2">
        <v>78</v>
      </c>
      <c r="L1030" s="2" t="s">
        <v>20</v>
      </c>
    </row>
    <row r="1031" spans="1:12" x14ac:dyDescent="0.3">
      <c r="A1031" s="2">
        <v>1020</v>
      </c>
      <c r="B1031" s="2" t="s">
        <v>2941</v>
      </c>
      <c r="C1031" s="2" t="s">
        <v>3422</v>
      </c>
      <c r="D1031" s="2" t="s">
        <v>28</v>
      </c>
      <c r="E1031" s="2" t="s">
        <v>29</v>
      </c>
      <c r="F1031" s="2">
        <v>30</v>
      </c>
      <c r="G1031" s="2" t="s">
        <v>3423</v>
      </c>
      <c r="H1031" s="2" t="s">
        <v>3424</v>
      </c>
      <c r="I1031" s="2" t="s">
        <v>32</v>
      </c>
      <c r="J1031" s="3">
        <v>44120</v>
      </c>
      <c r="K1031" s="2">
        <v>63</v>
      </c>
      <c r="L1031" s="2" t="s">
        <v>54</v>
      </c>
    </row>
    <row r="1032" spans="1:12" x14ac:dyDescent="0.3">
      <c r="A1032" s="2">
        <v>1021</v>
      </c>
      <c r="B1032" s="2" t="s">
        <v>3425</v>
      </c>
      <c r="C1032" s="2" t="s">
        <v>3426</v>
      </c>
      <c r="D1032" s="2" t="s">
        <v>15</v>
      </c>
      <c r="E1032" s="2" t="s">
        <v>16</v>
      </c>
      <c r="F1032" s="2">
        <v>30</v>
      </c>
      <c r="G1032" s="2" t="s">
        <v>3427</v>
      </c>
      <c r="H1032" s="2" t="s">
        <v>3428</v>
      </c>
      <c r="I1032" s="2" t="s">
        <v>38</v>
      </c>
      <c r="J1032" s="3">
        <v>44784</v>
      </c>
      <c r="K1032" s="2">
        <v>100</v>
      </c>
      <c r="L1032" s="2" t="s">
        <v>39</v>
      </c>
    </row>
    <row r="1033" spans="1:12" x14ac:dyDescent="0.3">
      <c r="A1033" s="2">
        <v>1022</v>
      </c>
      <c r="B1033" s="2" t="s">
        <v>3429</v>
      </c>
      <c r="C1033" s="2" t="s">
        <v>3430</v>
      </c>
      <c r="D1033" s="2" t="s">
        <v>28</v>
      </c>
      <c r="E1033" s="2" t="s">
        <v>29</v>
      </c>
      <c r="F1033" s="2">
        <v>30</v>
      </c>
      <c r="G1033" s="2" t="s">
        <v>3431</v>
      </c>
      <c r="H1033" s="2" t="s">
        <v>2681</v>
      </c>
      <c r="I1033" s="2" t="s">
        <v>686</v>
      </c>
      <c r="J1033" s="3">
        <v>43955</v>
      </c>
      <c r="K1033" s="2">
        <v>5</v>
      </c>
      <c r="L1033" s="2" t="s">
        <v>20</v>
      </c>
    </row>
    <row r="1034" spans="1:12" x14ac:dyDescent="0.3">
      <c r="A1034" s="2">
        <v>1023</v>
      </c>
      <c r="B1034" s="2" t="s">
        <v>1677</v>
      </c>
      <c r="C1034" s="2" t="s">
        <v>1222</v>
      </c>
      <c r="D1034" s="2" t="s">
        <v>28</v>
      </c>
      <c r="E1034" s="2" t="s">
        <v>29</v>
      </c>
      <c r="F1034" s="2">
        <v>90</v>
      </c>
      <c r="G1034" s="2" t="s">
        <v>3432</v>
      </c>
      <c r="H1034" s="2" t="s">
        <v>3433</v>
      </c>
      <c r="I1034" s="2" t="s">
        <v>1199</v>
      </c>
      <c r="J1034" s="3">
        <v>44098</v>
      </c>
      <c r="K1034" s="2">
        <v>18</v>
      </c>
      <c r="L1034" s="2" t="s">
        <v>159</v>
      </c>
    </row>
    <row r="1035" spans="1:12" x14ac:dyDescent="0.3">
      <c r="A1035" s="2">
        <v>1024</v>
      </c>
      <c r="B1035" s="2" t="s">
        <v>3434</v>
      </c>
      <c r="C1035" s="2" t="s">
        <v>3435</v>
      </c>
      <c r="D1035" s="2" t="s">
        <v>51</v>
      </c>
      <c r="E1035" s="2" t="s">
        <v>16</v>
      </c>
      <c r="F1035" s="2">
        <v>60</v>
      </c>
      <c r="G1035" s="2" t="s">
        <v>3436</v>
      </c>
      <c r="H1035" s="2" t="s">
        <v>3437</v>
      </c>
      <c r="I1035" s="2" t="s">
        <v>100</v>
      </c>
      <c r="J1035" s="3">
        <v>44397</v>
      </c>
      <c r="K1035" s="2">
        <v>17</v>
      </c>
      <c r="L1035" s="2" t="s">
        <v>54</v>
      </c>
    </row>
    <row r="1036" spans="1:12" x14ac:dyDescent="0.3">
      <c r="A1036" s="2">
        <v>1025</v>
      </c>
      <c r="B1036" s="2" t="s">
        <v>3438</v>
      </c>
      <c r="C1036" s="2" t="s">
        <v>3439</v>
      </c>
      <c r="D1036" s="2" t="s">
        <v>28</v>
      </c>
      <c r="E1036" s="2" t="s">
        <v>29</v>
      </c>
      <c r="F1036" s="2">
        <v>30</v>
      </c>
      <c r="G1036" s="2" t="s">
        <v>3440</v>
      </c>
      <c r="H1036" s="2" t="s">
        <v>2629</v>
      </c>
      <c r="I1036" s="2" t="s">
        <v>95</v>
      </c>
      <c r="J1036" s="3">
        <v>44775</v>
      </c>
      <c r="K1036" s="2">
        <v>7</v>
      </c>
      <c r="L1036" s="2" t="s">
        <v>64</v>
      </c>
    </row>
    <row r="1037" spans="1:12" x14ac:dyDescent="0.3">
      <c r="A1037" s="2">
        <v>1026</v>
      </c>
      <c r="B1037" s="2" t="s">
        <v>3441</v>
      </c>
      <c r="C1037" s="2" t="s">
        <v>2174</v>
      </c>
      <c r="D1037" s="2" t="s">
        <v>28</v>
      </c>
      <c r="E1037" s="2" t="s">
        <v>29</v>
      </c>
      <c r="F1037" s="2">
        <v>30</v>
      </c>
      <c r="G1037" s="2" t="s">
        <v>3442</v>
      </c>
      <c r="H1037" s="2" t="s">
        <v>2218</v>
      </c>
      <c r="I1037" s="2" t="s">
        <v>173</v>
      </c>
      <c r="J1037" s="3">
        <v>44139</v>
      </c>
      <c r="K1037" s="2">
        <v>15</v>
      </c>
      <c r="L1037" s="2" t="s">
        <v>20</v>
      </c>
    </row>
    <row r="1038" spans="1:12" x14ac:dyDescent="0.3">
      <c r="A1038" s="2">
        <v>1027</v>
      </c>
      <c r="B1038" s="2" t="s">
        <v>3443</v>
      </c>
      <c r="C1038" s="2" t="s">
        <v>3444</v>
      </c>
      <c r="D1038" s="2" t="s">
        <v>28</v>
      </c>
      <c r="E1038" s="2" t="s">
        <v>29</v>
      </c>
      <c r="F1038" s="2">
        <v>30</v>
      </c>
      <c r="G1038" s="2" t="s">
        <v>3445</v>
      </c>
      <c r="H1038" s="2" t="s">
        <v>3446</v>
      </c>
      <c r="I1038" s="2" t="s">
        <v>32</v>
      </c>
      <c r="J1038" s="3">
        <v>44378</v>
      </c>
      <c r="K1038" s="2">
        <v>13</v>
      </c>
      <c r="L1038" s="2" t="s">
        <v>64</v>
      </c>
    </row>
    <row r="1039" spans="1:12" x14ac:dyDescent="0.3">
      <c r="A1039" s="2">
        <v>1028</v>
      </c>
      <c r="B1039" s="2" t="s">
        <v>1657</v>
      </c>
      <c r="C1039" s="2" t="s">
        <v>3447</v>
      </c>
      <c r="D1039" s="2" t="s">
        <v>28</v>
      </c>
      <c r="E1039" s="2" t="s">
        <v>29</v>
      </c>
      <c r="F1039" s="2">
        <v>90</v>
      </c>
      <c r="G1039" s="2" t="s">
        <v>3448</v>
      </c>
      <c r="H1039" s="2" t="s">
        <v>3449</v>
      </c>
      <c r="I1039" s="2" t="s">
        <v>187</v>
      </c>
      <c r="J1039" s="3">
        <v>44287</v>
      </c>
      <c r="K1039" s="2">
        <v>66</v>
      </c>
      <c r="L1039" s="2" t="s">
        <v>64</v>
      </c>
    </row>
    <row r="1040" spans="1:12" x14ac:dyDescent="0.3">
      <c r="A1040" s="2">
        <v>1029</v>
      </c>
      <c r="B1040" s="2" t="s">
        <v>3450</v>
      </c>
      <c r="C1040" s="2" t="s">
        <v>2254</v>
      </c>
      <c r="D1040" s="2" t="s">
        <v>51</v>
      </c>
      <c r="E1040" s="2" t="s">
        <v>16</v>
      </c>
      <c r="F1040" s="2">
        <v>60</v>
      </c>
      <c r="G1040" s="2" t="s">
        <v>3448</v>
      </c>
      <c r="H1040" s="2" t="s">
        <v>3134</v>
      </c>
      <c r="I1040" s="2" t="s">
        <v>294</v>
      </c>
      <c r="J1040" s="3">
        <v>44536</v>
      </c>
      <c r="K1040" s="2">
        <v>5</v>
      </c>
      <c r="L1040" s="2" t="s">
        <v>45</v>
      </c>
    </row>
    <row r="1041" spans="1:12" x14ac:dyDescent="0.3">
      <c r="A1041" s="2">
        <v>1030</v>
      </c>
      <c r="B1041" s="2" t="s">
        <v>3451</v>
      </c>
      <c r="C1041" s="2" t="s">
        <v>492</v>
      </c>
      <c r="D1041" s="2" t="s">
        <v>51</v>
      </c>
      <c r="E1041" s="2" t="s">
        <v>16</v>
      </c>
      <c r="F1041" s="2">
        <v>60</v>
      </c>
      <c r="G1041" s="2" t="s">
        <v>3452</v>
      </c>
      <c r="H1041" s="2" t="s">
        <v>579</v>
      </c>
      <c r="I1041" s="2" t="s">
        <v>32</v>
      </c>
      <c r="J1041" s="3">
        <v>44683</v>
      </c>
      <c r="K1041" s="2">
        <v>105</v>
      </c>
      <c r="L1041" s="2" t="s">
        <v>64</v>
      </c>
    </row>
    <row r="1042" spans="1:12" x14ac:dyDescent="0.3">
      <c r="A1042" s="2">
        <v>1031</v>
      </c>
      <c r="B1042" s="2" t="s">
        <v>3453</v>
      </c>
      <c r="C1042" s="2" t="s">
        <v>3454</v>
      </c>
      <c r="D1042" s="2" t="s">
        <v>15</v>
      </c>
      <c r="E1042" s="2" t="s">
        <v>16</v>
      </c>
      <c r="F1042" s="2">
        <v>90</v>
      </c>
      <c r="G1042" s="2" t="s">
        <v>3455</v>
      </c>
      <c r="H1042" s="2" t="s">
        <v>1660</v>
      </c>
      <c r="I1042" s="2" t="s">
        <v>32</v>
      </c>
      <c r="J1042" s="3">
        <v>44233</v>
      </c>
      <c r="K1042" s="2">
        <v>22</v>
      </c>
      <c r="L1042" s="2" t="s">
        <v>20</v>
      </c>
    </row>
    <row r="1043" spans="1:12" x14ac:dyDescent="0.3">
      <c r="A1043" s="2">
        <v>1032</v>
      </c>
      <c r="B1043" s="2" t="s">
        <v>3456</v>
      </c>
      <c r="C1043" s="2" t="s">
        <v>3457</v>
      </c>
      <c r="D1043" s="2" t="s">
        <v>51</v>
      </c>
      <c r="E1043" s="2" t="s">
        <v>16</v>
      </c>
      <c r="F1043" s="2">
        <v>90</v>
      </c>
      <c r="G1043" s="2" t="s">
        <v>10480</v>
      </c>
      <c r="H1043" s="2" t="s">
        <v>3459</v>
      </c>
      <c r="I1043" s="2" t="s">
        <v>178</v>
      </c>
      <c r="J1043" s="3">
        <v>43989</v>
      </c>
      <c r="K1043" s="2">
        <v>78</v>
      </c>
      <c r="L1043" s="2" t="s">
        <v>64</v>
      </c>
    </row>
    <row r="1044" spans="1:12" x14ac:dyDescent="0.3">
      <c r="A1044" s="2">
        <v>1033</v>
      </c>
      <c r="B1044" s="2" t="s">
        <v>3460</v>
      </c>
      <c r="C1044" s="2" t="s">
        <v>1685</v>
      </c>
      <c r="D1044" s="2" t="s">
        <v>28</v>
      </c>
      <c r="E1044" s="2" t="s">
        <v>29</v>
      </c>
      <c r="F1044" s="2">
        <v>30</v>
      </c>
      <c r="G1044" s="2" t="s">
        <v>3461</v>
      </c>
      <c r="H1044" s="2" t="s">
        <v>3462</v>
      </c>
      <c r="I1044" s="2" t="s">
        <v>32</v>
      </c>
      <c r="J1044" s="3">
        <v>44782</v>
      </c>
      <c r="K1044" s="2">
        <v>63</v>
      </c>
      <c r="L1044" s="2" t="s">
        <v>20</v>
      </c>
    </row>
    <row r="1045" spans="1:12" x14ac:dyDescent="0.3">
      <c r="A1045" s="2">
        <v>1034</v>
      </c>
      <c r="B1045" s="2" t="s">
        <v>3463</v>
      </c>
      <c r="C1045" s="2" t="s">
        <v>3464</v>
      </c>
      <c r="D1045" s="2" t="s">
        <v>28</v>
      </c>
      <c r="E1045" s="2" t="s">
        <v>29</v>
      </c>
      <c r="F1045" s="2">
        <v>30</v>
      </c>
      <c r="G1045" s="2" t="s">
        <v>3465</v>
      </c>
      <c r="H1045" s="2" t="s">
        <v>3466</v>
      </c>
      <c r="I1045" s="2" t="s">
        <v>32</v>
      </c>
      <c r="J1045" s="3">
        <v>44550</v>
      </c>
      <c r="K1045" s="2">
        <v>83</v>
      </c>
      <c r="L1045" s="2" t="s">
        <v>101</v>
      </c>
    </row>
    <row r="1046" spans="1:12" x14ac:dyDescent="0.3">
      <c r="A1046" s="2">
        <v>1035</v>
      </c>
      <c r="B1046" s="2" t="s">
        <v>909</v>
      </c>
      <c r="C1046" s="2" t="s">
        <v>3467</v>
      </c>
      <c r="D1046" s="2" t="s">
        <v>15</v>
      </c>
      <c r="E1046" s="2" t="s">
        <v>16</v>
      </c>
      <c r="F1046" s="2">
        <v>30</v>
      </c>
      <c r="G1046" s="2" t="s">
        <v>3468</v>
      </c>
      <c r="H1046" s="2" t="s">
        <v>2117</v>
      </c>
      <c r="I1046" s="2" t="s">
        <v>886</v>
      </c>
      <c r="J1046" s="3">
        <v>44743</v>
      </c>
      <c r="K1046" s="2">
        <v>42</v>
      </c>
      <c r="L1046" s="2" t="s">
        <v>159</v>
      </c>
    </row>
    <row r="1047" spans="1:12" x14ac:dyDescent="0.3">
      <c r="A1047" s="2">
        <v>1036</v>
      </c>
      <c r="B1047" s="2" t="s">
        <v>3469</v>
      </c>
      <c r="C1047" s="2" t="s">
        <v>1132</v>
      </c>
      <c r="D1047" s="2" t="s">
        <v>28</v>
      </c>
      <c r="E1047" s="2" t="s">
        <v>29</v>
      </c>
      <c r="F1047" s="2">
        <v>60</v>
      </c>
      <c r="G1047" s="2" t="s">
        <v>3470</v>
      </c>
      <c r="H1047" s="2" t="s">
        <v>3437</v>
      </c>
      <c r="I1047" s="2" t="s">
        <v>100</v>
      </c>
      <c r="J1047" s="3">
        <v>44248</v>
      </c>
      <c r="K1047" s="2">
        <v>35</v>
      </c>
      <c r="L1047" s="2" t="s">
        <v>54</v>
      </c>
    </row>
    <row r="1048" spans="1:12" x14ac:dyDescent="0.3">
      <c r="A1048" s="2">
        <v>1037</v>
      </c>
      <c r="B1048" s="2" t="s">
        <v>3471</v>
      </c>
      <c r="C1048" s="2" t="s">
        <v>2858</v>
      </c>
      <c r="D1048" s="2" t="s">
        <v>15</v>
      </c>
      <c r="E1048" s="2" t="s">
        <v>16</v>
      </c>
      <c r="F1048" s="2">
        <v>90</v>
      </c>
      <c r="G1048" s="2" t="s">
        <v>3472</v>
      </c>
      <c r="H1048" s="2" t="s">
        <v>3473</v>
      </c>
      <c r="I1048" s="2" t="s">
        <v>1199</v>
      </c>
      <c r="J1048" s="3">
        <v>44016</v>
      </c>
      <c r="K1048" s="2">
        <v>75</v>
      </c>
      <c r="L1048" s="2" t="s">
        <v>159</v>
      </c>
    </row>
    <row r="1049" spans="1:12" x14ac:dyDescent="0.3">
      <c r="A1049" s="2">
        <v>1038</v>
      </c>
      <c r="B1049" s="2" t="s">
        <v>1828</v>
      </c>
      <c r="C1049" s="2" t="s">
        <v>3474</v>
      </c>
      <c r="D1049" s="2" t="s">
        <v>28</v>
      </c>
      <c r="E1049" s="2" t="s">
        <v>29</v>
      </c>
      <c r="F1049" s="2">
        <v>30</v>
      </c>
      <c r="G1049" s="2" t="s">
        <v>3475</v>
      </c>
      <c r="H1049" s="2" t="s">
        <v>966</v>
      </c>
      <c r="I1049" s="2" t="s">
        <v>187</v>
      </c>
      <c r="J1049" s="3">
        <v>43977</v>
      </c>
      <c r="K1049" s="2">
        <v>83</v>
      </c>
      <c r="L1049" s="2" t="s">
        <v>80</v>
      </c>
    </row>
    <row r="1050" spans="1:12" x14ac:dyDescent="0.3">
      <c r="A1050" s="2">
        <v>1039</v>
      </c>
      <c r="B1050" s="2" t="s">
        <v>3476</v>
      </c>
      <c r="C1050" s="2" t="s">
        <v>1714</v>
      </c>
      <c r="D1050" s="2" t="s">
        <v>51</v>
      </c>
      <c r="E1050" s="2" t="s">
        <v>16</v>
      </c>
      <c r="F1050" s="2">
        <v>90</v>
      </c>
      <c r="G1050" s="2" t="s">
        <v>3477</v>
      </c>
      <c r="H1050" s="2" t="s">
        <v>455</v>
      </c>
      <c r="I1050" s="2" t="s">
        <v>187</v>
      </c>
      <c r="J1050" s="3">
        <v>44645</v>
      </c>
      <c r="K1050" s="2">
        <v>25</v>
      </c>
      <c r="L1050" s="2" t="s">
        <v>80</v>
      </c>
    </row>
    <row r="1051" spans="1:12" x14ac:dyDescent="0.3">
      <c r="A1051" s="2">
        <v>1040</v>
      </c>
      <c r="B1051" s="2" t="s">
        <v>3478</v>
      </c>
      <c r="C1051" s="2" t="s">
        <v>3350</v>
      </c>
      <c r="D1051" s="2" t="s">
        <v>28</v>
      </c>
      <c r="E1051" s="2" t="s">
        <v>29</v>
      </c>
      <c r="F1051" s="2">
        <v>90</v>
      </c>
      <c r="G1051" s="2" t="s">
        <v>3479</v>
      </c>
      <c r="H1051" s="2" t="s">
        <v>3480</v>
      </c>
      <c r="I1051" s="2" t="s">
        <v>187</v>
      </c>
      <c r="J1051" s="3">
        <v>44159</v>
      </c>
      <c r="K1051" s="2">
        <v>68</v>
      </c>
      <c r="L1051" s="2" t="s">
        <v>54</v>
      </c>
    </row>
    <row r="1052" spans="1:12" x14ac:dyDescent="0.3">
      <c r="A1052" s="2">
        <v>1041</v>
      </c>
      <c r="B1052" s="2" t="s">
        <v>390</v>
      </c>
      <c r="C1052" s="2" t="s">
        <v>2181</v>
      </c>
      <c r="D1052" s="2" t="s">
        <v>28</v>
      </c>
      <c r="E1052" s="2" t="s">
        <v>29</v>
      </c>
      <c r="F1052" s="2">
        <v>60</v>
      </c>
      <c r="G1052" s="2" t="s">
        <v>3481</v>
      </c>
      <c r="H1052" s="2" t="s">
        <v>3482</v>
      </c>
      <c r="I1052" s="2" t="s">
        <v>25</v>
      </c>
      <c r="J1052" s="3">
        <v>44012</v>
      </c>
      <c r="K1052" s="2">
        <v>50</v>
      </c>
      <c r="L1052" s="2" t="s">
        <v>70</v>
      </c>
    </row>
    <row r="1053" spans="1:12" x14ac:dyDescent="0.3">
      <c r="A1053" s="2">
        <v>1042</v>
      </c>
      <c r="B1053" s="2" t="s">
        <v>3483</v>
      </c>
      <c r="C1053" s="2" t="s">
        <v>844</v>
      </c>
      <c r="D1053" s="2" t="s">
        <v>28</v>
      </c>
      <c r="E1053" s="2" t="s">
        <v>29</v>
      </c>
      <c r="F1053" s="2">
        <v>30</v>
      </c>
      <c r="G1053" s="2" t="s">
        <v>3484</v>
      </c>
      <c r="H1053" s="2" t="s">
        <v>2393</v>
      </c>
      <c r="I1053" s="2" t="s">
        <v>1449</v>
      </c>
      <c r="J1053" s="3">
        <v>44104</v>
      </c>
      <c r="K1053" s="2">
        <v>66</v>
      </c>
      <c r="L1053" s="2" t="s">
        <v>70</v>
      </c>
    </row>
    <row r="1054" spans="1:12" x14ac:dyDescent="0.3">
      <c r="A1054" s="2">
        <v>1043</v>
      </c>
      <c r="B1054" s="2" t="s">
        <v>3453</v>
      </c>
      <c r="C1054" s="2" t="s">
        <v>3485</v>
      </c>
      <c r="D1054" s="2" t="s">
        <v>15</v>
      </c>
      <c r="E1054" s="2" t="s">
        <v>16</v>
      </c>
      <c r="F1054" s="2">
        <v>60</v>
      </c>
      <c r="G1054" s="2" t="s">
        <v>3486</v>
      </c>
      <c r="H1054" s="2" t="s">
        <v>3487</v>
      </c>
      <c r="I1054" s="2" t="s">
        <v>294</v>
      </c>
      <c r="J1054" s="3">
        <v>44797</v>
      </c>
      <c r="K1054" s="2">
        <v>97</v>
      </c>
      <c r="L1054" s="2" t="s">
        <v>39</v>
      </c>
    </row>
    <row r="1055" spans="1:12" x14ac:dyDescent="0.3">
      <c r="A1055" s="2">
        <v>1044</v>
      </c>
      <c r="B1055" s="2" t="s">
        <v>1677</v>
      </c>
      <c r="C1055" s="2" t="s">
        <v>3488</v>
      </c>
      <c r="D1055" s="2" t="s">
        <v>28</v>
      </c>
      <c r="E1055" s="2" t="s">
        <v>29</v>
      </c>
      <c r="F1055" s="2">
        <v>60</v>
      </c>
      <c r="G1055" s="2" t="s">
        <v>3489</v>
      </c>
      <c r="H1055" s="2" t="s">
        <v>2579</v>
      </c>
      <c r="I1055" s="2" t="s">
        <v>425</v>
      </c>
      <c r="J1055" s="3">
        <v>44101</v>
      </c>
      <c r="K1055" s="2">
        <v>4</v>
      </c>
      <c r="L1055" s="2" t="s">
        <v>54</v>
      </c>
    </row>
    <row r="1056" spans="1:12" x14ac:dyDescent="0.3">
      <c r="A1056" s="2">
        <v>1045</v>
      </c>
      <c r="B1056" s="2" t="s">
        <v>3490</v>
      </c>
      <c r="C1056" s="2" t="s">
        <v>82</v>
      </c>
      <c r="D1056" s="2" t="s">
        <v>15</v>
      </c>
      <c r="E1056" s="2" t="s">
        <v>16</v>
      </c>
      <c r="F1056" s="2">
        <v>30</v>
      </c>
      <c r="G1056" s="2" t="s">
        <v>3491</v>
      </c>
      <c r="H1056" s="2" t="s">
        <v>3267</v>
      </c>
      <c r="I1056" s="2" t="s">
        <v>124</v>
      </c>
      <c r="J1056" s="3">
        <v>44435</v>
      </c>
      <c r="K1056" s="2">
        <v>81</v>
      </c>
      <c r="L1056" s="2" t="s">
        <v>54</v>
      </c>
    </row>
    <row r="1057" spans="1:12" x14ac:dyDescent="0.3">
      <c r="A1057" s="2">
        <v>1046</v>
      </c>
      <c r="B1057" s="2" t="s">
        <v>3492</v>
      </c>
      <c r="C1057" s="2" t="s">
        <v>3493</v>
      </c>
      <c r="D1057" s="2" t="s">
        <v>41</v>
      </c>
      <c r="E1057" s="2" t="s">
        <v>16</v>
      </c>
      <c r="F1057" s="2">
        <v>60</v>
      </c>
      <c r="G1057" s="2" t="s">
        <v>3494</v>
      </c>
      <c r="H1057" s="2" t="s">
        <v>3495</v>
      </c>
      <c r="I1057" s="2" t="s">
        <v>1083</v>
      </c>
      <c r="J1057" s="3">
        <v>44325</v>
      </c>
      <c r="K1057" s="2">
        <v>7</v>
      </c>
      <c r="L1057" s="2" t="s">
        <v>70</v>
      </c>
    </row>
    <row r="1058" spans="1:12" x14ac:dyDescent="0.3">
      <c r="A1058" s="2">
        <v>1047</v>
      </c>
      <c r="B1058" s="2" t="s">
        <v>2520</v>
      </c>
      <c r="C1058" s="2" t="s">
        <v>3496</v>
      </c>
      <c r="D1058" s="2" t="s">
        <v>28</v>
      </c>
      <c r="E1058" s="2" t="s">
        <v>29</v>
      </c>
      <c r="F1058" s="2">
        <v>30</v>
      </c>
      <c r="G1058" s="2" t="s">
        <v>3497</v>
      </c>
      <c r="H1058" s="2" t="s">
        <v>3498</v>
      </c>
      <c r="I1058" s="2" t="s">
        <v>32</v>
      </c>
      <c r="J1058" s="3">
        <v>44054</v>
      </c>
      <c r="K1058" s="2">
        <v>58</v>
      </c>
      <c r="L1058" s="2" t="s">
        <v>159</v>
      </c>
    </row>
    <row r="1059" spans="1:12" x14ac:dyDescent="0.3">
      <c r="A1059" s="2">
        <v>1048</v>
      </c>
      <c r="B1059" s="2" t="s">
        <v>3444</v>
      </c>
      <c r="C1059" s="2" t="s">
        <v>332</v>
      </c>
      <c r="D1059" s="2" t="s">
        <v>28</v>
      </c>
      <c r="E1059" s="2" t="s">
        <v>29</v>
      </c>
      <c r="F1059" s="2">
        <v>90</v>
      </c>
      <c r="G1059" s="2" t="s">
        <v>10425</v>
      </c>
      <c r="H1059" s="2" t="s">
        <v>3500</v>
      </c>
      <c r="I1059" s="2" t="s">
        <v>25</v>
      </c>
      <c r="J1059" s="3">
        <v>44725</v>
      </c>
      <c r="K1059" s="2">
        <v>65</v>
      </c>
      <c r="L1059" s="2" t="s">
        <v>33</v>
      </c>
    </row>
    <row r="1060" spans="1:12" x14ac:dyDescent="0.3">
      <c r="A1060" s="2">
        <v>1049</v>
      </c>
      <c r="B1060" s="2" t="s">
        <v>3501</v>
      </c>
      <c r="C1060" s="2" t="s">
        <v>3447</v>
      </c>
      <c r="D1060" s="2" t="s">
        <v>28</v>
      </c>
      <c r="E1060" s="2" t="s">
        <v>29</v>
      </c>
      <c r="F1060" s="2">
        <v>30</v>
      </c>
      <c r="G1060" s="2" t="s">
        <v>3502</v>
      </c>
      <c r="H1060" s="2" t="s">
        <v>1601</v>
      </c>
      <c r="I1060" s="2" t="s">
        <v>32</v>
      </c>
      <c r="J1060" s="3">
        <v>43906</v>
      </c>
      <c r="K1060" s="2">
        <v>73</v>
      </c>
      <c r="L1060" s="2" t="s">
        <v>64</v>
      </c>
    </row>
    <row r="1061" spans="1:12" x14ac:dyDescent="0.3">
      <c r="A1061" s="2">
        <v>1050</v>
      </c>
      <c r="B1061" s="2" t="s">
        <v>3503</v>
      </c>
      <c r="C1061" s="2" t="s">
        <v>3504</v>
      </c>
      <c r="D1061" s="2" t="s">
        <v>15</v>
      </c>
      <c r="E1061" s="2" t="s">
        <v>16</v>
      </c>
      <c r="F1061" s="2">
        <v>90</v>
      </c>
      <c r="G1061" s="2" t="s">
        <v>3505</v>
      </c>
      <c r="H1061" s="2" t="s">
        <v>3506</v>
      </c>
      <c r="I1061" s="2" t="s">
        <v>124</v>
      </c>
      <c r="J1061" s="3">
        <v>44677</v>
      </c>
      <c r="K1061" s="2">
        <v>105</v>
      </c>
      <c r="L1061" s="2" t="s">
        <v>45</v>
      </c>
    </row>
    <row r="1062" spans="1:12" x14ac:dyDescent="0.3">
      <c r="A1062" s="2">
        <v>1051</v>
      </c>
      <c r="B1062" s="2" t="s">
        <v>3507</v>
      </c>
      <c r="C1062" s="2" t="s">
        <v>281</v>
      </c>
      <c r="D1062" s="2" t="s">
        <v>15</v>
      </c>
      <c r="E1062" s="2" t="s">
        <v>16</v>
      </c>
      <c r="F1062" s="2">
        <v>90</v>
      </c>
      <c r="G1062" s="2" t="s">
        <v>3508</v>
      </c>
      <c r="H1062" s="2" t="s">
        <v>1269</v>
      </c>
      <c r="I1062" s="2" t="s">
        <v>187</v>
      </c>
      <c r="J1062" s="3">
        <v>43958</v>
      </c>
      <c r="K1062" s="2">
        <v>45</v>
      </c>
      <c r="L1062" s="2" t="s">
        <v>80</v>
      </c>
    </row>
    <row r="1063" spans="1:12" x14ac:dyDescent="0.3">
      <c r="A1063" s="2">
        <v>1052</v>
      </c>
      <c r="B1063" s="2" t="s">
        <v>1356</v>
      </c>
      <c r="C1063" s="2" t="s">
        <v>3509</v>
      </c>
      <c r="D1063" s="2" t="s">
        <v>28</v>
      </c>
      <c r="E1063" s="2" t="s">
        <v>29</v>
      </c>
      <c r="F1063" s="2">
        <v>60</v>
      </c>
      <c r="G1063" s="2" t="s">
        <v>3510</v>
      </c>
      <c r="H1063" s="2" t="s">
        <v>3511</v>
      </c>
      <c r="I1063" s="2" t="s">
        <v>32</v>
      </c>
      <c r="J1063" s="3">
        <v>44758</v>
      </c>
      <c r="K1063" s="2">
        <v>103</v>
      </c>
      <c r="L1063" s="2" t="s">
        <v>159</v>
      </c>
    </row>
    <row r="1064" spans="1:12" x14ac:dyDescent="0.3">
      <c r="A1064" s="2">
        <v>1053</v>
      </c>
      <c r="B1064" s="2" t="s">
        <v>3512</v>
      </c>
      <c r="C1064" s="2" t="s">
        <v>3513</v>
      </c>
      <c r="D1064" s="2" t="s">
        <v>51</v>
      </c>
      <c r="E1064" s="2" t="s">
        <v>16</v>
      </c>
      <c r="F1064" s="2">
        <v>90</v>
      </c>
      <c r="G1064" s="2" t="s">
        <v>3514</v>
      </c>
      <c r="H1064" s="2" t="s">
        <v>3161</v>
      </c>
      <c r="I1064" s="2" t="s">
        <v>32</v>
      </c>
      <c r="J1064" s="3">
        <v>44453</v>
      </c>
      <c r="K1064" s="2">
        <v>94</v>
      </c>
      <c r="L1064" s="2" t="s">
        <v>159</v>
      </c>
    </row>
    <row r="1065" spans="1:12" x14ac:dyDescent="0.3">
      <c r="A1065" s="2">
        <v>1054</v>
      </c>
      <c r="B1065" s="2" t="s">
        <v>3515</v>
      </c>
      <c r="C1065" s="2" t="s">
        <v>1384</v>
      </c>
      <c r="D1065" s="2" t="s">
        <v>28</v>
      </c>
      <c r="E1065" s="2" t="s">
        <v>29</v>
      </c>
      <c r="F1065" s="2">
        <v>60</v>
      </c>
      <c r="G1065" s="2" t="s">
        <v>3516</v>
      </c>
      <c r="H1065" s="2" t="s">
        <v>3517</v>
      </c>
      <c r="I1065" s="2" t="s">
        <v>2543</v>
      </c>
      <c r="J1065" s="3">
        <v>44864</v>
      </c>
      <c r="K1065" s="2">
        <v>7</v>
      </c>
      <c r="L1065" s="2" t="s">
        <v>20</v>
      </c>
    </row>
    <row r="1066" spans="1:12" x14ac:dyDescent="0.3">
      <c r="A1066" s="2">
        <v>1055</v>
      </c>
      <c r="B1066" s="2" t="s">
        <v>3518</v>
      </c>
      <c r="C1066" s="2" t="s">
        <v>3519</v>
      </c>
      <c r="D1066" s="2" t="s">
        <v>41</v>
      </c>
      <c r="E1066" s="2" t="s">
        <v>16</v>
      </c>
      <c r="F1066" s="2">
        <v>60</v>
      </c>
      <c r="G1066" s="2" t="s">
        <v>3520</v>
      </c>
      <c r="H1066" s="2" t="s">
        <v>933</v>
      </c>
      <c r="I1066" s="2" t="s">
        <v>934</v>
      </c>
      <c r="J1066" s="3">
        <v>44133</v>
      </c>
      <c r="K1066" s="2">
        <v>43</v>
      </c>
      <c r="L1066" s="2" t="s">
        <v>45</v>
      </c>
    </row>
    <row r="1067" spans="1:12" x14ac:dyDescent="0.3">
      <c r="A1067" s="2">
        <v>1056</v>
      </c>
      <c r="B1067" s="2" t="s">
        <v>3521</v>
      </c>
      <c r="C1067" s="2" t="s">
        <v>3522</v>
      </c>
      <c r="D1067" s="2" t="s">
        <v>15</v>
      </c>
      <c r="E1067" s="2" t="s">
        <v>16</v>
      </c>
      <c r="F1067" s="2">
        <v>90</v>
      </c>
      <c r="G1067" s="2" t="s">
        <v>3523</v>
      </c>
      <c r="H1067" s="2" t="s">
        <v>1969</v>
      </c>
      <c r="I1067" s="2" t="s">
        <v>32</v>
      </c>
      <c r="J1067" s="3">
        <v>44403</v>
      </c>
      <c r="K1067" s="2">
        <v>50</v>
      </c>
      <c r="L1067" s="2" t="s">
        <v>33</v>
      </c>
    </row>
    <row r="1068" spans="1:12" x14ac:dyDescent="0.3">
      <c r="A1068" s="2">
        <v>1057</v>
      </c>
      <c r="B1068" s="2" t="s">
        <v>1748</v>
      </c>
      <c r="C1068" s="2" t="s">
        <v>2770</v>
      </c>
      <c r="D1068" s="2" t="s">
        <v>28</v>
      </c>
      <c r="E1068" s="2" t="s">
        <v>29</v>
      </c>
      <c r="F1068" s="2">
        <v>60</v>
      </c>
      <c r="G1068" s="2" t="s">
        <v>3524</v>
      </c>
      <c r="H1068" s="2" t="s">
        <v>2555</v>
      </c>
      <c r="I1068" s="2" t="s">
        <v>32</v>
      </c>
      <c r="J1068" s="3">
        <v>44549</v>
      </c>
      <c r="K1068" s="2">
        <v>6</v>
      </c>
      <c r="L1068" s="2" t="s">
        <v>159</v>
      </c>
    </row>
    <row r="1069" spans="1:12" x14ac:dyDescent="0.3">
      <c r="A1069" s="2">
        <v>1058</v>
      </c>
      <c r="B1069" s="2" t="s">
        <v>3525</v>
      </c>
      <c r="C1069" s="2" t="s">
        <v>1131</v>
      </c>
      <c r="D1069" s="2" t="s">
        <v>51</v>
      </c>
      <c r="E1069" s="2" t="s">
        <v>16</v>
      </c>
      <c r="F1069" s="2">
        <v>30</v>
      </c>
      <c r="G1069" s="2" t="s">
        <v>3528</v>
      </c>
      <c r="H1069" s="2" t="s">
        <v>2848</v>
      </c>
      <c r="I1069" s="2" t="s">
        <v>129</v>
      </c>
      <c r="J1069" s="3">
        <v>43834</v>
      </c>
      <c r="K1069" s="2">
        <v>38</v>
      </c>
      <c r="L1069" s="2" t="s">
        <v>20</v>
      </c>
    </row>
    <row r="1070" spans="1:12" x14ac:dyDescent="0.3">
      <c r="A1070" s="2">
        <v>1059</v>
      </c>
      <c r="B1070" s="2" t="s">
        <v>2837</v>
      </c>
      <c r="C1070" s="2" t="s">
        <v>3527</v>
      </c>
      <c r="D1070" s="2" t="s">
        <v>28</v>
      </c>
      <c r="E1070" s="2" t="s">
        <v>29</v>
      </c>
      <c r="F1070" s="2">
        <v>60</v>
      </c>
      <c r="G1070" s="2" t="s">
        <v>3528</v>
      </c>
      <c r="H1070" s="2" t="s">
        <v>3506</v>
      </c>
      <c r="I1070" s="2" t="s">
        <v>124</v>
      </c>
      <c r="J1070" s="3">
        <v>43833</v>
      </c>
      <c r="K1070" s="2">
        <v>75</v>
      </c>
      <c r="L1070" s="2" t="s">
        <v>45</v>
      </c>
    </row>
    <row r="1071" spans="1:12" x14ac:dyDescent="0.3">
      <c r="A1071" s="2">
        <v>1060</v>
      </c>
      <c r="B1071" s="2" t="s">
        <v>237</v>
      </c>
      <c r="C1071" s="2" t="s">
        <v>3529</v>
      </c>
      <c r="D1071" s="2" t="s">
        <v>28</v>
      </c>
      <c r="E1071" s="2" t="s">
        <v>29</v>
      </c>
      <c r="F1071" s="2">
        <v>90</v>
      </c>
      <c r="G1071" s="2" t="s">
        <v>3530</v>
      </c>
      <c r="H1071" s="2" t="s">
        <v>3531</v>
      </c>
      <c r="I1071" s="2" t="s">
        <v>32</v>
      </c>
      <c r="J1071" s="3">
        <v>44848</v>
      </c>
      <c r="K1071" s="2">
        <v>42</v>
      </c>
      <c r="L1071" s="2" t="s">
        <v>101</v>
      </c>
    </row>
    <row r="1072" spans="1:12" x14ac:dyDescent="0.3">
      <c r="A1072" s="2">
        <v>1061</v>
      </c>
      <c r="B1072" s="2" t="s">
        <v>3532</v>
      </c>
      <c r="C1072" s="2" t="s">
        <v>2309</v>
      </c>
      <c r="D1072" s="2" t="s">
        <v>28</v>
      </c>
      <c r="E1072" s="2" t="s">
        <v>29</v>
      </c>
      <c r="F1072" s="2">
        <v>60</v>
      </c>
      <c r="G1072" s="2" t="s">
        <v>3533</v>
      </c>
      <c r="H1072" s="2" t="s">
        <v>3534</v>
      </c>
      <c r="I1072" s="2" t="s">
        <v>19</v>
      </c>
      <c r="J1072" s="3">
        <v>44275</v>
      </c>
      <c r="K1072" s="2">
        <v>54</v>
      </c>
      <c r="L1072" s="2" t="s">
        <v>54</v>
      </c>
    </row>
    <row r="1073" spans="1:12" x14ac:dyDescent="0.3">
      <c r="A1073" s="2">
        <v>1062</v>
      </c>
      <c r="B1073" s="2" t="s">
        <v>2106</v>
      </c>
      <c r="C1073" s="2" t="s">
        <v>3535</v>
      </c>
      <c r="D1073" s="2" t="s">
        <v>28</v>
      </c>
      <c r="E1073" s="2" t="s">
        <v>29</v>
      </c>
      <c r="F1073" s="2">
        <v>60</v>
      </c>
      <c r="G1073" s="2" t="s">
        <v>3536</v>
      </c>
      <c r="H1073" s="2" t="s">
        <v>2925</v>
      </c>
      <c r="I1073" s="2" t="s">
        <v>32</v>
      </c>
      <c r="J1073" s="3">
        <v>44002</v>
      </c>
      <c r="K1073" s="2">
        <v>22</v>
      </c>
      <c r="L1073" s="2" t="s">
        <v>54</v>
      </c>
    </row>
    <row r="1074" spans="1:12" x14ac:dyDescent="0.3">
      <c r="A1074" s="2">
        <v>1063</v>
      </c>
      <c r="B1074" s="2" t="s">
        <v>3537</v>
      </c>
      <c r="C1074" s="2" t="s">
        <v>3538</v>
      </c>
      <c r="D1074" s="2" t="s">
        <v>28</v>
      </c>
      <c r="E1074" s="2" t="s">
        <v>29</v>
      </c>
      <c r="F1074" s="2">
        <v>60</v>
      </c>
      <c r="G1074" s="2" t="s">
        <v>3539</v>
      </c>
      <c r="H1074" s="2" t="s">
        <v>1674</v>
      </c>
      <c r="I1074" s="2" t="s">
        <v>25</v>
      </c>
      <c r="J1074" s="3">
        <v>44684</v>
      </c>
      <c r="K1074" s="2">
        <v>74</v>
      </c>
      <c r="L1074" s="2" t="s">
        <v>33</v>
      </c>
    </row>
    <row r="1075" spans="1:12" x14ac:dyDescent="0.3">
      <c r="A1075" s="2">
        <v>1064</v>
      </c>
      <c r="B1075" s="2" t="s">
        <v>3540</v>
      </c>
      <c r="C1075" s="2" t="s">
        <v>1578</v>
      </c>
      <c r="D1075" s="2" t="s">
        <v>28</v>
      </c>
      <c r="E1075" s="2" t="s">
        <v>29</v>
      </c>
      <c r="F1075" s="2">
        <v>30</v>
      </c>
      <c r="G1075" s="2" t="s">
        <v>3539</v>
      </c>
      <c r="H1075" s="2" t="s">
        <v>3541</v>
      </c>
      <c r="I1075" s="2" t="s">
        <v>32</v>
      </c>
      <c r="J1075" s="3">
        <v>44738</v>
      </c>
      <c r="K1075" s="2">
        <v>96</v>
      </c>
      <c r="L1075" s="2" t="s">
        <v>159</v>
      </c>
    </row>
    <row r="1076" spans="1:12" x14ac:dyDescent="0.3">
      <c r="A1076" s="2">
        <v>1065</v>
      </c>
      <c r="B1076" s="2" t="s">
        <v>1383</v>
      </c>
      <c r="C1076" s="2" t="s">
        <v>3542</v>
      </c>
      <c r="D1076" s="2" t="s">
        <v>28</v>
      </c>
      <c r="E1076" s="2" t="s">
        <v>29</v>
      </c>
      <c r="F1076" s="2">
        <v>30</v>
      </c>
      <c r="G1076" s="2" t="s">
        <v>3543</v>
      </c>
      <c r="H1076" s="2" t="s">
        <v>412</v>
      </c>
      <c r="I1076" s="2" t="s">
        <v>187</v>
      </c>
      <c r="J1076" s="3">
        <v>44415</v>
      </c>
      <c r="K1076" s="2">
        <v>94</v>
      </c>
      <c r="L1076" s="2" t="s">
        <v>20</v>
      </c>
    </row>
    <row r="1077" spans="1:12" x14ac:dyDescent="0.3">
      <c r="A1077" s="2">
        <v>1066</v>
      </c>
      <c r="B1077" s="2" t="s">
        <v>3544</v>
      </c>
      <c r="C1077" s="2" t="s">
        <v>2951</v>
      </c>
      <c r="D1077" s="2" t="s">
        <v>28</v>
      </c>
      <c r="E1077" s="2" t="s">
        <v>29</v>
      </c>
      <c r="F1077" s="2">
        <v>90</v>
      </c>
      <c r="G1077" s="2" t="s">
        <v>3543</v>
      </c>
      <c r="H1077" s="2" t="s">
        <v>3545</v>
      </c>
      <c r="I1077" s="2" t="s">
        <v>32</v>
      </c>
      <c r="J1077" s="3">
        <v>44011</v>
      </c>
      <c r="K1077" s="2">
        <v>35</v>
      </c>
      <c r="L1077" s="2" t="s">
        <v>64</v>
      </c>
    </row>
    <row r="1078" spans="1:12" x14ac:dyDescent="0.3">
      <c r="A1078" s="2">
        <v>1067</v>
      </c>
      <c r="B1078" s="2" t="s">
        <v>2922</v>
      </c>
      <c r="C1078" s="2" t="s">
        <v>3546</v>
      </c>
      <c r="D1078" s="2" t="s">
        <v>51</v>
      </c>
      <c r="E1078" s="2" t="s">
        <v>16</v>
      </c>
      <c r="F1078" s="2">
        <v>90</v>
      </c>
      <c r="G1078" s="2" t="s">
        <v>3547</v>
      </c>
      <c r="H1078" s="2" t="s">
        <v>68</v>
      </c>
      <c r="I1078" s="2" t="s">
        <v>69</v>
      </c>
      <c r="J1078" s="3">
        <v>44436</v>
      </c>
      <c r="K1078" s="2">
        <v>81</v>
      </c>
      <c r="L1078" s="2" t="s">
        <v>70</v>
      </c>
    </row>
    <row r="1079" spans="1:12" x14ac:dyDescent="0.3">
      <c r="A1079" s="2">
        <v>1068</v>
      </c>
      <c r="B1079" s="2" t="s">
        <v>3548</v>
      </c>
      <c r="C1079" s="2" t="s">
        <v>3549</v>
      </c>
      <c r="D1079" s="2" t="s">
        <v>28</v>
      </c>
      <c r="E1079" s="2" t="s">
        <v>29</v>
      </c>
      <c r="F1079" s="2">
        <v>60</v>
      </c>
      <c r="G1079" s="2" t="s">
        <v>3550</v>
      </c>
      <c r="H1079" s="2" t="s">
        <v>3551</v>
      </c>
      <c r="I1079" s="2" t="s">
        <v>32</v>
      </c>
      <c r="J1079" s="3">
        <v>44917</v>
      </c>
      <c r="K1079" s="2">
        <v>66</v>
      </c>
      <c r="L1079" s="2" t="s">
        <v>54</v>
      </c>
    </row>
    <row r="1080" spans="1:12" x14ac:dyDescent="0.3">
      <c r="A1080" s="2">
        <v>1069</v>
      </c>
      <c r="B1080" s="2" t="s">
        <v>249</v>
      </c>
      <c r="C1080" s="2" t="s">
        <v>3552</v>
      </c>
      <c r="D1080" s="2" t="s">
        <v>28</v>
      </c>
      <c r="E1080" s="2" t="s">
        <v>29</v>
      </c>
      <c r="F1080" s="2">
        <v>60</v>
      </c>
      <c r="G1080" s="2" t="s">
        <v>3553</v>
      </c>
      <c r="H1080" s="2" t="s">
        <v>3554</v>
      </c>
      <c r="I1080" s="2" t="s">
        <v>32</v>
      </c>
      <c r="J1080" s="3">
        <v>44704</v>
      </c>
      <c r="K1080" s="2">
        <v>67</v>
      </c>
      <c r="L1080" s="2" t="s">
        <v>80</v>
      </c>
    </row>
    <row r="1081" spans="1:12" x14ac:dyDescent="0.3">
      <c r="A1081" s="2">
        <v>1070</v>
      </c>
      <c r="B1081" s="2" t="s">
        <v>3555</v>
      </c>
      <c r="C1081" s="2" t="s">
        <v>3556</v>
      </c>
      <c r="D1081" s="2" t="s">
        <v>51</v>
      </c>
      <c r="E1081" s="2" t="s">
        <v>16</v>
      </c>
      <c r="F1081" s="2">
        <v>30</v>
      </c>
      <c r="G1081" s="2" t="s">
        <v>3557</v>
      </c>
      <c r="H1081" s="2" t="s">
        <v>3558</v>
      </c>
      <c r="I1081" s="2" t="s">
        <v>32</v>
      </c>
      <c r="J1081" s="3">
        <v>44140</v>
      </c>
      <c r="K1081" s="2">
        <v>18</v>
      </c>
      <c r="L1081" s="2" t="s">
        <v>33</v>
      </c>
    </row>
    <row r="1082" spans="1:12" x14ac:dyDescent="0.3">
      <c r="A1082" s="2">
        <v>1071</v>
      </c>
      <c r="B1082" s="2" t="s">
        <v>3559</v>
      </c>
      <c r="C1082" s="2" t="s">
        <v>3560</v>
      </c>
      <c r="D1082" s="2" t="s">
        <v>15</v>
      </c>
      <c r="E1082" s="2" t="s">
        <v>16</v>
      </c>
      <c r="F1082" s="2">
        <v>60</v>
      </c>
      <c r="G1082" s="2" t="s">
        <v>3561</v>
      </c>
      <c r="H1082" s="2" t="s">
        <v>698</v>
      </c>
      <c r="I1082" s="2" t="s">
        <v>213</v>
      </c>
      <c r="J1082" s="3">
        <v>44607</v>
      </c>
      <c r="K1082" s="2">
        <v>63</v>
      </c>
      <c r="L1082" s="2" t="s">
        <v>39</v>
      </c>
    </row>
    <row r="1083" spans="1:12" x14ac:dyDescent="0.3">
      <c r="A1083" s="2">
        <v>1072</v>
      </c>
      <c r="B1083" s="2" t="s">
        <v>3073</v>
      </c>
      <c r="C1083" s="2" t="s">
        <v>3560</v>
      </c>
      <c r="D1083" s="2" t="s">
        <v>28</v>
      </c>
      <c r="E1083" s="2" t="s">
        <v>29</v>
      </c>
      <c r="F1083" s="2">
        <v>30</v>
      </c>
      <c r="G1083" s="2" t="s">
        <v>3562</v>
      </c>
      <c r="H1083" s="2" t="s">
        <v>2993</v>
      </c>
      <c r="I1083" s="2" t="s">
        <v>32</v>
      </c>
      <c r="J1083" s="3">
        <v>44918</v>
      </c>
      <c r="K1083" s="2">
        <v>66</v>
      </c>
      <c r="L1083" s="2" t="s">
        <v>54</v>
      </c>
    </row>
    <row r="1084" spans="1:12" x14ac:dyDescent="0.3">
      <c r="A1084" s="2">
        <v>1073</v>
      </c>
      <c r="B1084" s="2" t="s">
        <v>3563</v>
      </c>
      <c r="C1084" s="2" t="s">
        <v>3564</v>
      </c>
      <c r="D1084" s="2" t="s">
        <v>28</v>
      </c>
      <c r="E1084" s="2" t="s">
        <v>29</v>
      </c>
      <c r="F1084" s="2">
        <v>90</v>
      </c>
      <c r="G1084" s="2" t="s">
        <v>3566</v>
      </c>
      <c r="H1084" s="2" t="s">
        <v>1605</v>
      </c>
      <c r="I1084" s="2" t="s">
        <v>32</v>
      </c>
      <c r="J1084" s="3">
        <v>44379</v>
      </c>
      <c r="K1084" s="2">
        <v>33</v>
      </c>
      <c r="L1084" s="2" t="s">
        <v>70</v>
      </c>
    </row>
    <row r="1085" spans="1:12" x14ac:dyDescent="0.3">
      <c r="A1085" s="2">
        <v>1074</v>
      </c>
      <c r="B1085" s="2" t="s">
        <v>3567</v>
      </c>
      <c r="C1085" s="2" t="s">
        <v>1113</v>
      </c>
      <c r="D1085" s="2" t="s">
        <v>92</v>
      </c>
      <c r="E1085" s="2" t="s">
        <v>29</v>
      </c>
      <c r="F1085" s="2">
        <v>30</v>
      </c>
      <c r="G1085" s="2" t="s">
        <v>3568</v>
      </c>
      <c r="H1085" s="2" t="s">
        <v>3203</v>
      </c>
      <c r="I1085" s="2" t="s">
        <v>32</v>
      </c>
      <c r="J1085" s="3">
        <v>44369</v>
      </c>
      <c r="K1085" s="2">
        <v>8</v>
      </c>
      <c r="L1085" s="2" t="s">
        <v>39</v>
      </c>
    </row>
    <row r="1086" spans="1:12" x14ac:dyDescent="0.3">
      <c r="A1086" s="2">
        <v>1075</v>
      </c>
      <c r="B1086" s="2" t="s">
        <v>2078</v>
      </c>
      <c r="C1086" s="2" t="s">
        <v>3569</v>
      </c>
      <c r="D1086" s="2" t="s">
        <v>28</v>
      </c>
      <c r="E1086" s="2" t="s">
        <v>29</v>
      </c>
      <c r="F1086" s="2">
        <v>60</v>
      </c>
      <c r="G1086" s="2" t="s">
        <v>3570</v>
      </c>
      <c r="H1086" s="2" t="s">
        <v>3571</v>
      </c>
      <c r="I1086" s="2" t="s">
        <v>32</v>
      </c>
      <c r="J1086" s="3">
        <v>44729</v>
      </c>
      <c r="K1086" s="2">
        <v>76</v>
      </c>
      <c r="L1086" s="2" t="s">
        <v>20</v>
      </c>
    </row>
    <row r="1087" spans="1:12" x14ac:dyDescent="0.3">
      <c r="A1087" s="2">
        <v>1076</v>
      </c>
      <c r="B1087" s="2" t="s">
        <v>3572</v>
      </c>
      <c r="C1087" s="2" t="s">
        <v>272</v>
      </c>
      <c r="D1087" s="2" t="s">
        <v>28</v>
      </c>
      <c r="E1087" s="2" t="s">
        <v>29</v>
      </c>
      <c r="F1087" s="2">
        <v>60</v>
      </c>
      <c r="G1087" s="2" t="s">
        <v>3573</v>
      </c>
      <c r="H1087" s="2" t="s">
        <v>3551</v>
      </c>
      <c r="I1087" s="2" t="s">
        <v>32</v>
      </c>
      <c r="J1087" s="3">
        <v>44080</v>
      </c>
      <c r="K1087" s="2">
        <v>39</v>
      </c>
      <c r="L1087" s="2" t="s">
        <v>70</v>
      </c>
    </row>
    <row r="1088" spans="1:12" x14ac:dyDescent="0.3">
      <c r="A1088" s="2">
        <v>1077</v>
      </c>
      <c r="B1088" s="2" t="s">
        <v>3574</v>
      </c>
      <c r="C1088" s="2" t="s">
        <v>3575</v>
      </c>
      <c r="D1088" s="2" t="s">
        <v>15</v>
      </c>
      <c r="E1088" s="2" t="s">
        <v>16</v>
      </c>
      <c r="F1088" s="2">
        <v>90</v>
      </c>
      <c r="G1088" s="2" t="s">
        <v>3576</v>
      </c>
      <c r="H1088" s="2" t="s">
        <v>3577</v>
      </c>
      <c r="I1088" s="2" t="s">
        <v>32</v>
      </c>
      <c r="J1088" s="3">
        <v>44589</v>
      </c>
      <c r="K1088" s="2">
        <v>46</v>
      </c>
      <c r="L1088" s="2" t="s">
        <v>54</v>
      </c>
    </row>
    <row r="1089" spans="1:12" x14ac:dyDescent="0.3">
      <c r="A1089" s="2">
        <v>1078</v>
      </c>
      <c r="B1089" s="2" t="s">
        <v>948</v>
      </c>
      <c r="C1089" s="2" t="s">
        <v>683</v>
      </c>
      <c r="D1089" s="2" t="s">
        <v>28</v>
      </c>
      <c r="E1089" s="2" t="s">
        <v>29</v>
      </c>
      <c r="F1089" s="2">
        <v>60</v>
      </c>
      <c r="G1089" s="2" t="s">
        <v>3578</v>
      </c>
      <c r="H1089" s="2" t="s">
        <v>3579</v>
      </c>
      <c r="I1089" s="2" t="s">
        <v>1576</v>
      </c>
      <c r="J1089" s="3">
        <v>44203</v>
      </c>
      <c r="K1089" s="2">
        <v>26</v>
      </c>
      <c r="L1089" s="2" t="s">
        <v>159</v>
      </c>
    </row>
    <row r="1090" spans="1:12" x14ac:dyDescent="0.3">
      <c r="A1090" s="2">
        <v>1079</v>
      </c>
      <c r="B1090" s="2" t="s">
        <v>3580</v>
      </c>
      <c r="C1090" s="2" t="s">
        <v>3581</v>
      </c>
      <c r="D1090" s="2" t="s">
        <v>51</v>
      </c>
      <c r="E1090" s="2" t="s">
        <v>16</v>
      </c>
      <c r="F1090" s="2">
        <v>60</v>
      </c>
      <c r="G1090" s="2" t="s">
        <v>3582</v>
      </c>
      <c r="H1090" s="2" t="s">
        <v>2512</v>
      </c>
      <c r="I1090" s="2" t="s">
        <v>32</v>
      </c>
      <c r="J1090" s="3">
        <v>44454</v>
      </c>
      <c r="K1090" s="2">
        <v>29</v>
      </c>
      <c r="L1090" s="2" t="s">
        <v>20</v>
      </c>
    </row>
    <row r="1091" spans="1:12" x14ac:dyDescent="0.3">
      <c r="A1091" s="2">
        <v>1080</v>
      </c>
      <c r="B1091" s="2" t="s">
        <v>3583</v>
      </c>
      <c r="C1091" s="2" t="s">
        <v>3584</v>
      </c>
      <c r="D1091" s="2" t="s">
        <v>28</v>
      </c>
      <c r="E1091" s="2" t="s">
        <v>29</v>
      </c>
      <c r="F1091" s="2">
        <v>60</v>
      </c>
      <c r="G1091" s="2" t="s">
        <v>3585</v>
      </c>
      <c r="H1091" s="2" t="s">
        <v>2329</v>
      </c>
      <c r="I1091" s="2" t="s">
        <v>2330</v>
      </c>
      <c r="J1091" s="3">
        <v>44013</v>
      </c>
      <c r="K1091" s="2">
        <v>78</v>
      </c>
      <c r="L1091" s="2" t="s">
        <v>80</v>
      </c>
    </row>
    <row r="1092" spans="1:12" x14ac:dyDescent="0.3">
      <c r="A1092" s="2">
        <v>1081</v>
      </c>
      <c r="B1092" s="2" t="s">
        <v>3586</v>
      </c>
      <c r="C1092" s="2" t="s">
        <v>1313</v>
      </c>
      <c r="D1092" s="2" t="s">
        <v>51</v>
      </c>
      <c r="E1092" s="2" t="s">
        <v>16</v>
      </c>
      <c r="F1092" s="2">
        <v>30</v>
      </c>
      <c r="G1092" s="2" t="s">
        <v>3587</v>
      </c>
      <c r="H1092" s="2" t="s">
        <v>2397</v>
      </c>
      <c r="I1092" s="2" t="s">
        <v>187</v>
      </c>
      <c r="J1092" s="3">
        <v>44299</v>
      </c>
      <c r="K1092" s="2">
        <v>95</v>
      </c>
      <c r="L1092" s="2" t="s">
        <v>33</v>
      </c>
    </row>
    <row r="1093" spans="1:12" x14ac:dyDescent="0.3">
      <c r="A1093" s="2">
        <v>1082</v>
      </c>
      <c r="B1093" s="2" t="s">
        <v>3588</v>
      </c>
      <c r="C1093" s="2" t="s">
        <v>3589</v>
      </c>
      <c r="D1093" s="2" t="s">
        <v>28</v>
      </c>
      <c r="E1093" s="2" t="s">
        <v>29</v>
      </c>
      <c r="F1093" s="2">
        <v>60</v>
      </c>
      <c r="G1093" s="2" t="s">
        <v>3590</v>
      </c>
      <c r="H1093" s="2" t="s">
        <v>1210</v>
      </c>
      <c r="I1093" s="2" t="s">
        <v>294</v>
      </c>
      <c r="J1093" s="3">
        <v>43892</v>
      </c>
      <c r="K1093" s="2">
        <v>10</v>
      </c>
      <c r="L1093" s="2" t="s">
        <v>54</v>
      </c>
    </row>
    <row r="1094" spans="1:12" x14ac:dyDescent="0.3">
      <c r="A1094" s="2">
        <v>1083</v>
      </c>
      <c r="B1094" s="2" t="s">
        <v>2837</v>
      </c>
      <c r="C1094" s="2" t="s">
        <v>3591</v>
      </c>
      <c r="D1094" s="2" t="s">
        <v>28</v>
      </c>
      <c r="E1094" s="2" t="s">
        <v>29</v>
      </c>
      <c r="F1094" s="2">
        <v>30</v>
      </c>
      <c r="G1094" s="2" t="s">
        <v>3592</v>
      </c>
      <c r="H1094" s="2" t="s">
        <v>3593</v>
      </c>
      <c r="I1094" s="2" t="s">
        <v>124</v>
      </c>
      <c r="J1094" s="3">
        <v>44004</v>
      </c>
      <c r="K1094" s="2">
        <v>35</v>
      </c>
      <c r="L1094" s="2" t="s">
        <v>45</v>
      </c>
    </row>
    <row r="1095" spans="1:12" x14ac:dyDescent="0.3">
      <c r="A1095" s="2">
        <v>1084</v>
      </c>
      <c r="B1095" s="2" t="s">
        <v>2381</v>
      </c>
      <c r="C1095" s="2" t="s">
        <v>3594</v>
      </c>
      <c r="D1095" s="2" t="s">
        <v>28</v>
      </c>
      <c r="E1095" s="2" t="s">
        <v>29</v>
      </c>
      <c r="F1095" s="2">
        <v>60</v>
      </c>
      <c r="G1095" s="2" t="s">
        <v>3595</v>
      </c>
      <c r="H1095" s="2" t="s">
        <v>3596</v>
      </c>
      <c r="I1095" s="2" t="s">
        <v>32</v>
      </c>
      <c r="J1095" s="3">
        <v>44233</v>
      </c>
      <c r="K1095" s="2">
        <v>86</v>
      </c>
      <c r="L1095" s="2" t="s">
        <v>70</v>
      </c>
    </row>
    <row r="1096" spans="1:12" x14ac:dyDescent="0.3">
      <c r="A1096" s="2">
        <v>1085</v>
      </c>
      <c r="B1096" s="2" t="s">
        <v>3597</v>
      </c>
      <c r="C1096" s="2" t="s">
        <v>1192</v>
      </c>
      <c r="D1096" s="2" t="s">
        <v>51</v>
      </c>
      <c r="E1096" s="2" t="s">
        <v>16</v>
      </c>
      <c r="F1096" s="2">
        <v>90</v>
      </c>
      <c r="G1096" s="2" t="s">
        <v>3598</v>
      </c>
      <c r="H1096" s="2" t="s">
        <v>641</v>
      </c>
      <c r="I1096" s="2" t="s">
        <v>294</v>
      </c>
      <c r="J1096" s="3">
        <v>44502</v>
      </c>
      <c r="K1096" s="2">
        <v>30</v>
      </c>
      <c r="L1096" s="2" t="s">
        <v>80</v>
      </c>
    </row>
    <row r="1097" spans="1:12" x14ac:dyDescent="0.3">
      <c r="A1097" s="2">
        <v>1086</v>
      </c>
      <c r="B1097" s="2" t="s">
        <v>3599</v>
      </c>
      <c r="C1097" s="2" t="s">
        <v>3600</v>
      </c>
      <c r="D1097" s="2" t="s">
        <v>28</v>
      </c>
      <c r="E1097" s="2" t="s">
        <v>29</v>
      </c>
      <c r="F1097" s="2">
        <v>30</v>
      </c>
      <c r="G1097" s="2" t="s">
        <v>3601</v>
      </c>
      <c r="H1097" s="2" t="s">
        <v>1905</v>
      </c>
      <c r="I1097" s="2" t="s">
        <v>187</v>
      </c>
      <c r="J1097" s="3">
        <v>43838</v>
      </c>
      <c r="K1097" s="2">
        <v>4</v>
      </c>
      <c r="L1097" s="2" t="s">
        <v>80</v>
      </c>
    </row>
    <row r="1098" spans="1:12" x14ac:dyDescent="0.3">
      <c r="A1098" s="2">
        <v>1087</v>
      </c>
      <c r="B1098" s="2" t="s">
        <v>2642</v>
      </c>
      <c r="C1098" s="2" t="s">
        <v>3602</v>
      </c>
      <c r="D1098" s="2" t="s">
        <v>28</v>
      </c>
      <c r="E1098" s="2" t="s">
        <v>29</v>
      </c>
      <c r="F1098" s="2">
        <v>30</v>
      </c>
      <c r="G1098" s="2" t="s">
        <v>3603</v>
      </c>
      <c r="H1098" s="2" t="s">
        <v>2291</v>
      </c>
      <c r="I1098" s="2" t="s">
        <v>25</v>
      </c>
      <c r="J1098" s="3">
        <v>43897</v>
      </c>
      <c r="K1098" s="2">
        <v>42</v>
      </c>
      <c r="L1098" s="2" t="s">
        <v>54</v>
      </c>
    </row>
    <row r="1099" spans="1:12" x14ac:dyDescent="0.3">
      <c r="A1099" s="2">
        <v>1088</v>
      </c>
      <c r="B1099" s="2" t="s">
        <v>3604</v>
      </c>
      <c r="C1099" s="2" t="s">
        <v>3605</v>
      </c>
      <c r="D1099" s="2" t="s">
        <v>28</v>
      </c>
      <c r="E1099" s="2" t="s">
        <v>29</v>
      </c>
      <c r="F1099" s="2">
        <v>90</v>
      </c>
      <c r="G1099" s="2" t="s">
        <v>3606</v>
      </c>
      <c r="H1099" s="2" t="s">
        <v>1940</v>
      </c>
      <c r="I1099" s="2" t="s">
        <v>294</v>
      </c>
      <c r="J1099" s="3">
        <v>44514</v>
      </c>
      <c r="K1099" s="2">
        <v>31</v>
      </c>
      <c r="L1099" s="2" t="s">
        <v>70</v>
      </c>
    </row>
    <row r="1100" spans="1:12" x14ac:dyDescent="0.3">
      <c r="A1100" s="2">
        <v>1089</v>
      </c>
      <c r="B1100" s="2" t="s">
        <v>3607</v>
      </c>
      <c r="C1100" s="2" t="s">
        <v>3608</v>
      </c>
      <c r="D1100" s="2" t="s">
        <v>28</v>
      </c>
      <c r="E1100" s="2" t="s">
        <v>29</v>
      </c>
      <c r="F1100" s="2">
        <v>90</v>
      </c>
      <c r="G1100" s="2" t="s">
        <v>3609</v>
      </c>
      <c r="H1100" s="2" t="s">
        <v>3610</v>
      </c>
      <c r="I1100" s="2" t="s">
        <v>32</v>
      </c>
      <c r="J1100" s="3">
        <v>44849</v>
      </c>
      <c r="K1100" s="2">
        <v>48</v>
      </c>
      <c r="L1100" s="2" t="s">
        <v>159</v>
      </c>
    </row>
    <row r="1101" spans="1:12" x14ac:dyDescent="0.3">
      <c r="A1101" s="2">
        <v>1090</v>
      </c>
      <c r="B1101" s="2" t="s">
        <v>3611</v>
      </c>
      <c r="C1101" s="2" t="s">
        <v>3612</v>
      </c>
      <c r="D1101" s="2" t="s">
        <v>28</v>
      </c>
      <c r="E1101" s="2" t="s">
        <v>29</v>
      </c>
      <c r="F1101" s="2">
        <v>90</v>
      </c>
      <c r="G1101" s="2" t="s">
        <v>3613</v>
      </c>
      <c r="H1101" s="2" t="s">
        <v>526</v>
      </c>
      <c r="I1101" s="2" t="s">
        <v>32</v>
      </c>
      <c r="J1101" s="3">
        <v>44877</v>
      </c>
      <c r="K1101" s="2">
        <v>62</v>
      </c>
      <c r="L1101" s="2" t="s">
        <v>70</v>
      </c>
    </row>
    <row r="1102" spans="1:12" x14ac:dyDescent="0.3">
      <c r="A1102" s="2">
        <v>1091</v>
      </c>
      <c r="B1102" s="2" t="s">
        <v>714</v>
      </c>
      <c r="C1102" s="2" t="s">
        <v>3614</v>
      </c>
      <c r="D1102" s="2" t="s">
        <v>28</v>
      </c>
      <c r="E1102" s="2" t="s">
        <v>29</v>
      </c>
      <c r="F1102" s="2">
        <v>90</v>
      </c>
      <c r="G1102" s="2" t="s">
        <v>3615</v>
      </c>
      <c r="H1102" s="2" t="s">
        <v>396</v>
      </c>
      <c r="I1102" s="2" t="s">
        <v>32</v>
      </c>
      <c r="J1102" s="3">
        <v>43925</v>
      </c>
      <c r="K1102" s="2">
        <v>17</v>
      </c>
      <c r="L1102" s="2" t="s">
        <v>101</v>
      </c>
    </row>
    <row r="1103" spans="1:12" x14ac:dyDescent="0.3">
      <c r="A1103" s="2">
        <v>1092</v>
      </c>
      <c r="B1103" s="2" t="s">
        <v>3616</v>
      </c>
      <c r="C1103" s="2" t="s">
        <v>3617</v>
      </c>
      <c r="D1103" s="2" t="s">
        <v>28</v>
      </c>
      <c r="E1103" s="2" t="s">
        <v>29</v>
      </c>
      <c r="F1103" s="2">
        <v>90</v>
      </c>
      <c r="G1103" s="2" t="s">
        <v>3618</v>
      </c>
      <c r="H1103" s="2" t="s">
        <v>3619</v>
      </c>
      <c r="I1103" s="2" t="s">
        <v>575</v>
      </c>
      <c r="J1103" s="3">
        <v>43961</v>
      </c>
      <c r="K1103" s="2">
        <v>47</v>
      </c>
      <c r="L1103" s="2" t="s">
        <v>39</v>
      </c>
    </row>
    <row r="1104" spans="1:12" x14ac:dyDescent="0.3">
      <c r="A1104" s="2">
        <v>1093</v>
      </c>
      <c r="B1104" s="2" t="s">
        <v>3620</v>
      </c>
      <c r="C1104" s="2" t="s">
        <v>3621</v>
      </c>
      <c r="D1104" s="2" t="s">
        <v>15</v>
      </c>
      <c r="E1104" s="2" t="s">
        <v>16</v>
      </c>
      <c r="F1104" s="2">
        <v>60</v>
      </c>
      <c r="G1104" s="2" t="s">
        <v>3622</v>
      </c>
      <c r="H1104" s="2" t="s">
        <v>772</v>
      </c>
      <c r="I1104" s="2" t="s">
        <v>32</v>
      </c>
      <c r="J1104" s="3">
        <v>43834</v>
      </c>
      <c r="K1104" s="2">
        <v>50</v>
      </c>
      <c r="L1104" s="2" t="s">
        <v>20</v>
      </c>
    </row>
    <row r="1105" spans="1:12" x14ac:dyDescent="0.3">
      <c r="A1105" s="2">
        <v>1094</v>
      </c>
      <c r="B1105" s="2" t="s">
        <v>3623</v>
      </c>
      <c r="C1105" s="2" t="s">
        <v>3624</v>
      </c>
      <c r="D1105" s="2" t="s">
        <v>28</v>
      </c>
      <c r="E1105" s="2" t="s">
        <v>29</v>
      </c>
      <c r="F1105" s="2">
        <v>90</v>
      </c>
      <c r="G1105" s="2" t="s">
        <v>3625</v>
      </c>
      <c r="H1105" s="2" t="s">
        <v>901</v>
      </c>
      <c r="I1105" s="2" t="s">
        <v>146</v>
      </c>
      <c r="J1105" s="3">
        <v>43850</v>
      </c>
      <c r="K1105" s="2">
        <v>34</v>
      </c>
      <c r="L1105" s="2" t="s">
        <v>80</v>
      </c>
    </row>
    <row r="1106" spans="1:12" x14ac:dyDescent="0.3">
      <c r="A1106" s="2">
        <v>1095</v>
      </c>
      <c r="B1106" s="2" t="s">
        <v>3626</v>
      </c>
      <c r="C1106" s="2" t="s">
        <v>2939</v>
      </c>
      <c r="D1106" s="2" t="s">
        <v>51</v>
      </c>
      <c r="E1106" s="2" t="s">
        <v>16</v>
      </c>
      <c r="F1106" s="2">
        <v>30</v>
      </c>
      <c r="G1106" s="2" t="s">
        <v>3627</v>
      </c>
      <c r="H1106" s="2" t="s">
        <v>3628</v>
      </c>
      <c r="I1106" s="2" t="s">
        <v>32</v>
      </c>
      <c r="J1106" s="3">
        <v>44548</v>
      </c>
      <c r="K1106" s="2">
        <v>86</v>
      </c>
      <c r="L1106" s="2" t="s">
        <v>54</v>
      </c>
    </row>
    <row r="1107" spans="1:12" x14ac:dyDescent="0.3">
      <c r="A1107" s="2">
        <v>1096</v>
      </c>
      <c r="B1107" s="2" t="s">
        <v>3629</v>
      </c>
      <c r="C1107" s="2" t="s">
        <v>3630</v>
      </c>
      <c r="D1107" s="2" t="s">
        <v>51</v>
      </c>
      <c r="E1107" s="2" t="s">
        <v>16</v>
      </c>
      <c r="F1107" s="2">
        <v>60</v>
      </c>
      <c r="G1107" s="2" t="s">
        <v>3631</v>
      </c>
      <c r="H1107" s="2" t="s">
        <v>3632</v>
      </c>
      <c r="I1107" s="2" t="s">
        <v>32</v>
      </c>
      <c r="J1107" s="3">
        <v>44814</v>
      </c>
      <c r="K1107" s="2">
        <v>60</v>
      </c>
      <c r="L1107" s="2" t="s">
        <v>20</v>
      </c>
    </row>
    <row r="1108" spans="1:12" x14ac:dyDescent="0.3">
      <c r="A1108" s="2">
        <v>1097</v>
      </c>
      <c r="B1108" s="2" t="s">
        <v>3633</v>
      </c>
      <c r="C1108" s="2" t="s">
        <v>836</v>
      </c>
      <c r="D1108" s="2" t="s">
        <v>117</v>
      </c>
      <c r="E1108" s="2" t="s">
        <v>16</v>
      </c>
      <c r="F1108" s="2">
        <v>90</v>
      </c>
      <c r="G1108" s="2" t="s">
        <v>3634</v>
      </c>
      <c r="H1108" s="2" t="s">
        <v>3635</v>
      </c>
      <c r="I1108" s="2" t="s">
        <v>1157</v>
      </c>
      <c r="J1108" s="3">
        <v>44205</v>
      </c>
      <c r="K1108" s="2">
        <v>26</v>
      </c>
      <c r="L1108" s="2" t="s">
        <v>45</v>
      </c>
    </row>
    <row r="1109" spans="1:12" x14ac:dyDescent="0.3">
      <c r="A1109" s="2">
        <v>1098</v>
      </c>
      <c r="B1109" s="2" t="s">
        <v>1427</v>
      </c>
      <c r="C1109" s="2" t="s">
        <v>2826</v>
      </c>
      <c r="D1109" s="2" t="s">
        <v>28</v>
      </c>
      <c r="E1109" s="2" t="s">
        <v>29</v>
      </c>
      <c r="F1109" s="2">
        <v>90</v>
      </c>
      <c r="G1109" s="2" t="s">
        <v>3636</v>
      </c>
      <c r="H1109" s="2" t="s">
        <v>3637</v>
      </c>
      <c r="I1109" s="2" t="s">
        <v>38</v>
      </c>
      <c r="J1109" s="3">
        <v>43934</v>
      </c>
      <c r="K1109" s="2">
        <v>70</v>
      </c>
      <c r="L1109" s="2" t="s">
        <v>45</v>
      </c>
    </row>
    <row r="1110" spans="1:12" x14ac:dyDescent="0.3">
      <c r="A1110" s="2">
        <v>1099</v>
      </c>
      <c r="B1110" s="2" t="s">
        <v>3638</v>
      </c>
      <c r="C1110" s="2" t="s">
        <v>639</v>
      </c>
      <c r="D1110" s="2" t="s">
        <v>51</v>
      </c>
      <c r="E1110" s="2" t="s">
        <v>16</v>
      </c>
      <c r="F1110" s="2">
        <v>30</v>
      </c>
      <c r="G1110" s="2" t="s">
        <v>3639</v>
      </c>
      <c r="H1110" s="2" t="s">
        <v>3640</v>
      </c>
      <c r="I1110" s="2" t="s">
        <v>187</v>
      </c>
      <c r="J1110" s="3">
        <v>44892</v>
      </c>
      <c r="K1110" s="2">
        <v>41</v>
      </c>
      <c r="L1110" s="2" t="s">
        <v>80</v>
      </c>
    </row>
    <row r="1111" spans="1:12" x14ac:dyDescent="0.3">
      <c r="A1111" s="2">
        <v>1100</v>
      </c>
      <c r="B1111" s="2" t="s">
        <v>3641</v>
      </c>
      <c r="C1111" s="2" t="s">
        <v>1471</v>
      </c>
      <c r="D1111" s="2" t="s">
        <v>15</v>
      </c>
      <c r="E1111" s="2" t="s">
        <v>16</v>
      </c>
      <c r="F1111" s="2">
        <v>90</v>
      </c>
      <c r="G1111" s="2" t="s">
        <v>3642</v>
      </c>
      <c r="H1111" s="2" t="s">
        <v>458</v>
      </c>
      <c r="I1111" s="2" t="s">
        <v>294</v>
      </c>
      <c r="J1111" s="3">
        <v>44209</v>
      </c>
      <c r="K1111" s="2">
        <v>13</v>
      </c>
      <c r="L1111" s="2" t="s">
        <v>45</v>
      </c>
    </row>
    <row r="1112" spans="1:12" x14ac:dyDescent="0.3">
      <c r="A1112" s="2">
        <v>1101</v>
      </c>
      <c r="B1112" s="2" t="s">
        <v>1010</v>
      </c>
      <c r="C1112" s="2" t="s">
        <v>821</v>
      </c>
      <c r="D1112" s="2" t="s">
        <v>28</v>
      </c>
      <c r="E1112" s="2" t="s">
        <v>29</v>
      </c>
      <c r="F1112" s="2">
        <v>60</v>
      </c>
      <c r="G1112" s="2" t="s">
        <v>3643</v>
      </c>
      <c r="H1112" s="2" t="s">
        <v>806</v>
      </c>
      <c r="I1112" s="2" t="s">
        <v>178</v>
      </c>
      <c r="J1112" s="3">
        <v>44424</v>
      </c>
      <c r="K1112" s="2">
        <v>13</v>
      </c>
      <c r="L1112" s="2" t="s">
        <v>20</v>
      </c>
    </row>
    <row r="1113" spans="1:12" x14ac:dyDescent="0.3">
      <c r="A1113" s="2">
        <v>1102</v>
      </c>
      <c r="B1113" s="2" t="s">
        <v>3644</v>
      </c>
      <c r="C1113" s="2" t="s">
        <v>2643</v>
      </c>
      <c r="D1113" s="2" t="s">
        <v>28</v>
      </c>
      <c r="E1113" s="2" t="s">
        <v>29</v>
      </c>
      <c r="F1113" s="2">
        <v>60</v>
      </c>
      <c r="G1113" s="2" t="s">
        <v>3645</v>
      </c>
      <c r="H1113" s="2" t="s">
        <v>3646</v>
      </c>
      <c r="I1113" s="2" t="s">
        <v>32</v>
      </c>
      <c r="J1113" s="3">
        <v>44444</v>
      </c>
      <c r="K1113" s="2">
        <v>23</v>
      </c>
      <c r="L1113" s="2" t="s">
        <v>70</v>
      </c>
    </row>
    <row r="1114" spans="1:12" x14ac:dyDescent="0.3">
      <c r="A1114" s="2">
        <v>1103</v>
      </c>
      <c r="B1114" s="2" t="s">
        <v>1637</v>
      </c>
      <c r="C1114" s="2" t="s">
        <v>3647</v>
      </c>
      <c r="D1114" s="2" t="s">
        <v>28</v>
      </c>
      <c r="E1114" s="2" t="s">
        <v>29</v>
      </c>
      <c r="F1114" s="2">
        <v>90</v>
      </c>
      <c r="G1114" s="2" t="s">
        <v>3648</v>
      </c>
      <c r="H1114" s="2" t="s">
        <v>416</v>
      </c>
      <c r="I1114" s="2" t="s">
        <v>32</v>
      </c>
      <c r="J1114" s="3">
        <v>43863</v>
      </c>
      <c r="K1114" s="2">
        <v>11</v>
      </c>
      <c r="L1114" s="2" t="s">
        <v>159</v>
      </c>
    </row>
    <row r="1115" spans="1:12" x14ac:dyDescent="0.3">
      <c r="A1115" s="2">
        <v>1104</v>
      </c>
      <c r="B1115" s="2" t="s">
        <v>3649</v>
      </c>
      <c r="C1115" s="2" t="s">
        <v>1278</v>
      </c>
      <c r="D1115" s="2" t="s">
        <v>15</v>
      </c>
      <c r="E1115" s="2" t="s">
        <v>16</v>
      </c>
      <c r="F1115" s="2">
        <v>30</v>
      </c>
      <c r="G1115" s="2" t="s">
        <v>3650</v>
      </c>
      <c r="H1115" s="2" t="s">
        <v>3651</v>
      </c>
      <c r="I1115" s="2" t="s">
        <v>294</v>
      </c>
      <c r="J1115" s="3">
        <v>43991</v>
      </c>
      <c r="K1115" s="2">
        <v>31</v>
      </c>
      <c r="L1115" s="2" t="s">
        <v>159</v>
      </c>
    </row>
    <row r="1116" spans="1:12" x14ac:dyDescent="0.3">
      <c r="A1116" s="2">
        <v>1105</v>
      </c>
      <c r="B1116" s="2" t="s">
        <v>831</v>
      </c>
      <c r="C1116" s="2" t="s">
        <v>3652</v>
      </c>
      <c r="D1116" s="2" t="s">
        <v>28</v>
      </c>
      <c r="E1116" s="2" t="s">
        <v>29</v>
      </c>
      <c r="F1116" s="2">
        <v>90</v>
      </c>
      <c r="G1116" s="2" t="s">
        <v>3653</v>
      </c>
      <c r="H1116" s="2" t="s">
        <v>1115</v>
      </c>
      <c r="I1116" s="2" t="s">
        <v>32</v>
      </c>
      <c r="J1116" s="3">
        <v>44389</v>
      </c>
      <c r="K1116" s="2">
        <v>70</v>
      </c>
      <c r="L1116" s="2" t="s">
        <v>70</v>
      </c>
    </row>
    <row r="1117" spans="1:12" x14ac:dyDescent="0.3">
      <c r="A1117" s="2">
        <v>1106</v>
      </c>
      <c r="B1117" s="2" t="s">
        <v>1812</v>
      </c>
      <c r="C1117" s="2" t="s">
        <v>3243</v>
      </c>
      <c r="D1117" s="2" t="s">
        <v>28</v>
      </c>
      <c r="E1117" s="2" t="s">
        <v>29</v>
      </c>
      <c r="F1117" s="2">
        <v>90</v>
      </c>
      <c r="G1117" s="2" t="s">
        <v>3654</v>
      </c>
      <c r="H1117" s="2" t="s">
        <v>3373</v>
      </c>
      <c r="I1117" s="2" t="s">
        <v>32</v>
      </c>
      <c r="J1117" s="3">
        <v>44848</v>
      </c>
      <c r="K1117" s="2">
        <v>31</v>
      </c>
      <c r="L1117" s="2" t="s">
        <v>70</v>
      </c>
    </row>
    <row r="1118" spans="1:12" x14ac:dyDescent="0.3">
      <c r="A1118" s="2">
        <v>1107</v>
      </c>
      <c r="B1118" s="2" t="s">
        <v>3655</v>
      </c>
      <c r="C1118" s="2" t="s">
        <v>1737</v>
      </c>
      <c r="D1118" s="2" t="s">
        <v>28</v>
      </c>
      <c r="E1118" s="2" t="s">
        <v>29</v>
      </c>
      <c r="F1118" s="2">
        <v>30</v>
      </c>
      <c r="G1118" s="2" t="s">
        <v>3656</v>
      </c>
      <c r="H1118" s="2" t="s">
        <v>3657</v>
      </c>
      <c r="I1118" s="2" t="s">
        <v>294</v>
      </c>
      <c r="J1118" s="3">
        <v>44047</v>
      </c>
      <c r="K1118" s="2">
        <v>2</v>
      </c>
      <c r="L1118" s="2" t="s">
        <v>80</v>
      </c>
    </row>
    <row r="1119" spans="1:12" x14ac:dyDescent="0.3">
      <c r="A1119" s="2">
        <v>1108</v>
      </c>
      <c r="B1119" s="2" t="s">
        <v>3441</v>
      </c>
      <c r="C1119" s="2" t="s">
        <v>1345</v>
      </c>
      <c r="D1119" s="2" t="s">
        <v>28</v>
      </c>
      <c r="E1119" s="2" t="s">
        <v>29</v>
      </c>
      <c r="F1119" s="2">
        <v>60</v>
      </c>
      <c r="G1119" s="2" t="s">
        <v>3658</v>
      </c>
      <c r="H1119" s="2" t="s">
        <v>3659</v>
      </c>
      <c r="I1119" s="2" t="s">
        <v>3660</v>
      </c>
      <c r="J1119" s="3">
        <v>44494</v>
      </c>
      <c r="K1119" s="2">
        <v>29</v>
      </c>
      <c r="L1119" s="2" t="s">
        <v>45</v>
      </c>
    </row>
    <row r="1120" spans="1:12" x14ac:dyDescent="0.3">
      <c r="A1120" s="2">
        <v>1109</v>
      </c>
      <c r="B1120" s="2" t="s">
        <v>2110</v>
      </c>
      <c r="C1120" s="2" t="s">
        <v>3159</v>
      </c>
      <c r="D1120" s="2" t="s">
        <v>28</v>
      </c>
      <c r="E1120" s="2" t="s">
        <v>29</v>
      </c>
      <c r="F1120" s="2">
        <v>90</v>
      </c>
      <c r="G1120" s="2" t="s">
        <v>3661</v>
      </c>
      <c r="H1120" s="2" t="s">
        <v>163</v>
      </c>
      <c r="I1120" s="2" t="s">
        <v>164</v>
      </c>
      <c r="J1120" s="3">
        <v>44774</v>
      </c>
      <c r="K1120" s="2">
        <v>30</v>
      </c>
      <c r="L1120" s="2" t="s">
        <v>39</v>
      </c>
    </row>
    <row r="1121" spans="1:12" x14ac:dyDescent="0.3">
      <c r="A1121" s="2">
        <v>1110</v>
      </c>
      <c r="B1121" s="2" t="s">
        <v>1569</v>
      </c>
      <c r="C1121" s="2" t="s">
        <v>3662</v>
      </c>
      <c r="D1121" s="2" t="s">
        <v>51</v>
      </c>
      <c r="E1121" s="2" t="s">
        <v>16</v>
      </c>
      <c r="F1121" s="2">
        <v>60</v>
      </c>
      <c r="G1121" s="2" t="s">
        <v>3663</v>
      </c>
      <c r="H1121" s="2" t="s">
        <v>2218</v>
      </c>
      <c r="I1121" s="2" t="s">
        <v>173</v>
      </c>
      <c r="J1121" s="3">
        <v>44801</v>
      </c>
      <c r="K1121" s="2">
        <v>32</v>
      </c>
      <c r="L1121" s="2" t="s">
        <v>45</v>
      </c>
    </row>
    <row r="1122" spans="1:12" x14ac:dyDescent="0.3">
      <c r="A1122" s="2">
        <v>1111</v>
      </c>
      <c r="B1122" s="2" t="s">
        <v>2209</v>
      </c>
      <c r="C1122" s="2" t="s">
        <v>3664</v>
      </c>
      <c r="D1122" s="2" t="s">
        <v>28</v>
      </c>
      <c r="E1122" s="2" t="s">
        <v>29</v>
      </c>
      <c r="F1122" s="2">
        <v>60</v>
      </c>
      <c r="G1122" s="2" t="s">
        <v>3665</v>
      </c>
      <c r="H1122" s="2" t="s">
        <v>3666</v>
      </c>
      <c r="I1122" s="2" t="s">
        <v>1483</v>
      </c>
      <c r="J1122" s="3">
        <v>44120</v>
      </c>
      <c r="K1122" s="2">
        <v>14</v>
      </c>
      <c r="L1122" s="2" t="s">
        <v>70</v>
      </c>
    </row>
    <row r="1123" spans="1:12" x14ac:dyDescent="0.3">
      <c r="A1123" s="2">
        <v>1112</v>
      </c>
      <c r="B1123" s="2" t="s">
        <v>3667</v>
      </c>
      <c r="C1123" s="2" t="s">
        <v>3668</v>
      </c>
      <c r="D1123" s="2" t="s">
        <v>28</v>
      </c>
      <c r="E1123" s="2" t="s">
        <v>29</v>
      </c>
      <c r="F1123" s="2">
        <v>90</v>
      </c>
      <c r="G1123" s="2" t="s">
        <v>3669</v>
      </c>
      <c r="H1123" s="2" t="s">
        <v>3670</v>
      </c>
      <c r="I1123" s="2" t="s">
        <v>3671</v>
      </c>
      <c r="J1123" s="3">
        <v>44017</v>
      </c>
      <c r="K1123" s="2">
        <v>34</v>
      </c>
      <c r="L1123" s="2" t="s">
        <v>101</v>
      </c>
    </row>
    <row r="1124" spans="1:12" x14ac:dyDescent="0.3">
      <c r="A1124" s="2">
        <v>1113</v>
      </c>
      <c r="B1124" s="2" t="s">
        <v>3672</v>
      </c>
      <c r="C1124" s="2" t="s">
        <v>2635</v>
      </c>
      <c r="D1124" s="2" t="s">
        <v>28</v>
      </c>
      <c r="E1124" s="2" t="s">
        <v>29</v>
      </c>
      <c r="F1124" s="2">
        <v>60</v>
      </c>
      <c r="G1124" s="2" t="s">
        <v>3669</v>
      </c>
      <c r="H1124" s="2" t="s">
        <v>3673</v>
      </c>
      <c r="I1124" s="2" t="s">
        <v>777</v>
      </c>
      <c r="J1124" s="3">
        <v>44461</v>
      </c>
      <c r="K1124" s="2">
        <v>43</v>
      </c>
      <c r="L1124" s="2" t="s">
        <v>33</v>
      </c>
    </row>
    <row r="1125" spans="1:12" x14ac:dyDescent="0.3">
      <c r="A1125" s="2">
        <v>1114</v>
      </c>
      <c r="B1125" s="2" t="s">
        <v>3674</v>
      </c>
      <c r="C1125" s="2" t="s">
        <v>3621</v>
      </c>
      <c r="D1125" s="2" t="s">
        <v>15</v>
      </c>
      <c r="E1125" s="2" t="s">
        <v>16</v>
      </c>
      <c r="F1125" s="2">
        <v>60</v>
      </c>
      <c r="G1125" s="2" t="s">
        <v>3675</v>
      </c>
      <c r="H1125" s="2" t="s">
        <v>2321</v>
      </c>
      <c r="I1125" s="2" t="s">
        <v>129</v>
      </c>
      <c r="J1125" s="3">
        <v>43846</v>
      </c>
      <c r="K1125" s="2">
        <v>4</v>
      </c>
      <c r="L1125" s="2" t="s">
        <v>159</v>
      </c>
    </row>
    <row r="1126" spans="1:12" x14ac:dyDescent="0.3">
      <c r="A1126" s="2">
        <v>1115</v>
      </c>
      <c r="B1126" s="2" t="s">
        <v>3518</v>
      </c>
      <c r="C1126" s="2" t="s">
        <v>3676</v>
      </c>
      <c r="D1126" s="2" t="s">
        <v>15</v>
      </c>
      <c r="E1126" s="2" t="s">
        <v>16</v>
      </c>
      <c r="F1126" s="2">
        <v>90</v>
      </c>
      <c r="G1126" s="2" t="s">
        <v>3677</v>
      </c>
      <c r="H1126" s="2" t="s">
        <v>3678</v>
      </c>
      <c r="I1126" s="2" t="s">
        <v>32</v>
      </c>
      <c r="J1126" s="3">
        <v>44514</v>
      </c>
      <c r="K1126" s="2">
        <v>5</v>
      </c>
      <c r="L1126" s="2" t="s">
        <v>159</v>
      </c>
    </row>
    <row r="1127" spans="1:12" x14ac:dyDescent="0.3">
      <c r="A1127" s="2">
        <v>1116</v>
      </c>
      <c r="B1127" s="2" t="s">
        <v>3679</v>
      </c>
      <c r="C1127" s="2" t="s">
        <v>3680</v>
      </c>
      <c r="D1127" s="2" t="s">
        <v>51</v>
      </c>
      <c r="E1127" s="2" t="s">
        <v>16</v>
      </c>
      <c r="F1127" s="2">
        <v>60</v>
      </c>
      <c r="G1127" s="2" t="s">
        <v>3681</v>
      </c>
      <c r="H1127" s="2" t="s">
        <v>3682</v>
      </c>
      <c r="I1127" s="2" t="s">
        <v>178</v>
      </c>
      <c r="J1127" s="3">
        <v>44547</v>
      </c>
      <c r="K1127" s="2">
        <v>22</v>
      </c>
      <c r="L1127" s="2" t="s">
        <v>159</v>
      </c>
    </row>
    <row r="1128" spans="1:12" x14ac:dyDescent="0.3">
      <c r="A1128" s="2">
        <v>1117</v>
      </c>
      <c r="B1128" s="2" t="s">
        <v>2223</v>
      </c>
      <c r="C1128" s="2" t="s">
        <v>2382</v>
      </c>
      <c r="D1128" s="2" t="s">
        <v>28</v>
      </c>
      <c r="E1128" s="2" t="s">
        <v>29</v>
      </c>
      <c r="F1128" s="2">
        <v>30</v>
      </c>
      <c r="G1128" s="2" t="s">
        <v>3683</v>
      </c>
      <c r="H1128" s="2" t="s">
        <v>1333</v>
      </c>
      <c r="I1128" s="2" t="s">
        <v>294</v>
      </c>
      <c r="J1128" s="3">
        <v>43887</v>
      </c>
      <c r="K1128" s="2">
        <v>80</v>
      </c>
      <c r="L1128" s="2" t="s">
        <v>64</v>
      </c>
    </row>
    <row r="1129" spans="1:12" x14ac:dyDescent="0.3">
      <c r="A1129" s="2">
        <v>1118</v>
      </c>
      <c r="B1129" s="2" t="s">
        <v>3684</v>
      </c>
      <c r="C1129" s="2" t="s">
        <v>655</v>
      </c>
      <c r="D1129" s="2" t="s">
        <v>51</v>
      </c>
      <c r="E1129" s="2" t="s">
        <v>16</v>
      </c>
      <c r="F1129" s="2">
        <v>30</v>
      </c>
      <c r="G1129" s="2" t="s">
        <v>3685</v>
      </c>
      <c r="H1129" s="2" t="s">
        <v>1741</v>
      </c>
      <c r="I1129" s="2" t="s">
        <v>173</v>
      </c>
      <c r="J1129" s="3">
        <v>44147</v>
      </c>
      <c r="K1129" s="2">
        <v>27</v>
      </c>
      <c r="L1129" s="2" t="s">
        <v>80</v>
      </c>
    </row>
    <row r="1130" spans="1:12" x14ac:dyDescent="0.3">
      <c r="A1130" s="2">
        <v>1119</v>
      </c>
      <c r="B1130" s="2" t="s">
        <v>3580</v>
      </c>
      <c r="C1130" s="2" t="s">
        <v>3686</v>
      </c>
      <c r="D1130" s="2" t="s">
        <v>51</v>
      </c>
      <c r="E1130" s="2" t="s">
        <v>16</v>
      </c>
      <c r="F1130" s="2">
        <v>90</v>
      </c>
      <c r="G1130" s="2" t="s">
        <v>3687</v>
      </c>
      <c r="H1130" s="2" t="s">
        <v>1103</v>
      </c>
      <c r="I1130" s="2" t="s">
        <v>25</v>
      </c>
      <c r="J1130" s="3">
        <v>44485</v>
      </c>
      <c r="K1130" s="2">
        <v>35</v>
      </c>
      <c r="L1130" s="2" t="s">
        <v>80</v>
      </c>
    </row>
    <row r="1131" spans="1:12" x14ac:dyDescent="0.3">
      <c r="A1131" s="2">
        <v>1120</v>
      </c>
      <c r="B1131" s="2" t="s">
        <v>3688</v>
      </c>
      <c r="C1131" s="2" t="s">
        <v>3689</v>
      </c>
      <c r="D1131" s="2" t="s">
        <v>28</v>
      </c>
      <c r="E1131" s="2" t="s">
        <v>29</v>
      </c>
      <c r="F1131" s="2">
        <v>30</v>
      </c>
      <c r="G1131" s="2" t="s">
        <v>3687</v>
      </c>
      <c r="H1131" s="2" t="s">
        <v>641</v>
      </c>
      <c r="I1131" s="2" t="s">
        <v>294</v>
      </c>
      <c r="J1131" s="3">
        <v>44374</v>
      </c>
      <c r="K1131" s="2">
        <v>37</v>
      </c>
      <c r="L1131" s="2" t="s">
        <v>33</v>
      </c>
    </row>
    <row r="1132" spans="1:12" x14ac:dyDescent="0.3">
      <c r="A1132" s="2">
        <v>1121</v>
      </c>
      <c r="B1132" s="2" t="s">
        <v>3690</v>
      </c>
      <c r="C1132" s="2" t="s">
        <v>1658</v>
      </c>
      <c r="D1132" s="2" t="s">
        <v>15</v>
      </c>
      <c r="E1132" s="2" t="s">
        <v>16</v>
      </c>
      <c r="F1132" s="2">
        <v>60</v>
      </c>
      <c r="G1132" s="2" t="s">
        <v>3691</v>
      </c>
      <c r="H1132" s="2" t="s">
        <v>708</v>
      </c>
      <c r="I1132" s="2" t="s">
        <v>294</v>
      </c>
      <c r="J1132" s="3">
        <v>44469</v>
      </c>
      <c r="K1132" s="2">
        <v>76</v>
      </c>
      <c r="L1132" s="2" t="s">
        <v>33</v>
      </c>
    </row>
    <row r="1133" spans="1:12" x14ac:dyDescent="0.3">
      <c r="A1133" s="2">
        <v>1122</v>
      </c>
      <c r="B1133" s="2" t="s">
        <v>3692</v>
      </c>
      <c r="C1133" s="2" t="s">
        <v>2939</v>
      </c>
      <c r="D1133" s="2" t="s">
        <v>41</v>
      </c>
      <c r="E1133" s="2" t="s">
        <v>16</v>
      </c>
      <c r="F1133" s="2">
        <v>90</v>
      </c>
      <c r="G1133" s="2" t="s">
        <v>3693</v>
      </c>
      <c r="H1133" s="2" t="s">
        <v>2925</v>
      </c>
      <c r="I1133" s="2" t="s">
        <v>32</v>
      </c>
      <c r="J1133" s="3">
        <v>44701</v>
      </c>
      <c r="K1133" s="2">
        <v>19</v>
      </c>
      <c r="L1133" s="2" t="s">
        <v>80</v>
      </c>
    </row>
    <row r="1134" spans="1:12" x14ac:dyDescent="0.3">
      <c r="A1134" s="2">
        <v>1123</v>
      </c>
      <c r="B1134" s="2" t="s">
        <v>1159</v>
      </c>
      <c r="C1134" s="2" t="s">
        <v>2518</v>
      </c>
      <c r="D1134" s="2" t="s">
        <v>92</v>
      </c>
      <c r="E1134" s="2" t="s">
        <v>29</v>
      </c>
      <c r="F1134" s="2">
        <v>90</v>
      </c>
      <c r="G1134" s="2" t="s">
        <v>3694</v>
      </c>
      <c r="H1134" s="2" t="s">
        <v>3695</v>
      </c>
      <c r="I1134" s="2" t="s">
        <v>173</v>
      </c>
      <c r="J1134" s="3">
        <v>44038</v>
      </c>
      <c r="K1134" s="2">
        <v>39</v>
      </c>
      <c r="L1134" s="2" t="s">
        <v>70</v>
      </c>
    </row>
    <row r="1135" spans="1:12" x14ac:dyDescent="0.3">
      <c r="A1135" s="2">
        <v>1124</v>
      </c>
      <c r="B1135" s="2" t="s">
        <v>3696</v>
      </c>
      <c r="C1135" s="2" t="s">
        <v>1424</v>
      </c>
      <c r="D1135" s="2" t="s">
        <v>15</v>
      </c>
      <c r="E1135" s="2" t="s">
        <v>16</v>
      </c>
      <c r="F1135" s="2">
        <v>90</v>
      </c>
      <c r="G1135" s="2" t="s">
        <v>3697</v>
      </c>
      <c r="H1135" s="2" t="s">
        <v>3698</v>
      </c>
      <c r="I1135" s="2" t="s">
        <v>294</v>
      </c>
      <c r="J1135" s="3">
        <v>44037</v>
      </c>
      <c r="K1135" s="2">
        <v>9</v>
      </c>
      <c r="L1135" s="2" t="s">
        <v>70</v>
      </c>
    </row>
    <row r="1136" spans="1:12" x14ac:dyDescent="0.3">
      <c r="A1136" s="2">
        <v>1125</v>
      </c>
      <c r="B1136" s="2" t="s">
        <v>3699</v>
      </c>
      <c r="C1136" s="2" t="s">
        <v>3700</v>
      </c>
      <c r="D1136" s="2" t="s">
        <v>15</v>
      </c>
      <c r="E1136" s="2" t="s">
        <v>16</v>
      </c>
      <c r="F1136" s="2">
        <v>60</v>
      </c>
      <c r="G1136" s="2" t="s">
        <v>3701</v>
      </c>
      <c r="H1136" s="2" t="s">
        <v>3702</v>
      </c>
      <c r="I1136" s="2" t="s">
        <v>25</v>
      </c>
      <c r="J1136" s="3">
        <v>44101</v>
      </c>
      <c r="K1136" s="2">
        <v>55</v>
      </c>
      <c r="L1136" s="2" t="s">
        <v>159</v>
      </c>
    </row>
    <row r="1137" spans="1:12" x14ac:dyDescent="0.3">
      <c r="A1137" s="2">
        <v>1126</v>
      </c>
      <c r="B1137" s="2" t="s">
        <v>3626</v>
      </c>
      <c r="C1137" s="2" t="s">
        <v>3029</v>
      </c>
      <c r="D1137" s="2" t="s">
        <v>51</v>
      </c>
      <c r="E1137" s="2" t="s">
        <v>16</v>
      </c>
      <c r="F1137" s="2">
        <v>90</v>
      </c>
      <c r="G1137" s="2" t="s">
        <v>3703</v>
      </c>
      <c r="H1137" s="2" t="s">
        <v>3506</v>
      </c>
      <c r="I1137" s="2" t="s">
        <v>124</v>
      </c>
      <c r="J1137" s="3">
        <v>44386</v>
      </c>
      <c r="K1137" s="2">
        <v>92</v>
      </c>
      <c r="L1137" s="2" t="s">
        <v>20</v>
      </c>
    </row>
    <row r="1138" spans="1:12" x14ac:dyDescent="0.3">
      <c r="A1138" s="2">
        <v>1127</v>
      </c>
      <c r="B1138" s="2" t="s">
        <v>3704</v>
      </c>
      <c r="C1138" s="2" t="s">
        <v>35</v>
      </c>
      <c r="D1138" s="2" t="s">
        <v>51</v>
      </c>
      <c r="E1138" s="2" t="s">
        <v>16</v>
      </c>
      <c r="F1138" s="2">
        <v>30</v>
      </c>
      <c r="G1138" s="2" t="s">
        <v>3705</v>
      </c>
      <c r="H1138" s="2" t="s">
        <v>3635</v>
      </c>
      <c r="I1138" s="2" t="s">
        <v>1157</v>
      </c>
      <c r="J1138" s="3">
        <v>44281</v>
      </c>
      <c r="K1138" s="2">
        <v>45</v>
      </c>
      <c r="L1138" s="2" t="s">
        <v>54</v>
      </c>
    </row>
    <row r="1139" spans="1:12" x14ac:dyDescent="0.3">
      <c r="A1139" s="2">
        <v>1128</v>
      </c>
      <c r="B1139" s="2" t="s">
        <v>3706</v>
      </c>
      <c r="C1139" s="2" t="s">
        <v>3707</v>
      </c>
      <c r="D1139" s="2" t="s">
        <v>28</v>
      </c>
      <c r="E1139" s="2" t="s">
        <v>29</v>
      </c>
      <c r="F1139" s="2">
        <v>60</v>
      </c>
      <c r="G1139" s="2" t="s">
        <v>3708</v>
      </c>
      <c r="H1139" s="2" t="s">
        <v>3291</v>
      </c>
      <c r="I1139" s="2" t="s">
        <v>124</v>
      </c>
      <c r="J1139" s="3">
        <v>44637</v>
      </c>
      <c r="K1139" s="2">
        <v>35</v>
      </c>
      <c r="L1139" s="2" t="s">
        <v>39</v>
      </c>
    </row>
    <row r="1140" spans="1:12" x14ac:dyDescent="0.3">
      <c r="A1140" s="2">
        <v>1129</v>
      </c>
      <c r="B1140" s="2" t="s">
        <v>3709</v>
      </c>
      <c r="C1140" s="2" t="s">
        <v>1877</v>
      </c>
      <c r="D1140" s="2" t="s">
        <v>51</v>
      </c>
      <c r="E1140" s="2" t="s">
        <v>16</v>
      </c>
      <c r="F1140" s="2">
        <v>60</v>
      </c>
      <c r="G1140" s="2" t="s">
        <v>3710</v>
      </c>
      <c r="H1140" s="2" t="s">
        <v>370</v>
      </c>
      <c r="I1140" s="2" t="s">
        <v>32</v>
      </c>
      <c r="J1140" s="3">
        <v>44792</v>
      </c>
      <c r="K1140" s="2">
        <v>34</v>
      </c>
      <c r="L1140" s="2" t="s">
        <v>101</v>
      </c>
    </row>
    <row r="1141" spans="1:12" x14ac:dyDescent="0.3">
      <c r="A1141" s="2">
        <v>1130</v>
      </c>
      <c r="B1141" s="2" t="s">
        <v>3711</v>
      </c>
      <c r="C1141" s="2" t="s">
        <v>3712</v>
      </c>
      <c r="D1141" s="2" t="s">
        <v>28</v>
      </c>
      <c r="E1141" s="2" t="s">
        <v>29</v>
      </c>
      <c r="F1141" s="2">
        <v>30</v>
      </c>
      <c r="G1141" s="2" t="s">
        <v>3710</v>
      </c>
      <c r="H1141" s="2" t="s">
        <v>3713</v>
      </c>
      <c r="I1141" s="2" t="s">
        <v>32</v>
      </c>
      <c r="J1141" s="3">
        <v>44238</v>
      </c>
      <c r="K1141" s="2">
        <v>27</v>
      </c>
      <c r="L1141" s="2" t="s">
        <v>20</v>
      </c>
    </row>
    <row r="1142" spans="1:12" x14ac:dyDescent="0.3">
      <c r="A1142" s="2">
        <v>1131</v>
      </c>
      <c r="B1142" s="2" t="s">
        <v>3714</v>
      </c>
      <c r="C1142" s="2" t="s">
        <v>2844</v>
      </c>
      <c r="D1142" s="2" t="s">
        <v>28</v>
      </c>
      <c r="E1142" s="2" t="s">
        <v>29</v>
      </c>
      <c r="F1142" s="2">
        <v>90</v>
      </c>
      <c r="G1142" s="2" t="s">
        <v>3715</v>
      </c>
      <c r="H1142" s="2" t="s">
        <v>330</v>
      </c>
      <c r="I1142" s="2" t="s">
        <v>32</v>
      </c>
      <c r="J1142" s="3">
        <v>44213</v>
      </c>
      <c r="K1142" s="2">
        <v>49</v>
      </c>
      <c r="L1142" s="2" t="s">
        <v>45</v>
      </c>
    </row>
    <row r="1143" spans="1:12" x14ac:dyDescent="0.3">
      <c r="A1143" s="2">
        <v>1132</v>
      </c>
      <c r="B1143" s="2" t="s">
        <v>3716</v>
      </c>
      <c r="C1143" s="2" t="s">
        <v>3717</v>
      </c>
      <c r="D1143" s="2" t="s">
        <v>51</v>
      </c>
      <c r="E1143" s="2" t="s">
        <v>16</v>
      </c>
      <c r="F1143" s="2">
        <v>30</v>
      </c>
      <c r="G1143" s="2" t="s">
        <v>3718</v>
      </c>
      <c r="H1143" s="2" t="s">
        <v>2629</v>
      </c>
      <c r="I1143" s="2" t="s">
        <v>95</v>
      </c>
      <c r="J1143" s="3">
        <v>44162</v>
      </c>
      <c r="K1143" s="2">
        <v>46</v>
      </c>
      <c r="L1143" s="2" t="s">
        <v>80</v>
      </c>
    </row>
    <row r="1144" spans="1:12" x14ac:dyDescent="0.3">
      <c r="A1144" s="2">
        <v>1133</v>
      </c>
      <c r="B1144" s="2" t="s">
        <v>1881</v>
      </c>
      <c r="C1144" s="2" t="s">
        <v>3719</v>
      </c>
      <c r="D1144" s="2" t="s">
        <v>28</v>
      </c>
      <c r="E1144" s="2" t="s">
        <v>29</v>
      </c>
      <c r="F1144" s="2">
        <v>30</v>
      </c>
      <c r="G1144" s="2" t="s">
        <v>3720</v>
      </c>
      <c r="H1144" s="2" t="s">
        <v>2212</v>
      </c>
      <c r="I1144" s="2" t="s">
        <v>32</v>
      </c>
      <c r="J1144" s="3">
        <v>44296</v>
      </c>
      <c r="K1144" s="2">
        <v>82</v>
      </c>
      <c r="L1144" s="2" t="s">
        <v>64</v>
      </c>
    </row>
    <row r="1145" spans="1:12" x14ac:dyDescent="0.3">
      <c r="A1145" s="2">
        <v>1134</v>
      </c>
      <c r="B1145" s="2" t="s">
        <v>3721</v>
      </c>
      <c r="C1145" s="2" t="s">
        <v>3722</v>
      </c>
      <c r="D1145" s="2" t="s">
        <v>51</v>
      </c>
      <c r="E1145" s="2" t="s">
        <v>16</v>
      </c>
      <c r="F1145" s="2">
        <v>60</v>
      </c>
      <c r="G1145" s="2" t="s">
        <v>3723</v>
      </c>
      <c r="H1145" s="2" t="s">
        <v>3724</v>
      </c>
      <c r="I1145" s="2" t="s">
        <v>1078</v>
      </c>
      <c r="J1145" s="3">
        <v>44823</v>
      </c>
      <c r="K1145" s="2">
        <v>86</v>
      </c>
      <c r="L1145" s="2" t="s">
        <v>39</v>
      </c>
    </row>
    <row r="1146" spans="1:12" x14ac:dyDescent="0.3">
      <c r="A1146" s="2">
        <v>1135</v>
      </c>
      <c r="B1146" s="2" t="s">
        <v>503</v>
      </c>
      <c r="C1146" s="2" t="s">
        <v>791</v>
      </c>
      <c r="D1146" s="2" t="s">
        <v>51</v>
      </c>
      <c r="E1146" s="2" t="s">
        <v>16</v>
      </c>
      <c r="F1146" s="2">
        <v>30</v>
      </c>
      <c r="G1146" s="2" t="s">
        <v>3725</v>
      </c>
      <c r="H1146" s="2" t="s">
        <v>2265</v>
      </c>
      <c r="I1146" s="2" t="s">
        <v>1083</v>
      </c>
      <c r="J1146" s="3">
        <v>44756</v>
      </c>
      <c r="K1146" s="2">
        <v>50</v>
      </c>
      <c r="L1146" s="2" t="s">
        <v>33</v>
      </c>
    </row>
    <row r="1147" spans="1:12" x14ac:dyDescent="0.3">
      <c r="A1147" s="2">
        <v>1136</v>
      </c>
      <c r="B1147" s="2" t="s">
        <v>3726</v>
      </c>
      <c r="C1147" s="2" t="s">
        <v>3727</v>
      </c>
      <c r="D1147" s="2" t="s">
        <v>15</v>
      </c>
      <c r="E1147" s="2" t="s">
        <v>16</v>
      </c>
      <c r="F1147" s="2">
        <v>90</v>
      </c>
      <c r="G1147" s="2" t="s">
        <v>3728</v>
      </c>
      <c r="H1147" s="2" t="s">
        <v>746</v>
      </c>
      <c r="I1147" s="2" t="s">
        <v>32</v>
      </c>
      <c r="J1147" s="3">
        <v>44609</v>
      </c>
      <c r="K1147" s="2">
        <v>29</v>
      </c>
      <c r="L1147" s="2" t="s">
        <v>20</v>
      </c>
    </row>
    <row r="1148" spans="1:12" x14ac:dyDescent="0.3">
      <c r="A1148" s="2">
        <v>1137</v>
      </c>
      <c r="B1148" s="2" t="s">
        <v>504</v>
      </c>
      <c r="C1148" s="2" t="s">
        <v>1415</v>
      </c>
      <c r="D1148" s="2" t="s">
        <v>28</v>
      </c>
      <c r="E1148" s="2" t="s">
        <v>29</v>
      </c>
      <c r="F1148" s="2">
        <v>60</v>
      </c>
      <c r="G1148" s="2" t="s">
        <v>3729</v>
      </c>
      <c r="H1148" s="2" t="s">
        <v>3730</v>
      </c>
      <c r="I1148" s="2" t="s">
        <v>32</v>
      </c>
      <c r="J1148" s="3">
        <v>44432</v>
      </c>
      <c r="K1148" s="2">
        <v>18</v>
      </c>
      <c r="L1148" s="2" t="s">
        <v>101</v>
      </c>
    </row>
    <row r="1149" spans="1:12" x14ac:dyDescent="0.3">
      <c r="A1149" s="2">
        <v>1138</v>
      </c>
      <c r="B1149" s="2" t="s">
        <v>3731</v>
      </c>
      <c r="C1149" s="2" t="s">
        <v>3732</v>
      </c>
      <c r="D1149" s="2" t="s">
        <v>28</v>
      </c>
      <c r="E1149" s="2" t="s">
        <v>29</v>
      </c>
      <c r="F1149" s="2">
        <v>60</v>
      </c>
      <c r="G1149" s="2" t="s">
        <v>10426</v>
      </c>
      <c r="H1149" s="2" t="s">
        <v>2934</v>
      </c>
      <c r="I1149" s="2" t="s">
        <v>32</v>
      </c>
      <c r="J1149" s="3">
        <v>44265</v>
      </c>
      <c r="K1149" s="2">
        <v>59</v>
      </c>
      <c r="L1149" s="2" t="s">
        <v>70</v>
      </c>
    </row>
    <row r="1150" spans="1:12" x14ac:dyDescent="0.3">
      <c r="A1150" s="2">
        <v>1139</v>
      </c>
      <c r="B1150" s="2" t="s">
        <v>994</v>
      </c>
      <c r="C1150" s="2" t="s">
        <v>2269</v>
      </c>
      <c r="D1150" s="2" t="s">
        <v>28</v>
      </c>
      <c r="E1150" s="2" t="s">
        <v>29</v>
      </c>
      <c r="F1150" s="2">
        <v>60</v>
      </c>
      <c r="G1150" s="2" t="s">
        <v>3734</v>
      </c>
      <c r="H1150" s="2" t="s">
        <v>1156</v>
      </c>
      <c r="I1150" s="2" t="s">
        <v>1157</v>
      </c>
      <c r="J1150" s="3">
        <v>44094</v>
      </c>
      <c r="K1150" s="2">
        <v>23</v>
      </c>
      <c r="L1150" s="2" t="s">
        <v>45</v>
      </c>
    </row>
    <row r="1151" spans="1:12" x14ac:dyDescent="0.3">
      <c r="A1151" s="2">
        <v>1140</v>
      </c>
      <c r="B1151" s="2" t="s">
        <v>1970</v>
      </c>
      <c r="C1151" s="2" t="s">
        <v>3735</v>
      </c>
      <c r="D1151" s="2" t="s">
        <v>51</v>
      </c>
      <c r="E1151" s="2" t="s">
        <v>16</v>
      </c>
      <c r="F1151" s="2">
        <v>30</v>
      </c>
      <c r="G1151" s="2" t="s">
        <v>3736</v>
      </c>
      <c r="H1151" s="2" t="s">
        <v>2678</v>
      </c>
      <c r="I1151" s="2" t="s">
        <v>32</v>
      </c>
      <c r="J1151" s="3">
        <v>44792</v>
      </c>
      <c r="K1151" s="2">
        <v>3</v>
      </c>
      <c r="L1151" s="2" t="s">
        <v>20</v>
      </c>
    </row>
    <row r="1152" spans="1:12" x14ac:dyDescent="0.3">
      <c r="A1152" s="2">
        <v>1141</v>
      </c>
      <c r="B1152" s="2" t="s">
        <v>3737</v>
      </c>
      <c r="C1152" s="2" t="s">
        <v>3738</v>
      </c>
      <c r="D1152" s="2" t="s">
        <v>15</v>
      </c>
      <c r="E1152" s="2" t="s">
        <v>16</v>
      </c>
      <c r="F1152" s="2">
        <v>30</v>
      </c>
      <c r="G1152" s="2" t="s">
        <v>3739</v>
      </c>
      <c r="H1152" s="2" t="s">
        <v>1590</v>
      </c>
      <c r="I1152" s="2" t="s">
        <v>32</v>
      </c>
      <c r="J1152" s="3">
        <v>44141</v>
      </c>
      <c r="K1152" s="2">
        <v>34</v>
      </c>
      <c r="L1152" s="2" t="s">
        <v>70</v>
      </c>
    </row>
    <row r="1153" spans="1:12" x14ac:dyDescent="0.3">
      <c r="A1153" s="2">
        <v>1142</v>
      </c>
      <c r="B1153" s="2" t="s">
        <v>3740</v>
      </c>
      <c r="C1153" s="2" t="s">
        <v>2028</v>
      </c>
      <c r="D1153" s="2" t="s">
        <v>15</v>
      </c>
      <c r="E1153" s="2" t="s">
        <v>16</v>
      </c>
      <c r="F1153" s="2">
        <v>60</v>
      </c>
      <c r="G1153" s="2" t="s">
        <v>3741</v>
      </c>
      <c r="H1153" s="2" t="s">
        <v>1056</v>
      </c>
      <c r="I1153" s="2" t="s">
        <v>129</v>
      </c>
      <c r="J1153" s="3">
        <v>44632</v>
      </c>
      <c r="K1153" s="2">
        <v>98</v>
      </c>
      <c r="L1153" s="2" t="s">
        <v>159</v>
      </c>
    </row>
    <row r="1154" spans="1:12" x14ac:dyDescent="0.3">
      <c r="A1154" s="2">
        <v>1143</v>
      </c>
      <c r="B1154" s="2" t="s">
        <v>3742</v>
      </c>
      <c r="C1154" s="2" t="s">
        <v>1204</v>
      </c>
      <c r="D1154" s="2" t="s">
        <v>28</v>
      </c>
      <c r="E1154" s="2" t="s">
        <v>29</v>
      </c>
      <c r="F1154" s="2">
        <v>30</v>
      </c>
      <c r="G1154" s="2" t="s">
        <v>3743</v>
      </c>
      <c r="H1154" s="2" t="s">
        <v>2199</v>
      </c>
      <c r="I1154" s="2" t="s">
        <v>32</v>
      </c>
      <c r="J1154" s="3">
        <v>44030</v>
      </c>
      <c r="K1154" s="2">
        <v>51</v>
      </c>
      <c r="L1154" s="2" t="s">
        <v>33</v>
      </c>
    </row>
    <row r="1155" spans="1:12" x14ac:dyDescent="0.3">
      <c r="A1155" s="2">
        <v>1144</v>
      </c>
      <c r="B1155" s="2" t="s">
        <v>1058</v>
      </c>
      <c r="C1155" s="2" t="s">
        <v>3744</v>
      </c>
      <c r="D1155" s="2" t="s">
        <v>28</v>
      </c>
      <c r="E1155" s="2" t="s">
        <v>29</v>
      </c>
      <c r="F1155" s="2">
        <v>60</v>
      </c>
      <c r="G1155" s="2" t="s">
        <v>3745</v>
      </c>
      <c r="H1155" s="2" t="s">
        <v>3746</v>
      </c>
      <c r="I1155" s="2" t="s">
        <v>32</v>
      </c>
      <c r="J1155" s="3">
        <v>44575</v>
      </c>
      <c r="K1155" s="2">
        <v>83</v>
      </c>
      <c r="L1155" s="2" t="s">
        <v>64</v>
      </c>
    </row>
    <row r="1156" spans="1:12" x14ac:dyDescent="0.3">
      <c r="A1156" s="2">
        <v>1145</v>
      </c>
      <c r="B1156" s="2" t="s">
        <v>3747</v>
      </c>
      <c r="C1156" s="2" t="s">
        <v>3748</v>
      </c>
      <c r="D1156" s="2" t="s">
        <v>15</v>
      </c>
      <c r="E1156" s="2" t="s">
        <v>16</v>
      </c>
      <c r="F1156" s="2">
        <v>30</v>
      </c>
      <c r="G1156" s="2" t="s">
        <v>3745</v>
      </c>
      <c r="H1156" s="2" t="s">
        <v>868</v>
      </c>
      <c r="I1156" s="2" t="s">
        <v>32</v>
      </c>
      <c r="J1156" s="3">
        <v>44573</v>
      </c>
      <c r="K1156" s="2">
        <v>71</v>
      </c>
      <c r="L1156" s="2" t="s">
        <v>64</v>
      </c>
    </row>
    <row r="1157" spans="1:12" x14ac:dyDescent="0.3">
      <c r="A1157" s="2">
        <v>1146</v>
      </c>
      <c r="B1157" s="2" t="s">
        <v>3749</v>
      </c>
      <c r="C1157" s="2" t="s">
        <v>3750</v>
      </c>
      <c r="D1157" s="2" t="s">
        <v>15</v>
      </c>
      <c r="E1157" s="2" t="s">
        <v>16</v>
      </c>
      <c r="F1157" s="2">
        <v>90</v>
      </c>
      <c r="G1157" s="2" t="s">
        <v>3751</v>
      </c>
      <c r="H1157" s="2" t="s">
        <v>1804</v>
      </c>
      <c r="I1157" s="2" t="s">
        <v>32</v>
      </c>
      <c r="J1157" s="3">
        <v>44612</v>
      </c>
      <c r="K1157" s="2">
        <v>81</v>
      </c>
      <c r="L1157" s="2" t="s">
        <v>20</v>
      </c>
    </row>
    <row r="1158" spans="1:12" x14ac:dyDescent="0.3">
      <c r="A1158" s="2">
        <v>1147</v>
      </c>
      <c r="B1158" s="2" t="s">
        <v>922</v>
      </c>
      <c r="C1158" s="2" t="s">
        <v>2941</v>
      </c>
      <c r="D1158" s="2" t="s">
        <v>28</v>
      </c>
      <c r="E1158" s="2" t="s">
        <v>29</v>
      </c>
      <c r="F1158" s="2">
        <v>30</v>
      </c>
      <c r="G1158" s="2" t="s">
        <v>3752</v>
      </c>
      <c r="H1158" s="2" t="s">
        <v>2311</v>
      </c>
      <c r="I1158" s="2" t="s">
        <v>32</v>
      </c>
      <c r="J1158" s="3">
        <v>43860</v>
      </c>
      <c r="K1158" s="2">
        <v>47</v>
      </c>
      <c r="L1158" s="2" t="s">
        <v>39</v>
      </c>
    </row>
    <row r="1159" spans="1:12" x14ac:dyDescent="0.3">
      <c r="A1159" s="2">
        <v>1148</v>
      </c>
      <c r="B1159" s="2" t="s">
        <v>1065</v>
      </c>
      <c r="C1159" s="2" t="s">
        <v>2203</v>
      </c>
      <c r="D1159" s="2" t="s">
        <v>28</v>
      </c>
      <c r="E1159" s="2" t="s">
        <v>29</v>
      </c>
      <c r="F1159" s="2">
        <v>60</v>
      </c>
      <c r="G1159" s="2" t="s">
        <v>3753</v>
      </c>
      <c r="H1159" s="2" t="s">
        <v>3754</v>
      </c>
      <c r="I1159" s="2" t="s">
        <v>124</v>
      </c>
      <c r="J1159" s="3">
        <v>43866</v>
      </c>
      <c r="K1159" s="2">
        <v>14</v>
      </c>
      <c r="L1159" s="2" t="s">
        <v>80</v>
      </c>
    </row>
    <row r="1160" spans="1:12" x14ac:dyDescent="0.3">
      <c r="A1160" s="2">
        <v>1149</v>
      </c>
      <c r="B1160" s="2" t="s">
        <v>1030</v>
      </c>
      <c r="C1160" s="2" t="s">
        <v>2683</v>
      </c>
      <c r="D1160" s="2" t="s">
        <v>28</v>
      </c>
      <c r="E1160" s="2" t="s">
        <v>29</v>
      </c>
      <c r="F1160" s="2">
        <v>90</v>
      </c>
      <c r="G1160" s="2" t="s">
        <v>3755</v>
      </c>
      <c r="H1160" s="2" t="s">
        <v>3756</v>
      </c>
      <c r="I1160" s="2" t="s">
        <v>178</v>
      </c>
      <c r="J1160" s="3">
        <v>44003</v>
      </c>
      <c r="K1160" s="2">
        <v>14</v>
      </c>
      <c r="L1160" s="2" t="s">
        <v>33</v>
      </c>
    </row>
    <row r="1161" spans="1:12" x14ac:dyDescent="0.3">
      <c r="A1161" s="2">
        <v>1150</v>
      </c>
      <c r="B1161" s="2" t="s">
        <v>3757</v>
      </c>
      <c r="C1161" s="2" t="s">
        <v>1116</v>
      </c>
      <c r="D1161" s="2" t="s">
        <v>15</v>
      </c>
      <c r="E1161" s="2" t="s">
        <v>16</v>
      </c>
      <c r="F1161" s="2">
        <v>90</v>
      </c>
      <c r="G1161" s="2" t="s">
        <v>3758</v>
      </c>
      <c r="H1161" s="2" t="s">
        <v>3759</v>
      </c>
      <c r="I1161" s="2" t="s">
        <v>3760</v>
      </c>
      <c r="J1161" s="3">
        <v>44839</v>
      </c>
      <c r="K1161" s="2">
        <v>30</v>
      </c>
      <c r="L1161" s="2" t="s">
        <v>39</v>
      </c>
    </row>
    <row r="1162" spans="1:12" x14ac:dyDescent="0.3">
      <c r="A1162" s="2">
        <v>1151</v>
      </c>
      <c r="B1162" s="2" t="s">
        <v>3761</v>
      </c>
      <c r="C1162" s="2" t="s">
        <v>3314</v>
      </c>
      <c r="D1162" s="2" t="s">
        <v>15</v>
      </c>
      <c r="E1162" s="2" t="s">
        <v>16</v>
      </c>
      <c r="F1162" s="2">
        <v>90</v>
      </c>
      <c r="G1162" s="2" t="s">
        <v>3762</v>
      </c>
      <c r="H1162" s="2" t="s">
        <v>985</v>
      </c>
      <c r="I1162" s="2" t="s">
        <v>38</v>
      </c>
      <c r="J1162" s="3">
        <v>44709</v>
      </c>
      <c r="K1162" s="2">
        <v>99</v>
      </c>
      <c r="L1162" s="2" t="s">
        <v>20</v>
      </c>
    </row>
    <row r="1163" spans="1:12" x14ac:dyDescent="0.3">
      <c r="A1163" s="2">
        <v>1152</v>
      </c>
      <c r="B1163" s="2" t="s">
        <v>592</v>
      </c>
      <c r="C1163" s="2" t="s">
        <v>3763</v>
      </c>
      <c r="D1163" s="2" t="s">
        <v>28</v>
      </c>
      <c r="E1163" s="2" t="s">
        <v>29</v>
      </c>
      <c r="F1163" s="2">
        <v>60</v>
      </c>
      <c r="G1163" s="2" t="s">
        <v>3762</v>
      </c>
      <c r="H1163" s="2" t="s">
        <v>3764</v>
      </c>
      <c r="I1163" s="2" t="s">
        <v>32</v>
      </c>
      <c r="J1163" s="3">
        <v>44222</v>
      </c>
      <c r="K1163" s="2">
        <v>19</v>
      </c>
      <c r="L1163" s="2" t="s">
        <v>20</v>
      </c>
    </row>
    <row r="1164" spans="1:12" x14ac:dyDescent="0.3">
      <c r="A1164" s="2">
        <v>1153</v>
      </c>
      <c r="B1164" s="2" t="s">
        <v>3765</v>
      </c>
      <c r="C1164" s="2" t="s">
        <v>3354</v>
      </c>
      <c r="D1164" s="2" t="s">
        <v>51</v>
      </c>
      <c r="E1164" s="2" t="s">
        <v>16</v>
      </c>
      <c r="F1164" s="2">
        <v>30</v>
      </c>
      <c r="G1164" s="2" t="s">
        <v>3766</v>
      </c>
      <c r="H1164" s="2" t="s">
        <v>938</v>
      </c>
      <c r="I1164" s="2" t="s">
        <v>25</v>
      </c>
      <c r="J1164" s="3">
        <v>44106</v>
      </c>
      <c r="K1164" s="2">
        <v>68</v>
      </c>
      <c r="L1164" s="2" t="s">
        <v>39</v>
      </c>
    </row>
    <row r="1165" spans="1:12" x14ac:dyDescent="0.3">
      <c r="A1165" s="2">
        <v>1154</v>
      </c>
      <c r="B1165" s="2" t="s">
        <v>1403</v>
      </c>
      <c r="C1165" s="2" t="s">
        <v>3767</v>
      </c>
      <c r="D1165" s="2" t="s">
        <v>621</v>
      </c>
      <c r="E1165" s="2" t="s">
        <v>29</v>
      </c>
      <c r="F1165" s="2">
        <v>90</v>
      </c>
      <c r="G1165" s="2" t="s">
        <v>3768</v>
      </c>
      <c r="H1165" s="2" t="s">
        <v>1206</v>
      </c>
      <c r="I1165" s="2" t="s">
        <v>294</v>
      </c>
      <c r="J1165" s="3">
        <v>44459</v>
      </c>
      <c r="K1165" s="2">
        <v>40</v>
      </c>
      <c r="L1165" s="2" t="s">
        <v>64</v>
      </c>
    </row>
    <row r="1166" spans="1:12" x14ac:dyDescent="0.3">
      <c r="A1166" s="2">
        <v>1155</v>
      </c>
      <c r="B1166" s="2" t="s">
        <v>1985</v>
      </c>
      <c r="C1166" s="2" t="s">
        <v>3447</v>
      </c>
      <c r="D1166" s="2" t="s">
        <v>28</v>
      </c>
      <c r="E1166" s="2" t="s">
        <v>29</v>
      </c>
      <c r="F1166" s="2">
        <v>30</v>
      </c>
      <c r="G1166" s="2" t="s">
        <v>3769</v>
      </c>
      <c r="H1166" s="2" t="s">
        <v>3770</v>
      </c>
      <c r="I1166" s="2" t="s">
        <v>32</v>
      </c>
      <c r="J1166" s="3">
        <v>43839</v>
      </c>
      <c r="K1166" s="2">
        <v>18</v>
      </c>
      <c r="L1166" s="2" t="s">
        <v>80</v>
      </c>
    </row>
    <row r="1167" spans="1:12" x14ac:dyDescent="0.3">
      <c r="A1167" s="2">
        <v>1156</v>
      </c>
      <c r="B1167" s="2" t="s">
        <v>3772</v>
      </c>
      <c r="C1167" s="2" t="s">
        <v>1806</v>
      </c>
      <c r="D1167" s="2" t="s">
        <v>15</v>
      </c>
      <c r="E1167" s="2" t="s">
        <v>16</v>
      </c>
      <c r="F1167" s="2">
        <v>90</v>
      </c>
      <c r="G1167" s="2" t="s">
        <v>3773</v>
      </c>
      <c r="H1167" s="2" t="s">
        <v>3774</v>
      </c>
      <c r="I1167" s="2" t="s">
        <v>187</v>
      </c>
      <c r="J1167" s="3">
        <v>44247</v>
      </c>
      <c r="K1167" s="2">
        <v>75</v>
      </c>
      <c r="L1167" s="2" t="s">
        <v>33</v>
      </c>
    </row>
    <row r="1168" spans="1:12" x14ac:dyDescent="0.3">
      <c r="A1168" s="2">
        <v>1157</v>
      </c>
      <c r="B1168" s="2" t="s">
        <v>3775</v>
      </c>
      <c r="C1168" s="2" t="s">
        <v>3776</v>
      </c>
      <c r="D1168" s="2" t="s">
        <v>15</v>
      </c>
      <c r="E1168" s="2" t="s">
        <v>16</v>
      </c>
      <c r="F1168" s="2">
        <v>90</v>
      </c>
      <c r="G1168" s="2" t="s">
        <v>3777</v>
      </c>
      <c r="H1168" s="2" t="s">
        <v>1228</v>
      </c>
      <c r="I1168" s="2" t="s">
        <v>25</v>
      </c>
      <c r="J1168" s="3">
        <v>44569</v>
      </c>
      <c r="K1168" s="2">
        <v>36</v>
      </c>
      <c r="L1168" s="2" t="s">
        <v>80</v>
      </c>
    </row>
    <row r="1169" spans="1:12" x14ac:dyDescent="0.3">
      <c r="A1169" s="2">
        <v>1158</v>
      </c>
      <c r="B1169" s="2" t="s">
        <v>3778</v>
      </c>
      <c r="C1169" s="2" t="s">
        <v>3779</v>
      </c>
      <c r="D1169" s="2" t="s">
        <v>15</v>
      </c>
      <c r="E1169" s="2" t="s">
        <v>16</v>
      </c>
      <c r="F1169" s="2">
        <v>60</v>
      </c>
      <c r="G1169" s="2" t="s">
        <v>3780</v>
      </c>
      <c r="H1169" s="2" t="s">
        <v>1508</v>
      </c>
      <c r="I1169" s="2" t="s">
        <v>32</v>
      </c>
      <c r="J1169" s="3">
        <v>44377</v>
      </c>
      <c r="K1169" s="2">
        <v>2</v>
      </c>
      <c r="L1169" s="2" t="s">
        <v>20</v>
      </c>
    </row>
    <row r="1170" spans="1:12" x14ac:dyDescent="0.3">
      <c r="A1170" s="2">
        <v>1159</v>
      </c>
      <c r="B1170" s="2" t="s">
        <v>3781</v>
      </c>
      <c r="C1170" s="2" t="s">
        <v>2643</v>
      </c>
      <c r="D1170" s="2" t="s">
        <v>41</v>
      </c>
      <c r="E1170" s="2" t="s">
        <v>16</v>
      </c>
      <c r="F1170" s="2">
        <v>60</v>
      </c>
      <c r="G1170" s="2" t="s">
        <v>3782</v>
      </c>
      <c r="H1170" s="2" t="s">
        <v>3783</v>
      </c>
      <c r="I1170" s="2" t="s">
        <v>124</v>
      </c>
      <c r="J1170" s="3">
        <v>44813</v>
      </c>
      <c r="K1170" s="2">
        <v>4</v>
      </c>
      <c r="L1170" s="2" t="s">
        <v>101</v>
      </c>
    </row>
    <row r="1171" spans="1:12" x14ac:dyDescent="0.3">
      <c r="A1171" s="2">
        <v>1160</v>
      </c>
      <c r="B1171" s="2" t="s">
        <v>3784</v>
      </c>
      <c r="C1171" s="2" t="s">
        <v>3785</v>
      </c>
      <c r="D1171" s="2" t="s">
        <v>51</v>
      </c>
      <c r="E1171" s="2" t="s">
        <v>16</v>
      </c>
      <c r="F1171" s="2">
        <v>60</v>
      </c>
      <c r="G1171" s="2" t="s">
        <v>3786</v>
      </c>
      <c r="H1171" s="2" t="s">
        <v>2447</v>
      </c>
      <c r="I1171" s="2" t="s">
        <v>1869</v>
      </c>
      <c r="J1171" s="3">
        <v>44594</v>
      </c>
      <c r="K1171" s="2">
        <v>20</v>
      </c>
      <c r="L1171" s="2" t="s">
        <v>20</v>
      </c>
    </row>
    <row r="1172" spans="1:12" x14ac:dyDescent="0.3">
      <c r="A1172" s="2">
        <v>1161</v>
      </c>
      <c r="B1172" s="2" t="s">
        <v>3787</v>
      </c>
      <c r="C1172" s="2" t="s">
        <v>256</v>
      </c>
      <c r="D1172" s="2" t="s">
        <v>28</v>
      </c>
      <c r="E1172" s="2" t="s">
        <v>29</v>
      </c>
      <c r="F1172" s="2">
        <v>30</v>
      </c>
      <c r="G1172" s="2" t="s">
        <v>3788</v>
      </c>
      <c r="H1172" s="2" t="s">
        <v>2917</v>
      </c>
      <c r="I1172" s="2" t="s">
        <v>95</v>
      </c>
      <c r="J1172" s="3">
        <v>44916</v>
      </c>
      <c r="K1172" s="2">
        <v>31</v>
      </c>
      <c r="L1172" s="2" t="s">
        <v>70</v>
      </c>
    </row>
    <row r="1173" spans="1:12" x14ac:dyDescent="0.3">
      <c r="A1173" s="2">
        <v>1162</v>
      </c>
      <c r="B1173" s="2" t="s">
        <v>2721</v>
      </c>
      <c r="C1173" s="2" t="s">
        <v>1607</v>
      </c>
      <c r="D1173" s="2" t="s">
        <v>621</v>
      </c>
      <c r="E1173" s="2" t="s">
        <v>29</v>
      </c>
      <c r="F1173" s="2">
        <v>60</v>
      </c>
      <c r="G1173" s="2" t="s">
        <v>3789</v>
      </c>
      <c r="H1173" s="2" t="s">
        <v>3790</v>
      </c>
      <c r="I1173" s="2" t="s">
        <v>32</v>
      </c>
      <c r="J1173" s="3">
        <v>43922</v>
      </c>
      <c r="K1173" s="2">
        <v>38</v>
      </c>
      <c r="L1173" s="2" t="s">
        <v>20</v>
      </c>
    </row>
    <row r="1174" spans="1:12" x14ac:dyDescent="0.3">
      <c r="A1174" s="2">
        <v>1163</v>
      </c>
      <c r="B1174" s="2" t="s">
        <v>3791</v>
      </c>
      <c r="C1174" s="2" t="s">
        <v>727</v>
      </c>
      <c r="D1174" s="2" t="s">
        <v>28</v>
      </c>
      <c r="E1174" s="2" t="s">
        <v>29</v>
      </c>
      <c r="F1174" s="2">
        <v>90</v>
      </c>
      <c r="G1174" s="2" t="s">
        <v>3792</v>
      </c>
      <c r="H1174" s="2" t="s">
        <v>3793</v>
      </c>
      <c r="I1174" s="2" t="s">
        <v>173</v>
      </c>
      <c r="J1174" s="3">
        <v>44901</v>
      </c>
      <c r="K1174" s="2">
        <v>97</v>
      </c>
      <c r="L1174" s="2" t="s">
        <v>20</v>
      </c>
    </row>
    <row r="1175" spans="1:12" x14ac:dyDescent="0.3">
      <c r="A1175" s="2">
        <v>1164</v>
      </c>
      <c r="B1175" s="2" t="s">
        <v>3794</v>
      </c>
      <c r="C1175" s="2" t="s">
        <v>1692</v>
      </c>
      <c r="D1175" s="2" t="s">
        <v>28</v>
      </c>
      <c r="E1175" s="2" t="s">
        <v>29</v>
      </c>
      <c r="F1175" s="2">
        <v>30</v>
      </c>
      <c r="G1175" s="2" t="s">
        <v>3795</v>
      </c>
      <c r="H1175" s="2" t="s">
        <v>3396</v>
      </c>
      <c r="I1175" s="2" t="s">
        <v>32</v>
      </c>
      <c r="J1175" s="3">
        <v>44890</v>
      </c>
      <c r="K1175" s="2">
        <v>102</v>
      </c>
      <c r="L1175" s="2" t="s">
        <v>33</v>
      </c>
    </row>
    <row r="1176" spans="1:12" x14ac:dyDescent="0.3">
      <c r="A1176" s="2">
        <v>1165</v>
      </c>
      <c r="B1176" s="2" t="s">
        <v>3796</v>
      </c>
      <c r="C1176" s="2" t="s">
        <v>3797</v>
      </c>
      <c r="D1176" s="2" t="s">
        <v>51</v>
      </c>
      <c r="E1176" s="2" t="s">
        <v>16</v>
      </c>
      <c r="F1176" s="2">
        <v>90</v>
      </c>
      <c r="G1176" s="2" t="s">
        <v>3798</v>
      </c>
      <c r="H1176" s="2" t="s">
        <v>3799</v>
      </c>
      <c r="I1176" s="2" t="s">
        <v>32</v>
      </c>
      <c r="J1176" s="3">
        <v>44152</v>
      </c>
      <c r="K1176" s="2">
        <v>80</v>
      </c>
      <c r="L1176" s="2" t="s">
        <v>80</v>
      </c>
    </row>
    <row r="1177" spans="1:12" x14ac:dyDescent="0.3">
      <c r="A1177" s="2">
        <v>1166</v>
      </c>
      <c r="B1177" s="2" t="s">
        <v>3800</v>
      </c>
      <c r="C1177" s="2" t="s">
        <v>309</v>
      </c>
      <c r="D1177" s="2" t="s">
        <v>15</v>
      </c>
      <c r="E1177" s="2" t="s">
        <v>16</v>
      </c>
      <c r="F1177" s="2">
        <v>60</v>
      </c>
      <c r="G1177" s="2" t="s">
        <v>3801</v>
      </c>
      <c r="H1177" s="2" t="s">
        <v>615</v>
      </c>
      <c r="I1177" s="2" t="s">
        <v>32</v>
      </c>
      <c r="J1177" s="3">
        <v>44131</v>
      </c>
      <c r="K1177" s="2">
        <v>3</v>
      </c>
      <c r="L1177" s="2" t="s">
        <v>33</v>
      </c>
    </row>
    <row r="1178" spans="1:12" x14ac:dyDescent="0.3">
      <c r="A1178" s="2">
        <v>1167</v>
      </c>
      <c r="B1178" s="2" t="s">
        <v>3802</v>
      </c>
      <c r="C1178" s="2" t="s">
        <v>3803</v>
      </c>
      <c r="D1178" s="2" t="s">
        <v>51</v>
      </c>
      <c r="E1178" s="2" t="s">
        <v>16</v>
      </c>
      <c r="F1178" s="2">
        <v>60</v>
      </c>
      <c r="G1178" s="2" t="s">
        <v>3804</v>
      </c>
      <c r="H1178" s="2" t="s">
        <v>298</v>
      </c>
      <c r="I1178" s="2" t="s">
        <v>25</v>
      </c>
      <c r="J1178" s="3">
        <v>44394</v>
      </c>
      <c r="K1178" s="2">
        <v>73</v>
      </c>
      <c r="L1178" s="2" t="s">
        <v>54</v>
      </c>
    </row>
    <row r="1179" spans="1:12" x14ac:dyDescent="0.3">
      <c r="A1179" s="2">
        <v>1168</v>
      </c>
      <c r="B1179" s="2" t="s">
        <v>3805</v>
      </c>
      <c r="C1179" s="2" t="s">
        <v>3806</v>
      </c>
      <c r="D1179" s="2" t="s">
        <v>28</v>
      </c>
      <c r="E1179" s="2" t="s">
        <v>29</v>
      </c>
      <c r="F1179" s="2">
        <v>60</v>
      </c>
      <c r="G1179" s="2" t="s">
        <v>3807</v>
      </c>
      <c r="H1179" s="2" t="s">
        <v>3206</v>
      </c>
      <c r="I1179" s="2" t="s">
        <v>1199</v>
      </c>
      <c r="J1179" s="3">
        <v>44187</v>
      </c>
      <c r="K1179" s="2">
        <v>84</v>
      </c>
      <c r="L1179" s="2" t="s">
        <v>159</v>
      </c>
    </row>
    <row r="1180" spans="1:12" x14ac:dyDescent="0.3">
      <c r="A1180" s="2">
        <v>1169</v>
      </c>
      <c r="B1180" s="2" t="s">
        <v>2184</v>
      </c>
      <c r="C1180" s="2" t="s">
        <v>3808</v>
      </c>
      <c r="D1180" s="2" t="s">
        <v>28</v>
      </c>
      <c r="E1180" s="2" t="s">
        <v>29</v>
      </c>
      <c r="F1180" s="2">
        <v>30</v>
      </c>
      <c r="G1180" s="2" t="s">
        <v>3809</v>
      </c>
      <c r="H1180" s="2" t="s">
        <v>3810</v>
      </c>
      <c r="I1180" s="2" t="s">
        <v>32</v>
      </c>
      <c r="J1180" s="3">
        <v>44594</v>
      </c>
      <c r="K1180" s="2">
        <v>60</v>
      </c>
      <c r="L1180" s="2" t="s">
        <v>20</v>
      </c>
    </row>
    <row r="1181" spans="1:12" x14ac:dyDescent="0.3">
      <c r="A1181" s="2">
        <v>1170</v>
      </c>
      <c r="B1181" s="2" t="s">
        <v>3811</v>
      </c>
      <c r="C1181" s="2" t="s">
        <v>3812</v>
      </c>
      <c r="D1181" s="2" t="s">
        <v>28</v>
      </c>
      <c r="E1181" s="2" t="s">
        <v>29</v>
      </c>
      <c r="F1181" s="2">
        <v>90</v>
      </c>
      <c r="G1181" s="2" t="s">
        <v>3813</v>
      </c>
      <c r="H1181" s="2" t="s">
        <v>3814</v>
      </c>
      <c r="I1181" s="2" t="s">
        <v>32</v>
      </c>
      <c r="J1181" s="3">
        <v>44425</v>
      </c>
      <c r="K1181" s="2">
        <v>20</v>
      </c>
      <c r="L1181" s="2" t="s">
        <v>101</v>
      </c>
    </row>
    <row r="1182" spans="1:12" x14ac:dyDescent="0.3">
      <c r="A1182" s="2">
        <v>1171</v>
      </c>
      <c r="B1182" s="2" t="s">
        <v>3815</v>
      </c>
      <c r="C1182" s="2" t="s">
        <v>2037</v>
      </c>
      <c r="D1182" s="2" t="s">
        <v>15</v>
      </c>
      <c r="E1182" s="2" t="s">
        <v>16</v>
      </c>
      <c r="F1182" s="2">
        <v>60</v>
      </c>
      <c r="G1182" s="2" t="s">
        <v>3816</v>
      </c>
      <c r="H1182" s="2" t="s">
        <v>3817</v>
      </c>
      <c r="I1182" s="2" t="s">
        <v>32</v>
      </c>
      <c r="J1182" s="3">
        <v>44811</v>
      </c>
      <c r="K1182" s="2">
        <v>34</v>
      </c>
      <c r="L1182" s="2" t="s">
        <v>64</v>
      </c>
    </row>
    <row r="1183" spans="1:12" x14ac:dyDescent="0.3">
      <c r="A1183" s="2">
        <v>1172</v>
      </c>
      <c r="B1183" s="2" t="s">
        <v>3818</v>
      </c>
      <c r="C1183" s="2" t="s">
        <v>1585</v>
      </c>
      <c r="D1183" s="2" t="s">
        <v>51</v>
      </c>
      <c r="E1183" s="2" t="s">
        <v>16</v>
      </c>
      <c r="F1183" s="2">
        <v>30</v>
      </c>
      <c r="G1183" s="2" t="s">
        <v>3819</v>
      </c>
      <c r="H1183" s="2" t="s">
        <v>1284</v>
      </c>
      <c r="I1183" s="2" t="s">
        <v>32</v>
      </c>
      <c r="J1183" s="3">
        <v>44607</v>
      </c>
      <c r="K1183" s="2">
        <v>95</v>
      </c>
      <c r="L1183" s="2" t="s">
        <v>39</v>
      </c>
    </row>
    <row r="1184" spans="1:12" x14ac:dyDescent="0.3">
      <c r="A1184" s="2">
        <v>1173</v>
      </c>
      <c r="B1184" s="2" t="s">
        <v>3820</v>
      </c>
      <c r="C1184" s="2" t="s">
        <v>161</v>
      </c>
      <c r="D1184" s="2" t="s">
        <v>15</v>
      </c>
      <c r="E1184" s="2" t="s">
        <v>16</v>
      </c>
      <c r="F1184" s="2">
        <v>60</v>
      </c>
      <c r="G1184" s="2" t="s">
        <v>3821</v>
      </c>
      <c r="H1184" s="2" t="s">
        <v>3822</v>
      </c>
      <c r="I1184" s="2" t="s">
        <v>1454</v>
      </c>
      <c r="J1184" s="3">
        <v>44841</v>
      </c>
      <c r="K1184" s="2">
        <v>48</v>
      </c>
      <c r="L1184" s="2" t="s">
        <v>33</v>
      </c>
    </row>
    <row r="1185" spans="1:12" x14ac:dyDescent="0.3">
      <c r="A1185" s="2">
        <v>1174</v>
      </c>
      <c r="B1185" s="2" t="s">
        <v>3823</v>
      </c>
      <c r="C1185" s="2" t="s">
        <v>3824</v>
      </c>
      <c r="D1185" s="2" t="s">
        <v>51</v>
      </c>
      <c r="E1185" s="2" t="s">
        <v>16</v>
      </c>
      <c r="F1185" s="2">
        <v>60</v>
      </c>
      <c r="G1185" s="2" t="s">
        <v>10481</v>
      </c>
      <c r="H1185" s="2" t="s">
        <v>3826</v>
      </c>
      <c r="I1185" s="2" t="s">
        <v>20</v>
      </c>
      <c r="J1185" s="3">
        <v>43966</v>
      </c>
      <c r="K1185" s="2">
        <v>78</v>
      </c>
      <c r="L1185" s="2" t="s">
        <v>45</v>
      </c>
    </row>
    <row r="1186" spans="1:12" x14ac:dyDescent="0.3">
      <c r="A1186" s="2">
        <v>1175</v>
      </c>
      <c r="B1186" s="2" t="s">
        <v>3827</v>
      </c>
      <c r="C1186" s="2" t="s">
        <v>669</v>
      </c>
      <c r="D1186" s="2" t="s">
        <v>51</v>
      </c>
      <c r="E1186" s="2" t="s">
        <v>16</v>
      </c>
      <c r="F1186" s="2">
        <v>30</v>
      </c>
      <c r="G1186" s="2" t="s">
        <v>3828</v>
      </c>
      <c r="H1186" s="2" t="s">
        <v>2380</v>
      </c>
      <c r="I1186" s="2" t="s">
        <v>173</v>
      </c>
      <c r="J1186" s="3">
        <v>44422</v>
      </c>
      <c r="K1186" s="2">
        <v>23</v>
      </c>
      <c r="L1186" s="2" t="s">
        <v>45</v>
      </c>
    </row>
    <row r="1187" spans="1:12" x14ac:dyDescent="0.3">
      <c r="A1187" s="2">
        <v>1176</v>
      </c>
      <c r="B1187" s="2" t="s">
        <v>3496</v>
      </c>
      <c r="C1187" s="2" t="s">
        <v>3829</v>
      </c>
      <c r="D1187" s="2" t="s">
        <v>28</v>
      </c>
      <c r="E1187" s="2" t="s">
        <v>29</v>
      </c>
      <c r="F1187" s="2">
        <v>30</v>
      </c>
      <c r="G1187" s="2" t="s">
        <v>3830</v>
      </c>
      <c r="H1187" s="2" t="s">
        <v>1362</v>
      </c>
      <c r="I1187" s="2" t="s">
        <v>178</v>
      </c>
      <c r="J1187" s="3">
        <v>44536</v>
      </c>
      <c r="K1187" s="2">
        <v>21</v>
      </c>
      <c r="L1187" s="2" t="s">
        <v>70</v>
      </c>
    </row>
    <row r="1188" spans="1:12" x14ac:dyDescent="0.3">
      <c r="A1188" s="2">
        <v>1177</v>
      </c>
      <c r="B1188" s="2" t="s">
        <v>1503</v>
      </c>
      <c r="C1188" s="2" t="s">
        <v>3831</v>
      </c>
      <c r="D1188" s="2" t="s">
        <v>28</v>
      </c>
      <c r="E1188" s="2" t="s">
        <v>29</v>
      </c>
      <c r="F1188" s="2">
        <v>90</v>
      </c>
      <c r="G1188" s="2" t="s">
        <v>3830</v>
      </c>
      <c r="H1188" s="2" t="s">
        <v>3059</v>
      </c>
      <c r="I1188" s="2" t="s">
        <v>187</v>
      </c>
      <c r="J1188" s="3">
        <v>44620</v>
      </c>
      <c r="K1188" s="2">
        <v>39</v>
      </c>
      <c r="L1188" s="2" t="s">
        <v>80</v>
      </c>
    </row>
    <row r="1189" spans="1:12" x14ac:dyDescent="0.3">
      <c r="A1189" s="2">
        <v>1178</v>
      </c>
      <c r="B1189" s="2" t="s">
        <v>3832</v>
      </c>
      <c r="C1189" s="2" t="s">
        <v>1688</v>
      </c>
      <c r="D1189" s="2" t="s">
        <v>51</v>
      </c>
      <c r="E1189" s="2" t="s">
        <v>16</v>
      </c>
      <c r="F1189" s="2">
        <v>30</v>
      </c>
      <c r="G1189" s="2" t="s">
        <v>3833</v>
      </c>
      <c r="H1189" s="2" t="s">
        <v>3834</v>
      </c>
      <c r="I1189" s="2" t="s">
        <v>32</v>
      </c>
      <c r="J1189" s="3">
        <v>44062</v>
      </c>
      <c r="K1189" s="2">
        <v>72</v>
      </c>
      <c r="L1189" s="2" t="s">
        <v>45</v>
      </c>
    </row>
    <row r="1190" spans="1:12" x14ac:dyDescent="0.3">
      <c r="A1190" s="2">
        <v>1179</v>
      </c>
      <c r="B1190" s="2" t="s">
        <v>3835</v>
      </c>
      <c r="C1190" s="2" t="s">
        <v>3836</v>
      </c>
      <c r="D1190" s="2" t="s">
        <v>28</v>
      </c>
      <c r="E1190" s="2" t="s">
        <v>29</v>
      </c>
      <c r="F1190" s="2">
        <v>60</v>
      </c>
      <c r="G1190" s="2" t="s">
        <v>3837</v>
      </c>
      <c r="H1190" s="2" t="s">
        <v>2577</v>
      </c>
      <c r="I1190" s="2" t="s">
        <v>645</v>
      </c>
      <c r="J1190" s="3">
        <v>44267</v>
      </c>
      <c r="K1190" s="2">
        <v>66</v>
      </c>
      <c r="L1190" s="2" t="s">
        <v>64</v>
      </c>
    </row>
    <row r="1191" spans="1:12" x14ac:dyDescent="0.3">
      <c r="A1191" s="2">
        <v>1180</v>
      </c>
      <c r="B1191" s="2" t="s">
        <v>3838</v>
      </c>
      <c r="C1191" s="2" t="s">
        <v>3839</v>
      </c>
      <c r="D1191" s="2" t="s">
        <v>51</v>
      </c>
      <c r="E1191" s="2" t="s">
        <v>16</v>
      </c>
      <c r="F1191" s="2">
        <v>90</v>
      </c>
      <c r="G1191" s="2" t="s">
        <v>3840</v>
      </c>
      <c r="H1191" s="2" t="s">
        <v>2056</v>
      </c>
      <c r="I1191" s="2" t="s">
        <v>32</v>
      </c>
      <c r="J1191" s="3">
        <v>44899</v>
      </c>
      <c r="K1191" s="2">
        <v>70</v>
      </c>
      <c r="L1191" s="2" t="s">
        <v>80</v>
      </c>
    </row>
    <row r="1192" spans="1:12" x14ac:dyDescent="0.3">
      <c r="A1192" s="2">
        <v>1181</v>
      </c>
      <c r="B1192" s="2" t="s">
        <v>3841</v>
      </c>
      <c r="C1192" s="2" t="s">
        <v>50</v>
      </c>
      <c r="D1192" s="2" t="s">
        <v>41</v>
      </c>
      <c r="E1192" s="2" t="s">
        <v>16</v>
      </c>
      <c r="F1192" s="2">
        <v>30</v>
      </c>
      <c r="G1192" s="2" t="s">
        <v>3842</v>
      </c>
      <c r="H1192" s="2" t="s">
        <v>1190</v>
      </c>
      <c r="I1192" s="2" t="s">
        <v>173</v>
      </c>
      <c r="J1192" s="3">
        <v>44280</v>
      </c>
      <c r="K1192" s="2">
        <v>44</v>
      </c>
      <c r="L1192" s="2" t="s">
        <v>39</v>
      </c>
    </row>
    <row r="1193" spans="1:12" x14ac:dyDescent="0.3">
      <c r="A1193" s="2">
        <v>1182</v>
      </c>
      <c r="B1193" s="2" t="s">
        <v>130</v>
      </c>
      <c r="C1193" s="2" t="s">
        <v>3843</v>
      </c>
      <c r="D1193" s="2" t="s">
        <v>28</v>
      </c>
      <c r="E1193" s="2" t="s">
        <v>29</v>
      </c>
      <c r="F1193" s="2">
        <v>60</v>
      </c>
      <c r="G1193" s="2" t="s">
        <v>3842</v>
      </c>
      <c r="H1193" s="2" t="s">
        <v>2733</v>
      </c>
      <c r="I1193" s="2" t="s">
        <v>25</v>
      </c>
      <c r="J1193" s="3">
        <v>43906</v>
      </c>
      <c r="K1193" s="2">
        <v>79</v>
      </c>
      <c r="L1193" s="2" t="s">
        <v>64</v>
      </c>
    </row>
    <row r="1194" spans="1:12" x14ac:dyDescent="0.3">
      <c r="A1194" s="2">
        <v>1183</v>
      </c>
      <c r="B1194" s="2" t="s">
        <v>3844</v>
      </c>
      <c r="C1194" s="2" t="s">
        <v>3845</v>
      </c>
      <c r="D1194" s="2" t="s">
        <v>15</v>
      </c>
      <c r="E1194" s="2" t="s">
        <v>16</v>
      </c>
      <c r="F1194" s="2">
        <v>90</v>
      </c>
      <c r="G1194" s="2" t="s">
        <v>3846</v>
      </c>
      <c r="H1194" s="2" t="s">
        <v>1712</v>
      </c>
      <c r="I1194" s="2" t="s">
        <v>187</v>
      </c>
      <c r="J1194" s="3">
        <v>44321</v>
      </c>
      <c r="K1194" s="2">
        <v>88</v>
      </c>
      <c r="L1194" s="2" t="s">
        <v>54</v>
      </c>
    </row>
    <row r="1195" spans="1:12" x14ac:dyDescent="0.3">
      <c r="A1195" s="2">
        <v>1184</v>
      </c>
      <c r="B1195" s="2" t="s">
        <v>3847</v>
      </c>
      <c r="C1195" s="2" t="s">
        <v>3848</v>
      </c>
      <c r="D1195" s="2" t="s">
        <v>15</v>
      </c>
      <c r="E1195" s="2" t="s">
        <v>16</v>
      </c>
      <c r="F1195" s="2">
        <v>60</v>
      </c>
      <c r="G1195" s="2" t="s">
        <v>3849</v>
      </c>
      <c r="H1195" s="2" t="s">
        <v>1772</v>
      </c>
      <c r="I1195" s="2" t="s">
        <v>178</v>
      </c>
      <c r="J1195" s="3">
        <v>43866</v>
      </c>
      <c r="K1195" s="2">
        <v>31</v>
      </c>
      <c r="L1195" s="2" t="s">
        <v>54</v>
      </c>
    </row>
    <row r="1196" spans="1:12" x14ac:dyDescent="0.3">
      <c r="A1196" s="2">
        <v>1185</v>
      </c>
      <c r="B1196" s="2" t="s">
        <v>1337</v>
      </c>
      <c r="C1196" s="2" t="s">
        <v>3474</v>
      </c>
      <c r="D1196" s="2" t="s">
        <v>28</v>
      </c>
      <c r="E1196" s="2" t="s">
        <v>29</v>
      </c>
      <c r="F1196" s="2">
        <v>90</v>
      </c>
      <c r="G1196" s="2" t="s">
        <v>3850</v>
      </c>
      <c r="H1196" s="2" t="s">
        <v>3851</v>
      </c>
      <c r="I1196" s="2" t="s">
        <v>32</v>
      </c>
      <c r="J1196" s="3">
        <v>44582</v>
      </c>
      <c r="K1196" s="2">
        <v>31</v>
      </c>
      <c r="L1196" s="2" t="s">
        <v>45</v>
      </c>
    </row>
    <row r="1197" spans="1:12" x14ac:dyDescent="0.3">
      <c r="A1197" s="2">
        <v>1186</v>
      </c>
      <c r="B1197" s="2" t="s">
        <v>3852</v>
      </c>
      <c r="C1197" s="2" t="s">
        <v>2995</v>
      </c>
      <c r="D1197" s="2" t="s">
        <v>15</v>
      </c>
      <c r="E1197" s="2" t="s">
        <v>16</v>
      </c>
      <c r="F1197" s="2">
        <v>30</v>
      </c>
      <c r="G1197" s="2" t="s">
        <v>3853</v>
      </c>
      <c r="H1197" s="2" t="s">
        <v>3854</v>
      </c>
      <c r="I1197" s="2" t="s">
        <v>38</v>
      </c>
      <c r="J1197" s="3">
        <v>44025</v>
      </c>
      <c r="K1197" s="2">
        <v>66</v>
      </c>
      <c r="L1197" s="2" t="s">
        <v>70</v>
      </c>
    </row>
    <row r="1198" spans="1:12" x14ac:dyDescent="0.3">
      <c r="A1198" s="2">
        <v>1187</v>
      </c>
      <c r="B1198" s="2" t="s">
        <v>3855</v>
      </c>
      <c r="C1198" s="2" t="s">
        <v>2923</v>
      </c>
      <c r="D1198" s="2" t="s">
        <v>28</v>
      </c>
      <c r="E1198" s="2" t="s">
        <v>29</v>
      </c>
      <c r="F1198" s="2">
        <v>30</v>
      </c>
      <c r="G1198" s="2" t="s">
        <v>3856</v>
      </c>
      <c r="H1198" s="2" t="s">
        <v>2645</v>
      </c>
      <c r="I1198" s="2" t="s">
        <v>32</v>
      </c>
      <c r="J1198" s="3">
        <v>43844</v>
      </c>
      <c r="K1198" s="2">
        <v>8</v>
      </c>
      <c r="L1198" s="2" t="s">
        <v>80</v>
      </c>
    </row>
    <row r="1199" spans="1:12" x14ac:dyDescent="0.3">
      <c r="A1199" s="2">
        <v>1188</v>
      </c>
      <c r="B1199" s="2" t="s">
        <v>3857</v>
      </c>
      <c r="C1199" s="2" t="s">
        <v>2427</v>
      </c>
      <c r="D1199" s="2" t="s">
        <v>51</v>
      </c>
      <c r="E1199" s="2" t="s">
        <v>16</v>
      </c>
      <c r="F1199" s="2">
        <v>30</v>
      </c>
      <c r="G1199" s="2" t="s">
        <v>3858</v>
      </c>
      <c r="H1199" s="2" t="s">
        <v>3859</v>
      </c>
      <c r="I1199" s="2" t="s">
        <v>124</v>
      </c>
      <c r="J1199" s="3">
        <v>44095</v>
      </c>
      <c r="K1199" s="2">
        <v>11</v>
      </c>
      <c r="L1199" s="2" t="s">
        <v>33</v>
      </c>
    </row>
    <row r="1200" spans="1:12" x14ac:dyDescent="0.3">
      <c r="A1200" s="2">
        <v>1189</v>
      </c>
      <c r="B1200" s="2" t="s">
        <v>3860</v>
      </c>
      <c r="C1200" s="2" t="s">
        <v>1999</v>
      </c>
      <c r="D1200" s="2" t="s">
        <v>15</v>
      </c>
      <c r="E1200" s="2" t="s">
        <v>16</v>
      </c>
      <c r="F1200" s="2">
        <v>30</v>
      </c>
      <c r="G1200" s="2" t="s">
        <v>3861</v>
      </c>
      <c r="H1200" s="2" t="s">
        <v>3862</v>
      </c>
      <c r="I1200" s="2" t="s">
        <v>2543</v>
      </c>
      <c r="J1200" s="3">
        <v>44301</v>
      </c>
      <c r="K1200" s="2">
        <v>50</v>
      </c>
      <c r="L1200" s="2" t="s">
        <v>80</v>
      </c>
    </row>
    <row r="1201" spans="1:12" x14ac:dyDescent="0.3">
      <c r="A1201" s="2">
        <v>1190</v>
      </c>
      <c r="B1201" s="2" t="s">
        <v>3863</v>
      </c>
      <c r="C1201" s="2" t="s">
        <v>3864</v>
      </c>
      <c r="D1201" s="2" t="s">
        <v>92</v>
      </c>
      <c r="E1201" s="2" t="s">
        <v>16</v>
      </c>
      <c r="F1201" s="2">
        <v>30</v>
      </c>
      <c r="G1201" s="2" t="s">
        <v>3865</v>
      </c>
      <c r="H1201" s="2" t="s">
        <v>3866</v>
      </c>
      <c r="I1201" s="2" t="s">
        <v>32</v>
      </c>
      <c r="J1201" s="3">
        <v>44048</v>
      </c>
      <c r="K1201" s="2">
        <v>75</v>
      </c>
      <c r="L1201" s="2" t="s">
        <v>101</v>
      </c>
    </row>
    <row r="1202" spans="1:12" x14ac:dyDescent="0.3">
      <c r="A1202" s="2">
        <v>1191</v>
      </c>
      <c r="B1202" s="2" t="s">
        <v>3867</v>
      </c>
      <c r="C1202" s="2" t="s">
        <v>3222</v>
      </c>
      <c r="D1202" s="2" t="s">
        <v>28</v>
      </c>
      <c r="E1202" s="2" t="s">
        <v>29</v>
      </c>
      <c r="F1202" s="2">
        <v>60</v>
      </c>
      <c r="G1202" s="2" t="s">
        <v>3868</v>
      </c>
      <c r="H1202" s="2" t="s">
        <v>424</v>
      </c>
      <c r="I1202" s="2" t="s">
        <v>425</v>
      </c>
      <c r="J1202" s="3">
        <v>44713</v>
      </c>
      <c r="K1202" s="2">
        <v>68</v>
      </c>
      <c r="L1202" s="2" t="s">
        <v>45</v>
      </c>
    </row>
    <row r="1203" spans="1:12" x14ac:dyDescent="0.3">
      <c r="A1203" s="2">
        <v>1192</v>
      </c>
      <c r="B1203" s="2" t="s">
        <v>711</v>
      </c>
      <c r="C1203" s="2" t="s">
        <v>180</v>
      </c>
      <c r="D1203" s="2" t="s">
        <v>28</v>
      </c>
      <c r="E1203" s="2" t="s">
        <v>29</v>
      </c>
      <c r="F1203" s="2">
        <v>90</v>
      </c>
      <c r="G1203" s="2" t="s">
        <v>10482</v>
      </c>
      <c r="H1203" s="2" t="s">
        <v>3870</v>
      </c>
      <c r="I1203" s="2" t="s">
        <v>124</v>
      </c>
      <c r="J1203" s="3">
        <v>44251</v>
      </c>
      <c r="K1203" s="2">
        <v>76</v>
      </c>
      <c r="L1203" s="2" t="s">
        <v>33</v>
      </c>
    </row>
    <row r="1204" spans="1:12" x14ac:dyDescent="0.3">
      <c r="A1204" s="2">
        <v>1193</v>
      </c>
      <c r="B1204" s="2" t="s">
        <v>3871</v>
      </c>
      <c r="C1204" s="2" t="s">
        <v>3872</v>
      </c>
      <c r="D1204" s="2" t="s">
        <v>28</v>
      </c>
      <c r="E1204" s="2" t="s">
        <v>29</v>
      </c>
      <c r="F1204" s="2">
        <v>90</v>
      </c>
      <c r="G1204" s="2" t="s">
        <v>3873</v>
      </c>
      <c r="H1204" s="2" t="s">
        <v>1764</v>
      </c>
      <c r="I1204" s="2" t="s">
        <v>124</v>
      </c>
      <c r="J1204" s="3">
        <v>44503</v>
      </c>
      <c r="K1204" s="2">
        <v>14</v>
      </c>
      <c r="L1204" s="2" t="s">
        <v>20</v>
      </c>
    </row>
    <row r="1205" spans="1:12" x14ac:dyDescent="0.3">
      <c r="A1205" s="2">
        <v>1194</v>
      </c>
      <c r="B1205" s="2" t="s">
        <v>3874</v>
      </c>
      <c r="C1205" s="2" t="s">
        <v>1599</v>
      </c>
      <c r="D1205" s="2" t="s">
        <v>15</v>
      </c>
      <c r="E1205" s="2" t="s">
        <v>16</v>
      </c>
      <c r="F1205" s="2">
        <v>90</v>
      </c>
      <c r="G1205" s="2" t="s">
        <v>3875</v>
      </c>
      <c r="H1205" s="2" t="s">
        <v>3876</v>
      </c>
      <c r="I1205" s="2" t="s">
        <v>32</v>
      </c>
      <c r="J1205" s="3">
        <v>43870</v>
      </c>
      <c r="K1205" s="2">
        <v>79</v>
      </c>
      <c r="L1205" s="2" t="s">
        <v>39</v>
      </c>
    </row>
    <row r="1206" spans="1:12" x14ac:dyDescent="0.3">
      <c r="A1206" s="2">
        <v>1195</v>
      </c>
      <c r="B1206" s="2" t="s">
        <v>3877</v>
      </c>
      <c r="C1206" s="2" t="s">
        <v>1058</v>
      </c>
      <c r="D1206" s="2" t="s">
        <v>15</v>
      </c>
      <c r="E1206" s="2" t="s">
        <v>16</v>
      </c>
      <c r="F1206" s="2">
        <v>30</v>
      </c>
      <c r="G1206" s="2" t="s">
        <v>3878</v>
      </c>
      <c r="H1206" s="2" t="s">
        <v>1945</v>
      </c>
      <c r="I1206" s="2" t="s">
        <v>32</v>
      </c>
      <c r="J1206" s="3">
        <v>44029</v>
      </c>
      <c r="K1206" s="2">
        <v>77</v>
      </c>
      <c r="L1206" s="2" t="s">
        <v>54</v>
      </c>
    </row>
    <row r="1207" spans="1:12" x14ac:dyDescent="0.3">
      <c r="A1207" s="2">
        <v>1196</v>
      </c>
      <c r="B1207" s="2" t="s">
        <v>309</v>
      </c>
      <c r="C1207" s="2" t="s">
        <v>3460</v>
      </c>
      <c r="D1207" s="2" t="s">
        <v>28</v>
      </c>
      <c r="E1207" s="2" t="s">
        <v>29</v>
      </c>
      <c r="F1207" s="2">
        <v>90</v>
      </c>
      <c r="G1207" s="2" t="s">
        <v>3879</v>
      </c>
      <c r="H1207" s="2" t="s">
        <v>2965</v>
      </c>
      <c r="I1207" s="2" t="s">
        <v>25</v>
      </c>
      <c r="J1207" s="3">
        <v>44240</v>
      </c>
      <c r="K1207" s="2">
        <v>87</v>
      </c>
      <c r="L1207" s="2" t="s">
        <v>39</v>
      </c>
    </row>
    <row r="1208" spans="1:12" x14ac:dyDescent="0.3">
      <c r="A1208" s="2">
        <v>1197</v>
      </c>
      <c r="B1208" s="2" t="s">
        <v>3880</v>
      </c>
      <c r="C1208" s="2" t="s">
        <v>788</v>
      </c>
      <c r="D1208" s="2" t="s">
        <v>28</v>
      </c>
      <c r="E1208" s="2" t="s">
        <v>29</v>
      </c>
      <c r="F1208" s="2">
        <v>60</v>
      </c>
      <c r="G1208" s="2" t="s">
        <v>3881</v>
      </c>
      <c r="H1208" s="2" t="s">
        <v>3882</v>
      </c>
      <c r="I1208" s="2" t="s">
        <v>38</v>
      </c>
      <c r="J1208" s="3">
        <v>44434</v>
      </c>
      <c r="K1208" s="2">
        <v>95</v>
      </c>
      <c r="L1208" s="2" t="s">
        <v>159</v>
      </c>
    </row>
    <row r="1209" spans="1:12" x14ac:dyDescent="0.3">
      <c r="A1209" s="2">
        <v>1198</v>
      </c>
      <c r="B1209" s="2" t="s">
        <v>3883</v>
      </c>
      <c r="C1209" s="2" t="s">
        <v>3884</v>
      </c>
      <c r="D1209" s="2" t="s">
        <v>51</v>
      </c>
      <c r="E1209" s="2" t="s">
        <v>16</v>
      </c>
      <c r="F1209" s="2">
        <v>60</v>
      </c>
      <c r="G1209" s="2" t="s">
        <v>3885</v>
      </c>
      <c r="H1209" s="2" t="s">
        <v>279</v>
      </c>
      <c r="I1209" s="2" t="s">
        <v>213</v>
      </c>
      <c r="J1209" s="3">
        <v>44072</v>
      </c>
      <c r="K1209" s="2">
        <v>32</v>
      </c>
      <c r="L1209" s="2" t="s">
        <v>159</v>
      </c>
    </row>
    <row r="1210" spans="1:12" x14ac:dyDescent="0.3">
      <c r="A1210" s="2">
        <v>1199</v>
      </c>
      <c r="B1210" s="2" t="s">
        <v>3886</v>
      </c>
      <c r="C1210" s="2" t="s">
        <v>3887</v>
      </c>
      <c r="D1210" s="2" t="s">
        <v>51</v>
      </c>
      <c r="E1210" s="2" t="s">
        <v>16</v>
      </c>
      <c r="F1210" s="2">
        <v>90</v>
      </c>
      <c r="G1210" s="2" t="s">
        <v>3888</v>
      </c>
      <c r="H1210" s="2" t="s">
        <v>400</v>
      </c>
      <c r="I1210" s="2" t="s">
        <v>401</v>
      </c>
      <c r="J1210" s="3">
        <v>44563</v>
      </c>
      <c r="K1210" s="2">
        <v>46</v>
      </c>
      <c r="L1210" s="2" t="s">
        <v>70</v>
      </c>
    </row>
    <row r="1211" spans="1:12" x14ac:dyDescent="0.3">
      <c r="A1211" s="2">
        <v>1200</v>
      </c>
      <c r="B1211" s="2" t="s">
        <v>3889</v>
      </c>
      <c r="C1211" s="2" t="s">
        <v>3588</v>
      </c>
      <c r="D1211" s="2" t="s">
        <v>51</v>
      </c>
      <c r="E1211" s="2" t="s">
        <v>16</v>
      </c>
      <c r="F1211" s="2">
        <v>60</v>
      </c>
      <c r="G1211" s="2" t="s">
        <v>3890</v>
      </c>
      <c r="H1211" s="2" t="s">
        <v>3891</v>
      </c>
      <c r="I1211" s="2" t="s">
        <v>124</v>
      </c>
      <c r="J1211" s="3">
        <v>44004</v>
      </c>
      <c r="K1211" s="2">
        <v>30</v>
      </c>
      <c r="L1211" s="2" t="s">
        <v>101</v>
      </c>
    </row>
    <row r="1212" spans="1:12" x14ac:dyDescent="0.3">
      <c r="A1212" s="2">
        <v>1201</v>
      </c>
      <c r="B1212" s="2" t="s">
        <v>3140</v>
      </c>
      <c r="C1212" s="2" t="s">
        <v>3892</v>
      </c>
      <c r="D1212" s="2" t="s">
        <v>28</v>
      </c>
      <c r="E1212" s="2" t="s">
        <v>29</v>
      </c>
      <c r="F1212" s="2">
        <v>90</v>
      </c>
      <c r="G1212" s="2" t="s">
        <v>3893</v>
      </c>
      <c r="H1212" s="2" t="s">
        <v>3894</v>
      </c>
      <c r="I1212" s="2" t="s">
        <v>110</v>
      </c>
      <c r="J1212" s="3">
        <v>44575</v>
      </c>
      <c r="K1212" s="2">
        <v>105</v>
      </c>
      <c r="L1212" s="2" t="s">
        <v>20</v>
      </c>
    </row>
    <row r="1213" spans="1:12" x14ac:dyDescent="0.3">
      <c r="A1213" s="2">
        <v>1202</v>
      </c>
      <c r="B1213" s="2" t="s">
        <v>3895</v>
      </c>
      <c r="C1213" s="2" t="s">
        <v>1588</v>
      </c>
      <c r="D1213" s="2" t="s">
        <v>15</v>
      </c>
      <c r="E1213" s="2" t="s">
        <v>16</v>
      </c>
      <c r="F1213" s="2">
        <v>90</v>
      </c>
      <c r="G1213" s="2" t="s">
        <v>3896</v>
      </c>
      <c r="H1213" s="2" t="s">
        <v>3897</v>
      </c>
      <c r="I1213" s="2" t="s">
        <v>3898</v>
      </c>
      <c r="J1213" s="3">
        <v>44391</v>
      </c>
      <c r="K1213" s="2">
        <v>2</v>
      </c>
      <c r="L1213" s="2" t="s">
        <v>33</v>
      </c>
    </row>
    <row r="1214" spans="1:12" x14ac:dyDescent="0.3">
      <c r="A1214" s="2">
        <v>1203</v>
      </c>
      <c r="B1214" s="2" t="s">
        <v>3899</v>
      </c>
      <c r="C1214" s="2" t="s">
        <v>3900</v>
      </c>
      <c r="D1214" s="2" t="s">
        <v>15</v>
      </c>
      <c r="E1214" s="2" t="s">
        <v>16</v>
      </c>
      <c r="F1214" s="2">
        <v>30</v>
      </c>
      <c r="G1214" s="2" t="s">
        <v>10483</v>
      </c>
      <c r="H1214" s="2" t="s">
        <v>123</v>
      </c>
      <c r="I1214" s="2" t="s">
        <v>124</v>
      </c>
      <c r="J1214" s="3">
        <v>44219</v>
      </c>
      <c r="K1214" s="2">
        <v>33</v>
      </c>
      <c r="L1214" s="2" t="s">
        <v>39</v>
      </c>
    </row>
    <row r="1215" spans="1:12" x14ac:dyDescent="0.3">
      <c r="A1215" s="2">
        <v>1204</v>
      </c>
      <c r="B1215" s="2" t="s">
        <v>3902</v>
      </c>
      <c r="C1215" s="2" t="s">
        <v>976</v>
      </c>
      <c r="D1215" s="2" t="s">
        <v>28</v>
      </c>
      <c r="E1215" s="2" t="s">
        <v>29</v>
      </c>
      <c r="F1215" s="2">
        <v>90</v>
      </c>
      <c r="G1215" s="2" t="s">
        <v>3903</v>
      </c>
      <c r="H1215" s="2" t="s">
        <v>3041</v>
      </c>
      <c r="I1215" s="2" t="s">
        <v>124</v>
      </c>
      <c r="J1215" s="3">
        <v>44555</v>
      </c>
      <c r="K1215" s="2">
        <v>80</v>
      </c>
      <c r="L1215" s="2" t="s">
        <v>101</v>
      </c>
    </row>
    <row r="1216" spans="1:12" x14ac:dyDescent="0.3">
      <c r="A1216" s="2">
        <v>1205</v>
      </c>
      <c r="B1216" s="2" t="s">
        <v>3904</v>
      </c>
      <c r="C1216" s="2" t="s">
        <v>3905</v>
      </c>
      <c r="D1216" s="2" t="s">
        <v>92</v>
      </c>
      <c r="E1216" s="2" t="s">
        <v>16</v>
      </c>
      <c r="F1216" s="2">
        <v>30</v>
      </c>
      <c r="G1216" s="2" t="s">
        <v>3906</v>
      </c>
      <c r="H1216" s="2" t="s">
        <v>2172</v>
      </c>
      <c r="I1216" s="2" t="s">
        <v>32</v>
      </c>
      <c r="J1216" s="3">
        <v>43888</v>
      </c>
      <c r="K1216" s="2">
        <v>8</v>
      </c>
      <c r="L1216" s="2" t="s">
        <v>101</v>
      </c>
    </row>
    <row r="1217" spans="1:12" x14ac:dyDescent="0.3">
      <c r="A1217" s="2">
        <v>1206</v>
      </c>
      <c r="B1217" s="2" t="s">
        <v>3124</v>
      </c>
      <c r="C1217" s="2" t="s">
        <v>3907</v>
      </c>
      <c r="D1217" s="2" t="s">
        <v>28</v>
      </c>
      <c r="E1217" s="2" t="s">
        <v>29</v>
      </c>
      <c r="F1217" s="2">
        <v>90</v>
      </c>
      <c r="G1217" s="2" t="s">
        <v>3908</v>
      </c>
      <c r="H1217" s="2" t="s">
        <v>1505</v>
      </c>
      <c r="I1217" s="2" t="s">
        <v>32</v>
      </c>
      <c r="J1217" s="3">
        <v>44177</v>
      </c>
      <c r="K1217" s="2">
        <v>72</v>
      </c>
      <c r="L1217" s="2" t="s">
        <v>33</v>
      </c>
    </row>
    <row r="1218" spans="1:12" x14ac:dyDescent="0.3">
      <c r="A1218" s="2">
        <v>1207</v>
      </c>
      <c r="B1218" s="2" t="s">
        <v>994</v>
      </c>
      <c r="C1218" s="2" t="s">
        <v>2485</v>
      </c>
      <c r="D1218" s="2" t="s">
        <v>28</v>
      </c>
      <c r="E1218" s="2" t="s">
        <v>29</v>
      </c>
      <c r="F1218" s="2">
        <v>60</v>
      </c>
      <c r="G1218" s="2" t="s">
        <v>3908</v>
      </c>
      <c r="H1218" s="2" t="s">
        <v>3909</v>
      </c>
      <c r="I1218" s="2" t="s">
        <v>32</v>
      </c>
      <c r="J1218" s="3">
        <v>44899</v>
      </c>
      <c r="K1218" s="2">
        <v>79</v>
      </c>
      <c r="L1218" s="2" t="s">
        <v>54</v>
      </c>
    </row>
    <row r="1219" spans="1:12" x14ac:dyDescent="0.3">
      <c r="A1219" s="2">
        <v>1208</v>
      </c>
      <c r="B1219" s="2" t="s">
        <v>3910</v>
      </c>
      <c r="C1219" s="2" t="s">
        <v>3911</v>
      </c>
      <c r="D1219" s="2" t="s">
        <v>28</v>
      </c>
      <c r="E1219" s="2" t="s">
        <v>29</v>
      </c>
      <c r="F1219" s="2">
        <v>90</v>
      </c>
      <c r="G1219" s="2" t="s">
        <v>3912</v>
      </c>
      <c r="H1219" s="2" t="s">
        <v>2498</v>
      </c>
      <c r="I1219" s="2" t="s">
        <v>913</v>
      </c>
      <c r="J1219" s="3">
        <v>44512</v>
      </c>
      <c r="K1219" s="2">
        <v>74</v>
      </c>
      <c r="L1219" s="2" t="s">
        <v>33</v>
      </c>
    </row>
    <row r="1220" spans="1:12" x14ac:dyDescent="0.3">
      <c r="A1220" s="2">
        <v>1209</v>
      </c>
      <c r="B1220" s="2" t="s">
        <v>2605</v>
      </c>
      <c r="C1220" s="2" t="s">
        <v>3913</v>
      </c>
      <c r="D1220" s="2" t="s">
        <v>15</v>
      </c>
      <c r="E1220" s="2" t="s">
        <v>16</v>
      </c>
      <c r="F1220" s="2">
        <v>90</v>
      </c>
      <c r="G1220" s="2" t="s">
        <v>3914</v>
      </c>
      <c r="H1220" s="2" t="s">
        <v>3915</v>
      </c>
      <c r="I1220" s="2" t="s">
        <v>173</v>
      </c>
      <c r="J1220" s="3">
        <v>44480</v>
      </c>
      <c r="K1220" s="2">
        <v>28</v>
      </c>
      <c r="L1220" s="2" t="s">
        <v>159</v>
      </c>
    </row>
    <row r="1221" spans="1:12" x14ac:dyDescent="0.3">
      <c r="A1221" s="2">
        <v>1210</v>
      </c>
      <c r="B1221" s="2" t="s">
        <v>3916</v>
      </c>
      <c r="C1221" s="2" t="s">
        <v>3917</v>
      </c>
      <c r="D1221" s="2" t="s">
        <v>15</v>
      </c>
      <c r="E1221" s="2" t="s">
        <v>16</v>
      </c>
      <c r="F1221" s="2">
        <v>90</v>
      </c>
      <c r="G1221" s="2" t="s">
        <v>3918</v>
      </c>
      <c r="H1221" s="2" t="s">
        <v>302</v>
      </c>
      <c r="I1221" s="2" t="s">
        <v>303</v>
      </c>
      <c r="J1221" s="3">
        <v>44876</v>
      </c>
      <c r="K1221" s="2">
        <v>38</v>
      </c>
      <c r="L1221" s="2" t="s">
        <v>159</v>
      </c>
    </row>
    <row r="1222" spans="1:12" x14ac:dyDescent="0.3">
      <c r="A1222" s="2">
        <v>1211</v>
      </c>
      <c r="B1222" s="2" t="s">
        <v>3919</v>
      </c>
      <c r="C1222" s="2" t="s">
        <v>3920</v>
      </c>
      <c r="D1222" s="2" t="s">
        <v>51</v>
      </c>
      <c r="E1222" s="2" t="s">
        <v>16</v>
      </c>
      <c r="F1222" s="2">
        <v>30</v>
      </c>
      <c r="G1222" s="2" t="s">
        <v>3921</v>
      </c>
      <c r="H1222" s="2" t="s">
        <v>2284</v>
      </c>
      <c r="I1222" s="2" t="s">
        <v>32</v>
      </c>
      <c r="J1222" s="3">
        <v>44083</v>
      </c>
      <c r="K1222" s="2">
        <v>22</v>
      </c>
      <c r="L1222" s="2" t="s">
        <v>80</v>
      </c>
    </row>
    <row r="1223" spans="1:12" x14ac:dyDescent="0.3">
      <c r="A1223" s="2">
        <v>1212</v>
      </c>
      <c r="B1223" s="2" t="s">
        <v>1236</v>
      </c>
      <c r="C1223" s="2" t="s">
        <v>3922</v>
      </c>
      <c r="D1223" s="2" t="s">
        <v>15</v>
      </c>
      <c r="E1223" s="2" t="s">
        <v>16</v>
      </c>
      <c r="F1223" s="2">
        <v>90</v>
      </c>
      <c r="G1223" s="2" t="s">
        <v>3923</v>
      </c>
      <c r="H1223" s="2" t="s">
        <v>1716</v>
      </c>
      <c r="I1223" s="2" t="s">
        <v>425</v>
      </c>
      <c r="J1223" s="3">
        <v>43831</v>
      </c>
      <c r="K1223" s="2">
        <v>14</v>
      </c>
      <c r="L1223" s="2" t="s">
        <v>39</v>
      </c>
    </row>
    <row r="1224" spans="1:12" x14ac:dyDescent="0.3">
      <c r="A1224" s="2">
        <v>1213</v>
      </c>
      <c r="B1224" s="2" t="s">
        <v>3924</v>
      </c>
      <c r="C1224" s="2" t="s">
        <v>2928</v>
      </c>
      <c r="D1224" s="2" t="s">
        <v>15</v>
      </c>
      <c r="E1224" s="2" t="s">
        <v>16</v>
      </c>
      <c r="F1224" s="2">
        <v>90</v>
      </c>
      <c r="G1224" s="2" t="s">
        <v>3925</v>
      </c>
      <c r="H1224" s="2" t="s">
        <v>726</v>
      </c>
      <c r="I1224" s="2" t="s">
        <v>32</v>
      </c>
      <c r="J1224" s="3">
        <v>44001</v>
      </c>
      <c r="K1224" s="2">
        <v>29</v>
      </c>
      <c r="L1224" s="2" t="s">
        <v>70</v>
      </c>
    </row>
    <row r="1225" spans="1:12" x14ac:dyDescent="0.3">
      <c r="A1225" s="2">
        <v>1214</v>
      </c>
      <c r="B1225" s="2" t="s">
        <v>1327</v>
      </c>
      <c r="C1225" s="2" t="s">
        <v>3357</v>
      </c>
      <c r="D1225" s="2" t="s">
        <v>28</v>
      </c>
      <c r="E1225" s="2" t="s">
        <v>29</v>
      </c>
      <c r="F1225" s="2">
        <v>60</v>
      </c>
      <c r="G1225" s="2" t="s">
        <v>3926</v>
      </c>
      <c r="H1225" s="2" t="s">
        <v>3224</v>
      </c>
      <c r="I1225" s="2" t="s">
        <v>2022</v>
      </c>
      <c r="J1225" s="3">
        <v>44583</v>
      </c>
      <c r="K1225" s="2">
        <v>54</v>
      </c>
      <c r="L1225" s="2" t="s">
        <v>33</v>
      </c>
    </row>
    <row r="1226" spans="1:12" x14ac:dyDescent="0.3">
      <c r="A1226" s="2">
        <v>1215</v>
      </c>
      <c r="B1226" s="2" t="s">
        <v>3927</v>
      </c>
      <c r="C1226" s="2" t="s">
        <v>3928</v>
      </c>
      <c r="D1226" s="2" t="s">
        <v>117</v>
      </c>
      <c r="E1226" s="2" t="s">
        <v>29</v>
      </c>
      <c r="F1226" s="2">
        <v>90</v>
      </c>
      <c r="G1226" s="2" t="s">
        <v>3929</v>
      </c>
      <c r="H1226" s="2" t="s">
        <v>890</v>
      </c>
      <c r="I1226" s="2" t="s">
        <v>178</v>
      </c>
      <c r="J1226" s="3">
        <v>44911</v>
      </c>
      <c r="K1226" s="2">
        <v>19</v>
      </c>
      <c r="L1226" s="2" t="s">
        <v>80</v>
      </c>
    </row>
    <row r="1227" spans="1:12" x14ac:dyDescent="0.3">
      <c r="A1227" s="2">
        <v>1216</v>
      </c>
      <c r="B1227" s="2" t="s">
        <v>774</v>
      </c>
      <c r="C1227" s="2" t="s">
        <v>3930</v>
      </c>
      <c r="D1227" s="2" t="s">
        <v>28</v>
      </c>
      <c r="E1227" s="2" t="s">
        <v>29</v>
      </c>
      <c r="F1227" s="2">
        <v>30</v>
      </c>
      <c r="G1227" s="2" t="s">
        <v>3931</v>
      </c>
      <c r="H1227" s="2" t="s">
        <v>3932</v>
      </c>
      <c r="I1227" s="2" t="s">
        <v>32</v>
      </c>
      <c r="J1227" s="3">
        <v>44308</v>
      </c>
      <c r="K1227" s="2">
        <v>56</v>
      </c>
      <c r="L1227" s="2" t="s">
        <v>70</v>
      </c>
    </row>
    <row r="1228" spans="1:12" x14ac:dyDescent="0.3">
      <c r="A1228" s="2">
        <v>1217</v>
      </c>
      <c r="B1228" s="2" t="s">
        <v>2086</v>
      </c>
      <c r="C1228" s="2" t="s">
        <v>3933</v>
      </c>
      <c r="D1228" s="2" t="s">
        <v>28</v>
      </c>
      <c r="E1228" s="2" t="s">
        <v>29</v>
      </c>
      <c r="F1228" s="2">
        <v>90</v>
      </c>
      <c r="G1228" s="2" t="s">
        <v>3934</v>
      </c>
      <c r="H1228" s="2" t="s">
        <v>776</v>
      </c>
      <c r="I1228" s="2" t="s">
        <v>777</v>
      </c>
      <c r="J1228" s="3">
        <v>44890</v>
      </c>
      <c r="K1228" s="2">
        <v>93</v>
      </c>
      <c r="L1228" s="2" t="s">
        <v>70</v>
      </c>
    </row>
    <row r="1229" spans="1:12" x14ac:dyDescent="0.3">
      <c r="A1229" s="2">
        <v>1218</v>
      </c>
      <c r="B1229" s="2" t="s">
        <v>2412</v>
      </c>
      <c r="C1229" s="2" t="s">
        <v>3935</v>
      </c>
      <c r="D1229" s="2" t="s">
        <v>28</v>
      </c>
      <c r="E1229" s="2" t="s">
        <v>29</v>
      </c>
      <c r="F1229" s="2">
        <v>30</v>
      </c>
      <c r="G1229" s="2" t="s">
        <v>3936</v>
      </c>
      <c r="H1229" s="2" t="s">
        <v>1940</v>
      </c>
      <c r="I1229" s="2" t="s">
        <v>294</v>
      </c>
      <c r="J1229" s="3">
        <v>44115</v>
      </c>
      <c r="K1229" s="2">
        <v>75</v>
      </c>
      <c r="L1229" s="2" t="s">
        <v>101</v>
      </c>
    </row>
    <row r="1230" spans="1:12" x14ac:dyDescent="0.3">
      <c r="A1230" s="2">
        <v>1219</v>
      </c>
      <c r="B1230" s="2" t="s">
        <v>3937</v>
      </c>
      <c r="C1230" s="2" t="s">
        <v>3938</v>
      </c>
      <c r="D1230" s="2" t="s">
        <v>51</v>
      </c>
      <c r="E1230" s="2" t="s">
        <v>16</v>
      </c>
      <c r="F1230" s="2">
        <v>90</v>
      </c>
      <c r="G1230" s="2" t="s">
        <v>3939</v>
      </c>
      <c r="H1230" s="2" t="s">
        <v>24</v>
      </c>
      <c r="I1230" s="2" t="s">
        <v>25</v>
      </c>
      <c r="J1230" s="3">
        <v>43853</v>
      </c>
      <c r="K1230" s="2">
        <v>76</v>
      </c>
      <c r="L1230" s="2" t="s">
        <v>70</v>
      </c>
    </row>
    <row r="1231" spans="1:12" x14ac:dyDescent="0.3">
      <c r="A1231" s="2">
        <v>1220</v>
      </c>
      <c r="B1231" s="2" t="s">
        <v>3940</v>
      </c>
      <c r="C1231" s="2" t="s">
        <v>3941</v>
      </c>
      <c r="D1231" s="2" t="s">
        <v>28</v>
      </c>
      <c r="E1231" s="2" t="s">
        <v>29</v>
      </c>
      <c r="F1231" s="2">
        <v>30</v>
      </c>
      <c r="G1231" s="2" t="s">
        <v>3939</v>
      </c>
      <c r="H1231" s="2" t="s">
        <v>3942</v>
      </c>
      <c r="I1231" s="2" t="s">
        <v>294</v>
      </c>
      <c r="J1231" s="3">
        <v>44367</v>
      </c>
      <c r="K1231" s="2">
        <v>87</v>
      </c>
      <c r="L1231" s="2" t="s">
        <v>80</v>
      </c>
    </row>
    <row r="1232" spans="1:12" x14ac:dyDescent="0.3">
      <c r="A1232" s="2">
        <v>1221</v>
      </c>
      <c r="B1232" s="2" t="s">
        <v>3943</v>
      </c>
      <c r="C1232" s="2" t="s">
        <v>3944</v>
      </c>
      <c r="D1232" s="2" t="s">
        <v>28</v>
      </c>
      <c r="E1232" s="2" t="s">
        <v>29</v>
      </c>
      <c r="F1232" s="2">
        <v>90</v>
      </c>
      <c r="G1232" s="2" t="s">
        <v>3945</v>
      </c>
      <c r="H1232" s="2" t="s">
        <v>3044</v>
      </c>
      <c r="I1232" s="2" t="s">
        <v>1413</v>
      </c>
      <c r="J1232" s="3">
        <v>44675</v>
      </c>
      <c r="K1232" s="2">
        <v>29</v>
      </c>
      <c r="L1232" s="2" t="s">
        <v>159</v>
      </c>
    </row>
    <row r="1233" spans="1:12" x14ac:dyDescent="0.3">
      <c r="A1233" s="2">
        <v>1222</v>
      </c>
      <c r="B1233" s="2" t="s">
        <v>3946</v>
      </c>
      <c r="C1233" s="2" t="s">
        <v>3947</v>
      </c>
      <c r="D1233" s="2" t="s">
        <v>28</v>
      </c>
      <c r="E1233" s="2" t="s">
        <v>29</v>
      </c>
      <c r="F1233" s="2">
        <v>60</v>
      </c>
      <c r="G1233" s="2" t="s">
        <v>3948</v>
      </c>
      <c r="H1233" s="2" t="s">
        <v>1956</v>
      </c>
      <c r="I1233" s="2" t="s">
        <v>32</v>
      </c>
      <c r="J1233" s="3">
        <v>44610</v>
      </c>
      <c r="K1233" s="2">
        <v>64</v>
      </c>
      <c r="L1233" s="2" t="s">
        <v>54</v>
      </c>
    </row>
    <row r="1234" spans="1:12" x14ac:dyDescent="0.3">
      <c r="A1234" s="2">
        <v>1223</v>
      </c>
      <c r="B1234" s="2" t="s">
        <v>3949</v>
      </c>
      <c r="C1234" s="2" t="s">
        <v>3744</v>
      </c>
      <c r="D1234" s="2" t="s">
        <v>15</v>
      </c>
      <c r="E1234" s="2" t="s">
        <v>16</v>
      </c>
      <c r="F1234" s="2">
        <v>60</v>
      </c>
      <c r="G1234" s="2" t="s">
        <v>3950</v>
      </c>
      <c r="H1234" s="2" t="s">
        <v>3951</v>
      </c>
      <c r="I1234" s="2" t="s">
        <v>1576</v>
      </c>
      <c r="J1234" s="3">
        <v>44580</v>
      </c>
      <c r="K1234" s="2">
        <v>31</v>
      </c>
      <c r="L1234" s="2" t="s">
        <v>54</v>
      </c>
    </row>
    <row r="1235" spans="1:12" x14ac:dyDescent="0.3">
      <c r="A1235" s="2">
        <v>1224</v>
      </c>
      <c r="B1235" s="2" t="s">
        <v>3952</v>
      </c>
      <c r="C1235" s="2" t="s">
        <v>3953</v>
      </c>
      <c r="D1235" s="2" t="s">
        <v>28</v>
      </c>
      <c r="E1235" s="2" t="s">
        <v>29</v>
      </c>
      <c r="F1235" s="2">
        <v>30</v>
      </c>
      <c r="G1235" s="2" t="s">
        <v>3954</v>
      </c>
      <c r="H1235" s="2" t="s">
        <v>1457</v>
      </c>
      <c r="I1235" s="2" t="s">
        <v>187</v>
      </c>
      <c r="J1235" s="3">
        <v>44405</v>
      </c>
      <c r="K1235" s="2">
        <v>85</v>
      </c>
      <c r="L1235" s="2" t="s">
        <v>70</v>
      </c>
    </row>
    <row r="1236" spans="1:12" x14ac:dyDescent="0.3">
      <c r="A1236" s="2">
        <v>1225</v>
      </c>
      <c r="B1236" s="2" t="s">
        <v>3955</v>
      </c>
      <c r="C1236" s="2" t="s">
        <v>3956</v>
      </c>
      <c r="D1236" s="2" t="s">
        <v>41</v>
      </c>
      <c r="E1236" s="2" t="s">
        <v>16</v>
      </c>
      <c r="F1236" s="2">
        <v>90</v>
      </c>
      <c r="G1236" s="2" t="s">
        <v>3957</v>
      </c>
      <c r="H1236" s="2" t="s">
        <v>3958</v>
      </c>
      <c r="I1236" s="2" t="s">
        <v>32</v>
      </c>
      <c r="J1236" s="3">
        <v>44694</v>
      </c>
      <c r="K1236" s="2">
        <v>36</v>
      </c>
      <c r="L1236" s="2" t="s">
        <v>45</v>
      </c>
    </row>
    <row r="1237" spans="1:12" x14ac:dyDescent="0.3">
      <c r="A1237" s="2">
        <v>1226</v>
      </c>
      <c r="B1237" s="2" t="s">
        <v>3959</v>
      </c>
      <c r="C1237" s="2" t="s">
        <v>422</v>
      </c>
      <c r="D1237" s="2" t="s">
        <v>28</v>
      </c>
      <c r="E1237" s="2" t="s">
        <v>29</v>
      </c>
      <c r="F1237" s="2">
        <v>90</v>
      </c>
      <c r="G1237" s="2" t="s">
        <v>3960</v>
      </c>
      <c r="H1237" s="2" t="s">
        <v>2893</v>
      </c>
      <c r="I1237" s="2" t="s">
        <v>32</v>
      </c>
      <c r="J1237" s="3">
        <v>44395</v>
      </c>
      <c r="K1237" s="2">
        <v>54</v>
      </c>
      <c r="L1237" s="2" t="s">
        <v>101</v>
      </c>
    </row>
    <row r="1238" spans="1:12" x14ac:dyDescent="0.3">
      <c r="A1238" s="2">
        <v>1227</v>
      </c>
      <c r="B1238" s="2" t="s">
        <v>179</v>
      </c>
      <c r="C1238" s="2" t="s">
        <v>1179</v>
      </c>
      <c r="D1238" s="2" t="s">
        <v>28</v>
      </c>
      <c r="E1238" s="2" t="s">
        <v>29</v>
      </c>
      <c r="F1238" s="2">
        <v>30</v>
      </c>
      <c r="G1238" s="2" t="s">
        <v>3961</v>
      </c>
      <c r="H1238" s="2" t="s">
        <v>1374</v>
      </c>
      <c r="I1238" s="2" t="s">
        <v>294</v>
      </c>
      <c r="J1238" s="3">
        <v>43910</v>
      </c>
      <c r="K1238" s="2">
        <v>38</v>
      </c>
      <c r="L1238" s="2" t="s">
        <v>101</v>
      </c>
    </row>
    <row r="1239" spans="1:12" x14ac:dyDescent="0.3">
      <c r="A1239" s="2">
        <v>1228</v>
      </c>
      <c r="B1239" s="2" t="s">
        <v>3962</v>
      </c>
      <c r="C1239" s="2" t="s">
        <v>281</v>
      </c>
      <c r="D1239" s="2" t="s">
        <v>28</v>
      </c>
      <c r="E1239" s="2" t="s">
        <v>29</v>
      </c>
      <c r="F1239" s="2">
        <v>30</v>
      </c>
      <c r="G1239" s="2" t="s">
        <v>3961</v>
      </c>
      <c r="H1239" s="2" t="s">
        <v>2633</v>
      </c>
      <c r="I1239" s="2" t="s">
        <v>32</v>
      </c>
      <c r="J1239" s="3">
        <v>44522</v>
      </c>
      <c r="K1239" s="2">
        <v>35</v>
      </c>
      <c r="L1239" s="2" t="s">
        <v>39</v>
      </c>
    </row>
    <row r="1240" spans="1:12" x14ac:dyDescent="0.3">
      <c r="A1240" s="2">
        <v>1229</v>
      </c>
      <c r="B1240" s="2" t="s">
        <v>3963</v>
      </c>
      <c r="C1240" s="2" t="s">
        <v>1010</v>
      </c>
      <c r="D1240" s="2" t="s">
        <v>51</v>
      </c>
      <c r="E1240" s="2" t="s">
        <v>16</v>
      </c>
      <c r="F1240" s="2">
        <v>90</v>
      </c>
      <c r="G1240" s="2" t="s">
        <v>3964</v>
      </c>
      <c r="H1240" s="2" t="s">
        <v>849</v>
      </c>
      <c r="I1240" s="2" t="s">
        <v>124</v>
      </c>
      <c r="J1240" s="3">
        <v>44469</v>
      </c>
      <c r="K1240" s="2">
        <v>26</v>
      </c>
      <c r="L1240" s="2" t="s">
        <v>70</v>
      </c>
    </row>
    <row r="1241" spans="1:12" x14ac:dyDescent="0.3">
      <c r="A1241" s="2">
        <v>1230</v>
      </c>
      <c r="B1241" s="2" t="s">
        <v>3740</v>
      </c>
      <c r="C1241" s="2" t="s">
        <v>3965</v>
      </c>
      <c r="D1241" s="2" t="s">
        <v>15</v>
      </c>
      <c r="E1241" s="2" t="s">
        <v>16</v>
      </c>
      <c r="F1241" s="2">
        <v>60</v>
      </c>
      <c r="G1241" s="2" t="s">
        <v>3966</v>
      </c>
      <c r="H1241" s="2" t="s">
        <v>363</v>
      </c>
      <c r="I1241" s="2" t="s">
        <v>110</v>
      </c>
      <c r="J1241" s="3">
        <v>43977</v>
      </c>
      <c r="K1241" s="2">
        <v>78</v>
      </c>
      <c r="L1241" s="2" t="s">
        <v>54</v>
      </c>
    </row>
    <row r="1242" spans="1:12" x14ac:dyDescent="0.3">
      <c r="A1242" s="2">
        <v>1231</v>
      </c>
      <c r="B1242" s="2" t="s">
        <v>3967</v>
      </c>
      <c r="C1242" s="2" t="s">
        <v>3968</v>
      </c>
      <c r="D1242" s="2" t="s">
        <v>28</v>
      </c>
      <c r="E1242" s="2" t="s">
        <v>29</v>
      </c>
      <c r="F1242" s="2">
        <v>90</v>
      </c>
      <c r="G1242" s="2" t="s">
        <v>3969</v>
      </c>
      <c r="H1242" s="2" t="s">
        <v>84</v>
      </c>
      <c r="I1242" s="2" t="s">
        <v>32</v>
      </c>
      <c r="J1242" s="3">
        <v>44858</v>
      </c>
      <c r="K1242" s="2">
        <v>90</v>
      </c>
      <c r="L1242" s="2" t="s">
        <v>54</v>
      </c>
    </row>
    <row r="1243" spans="1:12" x14ac:dyDescent="0.3">
      <c r="A1243" s="2">
        <v>1232</v>
      </c>
      <c r="B1243" s="2" t="s">
        <v>3970</v>
      </c>
      <c r="C1243" s="2" t="s">
        <v>3971</v>
      </c>
      <c r="D1243" s="2" t="s">
        <v>15</v>
      </c>
      <c r="E1243" s="2" t="s">
        <v>16</v>
      </c>
      <c r="F1243" s="2">
        <v>60</v>
      </c>
      <c r="G1243" s="2" t="s">
        <v>3972</v>
      </c>
      <c r="H1243" s="2" t="s">
        <v>1034</v>
      </c>
      <c r="I1243" s="2" t="s">
        <v>1035</v>
      </c>
      <c r="J1243" s="3">
        <v>44093</v>
      </c>
      <c r="K1243" s="2">
        <v>85</v>
      </c>
      <c r="L1243" s="2" t="s">
        <v>39</v>
      </c>
    </row>
    <row r="1244" spans="1:12" x14ac:dyDescent="0.3">
      <c r="A1244" s="2">
        <v>1233</v>
      </c>
      <c r="B1244" s="2" t="s">
        <v>3973</v>
      </c>
      <c r="C1244" s="2" t="s">
        <v>3009</v>
      </c>
      <c r="D1244" s="2" t="s">
        <v>28</v>
      </c>
      <c r="E1244" s="2" t="s">
        <v>29</v>
      </c>
      <c r="F1244" s="2">
        <v>90</v>
      </c>
      <c r="G1244" s="2" t="s">
        <v>3974</v>
      </c>
      <c r="H1244" s="2" t="s">
        <v>1218</v>
      </c>
      <c r="I1244" s="2" t="s">
        <v>294</v>
      </c>
      <c r="J1244" s="3">
        <v>44676</v>
      </c>
      <c r="K1244" s="2">
        <v>77</v>
      </c>
      <c r="L1244" s="2" t="s">
        <v>101</v>
      </c>
    </row>
    <row r="1245" spans="1:12" x14ac:dyDescent="0.3">
      <c r="A1245" s="2">
        <v>1234</v>
      </c>
      <c r="B1245" s="2" t="s">
        <v>1458</v>
      </c>
      <c r="C1245" s="2" t="s">
        <v>3581</v>
      </c>
      <c r="D1245" s="2" t="s">
        <v>28</v>
      </c>
      <c r="E1245" s="2" t="s">
        <v>29</v>
      </c>
      <c r="F1245" s="2">
        <v>30</v>
      </c>
      <c r="G1245" s="2" t="s">
        <v>3975</v>
      </c>
      <c r="H1245" s="2" t="s">
        <v>3976</v>
      </c>
      <c r="I1245" s="2" t="s">
        <v>173</v>
      </c>
      <c r="J1245" s="3">
        <v>44712</v>
      </c>
      <c r="K1245" s="2">
        <v>37</v>
      </c>
      <c r="L1245" s="2" t="s">
        <v>80</v>
      </c>
    </row>
    <row r="1246" spans="1:12" x14ac:dyDescent="0.3">
      <c r="A1246" s="2">
        <v>1235</v>
      </c>
      <c r="B1246" s="2" t="s">
        <v>3977</v>
      </c>
      <c r="C1246" s="2" t="s">
        <v>2635</v>
      </c>
      <c r="D1246" s="2" t="s">
        <v>15</v>
      </c>
      <c r="E1246" s="2" t="s">
        <v>16</v>
      </c>
      <c r="F1246" s="2">
        <v>30</v>
      </c>
      <c r="G1246" s="2" t="s">
        <v>3978</v>
      </c>
      <c r="H1246" s="2" t="s">
        <v>2121</v>
      </c>
      <c r="I1246" s="2" t="s">
        <v>38</v>
      </c>
      <c r="J1246" s="3">
        <v>44051</v>
      </c>
      <c r="K1246" s="2">
        <v>43</v>
      </c>
      <c r="L1246" s="2" t="s">
        <v>70</v>
      </c>
    </row>
    <row r="1247" spans="1:12" x14ac:dyDescent="0.3">
      <c r="A1247" s="2">
        <v>1236</v>
      </c>
      <c r="B1247" s="2" t="s">
        <v>3979</v>
      </c>
      <c r="C1247" s="2" t="s">
        <v>3201</v>
      </c>
      <c r="D1247" s="2" t="s">
        <v>15</v>
      </c>
      <c r="E1247" s="2" t="s">
        <v>16</v>
      </c>
      <c r="F1247" s="2">
        <v>30</v>
      </c>
      <c r="G1247" s="2" t="s">
        <v>3980</v>
      </c>
      <c r="H1247" s="2" t="s">
        <v>2633</v>
      </c>
      <c r="I1247" s="2" t="s">
        <v>32</v>
      </c>
      <c r="J1247" s="3">
        <v>44781</v>
      </c>
      <c r="K1247" s="2">
        <v>21</v>
      </c>
      <c r="L1247" s="2" t="s">
        <v>159</v>
      </c>
    </row>
    <row r="1248" spans="1:12" x14ac:dyDescent="0.3">
      <c r="A1248" s="2">
        <v>1237</v>
      </c>
      <c r="B1248" s="2" t="s">
        <v>3981</v>
      </c>
      <c r="C1248" s="2" t="s">
        <v>3111</v>
      </c>
      <c r="D1248" s="2" t="s">
        <v>51</v>
      </c>
      <c r="E1248" s="2" t="s">
        <v>16</v>
      </c>
      <c r="F1248" s="2">
        <v>30</v>
      </c>
      <c r="G1248" s="2" t="s">
        <v>3982</v>
      </c>
      <c r="H1248" s="2" t="s">
        <v>288</v>
      </c>
      <c r="I1248" s="2" t="s">
        <v>32</v>
      </c>
      <c r="J1248" s="3">
        <v>44550</v>
      </c>
      <c r="K1248" s="2">
        <v>91</v>
      </c>
      <c r="L1248" s="2" t="s">
        <v>20</v>
      </c>
    </row>
    <row r="1249" spans="1:12" x14ac:dyDescent="0.3">
      <c r="A1249" s="2">
        <v>1238</v>
      </c>
      <c r="B1249" s="2" t="s">
        <v>2103</v>
      </c>
      <c r="C1249" s="2" t="s">
        <v>1066</v>
      </c>
      <c r="D1249" s="2" t="s">
        <v>92</v>
      </c>
      <c r="E1249" s="2" t="s">
        <v>16</v>
      </c>
      <c r="F1249" s="2">
        <v>30</v>
      </c>
      <c r="G1249" s="2" t="s">
        <v>3983</v>
      </c>
      <c r="H1249" s="2" t="s">
        <v>3984</v>
      </c>
      <c r="I1249" s="2" t="s">
        <v>32</v>
      </c>
      <c r="J1249" s="3">
        <v>44144</v>
      </c>
      <c r="K1249" s="2">
        <v>38</v>
      </c>
      <c r="L1249" s="2" t="s">
        <v>70</v>
      </c>
    </row>
    <row r="1250" spans="1:12" x14ac:dyDescent="0.3">
      <c r="A1250" s="2">
        <v>1239</v>
      </c>
      <c r="B1250" s="2" t="s">
        <v>3985</v>
      </c>
      <c r="C1250" s="2" t="s">
        <v>2091</v>
      </c>
      <c r="D1250" s="2" t="s">
        <v>15</v>
      </c>
      <c r="E1250" s="2" t="s">
        <v>16</v>
      </c>
      <c r="F1250" s="2">
        <v>30</v>
      </c>
      <c r="G1250" s="2" t="s">
        <v>3986</v>
      </c>
      <c r="H1250" s="2" t="s">
        <v>3987</v>
      </c>
      <c r="I1250" s="2" t="s">
        <v>554</v>
      </c>
      <c r="J1250" s="3">
        <v>44087</v>
      </c>
      <c r="K1250" s="2">
        <v>26</v>
      </c>
      <c r="L1250" s="2" t="s">
        <v>70</v>
      </c>
    </row>
    <row r="1251" spans="1:12" x14ac:dyDescent="0.3">
      <c r="A1251" s="2">
        <v>1240</v>
      </c>
      <c r="B1251" s="2" t="s">
        <v>3988</v>
      </c>
      <c r="C1251" s="2" t="s">
        <v>3989</v>
      </c>
      <c r="D1251" s="2" t="s">
        <v>51</v>
      </c>
      <c r="E1251" s="2" t="s">
        <v>16</v>
      </c>
      <c r="F1251" s="2">
        <v>90</v>
      </c>
      <c r="G1251" s="2" t="s">
        <v>3990</v>
      </c>
      <c r="H1251" s="2" t="s">
        <v>3991</v>
      </c>
      <c r="I1251" s="2" t="s">
        <v>32</v>
      </c>
      <c r="J1251" s="3">
        <v>44033</v>
      </c>
      <c r="K1251" s="2">
        <v>50</v>
      </c>
      <c r="L1251" s="2" t="s">
        <v>64</v>
      </c>
    </row>
    <row r="1252" spans="1:12" x14ac:dyDescent="0.3">
      <c r="A1252" s="2">
        <v>1241</v>
      </c>
      <c r="B1252" s="2" t="s">
        <v>3992</v>
      </c>
      <c r="C1252" s="2" t="s">
        <v>313</v>
      </c>
      <c r="D1252" s="2" t="s">
        <v>28</v>
      </c>
      <c r="E1252" s="2" t="s">
        <v>29</v>
      </c>
      <c r="F1252" s="2">
        <v>30</v>
      </c>
      <c r="G1252" s="2" t="s">
        <v>3993</v>
      </c>
      <c r="H1252" s="2" t="s">
        <v>2603</v>
      </c>
      <c r="I1252" s="2" t="s">
        <v>2604</v>
      </c>
      <c r="J1252" s="3">
        <v>44408</v>
      </c>
      <c r="K1252" s="2">
        <v>18</v>
      </c>
      <c r="L1252" s="2" t="s">
        <v>101</v>
      </c>
    </row>
    <row r="1253" spans="1:12" x14ac:dyDescent="0.3">
      <c r="A1253" s="2">
        <v>1242</v>
      </c>
      <c r="B1253" s="2" t="s">
        <v>3994</v>
      </c>
      <c r="C1253" s="2" t="s">
        <v>3843</v>
      </c>
      <c r="D1253" s="2" t="s">
        <v>15</v>
      </c>
      <c r="E1253" s="2" t="s">
        <v>16</v>
      </c>
      <c r="F1253" s="2">
        <v>30</v>
      </c>
      <c r="G1253" s="2" t="s">
        <v>3995</v>
      </c>
      <c r="H1253" s="2" t="s">
        <v>3996</v>
      </c>
      <c r="I1253" s="2" t="s">
        <v>294</v>
      </c>
      <c r="J1253" s="3">
        <v>44242</v>
      </c>
      <c r="K1253" s="2">
        <v>59</v>
      </c>
      <c r="L1253" s="2" t="s">
        <v>70</v>
      </c>
    </row>
    <row r="1254" spans="1:12" x14ac:dyDescent="0.3">
      <c r="A1254" s="2">
        <v>1243</v>
      </c>
      <c r="B1254" s="2" t="s">
        <v>2251</v>
      </c>
      <c r="C1254" s="2" t="s">
        <v>3997</v>
      </c>
      <c r="D1254" s="2" t="s">
        <v>28</v>
      </c>
      <c r="E1254" s="2" t="s">
        <v>29</v>
      </c>
      <c r="F1254" s="2">
        <v>30</v>
      </c>
      <c r="G1254" s="2" t="s">
        <v>10484</v>
      </c>
      <c r="H1254" s="2" t="s">
        <v>641</v>
      </c>
      <c r="I1254" s="2" t="s">
        <v>294</v>
      </c>
      <c r="J1254" s="3">
        <v>44325</v>
      </c>
      <c r="K1254" s="2">
        <v>86</v>
      </c>
      <c r="L1254" s="2" t="s">
        <v>39</v>
      </c>
    </row>
    <row r="1255" spans="1:12" x14ac:dyDescent="0.3">
      <c r="A1255" s="2">
        <v>1244</v>
      </c>
      <c r="B1255" s="2" t="s">
        <v>3999</v>
      </c>
      <c r="C1255" s="2" t="s">
        <v>4000</v>
      </c>
      <c r="D1255" s="2" t="s">
        <v>28</v>
      </c>
      <c r="E1255" s="2" t="s">
        <v>29</v>
      </c>
      <c r="F1255" s="2">
        <v>30</v>
      </c>
      <c r="G1255" s="2" t="s">
        <v>4001</v>
      </c>
      <c r="H1255" s="2" t="s">
        <v>1434</v>
      </c>
      <c r="I1255" s="2" t="s">
        <v>1435</v>
      </c>
      <c r="J1255" s="3">
        <v>44876</v>
      </c>
      <c r="K1255" s="2">
        <v>2</v>
      </c>
      <c r="L1255" s="2" t="s">
        <v>80</v>
      </c>
    </row>
    <row r="1256" spans="1:12" x14ac:dyDescent="0.3">
      <c r="A1256" s="2">
        <v>1245</v>
      </c>
      <c r="B1256" s="2" t="s">
        <v>4002</v>
      </c>
      <c r="C1256" s="2" t="s">
        <v>1097</v>
      </c>
      <c r="D1256" s="2" t="s">
        <v>51</v>
      </c>
      <c r="E1256" s="2" t="s">
        <v>16</v>
      </c>
      <c r="F1256" s="2">
        <v>90</v>
      </c>
      <c r="G1256" s="2" t="s">
        <v>4003</v>
      </c>
      <c r="H1256" s="2" t="s">
        <v>2026</v>
      </c>
      <c r="I1256" s="2" t="s">
        <v>1078</v>
      </c>
      <c r="J1256" s="3">
        <v>44868</v>
      </c>
      <c r="K1256" s="2">
        <v>19</v>
      </c>
      <c r="L1256" s="2" t="s">
        <v>39</v>
      </c>
    </row>
    <row r="1257" spans="1:12" x14ac:dyDescent="0.3">
      <c r="A1257" s="2">
        <v>1246</v>
      </c>
      <c r="B1257" s="2" t="s">
        <v>4004</v>
      </c>
      <c r="C1257" s="2" t="s">
        <v>4005</v>
      </c>
      <c r="D1257" s="2" t="s">
        <v>28</v>
      </c>
      <c r="E1257" s="2" t="s">
        <v>29</v>
      </c>
      <c r="F1257" s="2">
        <v>30</v>
      </c>
      <c r="G1257" s="2" t="s">
        <v>4006</v>
      </c>
      <c r="H1257" s="2" t="s">
        <v>4007</v>
      </c>
      <c r="I1257" s="2" t="s">
        <v>294</v>
      </c>
      <c r="J1257" s="3">
        <v>44387</v>
      </c>
      <c r="K1257" s="2">
        <v>22</v>
      </c>
      <c r="L1257" s="2" t="s">
        <v>101</v>
      </c>
    </row>
    <row r="1258" spans="1:12" x14ac:dyDescent="0.3">
      <c r="A1258" s="2">
        <v>1247</v>
      </c>
      <c r="B1258" s="2" t="s">
        <v>4008</v>
      </c>
      <c r="C1258" s="2" t="s">
        <v>4009</v>
      </c>
      <c r="D1258" s="2" t="s">
        <v>28</v>
      </c>
      <c r="E1258" s="2" t="s">
        <v>29</v>
      </c>
      <c r="F1258" s="2">
        <v>30</v>
      </c>
      <c r="G1258" s="2" t="s">
        <v>4010</v>
      </c>
      <c r="H1258" s="2" t="s">
        <v>4011</v>
      </c>
      <c r="I1258" s="2" t="s">
        <v>32</v>
      </c>
      <c r="J1258" s="3">
        <v>43925</v>
      </c>
      <c r="K1258" s="2">
        <v>79</v>
      </c>
      <c r="L1258" s="2" t="s">
        <v>45</v>
      </c>
    </row>
    <row r="1259" spans="1:12" x14ac:dyDescent="0.3">
      <c r="A1259" s="2">
        <v>1248</v>
      </c>
      <c r="B1259" s="2" t="s">
        <v>222</v>
      </c>
      <c r="C1259" s="2" t="s">
        <v>3447</v>
      </c>
      <c r="D1259" s="2" t="s">
        <v>28</v>
      </c>
      <c r="E1259" s="2" t="s">
        <v>29</v>
      </c>
      <c r="F1259" s="2">
        <v>90</v>
      </c>
      <c r="G1259" s="2" t="s">
        <v>4012</v>
      </c>
      <c r="H1259" s="2" t="s">
        <v>4007</v>
      </c>
      <c r="I1259" s="2" t="s">
        <v>294</v>
      </c>
      <c r="J1259" s="3">
        <v>44790</v>
      </c>
      <c r="K1259" s="2">
        <v>93</v>
      </c>
      <c r="L1259" s="2" t="s">
        <v>54</v>
      </c>
    </row>
    <row r="1260" spans="1:12" x14ac:dyDescent="0.3">
      <c r="A1260" s="2">
        <v>1249</v>
      </c>
      <c r="B1260" s="2" t="s">
        <v>4013</v>
      </c>
      <c r="C1260" s="2" t="s">
        <v>4014</v>
      </c>
      <c r="D1260" s="2" t="s">
        <v>15</v>
      </c>
      <c r="E1260" s="2" t="s">
        <v>16</v>
      </c>
      <c r="F1260" s="2">
        <v>30</v>
      </c>
      <c r="G1260" s="2" t="s">
        <v>4015</v>
      </c>
      <c r="H1260" s="2" t="s">
        <v>3002</v>
      </c>
      <c r="I1260" s="2" t="s">
        <v>32</v>
      </c>
      <c r="J1260" s="3">
        <v>44829</v>
      </c>
      <c r="K1260" s="2">
        <v>57</v>
      </c>
      <c r="L1260" s="2" t="s">
        <v>70</v>
      </c>
    </row>
    <row r="1261" spans="1:12" x14ac:dyDescent="0.3">
      <c r="A1261" s="2">
        <v>1250</v>
      </c>
      <c r="B1261" s="2" t="s">
        <v>4016</v>
      </c>
      <c r="C1261" s="2" t="s">
        <v>1826</v>
      </c>
      <c r="D1261" s="2" t="s">
        <v>28</v>
      </c>
      <c r="E1261" s="2" t="s">
        <v>29</v>
      </c>
      <c r="F1261" s="2">
        <v>60</v>
      </c>
      <c r="G1261" s="2" t="s">
        <v>4017</v>
      </c>
      <c r="H1261" s="2" t="s">
        <v>3384</v>
      </c>
      <c r="I1261" s="2" t="s">
        <v>32</v>
      </c>
      <c r="J1261" s="3">
        <v>44086</v>
      </c>
      <c r="K1261" s="2">
        <v>72</v>
      </c>
      <c r="L1261" s="2" t="s">
        <v>101</v>
      </c>
    </row>
    <row r="1262" spans="1:12" x14ac:dyDescent="0.3">
      <c r="A1262" s="2">
        <v>1251</v>
      </c>
      <c r="B1262" s="2" t="s">
        <v>4018</v>
      </c>
      <c r="C1262" s="2" t="s">
        <v>2980</v>
      </c>
      <c r="D1262" s="2" t="s">
        <v>28</v>
      </c>
      <c r="E1262" s="2" t="s">
        <v>29</v>
      </c>
      <c r="F1262" s="2">
        <v>60</v>
      </c>
      <c r="G1262" s="2" t="s">
        <v>4019</v>
      </c>
      <c r="H1262" s="2" t="s">
        <v>4020</v>
      </c>
      <c r="I1262" s="2" t="s">
        <v>173</v>
      </c>
      <c r="J1262" s="3">
        <v>44354</v>
      </c>
      <c r="K1262" s="2">
        <v>71</v>
      </c>
      <c r="L1262" s="2" t="s">
        <v>20</v>
      </c>
    </row>
    <row r="1263" spans="1:12" x14ac:dyDescent="0.3">
      <c r="A1263" s="2">
        <v>1252</v>
      </c>
      <c r="B1263" s="2" t="s">
        <v>4021</v>
      </c>
      <c r="C1263" s="2" t="s">
        <v>1263</v>
      </c>
      <c r="D1263" s="2" t="s">
        <v>15</v>
      </c>
      <c r="E1263" s="2" t="s">
        <v>16</v>
      </c>
      <c r="F1263" s="2">
        <v>30</v>
      </c>
      <c r="G1263" s="2" t="s">
        <v>10427</v>
      </c>
      <c r="H1263" s="2" t="s">
        <v>3480</v>
      </c>
      <c r="I1263" s="2" t="s">
        <v>187</v>
      </c>
      <c r="J1263" s="3">
        <v>44283</v>
      </c>
      <c r="K1263" s="2">
        <v>58</v>
      </c>
      <c r="L1263" s="2" t="s">
        <v>159</v>
      </c>
    </row>
    <row r="1264" spans="1:12" x14ac:dyDescent="0.3">
      <c r="A1264" s="2">
        <v>1253</v>
      </c>
      <c r="B1264" s="2" t="s">
        <v>4023</v>
      </c>
      <c r="C1264" s="2" t="s">
        <v>3201</v>
      </c>
      <c r="D1264" s="2" t="s">
        <v>28</v>
      </c>
      <c r="E1264" s="2" t="s">
        <v>29</v>
      </c>
      <c r="F1264" s="2">
        <v>90</v>
      </c>
      <c r="G1264" s="2" t="s">
        <v>4024</v>
      </c>
      <c r="H1264" s="2" t="s">
        <v>1901</v>
      </c>
      <c r="I1264" s="2" t="s">
        <v>178</v>
      </c>
      <c r="J1264" s="3">
        <v>43837</v>
      </c>
      <c r="K1264" s="2">
        <v>54</v>
      </c>
      <c r="L1264" s="2" t="s">
        <v>64</v>
      </c>
    </row>
    <row r="1265" spans="1:12" x14ac:dyDescent="0.3">
      <c r="A1265" s="2">
        <v>1254</v>
      </c>
      <c r="B1265" s="2" t="s">
        <v>4025</v>
      </c>
      <c r="C1265" s="2" t="s">
        <v>4026</v>
      </c>
      <c r="D1265" s="2" t="s">
        <v>51</v>
      </c>
      <c r="E1265" s="2" t="s">
        <v>16</v>
      </c>
      <c r="F1265" s="2">
        <v>30</v>
      </c>
      <c r="G1265" s="2" t="s">
        <v>4027</v>
      </c>
      <c r="H1265" s="2" t="s">
        <v>4028</v>
      </c>
      <c r="I1265" s="2" t="s">
        <v>32</v>
      </c>
      <c r="J1265" s="3">
        <v>44700</v>
      </c>
      <c r="K1265" s="2">
        <v>36</v>
      </c>
      <c r="L1265" s="2" t="s">
        <v>101</v>
      </c>
    </row>
    <row r="1266" spans="1:12" x14ac:dyDescent="0.3">
      <c r="A1266" s="2">
        <v>1255</v>
      </c>
      <c r="B1266" s="2" t="s">
        <v>1200</v>
      </c>
      <c r="C1266" s="2" t="s">
        <v>4029</v>
      </c>
      <c r="D1266" s="2" t="s">
        <v>28</v>
      </c>
      <c r="E1266" s="2" t="s">
        <v>29</v>
      </c>
      <c r="F1266" s="2">
        <v>60</v>
      </c>
      <c r="G1266" s="2" t="s">
        <v>4027</v>
      </c>
      <c r="H1266" s="2" t="s">
        <v>4030</v>
      </c>
      <c r="I1266" s="2" t="s">
        <v>32</v>
      </c>
      <c r="J1266" s="3">
        <v>44740</v>
      </c>
      <c r="K1266" s="2">
        <v>84</v>
      </c>
      <c r="L1266" s="2" t="s">
        <v>80</v>
      </c>
    </row>
    <row r="1267" spans="1:12" x14ac:dyDescent="0.3">
      <c r="A1267" s="2">
        <v>1256</v>
      </c>
      <c r="B1267" s="2" t="s">
        <v>4031</v>
      </c>
      <c r="C1267" s="2" t="s">
        <v>4032</v>
      </c>
      <c r="D1267" s="2" t="s">
        <v>28</v>
      </c>
      <c r="E1267" s="2" t="s">
        <v>29</v>
      </c>
      <c r="F1267" s="2">
        <v>90</v>
      </c>
      <c r="G1267" s="2" t="s">
        <v>4033</v>
      </c>
      <c r="H1267" s="2" t="s">
        <v>4034</v>
      </c>
      <c r="I1267" s="2" t="s">
        <v>178</v>
      </c>
      <c r="J1267" s="3">
        <v>44507</v>
      </c>
      <c r="K1267" s="2">
        <v>48</v>
      </c>
      <c r="L1267" s="2" t="s">
        <v>64</v>
      </c>
    </row>
    <row r="1268" spans="1:12" x14ac:dyDescent="0.3">
      <c r="A1268" s="2">
        <v>1257</v>
      </c>
      <c r="B1268" s="2" t="s">
        <v>1886</v>
      </c>
      <c r="C1268" s="2" t="s">
        <v>4035</v>
      </c>
      <c r="D1268" s="2" t="s">
        <v>15</v>
      </c>
      <c r="E1268" s="2" t="s">
        <v>16</v>
      </c>
      <c r="F1268" s="2">
        <v>30</v>
      </c>
      <c r="G1268" s="2" t="s">
        <v>4036</v>
      </c>
      <c r="H1268" s="2" t="s">
        <v>221</v>
      </c>
      <c r="I1268" s="2" t="s">
        <v>32</v>
      </c>
      <c r="J1268" s="3">
        <v>44609</v>
      </c>
      <c r="K1268" s="2">
        <v>68</v>
      </c>
      <c r="L1268" s="2" t="s">
        <v>101</v>
      </c>
    </row>
    <row r="1269" spans="1:12" x14ac:dyDescent="0.3">
      <c r="A1269" s="2">
        <v>1258</v>
      </c>
      <c r="B1269" s="2" t="s">
        <v>2823</v>
      </c>
      <c r="C1269" s="2" t="s">
        <v>4037</v>
      </c>
      <c r="D1269" s="2" t="s">
        <v>15</v>
      </c>
      <c r="E1269" s="2" t="s">
        <v>16</v>
      </c>
      <c r="F1269" s="2">
        <v>30</v>
      </c>
      <c r="G1269" s="2" t="s">
        <v>4038</v>
      </c>
      <c r="H1269" s="2" t="s">
        <v>4039</v>
      </c>
      <c r="I1269" s="2" t="s">
        <v>32</v>
      </c>
      <c r="J1269" s="3">
        <v>44166</v>
      </c>
      <c r="K1269" s="2">
        <v>25</v>
      </c>
      <c r="L1269" s="2" t="s">
        <v>70</v>
      </c>
    </row>
    <row r="1270" spans="1:12" x14ac:dyDescent="0.3">
      <c r="A1270" s="2">
        <v>1259</v>
      </c>
      <c r="B1270" s="2" t="s">
        <v>2951</v>
      </c>
      <c r="C1270" s="2" t="s">
        <v>489</v>
      </c>
      <c r="D1270" s="2" t="s">
        <v>28</v>
      </c>
      <c r="E1270" s="2" t="s">
        <v>29</v>
      </c>
      <c r="F1270" s="2">
        <v>60</v>
      </c>
      <c r="G1270" s="2" t="s">
        <v>4040</v>
      </c>
      <c r="H1270" s="2" t="s">
        <v>1115</v>
      </c>
      <c r="I1270" s="2" t="s">
        <v>32</v>
      </c>
      <c r="J1270" s="3">
        <v>43959</v>
      </c>
      <c r="K1270" s="2">
        <v>39</v>
      </c>
      <c r="L1270" s="2" t="s">
        <v>70</v>
      </c>
    </row>
    <row r="1271" spans="1:12" x14ac:dyDescent="0.3">
      <c r="A1271" s="2">
        <v>1260</v>
      </c>
      <c r="B1271" s="2" t="s">
        <v>4041</v>
      </c>
      <c r="C1271" s="2" t="s">
        <v>4042</v>
      </c>
      <c r="D1271" s="2" t="s">
        <v>15</v>
      </c>
      <c r="E1271" s="2" t="s">
        <v>16</v>
      </c>
      <c r="F1271" s="2">
        <v>60</v>
      </c>
      <c r="G1271" s="2" t="s">
        <v>4043</v>
      </c>
      <c r="H1271" s="2" t="s">
        <v>3361</v>
      </c>
      <c r="I1271" s="2" t="s">
        <v>95</v>
      </c>
      <c r="J1271" s="3">
        <v>43864</v>
      </c>
      <c r="K1271" s="2">
        <v>67</v>
      </c>
      <c r="L1271" s="2" t="s">
        <v>70</v>
      </c>
    </row>
    <row r="1272" spans="1:12" x14ac:dyDescent="0.3">
      <c r="A1272" s="2">
        <v>1261</v>
      </c>
      <c r="B1272" s="2" t="s">
        <v>4044</v>
      </c>
      <c r="C1272" s="2" t="s">
        <v>4045</v>
      </c>
      <c r="D1272" s="2" t="s">
        <v>51</v>
      </c>
      <c r="E1272" s="2" t="s">
        <v>16</v>
      </c>
      <c r="F1272" s="2">
        <v>30</v>
      </c>
      <c r="G1272" s="2" t="s">
        <v>4043</v>
      </c>
      <c r="H1272" s="2" t="s">
        <v>4046</v>
      </c>
      <c r="I1272" s="2" t="s">
        <v>173</v>
      </c>
      <c r="J1272" s="3">
        <v>43949</v>
      </c>
      <c r="K1272" s="2">
        <v>43</v>
      </c>
      <c r="L1272" s="2" t="s">
        <v>54</v>
      </c>
    </row>
    <row r="1273" spans="1:12" x14ac:dyDescent="0.3">
      <c r="A1273" s="2">
        <v>1262</v>
      </c>
      <c r="B1273" s="2" t="s">
        <v>3952</v>
      </c>
      <c r="C1273" s="2" t="s">
        <v>4047</v>
      </c>
      <c r="D1273" s="2" t="s">
        <v>28</v>
      </c>
      <c r="E1273" s="2" t="s">
        <v>29</v>
      </c>
      <c r="F1273" s="2">
        <v>90</v>
      </c>
      <c r="G1273" s="2" t="s">
        <v>4048</v>
      </c>
      <c r="H1273" s="2" t="s">
        <v>4049</v>
      </c>
      <c r="I1273" s="2" t="s">
        <v>32</v>
      </c>
      <c r="J1273" s="3">
        <v>43892</v>
      </c>
      <c r="K1273" s="2">
        <v>31</v>
      </c>
      <c r="L1273" s="2" t="s">
        <v>54</v>
      </c>
    </row>
    <row r="1274" spans="1:12" x14ac:dyDescent="0.3">
      <c r="A1274" s="2">
        <v>1263</v>
      </c>
      <c r="B1274" s="2" t="s">
        <v>218</v>
      </c>
      <c r="C1274" s="2" t="s">
        <v>4050</v>
      </c>
      <c r="D1274" s="2" t="s">
        <v>28</v>
      </c>
      <c r="E1274" s="2" t="s">
        <v>29</v>
      </c>
      <c r="F1274" s="2">
        <v>90</v>
      </c>
      <c r="G1274" s="2" t="s">
        <v>4051</v>
      </c>
      <c r="H1274" s="2" t="s">
        <v>2530</v>
      </c>
      <c r="I1274" s="2" t="s">
        <v>32</v>
      </c>
      <c r="J1274" s="3">
        <v>44288</v>
      </c>
      <c r="K1274" s="2">
        <v>64</v>
      </c>
      <c r="L1274" s="2" t="s">
        <v>54</v>
      </c>
    </row>
    <row r="1275" spans="1:12" x14ac:dyDescent="0.3">
      <c r="A1275" s="2">
        <v>1264</v>
      </c>
      <c r="B1275" s="2" t="s">
        <v>4052</v>
      </c>
      <c r="C1275" s="2" t="s">
        <v>2154</v>
      </c>
      <c r="D1275" s="2" t="s">
        <v>28</v>
      </c>
      <c r="E1275" s="2" t="s">
        <v>29</v>
      </c>
      <c r="F1275" s="2">
        <v>90</v>
      </c>
      <c r="G1275" s="2" t="s">
        <v>4053</v>
      </c>
      <c r="H1275" s="2" t="s">
        <v>491</v>
      </c>
      <c r="I1275" s="2" t="s">
        <v>32</v>
      </c>
      <c r="J1275" s="3">
        <v>43915</v>
      </c>
      <c r="K1275" s="2">
        <v>60</v>
      </c>
      <c r="L1275" s="2" t="s">
        <v>101</v>
      </c>
    </row>
    <row r="1276" spans="1:12" x14ac:dyDescent="0.3">
      <c r="A1276" s="2">
        <v>1265</v>
      </c>
      <c r="B1276" s="2" t="s">
        <v>4054</v>
      </c>
      <c r="C1276" s="2" t="s">
        <v>86</v>
      </c>
      <c r="D1276" s="2" t="s">
        <v>51</v>
      </c>
      <c r="E1276" s="2" t="s">
        <v>16</v>
      </c>
      <c r="F1276" s="2">
        <v>30</v>
      </c>
      <c r="G1276" s="2" t="s">
        <v>4055</v>
      </c>
      <c r="H1276" s="2" t="s">
        <v>4056</v>
      </c>
      <c r="I1276" s="2" t="s">
        <v>124</v>
      </c>
      <c r="J1276" s="3">
        <v>44213</v>
      </c>
      <c r="K1276" s="2">
        <v>5</v>
      </c>
      <c r="L1276" s="2" t="s">
        <v>20</v>
      </c>
    </row>
    <row r="1277" spans="1:12" x14ac:dyDescent="0.3">
      <c r="A1277" s="2">
        <v>1266</v>
      </c>
      <c r="B1277" s="2" t="s">
        <v>887</v>
      </c>
      <c r="C1277" s="2" t="s">
        <v>3300</v>
      </c>
      <c r="D1277" s="2" t="s">
        <v>28</v>
      </c>
      <c r="E1277" s="2" t="s">
        <v>29</v>
      </c>
      <c r="F1277" s="2">
        <v>90</v>
      </c>
      <c r="G1277" s="2" t="s">
        <v>10428</v>
      </c>
      <c r="H1277" s="2" t="s">
        <v>1827</v>
      </c>
      <c r="I1277" s="2" t="s">
        <v>25</v>
      </c>
      <c r="J1277" s="3">
        <v>44464</v>
      </c>
      <c r="K1277" s="2">
        <v>26</v>
      </c>
      <c r="L1277" s="2" t="s">
        <v>39</v>
      </c>
    </row>
    <row r="1278" spans="1:12" x14ac:dyDescent="0.3">
      <c r="A1278" s="2">
        <v>1267</v>
      </c>
      <c r="B1278" s="2" t="s">
        <v>4058</v>
      </c>
      <c r="C1278" s="2" t="s">
        <v>4059</v>
      </c>
      <c r="D1278" s="2" t="s">
        <v>15</v>
      </c>
      <c r="E1278" s="2" t="s">
        <v>16</v>
      </c>
      <c r="F1278" s="2">
        <v>60</v>
      </c>
      <c r="G1278" s="2" t="s">
        <v>4060</v>
      </c>
      <c r="H1278" s="2" t="s">
        <v>1482</v>
      </c>
      <c r="I1278" s="2" t="s">
        <v>1483</v>
      </c>
      <c r="J1278" s="3">
        <v>44331</v>
      </c>
      <c r="K1278" s="2">
        <v>25</v>
      </c>
      <c r="L1278" s="2" t="s">
        <v>64</v>
      </c>
    </row>
    <row r="1279" spans="1:12" x14ac:dyDescent="0.3">
      <c r="A1279" s="2">
        <v>1268</v>
      </c>
      <c r="B1279" s="2" t="s">
        <v>4061</v>
      </c>
      <c r="C1279" s="2" t="s">
        <v>1765</v>
      </c>
      <c r="D1279" s="2" t="s">
        <v>51</v>
      </c>
      <c r="E1279" s="2" t="s">
        <v>16</v>
      </c>
      <c r="F1279" s="2">
        <v>30</v>
      </c>
      <c r="G1279" s="2" t="s">
        <v>4060</v>
      </c>
      <c r="H1279" s="2" t="s">
        <v>1261</v>
      </c>
      <c r="I1279" s="2" t="s">
        <v>32</v>
      </c>
      <c r="J1279" s="3">
        <v>44276</v>
      </c>
      <c r="K1279" s="2">
        <v>5</v>
      </c>
      <c r="L1279" s="2" t="s">
        <v>20</v>
      </c>
    </row>
    <row r="1280" spans="1:12" x14ac:dyDescent="0.3">
      <c r="A1280" s="2">
        <v>1269</v>
      </c>
      <c r="B1280" s="2" t="s">
        <v>4062</v>
      </c>
      <c r="C1280" s="2" t="s">
        <v>2747</v>
      </c>
      <c r="D1280" s="2" t="s">
        <v>51</v>
      </c>
      <c r="E1280" s="2" t="s">
        <v>16</v>
      </c>
      <c r="F1280" s="2">
        <v>90</v>
      </c>
      <c r="G1280" s="2" t="s">
        <v>4063</v>
      </c>
      <c r="H1280" s="2" t="s">
        <v>587</v>
      </c>
      <c r="I1280" s="2" t="s">
        <v>25</v>
      </c>
      <c r="J1280" s="3">
        <v>44588</v>
      </c>
      <c r="K1280" s="2">
        <v>41</v>
      </c>
      <c r="L1280" s="2" t="s">
        <v>39</v>
      </c>
    </row>
    <row r="1281" spans="1:12" x14ac:dyDescent="0.3">
      <c r="A1281" s="2">
        <v>1270</v>
      </c>
      <c r="B1281" s="2" t="s">
        <v>4064</v>
      </c>
      <c r="C1281" s="2" t="s">
        <v>3911</v>
      </c>
      <c r="D1281" s="2" t="s">
        <v>15</v>
      </c>
      <c r="E1281" s="2" t="s">
        <v>16</v>
      </c>
      <c r="F1281" s="2">
        <v>90</v>
      </c>
      <c r="G1281" s="2" t="s">
        <v>4065</v>
      </c>
      <c r="H1281" s="2" t="s">
        <v>4066</v>
      </c>
      <c r="I1281" s="2" t="s">
        <v>4067</v>
      </c>
      <c r="J1281" s="3">
        <v>44009</v>
      </c>
      <c r="K1281" s="2">
        <v>71</v>
      </c>
      <c r="L1281" s="2" t="s">
        <v>39</v>
      </c>
    </row>
    <row r="1282" spans="1:12" x14ac:dyDescent="0.3">
      <c r="A1282" s="2">
        <v>1271</v>
      </c>
      <c r="B1282" s="2" t="s">
        <v>4068</v>
      </c>
      <c r="C1282" s="2" t="s">
        <v>4069</v>
      </c>
      <c r="D1282" s="2" t="s">
        <v>28</v>
      </c>
      <c r="E1282" s="2" t="s">
        <v>29</v>
      </c>
      <c r="F1282" s="2">
        <v>90</v>
      </c>
      <c r="G1282" s="2" t="s">
        <v>4070</v>
      </c>
      <c r="H1282" s="2" t="s">
        <v>4071</v>
      </c>
      <c r="I1282" s="2" t="s">
        <v>886</v>
      </c>
      <c r="J1282" s="3">
        <v>44404</v>
      </c>
      <c r="K1282" s="2">
        <v>56</v>
      </c>
      <c r="L1282" s="2" t="s">
        <v>45</v>
      </c>
    </row>
    <row r="1283" spans="1:12" x14ac:dyDescent="0.3">
      <c r="A1283" s="2">
        <v>1272</v>
      </c>
      <c r="B1283" s="2" t="s">
        <v>4072</v>
      </c>
      <c r="C1283" s="2" t="s">
        <v>1270</v>
      </c>
      <c r="D1283" s="2" t="s">
        <v>28</v>
      </c>
      <c r="E1283" s="2" t="s">
        <v>29</v>
      </c>
      <c r="F1283" s="2">
        <v>60</v>
      </c>
      <c r="G1283" s="2" t="s">
        <v>4073</v>
      </c>
      <c r="H1283" s="2" t="s">
        <v>4074</v>
      </c>
      <c r="I1283" s="2" t="s">
        <v>19</v>
      </c>
      <c r="J1283" s="3">
        <v>44363</v>
      </c>
      <c r="K1283" s="2">
        <v>54</v>
      </c>
      <c r="L1283" s="2" t="s">
        <v>64</v>
      </c>
    </row>
    <row r="1284" spans="1:12" x14ac:dyDescent="0.3">
      <c r="A1284" s="2">
        <v>1273</v>
      </c>
      <c r="B1284" s="2" t="s">
        <v>2840</v>
      </c>
      <c r="C1284" s="2" t="s">
        <v>4075</v>
      </c>
      <c r="D1284" s="2" t="s">
        <v>28</v>
      </c>
      <c r="E1284" s="2" t="s">
        <v>29</v>
      </c>
      <c r="F1284" s="2">
        <v>60</v>
      </c>
      <c r="G1284" s="2" t="s">
        <v>4076</v>
      </c>
      <c r="H1284" s="2" t="s">
        <v>4077</v>
      </c>
      <c r="I1284" s="2" t="s">
        <v>554</v>
      </c>
      <c r="J1284" s="3">
        <v>44247</v>
      </c>
      <c r="K1284" s="2">
        <v>93</v>
      </c>
      <c r="L1284" s="2" t="s">
        <v>20</v>
      </c>
    </row>
    <row r="1285" spans="1:12" x14ac:dyDescent="0.3">
      <c r="A1285" s="2">
        <v>1274</v>
      </c>
      <c r="B1285" s="2" t="s">
        <v>4078</v>
      </c>
      <c r="C1285" s="2" t="s">
        <v>4079</v>
      </c>
      <c r="D1285" s="2" t="s">
        <v>28</v>
      </c>
      <c r="E1285" s="2" t="s">
        <v>29</v>
      </c>
      <c r="F1285" s="2">
        <v>60</v>
      </c>
      <c r="G1285" s="2" t="s">
        <v>4080</v>
      </c>
      <c r="H1285" s="2" t="s">
        <v>4081</v>
      </c>
      <c r="I1285" s="2" t="s">
        <v>32</v>
      </c>
      <c r="J1285" s="3">
        <v>44808</v>
      </c>
      <c r="K1285" s="2">
        <v>97</v>
      </c>
      <c r="L1285" s="2" t="s">
        <v>80</v>
      </c>
    </row>
    <row r="1286" spans="1:12" x14ac:dyDescent="0.3">
      <c r="A1286" s="2">
        <v>1275</v>
      </c>
      <c r="B1286" s="2" t="s">
        <v>4082</v>
      </c>
      <c r="C1286" s="2" t="s">
        <v>4083</v>
      </c>
      <c r="D1286" s="2" t="s">
        <v>51</v>
      </c>
      <c r="E1286" s="2" t="s">
        <v>16</v>
      </c>
      <c r="F1286" s="2">
        <v>60</v>
      </c>
      <c r="G1286" s="2" t="s">
        <v>4084</v>
      </c>
      <c r="H1286" s="2" t="s">
        <v>4085</v>
      </c>
      <c r="I1286" s="2" t="s">
        <v>240</v>
      </c>
      <c r="J1286" s="3">
        <v>44910</v>
      </c>
      <c r="K1286" s="2">
        <v>2</v>
      </c>
      <c r="L1286" s="2" t="s">
        <v>70</v>
      </c>
    </row>
    <row r="1287" spans="1:12" x14ac:dyDescent="0.3">
      <c r="A1287" s="2">
        <v>1276</v>
      </c>
      <c r="B1287" s="2" t="s">
        <v>631</v>
      </c>
      <c r="C1287" s="2" t="s">
        <v>1573</v>
      </c>
      <c r="D1287" s="2" t="s">
        <v>15</v>
      </c>
      <c r="E1287" s="2" t="s">
        <v>16</v>
      </c>
      <c r="F1287" s="2">
        <v>60</v>
      </c>
      <c r="G1287" s="2" t="s">
        <v>4086</v>
      </c>
      <c r="H1287" s="2" t="s">
        <v>3854</v>
      </c>
      <c r="I1287" s="2" t="s">
        <v>38</v>
      </c>
      <c r="J1287" s="3">
        <v>43840</v>
      </c>
      <c r="K1287" s="2">
        <v>67</v>
      </c>
      <c r="L1287" s="2" t="s">
        <v>80</v>
      </c>
    </row>
    <row r="1288" spans="1:12" x14ac:dyDescent="0.3">
      <c r="A1288" s="2">
        <v>1277</v>
      </c>
      <c r="B1288" s="2" t="s">
        <v>4087</v>
      </c>
      <c r="C1288" s="2" t="s">
        <v>4088</v>
      </c>
      <c r="D1288" s="2" t="s">
        <v>51</v>
      </c>
      <c r="E1288" s="2" t="s">
        <v>16</v>
      </c>
      <c r="F1288" s="2">
        <v>60</v>
      </c>
      <c r="G1288" s="2" t="s">
        <v>4089</v>
      </c>
      <c r="H1288" s="2" t="s">
        <v>4090</v>
      </c>
      <c r="I1288" s="2" t="s">
        <v>32</v>
      </c>
      <c r="J1288" s="3">
        <v>44460</v>
      </c>
      <c r="K1288" s="2">
        <v>71</v>
      </c>
      <c r="L1288" s="2" t="s">
        <v>64</v>
      </c>
    </row>
    <row r="1289" spans="1:12" x14ac:dyDescent="0.3">
      <c r="A1289" s="2">
        <v>1278</v>
      </c>
      <c r="B1289" s="2" t="s">
        <v>4091</v>
      </c>
      <c r="C1289" s="2" t="s">
        <v>4092</v>
      </c>
      <c r="D1289" s="2" t="s">
        <v>28</v>
      </c>
      <c r="E1289" s="2" t="s">
        <v>29</v>
      </c>
      <c r="F1289" s="2">
        <v>60</v>
      </c>
      <c r="G1289" s="2" t="s">
        <v>4093</v>
      </c>
      <c r="H1289" s="2" t="s">
        <v>3637</v>
      </c>
      <c r="I1289" s="2" t="s">
        <v>38</v>
      </c>
      <c r="J1289" s="3">
        <v>43869</v>
      </c>
      <c r="K1289" s="2">
        <v>36</v>
      </c>
      <c r="L1289" s="2" t="s">
        <v>54</v>
      </c>
    </row>
    <row r="1290" spans="1:12" x14ac:dyDescent="0.3">
      <c r="A1290" s="2">
        <v>1279</v>
      </c>
      <c r="B1290" s="2" t="s">
        <v>4094</v>
      </c>
      <c r="C1290" s="2" t="s">
        <v>4095</v>
      </c>
      <c r="D1290" s="2" t="s">
        <v>28</v>
      </c>
      <c r="E1290" s="2" t="s">
        <v>29</v>
      </c>
      <c r="F1290" s="2">
        <v>90</v>
      </c>
      <c r="G1290" s="2" t="s">
        <v>4096</v>
      </c>
      <c r="H1290" s="2" t="s">
        <v>3261</v>
      </c>
      <c r="I1290" s="2" t="s">
        <v>124</v>
      </c>
      <c r="J1290" s="3">
        <v>43929</v>
      </c>
      <c r="K1290" s="2">
        <v>16</v>
      </c>
      <c r="L1290" s="2" t="s">
        <v>101</v>
      </c>
    </row>
    <row r="1291" spans="1:12" x14ac:dyDescent="0.3">
      <c r="A1291" s="2">
        <v>1280</v>
      </c>
      <c r="B1291" s="2" t="s">
        <v>2285</v>
      </c>
      <c r="C1291" s="2" t="s">
        <v>4035</v>
      </c>
      <c r="D1291" s="2" t="s">
        <v>15</v>
      </c>
      <c r="E1291" s="2" t="s">
        <v>16</v>
      </c>
      <c r="F1291" s="2">
        <v>60</v>
      </c>
      <c r="G1291" s="2" t="s">
        <v>4097</v>
      </c>
      <c r="H1291" s="2" t="s">
        <v>4098</v>
      </c>
      <c r="I1291" s="2" t="s">
        <v>1889</v>
      </c>
      <c r="J1291" s="3">
        <v>44352</v>
      </c>
      <c r="K1291" s="2">
        <v>14</v>
      </c>
      <c r="L1291" s="2" t="s">
        <v>20</v>
      </c>
    </row>
    <row r="1292" spans="1:12" x14ac:dyDescent="0.3">
      <c r="A1292" s="2">
        <v>1281</v>
      </c>
      <c r="B1292" s="2" t="s">
        <v>4099</v>
      </c>
      <c r="C1292" s="2" t="s">
        <v>2273</v>
      </c>
      <c r="D1292" s="2" t="s">
        <v>28</v>
      </c>
      <c r="E1292" s="2" t="s">
        <v>29</v>
      </c>
      <c r="F1292" s="2">
        <v>90</v>
      </c>
      <c r="G1292" s="2" t="s">
        <v>4097</v>
      </c>
      <c r="H1292" s="2" t="s">
        <v>4100</v>
      </c>
      <c r="I1292" s="2" t="s">
        <v>294</v>
      </c>
      <c r="J1292" s="3">
        <v>44641</v>
      </c>
      <c r="K1292" s="2">
        <v>100</v>
      </c>
      <c r="L1292" s="2" t="s">
        <v>54</v>
      </c>
    </row>
    <row r="1293" spans="1:12" x14ac:dyDescent="0.3">
      <c r="A1293" s="2">
        <v>1282</v>
      </c>
      <c r="B1293" s="2" t="s">
        <v>4101</v>
      </c>
      <c r="C1293" s="2" t="s">
        <v>4102</v>
      </c>
      <c r="D1293" s="2" t="s">
        <v>15</v>
      </c>
      <c r="E1293" s="2" t="s">
        <v>16</v>
      </c>
      <c r="F1293" s="2">
        <v>60</v>
      </c>
      <c r="G1293" s="2" t="s">
        <v>4103</v>
      </c>
      <c r="H1293" s="2" t="s">
        <v>1772</v>
      </c>
      <c r="I1293" s="2" t="s">
        <v>178</v>
      </c>
      <c r="J1293" s="3">
        <v>44891</v>
      </c>
      <c r="K1293" s="2">
        <v>39</v>
      </c>
      <c r="L1293" s="2" t="s">
        <v>159</v>
      </c>
    </row>
    <row r="1294" spans="1:12" x14ac:dyDescent="0.3">
      <c r="A1294" s="2">
        <v>1283</v>
      </c>
      <c r="B1294" s="2" t="s">
        <v>4104</v>
      </c>
      <c r="C1294" s="2" t="s">
        <v>2471</v>
      </c>
      <c r="D1294" s="2" t="s">
        <v>15</v>
      </c>
      <c r="E1294" s="2" t="s">
        <v>16</v>
      </c>
      <c r="F1294" s="2">
        <v>30</v>
      </c>
      <c r="G1294" s="2" t="s">
        <v>4105</v>
      </c>
      <c r="H1294" s="2" t="s">
        <v>1156</v>
      </c>
      <c r="I1294" s="2" t="s">
        <v>1157</v>
      </c>
      <c r="J1294" s="3">
        <v>44501</v>
      </c>
      <c r="K1294" s="2">
        <v>16</v>
      </c>
      <c r="L1294" s="2" t="s">
        <v>64</v>
      </c>
    </row>
    <row r="1295" spans="1:12" x14ac:dyDescent="0.3">
      <c r="A1295" s="2">
        <v>1284</v>
      </c>
      <c r="B1295" s="2" t="s">
        <v>335</v>
      </c>
      <c r="C1295" s="2" t="s">
        <v>589</v>
      </c>
      <c r="D1295" s="2" t="s">
        <v>28</v>
      </c>
      <c r="E1295" s="2" t="s">
        <v>29</v>
      </c>
      <c r="F1295" s="2">
        <v>90</v>
      </c>
      <c r="G1295" s="2" t="s">
        <v>4106</v>
      </c>
      <c r="H1295" s="2" t="s">
        <v>1042</v>
      </c>
      <c r="I1295" s="2" t="s">
        <v>32</v>
      </c>
      <c r="J1295" s="3">
        <v>44646</v>
      </c>
      <c r="K1295" s="2">
        <v>105</v>
      </c>
      <c r="L1295" s="2" t="s">
        <v>159</v>
      </c>
    </row>
    <row r="1296" spans="1:12" x14ac:dyDescent="0.3">
      <c r="A1296" s="2">
        <v>1285</v>
      </c>
      <c r="B1296" s="2" t="s">
        <v>2843</v>
      </c>
      <c r="C1296" s="2" t="s">
        <v>1877</v>
      </c>
      <c r="D1296" s="2" t="s">
        <v>51</v>
      </c>
      <c r="E1296" s="2" t="s">
        <v>16</v>
      </c>
      <c r="F1296" s="2">
        <v>30</v>
      </c>
      <c r="G1296" s="2" t="s">
        <v>4107</v>
      </c>
      <c r="H1296" s="2" t="s">
        <v>4108</v>
      </c>
      <c r="I1296" s="2" t="s">
        <v>1454</v>
      </c>
      <c r="J1296" s="3">
        <v>44724</v>
      </c>
      <c r="K1296" s="2">
        <v>105</v>
      </c>
      <c r="L1296" s="2" t="s">
        <v>39</v>
      </c>
    </row>
    <row r="1297" spans="1:12" x14ac:dyDescent="0.3">
      <c r="A1297" s="2">
        <v>1286</v>
      </c>
      <c r="B1297" s="2" t="s">
        <v>4109</v>
      </c>
      <c r="C1297" s="2" t="s">
        <v>1075</v>
      </c>
      <c r="D1297" s="2" t="s">
        <v>15</v>
      </c>
      <c r="E1297" s="2" t="s">
        <v>16</v>
      </c>
      <c r="F1297" s="2">
        <v>30</v>
      </c>
      <c r="G1297" s="2" t="s">
        <v>4110</v>
      </c>
      <c r="H1297" s="2" t="s">
        <v>4111</v>
      </c>
      <c r="I1297" s="2" t="s">
        <v>95</v>
      </c>
      <c r="J1297" s="3">
        <v>44525</v>
      </c>
      <c r="K1297" s="2">
        <v>25</v>
      </c>
      <c r="L1297" s="2" t="s">
        <v>159</v>
      </c>
    </row>
    <row r="1298" spans="1:12" x14ac:dyDescent="0.3">
      <c r="A1298" s="2">
        <v>1287</v>
      </c>
      <c r="B1298" s="2" t="s">
        <v>4112</v>
      </c>
      <c r="C1298" s="2" t="s">
        <v>4113</v>
      </c>
      <c r="D1298" s="2" t="s">
        <v>28</v>
      </c>
      <c r="E1298" s="2" t="s">
        <v>29</v>
      </c>
      <c r="F1298" s="2">
        <v>30</v>
      </c>
      <c r="G1298" s="2" t="s">
        <v>4114</v>
      </c>
      <c r="H1298" s="2" t="s">
        <v>2053</v>
      </c>
      <c r="I1298" s="2" t="s">
        <v>187</v>
      </c>
      <c r="J1298" s="3">
        <v>44168</v>
      </c>
      <c r="K1298" s="2">
        <v>4</v>
      </c>
      <c r="L1298" s="2" t="s">
        <v>33</v>
      </c>
    </row>
    <row r="1299" spans="1:12" x14ac:dyDescent="0.3">
      <c r="A1299" s="2">
        <v>1288</v>
      </c>
      <c r="B1299" s="2" t="s">
        <v>4115</v>
      </c>
      <c r="C1299" s="2" t="s">
        <v>4116</v>
      </c>
      <c r="D1299" s="2" t="s">
        <v>28</v>
      </c>
      <c r="E1299" s="2" t="s">
        <v>29</v>
      </c>
      <c r="F1299" s="2">
        <v>90</v>
      </c>
      <c r="G1299" s="2" t="s">
        <v>4117</v>
      </c>
      <c r="H1299" s="2" t="s">
        <v>203</v>
      </c>
      <c r="I1299" s="2" t="s">
        <v>32</v>
      </c>
      <c r="J1299" s="3">
        <v>44740</v>
      </c>
      <c r="K1299" s="2">
        <v>85</v>
      </c>
      <c r="L1299" s="2" t="s">
        <v>159</v>
      </c>
    </row>
    <row r="1300" spans="1:12" x14ac:dyDescent="0.3">
      <c r="A1300" s="2">
        <v>1289</v>
      </c>
      <c r="B1300" s="2" t="s">
        <v>4118</v>
      </c>
      <c r="C1300" s="2" t="s">
        <v>2010</v>
      </c>
      <c r="D1300" s="2" t="s">
        <v>28</v>
      </c>
      <c r="E1300" s="2" t="s">
        <v>29</v>
      </c>
      <c r="F1300" s="2">
        <v>90</v>
      </c>
      <c r="G1300" s="2" t="s">
        <v>4119</v>
      </c>
      <c r="H1300" s="2" t="s">
        <v>2633</v>
      </c>
      <c r="I1300" s="2" t="s">
        <v>32</v>
      </c>
      <c r="J1300" s="3">
        <v>44675</v>
      </c>
      <c r="K1300" s="2">
        <v>81</v>
      </c>
      <c r="L1300" s="2" t="s">
        <v>54</v>
      </c>
    </row>
    <row r="1301" spans="1:12" x14ac:dyDescent="0.3">
      <c r="A1301" s="2">
        <v>1290</v>
      </c>
      <c r="B1301" s="2" t="s">
        <v>4120</v>
      </c>
      <c r="C1301" s="2" t="s">
        <v>4121</v>
      </c>
      <c r="D1301" s="2" t="s">
        <v>51</v>
      </c>
      <c r="E1301" s="2" t="s">
        <v>16</v>
      </c>
      <c r="F1301" s="2">
        <v>90</v>
      </c>
      <c r="G1301" s="2" t="s">
        <v>4122</v>
      </c>
      <c r="H1301" s="2" t="s">
        <v>4123</v>
      </c>
      <c r="I1301" s="2" t="s">
        <v>187</v>
      </c>
      <c r="J1301" s="3">
        <v>44722</v>
      </c>
      <c r="K1301" s="2">
        <v>74</v>
      </c>
      <c r="L1301" s="2" t="s">
        <v>45</v>
      </c>
    </row>
    <row r="1302" spans="1:12" x14ac:dyDescent="0.3">
      <c r="A1302" s="2">
        <v>1291</v>
      </c>
      <c r="B1302" s="2" t="s">
        <v>4124</v>
      </c>
      <c r="C1302" s="2" t="s">
        <v>1214</v>
      </c>
      <c r="D1302" s="2" t="s">
        <v>51</v>
      </c>
      <c r="E1302" s="2" t="s">
        <v>16</v>
      </c>
      <c r="F1302" s="2">
        <v>90</v>
      </c>
      <c r="G1302" s="2" t="s">
        <v>4125</v>
      </c>
      <c r="H1302" s="2" t="s">
        <v>558</v>
      </c>
      <c r="I1302" s="2" t="s">
        <v>32</v>
      </c>
      <c r="J1302" s="3">
        <v>44506</v>
      </c>
      <c r="K1302" s="2">
        <v>4</v>
      </c>
      <c r="L1302" s="2" t="s">
        <v>64</v>
      </c>
    </row>
    <row r="1303" spans="1:12" x14ac:dyDescent="0.3">
      <c r="A1303" s="2">
        <v>1292</v>
      </c>
      <c r="B1303" s="2" t="s">
        <v>4126</v>
      </c>
      <c r="C1303" s="2" t="s">
        <v>683</v>
      </c>
      <c r="D1303" s="2" t="s">
        <v>28</v>
      </c>
      <c r="E1303" s="2" t="s">
        <v>29</v>
      </c>
      <c r="F1303" s="2">
        <v>30</v>
      </c>
      <c r="G1303" s="2" t="s">
        <v>4127</v>
      </c>
      <c r="H1303" s="2" t="s">
        <v>2117</v>
      </c>
      <c r="I1303" s="2" t="s">
        <v>886</v>
      </c>
      <c r="J1303" s="3">
        <v>44385</v>
      </c>
      <c r="K1303" s="2">
        <v>93</v>
      </c>
      <c r="L1303" s="2" t="s">
        <v>70</v>
      </c>
    </row>
    <row r="1304" spans="1:12" x14ac:dyDescent="0.3">
      <c r="A1304" s="2">
        <v>1293</v>
      </c>
      <c r="B1304" s="2" t="s">
        <v>4128</v>
      </c>
      <c r="C1304" s="2" t="s">
        <v>143</v>
      </c>
      <c r="D1304" s="2" t="s">
        <v>15</v>
      </c>
      <c r="E1304" s="2" t="s">
        <v>16</v>
      </c>
      <c r="F1304" s="2">
        <v>30</v>
      </c>
      <c r="G1304" s="2" t="s">
        <v>4129</v>
      </c>
      <c r="H1304" s="2" t="s">
        <v>2066</v>
      </c>
      <c r="I1304" s="2" t="s">
        <v>294</v>
      </c>
      <c r="J1304" s="3">
        <v>44040</v>
      </c>
      <c r="K1304" s="2">
        <v>82</v>
      </c>
      <c r="L1304" s="2" t="s">
        <v>101</v>
      </c>
    </row>
    <row r="1305" spans="1:12" x14ac:dyDescent="0.3">
      <c r="A1305" s="2">
        <v>1294</v>
      </c>
      <c r="B1305" s="2" t="s">
        <v>4130</v>
      </c>
      <c r="C1305" s="2" t="s">
        <v>4131</v>
      </c>
      <c r="D1305" s="2" t="s">
        <v>51</v>
      </c>
      <c r="E1305" s="2" t="s">
        <v>16</v>
      </c>
      <c r="F1305" s="2">
        <v>30</v>
      </c>
      <c r="G1305" s="2" t="s">
        <v>4132</v>
      </c>
      <c r="H1305" s="2" t="s">
        <v>4133</v>
      </c>
      <c r="I1305" s="2" t="s">
        <v>32</v>
      </c>
      <c r="J1305" s="3">
        <v>44331</v>
      </c>
      <c r="K1305" s="2">
        <v>20</v>
      </c>
      <c r="L1305" s="2" t="s">
        <v>33</v>
      </c>
    </row>
    <row r="1306" spans="1:12" x14ac:dyDescent="0.3">
      <c r="A1306" s="2">
        <v>1295</v>
      </c>
      <c r="B1306" s="2" t="s">
        <v>4134</v>
      </c>
      <c r="C1306" s="2" t="s">
        <v>4135</v>
      </c>
      <c r="D1306" s="2" t="s">
        <v>28</v>
      </c>
      <c r="E1306" s="2" t="s">
        <v>29</v>
      </c>
      <c r="F1306" s="2">
        <v>60</v>
      </c>
      <c r="G1306" s="2" t="s">
        <v>4136</v>
      </c>
      <c r="H1306" s="2" t="s">
        <v>3610</v>
      </c>
      <c r="I1306" s="2" t="s">
        <v>32</v>
      </c>
      <c r="J1306" s="3">
        <v>44709</v>
      </c>
      <c r="K1306" s="2">
        <v>50</v>
      </c>
      <c r="L1306" s="2" t="s">
        <v>101</v>
      </c>
    </row>
    <row r="1307" spans="1:12" x14ac:dyDescent="0.3">
      <c r="A1307" s="2">
        <v>1296</v>
      </c>
      <c r="B1307" s="2" t="s">
        <v>3544</v>
      </c>
      <c r="C1307" s="2" t="s">
        <v>4137</v>
      </c>
      <c r="D1307" s="2" t="s">
        <v>28</v>
      </c>
      <c r="E1307" s="2" t="s">
        <v>29</v>
      </c>
      <c r="F1307" s="2">
        <v>60</v>
      </c>
      <c r="G1307" s="2" t="s">
        <v>4138</v>
      </c>
      <c r="H1307" s="2" t="s">
        <v>137</v>
      </c>
      <c r="I1307" s="2" t="s">
        <v>32</v>
      </c>
      <c r="J1307" s="3">
        <v>43996</v>
      </c>
      <c r="K1307" s="2">
        <v>14</v>
      </c>
      <c r="L1307" s="2" t="s">
        <v>33</v>
      </c>
    </row>
    <row r="1308" spans="1:12" x14ac:dyDescent="0.3">
      <c r="A1308" s="2">
        <v>1297</v>
      </c>
      <c r="B1308" s="2" t="s">
        <v>4139</v>
      </c>
      <c r="C1308" s="2" t="s">
        <v>692</v>
      </c>
      <c r="D1308" s="2" t="s">
        <v>51</v>
      </c>
      <c r="E1308" s="2" t="s">
        <v>16</v>
      </c>
      <c r="F1308" s="2">
        <v>90</v>
      </c>
      <c r="G1308" s="2" t="s">
        <v>4140</v>
      </c>
      <c r="H1308" s="2" t="s">
        <v>2141</v>
      </c>
      <c r="I1308" s="2" t="s">
        <v>1078</v>
      </c>
      <c r="J1308" s="3">
        <v>43906</v>
      </c>
      <c r="K1308" s="2">
        <v>71</v>
      </c>
      <c r="L1308" s="2" t="s">
        <v>33</v>
      </c>
    </row>
    <row r="1309" spans="1:12" x14ac:dyDescent="0.3">
      <c r="A1309" s="2">
        <v>1298</v>
      </c>
      <c r="B1309" s="2" t="s">
        <v>1363</v>
      </c>
      <c r="C1309" s="2" t="s">
        <v>4137</v>
      </c>
      <c r="D1309" s="2" t="s">
        <v>28</v>
      </c>
      <c r="E1309" s="2" t="s">
        <v>29</v>
      </c>
      <c r="F1309" s="2">
        <v>90</v>
      </c>
      <c r="G1309" s="2" t="s">
        <v>4140</v>
      </c>
      <c r="H1309" s="2" t="s">
        <v>1674</v>
      </c>
      <c r="I1309" s="2" t="s">
        <v>25</v>
      </c>
      <c r="J1309" s="3">
        <v>44364</v>
      </c>
      <c r="K1309" s="2">
        <v>8</v>
      </c>
      <c r="L1309" s="2" t="s">
        <v>64</v>
      </c>
    </row>
    <row r="1310" spans="1:12" x14ac:dyDescent="0.3">
      <c r="A1310" s="2">
        <v>1299</v>
      </c>
      <c r="B1310" s="2" t="s">
        <v>1695</v>
      </c>
      <c r="C1310" s="2" t="s">
        <v>3189</v>
      </c>
      <c r="D1310" s="2" t="s">
        <v>15</v>
      </c>
      <c r="E1310" s="2" t="s">
        <v>16</v>
      </c>
      <c r="F1310" s="2">
        <v>90</v>
      </c>
      <c r="G1310" s="2" t="s">
        <v>4144</v>
      </c>
      <c r="H1310" s="2" t="s">
        <v>6</v>
      </c>
      <c r="I1310" s="2" t="s">
        <v>32</v>
      </c>
      <c r="J1310" s="3">
        <v>44056</v>
      </c>
      <c r="K1310" s="2">
        <v>77</v>
      </c>
      <c r="L1310" s="2" t="s">
        <v>70</v>
      </c>
    </row>
    <row r="1311" spans="1:12" x14ac:dyDescent="0.3">
      <c r="A1311" s="2">
        <v>1300</v>
      </c>
      <c r="B1311" s="2" t="s">
        <v>4142</v>
      </c>
      <c r="C1311" s="2" t="s">
        <v>4143</v>
      </c>
      <c r="D1311" s="2" t="s">
        <v>15</v>
      </c>
      <c r="E1311" s="2" t="s">
        <v>16</v>
      </c>
      <c r="F1311" s="2">
        <v>60</v>
      </c>
      <c r="G1311" s="2" t="s">
        <v>4144</v>
      </c>
      <c r="H1311" s="2" t="s">
        <v>4145</v>
      </c>
      <c r="I1311" s="2" t="s">
        <v>32</v>
      </c>
      <c r="J1311" s="3">
        <v>44069</v>
      </c>
      <c r="K1311" s="2">
        <v>46</v>
      </c>
      <c r="L1311" s="2" t="s">
        <v>45</v>
      </c>
    </row>
    <row r="1312" spans="1:12" x14ac:dyDescent="0.3">
      <c r="A1312" s="2">
        <v>1301</v>
      </c>
      <c r="B1312" s="2" t="s">
        <v>4146</v>
      </c>
      <c r="C1312" s="2" t="s">
        <v>987</v>
      </c>
      <c r="D1312" s="2" t="s">
        <v>51</v>
      </c>
      <c r="E1312" s="2" t="s">
        <v>16</v>
      </c>
      <c r="F1312" s="2">
        <v>30</v>
      </c>
      <c r="G1312" s="2" t="s">
        <v>4147</v>
      </c>
      <c r="H1312" s="2" t="s">
        <v>2908</v>
      </c>
      <c r="I1312" s="2" t="s">
        <v>25</v>
      </c>
      <c r="J1312" s="3">
        <v>43865</v>
      </c>
      <c r="K1312" s="2">
        <v>17</v>
      </c>
      <c r="L1312" s="2" t="s">
        <v>54</v>
      </c>
    </row>
    <row r="1313" spans="1:12" x14ac:dyDescent="0.3">
      <c r="A1313" s="2">
        <v>1302</v>
      </c>
      <c r="B1313" s="2" t="s">
        <v>4148</v>
      </c>
      <c r="C1313" s="2" t="s">
        <v>4149</v>
      </c>
      <c r="D1313" s="2" t="s">
        <v>51</v>
      </c>
      <c r="E1313" s="2" t="s">
        <v>16</v>
      </c>
      <c r="F1313" s="2">
        <v>90</v>
      </c>
      <c r="G1313" s="2" t="s">
        <v>4150</v>
      </c>
      <c r="H1313" s="2" t="s">
        <v>2972</v>
      </c>
      <c r="I1313" s="2" t="s">
        <v>32</v>
      </c>
      <c r="J1313" s="3">
        <v>44760</v>
      </c>
      <c r="K1313" s="2">
        <v>35</v>
      </c>
      <c r="L1313" s="2" t="s">
        <v>33</v>
      </c>
    </row>
    <row r="1314" spans="1:12" x14ac:dyDescent="0.3">
      <c r="A1314" s="2">
        <v>1303</v>
      </c>
      <c r="B1314" s="2" t="s">
        <v>4151</v>
      </c>
      <c r="C1314" s="2" t="s">
        <v>1470</v>
      </c>
      <c r="D1314" s="2" t="s">
        <v>51</v>
      </c>
      <c r="E1314" s="2" t="s">
        <v>16</v>
      </c>
      <c r="F1314" s="2">
        <v>30</v>
      </c>
      <c r="G1314" s="2" t="s">
        <v>4152</v>
      </c>
      <c r="H1314" s="2" t="s">
        <v>2032</v>
      </c>
      <c r="I1314" s="2" t="s">
        <v>173</v>
      </c>
      <c r="J1314" s="3">
        <v>44070</v>
      </c>
      <c r="K1314" s="2">
        <v>51</v>
      </c>
      <c r="L1314" s="2" t="s">
        <v>39</v>
      </c>
    </row>
    <row r="1315" spans="1:12" x14ac:dyDescent="0.3">
      <c r="A1315" s="2">
        <v>1304</v>
      </c>
      <c r="B1315" s="2" t="s">
        <v>1703</v>
      </c>
      <c r="C1315" s="2" t="s">
        <v>4153</v>
      </c>
      <c r="D1315" s="2" t="s">
        <v>92</v>
      </c>
      <c r="E1315" s="2" t="s">
        <v>29</v>
      </c>
      <c r="F1315" s="2">
        <v>90</v>
      </c>
      <c r="G1315" s="2" t="s">
        <v>4154</v>
      </c>
      <c r="H1315" s="2" t="s">
        <v>2026</v>
      </c>
      <c r="I1315" s="2" t="s">
        <v>1078</v>
      </c>
      <c r="J1315" s="3">
        <v>44618</v>
      </c>
      <c r="K1315" s="2">
        <v>96</v>
      </c>
      <c r="L1315" s="2" t="s">
        <v>45</v>
      </c>
    </row>
    <row r="1316" spans="1:12" x14ac:dyDescent="0.3">
      <c r="A1316" s="2">
        <v>1305</v>
      </c>
      <c r="B1316" s="2" t="s">
        <v>4155</v>
      </c>
      <c r="C1316" s="2" t="s">
        <v>4156</v>
      </c>
      <c r="D1316" s="2" t="s">
        <v>28</v>
      </c>
      <c r="E1316" s="2" t="s">
        <v>29</v>
      </c>
      <c r="F1316" s="2">
        <v>60</v>
      </c>
      <c r="G1316" s="2" t="s">
        <v>4157</v>
      </c>
      <c r="H1316" s="2" t="s">
        <v>4158</v>
      </c>
      <c r="I1316" s="2" t="s">
        <v>32</v>
      </c>
      <c r="J1316" s="3">
        <v>44476</v>
      </c>
      <c r="K1316" s="2">
        <v>7</v>
      </c>
      <c r="L1316" s="2" t="s">
        <v>54</v>
      </c>
    </row>
    <row r="1317" spans="1:12" x14ac:dyDescent="0.3">
      <c r="A1317" s="2">
        <v>1306</v>
      </c>
      <c r="B1317" s="2" t="s">
        <v>4159</v>
      </c>
      <c r="C1317" s="2" t="s">
        <v>1485</v>
      </c>
      <c r="D1317" s="2" t="s">
        <v>15</v>
      </c>
      <c r="E1317" s="2" t="s">
        <v>16</v>
      </c>
      <c r="F1317" s="2">
        <v>60</v>
      </c>
      <c r="G1317" s="2" t="s">
        <v>4160</v>
      </c>
      <c r="H1317" s="2" t="s">
        <v>4161</v>
      </c>
      <c r="I1317" s="2" t="s">
        <v>32</v>
      </c>
      <c r="J1317" s="3">
        <v>44431</v>
      </c>
      <c r="K1317" s="2">
        <v>95</v>
      </c>
      <c r="L1317" s="2" t="s">
        <v>20</v>
      </c>
    </row>
    <row r="1318" spans="1:12" x14ac:dyDescent="0.3">
      <c r="A1318" s="2">
        <v>1307</v>
      </c>
      <c r="B1318" s="2" t="s">
        <v>3992</v>
      </c>
      <c r="C1318" s="2" t="s">
        <v>1635</v>
      </c>
      <c r="D1318" s="2" t="s">
        <v>28</v>
      </c>
      <c r="E1318" s="2" t="s">
        <v>29</v>
      </c>
      <c r="F1318" s="2">
        <v>90</v>
      </c>
      <c r="G1318" s="2" t="s">
        <v>4162</v>
      </c>
      <c r="H1318" s="2" t="s">
        <v>2154</v>
      </c>
      <c r="I1318" s="2" t="s">
        <v>124</v>
      </c>
      <c r="J1318" s="3">
        <v>44683</v>
      </c>
      <c r="K1318" s="2">
        <v>82</v>
      </c>
      <c r="L1318" s="2" t="s">
        <v>101</v>
      </c>
    </row>
    <row r="1319" spans="1:12" x14ac:dyDescent="0.3">
      <c r="A1319" s="2">
        <v>1308</v>
      </c>
      <c r="B1319" s="2" t="s">
        <v>4163</v>
      </c>
      <c r="C1319" s="2" t="s">
        <v>1727</v>
      </c>
      <c r="D1319" s="2" t="s">
        <v>15</v>
      </c>
      <c r="E1319" s="2" t="s">
        <v>16</v>
      </c>
      <c r="F1319" s="2">
        <v>30</v>
      </c>
      <c r="G1319" s="2" t="s">
        <v>4164</v>
      </c>
      <c r="H1319" s="2" t="s">
        <v>84</v>
      </c>
      <c r="I1319" s="2" t="s">
        <v>32</v>
      </c>
      <c r="J1319" s="3">
        <v>44712</v>
      </c>
      <c r="K1319" s="2">
        <v>70</v>
      </c>
      <c r="L1319" s="2" t="s">
        <v>20</v>
      </c>
    </row>
    <row r="1320" spans="1:12" x14ac:dyDescent="0.3">
      <c r="A1320" s="2">
        <v>1309</v>
      </c>
      <c r="B1320" s="2" t="s">
        <v>2331</v>
      </c>
      <c r="C1320" s="2" t="s">
        <v>4165</v>
      </c>
      <c r="D1320" s="2" t="s">
        <v>15</v>
      </c>
      <c r="E1320" s="2" t="s">
        <v>16</v>
      </c>
      <c r="F1320" s="2">
        <v>90</v>
      </c>
      <c r="G1320" s="2" t="s">
        <v>10485</v>
      </c>
      <c r="H1320" s="2" t="s">
        <v>3511</v>
      </c>
      <c r="I1320" s="2" t="s">
        <v>32</v>
      </c>
      <c r="J1320" s="3">
        <v>43856</v>
      </c>
      <c r="K1320" s="2">
        <v>5</v>
      </c>
      <c r="L1320" s="2" t="s">
        <v>20</v>
      </c>
    </row>
    <row r="1321" spans="1:12" x14ac:dyDescent="0.3">
      <c r="A1321" s="2">
        <v>1310</v>
      </c>
      <c r="B1321" s="2" t="s">
        <v>4167</v>
      </c>
      <c r="C1321" s="2" t="s">
        <v>4168</v>
      </c>
      <c r="D1321" s="2" t="s">
        <v>28</v>
      </c>
      <c r="E1321" s="2" t="s">
        <v>29</v>
      </c>
      <c r="F1321" s="2">
        <v>30</v>
      </c>
      <c r="G1321" s="2" t="s">
        <v>4169</v>
      </c>
      <c r="H1321" s="2" t="s">
        <v>3053</v>
      </c>
      <c r="I1321" s="2" t="s">
        <v>32</v>
      </c>
      <c r="J1321" s="3">
        <v>44617</v>
      </c>
      <c r="K1321" s="2">
        <v>72</v>
      </c>
      <c r="L1321" s="2" t="s">
        <v>64</v>
      </c>
    </row>
    <row r="1322" spans="1:12" x14ac:dyDescent="0.3">
      <c r="A1322" s="2">
        <v>1311</v>
      </c>
      <c r="B1322" s="2" t="s">
        <v>4170</v>
      </c>
      <c r="C1322" s="2" t="s">
        <v>286</v>
      </c>
      <c r="D1322" s="2" t="s">
        <v>28</v>
      </c>
      <c r="E1322" s="2" t="s">
        <v>29</v>
      </c>
      <c r="F1322" s="2">
        <v>90</v>
      </c>
      <c r="G1322" s="2" t="s">
        <v>4171</v>
      </c>
      <c r="H1322" s="2" t="s">
        <v>1430</v>
      </c>
      <c r="I1322" s="2" t="s">
        <v>32</v>
      </c>
      <c r="J1322" s="3">
        <v>44426</v>
      </c>
      <c r="K1322" s="2">
        <v>22</v>
      </c>
      <c r="L1322" s="2" t="s">
        <v>159</v>
      </c>
    </row>
    <row r="1323" spans="1:12" x14ac:dyDescent="0.3">
      <c r="A1323" s="2">
        <v>1312</v>
      </c>
      <c r="B1323" s="2" t="s">
        <v>4172</v>
      </c>
      <c r="C1323" s="2" t="s">
        <v>4173</v>
      </c>
      <c r="D1323" s="2" t="s">
        <v>51</v>
      </c>
      <c r="E1323" s="2" t="s">
        <v>16</v>
      </c>
      <c r="F1323" s="2">
        <v>60</v>
      </c>
      <c r="G1323" s="2" t="s">
        <v>4174</v>
      </c>
      <c r="H1323" s="2" t="s">
        <v>4175</v>
      </c>
      <c r="I1323" s="2" t="s">
        <v>25</v>
      </c>
      <c r="J1323" s="3">
        <v>44778</v>
      </c>
      <c r="K1323" s="2">
        <v>82</v>
      </c>
      <c r="L1323" s="2" t="s">
        <v>39</v>
      </c>
    </row>
    <row r="1324" spans="1:12" x14ac:dyDescent="0.3">
      <c r="A1324" s="2">
        <v>1313</v>
      </c>
      <c r="B1324" s="2" t="s">
        <v>4176</v>
      </c>
      <c r="C1324" s="2" t="s">
        <v>2874</v>
      </c>
      <c r="D1324" s="2" t="s">
        <v>51</v>
      </c>
      <c r="E1324" s="2" t="s">
        <v>16</v>
      </c>
      <c r="F1324" s="2">
        <v>30</v>
      </c>
      <c r="G1324" s="2" t="s">
        <v>4177</v>
      </c>
      <c r="H1324" s="2" t="s">
        <v>864</v>
      </c>
      <c r="I1324" s="2" t="s">
        <v>19</v>
      </c>
      <c r="J1324" s="3">
        <v>44510</v>
      </c>
      <c r="K1324" s="2">
        <v>7</v>
      </c>
      <c r="L1324" s="2" t="s">
        <v>39</v>
      </c>
    </row>
    <row r="1325" spans="1:12" x14ac:dyDescent="0.3">
      <c r="A1325" s="2">
        <v>1314</v>
      </c>
      <c r="B1325" s="2" t="s">
        <v>4178</v>
      </c>
      <c r="C1325" s="2" t="s">
        <v>3345</v>
      </c>
      <c r="D1325" s="2" t="s">
        <v>15</v>
      </c>
      <c r="E1325" s="2" t="s">
        <v>16</v>
      </c>
      <c r="F1325" s="2">
        <v>60</v>
      </c>
      <c r="G1325" s="2" t="s">
        <v>4179</v>
      </c>
      <c r="H1325" s="2" t="s">
        <v>4180</v>
      </c>
      <c r="I1325" s="2" t="s">
        <v>187</v>
      </c>
      <c r="J1325" s="3">
        <v>43950</v>
      </c>
      <c r="K1325" s="2">
        <v>74</v>
      </c>
      <c r="L1325" s="2" t="s">
        <v>33</v>
      </c>
    </row>
    <row r="1326" spans="1:12" x14ac:dyDescent="0.3">
      <c r="A1326" s="2">
        <v>1315</v>
      </c>
      <c r="B1326" s="2" t="s">
        <v>2134</v>
      </c>
      <c r="C1326" s="2" t="s">
        <v>4181</v>
      </c>
      <c r="D1326" s="2" t="s">
        <v>15</v>
      </c>
      <c r="E1326" s="2" t="s">
        <v>16</v>
      </c>
      <c r="F1326" s="2">
        <v>30</v>
      </c>
      <c r="G1326" s="2" t="s">
        <v>4179</v>
      </c>
      <c r="H1326" s="2" t="s">
        <v>4182</v>
      </c>
      <c r="I1326" s="2" t="s">
        <v>32</v>
      </c>
      <c r="J1326" s="3">
        <v>44060</v>
      </c>
      <c r="K1326" s="2">
        <v>73</v>
      </c>
      <c r="L1326" s="2" t="s">
        <v>80</v>
      </c>
    </row>
    <row r="1327" spans="1:12" x14ac:dyDescent="0.3">
      <c r="A1327" s="2">
        <v>1316</v>
      </c>
      <c r="B1327" s="2" t="s">
        <v>4183</v>
      </c>
      <c r="C1327" s="2" t="s">
        <v>4059</v>
      </c>
      <c r="D1327" s="2" t="s">
        <v>15</v>
      </c>
      <c r="E1327" s="2" t="s">
        <v>16</v>
      </c>
      <c r="F1327" s="2">
        <v>90</v>
      </c>
      <c r="G1327" s="2" t="s">
        <v>4184</v>
      </c>
      <c r="H1327" s="2" t="s">
        <v>1103</v>
      </c>
      <c r="I1327" s="2" t="s">
        <v>25</v>
      </c>
      <c r="J1327" s="3">
        <v>43981</v>
      </c>
      <c r="K1327" s="2">
        <v>42</v>
      </c>
      <c r="L1327" s="2" t="s">
        <v>64</v>
      </c>
    </row>
    <row r="1328" spans="1:12" x14ac:dyDescent="0.3">
      <c r="A1328" s="2">
        <v>1317</v>
      </c>
      <c r="B1328" s="2" t="s">
        <v>4185</v>
      </c>
      <c r="C1328" s="2" t="s">
        <v>4186</v>
      </c>
      <c r="D1328" s="2" t="s">
        <v>28</v>
      </c>
      <c r="E1328" s="2" t="s">
        <v>29</v>
      </c>
      <c r="F1328" s="2">
        <v>90</v>
      </c>
      <c r="G1328" s="2" t="s">
        <v>4187</v>
      </c>
      <c r="H1328" s="2" t="s">
        <v>2130</v>
      </c>
      <c r="I1328" s="2" t="s">
        <v>32</v>
      </c>
      <c r="J1328" s="3">
        <v>44192</v>
      </c>
      <c r="K1328" s="2">
        <v>22</v>
      </c>
      <c r="L1328" s="2" t="s">
        <v>33</v>
      </c>
    </row>
    <row r="1329" spans="1:12" x14ac:dyDescent="0.3">
      <c r="A1329" s="2">
        <v>1318</v>
      </c>
      <c r="B1329" s="2" t="s">
        <v>4188</v>
      </c>
      <c r="C1329" s="2" t="s">
        <v>427</v>
      </c>
      <c r="D1329" s="2" t="s">
        <v>51</v>
      </c>
      <c r="E1329" s="2" t="s">
        <v>16</v>
      </c>
      <c r="F1329" s="2">
        <v>60</v>
      </c>
      <c r="G1329" s="2" t="s">
        <v>4189</v>
      </c>
      <c r="H1329" s="2" t="s">
        <v>1505</v>
      </c>
      <c r="I1329" s="2" t="s">
        <v>32</v>
      </c>
      <c r="J1329" s="3">
        <v>44511</v>
      </c>
      <c r="K1329" s="2">
        <v>49</v>
      </c>
      <c r="L1329" s="2" t="s">
        <v>101</v>
      </c>
    </row>
    <row r="1330" spans="1:12" x14ac:dyDescent="0.3">
      <c r="A1330" s="2">
        <v>1319</v>
      </c>
      <c r="B1330" s="2" t="s">
        <v>4190</v>
      </c>
      <c r="C1330" s="2" t="s">
        <v>4191</v>
      </c>
      <c r="D1330" s="2" t="s">
        <v>15</v>
      </c>
      <c r="E1330" s="2" t="s">
        <v>16</v>
      </c>
      <c r="F1330" s="2">
        <v>30</v>
      </c>
      <c r="G1330" s="2" t="s">
        <v>4192</v>
      </c>
      <c r="H1330" s="2" t="s">
        <v>420</v>
      </c>
      <c r="I1330" s="2" t="s">
        <v>32</v>
      </c>
      <c r="J1330" s="3">
        <v>44396</v>
      </c>
      <c r="K1330" s="2">
        <v>46</v>
      </c>
      <c r="L1330" s="2" t="s">
        <v>54</v>
      </c>
    </row>
    <row r="1331" spans="1:12" x14ac:dyDescent="0.3">
      <c r="A1331" s="2">
        <v>1320</v>
      </c>
      <c r="B1331" s="2" t="s">
        <v>4193</v>
      </c>
      <c r="C1331" s="2" t="s">
        <v>4194</v>
      </c>
      <c r="D1331" s="2" t="s">
        <v>28</v>
      </c>
      <c r="E1331" s="2" t="s">
        <v>29</v>
      </c>
      <c r="F1331" s="2">
        <v>90</v>
      </c>
      <c r="G1331" s="2" t="s">
        <v>4195</v>
      </c>
      <c r="H1331" s="2" t="s">
        <v>4196</v>
      </c>
      <c r="I1331" s="2" t="s">
        <v>240</v>
      </c>
      <c r="J1331" s="3">
        <v>44159</v>
      </c>
      <c r="K1331" s="2">
        <v>34</v>
      </c>
      <c r="L1331" s="2" t="s">
        <v>159</v>
      </c>
    </row>
    <row r="1332" spans="1:12" x14ac:dyDescent="0.3">
      <c r="A1332" s="2">
        <v>1321</v>
      </c>
      <c r="B1332" s="2" t="s">
        <v>4197</v>
      </c>
      <c r="C1332" s="2" t="s">
        <v>3146</v>
      </c>
      <c r="D1332" s="2" t="s">
        <v>15</v>
      </c>
      <c r="E1332" s="2" t="s">
        <v>16</v>
      </c>
      <c r="F1332" s="2">
        <v>90</v>
      </c>
      <c r="G1332" s="2" t="s">
        <v>4198</v>
      </c>
      <c r="H1332" s="2" t="s">
        <v>2877</v>
      </c>
      <c r="I1332" s="2" t="s">
        <v>2878</v>
      </c>
      <c r="J1332" s="3">
        <v>44129</v>
      </c>
      <c r="K1332" s="2">
        <v>8</v>
      </c>
      <c r="L1332" s="2" t="s">
        <v>159</v>
      </c>
    </row>
    <row r="1333" spans="1:12" x14ac:dyDescent="0.3">
      <c r="A1333" s="2">
        <v>1322</v>
      </c>
      <c r="B1333" s="2" t="s">
        <v>2147</v>
      </c>
      <c r="C1333" s="2" t="s">
        <v>1023</v>
      </c>
      <c r="D1333" s="2" t="s">
        <v>117</v>
      </c>
      <c r="E1333" s="2" t="s">
        <v>29</v>
      </c>
      <c r="F1333" s="2">
        <v>30</v>
      </c>
      <c r="G1333" s="2" t="s">
        <v>4199</v>
      </c>
      <c r="H1333" s="2" t="s">
        <v>3421</v>
      </c>
      <c r="I1333" s="2" t="s">
        <v>25</v>
      </c>
      <c r="J1333" s="3">
        <v>44006</v>
      </c>
      <c r="K1333" s="2">
        <v>3</v>
      </c>
      <c r="L1333" s="2" t="s">
        <v>70</v>
      </c>
    </row>
    <row r="1334" spans="1:12" x14ac:dyDescent="0.3">
      <c r="A1334" s="2">
        <v>1323</v>
      </c>
      <c r="B1334" s="2" t="s">
        <v>4200</v>
      </c>
      <c r="C1334" s="2" t="s">
        <v>2095</v>
      </c>
      <c r="D1334" s="2" t="s">
        <v>15</v>
      </c>
      <c r="E1334" s="2" t="s">
        <v>16</v>
      </c>
      <c r="F1334" s="2">
        <v>30</v>
      </c>
      <c r="G1334" s="2" t="s">
        <v>4201</v>
      </c>
      <c r="H1334" s="2" t="s">
        <v>2727</v>
      </c>
      <c r="I1334" s="2" t="s">
        <v>2330</v>
      </c>
      <c r="J1334" s="3">
        <v>43964</v>
      </c>
      <c r="K1334" s="2">
        <v>55</v>
      </c>
      <c r="L1334" s="2" t="s">
        <v>101</v>
      </c>
    </row>
    <row r="1335" spans="1:12" x14ac:dyDescent="0.3">
      <c r="A1335" s="2">
        <v>1324</v>
      </c>
      <c r="B1335" s="2" t="s">
        <v>130</v>
      </c>
      <c r="C1335" s="2" t="s">
        <v>3362</v>
      </c>
      <c r="D1335" s="2" t="s">
        <v>28</v>
      </c>
      <c r="E1335" s="2" t="s">
        <v>29</v>
      </c>
      <c r="F1335" s="2">
        <v>30</v>
      </c>
      <c r="G1335" s="2" t="s">
        <v>4204</v>
      </c>
      <c r="H1335" s="2" t="s">
        <v>2220</v>
      </c>
      <c r="I1335" s="2" t="s">
        <v>1889</v>
      </c>
      <c r="J1335" s="3">
        <v>44694</v>
      </c>
      <c r="K1335" s="2">
        <v>55</v>
      </c>
      <c r="L1335" s="2" t="s">
        <v>45</v>
      </c>
    </row>
    <row r="1336" spans="1:12" x14ac:dyDescent="0.3">
      <c r="A1336" s="2">
        <v>1325</v>
      </c>
      <c r="B1336" s="2" t="s">
        <v>1096</v>
      </c>
      <c r="C1336" s="2" t="s">
        <v>4205</v>
      </c>
      <c r="D1336" s="2" t="s">
        <v>28</v>
      </c>
      <c r="E1336" s="2" t="s">
        <v>29</v>
      </c>
      <c r="F1336" s="2">
        <v>60</v>
      </c>
      <c r="G1336" s="2" t="s">
        <v>4206</v>
      </c>
      <c r="H1336" s="2" t="s">
        <v>2338</v>
      </c>
      <c r="I1336" s="2" t="s">
        <v>240</v>
      </c>
      <c r="J1336" s="3">
        <v>44704</v>
      </c>
      <c r="K1336" s="2">
        <v>70</v>
      </c>
      <c r="L1336" s="2" t="s">
        <v>80</v>
      </c>
    </row>
    <row r="1337" spans="1:12" x14ac:dyDescent="0.3">
      <c r="A1337" s="2">
        <v>1326</v>
      </c>
      <c r="B1337" s="2" t="s">
        <v>2094</v>
      </c>
      <c r="C1337" s="2" t="s">
        <v>170</v>
      </c>
      <c r="D1337" s="2" t="s">
        <v>51</v>
      </c>
      <c r="E1337" s="2" t="s">
        <v>16</v>
      </c>
      <c r="F1337" s="2">
        <v>90</v>
      </c>
      <c r="G1337" s="2" t="s">
        <v>4207</v>
      </c>
      <c r="H1337" s="2" t="s">
        <v>4208</v>
      </c>
      <c r="I1337" s="2" t="s">
        <v>44</v>
      </c>
      <c r="J1337" s="3">
        <v>44169</v>
      </c>
      <c r="K1337" s="2">
        <v>79</v>
      </c>
      <c r="L1337" s="2" t="s">
        <v>33</v>
      </c>
    </row>
    <row r="1338" spans="1:12" x14ac:dyDescent="0.3">
      <c r="A1338" s="2">
        <v>1327</v>
      </c>
      <c r="B1338" s="2" t="s">
        <v>3711</v>
      </c>
      <c r="C1338" s="2" t="s">
        <v>2135</v>
      </c>
      <c r="D1338" s="2" t="s">
        <v>28</v>
      </c>
      <c r="E1338" s="2" t="s">
        <v>29</v>
      </c>
      <c r="F1338" s="2">
        <v>30</v>
      </c>
      <c r="G1338" s="2" t="s">
        <v>4209</v>
      </c>
      <c r="H1338" s="2" t="s">
        <v>3059</v>
      </c>
      <c r="I1338" s="2" t="s">
        <v>187</v>
      </c>
      <c r="J1338" s="3">
        <v>44876</v>
      </c>
      <c r="K1338" s="2">
        <v>50</v>
      </c>
      <c r="L1338" s="2" t="s">
        <v>20</v>
      </c>
    </row>
    <row r="1339" spans="1:12" x14ac:dyDescent="0.3">
      <c r="A1339" s="2">
        <v>1328</v>
      </c>
      <c r="B1339" s="2" t="s">
        <v>4210</v>
      </c>
      <c r="C1339" s="2" t="s">
        <v>2635</v>
      </c>
      <c r="D1339" s="2" t="s">
        <v>51</v>
      </c>
      <c r="E1339" s="2" t="s">
        <v>16</v>
      </c>
      <c r="F1339" s="2">
        <v>30</v>
      </c>
      <c r="G1339" s="2" t="s">
        <v>4211</v>
      </c>
      <c r="H1339" s="2" t="s">
        <v>3212</v>
      </c>
      <c r="I1339" s="2" t="s">
        <v>25</v>
      </c>
      <c r="J1339" s="3">
        <v>44302</v>
      </c>
      <c r="K1339" s="2">
        <v>8</v>
      </c>
      <c r="L1339" s="2" t="s">
        <v>45</v>
      </c>
    </row>
    <row r="1340" spans="1:12" x14ac:dyDescent="0.3">
      <c r="A1340" s="2">
        <v>1329</v>
      </c>
      <c r="B1340" s="2" t="s">
        <v>4212</v>
      </c>
      <c r="C1340" s="2" t="s">
        <v>1963</v>
      </c>
      <c r="D1340" s="2" t="s">
        <v>92</v>
      </c>
      <c r="E1340" s="2" t="s">
        <v>16</v>
      </c>
      <c r="F1340" s="2">
        <v>90</v>
      </c>
      <c r="G1340" s="2" t="s">
        <v>4213</v>
      </c>
      <c r="H1340" s="2" t="s">
        <v>4098</v>
      </c>
      <c r="I1340" s="2" t="s">
        <v>1889</v>
      </c>
      <c r="J1340" s="3">
        <v>44684</v>
      </c>
      <c r="K1340" s="2">
        <v>21</v>
      </c>
      <c r="L1340" s="2" t="s">
        <v>159</v>
      </c>
    </row>
    <row r="1341" spans="1:12" x14ac:dyDescent="0.3">
      <c r="A1341" s="2">
        <v>1330</v>
      </c>
      <c r="B1341" s="2" t="s">
        <v>1352</v>
      </c>
      <c r="C1341" s="2" t="s">
        <v>3057</v>
      </c>
      <c r="D1341" s="2" t="s">
        <v>28</v>
      </c>
      <c r="E1341" s="2" t="s">
        <v>29</v>
      </c>
      <c r="F1341" s="2">
        <v>90</v>
      </c>
      <c r="G1341" s="2" t="s">
        <v>4213</v>
      </c>
      <c r="H1341" s="2" t="s">
        <v>4214</v>
      </c>
      <c r="I1341" s="2" t="s">
        <v>187</v>
      </c>
      <c r="J1341" s="3">
        <v>44294</v>
      </c>
      <c r="K1341" s="2">
        <v>76</v>
      </c>
      <c r="L1341" s="2" t="s">
        <v>33</v>
      </c>
    </row>
    <row r="1342" spans="1:12" x14ac:dyDescent="0.3">
      <c r="A1342" s="2">
        <v>1331</v>
      </c>
      <c r="B1342" s="2" t="s">
        <v>4215</v>
      </c>
      <c r="C1342" s="2" t="s">
        <v>4216</v>
      </c>
      <c r="D1342" s="2" t="s">
        <v>51</v>
      </c>
      <c r="E1342" s="2" t="s">
        <v>16</v>
      </c>
      <c r="F1342" s="2">
        <v>30</v>
      </c>
      <c r="G1342" s="2" t="s">
        <v>4217</v>
      </c>
      <c r="H1342" s="2" t="s">
        <v>326</v>
      </c>
      <c r="I1342" s="2" t="s">
        <v>25</v>
      </c>
      <c r="J1342" s="3">
        <v>44279</v>
      </c>
      <c r="K1342" s="2">
        <v>12</v>
      </c>
      <c r="L1342" s="2" t="s">
        <v>101</v>
      </c>
    </row>
    <row r="1343" spans="1:12" x14ac:dyDescent="0.3">
      <c r="A1343" s="2">
        <v>1332</v>
      </c>
      <c r="B1343" s="2" t="s">
        <v>4218</v>
      </c>
      <c r="C1343" s="2" t="s">
        <v>825</v>
      </c>
      <c r="D1343" s="2" t="s">
        <v>28</v>
      </c>
      <c r="E1343" s="2" t="s">
        <v>29</v>
      </c>
      <c r="F1343" s="2">
        <v>90</v>
      </c>
      <c r="G1343" s="2" t="s">
        <v>4219</v>
      </c>
      <c r="H1343" s="2" t="s">
        <v>4220</v>
      </c>
      <c r="I1343" s="2" t="s">
        <v>2543</v>
      </c>
      <c r="J1343" s="3">
        <v>44496</v>
      </c>
      <c r="K1343" s="2">
        <v>94</v>
      </c>
      <c r="L1343" s="2" t="s">
        <v>39</v>
      </c>
    </row>
    <row r="1344" spans="1:12" x14ac:dyDescent="0.3">
      <c r="A1344" s="2">
        <v>1333</v>
      </c>
      <c r="B1344" s="2" t="s">
        <v>4221</v>
      </c>
      <c r="C1344" s="2" t="s">
        <v>4222</v>
      </c>
      <c r="D1344" s="2" t="s">
        <v>41</v>
      </c>
      <c r="E1344" s="2" t="s">
        <v>16</v>
      </c>
      <c r="F1344" s="2">
        <v>30</v>
      </c>
      <c r="G1344" s="2" t="s">
        <v>4223</v>
      </c>
      <c r="H1344" s="2" t="s">
        <v>2494</v>
      </c>
      <c r="I1344" s="2" t="s">
        <v>25</v>
      </c>
      <c r="J1344" s="3">
        <v>44304</v>
      </c>
      <c r="K1344" s="2">
        <v>68</v>
      </c>
      <c r="L1344" s="2" t="s">
        <v>45</v>
      </c>
    </row>
    <row r="1345" spans="1:12" x14ac:dyDescent="0.3">
      <c r="A1345" s="2">
        <v>1334</v>
      </c>
      <c r="B1345" s="2" t="s">
        <v>4224</v>
      </c>
      <c r="C1345" s="2" t="s">
        <v>2858</v>
      </c>
      <c r="D1345" s="2" t="s">
        <v>28</v>
      </c>
      <c r="E1345" s="2" t="s">
        <v>29</v>
      </c>
      <c r="F1345" s="2">
        <v>30</v>
      </c>
      <c r="G1345" s="2" t="s">
        <v>4225</v>
      </c>
      <c r="H1345" s="2" t="s">
        <v>2361</v>
      </c>
      <c r="I1345" s="2" t="s">
        <v>110</v>
      </c>
      <c r="J1345" s="3">
        <v>44809</v>
      </c>
      <c r="K1345" s="2">
        <v>48</v>
      </c>
      <c r="L1345" s="2" t="s">
        <v>159</v>
      </c>
    </row>
    <row r="1346" spans="1:12" x14ac:dyDescent="0.3">
      <c r="A1346" s="2">
        <v>1335</v>
      </c>
      <c r="B1346" s="2" t="s">
        <v>241</v>
      </c>
      <c r="C1346" s="2" t="s">
        <v>4226</v>
      </c>
      <c r="D1346" s="2" t="s">
        <v>51</v>
      </c>
      <c r="E1346" s="2" t="s">
        <v>16</v>
      </c>
      <c r="F1346" s="2">
        <v>30</v>
      </c>
      <c r="G1346" s="2" t="s">
        <v>4227</v>
      </c>
      <c r="H1346" s="2" t="s">
        <v>2441</v>
      </c>
      <c r="I1346" s="2" t="s">
        <v>1199</v>
      </c>
      <c r="J1346" s="3">
        <v>43957</v>
      </c>
      <c r="K1346" s="2">
        <v>18</v>
      </c>
      <c r="L1346" s="2" t="s">
        <v>159</v>
      </c>
    </row>
    <row r="1347" spans="1:12" x14ac:dyDescent="0.3">
      <c r="A1347" s="2">
        <v>1336</v>
      </c>
      <c r="B1347" s="2" t="s">
        <v>3180</v>
      </c>
      <c r="C1347" s="2" t="s">
        <v>3845</v>
      </c>
      <c r="D1347" s="2" t="s">
        <v>28</v>
      </c>
      <c r="E1347" s="2" t="s">
        <v>29</v>
      </c>
      <c r="F1347" s="2">
        <v>30</v>
      </c>
      <c r="G1347" s="2" t="s">
        <v>4228</v>
      </c>
      <c r="H1347" s="2" t="s">
        <v>1206</v>
      </c>
      <c r="I1347" s="2" t="s">
        <v>294</v>
      </c>
      <c r="J1347" s="3">
        <v>44214</v>
      </c>
      <c r="K1347" s="2">
        <v>56</v>
      </c>
      <c r="L1347" s="2" t="s">
        <v>20</v>
      </c>
    </row>
    <row r="1348" spans="1:12" x14ac:dyDescent="0.3">
      <c r="A1348" s="2">
        <v>1337</v>
      </c>
      <c r="B1348" s="2" t="s">
        <v>4229</v>
      </c>
      <c r="C1348" s="2" t="s">
        <v>3297</v>
      </c>
      <c r="D1348" s="2" t="s">
        <v>51</v>
      </c>
      <c r="E1348" s="2" t="s">
        <v>16</v>
      </c>
      <c r="F1348" s="2">
        <v>60</v>
      </c>
      <c r="G1348" s="2" t="s">
        <v>4230</v>
      </c>
      <c r="H1348" s="2" t="s">
        <v>2890</v>
      </c>
      <c r="I1348" s="2" t="s">
        <v>32</v>
      </c>
      <c r="J1348" s="3">
        <v>44341</v>
      </c>
      <c r="K1348" s="2">
        <v>19</v>
      </c>
      <c r="L1348" s="2" t="s">
        <v>39</v>
      </c>
    </row>
    <row r="1349" spans="1:12" x14ac:dyDescent="0.3">
      <c r="A1349" s="2">
        <v>1338</v>
      </c>
      <c r="B1349" s="2" t="s">
        <v>4231</v>
      </c>
      <c r="C1349" s="2" t="s">
        <v>2669</v>
      </c>
      <c r="D1349" s="2" t="s">
        <v>51</v>
      </c>
      <c r="E1349" s="2" t="s">
        <v>16</v>
      </c>
      <c r="F1349" s="2">
        <v>60</v>
      </c>
      <c r="G1349" s="2" t="s">
        <v>4232</v>
      </c>
      <c r="H1349" s="2" t="s">
        <v>3666</v>
      </c>
      <c r="I1349" s="2" t="s">
        <v>1483</v>
      </c>
      <c r="J1349" s="3">
        <v>44526</v>
      </c>
      <c r="K1349" s="2">
        <v>65</v>
      </c>
      <c r="L1349" s="2" t="s">
        <v>39</v>
      </c>
    </row>
    <row r="1350" spans="1:12" x14ac:dyDescent="0.3">
      <c r="A1350" s="2">
        <v>1339</v>
      </c>
      <c r="B1350" s="2" t="s">
        <v>4233</v>
      </c>
      <c r="C1350" s="2" t="s">
        <v>4234</v>
      </c>
      <c r="D1350" s="2" t="s">
        <v>28</v>
      </c>
      <c r="E1350" s="2" t="s">
        <v>29</v>
      </c>
      <c r="F1350" s="2">
        <v>30</v>
      </c>
      <c r="G1350" s="2" t="s">
        <v>4235</v>
      </c>
      <c r="H1350" s="2" t="s">
        <v>2127</v>
      </c>
      <c r="I1350" s="2" t="s">
        <v>32</v>
      </c>
      <c r="J1350" s="3">
        <v>44558</v>
      </c>
      <c r="K1350" s="2">
        <v>6</v>
      </c>
      <c r="L1350" s="2" t="s">
        <v>101</v>
      </c>
    </row>
    <row r="1351" spans="1:12" x14ac:dyDescent="0.3">
      <c r="A1351" s="2">
        <v>1340</v>
      </c>
      <c r="B1351" s="2" t="s">
        <v>4236</v>
      </c>
      <c r="C1351" s="2" t="s">
        <v>4237</v>
      </c>
      <c r="D1351" s="2" t="s">
        <v>15</v>
      </c>
      <c r="E1351" s="2" t="s">
        <v>16</v>
      </c>
      <c r="F1351" s="2">
        <v>30</v>
      </c>
      <c r="G1351" s="2" t="s">
        <v>4238</v>
      </c>
      <c r="H1351" s="2" t="s">
        <v>4196</v>
      </c>
      <c r="I1351" s="2" t="s">
        <v>240</v>
      </c>
      <c r="J1351" s="3">
        <v>44123</v>
      </c>
      <c r="K1351" s="2">
        <v>51</v>
      </c>
      <c r="L1351" s="2" t="s">
        <v>64</v>
      </c>
    </row>
    <row r="1352" spans="1:12" x14ac:dyDescent="0.3">
      <c r="A1352" s="2">
        <v>1341</v>
      </c>
      <c r="B1352" s="2" t="s">
        <v>4239</v>
      </c>
      <c r="C1352" s="2" t="s">
        <v>2389</v>
      </c>
      <c r="D1352" s="2" t="s">
        <v>28</v>
      </c>
      <c r="E1352" s="2" t="s">
        <v>29</v>
      </c>
      <c r="F1352" s="2">
        <v>30</v>
      </c>
      <c r="G1352" s="2" t="s">
        <v>4240</v>
      </c>
      <c r="H1352" s="2" t="s">
        <v>637</v>
      </c>
      <c r="I1352" s="2" t="s">
        <v>32</v>
      </c>
      <c r="J1352" s="3">
        <v>44275</v>
      </c>
      <c r="K1352" s="2">
        <v>51</v>
      </c>
      <c r="L1352" s="2" t="s">
        <v>64</v>
      </c>
    </row>
    <row r="1353" spans="1:12" x14ac:dyDescent="0.3">
      <c r="A1353" s="2">
        <v>1342</v>
      </c>
      <c r="B1353" s="2" t="s">
        <v>4241</v>
      </c>
      <c r="C1353" s="2" t="s">
        <v>4242</v>
      </c>
      <c r="D1353" s="2" t="s">
        <v>51</v>
      </c>
      <c r="E1353" s="2" t="s">
        <v>16</v>
      </c>
      <c r="F1353" s="2">
        <v>90</v>
      </c>
      <c r="G1353" s="2" t="s">
        <v>4243</v>
      </c>
      <c r="H1353" s="2" t="s">
        <v>1336</v>
      </c>
      <c r="I1353" s="2" t="s">
        <v>129</v>
      </c>
      <c r="J1353" s="3">
        <v>43975</v>
      </c>
      <c r="K1353" s="2">
        <v>18</v>
      </c>
      <c r="L1353" s="2" t="s">
        <v>20</v>
      </c>
    </row>
    <row r="1354" spans="1:12" x14ac:dyDescent="0.3">
      <c r="A1354" s="2">
        <v>1343</v>
      </c>
      <c r="B1354" s="2" t="s">
        <v>4244</v>
      </c>
      <c r="C1354" s="2" t="s">
        <v>3686</v>
      </c>
      <c r="D1354" s="2" t="s">
        <v>15</v>
      </c>
      <c r="E1354" s="2" t="s">
        <v>16</v>
      </c>
      <c r="F1354" s="2">
        <v>90</v>
      </c>
      <c r="G1354" s="2" t="s">
        <v>4245</v>
      </c>
      <c r="H1354" s="2" t="s">
        <v>1412</v>
      </c>
      <c r="I1354" s="2" t="s">
        <v>1413</v>
      </c>
      <c r="J1354" s="3">
        <v>44574</v>
      </c>
      <c r="K1354" s="2">
        <v>7</v>
      </c>
      <c r="L1354" s="2" t="s">
        <v>159</v>
      </c>
    </row>
    <row r="1355" spans="1:12" x14ac:dyDescent="0.3">
      <c r="A1355" s="2">
        <v>1344</v>
      </c>
      <c r="B1355" s="2" t="s">
        <v>4246</v>
      </c>
      <c r="C1355" s="2" t="s">
        <v>460</v>
      </c>
      <c r="D1355" s="2" t="s">
        <v>51</v>
      </c>
      <c r="E1355" s="2" t="s">
        <v>16</v>
      </c>
      <c r="F1355" s="2">
        <v>30</v>
      </c>
      <c r="G1355" s="2" t="s">
        <v>4245</v>
      </c>
      <c r="H1355" s="2" t="s">
        <v>793</v>
      </c>
      <c r="I1355" s="2" t="s">
        <v>178</v>
      </c>
      <c r="J1355" s="3">
        <v>44325</v>
      </c>
      <c r="K1355" s="2">
        <v>15</v>
      </c>
      <c r="L1355" s="2" t="s">
        <v>54</v>
      </c>
    </row>
    <row r="1356" spans="1:12" x14ac:dyDescent="0.3">
      <c r="A1356" s="2">
        <v>1345</v>
      </c>
      <c r="B1356" s="2" t="s">
        <v>4247</v>
      </c>
      <c r="C1356" s="2" t="s">
        <v>2653</v>
      </c>
      <c r="D1356" s="2" t="s">
        <v>51</v>
      </c>
      <c r="E1356" s="2" t="s">
        <v>16</v>
      </c>
      <c r="F1356" s="2">
        <v>30</v>
      </c>
      <c r="G1356" s="2" t="s">
        <v>4248</v>
      </c>
      <c r="H1356" s="2" t="s">
        <v>3473</v>
      </c>
      <c r="I1356" s="2" t="s">
        <v>1199</v>
      </c>
      <c r="J1356" s="3">
        <v>43988</v>
      </c>
      <c r="K1356" s="2">
        <v>46</v>
      </c>
      <c r="L1356" s="2" t="s">
        <v>39</v>
      </c>
    </row>
    <row r="1357" spans="1:12" x14ac:dyDescent="0.3">
      <c r="A1357" s="2">
        <v>1346</v>
      </c>
      <c r="B1357" s="2" t="s">
        <v>2849</v>
      </c>
      <c r="C1357" s="2" t="s">
        <v>4191</v>
      </c>
      <c r="D1357" s="2" t="s">
        <v>28</v>
      </c>
      <c r="E1357" s="2" t="s">
        <v>29</v>
      </c>
      <c r="F1357" s="2">
        <v>30</v>
      </c>
      <c r="G1357" s="2" t="s">
        <v>4249</v>
      </c>
      <c r="H1357" s="2" t="s">
        <v>1530</v>
      </c>
      <c r="I1357" s="2" t="s">
        <v>32</v>
      </c>
      <c r="J1357" s="3">
        <v>44740</v>
      </c>
      <c r="K1357" s="2">
        <v>87</v>
      </c>
      <c r="L1357" s="2" t="s">
        <v>64</v>
      </c>
    </row>
    <row r="1358" spans="1:12" x14ac:dyDescent="0.3">
      <c r="A1358" s="2">
        <v>1347</v>
      </c>
      <c r="B1358" s="2" t="s">
        <v>4250</v>
      </c>
      <c r="C1358" s="2" t="s">
        <v>4251</v>
      </c>
      <c r="D1358" s="2" t="s">
        <v>28</v>
      </c>
      <c r="E1358" s="2" t="s">
        <v>29</v>
      </c>
      <c r="F1358" s="2">
        <v>90</v>
      </c>
      <c r="G1358" s="2" t="s">
        <v>4252</v>
      </c>
      <c r="H1358" s="2" t="s">
        <v>526</v>
      </c>
      <c r="I1358" s="2" t="s">
        <v>32</v>
      </c>
      <c r="J1358" s="3">
        <v>44895</v>
      </c>
      <c r="K1358" s="2">
        <v>8</v>
      </c>
      <c r="L1358" s="2" t="s">
        <v>20</v>
      </c>
    </row>
    <row r="1359" spans="1:12" x14ac:dyDescent="0.3">
      <c r="A1359" s="2">
        <v>1348</v>
      </c>
      <c r="B1359" s="2" t="s">
        <v>4253</v>
      </c>
      <c r="C1359" s="2" t="s">
        <v>4254</v>
      </c>
      <c r="D1359" s="2" t="s">
        <v>51</v>
      </c>
      <c r="E1359" s="2" t="s">
        <v>16</v>
      </c>
      <c r="F1359" s="2">
        <v>90</v>
      </c>
      <c r="G1359" s="2" t="s">
        <v>4255</v>
      </c>
      <c r="H1359" s="2" t="s">
        <v>4256</v>
      </c>
      <c r="I1359" s="2" t="s">
        <v>1454</v>
      </c>
      <c r="J1359" s="3">
        <v>43951</v>
      </c>
      <c r="K1359" s="2">
        <v>33</v>
      </c>
      <c r="L1359" s="2" t="s">
        <v>20</v>
      </c>
    </row>
    <row r="1360" spans="1:12" x14ac:dyDescent="0.3">
      <c r="A1360" s="2">
        <v>1349</v>
      </c>
      <c r="B1360" s="2" t="s">
        <v>4257</v>
      </c>
      <c r="C1360" s="2" t="s">
        <v>4258</v>
      </c>
      <c r="D1360" s="2" t="s">
        <v>28</v>
      </c>
      <c r="E1360" s="2" t="s">
        <v>29</v>
      </c>
      <c r="F1360" s="2">
        <v>90</v>
      </c>
      <c r="G1360" s="2" t="s">
        <v>4259</v>
      </c>
      <c r="H1360" s="2" t="s">
        <v>1482</v>
      </c>
      <c r="I1360" s="2" t="s">
        <v>1483</v>
      </c>
      <c r="J1360" s="3">
        <v>44045</v>
      </c>
      <c r="K1360" s="2">
        <v>17</v>
      </c>
      <c r="L1360" s="2" t="s">
        <v>20</v>
      </c>
    </row>
    <row r="1361" spans="1:12" x14ac:dyDescent="0.3">
      <c r="A1361" s="2">
        <v>1350</v>
      </c>
      <c r="B1361" s="2" t="s">
        <v>4260</v>
      </c>
      <c r="C1361" s="2" t="s">
        <v>4261</v>
      </c>
      <c r="D1361" s="2" t="s">
        <v>28</v>
      </c>
      <c r="E1361" s="2" t="s">
        <v>29</v>
      </c>
      <c r="F1361" s="2">
        <v>30</v>
      </c>
      <c r="G1361" s="2" t="s">
        <v>4262</v>
      </c>
      <c r="H1361" s="2" t="s">
        <v>1276</v>
      </c>
      <c r="I1361" s="2" t="s">
        <v>32</v>
      </c>
      <c r="J1361" s="3">
        <v>44577</v>
      </c>
      <c r="K1361" s="2">
        <v>15</v>
      </c>
      <c r="L1361" s="2" t="s">
        <v>54</v>
      </c>
    </row>
    <row r="1362" spans="1:12" x14ac:dyDescent="0.3">
      <c r="A1362" s="2">
        <v>1351</v>
      </c>
      <c r="B1362" s="2" t="s">
        <v>4263</v>
      </c>
      <c r="C1362" s="2" t="s">
        <v>4264</v>
      </c>
      <c r="D1362" s="2" t="s">
        <v>92</v>
      </c>
      <c r="E1362" s="2" t="s">
        <v>16</v>
      </c>
      <c r="F1362" s="2">
        <v>60</v>
      </c>
      <c r="G1362" s="2" t="s">
        <v>4265</v>
      </c>
      <c r="H1362" s="2" t="s">
        <v>4266</v>
      </c>
      <c r="I1362" s="2" t="s">
        <v>25</v>
      </c>
      <c r="J1362" s="3">
        <v>44252</v>
      </c>
      <c r="K1362" s="2">
        <v>80</v>
      </c>
      <c r="L1362" s="2" t="s">
        <v>159</v>
      </c>
    </row>
    <row r="1363" spans="1:12" x14ac:dyDescent="0.3">
      <c r="A1363" s="2">
        <v>1352</v>
      </c>
      <c r="B1363" s="2" t="s">
        <v>3065</v>
      </c>
      <c r="C1363" s="2" t="s">
        <v>2019</v>
      </c>
      <c r="D1363" s="2" t="s">
        <v>28</v>
      </c>
      <c r="E1363" s="2" t="s">
        <v>29</v>
      </c>
      <c r="F1363" s="2">
        <v>60</v>
      </c>
      <c r="G1363" s="2" t="s">
        <v>4267</v>
      </c>
      <c r="H1363" s="2" t="s">
        <v>3036</v>
      </c>
      <c r="I1363" s="2" t="s">
        <v>32</v>
      </c>
      <c r="J1363" s="3">
        <v>44006</v>
      </c>
      <c r="K1363" s="2">
        <v>15</v>
      </c>
      <c r="L1363" s="2" t="s">
        <v>70</v>
      </c>
    </row>
    <row r="1364" spans="1:12" x14ac:dyDescent="0.3">
      <c r="A1364" s="2">
        <v>1353</v>
      </c>
      <c r="B1364" s="2" t="s">
        <v>4268</v>
      </c>
      <c r="C1364" s="2" t="s">
        <v>4269</v>
      </c>
      <c r="D1364" s="2" t="s">
        <v>51</v>
      </c>
      <c r="E1364" s="2" t="s">
        <v>16</v>
      </c>
      <c r="F1364" s="2">
        <v>60</v>
      </c>
      <c r="G1364" s="2" t="s">
        <v>4270</v>
      </c>
      <c r="H1364" s="2" t="s">
        <v>724</v>
      </c>
      <c r="I1364" s="2" t="s">
        <v>240</v>
      </c>
      <c r="J1364" s="3">
        <v>44782</v>
      </c>
      <c r="K1364" s="2">
        <v>51</v>
      </c>
      <c r="L1364" s="2" t="s">
        <v>45</v>
      </c>
    </row>
    <row r="1365" spans="1:12" x14ac:dyDescent="0.3">
      <c r="A1365" s="2">
        <v>1354</v>
      </c>
      <c r="B1365" s="2" t="s">
        <v>115</v>
      </c>
      <c r="C1365" s="2" t="s">
        <v>131</v>
      </c>
      <c r="D1365" s="2" t="s">
        <v>28</v>
      </c>
      <c r="E1365" s="2" t="s">
        <v>29</v>
      </c>
      <c r="F1365" s="2">
        <v>60</v>
      </c>
      <c r="G1365" s="2" t="s">
        <v>4271</v>
      </c>
      <c r="H1365" s="2" t="s">
        <v>4272</v>
      </c>
      <c r="I1365" s="2" t="s">
        <v>1652</v>
      </c>
      <c r="J1365" s="3">
        <v>44227</v>
      </c>
      <c r="K1365" s="2">
        <v>79</v>
      </c>
      <c r="L1365" s="2" t="s">
        <v>33</v>
      </c>
    </row>
    <row r="1366" spans="1:12" x14ac:dyDescent="0.3">
      <c r="A1366" s="2">
        <v>1355</v>
      </c>
      <c r="B1366" s="2" t="s">
        <v>1165</v>
      </c>
      <c r="C1366" s="2" t="s">
        <v>4273</v>
      </c>
      <c r="D1366" s="2" t="s">
        <v>15</v>
      </c>
      <c r="E1366" s="2" t="s">
        <v>16</v>
      </c>
      <c r="F1366" s="2">
        <v>90</v>
      </c>
      <c r="G1366" s="2" t="s">
        <v>4274</v>
      </c>
      <c r="H1366" s="2" t="s">
        <v>3307</v>
      </c>
      <c r="I1366" s="2" t="s">
        <v>32</v>
      </c>
      <c r="J1366" s="3">
        <v>44525</v>
      </c>
      <c r="K1366" s="2">
        <v>23</v>
      </c>
      <c r="L1366" s="2" t="s">
        <v>70</v>
      </c>
    </row>
    <row r="1367" spans="1:12" x14ac:dyDescent="0.3">
      <c r="A1367" s="2">
        <v>1356</v>
      </c>
      <c r="B1367" s="2" t="s">
        <v>4275</v>
      </c>
      <c r="C1367" s="2" t="s">
        <v>2874</v>
      </c>
      <c r="D1367" s="2" t="s">
        <v>15</v>
      </c>
      <c r="E1367" s="2" t="s">
        <v>16</v>
      </c>
      <c r="F1367" s="2">
        <v>60</v>
      </c>
      <c r="G1367" s="2" t="s">
        <v>4276</v>
      </c>
      <c r="H1367" s="2" t="s">
        <v>4277</v>
      </c>
      <c r="I1367" s="2" t="s">
        <v>32</v>
      </c>
      <c r="J1367" s="3">
        <v>44926</v>
      </c>
      <c r="K1367" s="2">
        <v>94</v>
      </c>
      <c r="L1367" s="2" t="s">
        <v>33</v>
      </c>
    </row>
    <row r="1368" spans="1:12" x14ac:dyDescent="0.3">
      <c r="A1368" s="2">
        <v>1357</v>
      </c>
      <c r="B1368" s="2" t="s">
        <v>4278</v>
      </c>
      <c r="C1368" s="2" t="s">
        <v>1748</v>
      </c>
      <c r="D1368" s="2" t="s">
        <v>28</v>
      </c>
      <c r="E1368" s="2" t="s">
        <v>29</v>
      </c>
      <c r="F1368" s="2">
        <v>90</v>
      </c>
      <c r="G1368" s="2" t="s">
        <v>4279</v>
      </c>
      <c r="H1368" s="2" t="s">
        <v>938</v>
      </c>
      <c r="I1368" s="2" t="s">
        <v>25</v>
      </c>
      <c r="J1368" s="3">
        <v>44260</v>
      </c>
      <c r="K1368" s="2">
        <v>43</v>
      </c>
      <c r="L1368" s="2" t="s">
        <v>64</v>
      </c>
    </row>
    <row r="1369" spans="1:12" x14ac:dyDescent="0.3">
      <c r="A1369" s="2">
        <v>1358</v>
      </c>
      <c r="B1369" s="2" t="s">
        <v>4280</v>
      </c>
      <c r="C1369" s="2" t="s">
        <v>4281</v>
      </c>
      <c r="D1369" s="2" t="s">
        <v>51</v>
      </c>
      <c r="E1369" s="2" t="s">
        <v>16</v>
      </c>
      <c r="F1369" s="2">
        <v>90</v>
      </c>
      <c r="G1369" s="2" t="s">
        <v>4282</v>
      </c>
      <c r="H1369" s="2" t="s">
        <v>4283</v>
      </c>
      <c r="I1369" s="2" t="s">
        <v>178</v>
      </c>
      <c r="J1369" s="3">
        <v>44015</v>
      </c>
      <c r="K1369" s="2">
        <v>29</v>
      </c>
      <c r="L1369" s="2" t="s">
        <v>64</v>
      </c>
    </row>
    <row r="1370" spans="1:12" x14ac:dyDescent="0.3">
      <c r="A1370" s="2">
        <v>1359</v>
      </c>
      <c r="B1370" s="2" t="s">
        <v>2256</v>
      </c>
      <c r="C1370" s="2" t="s">
        <v>2282</v>
      </c>
      <c r="D1370" s="2" t="s">
        <v>92</v>
      </c>
      <c r="E1370" s="2" t="s">
        <v>29</v>
      </c>
      <c r="F1370" s="2">
        <v>30</v>
      </c>
      <c r="G1370" s="2" t="s">
        <v>4284</v>
      </c>
      <c r="H1370" s="2" t="s">
        <v>4285</v>
      </c>
      <c r="I1370" s="2" t="s">
        <v>124</v>
      </c>
      <c r="J1370" s="3">
        <v>44024</v>
      </c>
      <c r="K1370" s="2">
        <v>11</v>
      </c>
      <c r="L1370" s="2" t="s">
        <v>20</v>
      </c>
    </row>
    <row r="1371" spans="1:12" x14ac:dyDescent="0.3">
      <c r="A1371" s="2">
        <v>1360</v>
      </c>
      <c r="B1371" s="2" t="s">
        <v>4286</v>
      </c>
      <c r="C1371" s="2" t="s">
        <v>4287</v>
      </c>
      <c r="D1371" s="2" t="s">
        <v>28</v>
      </c>
      <c r="E1371" s="2" t="s">
        <v>29</v>
      </c>
      <c r="F1371" s="2">
        <v>60</v>
      </c>
      <c r="G1371" s="2" t="s">
        <v>4288</v>
      </c>
      <c r="H1371" s="2" t="s">
        <v>4289</v>
      </c>
      <c r="I1371" s="2" t="s">
        <v>32</v>
      </c>
      <c r="J1371" s="3">
        <v>44194</v>
      </c>
      <c r="K1371" s="2">
        <v>57</v>
      </c>
      <c r="L1371" s="2" t="s">
        <v>70</v>
      </c>
    </row>
    <row r="1372" spans="1:12" x14ac:dyDescent="0.3">
      <c r="A1372" s="2">
        <v>1361</v>
      </c>
      <c r="B1372" s="2" t="s">
        <v>4290</v>
      </c>
      <c r="C1372" s="2" t="s">
        <v>4291</v>
      </c>
      <c r="D1372" s="2" t="s">
        <v>15</v>
      </c>
      <c r="E1372" s="2" t="s">
        <v>16</v>
      </c>
      <c r="F1372" s="2">
        <v>60</v>
      </c>
      <c r="G1372" s="2" t="s">
        <v>4292</v>
      </c>
      <c r="H1372" s="2" t="s">
        <v>4293</v>
      </c>
      <c r="I1372" s="2" t="s">
        <v>38</v>
      </c>
      <c r="J1372" s="3">
        <v>44699</v>
      </c>
      <c r="K1372" s="2">
        <v>89</v>
      </c>
      <c r="L1372" s="2" t="s">
        <v>39</v>
      </c>
    </row>
    <row r="1373" spans="1:12" x14ac:dyDescent="0.3">
      <c r="A1373" s="2">
        <v>1362</v>
      </c>
      <c r="B1373" s="2" t="s">
        <v>4294</v>
      </c>
      <c r="C1373" s="2" t="s">
        <v>1700</v>
      </c>
      <c r="D1373" s="2" t="s">
        <v>51</v>
      </c>
      <c r="E1373" s="2" t="s">
        <v>16</v>
      </c>
      <c r="F1373" s="2">
        <v>90</v>
      </c>
      <c r="G1373" s="2" t="s">
        <v>4295</v>
      </c>
      <c r="H1373" s="2" t="s">
        <v>363</v>
      </c>
      <c r="I1373" s="2" t="s">
        <v>110</v>
      </c>
      <c r="J1373" s="3">
        <v>44419</v>
      </c>
      <c r="K1373" s="2">
        <v>59</v>
      </c>
      <c r="L1373" s="2" t="s">
        <v>45</v>
      </c>
    </row>
    <row r="1374" spans="1:12" x14ac:dyDescent="0.3">
      <c r="A1374" s="2">
        <v>1363</v>
      </c>
      <c r="B1374" s="2" t="s">
        <v>4296</v>
      </c>
      <c r="C1374" s="2" t="s">
        <v>4297</v>
      </c>
      <c r="D1374" s="2" t="s">
        <v>28</v>
      </c>
      <c r="E1374" s="2" t="s">
        <v>29</v>
      </c>
      <c r="F1374" s="2">
        <v>90</v>
      </c>
      <c r="G1374" s="2" t="s">
        <v>4298</v>
      </c>
      <c r="H1374" s="2" t="s">
        <v>4299</v>
      </c>
      <c r="I1374" s="2" t="s">
        <v>32</v>
      </c>
      <c r="J1374" s="3">
        <v>44312</v>
      </c>
      <c r="K1374" s="2">
        <v>7</v>
      </c>
      <c r="L1374" s="2" t="s">
        <v>54</v>
      </c>
    </row>
    <row r="1375" spans="1:12" x14ac:dyDescent="0.3">
      <c r="A1375" s="2">
        <v>1364</v>
      </c>
      <c r="B1375" s="2" t="s">
        <v>2050</v>
      </c>
      <c r="C1375" s="2" t="s">
        <v>3177</v>
      </c>
      <c r="D1375" s="2" t="s">
        <v>28</v>
      </c>
      <c r="E1375" s="2" t="s">
        <v>29</v>
      </c>
      <c r="F1375" s="2">
        <v>60</v>
      </c>
      <c r="G1375" s="2" t="s">
        <v>4300</v>
      </c>
      <c r="H1375" s="2" t="s">
        <v>3446</v>
      </c>
      <c r="I1375" s="2" t="s">
        <v>32</v>
      </c>
      <c r="J1375" s="3">
        <v>44166</v>
      </c>
      <c r="K1375" s="2">
        <v>15</v>
      </c>
      <c r="L1375" s="2" t="s">
        <v>159</v>
      </c>
    </row>
    <row r="1376" spans="1:12" x14ac:dyDescent="0.3">
      <c r="A1376" s="2">
        <v>1365</v>
      </c>
      <c r="B1376" s="2" t="s">
        <v>4301</v>
      </c>
      <c r="C1376" s="2" t="s">
        <v>605</v>
      </c>
      <c r="D1376" s="2" t="s">
        <v>28</v>
      </c>
      <c r="E1376" s="2" t="s">
        <v>29</v>
      </c>
      <c r="F1376" s="2">
        <v>60</v>
      </c>
      <c r="G1376" s="2" t="s">
        <v>4302</v>
      </c>
      <c r="H1376" s="2" t="s">
        <v>2953</v>
      </c>
      <c r="I1376" s="2" t="s">
        <v>124</v>
      </c>
      <c r="J1376" s="3">
        <v>44854</v>
      </c>
      <c r="K1376" s="2">
        <v>69</v>
      </c>
      <c r="L1376" s="2" t="s">
        <v>20</v>
      </c>
    </row>
    <row r="1377" spans="1:12" x14ac:dyDescent="0.3">
      <c r="A1377" s="2">
        <v>1366</v>
      </c>
      <c r="B1377" s="2" t="s">
        <v>4303</v>
      </c>
      <c r="C1377" s="2" t="s">
        <v>841</v>
      </c>
      <c r="D1377" s="2" t="s">
        <v>15</v>
      </c>
      <c r="E1377" s="2" t="s">
        <v>16</v>
      </c>
      <c r="F1377" s="2">
        <v>30</v>
      </c>
      <c r="G1377" s="2" t="s">
        <v>4304</v>
      </c>
      <c r="H1377" s="2" t="s">
        <v>3487</v>
      </c>
      <c r="I1377" s="2" t="s">
        <v>294</v>
      </c>
      <c r="J1377" s="3">
        <v>44590</v>
      </c>
      <c r="K1377" s="2">
        <v>98</v>
      </c>
      <c r="L1377" s="2" t="s">
        <v>80</v>
      </c>
    </row>
    <row r="1378" spans="1:12" x14ac:dyDescent="0.3">
      <c r="A1378" s="2">
        <v>1367</v>
      </c>
      <c r="B1378" s="2" t="s">
        <v>657</v>
      </c>
      <c r="C1378" s="2" t="s">
        <v>879</v>
      </c>
      <c r="D1378" s="2" t="s">
        <v>28</v>
      </c>
      <c r="E1378" s="2" t="s">
        <v>29</v>
      </c>
      <c r="F1378" s="2">
        <v>90</v>
      </c>
      <c r="G1378" s="2" t="s">
        <v>4305</v>
      </c>
      <c r="H1378" s="2" t="s">
        <v>4098</v>
      </c>
      <c r="I1378" s="2" t="s">
        <v>1889</v>
      </c>
      <c r="J1378" s="3">
        <v>44611</v>
      </c>
      <c r="K1378" s="2">
        <v>63</v>
      </c>
      <c r="L1378" s="2" t="s">
        <v>45</v>
      </c>
    </row>
    <row r="1379" spans="1:12" x14ac:dyDescent="0.3">
      <c r="A1379" s="2">
        <v>1368</v>
      </c>
      <c r="B1379" s="2" t="s">
        <v>4306</v>
      </c>
      <c r="C1379" s="2" t="s">
        <v>4307</v>
      </c>
      <c r="D1379" s="2" t="s">
        <v>28</v>
      </c>
      <c r="E1379" s="2" t="s">
        <v>29</v>
      </c>
      <c r="F1379" s="2">
        <v>30</v>
      </c>
      <c r="G1379" s="2" t="s">
        <v>4308</v>
      </c>
      <c r="H1379" s="2" t="s">
        <v>2069</v>
      </c>
      <c r="I1379" s="2" t="s">
        <v>1035</v>
      </c>
      <c r="J1379" s="3">
        <v>44329</v>
      </c>
      <c r="K1379" s="2">
        <v>20</v>
      </c>
      <c r="L1379" s="2" t="s">
        <v>159</v>
      </c>
    </row>
    <row r="1380" spans="1:12" x14ac:dyDescent="0.3">
      <c r="A1380" s="2">
        <v>1369</v>
      </c>
      <c r="B1380" s="2" t="s">
        <v>4309</v>
      </c>
      <c r="C1380" s="2" t="s">
        <v>3071</v>
      </c>
      <c r="D1380" s="2" t="s">
        <v>41</v>
      </c>
      <c r="E1380" s="2" t="s">
        <v>16</v>
      </c>
      <c r="F1380" s="2">
        <v>60</v>
      </c>
      <c r="G1380" s="2" t="s">
        <v>4310</v>
      </c>
      <c r="H1380" s="2" t="s">
        <v>4311</v>
      </c>
      <c r="I1380" s="2" t="s">
        <v>32</v>
      </c>
      <c r="J1380" s="3">
        <v>44408</v>
      </c>
      <c r="K1380" s="2">
        <v>72</v>
      </c>
      <c r="L1380" s="2" t="s">
        <v>101</v>
      </c>
    </row>
    <row r="1381" spans="1:12" x14ac:dyDescent="0.3">
      <c r="A1381" s="2">
        <v>1370</v>
      </c>
      <c r="B1381" s="2" t="s">
        <v>1849</v>
      </c>
      <c r="C1381" s="2" t="s">
        <v>2915</v>
      </c>
      <c r="D1381" s="2" t="s">
        <v>28</v>
      </c>
      <c r="E1381" s="2" t="s">
        <v>29</v>
      </c>
      <c r="F1381" s="2">
        <v>30</v>
      </c>
      <c r="G1381" s="2" t="s">
        <v>4312</v>
      </c>
      <c r="H1381" s="2" t="s">
        <v>2673</v>
      </c>
      <c r="I1381" s="2" t="s">
        <v>19</v>
      </c>
      <c r="J1381" s="3">
        <v>44841</v>
      </c>
      <c r="K1381" s="2">
        <v>83</v>
      </c>
      <c r="L1381" s="2" t="s">
        <v>80</v>
      </c>
    </row>
    <row r="1382" spans="1:12" x14ac:dyDescent="0.3">
      <c r="A1382" s="2">
        <v>1371</v>
      </c>
      <c r="B1382" s="2" t="s">
        <v>4313</v>
      </c>
      <c r="C1382" s="2" t="s">
        <v>4314</v>
      </c>
      <c r="D1382" s="2" t="s">
        <v>41</v>
      </c>
      <c r="E1382" s="2" t="s">
        <v>16</v>
      </c>
      <c r="F1382" s="2">
        <v>60</v>
      </c>
      <c r="G1382" s="2" t="s">
        <v>4312</v>
      </c>
      <c r="H1382" s="2" t="s">
        <v>2972</v>
      </c>
      <c r="I1382" s="2" t="s">
        <v>32</v>
      </c>
      <c r="J1382" s="3">
        <v>44910</v>
      </c>
      <c r="K1382" s="2">
        <v>79</v>
      </c>
      <c r="L1382" s="2" t="s">
        <v>64</v>
      </c>
    </row>
    <row r="1383" spans="1:12" x14ac:dyDescent="0.3">
      <c r="A1383" s="2">
        <v>1372</v>
      </c>
      <c r="B1383" s="2" t="s">
        <v>4315</v>
      </c>
      <c r="C1383" s="2" t="s">
        <v>4316</v>
      </c>
      <c r="D1383" s="2" t="s">
        <v>28</v>
      </c>
      <c r="E1383" s="2" t="s">
        <v>29</v>
      </c>
      <c r="F1383" s="2">
        <v>90</v>
      </c>
      <c r="G1383" s="2" t="s">
        <v>4312</v>
      </c>
      <c r="H1383" s="2" t="s">
        <v>4317</v>
      </c>
      <c r="I1383" s="2" t="s">
        <v>32</v>
      </c>
      <c r="J1383" s="3">
        <v>44605</v>
      </c>
      <c r="K1383" s="2">
        <v>8</v>
      </c>
      <c r="L1383" s="2" t="s">
        <v>70</v>
      </c>
    </row>
    <row r="1384" spans="1:12" x14ac:dyDescent="0.3">
      <c r="A1384" s="2">
        <v>1373</v>
      </c>
      <c r="B1384" s="2" t="s">
        <v>4072</v>
      </c>
      <c r="C1384" s="2" t="s">
        <v>4318</v>
      </c>
      <c r="D1384" s="2" t="s">
        <v>28</v>
      </c>
      <c r="E1384" s="2" t="s">
        <v>29</v>
      </c>
      <c r="F1384" s="2">
        <v>90</v>
      </c>
      <c r="G1384" s="2" t="s">
        <v>10486</v>
      </c>
      <c r="H1384" s="2" t="s">
        <v>4320</v>
      </c>
      <c r="I1384" s="2" t="s">
        <v>240</v>
      </c>
      <c r="J1384" s="3">
        <v>44072</v>
      </c>
      <c r="K1384" s="2">
        <v>76</v>
      </c>
      <c r="L1384" s="2" t="s">
        <v>39</v>
      </c>
    </row>
    <row r="1385" spans="1:12" x14ac:dyDescent="0.3">
      <c r="A1385" s="2">
        <v>1374</v>
      </c>
      <c r="B1385" s="2" t="s">
        <v>4321</v>
      </c>
      <c r="C1385" s="2" t="s">
        <v>4322</v>
      </c>
      <c r="D1385" s="2" t="s">
        <v>15</v>
      </c>
      <c r="E1385" s="2" t="s">
        <v>16</v>
      </c>
      <c r="F1385" s="2">
        <v>30</v>
      </c>
      <c r="G1385" s="2" t="s">
        <v>4323</v>
      </c>
      <c r="H1385" s="2" t="s">
        <v>3764</v>
      </c>
      <c r="I1385" s="2" t="s">
        <v>32</v>
      </c>
      <c r="J1385" s="3">
        <v>44485</v>
      </c>
      <c r="K1385" s="2">
        <v>84</v>
      </c>
      <c r="L1385" s="2" t="s">
        <v>159</v>
      </c>
    </row>
    <row r="1386" spans="1:12" x14ac:dyDescent="0.3">
      <c r="A1386" s="2">
        <v>1375</v>
      </c>
      <c r="B1386" s="2" t="s">
        <v>1300</v>
      </c>
      <c r="C1386" s="2" t="s">
        <v>4324</v>
      </c>
      <c r="D1386" s="2" t="s">
        <v>28</v>
      </c>
      <c r="E1386" s="2" t="s">
        <v>29</v>
      </c>
      <c r="F1386" s="2">
        <v>60</v>
      </c>
      <c r="G1386" s="2" t="s">
        <v>4325</v>
      </c>
      <c r="H1386" s="2" t="s">
        <v>4326</v>
      </c>
      <c r="I1386" s="2" t="s">
        <v>1078</v>
      </c>
      <c r="J1386" s="3">
        <v>44006</v>
      </c>
      <c r="K1386" s="2">
        <v>78</v>
      </c>
      <c r="L1386" s="2" t="s">
        <v>20</v>
      </c>
    </row>
    <row r="1387" spans="1:12" x14ac:dyDescent="0.3">
      <c r="A1387" s="2">
        <v>1376</v>
      </c>
      <c r="B1387" s="2" t="s">
        <v>4327</v>
      </c>
      <c r="C1387" s="2" t="s">
        <v>143</v>
      </c>
      <c r="D1387" s="2" t="s">
        <v>51</v>
      </c>
      <c r="E1387" s="2" t="s">
        <v>16</v>
      </c>
      <c r="F1387" s="2">
        <v>60</v>
      </c>
      <c r="G1387" s="2" t="s">
        <v>4328</v>
      </c>
      <c r="H1387" s="2" t="s">
        <v>4046</v>
      </c>
      <c r="I1387" s="2" t="s">
        <v>173</v>
      </c>
      <c r="J1387" s="3">
        <v>44023</v>
      </c>
      <c r="K1387" s="2">
        <v>30</v>
      </c>
      <c r="L1387" s="2" t="s">
        <v>80</v>
      </c>
    </row>
    <row r="1388" spans="1:12" x14ac:dyDescent="0.3">
      <c r="A1388" s="2">
        <v>1377</v>
      </c>
      <c r="B1388" s="2" t="s">
        <v>4329</v>
      </c>
      <c r="C1388" s="2" t="s">
        <v>477</v>
      </c>
      <c r="D1388" s="2" t="s">
        <v>28</v>
      </c>
      <c r="E1388" s="2" t="s">
        <v>29</v>
      </c>
      <c r="F1388" s="2">
        <v>60</v>
      </c>
      <c r="G1388" s="2" t="s">
        <v>4328</v>
      </c>
      <c r="H1388" s="2" t="s">
        <v>4330</v>
      </c>
      <c r="I1388" s="2" t="s">
        <v>187</v>
      </c>
      <c r="J1388" s="3">
        <v>44706</v>
      </c>
      <c r="K1388" s="2">
        <v>83</v>
      </c>
      <c r="L1388" s="2" t="s">
        <v>64</v>
      </c>
    </row>
    <row r="1389" spans="1:12" x14ac:dyDescent="0.3">
      <c r="A1389" s="2">
        <v>1378</v>
      </c>
      <c r="B1389" s="2" t="s">
        <v>4331</v>
      </c>
      <c r="C1389" s="2" t="s">
        <v>2281</v>
      </c>
      <c r="D1389" s="2" t="s">
        <v>15</v>
      </c>
      <c r="E1389" s="2" t="s">
        <v>16</v>
      </c>
      <c r="F1389" s="2">
        <v>60</v>
      </c>
      <c r="G1389" s="2" t="s">
        <v>4332</v>
      </c>
      <c r="H1389" s="2" t="s">
        <v>4203</v>
      </c>
      <c r="I1389" s="2" t="s">
        <v>208</v>
      </c>
      <c r="J1389" s="3">
        <v>44268</v>
      </c>
      <c r="K1389" s="2">
        <v>62</v>
      </c>
      <c r="L1389" s="2" t="s">
        <v>70</v>
      </c>
    </row>
    <row r="1390" spans="1:12" x14ac:dyDescent="0.3">
      <c r="A1390" s="2">
        <v>1379</v>
      </c>
      <c r="B1390" s="2" t="s">
        <v>2549</v>
      </c>
      <c r="C1390" s="2" t="s">
        <v>1058</v>
      </c>
      <c r="D1390" s="2" t="s">
        <v>41</v>
      </c>
      <c r="E1390" s="2" t="s">
        <v>16</v>
      </c>
      <c r="F1390" s="2">
        <v>30</v>
      </c>
      <c r="G1390" s="2" t="s">
        <v>4333</v>
      </c>
      <c r="H1390" s="2" t="s">
        <v>4334</v>
      </c>
      <c r="I1390" s="2" t="s">
        <v>1199</v>
      </c>
      <c r="J1390" s="3">
        <v>44527</v>
      </c>
      <c r="K1390" s="2">
        <v>10</v>
      </c>
      <c r="L1390" s="2" t="s">
        <v>20</v>
      </c>
    </row>
    <row r="1391" spans="1:12" x14ac:dyDescent="0.3">
      <c r="A1391" s="2">
        <v>1380</v>
      </c>
      <c r="B1391" s="2" t="s">
        <v>4335</v>
      </c>
      <c r="C1391" s="2" t="s">
        <v>1546</v>
      </c>
      <c r="D1391" s="2" t="s">
        <v>15</v>
      </c>
      <c r="E1391" s="2" t="s">
        <v>16</v>
      </c>
      <c r="F1391" s="2">
        <v>60</v>
      </c>
      <c r="G1391" s="2" t="s">
        <v>4336</v>
      </c>
      <c r="H1391" s="2" t="s">
        <v>4337</v>
      </c>
      <c r="I1391" s="2" t="s">
        <v>25</v>
      </c>
      <c r="J1391" s="3">
        <v>44085</v>
      </c>
      <c r="K1391" s="2">
        <v>14</v>
      </c>
      <c r="L1391" s="2" t="s">
        <v>54</v>
      </c>
    </row>
    <row r="1392" spans="1:12" x14ac:dyDescent="0.3">
      <c r="A1392" s="2">
        <v>1381</v>
      </c>
      <c r="B1392" s="2" t="s">
        <v>3335</v>
      </c>
      <c r="C1392" s="2" t="s">
        <v>1656</v>
      </c>
      <c r="D1392" s="2" t="s">
        <v>28</v>
      </c>
      <c r="E1392" s="2" t="s">
        <v>29</v>
      </c>
      <c r="F1392" s="2">
        <v>30</v>
      </c>
      <c r="G1392" s="2" t="s">
        <v>4338</v>
      </c>
      <c r="H1392" s="2" t="s">
        <v>217</v>
      </c>
      <c r="I1392" s="2" t="s">
        <v>124</v>
      </c>
      <c r="J1392" s="3">
        <v>44625</v>
      </c>
      <c r="K1392" s="2">
        <v>99</v>
      </c>
      <c r="L1392" s="2" t="s">
        <v>101</v>
      </c>
    </row>
    <row r="1393" spans="1:12" x14ac:dyDescent="0.3">
      <c r="A1393" s="2">
        <v>1382</v>
      </c>
      <c r="B1393" s="2" t="s">
        <v>4339</v>
      </c>
      <c r="C1393" s="2" t="s">
        <v>4340</v>
      </c>
      <c r="D1393" s="2" t="s">
        <v>15</v>
      </c>
      <c r="E1393" s="2" t="s">
        <v>16</v>
      </c>
      <c r="F1393" s="2">
        <v>30</v>
      </c>
      <c r="G1393" s="2" t="s">
        <v>4341</v>
      </c>
      <c r="H1393" s="2" t="s">
        <v>2498</v>
      </c>
      <c r="I1393" s="2" t="s">
        <v>913</v>
      </c>
      <c r="J1393" s="3">
        <v>44047</v>
      </c>
      <c r="K1393" s="2">
        <v>60</v>
      </c>
      <c r="L1393" s="2" t="s">
        <v>20</v>
      </c>
    </row>
    <row r="1394" spans="1:12" x14ac:dyDescent="0.3">
      <c r="A1394" s="2">
        <v>1383</v>
      </c>
      <c r="B1394" s="2" t="s">
        <v>1946</v>
      </c>
      <c r="C1394" s="2" t="s">
        <v>4342</v>
      </c>
      <c r="D1394" s="2" t="s">
        <v>28</v>
      </c>
      <c r="E1394" s="2" t="s">
        <v>29</v>
      </c>
      <c r="F1394" s="2">
        <v>30</v>
      </c>
      <c r="G1394" s="2" t="s">
        <v>4343</v>
      </c>
      <c r="H1394" s="2" t="s">
        <v>570</v>
      </c>
      <c r="I1394" s="2" t="s">
        <v>187</v>
      </c>
      <c r="J1394" s="3">
        <v>44137</v>
      </c>
      <c r="K1394" s="2">
        <v>28</v>
      </c>
      <c r="L1394" s="2" t="s">
        <v>45</v>
      </c>
    </row>
    <row r="1395" spans="1:12" x14ac:dyDescent="0.3">
      <c r="A1395" s="2">
        <v>1384</v>
      </c>
      <c r="B1395" s="2" t="s">
        <v>1550</v>
      </c>
      <c r="C1395" s="2" t="s">
        <v>2276</v>
      </c>
      <c r="D1395" s="2" t="s">
        <v>28</v>
      </c>
      <c r="E1395" s="2" t="s">
        <v>29</v>
      </c>
      <c r="F1395" s="2">
        <v>90</v>
      </c>
      <c r="G1395" s="2" t="s">
        <v>4344</v>
      </c>
      <c r="H1395" s="2" t="s">
        <v>2917</v>
      </c>
      <c r="I1395" s="2" t="s">
        <v>95</v>
      </c>
      <c r="J1395" s="3">
        <v>44345</v>
      </c>
      <c r="K1395" s="2">
        <v>76</v>
      </c>
      <c r="L1395" s="2" t="s">
        <v>64</v>
      </c>
    </row>
    <row r="1396" spans="1:12" x14ac:dyDescent="0.3">
      <c r="A1396" s="2">
        <v>1385</v>
      </c>
      <c r="B1396" s="2" t="s">
        <v>4345</v>
      </c>
      <c r="C1396" s="2" t="s">
        <v>1121</v>
      </c>
      <c r="D1396" s="2" t="s">
        <v>51</v>
      </c>
      <c r="E1396" s="2" t="s">
        <v>16</v>
      </c>
      <c r="F1396" s="2">
        <v>90</v>
      </c>
      <c r="G1396" s="2" t="s">
        <v>4346</v>
      </c>
      <c r="H1396" s="2" t="s">
        <v>3870</v>
      </c>
      <c r="I1396" s="2" t="s">
        <v>124</v>
      </c>
      <c r="J1396" s="3">
        <v>44151</v>
      </c>
      <c r="K1396" s="2">
        <v>51</v>
      </c>
      <c r="L1396" s="2" t="s">
        <v>80</v>
      </c>
    </row>
    <row r="1397" spans="1:12" x14ac:dyDescent="0.3">
      <c r="A1397" s="2">
        <v>1386</v>
      </c>
      <c r="B1397" s="2" t="s">
        <v>4347</v>
      </c>
      <c r="C1397" s="2" t="s">
        <v>2198</v>
      </c>
      <c r="D1397" s="2" t="s">
        <v>41</v>
      </c>
      <c r="E1397" s="2" t="s">
        <v>16</v>
      </c>
      <c r="F1397" s="2">
        <v>30</v>
      </c>
      <c r="G1397" s="2" t="s">
        <v>4348</v>
      </c>
      <c r="H1397" s="2" t="s">
        <v>319</v>
      </c>
      <c r="I1397" s="2" t="s">
        <v>208</v>
      </c>
      <c r="J1397" s="3">
        <v>44886</v>
      </c>
      <c r="K1397" s="2">
        <v>67</v>
      </c>
      <c r="L1397" s="2" t="s">
        <v>54</v>
      </c>
    </row>
    <row r="1398" spans="1:12" x14ac:dyDescent="0.3">
      <c r="A1398" s="2">
        <v>1387</v>
      </c>
      <c r="B1398" s="2" t="s">
        <v>4349</v>
      </c>
      <c r="C1398" s="2" t="s">
        <v>2928</v>
      </c>
      <c r="D1398" s="2" t="s">
        <v>15</v>
      </c>
      <c r="E1398" s="2" t="s">
        <v>16</v>
      </c>
      <c r="F1398" s="2">
        <v>30</v>
      </c>
      <c r="G1398" s="2" t="s">
        <v>4350</v>
      </c>
      <c r="H1398" s="2" t="s">
        <v>510</v>
      </c>
      <c r="I1398" s="2" t="s">
        <v>32</v>
      </c>
      <c r="J1398" s="3">
        <v>44031</v>
      </c>
      <c r="K1398" s="2">
        <v>61</v>
      </c>
      <c r="L1398" s="2" t="s">
        <v>80</v>
      </c>
    </row>
    <row r="1399" spans="1:12" x14ac:dyDescent="0.3">
      <c r="A1399" s="2">
        <v>1388</v>
      </c>
      <c r="B1399" s="2" t="s">
        <v>4351</v>
      </c>
      <c r="C1399" s="2" t="s">
        <v>4352</v>
      </c>
      <c r="D1399" s="2" t="s">
        <v>15</v>
      </c>
      <c r="E1399" s="2" t="s">
        <v>16</v>
      </c>
      <c r="F1399" s="2">
        <v>60</v>
      </c>
      <c r="G1399" s="2" t="s">
        <v>10487</v>
      </c>
      <c r="H1399" s="2" t="s">
        <v>928</v>
      </c>
      <c r="I1399" s="2" t="s">
        <v>38</v>
      </c>
      <c r="J1399" s="3">
        <v>44063</v>
      </c>
      <c r="K1399" s="2">
        <v>29</v>
      </c>
      <c r="L1399" s="2" t="s">
        <v>54</v>
      </c>
    </row>
    <row r="1400" spans="1:12" x14ac:dyDescent="0.3">
      <c r="A1400" s="2">
        <v>1389</v>
      </c>
      <c r="B1400" s="2" t="s">
        <v>1886</v>
      </c>
      <c r="C1400" s="2" t="s">
        <v>4356</v>
      </c>
      <c r="D1400" s="2" t="s">
        <v>51</v>
      </c>
      <c r="E1400" s="2" t="s">
        <v>16</v>
      </c>
      <c r="F1400" s="2">
        <v>60</v>
      </c>
      <c r="G1400" s="2" t="s">
        <v>4357</v>
      </c>
      <c r="H1400" s="2" t="s">
        <v>4358</v>
      </c>
      <c r="I1400" s="2" t="s">
        <v>146</v>
      </c>
      <c r="J1400" s="3">
        <v>44910</v>
      </c>
      <c r="K1400" s="2">
        <v>71</v>
      </c>
      <c r="L1400" s="2" t="s">
        <v>39</v>
      </c>
    </row>
    <row r="1401" spans="1:12" x14ac:dyDescent="0.3">
      <c r="A1401" s="2">
        <v>1390</v>
      </c>
      <c r="B1401" s="2" t="s">
        <v>4359</v>
      </c>
      <c r="C1401" s="2" t="s">
        <v>376</v>
      </c>
      <c r="D1401" s="2" t="s">
        <v>28</v>
      </c>
      <c r="E1401" s="2" t="s">
        <v>29</v>
      </c>
      <c r="F1401" s="2">
        <v>90</v>
      </c>
      <c r="G1401" s="2" t="s">
        <v>4360</v>
      </c>
      <c r="H1401" s="2" t="s">
        <v>4361</v>
      </c>
      <c r="I1401" s="2" t="s">
        <v>4362</v>
      </c>
      <c r="J1401" s="3">
        <v>44460</v>
      </c>
      <c r="K1401" s="2">
        <v>85</v>
      </c>
      <c r="L1401" s="2" t="s">
        <v>54</v>
      </c>
    </row>
    <row r="1402" spans="1:12" x14ac:dyDescent="0.3">
      <c r="A1402" s="2">
        <v>1391</v>
      </c>
      <c r="B1402" s="2" t="s">
        <v>4363</v>
      </c>
      <c r="C1402" s="2" t="s">
        <v>2188</v>
      </c>
      <c r="D1402" s="2" t="s">
        <v>28</v>
      </c>
      <c r="E1402" s="2" t="s">
        <v>29</v>
      </c>
      <c r="F1402" s="2">
        <v>60</v>
      </c>
      <c r="G1402" s="2" t="s">
        <v>4364</v>
      </c>
      <c r="H1402" s="2" t="s">
        <v>2875</v>
      </c>
      <c r="I1402" s="2" t="s">
        <v>32</v>
      </c>
      <c r="J1402" s="3">
        <v>44787</v>
      </c>
      <c r="K1402" s="2">
        <v>105</v>
      </c>
      <c r="L1402" s="2" t="s">
        <v>45</v>
      </c>
    </row>
    <row r="1403" spans="1:12" x14ac:dyDescent="0.3">
      <c r="A1403" s="2">
        <v>1392</v>
      </c>
      <c r="B1403" s="2" t="s">
        <v>4365</v>
      </c>
      <c r="C1403" s="2" t="s">
        <v>4366</v>
      </c>
      <c r="D1403" s="2" t="s">
        <v>28</v>
      </c>
      <c r="E1403" s="2" t="s">
        <v>29</v>
      </c>
      <c r="F1403" s="2">
        <v>90</v>
      </c>
      <c r="G1403" s="2" t="s">
        <v>4367</v>
      </c>
      <c r="H1403" s="2" t="s">
        <v>1362</v>
      </c>
      <c r="I1403" s="2" t="s">
        <v>178</v>
      </c>
      <c r="J1403" s="3">
        <v>44801</v>
      </c>
      <c r="K1403" s="2">
        <v>93</v>
      </c>
      <c r="L1403" s="2" t="s">
        <v>80</v>
      </c>
    </row>
    <row r="1404" spans="1:12" x14ac:dyDescent="0.3">
      <c r="A1404" s="2">
        <v>1393</v>
      </c>
      <c r="B1404" s="2" t="s">
        <v>4368</v>
      </c>
      <c r="C1404" s="2" t="s">
        <v>3237</v>
      </c>
      <c r="D1404" s="2" t="s">
        <v>28</v>
      </c>
      <c r="E1404" s="2" t="s">
        <v>29</v>
      </c>
      <c r="F1404" s="2">
        <v>90</v>
      </c>
      <c r="G1404" s="2" t="s">
        <v>4369</v>
      </c>
      <c r="H1404" s="2" t="s">
        <v>195</v>
      </c>
      <c r="I1404" s="2" t="s">
        <v>187</v>
      </c>
      <c r="J1404" s="3">
        <v>43920</v>
      </c>
      <c r="K1404" s="2">
        <v>59</v>
      </c>
      <c r="L1404" s="2" t="s">
        <v>159</v>
      </c>
    </row>
    <row r="1405" spans="1:12" x14ac:dyDescent="0.3">
      <c r="A1405" s="2">
        <v>1394</v>
      </c>
      <c r="B1405" s="2" t="s">
        <v>4370</v>
      </c>
      <c r="C1405" s="2" t="s">
        <v>197</v>
      </c>
      <c r="D1405" s="2" t="s">
        <v>51</v>
      </c>
      <c r="E1405" s="2" t="s">
        <v>16</v>
      </c>
      <c r="F1405" s="2">
        <v>30</v>
      </c>
      <c r="G1405" s="2" t="s">
        <v>4371</v>
      </c>
      <c r="H1405" s="2" t="s">
        <v>3951</v>
      </c>
      <c r="I1405" s="2" t="s">
        <v>1576</v>
      </c>
      <c r="J1405" s="3">
        <v>44662</v>
      </c>
      <c r="K1405" s="2">
        <v>76</v>
      </c>
      <c r="L1405" s="2" t="s">
        <v>33</v>
      </c>
    </row>
    <row r="1406" spans="1:12" x14ac:dyDescent="0.3">
      <c r="A1406" s="2">
        <v>1395</v>
      </c>
      <c r="B1406" s="2" t="s">
        <v>4372</v>
      </c>
      <c r="C1406" s="2" t="s">
        <v>4373</v>
      </c>
      <c r="D1406" s="2" t="s">
        <v>28</v>
      </c>
      <c r="E1406" s="2" t="s">
        <v>29</v>
      </c>
      <c r="F1406" s="2">
        <v>60</v>
      </c>
      <c r="G1406" s="2" t="s">
        <v>4374</v>
      </c>
      <c r="H1406" s="2" t="s">
        <v>641</v>
      </c>
      <c r="I1406" s="2" t="s">
        <v>294</v>
      </c>
      <c r="J1406" s="3">
        <v>44899</v>
      </c>
      <c r="K1406" s="2">
        <v>59</v>
      </c>
      <c r="L1406" s="2" t="s">
        <v>159</v>
      </c>
    </row>
    <row r="1407" spans="1:12" x14ac:dyDescent="0.3">
      <c r="A1407" s="2">
        <v>1396</v>
      </c>
      <c r="B1407" s="2" t="s">
        <v>4375</v>
      </c>
      <c r="C1407" s="2" t="s">
        <v>4376</v>
      </c>
      <c r="D1407" s="2" t="s">
        <v>28</v>
      </c>
      <c r="E1407" s="2" t="s">
        <v>29</v>
      </c>
      <c r="F1407" s="2">
        <v>30</v>
      </c>
      <c r="G1407" s="2" t="s">
        <v>4377</v>
      </c>
      <c r="H1407" s="2" t="s">
        <v>3236</v>
      </c>
      <c r="I1407" s="2" t="s">
        <v>32</v>
      </c>
      <c r="J1407" s="3">
        <v>43906</v>
      </c>
      <c r="K1407" s="2">
        <v>2</v>
      </c>
      <c r="L1407" s="2" t="s">
        <v>33</v>
      </c>
    </row>
    <row r="1408" spans="1:12" x14ac:dyDescent="0.3">
      <c r="A1408" s="2">
        <v>1397</v>
      </c>
      <c r="B1408" s="2" t="s">
        <v>4378</v>
      </c>
      <c r="C1408" s="2" t="s">
        <v>4379</v>
      </c>
      <c r="D1408" s="2" t="s">
        <v>28</v>
      </c>
      <c r="E1408" s="2" t="s">
        <v>29</v>
      </c>
      <c r="F1408" s="2">
        <v>30</v>
      </c>
      <c r="G1408" s="2" t="s">
        <v>10643</v>
      </c>
      <c r="H1408" s="2" t="s">
        <v>4381</v>
      </c>
      <c r="I1408" s="2" t="s">
        <v>886</v>
      </c>
      <c r="J1408" s="3">
        <v>44520</v>
      </c>
      <c r="K1408" s="2">
        <v>71</v>
      </c>
      <c r="L1408" s="2" t="s">
        <v>20</v>
      </c>
    </row>
    <row r="1409" spans="1:12" x14ac:dyDescent="0.3">
      <c r="A1409" s="2">
        <v>1398</v>
      </c>
      <c r="B1409" s="2" t="s">
        <v>4382</v>
      </c>
      <c r="C1409" s="2" t="s">
        <v>1665</v>
      </c>
      <c r="D1409" s="2" t="s">
        <v>51</v>
      </c>
      <c r="E1409" s="2" t="s">
        <v>16</v>
      </c>
      <c r="F1409" s="2">
        <v>30</v>
      </c>
      <c r="G1409" s="2" t="s">
        <v>4383</v>
      </c>
      <c r="H1409" s="2" t="s">
        <v>154</v>
      </c>
      <c r="I1409" s="2" t="s">
        <v>25</v>
      </c>
      <c r="J1409" s="3">
        <v>44009</v>
      </c>
      <c r="K1409" s="2">
        <v>30</v>
      </c>
      <c r="L1409" s="2" t="s">
        <v>101</v>
      </c>
    </row>
    <row r="1410" spans="1:12" x14ac:dyDescent="0.3">
      <c r="A1410" s="2">
        <v>1399</v>
      </c>
      <c r="B1410" s="2" t="s">
        <v>1246</v>
      </c>
      <c r="C1410" s="2" t="s">
        <v>4384</v>
      </c>
      <c r="D1410" s="2" t="s">
        <v>28</v>
      </c>
      <c r="E1410" s="2" t="s">
        <v>29</v>
      </c>
      <c r="F1410" s="2">
        <v>90</v>
      </c>
      <c r="G1410" s="2" t="s">
        <v>4385</v>
      </c>
      <c r="H1410" s="2" t="s">
        <v>4386</v>
      </c>
      <c r="I1410" s="2" t="s">
        <v>32</v>
      </c>
      <c r="J1410" s="3">
        <v>43833</v>
      </c>
      <c r="K1410" s="2">
        <v>55</v>
      </c>
      <c r="L1410" s="2" t="s">
        <v>80</v>
      </c>
    </row>
    <row r="1411" spans="1:12" x14ac:dyDescent="0.3">
      <c r="A1411" s="2">
        <v>1400</v>
      </c>
      <c r="B1411" s="2" t="s">
        <v>90</v>
      </c>
      <c r="C1411" s="2" t="s">
        <v>4387</v>
      </c>
      <c r="D1411" s="2" t="s">
        <v>51</v>
      </c>
      <c r="E1411" s="2" t="s">
        <v>16</v>
      </c>
      <c r="F1411" s="2">
        <v>60</v>
      </c>
      <c r="G1411" s="2" t="s">
        <v>4388</v>
      </c>
      <c r="H1411" s="2" t="s">
        <v>4389</v>
      </c>
      <c r="I1411" s="2" t="s">
        <v>32</v>
      </c>
      <c r="J1411" s="3">
        <v>44206</v>
      </c>
      <c r="K1411" s="2">
        <v>82</v>
      </c>
      <c r="L1411" s="2" t="s">
        <v>159</v>
      </c>
    </row>
    <row r="1412" spans="1:12" x14ac:dyDescent="0.3">
      <c r="A1412" s="2">
        <v>1401</v>
      </c>
      <c r="B1412" s="2" t="s">
        <v>4390</v>
      </c>
      <c r="C1412" s="2" t="s">
        <v>4324</v>
      </c>
      <c r="D1412" s="2" t="s">
        <v>28</v>
      </c>
      <c r="E1412" s="2" t="s">
        <v>29</v>
      </c>
      <c r="F1412" s="2">
        <v>60</v>
      </c>
      <c r="G1412" s="2" t="s">
        <v>4391</v>
      </c>
      <c r="H1412" s="2" t="s">
        <v>137</v>
      </c>
      <c r="I1412" s="2" t="s">
        <v>32</v>
      </c>
      <c r="J1412" s="3">
        <v>44764</v>
      </c>
      <c r="K1412" s="2">
        <v>35</v>
      </c>
      <c r="L1412" s="2" t="s">
        <v>64</v>
      </c>
    </row>
    <row r="1413" spans="1:12" x14ac:dyDescent="0.3">
      <c r="A1413" s="2">
        <v>1402</v>
      </c>
      <c r="B1413" s="2" t="s">
        <v>4392</v>
      </c>
      <c r="C1413" s="2" t="s">
        <v>4393</v>
      </c>
      <c r="D1413" s="2" t="s">
        <v>117</v>
      </c>
      <c r="E1413" s="2" t="s">
        <v>29</v>
      </c>
      <c r="F1413" s="2">
        <v>90</v>
      </c>
      <c r="G1413" s="2" t="s">
        <v>4394</v>
      </c>
      <c r="H1413" s="2" t="s">
        <v>2890</v>
      </c>
      <c r="I1413" s="2" t="s">
        <v>32</v>
      </c>
      <c r="J1413" s="3">
        <v>44892</v>
      </c>
      <c r="K1413" s="2">
        <v>32</v>
      </c>
      <c r="L1413" s="2" t="s">
        <v>45</v>
      </c>
    </row>
    <row r="1414" spans="1:12" x14ac:dyDescent="0.3">
      <c r="A1414" s="2">
        <v>1403</v>
      </c>
      <c r="B1414" s="2" t="s">
        <v>4395</v>
      </c>
      <c r="C1414" s="2" t="s">
        <v>4396</v>
      </c>
      <c r="D1414" s="2" t="s">
        <v>28</v>
      </c>
      <c r="E1414" s="2" t="s">
        <v>29</v>
      </c>
      <c r="F1414" s="2">
        <v>30</v>
      </c>
      <c r="G1414" s="2" t="s">
        <v>10489</v>
      </c>
      <c r="H1414" s="2" t="s">
        <v>1186</v>
      </c>
      <c r="I1414" s="2" t="s">
        <v>32</v>
      </c>
      <c r="J1414" s="3">
        <v>44846</v>
      </c>
      <c r="K1414" s="2">
        <v>13</v>
      </c>
      <c r="L1414" s="2" t="s">
        <v>54</v>
      </c>
    </row>
    <row r="1415" spans="1:12" x14ac:dyDescent="0.3">
      <c r="A1415" s="2">
        <v>1404</v>
      </c>
      <c r="B1415" s="2" t="s">
        <v>1116</v>
      </c>
      <c r="C1415" s="2" t="s">
        <v>375</v>
      </c>
      <c r="D1415" s="2" t="s">
        <v>28</v>
      </c>
      <c r="E1415" s="2" t="s">
        <v>29</v>
      </c>
      <c r="F1415" s="2">
        <v>90</v>
      </c>
      <c r="G1415" s="2" t="s">
        <v>4398</v>
      </c>
      <c r="H1415" s="2" t="s">
        <v>3897</v>
      </c>
      <c r="I1415" s="2" t="s">
        <v>3898</v>
      </c>
      <c r="J1415" s="3">
        <v>43999</v>
      </c>
      <c r="K1415" s="2">
        <v>14</v>
      </c>
      <c r="L1415" s="2" t="s">
        <v>159</v>
      </c>
    </row>
    <row r="1416" spans="1:12" x14ac:dyDescent="0.3">
      <c r="A1416" s="2">
        <v>1405</v>
      </c>
      <c r="B1416" s="2" t="s">
        <v>1405</v>
      </c>
      <c r="C1416" s="2" t="s">
        <v>4399</v>
      </c>
      <c r="D1416" s="2" t="s">
        <v>28</v>
      </c>
      <c r="E1416" s="2" t="s">
        <v>29</v>
      </c>
      <c r="F1416" s="2">
        <v>30</v>
      </c>
      <c r="G1416" s="2" t="s">
        <v>10490</v>
      </c>
      <c r="H1416" s="2" t="s">
        <v>3242</v>
      </c>
      <c r="I1416" s="2" t="s">
        <v>32</v>
      </c>
      <c r="J1416" s="3">
        <v>44606</v>
      </c>
      <c r="K1416" s="2">
        <v>5</v>
      </c>
      <c r="L1416" s="2" t="s">
        <v>159</v>
      </c>
    </row>
    <row r="1417" spans="1:12" x14ac:dyDescent="0.3">
      <c r="A1417" s="2">
        <v>1406</v>
      </c>
      <c r="B1417" s="2" t="s">
        <v>4401</v>
      </c>
      <c r="C1417" s="2" t="s">
        <v>4402</v>
      </c>
      <c r="D1417" s="2" t="s">
        <v>28</v>
      </c>
      <c r="E1417" s="2" t="s">
        <v>29</v>
      </c>
      <c r="F1417" s="2">
        <v>30</v>
      </c>
      <c r="G1417" s="2" t="s">
        <v>4403</v>
      </c>
      <c r="H1417" s="2" t="s">
        <v>4404</v>
      </c>
      <c r="I1417" s="2" t="s">
        <v>32</v>
      </c>
      <c r="J1417" s="3">
        <v>44383</v>
      </c>
      <c r="K1417" s="2">
        <v>15</v>
      </c>
      <c r="L1417" s="2" t="s">
        <v>39</v>
      </c>
    </row>
    <row r="1418" spans="1:12" x14ac:dyDescent="0.3">
      <c r="A1418" s="2">
        <v>1407</v>
      </c>
      <c r="B1418" s="2" t="s">
        <v>4405</v>
      </c>
      <c r="C1418" s="2" t="s">
        <v>4156</v>
      </c>
      <c r="D1418" s="2" t="s">
        <v>15</v>
      </c>
      <c r="E1418" s="2" t="s">
        <v>16</v>
      </c>
      <c r="F1418" s="2">
        <v>60</v>
      </c>
      <c r="G1418" s="2" t="s">
        <v>4406</v>
      </c>
      <c r="H1418" s="2" t="s">
        <v>3462</v>
      </c>
      <c r="I1418" s="2" t="s">
        <v>32</v>
      </c>
      <c r="J1418" s="3">
        <v>44614</v>
      </c>
      <c r="K1418" s="2">
        <v>2</v>
      </c>
      <c r="L1418" s="2" t="s">
        <v>64</v>
      </c>
    </row>
    <row r="1419" spans="1:12" x14ac:dyDescent="0.3">
      <c r="A1419" s="2">
        <v>1408</v>
      </c>
      <c r="B1419" s="2" t="s">
        <v>4407</v>
      </c>
      <c r="C1419" s="2" t="s">
        <v>2298</v>
      </c>
      <c r="D1419" s="2" t="s">
        <v>41</v>
      </c>
      <c r="E1419" s="2" t="s">
        <v>16</v>
      </c>
      <c r="F1419" s="2">
        <v>30</v>
      </c>
      <c r="G1419" s="2" t="s">
        <v>4408</v>
      </c>
      <c r="H1419" s="2" t="s">
        <v>4409</v>
      </c>
      <c r="I1419" s="2" t="s">
        <v>294</v>
      </c>
      <c r="J1419" s="3">
        <v>44229</v>
      </c>
      <c r="K1419" s="2">
        <v>34</v>
      </c>
      <c r="L1419" s="2" t="s">
        <v>20</v>
      </c>
    </row>
    <row r="1420" spans="1:12" x14ac:dyDescent="0.3">
      <c r="A1420" s="2">
        <v>1409</v>
      </c>
      <c r="B1420" s="2" t="s">
        <v>1333</v>
      </c>
      <c r="C1420" s="2" t="s">
        <v>4410</v>
      </c>
      <c r="D1420" s="2" t="s">
        <v>51</v>
      </c>
      <c r="E1420" s="2" t="s">
        <v>16</v>
      </c>
      <c r="F1420" s="2">
        <v>30</v>
      </c>
      <c r="G1420" s="2" t="s">
        <v>4408</v>
      </c>
      <c r="H1420" s="2" t="s">
        <v>924</v>
      </c>
      <c r="I1420" s="2" t="s">
        <v>32</v>
      </c>
      <c r="J1420" s="3">
        <v>43910</v>
      </c>
      <c r="K1420" s="2">
        <v>41</v>
      </c>
      <c r="L1420" s="2" t="s">
        <v>159</v>
      </c>
    </row>
    <row r="1421" spans="1:12" x14ac:dyDescent="0.3">
      <c r="A1421" s="2">
        <v>1410</v>
      </c>
      <c r="B1421" s="2" t="s">
        <v>4411</v>
      </c>
      <c r="C1421" s="2" t="s">
        <v>1330</v>
      </c>
      <c r="D1421" s="2" t="s">
        <v>28</v>
      </c>
      <c r="E1421" s="2" t="s">
        <v>29</v>
      </c>
      <c r="F1421" s="2">
        <v>30</v>
      </c>
      <c r="G1421" s="2" t="s">
        <v>4412</v>
      </c>
      <c r="H1421" s="2" t="s">
        <v>4413</v>
      </c>
      <c r="I1421" s="2" t="s">
        <v>32</v>
      </c>
      <c r="J1421" s="3">
        <v>44081</v>
      </c>
      <c r="K1421" s="2">
        <v>45</v>
      </c>
      <c r="L1421" s="2" t="s">
        <v>20</v>
      </c>
    </row>
    <row r="1422" spans="1:12" x14ac:dyDescent="0.3">
      <c r="A1422" s="2">
        <v>1411</v>
      </c>
      <c r="B1422" s="2" t="s">
        <v>4414</v>
      </c>
      <c r="C1422" s="2" t="s">
        <v>3051</v>
      </c>
      <c r="D1422" s="2" t="s">
        <v>28</v>
      </c>
      <c r="E1422" s="2" t="s">
        <v>29</v>
      </c>
      <c r="F1422" s="2">
        <v>30</v>
      </c>
      <c r="G1422" s="2" t="s">
        <v>4412</v>
      </c>
      <c r="H1422" s="2" t="s">
        <v>4415</v>
      </c>
      <c r="I1422" s="2" t="s">
        <v>32</v>
      </c>
      <c r="J1422" s="3">
        <v>44149</v>
      </c>
      <c r="K1422" s="2">
        <v>32</v>
      </c>
      <c r="L1422" s="2" t="s">
        <v>80</v>
      </c>
    </row>
    <row r="1423" spans="1:12" x14ac:dyDescent="0.3">
      <c r="A1423" s="2">
        <v>1412</v>
      </c>
      <c r="B1423" s="2" t="s">
        <v>1187</v>
      </c>
      <c r="C1423" s="2" t="s">
        <v>4416</v>
      </c>
      <c r="D1423" s="2" t="s">
        <v>28</v>
      </c>
      <c r="E1423" s="2" t="s">
        <v>29</v>
      </c>
      <c r="F1423" s="2">
        <v>60</v>
      </c>
      <c r="G1423" s="2" t="s">
        <v>4417</v>
      </c>
      <c r="H1423" s="2" t="s">
        <v>734</v>
      </c>
      <c r="I1423" s="2" t="s">
        <v>32</v>
      </c>
      <c r="J1423" s="3">
        <v>44871</v>
      </c>
      <c r="K1423" s="2">
        <v>4</v>
      </c>
      <c r="L1423" s="2" t="s">
        <v>20</v>
      </c>
    </row>
    <row r="1424" spans="1:12" x14ac:dyDescent="0.3">
      <c r="A1424" s="2">
        <v>1413</v>
      </c>
      <c r="B1424" s="2" t="s">
        <v>4418</v>
      </c>
      <c r="C1424" s="2" t="s">
        <v>2561</v>
      </c>
      <c r="D1424" s="2" t="s">
        <v>15</v>
      </c>
      <c r="E1424" s="2" t="s">
        <v>16</v>
      </c>
      <c r="F1424" s="2">
        <v>60</v>
      </c>
      <c r="G1424" s="2" t="s">
        <v>4417</v>
      </c>
      <c r="H1424" s="2" t="s">
        <v>2987</v>
      </c>
      <c r="I1424" s="2" t="s">
        <v>32</v>
      </c>
      <c r="J1424" s="3">
        <v>44413</v>
      </c>
      <c r="K1424" s="2">
        <v>22</v>
      </c>
      <c r="L1424" s="2" t="s">
        <v>20</v>
      </c>
    </row>
    <row r="1425" spans="1:12" x14ac:dyDescent="0.3">
      <c r="A1425" s="2">
        <v>1414</v>
      </c>
      <c r="B1425" s="2" t="s">
        <v>4419</v>
      </c>
      <c r="C1425" s="2" t="s">
        <v>4420</v>
      </c>
      <c r="D1425" s="2" t="s">
        <v>15</v>
      </c>
      <c r="E1425" s="2" t="s">
        <v>16</v>
      </c>
      <c r="F1425" s="2">
        <v>60</v>
      </c>
      <c r="G1425" s="2" t="s">
        <v>4421</v>
      </c>
      <c r="H1425" s="2" t="s">
        <v>2179</v>
      </c>
      <c r="I1425" s="2" t="s">
        <v>294</v>
      </c>
      <c r="J1425" s="3">
        <v>44877</v>
      </c>
      <c r="K1425" s="2">
        <v>41</v>
      </c>
      <c r="L1425" s="2" t="s">
        <v>39</v>
      </c>
    </row>
    <row r="1426" spans="1:12" x14ac:dyDescent="0.3">
      <c r="A1426" s="2">
        <v>1415</v>
      </c>
      <c r="B1426" s="2" t="s">
        <v>2906</v>
      </c>
      <c r="C1426" s="2" t="s">
        <v>4422</v>
      </c>
      <c r="D1426" s="2" t="s">
        <v>28</v>
      </c>
      <c r="E1426" s="2" t="s">
        <v>29</v>
      </c>
      <c r="F1426" s="2">
        <v>60</v>
      </c>
      <c r="G1426" s="2" t="s">
        <v>4423</v>
      </c>
      <c r="H1426" s="2" t="s">
        <v>4424</v>
      </c>
      <c r="I1426" s="2" t="s">
        <v>25</v>
      </c>
      <c r="J1426" s="3">
        <v>43859</v>
      </c>
      <c r="K1426" s="2">
        <v>12</v>
      </c>
      <c r="L1426" s="2" t="s">
        <v>33</v>
      </c>
    </row>
    <row r="1427" spans="1:12" x14ac:dyDescent="0.3">
      <c r="A1427" s="2">
        <v>1416</v>
      </c>
      <c r="B1427" s="2" t="s">
        <v>3927</v>
      </c>
      <c r="C1427" s="2" t="s">
        <v>4425</v>
      </c>
      <c r="D1427" s="2" t="s">
        <v>28</v>
      </c>
      <c r="E1427" s="2" t="s">
        <v>29</v>
      </c>
      <c r="F1427" s="2">
        <v>30</v>
      </c>
      <c r="G1427" s="2" t="s">
        <v>4426</v>
      </c>
      <c r="H1427" s="2" t="s">
        <v>912</v>
      </c>
      <c r="I1427" s="2" t="s">
        <v>913</v>
      </c>
      <c r="J1427" s="3">
        <v>44638</v>
      </c>
      <c r="K1427" s="2">
        <v>14</v>
      </c>
      <c r="L1427" s="2" t="s">
        <v>39</v>
      </c>
    </row>
    <row r="1428" spans="1:12" x14ac:dyDescent="0.3">
      <c r="A1428" s="2">
        <v>1417</v>
      </c>
      <c r="B1428" s="2" t="s">
        <v>4427</v>
      </c>
      <c r="C1428" s="2" t="s">
        <v>2912</v>
      </c>
      <c r="D1428" s="2" t="s">
        <v>15</v>
      </c>
      <c r="E1428" s="2" t="s">
        <v>16</v>
      </c>
      <c r="F1428" s="2">
        <v>60</v>
      </c>
      <c r="G1428" s="2" t="s">
        <v>4428</v>
      </c>
      <c r="H1428" s="2" t="s">
        <v>587</v>
      </c>
      <c r="I1428" s="2" t="s">
        <v>25</v>
      </c>
      <c r="J1428" s="3">
        <v>44448</v>
      </c>
      <c r="K1428" s="2">
        <v>74</v>
      </c>
      <c r="L1428" s="2" t="s">
        <v>20</v>
      </c>
    </row>
    <row r="1429" spans="1:12" x14ac:dyDescent="0.3">
      <c r="A1429" s="2">
        <v>1418</v>
      </c>
      <c r="B1429" s="2" t="s">
        <v>2837</v>
      </c>
      <c r="C1429" s="2" t="s">
        <v>3314</v>
      </c>
      <c r="D1429" s="2" t="s">
        <v>28</v>
      </c>
      <c r="E1429" s="2" t="s">
        <v>29</v>
      </c>
      <c r="F1429" s="2">
        <v>90</v>
      </c>
      <c r="G1429" s="2" t="s">
        <v>4429</v>
      </c>
      <c r="H1429" s="2" t="s">
        <v>2265</v>
      </c>
      <c r="I1429" s="2" t="s">
        <v>1083</v>
      </c>
      <c r="J1429" s="3">
        <v>44363</v>
      </c>
      <c r="K1429" s="2">
        <v>25</v>
      </c>
      <c r="L1429" s="2" t="s">
        <v>101</v>
      </c>
    </row>
    <row r="1430" spans="1:12" x14ac:dyDescent="0.3">
      <c r="A1430" s="2">
        <v>1419</v>
      </c>
      <c r="B1430" s="2" t="s">
        <v>4430</v>
      </c>
      <c r="C1430" s="2" t="s">
        <v>2575</v>
      </c>
      <c r="D1430" s="2" t="s">
        <v>28</v>
      </c>
      <c r="E1430" s="2" t="s">
        <v>29</v>
      </c>
      <c r="F1430" s="2">
        <v>30</v>
      </c>
      <c r="G1430" s="2" t="s">
        <v>4431</v>
      </c>
      <c r="H1430" s="2" t="s">
        <v>4432</v>
      </c>
      <c r="I1430" s="2" t="s">
        <v>32</v>
      </c>
      <c r="J1430" s="3">
        <v>43933</v>
      </c>
      <c r="K1430" s="2">
        <v>45</v>
      </c>
      <c r="L1430" s="2" t="s">
        <v>45</v>
      </c>
    </row>
    <row r="1431" spans="1:12" x14ac:dyDescent="0.3">
      <c r="A1431" s="2">
        <v>1420</v>
      </c>
      <c r="B1431" s="2" t="s">
        <v>2746</v>
      </c>
      <c r="C1431" s="2" t="s">
        <v>1789</v>
      </c>
      <c r="D1431" s="2" t="s">
        <v>51</v>
      </c>
      <c r="E1431" s="2" t="s">
        <v>16</v>
      </c>
      <c r="F1431" s="2">
        <v>30</v>
      </c>
      <c r="G1431" s="2" t="s">
        <v>4433</v>
      </c>
      <c r="H1431" s="2" t="s">
        <v>2559</v>
      </c>
      <c r="I1431" s="2" t="s">
        <v>124</v>
      </c>
      <c r="J1431" s="3">
        <v>44208</v>
      </c>
      <c r="K1431" s="2">
        <v>80</v>
      </c>
      <c r="L1431" s="2" t="s">
        <v>45</v>
      </c>
    </row>
    <row r="1432" spans="1:12" x14ac:dyDescent="0.3">
      <c r="A1432" s="2">
        <v>1421</v>
      </c>
      <c r="B1432" s="2" t="s">
        <v>2050</v>
      </c>
      <c r="C1432" s="2" t="s">
        <v>4434</v>
      </c>
      <c r="D1432" s="2" t="s">
        <v>92</v>
      </c>
      <c r="E1432" s="2" t="s">
        <v>29</v>
      </c>
      <c r="F1432" s="2">
        <v>30</v>
      </c>
      <c r="G1432" s="2" t="s">
        <v>4435</v>
      </c>
      <c r="H1432" s="2" t="s">
        <v>3713</v>
      </c>
      <c r="I1432" s="2" t="s">
        <v>32</v>
      </c>
      <c r="J1432" s="3">
        <v>43960</v>
      </c>
      <c r="K1432" s="2">
        <v>5</v>
      </c>
      <c r="L1432" s="2" t="s">
        <v>33</v>
      </c>
    </row>
    <row r="1433" spans="1:12" x14ac:dyDescent="0.3">
      <c r="A1433" s="2">
        <v>1422</v>
      </c>
      <c r="B1433" s="2" t="s">
        <v>4436</v>
      </c>
      <c r="C1433" s="2" t="s">
        <v>489</v>
      </c>
      <c r="D1433" s="2" t="s">
        <v>15</v>
      </c>
      <c r="E1433" s="2" t="s">
        <v>16</v>
      </c>
      <c r="F1433" s="2">
        <v>30</v>
      </c>
      <c r="G1433" s="2" t="s">
        <v>4437</v>
      </c>
      <c r="H1433" s="2" t="s">
        <v>1401</v>
      </c>
      <c r="I1433" s="2" t="s">
        <v>1402</v>
      </c>
      <c r="J1433" s="3">
        <v>44663</v>
      </c>
      <c r="K1433" s="2">
        <v>63</v>
      </c>
      <c r="L1433" s="2" t="s">
        <v>20</v>
      </c>
    </row>
    <row r="1434" spans="1:12" x14ac:dyDescent="0.3">
      <c r="A1434" s="2">
        <v>1423</v>
      </c>
      <c r="B1434" s="2" t="s">
        <v>4438</v>
      </c>
      <c r="C1434" s="2" t="s">
        <v>4439</v>
      </c>
      <c r="D1434" s="2" t="s">
        <v>28</v>
      </c>
      <c r="E1434" s="2" t="s">
        <v>29</v>
      </c>
      <c r="F1434" s="2">
        <v>90</v>
      </c>
      <c r="G1434" s="2" t="s">
        <v>4440</v>
      </c>
      <c r="H1434" s="2" t="s">
        <v>4441</v>
      </c>
      <c r="I1434" s="2" t="s">
        <v>146</v>
      </c>
      <c r="J1434" s="3">
        <v>44509</v>
      </c>
      <c r="K1434" s="2">
        <v>76</v>
      </c>
      <c r="L1434" s="2" t="s">
        <v>33</v>
      </c>
    </row>
    <row r="1435" spans="1:12" x14ac:dyDescent="0.3">
      <c r="A1435" s="2">
        <v>1424</v>
      </c>
      <c r="B1435" s="2" t="s">
        <v>4094</v>
      </c>
      <c r="C1435" s="2" t="s">
        <v>1623</v>
      </c>
      <c r="D1435" s="2" t="s">
        <v>28</v>
      </c>
      <c r="E1435" s="2" t="s">
        <v>29</v>
      </c>
      <c r="F1435" s="2">
        <v>60</v>
      </c>
      <c r="G1435" s="2" t="s">
        <v>4442</v>
      </c>
      <c r="H1435" s="2" t="s">
        <v>2972</v>
      </c>
      <c r="I1435" s="2" t="s">
        <v>32</v>
      </c>
      <c r="J1435" s="3">
        <v>44255</v>
      </c>
      <c r="K1435" s="2">
        <v>80</v>
      </c>
      <c r="L1435" s="2" t="s">
        <v>54</v>
      </c>
    </row>
    <row r="1436" spans="1:12" x14ac:dyDescent="0.3">
      <c r="A1436" s="2">
        <v>1425</v>
      </c>
      <c r="B1436" s="2" t="s">
        <v>3688</v>
      </c>
      <c r="C1436" s="2" t="s">
        <v>3917</v>
      </c>
      <c r="D1436" s="2" t="s">
        <v>28</v>
      </c>
      <c r="E1436" s="2" t="s">
        <v>29</v>
      </c>
      <c r="F1436" s="2">
        <v>60</v>
      </c>
      <c r="G1436" s="2" t="s">
        <v>4443</v>
      </c>
      <c r="H1436" s="2" t="s">
        <v>698</v>
      </c>
      <c r="I1436" s="2" t="s">
        <v>213</v>
      </c>
      <c r="J1436" s="3">
        <v>44473</v>
      </c>
      <c r="K1436" s="2">
        <v>79</v>
      </c>
      <c r="L1436" s="2" t="s">
        <v>159</v>
      </c>
    </row>
    <row r="1437" spans="1:12" x14ac:dyDescent="0.3">
      <c r="A1437" s="2">
        <v>1426</v>
      </c>
      <c r="B1437" s="2" t="s">
        <v>2138</v>
      </c>
      <c r="C1437" s="2" t="s">
        <v>4444</v>
      </c>
      <c r="D1437" s="2" t="s">
        <v>28</v>
      </c>
      <c r="E1437" s="2" t="s">
        <v>29</v>
      </c>
      <c r="F1437" s="2">
        <v>60</v>
      </c>
      <c r="G1437" s="2" t="s">
        <v>4445</v>
      </c>
      <c r="H1437" s="2" t="s">
        <v>3059</v>
      </c>
      <c r="I1437" s="2" t="s">
        <v>187</v>
      </c>
      <c r="J1437" s="3">
        <v>44811</v>
      </c>
      <c r="K1437" s="2">
        <v>47</v>
      </c>
      <c r="L1437" s="2" t="s">
        <v>70</v>
      </c>
    </row>
    <row r="1438" spans="1:12" x14ac:dyDescent="0.3">
      <c r="A1438" s="2">
        <v>1427</v>
      </c>
      <c r="B1438" s="2" t="s">
        <v>4446</v>
      </c>
      <c r="C1438" s="2" t="s">
        <v>3447</v>
      </c>
      <c r="D1438" s="2" t="s">
        <v>51</v>
      </c>
      <c r="E1438" s="2" t="s">
        <v>16</v>
      </c>
      <c r="F1438" s="2">
        <v>90</v>
      </c>
      <c r="G1438" s="2" t="s">
        <v>4447</v>
      </c>
      <c r="H1438" s="2" t="s">
        <v>4448</v>
      </c>
      <c r="I1438" s="2" t="s">
        <v>124</v>
      </c>
      <c r="J1438" s="3">
        <v>44231</v>
      </c>
      <c r="K1438" s="2">
        <v>14</v>
      </c>
      <c r="L1438" s="2" t="s">
        <v>70</v>
      </c>
    </row>
    <row r="1439" spans="1:12" x14ac:dyDescent="0.3">
      <c r="A1439" s="2">
        <v>1428</v>
      </c>
      <c r="B1439" s="2" t="s">
        <v>2900</v>
      </c>
      <c r="C1439" s="2" t="s">
        <v>2618</v>
      </c>
      <c r="D1439" s="2" t="s">
        <v>15</v>
      </c>
      <c r="E1439" s="2" t="s">
        <v>16</v>
      </c>
      <c r="F1439" s="2">
        <v>60</v>
      </c>
      <c r="G1439" s="2" t="s">
        <v>4449</v>
      </c>
      <c r="H1439" s="2" t="s">
        <v>3571</v>
      </c>
      <c r="I1439" s="2" t="s">
        <v>32</v>
      </c>
      <c r="J1439" s="3">
        <v>43955</v>
      </c>
      <c r="K1439" s="2">
        <v>34</v>
      </c>
      <c r="L1439" s="2" t="s">
        <v>80</v>
      </c>
    </row>
    <row r="1440" spans="1:12" x14ac:dyDescent="0.3">
      <c r="A1440" s="2">
        <v>1429</v>
      </c>
      <c r="B1440" s="2" t="s">
        <v>4450</v>
      </c>
      <c r="C1440" s="2" t="s">
        <v>3314</v>
      </c>
      <c r="D1440" s="2" t="s">
        <v>15</v>
      </c>
      <c r="E1440" s="2" t="s">
        <v>16</v>
      </c>
      <c r="F1440" s="2">
        <v>60</v>
      </c>
      <c r="G1440" s="2" t="s">
        <v>4449</v>
      </c>
      <c r="H1440" s="2" t="s">
        <v>4451</v>
      </c>
      <c r="I1440" s="2" t="s">
        <v>32</v>
      </c>
      <c r="J1440" s="3">
        <v>44109</v>
      </c>
      <c r="K1440" s="2">
        <v>8</v>
      </c>
      <c r="L1440" s="2" t="s">
        <v>80</v>
      </c>
    </row>
    <row r="1441" spans="1:12" x14ac:dyDescent="0.3">
      <c r="A1441" s="2">
        <v>1430</v>
      </c>
      <c r="B1441" s="2" t="s">
        <v>4452</v>
      </c>
      <c r="C1441" s="2" t="s">
        <v>4261</v>
      </c>
      <c r="D1441" s="2" t="s">
        <v>28</v>
      </c>
      <c r="E1441" s="2" t="s">
        <v>29</v>
      </c>
      <c r="F1441" s="2">
        <v>90</v>
      </c>
      <c r="G1441" s="2" t="s">
        <v>4453</v>
      </c>
      <c r="H1441" s="2" t="s">
        <v>3203</v>
      </c>
      <c r="I1441" s="2" t="s">
        <v>32</v>
      </c>
      <c r="J1441" s="3">
        <v>44235</v>
      </c>
      <c r="K1441" s="2">
        <v>31</v>
      </c>
      <c r="L1441" s="2" t="s">
        <v>159</v>
      </c>
    </row>
    <row r="1442" spans="1:12" x14ac:dyDescent="0.3">
      <c r="A1442" s="2">
        <v>1431</v>
      </c>
      <c r="B1442" s="2" t="s">
        <v>2312</v>
      </c>
      <c r="C1442" s="2" t="s">
        <v>434</v>
      </c>
      <c r="D1442" s="2" t="s">
        <v>28</v>
      </c>
      <c r="E1442" s="2" t="s">
        <v>29</v>
      </c>
      <c r="F1442" s="2">
        <v>30</v>
      </c>
      <c r="G1442" s="2" t="s">
        <v>4454</v>
      </c>
      <c r="H1442" s="2" t="s">
        <v>2768</v>
      </c>
      <c r="I1442" s="2" t="s">
        <v>554</v>
      </c>
      <c r="J1442" s="3">
        <v>43942</v>
      </c>
      <c r="K1442" s="2">
        <v>18</v>
      </c>
      <c r="L1442" s="2" t="s">
        <v>20</v>
      </c>
    </row>
    <row r="1443" spans="1:12" x14ac:dyDescent="0.3">
      <c r="A1443" s="2">
        <v>1432</v>
      </c>
      <c r="B1443" s="2" t="s">
        <v>4455</v>
      </c>
      <c r="C1443" s="2" t="s">
        <v>4456</v>
      </c>
      <c r="D1443" s="2" t="s">
        <v>15</v>
      </c>
      <c r="E1443" s="2" t="s">
        <v>16</v>
      </c>
      <c r="F1443" s="2">
        <v>90</v>
      </c>
      <c r="G1443" s="2" t="s">
        <v>4457</v>
      </c>
      <c r="H1443" s="2" t="s">
        <v>1422</v>
      </c>
      <c r="I1443" s="2" t="s">
        <v>575</v>
      </c>
      <c r="J1443" s="3">
        <v>44081</v>
      </c>
      <c r="K1443" s="2">
        <v>44</v>
      </c>
      <c r="L1443" s="2" t="s">
        <v>80</v>
      </c>
    </row>
    <row r="1444" spans="1:12" x14ac:dyDescent="0.3">
      <c r="A1444" s="2">
        <v>1433</v>
      </c>
      <c r="B1444" s="2" t="s">
        <v>4458</v>
      </c>
      <c r="C1444" s="2" t="s">
        <v>688</v>
      </c>
      <c r="D1444" s="2" t="s">
        <v>41</v>
      </c>
      <c r="E1444" s="2" t="s">
        <v>16</v>
      </c>
      <c r="F1444" s="2">
        <v>60</v>
      </c>
      <c r="G1444" s="2" t="s">
        <v>4459</v>
      </c>
      <c r="H1444" s="2" t="s">
        <v>2444</v>
      </c>
      <c r="I1444" s="2" t="s">
        <v>32</v>
      </c>
      <c r="J1444" s="3">
        <v>43933</v>
      </c>
      <c r="K1444" s="2">
        <v>64</v>
      </c>
      <c r="L1444" s="2" t="s">
        <v>70</v>
      </c>
    </row>
    <row r="1445" spans="1:12" x14ac:dyDescent="0.3">
      <c r="A1445" s="2">
        <v>1434</v>
      </c>
      <c r="B1445" s="2" t="s">
        <v>4460</v>
      </c>
      <c r="C1445" s="2" t="s">
        <v>4461</v>
      </c>
      <c r="D1445" s="2" t="s">
        <v>28</v>
      </c>
      <c r="E1445" s="2" t="s">
        <v>29</v>
      </c>
      <c r="F1445" s="2">
        <v>30</v>
      </c>
      <c r="G1445" s="2" t="s">
        <v>4462</v>
      </c>
      <c r="H1445" s="2" t="s">
        <v>4463</v>
      </c>
      <c r="I1445" s="2" t="s">
        <v>32</v>
      </c>
      <c r="J1445" s="3">
        <v>44830</v>
      </c>
      <c r="K1445" s="2">
        <v>79</v>
      </c>
      <c r="L1445" s="2" t="s">
        <v>20</v>
      </c>
    </row>
    <row r="1446" spans="1:12" x14ac:dyDescent="0.3">
      <c r="A1446" s="2">
        <v>1435</v>
      </c>
      <c r="B1446" s="2" t="s">
        <v>3013</v>
      </c>
      <c r="C1446" s="2" t="s">
        <v>4464</v>
      </c>
      <c r="D1446" s="2" t="s">
        <v>51</v>
      </c>
      <c r="E1446" s="2" t="s">
        <v>16</v>
      </c>
      <c r="F1446" s="2">
        <v>60</v>
      </c>
      <c r="G1446" s="2" t="s">
        <v>4465</v>
      </c>
      <c r="H1446" s="2" t="s">
        <v>334</v>
      </c>
      <c r="I1446" s="2" t="s">
        <v>124</v>
      </c>
      <c r="J1446" s="3">
        <v>44748</v>
      </c>
      <c r="K1446" s="2">
        <v>11</v>
      </c>
      <c r="L1446" s="2" t="s">
        <v>101</v>
      </c>
    </row>
    <row r="1447" spans="1:12" x14ac:dyDescent="0.3">
      <c r="A1447" s="2">
        <v>1436</v>
      </c>
      <c r="B1447" s="2" t="s">
        <v>4466</v>
      </c>
      <c r="C1447" s="2" t="s">
        <v>804</v>
      </c>
      <c r="D1447" s="2" t="s">
        <v>51</v>
      </c>
      <c r="E1447" s="2" t="s">
        <v>16</v>
      </c>
      <c r="F1447" s="2">
        <v>30</v>
      </c>
      <c r="G1447" s="2" t="s">
        <v>4467</v>
      </c>
      <c r="H1447" s="2" t="s">
        <v>1519</v>
      </c>
      <c r="I1447" s="2" t="s">
        <v>32</v>
      </c>
      <c r="J1447" s="3">
        <v>44571</v>
      </c>
      <c r="K1447" s="2">
        <v>41</v>
      </c>
      <c r="L1447" s="2" t="s">
        <v>80</v>
      </c>
    </row>
    <row r="1448" spans="1:12" x14ac:dyDescent="0.3">
      <c r="A1448" s="2">
        <v>1437</v>
      </c>
      <c r="B1448" s="2" t="s">
        <v>960</v>
      </c>
      <c r="C1448" s="2" t="s">
        <v>225</v>
      </c>
      <c r="D1448" s="2" t="s">
        <v>28</v>
      </c>
      <c r="E1448" s="2" t="s">
        <v>29</v>
      </c>
      <c r="F1448" s="2">
        <v>90</v>
      </c>
      <c r="G1448" s="2" t="s">
        <v>4468</v>
      </c>
      <c r="H1448" s="2" t="s">
        <v>346</v>
      </c>
      <c r="I1448" s="2" t="s">
        <v>32</v>
      </c>
      <c r="J1448" s="3">
        <v>44009</v>
      </c>
      <c r="K1448" s="2">
        <v>23</v>
      </c>
      <c r="L1448" s="2" t="s">
        <v>45</v>
      </c>
    </row>
    <row r="1449" spans="1:12" x14ac:dyDescent="0.3">
      <c r="A1449" s="2">
        <v>1438</v>
      </c>
      <c r="B1449" s="2" t="s">
        <v>3706</v>
      </c>
      <c r="C1449" s="2" t="s">
        <v>4469</v>
      </c>
      <c r="D1449" s="2" t="s">
        <v>28</v>
      </c>
      <c r="E1449" s="2" t="s">
        <v>29</v>
      </c>
      <c r="F1449" s="2">
        <v>90</v>
      </c>
      <c r="G1449" s="2" t="s">
        <v>4470</v>
      </c>
      <c r="H1449" s="2" t="s">
        <v>1754</v>
      </c>
      <c r="I1449" s="2" t="s">
        <v>25</v>
      </c>
      <c r="J1449" s="3">
        <v>44189</v>
      </c>
      <c r="K1449" s="2">
        <v>77</v>
      </c>
      <c r="L1449" s="2" t="s">
        <v>64</v>
      </c>
    </row>
    <row r="1450" spans="1:12" x14ac:dyDescent="0.3">
      <c r="A1450" s="2">
        <v>1439</v>
      </c>
      <c r="B1450" s="2" t="s">
        <v>4471</v>
      </c>
      <c r="C1450" s="2" t="s">
        <v>3591</v>
      </c>
      <c r="D1450" s="2" t="s">
        <v>15</v>
      </c>
      <c r="E1450" s="2" t="s">
        <v>16</v>
      </c>
      <c r="F1450" s="2">
        <v>30</v>
      </c>
      <c r="G1450" s="2" t="s">
        <v>10491</v>
      </c>
      <c r="H1450" s="2" t="s">
        <v>981</v>
      </c>
      <c r="I1450" s="2" t="s">
        <v>32</v>
      </c>
      <c r="J1450" s="3">
        <v>44800</v>
      </c>
      <c r="K1450" s="2">
        <v>23</v>
      </c>
      <c r="L1450" s="2" t="s">
        <v>33</v>
      </c>
    </row>
    <row r="1451" spans="1:12" x14ac:dyDescent="0.3">
      <c r="A1451" s="2">
        <v>1440</v>
      </c>
      <c r="B1451" s="2" t="s">
        <v>289</v>
      </c>
      <c r="C1451" s="2" t="s">
        <v>4473</v>
      </c>
      <c r="D1451" s="2" t="s">
        <v>15</v>
      </c>
      <c r="E1451" s="2" t="s">
        <v>16</v>
      </c>
      <c r="F1451" s="2">
        <v>60</v>
      </c>
      <c r="G1451" s="2" t="s">
        <v>4474</v>
      </c>
      <c r="H1451" s="2" t="s">
        <v>3951</v>
      </c>
      <c r="I1451" s="2" t="s">
        <v>1576</v>
      </c>
      <c r="J1451" s="3">
        <v>43891</v>
      </c>
      <c r="K1451" s="2">
        <v>70</v>
      </c>
      <c r="L1451" s="2" t="s">
        <v>20</v>
      </c>
    </row>
    <row r="1452" spans="1:12" x14ac:dyDescent="0.3">
      <c r="A1452" s="2">
        <v>1441</v>
      </c>
      <c r="B1452" s="2" t="s">
        <v>4475</v>
      </c>
      <c r="C1452" s="2" t="s">
        <v>4476</v>
      </c>
      <c r="D1452" s="2" t="s">
        <v>51</v>
      </c>
      <c r="E1452" s="2" t="s">
        <v>16</v>
      </c>
      <c r="F1452" s="2">
        <v>60</v>
      </c>
      <c r="G1452" s="2" t="s">
        <v>4477</v>
      </c>
      <c r="H1452" s="2" t="s">
        <v>4478</v>
      </c>
      <c r="I1452" s="2" t="s">
        <v>777</v>
      </c>
      <c r="J1452" s="3">
        <v>43966</v>
      </c>
      <c r="K1452" s="2">
        <v>76</v>
      </c>
      <c r="L1452" s="2" t="s">
        <v>80</v>
      </c>
    </row>
    <row r="1453" spans="1:12" x14ac:dyDescent="0.3">
      <c r="A1453" s="2">
        <v>1442</v>
      </c>
      <c r="B1453" s="2" t="s">
        <v>1672</v>
      </c>
      <c r="C1453" s="2" t="s">
        <v>1649</v>
      </c>
      <c r="D1453" s="2" t="s">
        <v>28</v>
      </c>
      <c r="E1453" s="2" t="s">
        <v>29</v>
      </c>
      <c r="F1453" s="2">
        <v>60</v>
      </c>
      <c r="G1453" s="2" t="s">
        <v>4477</v>
      </c>
      <c r="H1453" s="2" t="s">
        <v>4479</v>
      </c>
      <c r="I1453" s="2" t="s">
        <v>32</v>
      </c>
      <c r="J1453" s="3">
        <v>44271</v>
      </c>
      <c r="K1453" s="2">
        <v>2</v>
      </c>
      <c r="L1453" s="2" t="s">
        <v>80</v>
      </c>
    </row>
    <row r="1454" spans="1:12" x14ac:dyDescent="0.3">
      <c r="A1454" s="2">
        <v>1443</v>
      </c>
      <c r="B1454" s="2" t="s">
        <v>4480</v>
      </c>
      <c r="C1454" s="2" t="s">
        <v>4481</v>
      </c>
      <c r="D1454" s="2" t="s">
        <v>51</v>
      </c>
      <c r="E1454" s="2" t="s">
        <v>16</v>
      </c>
      <c r="F1454" s="2">
        <v>60</v>
      </c>
      <c r="G1454" s="2" t="s">
        <v>4482</v>
      </c>
      <c r="H1454" s="2" t="s">
        <v>2512</v>
      </c>
      <c r="I1454" s="2" t="s">
        <v>32</v>
      </c>
      <c r="J1454" s="3">
        <v>44431</v>
      </c>
      <c r="K1454" s="2">
        <v>53</v>
      </c>
      <c r="L1454" s="2" t="s">
        <v>159</v>
      </c>
    </row>
    <row r="1455" spans="1:12" x14ac:dyDescent="0.3">
      <c r="A1455" s="2">
        <v>1444</v>
      </c>
      <c r="B1455" s="2" t="s">
        <v>4244</v>
      </c>
      <c r="C1455" s="2" t="s">
        <v>2148</v>
      </c>
      <c r="D1455" s="2" t="s">
        <v>92</v>
      </c>
      <c r="E1455" s="2" t="s">
        <v>16</v>
      </c>
      <c r="F1455" s="2">
        <v>90</v>
      </c>
      <c r="G1455" s="2" t="s">
        <v>4483</v>
      </c>
      <c r="H1455" s="2" t="s">
        <v>4484</v>
      </c>
      <c r="I1455" s="2" t="s">
        <v>32</v>
      </c>
      <c r="J1455" s="3">
        <v>44884</v>
      </c>
      <c r="K1455" s="2">
        <v>93</v>
      </c>
      <c r="L1455" s="2" t="s">
        <v>80</v>
      </c>
    </row>
    <row r="1456" spans="1:12" x14ac:dyDescent="0.3">
      <c r="A1456" s="2">
        <v>1445</v>
      </c>
      <c r="B1456" s="2" t="s">
        <v>2001</v>
      </c>
      <c r="C1456" s="2" t="s">
        <v>4485</v>
      </c>
      <c r="D1456" s="2" t="s">
        <v>51</v>
      </c>
      <c r="E1456" s="2" t="s">
        <v>16</v>
      </c>
      <c r="F1456" s="2">
        <v>30</v>
      </c>
      <c r="G1456" s="2" t="s">
        <v>4486</v>
      </c>
      <c r="H1456" s="2" t="s">
        <v>4463</v>
      </c>
      <c r="I1456" s="2" t="s">
        <v>32</v>
      </c>
      <c r="J1456" s="3">
        <v>43845</v>
      </c>
      <c r="K1456" s="2">
        <v>66</v>
      </c>
      <c r="L1456" s="2" t="s">
        <v>39</v>
      </c>
    </row>
    <row r="1457" spans="1:12" x14ac:dyDescent="0.3">
      <c r="A1457" s="2">
        <v>1446</v>
      </c>
      <c r="B1457" s="2" t="s">
        <v>4487</v>
      </c>
      <c r="C1457" s="2" t="s">
        <v>4216</v>
      </c>
      <c r="D1457" s="2" t="s">
        <v>15</v>
      </c>
      <c r="E1457" s="2" t="s">
        <v>16</v>
      </c>
      <c r="F1457" s="2">
        <v>30</v>
      </c>
      <c r="G1457" s="2" t="s">
        <v>4488</v>
      </c>
      <c r="H1457" s="2" t="s">
        <v>2436</v>
      </c>
      <c r="I1457" s="2" t="s">
        <v>294</v>
      </c>
      <c r="J1457" s="3">
        <v>44717</v>
      </c>
      <c r="K1457" s="2">
        <v>28</v>
      </c>
      <c r="L1457" s="2" t="s">
        <v>33</v>
      </c>
    </row>
    <row r="1458" spans="1:12" x14ac:dyDescent="0.3">
      <c r="A1458" s="2">
        <v>1447</v>
      </c>
      <c r="B1458" s="2" t="s">
        <v>4489</v>
      </c>
      <c r="C1458" s="2" t="s">
        <v>4490</v>
      </c>
      <c r="D1458" s="2" t="s">
        <v>28</v>
      </c>
      <c r="E1458" s="2" t="s">
        <v>29</v>
      </c>
      <c r="F1458" s="2">
        <v>90</v>
      </c>
      <c r="G1458" s="2" t="s">
        <v>4491</v>
      </c>
      <c r="H1458" s="2" t="s">
        <v>1082</v>
      </c>
      <c r="I1458" s="2" t="s">
        <v>1083</v>
      </c>
      <c r="J1458" s="3">
        <v>44188</v>
      </c>
      <c r="K1458" s="2">
        <v>58</v>
      </c>
      <c r="L1458" s="2" t="s">
        <v>80</v>
      </c>
    </row>
    <row r="1459" spans="1:12" x14ac:dyDescent="0.3">
      <c r="A1459" s="2">
        <v>1448</v>
      </c>
      <c r="B1459" s="2" t="s">
        <v>3811</v>
      </c>
      <c r="C1459" s="2" t="s">
        <v>4261</v>
      </c>
      <c r="D1459" s="2" t="s">
        <v>28</v>
      </c>
      <c r="E1459" s="2" t="s">
        <v>29</v>
      </c>
      <c r="F1459" s="2">
        <v>90</v>
      </c>
      <c r="G1459" s="2" t="s">
        <v>4492</v>
      </c>
      <c r="H1459" s="2" t="s">
        <v>4493</v>
      </c>
      <c r="I1459" s="2" t="s">
        <v>32</v>
      </c>
      <c r="J1459" s="3">
        <v>44156</v>
      </c>
      <c r="K1459" s="2">
        <v>55</v>
      </c>
      <c r="L1459" s="2" t="s">
        <v>39</v>
      </c>
    </row>
    <row r="1460" spans="1:12" x14ac:dyDescent="0.3">
      <c r="A1460" s="2">
        <v>1449</v>
      </c>
      <c r="B1460" s="2" t="s">
        <v>4494</v>
      </c>
      <c r="C1460" s="2" t="s">
        <v>4495</v>
      </c>
      <c r="D1460" s="2" t="s">
        <v>28</v>
      </c>
      <c r="E1460" s="2" t="s">
        <v>29</v>
      </c>
      <c r="F1460" s="2">
        <v>60</v>
      </c>
      <c r="G1460" s="2" t="s">
        <v>4496</v>
      </c>
      <c r="H1460" s="2" t="s">
        <v>1056</v>
      </c>
      <c r="I1460" s="2" t="s">
        <v>129</v>
      </c>
      <c r="J1460" s="3">
        <v>44861</v>
      </c>
      <c r="K1460" s="2">
        <v>45</v>
      </c>
      <c r="L1460" s="2" t="s">
        <v>80</v>
      </c>
    </row>
    <row r="1461" spans="1:12" x14ac:dyDescent="0.3">
      <c r="A1461" s="2">
        <v>1450</v>
      </c>
      <c r="B1461" s="2" t="s">
        <v>4497</v>
      </c>
      <c r="C1461" s="2" t="s">
        <v>888</v>
      </c>
      <c r="D1461" s="2" t="s">
        <v>41</v>
      </c>
      <c r="E1461" s="2" t="s">
        <v>16</v>
      </c>
      <c r="F1461" s="2">
        <v>30</v>
      </c>
      <c r="G1461" s="2" t="s">
        <v>4498</v>
      </c>
      <c r="H1461" s="2" t="s">
        <v>2045</v>
      </c>
      <c r="I1461" s="2" t="s">
        <v>38</v>
      </c>
      <c r="J1461" s="3">
        <v>44268</v>
      </c>
      <c r="K1461" s="2">
        <v>47</v>
      </c>
      <c r="L1461" s="2" t="s">
        <v>45</v>
      </c>
    </row>
    <row r="1462" spans="1:12" x14ac:dyDescent="0.3">
      <c r="A1462" s="2">
        <v>1451</v>
      </c>
      <c r="B1462" s="2" t="s">
        <v>4499</v>
      </c>
      <c r="C1462" s="2" t="s">
        <v>372</v>
      </c>
      <c r="D1462" s="2" t="s">
        <v>28</v>
      </c>
      <c r="E1462" s="2" t="s">
        <v>29</v>
      </c>
      <c r="F1462" s="2">
        <v>60</v>
      </c>
      <c r="G1462" s="2" t="s">
        <v>4500</v>
      </c>
      <c r="H1462" s="2" t="s">
        <v>3473</v>
      </c>
      <c r="I1462" s="2" t="s">
        <v>1199</v>
      </c>
      <c r="J1462" s="3">
        <v>44320</v>
      </c>
      <c r="K1462" s="2">
        <v>21</v>
      </c>
      <c r="L1462" s="2" t="s">
        <v>70</v>
      </c>
    </row>
    <row r="1463" spans="1:12" x14ac:dyDescent="0.3">
      <c r="A1463" s="2">
        <v>1452</v>
      </c>
      <c r="B1463" s="2" t="s">
        <v>683</v>
      </c>
      <c r="C1463" s="2" t="s">
        <v>4501</v>
      </c>
      <c r="D1463" s="2" t="s">
        <v>28</v>
      </c>
      <c r="E1463" s="2" t="s">
        <v>29</v>
      </c>
      <c r="F1463" s="2">
        <v>30</v>
      </c>
      <c r="G1463" s="2" t="s">
        <v>4502</v>
      </c>
      <c r="H1463" s="2" t="s">
        <v>4503</v>
      </c>
      <c r="I1463" s="2" t="s">
        <v>425</v>
      </c>
      <c r="J1463" s="3">
        <v>44301</v>
      </c>
      <c r="K1463" s="2">
        <v>35</v>
      </c>
      <c r="L1463" s="2" t="s">
        <v>20</v>
      </c>
    </row>
    <row r="1464" spans="1:12" x14ac:dyDescent="0.3">
      <c r="A1464" s="2">
        <v>1453</v>
      </c>
      <c r="B1464" s="2" t="s">
        <v>2455</v>
      </c>
      <c r="C1464" s="2" t="s">
        <v>4504</v>
      </c>
      <c r="D1464" s="2" t="s">
        <v>51</v>
      </c>
      <c r="E1464" s="2" t="s">
        <v>16</v>
      </c>
      <c r="F1464" s="2">
        <v>60</v>
      </c>
      <c r="G1464" s="2" t="s">
        <v>4505</v>
      </c>
      <c r="H1464" s="2" t="s">
        <v>1206</v>
      </c>
      <c r="I1464" s="2" t="s">
        <v>294</v>
      </c>
      <c r="J1464" s="3">
        <v>43968</v>
      </c>
      <c r="K1464" s="2">
        <v>16</v>
      </c>
      <c r="L1464" s="2" t="s">
        <v>33</v>
      </c>
    </row>
    <row r="1465" spans="1:12" x14ac:dyDescent="0.3">
      <c r="A1465" s="2">
        <v>1454</v>
      </c>
      <c r="B1465" s="2" t="s">
        <v>4506</v>
      </c>
      <c r="C1465" s="2" t="s">
        <v>3776</v>
      </c>
      <c r="D1465" s="2" t="s">
        <v>51</v>
      </c>
      <c r="E1465" s="2" t="s">
        <v>16</v>
      </c>
      <c r="F1465" s="2">
        <v>90</v>
      </c>
      <c r="G1465" s="2" t="s">
        <v>4507</v>
      </c>
      <c r="H1465" s="2" t="s">
        <v>4508</v>
      </c>
      <c r="I1465" s="2" t="s">
        <v>32</v>
      </c>
      <c r="J1465" s="3">
        <v>44462</v>
      </c>
      <c r="K1465" s="2">
        <v>38</v>
      </c>
      <c r="L1465" s="2" t="s">
        <v>39</v>
      </c>
    </row>
    <row r="1466" spans="1:12" x14ac:dyDescent="0.3">
      <c r="A1466" s="2">
        <v>1455</v>
      </c>
      <c r="B1466" s="2" t="s">
        <v>4509</v>
      </c>
      <c r="C1466" s="2" t="s">
        <v>1627</v>
      </c>
      <c r="D1466" s="2" t="s">
        <v>28</v>
      </c>
      <c r="E1466" s="2" t="s">
        <v>29</v>
      </c>
      <c r="F1466" s="2">
        <v>30</v>
      </c>
      <c r="G1466" s="2" t="s">
        <v>4510</v>
      </c>
      <c r="H1466" s="2" t="s">
        <v>1206</v>
      </c>
      <c r="I1466" s="2" t="s">
        <v>294</v>
      </c>
      <c r="J1466" s="3">
        <v>44798</v>
      </c>
      <c r="K1466" s="2">
        <v>16</v>
      </c>
      <c r="L1466" s="2" t="s">
        <v>101</v>
      </c>
    </row>
    <row r="1467" spans="1:12" x14ac:dyDescent="0.3">
      <c r="A1467" s="2">
        <v>1456</v>
      </c>
      <c r="B1467" s="2" t="s">
        <v>3313</v>
      </c>
      <c r="C1467" s="2" t="s">
        <v>3624</v>
      </c>
      <c r="D1467" s="2" t="s">
        <v>28</v>
      </c>
      <c r="E1467" s="2" t="s">
        <v>29</v>
      </c>
      <c r="F1467" s="2">
        <v>60</v>
      </c>
      <c r="G1467" s="2" t="s">
        <v>4511</v>
      </c>
      <c r="H1467" s="2" t="s">
        <v>1184</v>
      </c>
      <c r="I1467" s="2" t="s">
        <v>886</v>
      </c>
      <c r="J1467" s="3">
        <v>44898</v>
      </c>
      <c r="K1467" s="2">
        <v>97</v>
      </c>
      <c r="L1467" s="2" t="s">
        <v>54</v>
      </c>
    </row>
    <row r="1468" spans="1:12" x14ac:dyDescent="0.3">
      <c r="A1468" s="2">
        <v>1457</v>
      </c>
      <c r="B1468" s="2" t="s">
        <v>3381</v>
      </c>
      <c r="C1468" s="2" t="s">
        <v>4512</v>
      </c>
      <c r="D1468" s="2" t="s">
        <v>51</v>
      </c>
      <c r="E1468" s="2" t="s">
        <v>16</v>
      </c>
      <c r="F1468" s="2">
        <v>90</v>
      </c>
      <c r="G1468" s="2" t="s">
        <v>4513</v>
      </c>
      <c r="H1468" s="2" t="s">
        <v>827</v>
      </c>
      <c r="I1468" s="2" t="s">
        <v>124</v>
      </c>
      <c r="J1468" s="3">
        <v>44660</v>
      </c>
      <c r="K1468" s="2">
        <v>29</v>
      </c>
      <c r="L1468" s="2" t="s">
        <v>70</v>
      </c>
    </row>
    <row r="1469" spans="1:12" x14ac:dyDescent="0.3">
      <c r="A1469" s="2">
        <v>1458</v>
      </c>
      <c r="B1469" s="2" t="s">
        <v>1591</v>
      </c>
      <c r="C1469" s="2" t="s">
        <v>219</v>
      </c>
      <c r="D1469" s="2" t="s">
        <v>28</v>
      </c>
      <c r="E1469" s="2" t="s">
        <v>29</v>
      </c>
      <c r="F1469" s="2">
        <v>90</v>
      </c>
      <c r="G1469" s="2" t="s">
        <v>4514</v>
      </c>
      <c r="H1469" s="2" t="s">
        <v>3208</v>
      </c>
      <c r="I1469" s="2" t="s">
        <v>32</v>
      </c>
      <c r="J1469" s="3">
        <v>44051</v>
      </c>
      <c r="K1469" s="2">
        <v>19</v>
      </c>
      <c r="L1469" s="2" t="s">
        <v>159</v>
      </c>
    </row>
    <row r="1470" spans="1:12" x14ac:dyDescent="0.3">
      <c r="A1470" s="2">
        <v>1459</v>
      </c>
      <c r="B1470" s="2" t="s">
        <v>2815</v>
      </c>
      <c r="C1470" s="2" t="s">
        <v>543</v>
      </c>
      <c r="D1470" s="2" t="s">
        <v>28</v>
      </c>
      <c r="E1470" s="2" t="s">
        <v>29</v>
      </c>
      <c r="F1470" s="2">
        <v>90</v>
      </c>
      <c r="G1470" s="2" t="s">
        <v>4515</v>
      </c>
      <c r="H1470" s="2" t="s">
        <v>2795</v>
      </c>
      <c r="I1470" s="2" t="s">
        <v>38</v>
      </c>
      <c r="J1470" s="3">
        <v>44007</v>
      </c>
      <c r="K1470" s="2">
        <v>40</v>
      </c>
      <c r="L1470" s="2" t="s">
        <v>20</v>
      </c>
    </row>
    <row r="1471" spans="1:12" x14ac:dyDescent="0.3">
      <c r="A1471" s="2">
        <v>1460</v>
      </c>
      <c r="B1471" s="2" t="s">
        <v>994</v>
      </c>
      <c r="C1471" s="2" t="s">
        <v>1774</v>
      </c>
      <c r="D1471" s="2" t="s">
        <v>117</v>
      </c>
      <c r="E1471" s="2" t="s">
        <v>29</v>
      </c>
      <c r="F1471" s="2">
        <v>90</v>
      </c>
      <c r="G1471" s="2" t="s">
        <v>4516</v>
      </c>
      <c r="H1471" s="2" t="s">
        <v>4517</v>
      </c>
      <c r="I1471" s="2" t="s">
        <v>173</v>
      </c>
      <c r="J1471" s="3">
        <v>44134</v>
      </c>
      <c r="K1471" s="2">
        <v>27</v>
      </c>
      <c r="L1471" s="2" t="s">
        <v>39</v>
      </c>
    </row>
    <row r="1472" spans="1:12" x14ac:dyDescent="0.3">
      <c r="A1472" s="2">
        <v>1461</v>
      </c>
      <c r="B1472" s="2" t="s">
        <v>800</v>
      </c>
      <c r="C1472" s="2" t="s">
        <v>4518</v>
      </c>
      <c r="D1472" s="2" t="s">
        <v>28</v>
      </c>
      <c r="E1472" s="2" t="s">
        <v>29</v>
      </c>
      <c r="F1472" s="2">
        <v>30</v>
      </c>
      <c r="G1472" s="2" t="s">
        <v>4519</v>
      </c>
      <c r="H1472" s="2" t="s">
        <v>4520</v>
      </c>
      <c r="I1472" s="2" t="s">
        <v>32</v>
      </c>
      <c r="J1472" s="3">
        <v>44247</v>
      </c>
      <c r="K1472" s="2">
        <v>17</v>
      </c>
      <c r="L1472" s="2" t="s">
        <v>45</v>
      </c>
    </row>
    <row r="1473" spans="1:12" x14ac:dyDescent="0.3">
      <c r="A1473" s="2">
        <v>1462</v>
      </c>
      <c r="B1473" s="2" t="s">
        <v>4521</v>
      </c>
      <c r="C1473" s="2" t="s">
        <v>4522</v>
      </c>
      <c r="D1473" s="2" t="s">
        <v>51</v>
      </c>
      <c r="E1473" s="2" t="s">
        <v>16</v>
      </c>
      <c r="F1473" s="2">
        <v>90</v>
      </c>
      <c r="G1473" s="2" t="s">
        <v>4523</v>
      </c>
      <c r="H1473" s="2" t="s">
        <v>1168</v>
      </c>
      <c r="I1473" s="2" t="s">
        <v>32</v>
      </c>
      <c r="J1473" s="3">
        <v>44168</v>
      </c>
      <c r="K1473" s="2">
        <v>69</v>
      </c>
      <c r="L1473" s="2" t="s">
        <v>54</v>
      </c>
    </row>
    <row r="1474" spans="1:12" x14ac:dyDescent="0.3">
      <c r="A1474" s="2">
        <v>1463</v>
      </c>
      <c r="B1474" s="2" t="s">
        <v>4524</v>
      </c>
      <c r="C1474" s="2" t="s">
        <v>2298</v>
      </c>
      <c r="D1474" s="2" t="s">
        <v>15</v>
      </c>
      <c r="E1474" s="2" t="s">
        <v>16</v>
      </c>
      <c r="F1474" s="2">
        <v>60</v>
      </c>
      <c r="G1474" s="2" t="s">
        <v>10492</v>
      </c>
      <c r="H1474" s="2" t="s">
        <v>3044</v>
      </c>
      <c r="I1474" s="2" t="s">
        <v>1413</v>
      </c>
      <c r="J1474" s="3">
        <v>44350</v>
      </c>
      <c r="K1474" s="2">
        <v>65</v>
      </c>
      <c r="L1474" s="2" t="s">
        <v>54</v>
      </c>
    </row>
    <row r="1475" spans="1:12" x14ac:dyDescent="0.3">
      <c r="A1475" s="2">
        <v>1464</v>
      </c>
      <c r="B1475" s="2" t="s">
        <v>2203</v>
      </c>
      <c r="C1475" s="2" t="s">
        <v>1614</v>
      </c>
      <c r="D1475" s="2" t="s">
        <v>51</v>
      </c>
      <c r="E1475" s="2" t="s">
        <v>16</v>
      </c>
      <c r="F1475" s="2">
        <v>30</v>
      </c>
      <c r="G1475" s="2" t="s">
        <v>4526</v>
      </c>
      <c r="H1475" s="2" t="s">
        <v>4527</v>
      </c>
      <c r="I1475" s="2" t="s">
        <v>32</v>
      </c>
      <c r="J1475" s="3">
        <v>44367</v>
      </c>
      <c r="K1475" s="2">
        <v>47</v>
      </c>
      <c r="L1475" s="2" t="s">
        <v>33</v>
      </c>
    </row>
    <row r="1476" spans="1:12" x14ac:dyDescent="0.3">
      <c r="A1476" s="2">
        <v>1465</v>
      </c>
      <c r="B1476" s="2" t="s">
        <v>3503</v>
      </c>
      <c r="C1476" s="2" t="s">
        <v>4528</v>
      </c>
      <c r="D1476" s="2" t="s">
        <v>51</v>
      </c>
      <c r="E1476" s="2" t="s">
        <v>16</v>
      </c>
      <c r="F1476" s="2">
        <v>90</v>
      </c>
      <c r="G1476" s="2" t="s">
        <v>4529</v>
      </c>
      <c r="H1476" s="2" t="s">
        <v>2154</v>
      </c>
      <c r="I1476" s="2" t="s">
        <v>124</v>
      </c>
      <c r="J1476" s="3">
        <v>44651</v>
      </c>
      <c r="K1476" s="2">
        <v>22</v>
      </c>
      <c r="L1476" s="2" t="s">
        <v>45</v>
      </c>
    </row>
    <row r="1477" spans="1:12" x14ac:dyDescent="0.3">
      <c r="A1477" s="2">
        <v>1466</v>
      </c>
      <c r="B1477" s="2" t="s">
        <v>4008</v>
      </c>
      <c r="C1477" s="2" t="s">
        <v>2823</v>
      </c>
      <c r="D1477" s="2" t="s">
        <v>28</v>
      </c>
      <c r="E1477" s="2" t="s">
        <v>29</v>
      </c>
      <c r="F1477" s="2">
        <v>90</v>
      </c>
      <c r="G1477" s="2" t="s">
        <v>4530</v>
      </c>
      <c r="H1477" s="2" t="s">
        <v>838</v>
      </c>
      <c r="I1477" s="2" t="s">
        <v>839</v>
      </c>
      <c r="J1477" s="3">
        <v>43963</v>
      </c>
      <c r="K1477" s="2">
        <v>4</v>
      </c>
      <c r="L1477" s="2" t="s">
        <v>80</v>
      </c>
    </row>
    <row r="1478" spans="1:12" x14ac:dyDescent="0.3">
      <c r="A1478" s="2">
        <v>1467</v>
      </c>
      <c r="B1478" s="2" t="s">
        <v>1262</v>
      </c>
      <c r="C1478" s="2" t="s">
        <v>4531</v>
      </c>
      <c r="D1478" s="2" t="s">
        <v>28</v>
      </c>
      <c r="E1478" s="2" t="s">
        <v>29</v>
      </c>
      <c r="F1478" s="2">
        <v>60</v>
      </c>
      <c r="G1478" s="2" t="s">
        <v>4532</v>
      </c>
      <c r="H1478" s="2" t="s">
        <v>1625</v>
      </c>
      <c r="I1478" s="2" t="s">
        <v>32</v>
      </c>
      <c r="J1478" s="3">
        <v>43929</v>
      </c>
      <c r="K1478" s="2">
        <v>21</v>
      </c>
      <c r="L1478" s="2" t="s">
        <v>80</v>
      </c>
    </row>
    <row r="1479" spans="1:12" x14ac:dyDescent="0.3">
      <c r="A1479" s="2">
        <v>1468</v>
      </c>
      <c r="B1479" s="2" t="s">
        <v>4533</v>
      </c>
      <c r="C1479" s="2" t="s">
        <v>4534</v>
      </c>
      <c r="D1479" s="2" t="s">
        <v>15</v>
      </c>
      <c r="E1479" s="2" t="s">
        <v>16</v>
      </c>
      <c r="F1479" s="2">
        <v>90</v>
      </c>
      <c r="G1479" s="2" t="s">
        <v>4535</v>
      </c>
      <c r="H1479" s="2" t="s">
        <v>534</v>
      </c>
      <c r="I1479" s="2" t="s">
        <v>32</v>
      </c>
      <c r="J1479" s="3">
        <v>44064</v>
      </c>
      <c r="K1479" s="2">
        <v>48</v>
      </c>
      <c r="L1479" s="2" t="s">
        <v>64</v>
      </c>
    </row>
    <row r="1480" spans="1:12" x14ac:dyDescent="0.3">
      <c r="A1480" s="2">
        <v>1469</v>
      </c>
      <c r="B1480" s="2" t="s">
        <v>4536</v>
      </c>
      <c r="C1480" s="2" t="s">
        <v>4537</v>
      </c>
      <c r="D1480" s="2" t="s">
        <v>28</v>
      </c>
      <c r="E1480" s="2" t="s">
        <v>29</v>
      </c>
      <c r="F1480" s="2">
        <v>90</v>
      </c>
      <c r="G1480" s="2" t="s">
        <v>4538</v>
      </c>
      <c r="H1480" s="2" t="s">
        <v>3670</v>
      </c>
      <c r="I1480" s="2" t="s">
        <v>3671</v>
      </c>
      <c r="J1480" s="3">
        <v>44576</v>
      </c>
      <c r="K1480" s="2">
        <v>101</v>
      </c>
      <c r="L1480" s="2" t="s">
        <v>70</v>
      </c>
    </row>
    <row r="1481" spans="1:12" x14ac:dyDescent="0.3">
      <c r="A1481" s="2">
        <v>1470</v>
      </c>
      <c r="B1481" s="2" t="s">
        <v>1801</v>
      </c>
      <c r="C1481" s="2" t="s">
        <v>4539</v>
      </c>
      <c r="D1481" s="2" t="s">
        <v>51</v>
      </c>
      <c r="E1481" s="2" t="s">
        <v>16</v>
      </c>
      <c r="F1481" s="2">
        <v>90</v>
      </c>
      <c r="G1481" s="2" t="s">
        <v>4540</v>
      </c>
      <c r="H1481" s="2" t="s">
        <v>4541</v>
      </c>
      <c r="I1481" s="2" t="s">
        <v>89</v>
      </c>
      <c r="J1481" s="3">
        <v>44070</v>
      </c>
      <c r="K1481" s="2">
        <v>36</v>
      </c>
      <c r="L1481" s="2" t="s">
        <v>64</v>
      </c>
    </row>
    <row r="1482" spans="1:12" x14ac:dyDescent="0.3">
      <c r="A1482" s="2">
        <v>1471</v>
      </c>
      <c r="B1482" s="2" t="s">
        <v>380</v>
      </c>
      <c r="C1482" s="2" t="s">
        <v>2448</v>
      </c>
      <c r="D1482" s="2" t="s">
        <v>28</v>
      </c>
      <c r="E1482" s="2" t="s">
        <v>29</v>
      </c>
      <c r="F1482" s="2">
        <v>90</v>
      </c>
      <c r="G1482" s="2" t="s">
        <v>4542</v>
      </c>
      <c r="H1482" s="2" t="s">
        <v>4543</v>
      </c>
      <c r="I1482" s="2" t="s">
        <v>173</v>
      </c>
      <c r="J1482" s="3">
        <v>43936</v>
      </c>
      <c r="K1482" s="2">
        <v>62</v>
      </c>
      <c r="L1482" s="2" t="s">
        <v>80</v>
      </c>
    </row>
    <row r="1483" spans="1:12" x14ac:dyDescent="0.3">
      <c r="A1483" s="2">
        <v>1472</v>
      </c>
      <c r="B1483" s="2" t="s">
        <v>3268</v>
      </c>
      <c r="C1483" s="2" t="s">
        <v>2692</v>
      </c>
      <c r="D1483" s="2" t="s">
        <v>51</v>
      </c>
      <c r="E1483" s="2" t="s">
        <v>16</v>
      </c>
      <c r="F1483" s="2">
        <v>30</v>
      </c>
      <c r="G1483" s="2" t="s">
        <v>4544</v>
      </c>
      <c r="H1483" s="2" t="s">
        <v>1940</v>
      </c>
      <c r="I1483" s="2" t="s">
        <v>294</v>
      </c>
      <c r="J1483" s="3">
        <v>43904</v>
      </c>
      <c r="K1483" s="2">
        <v>25</v>
      </c>
      <c r="L1483" s="2" t="s">
        <v>80</v>
      </c>
    </row>
    <row r="1484" spans="1:12" x14ac:dyDescent="0.3">
      <c r="A1484" s="2">
        <v>1473</v>
      </c>
      <c r="B1484" s="2" t="s">
        <v>4545</v>
      </c>
      <c r="C1484" s="2" t="s">
        <v>3173</v>
      </c>
      <c r="D1484" s="2" t="s">
        <v>15</v>
      </c>
      <c r="E1484" s="2" t="s">
        <v>16</v>
      </c>
      <c r="F1484" s="2">
        <v>60</v>
      </c>
      <c r="G1484" s="2" t="s">
        <v>4546</v>
      </c>
      <c r="H1484" s="2" t="s">
        <v>4520</v>
      </c>
      <c r="I1484" s="2" t="s">
        <v>32</v>
      </c>
      <c r="J1484" s="3">
        <v>44360</v>
      </c>
      <c r="K1484" s="2">
        <v>17</v>
      </c>
      <c r="L1484" s="2" t="s">
        <v>101</v>
      </c>
    </row>
    <row r="1485" spans="1:12" x14ac:dyDescent="0.3">
      <c r="A1485" s="2">
        <v>1474</v>
      </c>
      <c r="B1485" s="2" t="s">
        <v>4547</v>
      </c>
      <c r="C1485" s="2" t="s">
        <v>4548</v>
      </c>
      <c r="D1485" s="2" t="s">
        <v>15</v>
      </c>
      <c r="E1485" s="2" t="s">
        <v>16</v>
      </c>
      <c r="F1485" s="2">
        <v>30</v>
      </c>
      <c r="G1485" s="2" t="s">
        <v>4549</v>
      </c>
      <c r="H1485" s="2" t="s">
        <v>1284</v>
      </c>
      <c r="I1485" s="2" t="s">
        <v>32</v>
      </c>
      <c r="J1485" s="3">
        <v>44834</v>
      </c>
      <c r="K1485" s="2">
        <v>45</v>
      </c>
      <c r="L1485" s="2" t="s">
        <v>33</v>
      </c>
    </row>
    <row r="1486" spans="1:12" x14ac:dyDescent="0.3">
      <c r="A1486" s="2">
        <v>1475</v>
      </c>
      <c r="B1486" s="2" t="s">
        <v>4550</v>
      </c>
      <c r="C1486" s="2" t="s">
        <v>372</v>
      </c>
      <c r="D1486" s="2" t="s">
        <v>28</v>
      </c>
      <c r="E1486" s="2" t="s">
        <v>29</v>
      </c>
      <c r="F1486" s="2">
        <v>30</v>
      </c>
      <c r="G1486" s="2" t="s">
        <v>4551</v>
      </c>
      <c r="H1486" s="2" t="s">
        <v>4552</v>
      </c>
      <c r="I1486" s="2" t="s">
        <v>38</v>
      </c>
      <c r="J1486" s="3">
        <v>44162</v>
      </c>
      <c r="K1486" s="2">
        <v>58</v>
      </c>
      <c r="L1486" s="2" t="s">
        <v>70</v>
      </c>
    </row>
    <row r="1487" spans="1:12" x14ac:dyDescent="0.3">
      <c r="A1487" s="2">
        <v>1476</v>
      </c>
      <c r="B1487" s="2" t="s">
        <v>263</v>
      </c>
      <c r="C1487" s="2" t="s">
        <v>4512</v>
      </c>
      <c r="D1487" s="2" t="s">
        <v>51</v>
      </c>
      <c r="E1487" s="2" t="s">
        <v>16</v>
      </c>
      <c r="F1487" s="2">
        <v>60</v>
      </c>
      <c r="G1487" s="2" t="s">
        <v>4553</v>
      </c>
      <c r="H1487" s="2" t="s">
        <v>2069</v>
      </c>
      <c r="I1487" s="2" t="s">
        <v>1035</v>
      </c>
      <c r="J1487" s="3">
        <v>44114</v>
      </c>
      <c r="K1487" s="2">
        <v>33</v>
      </c>
      <c r="L1487" s="2" t="s">
        <v>20</v>
      </c>
    </row>
    <row r="1488" spans="1:12" x14ac:dyDescent="0.3">
      <c r="A1488" s="2">
        <v>1477</v>
      </c>
      <c r="B1488" s="2" t="s">
        <v>4554</v>
      </c>
      <c r="C1488" s="2" t="s">
        <v>1891</v>
      </c>
      <c r="D1488" s="2" t="s">
        <v>51</v>
      </c>
      <c r="E1488" s="2" t="s">
        <v>16</v>
      </c>
      <c r="F1488" s="2">
        <v>60</v>
      </c>
      <c r="G1488" s="2" t="s">
        <v>4555</v>
      </c>
      <c r="H1488" s="2" t="s">
        <v>1160</v>
      </c>
      <c r="I1488" s="2" t="s">
        <v>25</v>
      </c>
      <c r="J1488" s="3">
        <v>44385</v>
      </c>
      <c r="K1488" s="2">
        <v>62</v>
      </c>
      <c r="L1488" s="2" t="s">
        <v>64</v>
      </c>
    </row>
    <row r="1489" spans="1:12" x14ac:dyDescent="0.3">
      <c r="A1489" s="2">
        <v>1478</v>
      </c>
      <c r="B1489" s="2" t="s">
        <v>4556</v>
      </c>
      <c r="C1489" s="2" t="s">
        <v>3366</v>
      </c>
      <c r="D1489" s="2" t="s">
        <v>15</v>
      </c>
      <c r="E1489" s="2" t="s">
        <v>16</v>
      </c>
      <c r="F1489" s="2">
        <v>60</v>
      </c>
      <c r="G1489" s="2" t="s">
        <v>4557</v>
      </c>
      <c r="H1489" s="2" t="s">
        <v>1781</v>
      </c>
      <c r="I1489" s="2" t="s">
        <v>32</v>
      </c>
      <c r="J1489" s="3">
        <v>44362</v>
      </c>
      <c r="K1489" s="2">
        <v>48</v>
      </c>
      <c r="L1489" s="2" t="s">
        <v>20</v>
      </c>
    </row>
    <row r="1490" spans="1:12" x14ac:dyDescent="0.3">
      <c r="A1490" s="2">
        <v>1479</v>
      </c>
      <c r="B1490" s="2" t="s">
        <v>1313</v>
      </c>
      <c r="C1490" s="2" t="s">
        <v>4558</v>
      </c>
      <c r="D1490" s="2" t="s">
        <v>28</v>
      </c>
      <c r="E1490" s="2" t="s">
        <v>29</v>
      </c>
      <c r="F1490" s="2">
        <v>30</v>
      </c>
      <c r="G1490" s="2" t="s">
        <v>4559</v>
      </c>
      <c r="H1490" s="2" t="s">
        <v>3730</v>
      </c>
      <c r="I1490" s="2" t="s">
        <v>32</v>
      </c>
      <c r="J1490" s="3">
        <v>44184</v>
      </c>
      <c r="K1490" s="2">
        <v>36</v>
      </c>
      <c r="L1490" s="2" t="s">
        <v>101</v>
      </c>
    </row>
    <row r="1491" spans="1:12" x14ac:dyDescent="0.3">
      <c r="A1491" s="2">
        <v>1480</v>
      </c>
      <c r="B1491" s="2" t="s">
        <v>4560</v>
      </c>
      <c r="C1491" s="2" t="s">
        <v>4561</v>
      </c>
      <c r="D1491" s="2" t="s">
        <v>51</v>
      </c>
      <c r="E1491" s="2" t="s">
        <v>16</v>
      </c>
      <c r="F1491" s="2">
        <v>60</v>
      </c>
      <c r="G1491" s="2" t="s">
        <v>4562</v>
      </c>
      <c r="H1491" s="2" t="s">
        <v>4563</v>
      </c>
      <c r="I1491" s="2" t="s">
        <v>1824</v>
      </c>
      <c r="J1491" s="3">
        <v>43989</v>
      </c>
      <c r="K1491" s="2">
        <v>68</v>
      </c>
      <c r="L1491" s="2" t="s">
        <v>70</v>
      </c>
    </row>
    <row r="1492" spans="1:12" x14ac:dyDescent="0.3">
      <c r="A1492" s="2">
        <v>1481</v>
      </c>
      <c r="B1492" s="2" t="s">
        <v>4564</v>
      </c>
      <c r="C1492" s="2" t="s">
        <v>1211</v>
      </c>
      <c r="D1492" s="2" t="s">
        <v>51</v>
      </c>
      <c r="E1492" s="2" t="s">
        <v>16</v>
      </c>
      <c r="F1492" s="2">
        <v>60</v>
      </c>
      <c r="G1492" s="2" t="s">
        <v>4565</v>
      </c>
      <c r="H1492" s="2" t="s">
        <v>2008</v>
      </c>
      <c r="I1492" s="2" t="s">
        <v>129</v>
      </c>
      <c r="J1492" s="3">
        <v>44856</v>
      </c>
      <c r="K1492" s="2">
        <v>77</v>
      </c>
      <c r="L1492" s="2" t="s">
        <v>20</v>
      </c>
    </row>
    <row r="1493" spans="1:12" x14ac:dyDescent="0.3">
      <c r="A1493" s="2">
        <v>1482</v>
      </c>
      <c r="B1493" s="2" t="s">
        <v>3616</v>
      </c>
      <c r="C1493" s="2" t="s">
        <v>1967</v>
      </c>
      <c r="D1493" s="2" t="s">
        <v>28</v>
      </c>
      <c r="E1493" s="2" t="s">
        <v>29</v>
      </c>
      <c r="F1493" s="2">
        <v>30</v>
      </c>
      <c r="G1493" s="2" t="s">
        <v>4566</v>
      </c>
      <c r="H1493" s="2" t="s">
        <v>4567</v>
      </c>
      <c r="I1493" s="2" t="s">
        <v>38</v>
      </c>
      <c r="J1493" s="3">
        <v>44471</v>
      </c>
      <c r="K1493" s="2">
        <v>8</v>
      </c>
      <c r="L1493" s="2" t="s">
        <v>54</v>
      </c>
    </row>
    <row r="1494" spans="1:12" x14ac:dyDescent="0.3">
      <c r="A1494" s="2">
        <v>1483</v>
      </c>
      <c r="B1494" s="2" t="s">
        <v>1793</v>
      </c>
      <c r="C1494" s="2" t="s">
        <v>481</v>
      </c>
      <c r="D1494" s="2" t="s">
        <v>28</v>
      </c>
      <c r="E1494" s="2" t="s">
        <v>29</v>
      </c>
      <c r="F1494" s="2">
        <v>90</v>
      </c>
      <c r="G1494" s="2" t="s">
        <v>4568</v>
      </c>
      <c r="H1494" s="2" t="s">
        <v>137</v>
      </c>
      <c r="I1494" s="2" t="s">
        <v>32</v>
      </c>
      <c r="J1494" s="3">
        <v>44322</v>
      </c>
      <c r="K1494" s="2">
        <v>48</v>
      </c>
      <c r="L1494" s="2" t="s">
        <v>54</v>
      </c>
    </row>
    <row r="1495" spans="1:12" x14ac:dyDescent="0.3">
      <c r="A1495" s="2">
        <v>1484</v>
      </c>
      <c r="B1495" s="2" t="s">
        <v>4569</v>
      </c>
      <c r="C1495" s="2" t="s">
        <v>4570</v>
      </c>
      <c r="D1495" s="2" t="s">
        <v>28</v>
      </c>
      <c r="E1495" s="2" t="s">
        <v>29</v>
      </c>
      <c r="F1495" s="2">
        <v>30</v>
      </c>
      <c r="G1495" s="2" t="s">
        <v>4571</v>
      </c>
      <c r="H1495" s="2" t="s">
        <v>1920</v>
      </c>
      <c r="I1495" s="2" t="s">
        <v>1921</v>
      </c>
      <c r="J1495" s="3">
        <v>44486</v>
      </c>
      <c r="K1495" s="2">
        <v>31</v>
      </c>
      <c r="L1495" s="2" t="s">
        <v>64</v>
      </c>
    </row>
    <row r="1496" spans="1:12" x14ac:dyDescent="0.3">
      <c r="A1496" s="2">
        <v>1485</v>
      </c>
      <c r="B1496" s="2" t="s">
        <v>4572</v>
      </c>
      <c r="C1496" s="2" t="s">
        <v>1101</v>
      </c>
      <c r="D1496" s="2" t="s">
        <v>28</v>
      </c>
      <c r="E1496" s="2" t="s">
        <v>29</v>
      </c>
      <c r="F1496" s="2">
        <v>30</v>
      </c>
      <c r="G1496" s="2" t="s">
        <v>4573</v>
      </c>
      <c r="H1496" s="2" t="s">
        <v>1494</v>
      </c>
      <c r="I1496" s="2" t="s">
        <v>32</v>
      </c>
      <c r="J1496" s="3">
        <v>43840</v>
      </c>
      <c r="K1496" s="2">
        <v>32</v>
      </c>
      <c r="L1496" s="2" t="s">
        <v>54</v>
      </c>
    </row>
    <row r="1497" spans="1:12" x14ac:dyDescent="0.3">
      <c r="A1497" s="2">
        <v>1486</v>
      </c>
      <c r="B1497" s="2" t="s">
        <v>3787</v>
      </c>
      <c r="C1497" s="2" t="s">
        <v>4574</v>
      </c>
      <c r="D1497" s="2" t="s">
        <v>28</v>
      </c>
      <c r="E1497" s="2" t="s">
        <v>29</v>
      </c>
      <c r="F1497" s="2">
        <v>30</v>
      </c>
      <c r="G1497" s="2" t="s">
        <v>4575</v>
      </c>
      <c r="H1497" s="2" t="s">
        <v>1206</v>
      </c>
      <c r="I1497" s="2" t="s">
        <v>294</v>
      </c>
      <c r="J1497" s="3">
        <v>43887</v>
      </c>
      <c r="K1497" s="2">
        <v>26</v>
      </c>
      <c r="L1497" s="2" t="s">
        <v>45</v>
      </c>
    </row>
    <row r="1498" spans="1:12" x14ac:dyDescent="0.3">
      <c r="A1498" s="2">
        <v>1487</v>
      </c>
      <c r="B1498" s="2" t="s">
        <v>4576</v>
      </c>
      <c r="C1498" s="2" t="s">
        <v>4577</v>
      </c>
      <c r="D1498" s="2" t="s">
        <v>51</v>
      </c>
      <c r="E1498" s="2" t="s">
        <v>16</v>
      </c>
      <c r="F1498" s="2">
        <v>30</v>
      </c>
      <c r="G1498" s="2" t="s">
        <v>4578</v>
      </c>
      <c r="H1498" s="2" t="s">
        <v>4463</v>
      </c>
      <c r="I1498" s="2" t="s">
        <v>32</v>
      </c>
      <c r="J1498" s="3">
        <v>44432</v>
      </c>
      <c r="K1498" s="2">
        <v>66</v>
      </c>
      <c r="L1498" s="2" t="s">
        <v>64</v>
      </c>
    </row>
    <row r="1499" spans="1:12" x14ac:dyDescent="0.3">
      <c r="A1499" s="2">
        <v>1488</v>
      </c>
      <c r="B1499" s="2" t="s">
        <v>4579</v>
      </c>
      <c r="C1499" s="2" t="s">
        <v>4580</v>
      </c>
      <c r="D1499" s="2" t="s">
        <v>51</v>
      </c>
      <c r="E1499" s="2" t="s">
        <v>16</v>
      </c>
      <c r="F1499" s="2">
        <v>30</v>
      </c>
      <c r="G1499" s="2" t="s">
        <v>4581</v>
      </c>
      <c r="H1499" s="2" t="s">
        <v>1210</v>
      </c>
      <c r="I1499" s="2" t="s">
        <v>294</v>
      </c>
      <c r="J1499" s="3">
        <v>44858</v>
      </c>
      <c r="K1499" s="2">
        <v>99</v>
      </c>
      <c r="L1499" s="2" t="s">
        <v>64</v>
      </c>
    </row>
    <row r="1500" spans="1:12" x14ac:dyDescent="0.3">
      <c r="A1500" s="2">
        <v>1489</v>
      </c>
      <c r="B1500" s="2" t="s">
        <v>1572</v>
      </c>
      <c r="C1500" s="2" t="s">
        <v>2722</v>
      </c>
      <c r="D1500" s="2" t="s">
        <v>28</v>
      </c>
      <c r="E1500" s="2" t="s">
        <v>29</v>
      </c>
      <c r="F1500" s="2">
        <v>30</v>
      </c>
      <c r="G1500" s="2" t="s">
        <v>4582</v>
      </c>
      <c r="H1500" s="2" t="s">
        <v>1952</v>
      </c>
      <c r="I1500" s="2" t="s">
        <v>32</v>
      </c>
      <c r="J1500" s="3">
        <v>44092</v>
      </c>
      <c r="K1500" s="2">
        <v>46</v>
      </c>
      <c r="L1500" s="2" t="s">
        <v>159</v>
      </c>
    </row>
    <row r="1501" spans="1:12" x14ac:dyDescent="0.3">
      <c r="A1501" s="2">
        <v>1490</v>
      </c>
      <c r="B1501" s="2" t="s">
        <v>3170</v>
      </c>
      <c r="C1501" s="2" t="s">
        <v>4583</v>
      </c>
      <c r="D1501" s="2" t="s">
        <v>51</v>
      </c>
      <c r="E1501" s="2" t="s">
        <v>16</v>
      </c>
      <c r="F1501" s="2">
        <v>90</v>
      </c>
      <c r="G1501" s="2" t="s">
        <v>4584</v>
      </c>
      <c r="H1501" s="2" t="s">
        <v>4585</v>
      </c>
      <c r="I1501" s="2" t="s">
        <v>25</v>
      </c>
      <c r="J1501" s="3">
        <v>44136</v>
      </c>
      <c r="K1501" s="2">
        <v>83</v>
      </c>
      <c r="L1501" s="2" t="s">
        <v>20</v>
      </c>
    </row>
    <row r="1502" spans="1:12" x14ac:dyDescent="0.3">
      <c r="A1502" s="2">
        <v>1491</v>
      </c>
      <c r="B1502" s="2" t="s">
        <v>1379</v>
      </c>
      <c r="C1502" s="2" t="s">
        <v>873</v>
      </c>
      <c r="D1502" s="2" t="s">
        <v>28</v>
      </c>
      <c r="E1502" s="2" t="s">
        <v>29</v>
      </c>
      <c r="F1502" s="2">
        <v>90</v>
      </c>
      <c r="G1502" s="2" t="s">
        <v>4586</v>
      </c>
      <c r="H1502" s="2" t="s">
        <v>4587</v>
      </c>
      <c r="I1502" s="2" t="s">
        <v>32</v>
      </c>
      <c r="J1502" s="3">
        <v>44180</v>
      </c>
      <c r="K1502" s="2">
        <v>21</v>
      </c>
      <c r="L1502" s="2" t="s">
        <v>80</v>
      </c>
    </row>
    <row r="1503" spans="1:12" x14ac:dyDescent="0.3">
      <c r="A1503" s="2">
        <v>1492</v>
      </c>
      <c r="B1503" s="2" t="s">
        <v>4588</v>
      </c>
      <c r="C1503" s="2" t="s">
        <v>2349</v>
      </c>
      <c r="D1503" s="2" t="s">
        <v>15</v>
      </c>
      <c r="E1503" s="2" t="s">
        <v>16</v>
      </c>
      <c r="F1503" s="2">
        <v>60</v>
      </c>
      <c r="G1503" s="2" t="s">
        <v>4589</v>
      </c>
      <c r="H1503" s="2" t="s">
        <v>818</v>
      </c>
      <c r="I1503" s="2" t="s">
        <v>819</v>
      </c>
      <c r="J1503" s="3">
        <v>44876</v>
      </c>
      <c r="K1503" s="2">
        <v>62</v>
      </c>
      <c r="L1503" s="2" t="s">
        <v>20</v>
      </c>
    </row>
    <row r="1504" spans="1:12" x14ac:dyDescent="0.3">
      <c r="A1504" s="2">
        <v>1493</v>
      </c>
      <c r="B1504" s="2" t="s">
        <v>4590</v>
      </c>
      <c r="C1504" s="2" t="s">
        <v>4591</v>
      </c>
      <c r="D1504" s="2" t="s">
        <v>15</v>
      </c>
      <c r="E1504" s="2" t="s">
        <v>16</v>
      </c>
      <c r="F1504" s="2">
        <v>90</v>
      </c>
      <c r="G1504" s="2" t="s">
        <v>4592</v>
      </c>
      <c r="H1504" s="2" t="s">
        <v>3242</v>
      </c>
      <c r="I1504" s="2" t="s">
        <v>32</v>
      </c>
      <c r="J1504" s="3">
        <v>44132</v>
      </c>
      <c r="K1504" s="2">
        <v>34</v>
      </c>
      <c r="L1504" s="2" t="s">
        <v>70</v>
      </c>
    </row>
    <row r="1505" spans="1:12" x14ac:dyDescent="0.3">
      <c r="A1505" s="2">
        <v>1494</v>
      </c>
      <c r="B1505" s="2" t="s">
        <v>1909</v>
      </c>
      <c r="C1505" s="2" t="s">
        <v>2127</v>
      </c>
      <c r="D1505" s="2" t="s">
        <v>28</v>
      </c>
      <c r="E1505" s="2" t="s">
        <v>29</v>
      </c>
      <c r="F1505" s="2">
        <v>90</v>
      </c>
      <c r="G1505" s="2" t="s">
        <v>4593</v>
      </c>
      <c r="H1505" s="2" t="s">
        <v>4594</v>
      </c>
      <c r="I1505" s="2" t="s">
        <v>38</v>
      </c>
      <c r="J1505" s="3">
        <v>44873</v>
      </c>
      <c r="K1505" s="2">
        <v>89</v>
      </c>
      <c r="L1505" s="2" t="s">
        <v>20</v>
      </c>
    </row>
    <row r="1506" spans="1:12" x14ac:dyDescent="0.3">
      <c r="A1506" s="2">
        <v>1495</v>
      </c>
      <c r="B1506" s="2" t="s">
        <v>1234</v>
      </c>
      <c r="C1506" s="2" t="s">
        <v>1874</v>
      </c>
      <c r="D1506" s="2" t="s">
        <v>28</v>
      </c>
      <c r="E1506" s="2" t="s">
        <v>29</v>
      </c>
      <c r="F1506" s="2">
        <v>60</v>
      </c>
      <c r="G1506" s="2" t="s">
        <v>4595</v>
      </c>
      <c r="H1506" s="2" t="s">
        <v>2742</v>
      </c>
      <c r="I1506" s="2" t="s">
        <v>124</v>
      </c>
      <c r="J1506" s="3">
        <v>44837</v>
      </c>
      <c r="K1506" s="2">
        <v>60</v>
      </c>
      <c r="L1506" s="2" t="s">
        <v>70</v>
      </c>
    </row>
    <row r="1507" spans="1:12" x14ac:dyDescent="0.3">
      <c r="A1507" s="2">
        <v>1496</v>
      </c>
      <c r="B1507" s="2" t="s">
        <v>4596</v>
      </c>
      <c r="C1507" s="2" t="s">
        <v>4079</v>
      </c>
      <c r="D1507" s="2" t="s">
        <v>28</v>
      </c>
      <c r="E1507" s="2" t="s">
        <v>29</v>
      </c>
      <c r="F1507" s="2">
        <v>90</v>
      </c>
      <c r="G1507" s="2" t="s">
        <v>4597</v>
      </c>
      <c r="H1507" s="2" t="s">
        <v>4598</v>
      </c>
      <c r="I1507" s="2" t="s">
        <v>187</v>
      </c>
      <c r="J1507" s="3">
        <v>43963</v>
      </c>
      <c r="K1507" s="2">
        <v>72</v>
      </c>
      <c r="L1507" s="2" t="s">
        <v>20</v>
      </c>
    </row>
    <row r="1508" spans="1:12" x14ac:dyDescent="0.3">
      <c r="A1508" s="2">
        <v>1497</v>
      </c>
      <c r="B1508" s="2" t="s">
        <v>4599</v>
      </c>
      <c r="C1508" s="2" t="s">
        <v>4600</v>
      </c>
      <c r="D1508" s="2" t="s">
        <v>28</v>
      </c>
      <c r="E1508" s="2" t="s">
        <v>29</v>
      </c>
      <c r="F1508" s="2">
        <v>30</v>
      </c>
      <c r="G1508" s="2" t="s">
        <v>4601</v>
      </c>
      <c r="H1508" s="2" t="s">
        <v>4090</v>
      </c>
      <c r="I1508" s="2" t="s">
        <v>32</v>
      </c>
      <c r="J1508" s="3">
        <v>44687</v>
      </c>
      <c r="K1508" s="2">
        <v>66</v>
      </c>
      <c r="L1508" s="2" t="s">
        <v>33</v>
      </c>
    </row>
    <row r="1509" spans="1:12" x14ac:dyDescent="0.3">
      <c r="A1509" s="2">
        <v>1498</v>
      </c>
      <c r="B1509" s="2" t="s">
        <v>4602</v>
      </c>
      <c r="C1509" s="2" t="s">
        <v>4603</v>
      </c>
      <c r="D1509" s="2" t="s">
        <v>15</v>
      </c>
      <c r="E1509" s="2" t="s">
        <v>16</v>
      </c>
      <c r="F1509" s="2">
        <v>30</v>
      </c>
      <c r="G1509" s="2" t="s">
        <v>4604</v>
      </c>
      <c r="H1509" s="2" t="s">
        <v>849</v>
      </c>
      <c r="I1509" s="2" t="s">
        <v>124</v>
      </c>
      <c r="J1509" s="3">
        <v>44331</v>
      </c>
      <c r="K1509" s="2">
        <v>86</v>
      </c>
      <c r="L1509" s="2" t="s">
        <v>45</v>
      </c>
    </row>
    <row r="1510" spans="1:12" x14ac:dyDescent="0.3">
      <c r="A1510" s="2">
        <v>1499</v>
      </c>
      <c r="B1510" s="2" t="s">
        <v>4605</v>
      </c>
      <c r="C1510" s="2" t="s">
        <v>1829</v>
      </c>
      <c r="D1510" s="2" t="s">
        <v>621</v>
      </c>
      <c r="E1510" s="2" t="s">
        <v>29</v>
      </c>
      <c r="F1510" s="2">
        <v>30</v>
      </c>
      <c r="G1510" s="2" t="s">
        <v>4606</v>
      </c>
      <c r="H1510" s="2" t="s">
        <v>4607</v>
      </c>
      <c r="I1510" s="2" t="s">
        <v>25</v>
      </c>
      <c r="J1510" s="3">
        <v>44555</v>
      </c>
      <c r="K1510" s="2">
        <v>11</v>
      </c>
      <c r="L1510" s="2" t="s">
        <v>80</v>
      </c>
    </row>
    <row r="1511" spans="1:12" x14ac:dyDescent="0.3">
      <c r="A1511" s="2">
        <v>1500</v>
      </c>
      <c r="B1511" s="2" t="s">
        <v>4608</v>
      </c>
      <c r="C1511" s="2" t="s">
        <v>4609</v>
      </c>
      <c r="D1511" s="2" t="s">
        <v>15</v>
      </c>
      <c r="E1511" s="2" t="s">
        <v>16</v>
      </c>
      <c r="F1511" s="2">
        <v>60</v>
      </c>
      <c r="G1511" s="2" t="s">
        <v>4610</v>
      </c>
      <c r="H1511" s="2" t="s">
        <v>4611</v>
      </c>
      <c r="I1511" s="2" t="s">
        <v>38</v>
      </c>
      <c r="J1511" s="3">
        <v>44807</v>
      </c>
      <c r="K1511" s="2">
        <v>73</v>
      </c>
      <c r="L1511" s="2" t="s">
        <v>159</v>
      </c>
    </row>
    <row r="1512" spans="1:12" x14ac:dyDescent="0.3">
      <c r="A1512" s="2">
        <v>1501</v>
      </c>
      <c r="B1512" s="2" t="s">
        <v>4612</v>
      </c>
      <c r="C1512" s="2" t="s">
        <v>516</v>
      </c>
      <c r="D1512" s="2" t="s">
        <v>51</v>
      </c>
      <c r="E1512" s="2" t="s">
        <v>16</v>
      </c>
      <c r="F1512" s="2">
        <v>90</v>
      </c>
      <c r="G1512" s="2" t="s">
        <v>4613</v>
      </c>
      <c r="H1512" s="2" t="s">
        <v>378</v>
      </c>
      <c r="I1512" s="2" t="s">
        <v>146</v>
      </c>
      <c r="J1512" s="3">
        <v>44463</v>
      </c>
      <c r="K1512" s="2">
        <v>29</v>
      </c>
      <c r="L1512" s="2" t="s">
        <v>39</v>
      </c>
    </row>
    <row r="1513" spans="1:12" x14ac:dyDescent="0.3">
      <c r="A1513" s="2">
        <v>1502</v>
      </c>
      <c r="B1513" s="2" t="s">
        <v>4614</v>
      </c>
      <c r="C1513" s="2" t="s">
        <v>4615</v>
      </c>
      <c r="D1513" s="2" t="s">
        <v>51</v>
      </c>
      <c r="E1513" s="2" t="s">
        <v>16</v>
      </c>
      <c r="F1513" s="2">
        <v>90</v>
      </c>
      <c r="G1513" s="2" t="s">
        <v>4616</v>
      </c>
      <c r="H1513" s="2" t="s">
        <v>2890</v>
      </c>
      <c r="I1513" s="2" t="s">
        <v>32</v>
      </c>
      <c r="J1513" s="3">
        <v>44531</v>
      </c>
      <c r="K1513" s="2">
        <v>62</v>
      </c>
      <c r="L1513" s="2" t="s">
        <v>80</v>
      </c>
    </row>
    <row r="1514" spans="1:12" x14ac:dyDescent="0.3">
      <c r="A1514" s="2">
        <v>1503</v>
      </c>
      <c r="B1514" s="2" t="s">
        <v>51</v>
      </c>
      <c r="C1514" s="2" t="s">
        <v>66</v>
      </c>
      <c r="D1514" s="2" t="s">
        <v>15</v>
      </c>
      <c r="E1514" s="2" t="s">
        <v>16</v>
      </c>
      <c r="F1514" s="2">
        <v>30</v>
      </c>
      <c r="G1514" s="2" t="s">
        <v>4617</v>
      </c>
      <c r="H1514" s="2" t="s">
        <v>2341</v>
      </c>
      <c r="I1514" s="2" t="s">
        <v>2342</v>
      </c>
      <c r="J1514" s="3">
        <v>44164</v>
      </c>
      <c r="K1514" s="2">
        <v>83</v>
      </c>
      <c r="L1514" s="2" t="s">
        <v>54</v>
      </c>
    </row>
    <row r="1515" spans="1:12" x14ac:dyDescent="0.3">
      <c r="A1515" s="2">
        <v>1504</v>
      </c>
      <c r="B1515" s="2" t="s">
        <v>4618</v>
      </c>
      <c r="C1515" s="2" t="s">
        <v>4619</v>
      </c>
      <c r="D1515" s="2" t="s">
        <v>28</v>
      </c>
      <c r="E1515" s="2" t="s">
        <v>29</v>
      </c>
      <c r="F1515" s="2">
        <v>90</v>
      </c>
      <c r="G1515" s="2" t="s">
        <v>4620</v>
      </c>
      <c r="H1515" s="2" t="s">
        <v>4621</v>
      </c>
      <c r="I1515" s="2" t="s">
        <v>178</v>
      </c>
      <c r="J1515" s="3">
        <v>44143</v>
      </c>
      <c r="K1515" s="2">
        <v>80</v>
      </c>
      <c r="L1515" s="2" t="s">
        <v>159</v>
      </c>
    </row>
    <row r="1516" spans="1:12" x14ac:dyDescent="0.3">
      <c r="A1516" s="2">
        <v>1505</v>
      </c>
      <c r="B1516" s="2" t="s">
        <v>4622</v>
      </c>
      <c r="C1516" s="2" t="s">
        <v>4623</v>
      </c>
      <c r="D1516" s="2" t="s">
        <v>15</v>
      </c>
      <c r="E1516" s="2" t="s">
        <v>16</v>
      </c>
      <c r="F1516" s="2">
        <v>30</v>
      </c>
      <c r="G1516" s="2" t="s">
        <v>4624</v>
      </c>
      <c r="H1516" s="2" t="s">
        <v>4214</v>
      </c>
      <c r="I1516" s="2" t="s">
        <v>187</v>
      </c>
      <c r="J1516" s="3">
        <v>44734</v>
      </c>
      <c r="K1516" s="2">
        <v>16</v>
      </c>
      <c r="L1516" s="2" t="s">
        <v>20</v>
      </c>
    </row>
    <row r="1517" spans="1:12" x14ac:dyDescent="0.3">
      <c r="A1517" s="2">
        <v>1506</v>
      </c>
      <c r="B1517" s="2" t="s">
        <v>4625</v>
      </c>
      <c r="C1517" s="2" t="s">
        <v>4626</v>
      </c>
      <c r="D1517" s="2" t="s">
        <v>41</v>
      </c>
      <c r="E1517" s="2" t="s">
        <v>16</v>
      </c>
      <c r="F1517" s="2">
        <v>30</v>
      </c>
      <c r="G1517" s="2" t="s">
        <v>4627</v>
      </c>
      <c r="H1517" s="2" t="s">
        <v>2325</v>
      </c>
      <c r="I1517" s="2" t="s">
        <v>173</v>
      </c>
      <c r="J1517" s="3">
        <v>43983</v>
      </c>
      <c r="K1517" s="2">
        <v>42</v>
      </c>
      <c r="L1517" s="2" t="s">
        <v>101</v>
      </c>
    </row>
    <row r="1518" spans="1:12" x14ac:dyDescent="0.3">
      <c r="A1518" s="2">
        <v>1507</v>
      </c>
      <c r="B1518" s="2" t="s">
        <v>4628</v>
      </c>
      <c r="C1518" s="2" t="s">
        <v>4629</v>
      </c>
      <c r="D1518" s="2" t="s">
        <v>28</v>
      </c>
      <c r="E1518" s="2" t="s">
        <v>29</v>
      </c>
      <c r="F1518" s="2">
        <v>90</v>
      </c>
      <c r="G1518" s="2" t="s">
        <v>4630</v>
      </c>
      <c r="H1518" s="2" t="s">
        <v>4631</v>
      </c>
      <c r="I1518" s="2" t="s">
        <v>187</v>
      </c>
      <c r="J1518" s="3">
        <v>43989</v>
      </c>
      <c r="K1518" s="2">
        <v>34</v>
      </c>
      <c r="L1518" s="2" t="s">
        <v>80</v>
      </c>
    </row>
    <row r="1519" spans="1:12" x14ac:dyDescent="0.3">
      <c r="A1519" s="2">
        <v>1508</v>
      </c>
      <c r="B1519" s="2" t="s">
        <v>3221</v>
      </c>
      <c r="C1519" s="2" t="s">
        <v>4632</v>
      </c>
      <c r="D1519" s="2" t="s">
        <v>51</v>
      </c>
      <c r="E1519" s="2" t="s">
        <v>16</v>
      </c>
      <c r="F1519" s="2">
        <v>60</v>
      </c>
      <c r="G1519" s="2" t="s">
        <v>4633</v>
      </c>
      <c r="H1519" s="2" t="s">
        <v>3024</v>
      </c>
      <c r="I1519" s="2" t="s">
        <v>32</v>
      </c>
      <c r="J1519" s="3">
        <v>44796</v>
      </c>
      <c r="K1519" s="2">
        <v>81</v>
      </c>
      <c r="L1519" s="2" t="s">
        <v>33</v>
      </c>
    </row>
    <row r="1520" spans="1:12" x14ac:dyDescent="0.3">
      <c r="A1520" s="2">
        <v>1509</v>
      </c>
      <c r="B1520" s="2" t="s">
        <v>4634</v>
      </c>
      <c r="C1520" s="2" t="s">
        <v>4635</v>
      </c>
      <c r="D1520" s="2" t="s">
        <v>51</v>
      </c>
      <c r="E1520" s="2" t="s">
        <v>16</v>
      </c>
      <c r="F1520" s="2">
        <v>90</v>
      </c>
      <c r="G1520" s="2" t="s">
        <v>4636</v>
      </c>
      <c r="H1520" s="2" t="s">
        <v>3932</v>
      </c>
      <c r="I1520" s="2" t="s">
        <v>32</v>
      </c>
      <c r="J1520" s="3">
        <v>44394</v>
      </c>
      <c r="K1520" s="2">
        <v>23</v>
      </c>
      <c r="L1520" s="2" t="s">
        <v>70</v>
      </c>
    </row>
    <row r="1521" spans="1:12" x14ac:dyDescent="0.3">
      <c r="A1521" s="2">
        <v>1510</v>
      </c>
      <c r="B1521" s="2" t="s">
        <v>3597</v>
      </c>
      <c r="C1521" s="2" t="s">
        <v>4637</v>
      </c>
      <c r="D1521" s="2" t="s">
        <v>28</v>
      </c>
      <c r="E1521" s="2" t="s">
        <v>29</v>
      </c>
      <c r="F1521" s="2">
        <v>90</v>
      </c>
      <c r="G1521" s="2" t="s">
        <v>4638</v>
      </c>
      <c r="H1521" s="2" t="s">
        <v>172</v>
      </c>
      <c r="I1521" s="2" t="s">
        <v>173</v>
      </c>
      <c r="J1521" s="3">
        <v>44266</v>
      </c>
      <c r="K1521" s="2">
        <v>55</v>
      </c>
      <c r="L1521" s="2" t="s">
        <v>80</v>
      </c>
    </row>
    <row r="1522" spans="1:12" x14ac:dyDescent="0.3">
      <c r="A1522" s="2">
        <v>1511</v>
      </c>
      <c r="B1522" s="2" t="s">
        <v>4639</v>
      </c>
      <c r="C1522" s="2" t="s">
        <v>4640</v>
      </c>
      <c r="D1522" s="2" t="s">
        <v>51</v>
      </c>
      <c r="E1522" s="2" t="s">
        <v>16</v>
      </c>
      <c r="F1522" s="2">
        <v>30</v>
      </c>
      <c r="G1522" s="2" t="s">
        <v>4641</v>
      </c>
      <c r="H1522" s="2" t="s">
        <v>3437</v>
      </c>
      <c r="I1522" s="2" t="s">
        <v>100</v>
      </c>
      <c r="J1522" s="3">
        <v>44669</v>
      </c>
      <c r="K1522" s="2">
        <v>32</v>
      </c>
      <c r="L1522" s="2" t="s">
        <v>70</v>
      </c>
    </row>
    <row r="1523" spans="1:12" x14ac:dyDescent="0.3">
      <c r="A1523" s="2">
        <v>1512</v>
      </c>
      <c r="B1523" s="2" t="s">
        <v>4642</v>
      </c>
      <c r="C1523" s="2" t="s">
        <v>3900</v>
      </c>
      <c r="D1523" s="2" t="s">
        <v>51</v>
      </c>
      <c r="E1523" s="2" t="s">
        <v>16</v>
      </c>
      <c r="F1523" s="2">
        <v>60</v>
      </c>
      <c r="G1523" s="2" t="s">
        <v>4643</v>
      </c>
      <c r="H1523" s="2" t="s">
        <v>4389</v>
      </c>
      <c r="I1523" s="2" t="s">
        <v>32</v>
      </c>
      <c r="J1523" s="3">
        <v>44910</v>
      </c>
      <c r="K1523" s="2">
        <v>40</v>
      </c>
      <c r="L1523" s="2" t="s">
        <v>159</v>
      </c>
    </row>
    <row r="1524" spans="1:12" x14ac:dyDescent="0.3">
      <c r="A1524" s="2">
        <v>1513</v>
      </c>
      <c r="B1524" s="2" t="s">
        <v>785</v>
      </c>
      <c r="C1524" s="2" t="s">
        <v>4644</v>
      </c>
      <c r="D1524" s="2" t="s">
        <v>28</v>
      </c>
      <c r="E1524" s="2" t="s">
        <v>29</v>
      </c>
      <c r="F1524" s="2">
        <v>90</v>
      </c>
      <c r="G1524" s="2" t="s">
        <v>4645</v>
      </c>
      <c r="H1524" s="2" t="s">
        <v>1647</v>
      </c>
      <c r="I1524" s="2" t="s">
        <v>554</v>
      </c>
      <c r="J1524" s="3">
        <v>44861</v>
      </c>
      <c r="K1524" s="2">
        <v>75</v>
      </c>
      <c r="L1524" s="2" t="s">
        <v>64</v>
      </c>
    </row>
    <row r="1525" spans="1:12" x14ac:dyDescent="0.3">
      <c r="A1525" s="2">
        <v>1514</v>
      </c>
      <c r="B1525" s="2" t="s">
        <v>3050</v>
      </c>
      <c r="C1525" s="2" t="s">
        <v>4422</v>
      </c>
      <c r="D1525" s="2" t="s">
        <v>28</v>
      </c>
      <c r="E1525" s="2" t="s">
        <v>29</v>
      </c>
      <c r="F1525" s="2">
        <v>30</v>
      </c>
      <c r="G1525" s="2" t="s">
        <v>4646</v>
      </c>
      <c r="H1525" s="2" t="s">
        <v>1987</v>
      </c>
      <c r="I1525" s="2" t="s">
        <v>19</v>
      </c>
      <c r="J1525" s="3">
        <v>44147</v>
      </c>
      <c r="K1525" s="2">
        <v>71</v>
      </c>
      <c r="L1525" s="2" t="s">
        <v>80</v>
      </c>
    </row>
    <row r="1526" spans="1:12" x14ac:dyDescent="0.3">
      <c r="A1526" s="2">
        <v>1515</v>
      </c>
      <c r="B1526" s="2" t="s">
        <v>4647</v>
      </c>
      <c r="C1526" s="2" t="s">
        <v>4481</v>
      </c>
      <c r="D1526" s="2" t="s">
        <v>28</v>
      </c>
      <c r="E1526" s="2" t="s">
        <v>29</v>
      </c>
      <c r="F1526" s="2">
        <v>30</v>
      </c>
      <c r="G1526" s="2" t="s">
        <v>4648</v>
      </c>
      <c r="H1526" s="2" t="s">
        <v>3274</v>
      </c>
      <c r="I1526" s="2" t="s">
        <v>32</v>
      </c>
      <c r="J1526" s="3">
        <v>44660</v>
      </c>
      <c r="K1526" s="2">
        <v>57</v>
      </c>
      <c r="L1526" s="2" t="s">
        <v>39</v>
      </c>
    </row>
    <row r="1527" spans="1:12" x14ac:dyDescent="0.3">
      <c r="A1527" s="2">
        <v>1516</v>
      </c>
      <c r="B1527" s="2" t="s">
        <v>4649</v>
      </c>
      <c r="C1527" s="2" t="s">
        <v>2385</v>
      </c>
      <c r="D1527" s="2" t="s">
        <v>28</v>
      </c>
      <c r="E1527" s="2" t="s">
        <v>29</v>
      </c>
      <c r="F1527" s="2">
        <v>60</v>
      </c>
      <c r="G1527" s="2" t="s">
        <v>4650</v>
      </c>
      <c r="H1527" s="2" t="s">
        <v>4651</v>
      </c>
      <c r="I1527" s="2" t="s">
        <v>32</v>
      </c>
      <c r="J1527" s="3">
        <v>44732</v>
      </c>
      <c r="K1527" s="2">
        <v>39</v>
      </c>
      <c r="L1527" s="2" t="s">
        <v>80</v>
      </c>
    </row>
    <row r="1528" spans="1:12" x14ac:dyDescent="0.3">
      <c r="A1528" s="2">
        <v>1517</v>
      </c>
      <c r="B1528" s="2" t="s">
        <v>4652</v>
      </c>
      <c r="C1528" s="2" t="s">
        <v>4653</v>
      </c>
      <c r="D1528" s="2" t="s">
        <v>28</v>
      </c>
      <c r="E1528" s="2" t="s">
        <v>29</v>
      </c>
      <c r="F1528" s="2">
        <v>90</v>
      </c>
      <c r="G1528" s="2" t="s">
        <v>4654</v>
      </c>
      <c r="H1528" s="2" t="s">
        <v>4655</v>
      </c>
      <c r="I1528" s="2" t="s">
        <v>32</v>
      </c>
      <c r="J1528" s="3">
        <v>44175</v>
      </c>
      <c r="K1528" s="2">
        <v>46</v>
      </c>
      <c r="L1528" s="2" t="s">
        <v>39</v>
      </c>
    </row>
    <row r="1529" spans="1:12" x14ac:dyDescent="0.3">
      <c r="A1529" s="2">
        <v>1518</v>
      </c>
      <c r="B1529" s="2" t="s">
        <v>4656</v>
      </c>
      <c r="C1529" s="2" t="s">
        <v>3469</v>
      </c>
      <c r="D1529" s="2" t="s">
        <v>15</v>
      </c>
      <c r="E1529" s="2" t="s">
        <v>16</v>
      </c>
      <c r="F1529" s="2">
        <v>90</v>
      </c>
      <c r="G1529" s="2" t="s">
        <v>4657</v>
      </c>
      <c r="H1529" s="2" t="s">
        <v>1690</v>
      </c>
      <c r="I1529" s="2" t="s">
        <v>208</v>
      </c>
      <c r="J1529" s="3">
        <v>44429</v>
      </c>
      <c r="K1529" s="2">
        <v>19</v>
      </c>
      <c r="L1529" s="2" t="s">
        <v>54</v>
      </c>
    </row>
    <row r="1530" spans="1:12" x14ac:dyDescent="0.3">
      <c r="A1530" s="2">
        <v>1519</v>
      </c>
      <c r="B1530" s="2" t="s">
        <v>4658</v>
      </c>
      <c r="C1530" s="2" t="s">
        <v>788</v>
      </c>
      <c r="D1530" s="2" t="s">
        <v>15</v>
      </c>
      <c r="E1530" s="2" t="s">
        <v>16</v>
      </c>
      <c r="F1530" s="2">
        <v>30</v>
      </c>
      <c r="G1530" s="2" t="s">
        <v>4659</v>
      </c>
      <c r="H1530" s="2" t="s">
        <v>429</v>
      </c>
      <c r="I1530" s="2" t="s">
        <v>32</v>
      </c>
      <c r="J1530" s="3">
        <v>44051</v>
      </c>
      <c r="K1530" s="2">
        <v>69</v>
      </c>
      <c r="L1530" s="2" t="s">
        <v>20</v>
      </c>
    </row>
    <row r="1531" spans="1:12" x14ac:dyDescent="0.3">
      <c r="A1531" s="2">
        <v>1520</v>
      </c>
      <c r="B1531" s="2" t="s">
        <v>4660</v>
      </c>
      <c r="C1531" s="2" t="s">
        <v>4425</v>
      </c>
      <c r="D1531" s="2" t="s">
        <v>51</v>
      </c>
      <c r="E1531" s="2" t="s">
        <v>16</v>
      </c>
      <c r="F1531" s="2">
        <v>30</v>
      </c>
      <c r="G1531" s="2" t="s">
        <v>4661</v>
      </c>
      <c r="H1531" s="2" t="s">
        <v>4662</v>
      </c>
      <c r="I1531" s="2" t="s">
        <v>32</v>
      </c>
      <c r="J1531" s="3">
        <v>44166</v>
      </c>
      <c r="K1531" s="2">
        <v>50</v>
      </c>
      <c r="L1531" s="2" t="s">
        <v>33</v>
      </c>
    </row>
    <row r="1532" spans="1:12" x14ac:dyDescent="0.3">
      <c r="A1532" s="2">
        <v>1521</v>
      </c>
      <c r="B1532" s="2" t="s">
        <v>4663</v>
      </c>
      <c r="C1532" s="2" t="s">
        <v>4664</v>
      </c>
      <c r="D1532" s="2" t="s">
        <v>28</v>
      </c>
      <c r="E1532" s="2" t="s">
        <v>29</v>
      </c>
      <c r="F1532" s="2">
        <v>90</v>
      </c>
      <c r="G1532" s="2" t="s">
        <v>4665</v>
      </c>
      <c r="H1532" s="2" t="s">
        <v>4074</v>
      </c>
      <c r="I1532" s="2" t="s">
        <v>19</v>
      </c>
      <c r="J1532" s="3">
        <v>44116</v>
      </c>
      <c r="K1532" s="2">
        <v>15</v>
      </c>
      <c r="L1532" s="2" t="s">
        <v>20</v>
      </c>
    </row>
    <row r="1533" spans="1:12" x14ac:dyDescent="0.3">
      <c r="A1533" s="2">
        <v>1522</v>
      </c>
      <c r="B1533" s="2" t="s">
        <v>3871</v>
      </c>
      <c r="C1533" s="2" t="s">
        <v>4473</v>
      </c>
      <c r="D1533" s="2" t="s">
        <v>28</v>
      </c>
      <c r="E1533" s="2" t="s">
        <v>29</v>
      </c>
      <c r="F1533" s="2">
        <v>60</v>
      </c>
      <c r="G1533" s="2" t="s">
        <v>4666</v>
      </c>
      <c r="H1533" s="2" t="s">
        <v>4667</v>
      </c>
      <c r="I1533" s="2" t="s">
        <v>4668</v>
      </c>
      <c r="J1533" s="3">
        <v>44565</v>
      </c>
      <c r="K1533" s="2">
        <v>48</v>
      </c>
      <c r="L1533" s="2" t="s">
        <v>64</v>
      </c>
    </row>
    <row r="1534" spans="1:12" x14ac:dyDescent="0.3">
      <c r="A1534" s="2">
        <v>1523</v>
      </c>
      <c r="B1534" s="2" t="s">
        <v>2938</v>
      </c>
      <c r="C1534" s="2" t="s">
        <v>3748</v>
      </c>
      <c r="D1534" s="2" t="s">
        <v>51</v>
      </c>
      <c r="E1534" s="2" t="s">
        <v>16</v>
      </c>
      <c r="F1534" s="2">
        <v>30</v>
      </c>
      <c r="G1534" s="2" t="s">
        <v>4666</v>
      </c>
      <c r="H1534" s="2" t="s">
        <v>4669</v>
      </c>
      <c r="I1534" s="2" t="s">
        <v>187</v>
      </c>
      <c r="J1534" s="3">
        <v>44164</v>
      </c>
      <c r="K1534" s="2">
        <v>47</v>
      </c>
      <c r="L1534" s="2" t="s">
        <v>159</v>
      </c>
    </row>
    <row r="1535" spans="1:12" x14ac:dyDescent="0.3">
      <c r="A1535" s="2">
        <v>1524</v>
      </c>
      <c r="B1535" s="2" t="s">
        <v>4670</v>
      </c>
      <c r="C1535" s="2" t="s">
        <v>4671</v>
      </c>
      <c r="D1535" s="2" t="s">
        <v>28</v>
      </c>
      <c r="E1535" s="2" t="s">
        <v>29</v>
      </c>
      <c r="F1535" s="2">
        <v>90</v>
      </c>
      <c r="G1535" s="2" t="s">
        <v>4672</v>
      </c>
      <c r="H1535" s="2" t="s">
        <v>4673</v>
      </c>
      <c r="I1535" s="2" t="s">
        <v>294</v>
      </c>
      <c r="J1535" s="3">
        <v>44454</v>
      </c>
      <c r="K1535" s="2">
        <v>58</v>
      </c>
      <c r="L1535" s="2" t="s">
        <v>20</v>
      </c>
    </row>
    <row r="1536" spans="1:12" x14ac:dyDescent="0.3">
      <c r="A1536" s="2">
        <v>1525</v>
      </c>
      <c r="B1536" s="2" t="s">
        <v>484</v>
      </c>
      <c r="C1536" s="2" t="s">
        <v>718</v>
      </c>
      <c r="D1536" s="2" t="s">
        <v>15</v>
      </c>
      <c r="E1536" s="2" t="s">
        <v>16</v>
      </c>
      <c r="F1536" s="2">
        <v>60</v>
      </c>
      <c r="G1536" s="2" t="s">
        <v>4674</v>
      </c>
      <c r="H1536" s="2" t="s">
        <v>4675</v>
      </c>
      <c r="I1536" s="2" t="s">
        <v>178</v>
      </c>
      <c r="J1536" s="3">
        <v>43918</v>
      </c>
      <c r="K1536" s="2">
        <v>28</v>
      </c>
      <c r="L1536" s="2" t="s">
        <v>39</v>
      </c>
    </row>
    <row r="1537" spans="1:12" x14ac:dyDescent="0.3">
      <c r="A1537" s="2">
        <v>1526</v>
      </c>
      <c r="B1537" s="2" t="s">
        <v>4676</v>
      </c>
      <c r="C1537" s="2" t="s">
        <v>131</v>
      </c>
      <c r="D1537" s="2" t="s">
        <v>51</v>
      </c>
      <c r="E1537" s="2" t="s">
        <v>16</v>
      </c>
      <c r="F1537" s="2">
        <v>60</v>
      </c>
      <c r="G1537" s="2" t="s">
        <v>4677</v>
      </c>
      <c r="H1537" s="2" t="s">
        <v>4678</v>
      </c>
      <c r="I1537" s="2" t="s">
        <v>886</v>
      </c>
      <c r="J1537" s="3">
        <v>44788</v>
      </c>
      <c r="K1537" s="2">
        <v>79</v>
      </c>
      <c r="L1537" s="2" t="s">
        <v>64</v>
      </c>
    </row>
    <row r="1538" spans="1:12" x14ac:dyDescent="0.3">
      <c r="A1538" s="2">
        <v>1527</v>
      </c>
      <c r="B1538" s="2" t="s">
        <v>2424</v>
      </c>
      <c r="C1538" s="2" t="s">
        <v>4679</v>
      </c>
      <c r="D1538" s="2" t="s">
        <v>28</v>
      </c>
      <c r="E1538" s="2" t="s">
        <v>29</v>
      </c>
      <c r="F1538" s="2">
        <v>90</v>
      </c>
      <c r="G1538" s="2" t="s">
        <v>4677</v>
      </c>
      <c r="H1538" s="2" t="s">
        <v>3678</v>
      </c>
      <c r="I1538" s="2" t="s">
        <v>32</v>
      </c>
      <c r="J1538" s="3">
        <v>44637</v>
      </c>
      <c r="K1538" s="2">
        <v>79</v>
      </c>
      <c r="L1538" s="2" t="s">
        <v>33</v>
      </c>
    </row>
    <row r="1539" spans="1:12" x14ac:dyDescent="0.3">
      <c r="A1539" s="2">
        <v>1528</v>
      </c>
      <c r="B1539" s="2" t="s">
        <v>4680</v>
      </c>
      <c r="C1539" s="2" t="s">
        <v>4681</v>
      </c>
      <c r="D1539" s="2" t="s">
        <v>15</v>
      </c>
      <c r="E1539" s="2" t="s">
        <v>16</v>
      </c>
      <c r="F1539" s="2">
        <v>30</v>
      </c>
      <c r="G1539" s="2" t="s">
        <v>4682</v>
      </c>
      <c r="H1539" s="2" t="s">
        <v>4683</v>
      </c>
      <c r="I1539" s="2" t="s">
        <v>178</v>
      </c>
      <c r="J1539" s="3">
        <v>44130</v>
      </c>
      <c r="K1539" s="2">
        <v>55</v>
      </c>
      <c r="L1539" s="2" t="s">
        <v>39</v>
      </c>
    </row>
    <row r="1540" spans="1:12" x14ac:dyDescent="0.3">
      <c r="A1540" s="2">
        <v>1529</v>
      </c>
      <c r="B1540" s="2" t="s">
        <v>397</v>
      </c>
      <c r="C1540" s="2" t="s">
        <v>4684</v>
      </c>
      <c r="D1540" s="2" t="s">
        <v>41</v>
      </c>
      <c r="E1540" s="2" t="s">
        <v>16</v>
      </c>
      <c r="F1540" s="2">
        <v>90</v>
      </c>
      <c r="G1540" s="2" t="s">
        <v>10429</v>
      </c>
      <c r="H1540" s="2" t="s">
        <v>3666</v>
      </c>
      <c r="I1540" s="2" t="s">
        <v>1483</v>
      </c>
      <c r="J1540" s="3">
        <v>44096</v>
      </c>
      <c r="K1540" s="2">
        <v>4</v>
      </c>
      <c r="L1540" s="2" t="s">
        <v>45</v>
      </c>
    </row>
    <row r="1541" spans="1:12" x14ac:dyDescent="0.3">
      <c r="A1541" s="2">
        <v>1530</v>
      </c>
      <c r="B1541" s="2" t="s">
        <v>4686</v>
      </c>
      <c r="C1541" s="2" t="s">
        <v>1857</v>
      </c>
      <c r="D1541" s="2" t="s">
        <v>51</v>
      </c>
      <c r="E1541" s="2" t="s">
        <v>16</v>
      </c>
      <c r="F1541" s="2">
        <v>90</v>
      </c>
      <c r="G1541" s="2" t="s">
        <v>4687</v>
      </c>
      <c r="H1541" s="2" t="s">
        <v>2008</v>
      </c>
      <c r="I1541" s="2" t="s">
        <v>129</v>
      </c>
      <c r="J1541" s="3">
        <v>44311</v>
      </c>
      <c r="K1541" s="2">
        <v>80</v>
      </c>
      <c r="L1541" s="2" t="s">
        <v>45</v>
      </c>
    </row>
    <row r="1542" spans="1:12" x14ac:dyDescent="0.3">
      <c r="A1542" s="2">
        <v>1531</v>
      </c>
      <c r="B1542" s="2" t="s">
        <v>4688</v>
      </c>
      <c r="C1542" s="2" t="s">
        <v>368</v>
      </c>
      <c r="D1542" s="2" t="s">
        <v>15</v>
      </c>
      <c r="E1542" s="2" t="s">
        <v>16</v>
      </c>
      <c r="F1542" s="2">
        <v>60</v>
      </c>
      <c r="G1542" s="2" t="s">
        <v>4689</v>
      </c>
      <c r="H1542" s="2" t="s">
        <v>3288</v>
      </c>
      <c r="I1542" s="2" t="s">
        <v>32</v>
      </c>
      <c r="J1542" s="3">
        <v>44799</v>
      </c>
      <c r="K1542" s="2">
        <v>17</v>
      </c>
      <c r="L1542" s="2" t="s">
        <v>20</v>
      </c>
    </row>
    <row r="1543" spans="1:12" x14ac:dyDescent="0.3">
      <c r="A1543" s="2">
        <v>1532</v>
      </c>
      <c r="B1543" s="2" t="s">
        <v>4690</v>
      </c>
      <c r="C1543" s="2" t="s">
        <v>1766</v>
      </c>
      <c r="D1543" s="2" t="s">
        <v>28</v>
      </c>
      <c r="E1543" s="2" t="s">
        <v>29</v>
      </c>
      <c r="F1543" s="2">
        <v>30</v>
      </c>
      <c r="G1543" s="2" t="s">
        <v>4691</v>
      </c>
      <c r="H1543" s="2" t="s">
        <v>4272</v>
      </c>
      <c r="I1543" s="2" t="s">
        <v>1652</v>
      </c>
      <c r="J1543" s="3">
        <v>44785</v>
      </c>
      <c r="K1543" s="2">
        <v>17</v>
      </c>
      <c r="L1543" s="2" t="s">
        <v>159</v>
      </c>
    </row>
    <row r="1544" spans="1:12" x14ac:dyDescent="0.3">
      <c r="A1544" s="2">
        <v>1533</v>
      </c>
      <c r="B1544" s="2" t="s">
        <v>1281</v>
      </c>
      <c r="C1544" s="2" t="s">
        <v>3927</v>
      </c>
      <c r="D1544" s="2" t="s">
        <v>15</v>
      </c>
      <c r="E1544" s="2" t="s">
        <v>16</v>
      </c>
      <c r="F1544" s="2">
        <v>90</v>
      </c>
      <c r="G1544" s="2" t="s">
        <v>4692</v>
      </c>
      <c r="H1544" s="2" t="s">
        <v>114</v>
      </c>
      <c r="I1544" s="2" t="s">
        <v>38</v>
      </c>
      <c r="J1544" s="3">
        <v>44105</v>
      </c>
      <c r="K1544" s="2">
        <v>49</v>
      </c>
      <c r="L1544" s="2" t="s">
        <v>39</v>
      </c>
    </row>
    <row r="1545" spans="1:12" x14ac:dyDescent="0.3">
      <c r="A1545" s="2">
        <v>1534</v>
      </c>
      <c r="B1545" s="2" t="s">
        <v>4693</v>
      </c>
      <c r="C1545" s="2" t="s">
        <v>1979</v>
      </c>
      <c r="D1545" s="2" t="s">
        <v>15</v>
      </c>
      <c r="E1545" s="2" t="s">
        <v>16</v>
      </c>
      <c r="F1545" s="2">
        <v>60</v>
      </c>
      <c r="G1545" s="2" t="s">
        <v>4692</v>
      </c>
      <c r="H1545" s="2" t="s">
        <v>1299</v>
      </c>
      <c r="I1545" s="2" t="s">
        <v>1199</v>
      </c>
      <c r="J1545" s="3">
        <v>44328</v>
      </c>
      <c r="K1545" s="2">
        <v>62</v>
      </c>
      <c r="L1545" s="2" t="s">
        <v>54</v>
      </c>
    </row>
    <row r="1546" spans="1:12" x14ac:dyDescent="0.3">
      <c r="A1546" s="2">
        <v>1535</v>
      </c>
      <c r="B1546" s="2" t="s">
        <v>4694</v>
      </c>
      <c r="C1546" s="2" t="s">
        <v>4695</v>
      </c>
      <c r="D1546" s="2" t="s">
        <v>41</v>
      </c>
      <c r="E1546" s="2" t="s">
        <v>16</v>
      </c>
      <c r="F1546" s="2">
        <v>30</v>
      </c>
      <c r="G1546" s="2" t="s">
        <v>4696</v>
      </c>
      <c r="H1546" s="2" t="s">
        <v>1256</v>
      </c>
      <c r="I1546" s="2" t="s">
        <v>32</v>
      </c>
      <c r="J1546" s="3">
        <v>44279</v>
      </c>
      <c r="K1546" s="2">
        <v>11</v>
      </c>
      <c r="L1546" s="2" t="s">
        <v>33</v>
      </c>
    </row>
    <row r="1547" spans="1:12" x14ac:dyDescent="0.3">
      <c r="A1547" s="2">
        <v>1536</v>
      </c>
      <c r="B1547" s="2" t="s">
        <v>4697</v>
      </c>
      <c r="C1547" s="2" t="s">
        <v>1698</v>
      </c>
      <c r="D1547" s="2" t="s">
        <v>28</v>
      </c>
      <c r="E1547" s="2" t="s">
        <v>29</v>
      </c>
      <c r="F1547" s="2">
        <v>60</v>
      </c>
      <c r="G1547" s="2" t="s">
        <v>4698</v>
      </c>
      <c r="H1547" s="2" t="s">
        <v>4699</v>
      </c>
      <c r="I1547" s="2" t="s">
        <v>32</v>
      </c>
      <c r="J1547" s="3">
        <v>43917</v>
      </c>
      <c r="K1547" s="2">
        <v>25</v>
      </c>
      <c r="L1547" s="2" t="s">
        <v>45</v>
      </c>
    </row>
    <row r="1548" spans="1:12" x14ac:dyDescent="0.3">
      <c r="A1548" s="2">
        <v>1537</v>
      </c>
      <c r="B1548" s="2" t="s">
        <v>862</v>
      </c>
      <c r="C1548" s="2" t="s">
        <v>728</v>
      </c>
      <c r="D1548" s="2" t="s">
        <v>15</v>
      </c>
      <c r="E1548" s="2" t="s">
        <v>16</v>
      </c>
      <c r="F1548" s="2">
        <v>60</v>
      </c>
      <c r="G1548" s="2" t="s">
        <v>4700</v>
      </c>
      <c r="H1548" s="2" t="s">
        <v>1366</v>
      </c>
      <c r="I1548" s="2" t="s">
        <v>1367</v>
      </c>
      <c r="J1548" s="3">
        <v>43968</v>
      </c>
      <c r="K1548" s="2">
        <v>29</v>
      </c>
      <c r="L1548" s="2" t="s">
        <v>80</v>
      </c>
    </row>
    <row r="1549" spans="1:12" x14ac:dyDescent="0.3">
      <c r="A1549" s="2">
        <v>1538</v>
      </c>
      <c r="B1549" s="2" t="s">
        <v>4701</v>
      </c>
      <c r="C1549" s="2" t="s">
        <v>732</v>
      </c>
      <c r="D1549" s="2" t="s">
        <v>41</v>
      </c>
      <c r="E1549" s="2" t="s">
        <v>16</v>
      </c>
      <c r="F1549" s="2">
        <v>60</v>
      </c>
      <c r="G1549" s="2" t="s">
        <v>4702</v>
      </c>
      <c r="H1549" s="2" t="s">
        <v>3531</v>
      </c>
      <c r="I1549" s="2" t="s">
        <v>32</v>
      </c>
      <c r="J1549" s="3">
        <v>43879</v>
      </c>
      <c r="K1549" s="2">
        <v>60</v>
      </c>
      <c r="L1549" s="2" t="s">
        <v>54</v>
      </c>
    </row>
    <row r="1550" spans="1:12" x14ac:dyDescent="0.3">
      <c r="A1550" s="2">
        <v>1539</v>
      </c>
      <c r="B1550" s="2" t="s">
        <v>4703</v>
      </c>
      <c r="C1550" s="2" t="s">
        <v>3426</v>
      </c>
      <c r="D1550" s="2" t="s">
        <v>28</v>
      </c>
      <c r="E1550" s="2" t="s">
        <v>29</v>
      </c>
      <c r="F1550" s="2">
        <v>30</v>
      </c>
      <c r="G1550" s="2" t="s">
        <v>4704</v>
      </c>
      <c r="H1550" s="2" t="s">
        <v>3882</v>
      </c>
      <c r="I1550" s="2" t="s">
        <v>38</v>
      </c>
      <c r="J1550" s="3">
        <v>44667</v>
      </c>
      <c r="K1550" s="2">
        <v>11</v>
      </c>
      <c r="L1550" s="2" t="s">
        <v>54</v>
      </c>
    </row>
    <row r="1551" spans="1:12" x14ac:dyDescent="0.3">
      <c r="A1551" s="2">
        <v>1540</v>
      </c>
      <c r="B1551" s="2" t="s">
        <v>4705</v>
      </c>
      <c r="C1551" s="2" t="s">
        <v>4706</v>
      </c>
      <c r="D1551" s="2" t="s">
        <v>15</v>
      </c>
      <c r="E1551" s="2" t="s">
        <v>16</v>
      </c>
      <c r="F1551" s="2">
        <v>90</v>
      </c>
      <c r="G1551" s="2" t="s">
        <v>4704</v>
      </c>
      <c r="H1551" s="2" t="s">
        <v>4358</v>
      </c>
      <c r="I1551" s="2" t="s">
        <v>146</v>
      </c>
      <c r="J1551" s="3">
        <v>44695</v>
      </c>
      <c r="K1551" s="2">
        <v>51</v>
      </c>
      <c r="L1551" s="2" t="s">
        <v>39</v>
      </c>
    </row>
    <row r="1552" spans="1:12" x14ac:dyDescent="0.3">
      <c r="A1552" s="2">
        <v>1541</v>
      </c>
      <c r="B1552" s="2" t="s">
        <v>4625</v>
      </c>
      <c r="C1552" s="2" t="s">
        <v>2382</v>
      </c>
      <c r="D1552" s="2" t="s">
        <v>92</v>
      </c>
      <c r="E1552" s="2" t="s">
        <v>29</v>
      </c>
      <c r="F1552" s="2">
        <v>60</v>
      </c>
      <c r="G1552" s="2" t="s">
        <v>10493</v>
      </c>
      <c r="H1552" s="2" t="s">
        <v>2603</v>
      </c>
      <c r="I1552" s="2" t="s">
        <v>2604</v>
      </c>
      <c r="J1552" s="3">
        <v>44197</v>
      </c>
      <c r="K1552" s="2">
        <v>21</v>
      </c>
      <c r="L1552" s="2" t="s">
        <v>45</v>
      </c>
    </row>
    <row r="1553" spans="1:12" x14ac:dyDescent="0.3">
      <c r="A1553" s="2">
        <v>1542</v>
      </c>
      <c r="B1553" s="2" t="s">
        <v>4708</v>
      </c>
      <c r="C1553" s="2" t="s">
        <v>1216</v>
      </c>
      <c r="D1553" s="2" t="s">
        <v>51</v>
      </c>
      <c r="E1553" s="2" t="s">
        <v>16</v>
      </c>
      <c r="F1553" s="2">
        <v>30</v>
      </c>
      <c r="G1553" s="2" t="s">
        <v>4709</v>
      </c>
      <c r="H1553" s="2" t="s">
        <v>3183</v>
      </c>
      <c r="I1553" s="2" t="s">
        <v>32</v>
      </c>
      <c r="J1553" s="3">
        <v>44501</v>
      </c>
      <c r="K1553" s="2">
        <v>9</v>
      </c>
      <c r="L1553" s="2" t="s">
        <v>64</v>
      </c>
    </row>
    <row r="1554" spans="1:12" x14ac:dyDescent="0.3">
      <c r="A1554" s="2">
        <v>1543</v>
      </c>
      <c r="B1554" s="2" t="s">
        <v>4710</v>
      </c>
      <c r="C1554" s="2" t="s">
        <v>1678</v>
      </c>
      <c r="D1554" s="2" t="s">
        <v>15</v>
      </c>
      <c r="E1554" s="2" t="s">
        <v>16</v>
      </c>
      <c r="F1554" s="2">
        <v>30</v>
      </c>
      <c r="G1554" s="2" t="s">
        <v>4711</v>
      </c>
      <c r="H1554" s="2" t="s">
        <v>3405</v>
      </c>
      <c r="I1554" s="2" t="s">
        <v>32</v>
      </c>
      <c r="J1554" s="3">
        <v>44677</v>
      </c>
      <c r="K1554" s="2">
        <v>104</v>
      </c>
      <c r="L1554" s="2" t="s">
        <v>159</v>
      </c>
    </row>
    <row r="1555" spans="1:12" x14ac:dyDescent="0.3">
      <c r="A1555" s="2">
        <v>1544</v>
      </c>
      <c r="B1555" s="2" t="s">
        <v>3013</v>
      </c>
      <c r="C1555" s="2" t="s">
        <v>1037</v>
      </c>
      <c r="D1555" s="2" t="s">
        <v>51</v>
      </c>
      <c r="E1555" s="2" t="s">
        <v>16</v>
      </c>
      <c r="F1555" s="2">
        <v>90</v>
      </c>
      <c r="G1555" s="2" t="s">
        <v>4712</v>
      </c>
      <c r="H1555" s="2" t="s">
        <v>4713</v>
      </c>
      <c r="I1555" s="2" t="s">
        <v>294</v>
      </c>
      <c r="J1555" s="3">
        <v>44665</v>
      </c>
      <c r="K1555" s="2">
        <v>84</v>
      </c>
      <c r="L1555" s="2" t="s">
        <v>39</v>
      </c>
    </row>
    <row r="1556" spans="1:12" x14ac:dyDescent="0.3">
      <c r="A1556" s="2">
        <v>1545</v>
      </c>
      <c r="B1556" s="2" t="s">
        <v>4714</v>
      </c>
      <c r="C1556" s="2" t="s">
        <v>3258</v>
      </c>
      <c r="D1556" s="2" t="s">
        <v>15</v>
      </c>
      <c r="E1556" s="2" t="s">
        <v>16</v>
      </c>
      <c r="F1556" s="2">
        <v>30</v>
      </c>
      <c r="G1556" s="2" t="s">
        <v>10430</v>
      </c>
      <c r="H1556" s="2" t="s">
        <v>2872</v>
      </c>
      <c r="I1556" s="2" t="s">
        <v>294</v>
      </c>
      <c r="J1556" s="3">
        <v>44824</v>
      </c>
      <c r="K1556" s="2">
        <v>30</v>
      </c>
      <c r="L1556" s="2" t="s">
        <v>54</v>
      </c>
    </row>
    <row r="1557" spans="1:12" x14ac:dyDescent="0.3">
      <c r="A1557" s="2">
        <v>1546</v>
      </c>
      <c r="B1557" s="2" t="s">
        <v>4716</v>
      </c>
      <c r="C1557" s="2" t="s">
        <v>1273</v>
      </c>
      <c r="D1557" s="2" t="s">
        <v>41</v>
      </c>
      <c r="E1557" s="2" t="s">
        <v>16</v>
      </c>
      <c r="F1557" s="2">
        <v>90</v>
      </c>
      <c r="G1557" s="2" t="s">
        <v>4717</v>
      </c>
      <c r="H1557" s="2" t="s">
        <v>4718</v>
      </c>
      <c r="I1557" s="2" t="s">
        <v>32</v>
      </c>
      <c r="J1557" s="3">
        <v>44528</v>
      </c>
      <c r="K1557" s="2">
        <v>71</v>
      </c>
      <c r="L1557" s="2" t="s">
        <v>70</v>
      </c>
    </row>
    <row r="1558" spans="1:12" x14ac:dyDescent="0.3">
      <c r="A1558" s="2">
        <v>1547</v>
      </c>
      <c r="B1558" s="2" t="s">
        <v>4719</v>
      </c>
      <c r="C1558" s="2" t="s">
        <v>3265</v>
      </c>
      <c r="D1558" s="2" t="s">
        <v>51</v>
      </c>
      <c r="E1558" s="2" t="s">
        <v>16</v>
      </c>
      <c r="F1558" s="2">
        <v>90</v>
      </c>
      <c r="G1558" s="2" t="s">
        <v>4720</v>
      </c>
      <c r="H1558" s="2" t="s">
        <v>927</v>
      </c>
      <c r="I1558" s="2" t="s">
        <v>129</v>
      </c>
      <c r="J1558" s="3">
        <v>44171</v>
      </c>
      <c r="K1558" s="2">
        <v>45</v>
      </c>
      <c r="L1558" s="2" t="s">
        <v>64</v>
      </c>
    </row>
    <row r="1559" spans="1:12" x14ac:dyDescent="0.3">
      <c r="A1559" s="2">
        <v>1548</v>
      </c>
      <c r="B1559" s="2" t="s">
        <v>4721</v>
      </c>
      <c r="C1559" s="2" t="s">
        <v>4722</v>
      </c>
      <c r="D1559" s="2" t="s">
        <v>28</v>
      </c>
      <c r="E1559" s="2" t="s">
        <v>29</v>
      </c>
      <c r="F1559" s="2">
        <v>30</v>
      </c>
      <c r="G1559" s="2" t="s">
        <v>4723</v>
      </c>
      <c r="H1559" s="2" t="s">
        <v>1272</v>
      </c>
      <c r="I1559" s="2" t="s">
        <v>59</v>
      </c>
      <c r="J1559" s="3">
        <v>44528</v>
      </c>
      <c r="K1559" s="2">
        <v>65</v>
      </c>
      <c r="L1559" s="2" t="s">
        <v>159</v>
      </c>
    </row>
    <row r="1560" spans="1:12" x14ac:dyDescent="0.3">
      <c r="A1560" s="2">
        <v>1549</v>
      </c>
      <c r="B1560" s="2" t="s">
        <v>4724</v>
      </c>
      <c r="C1560" s="2" t="s">
        <v>4725</v>
      </c>
      <c r="D1560" s="2" t="s">
        <v>28</v>
      </c>
      <c r="E1560" s="2" t="s">
        <v>29</v>
      </c>
      <c r="F1560" s="2">
        <v>30</v>
      </c>
      <c r="G1560" s="2" t="s">
        <v>4723</v>
      </c>
      <c r="H1560" s="2" t="s">
        <v>1647</v>
      </c>
      <c r="I1560" s="2" t="s">
        <v>554</v>
      </c>
      <c r="J1560" s="3">
        <v>44236</v>
      </c>
      <c r="K1560" s="2">
        <v>61</v>
      </c>
      <c r="L1560" s="2" t="s">
        <v>45</v>
      </c>
    </row>
    <row r="1561" spans="1:12" x14ac:dyDescent="0.3">
      <c r="A1561" s="2">
        <v>1550</v>
      </c>
      <c r="B1561" s="2" t="s">
        <v>4726</v>
      </c>
      <c r="C1561" s="2" t="s">
        <v>4727</v>
      </c>
      <c r="D1561" s="2" t="s">
        <v>15</v>
      </c>
      <c r="E1561" s="2" t="s">
        <v>16</v>
      </c>
      <c r="F1561" s="2">
        <v>60</v>
      </c>
      <c r="G1561" s="2" t="s">
        <v>4728</v>
      </c>
      <c r="H1561" s="2" t="s">
        <v>4729</v>
      </c>
      <c r="I1561" s="2" t="s">
        <v>32</v>
      </c>
      <c r="J1561" s="3">
        <v>44559</v>
      </c>
      <c r="K1561" s="2">
        <v>30</v>
      </c>
      <c r="L1561" s="2" t="s">
        <v>70</v>
      </c>
    </row>
    <row r="1562" spans="1:12" x14ac:dyDescent="0.3">
      <c r="A1562" s="2">
        <v>1551</v>
      </c>
      <c r="B1562" s="2" t="s">
        <v>4730</v>
      </c>
      <c r="C1562" s="2" t="s">
        <v>4490</v>
      </c>
      <c r="D1562" s="2" t="s">
        <v>41</v>
      </c>
      <c r="E1562" s="2" t="s">
        <v>16</v>
      </c>
      <c r="F1562" s="2">
        <v>90</v>
      </c>
      <c r="G1562" s="2" t="s">
        <v>10431</v>
      </c>
      <c r="H1562" s="2" t="s">
        <v>2753</v>
      </c>
      <c r="I1562" s="2" t="s">
        <v>124</v>
      </c>
      <c r="J1562" s="3">
        <v>44123</v>
      </c>
      <c r="K1562" s="2">
        <v>62</v>
      </c>
      <c r="L1562" s="2" t="s">
        <v>101</v>
      </c>
    </row>
    <row r="1563" spans="1:12" x14ac:dyDescent="0.3">
      <c r="A1563" s="2">
        <v>1552</v>
      </c>
      <c r="B1563" s="2" t="s">
        <v>3515</v>
      </c>
      <c r="C1563" s="2" t="s">
        <v>4732</v>
      </c>
      <c r="D1563" s="2" t="s">
        <v>28</v>
      </c>
      <c r="E1563" s="2" t="s">
        <v>29</v>
      </c>
      <c r="F1563" s="2">
        <v>90</v>
      </c>
      <c r="G1563" s="2" t="s">
        <v>10494</v>
      </c>
      <c r="H1563" s="2" t="s">
        <v>714</v>
      </c>
      <c r="I1563" s="2" t="s">
        <v>38</v>
      </c>
      <c r="J1563" s="3">
        <v>44231</v>
      </c>
      <c r="K1563" s="2">
        <v>92</v>
      </c>
      <c r="L1563" s="2" t="s">
        <v>33</v>
      </c>
    </row>
    <row r="1564" spans="1:12" x14ac:dyDescent="0.3">
      <c r="A1564" s="2">
        <v>1553</v>
      </c>
      <c r="B1564" s="2" t="s">
        <v>4734</v>
      </c>
      <c r="C1564" s="2" t="s">
        <v>2697</v>
      </c>
      <c r="D1564" s="2" t="s">
        <v>51</v>
      </c>
      <c r="E1564" s="2" t="s">
        <v>16</v>
      </c>
      <c r="F1564" s="2">
        <v>30</v>
      </c>
      <c r="G1564" s="2" t="s">
        <v>4735</v>
      </c>
      <c r="H1564" s="2" t="s">
        <v>1872</v>
      </c>
      <c r="I1564" s="2" t="s">
        <v>124</v>
      </c>
      <c r="J1564" s="3">
        <v>44891</v>
      </c>
      <c r="K1564" s="2">
        <v>100</v>
      </c>
      <c r="L1564" s="2" t="s">
        <v>80</v>
      </c>
    </row>
    <row r="1565" spans="1:12" x14ac:dyDescent="0.3">
      <c r="A1565" s="2">
        <v>1554</v>
      </c>
      <c r="B1565" s="2" t="s">
        <v>492</v>
      </c>
      <c r="C1565" s="2" t="s">
        <v>2030</v>
      </c>
      <c r="D1565" s="2" t="s">
        <v>28</v>
      </c>
      <c r="E1565" s="2" t="s">
        <v>29</v>
      </c>
      <c r="F1565" s="2">
        <v>90</v>
      </c>
      <c r="G1565" s="2" t="s">
        <v>4735</v>
      </c>
      <c r="H1565" s="2" t="s">
        <v>716</v>
      </c>
      <c r="I1565" s="2" t="s">
        <v>32</v>
      </c>
      <c r="J1565" s="3">
        <v>44198</v>
      </c>
      <c r="K1565" s="2">
        <v>93</v>
      </c>
      <c r="L1565" s="2" t="s">
        <v>159</v>
      </c>
    </row>
    <row r="1566" spans="1:12" x14ac:dyDescent="0.3">
      <c r="A1566" s="2">
        <v>1555</v>
      </c>
      <c r="B1566" s="2" t="s">
        <v>665</v>
      </c>
      <c r="C1566" s="2" t="s">
        <v>2941</v>
      </c>
      <c r="D1566" s="2" t="s">
        <v>28</v>
      </c>
      <c r="E1566" s="2" t="s">
        <v>29</v>
      </c>
      <c r="F1566" s="2">
        <v>90</v>
      </c>
      <c r="G1566" s="2" t="s">
        <v>4736</v>
      </c>
      <c r="H1566" s="2" t="s">
        <v>2559</v>
      </c>
      <c r="I1566" s="2" t="s">
        <v>124</v>
      </c>
      <c r="J1566" s="3">
        <v>44724</v>
      </c>
      <c r="K1566" s="2">
        <v>81</v>
      </c>
      <c r="L1566" s="2" t="s">
        <v>64</v>
      </c>
    </row>
    <row r="1567" spans="1:12" x14ac:dyDescent="0.3">
      <c r="A1567" s="2">
        <v>1556</v>
      </c>
      <c r="B1567" s="2" t="s">
        <v>4737</v>
      </c>
      <c r="C1567" s="2" t="s">
        <v>3022</v>
      </c>
      <c r="D1567" s="2" t="s">
        <v>28</v>
      </c>
      <c r="E1567" s="2" t="s">
        <v>29</v>
      </c>
      <c r="F1567" s="2">
        <v>30</v>
      </c>
      <c r="G1567" s="2" t="s">
        <v>4738</v>
      </c>
      <c r="H1567" s="2" t="s">
        <v>4739</v>
      </c>
      <c r="I1567" s="2" t="s">
        <v>59</v>
      </c>
      <c r="J1567" s="3">
        <v>44002</v>
      </c>
      <c r="K1567" s="2">
        <v>47</v>
      </c>
      <c r="L1567" s="2" t="s">
        <v>20</v>
      </c>
    </row>
    <row r="1568" spans="1:12" x14ac:dyDescent="0.3">
      <c r="A1568" s="2">
        <v>1557</v>
      </c>
      <c r="B1568" s="2" t="s">
        <v>4740</v>
      </c>
      <c r="C1568" s="2" t="s">
        <v>3253</v>
      </c>
      <c r="D1568" s="2" t="s">
        <v>15</v>
      </c>
      <c r="E1568" s="2" t="s">
        <v>16</v>
      </c>
      <c r="F1568" s="2">
        <v>60</v>
      </c>
      <c r="G1568" s="2" t="s">
        <v>4741</v>
      </c>
      <c r="H1568" s="2" t="s">
        <v>3197</v>
      </c>
      <c r="I1568" s="2" t="s">
        <v>32</v>
      </c>
      <c r="J1568" s="3">
        <v>44773</v>
      </c>
      <c r="K1568" s="2">
        <v>28</v>
      </c>
      <c r="L1568" s="2" t="s">
        <v>54</v>
      </c>
    </row>
    <row r="1569" spans="1:12" x14ac:dyDescent="0.3">
      <c r="A1569" s="2">
        <v>1558</v>
      </c>
      <c r="B1569" s="2" t="s">
        <v>4742</v>
      </c>
      <c r="C1569" s="2" t="s">
        <v>4743</v>
      </c>
      <c r="D1569" s="2" t="s">
        <v>15</v>
      </c>
      <c r="E1569" s="2" t="s">
        <v>16</v>
      </c>
      <c r="F1569" s="2">
        <v>60</v>
      </c>
      <c r="G1569" s="2" t="s">
        <v>4744</v>
      </c>
      <c r="H1569" s="2" t="s">
        <v>4386</v>
      </c>
      <c r="I1569" s="2" t="s">
        <v>32</v>
      </c>
      <c r="J1569" s="3">
        <v>44025</v>
      </c>
      <c r="K1569" s="2">
        <v>8</v>
      </c>
      <c r="L1569" s="2" t="s">
        <v>64</v>
      </c>
    </row>
    <row r="1570" spans="1:12" x14ac:dyDescent="0.3">
      <c r="A1570" s="2">
        <v>1559</v>
      </c>
      <c r="B1570" s="2" t="s">
        <v>3607</v>
      </c>
      <c r="C1570" s="2" t="s">
        <v>2806</v>
      </c>
      <c r="D1570" s="2" t="s">
        <v>28</v>
      </c>
      <c r="E1570" s="2" t="s">
        <v>29</v>
      </c>
      <c r="F1570" s="2">
        <v>30</v>
      </c>
      <c r="G1570" s="2" t="s">
        <v>4745</v>
      </c>
      <c r="H1570" s="2" t="s">
        <v>429</v>
      </c>
      <c r="I1570" s="2" t="s">
        <v>32</v>
      </c>
      <c r="J1570" s="3">
        <v>43976</v>
      </c>
      <c r="K1570" s="2">
        <v>20</v>
      </c>
      <c r="L1570" s="2" t="s">
        <v>39</v>
      </c>
    </row>
    <row r="1571" spans="1:12" x14ac:dyDescent="0.3">
      <c r="A1571" s="2">
        <v>1560</v>
      </c>
      <c r="B1571" s="2" t="s">
        <v>2206</v>
      </c>
      <c r="C1571" s="2" t="s">
        <v>4083</v>
      </c>
      <c r="D1571" s="2" t="s">
        <v>28</v>
      </c>
      <c r="E1571" s="2" t="s">
        <v>29</v>
      </c>
      <c r="F1571" s="2">
        <v>30</v>
      </c>
      <c r="G1571" s="2" t="s">
        <v>4746</v>
      </c>
      <c r="H1571" s="2" t="s">
        <v>2703</v>
      </c>
      <c r="I1571" s="2" t="s">
        <v>32</v>
      </c>
      <c r="J1571" s="3">
        <v>44608</v>
      </c>
      <c r="K1571" s="2">
        <v>80</v>
      </c>
      <c r="L1571" s="2" t="s">
        <v>64</v>
      </c>
    </row>
    <row r="1572" spans="1:12" x14ac:dyDescent="0.3">
      <c r="A1572" s="2">
        <v>1561</v>
      </c>
      <c r="B1572" s="2" t="s">
        <v>2540</v>
      </c>
      <c r="C1572" s="2" t="s">
        <v>3928</v>
      </c>
      <c r="D1572" s="2" t="s">
        <v>28</v>
      </c>
      <c r="E1572" s="2" t="s">
        <v>29</v>
      </c>
      <c r="F1572" s="2">
        <v>30</v>
      </c>
      <c r="G1572" s="2" t="s">
        <v>4747</v>
      </c>
      <c r="H1572" s="2" t="s">
        <v>4748</v>
      </c>
      <c r="I1572" s="2" t="s">
        <v>32</v>
      </c>
      <c r="J1572" s="3">
        <v>44029</v>
      </c>
      <c r="K1572" s="2">
        <v>2</v>
      </c>
      <c r="L1572" s="2" t="s">
        <v>33</v>
      </c>
    </row>
    <row r="1573" spans="1:12" x14ac:dyDescent="0.3">
      <c r="A1573" s="2">
        <v>1562</v>
      </c>
      <c r="B1573" s="2" t="s">
        <v>4749</v>
      </c>
      <c r="C1573" s="2" t="s">
        <v>4750</v>
      </c>
      <c r="D1573" s="2" t="s">
        <v>51</v>
      </c>
      <c r="E1573" s="2" t="s">
        <v>16</v>
      </c>
      <c r="F1573" s="2">
        <v>30</v>
      </c>
      <c r="G1573" s="2" t="s">
        <v>4751</v>
      </c>
      <c r="H1573" s="2" t="s">
        <v>1694</v>
      </c>
      <c r="I1573" s="2" t="s">
        <v>32</v>
      </c>
      <c r="J1573" s="3">
        <v>44302</v>
      </c>
      <c r="K1573" s="2">
        <v>44</v>
      </c>
      <c r="L1573" s="2" t="s">
        <v>33</v>
      </c>
    </row>
    <row r="1574" spans="1:12" x14ac:dyDescent="0.3">
      <c r="A1574" s="2">
        <v>1563</v>
      </c>
      <c r="B1574" s="2" t="s">
        <v>4752</v>
      </c>
      <c r="C1574" s="2" t="s">
        <v>4753</v>
      </c>
      <c r="D1574" s="2" t="s">
        <v>51</v>
      </c>
      <c r="E1574" s="2" t="s">
        <v>16</v>
      </c>
      <c r="F1574" s="2">
        <v>60</v>
      </c>
      <c r="G1574" s="2" t="s">
        <v>4754</v>
      </c>
      <c r="H1574" s="2" t="s">
        <v>3976</v>
      </c>
      <c r="I1574" s="2" t="s">
        <v>173</v>
      </c>
      <c r="J1574" s="3">
        <v>44031</v>
      </c>
      <c r="K1574" s="2">
        <v>7</v>
      </c>
      <c r="L1574" s="2" t="s">
        <v>64</v>
      </c>
    </row>
    <row r="1575" spans="1:12" x14ac:dyDescent="0.3">
      <c r="A1575" s="2">
        <v>1564</v>
      </c>
      <c r="B1575" s="2" t="s">
        <v>4499</v>
      </c>
      <c r="C1575" s="2" t="s">
        <v>4755</v>
      </c>
      <c r="D1575" s="2" t="s">
        <v>28</v>
      </c>
      <c r="E1575" s="2" t="s">
        <v>29</v>
      </c>
      <c r="F1575" s="2">
        <v>30</v>
      </c>
      <c r="G1575" s="2" t="s">
        <v>4756</v>
      </c>
      <c r="H1575" s="2" t="s">
        <v>2341</v>
      </c>
      <c r="I1575" s="2" t="s">
        <v>2342</v>
      </c>
      <c r="J1575" s="3">
        <v>44859</v>
      </c>
      <c r="K1575" s="2">
        <v>97</v>
      </c>
      <c r="L1575" s="2" t="s">
        <v>20</v>
      </c>
    </row>
    <row r="1576" spans="1:12" x14ac:dyDescent="0.3">
      <c r="A1576" s="2">
        <v>1565</v>
      </c>
      <c r="B1576" s="2" t="s">
        <v>4757</v>
      </c>
      <c r="C1576" s="2" t="s">
        <v>464</v>
      </c>
      <c r="D1576" s="2" t="s">
        <v>28</v>
      </c>
      <c r="E1576" s="2" t="s">
        <v>29</v>
      </c>
      <c r="F1576" s="2">
        <v>90</v>
      </c>
      <c r="G1576" s="2" t="s">
        <v>4758</v>
      </c>
      <c r="H1576" s="2" t="s">
        <v>195</v>
      </c>
      <c r="I1576" s="2" t="s">
        <v>187</v>
      </c>
      <c r="J1576" s="3">
        <v>44909</v>
      </c>
      <c r="K1576" s="2">
        <v>56</v>
      </c>
      <c r="L1576" s="2" t="s">
        <v>159</v>
      </c>
    </row>
    <row r="1577" spans="1:12" x14ac:dyDescent="0.3">
      <c r="A1577" s="2">
        <v>1566</v>
      </c>
      <c r="B1577" s="2" t="s">
        <v>4759</v>
      </c>
      <c r="C1577" s="2" t="s">
        <v>3527</v>
      </c>
      <c r="D1577" s="2" t="s">
        <v>51</v>
      </c>
      <c r="E1577" s="2" t="s">
        <v>16</v>
      </c>
      <c r="F1577" s="2">
        <v>30</v>
      </c>
      <c r="G1577" s="2" t="s">
        <v>4758</v>
      </c>
      <c r="H1577" s="2" t="s">
        <v>4760</v>
      </c>
      <c r="I1577" s="2" t="s">
        <v>32</v>
      </c>
      <c r="J1577" s="3">
        <v>44438</v>
      </c>
      <c r="K1577" s="2">
        <v>62</v>
      </c>
      <c r="L1577" s="2" t="s">
        <v>39</v>
      </c>
    </row>
    <row r="1578" spans="1:12" x14ac:dyDescent="0.3">
      <c r="A1578" s="2">
        <v>1567</v>
      </c>
      <c r="B1578" s="2" t="s">
        <v>4761</v>
      </c>
      <c r="C1578" s="2" t="s">
        <v>4762</v>
      </c>
      <c r="D1578" s="2" t="s">
        <v>15</v>
      </c>
      <c r="E1578" s="2" t="s">
        <v>16</v>
      </c>
      <c r="F1578" s="2">
        <v>90</v>
      </c>
      <c r="G1578" s="2" t="s">
        <v>4763</v>
      </c>
      <c r="H1578" s="2" t="s">
        <v>1034</v>
      </c>
      <c r="I1578" s="2" t="s">
        <v>1035</v>
      </c>
      <c r="J1578" s="3">
        <v>44911</v>
      </c>
      <c r="K1578" s="2">
        <v>42</v>
      </c>
      <c r="L1578" s="2" t="s">
        <v>64</v>
      </c>
    </row>
    <row r="1579" spans="1:12" x14ac:dyDescent="0.3">
      <c r="A1579" s="2">
        <v>1568</v>
      </c>
      <c r="B1579" s="2" t="s">
        <v>304</v>
      </c>
      <c r="C1579" s="2" t="s">
        <v>1175</v>
      </c>
      <c r="D1579" s="2" t="s">
        <v>15</v>
      </c>
      <c r="E1579" s="2" t="s">
        <v>16</v>
      </c>
      <c r="F1579" s="2">
        <v>90</v>
      </c>
      <c r="G1579" s="2" t="s">
        <v>4764</v>
      </c>
      <c r="H1579" s="2" t="s">
        <v>3466</v>
      </c>
      <c r="I1579" s="2" t="s">
        <v>32</v>
      </c>
      <c r="J1579" s="3">
        <v>44860</v>
      </c>
      <c r="K1579" s="2">
        <v>45</v>
      </c>
      <c r="L1579" s="2" t="s">
        <v>20</v>
      </c>
    </row>
    <row r="1580" spans="1:12" x14ac:dyDescent="0.3">
      <c r="A1580" s="2">
        <v>1569</v>
      </c>
      <c r="B1580" s="2" t="s">
        <v>4765</v>
      </c>
      <c r="C1580" s="2" t="s">
        <v>4766</v>
      </c>
      <c r="D1580" s="2" t="s">
        <v>15</v>
      </c>
      <c r="E1580" s="2" t="s">
        <v>16</v>
      </c>
      <c r="F1580" s="2">
        <v>90</v>
      </c>
      <c r="G1580" s="2" t="s">
        <v>4767</v>
      </c>
      <c r="H1580" s="2" t="s">
        <v>1018</v>
      </c>
      <c r="I1580" s="2" t="s">
        <v>294</v>
      </c>
      <c r="J1580" s="3">
        <v>44123</v>
      </c>
      <c r="K1580" s="2">
        <v>60</v>
      </c>
      <c r="L1580" s="2" t="s">
        <v>33</v>
      </c>
    </row>
    <row r="1581" spans="1:12" x14ac:dyDescent="0.3">
      <c r="A1581" s="2">
        <v>1570</v>
      </c>
      <c r="B1581" s="2" t="s">
        <v>4768</v>
      </c>
      <c r="C1581" s="2" t="s">
        <v>1918</v>
      </c>
      <c r="D1581" s="2" t="s">
        <v>28</v>
      </c>
      <c r="E1581" s="2" t="s">
        <v>29</v>
      </c>
      <c r="F1581" s="2">
        <v>60</v>
      </c>
      <c r="G1581" s="2" t="s">
        <v>4769</v>
      </c>
      <c r="H1581" s="2" t="s">
        <v>4770</v>
      </c>
      <c r="I1581" s="2" t="s">
        <v>294</v>
      </c>
      <c r="J1581" s="3">
        <v>43964</v>
      </c>
      <c r="K1581" s="2">
        <v>36</v>
      </c>
      <c r="L1581" s="2" t="s">
        <v>70</v>
      </c>
    </row>
    <row r="1582" spans="1:12" x14ac:dyDescent="0.3">
      <c r="A1582" s="2">
        <v>1571</v>
      </c>
      <c r="B1582" s="2" t="s">
        <v>4771</v>
      </c>
      <c r="C1582" s="2" t="s">
        <v>672</v>
      </c>
      <c r="D1582" s="2" t="s">
        <v>28</v>
      </c>
      <c r="E1582" s="2" t="s">
        <v>29</v>
      </c>
      <c r="F1582" s="2">
        <v>30</v>
      </c>
      <c r="G1582" s="2" t="s">
        <v>4769</v>
      </c>
      <c r="H1582" s="2" t="s">
        <v>917</v>
      </c>
      <c r="I1582" s="2" t="s">
        <v>32</v>
      </c>
      <c r="J1582" s="3">
        <v>44103</v>
      </c>
      <c r="K1582" s="2">
        <v>30</v>
      </c>
      <c r="L1582" s="2" t="s">
        <v>39</v>
      </c>
    </row>
    <row r="1583" spans="1:12" x14ac:dyDescent="0.3">
      <c r="A1583" s="2">
        <v>1572</v>
      </c>
      <c r="B1583" s="2" t="s">
        <v>4772</v>
      </c>
      <c r="C1583" s="2" t="s">
        <v>2246</v>
      </c>
      <c r="D1583" s="2" t="s">
        <v>41</v>
      </c>
      <c r="E1583" s="2" t="s">
        <v>16</v>
      </c>
      <c r="F1583" s="2">
        <v>90</v>
      </c>
      <c r="G1583" s="2" t="s">
        <v>4773</v>
      </c>
      <c r="H1583" s="2" t="s">
        <v>530</v>
      </c>
      <c r="I1583" s="2" t="s">
        <v>124</v>
      </c>
      <c r="J1583" s="3">
        <v>43877</v>
      </c>
      <c r="K1583" s="2">
        <v>19</v>
      </c>
      <c r="L1583" s="2" t="s">
        <v>70</v>
      </c>
    </row>
    <row r="1584" spans="1:12" x14ac:dyDescent="0.3">
      <c r="A1584" s="2">
        <v>1573</v>
      </c>
      <c r="B1584" s="2" t="s">
        <v>3572</v>
      </c>
      <c r="C1584" s="2" t="s">
        <v>76</v>
      </c>
      <c r="D1584" s="2" t="s">
        <v>28</v>
      </c>
      <c r="E1584" s="2" t="s">
        <v>29</v>
      </c>
      <c r="F1584" s="2">
        <v>30</v>
      </c>
      <c r="G1584" s="2" t="s">
        <v>4773</v>
      </c>
      <c r="H1584" s="2" t="s">
        <v>1042</v>
      </c>
      <c r="I1584" s="2" t="s">
        <v>32</v>
      </c>
      <c r="J1584" s="3">
        <v>44472</v>
      </c>
      <c r="K1584" s="2">
        <v>79</v>
      </c>
      <c r="L1584" s="2" t="s">
        <v>39</v>
      </c>
    </row>
    <row r="1585" spans="1:12" x14ac:dyDescent="0.3">
      <c r="A1585" s="2">
        <v>1574</v>
      </c>
      <c r="B1585" s="2" t="s">
        <v>3013</v>
      </c>
      <c r="C1585" s="2" t="s">
        <v>644</v>
      </c>
      <c r="D1585" s="2" t="s">
        <v>51</v>
      </c>
      <c r="E1585" s="2" t="s">
        <v>16</v>
      </c>
      <c r="F1585" s="2">
        <v>30</v>
      </c>
      <c r="G1585" s="2" t="s">
        <v>4774</v>
      </c>
      <c r="H1585" s="2" t="s">
        <v>4683</v>
      </c>
      <c r="I1585" s="2" t="s">
        <v>178</v>
      </c>
      <c r="J1585" s="3">
        <v>44200</v>
      </c>
      <c r="K1585" s="2">
        <v>84</v>
      </c>
      <c r="L1585" s="2" t="s">
        <v>39</v>
      </c>
    </row>
    <row r="1586" spans="1:12" x14ac:dyDescent="0.3">
      <c r="A1586" s="2">
        <v>1575</v>
      </c>
      <c r="B1586" s="2" t="s">
        <v>4775</v>
      </c>
      <c r="C1586" s="2" t="s">
        <v>3913</v>
      </c>
      <c r="D1586" s="2" t="s">
        <v>28</v>
      </c>
      <c r="E1586" s="2" t="s">
        <v>29</v>
      </c>
      <c r="F1586" s="2">
        <v>90</v>
      </c>
      <c r="G1586" s="2" t="s">
        <v>4776</v>
      </c>
      <c r="H1586" s="2" t="s">
        <v>1761</v>
      </c>
      <c r="I1586" s="2" t="s">
        <v>38</v>
      </c>
      <c r="J1586" s="3">
        <v>44274</v>
      </c>
      <c r="K1586" s="2">
        <v>74</v>
      </c>
      <c r="L1586" s="2" t="s">
        <v>70</v>
      </c>
    </row>
    <row r="1587" spans="1:12" x14ac:dyDescent="0.3">
      <c r="A1587" s="2">
        <v>1576</v>
      </c>
      <c r="B1587" s="2" t="s">
        <v>641</v>
      </c>
      <c r="C1587" s="2" t="s">
        <v>4777</v>
      </c>
      <c r="D1587" s="2" t="s">
        <v>28</v>
      </c>
      <c r="E1587" s="2" t="s">
        <v>29</v>
      </c>
      <c r="F1587" s="2">
        <v>60</v>
      </c>
      <c r="G1587" s="2" t="s">
        <v>4778</v>
      </c>
      <c r="H1587" s="2" t="s">
        <v>4779</v>
      </c>
      <c r="I1587" s="2" t="s">
        <v>686</v>
      </c>
      <c r="J1587" s="3">
        <v>44726</v>
      </c>
      <c r="K1587" s="2">
        <v>45</v>
      </c>
      <c r="L1587" s="2" t="s">
        <v>80</v>
      </c>
    </row>
    <row r="1588" spans="1:12" x14ac:dyDescent="0.3">
      <c r="A1588" s="2">
        <v>1577</v>
      </c>
      <c r="B1588" s="2" t="s">
        <v>4780</v>
      </c>
      <c r="C1588" s="2" t="s">
        <v>112</v>
      </c>
      <c r="D1588" s="2" t="s">
        <v>28</v>
      </c>
      <c r="E1588" s="2" t="s">
        <v>29</v>
      </c>
      <c r="F1588" s="2">
        <v>30</v>
      </c>
      <c r="G1588" s="2" t="s">
        <v>4781</v>
      </c>
      <c r="H1588" s="2" t="s">
        <v>3730</v>
      </c>
      <c r="I1588" s="2" t="s">
        <v>32</v>
      </c>
      <c r="J1588" s="3">
        <v>43969</v>
      </c>
      <c r="K1588" s="2">
        <v>51</v>
      </c>
      <c r="L1588" s="2" t="s">
        <v>159</v>
      </c>
    </row>
    <row r="1589" spans="1:12" x14ac:dyDescent="0.3">
      <c r="A1589" s="2">
        <v>1578</v>
      </c>
      <c r="B1589" s="2" t="s">
        <v>2571</v>
      </c>
      <c r="C1589" s="2" t="s">
        <v>4782</v>
      </c>
      <c r="D1589" s="2" t="s">
        <v>28</v>
      </c>
      <c r="E1589" s="2" t="s">
        <v>29</v>
      </c>
      <c r="F1589" s="2">
        <v>30</v>
      </c>
      <c r="G1589" s="2" t="s">
        <v>4783</v>
      </c>
      <c r="H1589" s="2" t="s">
        <v>1772</v>
      </c>
      <c r="I1589" s="2" t="s">
        <v>178</v>
      </c>
      <c r="J1589" s="3">
        <v>44022</v>
      </c>
      <c r="K1589" s="2">
        <v>75</v>
      </c>
      <c r="L1589" s="2" t="s">
        <v>39</v>
      </c>
    </row>
    <row r="1590" spans="1:12" x14ac:dyDescent="0.3">
      <c r="A1590" s="2">
        <v>1579</v>
      </c>
      <c r="B1590" s="2" t="s">
        <v>2523</v>
      </c>
      <c r="C1590" s="2" t="s">
        <v>597</v>
      </c>
      <c r="D1590" s="2" t="s">
        <v>28</v>
      </c>
      <c r="E1590" s="2" t="s">
        <v>29</v>
      </c>
      <c r="F1590" s="2">
        <v>90</v>
      </c>
      <c r="G1590" s="2" t="s">
        <v>4784</v>
      </c>
      <c r="H1590" s="2" t="s">
        <v>2498</v>
      </c>
      <c r="I1590" s="2" t="s">
        <v>913</v>
      </c>
      <c r="J1590" s="3">
        <v>44856</v>
      </c>
      <c r="K1590" s="2">
        <v>94</v>
      </c>
      <c r="L1590" s="2" t="s">
        <v>159</v>
      </c>
    </row>
    <row r="1591" spans="1:12" x14ac:dyDescent="0.3">
      <c r="A1591" s="2">
        <v>1580</v>
      </c>
      <c r="B1591" s="2" t="s">
        <v>4499</v>
      </c>
      <c r="C1591" s="2" t="s">
        <v>2809</v>
      </c>
      <c r="D1591" s="2" t="s">
        <v>28</v>
      </c>
      <c r="E1591" s="2" t="s">
        <v>29</v>
      </c>
      <c r="F1591" s="2">
        <v>30</v>
      </c>
      <c r="G1591" s="2" t="s">
        <v>4785</v>
      </c>
      <c r="H1591" s="2" t="s">
        <v>1587</v>
      </c>
      <c r="I1591" s="2" t="s">
        <v>32</v>
      </c>
      <c r="J1591" s="3">
        <v>43857</v>
      </c>
      <c r="K1591" s="2">
        <v>17</v>
      </c>
      <c r="L1591" s="2" t="s">
        <v>64</v>
      </c>
    </row>
    <row r="1592" spans="1:12" x14ac:dyDescent="0.3">
      <c r="A1592" s="2">
        <v>1581</v>
      </c>
      <c r="B1592" s="2" t="s">
        <v>1700</v>
      </c>
      <c r="C1592" s="2" t="s">
        <v>4786</v>
      </c>
      <c r="D1592" s="2" t="s">
        <v>117</v>
      </c>
      <c r="E1592" s="2" t="s">
        <v>29</v>
      </c>
      <c r="F1592" s="2">
        <v>90</v>
      </c>
      <c r="G1592" s="2" t="s">
        <v>4787</v>
      </c>
      <c r="H1592" s="2" t="s">
        <v>4182</v>
      </c>
      <c r="I1592" s="2" t="s">
        <v>32</v>
      </c>
      <c r="J1592" s="3">
        <v>44877</v>
      </c>
      <c r="K1592" s="2">
        <v>67</v>
      </c>
      <c r="L1592" s="2" t="s">
        <v>39</v>
      </c>
    </row>
    <row r="1593" spans="1:12" x14ac:dyDescent="0.3">
      <c r="A1593" s="2">
        <v>1582</v>
      </c>
      <c r="B1593" s="2" t="s">
        <v>2142</v>
      </c>
      <c r="C1593" s="2" t="s">
        <v>1641</v>
      </c>
      <c r="D1593" s="2" t="s">
        <v>28</v>
      </c>
      <c r="E1593" s="2" t="s">
        <v>29</v>
      </c>
      <c r="F1593" s="2">
        <v>90</v>
      </c>
      <c r="G1593" s="2" t="s">
        <v>4788</v>
      </c>
      <c r="H1593" s="2" t="s">
        <v>2791</v>
      </c>
      <c r="I1593" s="2" t="s">
        <v>178</v>
      </c>
      <c r="J1593" s="3">
        <v>44672</v>
      </c>
      <c r="K1593" s="2">
        <v>57</v>
      </c>
      <c r="L1593" s="2" t="s">
        <v>159</v>
      </c>
    </row>
    <row r="1594" spans="1:12" x14ac:dyDescent="0.3">
      <c r="A1594" s="2">
        <v>1583</v>
      </c>
      <c r="B1594" s="2" t="s">
        <v>4789</v>
      </c>
      <c r="C1594" s="2" t="s">
        <v>4790</v>
      </c>
      <c r="D1594" s="2" t="s">
        <v>41</v>
      </c>
      <c r="E1594" s="2" t="s">
        <v>16</v>
      </c>
      <c r="F1594" s="2">
        <v>90</v>
      </c>
      <c r="G1594" s="2" t="s">
        <v>10432</v>
      </c>
      <c r="H1594" s="2" t="s">
        <v>1948</v>
      </c>
      <c r="I1594" s="2" t="s">
        <v>25</v>
      </c>
      <c r="J1594" s="3">
        <v>44851</v>
      </c>
      <c r="K1594" s="2">
        <v>91</v>
      </c>
      <c r="L1594" s="2" t="s">
        <v>54</v>
      </c>
    </row>
    <row r="1595" spans="1:12" x14ac:dyDescent="0.3">
      <c r="A1595" s="2">
        <v>1584</v>
      </c>
      <c r="B1595" s="2" t="s">
        <v>2701</v>
      </c>
      <c r="C1595" s="2" t="s">
        <v>4792</v>
      </c>
      <c r="D1595" s="2" t="s">
        <v>28</v>
      </c>
      <c r="E1595" s="2" t="s">
        <v>29</v>
      </c>
      <c r="F1595" s="2">
        <v>60</v>
      </c>
      <c r="G1595" s="2" t="s">
        <v>4793</v>
      </c>
      <c r="H1595" s="2" t="s">
        <v>4794</v>
      </c>
      <c r="I1595" s="2" t="s">
        <v>32</v>
      </c>
      <c r="J1595" s="3">
        <v>44221</v>
      </c>
      <c r="K1595" s="2">
        <v>85</v>
      </c>
      <c r="L1595" s="2" t="s">
        <v>70</v>
      </c>
    </row>
    <row r="1596" spans="1:12" x14ac:dyDescent="0.3">
      <c r="A1596" s="2">
        <v>1585</v>
      </c>
      <c r="B1596" s="2" t="s">
        <v>4247</v>
      </c>
      <c r="C1596" s="2" t="s">
        <v>4795</v>
      </c>
      <c r="D1596" s="2" t="s">
        <v>41</v>
      </c>
      <c r="E1596" s="2" t="s">
        <v>16</v>
      </c>
      <c r="F1596" s="2">
        <v>60</v>
      </c>
      <c r="G1596" s="2" t="s">
        <v>4796</v>
      </c>
      <c r="H1596" s="2" t="s">
        <v>3793</v>
      </c>
      <c r="I1596" s="2" t="s">
        <v>173</v>
      </c>
      <c r="J1596" s="3">
        <v>43896</v>
      </c>
      <c r="K1596" s="2">
        <v>68</v>
      </c>
      <c r="L1596" s="2" t="s">
        <v>33</v>
      </c>
    </row>
    <row r="1597" spans="1:12" x14ac:dyDescent="0.3">
      <c r="A1597" s="2">
        <v>1586</v>
      </c>
      <c r="B1597" s="2" t="s">
        <v>1399</v>
      </c>
      <c r="C1597" s="2" t="s">
        <v>4797</v>
      </c>
      <c r="D1597" s="2" t="s">
        <v>28</v>
      </c>
      <c r="E1597" s="2" t="s">
        <v>29</v>
      </c>
      <c r="F1597" s="2">
        <v>60</v>
      </c>
      <c r="G1597" s="2" t="s">
        <v>4798</v>
      </c>
      <c r="H1597" s="2" t="s">
        <v>4799</v>
      </c>
      <c r="I1597" s="2" t="s">
        <v>25</v>
      </c>
      <c r="J1597" s="3">
        <v>44374</v>
      </c>
      <c r="K1597" s="2">
        <v>15</v>
      </c>
      <c r="L1597" s="2" t="s">
        <v>159</v>
      </c>
    </row>
    <row r="1598" spans="1:12" x14ac:dyDescent="0.3">
      <c r="A1598" s="2">
        <v>1587</v>
      </c>
      <c r="B1598" s="2" t="s">
        <v>4800</v>
      </c>
      <c r="C1598" s="2" t="s">
        <v>961</v>
      </c>
      <c r="D1598" s="2" t="s">
        <v>15</v>
      </c>
      <c r="E1598" s="2" t="s">
        <v>16</v>
      </c>
      <c r="F1598" s="2">
        <v>60</v>
      </c>
      <c r="G1598" s="2" t="s">
        <v>4801</v>
      </c>
      <c r="H1598" s="2" t="s">
        <v>3126</v>
      </c>
      <c r="I1598" s="2" t="s">
        <v>32</v>
      </c>
      <c r="J1598" s="3">
        <v>44102</v>
      </c>
      <c r="K1598" s="2">
        <v>18</v>
      </c>
      <c r="L1598" s="2" t="s">
        <v>159</v>
      </c>
    </row>
    <row r="1599" spans="1:12" x14ac:dyDescent="0.3">
      <c r="A1599" s="2">
        <v>1588</v>
      </c>
      <c r="B1599" s="2" t="s">
        <v>4805</v>
      </c>
      <c r="C1599" s="2" t="s">
        <v>1786</v>
      </c>
      <c r="D1599" s="2" t="s">
        <v>28</v>
      </c>
      <c r="E1599" s="2" t="s">
        <v>29</v>
      </c>
      <c r="F1599" s="2">
        <v>30</v>
      </c>
      <c r="G1599" s="2" t="s">
        <v>4806</v>
      </c>
      <c r="H1599" s="2" t="s">
        <v>4807</v>
      </c>
      <c r="I1599" s="2" t="s">
        <v>32</v>
      </c>
      <c r="J1599" s="3">
        <v>44793</v>
      </c>
      <c r="K1599" s="2">
        <v>14</v>
      </c>
      <c r="L1599" s="2" t="s">
        <v>101</v>
      </c>
    </row>
    <row r="1600" spans="1:12" x14ac:dyDescent="0.3">
      <c r="A1600" s="2">
        <v>1589</v>
      </c>
      <c r="B1600" s="2" t="s">
        <v>4808</v>
      </c>
      <c r="C1600" s="2" t="s">
        <v>4005</v>
      </c>
      <c r="D1600" s="2" t="s">
        <v>15</v>
      </c>
      <c r="E1600" s="2" t="s">
        <v>16</v>
      </c>
      <c r="F1600" s="2">
        <v>90</v>
      </c>
      <c r="G1600" s="2" t="s">
        <v>4806</v>
      </c>
      <c r="H1600" s="2" t="s">
        <v>487</v>
      </c>
      <c r="I1600" s="2" t="s">
        <v>32</v>
      </c>
      <c r="J1600" s="3">
        <v>44028</v>
      </c>
      <c r="K1600" s="2">
        <v>8</v>
      </c>
      <c r="L1600" s="2" t="s">
        <v>45</v>
      </c>
    </row>
    <row r="1601" spans="1:12" x14ac:dyDescent="0.3">
      <c r="A1601" s="2">
        <v>1590</v>
      </c>
      <c r="B1601" s="2" t="s">
        <v>4809</v>
      </c>
      <c r="C1601" s="2" t="s">
        <v>564</v>
      </c>
      <c r="D1601" s="2" t="s">
        <v>51</v>
      </c>
      <c r="E1601" s="2" t="s">
        <v>16</v>
      </c>
      <c r="F1601" s="2">
        <v>90</v>
      </c>
      <c r="G1601" s="2" t="s">
        <v>4810</v>
      </c>
      <c r="H1601" s="2" t="s">
        <v>2163</v>
      </c>
      <c r="I1601" s="2" t="s">
        <v>1824</v>
      </c>
      <c r="J1601" s="3">
        <v>44660</v>
      </c>
      <c r="K1601" s="2">
        <v>12</v>
      </c>
      <c r="L1601" s="2" t="s">
        <v>33</v>
      </c>
    </row>
    <row r="1602" spans="1:12" x14ac:dyDescent="0.3">
      <c r="A1602" s="2">
        <v>1591</v>
      </c>
      <c r="B1602" s="2" t="s">
        <v>1009</v>
      </c>
      <c r="C1602" s="2" t="s">
        <v>4811</v>
      </c>
      <c r="D1602" s="2" t="s">
        <v>28</v>
      </c>
      <c r="E1602" s="2" t="s">
        <v>29</v>
      </c>
      <c r="F1602" s="2">
        <v>30</v>
      </c>
      <c r="G1602" s="2" t="s">
        <v>4812</v>
      </c>
      <c r="H1602" s="2" t="s">
        <v>1426</v>
      </c>
      <c r="I1602" s="2" t="s">
        <v>32</v>
      </c>
      <c r="J1602" s="3">
        <v>44385</v>
      </c>
      <c r="K1602" s="2">
        <v>25</v>
      </c>
      <c r="L1602" s="2" t="s">
        <v>159</v>
      </c>
    </row>
    <row r="1603" spans="1:12" x14ac:dyDescent="0.3">
      <c r="A1603" s="2">
        <v>1592</v>
      </c>
      <c r="B1603" s="2" t="s">
        <v>4094</v>
      </c>
      <c r="C1603" s="2" t="s">
        <v>4813</v>
      </c>
      <c r="D1603" s="2" t="s">
        <v>28</v>
      </c>
      <c r="E1603" s="2" t="s">
        <v>29</v>
      </c>
      <c r="F1603" s="2">
        <v>30</v>
      </c>
      <c r="G1603" s="2" t="s">
        <v>4814</v>
      </c>
      <c r="H1603" s="2" t="s">
        <v>1764</v>
      </c>
      <c r="I1603" s="2" t="s">
        <v>124</v>
      </c>
      <c r="J1603" s="3">
        <v>44084</v>
      </c>
      <c r="K1603" s="2">
        <v>27</v>
      </c>
      <c r="L1603" s="2" t="s">
        <v>70</v>
      </c>
    </row>
    <row r="1604" spans="1:12" x14ac:dyDescent="0.3">
      <c r="A1604" s="2">
        <v>1593</v>
      </c>
      <c r="B1604" s="2" t="s">
        <v>4815</v>
      </c>
      <c r="C1604" s="2" t="s">
        <v>1251</v>
      </c>
      <c r="D1604" s="2" t="s">
        <v>28</v>
      </c>
      <c r="E1604" s="2" t="s">
        <v>29</v>
      </c>
      <c r="F1604" s="2">
        <v>90</v>
      </c>
      <c r="G1604" s="2" t="s">
        <v>149</v>
      </c>
      <c r="H1604" s="2" t="s">
        <v>1948</v>
      </c>
      <c r="I1604" s="2" t="s">
        <v>25</v>
      </c>
      <c r="J1604" s="3">
        <v>44410</v>
      </c>
      <c r="K1604" s="2">
        <v>39</v>
      </c>
      <c r="L1604" s="2" t="s">
        <v>54</v>
      </c>
    </row>
    <row r="1605" spans="1:12" x14ac:dyDescent="0.3">
      <c r="A1605" s="2">
        <v>1594</v>
      </c>
      <c r="B1605" s="2" t="s">
        <v>527</v>
      </c>
      <c r="C1605" s="2" t="s">
        <v>4291</v>
      </c>
      <c r="D1605" s="2" t="s">
        <v>28</v>
      </c>
      <c r="E1605" s="2" t="s">
        <v>29</v>
      </c>
      <c r="F1605" s="2">
        <v>60</v>
      </c>
      <c r="G1605" s="2" t="s">
        <v>4816</v>
      </c>
      <c r="H1605" s="2" t="s">
        <v>4326</v>
      </c>
      <c r="I1605" s="2" t="s">
        <v>1078</v>
      </c>
      <c r="J1605" s="3">
        <v>44346</v>
      </c>
      <c r="K1605" s="2">
        <v>76</v>
      </c>
      <c r="L1605" s="2" t="s">
        <v>101</v>
      </c>
    </row>
    <row r="1606" spans="1:12" x14ac:dyDescent="0.3">
      <c r="A1606" s="2">
        <v>1595</v>
      </c>
      <c r="B1606" s="2" t="s">
        <v>4817</v>
      </c>
      <c r="C1606" s="2" t="s">
        <v>925</v>
      </c>
      <c r="D1606" s="2" t="s">
        <v>15</v>
      </c>
      <c r="E1606" s="2" t="s">
        <v>16</v>
      </c>
      <c r="F1606" s="2">
        <v>30</v>
      </c>
      <c r="G1606" s="2" t="s">
        <v>10495</v>
      </c>
      <c r="H1606" s="2" t="s">
        <v>1530</v>
      </c>
      <c r="I1606" s="2" t="s">
        <v>32</v>
      </c>
      <c r="J1606" s="3">
        <v>43946</v>
      </c>
      <c r="K1606" s="2">
        <v>78</v>
      </c>
      <c r="L1606" s="2" t="s">
        <v>39</v>
      </c>
    </row>
    <row r="1607" spans="1:12" x14ac:dyDescent="0.3">
      <c r="A1607" s="2">
        <v>1596</v>
      </c>
      <c r="B1607" s="2" t="s">
        <v>3089</v>
      </c>
      <c r="C1607" s="2" t="s">
        <v>4819</v>
      </c>
      <c r="D1607" s="2" t="s">
        <v>28</v>
      </c>
      <c r="E1607" s="2" t="s">
        <v>29</v>
      </c>
      <c r="F1607" s="2">
        <v>60</v>
      </c>
      <c r="G1607" s="2" t="s">
        <v>4820</v>
      </c>
      <c r="H1607" s="2" t="s">
        <v>1210</v>
      </c>
      <c r="I1607" s="2" t="s">
        <v>294</v>
      </c>
      <c r="J1607" s="3">
        <v>43945</v>
      </c>
      <c r="K1607" s="2">
        <v>70</v>
      </c>
      <c r="L1607" s="2" t="s">
        <v>20</v>
      </c>
    </row>
    <row r="1608" spans="1:12" x14ac:dyDescent="0.3">
      <c r="A1608" s="2">
        <v>1597</v>
      </c>
      <c r="B1608" s="2" t="s">
        <v>4821</v>
      </c>
      <c r="C1608" s="2" t="s">
        <v>2028</v>
      </c>
      <c r="D1608" s="2" t="s">
        <v>51</v>
      </c>
      <c r="E1608" s="2" t="s">
        <v>16</v>
      </c>
      <c r="F1608" s="2">
        <v>90</v>
      </c>
      <c r="G1608" s="2" t="s">
        <v>4822</v>
      </c>
      <c r="H1608" s="2" t="s">
        <v>1855</v>
      </c>
      <c r="I1608" s="2" t="s">
        <v>25</v>
      </c>
      <c r="J1608" s="3">
        <v>44474</v>
      </c>
      <c r="K1608" s="2">
        <v>10</v>
      </c>
      <c r="L1608" s="2" t="s">
        <v>80</v>
      </c>
    </row>
    <row r="1609" spans="1:12" x14ac:dyDescent="0.3">
      <c r="A1609" s="2">
        <v>1598</v>
      </c>
      <c r="B1609" s="2" t="s">
        <v>4823</v>
      </c>
      <c r="C1609" s="2" t="s">
        <v>1041</v>
      </c>
      <c r="D1609" s="2" t="s">
        <v>15</v>
      </c>
      <c r="E1609" s="2" t="s">
        <v>16</v>
      </c>
      <c r="F1609" s="2">
        <v>60</v>
      </c>
      <c r="G1609" s="2" t="s">
        <v>4824</v>
      </c>
      <c r="H1609" s="2" t="s">
        <v>4825</v>
      </c>
      <c r="I1609" s="2" t="s">
        <v>32</v>
      </c>
      <c r="J1609" s="3">
        <v>44463</v>
      </c>
      <c r="K1609" s="2">
        <v>55</v>
      </c>
      <c r="L1609" s="2" t="s">
        <v>45</v>
      </c>
    </row>
    <row r="1610" spans="1:12" x14ac:dyDescent="0.3">
      <c r="A1610" s="2">
        <v>1599</v>
      </c>
      <c r="B1610" s="2" t="s">
        <v>4826</v>
      </c>
      <c r="C1610" s="2" t="s">
        <v>4045</v>
      </c>
      <c r="D1610" s="2" t="s">
        <v>51</v>
      </c>
      <c r="E1610" s="2" t="s">
        <v>16</v>
      </c>
      <c r="F1610" s="2">
        <v>60</v>
      </c>
      <c r="G1610" s="2" t="s">
        <v>4827</v>
      </c>
      <c r="H1610" s="2" t="s">
        <v>4527</v>
      </c>
      <c r="I1610" s="2" t="s">
        <v>32</v>
      </c>
      <c r="J1610" s="3">
        <v>44743</v>
      </c>
      <c r="K1610" s="2">
        <v>58</v>
      </c>
      <c r="L1610" s="2" t="s">
        <v>39</v>
      </c>
    </row>
    <row r="1611" spans="1:12" x14ac:dyDescent="0.3">
      <c r="A1611" s="2">
        <v>1600</v>
      </c>
      <c r="B1611" s="2" t="s">
        <v>4828</v>
      </c>
      <c r="C1611" s="2" t="s">
        <v>4829</v>
      </c>
      <c r="D1611" s="2" t="s">
        <v>15</v>
      </c>
      <c r="E1611" s="2" t="s">
        <v>16</v>
      </c>
      <c r="F1611" s="2">
        <v>30</v>
      </c>
      <c r="G1611" s="2" t="s">
        <v>4830</v>
      </c>
      <c r="H1611" s="2" t="s">
        <v>1590</v>
      </c>
      <c r="I1611" s="2" t="s">
        <v>32</v>
      </c>
      <c r="J1611" s="3">
        <v>44307</v>
      </c>
      <c r="K1611" s="2">
        <v>45</v>
      </c>
      <c r="L1611" s="2" t="s">
        <v>33</v>
      </c>
    </row>
    <row r="1612" spans="1:12" x14ac:dyDescent="0.3">
      <c r="A1612" s="2">
        <v>1601</v>
      </c>
      <c r="B1612" s="2" t="s">
        <v>3844</v>
      </c>
      <c r="C1612" s="2" t="s">
        <v>1592</v>
      </c>
      <c r="D1612" s="2" t="s">
        <v>51</v>
      </c>
      <c r="E1612" s="2" t="s">
        <v>16</v>
      </c>
      <c r="F1612" s="2">
        <v>60</v>
      </c>
      <c r="G1612" s="2" t="s">
        <v>4831</v>
      </c>
      <c r="H1612" s="2" t="s">
        <v>587</v>
      </c>
      <c r="I1612" s="2" t="s">
        <v>25</v>
      </c>
      <c r="J1612" s="3">
        <v>43907</v>
      </c>
      <c r="K1612" s="2">
        <v>11</v>
      </c>
      <c r="L1612" s="2" t="s">
        <v>159</v>
      </c>
    </row>
    <row r="1613" spans="1:12" x14ac:dyDescent="0.3">
      <c r="A1613" s="2">
        <v>1602</v>
      </c>
      <c r="B1613" s="2" t="s">
        <v>3548</v>
      </c>
      <c r="C1613" s="2" t="s">
        <v>1627</v>
      </c>
      <c r="D1613" s="2" t="s">
        <v>28</v>
      </c>
      <c r="E1613" s="2" t="s">
        <v>29</v>
      </c>
      <c r="F1613" s="2">
        <v>30</v>
      </c>
      <c r="G1613" s="2" t="s">
        <v>4832</v>
      </c>
      <c r="H1613" s="2" t="s">
        <v>2633</v>
      </c>
      <c r="I1613" s="2" t="s">
        <v>32</v>
      </c>
      <c r="J1613" s="3">
        <v>44298</v>
      </c>
      <c r="K1613" s="2">
        <v>8</v>
      </c>
      <c r="L1613" s="2" t="s">
        <v>80</v>
      </c>
    </row>
    <row r="1614" spans="1:12" x14ac:dyDescent="0.3">
      <c r="A1614" s="2">
        <v>1603</v>
      </c>
      <c r="B1614" s="2" t="s">
        <v>4833</v>
      </c>
      <c r="C1614" s="2" t="s">
        <v>597</v>
      </c>
      <c r="D1614" s="2" t="s">
        <v>51</v>
      </c>
      <c r="E1614" s="2" t="s">
        <v>16</v>
      </c>
      <c r="F1614" s="2">
        <v>30</v>
      </c>
      <c r="G1614" s="2" t="s">
        <v>4834</v>
      </c>
      <c r="H1614" s="2" t="s">
        <v>4835</v>
      </c>
      <c r="I1614" s="2" t="s">
        <v>32</v>
      </c>
      <c r="J1614" s="3">
        <v>44610</v>
      </c>
      <c r="K1614" s="2">
        <v>25</v>
      </c>
      <c r="L1614" s="2" t="s">
        <v>33</v>
      </c>
    </row>
    <row r="1615" spans="1:12" x14ac:dyDescent="0.3">
      <c r="A1615" s="2">
        <v>1604</v>
      </c>
      <c r="B1615" s="2" t="s">
        <v>2947</v>
      </c>
      <c r="C1615" s="2" t="s">
        <v>4836</v>
      </c>
      <c r="D1615" s="2" t="s">
        <v>28</v>
      </c>
      <c r="E1615" s="2" t="s">
        <v>29</v>
      </c>
      <c r="F1615" s="2">
        <v>90</v>
      </c>
      <c r="G1615" s="2" t="s">
        <v>4837</v>
      </c>
      <c r="H1615" s="2" t="s">
        <v>1336</v>
      </c>
      <c r="I1615" s="2" t="s">
        <v>129</v>
      </c>
      <c r="J1615" s="3">
        <v>44242</v>
      </c>
      <c r="K1615" s="2">
        <v>47</v>
      </c>
      <c r="L1615" s="2" t="s">
        <v>70</v>
      </c>
    </row>
    <row r="1616" spans="1:12" x14ac:dyDescent="0.3">
      <c r="A1616" s="2">
        <v>1605</v>
      </c>
      <c r="B1616" s="2" t="s">
        <v>2225</v>
      </c>
      <c r="C1616" s="2" t="s">
        <v>3750</v>
      </c>
      <c r="D1616" s="2" t="s">
        <v>15</v>
      </c>
      <c r="E1616" s="2" t="s">
        <v>16</v>
      </c>
      <c r="F1616" s="2">
        <v>30</v>
      </c>
      <c r="G1616" s="2" t="s">
        <v>4838</v>
      </c>
      <c r="H1616" s="2" t="s">
        <v>2685</v>
      </c>
      <c r="I1616" s="2" t="s">
        <v>32</v>
      </c>
      <c r="J1616" s="3">
        <v>44828</v>
      </c>
      <c r="K1616" s="2">
        <v>43</v>
      </c>
      <c r="L1616" s="2" t="s">
        <v>33</v>
      </c>
    </row>
    <row r="1617" spans="1:12" x14ac:dyDescent="0.3">
      <c r="A1617" s="2">
        <v>1606</v>
      </c>
      <c r="B1617" s="2" t="s">
        <v>4839</v>
      </c>
      <c r="C1617" s="2" t="s">
        <v>2332</v>
      </c>
      <c r="D1617" s="2" t="s">
        <v>15</v>
      </c>
      <c r="E1617" s="2" t="s">
        <v>16</v>
      </c>
      <c r="F1617" s="2">
        <v>30</v>
      </c>
      <c r="G1617" s="2" t="s">
        <v>4840</v>
      </c>
      <c r="H1617" s="2" t="s">
        <v>3619</v>
      </c>
      <c r="I1617" s="2" t="s">
        <v>575</v>
      </c>
      <c r="J1617" s="3">
        <v>44709</v>
      </c>
      <c r="K1617" s="2">
        <v>61</v>
      </c>
      <c r="L1617" s="2" t="s">
        <v>64</v>
      </c>
    </row>
    <row r="1618" spans="1:12" x14ac:dyDescent="0.3">
      <c r="A1618" s="2">
        <v>1607</v>
      </c>
      <c r="B1618" s="2" t="s">
        <v>1170</v>
      </c>
      <c r="C1618" s="2" t="s">
        <v>3884</v>
      </c>
      <c r="D1618" s="2" t="s">
        <v>28</v>
      </c>
      <c r="E1618" s="2" t="s">
        <v>29</v>
      </c>
      <c r="F1618" s="2">
        <v>90</v>
      </c>
      <c r="G1618" s="2" t="s">
        <v>4841</v>
      </c>
      <c r="H1618" s="2" t="s">
        <v>3531</v>
      </c>
      <c r="I1618" s="2" t="s">
        <v>32</v>
      </c>
      <c r="J1618" s="3">
        <v>44173</v>
      </c>
      <c r="K1618" s="2">
        <v>83</v>
      </c>
      <c r="L1618" s="2" t="s">
        <v>39</v>
      </c>
    </row>
    <row r="1619" spans="1:12" x14ac:dyDescent="0.3">
      <c r="A1619" s="2">
        <v>1608</v>
      </c>
      <c r="B1619" s="2" t="s">
        <v>3476</v>
      </c>
      <c r="C1619" s="2" t="s">
        <v>4842</v>
      </c>
      <c r="D1619" s="2" t="s">
        <v>51</v>
      </c>
      <c r="E1619" s="2" t="s">
        <v>16</v>
      </c>
      <c r="F1619" s="2">
        <v>60</v>
      </c>
      <c r="G1619" s="2" t="s">
        <v>4843</v>
      </c>
      <c r="H1619" s="2" t="s">
        <v>2896</v>
      </c>
      <c r="I1619" s="2" t="s">
        <v>110</v>
      </c>
      <c r="J1619" s="3">
        <v>44412</v>
      </c>
      <c r="K1619" s="2">
        <v>88</v>
      </c>
      <c r="L1619" s="2" t="s">
        <v>45</v>
      </c>
    </row>
    <row r="1620" spans="1:12" x14ac:dyDescent="0.3">
      <c r="A1620" s="2">
        <v>1609</v>
      </c>
      <c r="B1620" s="2" t="s">
        <v>4844</v>
      </c>
      <c r="C1620" s="2" t="s">
        <v>4845</v>
      </c>
      <c r="D1620" s="2" t="s">
        <v>28</v>
      </c>
      <c r="E1620" s="2" t="s">
        <v>29</v>
      </c>
      <c r="F1620" s="2">
        <v>60</v>
      </c>
      <c r="G1620" s="2" t="s">
        <v>4846</v>
      </c>
      <c r="H1620" s="2" t="s">
        <v>487</v>
      </c>
      <c r="I1620" s="2" t="s">
        <v>32</v>
      </c>
      <c r="J1620" s="3">
        <v>44539</v>
      </c>
      <c r="K1620" s="2">
        <v>74</v>
      </c>
      <c r="L1620" s="2" t="s">
        <v>101</v>
      </c>
    </row>
    <row r="1621" spans="1:12" x14ac:dyDescent="0.3">
      <c r="A1621" s="2">
        <v>1610</v>
      </c>
      <c r="B1621" s="2" t="s">
        <v>3105</v>
      </c>
      <c r="C1621" s="2" t="s">
        <v>4847</v>
      </c>
      <c r="D1621" s="2" t="s">
        <v>51</v>
      </c>
      <c r="E1621" s="2" t="s">
        <v>16</v>
      </c>
      <c r="F1621" s="2">
        <v>60</v>
      </c>
      <c r="G1621" s="2" t="s">
        <v>4848</v>
      </c>
      <c r="H1621" s="2" t="s">
        <v>4849</v>
      </c>
      <c r="I1621" s="2" t="s">
        <v>294</v>
      </c>
      <c r="J1621" s="3">
        <v>44078</v>
      </c>
      <c r="K1621" s="2">
        <v>42</v>
      </c>
      <c r="L1621" s="2" t="s">
        <v>45</v>
      </c>
    </row>
    <row r="1622" spans="1:12" x14ac:dyDescent="0.3">
      <c r="A1622" s="2">
        <v>1611</v>
      </c>
      <c r="B1622" s="2" t="s">
        <v>2231</v>
      </c>
      <c r="C1622" s="2" t="s">
        <v>2722</v>
      </c>
      <c r="D1622" s="2" t="s">
        <v>28</v>
      </c>
      <c r="E1622" s="2" t="s">
        <v>29</v>
      </c>
      <c r="F1622" s="2">
        <v>60</v>
      </c>
      <c r="G1622" s="2" t="s">
        <v>4850</v>
      </c>
      <c r="H1622" s="2" t="s">
        <v>4851</v>
      </c>
      <c r="I1622" s="2" t="s">
        <v>2543</v>
      </c>
      <c r="J1622" s="3">
        <v>44899</v>
      </c>
      <c r="K1622" s="2">
        <v>91</v>
      </c>
      <c r="L1622" s="2" t="s">
        <v>20</v>
      </c>
    </row>
    <row r="1623" spans="1:12" x14ac:dyDescent="0.3">
      <c r="A1623" s="2">
        <v>1612</v>
      </c>
      <c r="B1623" s="2" t="s">
        <v>960</v>
      </c>
      <c r="C1623" s="2" t="s">
        <v>3953</v>
      </c>
      <c r="D1623" s="2" t="s">
        <v>28</v>
      </c>
      <c r="E1623" s="2" t="s">
        <v>29</v>
      </c>
      <c r="F1623" s="2">
        <v>30</v>
      </c>
      <c r="G1623" s="2" t="s">
        <v>4852</v>
      </c>
      <c r="H1623" s="2" t="s">
        <v>4853</v>
      </c>
      <c r="I1623" s="2" t="s">
        <v>178</v>
      </c>
      <c r="J1623" s="3">
        <v>44583</v>
      </c>
      <c r="K1623" s="2">
        <v>24</v>
      </c>
      <c r="L1623" s="2" t="s">
        <v>159</v>
      </c>
    </row>
    <row r="1624" spans="1:12" x14ac:dyDescent="0.3">
      <c r="A1624" s="2">
        <v>1613</v>
      </c>
      <c r="B1624" s="2" t="s">
        <v>665</v>
      </c>
      <c r="C1624" s="2" t="s">
        <v>3419</v>
      </c>
      <c r="D1624" s="2" t="s">
        <v>28</v>
      </c>
      <c r="E1624" s="2" t="s">
        <v>29</v>
      </c>
      <c r="F1624" s="2">
        <v>30</v>
      </c>
      <c r="G1624" s="2" t="s">
        <v>4854</v>
      </c>
      <c r="H1624" s="2" t="s">
        <v>432</v>
      </c>
      <c r="I1624" s="2" t="s">
        <v>32</v>
      </c>
      <c r="J1624" s="3">
        <v>44823</v>
      </c>
      <c r="K1624" s="2">
        <v>72</v>
      </c>
      <c r="L1624" s="2" t="s">
        <v>70</v>
      </c>
    </row>
    <row r="1625" spans="1:12" x14ac:dyDescent="0.3">
      <c r="A1625" s="2">
        <v>1614</v>
      </c>
      <c r="B1625" s="2" t="s">
        <v>4855</v>
      </c>
      <c r="C1625" s="2" t="s">
        <v>264</v>
      </c>
      <c r="D1625" s="2" t="s">
        <v>15</v>
      </c>
      <c r="E1625" s="2" t="s">
        <v>16</v>
      </c>
      <c r="F1625" s="2">
        <v>90</v>
      </c>
      <c r="G1625" s="2" t="s">
        <v>4856</v>
      </c>
      <c r="H1625" s="2" t="s">
        <v>2902</v>
      </c>
      <c r="I1625" s="2" t="s">
        <v>32</v>
      </c>
      <c r="J1625" s="3">
        <v>43857</v>
      </c>
      <c r="K1625" s="2">
        <v>35</v>
      </c>
      <c r="L1625" s="2" t="s">
        <v>33</v>
      </c>
    </row>
    <row r="1626" spans="1:12" x14ac:dyDescent="0.3">
      <c r="A1626" s="2">
        <v>1615</v>
      </c>
      <c r="B1626" s="2" t="s">
        <v>4857</v>
      </c>
      <c r="C1626" s="2" t="s">
        <v>4858</v>
      </c>
      <c r="D1626" s="2" t="s">
        <v>41</v>
      </c>
      <c r="E1626" s="2" t="s">
        <v>16</v>
      </c>
      <c r="F1626" s="2">
        <v>60</v>
      </c>
      <c r="G1626" s="2" t="s">
        <v>4859</v>
      </c>
      <c r="H1626" s="2" t="s">
        <v>4860</v>
      </c>
      <c r="I1626" s="2" t="s">
        <v>32</v>
      </c>
      <c r="J1626" s="3">
        <v>44669</v>
      </c>
      <c r="K1626" s="2">
        <v>15</v>
      </c>
      <c r="L1626" s="2" t="s">
        <v>54</v>
      </c>
    </row>
    <row r="1627" spans="1:12" x14ac:dyDescent="0.3">
      <c r="A1627" s="2">
        <v>1616</v>
      </c>
      <c r="B1627" s="2" t="s">
        <v>179</v>
      </c>
      <c r="C1627" s="2" t="s">
        <v>4861</v>
      </c>
      <c r="D1627" s="2" t="s">
        <v>28</v>
      </c>
      <c r="E1627" s="2" t="s">
        <v>29</v>
      </c>
      <c r="F1627" s="2">
        <v>60</v>
      </c>
      <c r="G1627" s="2" t="s">
        <v>4862</v>
      </c>
      <c r="H1627" s="2" t="s">
        <v>4863</v>
      </c>
      <c r="I1627" s="2" t="s">
        <v>32</v>
      </c>
      <c r="J1627" s="3">
        <v>44573</v>
      </c>
      <c r="K1627" s="2">
        <v>11</v>
      </c>
      <c r="L1627" s="2" t="s">
        <v>101</v>
      </c>
    </row>
    <row r="1628" spans="1:12" x14ac:dyDescent="0.3">
      <c r="A1628" s="2">
        <v>1617</v>
      </c>
      <c r="B1628" s="2" t="s">
        <v>4868</v>
      </c>
      <c r="C1628" s="2" t="s">
        <v>3439</v>
      </c>
      <c r="D1628" s="2" t="s">
        <v>41</v>
      </c>
      <c r="E1628" s="2" t="s">
        <v>16</v>
      </c>
      <c r="F1628" s="2">
        <v>60</v>
      </c>
      <c r="G1628" s="2" t="s">
        <v>4869</v>
      </c>
      <c r="H1628" s="2" t="s">
        <v>4870</v>
      </c>
      <c r="I1628" s="2" t="s">
        <v>146</v>
      </c>
      <c r="J1628" s="3">
        <v>44841</v>
      </c>
      <c r="K1628" s="2">
        <v>86</v>
      </c>
      <c r="L1628" s="2" t="s">
        <v>64</v>
      </c>
    </row>
    <row r="1629" spans="1:12" x14ac:dyDescent="0.3">
      <c r="A1629" s="2">
        <v>1618</v>
      </c>
      <c r="B1629" s="2" t="s">
        <v>4871</v>
      </c>
      <c r="C1629" s="2" t="s">
        <v>2326</v>
      </c>
      <c r="D1629" s="2" t="s">
        <v>51</v>
      </c>
      <c r="E1629" s="2" t="s">
        <v>16</v>
      </c>
      <c r="F1629" s="2">
        <v>90</v>
      </c>
      <c r="G1629" s="2" t="s">
        <v>4872</v>
      </c>
      <c r="H1629" s="2" t="s">
        <v>3551</v>
      </c>
      <c r="I1629" s="2" t="s">
        <v>32</v>
      </c>
      <c r="J1629" s="3">
        <v>43951</v>
      </c>
      <c r="K1629" s="2">
        <v>46</v>
      </c>
      <c r="L1629" s="2" t="s">
        <v>159</v>
      </c>
    </row>
    <row r="1630" spans="1:12" x14ac:dyDescent="0.3">
      <c r="A1630" s="2">
        <v>1619</v>
      </c>
      <c r="B1630" s="2" t="s">
        <v>4554</v>
      </c>
      <c r="C1630" s="2" t="s">
        <v>816</v>
      </c>
      <c r="D1630" s="2" t="s">
        <v>15</v>
      </c>
      <c r="E1630" s="2" t="s">
        <v>16</v>
      </c>
      <c r="F1630" s="2">
        <v>90</v>
      </c>
      <c r="G1630" s="2" t="s">
        <v>4873</v>
      </c>
      <c r="H1630" s="2" t="s">
        <v>4874</v>
      </c>
      <c r="I1630" s="2" t="s">
        <v>32</v>
      </c>
      <c r="J1630" s="3">
        <v>44453</v>
      </c>
      <c r="K1630" s="2">
        <v>5</v>
      </c>
      <c r="L1630" s="2" t="s">
        <v>20</v>
      </c>
    </row>
    <row r="1631" spans="1:12" x14ac:dyDescent="0.3">
      <c r="A1631" s="2">
        <v>1620</v>
      </c>
      <c r="B1631" s="2" t="s">
        <v>4875</v>
      </c>
      <c r="C1631" s="2" t="s">
        <v>4876</v>
      </c>
      <c r="D1631" s="2" t="s">
        <v>28</v>
      </c>
      <c r="E1631" s="2" t="s">
        <v>29</v>
      </c>
      <c r="F1631" s="2">
        <v>90</v>
      </c>
      <c r="G1631" s="2" t="s">
        <v>4877</v>
      </c>
      <c r="H1631" s="2" t="s">
        <v>4878</v>
      </c>
      <c r="I1631" s="2" t="s">
        <v>187</v>
      </c>
      <c r="J1631" s="3">
        <v>44825</v>
      </c>
      <c r="K1631" s="2">
        <v>22</v>
      </c>
      <c r="L1631" s="2" t="s">
        <v>101</v>
      </c>
    </row>
    <row r="1632" spans="1:12" x14ac:dyDescent="0.3">
      <c r="A1632" s="2">
        <v>1621</v>
      </c>
      <c r="B1632" s="2" t="s">
        <v>4879</v>
      </c>
      <c r="C1632" s="2" t="s">
        <v>4880</v>
      </c>
      <c r="D1632" s="2" t="s">
        <v>15</v>
      </c>
      <c r="E1632" s="2" t="s">
        <v>16</v>
      </c>
      <c r="F1632" s="2">
        <v>90</v>
      </c>
      <c r="G1632" s="2" t="s">
        <v>4881</v>
      </c>
      <c r="H1632" s="2" t="s">
        <v>4882</v>
      </c>
      <c r="I1632" s="2" t="s">
        <v>146</v>
      </c>
      <c r="J1632" s="3">
        <v>44473</v>
      </c>
      <c r="K1632" s="2">
        <v>45</v>
      </c>
      <c r="L1632" s="2" t="s">
        <v>159</v>
      </c>
    </row>
    <row r="1633" spans="1:12" x14ac:dyDescent="0.3">
      <c r="A1633" s="2">
        <v>1622</v>
      </c>
      <c r="B1633" s="2" t="s">
        <v>1208</v>
      </c>
      <c r="C1633" s="2" t="s">
        <v>422</v>
      </c>
      <c r="D1633" s="2" t="s">
        <v>28</v>
      </c>
      <c r="E1633" s="2" t="s">
        <v>29</v>
      </c>
      <c r="F1633" s="2">
        <v>90</v>
      </c>
      <c r="G1633" s="2" t="s">
        <v>4883</v>
      </c>
      <c r="H1633" s="2" t="s">
        <v>806</v>
      </c>
      <c r="I1633" s="2" t="s">
        <v>178</v>
      </c>
      <c r="J1633" s="3">
        <v>44480</v>
      </c>
      <c r="K1633" s="2">
        <v>78</v>
      </c>
      <c r="L1633" s="2" t="s">
        <v>64</v>
      </c>
    </row>
    <row r="1634" spans="1:12" x14ac:dyDescent="0.3">
      <c r="A1634" s="2">
        <v>1623</v>
      </c>
      <c r="B1634" s="2" t="s">
        <v>4884</v>
      </c>
      <c r="C1634" s="2" t="s">
        <v>4664</v>
      </c>
      <c r="D1634" s="2" t="s">
        <v>51</v>
      </c>
      <c r="E1634" s="2" t="s">
        <v>16</v>
      </c>
      <c r="F1634" s="2">
        <v>60</v>
      </c>
      <c r="G1634" s="2" t="s">
        <v>4885</v>
      </c>
      <c r="H1634" s="2" t="s">
        <v>4886</v>
      </c>
      <c r="I1634" s="2" t="s">
        <v>32</v>
      </c>
      <c r="J1634" s="3">
        <v>44653</v>
      </c>
      <c r="K1634" s="2">
        <v>84</v>
      </c>
      <c r="L1634" s="2" t="s">
        <v>54</v>
      </c>
    </row>
    <row r="1635" spans="1:12" x14ac:dyDescent="0.3">
      <c r="A1635" s="2">
        <v>1624</v>
      </c>
      <c r="B1635" s="2" t="s">
        <v>1922</v>
      </c>
      <c r="C1635" s="2" t="s">
        <v>4261</v>
      </c>
      <c r="D1635" s="2" t="s">
        <v>51</v>
      </c>
      <c r="E1635" s="2" t="s">
        <v>16</v>
      </c>
      <c r="F1635" s="2">
        <v>90</v>
      </c>
      <c r="G1635" s="2" t="s">
        <v>4887</v>
      </c>
      <c r="H1635" s="2" t="s">
        <v>3365</v>
      </c>
      <c r="I1635" s="2" t="s">
        <v>146</v>
      </c>
      <c r="J1635" s="3">
        <v>44468</v>
      </c>
      <c r="K1635" s="2">
        <v>42</v>
      </c>
      <c r="L1635" s="2" t="s">
        <v>101</v>
      </c>
    </row>
    <row r="1636" spans="1:12" x14ac:dyDescent="0.3">
      <c r="A1636" s="2">
        <v>1625</v>
      </c>
      <c r="B1636" s="2" t="s">
        <v>1234</v>
      </c>
      <c r="C1636" s="2" t="s">
        <v>2823</v>
      </c>
      <c r="D1636" s="2" t="s">
        <v>28</v>
      </c>
      <c r="E1636" s="2" t="s">
        <v>29</v>
      </c>
      <c r="F1636" s="2">
        <v>30</v>
      </c>
      <c r="G1636" s="2" t="s">
        <v>4888</v>
      </c>
      <c r="H1636" s="2" t="s">
        <v>4889</v>
      </c>
      <c r="I1636" s="2" t="s">
        <v>110</v>
      </c>
      <c r="J1636" s="3">
        <v>44126</v>
      </c>
      <c r="K1636" s="2">
        <v>62</v>
      </c>
      <c r="L1636" s="2" t="s">
        <v>20</v>
      </c>
    </row>
    <row r="1637" spans="1:12" x14ac:dyDescent="0.3">
      <c r="A1637" s="2">
        <v>1626</v>
      </c>
      <c r="B1637" s="2" t="s">
        <v>204</v>
      </c>
      <c r="C1637" s="2" t="s">
        <v>1461</v>
      </c>
      <c r="D1637" s="2" t="s">
        <v>28</v>
      </c>
      <c r="E1637" s="2" t="s">
        <v>29</v>
      </c>
      <c r="F1637" s="2">
        <v>90</v>
      </c>
      <c r="G1637" s="2" t="s">
        <v>4890</v>
      </c>
      <c r="H1637" s="2" t="s">
        <v>2516</v>
      </c>
      <c r="I1637" s="2" t="s">
        <v>32</v>
      </c>
      <c r="J1637" s="3">
        <v>44114</v>
      </c>
      <c r="K1637" s="2">
        <v>18</v>
      </c>
      <c r="L1637" s="2" t="s">
        <v>159</v>
      </c>
    </row>
    <row r="1638" spans="1:12" x14ac:dyDescent="0.3">
      <c r="A1638" s="2">
        <v>1627</v>
      </c>
      <c r="B1638" s="2" t="s">
        <v>4891</v>
      </c>
      <c r="C1638" s="2" t="s">
        <v>4892</v>
      </c>
      <c r="D1638" s="2" t="s">
        <v>15</v>
      </c>
      <c r="E1638" s="2" t="s">
        <v>16</v>
      </c>
      <c r="F1638" s="2">
        <v>30</v>
      </c>
      <c r="G1638" s="2" t="s">
        <v>4893</v>
      </c>
      <c r="H1638" s="2" t="s">
        <v>1295</v>
      </c>
      <c r="I1638" s="2" t="s">
        <v>32</v>
      </c>
      <c r="J1638" s="3">
        <v>44322</v>
      </c>
      <c r="K1638" s="2">
        <v>70</v>
      </c>
      <c r="L1638" s="2" t="s">
        <v>54</v>
      </c>
    </row>
    <row r="1639" spans="1:12" x14ac:dyDescent="0.3">
      <c r="A1639" s="2">
        <v>1628</v>
      </c>
      <c r="B1639" s="2" t="s">
        <v>4894</v>
      </c>
      <c r="C1639" s="2" t="s">
        <v>1170</v>
      </c>
      <c r="D1639" s="2" t="s">
        <v>41</v>
      </c>
      <c r="E1639" s="2" t="s">
        <v>16</v>
      </c>
      <c r="F1639" s="2">
        <v>60</v>
      </c>
      <c r="G1639" s="2" t="s">
        <v>4895</v>
      </c>
      <c r="H1639" s="2" t="s">
        <v>3531</v>
      </c>
      <c r="I1639" s="2" t="s">
        <v>32</v>
      </c>
      <c r="J1639" s="3">
        <v>44538</v>
      </c>
      <c r="K1639" s="2">
        <v>81</v>
      </c>
      <c r="L1639" s="2" t="s">
        <v>80</v>
      </c>
    </row>
    <row r="1640" spans="1:12" x14ac:dyDescent="0.3">
      <c r="A1640" s="2">
        <v>1629</v>
      </c>
      <c r="B1640" s="2" t="s">
        <v>1200</v>
      </c>
      <c r="C1640" s="2" t="s">
        <v>1950</v>
      </c>
      <c r="D1640" s="2" t="s">
        <v>28</v>
      </c>
      <c r="E1640" s="2" t="s">
        <v>29</v>
      </c>
      <c r="F1640" s="2">
        <v>60</v>
      </c>
      <c r="G1640" s="2" t="s">
        <v>4896</v>
      </c>
      <c r="H1640" s="2" t="s">
        <v>4266</v>
      </c>
      <c r="I1640" s="2" t="s">
        <v>25</v>
      </c>
      <c r="J1640" s="3">
        <v>43937</v>
      </c>
      <c r="K1640" s="2">
        <v>70</v>
      </c>
      <c r="L1640" s="2" t="s">
        <v>159</v>
      </c>
    </row>
    <row r="1641" spans="1:12" x14ac:dyDescent="0.3">
      <c r="A1641" s="2">
        <v>1630</v>
      </c>
      <c r="B1641" s="2" t="s">
        <v>4897</v>
      </c>
      <c r="C1641" s="2" t="s">
        <v>189</v>
      </c>
      <c r="D1641" s="2" t="s">
        <v>28</v>
      </c>
      <c r="E1641" s="2" t="s">
        <v>29</v>
      </c>
      <c r="F1641" s="2">
        <v>30</v>
      </c>
      <c r="G1641" s="2" t="s">
        <v>4898</v>
      </c>
      <c r="H1641" s="2" t="s">
        <v>4899</v>
      </c>
      <c r="I1641" s="2" t="s">
        <v>100</v>
      </c>
      <c r="J1641" s="3">
        <v>44165</v>
      </c>
      <c r="K1641" s="2">
        <v>23</v>
      </c>
      <c r="L1641" s="2" t="s">
        <v>39</v>
      </c>
    </row>
    <row r="1642" spans="1:12" x14ac:dyDescent="0.3">
      <c r="A1642" s="2">
        <v>1631</v>
      </c>
      <c r="B1642" s="2" t="s">
        <v>2268</v>
      </c>
      <c r="C1642" s="2" t="s">
        <v>1204</v>
      </c>
      <c r="D1642" s="2" t="s">
        <v>15</v>
      </c>
      <c r="E1642" s="2" t="s">
        <v>16</v>
      </c>
      <c r="F1642" s="2">
        <v>90</v>
      </c>
      <c r="G1642" s="2" t="s">
        <v>4900</v>
      </c>
      <c r="H1642" s="2" t="s">
        <v>3261</v>
      </c>
      <c r="I1642" s="2" t="s">
        <v>124</v>
      </c>
      <c r="J1642" s="3">
        <v>44853</v>
      </c>
      <c r="K1642" s="2">
        <v>66</v>
      </c>
      <c r="L1642" s="2" t="s">
        <v>33</v>
      </c>
    </row>
    <row r="1643" spans="1:12" x14ac:dyDescent="0.3">
      <c r="A1643" s="2">
        <v>1632</v>
      </c>
      <c r="B1643" s="2" t="s">
        <v>731</v>
      </c>
      <c r="C1643" s="2" t="s">
        <v>3676</v>
      </c>
      <c r="D1643" s="2" t="s">
        <v>28</v>
      </c>
      <c r="E1643" s="2" t="s">
        <v>29</v>
      </c>
      <c r="F1643" s="2">
        <v>30</v>
      </c>
      <c r="G1643" s="2" t="s">
        <v>4900</v>
      </c>
      <c r="H1643" s="2" t="s">
        <v>4901</v>
      </c>
      <c r="I1643" s="2" t="s">
        <v>32</v>
      </c>
      <c r="J1643" s="3">
        <v>43896</v>
      </c>
      <c r="K1643" s="2">
        <v>84</v>
      </c>
      <c r="L1643" s="2" t="s">
        <v>101</v>
      </c>
    </row>
    <row r="1644" spans="1:12" x14ac:dyDescent="0.3">
      <c r="A1644" s="2">
        <v>1633</v>
      </c>
      <c r="B1644" s="2" t="s">
        <v>4902</v>
      </c>
      <c r="C1644" s="2" t="s">
        <v>4903</v>
      </c>
      <c r="D1644" s="2" t="s">
        <v>15</v>
      </c>
      <c r="E1644" s="2" t="s">
        <v>16</v>
      </c>
      <c r="F1644" s="2">
        <v>30</v>
      </c>
      <c r="G1644" s="2" t="s">
        <v>4904</v>
      </c>
      <c r="H1644" s="2" t="s">
        <v>1463</v>
      </c>
      <c r="I1644" s="2" t="s">
        <v>19</v>
      </c>
      <c r="J1644" s="3">
        <v>44388</v>
      </c>
      <c r="K1644" s="2">
        <v>10</v>
      </c>
      <c r="L1644" s="2" t="s">
        <v>54</v>
      </c>
    </row>
    <row r="1645" spans="1:12" x14ac:dyDescent="0.3">
      <c r="A1645" s="2">
        <v>1634</v>
      </c>
      <c r="B1645" s="2" t="s">
        <v>4905</v>
      </c>
      <c r="C1645" s="2" t="s">
        <v>2690</v>
      </c>
      <c r="D1645" s="2" t="s">
        <v>28</v>
      </c>
      <c r="E1645" s="2" t="s">
        <v>29</v>
      </c>
      <c r="F1645" s="2">
        <v>90</v>
      </c>
      <c r="G1645" s="2" t="s">
        <v>4904</v>
      </c>
      <c r="H1645" s="2" t="s">
        <v>1965</v>
      </c>
      <c r="I1645" s="2" t="s">
        <v>32</v>
      </c>
      <c r="J1645" s="3">
        <v>44123</v>
      </c>
      <c r="K1645" s="2">
        <v>74</v>
      </c>
      <c r="L1645" s="2" t="s">
        <v>33</v>
      </c>
    </row>
    <row r="1646" spans="1:12" x14ac:dyDescent="0.3">
      <c r="A1646" s="2">
        <v>1635</v>
      </c>
      <c r="B1646" s="2" t="s">
        <v>4906</v>
      </c>
      <c r="C1646" s="2" t="s">
        <v>892</v>
      </c>
      <c r="D1646" s="2" t="s">
        <v>51</v>
      </c>
      <c r="E1646" s="2" t="s">
        <v>16</v>
      </c>
      <c r="F1646" s="2">
        <v>60</v>
      </c>
      <c r="G1646" s="2" t="s">
        <v>4907</v>
      </c>
      <c r="H1646" s="2" t="s">
        <v>1632</v>
      </c>
      <c r="I1646" s="2" t="s">
        <v>32</v>
      </c>
      <c r="J1646" s="3">
        <v>44333</v>
      </c>
      <c r="K1646" s="2">
        <v>8</v>
      </c>
      <c r="L1646" s="2" t="s">
        <v>70</v>
      </c>
    </row>
    <row r="1647" spans="1:12" x14ac:dyDescent="0.3">
      <c r="A1647" s="2">
        <v>1636</v>
      </c>
      <c r="B1647" s="2" t="s">
        <v>3089</v>
      </c>
      <c r="C1647" s="2" t="s">
        <v>2715</v>
      </c>
      <c r="D1647" s="2" t="s">
        <v>28</v>
      </c>
      <c r="E1647" s="2" t="s">
        <v>29</v>
      </c>
      <c r="F1647" s="2">
        <v>90</v>
      </c>
      <c r="G1647" s="2" t="s">
        <v>4908</v>
      </c>
      <c r="H1647" s="2" t="s">
        <v>917</v>
      </c>
      <c r="I1647" s="2" t="s">
        <v>32</v>
      </c>
      <c r="J1647" s="3">
        <v>44644</v>
      </c>
      <c r="K1647" s="2">
        <v>71</v>
      </c>
      <c r="L1647" s="2" t="s">
        <v>33</v>
      </c>
    </row>
    <row r="1648" spans="1:12" x14ac:dyDescent="0.3">
      <c r="A1648" s="2">
        <v>1637</v>
      </c>
      <c r="B1648" s="2" t="s">
        <v>4909</v>
      </c>
      <c r="C1648" s="2" t="s">
        <v>3824</v>
      </c>
      <c r="D1648" s="2" t="s">
        <v>15</v>
      </c>
      <c r="E1648" s="2" t="s">
        <v>16</v>
      </c>
      <c r="F1648" s="2">
        <v>30</v>
      </c>
      <c r="G1648" s="2" t="s">
        <v>4910</v>
      </c>
      <c r="H1648" s="2" t="s">
        <v>4911</v>
      </c>
      <c r="I1648" s="2" t="s">
        <v>95</v>
      </c>
      <c r="J1648" s="3">
        <v>43880</v>
      </c>
      <c r="K1648" s="2">
        <v>48</v>
      </c>
      <c r="L1648" s="2" t="s">
        <v>159</v>
      </c>
    </row>
    <row r="1649" spans="1:12" x14ac:dyDescent="0.3">
      <c r="A1649" s="2">
        <v>1638</v>
      </c>
      <c r="B1649" s="2" t="s">
        <v>4652</v>
      </c>
      <c r="C1649" s="2" t="s">
        <v>1918</v>
      </c>
      <c r="D1649" s="2" t="s">
        <v>28</v>
      </c>
      <c r="E1649" s="2" t="s">
        <v>29</v>
      </c>
      <c r="F1649" s="2">
        <v>30</v>
      </c>
      <c r="G1649" s="2" t="s">
        <v>4910</v>
      </c>
      <c r="H1649" s="2" t="s">
        <v>545</v>
      </c>
      <c r="I1649" s="2" t="s">
        <v>173</v>
      </c>
      <c r="J1649" s="3">
        <v>44382</v>
      </c>
      <c r="K1649" s="2">
        <v>7</v>
      </c>
      <c r="L1649" s="2" t="s">
        <v>39</v>
      </c>
    </row>
    <row r="1650" spans="1:12" x14ac:dyDescent="0.3">
      <c r="A1650" s="2">
        <v>1639</v>
      </c>
      <c r="B1650" s="2" t="s">
        <v>4912</v>
      </c>
      <c r="C1650" s="2" t="s">
        <v>4913</v>
      </c>
      <c r="D1650" s="2" t="s">
        <v>15</v>
      </c>
      <c r="E1650" s="2" t="s">
        <v>16</v>
      </c>
      <c r="F1650" s="2">
        <v>30</v>
      </c>
      <c r="G1650" s="2" t="s">
        <v>4914</v>
      </c>
      <c r="H1650" s="2" t="s">
        <v>4915</v>
      </c>
      <c r="I1650" s="2" t="s">
        <v>32</v>
      </c>
      <c r="J1650" s="3">
        <v>44192</v>
      </c>
      <c r="K1650" s="2">
        <v>61</v>
      </c>
      <c r="L1650" s="2" t="s">
        <v>20</v>
      </c>
    </row>
    <row r="1651" spans="1:12" x14ac:dyDescent="0.3">
      <c r="A1651" s="2">
        <v>1640</v>
      </c>
      <c r="B1651" s="2" t="s">
        <v>4916</v>
      </c>
      <c r="C1651" s="2" t="s">
        <v>4917</v>
      </c>
      <c r="D1651" s="2" t="s">
        <v>28</v>
      </c>
      <c r="E1651" s="2" t="s">
        <v>29</v>
      </c>
      <c r="F1651" s="2">
        <v>90</v>
      </c>
      <c r="G1651" s="2" t="s">
        <v>4918</v>
      </c>
      <c r="H1651" s="2" t="s">
        <v>4919</v>
      </c>
      <c r="I1651" s="2" t="s">
        <v>303</v>
      </c>
      <c r="J1651" s="3">
        <v>44021</v>
      </c>
      <c r="K1651" s="2">
        <v>31</v>
      </c>
      <c r="L1651" s="2" t="s">
        <v>101</v>
      </c>
    </row>
    <row r="1652" spans="1:12" x14ac:dyDescent="0.3">
      <c r="A1652" s="2">
        <v>1641</v>
      </c>
      <c r="B1652" s="2" t="s">
        <v>4920</v>
      </c>
      <c r="C1652" s="2" t="s">
        <v>3330</v>
      </c>
      <c r="D1652" s="2" t="s">
        <v>15</v>
      </c>
      <c r="E1652" s="2" t="s">
        <v>16</v>
      </c>
      <c r="F1652" s="2">
        <v>90</v>
      </c>
      <c r="G1652" s="2" t="s">
        <v>4921</v>
      </c>
      <c r="H1652" s="2" t="s">
        <v>3695</v>
      </c>
      <c r="I1652" s="2" t="s">
        <v>173</v>
      </c>
      <c r="J1652" s="3">
        <v>44386</v>
      </c>
      <c r="K1652" s="2">
        <v>76</v>
      </c>
      <c r="L1652" s="2" t="s">
        <v>39</v>
      </c>
    </row>
    <row r="1653" spans="1:12" x14ac:dyDescent="0.3">
      <c r="A1653" s="2">
        <v>1642</v>
      </c>
      <c r="B1653" s="2" t="s">
        <v>4922</v>
      </c>
      <c r="C1653" s="2" t="s">
        <v>3338</v>
      </c>
      <c r="D1653" s="2" t="s">
        <v>51</v>
      </c>
      <c r="E1653" s="2" t="s">
        <v>16</v>
      </c>
      <c r="F1653" s="2">
        <v>60</v>
      </c>
      <c r="G1653" s="2" t="s">
        <v>4923</v>
      </c>
      <c r="H1653" s="2" t="s">
        <v>4924</v>
      </c>
      <c r="I1653" s="2" t="s">
        <v>32</v>
      </c>
      <c r="J1653" s="3">
        <v>44494</v>
      </c>
      <c r="K1653" s="2">
        <v>6</v>
      </c>
      <c r="L1653" s="2" t="s">
        <v>64</v>
      </c>
    </row>
    <row r="1654" spans="1:12" x14ac:dyDescent="0.3">
      <c r="A1654" s="2">
        <v>1643</v>
      </c>
      <c r="B1654" s="2" t="s">
        <v>4250</v>
      </c>
      <c r="C1654" s="2" t="s">
        <v>2148</v>
      </c>
      <c r="D1654" s="2" t="s">
        <v>28</v>
      </c>
      <c r="E1654" s="2" t="s">
        <v>29</v>
      </c>
      <c r="F1654" s="2">
        <v>30</v>
      </c>
      <c r="G1654" s="2" t="s">
        <v>4925</v>
      </c>
      <c r="H1654" s="2" t="s">
        <v>199</v>
      </c>
      <c r="I1654" s="2" t="s">
        <v>32</v>
      </c>
      <c r="J1654" s="3">
        <v>44908</v>
      </c>
      <c r="K1654" s="2">
        <v>37</v>
      </c>
      <c r="L1654" s="2" t="s">
        <v>80</v>
      </c>
    </row>
    <row r="1655" spans="1:12" x14ac:dyDescent="0.3">
      <c r="A1655" s="2">
        <v>1644</v>
      </c>
      <c r="B1655" s="2" t="s">
        <v>4926</v>
      </c>
      <c r="C1655" s="2" t="s">
        <v>4927</v>
      </c>
      <c r="D1655" s="2" t="s">
        <v>15</v>
      </c>
      <c r="E1655" s="2" t="s">
        <v>16</v>
      </c>
      <c r="F1655" s="2">
        <v>90</v>
      </c>
      <c r="G1655" s="2" t="s">
        <v>4928</v>
      </c>
      <c r="H1655" s="2" t="s">
        <v>3387</v>
      </c>
      <c r="I1655" s="2" t="s">
        <v>2878</v>
      </c>
      <c r="J1655" s="3">
        <v>44367</v>
      </c>
      <c r="K1655" s="2">
        <v>14</v>
      </c>
      <c r="L1655" s="2" t="s">
        <v>70</v>
      </c>
    </row>
    <row r="1656" spans="1:12" x14ac:dyDescent="0.3">
      <c r="A1656" s="2">
        <v>1645</v>
      </c>
      <c r="B1656" s="2" t="s">
        <v>4929</v>
      </c>
      <c r="C1656" s="2" t="s">
        <v>832</v>
      </c>
      <c r="D1656" s="2" t="s">
        <v>15</v>
      </c>
      <c r="E1656" s="2" t="s">
        <v>16</v>
      </c>
      <c r="F1656" s="2">
        <v>90</v>
      </c>
      <c r="G1656" s="2" t="s">
        <v>10496</v>
      </c>
      <c r="H1656" s="2" t="s">
        <v>1077</v>
      </c>
      <c r="I1656" s="2" t="s">
        <v>1078</v>
      </c>
      <c r="J1656" s="3">
        <v>44828</v>
      </c>
      <c r="K1656" s="2">
        <v>65</v>
      </c>
      <c r="L1656" s="2" t="s">
        <v>159</v>
      </c>
    </row>
    <row r="1657" spans="1:12" x14ac:dyDescent="0.3">
      <c r="A1657" s="2">
        <v>1646</v>
      </c>
      <c r="B1657" s="2" t="s">
        <v>2292</v>
      </c>
      <c r="C1657" s="2" t="s">
        <v>2977</v>
      </c>
      <c r="D1657" s="2" t="s">
        <v>117</v>
      </c>
      <c r="E1657" s="2" t="s">
        <v>29</v>
      </c>
      <c r="F1657" s="2">
        <v>90</v>
      </c>
      <c r="G1657" s="2" t="s">
        <v>4931</v>
      </c>
      <c r="H1657" s="2" t="s">
        <v>4932</v>
      </c>
      <c r="I1657" s="2" t="s">
        <v>38</v>
      </c>
      <c r="J1657" s="3">
        <v>44623</v>
      </c>
      <c r="K1657" s="2">
        <v>55</v>
      </c>
      <c r="L1657" s="2" t="s">
        <v>45</v>
      </c>
    </row>
    <row r="1658" spans="1:12" x14ac:dyDescent="0.3">
      <c r="A1658" s="2">
        <v>1647</v>
      </c>
      <c r="B1658" s="2" t="s">
        <v>721</v>
      </c>
      <c r="C1658" s="2" t="s">
        <v>4933</v>
      </c>
      <c r="D1658" s="2" t="s">
        <v>28</v>
      </c>
      <c r="E1658" s="2" t="s">
        <v>29</v>
      </c>
      <c r="F1658" s="2">
        <v>30</v>
      </c>
      <c r="G1658" s="2" t="s">
        <v>4934</v>
      </c>
      <c r="H1658" s="2" t="s">
        <v>4935</v>
      </c>
      <c r="I1658" s="2" t="s">
        <v>124</v>
      </c>
      <c r="J1658" s="3">
        <v>43860</v>
      </c>
      <c r="K1658" s="2">
        <v>78</v>
      </c>
      <c r="L1658" s="2" t="s">
        <v>33</v>
      </c>
    </row>
    <row r="1659" spans="1:12" x14ac:dyDescent="0.3">
      <c r="A1659" s="2">
        <v>1648</v>
      </c>
      <c r="B1659" s="2" t="s">
        <v>4936</v>
      </c>
      <c r="C1659" s="2" t="s">
        <v>3109</v>
      </c>
      <c r="D1659" s="2" t="s">
        <v>28</v>
      </c>
      <c r="E1659" s="2" t="s">
        <v>29</v>
      </c>
      <c r="F1659" s="2">
        <v>60</v>
      </c>
      <c r="G1659" s="2" t="s">
        <v>4937</v>
      </c>
      <c r="H1659" s="2" t="s">
        <v>4938</v>
      </c>
      <c r="I1659" s="2" t="s">
        <v>32</v>
      </c>
      <c r="J1659" s="3">
        <v>44381</v>
      </c>
      <c r="K1659" s="2">
        <v>92</v>
      </c>
      <c r="L1659" s="2" t="s">
        <v>33</v>
      </c>
    </row>
    <row r="1660" spans="1:12" x14ac:dyDescent="0.3">
      <c r="A1660" s="2">
        <v>1649</v>
      </c>
      <c r="B1660" s="2" t="s">
        <v>4939</v>
      </c>
      <c r="C1660" s="2" t="s">
        <v>1282</v>
      </c>
      <c r="D1660" s="2" t="s">
        <v>28</v>
      </c>
      <c r="E1660" s="2" t="s">
        <v>29</v>
      </c>
      <c r="F1660" s="2">
        <v>30</v>
      </c>
      <c r="G1660" s="2" t="s">
        <v>4940</v>
      </c>
      <c r="H1660" s="2" t="s">
        <v>4941</v>
      </c>
      <c r="I1660" s="2" t="s">
        <v>32</v>
      </c>
      <c r="J1660" s="3">
        <v>44915</v>
      </c>
      <c r="K1660" s="2">
        <v>88</v>
      </c>
      <c r="L1660" s="2" t="s">
        <v>80</v>
      </c>
    </row>
    <row r="1661" spans="1:12" x14ac:dyDescent="0.3">
      <c r="A1661" s="2">
        <v>1650</v>
      </c>
      <c r="B1661" s="2" t="s">
        <v>4942</v>
      </c>
      <c r="C1661" s="2" t="s">
        <v>1406</v>
      </c>
      <c r="D1661" s="2" t="s">
        <v>41</v>
      </c>
      <c r="E1661" s="2" t="s">
        <v>16</v>
      </c>
      <c r="F1661" s="2">
        <v>60</v>
      </c>
      <c r="G1661" s="2" t="s">
        <v>4943</v>
      </c>
      <c r="H1661" s="2" t="s">
        <v>4944</v>
      </c>
      <c r="I1661" s="2" t="s">
        <v>839</v>
      </c>
      <c r="J1661" s="3">
        <v>44691</v>
      </c>
      <c r="K1661" s="2">
        <v>99</v>
      </c>
      <c r="L1661" s="2" t="s">
        <v>20</v>
      </c>
    </row>
    <row r="1662" spans="1:12" x14ac:dyDescent="0.3">
      <c r="A1662" s="2">
        <v>1651</v>
      </c>
      <c r="B1662" s="2" t="s">
        <v>1672</v>
      </c>
      <c r="C1662" s="2" t="s">
        <v>499</v>
      </c>
      <c r="D1662" s="2" t="s">
        <v>28</v>
      </c>
      <c r="E1662" s="2" t="s">
        <v>29</v>
      </c>
      <c r="F1662" s="2">
        <v>90</v>
      </c>
      <c r="G1662" s="2" t="s">
        <v>4945</v>
      </c>
      <c r="H1662" s="2" t="s">
        <v>720</v>
      </c>
      <c r="I1662" s="2" t="s">
        <v>686</v>
      </c>
      <c r="J1662" s="3">
        <v>44444</v>
      </c>
      <c r="K1662" s="2">
        <v>68</v>
      </c>
      <c r="L1662" s="2" t="s">
        <v>20</v>
      </c>
    </row>
    <row r="1663" spans="1:12" x14ac:dyDescent="0.3">
      <c r="A1663" s="2">
        <v>1652</v>
      </c>
      <c r="B1663" s="2" t="s">
        <v>1881</v>
      </c>
      <c r="C1663" s="2" t="s">
        <v>4946</v>
      </c>
      <c r="D1663" s="2" t="s">
        <v>28</v>
      </c>
      <c r="E1663" s="2" t="s">
        <v>29</v>
      </c>
      <c r="F1663" s="2">
        <v>90</v>
      </c>
      <c r="G1663" s="2" t="s">
        <v>4945</v>
      </c>
      <c r="H1663" s="2" t="s">
        <v>4947</v>
      </c>
      <c r="I1663" s="2" t="s">
        <v>32</v>
      </c>
      <c r="J1663" s="3">
        <v>44596</v>
      </c>
      <c r="K1663" s="2">
        <v>75</v>
      </c>
      <c r="L1663" s="2" t="s">
        <v>64</v>
      </c>
    </row>
    <row r="1664" spans="1:12" x14ac:dyDescent="0.3">
      <c r="A1664" s="2">
        <v>1653</v>
      </c>
      <c r="B1664" s="2" t="s">
        <v>4948</v>
      </c>
      <c r="C1664" s="2" t="s">
        <v>4949</v>
      </c>
      <c r="D1664" s="2" t="s">
        <v>15</v>
      </c>
      <c r="E1664" s="2" t="s">
        <v>16</v>
      </c>
      <c r="F1664" s="2">
        <v>90</v>
      </c>
      <c r="G1664" s="2" t="s">
        <v>4950</v>
      </c>
      <c r="H1664" s="2" t="s">
        <v>3699</v>
      </c>
      <c r="I1664" s="2" t="s">
        <v>2983</v>
      </c>
      <c r="J1664" s="3">
        <v>44313</v>
      </c>
      <c r="K1664" s="2">
        <v>95</v>
      </c>
      <c r="L1664" s="2" t="s">
        <v>70</v>
      </c>
    </row>
    <row r="1665" spans="1:12" x14ac:dyDescent="0.3">
      <c r="A1665" s="2">
        <v>1654</v>
      </c>
      <c r="B1665" s="2" t="s">
        <v>4951</v>
      </c>
      <c r="C1665" s="2" t="s">
        <v>26</v>
      </c>
      <c r="D1665" s="2" t="s">
        <v>15</v>
      </c>
      <c r="E1665" s="2" t="s">
        <v>16</v>
      </c>
      <c r="F1665" s="2">
        <v>90</v>
      </c>
      <c r="G1665" s="2" t="s">
        <v>4952</v>
      </c>
      <c r="H1665" s="2" t="s">
        <v>806</v>
      </c>
      <c r="I1665" s="2" t="s">
        <v>178</v>
      </c>
      <c r="J1665" s="3">
        <v>44847</v>
      </c>
      <c r="K1665" s="2">
        <v>72</v>
      </c>
      <c r="L1665" s="2" t="s">
        <v>45</v>
      </c>
    </row>
    <row r="1666" spans="1:12" x14ac:dyDescent="0.3">
      <c r="A1666" s="2">
        <v>1655</v>
      </c>
      <c r="B1666" s="2" t="s">
        <v>4953</v>
      </c>
      <c r="C1666" s="2" t="s">
        <v>4596</v>
      </c>
      <c r="D1666" s="2" t="s">
        <v>15</v>
      </c>
      <c r="E1666" s="2" t="s">
        <v>16</v>
      </c>
      <c r="F1666" s="2">
        <v>60</v>
      </c>
      <c r="G1666" s="2" t="s">
        <v>4954</v>
      </c>
      <c r="H1666" s="2" t="s">
        <v>4955</v>
      </c>
      <c r="I1666" s="2" t="s">
        <v>645</v>
      </c>
      <c r="J1666" s="3">
        <v>44901</v>
      </c>
      <c r="K1666" s="2">
        <v>56</v>
      </c>
      <c r="L1666" s="2" t="s">
        <v>33</v>
      </c>
    </row>
    <row r="1667" spans="1:12" x14ac:dyDescent="0.3">
      <c r="A1667" s="2">
        <v>1656</v>
      </c>
      <c r="B1667" s="2" t="s">
        <v>2701</v>
      </c>
      <c r="C1667" s="2" t="s">
        <v>3350</v>
      </c>
      <c r="D1667" s="2" t="s">
        <v>28</v>
      </c>
      <c r="E1667" s="2" t="s">
        <v>29</v>
      </c>
      <c r="F1667" s="2">
        <v>90</v>
      </c>
      <c r="G1667" s="2" t="s">
        <v>4954</v>
      </c>
      <c r="H1667" s="2" t="s">
        <v>997</v>
      </c>
      <c r="I1667" s="2" t="s">
        <v>110</v>
      </c>
      <c r="J1667" s="3">
        <v>44179</v>
      </c>
      <c r="K1667" s="2">
        <v>53</v>
      </c>
      <c r="L1667" s="2" t="s">
        <v>39</v>
      </c>
    </row>
    <row r="1668" spans="1:12" x14ac:dyDescent="0.3">
      <c r="A1668" s="2">
        <v>1657</v>
      </c>
      <c r="B1668" s="2" t="s">
        <v>4956</v>
      </c>
      <c r="C1668" s="2" t="s">
        <v>2317</v>
      </c>
      <c r="D1668" s="2" t="s">
        <v>15</v>
      </c>
      <c r="E1668" s="2" t="s">
        <v>16</v>
      </c>
      <c r="F1668" s="2">
        <v>90</v>
      </c>
      <c r="G1668" s="2" t="s">
        <v>4957</v>
      </c>
      <c r="H1668" s="2" t="s">
        <v>4958</v>
      </c>
      <c r="I1668" s="2" t="s">
        <v>95</v>
      </c>
      <c r="J1668" s="3">
        <v>44775</v>
      </c>
      <c r="K1668" s="2">
        <v>103</v>
      </c>
      <c r="L1668" s="2" t="s">
        <v>159</v>
      </c>
    </row>
    <row r="1669" spans="1:12" x14ac:dyDescent="0.3">
      <c r="A1669" s="2">
        <v>1658</v>
      </c>
      <c r="B1669" s="2" t="s">
        <v>979</v>
      </c>
      <c r="C1669" s="2" t="s">
        <v>4168</v>
      </c>
      <c r="D1669" s="2" t="s">
        <v>28</v>
      </c>
      <c r="E1669" s="2" t="s">
        <v>29</v>
      </c>
      <c r="F1669" s="2">
        <v>30</v>
      </c>
      <c r="G1669" s="2" t="s">
        <v>4959</v>
      </c>
      <c r="H1669" s="2" t="s">
        <v>2506</v>
      </c>
      <c r="I1669" s="2" t="s">
        <v>32</v>
      </c>
      <c r="J1669" s="3">
        <v>44599</v>
      </c>
      <c r="K1669" s="2">
        <v>87</v>
      </c>
      <c r="L1669" s="2" t="s">
        <v>64</v>
      </c>
    </row>
    <row r="1670" spans="1:12" x14ac:dyDescent="0.3">
      <c r="A1670" s="2">
        <v>1659</v>
      </c>
      <c r="B1670" s="2" t="s">
        <v>2399</v>
      </c>
      <c r="C1670" s="2" t="s">
        <v>4960</v>
      </c>
      <c r="D1670" s="2" t="s">
        <v>28</v>
      </c>
      <c r="E1670" s="2" t="s">
        <v>29</v>
      </c>
      <c r="F1670" s="2">
        <v>60</v>
      </c>
      <c r="G1670" s="2" t="s">
        <v>4961</v>
      </c>
      <c r="H1670" s="2" t="s">
        <v>917</v>
      </c>
      <c r="I1670" s="2" t="s">
        <v>32</v>
      </c>
      <c r="J1670" s="3">
        <v>44768</v>
      </c>
      <c r="K1670" s="2">
        <v>48</v>
      </c>
      <c r="L1670" s="2" t="s">
        <v>54</v>
      </c>
    </row>
    <row r="1671" spans="1:12" x14ac:dyDescent="0.3">
      <c r="A1671" s="2">
        <v>1660</v>
      </c>
      <c r="B1671" s="2" t="s">
        <v>4962</v>
      </c>
      <c r="C1671" s="2" t="s">
        <v>4963</v>
      </c>
      <c r="D1671" s="2" t="s">
        <v>28</v>
      </c>
      <c r="E1671" s="2" t="s">
        <v>29</v>
      </c>
      <c r="F1671" s="2">
        <v>30</v>
      </c>
      <c r="G1671" s="2" t="s">
        <v>4964</v>
      </c>
      <c r="H1671" s="2" t="s">
        <v>119</v>
      </c>
      <c r="I1671" s="2" t="s">
        <v>32</v>
      </c>
      <c r="J1671" s="3">
        <v>44020</v>
      </c>
      <c r="K1671" s="2">
        <v>3</v>
      </c>
      <c r="L1671" s="2" t="s">
        <v>64</v>
      </c>
    </row>
    <row r="1672" spans="1:12" x14ac:dyDescent="0.3">
      <c r="A1672" s="2">
        <v>1661</v>
      </c>
      <c r="B1672" s="2" t="s">
        <v>4965</v>
      </c>
      <c r="C1672" s="2" t="s">
        <v>4242</v>
      </c>
      <c r="D1672" s="2" t="s">
        <v>28</v>
      </c>
      <c r="E1672" s="2" t="s">
        <v>29</v>
      </c>
      <c r="F1672" s="2">
        <v>30</v>
      </c>
      <c r="G1672" s="2" t="s">
        <v>4966</v>
      </c>
      <c r="H1672" s="2" t="s">
        <v>4967</v>
      </c>
      <c r="I1672" s="2" t="s">
        <v>32</v>
      </c>
      <c r="J1672" s="3">
        <v>44347</v>
      </c>
      <c r="K1672" s="2">
        <v>89</v>
      </c>
      <c r="L1672" s="2" t="s">
        <v>70</v>
      </c>
    </row>
    <row r="1673" spans="1:12" x14ac:dyDescent="0.3">
      <c r="A1673" s="2">
        <v>1662</v>
      </c>
      <c r="B1673" s="2" t="s">
        <v>4072</v>
      </c>
      <c r="C1673" s="2" t="s">
        <v>1698</v>
      </c>
      <c r="D1673" s="2" t="s">
        <v>51</v>
      </c>
      <c r="E1673" s="2" t="s">
        <v>16</v>
      </c>
      <c r="F1673" s="2">
        <v>30</v>
      </c>
      <c r="G1673" s="2" t="s">
        <v>4968</v>
      </c>
      <c r="H1673" s="2" t="s">
        <v>746</v>
      </c>
      <c r="I1673" s="2" t="s">
        <v>32</v>
      </c>
      <c r="J1673" s="3">
        <v>44814</v>
      </c>
      <c r="K1673" s="2">
        <v>81</v>
      </c>
      <c r="L1673" s="2" t="s">
        <v>64</v>
      </c>
    </row>
    <row r="1674" spans="1:12" x14ac:dyDescent="0.3">
      <c r="A1674" s="2">
        <v>1663</v>
      </c>
      <c r="B1674" s="2" t="s">
        <v>752</v>
      </c>
      <c r="C1674" s="2" t="s">
        <v>2359</v>
      </c>
      <c r="D1674" s="2" t="s">
        <v>28</v>
      </c>
      <c r="E1674" s="2" t="s">
        <v>29</v>
      </c>
      <c r="F1674" s="2">
        <v>30</v>
      </c>
      <c r="G1674" s="2" t="s">
        <v>4969</v>
      </c>
      <c r="H1674" s="2" t="s">
        <v>4915</v>
      </c>
      <c r="I1674" s="2" t="s">
        <v>32</v>
      </c>
      <c r="J1674" s="3">
        <v>44847</v>
      </c>
      <c r="K1674" s="2">
        <v>28</v>
      </c>
      <c r="L1674" s="2" t="s">
        <v>20</v>
      </c>
    </row>
    <row r="1675" spans="1:12" x14ac:dyDescent="0.3">
      <c r="A1675" s="2">
        <v>1664</v>
      </c>
      <c r="B1675" s="2" t="s">
        <v>4970</v>
      </c>
      <c r="C1675" s="2" t="s">
        <v>4971</v>
      </c>
      <c r="D1675" s="2" t="s">
        <v>51</v>
      </c>
      <c r="E1675" s="2" t="s">
        <v>16</v>
      </c>
      <c r="F1675" s="2">
        <v>30</v>
      </c>
      <c r="G1675" s="2" t="s">
        <v>4972</v>
      </c>
      <c r="H1675" s="2" t="s">
        <v>3356</v>
      </c>
      <c r="I1675" s="2" t="s">
        <v>32</v>
      </c>
      <c r="J1675" s="3">
        <v>44702</v>
      </c>
      <c r="K1675" s="2">
        <v>19</v>
      </c>
      <c r="L1675" s="2" t="s">
        <v>39</v>
      </c>
    </row>
    <row r="1676" spans="1:12" x14ac:dyDescent="0.3">
      <c r="A1676" s="2">
        <v>1665</v>
      </c>
      <c r="B1676" s="2" t="s">
        <v>4973</v>
      </c>
      <c r="C1676" s="2" t="s">
        <v>4974</v>
      </c>
      <c r="D1676" s="2" t="s">
        <v>28</v>
      </c>
      <c r="E1676" s="2" t="s">
        <v>29</v>
      </c>
      <c r="F1676" s="2">
        <v>90</v>
      </c>
      <c r="G1676" s="2" t="s">
        <v>4975</v>
      </c>
      <c r="H1676" s="2" t="s">
        <v>710</v>
      </c>
      <c r="I1676" s="2" t="s">
        <v>187</v>
      </c>
      <c r="J1676" s="3">
        <v>44481</v>
      </c>
      <c r="K1676" s="2">
        <v>20</v>
      </c>
      <c r="L1676" s="2" t="s">
        <v>64</v>
      </c>
    </row>
    <row r="1677" spans="1:12" x14ac:dyDescent="0.3">
      <c r="A1677" s="2">
        <v>1666</v>
      </c>
      <c r="B1677" s="2" t="s">
        <v>2853</v>
      </c>
      <c r="C1677" s="2" t="s">
        <v>1085</v>
      </c>
      <c r="D1677" s="2" t="s">
        <v>28</v>
      </c>
      <c r="E1677" s="2" t="s">
        <v>29</v>
      </c>
      <c r="F1677" s="2">
        <v>60</v>
      </c>
      <c r="G1677" s="2" t="s">
        <v>4976</v>
      </c>
      <c r="H1677" s="2" t="s">
        <v>1099</v>
      </c>
      <c r="I1677" s="2" t="s">
        <v>25</v>
      </c>
      <c r="J1677" s="3">
        <v>43902</v>
      </c>
      <c r="K1677" s="2">
        <v>46</v>
      </c>
      <c r="L1677" s="2" t="s">
        <v>64</v>
      </c>
    </row>
    <row r="1678" spans="1:12" x14ac:dyDescent="0.3">
      <c r="A1678" s="2">
        <v>1667</v>
      </c>
      <c r="B1678" s="2" t="s">
        <v>4977</v>
      </c>
      <c r="C1678" s="2" t="s">
        <v>983</v>
      </c>
      <c r="D1678" s="2" t="s">
        <v>15</v>
      </c>
      <c r="E1678" s="2" t="s">
        <v>16</v>
      </c>
      <c r="F1678" s="2">
        <v>30</v>
      </c>
      <c r="G1678" s="2" t="s">
        <v>4978</v>
      </c>
      <c r="H1678" s="2" t="s">
        <v>4979</v>
      </c>
      <c r="I1678" s="2" t="s">
        <v>294</v>
      </c>
      <c r="J1678" s="3">
        <v>44834</v>
      </c>
      <c r="K1678" s="2">
        <v>36</v>
      </c>
      <c r="L1678" s="2" t="s">
        <v>101</v>
      </c>
    </row>
    <row r="1679" spans="1:12" x14ac:dyDescent="0.3">
      <c r="A1679" s="2">
        <v>1668</v>
      </c>
      <c r="B1679" s="2" t="s">
        <v>4980</v>
      </c>
      <c r="C1679" s="2" t="s">
        <v>2047</v>
      </c>
      <c r="D1679" s="2" t="s">
        <v>51</v>
      </c>
      <c r="E1679" s="2" t="s">
        <v>16</v>
      </c>
      <c r="F1679" s="2">
        <v>60</v>
      </c>
      <c r="G1679" s="2" t="s">
        <v>4981</v>
      </c>
      <c r="H1679" s="2" t="s">
        <v>2811</v>
      </c>
      <c r="I1679" s="2" t="s">
        <v>32</v>
      </c>
      <c r="J1679" s="3">
        <v>44543</v>
      </c>
      <c r="K1679" s="2">
        <v>57</v>
      </c>
      <c r="L1679" s="2" t="s">
        <v>159</v>
      </c>
    </row>
    <row r="1680" spans="1:12" x14ac:dyDescent="0.3">
      <c r="A1680" s="2">
        <v>1669</v>
      </c>
      <c r="B1680" s="2" t="s">
        <v>4982</v>
      </c>
      <c r="C1680" s="2" t="s">
        <v>1898</v>
      </c>
      <c r="D1680" s="2" t="s">
        <v>51</v>
      </c>
      <c r="E1680" s="2" t="s">
        <v>16</v>
      </c>
      <c r="F1680" s="2">
        <v>60</v>
      </c>
      <c r="G1680" s="2" t="s">
        <v>4983</v>
      </c>
      <c r="H1680" s="2" t="s">
        <v>3500</v>
      </c>
      <c r="I1680" s="2" t="s">
        <v>25</v>
      </c>
      <c r="J1680" s="3">
        <v>44052</v>
      </c>
      <c r="K1680" s="2">
        <v>68</v>
      </c>
      <c r="L1680" s="2" t="s">
        <v>70</v>
      </c>
    </row>
    <row r="1681" spans="1:12" x14ac:dyDescent="0.3">
      <c r="A1681" s="2">
        <v>1670</v>
      </c>
      <c r="B1681" s="2" t="s">
        <v>4984</v>
      </c>
      <c r="C1681" s="2" t="s">
        <v>1244</v>
      </c>
      <c r="D1681" s="2" t="s">
        <v>28</v>
      </c>
      <c r="E1681" s="2" t="s">
        <v>29</v>
      </c>
      <c r="F1681" s="2">
        <v>60</v>
      </c>
      <c r="G1681" s="2" t="s">
        <v>4985</v>
      </c>
      <c r="H1681" s="2" t="s">
        <v>1519</v>
      </c>
      <c r="I1681" s="2" t="s">
        <v>32</v>
      </c>
      <c r="J1681" s="3">
        <v>44362</v>
      </c>
      <c r="K1681" s="2">
        <v>74</v>
      </c>
      <c r="L1681" s="2" t="s">
        <v>70</v>
      </c>
    </row>
    <row r="1682" spans="1:12" x14ac:dyDescent="0.3">
      <c r="A1682" s="2">
        <v>1671</v>
      </c>
      <c r="B1682" s="2" t="s">
        <v>4986</v>
      </c>
      <c r="C1682" s="2" t="s">
        <v>4876</v>
      </c>
      <c r="D1682" s="2" t="s">
        <v>28</v>
      </c>
      <c r="E1682" s="2" t="s">
        <v>29</v>
      </c>
      <c r="F1682" s="2">
        <v>30</v>
      </c>
      <c r="G1682" s="2" t="s">
        <v>4987</v>
      </c>
      <c r="H1682" s="2" t="s">
        <v>1716</v>
      </c>
      <c r="I1682" s="2" t="s">
        <v>425</v>
      </c>
      <c r="J1682" s="3">
        <v>44288</v>
      </c>
      <c r="K1682" s="2">
        <v>86</v>
      </c>
      <c r="L1682" s="2" t="s">
        <v>39</v>
      </c>
    </row>
    <row r="1683" spans="1:12" x14ac:dyDescent="0.3">
      <c r="A1683" s="2">
        <v>1672</v>
      </c>
      <c r="B1683" s="2" t="s">
        <v>4988</v>
      </c>
      <c r="C1683" s="2" t="s">
        <v>4989</v>
      </c>
      <c r="D1683" s="2" t="s">
        <v>51</v>
      </c>
      <c r="E1683" s="2" t="s">
        <v>16</v>
      </c>
      <c r="F1683" s="2">
        <v>30</v>
      </c>
      <c r="G1683" s="2" t="s">
        <v>4990</v>
      </c>
      <c r="H1683" s="2" t="s">
        <v>776</v>
      </c>
      <c r="I1683" s="2" t="s">
        <v>777</v>
      </c>
      <c r="J1683" s="3">
        <v>43992</v>
      </c>
      <c r="K1683" s="2">
        <v>69</v>
      </c>
      <c r="L1683" s="2" t="s">
        <v>54</v>
      </c>
    </row>
    <row r="1684" spans="1:12" x14ac:dyDescent="0.3">
      <c r="A1684" s="2">
        <v>1673</v>
      </c>
      <c r="B1684" s="2" t="s">
        <v>3794</v>
      </c>
      <c r="C1684" s="2" t="s">
        <v>4991</v>
      </c>
      <c r="D1684" s="2" t="s">
        <v>28</v>
      </c>
      <c r="E1684" s="2" t="s">
        <v>29</v>
      </c>
      <c r="F1684" s="2">
        <v>90</v>
      </c>
      <c r="G1684" s="2" t="s">
        <v>4990</v>
      </c>
      <c r="H1684" s="2" t="s">
        <v>4992</v>
      </c>
      <c r="I1684" s="2" t="s">
        <v>294</v>
      </c>
      <c r="J1684" s="3">
        <v>44714</v>
      </c>
      <c r="K1684" s="2">
        <v>76</v>
      </c>
      <c r="L1684" s="2" t="s">
        <v>101</v>
      </c>
    </row>
    <row r="1685" spans="1:12" x14ac:dyDescent="0.3">
      <c r="A1685" s="2">
        <v>1674</v>
      </c>
      <c r="B1685" s="2" t="s">
        <v>4993</v>
      </c>
      <c r="C1685" s="2" t="s">
        <v>3118</v>
      </c>
      <c r="D1685" s="2" t="s">
        <v>15</v>
      </c>
      <c r="E1685" s="2" t="s">
        <v>16</v>
      </c>
      <c r="F1685" s="2">
        <v>90</v>
      </c>
      <c r="G1685" s="2" t="s">
        <v>4990</v>
      </c>
      <c r="H1685" s="2" t="s">
        <v>3754</v>
      </c>
      <c r="I1685" s="2" t="s">
        <v>124</v>
      </c>
      <c r="J1685" s="3">
        <v>43922</v>
      </c>
      <c r="K1685" s="2">
        <v>72</v>
      </c>
      <c r="L1685" s="2" t="s">
        <v>101</v>
      </c>
    </row>
    <row r="1686" spans="1:12" x14ac:dyDescent="0.3">
      <c r="A1686" s="2">
        <v>1675</v>
      </c>
      <c r="B1686" s="2" t="s">
        <v>3478</v>
      </c>
      <c r="C1686" s="2" t="s">
        <v>4994</v>
      </c>
      <c r="D1686" s="2" t="s">
        <v>28</v>
      </c>
      <c r="E1686" s="2" t="s">
        <v>29</v>
      </c>
      <c r="F1686" s="2">
        <v>60</v>
      </c>
      <c r="G1686" s="2" t="s">
        <v>4995</v>
      </c>
      <c r="H1686" s="2" t="s">
        <v>4996</v>
      </c>
      <c r="I1686" s="2" t="s">
        <v>32</v>
      </c>
      <c r="J1686" s="3">
        <v>44272</v>
      </c>
      <c r="K1686" s="2">
        <v>75</v>
      </c>
      <c r="L1686" s="2" t="s">
        <v>159</v>
      </c>
    </row>
    <row r="1687" spans="1:12" x14ac:dyDescent="0.3">
      <c r="A1687" s="2">
        <v>1676</v>
      </c>
      <c r="B1687" s="2" t="s">
        <v>4997</v>
      </c>
      <c r="C1687" s="2" t="s">
        <v>4998</v>
      </c>
      <c r="D1687" s="2" t="s">
        <v>28</v>
      </c>
      <c r="E1687" s="2" t="s">
        <v>29</v>
      </c>
      <c r="F1687" s="2">
        <v>90</v>
      </c>
      <c r="G1687" s="2" t="s">
        <v>4999</v>
      </c>
      <c r="H1687" s="2" t="s">
        <v>2710</v>
      </c>
      <c r="I1687" s="2" t="s">
        <v>294</v>
      </c>
      <c r="J1687" s="3">
        <v>44713</v>
      </c>
      <c r="K1687" s="2">
        <v>96</v>
      </c>
      <c r="L1687" s="2" t="s">
        <v>20</v>
      </c>
    </row>
    <row r="1688" spans="1:12" x14ac:dyDescent="0.3">
      <c r="A1688" s="2">
        <v>1677</v>
      </c>
      <c r="B1688" s="2" t="s">
        <v>2312</v>
      </c>
      <c r="C1688" s="2" t="s">
        <v>1688</v>
      </c>
      <c r="D1688" s="2" t="s">
        <v>28</v>
      </c>
      <c r="E1688" s="2" t="s">
        <v>29</v>
      </c>
      <c r="F1688" s="2">
        <v>30</v>
      </c>
      <c r="G1688" s="2" t="s">
        <v>4999</v>
      </c>
      <c r="H1688" s="2" t="s">
        <v>5000</v>
      </c>
      <c r="I1688" s="2" t="s">
        <v>32</v>
      </c>
      <c r="J1688" s="3">
        <v>44423</v>
      </c>
      <c r="K1688" s="2">
        <v>93</v>
      </c>
      <c r="L1688" s="2" t="s">
        <v>159</v>
      </c>
    </row>
    <row r="1689" spans="1:12" x14ac:dyDescent="0.3">
      <c r="A1689" s="2">
        <v>1678</v>
      </c>
      <c r="B1689" s="2" t="s">
        <v>5001</v>
      </c>
      <c r="C1689" s="2" t="s">
        <v>5002</v>
      </c>
      <c r="D1689" s="2" t="s">
        <v>28</v>
      </c>
      <c r="E1689" s="2" t="s">
        <v>29</v>
      </c>
      <c r="F1689" s="2">
        <v>30</v>
      </c>
      <c r="G1689" s="2" t="s">
        <v>5003</v>
      </c>
      <c r="H1689" s="2" t="s">
        <v>1453</v>
      </c>
      <c r="I1689" s="2" t="s">
        <v>1454</v>
      </c>
      <c r="J1689" s="3">
        <v>44102</v>
      </c>
      <c r="K1689" s="2">
        <v>63</v>
      </c>
      <c r="L1689" s="2" t="s">
        <v>45</v>
      </c>
    </row>
    <row r="1690" spans="1:12" x14ac:dyDescent="0.3">
      <c r="A1690" s="2">
        <v>1679</v>
      </c>
      <c r="B1690" s="2" t="s">
        <v>5004</v>
      </c>
      <c r="C1690" s="2" t="s">
        <v>4504</v>
      </c>
      <c r="D1690" s="2" t="s">
        <v>51</v>
      </c>
      <c r="E1690" s="2" t="s">
        <v>16</v>
      </c>
      <c r="F1690" s="2">
        <v>30</v>
      </c>
      <c r="G1690" s="2" t="s">
        <v>5006</v>
      </c>
      <c r="H1690" s="2" t="s">
        <v>99</v>
      </c>
      <c r="I1690" s="2" t="s">
        <v>100</v>
      </c>
      <c r="J1690" s="3">
        <v>44853</v>
      </c>
      <c r="K1690" s="2">
        <v>62</v>
      </c>
      <c r="L1690" s="2" t="s">
        <v>159</v>
      </c>
    </row>
    <row r="1691" spans="1:12" x14ac:dyDescent="0.3">
      <c r="A1691" s="2">
        <v>1680</v>
      </c>
      <c r="B1691" s="2" t="s">
        <v>3243</v>
      </c>
      <c r="C1691" s="2" t="s">
        <v>2220</v>
      </c>
      <c r="D1691" s="2" t="s">
        <v>28</v>
      </c>
      <c r="E1691" s="2" t="s">
        <v>29</v>
      </c>
      <c r="F1691" s="2">
        <v>90</v>
      </c>
      <c r="G1691" s="2" t="s">
        <v>5006</v>
      </c>
      <c r="H1691" s="2" t="s">
        <v>5007</v>
      </c>
      <c r="I1691" s="2" t="s">
        <v>89</v>
      </c>
      <c r="J1691" s="3">
        <v>43965</v>
      </c>
      <c r="K1691" s="2">
        <v>79</v>
      </c>
      <c r="L1691" s="2" t="s">
        <v>80</v>
      </c>
    </row>
    <row r="1692" spans="1:12" x14ac:dyDescent="0.3">
      <c r="A1692" s="2">
        <v>1681</v>
      </c>
      <c r="B1692" s="2" t="s">
        <v>5008</v>
      </c>
      <c r="C1692" s="2" t="s">
        <v>3522</v>
      </c>
      <c r="D1692" s="2" t="s">
        <v>51</v>
      </c>
      <c r="E1692" s="2" t="s">
        <v>16</v>
      </c>
      <c r="F1692" s="2">
        <v>90</v>
      </c>
      <c r="G1692" s="2" t="s">
        <v>5009</v>
      </c>
      <c r="H1692" s="2" t="s">
        <v>5010</v>
      </c>
      <c r="I1692" s="2" t="s">
        <v>32</v>
      </c>
      <c r="J1692" s="3">
        <v>44313</v>
      </c>
      <c r="K1692" s="2">
        <v>37</v>
      </c>
      <c r="L1692" s="2" t="s">
        <v>33</v>
      </c>
    </row>
    <row r="1693" spans="1:12" x14ac:dyDescent="0.3">
      <c r="A1693" s="2">
        <v>1682</v>
      </c>
      <c r="B1693" s="2" t="s">
        <v>5011</v>
      </c>
      <c r="C1693" s="2" t="s">
        <v>5012</v>
      </c>
      <c r="D1693" s="2" t="s">
        <v>51</v>
      </c>
      <c r="E1693" s="2" t="s">
        <v>16</v>
      </c>
      <c r="F1693" s="2">
        <v>30</v>
      </c>
      <c r="G1693" s="2" t="s">
        <v>5009</v>
      </c>
      <c r="H1693" s="2" t="s">
        <v>3424</v>
      </c>
      <c r="I1693" s="2" t="s">
        <v>32</v>
      </c>
      <c r="J1693" s="3">
        <v>44215</v>
      </c>
      <c r="K1693" s="2">
        <v>45</v>
      </c>
      <c r="L1693" s="2" t="s">
        <v>70</v>
      </c>
    </row>
    <row r="1694" spans="1:12" x14ac:dyDescent="0.3">
      <c r="A1694" s="2">
        <v>1683</v>
      </c>
      <c r="B1694" s="2" t="s">
        <v>3544</v>
      </c>
      <c r="C1694" s="2" t="s">
        <v>3171</v>
      </c>
      <c r="D1694" s="2" t="s">
        <v>28</v>
      </c>
      <c r="E1694" s="2" t="s">
        <v>29</v>
      </c>
      <c r="F1694" s="2">
        <v>90</v>
      </c>
      <c r="G1694" s="2" t="s">
        <v>5013</v>
      </c>
      <c r="H1694" s="2" t="s">
        <v>1482</v>
      </c>
      <c r="I1694" s="2" t="s">
        <v>1483</v>
      </c>
      <c r="J1694" s="3">
        <v>44199</v>
      </c>
      <c r="K1694" s="2">
        <v>10</v>
      </c>
      <c r="L1694" s="2" t="s">
        <v>20</v>
      </c>
    </row>
    <row r="1695" spans="1:12" x14ac:dyDescent="0.3">
      <c r="A1695" s="2">
        <v>1684</v>
      </c>
      <c r="B1695" s="2" t="s">
        <v>5014</v>
      </c>
      <c r="C1695" s="2" t="s">
        <v>5015</v>
      </c>
      <c r="D1695" s="2" t="s">
        <v>41</v>
      </c>
      <c r="E1695" s="2" t="s">
        <v>16</v>
      </c>
      <c r="F1695" s="2">
        <v>90</v>
      </c>
      <c r="G1695" s="2" t="s">
        <v>5016</v>
      </c>
      <c r="H1695" s="2" t="s">
        <v>3554</v>
      </c>
      <c r="I1695" s="2" t="s">
        <v>32</v>
      </c>
      <c r="J1695" s="3">
        <v>44323</v>
      </c>
      <c r="K1695" s="2">
        <v>45</v>
      </c>
      <c r="L1695" s="2" t="s">
        <v>20</v>
      </c>
    </row>
    <row r="1696" spans="1:12" x14ac:dyDescent="0.3">
      <c r="A1696" s="2">
        <v>1685</v>
      </c>
      <c r="B1696" s="2" t="s">
        <v>1769</v>
      </c>
      <c r="C1696" s="2" t="s">
        <v>2915</v>
      </c>
      <c r="D1696" s="2" t="s">
        <v>28</v>
      </c>
      <c r="E1696" s="2" t="s">
        <v>29</v>
      </c>
      <c r="F1696" s="2">
        <v>30</v>
      </c>
      <c r="G1696" s="2" t="s">
        <v>5017</v>
      </c>
      <c r="H1696" s="2" t="s">
        <v>1370</v>
      </c>
      <c r="I1696" s="2" t="s">
        <v>32</v>
      </c>
      <c r="J1696" s="3">
        <v>44466</v>
      </c>
      <c r="K1696" s="2">
        <v>61</v>
      </c>
      <c r="L1696" s="2" t="s">
        <v>64</v>
      </c>
    </row>
    <row r="1697" spans="1:12" x14ac:dyDescent="0.3">
      <c r="A1697" s="2">
        <v>1686</v>
      </c>
      <c r="B1697" s="2" t="s">
        <v>5018</v>
      </c>
      <c r="C1697" s="2" t="s">
        <v>3989</v>
      </c>
      <c r="D1697" s="2" t="s">
        <v>15</v>
      </c>
      <c r="E1697" s="2" t="s">
        <v>16</v>
      </c>
      <c r="F1697" s="2">
        <v>60</v>
      </c>
      <c r="G1697" s="2" t="s">
        <v>5019</v>
      </c>
      <c r="H1697" s="2" t="s">
        <v>99</v>
      </c>
      <c r="I1697" s="2" t="s">
        <v>100</v>
      </c>
      <c r="J1697" s="3">
        <v>44563</v>
      </c>
      <c r="K1697" s="2">
        <v>97</v>
      </c>
      <c r="L1697" s="2" t="s">
        <v>64</v>
      </c>
    </row>
    <row r="1698" spans="1:12" x14ac:dyDescent="0.3">
      <c r="A1698" s="2">
        <v>1687</v>
      </c>
      <c r="B1698" s="2" t="s">
        <v>5020</v>
      </c>
      <c r="C1698" s="2" t="s">
        <v>5021</v>
      </c>
      <c r="D1698" s="2" t="s">
        <v>51</v>
      </c>
      <c r="E1698" s="2" t="s">
        <v>16</v>
      </c>
      <c r="F1698" s="2">
        <v>60</v>
      </c>
      <c r="G1698" s="2" t="s">
        <v>5022</v>
      </c>
      <c r="H1698" s="2" t="s">
        <v>2338</v>
      </c>
      <c r="I1698" s="2" t="s">
        <v>240</v>
      </c>
      <c r="J1698" s="3">
        <v>44386</v>
      </c>
      <c r="K1698" s="2">
        <v>28</v>
      </c>
      <c r="L1698" s="2" t="s">
        <v>45</v>
      </c>
    </row>
    <row r="1699" spans="1:12" x14ac:dyDescent="0.3">
      <c r="A1699" s="2">
        <v>1688</v>
      </c>
      <c r="B1699" s="2" t="s">
        <v>5023</v>
      </c>
      <c r="C1699" s="2" t="s">
        <v>2963</v>
      </c>
      <c r="D1699" s="2" t="s">
        <v>15</v>
      </c>
      <c r="E1699" s="2" t="s">
        <v>16</v>
      </c>
      <c r="F1699" s="2">
        <v>30</v>
      </c>
      <c r="G1699" s="2" t="s">
        <v>5024</v>
      </c>
      <c r="H1699" s="2" t="s">
        <v>5025</v>
      </c>
      <c r="I1699" s="2" t="s">
        <v>32</v>
      </c>
      <c r="J1699" s="3">
        <v>44860</v>
      </c>
      <c r="K1699" s="2">
        <v>43</v>
      </c>
      <c r="L1699" s="2" t="s">
        <v>54</v>
      </c>
    </row>
    <row r="1700" spans="1:12" x14ac:dyDescent="0.3">
      <c r="A1700" s="2">
        <v>1689</v>
      </c>
      <c r="B1700" s="2" t="s">
        <v>245</v>
      </c>
      <c r="C1700" s="2" t="s">
        <v>657</v>
      </c>
      <c r="D1700" s="2" t="s">
        <v>28</v>
      </c>
      <c r="E1700" s="2" t="s">
        <v>29</v>
      </c>
      <c r="F1700" s="2">
        <v>30</v>
      </c>
      <c r="G1700" s="2" t="s">
        <v>5026</v>
      </c>
      <c r="H1700" s="2" t="s">
        <v>3506</v>
      </c>
      <c r="I1700" s="2" t="s">
        <v>124</v>
      </c>
      <c r="J1700" s="3">
        <v>44112</v>
      </c>
      <c r="K1700" s="2">
        <v>20</v>
      </c>
      <c r="L1700" s="2" t="s">
        <v>45</v>
      </c>
    </row>
    <row r="1701" spans="1:12" x14ac:dyDescent="0.3">
      <c r="A1701" s="2">
        <v>1690</v>
      </c>
      <c r="B1701" s="2" t="s">
        <v>1961</v>
      </c>
      <c r="C1701" s="2" t="s">
        <v>403</v>
      </c>
      <c r="D1701" s="2" t="s">
        <v>117</v>
      </c>
      <c r="E1701" s="2" t="s">
        <v>16</v>
      </c>
      <c r="F1701" s="2">
        <v>90</v>
      </c>
      <c r="G1701" s="2" t="s">
        <v>5027</v>
      </c>
      <c r="H1701" s="2" t="s">
        <v>526</v>
      </c>
      <c r="I1701" s="2" t="s">
        <v>32</v>
      </c>
      <c r="J1701" s="3">
        <v>44058</v>
      </c>
      <c r="K1701" s="2">
        <v>28</v>
      </c>
      <c r="L1701" s="2" t="s">
        <v>101</v>
      </c>
    </row>
    <row r="1702" spans="1:12" x14ac:dyDescent="0.3">
      <c r="A1702" s="2">
        <v>1691</v>
      </c>
      <c r="B1702" s="2" t="s">
        <v>5028</v>
      </c>
      <c r="C1702" s="2" t="s">
        <v>5029</v>
      </c>
      <c r="D1702" s="2" t="s">
        <v>28</v>
      </c>
      <c r="E1702" s="2" t="s">
        <v>29</v>
      </c>
      <c r="F1702" s="2">
        <v>90</v>
      </c>
      <c r="G1702" s="2" t="s">
        <v>5030</v>
      </c>
      <c r="H1702" s="2" t="s">
        <v>279</v>
      </c>
      <c r="I1702" s="2" t="s">
        <v>213</v>
      </c>
      <c r="J1702" s="3">
        <v>44194</v>
      </c>
      <c r="K1702" s="2">
        <v>60</v>
      </c>
      <c r="L1702" s="2" t="s">
        <v>159</v>
      </c>
    </row>
    <row r="1703" spans="1:12" x14ac:dyDescent="0.3">
      <c r="A1703" s="2">
        <v>1692</v>
      </c>
      <c r="B1703" s="2" t="s">
        <v>5031</v>
      </c>
      <c r="C1703" s="2" t="s">
        <v>5032</v>
      </c>
      <c r="D1703" s="2" t="s">
        <v>28</v>
      </c>
      <c r="E1703" s="2" t="s">
        <v>29</v>
      </c>
      <c r="F1703" s="2">
        <v>60</v>
      </c>
      <c r="G1703" s="2" t="s">
        <v>5030</v>
      </c>
      <c r="H1703" s="2" t="s">
        <v>5033</v>
      </c>
      <c r="I1703" s="2" t="s">
        <v>2543</v>
      </c>
      <c r="J1703" s="3">
        <v>44361</v>
      </c>
      <c r="K1703" s="2">
        <v>3</v>
      </c>
      <c r="L1703" s="2" t="s">
        <v>20</v>
      </c>
    </row>
    <row r="1704" spans="1:12" x14ac:dyDescent="0.3">
      <c r="A1704" s="2">
        <v>1693</v>
      </c>
      <c r="B1704" s="2" t="s">
        <v>5034</v>
      </c>
      <c r="C1704" s="2" t="s">
        <v>1638</v>
      </c>
      <c r="D1704" s="2" t="s">
        <v>28</v>
      </c>
      <c r="E1704" s="2" t="s">
        <v>29</v>
      </c>
      <c r="F1704" s="2">
        <v>90</v>
      </c>
      <c r="G1704" s="2" t="s">
        <v>5035</v>
      </c>
      <c r="H1704" s="2" t="s">
        <v>5036</v>
      </c>
      <c r="I1704" s="2" t="s">
        <v>32</v>
      </c>
      <c r="J1704" s="3">
        <v>44159</v>
      </c>
      <c r="K1704" s="2">
        <v>5</v>
      </c>
      <c r="L1704" s="2" t="s">
        <v>80</v>
      </c>
    </row>
    <row r="1705" spans="1:12" x14ac:dyDescent="0.3">
      <c r="A1705" s="2">
        <v>1694</v>
      </c>
      <c r="B1705" s="2" t="s">
        <v>4134</v>
      </c>
      <c r="C1705" s="2" t="s">
        <v>5037</v>
      </c>
      <c r="D1705" s="2" t="s">
        <v>28</v>
      </c>
      <c r="E1705" s="2" t="s">
        <v>29</v>
      </c>
      <c r="F1705" s="2">
        <v>30</v>
      </c>
      <c r="G1705" s="2" t="s">
        <v>5038</v>
      </c>
      <c r="H1705" s="2" t="s">
        <v>5039</v>
      </c>
      <c r="I1705" s="2" t="s">
        <v>32</v>
      </c>
      <c r="J1705" s="3">
        <v>44722</v>
      </c>
      <c r="K1705" s="2">
        <v>70</v>
      </c>
      <c r="L1705" s="2" t="s">
        <v>33</v>
      </c>
    </row>
    <row r="1706" spans="1:12" x14ac:dyDescent="0.3">
      <c r="A1706" s="2">
        <v>1695</v>
      </c>
      <c r="B1706" s="2" t="s">
        <v>5040</v>
      </c>
      <c r="C1706" s="2" t="s">
        <v>3162</v>
      </c>
      <c r="D1706" s="2" t="s">
        <v>15</v>
      </c>
      <c r="E1706" s="2" t="s">
        <v>16</v>
      </c>
      <c r="F1706" s="2">
        <v>30</v>
      </c>
      <c r="G1706" s="2" t="s">
        <v>5041</v>
      </c>
      <c r="H1706" s="2" t="s">
        <v>579</v>
      </c>
      <c r="I1706" s="2" t="s">
        <v>32</v>
      </c>
      <c r="J1706" s="3">
        <v>44488</v>
      </c>
      <c r="K1706" s="2">
        <v>7</v>
      </c>
      <c r="L1706" s="2" t="s">
        <v>101</v>
      </c>
    </row>
    <row r="1707" spans="1:12" x14ac:dyDescent="0.3">
      <c r="A1707" s="2">
        <v>1696</v>
      </c>
      <c r="B1707" s="2" t="s">
        <v>5042</v>
      </c>
      <c r="C1707" s="2" t="s">
        <v>5043</v>
      </c>
      <c r="D1707" s="2" t="s">
        <v>28</v>
      </c>
      <c r="E1707" s="2" t="s">
        <v>29</v>
      </c>
      <c r="F1707" s="2">
        <v>90</v>
      </c>
      <c r="G1707" s="2" t="s">
        <v>5044</v>
      </c>
      <c r="H1707" s="2" t="s">
        <v>4182</v>
      </c>
      <c r="I1707" s="2" t="s">
        <v>32</v>
      </c>
      <c r="J1707" s="3">
        <v>44808</v>
      </c>
      <c r="K1707" s="2">
        <v>67</v>
      </c>
      <c r="L1707" s="2" t="s">
        <v>70</v>
      </c>
    </row>
    <row r="1708" spans="1:12" x14ac:dyDescent="0.3">
      <c r="A1708" s="2">
        <v>1697</v>
      </c>
      <c r="B1708" s="2" t="s">
        <v>5045</v>
      </c>
      <c r="C1708" s="2" t="s">
        <v>2119</v>
      </c>
      <c r="D1708" s="2" t="s">
        <v>15</v>
      </c>
      <c r="E1708" s="2" t="s">
        <v>16</v>
      </c>
      <c r="F1708" s="2">
        <v>90</v>
      </c>
      <c r="G1708" s="2" t="s">
        <v>5046</v>
      </c>
      <c r="H1708" s="2" t="s">
        <v>5047</v>
      </c>
      <c r="I1708" s="2" t="s">
        <v>178</v>
      </c>
      <c r="J1708" s="3">
        <v>44626</v>
      </c>
      <c r="K1708" s="2">
        <v>34</v>
      </c>
      <c r="L1708" s="2" t="s">
        <v>159</v>
      </c>
    </row>
    <row r="1709" spans="1:12" x14ac:dyDescent="0.3">
      <c r="A1709" s="2">
        <v>1698</v>
      </c>
      <c r="B1709" s="2" t="s">
        <v>5048</v>
      </c>
      <c r="C1709" s="2" t="s">
        <v>2365</v>
      </c>
      <c r="D1709" s="2" t="s">
        <v>51</v>
      </c>
      <c r="E1709" s="2" t="s">
        <v>16</v>
      </c>
      <c r="F1709" s="2">
        <v>90</v>
      </c>
      <c r="G1709" s="2" t="s">
        <v>5049</v>
      </c>
      <c r="H1709" s="2" t="s">
        <v>5050</v>
      </c>
      <c r="I1709" s="2" t="s">
        <v>124</v>
      </c>
      <c r="J1709" s="3">
        <v>44838</v>
      </c>
      <c r="K1709" s="2">
        <v>48</v>
      </c>
      <c r="L1709" s="2" t="s">
        <v>70</v>
      </c>
    </row>
    <row r="1710" spans="1:12" x14ac:dyDescent="0.3">
      <c r="A1710" s="2">
        <v>1699</v>
      </c>
      <c r="B1710" s="2" t="s">
        <v>5051</v>
      </c>
      <c r="C1710" s="2" t="s">
        <v>5052</v>
      </c>
      <c r="D1710" s="2" t="s">
        <v>15</v>
      </c>
      <c r="E1710" s="2" t="s">
        <v>16</v>
      </c>
      <c r="F1710" s="2">
        <v>30</v>
      </c>
      <c r="G1710" s="2" t="s">
        <v>5053</v>
      </c>
      <c r="H1710" s="2" t="s">
        <v>2763</v>
      </c>
      <c r="I1710" s="2" t="s">
        <v>294</v>
      </c>
      <c r="J1710" s="3">
        <v>44547</v>
      </c>
      <c r="K1710" s="2">
        <v>67</v>
      </c>
      <c r="L1710" s="2" t="s">
        <v>45</v>
      </c>
    </row>
    <row r="1711" spans="1:12" x14ac:dyDescent="0.3">
      <c r="A1711" s="2">
        <v>1700</v>
      </c>
      <c r="B1711" s="2" t="s">
        <v>3711</v>
      </c>
      <c r="C1711" s="2" t="s">
        <v>5054</v>
      </c>
      <c r="D1711" s="2" t="s">
        <v>28</v>
      </c>
      <c r="E1711" s="2" t="s">
        <v>29</v>
      </c>
      <c r="F1711" s="2">
        <v>30</v>
      </c>
      <c r="G1711" s="2" t="s">
        <v>5055</v>
      </c>
      <c r="H1711" s="2" t="s">
        <v>4283</v>
      </c>
      <c r="I1711" s="2" t="s">
        <v>178</v>
      </c>
      <c r="J1711" s="3">
        <v>44836</v>
      </c>
      <c r="K1711" s="2">
        <v>75</v>
      </c>
      <c r="L1711" s="2" t="s">
        <v>54</v>
      </c>
    </row>
    <row r="1712" spans="1:12" x14ac:dyDescent="0.3">
      <c r="A1712" s="2">
        <v>1701</v>
      </c>
      <c r="B1712" s="2" t="s">
        <v>499</v>
      </c>
      <c r="C1712" s="2" t="s">
        <v>3371</v>
      </c>
      <c r="D1712" s="2" t="s">
        <v>51</v>
      </c>
      <c r="E1712" s="2" t="s">
        <v>16</v>
      </c>
      <c r="F1712" s="2">
        <v>90</v>
      </c>
      <c r="G1712" s="2" t="s">
        <v>5056</v>
      </c>
      <c r="H1712" s="2" t="s">
        <v>526</v>
      </c>
      <c r="I1712" s="2" t="s">
        <v>32</v>
      </c>
      <c r="J1712" s="3">
        <v>43950</v>
      </c>
      <c r="K1712" s="2">
        <v>78</v>
      </c>
      <c r="L1712" s="2" t="s">
        <v>54</v>
      </c>
    </row>
    <row r="1713" spans="1:12" x14ac:dyDescent="0.3">
      <c r="A1713" s="2">
        <v>1702</v>
      </c>
      <c r="B1713" s="2" t="s">
        <v>5057</v>
      </c>
      <c r="C1713" s="2" t="s">
        <v>1468</v>
      </c>
      <c r="D1713" s="2" t="s">
        <v>28</v>
      </c>
      <c r="E1713" s="2" t="s">
        <v>29</v>
      </c>
      <c r="F1713" s="2">
        <v>60</v>
      </c>
      <c r="G1713" s="2" t="s">
        <v>5058</v>
      </c>
      <c r="H1713" s="2" t="s">
        <v>5059</v>
      </c>
      <c r="I1713" s="2" t="s">
        <v>294</v>
      </c>
      <c r="J1713" s="3">
        <v>43896</v>
      </c>
      <c r="K1713" s="2">
        <v>2</v>
      </c>
      <c r="L1713" s="2" t="s">
        <v>70</v>
      </c>
    </row>
    <row r="1714" spans="1:12" x14ac:dyDescent="0.3">
      <c r="A1714" s="2">
        <v>1703</v>
      </c>
      <c r="B1714" s="2" t="s">
        <v>5060</v>
      </c>
      <c r="C1714" s="2" t="s">
        <v>3812</v>
      </c>
      <c r="D1714" s="2" t="s">
        <v>28</v>
      </c>
      <c r="E1714" s="2" t="s">
        <v>29</v>
      </c>
      <c r="F1714" s="2">
        <v>30</v>
      </c>
      <c r="G1714" s="2" t="s">
        <v>5061</v>
      </c>
      <c r="H1714" s="2" t="s">
        <v>4527</v>
      </c>
      <c r="I1714" s="2" t="s">
        <v>32</v>
      </c>
      <c r="J1714" s="3">
        <v>44156</v>
      </c>
      <c r="K1714" s="2">
        <v>76</v>
      </c>
      <c r="L1714" s="2" t="s">
        <v>64</v>
      </c>
    </row>
    <row r="1715" spans="1:12" x14ac:dyDescent="0.3">
      <c r="A1715" s="2">
        <v>1704</v>
      </c>
      <c r="B1715" s="2" t="s">
        <v>5062</v>
      </c>
      <c r="C1715" s="2" t="s">
        <v>1607</v>
      </c>
      <c r="D1715" s="2" t="s">
        <v>621</v>
      </c>
      <c r="E1715" s="2" t="s">
        <v>29</v>
      </c>
      <c r="F1715" s="2">
        <v>90</v>
      </c>
      <c r="G1715" s="2" t="s">
        <v>5063</v>
      </c>
      <c r="H1715" s="2" t="s">
        <v>154</v>
      </c>
      <c r="I1715" s="2" t="s">
        <v>25</v>
      </c>
      <c r="J1715" s="3">
        <v>43946</v>
      </c>
      <c r="K1715" s="2">
        <v>18</v>
      </c>
      <c r="L1715" s="2" t="s">
        <v>45</v>
      </c>
    </row>
    <row r="1716" spans="1:12" x14ac:dyDescent="0.3">
      <c r="A1716" s="2">
        <v>1705</v>
      </c>
      <c r="B1716" s="2" t="s">
        <v>4956</v>
      </c>
      <c r="C1716" s="2" t="s">
        <v>3362</v>
      </c>
      <c r="D1716" s="2" t="s">
        <v>41</v>
      </c>
      <c r="E1716" s="2" t="s">
        <v>16</v>
      </c>
      <c r="F1716" s="2">
        <v>30</v>
      </c>
      <c r="G1716" s="2" t="s">
        <v>5064</v>
      </c>
      <c r="H1716" s="2" t="s">
        <v>3770</v>
      </c>
      <c r="I1716" s="2" t="s">
        <v>32</v>
      </c>
      <c r="J1716" s="3">
        <v>44663</v>
      </c>
      <c r="K1716" s="2">
        <v>47</v>
      </c>
      <c r="L1716" s="2" t="s">
        <v>54</v>
      </c>
    </row>
    <row r="1717" spans="1:12" x14ac:dyDescent="0.3">
      <c r="A1717" s="2">
        <v>1706</v>
      </c>
      <c r="B1717" s="2" t="s">
        <v>5065</v>
      </c>
      <c r="C1717" s="2" t="s">
        <v>286</v>
      </c>
      <c r="D1717" s="2" t="s">
        <v>41</v>
      </c>
      <c r="E1717" s="2" t="s">
        <v>16</v>
      </c>
      <c r="F1717" s="2">
        <v>30</v>
      </c>
      <c r="G1717" s="2" t="s">
        <v>5066</v>
      </c>
      <c r="H1717" s="2" t="s">
        <v>3296</v>
      </c>
      <c r="I1717" s="2" t="s">
        <v>32</v>
      </c>
      <c r="J1717" s="3">
        <v>43973</v>
      </c>
      <c r="K1717" s="2">
        <v>51</v>
      </c>
      <c r="L1717" s="2" t="s">
        <v>33</v>
      </c>
    </row>
    <row r="1718" spans="1:12" x14ac:dyDescent="0.3">
      <c r="A1718" s="2">
        <v>1707</v>
      </c>
      <c r="B1718" s="2" t="s">
        <v>2853</v>
      </c>
      <c r="C1718" s="2" t="s">
        <v>5067</v>
      </c>
      <c r="D1718" s="2" t="s">
        <v>28</v>
      </c>
      <c r="E1718" s="2" t="s">
        <v>29</v>
      </c>
      <c r="F1718" s="2">
        <v>60</v>
      </c>
      <c r="G1718" s="2" t="s">
        <v>5068</v>
      </c>
      <c r="H1718" s="2" t="s">
        <v>5069</v>
      </c>
      <c r="I1718" s="2" t="s">
        <v>32</v>
      </c>
      <c r="J1718" s="3">
        <v>44416</v>
      </c>
      <c r="K1718" s="2">
        <v>4</v>
      </c>
      <c r="L1718" s="2" t="s">
        <v>39</v>
      </c>
    </row>
    <row r="1719" spans="1:12" x14ac:dyDescent="0.3">
      <c r="A1719" s="2">
        <v>1708</v>
      </c>
      <c r="B1719" s="2" t="s">
        <v>5070</v>
      </c>
      <c r="C1719" s="2" t="s">
        <v>3258</v>
      </c>
      <c r="D1719" s="2" t="s">
        <v>28</v>
      </c>
      <c r="E1719" s="2" t="s">
        <v>29</v>
      </c>
      <c r="F1719" s="2">
        <v>30</v>
      </c>
      <c r="G1719" s="2" t="s">
        <v>5071</v>
      </c>
      <c r="H1719" s="2" t="s">
        <v>1391</v>
      </c>
      <c r="I1719" s="2" t="s">
        <v>32</v>
      </c>
      <c r="J1719" s="3">
        <v>44559</v>
      </c>
      <c r="K1719" s="2">
        <v>20</v>
      </c>
      <c r="L1719" s="2" t="s">
        <v>64</v>
      </c>
    </row>
    <row r="1720" spans="1:12" x14ac:dyDescent="0.3">
      <c r="A1720" s="2">
        <v>1709</v>
      </c>
      <c r="B1720" s="2" t="s">
        <v>2980</v>
      </c>
      <c r="C1720" s="2" t="s">
        <v>5072</v>
      </c>
      <c r="D1720" s="2" t="s">
        <v>28</v>
      </c>
      <c r="E1720" s="2" t="s">
        <v>29</v>
      </c>
      <c r="F1720" s="2">
        <v>60</v>
      </c>
      <c r="G1720" s="2" t="s">
        <v>5073</v>
      </c>
      <c r="H1720" s="2" t="s">
        <v>4071</v>
      </c>
      <c r="I1720" s="2" t="s">
        <v>886</v>
      </c>
      <c r="J1720" s="3">
        <v>44493</v>
      </c>
      <c r="K1720" s="2">
        <v>45</v>
      </c>
      <c r="L1720" s="2" t="s">
        <v>64</v>
      </c>
    </row>
    <row r="1721" spans="1:12" x14ac:dyDescent="0.3">
      <c r="A1721" s="2">
        <v>1710</v>
      </c>
      <c r="B1721" s="2" t="s">
        <v>5074</v>
      </c>
      <c r="C1721" s="2" t="s">
        <v>1627</v>
      </c>
      <c r="D1721" s="2" t="s">
        <v>15</v>
      </c>
      <c r="E1721" s="2" t="s">
        <v>16</v>
      </c>
      <c r="F1721" s="2">
        <v>30</v>
      </c>
      <c r="G1721" s="2" t="s">
        <v>5075</v>
      </c>
      <c r="H1721" s="2" t="s">
        <v>1242</v>
      </c>
      <c r="I1721" s="2" t="s">
        <v>38</v>
      </c>
      <c r="J1721" s="3">
        <v>44572</v>
      </c>
      <c r="K1721" s="2">
        <v>82</v>
      </c>
      <c r="L1721" s="2" t="s">
        <v>101</v>
      </c>
    </row>
    <row r="1722" spans="1:12" x14ac:dyDescent="0.3">
      <c r="A1722" s="2">
        <v>1711</v>
      </c>
      <c r="B1722" s="2" t="s">
        <v>5076</v>
      </c>
      <c r="C1722" s="2" t="s">
        <v>5077</v>
      </c>
      <c r="D1722" s="2" t="s">
        <v>15</v>
      </c>
      <c r="E1722" s="2" t="s">
        <v>16</v>
      </c>
      <c r="F1722" s="2">
        <v>60</v>
      </c>
      <c r="G1722" s="2" t="s">
        <v>5078</v>
      </c>
      <c r="H1722" s="2" t="s">
        <v>5079</v>
      </c>
      <c r="I1722" s="2" t="s">
        <v>294</v>
      </c>
      <c r="J1722" s="3">
        <v>44844</v>
      </c>
      <c r="K1722" s="2">
        <v>50</v>
      </c>
      <c r="L1722" s="2" t="s">
        <v>101</v>
      </c>
    </row>
    <row r="1723" spans="1:12" x14ac:dyDescent="0.3">
      <c r="A1723" s="2">
        <v>1712</v>
      </c>
      <c r="B1723" s="2" t="s">
        <v>3329</v>
      </c>
      <c r="C1723" s="2" t="s">
        <v>5081</v>
      </c>
      <c r="D1723" s="2" t="s">
        <v>28</v>
      </c>
      <c r="E1723" s="2" t="s">
        <v>29</v>
      </c>
      <c r="F1723" s="2">
        <v>60</v>
      </c>
      <c r="G1723" s="2" t="s">
        <v>5082</v>
      </c>
      <c r="H1723" s="2" t="s">
        <v>3324</v>
      </c>
      <c r="I1723" s="2" t="s">
        <v>32</v>
      </c>
      <c r="J1723" s="3">
        <v>44870</v>
      </c>
      <c r="K1723" s="2">
        <v>98</v>
      </c>
      <c r="L1723" s="2" t="s">
        <v>45</v>
      </c>
    </row>
    <row r="1724" spans="1:12" x14ac:dyDescent="0.3">
      <c r="A1724" s="2">
        <v>1713</v>
      </c>
      <c r="B1724" s="2" t="s">
        <v>5083</v>
      </c>
      <c r="C1724" s="2" t="s">
        <v>5084</v>
      </c>
      <c r="D1724" s="2" t="s">
        <v>28</v>
      </c>
      <c r="E1724" s="2" t="s">
        <v>29</v>
      </c>
      <c r="F1724" s="2">
        <v>30</v>
      </c>
      <c r="G1724" s="2" t="s">
        <v>5085</v>
      </c>
      <c r="H1724" s="2" t="s">
        <v>3756</v>
      </c>
      <c r="I1724" s="2" t="s">
        <v>178</v>
      </c>
      <c r="J1724" s="3">
        <v>43844</v>
      </c>
      <c r="K1724" s="2">
        <v>34</v>
      </c>
      <c r="L1724" s="2" t="s">
        <v>101</v>
      </c>
    </row>
    <row r="1725" spans="1:12" x14ac:dyDescent="0.3">
      <c r="A1725" s="2">
        <v>1714</v>
      </c>
      <c r="B1725" s="2" t="s">
        <v>5086</v>
      </c>
      <c r="C1725" s="2" t="s">
        <v>593</v>
      </c>
      <c r="D1725" s="2" t="s">
        <v>28</v>
      </c>
      <c r="E1725" s="2" t="s">
        <v>29</v>
      </c>
      <c r="F1725" s="2">
        <v>90</v>
      </c>
      <c r="G1725" s="2" t="s">
        <v>5087</v>
      </c>
      <c r="H1725" s="2" t="s">
        <v>3870</v>
      </c>
      <c r="I1725" s="2" t="s">
        <v>124</v>
      </c>
      <c r="J1725" s="3">
        <v>44709</v>
      </c>
      <c r="K1725" s="2">
        <v>18</v>
      </c>
      <c r="L1725" s="2" t="s">
        <v>159</v>
      </c>
    </row>
    <row r="1726" spans="1:12" x14ac:dyDescent="0.3">
      <c r="A1726" s="2">
        <v>1715</v>
      </c>
      <c r="B1726" s="2" t="s">
        <v>5088</v>
      </c>
      <c r="C1726" s="2" t="s">
        <v>457</v>
      </c>
      <c r="D1726" s="2" t="s">
        <v>28</v>
      </c>
      <c r="E1726" s="2" t="s">
        <v>29</v>
      </c>
      <c r="F1726" s="2">
        <v>90</v>
      </c>
      <c r="G1726" s="2" t="s">
        <v>5089</v>
      </c>
      <c r="H1726" s="2" t="s">
        <v>298</v>
      </c>
      <c r="I1726" s="2" t="s">
        <v>25</v>
      </c>
      <c r="J1726" s="3">
        <v>44522</v>
      </c>
      <c r="K1726" s="2">
        <v>65</v>
      </c>
      <c r="L1726" s="2" t="s">
        <v>80</v>
      </c>
    </row>
    <row r="1727" spans="1:12" x14ac:dyDescent="0.3">
      <c r="A1727" s="2">
        <v>1716</v>
      </c>
      <c r="B1727" s="2" t="s">
        <v>1405</v>
      </c>
      <c r="C1727" s="2" t="s">
        <v>5090</v>
      </c>
      <c r="D1727" s="2" t="s">
        <v>28</v>
      </c>
      <c r="E1727" s="2" t="s">
        <v>29</v>
      </c>
      <c r="F1727" s="2">
        <v>90</v>
      </c>
      <c r="G1727" s="2" t="s">
        <v>5091</v>
      </c>
      <c r="H1727" s="2" t="s">
        <v>1781</v>
      </c>
      <c r="I1727" s="2" t="s">
        <v>32</v>
      </c>
      <c r="J1727" s="3">
        <v>44844</v>
      </c>
      <c r="K1727" s="2">
        <v>26</v>
      </c>
      <c r="L1727" s="2" t="s">
        <v>45</v>
      </c>
    </row>
    <row r="1728" spans="1:12" x14ac:dyDescent="0.3">
      <c r="A1728" s="2">
        <v>1717</v>
      </c>
      <c r="B1728" s="2" t="s">
        <v>1923</v>
      </c>
      <c r="C1728" s="2" t="s">
        <v>5092</v>
      </c>
      <c r="D1728" s="2" t="s">
        <v>28</v>
      </c>
      <c r="E1728" s="2" t="s">
        <v>29</v>
      </c>
      <c r="F1728" s="2">
        <v>30</v>
      </c>
      <c r="G1728" s="2" t="s">
        <v>5093</v>
      </c>
      <c r="H1728" s="2" t="s">
        <v>3459</v>
      </c>
      <c r="I1728" s="2" t="s">
        <v>178</v>
      </c>
      <c r="J1728" s="3">
        <v>44160</v>
      </c>
      <c r="K1728" s="2">
        <v>73</v>
      </c>
      <c r="L1728" s="2" t="s">
        <v>70</v>
      </c>
    </row>
    <row r="1729" spans="1:12" x14ac:dyDescent="0.3">
      <c r="A1729" s="2">
        <v>1718</v>
      </c>
      <c r="B1729" s="2" t="s">
        <v>1865</v>
      </c>
      <c r="C1729" s="2" t="s">
        <v>1703</v>
      </c>
      <c r="D1729" s="2" t="s">
        <v>41</v>
      </c>
      <c r="E1729" s="2" t="s">
        <v>16</v>
      </c>
      <c r="F1729" s="2">
        <v>30</v>
      </c>
      <c r="G1729" s="2" t="s">
        <v>5094</v>
      </c>
      <c r="H1729" s="2" t="s">
        <v>738</v>
      </c>
      <c r="I1729" s="2" t="s">
        <v>38</v>
      </c>
      <c r="J1729" s="3">
        <v>44240</v>
      </c>
      <c r="K1729" s="2">
        <v>28</v>
      </c>
      <c r="L1729" s="2" t="s">
        <v>39</v>
      </c>
    </row>
    <row r="1730" spans="1:12" x14ac:dyDescent="0.3">
      <c r="A1730" s="2">
        <v>1719</v>
      </c>
      <c r="B1730" s="2" t="s">
        <v>5095</v>
      </c>
      <c r="C1730" s="2" t="s">
        <v>5096</v>
      </c>
      <c r="D1730" s="2" t="s">
        <v>51</v>
      </c>
      <c r="E1730" s="2" t="s">
        <v>16</v>
      </c>
      <c r="F1730" s="2">
        <v>90</v>
      </c>
      <c r="G1730" s="2" t="s">
        <v>5097</v>
      </c>
      <c r="H1730" s="2" t="s">
        <v>2516</v>
      </c>
      <c r="I1730" s="2" t="s">
        <v>32</v>
      </c>
      <c r="J1730" s="3">
        <v>44368</v>
      </c>
      <c r="K1730" s="2">
        <v>66</v>
      </c>
      <c r="L1730" s="2" t="s">
        <v>54</v>
      </c>
    </row>
    <row r="1731" spans="1:12" x14ac:dyDescent="0.3">
      <c r="A1731" s="2">
        <v>1720</v>
      </c>
      <c r="B1731" s="2" t="s">
        <v>2600</v>
      </c>
      <c r="C1731" s="2" t="s">
        <v>1148</v>
      </c>
      <c r="D1731" s="2" t="s">
        <v>51</v>
      </c>
      <c r="E1731" s="2" t="s">
        <v>16</v>
      </c>
      <c r="F1731" s="2">
        <v>90</v>
      </c>
      <c r="G1731" s="2" t="s">
        <v>5098</v>
      </c>
      <c r="H1731" s="2" t="s">
        <v>5099</v>
      </c>
      <c r="I1731" s="2" t="s">
        <v>32</v>
      </c>
      <c r="J1731" s="3">
        <v>44211</v>
      </c>
      <c r="K1731" s="2">
        <v>51</v>
      </c>
      <c r="L1731" s="2" t="s">
        <v>101</v>
      </c>
    </row>
    <row r="1732" spans="1:12" x14ac:dyDescent="0.3">
      <c r="A1732" s="2">
        <v>1721</v>
      </c>
      <c r="B1732" s="2" t="s">
        <v>3300</v>
      </c>
      <c r="C1732" s="2" t="s">
        <v>5100</v>
      </c>
      <c r="D1732" s="2" t="s">
        <v>28</v>
      </c>
      <c r="E1732" s="2" t="s">
        <v>29</v>
      </c>
      <c r="F1732" s="2">
        <v>60</v>
      </c>
      <c r="G1732" s="2" t="s">
        <v>5101</v>
      </c>
      <c r="H1732" s="2" t="s">
        <v>2791</v>
      </c>
      <c r="I1732" s="2" t="s">
        <v>178</v>
      </c>
      <c r="J1732" s="3">
        <v>44275</v>
      </c>
      <c r="K1732" s="2">
        <v>9</v>
      </c>
      <c r="L1732" s="2" t="s">
        <v>39</v>
      </c>
    </row>
    <row r="1733" spans="1:12" x14ac:dyDescent="0.3">
      <c r="A1733" s="2">
        <v>1722</v>
      </c>
      <c r="B1733" s="2" t="s">
        <v>5102</v>
      </c>
      <c r="C1733" s="2" t="s">
        <v>1874</v>
      </c>
      <c r="D1733" s="2" t="s">
        <v>15</v>
      </c>
      <c r="E1733" s="2" t="s">
        <v>16</v>
      </c>
      <c r="F1733" s="2">
        <v>60</v>
      </c>
      <c r="G1733" s="2" t="s">
        <v>5103</v>
      </c>
      <c r="H1733" s="2" t="s">
        <v>754</v>
      </c>
      <c r="I1733" s="2" t="s">
        <v>25</v>
      </c>
      <c r="J1733" s="3">
        <v>44890</v>
      </c>
      <c r="K1733" s="2">
        <v>20</v>
      </c>
      <c r="L1733" s="2" t="s">
        <v>80</v>
      </c>
    </row>
    <row r="1734" spans="1:12" x14ac:dyDescent="0.3">
      <c r="A1734" s="2">
        <v>1723</v>
      </c>
      <c r="B1734" s="2" t="s">
        <v>2346</v>
      </c>
      <c r="C1734" s="2" t="s">
        <v>512</v>
      </c>
      <c r="D1734" s="2" t="s">
        <v>28</v>
      </c>
      <c r="E1734" s="2" t="s">
        <v>29</v>
      </c>
      <c r="F1734" s="2">
        <v>60</v>
      </c>
      <c r="G1734" s="2" t="s">
        <v>10644</v>
      </c>
      <c r="H1734" s="2" t="s">
        <v>2688</v>
      </c>
      <c r="I1734" s="2" t="s">
        <v>1199</v>
      </c>
      <c r="J1734" s="3">
        <v>44115</v>
      </c>
      <c r="K1734" s="2">
        <v>48</v>
      </c>
      <c r="L1734" s="2" t="s">
        <v>33</v>
      </c>
    </row>
    <row r="1735" spans="1:12" x14ac:dyDescent="0.3">
      <c r="A1735" s="2">
        <v>1724</v>
      </c>
      <c r="B1735" s="2" t="s">
        <v>5105</v>
      </c>
      <c r="C1735" s="2" t="s">
        <v>5106</v>
      </c>
      <c r="D1735" s="2" t="s">
        <v>51</v>
      </c>
      <c r="E1735" s="2" t="s">
        <v>16</v>
      </c>
      <c r="F1735" s="2">
        <v>30</v>
      </c>
      <c r="G1735" s="2" t="s">
        <v>5107</v>
      </c>
      <c r="H1735" s="2" t="s">
        <v>5108</v>
      </c>
      <c r="I1735" s="2" t="s">
        <v>38</v>
      </c>
      <c r="J1735" s="3">
        <v>44636</v>
      </c>
      <c r="K1735" s="2">
        <v>39</v>
      </c>
      <c r="L1735" s="2" t="s">
        <v>20</v>
      </c>
    </row>
    <row r="1736" spans="1:12" x14ac:dyDescent="0.3">
      <c r="A1736" s="2">
        <v>1725</v>
      </c>
      <c r="B1736" s="2" t="s">
        <v>111</v>
      </c>
      <c r="C1736" s="2" t="s">
        <v>647</v>
      </c>
      <c r="D1736" s="2" t="s">
        <v>28</v>
      </c>
      <c r="E1736" s="2" t="s">
        <v>29</v>
      </c>
      <c r="F1736" s="2">
        <v>60</v>
      </c>
      <c r="G1736" s="2" t="s">
        <v>5109</v>
      </c>
      <c r="H1736" s="2" t="s">
        <v>4020</v>
      </c>
      <c r="I1736" s="2" t="s">
        <v>173</v>
      </c>
      <c r="J1736" s="3">
        <v>44519</v>
      </c>
      <c r="K1736" s="2">
        <v>81</v>
      </c>
      <c r="L1736" s="2" t="s">
        <v>20</v>
      </c>
    </row>
    <row r="1737" spans="1:12" x14ac:dyDescent="0.3">
      <c r="A1737" s="2">
        <v>1726</v>
      </c>
      <c r="B1737" s="2" t="s">
        <v>5110</v>
      </c>
      <c r="C1737" s="2" t="s">
        <v>5111</v>
      </c>
      <c r="D1737" s="2" t="s">
        <v>15</v>
      </c>
      <c r="E1737" s="2" t="s">
        <v>16</v>
      </c>
      <c r="F1737" s="2">
        <v>30</v>
      </c>
      <c r="G1737" s="2" t="s">
        <v>5112</v>
      </c>
      <c r="H1737" s="2" t="s">
        <v>154</v>
      </c>
      <c r="I1737" s="2" t="s">
        <v>25</v>
      </c>
      <c r="J1737" s="3">
        <v>44170</v>
      </c>
      <c r="K1737" s="2">
        <v>19</v>
      </c>
      <c r="L1737" s="2" t="s">
        <v>70</v>
      </c>
    </row>
    <row r="1738" spans="1:12" x14ac:dyDescent="0.3">
      <c r="A1738" s="2">
        <v>1727</v>
      </c>
      <c r="B1738" s="2" t="s">
        <v>3992</v>
      </c>
      <c r="C1738" s="2" t="s">
        <v>5113</v>
      </c>
      <c r="D1738" s="2" t="s">
        <v>28</v>
      </c>
      <c r="E1738" s="2" t="s">
        <v>29</v>
      </c>
      <c r="F1738" s="2">
        <v>90</v>
      </c>
      <c r="G1738" s="2" t="s">
        <v>5114</v>
      </c>
      <c r="H1738" s="2" t="s">
        <v>2069</v>
      </c>
      <c r="I1738" s="2" t="s">
        <v>1035</v>
      </c>
      <c r="J1738" s="3">
        <v>44421</v>
      </c>
      <c r="K1738" s="2">
        <v>42</v>
      </c>
      <c r="L1738" s="2" t="s">
        <v>33</v>
      </c>
    </row>
    <row r="1739" spans="1:12" x14ac:dyDescent="0.3">
      <c r="A1739" s="2">
        <v>1728</v>
      </c>
      <c r="B1739" s="2" t="s">
        <v>705</v>
      </c>
      <c r="C1739" s="2" t="s">
        <v>1501</v>
      </c>
      <c r="D1739" s="2" t="s">
        <v>28</v>
      </c>
      <c r="E1739" s="2" t="s">
        <v>29</v>
      </c>
      <c r="F1739" s="2">
        <v>90</v>
      </c>
      <c r="G1739" s="2" t="s">
        <v>5114</v>
      </c>
      <c r="H1739" s="2" t="s">
        <v>2533</v>
      </c>
      <c r="I1739" s="2" t="s">
        <v>2534</v>
      </c>
      <c r="J1739" s="3">
        <v>44657</v>
      </c>
      <c r="K1739" s="2">
        <v>18</v>
      </c>
      <c r="L1739" s="2" t="s">
        <v>159</v>
      </c>
    </row>
    <row r="1740" spans="1:12" x14ac:dyDescent="0.3">
      <c r="A1740" s="2">
        <v>1729</v>
      </c>
      <c r="B1740" s="2" t="s">
        <v>5115</v>
      </c>
      <c r="C1740" s="2" t="s">
        <v>2071</v>
      </c>
      <c r="D1740" s="2" t="s">
        <v>28</v>
      </c>
      <c r="E1740" s="2" t="s">
        <v>29</v>
      </c>
      <c r="F1740" s="2">
        <v>60</v>
      </c>
      <c r="G1740" s="2" t="s">
        <v>5116</v>
      </c>
      <c r="H1740" s="2" t="s">
        <v>2570</v>
      </c>
      <c r="I1740" s="2" t="s">
        <v>32</v>
      </c>
      <c r="J1740" s="3">
        <v>44117</v>
      </c>
      <c r="K1740" s="2">
        <v>74</v>
      </c>
      <c r="L1740" s="2" t="s">
        <v>64</v>
      </c>
    </row>
    <row r="1741" spans="1:12" x14ac:dyDescent="0.3">
      <c r="A1741" s="2">
        <v>1730</v>
      </c>
      <c r="B1741" s="2" t="s">
        <v>4697</v>
      </c>
      <c r="C1741" s="2" t="s">
        <v>3605</v>
      </c>
      <c r="D1741" s="2" t="s">
        <v>28</v>
      </c>
      <c r="E1741" s="2" t="s">
        <v>29</v>
      </c>
      <c r="F1741" s="2">
        <v>30</v>
      </c>
      <c r="G1741" s="2" t="s">
        <v>5117</v>
      </c>
      <c r="H1741" s="2" t="s">
        <v>716</v>
      </c>
      <c r="I1741" s="2" t="s">
        <v>32</v>
      </c>
      <c r="J1741" s="3">
        <v>44425</v>
      </c>
      <c r="K1741" s="2">
        <v>23</v>
      </c>
      <c r="L1741" s="2" t="s">
        <v>45</v>
      </c>
    </row>
    <row r="1742" spans="1:12" x14ac:dyDescent="0.3">
      <c r="A1742" s="2">
        <v>1731</v>
      </c>
      <c r="B1742" s="2" t="s">
        <v>5118</v>
      </c>
      <c r="C1742" s="2" t="s">
        <v>304</v>
      </c>
      <c r="D1742" s="2" t="s">
        <v>51</v>
      </c>
      <c r="E1742" s="2" t="s">
        <v>16</v>
      </c>
      <c r="F1742" s="2">
        <v>60</v>
      </c>
      <c r="G1742" s="2" t="s">
        <v>5119</v>
      </c>
      <c r="H1742" s="2" t="s">
        <v>3424</v>
      </c>
      <c r="I1742" s="2" t="s">
        <v>32</v>
      </c>
      <c r="J1742" s="3">
        <v>44657</v>
      </c>
      <c r="K1742" s="2">
        <v>57</v>
      </c>
      <c r="L1742" s="2" t="s">
        <v>80</v>
      </c>
    </row>
    <row r="1743" spans="1:12" x14ac:dyDescent="0.3">
      <c r="A1743" s="2">
        <v>1732</v>
      </c>
      <c r="B1743" s="2" t="s">
        <v>5120</v>
      </c>
      <c r="C1743" s="2" t="s">
        <v>2547</v>
      </c>
      <c r="D1743" s="2" t="s">
        <v>51</v>
      </c>
      <c r="E1743" s="2" t="s">
        <v>16</v>
      </c>
      <c r="F1743" s="2">
        <v>90</v>
      </c>
      <c r="G1743" s="2" t="s">
        <v>5121</v>
      </c>
      <c r="H1743" s="2" t="s">
        <v>5122</v>
      </c>
      <c r="I1743" s="2" t="s">
        <v>25</v>
      </c>
      <c r="J1743" s="3">
        <v>44036</v>
      </c>
      <c r="K1743" s="2">
        <v>19</v>
      </c>
      <c r="L1743" s="2" t="s">
        <v>20</v>
      </c>
    </row>
    <row r="1744" spans="1:12" x14ac:dyDescent="0.3">
      <c r="A1744" s="2">
        <v>1733</v>
      </c>
      <c r="B1744" s="2" t="s">
        <v>5123</v>
      </c>
      <c r="C1744" s="2" t="s">
        <v>1093</v>
      </c>
      <c r="D1744" s="2" t="s">
        <v>15</v>
      </c>
      <c r="E1744" s="2" t="s">
        <v>16</v>
      </c>
      <c r="F1744" s="2">
        <v>60</v>
      </c>
      <c r="G1744" s="2" t="s">
        <v>5124</v>
      </c>
      <c r="H1744" s="2" t="s">
        <v>2284</v>
      </c>
      <c r="I1744" s="2" t="s">
        <v>32</v>
      </c>
      <c r="J1744" s="3">
        <v>44285</v>
      </c>
      <c r="K1744" s="2">
        <v>73</v>
      </c>
      <c r="L1744" s="2" t="s">
        <v>101</v>
      </c>
    </row>
    <row r="1745" spans="1:12" x14ac:dyDescent="0.3">
      <c r="A1745" s="2">
        <v>1734</v>
      </c>
      <c r="B1745" s="2" t="s">
        <v>5125</v>
      </c>
      <c r="C1745" s="2" t="s">
        <v>3712</v>
      </c>
      <c r="D1745" s="2" t="s">
        <v>28</v>
      </c>
      <c r="E1745" s="2" t="s">
        <v>29</v>
      </c>
      <c r="F1745" s="2">
        <v>60</v>
      </c>
      <c r="G1745" s="2" t="s">
        <v>5126</v>
      </c>
      <c r="H1745" s="2" t="s">
        <v>3506</v>
      </c>
      <c r="I1745" s="2" t="s">
        <v>124</v>
      </c>
      <c r="J1745" s="3">
        <v>44295</v>
      </c>
      <c r="K1745" s="2">
        <v>45</v>
      </c>
      <c r="L1745" s="2" t="s">
        <v>54</v>
      </c>
    </row>
    <row r="1746" spans="1:12" x14ac:dyDescent="0.3">
      <c r="A1746" s="2">
        <v>1735</v>
      </c>
      <c r="B1746" s="2" t="s">
        <v>5127</v>
      </c>
      <c r="C1746" s="2" t="s">
        <v>5128</v>
      </c>
      <c r="D1746" s="2" t="s">
        <v>51</v>
      </c>
      <c r="E1746" s="2" t="s">
        <v>16</v>
      </c>
      <c r="F1746" s="2">
        <v>90</v>
      </c>
      <c r="G1746" s="2" t="s">
        <v>5129</v>
      </c>
      <c r="H1746" s="2" t="s">
        <v>3169</v>
      </c>
      <c r="I1746" s="2" t="s">
        <v>110</v>
      </c>
      <c r="J1746" s="3">
        <v>44536</v>
      </c>
      <c r="K1746" s="2">
        <v>47</v>
      </c>
      <c r="L1746" s="2" t="s">
        <v>54</v>
      </c>
    </row>
    <row r="1747" spans="1:12" x14ac:dyDescent="0.3">
      <c r="A1747" s="2">
        <v>1736</v>
      </c>
      <c r="B1747" s="2" t="s">
        <v>4922</v>
      </c>
      <c r="C1747" s="2" t="s">
        <v>2719</v>
      </c>
      <c r="D1747" s="2" t="s">
        <v>51</v>
      </c>
      <c r="E1747" s="2" t="s">
        <v>16</v>
      </c>
      <c r="F1747" s="2">
        <v>30</v>
      </c>
      <c r="G1747" s="2" t="s">
        <v>5129</v>
      </c>
      <c r="H1747" s="2" t="s">
        <v>2759</v>
      </c>
      <c r="I1747" s="2" t="s">
        <v>32</v>
      </c>
      <c r="J1747" s="3">
        <v>44412</v>
      </c>
      <c r="K1747" s="2">
        <v>30</v>
      </c>
      <c r="L1747" s="2" t="s">
        <v>39</v>
      </c>
    </row>
    <row r="1748" spans="1:12" x14ac:dyDescent="0.3">
      <c r="A1748" s="2">
        <v>1737</v>
      </c>
      <c r="B1748" s="2" t="s">
        <v>1068</v>
      </c>
      <c r="C1748" s="2" t="s">
        <v>5130</v>
      </c>
      <c r="D1748" s="2" t="s">
        <v>15</v>
      </c>
      <c r="E1748" s="2" t="s">
        <v>16</v>
      </c>
      <c r="F1748" s="2">
        <v>60</v>
      </c>
      <c r="G1748" s="2" t="s">
        <v>10433</v>
      </c>
      <c r="H1748" s="2" t="s">
        <v>5132</v>
      </c>
      <c r="I1748" s="2" t="s">
        <v>32</v>
      </c>
      <c r="J1748" s="3">
        <v>44587</v>
      </c>
      <c r="K1748" s="2">
        <v>89</v>
      </c>
      <c r="L1748" s="2" t="s">
        <v>20</v>
      </c>
    </row>
    <row r="1749" spans="1:12" x14ac:dyDescent="0.3">
      <c r="A1749" s="2">
        <v>1738</v>
      </c>
      <c r="B1749" s="2" t="s">
        <v>692</v>
      </c>
      <c r="C1749" s="2" t="s">
        <v>516</v>
      </c>
      <c r="D1749" s="2" t="s">
        <v>28</v>
      </c>
      <c r="E1749" s="2" t="s">
        <v>29</v>
      </c>
      <c r="F1749" s="2">
        <v>60</v>
      </c>
      <c r="G1749" s="2" t="s">
        <v>5133</v>
      </c>
      <c r="H1749" s="2" t="s">
        <v>5134</v>
      </c>
      <c r="I1749" s="2" t="s">
        <v>32</v>
      </c>
      <c r="J1749" s="3">
        <v>43866</v>
      </c>
      <c r="K1749" s="2">
        <v>43</v>
      </c>
      <c r="L1749" s="2" t="s">
        <v>101</v>
      </c>
    </row>
    <row r="1750" spans="1:12" x14ac:dyDescent="0.3">
      <c r="A1750" s="2">
        <v>1739</v>
      </c>
      <c r="B1750" s="2" t="s">
        <v>2812</v>
      </c>
      <c r="C1750" s="2" t="s">
        <v>414</v>
      </c>
      <c r="D1750" s="2" t="s">
        <v>15</v>
      </c>
      <c r="E1750" s="2" t="s">
        <v>16</v>
      </c>
      <c r="F1750" s="2">
        <v>30</v>
      </c>
      <c r="G1750" s="2" t="s">
        <v>5135</v>
      </c>
      <c r="H1750" s="2" t="s">
        <v>1880</v>
      </c>
      <c r="I1750" s="2" t="s">
        <v>32</v>
      </c>
      <c r="J1750" s="3">
        <v>44318</v>
      </c>
      <c r="K1750" s="2">
        <v>14</v>
      </c>
      <c r="L1750" s="2" t="s">
        <v>20</v>
      </c>
    </row>
    <row r="1751" spans="1:12" x14ac:dyDescent="0.3">
      <c r="A1751" s="2">
        <v>1740</v>
      </c>
      <c r="B1751" s="2" t="s">
        <v>1506</v>
      </c>
      <c r="C1751" s="2" t="s">
        <v>4725</v>
      </c>
      <c r="D1751" s="2" t="s">
        <v>15</v>
      </c>
      <c r="E1751" s="2" t="s">
        <v>16</v>
      </c>
      <c r="F1751" s="2">
        <v>90</v>
      </c>
      <c r="G1751" s="2" t="s">
        <v>5136</v>
      </c>
      <c r="H1751" s="2" t="s">
        <v>1590</v>
      </c>
      <c r="I1751" s="2" t="s">
        <v>32</v>
      </c>
      <c r="J1751" s="3">
        <v>44198</v>
      </c>
      <c r="K1751" s="2">
        <v>66</v>
      </c>
      <c r="L1751" s="2" t="s">
        <v>45</v>
      </c>
    </row>
    <row r="1752" spans="1:12" x14ac:dyDescent="0.3">
      <c r="A1752" s="2">
        <v>1741</v>
      </c>
      <c r="B1752" s="2" t="s">
        <v>5137</v>
      </c>
      <c r="C1752" s="2" t="s">
        <v>5138</v>
      </c>
      <c r="D1752" s="2" t="s">
        <v>41</v>
      </c>
      <c r="E1752" s="2" t="s">
        <v>16</v>
      </c>
      <c r="F1752" s="2">
        <v>90</v>
      </c>
      <c r="G1752" s="2" t="s">
        <v>5139</v>
      </c>
      <c r="H1752" s="2" t="s">
        <v>1651</v>
      </c>
      <c r="I1752" s="2" t="s">
        <v>1652</v>
      </c>
      <c r="J1752" s="3">
        <v>43884</v>
      </c>
      <c r="K1752" s="2">
        <v>16</v>
      </c>
      <c r="L1752" s="2" t="s">
        <v>33</v>
      </c>
    </row>
    <row r="1753" spans="1:12" x14ac:dyDescent="0.3">
      <c r="A1753" s="2">
        <v>1742</v>
      </c>
      <c r="B1753" s="2" t="s">
        <v>2690</v>
      </c>
      <c r="C1753" s="2" t="s">
        <v>4695</v>
      </c>
      <c r="D1753" s="2" t="s">
        <v>28</v>
      </c>
      <c r="E1753" s="2" t="s">
        <v>29</v>
      </c>
      <c r="F1753" s="2">
        <v>90</v>
      </c>
      <c r="G1753" s="2" t="s">
        <v>5140</v>
      </c>
      <c r="H1753" s="2" t="s">
        <v>3070</v>
      </c>
      <c r="I1753" s="2" t="s">
        <v>575</v>
      </c>
      <c r="J1753" s="3">
        <v>44105</v>
      </c>
      <c r="K1753" s="2">
        <v>29</v>
      </c>
      <c r="L1753" s="2" t="s">
        <v>20</v>
      </c>
    </row>
    <row r="1754" spans="1:12" x14ac:dyDescent="0.3">
      <c r="A1754" s="2">
        <v>1743</v>
      </c>
      <c r="B1754" s="2" t="s">
        <v>5141</v>
      </c>
      <c r="C1754" s="2" t="s">
        <v>5142</v>
      </c>
      <c r="D1754" s="2" t="s">
        <v>28</v>
      </c>
      <c r="E1754" s="2" t="s">
        <v>29</v>
      </c>
      <c r="F1754" s="2">
        <v>30</v>
      </c>
      <c r="G1754" s="2" t="s">
        <v>5143</v>
      </c>
      <c r="H1754" s="2" t="s">
        <v>74</v>
      </c>
      <c r="I1754" s="2" t="s">
        <v>32</v>
      </c>
      <c r="J1754" s="3">
        <v>44623</v>
      </c>
      <c r="K1754" s="2">
        <v>74</v>
      </c>
      <c r="L1754" s="2" t="s">
        <v>45</v>
      </c>
    </row>
    <row r="1755" spans="1:12" x14ac:dyDescent="0.3">
      <c r="A1755" s="2">
        <v>1744</v>
      </c>
      <c r="B1755" s="2" t="s">
        <v>5144</v>
      </c>
      <c r="C1755" s="2" t="s">
        <v>5145</v>
      </c>
      <c r="D1755" s="2" t="s">
        <v>15</v>
      </c>
      <c r="E1755" s="2" t="s">
        <v>16</v>
      </c>
      <c r="F1755" s="2">
        <v>90</v>
      </c>
      <c r="G1755" s="2" t="s">
        <v>5146</v>
      </c>
      <c r="H1755" s="2" t="s">
        <v>4441</v>
      </c>
      <c r="I1755" s="2" t="s">
        <v>146</v>
      </c>
      <c r="J1755" s="3">
        <v>44007</v>
      </c>
      <c r="K1755" s="2">
        <v>16</v>
      </c>
      <c r="L1755" s="2" t="s">
        <v>33</v>
      </c>
    </row>
    <row r="1756" spans="1:12" x14ac:dyDescent="0.3">
      <c r="A1756" s="2">
        <v>1745</v>
      </c>
      <c r="B1756" s="2" t="s">
        <v>5147</v>
      </c>
      <c r="C1756" s="2" t="s">
        <v>3812</v>
      </c>
      <c r="D1756" s="2" t="s">
        <v>28</v>
      </c>
      <c r="E1756" s="2" t="s">
        <v>29</v>
      </c>
      <c r="F1756" s="2">
        <v>90</v>
      </c>
      <c r="G1756" s="2" t="s">
        <v>5146</v>
      </c>
      <c r="H1756" s="2" t="s">
        <v>5148</v>
      </c>
      <c r="I1756" s="2" t="s">
        <v>32</v>
      </c>
      <c r="J1756" s="3">
        <v>44255</v>
      </c>
      <c r="K1756" s="2">
        <v>92</v>
      </c>
      <c r="L1756" s="2" t="s">
        <v>45</v>
      </c>
    </row>
    <row r="1757" spans="1:12" x14ac:dyDescent="0.3">
      <c r="A1757" s="2">
        <v>1746</v>
      </c>
      <c r="B1757" s="2" t="s">
        <v>5149</v>
      </c>
      <c r="C1757" s="2" t="s">
        <v>3971</v>
      </c>
      <c r="D1757" s="2" t="s">
        <v>51</v>
      </c>
      <c r="E1757" s="2" t="s">
        <v>16</v>
      </c>
      <c r="F1757" s="2">
        <v>90</v>
      </c>
      <c r="G1757" s="2" t="s">
        <v>5150</v>
      </c>
      <c r="H1757" s="2" t="s">
        <v>1333</v>
      </c>
      <c r="I1757" s="2" t="s">
        <v>294</v>
      </c>
      <c r="J1757" s="3">
        <v>44309</v>
      </c>
      <c r="K1757" s="2">
        <v>13</v>
      </c>
      <c r="L1757" s="2" t="s">
        <v>159</v>
      </c>
    </row>
    <row r="1758" spans="1:12" x14ac:dyDescent="0.3">
      <c r="A1758" s="2">
        <v>1747</v>
      </c>
      <c r="B1758" s="2" t="s">
        <v>5151</v>
      </c>
      <c r="C1758" s="2" t="s">
        <v>3493</v>
      </c>
      <c r="D1758" s="2" t="s">
        <v>15</v>
      </c>
      <c r="E1758" s="2" t="s">
        <v>16</v>
      </c>
      <c r="F1758" s="2">
        <v>60</v>
      </c>
      <c r="G1758" s="2" t="s">
        <v>5152</v>
      </c>
      <c r="H1758" s="2" t="s">
        <v>4860</v>
      </c>
      <c r="I1758" s="2" t="s">
        <v>32</v>
      </c>
      <c r="J1758" s="3">
        <v>44159</v>
      </c>
      <c r="K1758" s="2">
        <v>58</v>
      </c>
      <c r="L1758" s="2" t="s">
        <v>64</v>
      </c>
    </row>
    <row r="1759" spans="1:12" x14ac:dyDescent="0.3">
      <c r="A1759" s="2">
        <v>1748</v>
      </c>
      <c r="B1759" s="2" t="s">
        <v>5153</v>
      </c>
      <c r="C1759" s="2" t="s">
        <v>2923</v>
      </c>
      <c r="D1759" s="2" t="s">
        <v>51</v>
      </c>
      <c r="E1759" s="2" t="s">
        <v>16</v>
      </c>
      <c r="F1759" s="2">
        <v>90</v>
      </c>
      <c r="G1759" s="2" t="s">
        <v>5154</v>
      </c>
      <c r="H1759" s="2" t="s">
        <v>3996</v>
      </c>
      <c r="I1759" s="2" t="s">
        <v>294</v>
      </c>
      <c r="J1759" s="3">
        <v>43934</v>
      </c>
      <c r="K1759" s="2">
        <v>36</v>
      </c>
      <c r="L1759" s="2" t="s">
        <v>39</v>
      </c>
    </row>
    <row r="1760" spans="1:12" x14ac:dyDescent="0.3">
      <c r="A1760" s="2">
        <v>1749</v>
      </c>
      <c r="B1760" s="2" t="s">
        <v>1304</v>
      </c>
      <c r="C1760" s="2" t="s">
        <v>2043</v>
      </c>
      <c r="D1760" s="2" t="s">
        <v>28</v>
      </c>
      <c r="E1760" s="2" t="s">
        <v>29</v>
      </c>
      <c r="F1760" s="2">
        <v>60</v>
      </c>
      <c r="G1760" s="2" t="s">
        <v>5155</v>
      </c>
      <c r="H1760" s="2" t="s">
        <v>389</v>
      </c>
      <c r="I1760" s="2" t="s">
        <v>32</v>
      </c>
      <c r="J1760" s="3">
        <v>44809</v>
      </c>
      <c r="K1760" s="2">
        <v>68</v>
      </c>
      <c r="L1760" s="2" t="s">
        <v>20</v>
      </c>
    </row>
    <row r="1761" spans="1:12" x14ac:dyDescent="0.3">
      <c r="A1761" s="2">
        <v>1750</v>
      </c>
      <c r="B1761" s="2" t="s">
        <v>4414</v>
      </c>
      <c r="C1761" s="2" t="s">
        <v>5156</v>
      </c>
      <c r="D1761" s="2" t="s">
        <v>28</v>
      </c>
      <c r="E1761" s="2" t="s">
        <v>29</v>
      </c>
      <c r="F1761" s="2">
        <v>30</v>
      </c>
      <c r="G1761" s="2" t="s">
        <v>5157</v>
      </c>
      <c r="H1761" s="2" t="s">
        <v>5158</v>
      </c>
      <c r="I1761" s="2" t="s">
        <v>5159</v>
      </c>
      <c r="J1761" s="3">
        <v>44926</v>
      </c>
      <c r="K1761" s="2">
        <v>51</v>
      </c>
      <c r="L1761" s="2" t="s">
        <v>64</v>
      </c>
    </row>
    <row r="1762" spans="1:12" x14ac:dyDescent="0.3">
      <c r="A1762" s="2">
        <v>1751</v>
      </c>
      <c r="B1762" s="2" t="s">
        <v>5160</v>
      </c>
      <c r="C1762" s="2" t="s">
        <v>5161</v>
      </c>
      <c r="D1762" s="2" t="s">
        <v>15</v>
      </c>
      <c r="E1762" s="2" t="s">
        <v>16</v>
      </c>
      <c r="F1762" s="2">
        <v>90</v>
      </c>
      <c r="G1762" s="2" t="s">
        <v>5162</v>
      </c>
      <c r="H1762" s="2" t="s">
        <v>2768</v>
      </c>
      <c r="I1762" s="2" t="s">
        <v>554</v>
      </c>
      <c r="J1762" s="3">
        <v>43990</v>
      </c>
      <c r="K1762" s="2">
        <v>7</v>
      </c>
      <c r="L1762" s="2" t="s">
        <v>20</v>
      </c>
    </row>
    <row r="1763" spans="1:12" x14ac:dyDescent="0.3">
      <c r="A1763" s="2">
        <v>1752</v>
      </c>
      <c r="B1763" s="2" t="s">
        <v>5163</v>
      </c>
      <c r="C1763" s="2" t="s">
        <v>5164</v>
      </c>
      <c r="D1763" s="2" t="s">
        <v>28</v>
      </c>
      <c r="E1763" s="2" t="s">
        <v>29</v>
      </c>
      <c r="F1763" s="2">
        <v>30</v>
      </c>
      <c r="G1763" s="2" t="s">
        <v>5165</v>
      </c>
      <c r="H1763" s="2" t="s">
        <v>248</v>
      </c>
      <c r="I1763" s="2" t="s">
        <v>178</v>
      </c>
      <c r="J1763" s="3">
        <v>44510</v>
      </c>
      <c r="K1763" s="2">
        <v>72</v>
      </c>
      <c r="L1763" s="2" t="s">
        <v>20</v>
      </c>
    </row>
    <row r="1764" spans="1:12" x14ac:dyDescent="0.3">
      <c r="A1764" s="2">
        <v>1753</v>
      </c>
      <c r="B1764" s="2" t="s">
        <v>4458</v>
      </c>
      <c r="C1764" s="2" t="s">
        <v>3519</v>
      </c>
      <c r="D1764" s="2" t="s">
        <v>28</v>
      </c>
      <c r="E1764" s="2" t="s">
        <v>29</v>
      </c>
      <c r="F1764" s="2">
        <v>90</v>
      </c>
      <c r="G1764" s="2" t="s">
        <v>5166</v>
      </c>
      <c r="H1764" s="2" t="s">
        <v>5167</v>
      </c>
      <c r="I1764" s="2" t="s">
        <v>32</v>
      </c>
      <c r="J1764" s="3">
        <v>44589</v>
      </c>
      <c r="K1764" s="2">
        <v>7</v>
      </c>
      <c r="L1764" s="2" t="s">
        <v>159</v>
      </c>
    </row>
    <row r="1765" spans="1:12" x14ac:dyDescent="0.3">
      <c r="A1765" s="2">
        <v>1754</v>
      </c>
      <c r="B1765" s="2" t="s">
        <v>2540</v>
      </c>
      <c r="C1765" s="2" t="s">
        <v>5168</v>
      </c>
      <c r="D1765" s="2" t="s">
        <v>28</v>
      </c>
      <c r="E1765" s="2" t="s">
        <v>29</v>
      </c>
      <c r="F1765" s="2">
        <v>30</v>
      </c>
      <c r="G1765" s="2" t="s">
        <v>5169</v>
      </c>
      <c r="H1765" s="2" t="s">
        <v>5170</v>
      </c>
      <c r="I1765" s="2" t="s">
        <v>294</v>
      </c>
      <c r="J1765" s="3">
        <v>44803</v>
      </c>
      <c r="K1765" s="2">
        <v>32</v>
      </c>
      <c r="L1765" s="2" t="s">
        <v>70</v>
      </c>
    </row>
    <row r="1766" spans="1:12" x14ac:dyDescent="0.3">
      <c r="A1766" s="2">
        <v>1755</v>
      </c>
      <c r="B1766" s="2" t="s">
        <v>5171</v>
      </c>
      <c r="C1766" s="2" t="s">
        <v>878</v>
      </c>
      <c r="D1766" s="2" t="s">
        <v>51</v>
      </c>
      <c r="E1766" s="2" t="s">
        <v>16</v>
      </c>
      <c r="F1766" s="2">
        <v>90</v>
      </c>
      <c r="G1766" s="2" t="s">
        <v>5172</v>
      </c>
      <c r="H1766" s="2" t="s">
        <v>5173</v>
      </c>
      <c r="I1766" s="2" t="s">
        <v>686</v>
      </c>
      <c r="J1766" s="3">
        <v>43862</v>
      </c>
      <c r="K1766" s="2">
        <v>47</v>
      </c>
      <c r="L1766" s="2" t="s">
        <v>64</v>
      </c>
    </row>
    <row r="1767" spans="1:12" x14ac:dyDescent="0.3">
      <c r="A1767" s="2">
        <v>1756</v>
      </c>
      <c r="B1767" s="2" t="s">
        <v>1376</v>
      </c>
      <c r="C1767" s="2" t="s">
        <v>5174</v>
      </c>
      <c r="D1767" s="2" t="s">
        <v>28</v>
      </c>
      <c r="E1767" s="2" t="s">
        <v>29</v>
      </c>
      <c r="F1767" s="2">
        <v>60</v>
      </c>
      <c r="G1767" s="2" t="s">
        <v>5175</v>
      </c>
      <c r="H1767" s="2" t="s">
        <v>506</v>
      </c>
      <c r="I1767" s="2" t="s">
        <v>32</v>
      </c>
      <c r="J1767" s="3">
        <v>44337</v>
      </c>
      <c r="K1767" s="2">
        <v>92</v>
      </c>
      <c r="L1767" s="2" t="s">
        <v>80</v>
      </c>
    </row>
    <row r="1768" spans="1:12" x14ac:dyDescent="0.3">
      <c r="A1768" s="2">
        <v>1757</v>
      </c>
      <c r="B1768" s="2" t="s">
        <v>5176</v>
      </c>
      <c r="C1768" s="2" t="s">
        <v>290</v>
      </c>
      <c r="D1768" s="2" t="s">
        <v>51</v>
      </c>
      <c r="E1768" s="2" t="s">
        <v>16</v>
      </c>
      <c r="F1768" s="2">
        <v>60</v>
      </c>
      <c r="G1768" s="2" t="s">
        <v>5177</v>
      </c>
      <c r="H1768" s="2" t="s">
        <v>5178</v>
      </c>
      <c r="I1768" s="2" t="s">
        <v>25</v>
      </c>
      <c r="J1768" s="3">
        <v>44769</v>
      </c>
      <c r="K1768" s="2">
        <v>93</v>
      </c>
      <c r="L1768" s="2" t="s">
        <v>54</v>
      </c>
    </row>
    <row r="1769" spans="1:12" x14ac:dyDescent="0.3">
      <c r="A1769" s="2">
        <v>1758</v>
      </c>
      <c r="B1769" s="2" t="s">
        <v>5179</v>
      </c>
      <c r="C1769" s="2" t="s">
        <v>5180</v>
      </c>
      <c r="D1769" s="2" t="s">
        <v>15</v>
      </c>
      <c r="E1769" s="2" t="s">
        <v>16</v>
      </c>
      <c r="F1769" s="2">
        <v>90</v>
      </c>
      <c r="G1769" s="2" t="s">
        <v>5181</v>
      </c>
      <c r="H1769" s="2" t="s">
        <v>1087</v>
      </c>
      <c r="I1769" s="2" t="s">
        <v>554</v>
      </c>
      <c r="J1769" s="3">
        <v>44811</v>
      </c>
      <c r="K1769" s="2">
        <v>95</v>
      </c>
      <c r="L1769" s="2" t="s">
        <v>33</v>
      </c>
    </row>
    <row r="1770" spans="1:12" x14ac:dyDescent="0.3">
      <c r="A1770" s="2">
        <v>1759</v>
      </c>
      <c r="B1770" s="2" t="s">
        <v>3519</v>
      </c>
      <c r="C1770" s="2" t="s">
        <v>4379</v>
      </c>
      <c r="D1770" s="2" t="s">
        <v>51</v>
      </c>
      <c r="E1770" s="2" t="s">
        <v>16</v>
      </c>
      <c r="F1770" s="2">
        <v>90</v>
      </c>
      <c r="G1770" s="2" t="s">
        <v>5182</v>
      </c>
      <c r="H1770" s="2" t="s">
        <v>2877</v>
      </c>
      <c r="I1770" s="2" t="s">
        <v>2878</v>
      </c>
      <c r="J1770" s="3">
        <v>44077</v>
      </c>
      <c r="K1770" s="2">
        <v>11</v>
      </c>
      <c r="L1770" s="2" t="s">
        <v>159</v>
      </c>
    </row>
    <row r="1771" spans="1:12" x14ac:dyDescent="0.3">
      <c r="A1771" s="2">
        <v>1760</v>
      </c>
      <c r="B1771" s="2" t="s">
        <v>5183</v>
      </c>
      <c r="C1771" s="2" t="s">
        <v>783</v>
      </c>
      <c r="D1771" s="2" t="s">
        <v>51</v>
      </c>
      <c r="E1771" s="2" t="s">
        <v>16</v>
      </c>
      <c r="F1771" s="2">
        <v>60</v>
      </c>
      <c r="G1771" s="2" t="s">
        <v>5182</v>
      </c>
      <c r="H1771" s="2" t="s">
        <v>307</v>
      </c>
      <c r="I1771" s="2" t="s">
        <v>32</v>
      </c>
      <c r="J1771" s="3">
        <v>43980</v>
      </c>
      <c r="K1771" s="2">
        <v>28</v>
      </c>
      <c r="L1771" s="2" t="s">
        <v>80</v>
      </c>
    </row>
    <row r="1772" spans="1:12" x14ac:dyDescent="0.3">
      <c r="A1772" s="2">
        <v>1761</v>
      </c>
      <c r="B1772" s="2" t="s">
        <v>5184</v>
      </c>
      <c r="C1772" s="2" t="s">
        <v>4042</v>
      </c>
      <c r="D1772" s="2" t="s">
        <v>28</v>
      </c>
      <c r="E1772" s="2" t="s">
        <v>29</v>
      </c>
      <c r="F1772" s="2">
        <v>60</v>
      </c>
      <c r="G1772" s="2" t="s">
        <v>5185</v>
      </c>
      <c r="H1772" s="2" t="s">
        <v>1052</v>
      </c>
      <c r="I1772" s="2" t="s">
        <v>32</v>
      </c>
      <c r="J1772" s="3">
        <v>44153</v>
      </c>
      <c r="K1772" s="2">
        <v>63</v>
      </c>
      <c r="L1772" s="2" t="s">
        <v>20</v>
      </c>
    </row>
    <row r="1773" spans="1:12" x14ac:dyDescent="0.3">
      <c r="A1773" s="2">
        <v>1762</v>
      </c>
      <c r="B1773" s="2" t="s">
        <v>2627</v>
      </c>
      <c r="C1773" s="2" t="s">
        <v>3779</v>
      </c>
      <c r="D1773" s="2" t="s">
        <v>51</v>
      </c>
      <c r="E1773" s="2" t="s">
        <v>16</v>
      </c>
      <c r="F1773" s="2">
        <v>30</v>
      </c>
      <c r="G1773" s="2" t="s">
        <v>5186</v>
      </c>
      <c r="H1773" s="2" t="s">
        <v>674</v>
      </c>
      <c r="I1773" s="2" t="s">
        <v>32</v>
      </c>
      <c r="J1773" s="3">
        <v>44654</v>
      </c>
      <c r="K1773" s="2">
        <v>66</v>
      </c>
      <c r="L1773" s="2" t="s">
        <v>54</v>
      </c>
    </row>
    <row r="1774" spans="1:12" x14ac:dyDescent="0.3">
      <c r="A1774" s="2">
        <v>1763</v>
      </c>
      <c r="B1774" s="2" t="s">
        <v>5187</v>
      </c>
      <c r="C1774" s="2" t="s">
        <v>1851</v>
      </c>
      <c r="D1774" s="2" t="s">
        <v>41</v>
      </c>
      <c r="E1774" s="2" t="s">
        <v>16</v>
      </c>
      <c r="F1774" s="2">
        <v>30</v>
      </c>
      <c r="G1774" s="2" t="s">
        <v>5188</v>
      </c>
      <c r="H1774" s="2" t="s">
        <v>5189</v>
      </c>
      <c r="I1774" s="2" t="s">
        <v>32</v>
      </c>
      <c r="J1774" s="3">
        <v>44875</v>
      </c>
      <c r="K1774" s="2">
        <v>37</v>
      </c>
      <c r="L1774" s="2" t="s">
        <v>64</v>
      </c>
    </row>
    <row r="1775" spans="1:12" x14ac:dyDescent="0.3">
      <c r="A1775" s="2">
        <v>1764</v>
      </c>
      <c r="B1775" s="2" t="s">
        <v>5190</v>
      </c>
      <c r="C1775" s="2" t="s">
        <v>5191</v>
      </c>
      <c r="D1775" s="2" t="s">
        <v>41</v>
      </c>
      <c r="E1775" s="2" t="s">
        <v>16</v>
      </c>
      <c r="F1775" s="2">
        <v>60</v>
      </c>
      <c r="G1775" s="2" t="s">
        <v>5192</v>
      </c>
      <c r="H1775" s="2" t="s">
        <v>429</v>
      </c>
      <c r="I1775" s="2" t="s">
        <v>32</v>
      </c>
      <c r="J1775" s="3">
        <v>44019</v>
      </c>
      <c r="K1775" s="2">
        <v>73</v>
      </c>
      <c r="L1775" s="2" t="s">
        <v>159</v>
      </c>
    </row>
    <row r="1776" spans="1:12" x14ac:dyDescent="0.3">
      <c r="A1776" s="2">
        <v>1765</v>
      </c>
      <c r="B1776" s="2" t="s">
        <v>1961</v>
      </c>
      <c r="C1776" s="2" t="s">
        <v>5193</v>
      </c>
      <c r="D1776" s="2" t="s">
        <v>51</v>
      </c>
      <c r="E1776" s="2" t="s">
        <v>16</v>
      </c>
      <c r="F1776" s="2">
        <v>90</v>
      </c>
      <c r="G1776" s="2" t="s">
        <v>5194</v>
      </c>
      <c r="H1776" s="2" t="s">
        <v>1131</v>
      </c>
      <c r="I1776" s="2" t="s">
        <v>32</v>
      </c>
      <c r="J1776" s="3">
        <v>44563</v>
      </c>
      <c r="K1776" s="2">
        <v>93</v>
      </c>
      <c r="L1776" s="2" t="s">
        <v>80</v>
      </c>
    </row>
    <row r="1777" spans="1:12" x14ac:dyDescent="0.3">
      <c r="A1777" s="2">
        <v>1766</v>
      </c>
      <c r="B1777" s="2" t="s">
        <v>5195</v>
      </c>
      <c r="C1777" s="2" t="s">
        <v>5196</v>
      </c>
      <c r="D1777" s="2" t="s">
        <v>28</v>
      </c>
      <c r="E1777" s="2" t="s">
        <v>29</v>
      </c>
      <c r="F1777" s="2">
        <v>60</v>
      </c>
      <c r="G1777" s="2" t="s">
        <v>5197</v>
      </c>
      <c r="H1777" s="2" t="s">
        <v>1164</v>
      </c>
      <c r="I1777" s="2" t="s">
        <v>89</v>
      </c>
      <c r="J1777" s="3">
        <v>44499</v>
      </c>
      <c r="K1777" s="2">
        <v>26</v>
      </c>
      <c r="L1777" s="2" t="s">
        <v>39</v>
      </c>
    </row>
    <row r="1778" spans="1:12" x14ac:dyDescent="0.3">
      <c r="A1778" s="2">
        <v>1767</v>
      </c>
      <c r="B1778" s="2" t="s">
        <v>5198</v>
      </c>
      <c r="C1778" s="2" t="s">
        <v>5199</v>
      </c>
      <c r="D1778" s="2" t="s">
        <v>51</v>
      </c>
      <c r="E1778" s="2" t="s">
        <v>16</v>
      </c>
      <c r="F1778" s="2">
        <v>30</v>
      </c>
      <c r="G1778" s="2" t="s">
        <v>5200</v>
      </c>
      <c r="H1778" s="2" t="s">
        <v>637</v>
      </c>
      <c r="I1778" s="2" t="s">
        <v>32</v>
      </c>
      <c r="J1778" s="3">
        <v>44800</v>
      </c>
      <c r="K1778" s="2">
        <v>96</v>
      </c>
      <c r="L1778" s="2" t="s">
        <v>39</v>
      </c>
    </row>
    <row r="1779" spans="1:12" x14ac:dyDescent="0.3">
      <c r="A1779" s="2">
        <v>1768</v>
      </c>
      <c r="B1779" s="2" t="s">
        <v>3910</v>
      </c>
      <c r="C1779" s="2" t="s">
        <v>4750</v>
      </c>
      <c r="D1779" s="2" t="s">
        <v>28</v>
      </c>
      <c r="E1779" s="2" t="s">
        <v>29</v>
      </c>
      <c r="F1779" s="2">
        <v>60</v>
      </c>
      <c r="G1779" s="2" t="s">
        <v>5201</v>
      </c>
      <c r="H1779" s="2" t="s">
        <v>1741</v>
      </c>
      <c r="I1779" s="2" t="s">
        <v>173</v>
      </c>
      <c r="J1779" s="3">
        <v>44391</v>
      </c>
      <c r="K1779" s="2">
        <v>81</v>
      </c>
      <c r="L1779" s="2" t="s">
        <v>159</v>
      </c>
    </row>
    <row r="1780" spans="1:12" x14ac:dyDescent="0.3">
      <c r="A1780" s="2">
        <v>1769</v>
      </c>
      <c r="B1780" s="2" t="s">
        <v>3655</v>
      </c>
      <c r="C1780" s="2" t="s">
        <v>2336</v>
      </c>
      <c r="D1780" s="2" t="s">
        <v>28</v>
      </c>
      <c r="E1780" s="2" t="s">
        <v>29</v>
      </c>
      <c r="F1780" s="2">
        <v>90</v>
      </c>
      <c r="G1780" s="2" t="s">
        <v>5202</v>
      </c>
      <c r="H1780" s="2" t="s">
        <v>2893</v>
      </c>
      <c r="I1780" s="2" t="s">
        <v>32</v>
      </c>
      <c r="J1780" s="3">
        <v>44015</v>
      </c>
      <c r="K1780" s="2">
        <v>66</v>
      </c>
      <c r="L1780" s="2" t="s">
        <v>39</v>
      </c>
    </row>
    <row r="1781" spans="1:12" x14ac:dyDescent="0.3">
      <c r="A1781" s="2">
        <v>1770</v>
      </c>
      <c r="B1781" s="2" t="s">
        <v>4988</v>
      </c>
      <c r="C1781" s="2" t="s">
        <v>5203</v>
      </c>
      <c r="D1781" s="2" t="s">
        <v>15</v>
      </c>
      <c r="E1781" s="2" t="s">
        <v>16</v>
      </c>
      <c r="F1781" s="2">
        <v>60</v>
      </c>
      <c r="G1781" s="2" t="s">
        <v>5204</v>
      </c>
      <c r="H1781" s="2" t="s">
        <v>3299</v>
      </c>
      <c r="I1781" s="2" t="s">
        <v>32</v>
      </c>
      <c r="J1781" s="3">
        <v>44765</v>
      </c>
      <c r="K1781" s="2">
        <v>51</v>
      </c>
      <c r="L1781" s="2" t="s">
        <v>159</v>
      </c>
    </row>
    <row r="1782" spans="1:12" x14ac:dyDescent="0.3">
      <c r="A1782" s="2">
        <v>1771</v>
      </c>
      <c r="B1782" s="2" t="s">
        <v>5205</v>
      </c>
      <c r="C1782" s="2" t="s">
        <v>2024</v>
      </c>
      <c r="D1782" s="2" t="s">
        <v>15</v>
      </c>
      <c r="E1782" s="2" t="s">
        <v>16</v>
      </c>
      <c r="F1782" s="2">
        <v>90</v>
      </c>
      <c r="G1782" s="2" t="s">
        <v>5206</v>
      </c>
      <c r="H1782" s="2" t="s">
        <v>5207</v>
      </c>
      <c r="I1782" s="2" t="s">
        <v>38</v>
      </c>
      <c r="J1782" s="3">
        <v>44876</v>
      </c>
      <c r="K1782" s="2">
        <v>39</v>
      </c>
      <c r="L1782" s="2" t="s">
        <v>80</v>
      </c>
    </row>
    <row r="1783" spans="1:12" x14ac:dyDescent="0.3">
      <c r="A1783" s="2">
        <v>1772</v>
      </c>
      <c r="B1783" s="2" t="s">
        <v>5208</v>
      </c>
      <c r="C1783" s="2" t="s">
        <v>3155</v>
      </c>
      <c r="D1783" s="2" t="s">
        <v>28</v>
      </c>
      <c r="E1783" s="2" t="s">
        <v>29</v>
      </c>
      <c r="F1783" s="2">
        <v>60</v>
      </c>
      <c r="G1783" s="2" t="s">
        <v>5209</v>
      </c>
      <c r="H1783" s="2" t="s">
        <v>474</v>
      </c>
      <c r="I1783" s="2" t="s">
        <v>475</v>
      </c>
      <c r="J1783" s="3">
        <v>44281</v>
      </c>
      <c r="K1783" s="2">
        <v>24</v>
      </c>
      <c r="L1783" s="2" t="s">
        <v>33</v>
      </c>
    </row>
    <row r="1784" spans="1:12" x14ac:dyDescent="0.3">
      <c r="A1784" s="2">
        <v>1773</v>
      </c>
      <c r="B1784" s="2" t="s">
        <v>5210</v>
      </c>
      <c r="C1784" s="2" t="s">
        <v>5211</v>
      </c>
      <c r="D1784" s="2" t="s">
        <v>51</v>
      </c>
      <c r="E1784" s="2" t="s">
        <v>16</v>
      </c>
      <c r="F1784" s="2">
        <v>30</v>
      </c>
      <c r="G1784" s="2" t="s">
        <v>5212</v>
      </c>
      <c r="H1784" s="2" t="s">
        <v>5025</v>
      </c>
      <c r="I1784" s="2" t="s">
        <v>32</v>
      </c>
      <c r="J1784" s="3">
        <v>44426</v>
      </c>
      <c r="K1784" s="2">
        <v>51</v>
      </c>
      <c r="L1784" s="2" t="s">
        <v>159</v>
      </c>
    </row>
    <row r="1785" spans="1:12" x14ac:dyDescent="0.3">
      <c r="A1785" s="2">
        <v>1774</v>
      </c>
      <c r="B1785" s="2" t="s">
        <v>5213</v>
      </c>
      <c r="C1785" s="2" t="s">
        <v>5214</v>
      </c>
      <c r="D1785" s="2" t="s">
        <v>51</v>
      </c>
      <c r="E1785" s="2" t="s">
        <v>16</v>
      </c>
      <c r="F1785" s="2">
        <v>30</v>
      </c>
      <c r="G1785" s="2" t="s">
        <v>5212</v>
      </c>
      <c r="H1785" s="2" t="s">
        <v>4825</v>
      </c>
      <c r="I1785" s="2" t="s">
        <v>32</v>
      </c>
      <c r="J1785" s="3">
        <v>44287</v>
      </c>
      <c r="K1785" s="2">
        <v>16</v>
      </c>
      <c r="L1785" s="2" t="s">
        <v>45</v>
      </c>
    </row>
    <row r="1786" spans="1:12" x14ac:dyDescent="0.3">
      <c r="A1786" s="2">
        <v>1775</v>
      </c>
      <c r="B1786" s="2" t="s">
        <v>1657</v>
      </c>
      <c r="C1786" s="2" t="s">
        <v>5215</v>
      </c>
      <c r="D1786" s="2" t="s">
        <v>28</v>
      </c>
      <c r="E1786" s="2" t="s">
        <v>29</v>
      </c>
      <c r="F1786" s="2">
        <v>30</v>
      </c>
      <c r="G1786" s="2" t="s">
        <v>5216</v>
      </c>
      <c r="H1786" s="2" t="s">
        <v>3909</v>
      </c>
      <c r="I1786" s="2" t="s">
        <v>32</v>
      </c>
      <c r="J1786" s="3">
        <v>44193</v>
      </c>
      <c r="K1786" s="2">
        <v>42</v>
      </c>
      <c r="L1786" s="2" t="s">
        <v>45</v>
      </c>
    </row>
    <row r="1787" spans="1:12" x14ac:dyDescent="0.3">
      <c r="A1787" s="2">
        <v>1776</v>
      </c>
      <c r="B1787" s="2" t="s">
        <v>972</v>
      </c>
      <c r="C1787" s="2" t="s">
        <v>5217</v>
      </c>
      <c r="D1787" s="2" t="s">
        <v>28</v>
      </c>
      <c r="E1787" s="2" t="s">
        <v>29</v>
      </c>
      <c r="F1787" s="2">
        <v>60</v>
      </c>
      <c r="G1787" s="2" t="s">
        <v>5218</v>
      </c>
      <c r="H1787" s="2" t="s">
        <v>3619</v>
      </c>
      <c r="I1787" s="2" t="s">
        <v>575</v>
      </c>
      <c r="J1787" s="3">
        <v>44678</v>
      </c>
      <c r="K1787" s="2">
        <v>105</v>
      </c>
      <c r="L1787" s="2" t="s">
        <v>64</v>
      </c>
    </row>
    <row r="1788" spans="1:12" x14ac:dyDescent="0.3">
      <c r="A1788" s="2">
        <v>1777</v>
      </c>
      <c r="B1788" s="2" t="s">
        <v>5219</v>
      </c>
      <c r="C1788" s="2" t="s">
        <v>332</v>
      </c>
      <c r="D1788" s="2" t="s">
        <v>51</v>
      </c>
      <c r="E1788" s="2" t="s">
        <v>16</v>
      </c>
      <c r="F1788" s="2">
        <v>60</v>
      </c>
      <c r="G1788" s="2" t="s">
        <v>5220</v>
      </c>
      <c r="H1788" s="2" t="s">
        <v>2305</v>
      </c>
      <c r="I1788" s="2" t="s">
        <v>25</v>
      </c>
      <c r="J1788" s="3">
        <v>44803</v>
      </c>
      <c r="K1788" s="2">
        <v>85</v>
      </c>
      <c r="L1788" s="2" t="s">
        <v>33</v>
      </c>
    </row>
    <row r="1789" spans="1:12" x14ac:dyDescent="0.3">
      <c r="A1789" s="2">
        <v>1778</v>
      </c>
      <c r="B1789" s="2" t="s">
        <v>4920</v>
      </c>
      <c r="C1789" s="2" t="s">
        <v>5214</v>
      </c>
      <c r="D1789" s="2" t="s">
        <v>51</v>
      </c>
      <c r="E1789" s="2" t="s">
        <v>16</v>
      </c>
      <c r="F1789" s="2">
        <v>90</v>
      </c>
      <c r="G1789" s="2" t="s">
        <v>5221</v>
      </c>
      <c r="H1789" s="2" t="s">
        <v>5222</v>
      </c>
      <c r="I1789" s="2" t="s">
        <v>32</v>
      </c>
      <c r="J1789" s="3">
        <v>43938</v>
      </c>
      <c r="K1789" s="2">
        <v>42</v>
      </c>
      <c r="L1789" s="2" t="s">
        <v>54</v>
      </c>
    </row>
    <row r="1790" spans="1:12" x14ac:dyDescent="0.3">
      <c r="A1790" s="2">
        <v>1779</v>
      </c>
      <c r="B1790" s="2" t="s">
        <v>5223</v>
      </c>
      <c r="C1790" s="2" t="s">
        <v>632</v>
      </c>
      <c r="D1790" s="2" t="s">
        <v>51</v>
      </c>
      <c r="E1790" s="2" t="s">
        <v>16</v>
      </c>
      <c r="F1790" s="2">
        <v>30</v>
      </c>
      <c r="G1790" s="2" t="s">
        <v>5224</v>
      </c>
      <c r="H1790" s="2" t="s">
        <v>2265</v>
      </c>
      <c r="I1790" s="2" t="s">
        <v>1083</v>
      </c>
      <c r="J1790" s="3">
        <v>44048</v>
      </c>
      <c r="K1790" s="2">
        <v>73</v>
      </c>
      <c r="L1790" s="2" t="s">
        <v>20</v>
      </c>
    </row>
    <row r="1791" spans="1:12" x14ac:dyDescent="0.3">
      <c r="A1791" s="2">
        <v>1780</v>
      </c>
      <c r="B1791" s="2" t="s">
        <v>4663</v>
      </c>
      <c r="C1791" s="2" t="s">
        <v>5225</v>
      </c>
      <c r="D1791" s="2" t="s">
        <v>28</v>
      </c>
      <c r="E1791" s="2" t="s">
        <v>29</v>
      </c>
      <c r="F1791" s="2">
        <v>60</v>
      </c>
      <c r="G1791" s="2" t="s">
        <v>10498</v>
      </c>
      <c r="H1791" s="2" t="s">
        <v>2441</v>
      </c>
      <c r="I1791" s="2" t="s">
        <v>1199</v>
      </c>
      <c r="J1791" s="3">
        <v>44162</v>
      </c>
      <c r="K1791" s="2">
        <v>7</v>
      </c>
      <c r="L1791" s="2" t="s">
        <v>159</v>
      </c>
    </row>
    <row r="1792" spans="1:12" x14ac:dyDescent="0.3">
      <c r="A1792" s="2">
        <v>1781</v>
      </c>
      <c r="B1792" s="2" t="s">
        <v>5227</v>
      </c>
      <c r="C1792" s="2" t="s">
        <v>4481</v>
      </c>
      <c r="D1792" s="2" t="s">
        <v>28</v>
      </c>
      <c r="E1792" s="2" t="s">
        <v>29</v>
      </c>
      <c r="F1792" s="2">
        <v>90</v>
      </c>
      <c r="G1792" s="2" t="s">
        <v>5228</v>
      </c>
      <c r="H1792" s="2" t="s">
        <v>4479</v>
      </c>
      <c r="I1792" s="2" t="s">
        <v>32</v>
      </c>
      <c r="J1792" s="3">
        <v>44278</v>
      </c>
      <c r="K1792" s="2">
        <v>11</v>
      </c>
      <c r="L1792" s="2" t="s">
        <v>80</v>
      </c>
    </row>
    <row r="1793" spans="1:12" x14ac:dyDescent="0.3">
      <c r="A1793" s="2">
        <v>1782</v>
      </c>
      <c r="B1793" s="2" t="s">
        <v>1140</v>
      </c>
      <c r="C1793" s="2" t="s">
        <v>233</v>
      </c>
      <c r="D1793" s="2" t="s">
        <v>28</v>
      </c>
      <c r="E1793" s="2" t="s">
        <v>29</v>
      </c>
      <c r="F1793" s="2">
        <v>90</v>
      </c>
      <c r="G1793" s="2" t="s">
        <v>5229</v>
      </c>
      <c r="H1793" s="2" t="s">
        <v>4527</v>
      </c>
      <c r="I1793" s="2" t="s">
        <v>32</v>
      </c>
      <c r="J1793" s="3">
        <v>44822</v>
      </c>
      <c r="K1793" s="2">
        <v>104</v>
      </c>
      <c r="L1793" s="2" t="s">
        <v>39</v>
      </c>
    </row>
    <row r="1794" spans="1:12" x14ac:dyDescent="0.3">
      <c r="A1794" s="2">
        <v>1783</v>
      </c>
      <c r="B1794" s="2" t="s">
        <v>5230</v>
      </c>
      <c r="C1794" s="2" t="s">
        <v>1222</v>
      </c>
      <c r="D1794" s="2" t="s">
        <v>51</v>
      </c>
      <c r="E1794" s="2" t="s">
        <v>16</v>
      </c>
      <c r="F1794" s="2">
        <v>60</v>
      </c>
      <c r="G1794" s="2" t="s">
        <v>5231</v>
      </c>
      <c r="H1794" s="2" t="s">
        <v>5232</v>
      </c>
      <c r="I1794" s="2" t="s">
        <v>146</v>
      </c>
      <c r="J1794" s="3">
        <v>43835</v>
      </c>
      <c r="K1794" s="2">
        <v>52</v>
      </c>
      <c r="L1794" s="2" t="s">
        <v>64</v>
      </c>
    </row>
    <row r="1795" spans="1:12" x14ac:dyDescent="0.3">
      <c r="A1795" s="2">
        <v>1784</v>
      </c>
      <c r="B1795" s="2" t="s">
        <v>5233</v>
      </c>
      <c r="C1795" s="2" t="s">
        <v>3222</v>
      </c>
      <c r="D1795" s="2" t="s">
        <v>15</v>
      </c>
      <c r="E1795" s="2" t="s">
        <v>16</v>
      </c>
      <c r="F1795" s="2">
        <v>60</v>
      </c>
      <c r="G1795" s="2" t="s">
        <v>5234</v>
      </c>
      <c r="H1795" s="2" t="s">
        <v>595</v>
      </c>
      <c r="I1795" s="2" t="s">
        <v>124</v>
      </c>
      <c r="J1795" s="3">
        <v>43935</v>
      </c>
      <c r="K1795" s="2">
        <v>71</v>
      </c>
      <c r="L1795" s="2" t="s">
        <v>39</v>
      </c>
    </row>
    <row r="1796" spans="1:12" x14ac:dyDescent="0.3">
      <c r="A1796" s="2">
        <v>1785</v>
      </c>
      <c r="B1796" s="2" t="s">
        <v>5235</v>
      </c>
      <c r="C1796" s="2" t="s">
        <v>72</v>
      </c>
      <c r="D1796" s="2" t="s">
        <v>51</v>
      </c>
      <c r="E1796" s="2" t="s">
        <v>16</v>
      </c>
      <c r="F1796" s="2">
        <v>90</v>
      </c>
      <c r="G1796" s="2" t="s">
        <v>5236</v>
      </c>
      <c r="H1796" s="2" t="s">
        <v>3334</v>
      </c>
      <c r="I1796" s="2" t="s">
        <v>32</v>
      </c>
      <c r="J1796" s="3">
        <v>44129</v>
      </c>
      <c r="K1796" s="2">
        <v>68</v>
      </c>
      <c r="L1796" s="2" t="s">
        <v>80</v>
      </c>
    </row>
    <row r="1797" spans="1:12" x14ac:dyDescent="0.3">
      <c r="A1797" s="2">
        <v>1786</v>
      </c>
      <c r="B1797" s="2" t="s">
        <v>5237</v>
      </c>
      <c r="C1797" s="2" t="s">
        <v>1891</v>
      </c>
      <c r="D1797" s="2" t="s">
        <v>28</v>
      </c>
      <c r="E1797" s="2" t="s">
        <v>29</v>
      </c>
      <c r="F1797" s="2">
        <v>30</v>
      </c>
      <c r="G1797" s="2" t="s">
        <v>10499</v>
      </c>
      <c r="H1797" s="2" t="s">
        <v>970</v>
      </c>
      <c r="I1797" s="2" t="s">
        <v>187</v>
      </c>
      <c r="J1797" s="3">
        <v>44278</v>
      </c>
      <c r="K1797" s="2">
        <v>83</v>
      </c>
      <c r="L1797" s="2" t="s">
        <v>39</v>
      </c>
    </row>
    <row r="1798" spans="1:12" x14ac:dyDescent="0.3">
      <c r="A1798" s="2">
        <v>1787</v>
      </c>
      <c r="B1798" s="2" t="s">
        <v>5239</v>
      </c>
      <c r="C1798" s="2" t="s">
        <v>3079</v>
      </c>
      <c r="D1798" s="2" t="s">
        <v>51</v>
      </c>
      <c r="E1798" s="2" t="s">
        <v>16</v>
      </c>
      <c r="F1798" s="2">
        <v>30</v>
      </c>
      <c r="G1798" s="2" t="s">
        <v>5240</v>
      </c>
      <c r="H1798" s="2" t="s">
        <v>5241</v>
      </c>
      <c r="I1798" s="2" t="s">
        <v>32</v>
      </c>
      <c r="J1798" s="3">
        <v>43959</v>
      </c>
      <c r="K1798" s="2">
        <v>43</v>
      </c>
      <c r="L1798" s="2" t="s">
        <v>159</v>
      </c>
    </row>
    <row r="1799" spans="1:12" x14ac:dyDescent="0.3">
      <c r="A1799" s="2">
        <v>1788</v>
      </c>
      <c r="B1799" s="2" t="s">
        <v>3574</v>
      </c>
      <c r="C1799" s="2" t="s">
        <v>1470</v>
      </c>
      <c r="D1799" s="2" t="s">
        <v>15</v>
      </c>
      <c r="E1799" s="2" t="s">
        <v>16</v>
      </c>
      <c r="F1799" s="2">
        <v>30</v>
      </c>
      <c r="G1799" s="2" t="s">
        <v>10500</v>
      </c>
      <c r="H1799" s="2" t="s">
        <v>5243</v>
      </c>
      <c r="I1799" s="2" t="s">
        <v>25</v>
      </c>
      <c r="J1799" s="3">
        <v>44300</v>
      </c>
      <c r="K1799" s="2">
        <v>75</v>
      </c>
      <c r="L1799" s="2" t="s">
        <v>64</v>
      </c>
    </row>
    <row r="1800" spans="1:12" x14ac:dyDescent="0.3">
      <c r="A1800" s="2">
        <v>1789</v>
      </c>
      <c r="B1800" s="2" t="s">
        <v>1656</v>
      </c>
      <c r="C1800" s="2" t="s">
        <v>2392</v>
      </c>
      <c r="D1800" s="2" t="s">
        <v>28</v>
      </c>
      <c r="E1800" s="2" t="s">
        <v>29</v>
      </c>
      <c r="F1800" s="2">
        <v>30</v>
      </c>
      <c r="G1800" s="2" t="s">
        <v>5244</v>
      </c>
      <c r="H1800" s="2" t="s">
        <v>4484</v>
      </c>
      <c r="I1800" s="2" t="s">
        <v>32</v>
      </c>
      <c r="J1800" s="3">
        <v>44745</v>
      </c>
      <c r="K1800" s="2">
        <v>17</v>
      </c>
      <c r="L1800" s="2" t="s">
        <v>80</v>
      </c>
    </row>
    <row r="1801" spans="1:12" x14ac:dyDescent="0.3">
      <c r="A1801" s="2">
        <v>1790</v>
      </c>
      <c r="B1801" s="2" t="s">
        <v>811</v>
      </c>
      <c r="C1801" s="2" t="s">
        <v>1230</v>
      </c>
      <c r="D1801" s="2" t="s">
        <v>28</v>
      </c>
      <c r="E1801" s="2" t="s">
        <v>29</v>
      </c>
      <c r="F1801" s="2">
        <v>90</v>
      </c>
      <c r="G1801" s="2" t="s">
        <v>5245</v>
      </c>
      <c r="H1801" s="2" t="s">
        <v>141</v>
      </c>
      <c r="I1801" s="2" t="s">
        <v>32</v>
      </c>
      <c r="J1801" s="3">
        <v>44083</v>
      </c>
      <c r="K1801" s="2">
        <v>85</v>
      </c>
      <c r="L1801" s="2" t="s">
        <v>159</v>
      </c>
    </row>
    <row r="1802" spans="1:12" x14ac:dyDescent="0.3">
      <c r="A1802" s="2">
        <v>1791</v>
      </c>
      <c r="B1802" s="2" t="s">
        <v>5246</v>
      </c>
      <c r="C1802" s="2" t="s">
        <v>4974</v>
      </c>
      <c r="D1802" s="2" t="s">
        <v>51</v>
      </c>
      <c r="E1802" s="2" t="s">
        <v>16</v>
      </c>
      <c r="F1802" s="2">
        <v>90</v>
      </c>
      <c r="G1802" s="2" t="s">
        <v>5247</v>
      </c>
      <c r="H1802" s="2" t="s">
        <v>5248</v>
      </c>
      <c r="I1802" s="2" t="s">
        <v>32</v>
      </c>
      <c r="J1802" s="3">
        <v>44806</v>
      </c>
      <c r="K1802" s="2">
        <v>4</v>
      </c>
      <c r="L1802" s="2" t="s">
        <v>80</v>
      </c>
    </row>
    <row r="1803" spans="1:12" x14ac:dyDescent="0.3">
      <c r="A1803" s="2">
        <v>1792</v>
      </c>
      <c r="B1803" s="2" t="s">
        <v>5249</v>
      </c>
      <c r="C1803" s="2" t="s">
        <v>5250</v>
      </c>
      <c r="D1803" s="2" t="s">
        <v>92</v>
      </c>
      <c r="E1803" s="2" t="s">
        <v>16</v>
      </c>
      <c r="F1803" s="2">
        <v>60</v>
      </c>
      <c r="G1803" s="2" t="s">
        <v>5251</v>
      </c>
      <c r="H1803" s="2" t="s">
        <v>2866</v>
      </c>
      <c r="I1803" s="2" t="s">
        <v>32</v>
      </c>
      <c r="J1803" s="3">
        <v>43871</v>
      </c>
      <c r="K1803" s="2">
        <v>53</v>
      </c>
      <c r="L1803" s="2" t="s">
        <v>70</v>
      </c>
    </row>
    <row r="1804" spans="1:12" x14ac:dyDescent="0.3">
      <c r="A1804" s="2">
        <v>1793</v>
      </c>
      <c r="B1804" s="2" t="s">
        <v>4705</v>
      </c>
      <c r="C1804" s="2" t="s">
        <v>1861</v>
      </c>
      <c r="D1804" s="2" t="s">
        <v>41</v>
      </c>
      <c r="E1804" s="2" t="s">
        <v>16</v>
      </c>
      <c r="F1804" s="2">
        <v>60</v>
      </c>
      <c r="G1804" s="2" t="s">
        <v>5252</v>
      </c>
      <c r="H1804" s="2" t="s">
        <v>974</v>
      </c>
      <c r="I1804" s="2" t="s">
        <v>32</v>
      </c>
      <c r="J1804" s="3">
        <v>44774</v>
      </c>
      <c r="K1804" s="2">
        <v>63</v>
      </c>
      <c r="L1804" s="2" t="s">
        <v>80</v>
      </c>
    </row>
    <row r="1805" spans="1:12" x14ac:dyDescent="0.3">
      <c r="A1805" s="2">
        <v>1794</v>
      </c>
      <c r="B1805" s="2" t="s">
        <v>5253</v>
      </c>
      <c r="C1805" s="2" t="s">
        <v>5254</v>
      </c>
      <c r="D1805" s="2" t="s">
        <v>51</v>
      </c>
      <c r="E1805" s="2" t="s">
        <v>16</v>
      </c>
      <c r="F1805" s="2">
        <v>60</v>
      </c>
      <c r="G1805" s="2" t="s">
        <v>5255</v>
      </c>
      <c r="H1805" s="2" t="s">
        <v>1931</v>
      </c>
      <c r="I1805" s="2" t="s">
        <v>32</v>
      </c>
      <c r="J1805" s="3">
        <v>44366</v>
      </c>
      <c r="K1805" s="2">
        <v>38</v>
      </c>
      <c r="L1805" s="2" t="s">
        <v>45</v>
      </c>
    </row>
    <row r="1806" spans="1:12" x14ac:dyDescent="0.3">
      <c r="A1806" s="2">
        <v>1795</v>
      </c>
      <c r="B1806" s="2" t="s">
        <v>1371</v>
      </c>
      <c r="C1806" s="2" t="s">
        <v>585</v>
      </c>
      <c r="D1806" s="2" t="s">
        <v>28</v>
      </c>
      <c r="E1806" s="2" t="s">
        <v>29</v>
      </c>
      <c r="F1806" s="2">
        <v>60</v>
      </c>
      <c r="G1806" s="2" t="s">
        <v>5256</v>
      </c>
      <c r="H1806" s="2" t="s">
        <v>4911</v>
      </c>
      <c r="I1806" s="2" t="s">
        <v>95</v>
      </c>
      <c r="J1806" s="3">
        <v>43999</v>
      </c>
      <c r="K1806" s="2">
        <v>67</v>
      </c>
      <c r="L1806" s="2" t="s">
        <v>64</v>
      </c>
    </row>
    <row r="1807" spans="1:12" x14ac:dyDescent="0.3">
      <c r="A1807" s="2">
        <v>1796</v>
      </c>
      <c r="B1807" s="2" t="s">
        <v>5257</v>
      </c>
      <c r="C1807" s="2" t="s">
        <v>5258</v>
      </c>
      <c r="D1807" s="2" t="s">
        <v>51</v>
      </c>
      <c r="E1807" s="2" t="s">
        <v>16</v>
      </c>
      <c r="F1807" s="2">
        <v>90</v>
      </c>
      <c r="G1807" s="2" t="s">
        <v>5256</v>
      </c>
      <c r="H1807" s="2" t="s">
        <v>145</v>
      </c>
      <c r="I1807" s="2" t="s">
        <v>146</v>
      </c>
      <c r="J1807" s="3">
        <v>44636</v>
      </c>
      <c r="K1807" s="2">
        <v>102</v>
      </c>
      <c r="L1807" s="2" t="s">
        <v>64</v>
      </c>
    </row>
    <row r="1808" spans="1:12" x14ac:dyDescent="0.3">
      <c r="A1808" s="2">
        <v>1797</v>
      </c>
      <c r="B1808" s="2" t="s">
        <v>5259</v>
      </c>
      <c r="C1808" s="2" t="s">
        <v>5260</v>
      </c>
      <c r="D1808" s="2" t="s">
        <v>15</v>
      </c>
      <c r="E1808" s="2" t="s">
        <v>16</v>
      </c>
      <c r="F1808" s="2">
        <v>60</v>
      </c>
      <c r="G1808" s="2" t="s">
        <v>5261</v>
      </c>
      <c r="H1808" s="2" t="s">
        <v>2552</v>
      </c>
      <c r="I1808" s="2" t="s">
        <v>32</v>
      </c>
      <c r="J1808" s="3">
        <v>44081</v>
      </c>
      <c r="K1808" s="2">
        <v>49</v>
      </c>
      <c r="L1808" s="2" t="s">
        <v>70</v>
      </c>
    </row>
    <row r="1809" spans="1:12" x14ac:dyDescent="0.3">
      <c r="A1809" s="2">
        <v>1798</v>
      </c>
      <c r="B1809" s="2" t="s">
        <v>5262</v>
      </c>
      <c r="C1809" s="2" t="s">
        <v>597</v>
      </c>
      <c r="D1809" s="2" t="s">
        <v>28</v>
      </c>
      <c r="E1809" s="2" t="s">
        <v>29</v>
      </c>
      <c r="F1809" s="2">
        <v>30</v>
      </c>
      <c r="G1809" s="2" t="s">
        <v>5263</v>
      </c>
      <c r="H1809" s="2" t="s">
        <v>3179</v>
      </c>
      <c r="I1809" s="2" t="s">
        <v>187</v>
      </c>
      <c r="J1809" s="3">
        <v>43979</v>
      </c>
      <c r="K1809" s="2">
        <v>32</v>
      </c>
      <c r="L1809" s="2" t="s">
        <v>39</v>
      </c>
    </row>
    <row r="1810" spans="1:12" x14ac:dyDescent="0.3">
      <c r="A1810" s="2">
        <v>1799</v>
      </c>
      <c r="B1810" s="2" t="s">
        <v>1392</v>
      </c>
      <c r="C1810" s="2" t="s">
        <v>617</v>
      </c>
      <c r="D1810" s="2" t="s">
        <v>28</v>
      </c>
      <c r="E1810" s="2" t="s">
        <v>29</v>
      </c>
      <c r="F1810" s="2">
        <v>90</v>
      </c>
      <c r="G1810" s="2" t="s">
        <v>5264</v>
      </c>
      <c r="H1810" s="2" t="s">
        <v>1594</v>
      </c>
      <c r="I1810" s="2" t="s">
        <v>178</v>
      </c>
      <c r="J1810" s="3">
        <v>44821</v>
      </c>
      <c r="K1810" s="2">
        <v>44</v>
      </c>
      <c r="L1810" s="2" t="s">
        <v>33</v>
      </c>
    </row>
    <row r="1811" spans="1:12" x14ac:dyDescent="0.3">
      <c r="A1811" s="2">
        <v>1800</v>
      </c>
      <c r="B1811" s="2" t="s">
        <v>665</v>
      </c>
      <c r="C1811" s="2" t="s">
        <v>1857</v>
      </c>
      <c r="D1811" s="2" t="s">
        <v>28</v>
      </c>
      <c r="E1811" s="2" t="s">
        <v>29</v>
      </c>
      <c r="F1811" s="2">
        <v>90</v>
      </c>
      <c r="G1811" s="2" t="s">
        <v>5265</v>
      </c>
      <c r="H1811" s="2" t="s">
        <v>2616</v>
      </c>
      <c r="I1811" s="2" t="s">
        <v>886</v>
      </c>
      <c r="J1811" s="3">
        <v>43940</v>
      </c>
      <c r="K1811" s="2">
        <v>19</v>
      </c>
      <c r="L1811" s="2" t="s">
        <v>33</v>
      </c>
    </row>
    <row r="1812" spans="1:12" x14ac:dyDescent="0.3">
      <c r="A1812" s="2">
        <v>1801</v>
      </c>
      <c r="B1812" s="2" t="s">
        <v>5266</v>
      </c>
      <c r="C1812" s="2" t="s">
        <v>5267</v>
      </c>
      <c r="D1812" s="2" t="s">
        <v>51</v>
      </c>
      <c r="E1812" s="2" t="s">
        <v>16</v>
      </c>
      <c r="F1812" s="2">
        <v>60</v>
      </c>
      <c r="G1812" s="2" t="s">
        <v>5268</v>
      </c>
      <c r="H1812" s="2" t="s">
        <v>607</v>
      </c>
      <c r="I1812" s="2" t="s">
        <v>32</v>
      </c>
      <c r="J1812" s="3">
        <v>44906</v>
      </c>
      <c r="K1812" s="2">
        <v>80</v>
      </c>
      <c r="L1812" s="2" t="s">
        <v>54</v>
      </c>
    </row>
    <row r="1813" spans="1:12" x14ac:dyDescent="0.3">
      <c r="A1813" s="2">
        <v>1802</v>
      </c>
      <c r="B1813" s="2" t="s">
        <v>5269</v>
      </c>
      <c r="C1813" s="2" t="s">
        <v>3167</v>
      </c>
      <c r="D1813" s="2" t="s">
        <v>51</v>
      </c>
      <c r="E1813" s="2" t="s">
        <v>16</v>
      </c>
      <c r="F1813" s="2">
        <v>60</v>
      </c>
      <c r="G1813" s="2" t="s">
        <v>5270</v>
      </c>
      <c r="H1813" s="2" t="s">
        <v>5271</v>
      </c>
      <c r="I1813" s="2" t="s">
        <v>187</v>
      </c>
      <c r="J1813" s="3">
        <v>44143</v>
      </c>
      <c r="K1813" s="2">
        <v>3</v>
      </c>
      <c r="L1813" s="2" t="s">
        <v>80</v>
      </c>
    </row>
    <row r="1814" spans="1:12" x14ac:dyDescent="0.3">
      <c r="A1814" s="2">
        <v>1803</v>
      </c>
      <c r="B1814" s="2" t="s">
        <v>5272</v>
      </c>
      <c r="C1814" s="2" t="s">
        <v>5273</v>
      </c>
      <c r="D1814" s="2" t="s">
        <v>28</v>
      </c>
      <c r="E1814" s="2" t="s">
        <v>29</v>
      </c>
      <c r="F1814" s="2">
        <v>60</v>
      </c>
      <c r="G1814" s="2" t="s">
        <v>5274</v>
      </c>
      <c r="H1814" s="2" t="s">
        <v>1008</v>
      </c>
      <c r="I1814" s="2" t="s">
        <v>32</v>
      </c>
      <c r="J1814" s="3">
        <v>44475</v>
      </c>
      <c r="K1814" s="2">
        <v>40</v>
      </c>
      <c r="L1814" s="2" t="s">
        <v>101</v>
      </c>
    </row>
    <row r="1815" spans="1:12" x14ac:dyDescent="0.3">
      <c r="A1815" s="2">
        <v>1804</v>
      </c>
      <c r="B1815" s="2" t="s">
        <v>5275</v>
      </c>
      <c r="C1815" s="2" t="s">
        <v>434</v>
      </c>
      <c r="D1815" s="2" t="s">
        <v>51</v>
      </c>
      <c r="E1815" s="2" t="s">
        <v>16</v>
      </c>
      <c r="F1815" s="2">
        <v>90</v>
      </c>
      <c r="G1815" s="2" t="s">
        <v>5276</v>
      </c>
      <c r="H1815" s="2" t="s">
        <v>5277</v>
      </c>
      <c r="I1815" s="2" t="s">
        <v>32</v>
      </c>
      <c r="J1815" s="3">
        <v>44033</v>
      </c>
      <c r="K1815" s="2">
        <v>16</v>
      </c>
      <c r="L1815" s="2" t="s">
        <v>70</v>
      </c>
    </row>
    <row r="1816" spans="1:12" x14ac:dyDescent="0.3">
      <c r="A1816" s="2">
        <v>1805</v>
      </c>
      <c r="B1816" s="2" t="s">
        <v>5278</v>
      </c>
      <c r="C1816" s="2" t="s">
        <v>5279</v>
      </c>
      <c r="D1816" s="2" t="s">
        <v>51</v>
      </c>
      <c r="E1816" s="2" t="s">
        <v>16</v>
      </c>
      <c r="F1816" s="2">
        <v>60</v>
      </c>
      <c r="G1816" s="2" t="s">
        <v>5280</v>
      </c>
      <c r="H1816" s="2" t="s">
        <v>1708</v>
      </c>
      <c r="I1816" s="2" t="s">
        <v>124</v>
      </c>
      <c r="J1816" s="3">
        <v>44794</v>
      </c>
      <c r="K1816" s="2">
        <v>13</v>
      </c>
      <c r="L1816" s="2" t="s">
        <v>70</v>
      </c>
    </row>
    <row r="1817" spans="1:12" x14ac:dyDescent="0.3">
      <c r="A1817" s="2">
        <v>1806</v>
      </c>
      <c r="B1817" s="2" t="s">
        <v>5281</v>
      </c>
      <c r="C1817" s="2" t="s">
        <v>4165</v>
      </c>
      <c r="D1817" s="2" t="s">
        <v>15</v>
      </c>
      <c r="E1817" s="2" t="s">
        <v>16</v>
      </c>
      <c r="F1817" s="2">
        <v>30</v>
      </c>
      <c r="G1817" s="2" t="s">
        <v>5282</v>
      </c>
      <c r="H1817" s="2" t="s">
        <v>5283</v>
      </c>
      <c r="I1817" s="2" t="s">
        <v>32</v>
      </c>
      <c r="J1817" s="3">
        <v>44453</v>
      </c>
      <c r="K1817" s="2">
        <v>50</v>
      </c>
      <c r="L1817" s="2" t="s">
        <v>39</v>
      </c>
    </row>
    <row r="1818" spans="1:12" x14ac:dyDescent="0.3">
      <c r="A1818" s="2">
        <v>1807</v>
      </c>
      <c r="B1818" s="2" t="s">
        <v>604</v>
      </c>
      <c r="C1818" s="2" t="s">
        <v>1244</v>
      </c>
      <c r="D1818" s="2" t="s">
        <v>41</v>
      </c>
      <c r="E1818" s="2" t="s">
        <v>16</v>
      </c>
      <c r="F1818" s="2">
        <v>60</v>
      </c>
      <c r="G1818" s="2" t="s">
        <v>5284</v>
      </c>
      <c r="H1818" s="2" t="s">
        <v>3373</v>
      </c>
      <c r="I1818" s="2" t="s">
        <v>32</v>
      </c>
      <c r="J1818" s="3">
        <v>44033</v>
      </c>
      <c r="K1818" s="2">
        <v>22</v>
      </c>
      <c r="L1818" s="2" t="s">
        <v>80</v>
      </c>
    </row>
    <row r="1819" spans="1:12" x14ac:dyDescent="0.3">
      <c r="A1819" s="2">
        <v>1808</v>
      </c>
      <c r="B1819" s="2" t="s">
        <v>5285</v>
      </c>
      <c r="C1819" s="2" t="s">
        <v>2449</v>
      </c>
      <c r="D1819" s="2" t="s">
        <v>28</v>
      </c>
      <c r="E1819" s="2" t="s">
        <v>29</v>
      </c>
      <c r="F1819" s="2">
        <v>30</v>
      </c>
      <c r="G1819" s="2" t="s">
        <v>10501</v>
      </c>
      <c r="H1819" s="2" t="s">
        <v>393</v>
      </c>
      <c r="I1819" s="2" t="s">
        <v>32</v>
      </c>
      <c r="J1819" s="3">
        <v>44677</v>
      </c>
      <c r="K1819" s="2">
        <v>38</v>
      </c>
      <c r="L1819" s="2" t="s">
        <v>70</v>
      </c>
    </row>
    <row r="1820" spans="1:12" x14ac:dyDescent="0.3">
      <c r="A1820" s="2">
        <v>1809</v>
      </c>
      <c r="B1820" s="2" t="s">
        <v>5287</v>
      </c>
      <c r="C1820" s="2" t="s">
        <v>1935</v>
      </c>
      <c r="D1820" s="2" t="s">
        <v>51</v>
      </c>
      <c r="E1820" s="2" t="s">
        <v>16</v>
      </c>
      <c r="F1820" s="2">
        <v>90</v>
      </c>
      <c r="G1820" s="2" t="s">
        <v>10645</v>
      </c>
      <c r="H1820" s="2" t="s">
        <v>244</v>
      </c>
      <c r="I1820" s="2" t="s">
        <v>240</v>
      </c>
      <c r="J1820" s="3">
        <v>44213</v>
      </c>
      <c r="K1820" s="2">
        <v>14</v>
      </c>
      <c r="L1820" s="2" t="s">
        <v>80</v>
      </c>
    </row>
    <row r="1821" spans="1:12" x14ac:dyDescent="0.3">
      <c r="A1821" s="2">
        <v>1810</v>
      </c>
      <c r="B1821" s="2" t="s">
        <v>5289</v>
      </c>
      <c r="C1821" s="2" t="s">
        <v>5290</v>
      </c>
      <c r="D1821" s="2" t="s">
        <v>51</v>
      </c>
      <c r="E1821" s="2" t="s">
        <v>16</v>
      </c>
      <c r="F1821" s="2">
        <v>60</v>
      </c>
      <c r="G1821" s="2" t="s">
        <v>5291</v>
      </c>
      <c r="H1821" s="2" t="s">
        <v>4066</v>
      </c>
      <c r="I1821" s="2" t="s">
        <v>4067</v>
      </c>
      <c r="J1821" s="3">
        <v>44722</v>
      </c>
      <c r="K1821" s="2">
        <v>6</v>
      </c>
      <c r="L1821" s="2" t="s">
        <v>45</v>
      </c>
    </row>
    <row r="1822" spans="1:12" x14ac:dyDescent="0.3">
      <c r="A1822" s="2">
        <v>1811</v>
      </c>
      <c r="B1822" s="2" t="s">
        <v>5292</v>
      </c>
      <c r="C1822" s="2" t="s">
        <v>3341</v>
      </c>
      <c r="D1822" s="2" t="s">
        <v>28</v>
      </c>
      <c r="E1822" s="2" t="s">
        <v>29</v>
      </c>
      <c r="F1822" s="2">
        <v>60</v>
      </c>
      <c r="G1822" s="2" t="s">
        <v>5293</v>
      </c>
      <c r="H1822" s="2" t="s">
        <v>4889</v>
      </c>
      <c r="I1822" s="2" t="s">
        <v>110</v>
      </c>
      <c r="J1822" s="3">
        <v>44059</v>
      </c>
      <c r="K1822" s="2">
        <v>30</v>
      </c>
      <c r="L1822" s="2" t="s">
        <v>39</v>
      </c>
    </row>
    <row r="1823" spans="1:12" x14ac:dyDescent="0.3">
      <c r="A1823" s="2">
        <v>1812</v>
      </c>
      <c r="B1823" s="2" t="s">
        <v>5294</v>
      </c>
      <c r="C1823" s="2" t="s">
        <v>5295</v>
      </c>
      <c r="D1823" s="2" t="s">
        <v>15</v>
      </c>
      <c r="E1823" s="2" t="s">
        <v>16</v>
      </c>
      <c r="F1823" s="2">
        <v>90</v>
      </c>
      <c r="G1823" s="2" t="s">
        <v>5296</v>
      </c>
      <c r="H1823" s="2" t="s">
        <v>5297</v>
      </c>
      <c r="I1823" s="2" t="s">
        <v>32</v>
      </c>
      <c r="J1823" s="3">
        <v>44824</v>
      </c>
      <c r="K1823" s="2">
        <v>73</v>
      </c>
      <c r="L1823" s="2" t="s">
        <v>54</v>
      </c>
    </row>
    <row r="1824" spans="1:12" x14ac:dyDescent="0.3">
      <c r="A1824" s="2">
        <v>1813</v>
      </c>
      <c r="B1824" s="2" t="s">
        <v>371</v>
      </c>
      <c r="C1824" s="2" t="s">
        <v>4792</v>
      </c>
      <c r="D1824" s="2" t="s">
        <v>28</v>
      </c>
      <c r="E1824" s="2" t="s">
        <v>29</v>
      </c>
      <c r="F1824" s="2">
        <v>90</v>
      </c>
      <c r="G1824" s="2" t="s">
        <v>5298</v>
      </c>
      <c r="H1824" s="2" t="s">
        <v>1206</v>
      </c>
      <c r="I1824" s="2" t="s">
        <v>294</v>
      </c>
      <c r="J1824" s="3">
        <v>44817</v>
      </c>
      <c r="K1824" s="2">
        <v>32</v>
      </c>
      <c r="L1824" s="2" t="s">
        <v>20</v>
      </c>
    </row>
    <row r="1825" spans="1:12" x14ac:dyDescent="0.3">
      <c r="A1825" s="2">
        <v>1814</v>
      </c>
      <c r="B1825" s="2" t="s">
        <v>4233</v>
      </c>
      <c r="C1825" s="2" t="s">
        <v>5299</v>
      </c>
      <c r="D1825" s="2" t="s">
        <v>28</v>
      </c>
      <c r="E1825" s="2" t="s">
        <v>29</v>
      </c>
      <c r="F1825" s="2">
        <v>90</v>
      </c>
      <c r="G1825" s="2" t="s">
        <v>5300</v>
      </c>
      <c r="H1825" s="2" t="s">
        <v>5301</v>
      </c>
      <c r="I1825" s="2" t="s">
        <v>173</v>
      </c>
      <c r="J1825" s="3">
        <v>44334</v>
      </c>
      <c r="K1825" s="2">
        <v>10</v>
      </c>
      <c r="L1825" s="2" t="s">
        <v>45</v>
      </c>
    </row>
    <row r="1826" spans="1:12" x14ac:dyDescent="0.3">
      <c r="A1826" s="2">
        <v>1815</v>
      </c>
      <c r="B1826" s="2" t="s">
        <v>4642</v>
      </c>
      <c r="C1826" s="2" t="s">
        <v>5214</v>
      </c>
      <c r="D1826" s="2" t="s">
        <v>51</v>
      </c>
      <c r="E1826" s="2" t="s">
        <v>16</v>
      </c>
      <c r="F1826" s="2">
        <v>90</v>
      </c>
      <c r="G1826" s="2" t="s">
        <v>5302</v>
      </c>
      <c r="H1826" s="2" t="s">
        <v>2671</v>
      </c>
      <c r="I1826" s="2" t="s">
        <v>1157</v>
      </c>
      <c r="J1826" s="3">
        <v>44797</v>
      </c>
      <c r="K1826" s="2">
        <v>73</v>
      </c>
      <c r="L1826" s="2" t="s">
        <v>39</v>
      </c>
    </row>
    <row r="1827" spans="1:12" x14ac:dyDescent="0.3">
      <c r="A1827" s="2">
        <v>1816</v>
      </c>
      <c r="B1827" s="2" t="s">
        <v>5303</v>
      </c>
      <c r="C1827" s="2" t="s">
        <v>3140</v>
      </c>
      <c r="D1827" s="2" t="s">
        <v>15</v>
      </c>
      <c r="E1827" s="2" t="s">
        <v>16</v>
      </c>
      <c r="F1827" s="2">
        <v>30</v>
      </c>
      <c r="G1827" s="2" t="s">
        <v>5304</v>
      </c>
      <c r="H1827" s="2" t="s">
        <v>898</v>
      </c>
      <c r="I1827" s="2" t="s">
        <v>32</v>
      </c>
      <c r="J1827" s="3">
        <v>44535</v>
      </c>
      <c r="K1827" s="2">
        <v>10</v>
      </c>
      <c r="L1827" s="2" t="s">
        <v>159</v>
      </c>
    </row>
    <row r="1828" spans="1:12" x14ac:dyDescent="0.3">
      <c r="A1828" s="2">
        <v>1817</v>
      </c>
      <c r="B1828" s="2" t="s">
        <v>5305</v>
      </c>
      <c r="C1828" s="2" t="s">
        <v>5306</v>
      </c>
      <c r="D1828" s="2" t="s">
        <v>28</v>
      </c>
      <c r="E1828" s="2" t="s">
        <v>29</v>
      </c>
      <c r="F1828" s="2">
        <v>60</v>
      </c>
      <c r="G1828" s="2" t="s">
        <v>5307</v>
      </c>
      <c r="H1828" s="2" t="s">
        <v>3932</v>
      </c>
      <c r="I1828" s="2" t="s">
        <v>32</v>
      </c>
      <c r="J1828" s="3">
        <v>44076</v>
      </c>
      <c r="K1828" s="2">
        <v>20</v>
      </c>
      <c r="L1828" s="2" t="s">
        <v>54</v>
      </c>
    </row>
    <row r="1829" spans="1:12" x14ac:dyDescent="0.3">
      <c r="A1829" s="2">
        <v>1818</v>
      </c>
      <c r="B1829" s="2" t="s">
        <v>5048</v>
      </c>
      <c r="C1829" s="2" t="s">
        <v>1528</v>
      </c>
      <c r="D1829" s="2" t="s">
        <v>51</v>
      </c>
      <c r="E1829" s="2" t="s">
        <v>16</v>
      </c>
      <c r="F1829" s="2">
        <v>30</v>
      </c>
      <c r="G1829" s="2" t="s">
        <v>5308</v>
      </c>
      <c r="H1829" s="2" t="s">
        <v>3238</v>
      </c>
      <c r="I1829" s="2" t="s">
        <v>173</v>
      </c>
      <c r="J1829" s="3">
        <v>44234</v>
      </c>
      <c r="K1829" s="2">
        <v>15</v>
      </c>
      <c r="L1829" s="2" t="s">
        <v>70</v>
      </c>
    </row>
    <row r="1830" spans="1:12" x14ac:dyDescent="0.3">
      <c r="A1830" s="2">
        <v>1819</v>
      </c>
      <c r="B1830" s="2" t="s">
        <v>5309</v>
      </c>
      <c r="C1830" s="2" t="s">
        <v>5310</v>
      </c>
      <c r="D1830" s="2" t="s">
        <v>15</v>
      </c>
      <c r="E1830" s="2" t="s">
        <v>16</v>
      </c>
      <c r="F1830" s="2">
        <v>90</v>
      </c>
      <c r="G1830" s="2" t="s">
        <v>5311</v>
      </c>
      <c r="H1830" s="2" t="s">
        <v>195</v>
      </c>
      <c r="I1830" s="2" t="s">
        <v>187</v>
      </c>
      <c r="J1830" s="3">
        <v>44153</v>
      </c>
      <c r="K1830" s="2">
        <v>36</v>
      </c>
      <c r="L1830" s="2" t="s">
        <v>20</v>
      </c>
    </row>
    <row r="1831" spans="1:12" x14ac:dyDescent="0.3">
      <c r="A1831" s="2">
        <v>1820</v>
      </c>
      <c r="B1831" s="2" t="s">
        <v>5312</v>
      </c>
      <c r="C1831" s="2" t="s">
        <v>358</v>
      </c>
      <c r="D1831" s="2" t="s">
        <v>51</v>
      </c>
      <c r="E1831" s="2" t="s">
        <v>16</v>
      </c>
      <c r="F1831" s="2">
        <v>30</v>
      </c>
      <c r="G1831" s="2" t="s">
        <v>5313</v>
      </c>
      <c r="H1831" s="2" t="s">
        <v>2749</v>
      </c>
      <c r="I1831" s="2" t="s">
        <v>187</v>
      </c>
      <c r="J1831" s="3">
        <v>43981</v>
      </c>
      <c r="K1831" s="2">
        <v>38</v>
      </c>
      <c r="L1831" s="2" t="s">
        <v>101</v>
      </c>
    </row>
    <row r="1832" spans="1:12" x14ac:dyDescent="0.3">
      <c r="A1832" s="2">
        <v>1821</v>
      </c>
      <c r="B1832" s="2" t="s">
        <v>5314</v>
      </c>
      <c r="C1832" s="2" t="s">
        <v>5315</v>
      </c>
      <c r="D1832" s="2" t="s">
        <v>28</v>
      </c>
      <c r="E1832" s="2" t="s">
        <v>29</v>
      </c>
      <c r="F1832" s="2">
        <v>60</v>
      </c>
      <c r="G1832" s="2" t="s">
        <v>5313</v>
      </c>
      <c r="H1832" s="2" t="s">
        <v>5316</v>
      </c>
      <c r="I1832" s="2" t="s">
        <v>25</v>
      </c>
      <c r="J1832" s="3">
        <v>44160</v>
      </c>
      <c r="K1832" s="2">
        <v>71</v>
      </c>
      <c r="L1832" s="2" t="s">
        <v>101</v>
      </c>
    </row>
    <row r="1833" spans="1:12" x14ac:dyDescent="0.3">
      <c r="A1833" s="2">
        <v>1822</v>
      </c>
      <c r="B1833" s="2" t="s">
        <v>5317</v>
      </c>
      <c r="C1833" s="2" t="s">
        <v>5318</v>
      </c>
      <c r="D1833" s="2" t="s">
        <v>15</v>
      </c>
      <c r="E1833" s="2" t="s">
        <v>16</v>
      </c>
      <c r="F1833" s="2">
        <v>30</v>
      </c>
      <c r="G1833" s="2" t="s">
        <v>5319</v>
      </c>
      <c r="H1833" s="2" t="s">
        <v>963</v>
      </c>
      <c r="I1833" s="2" t="s">
        <v>25</v>
      </c>
      <c r="J1833" s="3">
        <v>44074</v>
      </c>
      <c r="K1833" s="2">
        <v>80</v>
      </c>
      <c r="L1833" s="2" t="s">
        <v>39</v>
      </c>
    </row>
    <row r="1834" spans="1:12" x14ac:dyDescent="0.3">
      <c r="A1834" s="2">
        <v>1823</v>
      </c>
      <c r="B1834" s="2" t="s">
        <v>5320</v>
      </c>
      <c r="C1834" s="2" t="s">
        <v>5321</v>
      </c>
      <c r="D1834" s="2" t="s">
        <v>51</v>
      </c>
      <c r="E1834" s="2" t="s">
        <v>16</v>
      </c>
      <c r="F1834" s="2">
        <v>90</v>
      </c>
      <c r="G1834" s="2" t="s">
        <v>5322</v>
      </c>
      <c r="H1834" s="2" t="s">
        <v>2401</v>
      </c>
      <c r="I1834" s="2" t="s">
        <v>178</v>
      </c>
      <c r="J1834" s="3">
        <v>44110</v>
      </c>
      <c r="K1834" s="2">
        <v>31</v>
      </c>
      <c r="L1834" s="2" t="s">
        <v>80</v>
      </c>
    </row>
    <row r="1835" spans="1:12" x14ac:dyDescent="0.3">
      <c r="A1835" s="2">
        <v>1824</v>
      </c>
      <c r="B1835" s="2" t="s">
        <v>1758</v>
      </c>
      <c r="C1835" s="2" t="s">
        <v>5323</v>
      </c>
      <c r="D1835" s="2" t="s">
        <v>28</v>
      </c>
      <c r="E1835" s="2" t="s">
        <v>29</v>
      </c>
      <c r="F1835" s="2">
        <v>30</v>
      </c>
      <c r="G1835" s="2" t="s">
        <v>5324</v>
      </c>
      <c r="H1835" s="2" t="s">
        <v>5025</v>
      </c>
      <c r="I1835" s="2" t="s">
        <v>32</v>
      </c>
      <c r="J1835" s="3">
        <v>44864</v>
      </c>
      <c r="K1835" s="2">
        <v>67</v>
      </c>
      <c r="L1835" s="2" t="s">
        <v>101</v>
      </c>
    </row>
    <row r="1836" spans="1:12" x14ac:dyDescent="0.3">
      <c r="A1836" s="2">
        <v>1825</v>
      </c>
      <c r="B1836" s="2" t="s">
        <v>1991</v>
      </c>
      <c r="C1836" s="2" t="s">
        <v>4528</v>
      </c>
      <c r="D1836" s="2" t="s">
        <v>41</v>
      </c>
      <c r="E1836" s="2" t="s">
        <v>16</v>
      </c>
      <c r="F1836" s="2">
        <v>30</v>
      </c>
      <c r="G1836" s="2" t="s">
        <v>5324</v>
      </c>
      <c r="H1836" s="2" t="s">
        <v>382</v>
      </c>
      <c r="I1836" s="2" t="s">
        <v>32</v>
      </c>
      <c r="J1836" s="3">
        <v>43865</v>
      </c>
      <c r="K1836" s="2">
        <v>84</v>
      </c>
      <c r="L1836" s="2" t="s">
        <v>80</v>
      </c>
    </row>
    <row r="1837" spans="1:12" x14ac:dyDescent="0.3">
      <c r="A1837" s="2">
        <v>1826</v>
      </c>
      <c r="B1837" s="2" t="s">
        <v>4550</v>
      </c>
      <c r="C1837" s="2" t="s">
        <v>5325</v>
      </c>
      <c r="D1837" s="2" t="s">
        <v>28</v>
      </c>
      <c r="E1837" s="2" t="s">
        <v>29</v>
      </c>
      <c r="F1837" s="2">
        <v>90</v>
      </c>
      <c r="G1837" s="2" t="s">
        <v>5326</v>
      </c>
      <c r="H1837" s="2" t="s">
        <v>5327</v>
      </c>
      <c r="I1837" s="2" t="s">
        <v>187</v>
      </c>
      <c r="J1837" s="3">
        <v>44451</v>
      </c>
      <c r="K1837" s="2">
        <v>61</v>
      </c>
      <c r="L1837" s="2" t="s">
        <v>159</v>
      </c>
    </row>
    <row r="1838" spans="1:12" x14ac:dyDescent="0.3">
      <c r="A1838" s="2">
        <v>1827</v>
      </c>
      <c r="B1838" s="2" t="s">
        <v>4438</v>
      </c>
      <c r="C1838" s="2" t="s">
        <v>5328</v>
      </c>
      <c r="D1838" s="2" t="s">
        <v>28</v>
      </c>
      <c r="E1838" s="2" t="s">
        <v>29</v>
      </c>
      <c r="F1838" s="2">
        <v>60</v>
      </c>
      <c r="G1838" s="2" t="s">
        <v>5329</v>
      </c>
      <c r="H1838" s="2" t="s">
        <v>714</v>
      </c>
      <c r="I1838" s="2" t="s">
        <v>38</v>
      </c>
      <c r="J1838" s="3">
        <v>44272</v>
      </c>
      <c r="K1838" s="2">
        <v>25</v>
      </c>
      <c r="L1838" s="2" t="s">
        <v>64</v>
      </c>
    </row>
    <row r="1839" spans="1:12" x14ac:dyDescent="0.3">
      <c r="A1839" s="2">
        <v>1828</v>
      </c>
      <c r="B1839" s="2" t="s">
        <v>196</v>
      </c>
      <c r="C1839" s="2" t="s">
        <v>5330</v>
      </c>
      <c r="D1839" s="2" t="s">
        <v>28</v>
      </c>
      <c r="E1839" s="2" t="s">
        <v>29</v>
      </c>
      <c r="F1839" s="2">
        <v>60</v>
      </c>
      <c r="G1839" s="2" t="s">
        <v>5329</v>
      </c>
      <c r="H1839" s="2" t="s">
        <v>4867</v>
      </c>
      <c r="I1839" s="2" t="s">
        <v>294</v>
      </c>
      <c r="J1839" s="3">
        <v>44230</v>
      </c>
      <c r="K1839" s="2">
        <v>64</v>
      </c>
      <c r="L1839" s="2" t="s">
        <v>54</v>
      </c>
    </row>
    <row r="1840" spans="1:12" x14ac:dyDescent="0.3">
      <c r="A1840" s="2">
        <v>1829</v>
      </c>
      <c r="B1840" s="2" t="s">
        <v>5331</v>
      </c>
      <c r="C1840" s="2" t="s">
        <v>5332</v>
      </c>
      <c r="D1840" s="2" t="s">
        <v>51</v>
      </c>
      <c r="E1840" s="2" t="s">
        <v>16</v>
      </c>
      <c r="F1840" s="2">
        <v>60</v>
      </c>
      <c r="G1840" s="2" t="s">
        <v>5333</v>
      </c>
      <c r="H1840" s="2" t="s">
        <v>2753</v>
      </c>
      <c r="I1840" s="2" t="s">
        <v>124</v>
      </c>
      <c r="J1840" s="3">
        <v>43879</v>
      </c>
      <c r="K1840" s="2">
        <v>27</v>
      </c>
      <c r="L1840" s="2" t="s">
        <v>64</v>
      </c>
    </row>
    <row r="1841" spans="1:12" x14ac:dyDescent="0.3">
      <c r="A1841" s="2">
        <v>1830</v>
      </c>
      <c r="B1841" s="2" t="s">
        <v>5334</v>
      </c>
      <c r="C1841" s="2" t="s">
        <v>2480</v>
      </c>
      <c r="D1841" s="2" t="s">
        <v>28</v>
      </c>
      <c r="E1841" s="2" t="s">
        <v>29</v>
      </c>
      <c r="F1841" s="2">
        <v>90</v>
      </c>
      <c r="G1841" s="2" t="s">
        <v>5335</v>
      </c>
      <c r="H1841" s="2" t="s">
        <v>5336</v>
      </c>
      <c r="I1841" s="2" t="s">
        <v>32</v>
      </c>
      <c r="J1841" s="3">
        <v>44412</v>
      </c>
      <c r="K1841" s="2">
        <v>42</v>
      </c>
      <c r="L1841" s="2" t="s">
        <v>101</v>
      </c>
    </row>
    <row r="1842" spans="1:12" x14ac:dyDescent="0.3">
      <c r="A1842" s="2">
        <v>1831</v>
      </c>
      <c r="B1842" s="2" t="s">
        <v>5337</v>
      </c>
      <c r="C1842" s="2" t="s">
        <v>5338</v>
      </c>
      <c r="D1842" s="2" t="s">
        <v>51</v>
      </c>
      <c r="E1842" s="2" t="s">
        <v>16</v>
      </c>
      <c r="F1842" s="2">
        <v>60</v>
      </c>
      <c r="G1842" s="2" t="s">
        <v>5339</v>
      </c>
      <c r="H1842" s="2" t="s">
        <v>5340</v>
      </c>
      <c r="I1842" s="2" t="s">
        <v>32</v>
      </c>
      <c r="J1842" s="3">
        <v>43875</v>
      </c>
      <c r="K1842" s="2">
        <v>70</v>
      </c>
      <c r="L1842" s="2" t="s">
        <v>159</v>
      </c>
    </row>
    <row r="1843" spans="1:12" x14ac:dyDescent="0.3">
      <c r="A1843" s="2">
        <v>1832</v>
      </c>
      <c r="B1843" s="2" t="s">
        <v>5341</v>
      </c>
      <c r="C1843" s="2" t="s">
        <v>3435</v>
      </c>
      <c r="D1843" s="2" t="s">
        <v>15</v>
      </c>
      <c r="E1843" s="2" t="s">
        <v>16</v>
      </c>
      <c r="F1843" s="2">
        <v>90</v>
      </c>
      <c r="G1843" s="2" t="s">
        <v>5342</v>
      </c>
      <c r="H1843" s="2" t="s">
        <v>3033</v>
      </c>
      <c r="I1843" s="2" t="s">
        <v>32</v>
      </c>
      <c r="J1843" s="3">
        <v>44574</v>
      </c>
      <c r="K1843" s="2">
        <v>16</v>
      </c>
      <c r="L1843" s="2" t="s">
        <v>159</v>
      </c>
    </row>
    <row r="1844" spans="1:12" x14ac:dyDescent="0.3">
      <c r="A1844" s="2">
        <v>1833</v>
      </c>
      <c r="B1844" s="2" t="s">
        <v>5343</v>
      </c>
      <c r="C1844" s="2" t="s">
        <v>507</v>
      </c>
      <c r="D1844" s="2" t="s">
        <v>51</v>
      </c>
      <c r="E1844" s="2" t="s">
        <v>16</v>
      </c>
      <c r="F1844" s="2">
        <v>90</v>
      </c>
      <c r="G1844" s="2" t="s">
        <v>5344</v>
      </c>
      <c r="H1844" s="2" t="s">
        <v>1202</v>
      </c>
      <c r="I1844" s="2" t="s">
        <v>32</v>
      </c>
      <c r="J1844" s="3">
        <v>44081</v>
      </c>
      <c r="K1844" s="2">
        <v>84</v>
      </c>
      <c r="L1844" s="2" t="s">
        <v>54</v>
      </c>
    </row>
    <row r="1845" spans="1:12" x14ac:dyDescent="0.3">
      <c r="A1845" s="2">
        <v>1834</v>
      </c>
      <c r="B1845" s="2" t="s">
        <v>5345</v>
      </c>
      <c r="C1845" s="2" t="s">
        <v>5346</v>
      </c>
      <c r="D1845" s="2" t="s">
        <v>51</v>
      </c>
      <c r="E1845" s="2" t="s">
        <v>16</v>
      </c>
      <c r="F1845" s="2">
        <v>30</v>
      </c>
      <c r="G1845" s="2" t="s">
        <v>10503</v>
      </c>
      <c r="H1845" s="2" t="s">
        <v>549</v>
      </c>
      <c r="I1845" s="2" t="s">
        <v>425</v>
      </c>
      <c r="J1845" s="3">
        <v>44101</v>
      </c>
      <c r="K1845" s="2">
        <v>45</v>
      </c>
      <c r="L1845" s="2" t="s">
        <v>20</v>
      </c>
    </row>
    <row r="1846" spans="1:12" x14ac:dyDescent="0.3">
      <c r="A1846" s="2">
        <v>1835</v>
      </c>
      <c r="B1846" s="2" t="s">
        <v>5348</v>
      </c>
      <c r="C1846" s="2" t="s">
        <v>2815</v>
      </c>
      <c r="D1846" s="2" t="s">
        <v>28</v>
      </c>
      <c r="E1846" s="2" t="s">
        <v>29</v>
      </c>
      <c r="F1846" s="2">
        <v>30</v>
      </c>
      <c r="G1846" s="2" t="s">
        <v>10503</v>
      </c>
      <c r="H1846" s="2" t="s">
        <v>1977</v>
      </c>
      <c r="I1846" s="2" t="s">
        <v>124</v>
      </c>
      <c r="J1846" s="3">
        <v>43933</v>
      </c>
      <c r="K1846" s="2">
        <v>56</v>
      </c>
      <c r="L1846" s="2" t="s">
        <v>54</v>
      </c>
    </row>
    <row r="1847" spans="1:12" x14ac:dyDescent="0.3">
      <c r="A1847" s="2">
        <v>1836</v>
      </c>
      <c r="B1847" s="2" t="s">
        <v>1065</v>
      </c>
      <c r="C1847" s="2" t="s">
        <v>260</v>
      </c>
      <c r="D1847" s="2" t="s">
        <v>28</v>
      </c>
      <c r="E1847" s="2" t="s">
        <v>29</v>
      </c>
      <c r="F1847" s="2">
        <v>90</v>
      </c>
      <c r="G1847" s="2" t="s">
        <v>5349</v>
      </c>
      <c r="H1847" s="2" t="s">
        <v>4272</v>
      </c>
      <c r="I1847" s="2" t="s">
        <v>1652</v>
      </c>
      <c r="J1847" s="3">
        <v>44644</v>
      </c>
      <c r="K1847" s="2">
        <v>84</v>
      </c>
      <c r="L1847" s="2" t="s">
        <v>33</v>
      </c>
    </row>
    <row r="1848" spans="1:12" x14ac:dyDescent="0.3">
      <c r="A1848" s="2">
        <v>1837</v>
      </c>
      <c r="B1848" s="2" t="s">
        <v>5350</v>
      </c>
      <c r="C1848" s="2" t="s">
        <v>4706</v>
      </c>
      <c r="D1848" s="2" t="s">
        <v>28</v>
      </c>
      <c r="E1848" s="2" t="s">
        <v>29</v>
      </c>
      <c r="F1848" s="2">
        <v>90</v>
      </c>
      <c r="G1848" s="2" t="s">
        <v>5351</v>
      </c>
      <c r="H1848" s="2" t="s">
        <v>842</v>
      </c>
      <c r="I1848" s="2" t="s">
        <v>32</v>
      </c>
      <c r="J1848" s="3">
        <v>43963</v>
      </c>
      <c r="K1848" s="2">
        <v>73</v>
      </c>
      <c r="L1848" s="2" t="s">
        <v>54</v>
      </c>
    </row>
    <row r="1849" spans="1:12" x14ac:dyDescent="0.3">
      <c r="A1849" s="2">
        <v>1838</v>
      </c>
      <c r="B1849" s="2" t="s">
        <v>4075</v>
      </c>
      <c r="C1849" s="2" t="s">
        <v>4725</v>
      </c>
      <c r="D1849" s="2" t="s">
        <v>28</v>
      </c>
      <c r="E1849" s="2" t="s">
        <v>29</v>
      </c>
      <c r="F1849" s="2">
        <v>90</v>
      </c>
      <c r="G1849" s="2" t="s">
        <v>5352</v>
      </c>
      <c r="H1849" s="2" t="s">
        <v>920</v>
      </c>
      <c r="I1849" s="2" t="s">
        <v>178</v>
      </c>
      <c r="J1849" s="3">
        <v>44017</v>
      </c>
      <c r="K1849" s="2">
        <v>81</v>
      </c>
      <c r="L1849" s="2" t="s">
        <v>20</v>
      </c>
    </row>
    <row r="1850" spans="1:12" x14ac:dyDescent="0.3">
      <c r="A1850" s="2">
        <v>1839</v>
      </c>
      <c r="B1850" s="2" t="s">
        <v>5353</v>
      </c>
      <c r="C1850" s="2" t="s">
        <v>5354</v>
      </c>
      <c r="D1850" s="2" t="s">
        <v>15</v>
      </c>
      <c r="E1850" s="2" t="s">
        <v>16</v>
      </c>
      <c r="F1850" s="2">
        <v>90</v>
      </c>
      <c r="G1850" s="2" t="s">
        <v>5355</v>
      </c>
      <c r="H1850" s="2" t="s">
        <v>4889</v>
      </c>
      <c r="I1850" s="2" t="s">
        <v>110</v>
      </c>
      <c r="J1850" s="3">
        <v>44282</v>
      </c>
      <c r="K1850" s="2">
        <v>35</v>
      </c>
      <c r="L1850" s="2" t="s">
        <v>64</v>
      </c>
    </row>
    <row r="1851" spans="1:12" x14ac:dyDescent="0.3">
      <c r="A1851" s="2">
        <v>1840</v>
      </c>
      <c r="B1851" s="2" t="s">
        <v>5356</v>
      </c>
      <c r="C1851" s="2" t="s">
        <v>2223</v>
      </c>
      <c r="D1851" s="2" t="s">
        <v>41</v>
      </c>
      <c r="E1851" s="2" t="s">
        <v>16</v>
      </c>
      <c r="F1851" s="2">
        <v>30</v>
      </c>
      <c r="G1851" s="2" t="s">
        <v>5357</v>
      </c>
      <c r="H1851" s="2" t="s">
        <v>4919</v>
      </c>
      <c r="I1851" s="2" t="s">
        <v>303</v>
      </c>
      <c r="J1851" s="3">
        <v>44468</v>
      </c>
      <c r="K1851" s="2">
        <v>63</v>
      </c>
      <c r="L1851" s="2" t="s">
        <v>33</v>
      </c>
    </row>
    <row r="1852" spans="1:12" x14ac:dyDescent="0.3">
      <c r="A1852" s="2">
        <v>1841</v>
      </c>
      <c r="B1852" s="2" t="s">
        <v>5358</v>
      </c>
      <c r="C1852" s="2" t="s">
        <v>5359</v>
      </c>
      <c r="D1852" s="2" t="s">
        <v>28</v>
      </c>
      <c r="E1852" s="2" t="s">
        <v>29</v>
      </c>
      <c r="F1852" s="2">
        <v>60</v>
      </c>
      <c r="G1852" s="2" t="s">
        <v>10504</v>
      </c>
      <c r="H1852" s="2" t="s">
        <v>37</v>
      </c>
      <c r="I1852" s="2" t="s">
        <v>38</v>
      </c>
      <c r="J1852" s="3">
        <v>44559</v>
      </c>
      <c r="K1852" s="2">
        <v>5</v>
      </c>
      <c r="L1852" s="2" t="s">
        <v>64</v>
      </c>
    </row>
    <row r="1853" spans="1:12" x14ac:dyDescent="0.3">
      <c r="A1853" s="2">
        <v>1842</v>
      </c>
      <c r="B1853" s="2" t="s">
        <v>5361</v>
      </c>
      <c r="C1853" s="2" t="s">
        <v>5362</v>
      </c>
      <c r="D1853" s="2" t="s">
        <v>15</v>
      </c>
      <c r="E1853" s="2" t="s">
        <v>16</v>
      </c>
      <c r="F1853" s="2">
        <v>30</v>
      </c>
      <c r="G1853" s="2" t="s">
        <v>5363</v>
      </c>
      <c r="H1853" s="2" t="s">
        <v>5122</v>
      </c>
      <c r="I1853" s="2" t="s">
        <v>25</v>
      </c>
      <c r="J1853" s="3">
        <v>44514</v>
      </c>
      <c r="K1853" s="2">
        <v>70</v>
      </c>
      <c r="L1853" s="2" t="s">
        <v>101</v>
      </c>
    </row>
    <row r="1854" spans="1:12" x14ac:dyDescent="0.3">
      <c r="A1854" s="2">
        <v>1843</v>
      </c>
      <c r="B1854" s="2" t="s">
        <v>5364</v>
      </c>
      <c r="C1854" s="2" t="s">
        <v>3922</v>
      </c>
      <c r="D1854" s="2" t="s">
        <v>28</v>
      </c>
      <c r="E1854" s="2" t="s">
        <v>29</v>
      </c>
      <c r="F1854" s="2">
        <v>90</v>
      </c>
      <c r="G1854" s="2" t="s">
        <v>5365</v>
      </c>
      <c r="H1854" s="2" t="s">
        <v>5241</v>
      </c>
      <c r="I1854" s="2" t="s">
        <v>32</v>
      </c>
      <c r="J1854" s="3">
        <v>43855</v>
      </c>
      <c r="K1854" s="2">
        <v>6</v>
      </c>
      <c r="L1854" s="2" t="s">
        <v>70</v>
      </c>
    </row>
    <row r="1855" spans="1:12" x14ac:dyDescent="0.3">
      <c r="A1855" s="2">
        <v>1844</v>
      </c>
      <c r="B1855" s="2" t="s">
        <v>4233</v>
      </c>
      <c r="C1855" s="2" t="s">
        <v>5366</v>
      </c>
      <c r="D1855" s="2" t="s">
        <v>28</v>
      </c>
      <c r="E1855" s="2" t="s">
        <v>29</v>
      </c>
      <c r="F1855" s="2">
        <v>90</v>
      </c>
      <c r="G1855" s="2" t="s">
        <v>5367</v>
      </c>
      <c r="H1855" s="2" t="s">
        <v>2804</v>
      </c>
      <c r="I1855" s="2" t="s">
        <v>124</v>
      </c>
      <c r="J1855" s="3">
        <v>44632</v>
      </c>
      <c r="K1855" s="2">
        <v>92</v>
      </c>
      <c r="L1855" s="2" t="s">
        <v>45</v>
      </c>
    </row>
    <row r="1856" spans="1:12" x14ac:dyDescent="0.3">
      <c r="A1856" s="2">
        <v>1845</v>
      </c>
      <c r="B1856" s="2" t="s">
        <v>5368</v>
      </c>
      <c r="C1856" s="2" t="s">
        <v>3887</v>
      </c>
      <c r="D1856" s="2" t="s">
        <v>15</v>
      </c>
      <c r="E1856" s="2" t="s">
        <v>16</v>
      </c>
      <c r="F1856" s="2">
        <v>90</v>
      </c>
      <c r="G1856" s="2" t="s">
        <v>5369</v>
      </c>
      <c r="H1856" s="2" t="s">
        <v>714</v>
      </c>
      <c r="I1856" s="2" t="s">
        <v>38</v>
      </c>
      <c r="J1856" s="3">
        <v>44236</v>
      </c>
      <c r="K1856" s="2">
        <v>43</v>
      </c>
      <c r="L1856" s="2" t="s">
        <v>45</v>
      </c>
    </row>
    <row r="1857" spans="1:12" x14ac:dyDescent="0.3">
      <c r="A1857" s="2">
        <v>1846</v>
      </c>
      <c r="B1857" s="2" t="s">
        <v>364</v>
      </c>
      <c r="C1857" s="2" t="s">
        <v>5370</v>
      </c>
      <c r="D1857" s="2" t="s">
        <v>51</v>
      </c>
      <c r="E1857" s="2" t="s">
        <v>16</v>
      </c>
      <c r="F1857" s="2">
        <v>60</v>
      </c>
      <c r="G1857" s="2" t="s">
        <v>5371</v>
      </c>
      <c r="H1857" s="2" t="s">
        <v>2325</v>
      </c>
      <c r="I1857" s="2" t="s">
        <v>173</v>
      </c>
      <c r="J1857" s="3">
        <v>44433</v>
      </c>
      <c r="K1857" s="2">
        <v>2</v>
      </c>
      <c r="L1857" s="2" t="s">
        <v>54</v>
      </c>
    </row>
    <row r="1858" spans="1:12" x14ac:dyDescent="0.3">
      <c r="A1858" s="2">
        <v>1847</v>
      </c>
      <c r="B1858" s="2" t="s">
        <v>3158</v>
      </c>
      <c r="C1858" s="2" t="s">
        <v>556</v>
      </c>
      <c r="D1858" s="2" t="s">
        <v>28</v>
      </c>
      <c r="E1858" s="2" t="s">
        <v>29</v>
      </c>
      <c r="F1858" s="2">
        <v>90</v>
      </c>
      <c r="G1858" s="2" t="s">
        <v>5372</v>
      </c>
      <c r="H1858" s="2" t="s">
        <v>4034</v>
      </c>
      <c r="I1858" s="2" t="s">
        <v>178</v>
      </c>
      <c r="J1858" s="3">
        <v>44311</v>
      </c>
      <c r="K1858" s="2">
        <v>91</v>
      </c>
      <c r="L1858" s="2" t="s">
        <v>80</v>
      </c>
    </row>
    <row r="1859" spans="1:12" x14ac:dyDescent="0.3">
      <c r="A1859" s="2">
        <v>1848</v>
      </c>
      <c r="B1859" s="2" t="s">
        <v>5373</v>
      </c>
      <c r="C1859" s="2" t="s">
        <v>5374</v>
      </c>
      <c r="D1859" s="2" t="s">
        <v>41</v>
      </c>
      <c r="E1859" s="2" t="s">
        <v>16</v>
      </c>
      <c r="F1859" s="2">
        <v>90</v>
      </c>
      <c r="G1859" s="2" t="s">
        <v>5375</v>
      </c>
      <c r="H1859" s="2" t="s">
        <v>5376</v>
      </c>
      <c r="I1859" s="2" t="s">
        <v>32</v>
      </c>
      <c r="J1859" s="3">
        <v>44578</v>
      </c>
      <c r="K1859" s="2">
        <v>6</v>
      </c>
      <c r="L1859" s="2" t="s">
        <v>39</v>
      </c>
    </row>
    <row r="1860" spans="1:12" x14ac:dyDescent="0.3">
      <c r="A1860" s="2">
        <v>1849</v>
      </c>
      <c r="B1860" s="2" t="s">
        <v>5377</v>
      </c>
      <c r="C1860" s="2" t="s">
        <v>972</v>
      </c>
      <c r="D1860" s="2" t="s">
        <v>15</v>
      </c>
      <c r="E1860" s="2" t="s">
        <v>16</v>
      </c>
      <c r="F1860" s="2">
        <v>30</v>
      </c>
      <c r="G1860" s="2" t="s">
        <v>5378</v>
      </c>
      <c r="H1860" s="2" t="s">
        <v>5379</v>
      </c>
      <c r="I1860" s="2" t="s">
        <v>1199</v>
      </c>
      <c r="J1860" s="3">
        <v>43832</v>
      </c>
      <c r="K1860" s="2">
        <v>74</v>
      </c>
      <c r="L1860" s="2" t="s">
        <v>70</v>
      </c>
    </row>
    <row r="1861" spans="1:12" x14ac:dyDescent="0.3">
      <c r="A1861" s="2">
        <v>1850</v>
      </c>
      <c r="B1861" s="2" t="s">
        <v>5380</v>
      </c>
      <c r="C1861" s="2" t="s">
        <v>5381</v>
      </c>
      <c r="D1861" s="2" t="s">
        <v>92</v>
      </c>
      <c r="E1861" s="2" t="s">
        <v>29</v>
      </c>
      <c r="F1861" s="2">
        <v>60</v>
      </c>
      <c r="G1861" s="2" t="s">
        <v>5382</v>
      </c>
      <c r="H1861" s="2" t="s">
        <v>951</v>
      </c>
      <c r="I1861" s="2" t="s">
        <v>95</v>
      </c>
      <c r="J1861" s="3">
        <v>43952</v>
      </c>
      <c r="K1861" s="2">
        <v>80</v>
      </c>
      <c r="L1861" s="2" t="s">
        <v>80</v>
      </c>
    </row>
    <row r="1862" spans="1:12" x14ac:dyDescent="0.3">
      <c r="A1862" s="2">
        <v>1851</v>
      </c>
      <c r="B1862" s="2" t="s">
        <v>3515</v>
      </c>
      <c r="C1862" s="2" t="s">
        <v>5383</v>
      </c>
      <c r="D1862" s="2" t="s">
        <v>28</v>
      </c>
      <c r="E1862" s="2" t="s">
        <v>29</v>
      </c>
      <c r="F1862" s="2">
        <v>30</v>
      </c>
      <c r="G1862" s="2" t="s">
        <v>10505</v>
      </c>
      <c r="H1862" s="2" t="s">
        <v>4675</v>
      </c>
      <c r="I1862" s="2" t="s">
        <v>178</v>
      </c>
      <c r="J1862" s="3">
        <v>43859</v>
      </c>
      <c r="K1862" s="2">
        <v>13</v>
      </c>
      <c r="L1862" s="2" t="s">
        <v>80</v>
      </c>
    </row>
    <row r="1863" spans="1:12" x14ac:dyDescent="0.3">
      <c r="A1863" s="2">
        <v>1852</v>
      </c>
      <c r="B1863" s="2" t="s">
        <v>5020</v>
      </c>
      <c r="C1863" s="2" t="s">
        <v>5385</v>
      </c>
      <c r="D1863" s="2" t="s">
        <v>51</v>
      </c>
      <c r="E1863" s="2" t="s">
        <v>16</v>
      </c>
      <c r="F1863" s="2">
        <v>30</v>
      </c>
      <c r="G1863" s="2" t="s">
        <v>10506</v>
      </c>
      <c r="H1863" s="2" t="s">
        <v>3558</v>
      </c>
      <c r="I1863" s="2" t="s">
        <v>32</v>
      </c>
      <c r="J1863" s="3">
        <v>44385</v>
      </c>
      <c r="K1863" s="2">
        <v>93</v>
      </c>
      <c r="L1863" s="2" t="s">
        <v>70</v>
      </c>
    </row>
    <row r="1864" spans="1:12" x14ac:dyDescent="0.3">
      <c r="A1864" s="2">
        <v>1853</v>
      </c>
      <c r="B1864" s="2" t="s">
        <v>5387</v>
      </c>
      <c r="C1864" s="2" t="s">
        <v>4314</v>
      </c>
      <c r="D1864" s="2" t="s">
        <v>15</v>
      </c>
      <c r="E1864" s="2" t="s">
        <v>16</v>
      </c>
      <c r="F1864" s="2">
        <v>60</v>
      </c>
      <c r="G1864" s="2" t="s">
        <v>5388</v>
      </c>
      <c r="H1864" s="2" t="s">
        <v>3628</v>
      </c>
      <c r="I1864" s="2" t="s">
        <v>32</v>
      </c>
      <c r="J1864" s="3">
        <v>44431</v>
      </c>
      <c r="K1864" s="2">
        <v>76</v>
      </c>
      <c r="L1864" s="2" t="s">
        <v>45</v>
      </c>
    </row>
    <row r="1865" spans="1:12" x14ac:dyDescent="0.3">
      <c r="A1865" s="2">
        <v>1854</v>
      </c>
      <c r="B1865" s="2" t="s">
        <v>4697</v>
      </c>
      <c r="C1865" s="2" t="s">
        <v>5389</v>
      </c>
      <c r="D1865" s="2" t="s">
        <v>28</v>
      </c>
      <c r="E1865" s="2" t="s">
        <v>29</v>
      </c>
      <c r="F1865" s="2">
        <v>60</v>
      </c>
      <c r="G1865" s="2" t="s">
        <v>5390</v>
      </c>
      <c r="H1865" s="2" t="s">
        <v>1107</v>
      </c>
      <c r="I1865" s="2" t="s">
        <v>32</v>
      </c>
      <c r="J1865" s="3">
        <v>44031</v>
      </c>
      <c r="K1865" s="2">
        <v>85</v>
      </c>
      <c r="L1865" s="2" t="s">
        <v>45</v>
      </c>
    </row>
    <row r="1866" spans="1:12" x14ac:dyDescent="0.3">
      <c r="A1866" s="2">
        <v>1855</v>
      </c>
      <c r="B1866" s="2" t="s">
        <v>1234</v>
      </c>
      <c r="C1866" s="2" t="s">
        <v>5391</v>
      </c>
      <c r="D1866" s="2" t="s">
        <v>28</v>
      </c>
      <c r="E1866" s="2" t="s">
        <v>29</v>
      </c>
      <c r="F1866" s="2">
        <v>90</v>
      </c>
      <c r="G1866" s="2" t="s">
        <v>5392</v>
      </c>
      <c r="H1866" s="2" t="s">
        <v>5207</v>
      </c>
      <c r="I1866" s="2" t="s">
        <v>38</v>
      </c>
      <c r="J1866" s="3">
        <v>44293</v>
      </c>
      <c r="K1866" s="2">
        <v>65</v>
      </c>
      <c r="L1866" s="2" t="s">
        <v>54</v>
      </c>
    </row>
    <row r="1867" spans="1:12" x14ac:dyDescent="0.3">
      <c r="A1867" s="2">
        <v>1856</v>
      </c>
      <c r="B1867" s="2" t="s">
        <v>5393</v>
      </c>
      <c r="C1867" s="2" t="s">
        <v>5217</v>
      </c>
      <c r="D1867" s="2" t="s">
        <v>15</v>
      </c>
      <c r="E1867" s="2" t="s">
        <v>16</v>
      </c>
      <c r="F1867" s="2">
        <v>30</v>
      </c>
      <c r="G1867" s="2" t="s">
        <v>5394</v>
      </c>
      <c r="H1867" s="2" t="s">
        <v>3291</v>
      </c>
      <c r="I1867" s="2" t="s">
        <v>124</v>
      </c>
      <c r="J1867" s="3">
        <v>44588</v>
      </c>
      <c r="K1867" s="2">
        <v>89</v>
      </c>
      <c r="L1867" s="2" t="s">
        <v>101</v>
      </c>
    </row>
    <row r="1868" spans="1:12" x14ac:dyDescent="0.3">
      <c r="A1868" s="2">
        <v>1857</v>
      </c>
      <c r="B1868" s="2" t="s">
        <v>4092</v>
      </c>
      <c r="C1868" s="2" t="s">
        <v>5395</v>
      </c>
      <c r="D1868" s="2" t="s">
        <v>28</v>
      </c>
      <c r="E1868" s="2" t="s">
        <v>29</v>
      </c>
      <c r="F1868" s="2">
        <v>60</v>
      </c>
      <c r="G1868" s="2" t="s">
        <v>5396</v>
      </c>
      <c r="H1868" s="2" t="s">
        <v>3203</v>
      </c>
      <c r="I1868" s="2" t="s">
        <v>32</v>
      </c>
      <c r="J1868" s="3">
        <v>44473</v>
      </c>
      <c r="K1868" s="2">
        <v>2</v>
      </c>
      <c r="L1868" s="2" t="s">
        <v>80</v>
      </c>
    </row>
    <row r="1869" spans="1:12" x14ac:dyDescent="0.3">
      <c r="A1869" s="2">
        <v>1858</v>
      </c>
      <c r="B1869" s="2" t="s">
        <v>5397</v>
      </c>
      <c r="C1869" s="2" t="s">
        <v>4531</v>
      </c>
      <c r="D1869" s="2" t="s">
        <v>15</v>
      </c>
      <c r="E1869" s="2" t="s">
        <v>16</v>
      </c>
      <c r="F1869" s="2">
        <v>30</v>
      </c>
      <c r="G1869" s="2" t="s">
        <v>10507</v>
      </c>
      <c r="H1869" s="2" t="s">
        <v>5399</v>
      </c>
      <c r="I1869" s="2" t="s">
        <v>32</v>
      </c>
      <c r="J1869" s="3">
        <v>44629</v>
      </c>
      <c r="K1869" s="2">
        <v>59</v>
      </c>
      <c r="L1869" s="2" t="s">
        <v>80</v>
      </c>
    </row>
    <row r="1870" spans="1:12" x14ac:dyDescent="0.3">
      <c r="A1870" s="2">
        <v>1859</v>
      </c>
      <c r="B1870" s="2" t="s">
        <v>5400</v>
      </c>
      <c r="C1870" s="2" t="s">
        <v>1410</v>
      </c>
      <c r="D1870" s="2" t="s">
        <v>15</v>
      </c>
      <c r="E1870" s="2" t="s">
        <v>16</v>
      </c>
      <c r="F1870" s="2">
        <v>30</v>
      </c>
      <c r="G1870" s="2" t="s">
        <v>5401</v>
      </c>
      <c r="H1870" s="2" t="s">
        <v>1358</v>
      </c>
      <c r="I1870" s="2" t="s">
        <v>1359</v>
      </c>
      <c r="J1870" s="3">
        <v>44578</v>
      </c>
      <c r="K1870" s="2">
        <v>16</v>
      </c>
      <c r="L1870" s="2" t="s">
        <v>64</v>
      </c>
    </row>
    <row r="1871" spans="1:12" x14ac:dyDescent="0.3">
      <c r="A1871" s="2">
        <v>1860</v>
      </c>
      <c r="B1871" s="2" t="s">
        <v>1886</v>
      </c>
      <c r="C1871" s="2" t="s">
        <v>961</v>
      </c>
      <c r="D1871" s="2" t="s">
        <v>51</v>
      </c>
      <c r="E1871" s="2" t="s">
        <v>16</v>
      </c>
      <c r="F1871" s="2">
        <v>60</v>
      </c>
      <c r="G1871" s="2" t="s">
        <v>5402</v>
      </c>
      <c r="H1871" s="2" t="s">
        <v>5403</v>
      </c>
      <c r="I1871" s="2" t="s">
        <v>5404</v>
      </c>
      <c r="J1871" s="3">
        <v>44234</v>
      </c>
      <c r="K1871" s="2">
        <v>71</v>
      </c>
      <c r="L1871" s="2" t="s">
        <v>80</v>
      </c>
    </row>
    <row r="1872" spans="1:12" x14ac:dyDescent="0.3">
      <c r="A1872" s="2">
        <v>1861</v>
      </c>
      <c r="B1872" s="2" t="s">
        <v>5405</v>
      </c>
      <c r="C1872" s="2" t="s">
        <v>4829</v>
      </c>
      <c r="D1872" s="2" t="s">
        <v>15</v>
      </c>
      <c r="E1872" s="2" t="s">
        <v>16</v>
      </c>
      <c r="F1872" s="2">
        <v>60</v>
      </c>
      <c r="G1872" s="2" t="s">
        <v>5402</v>
      </c>
      <c r="H1872" s="2" t="s">
        <v>5406</v>
      </c>
      <c r="I1872" s="2" t="s">
        <v>32</v>
      </c>
      <c r="J1872" s="3">
        <v>44871</v>
      </c>
      <c r="K1872" s="2">
        <v>99</v>
      </c>
      <c r="L1872" s="2" t="s">
        <v>80</v>
      </c>
    </row>
    <row r="1873" spans="1:12" x14ac:dyDescent="0.3">
      <c r="A1873" s="2">
        <v>1862</v>
      </c>
      <c r="B1873" s="2" t="s">
        <v>5407</v>
      </c>
      <c r="C1873" s="2" t="s">
        <v>5408</v>
      </c>
      <c r="D1873" s="2" t="s">
        <v>51</v>
      </c>
      <c r="E1873" s="2" t="s">
        <v>16</v>
      </c>
      <c r="F1873" s="2">
        <v>60</v>
      </c>
      <c r="G1873" s="2" t="s">
        <v>10508</v>
      </c>
      <c r="H1873" s="2" t="s">
        <v>2749</v>
      </c>
      <c r="I1873" s="2" t="s">
        <v>187</v>
      </c>
      <c r="J1873" s="3">
        <v>43910</v>
      </c>
      <c r="K1873" s="2">
        <v>70</v>
      </c>
      <c r="L1873" s="2" t="s">
        <v>33</v>
      </c>
    </row>
    <row r="1874" spans="1:12" x14ac:dyDescent="0.3">
      <c r="A1874" s="2">
        <v>1863</v>
      </c>
      <c r="B1874" s="2" t="s">
        <v>5410</v>
      </c>
      <c r="C1874" s="2" t="s">
        <v>5142</v>
      </c>
      <c r="D1874" s="2" t="s">
        <v>15</v>
      </c>
      <c r="E1874" s="2" t="s">
        <v>16</v>
      </c>
      <c r="F1874" s="2">
        <v>90</v>
      </c>
      <c r="G1874" s="2" t="s">
        <v>5411</v>
      </c>
      <c r="H1874" s="2" t="s">
        <v>154</v>
      </c>
      <c r="I1874" s="2" t="s">
        <v>25</v>
      </c>
      <c r="J1874" s="3">
        <v>44603</v>
      </c>
      <c r="K1874" s="2">
        <v>103</v>
      </c>
      <c r="L1874" s="2" t="s">
        <v>159</v>
      </c>
    </row>
    <row r="1875" spans="1:12" x14ac:dyDescent="0.3">
      <c r="A1875" s="2">
        <v>1864</v>
      </c>
      <c r="B1875" s="2" t="s">
        <v>2115</v>
      </c>
      <c r="C1875" s="2" t="s">
        <v>2323</v>
      </c>
      <c r="D1875" s="2" t="s">
        <v>28</v>
      </c>
      <c r="E1875" s="2" t="s">
        <v>29</v>
      </c>
      <c r="F1875" s="2">
        <v>60</v>
      </c>
      <c r="G1875" s="2" t="s">
        <v>5412</v>
      </c>
      <c r="H1875" s="2" t="s">
        <v>3261</v>
      </c>
      <c r="I1875" s="2" t="s">
        <v>124</v>
      </c>
      <c r="J1875" s="3">
        <v>44281</v>
      </c>
      <c r="K1875" s="2">
        <v>12</v>
      </c>
      <c r="L1875" s="2" t="s">
        <v>64</v>
      </c>
    </row>
    <row r="1876" spans="1:12" x14ac:dyDescent="0.3">
      <c r="A1876" s="2">
        <v>1865</v>
      </c>
      <c r="B1876" s="2" t="s">
        <v>2980</v>
      </c>
      <c r="C1876" s="2" t="s">
        <v>5413</v>
      </c>
      <c r="D1876" s="2" t="s">
        <v>28</v>
      </c>
      <c r="E1876" s="2" t="s">
        <v>29</v>
      </c>
      <c r="F1876" s="2">
        <v>90</v>
      </c>
      <c r="G1876" s="2" t="s">
        <v>5414</v>
      </c>
      <c r="H1876" s="2" t="s">
        <v>1131</v>
      </c>
      <c r="I1876" s="2" t="s">
        <v>32</v>
      </c>
      <c r="J1876" s="3">
        <v>44091</v>
      </c>
      <c r="K1876" s="2">
        <v>19</v>
      </c>
      <c r="L1876" s="2" t="s">
        <v>70</v>
      </c>
    </row>
    <row r="1877" spans="1:12" x14ac:dyDescent="0.3">
      <c r="A1877" s="2">
        <v>1866</v>
      </c>
      <c r="B1877" s="2" t="s">
        <v>5415</v>
      </c>
      <c r="C1877" s="2" t="s">
        <v>1907</v>
      </c>
      <c r="D1877" s="2" t="s">
        <v>51</v>
      </c>
      <c r="E1877" s="2" t="s">
        <v>16</v>
      </c>
      <c r="F1877" s="2">
        <v>30</v>
      </c>
      <c r="G1877" s="2" t="s">
        <v>5416</v>
      </c>
      <c r="H1877" s="2" t="s">
        <v>4161</v>
      </c>
      <c r="I1877" s="2" t="s">
        <v>32</v>
      </c>
      <c r="J1877" s="3">
        <v>44011</v>
      </c>
      <c r="K1877" s="2">
        <v>37</v>
      </c>
      <c r="L1877" s="2" t="s">
        <v>45</v>
      </c>
    </row>
    <row r="1878" spans="1:12" x14ac:dyDescent="0.3">
      <c r="A1878" s="2">
        <v>1867</v>
      </c>
      <c r="B1878" s="2" t="s">
        <v>5057</v>
      </c>
      <c r="C1878" s="2" t="s">
        <v>5417</v>
      </c>
      <c r="D1878" s="2" t="s">
        <v>28</v>
      </c>
      <c r="E1878" s="2" t="s">
        <v>29</v>
      </c>
      <c r="F1878" s="2">
        <v>90</v>
      </c>
      <c r="G1878" s="2" t="s">
        <v>5418</v>
      </c>
      <c r="H1878" s="2" t="s">
        <v>993</v>
      </c>
      <c r="I1878" s="2" t="s">
        <v>32</v>
      </c>
      <c r="J1878" s="3">
        <v>44847</v>
      </c>
      <c r="K1878" s="2">
        <v>59</v>
      </c>
      <c r="L1878" s="2" t="s">
        <v>54</v>
      </c>
    </row>
    <row r="1879" spans="1:12" x14ac:dyDescent="0.3">
      <c r="A1879" s="2">
        <v>1868</v>
      </c>
      <c r="B1879" s="2" t="s">
        <v>5419</v>
      </c>
      <c r="C1879" s="2" t="s">
        <v>1698</v>
      </c>
      <c r="D1879" s="2" t="s">
        <v>51</v>
      </c>
      <c r="E1879" s="2" t="s">
        <v>16</v>
      </c>
      <c r="F1879" s="2">
        <v>90</v>
      </c>
      <c r="G1879" s="2" t="s">
        <v>5418</v>
      </c>
      <c r="H1879" s="2" t="s">
        <v>5420</v>
      </c>
      <c r="I1879" s="2" t="s">
        <v>32</v>
      </c>
      <c r="J1879" s="3">
        <v>43878</v>
      </c>
      <c r="K1879" s="2">
        <v>36</v>
      </c>
      <c r="L1879" s="2" t="s">
        <v>70</v>
      </c>
    </row>
    <row r="1880" spans="1:12" x14ac:dyDescent="0.3">
      <c r="A1880" s="2">
        <v>1869</v>
      </c>
      <c r="B1880" s="2" t="s">
        <v>5421</v>
      </c>
      <c r="C1880" s="2" t="s">
        <v>3504</v>
      </c>
      <c r="D1880" s="2" t="s">
        <v>28</v>
      </c>
      <c r="E1880" s="2" t="s">
        <v>29</v>
      </c>
      <c r="F1880" s="2">
        <v>90</v>
      </c>
      <c r="G1880" s="2" t="s">
        <v>5422</v>
      </c>
      <c r="H1880" s="2" t="s">
        <v>3987</v>
      </c>
      <c r="I1880" s="2" t="s">
        <v>554</v>
      </c>
      <c r="J1880" s="3">
        <v>44769</v>
      </c>
      <c r="K1880" s="2">
        <v>34</v>
      </c>
      <c r="L1880" s="2" t="s">
        <v>33</v>
      </c>
    </row>
    <row r="1881" spans="1:12" x14ac:dyDescent="0.3">
      <c r="A1881" s="2">
        <v>1870</v>
      </c>
      <c r="B1881" s="2" t="s">
        <v>3910</v>
      </c>
      <c r="C1881" s="2" t="s">
        <v>5423</v>
      </c>
      <c r="D1881" s="2" t="s">
        <v>28</v>
      </c>
      <c r="E1881" s="2" t="s">
        <v>29</v>
      </c>
      <c r="F1881" s="2">
        <v>90</v>
      </c>
      <c r="G1881" s="2" t="s">
        <v>5424</v>
      </c>
      <c r="H1881" s="2" t="s">
        <v>4266</v>
      </c>
      <c r="I1881" s="2" t="s">
        <v>25</v>
      </c>
      <c r="J1881" s="3">
        <v>44456</v>
      </c>
      <c r="K1881" s="2">
        <v>34</v>
      </c>
      <c r="L1881" s="2" t="s">
        <v>70</v>
      </c>
    </row>
    <row r="1882" spans="1:12" x14ac:dyDescent="0.3">
      <c r="A1882" s="2">
        <v>1871</v>
      </c>
      <c r="B1882" s="2" t="s">
        <v>5425</v>
      </c>
      <c r="C1882" s="2" t="s">
        <v>1627</v>
      </c>
      <c r="D1882" s="2" t="s">
        <v>15</v>
      </c>
      <c r="E1882" s="2" t="s">
        <v>16</v>
      </c>
      <c r="F1882" s="2">
        <v>90</v>
      </c>
      <c r="G1882" s="2" t="s">
        <v>5426</v>
      </c>
      <c r="H1882" s="2" t="s">
        <v>5427</v>
      </c>
      <c r="I1882" s="2" t="s">
        <v>32</v>
      </c>
      <c r="J1882" s="3">
        <v>44565</v>
      </c>
      <c r="K1882" s="2">
        <v>43</v>
      </c>
      <c r="L1882" s="2" t="s">
        <v>45</v>
      </c>
    </row>
    <row r="1883" spans="1:12" x14ac:dyDescent="0.3">
      <c r="A1883" s="2">
        <v>1872</v>
      </c>
      <c r="B1883" s="2" t="s">
        <v>1428</v>
      </c>
      <c r="C1883" s="2" t="s">
        <v>5428</v>
      </c>
      <c r="D1883" s="2" t="s">
        <v>51</v>
      </c>
      <c r="E1883" s="2" t="s">
        <v>16</v>
      </c>
      <c r="F1883" s="2">
        <v>90</v>
      </c>
      <c r="G1883" s="2" t="s">
        <v>5429</v>
      </c>
      <c r="H1883" s="2" t="s">
        <v>1164</v>
      </c>
      <c r="I1883" s="2" t="s">
        <v>89</v>
      </c>
      <c r="J1883" s="3">
        <v>44288</v>
      </c>
      <c r="K1883" s="2">
        <v>40</v>
      </c>
      <c r="L1883" s="2" t="s">
        <v>20</v>
      </c>
    </row>
    <row r="1884" spans="1:12" x14ac:dyDescent="0.3">
      <c r="A1884" s="2">
        <v>1873</v>
      </c>
      <c r="B1884" s="2" t="s">
        <v>5430</v>
      </c>
      <c r="C1884" s="2" t="s">
        <v>5431</v>
      </c>
      <c r="D1884" s="2" t="s">
        <v>41</v>
      </c>
      <c r="E1884" s="2" t="s">
        <v>16</v>
      </c>
      <c r="F1884" s="2">
        <v>30</v>
      </c>
      <c r="G1884" s="2" t="s">
        <v>5432</v>
      </c>
      <c r="H1884" s="2" t="s">
        <v>1001</v>
      </c>
      <c r="I1884" s="2" t="s">
        <v>32</v>
      </c>
      <c r="J1884" s="3">
        <v>44072</v>
      </c>
      <c r="K1884" s="2">
        <v>22</v>
      </c>
      <c r="L1884" s="2" t="s">
        <v>33</v>
      </c>
    </row>
    <row r="1885" spans="1:12" x14ac:dyDescent="0.3">
      <c r="A1885" s="2">
        <v>1874</v>
      </c>
      <c r="B1885" s="2" t="s">
        <v>5433</v>
      </c>
      <c r="C1885" s="2" t="s">
        <v>5196</v>
      </c>
      <c r="D1885" s="2" t="s">
        <v>28</v>
      </c>
      <c r="E1885" s="2" t="s">
        <v>29</v>
      </c>
      <c r="F1885" s="2">
        <v>60</v>
      </c>
      <c r="G1885" s="2" t="s">
        <v>5434</v>
      </c>
      <c r="H1885" s="2" t="s">
        <v>2334</v>
      </c>
      <c r="I1885" s="2" t="s">
        <v>32</v>
      </c>
      <c r="J1885" s="3">
        <v>43869</v>
      </c>
      <c r="K1885" s="2">
        <v>23</v>
      </c>
      <c r="L1885" s="2" t="s">
        <v>39</v>
      </c>
    </row>
    <row r="1886" spans="1:12" x14ac:dyDescent="0.3">
      <c r="A1886" s="2">
        <v>1875</v>
      </c>
      <c r="B1886" s="2" t="s">
        <v>5435</v>
      </c>
      <c r="C1886" s="2" t="s">
        <v>1334</v>
      </c>
      <c r="D1886" s="2" t="s">
        <v>92</v>
      </c>
      <c r="E1886" s="2" t="s">
        <v>16</v>
      </c>
      <c r="F1886" s="2">
        <v>90</v>
      </c>
      <c r="G1886" s="2" t="s">
        <v>5436</v>
      </c>
      <c r="H1886" s="2" t="s">
        <v>3951</v>
      </c>
      <c r="I1886" s="2" t="s">
        <v>1576</v>
      </c>
      <c r="J1886" s="3">
        <v>44126</v>
      </c>
      <c r="K1886" s="2">
        <v>46</v>
      </c>
      <c r="L1886" s="2" t="s">
        <v>70</v>
      </c>
    </row>
    <row r="1887" spans="1:12" x14ac:dyDescent="0.3">
      <c r="A1887" s="2">
        <v>1876</v>
      </c>
      <c r="B1887" s="2" t="s">
        <v>5437</v>
      </c>
      <c r="C1887" s="2" t="s">
        <v>5438</v>
      </c>
      <c r="D1887" s="2" t="s">
        <v>51</v>
      </c>
      <c r="E1887" s="2" t="s">
        <v>16</v>
      </c>
      <c r="F1887" s="2">
        <v>60</v>
      </c>
      <c r="G1887" s="2" t="s">
        <v>5439</v>
      </c>
      <c r="H1887" s="2" t="s">
        <v>599</v>
      </c>
      <c r="I1887" s="2" t="s">
        <v>32</v>
      </c>
      <c r="J1887" s="3">
        <v>44891</v>
      </c>
      <c r="K1887" s="2">
        <v>3</v>
      </c>
      <c r="L1887" s="2" t="s">
        <v>159</v>
      </c>
    </row>
    <row r="1888" spans="1:12" x14ac:dyDescent="0.3">
      <c r="A1888" s="2">
        <v>1877</v>
      </c>
      <c r="B1888" s="2" t="s">
        <v>2253</v>
      </c>
      <c r="C1888" s="2" t="s">
        <v>2779</v>
      </c>
      <c r="D1888" s="2" t="s">
        <v>28</v>
      </c>
      <c r="E1888" s="2" t="s">
        <v>29</v>
      </c>
      <c r="F1888" s="2">
        <v>90</v>
      </c>
      <c r="G1888" s="2" t="s">
        <v>5440</v>
      </c>
      <c r="H1888" s="2" t="s">
        <v>5441</v>
      </c>
      <c r="I1888" s="2" t="s">
        <v>178</v>
      </c>
      <c r="J1888" s="3">
        <v>44435</v>
      </c>
      <c r="K1888" s="2">
        <v>33</v>
      </c>
      <c r="L1888" s="2" t="s">
        <v>159</v>
      </c>
    </row>
    <row r="1889" spans="1:12" x14ac:dyDescent="0.3">
      <c r="A1889" s="2">
        <v>1878</v>
      </c>
      <c r="B1889" s="2" t="s">
        <v>2891</v>
      </c>
      <c r="C1889" s="2" t="s">
        <v>5442</v>
      </c>
      <c r="D1889" s="2" t="s">
        <v>28</v>
      </c>
      <c r="E1889" s="2" t="s">
        <v>29</v>
      </c>
      <c r="F1889" s="2">
        <v>60</v>
      </c>
      <c r="G1889" s="2" t="s">
        <v>5443</v>
      </c>
      <c r="H1889" s="2" t="s">
        <v>1168</v>
      </c>
      <c r="I1889" s="2" t="s">
        <v>32</v>
      </c>
      <c r="J1889" s="3">
        <v>43901</v>
      </c>
      <c r="K1889" s="2">
        <v>35</v>
      </c>
      <c r="L1889" s="2" t="s">
        <v>45</v>
      </c>
    </row>
    <row r="1890" spans="1:12" x14ac:dyDescent="0.3">
      <c r="A1890" s="2">
        <v>1879</v>
      </c>
      <c r="B1890" s="2" t="s">
        <v>5444</v>
      </c>
      <c r="C1890" s="2" t="s">
        <v>5445</v>
      </c>
      <c r="D1890" s="2" t="s">
        <v>28</v>
      </c>
      <c r="E1890" s="2" t="s">
        <v>29</v>
      </c>
      <c r="F1890" s="2">
        <v>90</v>
      </c>
      <c r="G1890" s="2" t="s">
        <v>5446</v>
      </c>
      <c r="H1890" s="2" t="s">
        <v>1587</v>
      </c>
      <c r="I1890" s="2" t="s">
        <v>32</v>
      </c>
      <c r="J1890" s="3">
        <v>43834</v>
      </c>
      <c r="K1890" s="2">
        <v>69</v>
      </c>
      <c r="L1890" s="2" t="s">
        <v>64</v>
      </c>
    </row>
    <row r="1891" spans="1:12" x14ac:dyDescent="0.3">
      <c r="A1891" s="2">
        <v>1880</v>
      </c>
      <c r="B1891" s="2" t="s">
        <v>5447</v>
      </c>
      <c r="C1891" s="2" t="s">
        <v>2323</v>
      </c>
      <c r="D1891" s="2" t="s">
        <v>41</v>
      </c>
      <c r="E1891" s="2" t="s">
        <v>16</v>
      </c>
      <c r="F1891" s="2">
        <v>60</v>
      </c>
      <c r="G1891" s="2" t="s">
        <v>5448</v>
      </c>
      <c r="H1891" s="2" t="s">
        <v>5449</v>
      </c>
      <c r="I1891" s="2" t="s">
        <v>32</v>
      </c>
      <c r="J1891" s="3">
        <v>43914</v>
      </c>
      <c r="K1891" s="2">
        <v>53</v>
      </c>
      <c r="L1891" s="2" t="s">
        <v>101</v>
      </c>
    </row>
    <row r="1892" spans="1:12" x14ac:dyDescent="0.3">
      <c r="A1892" s="2">
        <v>1881</v>
      </c>
      <c r="B1892" s="2" t="s">
        <v>656</v>
      </c>
      <c r="C1892" s="2" t="s">
        <v>1129</v>
      </c>
      <c r="D1892" s="2" t="s">
        <v>51</v>
      </c>
      <c r="E1892" s="2" t="s">
        <v>16</v>
      </c>
      <c r="F1892" s="2">
        <v>60</v>
      </c>
      <c r="G1892" s="2" t="s">
        <v>5450</v>
      </c>
      <c r="H1892" s="2" t="s">
        <v>5451</v>
      </c>
      <c r="I1892" s="2" t="s">
        <v>32</v>
      </c>
      <c r="J1892" s="3">
        <v>44711</v>
      </c>
      <c r="K1892" s="2">
        <v>88</v>
      </c>
      <c r="L1892" s="2" t="s">
        <v>54</v>
      </c>
    </row>
    <row r="1893" spans="1:12" x14ac:dyDescent="0.3">
      <c r="A1893" s="2">
        <v>1882</v>
      </c>
      <c r="B1893" s="2" t="s">
        <v>4815</v>
      </c>
      <c r="C1893" s="2" t="s">
        <v>5452</v>
      </c>
      <c r="D1893" s="2" t="s">
        <v>28</v>
      </c>
      <c r="E1893" s="2" t="s">
        <v>29</v>
      </c>
      <c r="F1893" s="2">
        <v>90</v>
      </c>
      <c r="G1893" s="2" t="s">
        <v>5453</v>
      </c>
      <c r="H1893" s="2" t="s">
        <v>2965</v>
      </c>
      <c r="I1893" s="2" t="s">
        <v>25</v>
      </c>
      <c r="J1893" s="3">
        <v>43974</v>
      </c>
      <c r="K1893" s="2">
        <v>32</v>
      </c>
      <c r="L1893" s="2" t="s">
        <v>101</v>
      </c>
    </row>
    <row r="1894" spans="1:12" x14ac:dyDescent="0.3">
      <c r="A1894" s="2">
        <v>1883</v>
      </c>
      <c r="B1894" s="2" t="s">
        <v>5454</v>
      </c>
      <c r="C1894" s="2" t="s">
        <v>1688</v>
      </c>
      <c r="D1894" s="2" t="s">
        <v>15</v>
      </c>
      <c r="E1894" s="2" t="s">
        <v>16</v>
      </c>
      <c r="F1894" s="2">
        <v>30</v>
      </c>
      <c r="G1894" s="2" t="s">
        <v>5455</v>
      </c>
      <c r="H1894" s="2" t="s">
        <v>772</v>
      </c>
      <c r="I1894" s="2" t="s">
        <v>32</v>
      </c>
      <c r="J1894" s="3">
        <v>44887</v>
      </c>
      <c r="K1894" s="2">
        <v>72</v>
      </c>
      <c r="L1894" s="2" t="s">
        <v>39</v>
      </c>
    </row>
    <row r="1895" spans="1:12" x14ac:dyDescent="0.3">
      <c r="A1895" s="2">
        <v>1884</v>
      </c>
      <c r="B1895" s="2" t="s">
        <v>2711</v>
      </c>
      <c r="C1895" s="2" t="s">
        <v>210</v>
      </c>
      <c r="D1895" s="2" t="s">
        <v>15</v>
      </c>
      <c r="E1895" s="2" t="s">
        <v>16</v>
      </c>
      <c r="F1895" s="2">
        <v>60</v>
      </c>
      <c r="G1895" s="2" t="s">
        <v>5456</v>
      </c>
      <c r="H1895" s="2" t="s">
        <v>4034</v>
      </c>
      <c r="I1895" s="2" t="s">
        <v>178</v>
      </c>
      <c r="J1895" s="3">
        <v>44784</v>
      </c>
      <c r="K1895" s="2">
        <v>91</v>
      </c>
      <c r="L1895" s="2" t="s">
        <v>159</v>
      </c>
    </row>
    <row r="1896" spans="1:12" x14ac:dyDescent="0.3">
      <c r="A1896" s="2">
        <v>1885</v>
      </c>
      <c r="B1896" s="2" t="s">
        <v>5457</v>
      </c>
      <c r="C1896" s="2" t="s">
        <v>156</v>
      </c>
      <c r="D1896" s="2" t="s">
        <v>28</v>
      </c>
      <c r="E1896" s="2" t="s">
        <v>29</v>
      </c>
      <c r="F1896" s="2">
        <v>90</v>
      </c>
      <c r="G1896" s="2" t="s">
        <v>5458</v>
      </c>
      <c r="H1896" s="2" t="s">
        <v>5459</v>
      </c>
      <c r="I1896" s="2" t="s">
        <v>1478</v>
      </c>
      <c r="J1896" s="3">
        <v>44106</v>
      </c>
      <c r="K1896" s="2">
        <v>35</v>
      </c>
      <c r="L1896" s="2" t="s">
        <v>80</v>
      </c>
    </row>
    <row r="1897" spans="1:12" x14ac:dyDescent="0.3">
      <c r="A1897" s="2">
        <v>1886</v>
      </c>
      <c r="B1897" s="2" t="s">
        <v>5460</v>
      </c>
      <c r="C1897" s="2" t="s">
        <v>5461</v>
      </c>
      <c r="D1897" s="2" t="s">
        <v>28</v>
      </c>
      <c r="E1897" s="2" t="s">
        <v>29</v>
      </c>
      <c r="F1897" s="2">
        <v>90</v>
      </c>
      <c r="G1897" s="2" t="s">
        <v>5462</v>
      </c>
      <c r="H1897" s="2" t="s">
        <v>4924</v>
      </c>
      <c r="I1897" s="2" t="s">
        <v>32</v>
      </c>
      <c r="J1897" s="3">
        <v>44716</v>
      </c>
      <c r="K1897" s="2">
        <v>101</v>
      </c>
      <c r="L1897" s="2" t="s">
        <v>54</v>
      </c>
    </row>
    <row r="1898" spans="1:12" x14ac:dyDescent="0.3">
      <c r="A1898" s="2">
        <v>1887</v>
      </c>
      <c r="B1898" s="2" t="s">
        <v>4392</v>
      </c>
      <c r="C1898" s="2" t="s">
        <v>4743</v>
      </c>
      <c r="D1898" s="2" t="s">
        <v>28</v>
      </c>
      <c r="E1898" s="2" t="s">
        <v>29</v>
      </c>
      <c r="F1898" s="2">
        <v>60</v>
      </c>
      <c r="G1898" s="2" t="s">
        <v>5463</v>
      </c>
      <c r="H1898" s="2" t="s">
        <v>5464</v>
      </c>
      <c r="I1898" s="2" t="s">
        <v>124</v>
      </c>
      <c r="J1898" s="3">
        <v>44247</v>
      </c>
      <c r="K1898" s="2">
        <v>20</v>
      </c>
      <c r="L1898" s="2" t="s">
        <v>45</v>
      </c>
    </row>
    <row r="1899" spans="1:12" x14ac:dyDescent="0.3">
      <c r="A1899" s="2">
        <v>1888</v>
      </c>
      <c r="B1899" s="2" t="s">
        <v>5168</v>
      </c>
      <c r="C1899" s="2" t="s">
        <v>3673</v>
      </c>
      <c r="D1899" s="2" t="s">
        <v>28</v>
      </c>
      <c r="E1899" s="2" t="s">
        <v>29</v>
      </c>
      <c r="F1899" s="2">
        <v>30</v>
      </c>
      <c r="G1899" s="2" t="s">
        <v>5465</v>
      </c>
      <c r="H1899" s="2" t="s">
        <v>5466</v>
      </c>
      <c r="I1899" s="2" t="s">
        <v>95</v>
      </c>
      <c r="J1899" s="3">
        <v>44551</v>
      </c>
      <c r="K1899" s="2">
        <v>50</v>
      </c>
      <c r="L1899" s="2" t="s">
        <v>20</v>
      </c>
    </row>
    <row r="1900" spans="1:12" x14ac:dyDescent="0.3">
      <c r="A1900" s="2">
        <v>1889</v>
      </c>
      <c r="B1900" s="2" t="s">
        <v>1246</v>
      </c>
      <c r="C1900" s="2" t="s">
        <v>896</v>
      </c>
      <c r="D1900" s="2" t="s">
        <v>28</v>
      </c>
      <c r="E1900" s="2" t="s">
        <v>29</v>
      </c>
      <c r="F1900" s="2">
        <v>60</v>
      </c>
      <c r="G1900" s="2" t="s">
        <v>5467</v>
      </c>
      <c r="H1900" s="2" t="s">
        <v>2137</v>
      </c>
      <c r="I1900" s="2" t="s">
        <v>187</v>
      </c>
      <c r="J1900" s="3">
        <v>44433</v>
      </c>
      <c r="K1900" s="2">
        <v>32</v>
      </c>
      <c r="L1900" s="2" t="s">
        <v>45</v>
      </c>
    </row>
    <row r="1901" spans="1:12" x14ac:dyDescent="0.3">
      <c r="A1901" s="2">
        <v>1890</v>
      </c>
      <c r="B1901" s="2" t="s">
        <v>5468</v>
      </c>
      <c r="C1901" s="2" t="s">
        <v>3084</v>
      </c>
      <c r="D1901" s="2" t="s">
        <v>28</v>
      </c>
      <c r="E1901" s="2" t="s">
        <v>29</v>
      </c>
      <c r="F1901" s="2">
        <v>60</v>
      </c>
      <c r="G1901" s="2" t="s">
        <v>5469</v>
      </c>
      <c r="H1901" s="2" t="s">
        <v>942</v>
      </c>
      <c r="I1901" s="2" t="s">
        <v>32</v>
      </c>
      <c r="J1901" s="3">
        <v>44148</v>
      </c>
      <c r="K1901" s="2">
        <v>27</v>
      </c>
      <c r="L1901" s="2" t="s">
        <v>159</v>
      </c>
    </row>
    <row r="1902" spans="1:12" x14ac:dyDescent="0.3">
      <c r="A1902" s="2">
        <v>1891</v>
      </c>
      <c r="B1902" s="2" t="s">
        <v>3532</v>
      </c>
      <c r="C1902" s="2" t="s">
        <v>5470</v>
      </c>
      <c r="D1902" s="2" t="s">
        <v>28</v>
      </c>
      <c r="E1902" s="2" t="s">
        <v>29</v>
      </c>
      <c r="F1902" s="2">
        <v>60</v>
      </c>
      <c r="G1902" s="2" t="s">
        <v>5471</v>
      </c>
      <c r="H1902" s="2" t="s">
        <v>5079</v>
      </c>
      <c r="I1902" s="2" t="s">
        <v>294</v>
      </c>
      <c r="J1902" s="3">
        <v>44082</v>
      </c>
      <c r="K1902" s="2">
        <v>66</v>
      </c>
      <c r="L1902" s="2" t="s">
        <v>54</v>
      </c>
    </row>
    <row r="1903" spans="1:12" x14ac:dyDescent="0.3">
      <c r="A1903" s="2">
        <v>1892</v>
      </c>
      <c r="B1903" s="2" t="s">
        <v>55</v>
      </c>
      <c r="C1903" s="2" t="s">
        <v>1340</v>
      </c>
      <c r="D1903" s="2" t="s">
        <v>28</v>
      </c>
      <c r="E1903" s="2" t="s">
        <v>29</v>
      </c>
      <c r="F1903" s="2">
        <v>30</v>
      </c>
      <c r="G1903" s="2" t="s">
        <v>5472</v>
      </c>
      <c r="H1903" s="2" t="s">
        <v>5473</v>
      </c>
      <c r="I1903" s="2" t="s">
        <v>240</v>
      </c>
      <c r="J1903" s="3">
        <v>44378</v>
      </c>
      <c r="K1903" s="2">
        <v>6</v>
      </c>
      <c r="L1903" s="2" t="s">
        <v>45</v>
      </c>
    </row>
    <row r="1904" spans="1:12" x14ac:dyDescent="0.3">
      <c r="A1904" s="2">
        <v>1893</v>
      </c>
      <c r="B1904" s="2" t="s">
        <v>5474</v>
      </c>
      <c r="C1904" s="2" t="s">
        <v>5475</v>
      </c>
      <c r="D1904" s="2" t="s">
        <v>15</v>
      </c>
      <c r="E1904" s="2" t="s">
        <v>16</v>
      </c>
      <c r="F1904" s="2">
        <v>90</v>
      </c>
      <c r="G1904" s="2" t="s">
        <v>5476</v>
      </c>
      <c r="H1904" s="2" t="s">
        <v>5477</v>
      </c>
      <c r="I1904" s="2" t="s">
        <v>187</v>
      </c>
      <c r="J1904" s="3">
        <v>44358</v>
      </c>
      <c r="K1904" s="2">
        <v>67</v>
      </c>
      <c r="L1904" s="2" t="s">
        <v>54</v>
      </c>
    </row>
    <row r="1905" spans="1:12" x14ac:dyDescent="0.3">
      <c r="A1905" s="2">
        <v>1894</v>
      </c>
      <c r="B1905" s="2" t="s">
        <v>3623</v>
      </c>
      <c r="C1905" s="2" t="s">
        <v>3927</v>
      </c>
      <c r="D1905" s="2" t="s">
        <v>28</v>
      </c>
      <c r="E1905" s="2" t="s">
        <v>29</v>
      </c>
      <c r="F1905" s="2">
        <v>90</v>
      </c>
      <c r="G1905" s="2" t="s">
        <v>5478</v>
      </c>
      <c r="H1905" s="2" t="s">
        <v>315</v>
      </c>
      <c r="I1905" s="2" t="s">
        <v>32</v>
      </c>
      <c r="J1905" s="3">
        <v>44458</v>
      </c>
      <c r="K1905" s="2">
        <v>69</v>
      </c>
      <c r="L1905" s="2" t="s">
        <v>33</v>
      </c>
    </row>
    <row r="1906" spans="1:12" x14ac:dyDescent="0.3">
      <c r="A1906" s="2">
        <v>1895</v>
      </c>
      <c r="B1906" s="2" t="s">
        <v>5479</v>
      </c>
      <c r="C1906" s="2" t="s">
        <v>5480</v>
      </c>
      <c r="D1906" s="2" t="s">
        <v>28</v>
      </c>
      <c r="E1906" s="2" t="s">
        <v>29</v>
      </c>
      <c r="F1906" s="2">
        <v>30</v>
      </c>
      <c r="G1906" s="2" t="s">
        <v>5481</v>
      </c>
      <c r="H1906" s="2" t="s">
        <v>382</v>
      </c>
      <c r="I1906" s="2" t="s">
        <v>32</v>
      </c>
      <c r="J1906" s="3">
        <v>44416</v>
      </c>
      <c r="K1906" s="2">
        <v>10</v>
      </c>
      <c r="L1906" s="2" t="s">
        <v>101</v>
      </c>
    </row>
    <row r="1907" spans="1:12" x14ac:dyDescent="0.3">
      <c r="A1907" s="2">
        <v>1896</v>
      </c>
      <c r="B1907" s="2" t="s">
        <v>5482</v>
      </c>
      <c r="C1907" s="2" t="s">
        <v>5483</v>
      </c>
      <c r="D1907" s="2" t="s">
        <v>15</v>
      </c>
      <c r="E1907" s="2" t="s">
        <v>16</v>
      </c>
      <c r="F1907" s="2">
        <v>60</v>
      </c>
      <c r="G1907" s="2" t="s">
        <v>5484</v>
      </c>
      <c r="H1907" s="2" t="s">
        <v>3637</v>
      </c>
      <c r="I1907" s="2" t="s">
        <v>38</v>
      </c>
      <c r="J1907" s="3">
        <v>44295</v>
      </c>
      <c r="K1907" s="2">
        <v>57</v>
      </c>
      <c r="L1907" s="2" t="s">
        <v>101</v>
      </c>
    </row>
    <row r="1908" spans="1:12" x14ac:dyDescent="0.3">
      <c r="A1908" s="2">
        <v>1897</v>
      </c>
      <c r="B1908" s="2" t="s">
        <v>5485</v>
      </c>
      <c r="C1908" s="2" t="s">
        <v>4574</v>
      </c>
      <c r="D1908" s="2" t="s">
        <v>28</v>
      </c>
      <c r="E1908" s="2" t="s">
        <v>29</v>
      </c>
      <c r="F1908" s="2">
        <v>60</v>
      </c>
      <c r="G1908" s="2" t="s">
        <v>5486</v>
      </c>
      <c r="H1908" s="2" t="s">
        <v>4667</v>
      </c>
      <c r="I1908" s="2" t="s">
        <v>4668</v>
      </c>
      <c r="J1908" s="3">
        <v>44544</v>
      </c>
      <c r="K1908" s="2">
        <v>66</v>
      </c>
      <c r="L1908" s="2" t="s">
        <v>54</v>
      </c>
    </row>
    <row r="1909" spans="1:12" x14ac:dyDescent="0.3">
      <c r="A1909" s="2">
        <v>1898</v>
      </c>
      <c r="B1909" s="2" t="s">
        <v>5230</v>
      </c>
      <c r="C1909" s="2" t="s">
        <v>5487</v>
      </c>
      <c r="D1909" s="2" t="s">
        <v>15</v>
      </c>
      <c r="E1909" s="2" t="s">
        <v>16</v>
      </c>
      <c r="F1909" s="2">
        <v>60</v>
      </c>
      <c r="G1909" s="2" t="s">
        <v>5488</v>
      </c>
      <c r="H1909" s="2" t="s">
        <v>396</v>
      </c>
      <c r="I1909" s="2" t="s">
        <v>32</v>
      </c>
      <c r="J1909" s="3">
        <v>43847</v>
      </c>
      <c r="K1909" s="2">
        <v>42</v>
      </c>
      <c r="L1909" s="2" t="s">
        <v>70</v>
      </c>
    </row>
    <row r="1910" spans="1:12" x14ac:dyDescent="0.3">
      <c r="A1910" s="2">
        <v>1899</v>
      </c>
      <c r="B1910" s="2" t="s">
        <v>1580</v>
      </c>
      <c r="C1910" s="2" t="s">
        <v>1182</v>
      </c>
      <c r="D1910" s="2" t="s">
        <v>15</v>
      </c>
      <c r="E1910" s="2" t="s">
        <v>16</v>
      </c>
      <c r="F1910" s="2">
        <v>30</v>
      </c>
      <c r="G1910" s="2" t="s">
        <v>5489</v>
      </c>
      <c r="H1910" s="2" t="s">
        <v>920</v>
      </c>
      <c r="I1910" s="2" t="s">
        <v>178</v>
      </c>
      <c r="J1910" s="3">
        <v>44312</v>
      </c>
      <c r="K1910" s="2">
        <v>21</v>
      </c>
      <c r="L1910" s="2" t="s">
        <v>64</v>
      </c>
    </row>
    <row r="1911" spans="1:12" x14ac:dyDescent="0.3">
      <c r="A1911" s="2">
        <v>1900</v>
      </c>
      <c r="B1911" s="2" t="s">
        <v>2682</v>
      </c>
      <c r="C1911" s="2" t="s">
        <v>5490</v>
      </c>
      <c r="D1911" s="2" t="s">
        <v>28</v>
      </c>
      <c r="E1911" s="2" t="s">
        <v>29</v>
      </c>
      <c r="F1911" s="2">
        <v>60</v>
      </c>
      <c r="G1911" s="2" t="s">
        <v>5491</v>
      </c>
      <c r="H1911" s="2" t="s">
        <v>4409</v>
      </c>
      <c r="I1911" s="2" t="s">
        <v>294</v>
      </c>
      <c r="J1911" s="3">
        <v>44214</v>
      </c>
      <c r="K1911" s="2">
        <v>76</v>
      </c>
      <c r="L1911" s="2" t="s">
        <v>159</v>
      </c>
    </row>
    <row r="1912" spans="1:12" x14ac:dyDescent="0.3">
      <c r="A1912" s="2">
        <v>1901</v>
      </c>
      <c r="B1912" s="2" t="s">
        <v>3835</v>
      </c>
      <c r="C1912" s="2" t="s">
        <v>2938</v>
      </c>
      <c r="D1912" s="2" t="s">
        <v>15</v>
      </c>
      <c r="E1912" s="2" t="s">
        <v>16</v>
      </c>
      <c r="F1912" s="2">
        <v>90</v>
      </c>
      <c r="G1912" s="2" t="s">
        <v>10509</v>
      </c>
      <c r="H1912" s="2" t="s">
        <v>802</v>
      </c>
      <c r="I1912" s="2" t="s">
        <v>294</v>
      </c>
      <c r="J1912" s="3">
        <v>44197</v>
      </c>
      <c r="K1912" s="2">
        <v>13</v>
      </c>
      <c r="L1912" s="2" t="s">
        <v>20</v>
      </c>
    </row>
    <row r="1913" spans="1:12" x14ac:dyDescent="0.3">
      <c r="A1913" s="2">
        <v>1902</v>
      </c>
      <c r="B1913" s="2" t="s">
        <v>5493</v>
      </c>
      <c r="C1913" s="2" t="s">
        <v>4962</v>
      </c>
      <c r="D1913" s="2" t="s">
        <v>15</v>
      </c>
      <c r="E1913" s="2" t="s">
        <v>16</v>
      </c>
      <c r="F1913" s="2">
        <v>30</v>
      </c>
      <c r="G1913" s="2" t="s">
        <v>5494</v>
      </c>
      <c r="H1913" s="2" t="s">
        <v>2212</v>
      </c>
      <c r="I1913" s="2" t="s">
        <v>32</v>
      </c>
      <c r="J1913" s="3">
        <v>44579</v>
      </c>
      <c r="K1913" s="2">
        <v>46</v>
      </c>
      <c r="L1913" s="2" t="s">
        <v>80</v>
      </c>
    </row>
    <row r="1914" spans="1:12" x14ac:dyDescent="0.3">
      <c r="A1914" s="2">
        <v>1903</v>
      </c>
      <c r="B1914" s="2" t="s">
        <v>5495</v>
      </c>
      <c r="C1914" s="2" t="s">
        <v>4813</v>
      </c>
      <c r="D1914" s="2" t="s">
        <v>15</v>
      </c>
      <c r="E1914" s="2" t="s">
        <v>16</v>
      </c>
      <c r="F1914" s="2">
        <v>90</v>
      </c>
      <c r="G1914" s="2" t="s">
        <v>5496</v>
      </c>
      <c r="H1914" s="2" t="s">
        <v>2542</v>
      </c>
      <c r="I1914" s="2" t="s">
        <v>2543</v>
      </c>
      <c r="J1914" s="3">
        <v>44169</v>
      </c>
      <c r="K1914" s="2">
        <v>58</v>
      </c>
      <c r="L1914" s="2" t="s">
        <v>20</v>
      </c>
    </row>
    <row r="1915" spans="1:12" x14ac:dyDescent="0.3">
      <c r="A1915" s="2">
        <v>1904</v>
      </c>
      <c r="B1915" s="2" t="s">
        <v>5497</v>
      </c>
      <c r="C1915" s="2" t="s">
        <v>1853</v>
      </c>
      <c r="D1915" s="2" t="s">
        <v>28</v>
      </c>
      <c r="E1915" s="2" t="s">
        <v>29</v>
      </c>
      <c r="F1915" s="2">
        <v>60</v>
      </c>
      <c r="G1915" s="2" t="s">
        <v>5498</v>
      </c>
      <c r="H1915" s="2" t="s">
        <v>5499</v>
      </c>
      <c r="I1915" s="2" t="s">
        <v>32</v>
      </c>
      <c r="J1915" s="3">
        <v>44381</v>
      </c>
      <c r="K1915" s="2">
        <v>95</v>
      </c>
      <c r="L1915" s="2" t="s">
        <v>20</v>
      </c>
    </row>
    <row r="1916" spans="1:12" x14ac:dyDescent="0.3">
      <c r="A1916" s="2">
        <v>1905</v>
      </c>
      <c r="B1916" s="2" t="s">
        <v>5500</v>
      </c>
      <c r="C1916" s="2" t="s">
        <v>2438</v>
      </c>
      <c r="D1916" s="2" t="s">
        <v>28</v>
      </c>
      <c r="E1916" s="2" t="s">
        <v>29</v>
      </c>
      <c r="F1916" s="2">
        <v>60</v>
      </c>
      <c r="G1916" s="2" t="s">
        <v>5501</v>
      </c>
      <c r="H1916" s="2" t="s">
        <v>3387</v>
      </c>
      <c r="I1916" s="2" t="s">
        <v>2878</v>
      </c>
      <c r="J1916" s="3">
        <v>44012</v>
      </c>
      <c r="K1916" s="2">
        <v>60</v>
      </c>
      <c r="L1916" s="2" t="s">
        <v>64</v>
      </c>
    </row>
    <row r="1917" spans="1:12" x14ac:dyDescent="0.3">
      <c r="A1917" s="2">
        <v>1906</v>
      </c>
      <c r="B1917" s="2" t="s">
        <v>4765</v>
      </c>
      <c r="C1917" s="2" t="s">
        <v>5502</v>
      </c>
      <c r="D1917" s="2" t="s">
        <v>51</v>
      </c>
      <c r="E1917" s="2" t="s">
        <v>16</v>
      </c>
      <c r="F1917" s="2">
        <v>60</v>
      </c>
      <c r="G1917" s="2" t="s">
        <v>5503</v>
      </c>
      <c r="H1917" s="2" t="s">
        <v>682</v>
      </c>
      <c r="I1917" s="2" t="s">
        <v>32</v>
      </c>
      <c r="J1917" s="3">
        <v>43893</v>
      </c>
      <c r="K1917" s="2">
        <v>33</v>
      </c>
      <c r="L1917" s="2" t="s">
        <v>33</v>
      </c>
    </row>
    <row r="1918" spans="1:12" x14ac:dyDescent="0.3">
      <c r="A1918" s="2">
        <v>1907</v>
      </c>
      <c r="B1918" s="2" t="s">
        <v>2556</v>
      </c>
      <c r="C1918" s="2" t="s">
        <v>1779</v>
      </c>
      <c r="D1918" s="2" t="s">
        <v>28</v>
      </c>
      <c r="E1918" s="2" t="s">
        <v>29</v>
      </c>
      <c r="F1918" s="2">
        <v>30</v>
      </c>
      <c r="G1918" s="2" t="s">
        <v>5504</v>
      </c>
      <c r="H1918" s="2" t="s">
        <v>5505</v>
      </c>
      <c r="I1918" s="2" t="s">
        <v>240</v>
      </c>
      <c r="J1918" s="3">
        <v>44806</v>
      </c>
      <c r="K1918" s="2">
        <v>100</v>
      </c>
      <c r="L1918" s="2" t="s">
        <v>64</v>
      </c>
    </row>
    <row r="1919" spans="1:12" x14ac:dyDescent="0.3">
      <c r="A1919" s="2">
        <v>1908</v>
      </c>
      <c r="B1919" s="2" t="s">
        <v>5506</v>
      </c>
      <c r="C1919" s="2" t="s">
        <v>516</v>
      </c>
      <c r="D1919" s="2" t="s">
        <v>28</v>
      </c>
      <c r="E1919" s="2" t="s">
        <v>29</v>
      </c>
      <c r="F1919" s="2">
        <v>90</v>
      </c>
      <c r="G1919" s="2" t="s">
        <v>5507</v>
      </c>
      <c r="H1919" s="2" t="s">
        <v>3894</v>
      </c>
      <c r="I1919" s="2" t="s">
        <v>110</v>
      </c>
      <c r="J1919" s="3">
        <v>44015</v>
      </c>
      <c r="K1919" s="2">
        <v>70</v>
      </c>
      <c r="L1919" s="2" t="s">
        <v>64</v>
      </c>
    </row>
    <row r="1920" spans="1:12" x14ac:dyDescent="0.3">
      <c r="A1920" s="2">
        <v>1909</v>
      </c>
      <c r="B1920" s="2" t="s">
        <v>5508</v>
      </c>
      <c r="C1920" s="2" t="s">
        <v>1923</v>
      </c>
      <c r="D1920" s="2" t="s">
        <v>15</v>
      </c>
      <c r="E1920" s="2" t="s">
        <v>16</v>
      </c>
      <c r="F1920" s="2">
        <v>60</v>
      </c>
      <c r="G1920" s="2" t="s">
        <v>5509</v>
      </c>
      <c r="H1920" s="2" t="s">
        <v>3628</v>
      </c>
      <c r="I1920" s="2" t="s">
        <v>32</v>
      </c>
      <c r="J1920" s="3">
        <v>43921</v>
      </c>
      <c r="K1920" s="2">
        <v>61</v>
      </c>
      <c r="L1920" s="2" t="s">
        <v>33</v>
      </c>
    </row>
    <row r="1921" spans="1:12" x14ac:dyDescent="0.3">
      <c r="A1921" s="2">
        <v>1910</v>
      </c>
      <c r="B1921" s="2" t="s">
        <v>5510</v>
      </c>
      <c r="C1921" s="2" t="s">
        <v>5511</v>
      </c>
      <c r="D1921" s="2" t="s">
        <v>51</v>
      </c>
      <c r="E1921" s="2" t="s">
        <v>16</v>
      </c>
      <c r="F1921" s="2">
        <v>30</v>
      </c>
      <c r="G1921" s="2" t="s">
        <v>5512</v>
      </c>
      <c r="H1921" s="2" t="s">
        <v>389</v>
      </c>
      <c r="I1921" s="2" t="s">
        <v>32</v>
      </c>
      <c r="J1921" s="3">
        <v>44652</v>
      </c>
      <c r="K1921" s="2">
        <v>101</v>
      </c>
      <c r="L1921" s="2" t="s">
        <v>33</v>
      </c>
    </row>
    <row r="1922" spans="1:12" x14ac:dyDescent="0.3">
      <c r="A1922" s="2">
        <v>1911</v>
      </c>
      <c r="B1922" s="2" t="s">
        <v>5513</v>
      </c>
      <c r="C1922" s="2" t="s">
        <v>3515</v>
      </c>
      <c r="D1922" s="2" t="s">
        <v>51</v>
      </c>
      <c r="E1922" s="2" t="s">
        <v>16</v>
      </c>
      <c r="F1922" s="2">
        <v>90</v>
      </c>
      <c r="G1922" s="2" t="s">
        <v>5514</v>
      </c>
      <c r="H1922" s="2" t="s">
        <v>2804</v>
      </c>
      <c r="I1922" s="2" t="s">
        <v>124</v>
      </c>
      <c r="J1922" s="3">
        <v>44233</v>
      </c>
      <c r="K1922" s="2">
        <v>77</v>
      </c>
      <c r="L1922" s="2" t="s">
        <v>20</v>
      </c>
    </row>
    <row r="1923" spans="1:12" x14ac:dyDescent="0.3">
      <c r="A1923" s="2">
        <v>1912</v>
      </c>
      <c r="B1923" s="2" t="s">
        <v>1363</v>
      </c>
      <c r="C1923" s="2" t="s">
        <v>581</v>
      </c>
      <c r="D1923" s="2" t="s">
        <v>28</v>
      </c>
      <c r="E1923" s="2" t="s">
        <v>29</v>
      </c>
      <c r="F1923" s="2">
        <v>60</v>
      </c>
      <c r="G1923" s="2" t="s">
        <v>5514</v>
      </c>
      <c r="H1923" s="2" t="s">
        <v>924</v>
      </c>
      <c r="I1923" s="2" t="s">
        <v>32</v>
      </c>
      <c r="J1923" s="3">
        <v>44152</v>
      </c>
      <c r="K1923" s="2">
        <v>66</v>
      </c>
      <c r="L1923" s="2" t="s">
        <v>101</v>
      </c>
    </row>
    <row r="1924" spans="1:12" x14ac:dyDescent="0.3">
      <c r="A1924" s="2">
        <v>1913</v>
      </c>
      <c r="B1924" s="2" t="s">
        <v>3985</v>
      </c>
      <c r="C1924" s="2" t="s">
        <v>2127</v>
      </c>
      <c r="D1924" s="2" t="s">
        <v>15</v>
      </c>
      <c r="E1924" s="2" t="s">
        <v>16</v>
      </c>
      <c r="F1924" s="2">
        <v>30</v>
      </c>
      <c r="G1924" s="2" t="s">
        <v>5514</v>
      </c>
      <c r="H1924" s="2" t="s">
        <v>288</v>
      </c>
      <c r="I1924" s="2" t="s">
        <v>32</v>
      </c>
      <c r="J1924" s="3">
        <v>44608</v>
      </c>
      <c r="K1924" s="2">
        <v>94</v>
      </c>
      <c r="L1924" s="2" t="s">
        <v>39</v>
      </c>
    </row>
    <row r="1925" spans="1:12" x14ac:dyDescent="0.3">
      <c r="A1925" s="2">
        <v>1914</v>
      </c>
      <c r="B1925" s="2" t="s">
        <v>5515</v>
      </c>
      <c r="C1925" s="2" t="s">
        <v>2010</v>
      </c>
      <c r="D1925" s="2" t="s">
        <v>28</v>
      </c>
      <c r="E1925" s="2" t="s">
        <v>29</v>
      </c>
      <c r="F1925" s="2">
        <v>60</v>
      </c>
      <c r="G1925" s="2" t="s">
        <v>5516</v>
      </c>
      <c r="H1925" s="2" t="s">
        <v>1232</v>
      </c>
      <c r="I1925" s="2" t="s">
        <v>1233</v>
      </c>
      <c r="J1925" s="3">
        <v>43873</v>
      </c>
      <c r="K1925" s="2">
        <v>10</v>
      </c>
      <c r="L1925" s="2" t="s">
        <v>45</v>
      </c>
    </row>
    <row r="1926" spans="1:12" x14ac:dyDescent="0.3">
      <c r="A1926" s="2">
        <v>1915</v>
      </c>
      <c r="B1926" s="2" t="s">
        <v>2253</v>
      </c>
      <c r="C1926" s="2" t="s">
        <v>3362</v>
      </c>
      <c r="D1926" s="2" t="s">
        <v>28</v>
      </c>
      <c r="E1926" s="2" t="s">
        <v>29</v>
      </c>
      <c r="F1926" s="2">
        <v>30</v>
      </c>
      <c r="G1926" s="2" t="s">
        <v>5517</v>
      </c>
      <c r="H1926" s="2" t="s">
        <v>2975</v>
      </c>
      <c r="I1926" s="2" t="s">
        <v>146</v>
      </c>
      <c r="J1926" s="3">
        <v>44544</v>
      </c>
      <c r="K1926" s="2">
        <v>5</v>
      </c>
      <c r="L1926" s="2" t="s">
        <v>20</v>
      </c>
    </row>
    <row r="1927" spans="1:12" x14ac:dyDescent="0.3">
      <c r="A1927" s="2">
        <v>1916</v>
      </c>
      <c r="B1927" s="2" t="s">
        <v>5518</v>
      </c>
      <c r="C1927" s="2" t="s">
        <v>5519</v>
      </c>
      <c r="D1927" s="2" t="s">
        <v>28</v>
      </c>
      <c r="E1927" s="2" t="s">
        <v>29</v>
      </c>
      <c r="F1927" s="2">
        <v>90</v>
      </c>
      <c r="G1927" s="2" t="s">
        <v>5520</v>
      </c>
      <c r="H1927" s="2" t="s">
        <v>5521</v>
      </c>
      <c r="I1927" s="2" t="s">
        <v>25</v>
      </c>
      <c r="J1927" s="3">
        <v>44175</v>
      </c>
      <c r="K1927" s="2">
        <v>26</v>
      </c>
      <c r="L1927" s="2" t="s">
        <v>20</v>
      </c>
    </row>
    <row r="1928" spans="1:12" x14ac:dyDescent="0.3">
      <c r="A1928" s="2">
        <v>1917</v>
      </c>
      <c r="B1928" s="2" t="s">
        <v>5522</v>
      </c>
      <c r="C1928" s="2" t="s">
        <v>394</v>
      </c>
      <c r="D1928" s="2" t="s">
        <v>15</v>
      </c>
      <c r="E1928" s="2" t="s">
        <v>16</v>
      </c>
      <c r="F1928" s="2">
        <v>90</v>
      </c>
      <c r="G1928" s="2" t="s">
        <v>5523</v>
      </c>
      <c r="H1928" s="2" t="s">
        <v>5039</v>
      </c>
      <c r="I1928" s="2" t="s">
        <v>32</v>
      </c>
      <c r="J1928" s="3">
        <v>44030</v>
      </c>
      <c r="K1928" s="2">
        <v>19</v>
      </c>
      <c r="L1928" s="2" t="s">
        <v>39</v>
      </c>
    </row>
    <row r="1929" spans="1:12" x14ac:dyDescent="0.3">
      <c r="A1929" s="2">
        <v>1918</v>
      </c>
      <c r="B1929" s="2" t="s">
        <v>1352</v>
      </c>
      <c r="C1929" s="2" t="s">
        <v>3845</v>
      </c>
      <c r="D1929" s="2" t="s">
        <v>15</v>
      </c>
      <c r="E1929" s="2" t="s">
        <v>16</v>
      </c>
      <c r="F1929" s="2">
        <v>30</v>
      </c>
      <c r="G1929" s="2" t="s">
        <v>5524</v>
      </c>
      <c r="H1929" s="2" t="s">
        <v>4358</v>
      </c>
      <c r="I1929" s="2" t="s">
        <v>146</v>
      </c>
      <c r="J1929" s="3">
        <v>44417</v>
      </c>
      <c r="K1929" s="2">
        <v>83</v>
      </c>
      <c r="L1929" s="2" t="s">
        <v>64</v>
      </c>
    </row>
    <row r="1930" spans="1:12" x14ac:dyDescent="0.3">
      <c r="A1930" s="2">
        <v>1919</v>
      </c>
      <c r="B1930" s="2" t="s">
        <v>5525</v>
      </c>
      <c r="C1930" s="2" t="s">
        <v>5526</v>
      </c>
      <c r="D1930" s="2" t="s">
        <v>15</v>
      </c>
      <c r="E1930" s="2" t="s">
        <v>16</v>
      </c>
      <c r="F1930" s="2">
        <v>90</v>
      </c>
      <c r="G1930" s="2" t="s">
        <v>5527</v>
      </c>
      <c r="H1930" s="2" t="s">
        <v>1052</v>
      </c>
      <c r="I1930" s="2" t="s">
        <v>32</v>
      </c>
      <c r="J1930" s="3">
        <v>44267</v>
      </c>
      <c r="K1930" s="2">
        <v>94</v>
      </c>
      <c r="L1930" s="2" t="s">
        <v>20</v>
      </c>
    </row>
    <row r="1931" spans="1:12" x14ac:dyDescent="0.3">
      <c r="A1931" s="2">
        <v>1920</v>
      </c>
      <c r="B1931" s="2" t="s">
        <v>1661</v>
      </c>
      <c r="C1931" s="2" t="s">
        <v>3382</v>
      </c>
      <c r="D1931" s="2" t="s">
        <v>28</v>
      </c>
      <c r="E1931" s="2" t="s">
        <v>29</v>
      </c>
      <c r="F1931" s="2">
        <v>90</v>
      </c>
      <c r="G1931" s="2" t="s">
        <v>5528</v>
      </c>
      <c r="H1931" s="2" t="s">
        <v>302</v>
      </c>
      <c r="I1931" s="2" t="s">
        <v>303</v>
      </c>
      <c r="J1931" s="3">
        <v>44865</v>
      </c>
      <c r="K1931" s="2">
        <v>70</v>
      </c>
      <c r="L1931" s="2" t="s">
        <v>70</v>
      </c>
    </row>
    <row r="1932" spans="1:12" x14ac:dyDescent="0.3">
      <c r="A1932" s="2">
        <v>1921</v>
      </c>
      <c r="B1932" s="2" t="s">
        <v>285</v>
      </c>
      <c r="C1932" s="2" t="s">
        <v>5529</v>
      </c>
      <c r="D1932" s="2" t="s">
        <v>15</v>
      </c>
      <c r="E1932" s="2" t="s">
        <v>16</v>
      </c>
      <c r="F1932" s="2">
        <v>90</v>
      </c>
      <c r="G1932" s="2" t="s">
        <v>5528</v>
      </c>
      <c r="H1932" s="2" t="s">
        <v>3558</v>
      </c>
      <c r="I1932" s="2" t="s">
        <v>32</v>
      </c>
      <c r="J1932" s="3">
        <v>44823</v>
      </c>
      <c r="K1932" s="2">
        <v>10</v>
      </c>
      <c r="L1932" s="2" t="s">
        <v>39</v>
      </c>
    </row>
    <row r="1933" spans="1:12" x14ac:dyDescent="0.3">
      <c r="A1933" s="2">
        <v>1922</v>
      </c>
      <c r="B1933" s="2" t="s">
        <v>5530</v>
      </c>
      <c r="C1933" s="2" t="s">
        <v>131</v>
      </c>
      <c r="D1933" s="2" t="s">
        <v>51</v>
      </c>
      <c r="E1933" s="2" t="s">
        <v>16</v>
      </c>
      <c r="F1933" s="2">
        <v>90</v>
      </c>
      <c r="G1933" s="2" t="s">
        <v>5531</v>
      </c>
      <c r="H1933" s="2" t="s">
        <v>2097</v>
      </c>
      <c r="I1933" s="2" t="s">
        <v>178</v>
      </c>
      <c r="J1933" s="3">
        <v>44061</v>
      </c>
      <c r="K1933" s="2">
        <v>61</v>
      </c>
      <c r="L1933" s="2" t="s">
        <v>101</v>
      </c>
    </row>
    <row r="1934" spans="1:12" x14ac:dyDescent="0.3">
      <c r="A1934" s="2">
        <v>1923</v>
      </c>
      <c r="B1934" s="2" t="s">
        <v>5317</v>
      </c>
      <c r="C1934" s="2" t="s">
        <v>5442</v>
      </c>
      <c r="D1934" s="2" t="s">
        <v>41</v>
      </c>
      <c r="E1934" s="2" t="s">
        <v>16</v>
      </c>
      <c r="F1934" s="2">
        <v>60</v>
      </c>
      <c r="G1934" s="2" t="s">
        <v>5532</v>
      </c>
      <c r="H1934" s="2" t="s">
        <v>678</v>
      </c>
      <c r="I1934" s="2" t="s">
        <v>32</v>
      </c>
      <c r="J1934" s="3">
        <v>44521</v>
      </c>
      <c r="K1934" s="2">
        <v>3</v>
      </c>
      <c r="L1934" s="2" t="s">
        <v>101</v>
      </c>
    </row>
    <row r="1935" spans="1:12" x14ac:dyDescent="0.3">
      <c r="A1935" s="2">
        <v>1924</v>
      </c>
      <c r="B1935" s="2" t="s">
        <v>1300</v>
      </c>
      <c r="C1935" s="2" t="s">
        <v>692</v>
      </c>
      <c r="D1935" s="2" t="s">
        <v>28</v>
      </c>
      <c r="E1935" s="2" t="s">
        <v>29</v>
      </c>
      <c r="F1935" s="2">
        <v>30</v>
      </c>
      <c r="G1935" s="2" t="s">
        <v>5533</v>
      </c>
      <c r="H1935" s="2" t="s">
        <v>2338</v>
      </c>
      <c r="I1935" s="2" t="s">
        <v>240</v>
      </c>
      <c r="J1935" s="3">
        <v>44905</v>
      </c>
      <c r="K1935" s="2">
        <v>86</v>
      </c>
      <c r="L1935" s="2" t="s">
        <v>33</v>
      </c>
    </row>
    <row r="1936" spans="1:12" x14ac:dyDescent="0.3">
      <c r="A1936" s="2">
        <v>1925</v>
      </c>
      <c r="B1936" s="2" t="s">
        <v>3963</v>
      </c>
      <c r="C1936" s="2" t="s">
        <v>5534</v>
      </c>
      <c r="D1936" s="2" t="s">
        <v>41</v>
      </c>
      <c r="E1936" s="2" t="s">
        <v>16</v>
      </c>
      <c r="F1936" s="2">
        <v>60</v>
      </c>
      <c r="G1936" s="2" t="s">
        <v>5535</v>
      </c>
      <c r="H1936" s="2" t="s">
        <v>5536</v>
      </c>
      <c r="I1936" s="2" t="s">
        <v>886</v>
      </c>
      <c r="J1936" s="3">
        <v>43855</v>
      </c>
      <c r="K1936" s="2">
        <v>54</v>
      </c>
      <c r="L1936" s="2" t="s">
        <v>101</v>
      </c>
    </row>
    <row r="1937" spans="1:12" x14ac:dyDescent="0.3">
      <c r="A1937" s="2">
        <v>1926</v>
      </c>
      <c r="B1937" s="2" t="s">
        <v>5537</v>
      </c>
      <c r="C1937" s="2" t="s">
        <v>1392</v>
      </c>
      <c r="D1937" s="2" t="s">
        <v>15</v>
      </c>
      <c r="E1937" s="2" t="s">
        <v>16</v>
      </c>
      <c r="F1937" s="2">
        <v>90</v>
      </c>
      <c r="G1937" s="2" t="s">
        <v>5538</v>
      </c>
      <c r="H1937" s="2" t="s">
        <v>4256</v>
      </c>
      <c r="I1937" s="2" t="s">
        <v>1454</v>
      </c>
      <c r="J1937" s="3">
        <v>44740</v>
      </c>
      <c r="K1937" s="2">
        <v>86</v>
      </c>
      <c r="L1937" s="2" t="s">
        <v>54</v>
      </c>
    </row>
    <row r="1938" spans="1:12" x14ac:dyDescent="0.3">
      <c r="A1938" s="2">
        <v>1927</v>
      </c>
      <c r="B1938" s="2" t="s">
        <v>5539</v>
      </c>
      <c r="C1938" s="2" t="s">
        <v>825</v>
      </c>
      <c r="D1938" s="2" t="s">
        <v>15</v>
      </c>
      <c r="E1938" s="2" t="s">
        <v>16</v>
      </c>
      <c r="F1938" s="2">
        <v>30</v>
      </c>
      <c r="G1938" s="2" t="s">
        <v>10510</v>
      </c>
      <c r="H1938" s="2" t="s">
        <v>1888</v>
      </c>
      <c r="I1938" s="2" t="s">
        <v>1889</v>
      </c>
      <c r="J1938" s="3">
        <v>44639</v>
      </c>
      <c r="K1938" s="2">
        <v>25</v>
      </c>
      <c r="L1938" s="2" t="s">
        <v>20</v>
      </c>
    </row>
    <row r="1939" spans="1:12" x14ac:dyDescent="0.3">
      <c r="A1939" s="2">
        <v>1928</v>
      </c>
      <c r="B1939" s="2" t="s">
        <v>2027</v>
      </c>
      <c r="C1939" s="2" t="s">
        <v>5541</v>
      </c>
      <c r="D1939" s="2" t="s">
        <v>28</v>
      </c>
      <c r="E1939" s="2" t="s">
        <v>29</v>
      </c>
      <c r="F1939" s="2">
        <v>30</v>
      </c>
      <c r="G1939" s="2" t="s">
        <v>10510</v>
      </c>
      <c r="H1939" s="2" t="s">
        <v>221</v>
      </c>
      <c r="I1939" s="2" t="s">
        <v>32</v>
      </c>
      <c r="J1939" s="3">
        <v>44417</v>
      </c>
      <c r="K1939" s="2">
        <v>67</v>
      </c>
      <c r="L1939" s="2" t="s">
        <v>33</v>
      </c>
    </row>
    <row r="1940" spans="1:12" x14ac:dyDescent="0.3">
      <c r="A1940" s="2">
        <v>1929</v>
      </c>
      <c r="B1940" s="2" t="s">
        <v>5542</v>
      </c>
      <c r="C1940" s="2" t="s">
        <v>5543</v>
      </c>
      <c r="D1940" s="2" t="s">
        <v>51</v>
      </c>
      <c r="E1940" s="2" t="s">
        <v>16</v>
      </c>
      <c r="F1940" s="2">
        <v>60</v>
      </c>
      <c r="G1940" s="2" t="s">
        <v>5544</v>
      </c>
      <c r="H1940" s="2" t="s">
        <v>823</v>
      </c>
      <c r="I1940" s="2" t="s">
        <v>187</v>
      </c>
      <c r="J1940" s="3">
        <v>44674</v>
      </c>
      <c r="K1940" s="2">
        <v>68</v>
      </c>
      <c r="L1940" s="2" t="s">
        <v>39</v>
      </c>
    </row>
    <row r="1941" spans="1:12" x14ac:dyDescent="0.3">
      <c r="A1941" s="2">
        <v>1930</v>
      </c>
      <c r="B1941" s="2" t="s">
        <v>5545</v>
      </c>
      <c r="C1941" s="2" t="s">
        <v>5546</v>
      </c>
      <c r="D1941" s="2" t="s">
        <v>41</v>
      </c>
      <c r="E1941" s="2" t="s">
        <v>16</v>
      </c>
      <c r="F1941" s="2">
        <v>30</v>
      </c>
      <c r="G1941" s="2" t="s">
        <v>5547</v>
      </c>
      <c r="H1941" s="2" t="s">
        <v>3682</v>
      </c>
      <c r="I1941" s="2" t="s">
        <v>178</v>
      </c>
      <c r="J1941" s="3">
        <v>44356</v>
      </c>
      <c r="K1941" s="2">
        <v>50</v>
      </c>
      <c r="L1941" s="2" t="s">
        <v>159</v>
      </c>
    </row>
    <row r="1942" spans="1:12" x14ac:dyDescent="0.3">
      <c r="A1942" s="2">
        <v>1931</v>
      </c>
      <c r="B1942" s="2" t="s">
        <v>5548</v>
      </c>
      <c r="C1942" s="2" t="s">
        <v>4786</v>
      </c>
      <c r="D1942" s="2" t="s">
        <v>15</v>
      </c>
      <c r="E1942" s="2" t="s">
        <v>16</v>
      </c>
      <c r="F1942" s="2">
        <v>60</v>
      </c>
      <c r="G1942" s="2" t="s">
        <v>5549</v>
      </c>
      <c r="H1942" s="2" t="s">
        <v>1401</v>
      </c>
      <c r="I1942" s="2" t="s">
        <v>1402</v>
      </c>
      <c r="J1942" s="3">
        <v>44499</v>
      </c>
      <c r="K1942" s="2">
        <v>24</v>
      </c>
      <c r="L1942" s="2" t="s">
        <v>80</v>
      </c>
    </row>
    <row r="1943" spans="1:12" x14ac:dyDescent="0.3">
      <c r="A1943" s="2">
        <v>1932</v>
      </c>
      <c r="B1943" s="2" t="s">
        <v>5550</v>
      </c>
      <c r="C1943" s="2" t="s">
        <v>5551</v>
      </c>
      <c r="D1943" s="2" t="s">
        <v>51</v>
      </c>
      <c r="E1943" s="2" t="s">
        <v>16</v>
      </c>
      <c r="F1943" s="2">
        <v>30</v>
      </c>
      <c r="G1943" s="2" t="s">
        <v>5552</v>
      </c>
      <c r="H1943" s="2" t="s">
        <v>2361</v>
      </c>
      <c r="I1943" s="2" t="s">
        <v>110</v>
      </c>
      <c r="J1943" s="3">
        <v>44061</v>
      </c>
      <c r="K1943" s="2">
        <v>37</v>
      </c>
      <c r="L1943" s="2" t="s">
        <v>33</v>
      </c>
    </row>
    <row r="1944" spans="1:12" x14ac:dyDescent="0.3">
      <c r="A1944" s="2">
        <v>1933</v>
      </c>
      <c r="B1944" s="2" t="s">
        <v>5553</v>
      </c>
      <c r="C1944" s="2" t="s">
        <v>5554</v>
      </c>
      <c r="D1944" s="2" t="s">
        <v>15</v>
      </c>
      <c r="E1944" s="2" t="s">
        <v>16</v>
      </c>
      <c r="F1944" s="2">
        <v>60</v>
      </c>
      <c r="G1944" s="2" t="s">
        <v>5555</v>
      </c>
      <c r="H1944" s="2" t="s">
        <v>4598</v>
      </c>
      <c r="I1944" s="2" t="s">
        <v>187</v>
      </c>
      <c r="J1944" s="3">
        <v>44524</v>
      </c>
      <c r="K1944" s="2">
        <v>3</v>
      </c>
      <c r="L1944" s="2" t="s">
        <v>45</v>
      </c>
    </row>
    <row r="1945" spans="1:12" x14ac:dyDescent="0.3">
      <c r="A1945" s="2">
        <v>1934</v>
      </c>
      <c r="B1945" s="2" t="s">
        <v>5556</v>
      </c>
      <c r="C1945" s="2" t="s">
        <v>1058</v>
      </c>
      <c r="D1945" s="2" t="s">
        <v>15</v>
      </c>
      <c r="E1945" s="2" t="s">
        <v>16</v>
      </c>
      <c r="F1945" s="2">
        <v>90</v>
      </c>
      <c r="G1945" s="2" t="s">
        <v>5557</v>
      </c>
      <c r="H1945" s="2" t="s">
        <v>2710</v>
      </c>
      <c r="I1945" s="2" t="s">
        <v>294</v>
      </c>
      <c r="J1945" s="3">
        <v>43960</v>
      </c>
      <c r="K1945" s="2">
        <v>67</v>
      </c>
      <c r="L1945" s="2" t="s">
        <v>70</v>
      </c>
    </row>
    <row r="1946" spans="1:12" x14ac:dyDescent="0.3">
      <c r="A1946" s="2">
        <v>1935</v>
      </c>
      <c r="B1946" s="2" t="s">
        <v>2792</v>
      </c>
      <c r="C1946" s="2" t="s">
        <v>3286</v>
      </c>
      <c r="D1946" s="2" t="s">
        <v>51</v>
      </c>
      <c r="E1946" s="2" t="s">
        <v>16</v>
      </c>
      <c r="F1946" s="2">
        <v>60</v>
      </c>
      <c r="G1946" s="2" t="s">
        <v>5558</v>
      </c>
      <c r="H1946" s="2" t="s">
        <v>3263</v>
      </c>
      <c r="I1946" s="2" t="s">
        <v>32</v>
      </c>
      <c r="J1946" s="3">
        <v>44537</v>
      </c>
      <c r="K1946" s="2">
        <v>57</v>
      </c>
      <c r="L1946" s="2" t="s">
        <v>54</v>
      </c>
    </row>
    <row r="1947" spans="1:12" x14ac:dyDescent="0.3">
      <c r="A1947" s="2">
        <v>1936</v>
      </c>
      <c r="B1947" s="2" t="s">
        <v>5559</v>
      </c>
      <c r="C1947" s="2" t="s">
        <v>3273</v>
      </c>
      <c r="D1947" s="2" t="s">
        <v>28</v>
      </c>
      <c r="E1947" s="2" t="s">
        <v>29</v>
      </c>
      <c r="F1947" s="2">
        <v>30</v>
      </c>
      <c r="G1947" s="2" t="s">
        <v>5560</v>
      </c>
      <c r="H1947" s="2" t="s">
        <v>2791</v>
      </c>
      <c r="I1947" s="2" t="s">
        <v>178</v>
      </c>
      <c r="J1947" s="3">
        <v>44024</v>
      </c>
      <c r="K1947" s="2">
        <v>8</v>
      </c>
      <c r="L1947" s="2" t="s">
        <v>159</v>
      </c>
    </row>
    <row r="1948" spans="1:12" x14ac:dyDescent="0.3">
      <c r="A1948" s="2">
        <v>1937</v>
      </c>
      <c r="B1948" s="2" t="s">
        <v>5561</v>
      </c>
      <c r="C1948" s="2" t="s">
        <v>2829</v>
      </c>
      <c r="D1948" s="2" t="s">
        <v>15</v>
      </c>
      <c r="E1948" s="2" t="s">
        <v>16</v>
      </c>
      <c r="F1948" s="2">
        <v>60</v>
      </c>
      <c r="G1948" s="2" t="s">
        <v>5562</v>
      </c>
      <c r="H1948" s="2" t="s">
        <v>1868</v>
      </c>
      <c r="I1948" s="2" t="s">
        <v>1869</v>
      </c>
      <c r="J1948" s="3">
        <v>44439</v>
      </c>
      <c r="K1948" s="2">
        <v>37</v>
      </c>
      <c r="L1948" s="2" t="s">
        <v>39</v>
      </c>
    </row>
    <row r="1949" spans="1:12" x14ac:dyDescent="0.3">
      <c r="A1949" s="2">
        <v>1938</v>
      </c>
      <c r="B1949" s="2" t="s">
        <v>4509</v>
      </c>
      <c r="C1949" s="2" t="s">
        <v>453</v>
      </c>
      <c r="D1949" s="2" t="s">
        <v>117</v>
      </c>
      <c r="E1949" s="2" t="s">
        <v>29</v>
      </c>
      <c r="F1949" s="2">
        <v>30</v>
      </c>
      <c r="G1949" s="2" t="s">
        <v>5563</v>
      </c>
      <c r="H1949" s="2" t="s">
        <v>1864</v>
      </c>
      <c r="I1949" s="2" t="s">
        <v>294</v>
      </c>
      <c r="J1949" s="3">
        <v>44152</v>
      </c>
      <c r="K1949" s="2">
        <v>33</v>
      </c>
      <c r="L1949" s="2" t="s">
        <v>70</v>
      </c>
    </row>
    <row r="1950" spans="1:12" x14ac:dyDescent="0.3">
      <c r="A1950" s="2">
        <v>1939</v>
      </c>
      <c r="B1950" s="2" t="s">
        <v>5564</v>
      </c>
      <c r="C1950" s="2" t="s">
        <v>5565</v>
      </c>
      <c r="D1950" s="2" t="s">
        <v>15</v>
      </c>
      <c r="E1950" s="2" t="s">
        <v>16</v>
      </c>
      <c r="F1950" s="2">
        <v>60</v>
      </c>
      <c r="G1950" s="2" t="s">
        <v>10511</v>
      </c>
      <c r="H1950" s="2" t="s">
        <v>195</v>
      </c>
      <c r="I1950" s="2" t="s">
        <v>187</v>
      </c>
      <c r="J1950" s="3">
        <v>44228</v>
      </c>
      <c r="K1950" s="2">
        <v>25</v>
      </c>
      <c r="L1950" s="2" t="s">
        <v>101</v>
      </c>
    </row>
    <row r="1951" spans="1:12" x14ac:dyDescent="0.3">
      <c r="A1951" s="2">
        <v>1940</v>
      </c>
      <c r="B1951" s="2" t="s">
        <v>5567</v>
      </c>
      <c r="C1951" s="2" t="s">
        <v>5568</v>
      </c>
      <c r="D1951" s="2" t="s">
        <v>28</v>
      </c>
      <c r="E1951" s="2" t="s">
        <v>29</v>
      </c>
      <c r="F1951" s="2">
        <v>30</v>
      </c>
      <c r="G1951" s="2" t="s">
        <v>5569</v>
      </c>
      <c r="H1951" s="2" t="s">
        <v>2831</v>
      </c>
      <c r="I1951" s="2" t="s">
        <v>32</v>
      </c>
      <c r="J1951" s="3">
        <v>44085</v>
      </c>
      <c r="K1951" s="2">
        <v>4</v>
      </c>
      <c r="L1951" s="2" t="s">
        <v>54</v>
      </c>
    </row>
    <row r="1952" spans="1:12" x14ac:dyDescent="0.3">
      <c r="A1952" s="2">
        <v>1941</v>
      </c>
      <c r="B1952" s="2" t="s">
        <v>2477</v>
      </c>
      <c r="C1952" s="2" t="s">
        <v>197</v>
      </c>
      <c r="D1952" s="2" t="s">
        <v>28</v>
      </c>
      <c r="E1952" s="2" t="s">
        <v>29</v>
      </c>
      <c r="F1952" s="2">
        <v>60</v>
      </c>
      <c r="G1952" s="2" t="s">
        <v>5570</v>
      </c>
      <c r="H1952" s="2" t="s">
        <v>84</v>
      </c>
      <c r="I1952" s="2" t="s">
        <v>32</v>
      </c>
      <c r="J1952" s="3">
        <v>43897</v>
      </c>
      <c r="K1952" s="2">
        <v>85</v>
      </c>
      <c r="L1952" s="2" t="s">
        <v>39</v>
      </c>
    </row>
    <row r="1953" spans="1:12" x14ac:dyDescent="0.3">
      <c r="A1953" s="2">
        <v>1942</v>
      </c>
      <c r="B1953" s="2" t="s">
        <v>5571</v>
      </c>
      <c r="C1953" s="2" t="s">
        <v>770</v>
      </c>
      <c r="D1953" s="2" t="s">
        <v>51</v>
      </c>
      <c r="E1953" s="2" t="s">
        <v>16</v>
      </c>
      <c r="F1953" s="2">
        <v>60</v>
      </c>
      <c r="G1953" s="2" t="s">
        <v>5572</v>
      </c>
      <c r="H1953" s="2" t="s">
        <v>1457</v>
      </c>
      <c r="I1953" s="2" t="s">
        <v>187</v>
      </c>
      <c r="J1953" s="3">
        <v>44389</v>
      </c>
      <c r="K1953" s="2">
        <v>23</v>
      </c>
      <c r="L1953" s="2" t="s">
        <v>39</v>
      </c>
    </row>
    <row r="1954" spans="1:12" x14ac:dyDescent="0.3">
      <c r="A1954" s="2">
        <v>1943</v>
      </c>
      <c r="B1954" s="2" t="s">
        <v>5573</v>
      </c>
      <c r="C1954" s="2" t="s">
        <v>2998</v>
      </c>
      <c r="D1954" s="2" t="s">
        <v>51</v>
      </c>
      <c r="E1954" s="2" t="s">
        <v>16</v>
      </c>
      <c r="F1954" s="2">
        <v>60</v>
      </c>
      <c r="G1954" s="2" t="s">
        <v>5574</v>
      </c>
      <c r="H1954" s="2" t="s">
        <v>2243</v>
      </c>
      <c r="I1954" s="2" t="s">
        <v>32</v>
      </c>
      <c r="J1954" s="3">
        <v>44019</v>
      </c>
      <c r="K1954" s="2">
        <v>12</v>
      </c>
      <c r="L1954" s="2" t="s">
        <v>20</v>
      </c>
    </row>
    <row r="1955" spans="1:12" x14ac:dyDescent="0.3">
      <c r="A1955" s="2">
        <v>1944</v>
      </c>
      <c r="B1955" s="2" t="s">
        <v>4703</v>
      </c>
      <c r="C1955" s="2" t="s">
        <v>5575</v>
      </c>
      <c r="D1955" s="2" t="s">
        <v>28</v>
      </c>
      <c r="E1955" s="2" t="s">
        <v>29</v>
      </c>
      <c r="F1955" s="2">
        <v>60</v>
      </c>
      <c r="G1955" s="2" t="s">
        <v>5576</v>
      </c>
      <c r="H1955" s="2" t="s">
        <v>315</v>
      </c>
      <c r="I1955" s="2" t="s">
        <v>32</v>
      </c>
      <c r="J1955" s="3">
        <v>44526</v>
      </c>
      <c r="K1955" s="2">
        <v>94</v>
      </c>
      <c r="L1955" s="2" t="s">
        <v>33</v>
      </c>
    </row>
    <row r="1956" spans="1:12" x14ac:dyDescent="0.3">
      <c r="A1956" s="2">
        <v>1945</v>
      </c>
      <c r="B1956" s="2" t="s">
        <v>5577</v>
      </c>
      <c r="C1956" s="2" t="s">
        <v>121</v>
      </c>
      <c r="D1956" s="2" t="s">
        <v>15</v>
      </c>
      <c r="E1956" s="2" t="s">
        <v>16</v>
      </c>
      <c r="F1956" s="2">
        <v>90</v>
      </c>
      <c r="G1956" s="2" t="s">
        <v>5578</v>
      </c>
      <c r="H1956" s="2" t="s">
        <v>868</v>
      </c>
      <c r="I1956" s="2" t="s">
        <v>32</v>
      </c>
      <c r="J1956" s="3">
        <v>44531</v>
      </c>
      <c r="K1956" s="2">
        <v>74</v>
      </c>
      <c r="L1956" s="2" t="s">
        <v>64</v>
      </c>
    </row>
    <row r="1957" spans="1:12" x14ac:dyDescent="0.3">
      <c r="A1957" s="2">
        <v>1946</v>
      </c>
      <c r="B1957" s="2" t="s">
        <v>1200</v>
      </c>
      <c r="C1957" s="2" t="s">
        <v>5579</v>
      </c>
      <c r="D1957" s="2" t="s">
        <v>117</v>
      </c>
      <c r="E1957" s="2" t="s">
        <v>29</v>
      </c>
      <c r="F1957" s="2">
        <v>60</v>
      </c>
      <c r="G1957" s="2" t="s">
        <v>5580</v>
      </c>
      <c r="H1957" s="2" t="s">
        <v>5581</v>
      </c>
      <c r="I1957" s="2" t="s">
        <v>187</v>
      </c>
      <c r="J1957" s="3">
        <v>44383</v>
      </c>
      <c r="K1957" s="2">
        <v>2</v>
      </c>
      <c r="L1957" s="2" t="s">
        <v>20</v>
      </c>
    </row>
    <row r="1958" spans="1:12" x14ac:dyDescent="0.3">
      <c r="A1958" s="2">
        <v>1947</v>
      </c>
      <c r="B1958" s="2" t="s">
        <v>5582</v>
      </c>
      <c r="C1958" s="2" t="s">
        <v>5583</v>
      </c>
      <c r="D1958" s="2" t="s">
        <v>51</v>
      </c>
      <c r="E1958" s="2" t="s">
        <v>16</v>
      </c>
      <c r="F1958" s="2">
        <v>90</v>
      </c>
      <c r="G1958" s="2" t="s">
        <v>5584</v>
      </c>
      <c r="H1958" s="2" t="s">
        <v>2436</v>
      </c>
      <c r="I1958" s="2" t="s">
        <v>294</v>
      </c>
      <c r="J1958" s="3">
        <v>44844</v>
      </c>
      <c r="K1958" s="2">
        <v>60</v>
      </c>
      <c r="L1958" s="2" t="s">
        <v>20</v>
      </c>
    </row>
    <row r="1959" spans="1:12" x14ac:dyDescent="0.3">
      <c r="A1959" s="2">
        <v>1948</v>
      </c>
      <c r="B1959" s="2" t="s">
        <v>5585</v>
      </c>
      <c r="C1959" s="2" t="s">
        <v>5586</v>
      </c>
      <c r="D1959" s="2" t="s">
        <v>51</v>
      </c>
      <c r="E1959" s="2" t="s">
        <v>16</v>
      </c>
      <c r="F1959" s="2">
        <v>60</v>
      </c>
      <c r="G1959" s="2" t="s">
        <v>10512</v>
      </c>
      <c r="H1959" s="2" t="s">
        <v>4631</v>
      </c>
      <c r="I1959" s="2" t="s">
        <v>187</v>
      </c>
      <c r="J1959" s="3">
        <v>43857</v>
      </c>
      <c r="K1959" s="2">
        <v>22</v>
      </c>
      <c r="L1959" s="2" t="s">
        <v>70</v>
      </c>
    </row>
    <row r="1960" spans="1:12" x14ac:dyDescent="0.3">
      <c r="A1960" s="2">
        <v>1949</v>
      </c>
      <c r="B1960" s="2" t="s">
        <v>5588</v>
      </c>
      <c r="C1960" s="2" t="s">
        <v>1717</v>
      </c>
      <c r="D1960" s="2" t="s">
        <v>51</v>
      </c>
      <c r="E1960" s="2" t="s">
        <v>16</v>
      </c>
      <c r="F1960" s="2">
        <v>60</v>
      </c>
      <c r="G1960" s="2" t="s">
        <v>5589</v>
      </c>
      <c r="H1960" s="2" t="s">
        <v>5473</v>
      </c>
      <c r="I1960" s="2" t="s">
        <v>240</v>
      </c>
      <c r="J1960" s="3">
        <v>44672</v>
      </c>
      <c r="K1960" s="2">
        <v>43</v>
      </c>
      <c r="L1960" s="2" t="s">
        <v>80</v>
      </c>
    </row>
    <row r="1961" spans="1:12" x14ac:dyDescent="0.3">
      <c r="A1961" s="2">
        <v>1950</v>
      </c>
      <c r="B1961" s="2" t="s">
        <v>2098</v>
      </c>
      <c r="C1961" s="2" t="s">
        <v>5590</v>
      </c>
      <c r="D1961" s="2" t="s">
        <v>28</v>
      </c>
      <c r="E1961" s="2" t="s">
        <v>29</v>
      </c>
      <c r="F1961" s="2">
        <v>90</v>
      </c>
      <c r="G1961" s="2" t="s">
        <v>5591</v>
      </c>
      <c r="H1961" s="2" t="s">
        <v>487</v>
      </c>
      <c r="I1961" s="2" t="s">
        <v>32</v>
      </c>
      <c r="J1961" s="3">
        <v>44328</v>
      </c>
      <c r="K1961" s="2">
        <v>78</v>
      </c>
      <c r="L1961" s="2" t="s">
        <v>45</v>
      </c>
    </row>
    <row r="1962" spans="1:12" x14ac:dyDescent="0.3">
      <c r="A1962" s="2">
        <v>1951</v>
      </c>
      <c r="B1962" s="2" t="s">
        <v>5592</v>
      </c>
      <c r="C1962" s="2" t="s">
        <v>2019</v>
      </c>
      <c r="D1962" s="2" t="s">
        <v>15</v>
      </c>
      <c r="E1962" s="2" t="s">
        <v>16</v>
      </c>
      <c r="F1962" s="2">
        <v>60</v>
      </c>
      <c r="G1962" s="2" t="s">
        <v>5593</v>
      </c>
      <c r="H1962" s="2" t="s">
        <v>2008</v>
      </c>
      <c r="I1962" s="2" t="s">
        <v>129</v>
      </c>
      <c r="J1962" s="3">
        <v>44912</v>
      </c>
      <c r="K1962" s="2">
        <v>84</v>
      </c>
      <c r="L1962" s="2" t="s">
        <v>39</v>
      </c>
    </row>
    <row r="1963" spans="1:12" x14ac:dyDescent="0.3">
      <c r="A1963" s="2">
        <v>1952</v>
      </c>
      <c r="B1963" s="2" t="s">
        <v>5594</v>
      </c>
      <c r="C1963" s="2" t="s">
        <v>744</v>
      </c>
      <c r="D1963" s="2" t="s">
        <v>51</v>
      </c>
      <c r="E1963" s="2" t="s">
        <v>16</v>
      </c>
      <c r="F1963" s="2">
        <v>90</v>
      </c>
      <c r="G1963" s="2" t="s">
        <v>5595</v>
      </c>
      <c r="H1963" s="2" t="s">
        <v>5596</v>
      </c>
      <c r="I1963" s="2" t="s">
        <v>32</v>
      </c>
      <c r="J1963" s="3">
        <v>44457</v>
      </c>
      <c r="K1963" s="2">
        <v>17</v>
      </c>
      <c r="L1963" s="2" t="s">
        <v>101</v>
      </c>
    </row>
    <row r="1964" spans="1:12" x14ac:dyDescent="0.3">
      <c r="A1964" s="2">
        <v>1953</v>
      </c>
      <c r="B1964" s="2" t="s">
        <v>3867</v>
      </c>
      <c r="C1964" s="2" t="s">
        <v>5438</v>
      </c>
      <c r="D1964" s="2" t="s">
        <v>28</v>
      </c>
      <c r="E1964" s="2" t="s">
        <v>29</v>
      </c>
      <c r="F1964" s="2">
        <v>30</v>
      </c>
      <c r="G1964" s="2" t="s">
        <v>5597</v>
      </c>
      <c r="H1964" s="2" t="s">
        <v>1434</v>
      </c>
      <c r="I1964" s="2" t="s">
        <v>1435</v>
      </c>
      <c r="J1964" s="3">
        <v>44464</v>
      </c>
      <c r="K1964" s="2">
        <v>62</v>
      </c>
      <c r="L1964" s="2" t="s">
        <v>54</v>
      </c>
    </row>
    <row r="1965" spans="1:12" x14ac:dyDescent="0.3">
      <c r="A1965" s="2">
        <v>1954</v>
      </c>
      <c r="B1965" s="2" t="s">
        <v>800</v>
      </c>
      <c r="C1965" s="2" t="s">
        <v>5598</v>
      </c>
      <c r="D1965" s="2" t="s">
        <v>28</v>
      </c>
      <c r="E1965" s="2" t="s">
        <v>29</v>
      </c>
      <c r="F1965" s="2">
        <v>60</v>
      </c>
      <c r="G1965" s="2" t="s">
        <v>5599</v>
      </c>
      <c r="H1965" s="2" t="s">
        <v>1876</v>
      </c>
      <c r="I1965" s="2" t="s">
        <v>32</v>
      </c>
      <c r="J1965" s="3">
        <v>44152</v>
      </c>
      <c r="K1965" s="2">
        <v>21</v>
      </c>
      <c r="L1965" s="2" t="s">
        <v>20</v>
      </c>
    </row>
    <row r="1966" spans="1:12" x14ac:dyDescent="0.3">
      <c r="A1966" s="2">
        <v>1955</v>
      </c>
      <c r="B1966" s="2" t="s">
        <v>4092</v>
      </c>
      <c r="C1966" s="2" t="s">
        <v>3021</v>
      </c>
      <c r="D1966" s="2" t="s">
        <v>28</v>
      </c>
      <c r="E1966" s="2" t="s">
        <v>29</v>
      </c>
      <c r="F1966" s="2">
        <v>90</v>
      </c>
      <c r="G1966" s="2" t="s">
        <v>5600</v>
      </c>
      <c r="H1966" s="2" t="s">
        <v>2447</v>
      </c>
      <c r="I1966" s="2" t="s">
        <v>1869</v>
      </c>
      <c r="J1966" s="3">
        <v>44549</v>
      </c>
      <c r="K1966" s="2">
        <v>29</v>
      </c>
      <c r="L1966" s="2" t="s">
        <v>20</v>
      </c>
    </row>
    <row r="1967" spans="1:12" x14ac:dyDescent="0.3">
      <c r="A1967" s="2">
        <v>1956</v>
      </c>
      <c r="B1967" s="2" t="s">
        <v>5601</v>
      </c>
      <c r="C1967" s="2" t="s">
        <v>1159</v>
      </c>
      <c r="D1967" s="2" t="s">
        <v>28</v>
      </c>
      <c r="E1967" s="2" t="s">
        <v>29</v>
      </c>
      <c r="F1967" s="2">
        <v>30</v>
      </c>
      <c r="G1967" s="2" t="s">
        <v>5602</v>
      </c>
      <c r="H1967" s="2" t="s">
        <v>5603</v>
      </c>
      <c r="I1967" s="2" t="s">
        <v>32</v>
      </c>
      <c r="J1967" s="3">
        <v>44698</v>
      </c>
      <c r="K1967" s="2">
        <v>40</v>
      </c>
      <c r="L1967" s="2" t="s">
        <v>20</v>
      </c>
    </row>
    <row r="1968" spans="1:12" x14ac:dyDescent="0.3">
      <c r="A1968" s="2">
        <v>1957</v>
      </c>
      <c r="B1968" s="2" t="s">
        <v>5604</v>
      </c>
      <c r="C1968" s="2" t="s">
        <v>106</v>
      </c>
      <c r="D1968" s="2" t="s">
        <v>28</v>
      </c>
      <c r="E1968" s="2" t="s">
        <v>29</v>
      </c>
      <c r="F1968" s="2">
        <v>60</v>
      </c>
      <c r="G1968" s="2" t="s">
        <v>5605</v>
      </c>
      <c r="H1968" s="2" t="s">
        <v>4413</v>
      </c>
      <c r="I1968" s="2" t="s">
        <v>32</v>
      </c>
      <c r="J1968" s="3">
        <v>44799</v>
      </c>
      <c r="K1968" s="2">
        <v>75</v>
      </c>
      <c r="L1968" s="2" t="s">
        <v>101</v>
      </c>
    </row>
    <row r="1969" spans="1:12" x14ac:dyDescent="0.3">
      <c r="A1969" s="2">
        <v>1958</v>
      </c>
      <c r="B1969" s="2" t="s">
        <v>511</v>
      </c>
      <c r="C1969" s="2" t="s">
        <v>489</v>
      </c>
      <c r="D1969" s="2" t="s">
        <v>51</v>
      </c>
      <c r="E1969" s="2" t="s">
        <v>16</v>
      </c>
      <c r="F1969" s="2">
        <v>30</v>
      </c>
      <c r="G1969" s="2" t="s">
        <v>5606</v>
      </c>
      <c r="H1969" s="2" t="s">
        <v>3659</v>
      </c>
      <c r="I1969" s="2" t="s">
        <v>3660</v>
      </c>
      <c r="J1969" s="3">
        <v>44781</v>
      </c>
      <c r="K1969" s="2">
        <v>51</v>
      </c>
      <c r="L1969" s="2" t="s">
        <v>70</v>
      </c>
    </row>
    <row r="1970" spans="1:12" x14ac:dyDescent="0.3">
      <c r="A1970" s="2">
        <v>1959</v>
      </c>
      <c r="B1970" s="2" t="s">
        <v>125</v>
      </c>
      <c r="C1970" s="2" t="s">
        <v>4722</v>
      </c>
      <c r="D1970" s="2" t="s">
        <v>15</v>
      </c>
      <c r="E1970" s="2" t="s">
        <v>16</v>
      </c>
      <c r="F1970" s="2">
        <v>30</v>
      </c>
      <c r="G1970" s="2" t="s">
        <v>5606</v>
      </c>
      <c r="H1970" s="2" t="s">
        <v>938</v>
      </c>
      <c r="I1970" s="2" t="s">
        <v>25</v>
      </c>
      <c r="J1970" s="3">
        <v>44462</v>
      </c>
      <c r="K1970" s="2">
        <v>57</v>
      </c>
      <c r="L1970" s="2" t="s">
        <v>39</v>
      </c>
    </row>
    <row r="1971" spans="1:12" x14ac:dyDescent="0.3">
      <c r="A1971" s="2">
        <v>1960</v>
      </c>
      <c r="B1971" s="2" t="s">
        <v>1773</v>
      </c>
      <c r="C1971" s="2" t="s">
        <v>2521</v>
      </c>
      <c r="D1971" s="2" t="s">
        <v>28</v>
      </c>
      <c r="E1971" s="2" t="s">
        <v>29</v>
      </c>
      <c r="F1971" s="2">
        <v>60</v>
      </c>
      <c r="G1971" s="2" t="s">
        <v>5606</v>
      </c>
      <c r="H1971" s="2" t="s">
        <v>2599</v>
      </c>
      <c r="I1971" s="2" t="s">
        <v>25</v>
      </c>
      <c r="J1971" s="3">
        <v>43991</v>
      </c>
      <c r="K1971" s="2">
        <v>62</v>
      </c>
      <c r="L1971" s="2" t="s">
        <v>33</v>
      </c>
    </row>
    <row r="1972" spans="1:12" x14ac:dyDescent="0.3">
      <c r="A1972" s="2">
        <v>1961</v>
      </c>
      <c r="B1972" s="2" t="s">
        <v>5607</v>
      </c>
      <c r="C1972" s="2" t="s">
        <v>430</v>
      </c>
      <c r="D1972" s="2" t="s">
        <v>51</v>
      </c>
      <c r="E1972" s="2" t="s">
        <v>16</v>
      </c>
      <c r="F1972" s="2">
        <v>90</v>
      </c>
      <c r="G1972" s="2" t="s">
        <v>5608</v>
      </c>
      <c r="H1972" s="2" t="s">
        <v>5609</v>
      </c>
      <c r="I1972" s="2" t="s">
        <v>19</v>
      </c>
      <c r="J1972" s="3">
        <v>44855</v>
      </c>
      <c r="K1972" s="2">
        <v>45</v>
      </c>
      <c r="L1972" s="2" t="s">
        <v>20</v>
      </c>
    </row>
    <row r="1973" spans="1:12" x14ac:dyDescent="0.3">
      <c r="A1973" s="2">
        <v>1962</v>
      </c>
      <c r="B1973" s="2" t="s">
        <v>188</v>
      </c>
      <c r="C1973" s="2" t="s">
        <v>1024</v>
      </c>
      <c r="D1973" s="2" t="s">
        <v>28</v>
      </c>
      <c r="E1973" s="2" t="s">
        <v>29</v>
      </c>
      <c r="F1973" s="2">
        <v>30</v>
      </c>
      <c r="G1973" s="2" t="s">
        <v>5610</v>
      </c>
      <c r="H1973" s="2" t="s">
        <v>5611</v>
      </c>
      <c r="I1973" s="2" t="s">
        <v>32</v>
      </c>
      <c r="J1973" s="3">
        <v>44658</v>
      </c>
      <c r="K1973" s="2">
        <v>84</v>
      </c>
      <c r="L1973" s="2" t="s">
        <v>159</v>
      </c>
    </row>
    <row r="1974" spans="1:12" x14ac:dyDescent="0.3">
      <c r="A1974" s="2">
        <v>1963</v>
      </c>
      <c r="B1974" s="2" t="s">
        <v>5612</v>
      </c>
      <c r="C1974" s="2" t="s">
        <v>1517</v>
      </c>
      <c r="D1974" s="2" t="s">
        <v>15</v>
      </c>
      <c r="E1974" s="2" t="s">
        <v>16</v>
      </c>
      <c r="F1974" s="2">
        <v>90</v>
      </c>
      <c r="G1974" s="2" t="s">
        <v>5613</v>
      </c>
      <c r="H1974" s="2" t="s">
        <v>2848</v>
      </c>
      <c r="I1974" s="2" t="s">
        <v>129</v>
      </c>
      <c r="J1974" s="3">
        <v>44564</v>
      </c>
      <c r="K1974" s="2">
        <v>72</v>
      </c>
      <c r="L1974" s="2" t="s">
        <v>54</v>
      </c>
    </row>
    <row r="1975" spans="1:12" x14ac:dyDescent="0.3">
      <c r="A1975" s="2">
        <v>1964</v>
      </c>
      <c r="B1975" s="2" t="s">
        <v>5614</v>
      </c>
      <c r="C1975" s="2" t="s">
        <v>2028</v>
      </c>
      <c r="D1975" s="2" t="s">
        <v>28</v>
      </c>
      <c r="E1975" s="2" t="s">
        <v>29</v>
      </c>
      <c r="F1975" s="2">
        <v>60</v>
      </c>
      <c r="G1975" s="2" t="s">
        <v>5615</v>
      </c>
      <c r="H1975" s="2" t="s">
        <v>993</v>
      </c>
      <c r="I1975" s="2" t="s">
        <v>32</v>
      </c>
      <c r="J1975" s="3">
        <v>43863</v>
      </c>
      <c r="K1975" s="2">
        <v>17</v>
      </c>
      <c r="L1975" s="2" t="s">
        <v>80</v>
      </c>
    </row>
    <row r="1976" spans="1:12" x14ac:dyDescent="0.3">
      <c r="A1976" s="2">
        <v>1965</v>
      </c>
      <c r="B1976" s="2" t="s">
        <v>4018</v>
      </c>
      <c r="C1976" s="2" t="s">
        <v>1727</v>
      </c>
      <c r="D1976" s="2" t="s">
        <v>28</v>
      </c>
      <c r="E1976" s="2" t="s">
        <v>29</v>
      </c>
      <c r="F1976" s="2">
        <v>90</v>
      </c>
      <c r="G1976" s="2" t="s">
        <v>5616</v>
      </c>
      <c r="H1976" s="2" t="s">
        <v>4699</v>
      </c>
      <c r="I1976" s="2" t="s">
        <v>32</v>
      </c>
      <c r="J1976" s="3">
        <v>44919</v>
      </c>
      <c r="K1976" s="2">
        <v>97</v>
      </c>
      <c r="L1976" s="2" t="s">
        <v>20</v>
      </c>
    </row>
    <row r="1977" spans="1:12" x14ac:dyDescent="0.3">
      <c r="A1977" s="2">
        <v>1966</v>
      </c>
      <c r="B1977" s="2" t="s">
        <v>5617</v>
      </c>
      <c r="C1977" s="2" t="s">
        <v>1662</v>
      </c>
      <c r="D1977" s="2" t="s">
        <v>51</v>
      </c>
      <c r="E1977" s="2" t="s">
        <v>16</v>
      </c>
      <c r="F1977" s="2">
        <v>30</v>
      </c>
      <c r="G1977" s="2" t="s">
        <v>5618</v>
      </c>
      <c r="H1977" s="2" t="s">
        <v>5619</v>
      </c>
      <c r="I1977" s="2" t="s">
        <v>32</v>
      </c>
      <c r="J1977" s="3">
        <v>44388</v>
      </c>
      <c r="K1977" s="2">
        <v>22</v>
      </c>
      <c r="L1977" s="2" t="s">
        <v>159</v>
      </c>
    </row>
    <row r="1978" spans="1:12" x14ac:dyDescent="0.3">
      <c r="A1978" s="2">
        <v>1967</v>
      </c>
      <c r="B1978" s="2" t="s">
        <v>1405</v>
      </c>
      <c r="C1978" s="2" t="s">
        <v>4242</v>
      </c>
      <c r="D1978" s="2" t="s">
        <v>28</v>
      </c>
      <c r="E1978" s="2" t="s">
        <v>29</v>
      </c>
      <c r="F1978" s="2">
        <v>30</v>
      </c>
      <c r="G1978" s="2" t="s">
        <v>5620</v>
      </c>
      <c r="H1978" s="2" t="s">
        <v>652</v>
      </c>
      <c r="I1978" s="2" t="s">
        <v>32</v>
      </c>
      <c r="J1978" s="3">
        <v>44407</v>
      </c>
      <c r="K1978" s="2">
        <v>16</v>
      </c>
      <c r="L1978" s="2" t="s">
        <v>101</v>
      </c>
    </row>
    <row r="1979" spans="1:12" x14ac:dyDescent="0.3">
      <c r="A1979" s="2">
        <v>1968</v>
      </c>
      <c r="B1979" s="2" t="s">
        <v>5621</v>
      </c>
      <c r="C1979" s="2" t="s">
        <v>2963</v>
      </c>
      <c r="D1979" s="2" t="s">
        <v>51</v>
      </c>
      <c r="E1979" s="2" t="s">
        <v>16</v>
      </c>
      <c r="F1979" s="2">
        <v>30</v>
      </c>
      <c r="G1979" s="2" t="s">
        <v>5622</v>
      </c>
      <c r="H1979" s="2" t="s">
        <v>2186</v>
      </c>
      <c r="I1979" s="2" t="s">
        <v>187</v>
      </c>
      <c r="J1979" s="3">
        <v>44078</v>
      </c>
      <c r="K1979" s="2">
        <v>7</v>
      </c>
      <c r="L1979" s="2" t="s">
        <v>54</v>
      </c>
    </row>
    <row r="1980" spans="1:12" x14ac:dyDescent="0.3">
      <c r="A1980" s="2">
        <v>1969</v>
      </c>
      <c r="B1980" s="2" t="s">
        <v>5623</v>
      </c>
      <c r="C1980" s="2" t="s">
        <v>5624</v>
      </c>
      <c r="D1980" s="2" t="s">
        <v>28</v>
      </c>
      <c r="E1980" s="2" t="s">
        <v>29</v>
      </c>
      <c r="F1980" s="2">
        <v>30</v>
      </c>
      <c r="G1980" s="2" t="s">
        <v>5625</v>
      </c>
      <c r="H1980" s="2" t="s">
        <v>1996</v>
      </c>
      <c r="I1980" s="2" t="s">
        <v>208</v>
      </c>
      <c r="J1980" s="3">
        <v>44273</v>
      </c>
      <c r="K1980" s="2">
        <v>74</v>
      </c>
      <c r="L1980" s="2" t="s">
        <v>33</v>
      </c>
    </row>
    <row r="1981" spans="1:12" x14ac:dyDescent="0.3">
      <c r="A1981" s="2">
        <v>1970</v>
      </c>
      <c r="B1981" s="2" t="s">
        <v>5585</v>
      </c>
      <c r="C1981" s="2" t="s">
        <v>5626</v>
      </c>
      <c r="D1981" s="2" t="s">
        <v>41</v>
      </c>
      <c r="E1981" s="2" t="s">
        <v>16</v>
      </c>
      <c r="F1981" s="2">
        <v>30</v>
      </c>
      <c r="G1981" s="2" t="s">
        <v>5627</v>
      </c>
      <c r="H1981" s="2" t="s">
        <v>5628</v>
      </c>
      <c r="I1981" s="2" t="s">
        <v>32</v>
      </c>
      <c r="J1981" s="3">
        <v>44171</v>
      </c>
      <c r="K1981" s="2">
        <v>33</v>
      </c>
      <c r="L1981" s="2" t="s">
        <v>54</v>
      </c>
    </row>
    <row r="1982" spans="1:12" x14ac:dyDescent="0.3">
      <c r="A1982" s="2">
        <v>1971</v>
      </c>
      <c r="B1982" s="2" t="s">
        <v>5629</v>
      </c>
      <c r="C1982" s="2" t="s">
        <v>3884</v>
      </c>
      <c r="D1982" s="2" t="s">
        <v>15</v>
      </c>
      <c r="E1982" s="2" t="s">
        <v>16</v>
      </c>
      <c r="F1982" s="2">
        <v>90</v>
      </c>
      <c r="G1982" s="2" t="s">
        <v>5630</v>
      </c>
      <c r="H1982" s="2" t="s">
        <v>5631</v>
      </c>
      <c r="I1982" s="2" t="s">
        <v>129</v>
      </c>
      <c r="J1982" s="3">
        <v>44219</v>
      </c>
      <c r="K1982" s="2">
        <v>83</v>
      </c>
      <c r="L1982" s="2" t="s">
        <v>20</v>
      </c>
    </row>
    <row r="1983" spans="1:12" x14ac:dyDescent="0.3">
      <c r="A1983" s="2">
        <v>1972</v>
      </c>
      <c r="B1983" s="2" t="s">
        <v>5632</v>
      </c>
      <c r="C1983" s="2" t="s">
        <v>3210</v>
      </c>
      <c r="D1983" s="2" t="s">
        <v>15</v>
      </c>
      <c r="E1983" s="2" t="s">
        <v>16</v>
      </c>
      <c r="F1983" s="2">
        <v>60</v>
      </c>
      <c r="G1983" s="2" t="s">
        <v>5633</v>
      </c>
      <c r="H1983" s="2" t="s">
        <v>5634</v>
      </c>
      <c r="I1983" s="2" t="s">
        <v>32</v>
      </c>
      <c r="J1983" s="3">
        <v>43860</v>
      </c>
      <c r="K1983" s="2">
        <v>41</v>
      </c>
      <c r="L1983" s="2" t="s">
        <v>20</v>
      </c>
    </row>
    <row r="1984" spans="1:12" x14ac:dyDescent="0.3">
      <c r="A1984" s="2">
        <v>1973</v>
      </c>
      <c r="B1984" s="2" t="s">
        <v>5635</v>
      </c>
      <c r="C1984" s="2" t="s">
        <v>5067</v>
      </c>
      <c r="D1984" s="2" t="s">
        <v>51</v>
      </c>
      <c r="E1984" s="2" t="s">
        <v>16</v>
      </c>
      <c r="F1984" s="2">
        <v>30</v>
      </c>
      <c r="G1984" s="2" t="s">
        <v>5636</v>
      </c>
      <c r="H1984" s="2" t="s">
        <v>5637</v>
      </c>
      <c r="I1984" s="2" t="s">
        <v>32</v>
      </c>
      <c r="J1984" s="3">
        <v>44764</v>
      </c>
      <c r="K1984" s="2">
        <v>2</v>
      </c>
      <c r="L1984" s="2" t="s">
        <v>33</v>
      </c>
    </row>
    <row r="1985" spans="1:12" x14ac:dyDescent="0.3">
      <c r="A1985" s="2">
        <v>1974</v>
      </c>
      <c r="B1985" s="2" t="s">
        <v>3198</v>
      </c>
      <c r="C1985" s="2" t="s">
        <v>5638</v>
      </c>
      <c r="D1985" s="2" t="s">
        <v>28</v>
      </c>
      <c r="E1985" s="2" t="s">
        <v>29</v>
      </c>
      <c r="F1985" s="2">
        <v>90</v>
      </c>
      <c r="G1985" s="2" t="s">
        <v>5639</v>
      </c>
      <c r="H1985" s="2" t="s">
        <v>3790</v>
      </c>
      <c r="I1985" s="2" t="s">
        <v>32</v>
      </c>
      <c r="J1985" s="3">
        <v>43988</v>
      </c>
      <c r="K1985" s="2">
        <v>50</v>
      </c>
      <c r="L1985" s="2" t="s">
        <v>39</v>
      </c>
    </row>
    <row r="1986" spans="1:12" x14ac:dyDescent="0.3">
      <c r="A1986" s="2">
        <v>1975</v>
      </c>
      <c r="B1986" s="2" t="s">
        <v>4430</v>
      </c>
      <c r="C1986" s="2" t="s">
        <v>5568</v>
      </c>
      <c r="D1986" s="2" t="s">
        <v>28</v>
      </c>
      <c r="E1986" s="2" t="s">
        <v>29</v>
      </c>
      <c r="F1986" s="2">
        <v>30</v>
      </c>
      <c r="G1986" s="2" t="s">
        <v>5640</v>
      </c>
      <c r="H1986" s="2" t="s">
        <v>534</v>
      </c>
      <c r="I1986" s="2" t="s">
        <v>32</v>
      </c>
      <c r="J1986" s="3">
        <v>44046</v>
      </c>
      <c r="K1986" s="2">
        <v>3</v>
      </c>
      <c r="L1986" s="2" t="s">
        <v>101</v>
      </c>
    </row>
    <row r="1987" spans="1:12" x14ac:dyDescent="0.3">
      <c r="A1987" s="2">
        <v>1976</v>
      </c>
      <c r="B1987" s="2" t="s">
        <v>5641</v>
      </c>
      <c r="C1987" s="2" t="s">
        <v>2286</v>
      </c>
      <c r="D1987" s="2" t="s">
        <v>51</v>
      </c>
      <c r="E1987" s="2" t="s">
        <v>16</v>
      </c>
      <c r="F1987" s="2">
        <v>30</v>
      </c>
      <c r="G1987" s="2" t="s">
        <v>5642</v>
      </c>
      <c r="H1987" s="2" t="s">
        <v>5643</v>
      </c>
      <c r="I1987" s="2" t="s">
        <v>886</v>
      </c>
      <c r="J1987" s="3">
        <v>44197</v>
      </c>
      <c r="K1987" s="2">
        <v>29</v>
      </c>
      <c r="L1987" s="2" t="s">
        <v>20</v>
      </c>
    </row>
    <row r="1988" spans="1:12" x14ac:dyDescent="0.3">
      <c r="A1988" s="2">
        <v>1977</v>
      </c>
      <c r="B1988" s="2" t="s">
        <v>5644</v>
      </c>
      <c r="C1988" s="2" t="s">
        <v>5645</v>
      </c>
      <c r="D1988" s="2" t="s">
        <v>28</v>
      </c>
      <c r="E1988" s="2" t="s">
        <v>29</v>
      </c>
      <c r="F1988" s="2">
        <v>60</v>
      </c>
      <c r="G1988" s="2" t="s">
        <v>5646</v>
      </c>
      <c r="H1988" s="2" t="s">
        <v>5647</v>
      </c>
      <c r="I1988" s="2" t="s">
        <v>38</v>
      </c>
      <c r="J1988" s="3">
        <v>44682</v>
      </c>
      <c r="K1988" s="2">
        <v>71</v>
      </c>
      <c r="L1988" s="2" t="s">
        <v>33</v>
      </c>
    </row>
    <row r="1989" spans="1:12" x14ac:dyDescent="0.3">
      <c r="A1989" s="2">
        <v>1978</v>
      </c>
      <c r="B1989" s="2" t="s">
        <v>5648</v>
      </c>
      <c r="C1989" s="2" t="s">
        <v>5649</v>
      </c>
      <c r="D1989" s="2" t="s">
        <v>41</v>
      </c>
      <c r="E1989" s="2" t="s">
        <v>16</v>
      </c>
      <c r="F1989" s="2">
        <v>30</v>
      </c>
      <c r="G1989" s="2" t="s">
        <v>5650</v>
      </c>
      <c r="H1989" s="2" t="s">
        <v>4669</v>
      </c>
      <c r="I1989" s="2" t="s">
        <v>187</v>
      </c>
      <c r="J1989" s="3">
        <v>44147</v>
      </c>
      <c r="K1989" s="2">
        <v>33</v>
      </c>
      <c r="L1989" s="2" t="s">
        <v>39</v>
      </c>
    </row>
    <row r="1990" spans="1:12" x14ac:dyDescent="0.3">
      <c r="A1990" s="2">
        <v>1979</v>
      </c>
      <c r="B1990" s="2" t="s">
        <v>2051</v>
      </c>
      <c r="C1990" s="2" t="s">
        <v>1154</v>
      </c>
      <c r="D1990" s="2" t="s">
        <v>28</v>
      </c>
      <c r="E1990" s="2" t="s">
        <v>29</v>
      </c>
      <c r="F1990" s="2">
        <v>30</v>
      </c>
      <c r="G1990" s="2" t="s">
        <v>5651</v>
      </c>
      <c r="H1990" s="2" t="s">
        <v>5652</v>
      </c>
      <c r="I1990" s="2" t="s">
        <v>32</v>
      </c>
      <c r="J1990" s="3">
        <v>44657</v>
      </c>
      <c r="K1990" s="2">
        <v>96</v>
      </c>
      <c r="L1990" s="2" t="s">
        <v>45</v>
      </c>
    </row>
    <row r="1991" spans="1:12" x14ac:dyDescent="0.3">
      <c r="A1991" s="2">
        <v>1980</v>
      </c>
      <c r="B1991" s="2" t="s">
        <v>5018</v>
      </c>
      <c r="C1991" s="2" t="s">
        <v>5653</v>
      </c>
      <c r="D1991" s="2" t="s">
        <v>15</v>
      </c>
      <c r="E1991" s="2" t="s">
        <v>16</v>
      </c>
      <c r="F1991" s="2">
        <v>30</v>
      </c>
      <c r="G1991" s="2" t="s">
        <v>5654</v>
      </c>
      <c r="H1991" s="2" t="s">
        <v>928</v>
      </c>
      <c r="I1991" s="2" t="s">
        <v>38</v>
      </c>
      <c r="J1991" s="3">
        <v>44007</v>
      </c>
      <c r="K1991" s="2">
        <v>55</v>
      </c>
      <c r="L1991" s="2" t="s">
        <v>159</v>
      </c>
    </row>
    <row r="1992" spans="1:12" x14ac:dyDescent="0.3">
      <c r="A1992" s="2">
        <v>1981</v>
      </c>
      <c r="B1992" s="2" t="s">
        <v>4596</v>
      </c>
      <c r="C1992" s="2" t="s">
        <v>5180</v>
      </c>
      <c r="D1992" s="2" t="s">
        <v>28</v>
      </c>
      <c r="E1992" s="2" t="s">
        <v>29</v>
      </c>
      <c r="F1992" s="2">
        <v>90</v>
      </c>
      <c r="G1992" s="2" t="s">
        <v>5655</v>
      </c>
      <c r="H1992" s="2" t="s">
        <v>2411</v>
      </c>
      <c r="I1992" s="2" t="s">
        <v>25</v>
      </c>
      <c r="J1992" s="3">
        <v>43886</v>
      </c>
      <c r="K1992" s="2">
        <v>3</v>
      </c>
      <c r="L1992" s="2" t="s">
        <v>159</v>
      </c>
    </row>
    <row r="1993" spans="1:12" x14ac:dyDescent="0.3">
      <c r="A1993" s="2">
        <v>1982</v>
      </c>
      <c r="B1993" s="2" t="s">
        <v>5656</v>
      </c>
      <c r="C1993" s="2" t="s">
        <v>1692</v>
      </c>
      <c r="D1993" s="2" t="s">
        <v>117</v>
      </c>
      <c r="E1993" s="2" t="s">
        <v>16</v>
      </c>
      <c r="F1993" s="2">
        <v>90</v>
      </c>
      <c r="G1993" s="2" t="s">
        <v>5657</v>
      </c>
      <c r="H1993" s="2" t="s">
        <v>474</v>
      </c>
      <c r="I1993" s="2" t="s">
        <v>475</v>
      </c>
      <c r="J1993" s="3">
        <v>44030</v>
      </c>
      <c r="K1993" s="2">
        <v>22</v>
      </c>
      <c r="L1993" s="2" t="s">
        <v>39</v>
      </c>
    </row>
    <row r="1994" spans="1:12" x14ac:dyDescent="0.3">
      <c r="A1994" s="2">
        <v>1983</v>
      </c>
      <c r="B1994" s="2" t="s">
        <v>5658</v>
      </c>
      <c r="C1994" s="2" t="s">
        <v>5659</v>
      </c>
      <c r="D1994" s="2" t="s">
        <v>51</v>
      </c>
      <c r="E1994" s="2" t="s">
        <v>16</v>
      </c>
      <c r="F1994" s="2">
        <v>30</v>
      </c>
      <c r="G1994" s="2" t="s">
        <v>5660</v>
      </c>
      <c r="H1994" s="2" t="s">
        <v>137</v>
      </c>
      <c r="I1994" s="2" t="s">
        <v>32</v>
      </c>
      <c r="J1994" s="3">
        <v>44739</v>
      </c>
      <c r="K1994" s="2">
        <v>50</v>
      </c>
      <c r="L1994" s="2" t="s">
        <v>54</v>
      </c>
    </row>
    <row r="1995" spans="1:12" x14ac:dyDescent="0.3">
      <c r="A1995" s="2">
        <v>1984</v>
      </c>
      <c r="B1995" s="2" t="s">
        <v>5444</v>
      </c>
      <c r="C1995" s="2" t="s">
        <v>5328</v>
      </c>
      <c r="D1995" s="2" t="s">
        <v>51</v>
      </c>
      <c r="E1995" s="2" t="s">
        <v>16</v>
      </c>
      <c r="F1995" s="2">
        <v>90</v>
      </c>
      <c r="G1995" s="2" t="s">
        <v>5661</v>
      </c>
      <c r="H1995" s="2" t="s">
        <v>1206</v>
      </c>
      <c r="I1995" s="2" t="s">
        <v>294</v>
      </c>
      <c r="J1995" s="3">
        <v>43924</v>
      </c>
      <c r="K1995" s="2">
        <v>17</v>
      </c>
      <c r="L1995" s="2" t="s">
        <v>159</v>
      </c>
    </row>
    <row r="1996" spans="1:12" x14ac:dyDescent="0.3">
      <c r="A1996" s="2">
        <v>1985</v>
      </c>
      <c r="B1996" s="2" t="s">
        <v>5662</v>
      </c>
      <c r="C1996" s="2" t="s">
        <v>1032</v>
      </c>
      <c r="D1996" s="2" t="s">
        <v>28</v>
      </c>
      <c r="E1996" s="2" t="s">
        <v>29</v>
      </c>
      <c r="F1996" s="2">
        <v>30</v>
      </c>
      <c r="G1996" s="2" t="s">
        <v>5663</v>
      </c>
      <c r="H1996" s="2" t="s">
        <v>5664</v>
      </c>
      <c r="I1996" s="2" t="s">
        <v>187</v>
      </c>
      <c r="J1996" s="3">
        <v>44831</v>
      </c>
      <c r="K1996" s="2">
        <v>17</v>
      </c>
      <c r="L1996" s="2" t="s">
        <v>54</v>
      </c>
    </row>
    <row r="1997" spans="1:12" x14ac:dyDescent="0.3">
      <c r="A1997" s="2">
        <v>1986</v>
      </c>
      <c r="B1997" s="2" t="s">
        <v>3103</v>
      </c>
      <c r="C1997" s="2" t="s">
        <v>5665</v>
      </c>
      <c r="D1997" s="2" t="s">
        <v>51</v>
      </c>
      <c r="E1997" s="2" t="s">
        <v>16</v>
      </c>
      <c r="F1997" s="2">
        <v>90</v>
      </c>
      <c r="G1997" s="2" t="s">
        <v>5666</v>
      </c>
      <c r="H1997" s="2" t="s">
        <v>5667</v>
      </c>
      <c r="I1997" s="2" t="s">
        <v>32</v>
      </c>
      <c r="J1997" s="3">
        <v>43917</v>
      </c>
      <c r="K1997" s="2">
        <v>15</v>
      </c>
      <c r="L1997" s="2" t="s">
        <v>54</v>
      </c>
    </row>
    <row r="1998" spans="1:12" x14ac:dyDescent="0.3">
      <c r="A1998" s="2">
        <v>1987</v>
      </c>
      <c r="B1998" s="2" t="s">
        <v>2617</v>
      </c>
      <c r="C1998" s="2" t="s">
        <v>5668</v>
      </c>
      <c r="D1998" s="2" t="s">
        <v>28</v>
      </c>
      <c r="E1998" s="2" t="s">
        <v>29</v>
      </c>
      <c r="F1998" s="2">
        <v>60</v>
      </c>
      <c r="G1998" s="2" t="s">
        <v>5669</v>
      </c>
      <c r="H1998" s="2" t="s">
        <v>2183</v>
      </c>
      <c r="I1998" s="2" t="s">
        <v>124</v>
      </c>
      <c r="J1998" s="3">
        <v>44501</v>
      </c>
      <c r="K1998" s="2">
        <v>62</v>
      </c>
      <c r="L1998" s="2" t="s">
        <v>80</v>
      </c>
    </row>
    <row r="1999" spans="1:12" x14ac:dyDescent="0.3">
      <c r="A1999" s="2">
        <v>1988</v>
      </c>
      <c r="B1999" s="2" t="s">
        <v>5670</v>
      </c>
      <c r="C1999" s="2" t="s">
        <v>5671</v>
      </c>
      <c r="D1999" s="2" t="s">
        <v>28</v>
      </c>
      <c r="E1999" s="2" t="s">
        <v>29</v>
      </c>
      <c r="F1999" s="2">
        <v>30</v>
      </c>
      <c r="G1999" s="2" t="s">
        <v>5672</v>
      </c>
      <c r="H1999" s="2" t="s">
        <v>2608</v>
      </c>
      <c r="I1999" s="2" t="s">
        <v>38</v>
      </c>
      <c r="J1999" s="3">
        <v>44020</v>
      </c>
      <c r="K1999" s="2">
        <v>69</v>
      </c>
      <c r="L1999" s="2" t="s">
        <v>70</v>
      </c>
    </row>
    <row r="2000" spans="1:12" x14ac:dyDescent="0.3">
      <c r="A2000" s="2">
        <v>1989</v>
      </c>
      <c r="B2000" s="2" t="s">
        <v>5673</v>
      </c>
      <c r="C2000" s="2" t="s">
        <v>5674</v>
      </c>
      <c r="D2000" s="2" t="s">
        <v>51</v>
      </c>
      <c r="E2000" s="2" t="s">
        <v>16</v>
      </c>
      <c r="F2000" s="2">
        <v>90</v>
      </c>
      <c r="G2000" s="2" t="s">
        <v>5675</v>
      </c>
      <c r="H2000" s="2" t="s">
        <v>970</v>
      </c>
      <c r="I2000" s="2" t="s">
        <v>187</v>
      </c>
      <c r="J2000" s="3">
        <v>44868</v>
      </c>
      <c r="K2000" s="2">
        <v>2</v>
      </c>
      <c r="L2000" s="2" t="s">
        <v>159</v>
      </c>
    </row>
    <row r="2001" spans="1:12" x14ac:dyDescent="0.3">
      <c r="A2001" s="2">
        <v>1990</v>
      </c>
      <c r="B2001" s="2" t="s">
        <v>5676</v>
      </c>
      <c r="C2001" s="2" t="s">
        <v>5677</v>
      </c>
      <c r="D2001" s="2" t="s">
        <v>51</v>
      </c>
      <c r="E2001" s="2" t="s">
        <v>16</v>
      </c>
      <c r="F2001" s="2">
        <v>60</v>
      </c>
      <c r="G2001" s="2" t="s">
        <v>5678</v>
      </c>
      <c r="H2001" s="2" t="s">
        <v>2305</v>
      </c>
      <c r="I2001" s="2" t="s">
        <v>25</v>
      </c>
      <c r="J2001" s="3">
        <v>44410</v>
      </c>
      <c r="K2001" s="2">
        <v>91</v>
      </c>
      <c r="L2001" s="2" t="s">
        <v>80</v>
      </c>
    </row>
    <row r="2002" spans="1:12" x14ac:dyDescent="0.3">
      <c r="A2002" s="2">
        <v>1991</v>
      </c>
      <c r="B2002" s="2" t="s">
        <v>155</v>
      </c>
      <c r="C2002" s="2" t="s">
        <v>3338</v>
      </c>
      <c r="D2002" s="2" t="s">
        <v>28</v>
      </c>
      <c r="E2002" s="2" t="s">
        <v>29</v>
      </c>
      <c r="F2002" s="2">
        <v>90</v>
      </c>
      <c r="G2002" s="2" t="s">
        <v>5679</v>
      </c>
      <c r="H2002" s="2" t="s">
        <v>957</v>
      </c>
      <c r="I2002" s="2" t="s">
        <v>95</v>
      </c>
      <c r="J2002" s="3">
        <v>44249</v>
      </c>
      <c r="K2002" s="2">
        <v>53</v>
      </c>
      <c r="L2002" s="2" t="s">
        <v>39</v>
      </c>
    </row>
    <row r="2003" spans="1:12" x14ac:dyDescent="0.3">
      <c r="A2003" s="2">
        <v>1992</v>
      </c>
      <c r="B2003" s="2" t="s">
        <v>5680</v>
      </c>
      <c r="C2003" s="2" t="s">
        <v>921</v>
      </c>
      <c r="D2003" s="2" t="s">
        <v>621</v>
      </c>
      <c r="E2003" s="2" t="s">
        <v>29</v>
      </c>
      <c r="F2003" s="2">
        <v>30</v>
      </c>
      <c r="G2003" s="2" t="s">
        <v>10513</v>
      </c>
      <c r="H2003" s="2" t="s">
        <v>5682</v>
      </c>
      <c r="I2003" s="2" t="s">
        <v>173</v>
      </c>
      <c r="J2003" s="3">
        <v>43994</v>
      </c>
      <c r="K2003" s="2">
        <v>42</v>
      </c>
      <c r="L2003" s="2" t="s">
        <v>33</v>
      </c>
    </row>
    <row r="2004" spans="1:12" x14ac:dyDescent="0.3">
      <c r="A2004" s="2">
        <v>1993</v>
      </c>
      <c r="B2004" s="2" t="s">
        <v>5684</v>
      </c>
      <c r="C2004" s="2" t="s">
        <v>4469</v>
      </c>
      <c r="D2004" s="2" t="s">
        <v>41</v>
      </c>
      <c r="E2004" s="2" t="s">
        <v>16</v>
      </c>
      <c r="F2004" s="2">
        <v>60</v>
      </c>
      <c r="G2004" s="2" t="s">
        <v>5685</v>
      </c>
      <c r="H2004" s="2" t="s">
        <v>5686</v>
      </c>
      <c r="I2004" s="2" t="s">
        <v>32</v>
      </c>
      <c r="J2004" s="3">
        <v>44113</v>
      </c>
      <c r="K2004" s="2">
        <v>6</v>
      </c>
      <c r="L2004" s="2" t="s">
        <v>159</v>
      </c>
    </row>
    <row r="2005" spans="1:12" x14ac:dyDescent="0.3">
      <c r="A2005" s="2">
        <v>1994</v>
      </c>
      <c r="B2005" s="2" t="s">
        <v>5687</v>
      </c>
      <c r="C2005" s="2" t="s">
        <v>1840</v>
      </c>
      <c r="D2005" s="2" t="s">
        <v>51</v>
      </c>
      <c r="E2005" s="2" t="s">
        <v>16</v>
      </c>
      <c r="F2005" s="2">
        <v>30</v>
      </c>
      <c r="G2005" s="2" t="s">
        <v>5688</v>
      </c>
      <c r="H2005" s="2" t="s">
        <v>244</v>
      </c>
      <c r="I2005" s="2" t="s">
        <v>240</v>
      </c>
      <c r="J2005" s="3">
        <v>43886</v>
      </c>
      <c r="K2005" s="2">
        <v>79</v>
      </c>
      <c r="L2005" s="2" t="s">
        <v>39</v>
      </c>
    </row>
    <row r="2006" spans="1:12" x14ac:dyDescent="0.3">
      <c r="A2006" s="2">
        <v>1995</v>
      </c>
      <c r="B2006" s="2" t="s">
        <v>2731</v>
      </c>
      <c r="C2006" s="2" t="s">
        <v>5689</v>
      </c>
      <c r="D2006" s="2" t="s">
        <v>28</v>
      </c>
      <c r="E2006" s="2" t="s">
        <v>29</v>
      </c>
      <c r="F2006" s="2">
        <v>30</v>
      </c>
      <c r="G2006" s="2" t="s">
        <v>5690</v>
      </c>
      <c r="H2006" s="2" t="s">
        <v>3387</v>
      </c>
      <c r="I2006" s="2" t="s">
        <v>2878</v>
      </c>
      <c r="J2006" s="3">
        <v>44817</v>
      </c>
      <c r="K2006" s="2">
        <v>71</v>
      </c>
      <c r="L2006" s="2" t="s">
        <v>33</v>
      </c>
    </row>
    <row r="2007" spans="1:12" x14ac:dyDescent="0.3">
      <c r="A2007" s="2">
        <v>1996</v>
      </c>
      <c r="B2007" s="2" t="s">
        <v>151</v>
      </c>
      <c r="C2007" s="2" t="s">
        <v>1806</v>
      </c>
      <c r="D2007" s="2" t="s">
        <v>15</v>
      </c>
      <c r="E2007" s="2" t="s">
        <v>16</v>
      </c>
      <c r="F2007" s="2">
        <v>30</v>
      </c>
      <c r="G2007" s="2" t="s">
        <v>5691</v>
      </c>
      <c r="H2007" s="2" t="s">
        <v>4899</v>
      </c>
      <c r="I2007" s="2" t="s">
        <v>100</v>
      </c>
      <c r="J2007" s="3">
        <v>44182</v>
      </c>
      <c r="K2007" s="2">
        <v>25</v>
      </c>
      <c r="L2007" s="2" t="s">
        <v>64</v>
      </c>
    </row>
    <row r="2008" spans="1:12" x14ac:dyDescent="0.3">
      <c r="A2008" s="2">
        <v>1997</v>
      </c>
      <c r="B2008" s="2" t="s">
        <v>5205</v>
      </c>
      <c r="C2008" s="2" t="s">
        <v>3513</v>
      </c>
      <c r="D2008" s="2" t="s">
        <v>15</v>
      </c>
      <c r="E2008" s="2" t="s">
        <v>16</v>
      </c>
      <c r="F2008" s="2">
        <v>60</v>
      </c>
      <c r="G2008" s="2" t="s">
        <v>5692</v>
      </c>
      <c r="H2008" s="2" t="s">
        <v>436</v>
      </c>
      <c r="I2008" s="2" t="s">
        <v>32</v>
      </c>
      <c r="J2008" s="3">
        <v>44375</v>
      </c>
      <c r="K2008" s="2">
        <v>59</v>
      </c>
      <c r="L2008" s="2" t="s">
        <v>101</v>
      </c>
    </row>
    <row r="2009" spans="1:12" x14ac:dyDescent="0.3">
      <c r="A2009" s="2">
        <v>1998</v>
      </c>
      <c r="B2009" s="2" t="s">
        <v>5693</v>
      </c>
      <c r="C2009" s="2" t="s">
        <v>1428</v>
      </c>
      <c r="D2009" s="2" t="s">
        <v>28</v>
      </c>
      <c r="E2009" s="2" t="s">
        <v>29</v>
      </c>
      <c r="F2009" s="2">
        <v>90</v>
      </c>
      <c r="G2009" s="2" t="s">
        <v>5694</v>
      </c>
      <c r="H2009" s="2" t="s">
        <v>2183</v>
      </c>
      <c r="I2009" s="2" t="s">
        <v>124</v>
      </c>
      <c r="J2009" s="3">
        <v>44211</v>
      </c>
      <c r="K2009" s="2">
        <v>93</v>
      </c>
      <c r="L2009" s="2" t="s">
        <v>64</v>
      </c>
    </row>
    <row r="2010" spans="1:12" x14ac:dyDescent="0.3">
      <c r="A2010" s="2">
        <v>1999</v>
      </c>
      <c r="B2010" s="2" t="s">
        <v>5695</v>
      </c>
      <c r="C2010" s="2" t="s">
        <v>3913</v>
      </c>
      <c r="D2010" s="2" t="s">
        <v>28</v>
      </c>
      <c r="E2010" s="2" t="s">
        <v>29</v>
      </c>
      <c r="F2010" s="2">
        <v>60</v>
      </c>
      <c r="G2010" s="2" t="s">
        <v>5696</v>
      </c>
      <c r="H2010" s="2" t="s">
        <v>2190</v>
      </c>
      <c r="I2010" s="2" t="s">
        <v>32</v>
      </c>
      <c r="J2010" s="3">
        <v>44019</v>
      </c>
      <c r="K2010" s="2">
        <v>46</v>
      </c>
      <c r="L2010" s="2" t="s">
        <v>39</v>
      </c>
    </row>
    <row r="2011" spans="1:12" x14ac:dyDescent="0.3">
      <c r="A2011" s="2">
        <v>2000</v>
      </c>
      <c r="B2011" s="2" t="s">
        <v>2665</v>
      </c>
      <c r="C2011" s="2" t="s">
        <v>3243</v>
      </c>
      <c r="D2011" s="2" t="s">
        <v>28</v>
      </c>
      <c r="E2011" s="2" t="s">
        <v>29</v>
      </c>
      <c r="F2011" s="2">
        <v>90</v>
      </c>
      <c r="G2011" s="2" t="s">
        <v>5697</v>
      </c>
      <c r="H2011" s="2" t="s">
        <v>993</v>
      </c>
      <c r="I2011" s="2" t="s">
        <v>32</v>
      </c>
      <c r="J2011" s="3">
        <v>44740</v>
      </c>
      <c r="K2011" s="2">
        <v>81</v>
      </c>
      <c r="L2011" s="2" t="s">
        <v>64</v>
      </c>
    </row>
    <row r="2012" spans="1:12" x14ac:dyDescent="0.3">
      <c r="A2012" s="2">
        <v>2001</v>
      </c>
      <c r="B2012" s="2" t="s">
        <v>5698</v>
      </c>
      <c r="C2012" s="2" t="s">
        <v>5699</v>
      </c>
      <c r="D2012" s="2" t="s">
        <v>51</v>
      </c>
      <c r="E2012" s="2" t="s">
        <v>16</v>
      </c>
      <c r="F2012" s="2">
        <v>90</v>
      </c>
      <c r="G2012" s="2" t="s">
        <v>5700</v>
      </c>
      <c r="H2012" s="2" t="s">
        <v>4860</v>
      </c>
      <c r="I2012" s="2" t="s">
        <v>32</v>
      </c>
      <c r="J2012" s="3">
        <v>44355</v>
      </c>
      <c r="K2012" s="2">
        <v>69</v>
      </c>
      <c r="L2012" s="2" t="s">
        <v>39</v>
      </c>
    </row>
    <row r="2013" spans="1:12" x14ac:dyDescent="0.3">
      <c r="A2013" s="2">
        <v>2002</v>
      </c>
      <c r="B2013" s="2" t="s">
        <v>2866</v>
      </c>
      <c r="C2013" s="2" t="s">
        <v>601</v>
      </c>
      <c r="D2013" s="2" t="s">
        <v>28</v>
      </c>
      <c r="E2013" s="2" t="s">
        <v>29</v>
      </c>
      <c r="F2013" s="2">
        <v>90</v>
      </c>
      <c r="G2013" s="2" t="s">
        <v>10514</v>
      </c>
      <c r="H2013" s="2" t="s">
        <v>3206</v>
      </c>
      <c r="I2013" s="2" t="s">
        <v>1199</v>
      </c>
      <c r="J2013" s="3">
        <v>44212</v>
      </c>
      <c r="K2013" s="2">
        <v>34</v>
      </c>
      <c r="L2013" s="2" t="s">
        <v>64</v>
      </c>
    </row>
    <row r="2014" spans="1:12" x14ac:dyDescent="0.3">
      <c r="A2014" s="2">
        <v>2003</v>
      </c>
      <c r="B2014" s="2" t="s">
        <v>5702</v>
      </c>
      <c r="C2014" s="2" t="s">
        <v>5703</v>
      </c>
      <c r="D2014" s="2" t="s">
        <v>28</v>
      </c>
      <c r="E2014" s="2" t="s">
        <v>29</v>
      </c>
      <c r="F2014" s="2">
        <v>60</v>
      </c>
      <c r="G2014" s="2" t="s">
        <v>5704</v>
      </c>
      <c r="H2014" s="2" t="s">
        <v>2236</v>
      </c>
      <c r="I2014" s="2" t="s">
        <v>2237</v>
      </c>
      <c r="J2014" s="3">
        <v>44743</v>
      </c>
      <c r="K2014" s="2">
        <v>21</v>
      </c>
      <c r="L2014" s="2" t="s">
        <v>20</v>
      </c>
    </row>
    <row r="2015" spans="1:12" x14ac:dyDescent="0.3">
      <c r="A2015" s="2">
        <v>2004</v>
      </c>
      <c r="B2015" s="2" t="s">
        <v>3374</v>
      </c>
      <c r="C2015" s="2" t="s">
        <v>3201</v>
      </c>
      <c r="D2015" s="2" t="s">
        <v>51</v>
      </c>
      <c r="E2015" s="2" t="s">
        <v>16</v>
      </c>
      <c r="F2015" s="2">
        <v>90</v>
      </c>
      <c r="G2015" s="2" t="s">
        <v>5705</v>
      </c>
      <c r="H2015" s="2" t="s">
        <v>5706</v>
      </c>
      <c r="I2015" s="2" t="s">
        <v>32</v>
      </c>
      <c r="J2015" s="3">
        <v>44636</v>
      </c>
      <c r="K2015" s="2">
        <v>22</v>
      </c>
      <c r="L2015" s="2" t="s">
        <v>54</v>
      </c>
    </row>
    <row r="2016" spans="1:12" x14ac:dyDescent="0.3">
      <c r="A2016" s="2">
        <v>2005</v>
      </c>
      <c r="B2016" s="2" t="s">
        <v>624</v>
      </c>
      <c r="C2016" s="2" t="s">
        <v>485</v>
      </c>
      <c r="D2016" s="2" t="s">
        <v>28</v>
      </c>
      <c r="E2016" s="2" t="s">
        <v>29</v>
      </c>
      <c r="F2016" s="2">
        <v>30</v>
      </c>
      <c r="G2016" s="2" t="s">
        <v>5707</v>
      </c>
      <c r="H2016" s="2" t="s">
        <v>2230</v>
      </c>
      <c r="I2016" s="2" t="s">
        <v>32</v>
      </c>
      <c r="J2016" s="3">
        <v>43849</v>
      </c>
      <c r="K2016" s="2">
        <v>11</v>
      </c>
      <c r="L2016" s="2" t="s">
        <v>159</v>
      </c>
    </row>
    <row r="2017" spans="1:12" x14ac:dyDescent="0.3">
      <c r="A2017" s="2">
        <v>2006</v>
      </c>
      <c r="B2017" s="2" t="s">
        <v>5708</v>
      </c>
      <c r="C2017" s="2" t="s">
        <v>3186</v>
      </c>
      <c r="D2017" s="2" t="s">
        <v>15</v>
      </c>
      <c r="E2017" s="2" t="s">
        <v>16</v>
      </c>
      <c r="F2017" s="2">
        <v>60</v>
      </c>
      <c r="G2017" s="2" t="s">
        <v>5709</v>
      </c>
      <c r="H2017" s="2" t="s">
        <v>302</v>
      </c>
      <c r="I2017" s="2" t="s">
        <v>303</v>
      </c>
      <c r="J2017" s="3">
        <v>44428</v>
      </c>
      <c r="K2017" s="2">
        <v>77</v>
      </c>
      <c r="L2017" s="2" t="s">
        <v>80</v>
      </c>
    </row>
    <row r="2018" spans="1:12" x14ac:dyDescent="0.3">
      <c r="A2018" s="2">
        <v>2007</v>
      </c>
      <c r="B2018" s="2" t="s">
        <v>2802</v>
      </c>
      <c r="C2018" s="2" t="s">
        <v>3738</v>
      </c>
      <c r="D2018" s="2" t="s">
        <v>51</v>
      </c>
      <c r="E2018" s="2" t="s">
        <v>16</v>
      </c>
      <c r="F2018" s="2">
        <v>30</v>
      </c>
      <c r="G2018" s="2" t="s">
        <v>5710</v>
      </c>
      <c r="H2018" s="2" t="s">
        <v>5711</v>
      </c>
      <c r="I2018" s="2" t="s">
        <v>25</v>
      </c>
      <c r="J2018" s="3">
        <v>44462</v>
      </c>
      <c r="K2018" s="2">
        <v>52</v>
      </c>
      <c r="L2018" s="2" t="s">
        <v>70</v>
      </c>
    </row>
    <row r="2019" spans="1:12" x14ac:dyDescent="0.3">
      <c r="A2019" s="2">
        <v>2008</v>
      </c>
      <c r="B2019" s="2" t="s">
        <v>4686</v>
      </c>
      <c r="C2019" s="2" t="s">
        <v>5712</v>
      </c>
      <c r="D2019" s="2" t="s">
        <v>15</v>
      </c>
      <c r="E2019" s="2" t="s">
        <v>16</v>
      </c>
      <c r="F2019" s="2">
        <v>60</v>
      </c>
      <c r="G2019" s="2" t="s">
        <v>5713</v>
      </c>
      <c r="H2019" s="2" t="s">
        <v>5714</v>
      </c>
      <c r="I2019" s="2" t="s">
        <v>187</v>
      </c>
      <c r="J2019" s="3">
        <v>44229</v>
      </c>
      <c r="K2019" s="2">
        <v>25</v>
      </c>
      <c r="L2019" s="2" t="s">
        <v>20</v>
      </c>
    </row>
    <row r="2020" spans="1:12" x14ac:dyDescent="0.3">
      <c r="A2020" s="2">
        <v>2009</v>
      </c>
      <c r="B2020" s="2" t="s">
        <v>5715</v>
      </c>
      <c r="C2020" s="2" t="s">
        <v>5716</v>
      </c>
      <c r="D2020" s="2" t="s">
        <v>28</v>
      </c>
      <c r="E2020" s="2" t="s">
        <v>29</v>
      </c>
      <c r="F2020" s="2">
        <v>30</v>
      </c>
      <c r="G2020" s="2" t="s">
        <v>5717</v>
      </c>
      <c r="H2020" s="2" t="s">
        <v>5718</v>
      </c>
      <c r="I2020" s="2" t="s">
        <v>294</v>
      </c>
      <c r="J2020" s="3">
        <v>44404</v>
      </c>
      <c r="K2020" s="2">
        <v>57</v>
      </c>
      <c r="L2020" s="2" t="s">
        <v>159</v>
      </c>
    </row>
    <row r="2021" spans="1:12" x14ac:dyDescent="0.3">
      <c r="A2021" s="2">
        <v>2010</v>
      </c>
      <c r="B2021" s="2" t="s">
        <v>5719</v>
      </c>
      <c r="C2021" s="2" t="s">
        <v>1116</v>
      </c>
      <c r="D2021" s="2" t="s">
        <v>51</v>
      </c>
      <c r="E2021" s="2" t="s">
        <v>16</v>
      </c>
      <c r="F2021" s="2">
        <v>60</v>
      </c>
      <c r="G2021" s="2" t="s">
        <v>5720</v>
      </c>
      <c r="H2021" s="2" t="s">
        <v>2021</v>
      </c>
      <c r="I2021" s="2" t="s">
        <v>2022</v>
      </c>
      <c r="J2021" s="3">
        <v>44446</v>
      </c>
      <c r="K2021" s="2">
        <v>88</v>
      </c>
      <c r="L2021" s="2" t="s">
        <v>20</v>
      </c>
    </row>
    <row r="2022" spans="1:12" x14ac:dyDescent="0.3">
      <c r="A2022" s="2">
        <v>2011</v>
      </c>
      <c r="B2022" s="2" t="s">
        <v>5721</v>
      </c>
      <c r="C2022" s="2" t="s">
        <v>5100</v>
      </c>
      <c r="D2022" s="2" t="s">
        <v>15</v>
      </c>
      <c r="E2022" s="2" t="s">
        <v>16</v>
      </c>
      <c r="F2022" s="2">
        <v>30</v>
      </c>
      <c r="G2022" s="2" t="s">
        <v>5722</v>
      </c>
      <c r="H2022" s="2" t="s">
        <v>5723</v>
      </c>
      <c r="I2022" s="2" t="s">
        <v>187</v>
      </c>
      <c r="J2022" s="3">
        <v>44923</v>
      </c>
      <c r="K2022" s="2">
        <v>90</v>
      </c>
      <c r="L2022" s="2" t="s">
        <v>70</v>
      </c>
    </row>
    <row r="2023" spans="1:12" x14ac:dyDescent="0.3">
      <c r="A2023" s="2">
        <v>2012</v>
      </c>
      <c r="B2023" s="2" t="s">
        <v>3065</v>
      </c>
      <c r="C2023" s="2" t="s">
        <v>3389</v>
      </c>
      <c r="D2023" s="2" t="s">
        <v>28</v>
      </c>
      <c r="E2023" s="2" t="s">
        <v>29</v>
      </c>
      <c r="F2023" s="2">
        <v>90</v>
      </c>
      <c r="G2023" s="2" t="s">
        <v>5724</v>
      </c>
      <c r="H2023" s="2" t="s">
        <v>3437</v>
      </c>
      <c r="I2023" s="2" t="s">
        <v>100</v>
      </c>
      <c r="J2023" s="3">
        <v>44831</v>
      </c>
      <c r="K2023" s="2">
        <v>44</v>
      </c>
      <c r="L2023" s="2" t="s">
        <v>70</v>
      </c>
    </row>
    <row r="2024" spans="1:12" x14ac:dyDescent="0.3">
      <c r="A2024" s="2">
        <v>2013</v>
      </c>
      <c r="B2024" s="2" t="s">
        <v>5725</v>
      </c>
      <c r="C2024" s="2" t="s">
        <v>5668</v>
      </c>
      <c r="D2024" s="2" t="s">
        <v>28</v>
      </c>
      <c r="E2024" s="2" t="s">
        <v>29</v>
      </c>
      <c r="F2024" s="2">
        <v>90</v>
      </c>
      <c r="G2024" s="2" t="s">
        <v>5726</v>
      </c>
      <c r="H2024" s="2" t="s">
        <v>3421</v>
      </c>
      <c r="I2024" s="2" t="s">
        <v>25</v>
      </c>
      <c r="J2024" s="3">
        <v>44030</v>
      </c>
      <c r="K2024" s="2">
        <v>13</v>
      </c>
      <c r="L2024" s="2" t="s">
        <v>39</v>
      </c>
    </row>
    <row r="2025" spans="1:12" x14ac:dyDescent="0.3">
      <c r="A2025" s="2">
        <v>2014</v>
      </c>
      <c r="B2025" s="2" t="s">
        <v>2244</v>
      </c>
      <c r="C2025" s="2" t="s">
        <v>5727</v>
      </c>
      <c r="D2025" s="2" t="s">
        <v>28</v>
      </c>
      <c r="E2025" s="2" t="s">
        <v>29</v>
      </c>
      <c r="F2025" s="2">
        <v>60</v>
      </c>
      <c r="G2025" s="2" t="s">
        <v>5728</v>
      </c>
      <c r="H2025" s="2" t="s">
        <v>5729</v>
      </c>
      <c r="I2025" s="2" t="s">
        <v>32</v>
      </c>
      <c r="J2025" s="3">
        <v>43892</v>
      </c>
      <c r="K2025" s="2">
        <v>66</v>
      </c>
      <c r="L2025" s="2" t="s">
        <v>64</v>
      </c>
    </row>
    <row r="2026" spans="1:12" x14ac:dyDescent="0.3">
      <c r="A2026" s="2">
        <v>2015</v>
      </c>
      <c r="B2026" s="2" t="s">
        <v>5730</v>
      </c>
      <c r="C2026" s="2" t="s">
        <v>4706</v>
      </c>
      <c r="D2026" s="2" t="s">
        <v>51</v>
      </c>
      <c r="E2026" s="2" t="s">
        <v>16</v>
      </c>
      <c r="F2026" s="2">
        <v>30</v>
      </c>
      <c r="G2026" s="2" t="s">
        <v>5731</v>
      </c>
      <c r="H2026" s="2" t="s">
        <v>5667</v>
      </c>
      <c r="I2026" s="2" t="s">
        <v>32</v>
      </c>
      <c r="J2026" s="3">
        <v>44685</v>
      </c>
      <c r="K2026" s="2">
        <v>75</v>
      </c>
      <c r="L2026" s="2" t="s">
        <v>33</v>
      </c>
    </row>
    <row r="2027" spans="1:12" x14ac:dyDescent="0.3">
      <c r="A2027" s="2">
        <v>2016</v>
      </c>
      <c r="B2027" s="2" t="s">
        <v>2191</v>
      </c>
      <c r="C2027" s="2" t="s">
        <v>4260</v>
      </c>
      <c r="D2027" s="2" t="s">
        <v>28</v>
      </c>
      <c r="E2027" s="2" t="s">
        <v>29</v>
      </c>
      <c r="F2027" s="2">
        <v>90</v>
      </c>
      <c r="G2027" s="2" t="s">
        <v>5732</v>
      </c>
      <c r="H2027" s="2" t="s">
        <v>1382</v>
      </c>
      <c r="I2027" s="2" t="s">
        <v>32</v>
      </c>
      <c r="J2027" s="3">
        <v>44388</v>
      </c>
      <c r="K2027" s="2">
        <v>95</v>
      </c>
      <c r="L2027" s="2" t="s">
        <v>64</v>
      </c>
    </row>
    <row r="2028" spans="1:12" x14ac:dyDescent="0.3">
      <c r="A2028" s="2">
        <v>2017</v>
      </c>
      <c r="B2028" s="2" t="s">
        <v>4250</v>
      </c>
      <c r="C2028" s="2" t="s">
        <v>5734</v>
      </c>
      <c r="D2028" s="2" t="s">
        <v>28</v>
      </c>
      <c r="E2028" s="2" t="s">
        <v>29</v>
      </c>
      <c r="F2028" s="2">
        <v>60</v>
      </c>
      <c r="G2028" s="2" t="s">
        <v>5735</v>
      </c>
      <c r="H2028" s="2" t="s">
        <v>5736</v>
      </c>
      <c r="I2028" s="2" t="s">
        <v>95</v>
      </c>
      <c r="J2028" s="3">
        <v>44740</v>
      </c>
      <c r="K2028" s="2">
        <v>46</v>
      </c>
      <c r="L2028" s="2" t="s">
        <v>80</v>
      </c>
    </row>
    <row r="2029" spans="1:12" x14ac:dyDescent="0.3">
      <c r="A2029" s="2">
        <v>2018</v>
      </c>
      <c r="B2029" s="2" t="s">
        <v>5737</v>
      </c>
      <c r="C2029" s="2" t="s">
        <v>1581</v>
      </c>
      <c r="D2029" s="2" t="s">
        <v>28</v>
      </c>
      <c r="E2029" s="2" t="s">
        <v>29</v>
      </c>
      <c r="F2029" s="2">
        <v>60</v>
      </c>
      <c r="G2029" s="2" t="s">
        <v>5738</v>
      </c>
      <c r="H2029" s="2" t="s">
        <v>2772</v>
      </c>
      <c r="I2029" s="2" t="s">
        <v>32</v>
      </c>
      <c r="J2029" s="3">
        <v>44037</v>
      </c>
      <c r="K2029" s="2">
        <v>44</v>
      </c>
      <c r="L2029" s="2" t="s">
        <v>39</v>
      </c>
    </row>
    <row r="2030" spans="1:12" x14ac:dyDescent="0.3">
      <c r="A2030" s="2">
        <v>2019</v>
      </c>
      <c r="B2030" s="2" t="s">
        <v>5739</v>
      </c>
      <c r="C2030" s="2" t="s">
        <v>2515</v>
      </c>
      <c r="D2030" s="2" t="s">
        <v>51</v>
      </c>
      <c r="E2030" s="2" t="s">
        <v>16</v>
      </c>
      <c r="F2030" s="2">
        <v>90</v>
      </c>
      <c r="G2030" s="2" t="s">
        <v>5740</v>
      </c>
      <c r="H2030" s="2" t="s">
        <v>685</v>
      </c>
      <c r="I2030" s="2" t="s">
        <v>686</v>
      </c>
      <c r="J2030" s="3">
        <v>44079</v>
      </c>
      <c r="K2030" s="2">
        <v>72</v>
      </c>
      <c r="L2030" s="2" t="s">
        <v>70</v>
      </c>
    </row>
    <row r="2031" spans="1:12" x14ac:dyDescent="0.3">
      <c r="A2031" s="2">
        <v>2020</v>
      </c>
      <c r="B2031" s="2" t="s">
        <v>5741</v>
      </c>
      <c r="C2031" s="2" t="s">
        <v>5742</v>
      </c>
      <c r="D2031" s="2" t="s">
        <v>15</v>
      </c>
      <c r="E2031" s="2" t="s">
        <v>16</v>
      </c>
      <c r="F2031" s="2">
        <v>90</v>
      </c>
      <c r="G2031" s="2" t="s">
        <v>5743</v>
      </c>
      <c r="H2031" s="2" t="s">
        <v>591</v>
      </c>
      <c r="I2031" s="2" t="s">
        <v>32</v>
      </c>
      <c r="J2031" s="3">
        <v>44692</v>
      </c>
      <c r="K2031" s="2">
        <v>81</v>
      </c>
      <c r="L2031" s="2" t="s">
        <v>159</v>
      </c>
    </row>
    <row r="2032" spans="1:12" x14ac:dyDescent="0.3">
      <c r="A2032" s="2">
        <v>2021</v>
      </c>
      <c r="B2032" s="2" t="s">
        <v>5468</v>
      </c>
      <c r="C2032" s="2" t="s">
        <v>300</v>
      </c>
      <c r="D2032" s="2" t="s">
        <v>28</v>
      </c>
      <c r="E2032" s="2" t="s">
        <v>29</v>
      </c>
      <c r="F2032" s="2">
        <v>90</v>
      </c>
      <c r="G2032" s="2" t="s">
        <v>5744</v>
      </c>
      <c r="H2032" s="2" t="s">
        <v>1830</v>
      </c>
      <c r="I2032" s="2" t="s">
        <v>32</v>
      </c>
      <c r="J2032" s="3">
        <v>44353</v>
      </c>
      <c r="K2032" s="2">
        <v>28</v>
      </c>
      <c r="L2032" s="2" t="s">
        <v>54</v>
      </c>
    </row>
    <row r="2033" spans="1:12" x14ac:dyDescent="0.3">
      <c r="A2033" s="2">
        <v>2022</v>
      </c>
      <c r="B2033" s="2" t="s">
        <v>232</v>
      </c>
      <c r="C2033" s="2" t="s">
        <v>2135</v>
      </c>
      <c r="D2033" s="2" t="s">
        <v>28</v>
      </c>
      <c r="E2033" s="2" t="s">
        <v>29</v>
      </c>
      <c r="F2033" s="2">
        <v>30</v>
      </c>
      <c r="G2033" s="2" t="s">
        <v>5745</v>
      </c>
      <c r="H2033" s="2" t="s">
        <v>2577</v>
      </c>
      <c r="I2033" s="2" t="s">
        <v>645</v>
      </c>
      <c r="J2033" s="3">
        <v>44257</v>
      </c>
      <c r="K2033" s="2">
        <v>24</v>
      </c>
      <c r="L2033" s="2" t="s">
        <v>101</v>
      </c>
    </row>
    <row r="2034" spans="1:12" x14ac:dyDescent="0.3">
      <c r="A2034" s="2">
        <v>2023</v>
      </c>
      <c r="B2034" s="2" t="s">
        <v>5746</v>
      </c>
      <c r="C2034" s="2" t="s">
        <v>528</v>
      </c>
      <c r="D2034" s="2" t="s">
        <v>41</v>
      </c>
      <c r="E2034" s="2" t="s">
        <v>16</v>
      </c>
      <c r="F2034" s="2">
        <v>60</v>
      </c>
      <c r="G2034" s="2" t="s">
        <v>5747</v>
      </c>
      <c r="H2034" s="2" t="s">
        <v>5748</v>
      </c>
      <c r="I2034" s="2" t="s">
        <v>124</v>
      </c>
      <c r="J2034" s="3">
        <v>44143</v>
      </c>
      <c r="K2034" s="2">
        <v>20</v>
      </c>
      <c r="L2034" s="2" t="s">
        <v>54</v>
      </c>
    </row>
    <row r="2035" spans="1:12" x14ac:dyDescent="0.3">
      <c r="A2035" s="2">
        <v>2024</v>
      </c>
      <c r="B2035" s="2" t="s">
        <v>5749</v>
      </c>
      <c r="C2035" s="2" t="s">
        <v>1503</v>
      </c>
      <c r="D2035" s="2" t="s">
        <v>28</v>
      </c>
      <c r="E2035" s="2" t="s">
        <v>29</v>
      </c>
      <c r="F2035" s="2">
        <v>90</v>
      </c>
      <c r="G2035" s="2" t="s">
        <v>5750</v>
      </c>
      <c r="H2035" s="2" t="s">
        <v>5751</v>
      </c>
      <c r="I2035" s="2" t="s">
        <v>178</v>
      </c>
      <c r="J2035" s="3">
        <v>44260</v>
      </c>
      <c r="K2035" s="2">
        <v>12</v>
      </c>
      <c r="L2035" s="2" t="s">
        <v>101</v>
      </c>
    </row>
    <row r="2036" spans="1:12" x14ac:dyDescent="0.3">
      <c r="A2036" s="2">
        <v>2025</v>
      </c>
      <c r="B2036" s="2" t="s">
        <v>5752</v>
      </c>
      <c r="C2036" s="2" t="s">
        <v>2797</v>
      </c>
      <c r="D2036" s="2" t="s">
        <v>15</v>
      </c>
      <c r="E2036" s="2" t="s">
        <v>16</v>
      </c>
      <c r="F2036" s="2">
        <v>30</v>
      </c>
      <c r="G2036" s="2" t="s">
        <v>5753</v>
      </c>
      <c r="H2036" s="2" t="s">
        <v>814</v>
      </c>
      <c r="I2036" s="2" t="s">
        <v>124</v>
      </c>
      <c r="J2036" s="3">
        <v>43832</v>
      </c>
      <c r="K2036" s="2">
        <v>12</v>
      </c>
      <c r="L2036" s="2" t="s">
        <v>101</v>
      </c>
    </row>
    <row r="2037" spans="1:12" x14ac:dyDescent="0.3">
      <c r="A2037" s="2">
        <v>2026</v>
      </c>
      <c r="B2037" s="2" t="s">
        <v>2300</v>
      </c>
      <c r="C2037" s="2" t="s">
        <v>2269</v>
      </c>
      <c r="D2037" s="2" t="s">
        <v>28</v>
      </c>
      <c r="E2037" s="2" t="s">
        <v>29</v>
      </c>
      <c r="F2037" s="2">
        <v>90</v>
      </c>
      <c r="G2037" s="2" t="s">
        <v>5754</v>
      </c>
      <c r="H2037" s="2" t="s">
        <v>3100</v>
      </c>
      <c r="I2037" s="2" t="s">
        <v>32</v>
      </c>
      <c r="J2037" s="3">
        <v>44488</v>
      </c>
      <c r="K2037" s="2">
        <v>30</v>
      </c>
      <c r="L2037" s="2" t="s">
        <v>64</v>
      </c>
    </row>
    <row r="2038" spans="1:12" x14ac:dyDescent="0.3">
      <c r="A2038" s="2">
        <v>2027</v>
      </c>
      <c r="B2038" s="2" t="s">
        <v>5755</v>
      </c>
      <c r="C2038" s="2" t="s">
        <v>5756</v>
      </c>
      <c r="D2038" s="2" t="s">
        <v>28</v>
      </c>
      <c r="E2038" s="2" t="s">
        <v>29</v>
      </c>
      <c r="F2038" s="2">
        <v>90</v>
      </c>
      <c r="G2038" s="2" t="s">
        <v>5757</v>
      </c>
      <c r="H2038" s="2" t="s">
        <v>5758</v>
      </c>
      <c r="I2038" s="2" t="s">
        <v>32</v>
      </c>
      <c r="J2038" s="3">
        <v>44733</v>
      </c>
      <c r="K2038" s="2">
        <v>65</v>
      </c>
      <c r="L2038" s="2" t="s">
        <v>33</v>
      </c>
    </row>
    <row r="2039" spans="1:12" x14ac:dyDescent="0.3">
      <c r="A2039" s="2">
        <v>2028</v>
      </c>
      <c r="B2039" s="2" t="s">
        <v>5759</v>
      </c>
      <c r="C2039" s="2" t="s">
        <v>1776</v>
      </c>
      <c r="D2039" s="2" t="s">
        <v>51</v>
      </c>
      <c r="E2039" s="2" t="s">
        <v>16</v>
      </c>
      <c r="F2039" s="2">
        <v>90</v>
      </c>
      <c r="G2039" s="2" t="s">
        <v>5760</v>
      </c>
      <c r="H2039" s="2" t="s">
        <v>1336</v>
      </c>
      <c r="I2039" s="2" t="s">
        <v>129</v>
      </c>
      <c r="J2039" s="3">
        <v>44548</v>
      </c>
      <c r="K2039" s="2">
        <v>78</v>
      </c>
      <c r="L2039" s="2" t="s">
        <v>159</v>
      </c>
    </row>
    <row r="2040" spans="1:12" x14ac:dyDescent="0.3">
      <c r="A2040" s="2">
        <v>2029</v>
      </c>
      <c r="B2040" s="2" t="s">
        <v>4965</v>
      </c>
      <c r="C2040" s="2" t="s">
        <v>3884</v>
      </c>
      <c r="D2040" s="2" t="s">
        <v>28</v>
      </c>
      <c r="E2040" s="2" t="s">
        <v>29</v>
      </c>
      <c r="F2040" s="2">
        <v>60</v>
      </c>
      <c r="G2040" s="2" t="s">
        <v>5761</v>
      </c>
      <c r="H2040" s="2" t="s">
        <v>2240</v>
      </c>
      <c r="I2040" s="2" t="s">
        <v>32</v>
      </c>
      <c r="J2040" s="3">
        <v>44304</v>
      </c>
      <c r="K2040" s="2">
        <v>25</v>
      </c>
      <c r="L2040" s="2" t="s">
        <v>70</v>
      </c>
    </row>
    <row r="2041" spans="1:12" x14ac:dyDescent="0.3">
      <c r="A2041" s="2">
        <v>2030</v>
      </c>
      <c r="B2041" s="2" t="s">
        <v>5762</v>
      </c>
      <c r="C2041" s="2" t="s">
        <v>2575</v>
      </c>
      <c r="D2041" s="2" t="s">
        <v>41</v>
      </c>
      <c r="E2041" s="2" t="s">
        <v>16</v>
      </c>
      <c r="F2041" s="2">
        <v>30</v>
      </c>
      <c r="G2041" s="2" t="s">
        <v>10434</v>
      </c>
      <c r="H2041" s="2" t="s">
        <v>1284</v>
      </c>
      <c r="I2041" s="2" t="s">
        <v>32</v>
      </c>
      <c r="J2041" s="3">
        <v>44710</v>
      </c>
      <c r="K2041" s="2">
        <v>50</v>
      </c>
      <c r="L2041" s="2" t="s">
        <v>45</v>
      </c>
    </row>
    <row r="2042" spans="1:12" x14ac:dyDescent="0.3">
      <c r="A2042" s="2">
        <v>2031</v>
      </c>
      <c r="B2042" s="2" t="s">
        <v>488</v>
      </c>
      <c r="C2042" s="2" t="s">
        <v>5764</v>
      </c>
      <c r="D2042" s="2" t="s">
        <v>51</v>
      </c>
      <c r="E2042" s="2" t="s">
        <v>16</v>
      </c>
      <c r="F2042" s="2">
        <v>60</v>
      </c>
      <c r="G2042" s="2" t="s">
        <v>5765</v>
      </c>
      <c r="H2042" s="2" t="s">
        <v>619</v>
      </c>
      <c r="I2042" s="2" t="s">
        <v>187</v>
      </c>
      <c r="J2042" s="3">
        <v>43954</v>
      </c>
      <c r="K2042" s="2">
        <v>18</v>
      </c>
      <c r="L2042" s="2" t="s">
        <v>20</v>
      </c>
    </row>
    <row r="2043" spans="1:12" x14ac:dyDescent="0.3">
      <c r="A2043" s="2">
        <v>2032</v>
      </c>
      <c r="B2043" s="2" t="s">
        <v>5766</v>
      </c>
      <c r="C2043" s="2" t="s">
        <v>1630</v>
      </c>
      <c r="D2043" s="2" t="s">
        <v>28</v>
      </c>
      <c r="E2043" s="2" t="s">
        <v>29</v>
      </c>
      <c r="F2043" s="2">
        <v>90</v>
      </c>
      <c r="G2043" s="2" t="s">
        <v>5765</v>
      </c>
      <c r="H2043" s="2" t="s">
        <v>1206</v>
      </c>
      <c r="I2043" s="2" t="s">
        <v>294</v>
      </c>
      <c r="J2043" s="3">
        <v>44121</v>
      </c>
      <c r="K2043" s="2">
        <v>44</v>
      </c>
      <c r="L2043" s="2" t="s">
        <v>70</v>
      </c>
    </row>
    <row r="2044" spans="1:12" x14ac:dyDescent="0.3">
      <c r="A2044" s="2">
        <v>2033</v>
      </c>
      <c r="B2044" s="2" t="s">
        <v>1439</v>
      </c>
      <c r="C2044" s="2" t="s">
        <v>676</v>
      </c>
      <c r="D2044" s="2" t="s">
        <v>15</v>
      </c>
      <c r="E2044" s="2" t="s">
        <v>16</v>
      </c>
      <c r="F2044" s="2">
        <v>30</v>
      </c>
      <c r="G2044" s="2" t="s">
        <v>5767</v>
      </c>
      <c r="H2044" s="2" t="s">
        <v>3702</v>
      </c>
      <c r="I2044" s="2" t="s">
        <v>25</v>
      </c>
      <c r="J2044" s="3">
        <v>44680</v>
      </c>
      <c r="K2044" s="2">
        <v>11</v>
      </c>
      <c r="L2044" s="2" t="s">
        <v>33</v>
      </c>
    </row>
    <row r="2045" spans="1:12" x14ac:dyDescent="0.3">
      <c r="A2045" s="2">
        <v>2034</v>
      </c>
      <c r="B2045" s="2" t="s">
        <v>5768</v>
      </c>
      <c r="C2045" s="2" t="s">
        <v>5590</v>
      </c>
      <c r="D2045" s="2" t="s">
        <v>51</v>
      </c>
      <c r="E2045" s="2" t="s">
        <v>16</v>
      </c>
      <c r="F2045" s="2">
        <v>30</v>
      </c>
      <c r="G2045" s="2" t="s">
        <v>5769</v>
      </c>
      <c r="H2045" s="2" t="s">
        <v>3670</v>
      </c>
      <c r="I2045" s="2" t="s">
        <v>3671</v>
      </c>
      <c r="J2045" s="3">
        <v>44160</v>
      </c>
      <c r="K2045" s="2">
        <v>31</v>
      </c>
      <c r="L2045" s="2" t="s">
        <v>64</v>
      </c>
    </row>
    <row r="2046" spans="1:12" x14ac:dyDescent="0.3">
      <c r="A2046" s="2">
        <v>2035</v>
      </c>
      <c r="B2046" s="2" t="s">
        <v>2823</v>
      </c>
      <c r="C2046" s="2" t="s">
        <v>2203</v>
      </c>
      <c r="D2046" s="2" t="s">
        <v>28</v>
      </c>
      <c r="E2046" s="2" t="s">
        <v>29</v>
      </c>
      <c r="F2046" s="2">
        <v>30</v>
      </c>
      <c r="G2046" s="2" t="s">
        <v>5770</v>
      </c>
      <c r="H2046" s="2" t="s">
        <v>690</v>
      </c>
      <c r="I2046" s="2" t="s">
        <v>32</v>
      </c>
      <c r="J2046" s="3">
        <v>44069</v>
      </c>
      <c r="K2046" s="2">
        <v>57</v>
      </c>
      <c r="L2046" s="2" t="s">
        <v>64</v>
      </c>
    </row>
    <row r="2047" spans="1:12" x14ac:dyDescent="0.3">
      <c r="A2047" s="2">
        <v>2036</v>
      </c>
      <c r="B2047" s="2" t="s">
        <v>656</v>
      </c>
      <c r="C2047" s="2" t="s">
        <v>4287</v>
      </c>
      <c r="D2047" s="2" t="s">
        <v>15</v>
      </c>
      <c r="E2047" s="2" t="s">
        <v>16</v>
      </c>
      <c r="F2047" s="2">
        <v>30</v>
      </c>
      <c r="G2047" s="2" t="s">
        <v>5771</v>
      </c>
      <c r="H2047" s="2" t="s">
        <v>1125</v>
      </c>
      <c r="I2047" s="2" t="s">
        <v>1126</v>
      </c>
      <c r="J2047" s="3">
        <v>44409</v>
      </c>
      <c r="K2047" s="2">
        <v>16</v>
      </c>
      <c r="L2047" s="2" t="s">
        <v>33</v>
      </c>
    </row>
    <row r="2048" spans="1:12" x14ac:dyDescent="0.3">
      <c r="A2048" s="2">
        <v>2037</v>
      </c>
      <c r="B2048" s="2" t="s">
        <v>5772</v>
      </c>
      <c r="C2048" s="2" t="s">
        <v>2210</v>
      </c>
      <c r="D2048" s="2" t="s">
        <v>28</v>
      </c>
      <c r="E2048" s="2" t="s">
        <v>29</v>
      </c>
      <c r="F2048" s="2">
        <v>90</v>
      </c>
      <c r="G2048" s="2" t="s">
        <v>10435</v>
      </c>
      <c r="H2048" s="2" t="s">
        <v>138</v>
      </c>
      <c r="I2048" s="2" t="s">
        <v>294</v>
      </c>
      <c r="J2048" s="3">
        <v>44306</v>
      </c>
      <c r="K2048" s="2">
        <v>79</v>
      </c>
      <c r="L2048" s="2" t="s">
        <v>80</v>
      </c>
    </row>
    <row r="2049" spans="1:12" x14ac:dyDescent="0.3">
      <c r="A2049" s="2">
        <v>2038</v>
      </c>
      <c r="B2049" s="2" t="s">
        <v>5774</v>
      </c>
      <c r="C2049" s="2" t="s">
        <v>5077</v>
      </c>
      <c r="D2049" s="2" t="s">
        <v>15</v>
      </c>
      <c r="E2049" s="2" t="s">
        <v>16</v>
      </c>
      <c r="F2049" s="2">
        <v>30</v>
      </c>
      <c r="G2049" s="2" t="s">
        <v>5775</v>
      </c>
      <c r="H2049" s="2" t="s">
        <v>386</v>
      </c>
      <c r="I2049" s="2" t="s">
        <v>294</v>
      </c>
      <c r="J2049" s="3">
        <v>44218</v>
      </c>
      <c r="K2049" s="2">
        <v>60</v>
      </c>
      <c r="L2049" s="2" t="s">
        <v>159</v>
      </c>
    </row>
    <row r="2050" spans="1:12" x14ac:dyDescent="0.3">
      <c r="A2050" s="2">
        <v>2039</v>
      </c>
      <c r="B2050" s="2" t="s">
        <v>237</v>
      </c>
      <c r="C2050" s="2" t="s">
        <v>3286</v>
      </c>
      <c r="D2050" s="2" t="s">
        <v>28</v>
      </c>
      <c r="E2050" s="2" t="s">
        <v>29</v>
      </c>
      <c r="F2050" s="2">
        <v>60</v>
      </c>
      <c r="G2050" s="2" t="s">
        <v>5776</v>
      </c>
      <c r="H2050" s="2" t="s">
        <v>1530</v>
      </c>
      <c r="I2050" s="2" t="s">
        <v>32</v>
      </c>
      <c r="J2050" s="3">
        <v>44071</v>
      </c>
      <c r="K2050" s="2">
        <v>53</v>
      </c>
      <c r="L2050" s="2" t="s">
        <v>70</v>
      </c>
    </row>
    <row r="2051" spans="1:12" x14ac:dyDescent="0.3">
      <c r="A2051" s="2">
        <v>2040</v>
      </c>
      <c r="B2051" s="2" t="s">
        <v>2063</v>
      </c>
      <c r="C2051" s="2" t="s">
        <v>4512</v>
      </c>
      <c r="D2051" s="2" t="s">
        <v>28</v>
      </c>
      <c r="E2051" s="2" t="s">
        <v>29</v>
      </c>
      <c r="F2051" s="2">
        <v>30</v>
      </c>
      <c r="G2051" s="2" t="s">
        <v>5777</v>
      </c>
      <c r="H2051" s="2" t="s">
        <v>5778</v>
      </c>
      <c r="I2051" s="2" t="s">
        <v>1311</v>
      </c>
      <c r="J2051" s="3">
        <v>44162</v>
      </c>
      <c r="K2051" s="2">
        <v>68</v>
      </c>
      <c r="L2051" s="2" t="s">
        <v>70</v>
      </c>
    </row>
    <row r="2052" spans="1:12" x14ac:dyDescent="0.3">
      <c r="A2052" s="2">
        <v>2041</v>
      </c>
      <c r="B2052" s="2" t="s">
        <v>3787</v>
      </c>
      <c r="C2052" s="2" t="s">
        <v>4269</v>
      </c>
      <c r="D2052" s="2" t="s">
        <v>28</v>
      </c>
      <c r="E2052" s="2" t="s">
        <v>29</v>
      </c>
      <c r="F2052" s="2">
        <v>60</v>
      </c>
      <c r="G2052" s="2" t="s">
        <v>5777</v>
      </c>
      <c r="H2052" s="2" t="s">
        <v>3169</v>
      </c>
      <c r="I2052" s="2" t="s">
        <v>110</v>
      </c>
      <c r="J2052" s="3">
        <v>44106</v>
      </c>
      <c r="K2052" s="2">
        <v>41</v>
      </c>
      <c r="L2052" s="2" t="s">
        <v>64</v>
      </c>
    </row>
    <row r="2053" spans="1:12" x14ac:dyDescent="0.3">
      <c r="A2053" s="2">
        <v>2042</v>
      </c>
      <c r="B2053" s="2" t="s">
        <v>5612</v>
      </c>
      <c r="C2053" s="2" t="s">
        <v>1286</v>
      </c>
      <c r="D2053" s="2" t="s">
        <v>15</v>
      </c>
      <c r="E2053" s="2" t="s">
        <v>16</v>
      </c>
      <c r="F2053" s="2">
        <v>60</v>
      </c>
      <c r="G2053" s="2" t="s">
        <v>5779</v>
      </c>
      <c r="H2053" s="2" t="s">
        <v>1060</v>
      </c>
      <c r="I2053" s="2" t="s">
        <v>38</v>
      </c>
      <c r="J2053" s="3">
        <v>44143</v>
      </c>
      <c r="K2053" s="2">
        <v>2</v>
      </c>
      <c r="L2053" s="2" t="s">
        <v>45</v>
      </c>
    </row>
    <row r="2054" spans="1:12" x14ac:dyDescent="0.3">
      <c r="A2054" s="2">
        <v>2043</v>
      </c>
      <c r="B2054" s="2" t="s">
        <v>2788</v>
      </c>
      <c r="C2054" s="2" t="s">
        <v>3120</v>
      </c>
      <c r="D2054" s="2" t="s">
        <v>28</v>
      </c>
      <c r="E2054" s="2" t="s">
        <v>29</v>
      </c>
      <c r="F2054" s="2">
        <v>30</v>
      </c>
      <c r="G2054" s="2" t="s">
        <v>5780</v>
      </c>
      <c r="H2054" s="2" t="s">
        <v>5781</v>
      </c>
      <c r="I2054" s="2" t="s">
        <v>32</v>
      </c>
      <c r="J2054" s="3">
        <v>44579</v>
      </c>
      <c r="K2054" s="2">
        <v>24</v>
      </c>
      <c r="L2054" s="2" t="s">
        <v>54</v>
      </c>
    </row>
    <row r="2055" spans="1:12" x14ac:dyDescent="0.3">
      <c r="A2055" s="2">
        <v>2044</v>
      </c>
      <c r="B2055" s="2" t="s">
        <v>5782</v>
      </c>
      <c r="C2055" s="2" t="s">
        <v>991</v>
      </c>
      <c r="D2055" s="2" t="s">
        <v>51</v>
      </c>
      <c r="E2055" s="2" t="s">
        <v>16</v>
      </c>
      <c r="F2055" s="2">
        <v>90</v>
      </c>
      <c r="G2055" s="2" t="s">
        <v>5783</v>
      </c>
      <c r="H2055" s="2" t="s">
        <v>4527</v>
      </c>
      <c r="I2055" s="2" t="s">
        <v>32</v>
      </c>
      <c r="J2055" s="3">
        <v>44611</v>
      </c>
      <c r="K2055" s="2">
        <v>43</v>
      </c>
      <c r="L2055" s="2" t="s">
        <v>54</v>
      </c>
    </row>
    <row r="2056" spans="1:12" x14ac:dyDescent="0.3">
      <c r="A2056" s="2">
        <v>2045</v>
      </c>
      <c r="B2056" s="2" t="s">
        <v>2319</v>
      </c>
      <c r="C2056" s="2" t="s">
        <v>152</v>
      </c>
      <c r="D2056" s="2" t="s">
        <v>28</v>
      </c>
      <c r="E2056" s="2" t="s">
        <v>29</v>
      </c>
      <c r="F2056" s="2">
        <v>60</v>
      </c>
      <c r="G2056" s="2" t="s">
        <v>5784</v>
      </c>
      <c r="H2056" s="2" t="s">
        <v>827</v>
      </c>
      <c r="I2056" s="2" t="s">
        <v>124</v>
      </c>
      <c r="J2056" s="3">
        <v>44348</v>
      </c>
      <c r="K2056" s="2">
        <v>70</v>
      </c>
      <c r="L2056" s="2" t="s">
        <v>159</v>
      </c>
    </row>
    <row r="2057" spans="1:12" x14ac:dyDescent="0.3">
      <c r="A2057" s="2">
        <v>2046</v>
      </c>
      <c r="B2057" s="2" t="s">
        <v>5785</v>
      </c>
      <c r="C2057" s="2" t="s">
        <v>5786</v>
      </c>
      <c r="D2057" s="2" t="s">
        <v>28</v>
      </c>
      <c r="E2057" s="2" t="s">
        <v>29</v>
      </c>
      <c r="F2057" s="2">
        <v>30</v>
      </c>
      <c r="G2057" s="2" t="s">
        <v>5787</v>
      </c>
      <c r="H2057" s="2" t="s">
        <v>2141</v>
      </c>
      <c r="I2057" s="2" t="s">
        <v>1078</v>
      </c>
      <c r="J2057" s="3">
        <v>44112</v>
      </c>
      <c r="K2057" s="2">
        <v>19</v>
      </c>
      <c r="L2057" s="2" t="s">
        <v>64</v>
      </c>
    </row>
    <row r="2058" spans="1:12" x14ac:dyDescent="0.3">
      <c r="A2058" s="2">
        <v>2047</v>
      </c>
      <c r="B2058" s="2" t="s">
        <v>4452</v>
      </c>
      <c r="C2058" s="2" t="s">
        <v>5788</v>
      </c>
      <c r="D2058" s="2" t="s">
        <v>28</v>
      </c>
      <c r="E2058" s="2" t="s">
        <v>29</v>
      </c>
      <c r="F2058" s="2">
        <v>30</v>
      </c>
      <c r="G2058" s="2" t="s">
        <v>5787</v>
      </c>
      <c r="H2058" s="2" t="s">
        <v>2056</v>
      </c>
      <c r="I2058" s="2" t="s">
        <v>32</v>
      </c>
      <c r="J2058" s="3">
        <v>44307</v>
      </c>
      <c r="K2058" s="2">
        <v>87</v>
      </c>
      <c r="L2058" s="2" t="s">
        <v>101</v>
      </c>
    </row>
    <row r="2059" spans="1:12" x14ac:dyDescent="0.3">
      <c r="A2059" s="2">
        <v>2048</v>
      </c>
      <c r="B2059" s="2" t="s">
        <v>5789</v>
      </c>
      <c r="C2059" s="2" t="s">
        <v>4059</v>
      </c>
      <c r="D2059" s="2" t="s">
        <v>28</v>
      </c>
      <c r="E2059" s="2" t="s">
        <v>29</v>
      </c>
      <c r="F2059" s="2">
        <v>30</v>
      </c>
      <c r="G2059" s="2" t="s">
        <v>5790</v>
      </c>
      <c r="H2059" s="2" t="s">
        <v>4056</v>
      </c>
      <c r="I2059" s="2" t="s">
        <v>124</v>
      </c>
      <c r="J2059" s="3">
        <v>44755</v>
      </c>
      <c r="K2059" s="2">
        <v>48</v>
      </c>
      <c r="L2059" s="2" t="s">
        <v>20</v>
      </c>
    </row>
    <row r="2060" spans="1:12" x14ac:dyDescent="0.3">
      <c r="A2060" s="2">
        <v>2049</v>
      </c>
      <c r="B2060" s="2" t="s">
        <v>3335</v>
      </c>
      <c r="C2060" s="2" t="s">
        <v>4558</v>
      </c>
      <c r="D2060" s="2" t="s">
        <v>28</v>
      </c>
      <c r="E2060" s="2" t="s">
        <v>29</v>
      </c>
      <c r="F2060" s="2">
        <v>60</v>
      </c>
      <c r="G2060" s="2" t="s">
        <v>5790</v>
      </c>
      <c r="H2060" s="2" t="s">
        <v>1391</v>
      </c>
      <c r="I2060" s="2" t="s">
        <v>32</v>
      </c>
      <c r="J2060" s="3">
        <v>44201</v>
      </c>
      <c r="K2060" s="2">
        <v>40</v>
      </c>
      <c r="L2060" s="2" t="s">
        <v>64</v>
      </c>
    </row>
    <row r="2061" spans="1:12" x14ac:dyDescent="0.3">
      <c r="A2061" s="2">
        <v>2050</v>
      </c>
      <c r="B2061" s="2" t="s">
        <v>2384</v>
      </c>
      <c r="C2061" s="2" t="s">
        <v>844</v>
      </c>
      <c r="D2061" s="2" t="s">
        <v>28</v>
      </c>
      <c r="E2061" s="2" t="s">
        <v>29</v>
      </c>
      <c r="F2061" s="2">
        <v>90</v>
      </c>
      <c r="G2061" s="2" t="s">
        <v>5791</v>
      </c>
      <c r="H2061" s="2" t="s">
        <v>904</v>
      </c>
      <c r="I2061" s="2" t="s">
        <v>32</v>
      </c>
      <c r="J2061" s="3">
        <v>43858</v>
      </c>
      <c r="K2061" s="2">
        <v>33</v>
      </c>
      <c r="L2061" s="2" t="s">
        <v>80</v>
      </c>
    </row>
    <row r="2062" spans="1:12" x14ac:dyDescent="0.3">
      <c r="A2062" s="2">
        <v>2051</v>
      </c>
      <c r="B2062" s="2" t="s">
        <v>3684</v>
      </c>
      <c r="C2062" s="2" t="s">
        <v>5792</v>
      </c>
      <c r="D2062" s="2" t="s">
        <v>51</v>
      </c>
      <c r="E2062" s="2" t="s">
        <v>16</v>
      </c>
      <c r="F2062" s="2">
        <v>30</v>
      </c>
      <c r="G2062" s="2" t="s">
        <v>5793</v>
      </c>
      <c r="H2062" s="2" t="s">
        <v>5794</v>
      </c>
      <c r="I2062" s="2" t="s">
        <v>294</v>
      </c>
      <c r="J2062" s="3">
        <v>44087</v>
      </c>
      <c r="K2062" s="2">
        <v>33</v>
      </c>
      <c r="L2062" s="2" t="s">
        <v>45</v>
      </c>
    </row>
    <row r="2063" spans="1:12" x14ac:dyDescent="0.3">
      <c r="A2063" s="2">
        <v>2052</v>
      </c>
      <c r="B2063" s="2" t="s">
        <v>5795</v>
      </c>
      <c r="C2063" s="2" t="s">
        <v>879</v>
      </c>
      <c r="D2063" s="2" t="s">
        <v>41</v>
      </c>
      <c r="E2063" s="2" t="s">
        <v>16</v>
      </c>
      <c r="F2063" s="2">
        <v>60</v>
      </c>
      <c r="G2063" s="2" t="s">
        <v>5796</v>
      </c>
      <c r="H2063" s="2" t="s">
        <v>382</v>
      </c>
      <c r="I2063" s="2" t="s">
        <v>32</v>
      </c>
      <c r="J2063" s="3">
        <v>43869</v>
      </c>
      <c r="K2063" s="2">
        <v>72</v>
      </c>
      <c r="L2063" s="2" t="s">
        <v>64</v>
      </c>
    </row>
    <row r="2064" spans="1:12" x14ac:dyDescent="0.3">
      <c r="A2064" s="2">
        <v>2053</v>
      </c>
      <c r="B2064" s="2" t="s">
        <v>5797</v>
      </c>
      <c r="C2064" s="2" t="s">
        <v>1211</v>
      </c>
      <c r="D2064" s="2" t="s">
        <v>28</v>
      </c>
      <c r="E2064" s="2" t="s">
        <v>29</v>
      </c>
      <c r="F2064" s="2">
        <v>90</v>
      </c>
      <c r="G2064" s="2" t="s">
        <v>5798</v>
      </c>
      <c r="H2064" s="2" t="s">
        <v>4098</v>
      </c>
      <c r="I2064" s="2" t="s">
        <v>1889</v>
      </c>
      <c r="J2064" s="3">
        <v>44234</v>
      </c>
      <c r="K2064" s="2">
        <v>4</v>
      </c>
      <c r="L2064" s="2" t="s">
        <v>70</v>
      </c>
    </row>
    <row r="2065" spans="1:12" x14ac:dyDescent="0.3">
      <c r="A2065" s="2">
        <v>2054</v>
      </c>
      <c r="B2065" s="2" t="s">
        <v>5799</v>
      </c>
      <c r="C2065" s="2" t="s">
        <v>3556</v>
      </c>
      <c r="D2065" s="2" t="s">
        <v>15</v>
      </c>
      <c r="E2065" s="2" t="s">
        <v>16</v>
      </c>
      <c r="F2065" s="2">
        <v>60</v>
      </c>
      <c r="G2065" s="2" t="s">
        <v>5800</v>
      </c>
      <c r="H2065" s="2" t="s">
        <v>4669</v>
      </c>
      <c r="I2065" s="2" t="s">
        <v>187</v>
      </c>
      <c r="J2065" s="3">
        <v>44001</v>
      </c>
      <c r="K2065" s="2">
        <v>17</v>
      </c>
      <c r="L2065" s="2" t="s">
        <v>45</v>
      </c>
    </row>
    <row r="2066" spans="1:12" x14ac:dyDescent="0.3">
      <c r="A2066" s="2">
        <v>2055</v>
      </c>
      <c r="B2066" s="2" t="s">
        <v>5801</v>
      </c>
      <c r="C2066" s="2" t="s">
        <v>4786</v>
      </c>
      <c r="D2066" s="2" t="s">
        <v>51</v>
      </c>
      <c r="E2066" s="2" t="s">
        <v>16</v>
      </c>
      <c r="F2066" s="2">
        <v>30</v>
      </c>
      <c r="G2066" s="2" t="s">
        <v>5802</v>
      </c>
      <c r="H2066" s="2" t="s">
        <v>5803</v>
      </c>
      <c r="I2066" s="2" t="s">
        <v>294</v>
      </c>
      <c r="J2066" s="3">
        <v>44385</v>
      </c>
      <c r="K2066" s="2">
        <v>93</v>
      </c>
      <c r="L2066" s="2" t="s">
        <v>70</v>
      </c>
    </row>
    <row r="2067" spans="1:12" x14ac:dyDescent="0.3">
      <c r="A2067" s="2">
        <v>2056</v>
      </c>
      <c r="B2067" s="2" t="s">
        <v>5804</v>
      </c>
      <c r="C2067" s="2" t="s">
        <v>4376</v>
      </c>
      <c r="D2067" s="2" t="s">
        <v>51</v>
      </c>
      <c r="E2067" s="2" t="s">
        <v>16</v>
      </c>
      <c r="F2067" s="2">
        <v>30</v>
      </c>
      <c r="G2067" s="2" t="s">
        <v>10515</v>
      </c>
      <c r="H2067" s="2" t="s">
        <v>2230</v>
      </c>
      <c r="I2067" s="2" t="s">
        <v>32</v>
      </c>
      <c r="J2067" s="3">
        <v>43891</v>
      </c>
      <c r="K2067" s="2">
        <v>44</v>
      </c>
      <c r="L2067" s="2" t="s">
        <v>54</v>
      </c>
    </row>
    <row r="2068" spans="1:12" x14ac:dyDescent="0.3">
      <c r="A2068" s="2">
        <v>2057</v>
      </c>
      <c r="B2068" s="2" t="s">
        <v>1376</v>
      </c>
      <c r="C2068" s="2" t="s">
        <v>2581</v>
      </c>
      <c r="D2068" s="2" t="s">
        <v>92</v>
      </c>
      <c r="E2068" s="2" t="s">
        <v>29</v>
      </c>
      <c r="F2068" s="2">
        <v>60</v>
      </c>
      <c r="G2068" s="2" t="s">
        <v>5806</v>
      </c>
      <c r="H2068" s="2" t="s">
        <v>4552</v>
      </c>
      <c r="I2068" s="2" t="s">
        <v>38</v>
      </c>
      <c r="J2068" s="3">
        <v>44548</v>
      </c>
      <c r="K2068" s="2">
        <v>43</v>
      </c>
      <c r="L2068" s="2" t="s">
        <v>45</v>
      </c>
    </row>
    <row r="2069" spans="1:12" x14ac:dyDescent="0.3">
      <c r="A2069" s="2">
        <v>2058</v>
      </c>
      <c r="B2069" s="2" t="s">
        <v>3113</v>
      </c>
      <c r="C2069" s="2" t="s">
        <v>5807</v>
      </c>
      <c r="D2069" s="2" t="s">
        <v>41</v>
      </c>
      <c r="E2069" s="2" t="s">
        <v>16</v>
      </c>
      <c r="F2069" s="2">
        <v>30</v>
      </c>
      <c r="G2069" s="2" t="s">
        <v>5808</v>
      </c>
      <c r="H2069" s="2" t="s">
        <v>5214</v>
      </c>
      <c r="I2069" s="2" t="s">
        <v>95</v>
      </c>
      <c r="J2069" s="3">
        <v>44447</v>
      </c>
      <c r="K2069" s="2">
        <v>58</v>
      </c>
      <c r="L2069" s="2" t="s">
        <v>70</v>
      </c>
    </row>
    <row r="2070" spans="1:12" x14ac:dyDescent="0.3">
      <c r="A2070" s="2">
        <v>2059</v>
      </c>
      <c r="B2070" s="2" t="s">
        <v>5809</v>
      </c>
      <c r="C2070" s="2" t="s">
        <v>5370</v>
      </c>
      <c r="D2070" s="2" t="s">
        <v>15</v>
      </c>
      <c r="E2070" s="2" t="s">
        <v>16</v>
      </c>
      <c r="F2070" s="2">
        <v>30</v>
      </c>
      <c r="G2070" s="2" t="s">
        <v>5810</v>
      </c>
      <c r="H2070" s="2" t="s">
        <v>5811</v>
      </c>
      <c r="I2070" s="2" t="s">
        <v>294</v>
      </c>
      <c r="J2070" s="3">
        <v>44850</v>
      </c>
      <c r="K2070" s="2">
        <v>42</v>
      </c>
      <c r="L2070" s="2" t="s">
        <v>33</v>
      </c>
    </row>
    <row r="2071" spans="1:12" x14ac:dyDescent="0.3">
      <c r="A2071" s="2">
        <v>2060</v>
      </c>
      <c r="B2071" s="2" t="s">
        <v>5812</v>
      </c>
      <c r="C2071" s="2" t="s">
        <v>3258</v>
      </c>
      <c r="D2071" s="2" t="s">
        <v>51</v>
      </c>
      <c r="E2071" s="2" t="s">
        <v>16</v>
      </c>
      <c r="F2071" s="2">
        <v>60</v>
      </c>
      <c r="G2071" s="2" t="s">
        <v>5813</v>
      </c>
      <c r="H2071" s="2" t="s">
        <v>957</v>
      </c>
      <c r="I2071" s="2" t="s">
        <v>95</v>
      </c>
      <c r="J2071" s="3">
        <v>44213</v>
      </c>
      <c r="K2071" s="2">
        <v>90</v>
      </c>
      <c r="L2071" s="2" t="s">
        <v>33</v>
      </c>
    </row>
    <row r="2072" spans="1:12" x14ac:dyDescent="0.3">
      <c r="A2072" s="2">
        <v>2061</v>
      </c>
      <c r="B2072" s="2" t="s">
        <v>5814</v>
      </c>
      <c r="C2072" s="2" t="s">
        <v>4913</v>
      </c>
      <c r="D2072" s="2" t="s">
        <v>51</v>
      </c>
      <c r="E2072" s="2" t="s">
        <v>16</v>
      </c>
      <c r="F2072" s="2">
        <v>90</v>
      </c>
      <c r="G2072" s="2" t="s">
        <v>5815</v>
      </c>
      <c r="H2072" s="2" t="s">
        <v>1575</v>
      </c>
      <c r="I2072" s="2" t="s">
        <v>1576</v>
      </c>
      <c r="J2072" s="3">
        <v>44627</v>
      </c>
      <c r="K2072" s="2">
        <v>66</v>
      </c>
      <c r="L2072" s="2" t="s">
        <v>54</v>
      </c>
    </row>
    <row r="2073" spans="1:12" x14ac:dyDescent="0.3">
      <c r="A2073" s="2">
        <v>2062</v>
      </c>
      <c r="B2073" s="2" t="s">
        <v>5816</v>
      </c>
      <c r="C2073" s="2" t="s">
        <v>605</v>
      </c>
      <c r="D2073" s="2" t="s">
        <v>51</v>
      </c>
      <c r="E2073" s="2" t="s">
        <v>16</v>
      </c>
      <c r="F2073" s="2">
        <v>30</v>
      </c>
      <c r="G2073" s="2" t="s">
        <v>5817</v>
      </c>
      <c r="H2073" s="2" t="s">
        <v>1893</v>
      </c>
      <c r="I2073" s="2" t="s">
        <v>294</v>
      </c>
      <c r="J2073" s="3">
        <v>44923</v>
      </c>
      <c r="K2073" s="2">
        <v>50</v>
      </c>
      <c r="L2073" s="2" t="s">
        <v>39</v>
      </c>
    </row>
    <row r="2074" spans="1:12" x14ac:dyDescent="0.3">
      <c r="A2074" s="2">
        <v>2063</v>
      </c>
      <c r="B2074" s="2" t="s">
        <v>2808</v>
      </c>
      <c r="C2074" s="2" t="s">
        <v>3413</v>
      </c>
      <c r="D2074" s="2" t="s">
        <v>15</v>
      </c>
      <c r="E2074" s="2" t="s">
        <v>16</v>
      </c>
      <c r="F2074" s="2">
        <v>30</v>
      </c>
      <c r="G2074" s="2" t="s">
        <v>5818</v>
      </c>
      <c r="H2074" s="2" t="s">
        <v>5819</v>
      </c>
      <c r="I2074" s="2" t="s">
        <v>5820</v>
      </c>
      <c r="J2074" s="3">
        <v>43834</v>
      </c>
      <c r="K2074" s="2">
        <v>13</v>
      </c>
      <c r="L2074" s="2" t="s">
        <v>101</v>
      </c>
    </row>
    <row r="2075" spans="1:12" x14ac:dyDescent="0.3">
      <c r="A2075" s="2">
        <v>2064</v>
      </c>
      <c r="B2075" s="2" t="s">
        <v>3704</v>
      </c>
      <c r="C2075" s="2" t="s">
        <v>5764</v>
      </c>
      <c r="D2075" s="2" t="s">
        <v>51</v>
      </c>
      <c r="E2075" s="2" t="s">
        <v>16</v>
      </c>
      <c r="F2075" s="2">
        <v>30</v>
      </c>
      <c r="G2075" s="2" t="s">
        <v>5822</v>
      </c>
      <c r="H2075" s="2" t="s">
        <v>5823</v>
      </c>
      <c r="I2075" s="2" t="s">
        <v>110</v>
      </c>
      <c r="J2075" s="3">
        <v>44865</v>
      </c>
      <c r="K2075" s="2">
        <v>102</v>
      </c>
      <c r="L2075" s="2" t="s">
        <v>39</v>
      </c>
    </row>
    <row r="2076" spans="1:12" x14ac:dyDescent="0.3">
      <c r="A2076" s="2">
        <v>2065</v>
      </c>
      <c r="B2076" s="2" t="s">
        <v>4218</v>
      </c>
      <c r="C2076" s="2" t="s">
        <v>5824</v>
      </c>
      <c r="D2076" s="2" t="s">
        <v>28</v>
      </c>
      <c r="E2076" s="2" t="s">
        <v>29</v>
      </c>
      <c r="F2076" s="2">
        <v>90</v>
      </c>
      <c r="G2076" s="2" t="s">
        <v>5825</v>
      </c>
      <c r="H2076" s="2" t="s">
        <v>5826</v>
      </c>
      <c r="I2076" s="2" t="s">
        <v>32</v>
      </c>
      <c r="J2076" s="3">
        <v>44801</v>
      </c>
      <c r="K2076" s="2">
        <v>38</v>
      </c>
      <c r="L2076" s="2" t="s">
        <v>20</v>
      </c>
    </row>
    <row r="2077" spans="1:12" x14ac:dyDescent="0.3">
      <c r="A2077" s="2">
        <v>2066</v>
      </c>
      <c r="B2077" s="2" t="s">
        <v>5827</v>
      </c>
      <c r="C2077" s="2" t="s">
        <v>4727</v>
      </c>
      <c r="D2077" s="2" t="s">
        <v>41</v>
      </c>
      <c r="E2077" s="2" t="s">
        <v>16</v>
      </c>
      <c r="F2077" s="2">
        <v>60</v>
      </c>
      <c r="G2077" s="2" t="s">
        <v>5828</v>
      </c>
      <c r="H2077" s="2" t="s">
        <v>607</v>
      </c>
      <c r="I2077" s="2" t="s">
        <v>32</v>
      </c>
      <c r="J2077" s="3">
        <v>44004</v>
      </c>
      <c r="K2077" s="2">
        <v>70</v>
      </c>
      <c r="L2077" s="2" t="s">
        <v>64</v>
      </c>
    </row>
    <row r="2078" spans="1:12" x14ac:dyDescent="0.3">
      <c r="A2078" s="2">
        <v>2067</v>
      </c>
      <c r="B2078" s="2" t="s">
        <v>2412</v>
      </c>
      <c r="C2078" s="2" t="s">
        <v>1793</v>
      </c>
      <c r="D2078" s="2" t="s">
        <v>28</v>
      </c>
      <c r="E2078" s="2" t="s">
        <v>29</v>
      </c>
      <c r="F2078" s="2">
        <v>90</v>
      </c>
      <c r="G2078" s="2" t="s">
        <v>5829</v>
      </c>
      <c r="H2078" s="2" t="s">
        <v>2288</v>
      </c>
      <c r="I2078" s="2" t="s">
        <v>32</v>
      </c>
      <c r="J2078" s="3">
        <v>44357</v>
      </c>
      <c r="K2078" s="2">
        <v>95</v>
      </c>
      <c r="L2078" s="2" t="s">
        <v>80</v>
      </c>
    </row>
    <row r="2079" spans="1:12" x14ac:dyDescent="0.3">
      <c r="A2079" s="2">
        <v>2068</v>
      </c>
      <c r="B2079" s="2" t="s">
        <v>1169</v>
      </c>
      <c r="C2079" s="2" t="s">
        <v>4722</v>
      </c>
      <c r="D2079" s="2" t="s">
        <v>28</v>
      </c>
      <c r="E2079" s="2" t="s">
        <v>29</v>
      </c>
      <c r="F2079" s="2">
        <v>30</v>
      </c>
      <c r="G2079" s="2" t="s">
        <v>5830</v>
      </c>
      <c r="H2079" s="2" t="s">
        <v>1643</v>
      </c>
      <c r="I2079" s="2" t="s">
        <v>124</v>
      </c>
      <c r="J2079" s="3">
        <v>44006</v>
      </c>
      <c r="K2079" s="2">
        <v>75</v>
      </c>
      <c r="L2079" s="2" t="s">
        <v>33</v>
      </c>
    </row>
    <row r="2080" spans="1:12" x14ac:dyDescent="0.3">
      <c r="A2080" s="2">
        <v>2069</v>
      </c>
      <c r="B2080" s="2" t="s">
        <v>5831</v>
      </c>
      <c r="C2080" s="2" t="s">
        <v>5832</v>
      </c>
      <c r="D2080" s="2" t="s">
        <v>15</v>
      </c>
      <c r="E2080" s="2" t="s">
        <v>16</v>
      </c>
      <c r="F2080" s="2">
        <v>60</v>
      </c>
      <c r="G2080" s="2" t="s">
        <v>5833</v>
      </c>
      <c r="H2080" s="2" t="s">
        <v>3238</v>
      </c>
      <c r="I2080" s="2" t="s">
        <v>173</v>
      </c>
      <c r="J2080" s="3">
        <v>44605</v>
      </c>
      <c r="K2080" s="2">
        <v>91</v>
      </c>
      <c r="L2080" s="2" t="s">
        <v>80</v>
      </c>
    </row>
    <row r="2081" spans="1:12" x14ac:dyDescent="0.3">
      <c r="A2081" s="2">
        <v>2070</v>
      </c>
      <c r="B2081" s="2" t="s">
        <v>5834</v>
      </c>
      <c r="C2081" s="2" t="s">
        <v>5835</v>
      </c>
      <c r="D2081" s="2" t="s">
        <v>51</v>
      </c>
      <c r="E2081" s="2" t="s">
        <v>16</v>
      </c>
      <c r="F2081" s="2">
        <v>90</v>
      </c>
      <c r="G2081" s="2" t="s">
        <v>5836</v>
      </c>
      <c r="H2081" s="2" t="s">
        <v>1378</v>
      </c>
      <c r="I2081" s="2" t="s">
        <v>32</v>
      </c>
      <c r="J2081" s="3">
        <v>44635</v>
      </c>
      <c r="K2081" s="2">
        <v>13</v>
      </c>
      <c r="L2081" s="2" t="s">
        <v>54</v>
      </c>
    </row>
    <row r="2082" spans="1:12" x14ac:dyDescent="0.3">
      <c r="A2082" s="2">
        <v>2071</v>
      </c>
      <c r="B2082" s="2" t="s">
        <v>5837</v>
      </c>
      <c r="C2082" s="2" t="s">
        <v>5838</v>
      </c>
      <c r="D2082" s="2" t="s">
        <v>28</v>
      </c>
      <c r="E2082" s="2" t="s">
        <v>29</v>
      </c>
      <c r="F2082" s="2">
        <v>60</v>
      </c>
      <c r="G2082" s="2" t="s">
        <v>5839</v>
      </c>
      <c r="H2082" s="2" t="s">
        <v>4111</v>
      </c>
      <c r="I2082" s="2" t="s">
        <v>95</v>
      </c>
      <c r="J2082" s="3">
        <v>43971</v>
      </c>
      <c r="K2082" s="2">
        <v>56</v>
      </c>
      <c r="L2082" s="2" t="s">
        <v>159</v>
      </c>
    </row>
    <row r="2083" spans="1:12" x14ac:dyDescent="0.3">
      <c r="A2083" s="2">
        <v>2072</v>
      </c>
      <c r="B2083" s="2" t="s">
        <v>5840</v>
      </c>
      <c r="C2083" s="2" t="s">
        <v>4026</v>
      </c>
      <c r="D2083" s="2" t="s">
        <v>51</v>
      </c>
      <c r="E2083" s="2" t="s">
        <v>16</v>
      </c>
      <c r="F2083" s="2">
        <v>60</v>
      </c>
      <c r="G2083" s="2" t="s">
        <v>5841</v>
      </c>
      <c r="H2083" s="2" t="s">
        <v>4739</v>
      </c>
      <c r="I2083" s="2" t="s">
        <v>59</v>
      </c>
      <c r="J2083" s="3">
        <v>44826</v>
      </c>
      <c r="K2083" s="2">
        <v>17</v>
      </c>
      <c r="L2083" s="2" t="s">
        <v>80</v>
      </c>
    </row>
    <row r="2084" spans="1:12" x14ac:dyDescent="0.3">
      <c r="A2084" s="2">
        <v>2073</v>
      </c>
      <c r="B2084" s="2" t="s">
        <v>1290</v>
      </c>
      <c r="C2084" s="2" t="s">
        <v>5417</v>
      </c>
      <c r="D2084" s="2" t="s">
        <v>15</v>
      </c>
      <c r="E2084" s="2" t="s">
        <v>16</v>
      </c>
      <c r="F2084" s="2">
        <v>60</v>
      </c>
      <c r="G2084" s="2" t="s">
        <v>5842</v>
      </c>
      <c r="H2084" s="2" t="s">
        <v>5843</v>
      </c>
      <c r="I2084" s="2" t="s">
        <v>25</v>
      </c>
      <c r="J2084" s="3">
        <v>43941</v>
      </c>
      <c r="K2084" s="2">
        <v>78</v>
      </c>
      <c r="L2084" s="2" t="s">
        <v>54</v>
      </c>
    </row>
    <row r="2085" spans="1:12" x14ac:dyDescent="0.3">
      <c r="A2085" s="2">
        <v>2074</v>
      </c>
      <c r="B2085" s="2" t="s">
        <v>5785</v>
      </c>
      <c r="C2085" s="2" t="s">
        <v>4135</v>
      </c>
      <c r="D2085" s="2" t="s">
        <v>28</v>
      </c>
      <c r="E2085" s="2" t="s">
        <v>29</v>
      </c>
      <c r="F2085" s="2">
        <v>90</v>
      </c>
      <c r="G2085" s="2" t="s">
        <v>5844</v>
      </c>
      <c r="H2085" s="2" t="s">
        <v>3495</v>
      </c>
      <c r="I2085" s="2" t="s">
        <v>1083</v>
      </c>
      <c r="J2085" s="3">
        <v>44253</v>
      </c>
      <c r="K2085" s="2">
        <v>21</v>
      </c>
      <c r="L2085" s="2" t="s">
        <v>159</v>
      </c>
    </row>
    <row r="2086" spans="1:12" x14ac:dyDescent="0.3">
      <c r="A2086" s="2">
        <v>2075</v>
      </c>
      <c r="B2086" s="2" t="s">
        <v>1375</v>
      </c>
      <c r="C2086" s="2" t="s">
        <v>485</v>
      </c>
      <c r="D2086" s="2" t="s">
        <v>28</v>
      </c>
      <c r="E2086" s="2" t="s">
        <v>29</v>
      </c>
      <c r="F2086" s="2">
        <v>60</v>
      </c>
      <c r="G2086" s="2" t="s">
        <v>5845</v>
      </c>
      <c r="H2086" s="2" t="s">
        <v>838</v>
      </c>
      <c r="I2086" s="2" t="s">
        <v>839</v>
      </c>
      <c r="J2086" s="3">
        <v>44829</v>
      </c>
      <c r="K2086" s="2">
        <v>70</v>
      </c>
      <c r="L2086" s="2" t="s">
        <v>80</v>
      </c>
    </row>
    <row r="2087" spans="1:12" x14ac:dyDescent="0.3">
      <c r="A2087" s="2">
        <v>2076</v>
      </c>
      <c r="B2087" s="2" t="s">
        <v>2477</v>
      </c>
      <c r="C2087" s="2" t="s">
        <v>4373</v>
      </c>
      <c r="D2087" s="2" t="s">
        <v>28</v>
      </c>
      <c r="E2087" s="2" t="s">
        <v>29</v>
      </c>
      <c r="F2087" s="2">
        <v>60</v>
      </c>
      <c r="G2087" s="2" t="s">
        <v>5846</v>
      </c>
      <c r="H2087" s="2" t="s">
        <v>2218</v>
      </c>
      <c r="I2087" s="2" t="s">
        <v>173</v>
      </c>
      <c r="J2087" s="3">
        <v>44175</v>
      </c>
      <c r="K2087" s="2">
        <v>30</v>
      </c>
      <c r="L2087" s="2" t="s">
        <v>45</v>
      </c>
    </row>
    <row r="2088" spans="1:12" x14ac:dyDescent="0.3">
      <c r="A2088" s="2">
        <v>2077</v>
      </c>
      <c r="B2088" s="2" t="s">
        <v>5847</v>
      </c>
      <c r="C2088" s="2" t="s">
        <v>1226</v>
      </c>
      <c r="D2088" s="2" t="s">
        <v>15</v>
      </c>
      <c r="E2088" s="2" t="s">
        <v>16</v>
      </c>
      <c r="F2088" s="2">
        <v>90</v>
      </c>
      <c r="G2088" s="2" t="s">
        <v>5848</v>
      </c>
      <c r="H2088" s="2" t="s">
        <v>2997</v>
      </c>
      <c r="I2088" s="2" t="s">
        <v>32</v>
      </c>
      <c r="J2088" s="3">
        <v>44886</v>
      </c>
      <c r="K2088" s="2">
        <v>26</v>
      </c>
      <c r="L2088" s="2" t="s">
        <v>101</v>
      </c>
    </row>
    <row r="2089" spans="1:12" x14ac:dyDescent="0.3">
      <c r="A2089" s="2">
        <v>2078</v>
      </c>
      <c r="B2089" s="2" t="s">
        <v>5849</v>
      </c>
      <c r="C2089" s="2" t="s">
        <v>5850</v>
      </c>
      <c r="D2089" s="2" t="s">
        <v>28</v>
      </c>
      <c r="E2089" s="2" t="s">
        <v>29</v>
      </c>
      <c r="F2089" s="2">
        <v>60</v>
      </c>
      <c r="G2089" s="2" t="s">
        <v>5851</v>
      </c>
      <c r="H2089" s="2" t="s">
        <v>440</v>
      </c>
      <c r="I2089" s="2" t="s">
        <v>25</v>
      </c>
      <c r="J2089" s="3">
        <v>44474</v>
      </c>
      <c r="K2089" s="2">
        <v>72</v>
      </c>
      <c r="L2089" s="2" t="s">
        <v>159</v>
      </c>
    </row>
    <row r="2090" spans="1:12" x14ac:dyDescent="0.3">
      <c r="A2090" s="2">
        <v>2079</v>
      </c>
      <c r="B2090" s="2" t="s">
        <v>5852</v>
      </c>
      <c r="C2090" s="2" t="s">
        <v>5853</v>
      </c>
      <c r="D2090" s="2" t="s">
        <v>51</v>
      </c>
      <c r="E2090" s="2" t="s">
        <v>16</v>
      </c>
      <c r="F2090" s="2">
        <v>90</v>
      </c>
      <c r="G2090" s="2" t="s">
        <v>5854</v>
      </c>
      <c r="H2090" s="2" t="s">
        <v>4158</v>
      </c>
      <c r="I2090" s="2" t="s">
        <v>32</v>
      </c>
      <c r="J2090" s="3">
        <v>44615</v>
      </c>
      <c r="K2090" s="2">
        <v>84</v>
      </c>
      <c r="L2090" s="2" t="s">
        <v>101</v>
      </c>
    </row>
    <row r="2091" spans="1:12" x14ac:dyDescent="0.3">
      <c r="A2091" s="2">
        <v>2080</v>
      </c>
      <c r="B2091" s="2" t="s">
        <v>2647</v>
      </c>
      <c r="C2091" s="2" t="s">
        <v>680</v>
      </c>
      <c r="D2091" s="2" t="s">
        <v>51</v>
      </c>
      <c r="E2091" s="2" t="s">
        <v>16</v>
      </c>
      <c r="F2091" s="2">
        <v>60</v>
      </c>
      <c r="G2091" s="2" t="s">
        <v>5855</v>
      </c>
      <c r="H2091" s="2" t="s">
        <v>4451</v>
      </c>
      <c r="I2091" s="2" t="s">
        <v>32</v>
      </c>
      <c r="J2091" s="3">
        <v>44206</v>
      </c>
      <c r="K2091" s="2">
        <v>76</v>
      </c>
      <c r="L2091" s="2" t="s">
        <v>64</v>
      </c>
    </row>
    <row r="2092" spans="1:12" x14ac:dyDescent="0.3">
      <c r="A2092" s="2">
        <v>2081</v>
      </c>
      <c r="B2092" s="2" t="s">
        <v>5856</v>
      </c>
      <c r="C2092" s="2" t="s">
        <v>5389</v>
      </c>
      <c r="D2092" s="2" t="s">
        <v>117</v>
      </c>
      <c r="E2092" s="2" t="s">
        <v>29</v>
      </c>
      <c r="F2092" s="2">
        <v>30</v>
      </c>
      <c r="G2092" s="2" t="s">
        <v>5857</v>
      </c>
      <c r="H2092" s="2" t="s">
        <v>4889</v>
      </c>
      <c r="I2092" s="2" t="s">
        <v>110</v>
      </c>
      <c r="J2092" s="3">
        <v>44653</v>
      </c>
      <c r="K2092" s="2">
        <v>10</v>
      </c>
      <c r="L2092" s="2" t="s">
        <v>54</v>
      </c>
    </row>
    <row r="2093" spans="1:12" x14ac:dyDescent="0.3">
      <c r="A2093" s="2">
        <v>2082</v>
      </c>
      <c r="B2093" s="2" t="s">
        <v>4399</v>
      </c>
      <c r="C2093" s="2" t="s">
        <v>5858</v>
      </c>
      <c r="D2093" s="2" t="s">
        <v>15</v>
      </c>
      <c r="E2093" s="2" t="s">
        <v>16</v>
      </c>
      <c r="F2093" s="2">
        <v>90</v>
      </c>
      <c r="G2093" s="2" t="s">
        <v>5859</v>
      </c>
      <c r="H2093" s="2" t="s">
        <v>338</v>
      </c>
      <c r="I2093" s="2" t="s">
        <v>173</v>
      </c>
      <c r="J2093" s="3">
        <v>43908</v>
      </c>
      <c r="K2093" s="2">
        <v>45</v>
      </c>
      <c r="L2093" s="2" t="s">
        <v>45</v>
      </c>
    </row>
    <row r="2094" spans="1:12" x14ac:dyDescent="0.3">
      <c r="A2094" s="2">
        <v>2083</v>
      </c>
      <c r="B2094" s="2" t="s">
        <v>1068</v>
      </c>
      <c r="C2094" s="2" t="s">
        <v>3662</v>
      </c>
      <c r="D2094" s="2" t="s">
        <v>51</v>
      </c>
      <c r="E2094" s="2" t="s">
        <v>16</v>
      </c>
      <c r="F2094" s="2">
        <v>30</v>
      </c>
      <c r="G2094" s="2" t="s">
        <v>5860</v>
      </c>
      <c r="H2094" s="2" t="s">
        <v>1253</v>
      </c>
      <c r="I2094" s="2" t="s">
        <v>32</v>
      </c>
      <c r="J2094" s="3">
        <v>44234</v>
      </c>
      <c r="K2094" s="2">
        <v>83</v>
      </c>
      <c r="L2094" s="2" t="s">
        <v>159</v>
      </c>
    </row>
    <row r="2095" spans="1:12" x14ac:dyDescent="0.3">
      <c r="A2095" s="2">
        <v>2084</v>
      </c>
      <c r="B2095" s="2" t="s">
        <v>5861</v>
      </c>
      <c r="C2095" s="2" t="s">
        <v>5862</v>
      </c>
      <c r="D2095" s="2" t="s">
        <v>51</v>
      </c>
      <c r="E2095" s="2" t="s">
        <v>16</v>
      </c>
      <c r="F2095" s="2">
        <v>30</v>
      </c>
      <c r="G2095" s="2" t="s">
        <v>5863</v>
      </c>
      <c r="H2095" s="2" t="s">
        <v>4389</v>
      </c>
      <c r="I2095" s="2" t="s">
        <v>32</v>
      </c>
      <c r="J2095" s="3">
        <v>43976</v>
      </c>
      <c r="K2095" s="2">
        <v>11</v>
      </c>
      <c r="L2095" s="2" t="s">
        <v>101</v>
      </c>
    </row>
    <row r="2096" spans="1:12" x14ac:dyDescent="0.3">
      <c r="A2096" s="2">
        <v>2085</v>
      </c>
      <c r="B2096" s="2" t="s">
        <v>5864</v>
      </c>
      <c r="C2096" s="2" t="s">
        <v>3385</v>
      </c>
      <c r="D2096" s="2" t="s">
        <v>28</v>
      </c>
      <c r="E2096" s="2" t="s">
        <v>29</v>
      </c>
      <c r="F2096" s="2">
        <v>60</v>
      </c>
      <c r="G2096" s="2" t="s">
        <v>5865</v>
      </c>
      <c r="H2096" s="2" t="s">
        <v>224</v>
      </c>
      <c r="I2096" s="2" t="s">
        <v>124</v>
      </c>
      <c r="J2096" s="3">
        <v>44020</v>
      </c>
      <c r="K2096" s="2">
        <v>39</v>
      </c>
      <c r="L2096" s="2" t="s">
        <v>80</v>
      </c>
    </row>
    <row r="2097" spans="1:12" x14ac:dyDescent="0.3">
      <c r="A2097" s="2">
        <v>2086</v>
      </c>
      <c r="B2097" s="2" t="s">
        <v>4023</v>
      </c>
      <c r="C2097" s="2" t="s">
        <v>2640</v>
      </c>
      <c r="D2097" s="2" t="s">
        <v>28</v>
      </c>
      <c r="E2097" s="2" t="s">
        <v>29</v>
      </c>
      <c r="F2097" s="2">
        <v>30</v>
      </c>
      <c r="G2097" s="2" t="s">
        <v>5866</v>
      </c>
      <c r="H2097" s="2" t="s">
        <v>5867</v>
      </c>
      <c r="I2097" s="2" t="s">
        <v>32</v>
      </c>
      <c r="J2097" s="3">
        <v>44261</v>
      </c>
      <c r="K2097" s="2">
        <v>27</v>
      </c>
      <c r="L2097" s="2" t="s">
        <v>54</v>
      </c>
    </row>
    <row r="2098" spans="1:12" x14ac:dyDescent="0.3">
      <c r="A2098" s="2">
        <v>2087</v>
      </c>
      <c r="B2098" s="2" t="s">
        <v>3740</v>
      </c>
      <c r="C2098" s="2" t="s">
        <v>5868</v>
      </c>
      <c r="D2098" s="2" t="s">
        <v>15</v>
      </c>
      <c r="E2098" s="2" t="s">
        <v>16</v>
      </c>
      <c r="F2098" s="2">
        <v>90</v>
      </c>
      <c r="G2098" s="2" t="s">
        <v>5869</v>
      </c>
      <c r="H2098" s="2" t="s">
        <v>5826</v>
      </c>
      <c r="I2098" s="2" t="s">
        <v>32</v>
      </c>
      <c r="J2098" s="3">
        <v>44329</v>
      </c>
      <c r="K2098" s="2">
        <v>7</v>
      </c>
      <c r="L2098" s="2" t="s">
        <v>159</v>
      </c>
    </row>
    <row r="2099" spans="1:12" x14ac:dyDescent="0.3">
      <c r="A2099" s="2">
        <v>2088</v>
      </c>
      <c r="B2099" s="2" t="s">
        <v>5785</v>
      </c>
      <c r="C2099" s="2" t="s">
        <v>5870</v>
      </c>
      <c r="D2099" s="2" t="s">
        <v>28</v>
      </c>
      <c r="E2099" s="2" t="s">
        <v>29</v>
      </c>
      <c r="F2099" s="2">
        <v>30</v>
      </c>
      <c r="G2099" s="2" t="s">
        <v>5871</v>
      </c>
      <c r="H2099" s="2" t="s">
        <v>2284</v>
      </c>
      <c r="I2099" s="2" t="s">
        <v>32</v>
      </c>
      <c r="J2099" s="3">
        <v>44297</v>
      </c>
      <c r="K2099" s="2">
        <v>78</v>
      </c>
      <c r="L2099" s="2" t="s">
        <v>54</v>
      </c>
    </row>
    <row r="2100" spans="1:12" x14ac:dyDescent="0.3">
      <c r="A2100" s="2">
        <v>2089</v>
      </c>
      <c r="B2100" s="2" t="s">
        <v>2251</v>
      </c>
      <c r="C2100" s="2" t="s">
        <v>870</v>
      </c>
      <c r="D2100" s="2" t="s">
        <v>28</v>
      </c>
      <c r="E2100" s="2" t="s">
        <v>29</v>
      </c>
      <c r="F2100" s="2">
        <v>60</v>
      </c>
      <c r="G2100" s="2" t="s">
        <v>5872</v>
      </c>
      <c r="H2100" s="2" t="s">
        <v>3724</v>
      </c>
      <c r="I2100" s="2" t="s">
        <v>1078</v>
      </c>
      <c r="J2100" s="3">
        <v>44752</v>
      </c>
      <c r="K2100" s="2">
        <v>36</v>
      </c>
      <c r="L2100" s="2" t="s">
        <v>80</v>
      </c>
    </row>
    <row r="2101" spans="1:12" x14ac:dyDescent="0.3">
      <c r="A2101" s="2">
        <v>2090</v>
      </c>
      <c r="B2101" s="2" t="s">
        <v>1226</v>
      </c>
      <c r="C2101" s="2" t="s">
        <v>2207</v>
      </c>
      <c r="D2101" s="2" t="s">
        <v>51</v>
      </c>
      <c r="E2101" s="2" t="s">
        <v>16</v>
      </c>
      <c r="F2101" s="2">
        <v>60</v>
      </c>
      <c r="G2101" s="2" t="s">
        <v>5873</v>
      </c>
      <c r="H2101" s="2" t="s">
        <v>5874</v>
      </c>
      <c r="I2101" s="2" t="s">
        <v>839</v>
      </c>
      <c r="J2101" s="3">
        <v>43953</v>
      </c>
      <c r="K2101" s="2">
        <v>63</v>
      </c>
      <c r="L2101" s="2" t="s">
        <v>39</v>
      </c>
    </row>
    <row r="2102" spans="1:12" x14ac:dyDescent="0.3">
      <c r="A2102" s="2">
        <v>2091</v>
      </c>
      <c r="B2102" s="2" t="s">
        <v>5875</v>
      </c>
      <c r="C2102" s="2" t="s">
        <v>5876</v>
      </c>
      <c r="D2102" s="2" t="s">
        <v>51</v>
      </c>
      <c r="E2102" s="2" t="s">
        <v>16</v>
      </c>
      <c r="F2102" s="2">
        <v>60</v>
      </c>
      <c r="G2102" s="2" t="s">
        <v>5877</v>
      </c>
      <c r="H2102" s="2" t="s">
        <v>4508</v>
      </c>
      <c r="I2102" s="2" t="s">
        <v>32</v>
      </c>
      <c r="J2102" s="3">
        <v>44046</v>
      </c>
      <c r="K2102" s="2">
        <v>37</v>
      </c>
      <c r="L2102" s="2" t="s">
        <v>20</v>
      </c>
    </row>
    <row r="2103" spans="1:12" x14ac:dyDescent="0.3">
      <c r="A2103" s="2">
        <v>2092</v>
      </c>
      <c r="B2103" s="2" t="s">
        <v>5878</v>
      </c>
      <c r="C2103" s="2" t="s">
        <v>2071</v>
      </c>
      <c r="D2103" s="2" t="s">
        <v>28</v>
      </c>
      <c r="E2103" s="2" t="s">
        <v>29</v>
      </c>
      <c r="F2103" s="2">
        <v>90</v>
      </c>
      <c r="G2103" s="2" t="s">
        <v>5879</v>
      </c>
      <c r="H2103" s="2" t="s">
        <v>1845</v>
      </c>
      <c r="I2103" s="2" t="s">
        <v>294</v>
      </c>
      <c r="J2103" s="3">
        <v>44752</v>
      </c>
      <c r="K2103" s="2">
        <v>82</v>
      </c>
      <c r="L2103" s="2" t="s">
        <v>101</v>
      </c>
    </row>
    <row r="2104" spans="1:12" x14ac:dyDescent="0.3">
      <c r="A2104" s="2">
        <v>2093</v>
      </c>
      <c r="B2104" s="2" t="s">
        <v>2549</v>
      </c>
      <c r="C2104" s="2" t="s">
        <v>4399</v>
      </c>
      <c r="D2104" s="2" t="s">
        <v>51</v>
      </c>
      <c r="E2104" s="2" t="s">
        <v>16</v>
      </c>
      <c r="F2104" s="2">
        <v>30</v>
      </c>
      <c r="G2104" s="2" t="s">
        <v>5880</v>
      </c>
      <c r="H2104" s="2" t="s">
        <v>4807</v>
      </c>
      <c r="I2104" s="2" t="s">
        <v>32</v>
      </c>
      <c r="J2104" s="3">
        <v>44665</v>
      </c>
      <c r="K2104" s="2">
        <v>61</v>
      </c>
      <c r="L2104" s="2" t="s">
        <v>54</v>
      </c>
    </row>
    <row r="2105" spans="1:12" x14ac:dyDescent="0.3">
      <c r="A2105" s="2">
        <v>2094</v>
      </c>
      <c r="B2105" s="2" t="s">
        <v>1982</v>
      </c>
      <c r="C2105" s="2" t="s">
        <v>2434</v>
      </c>
      <c r="D2105" s="2" t="s">
        <v>28</v>
      </c>
      <c r="E2105" s="2" t="s">
        <v>29</v>
      </c>
      <c r="F2105" s="2">
        <v>90</v>
      </c>
      <c r="G2105" s="2" t="s">
        <v>5881</v>
      </c>
      <c r="H2105" s="2" t="s">
        <v>5882</v>
      </c>
      <c r="I2105" s="2" t="s">
        <v>32</v>
      </c>
      <c r="J2105" s="3">
        <v>44740</v>
      </c>
      <c r="K2105" s="2">
        <v>36</v>
      </c>
      <c r="L2105" s="2" t="s">
        <v>64</v>
      </c>
    </row>
    <row r="2106" spans="1:12" x14ac:dyDescent="0.3">
      <c r="A2106" s="2">
        <v>2095</v>
      </c>
      <c r="B2106" s="2" t="s">
        <v>3262</v>
      </c>
      <c r="C2106" s="2" t="s">
        <v>5883</v>
      </c>
      <c r="D2106" s="2" t="s">
        <v>15</v>
      </c>
      <c r="E2106" s="2" t="s">
        <v>16</v>
      </c>
      <c r="F2106" s="2">
        <v>90</v>
      </c>
      <c r="G2106" s="2" t="s">
        <v>5884</v>
      </c>
      <c r="H2106" s="2" t="s">
        <v>436</v>
      </c>
      <c r="I2106" s="2" t="s">
        <v>32</v>
      </c>
      <c r="J2106" s="3">
        <v>44855</v>
      </c>
      <c r="K2106" s="2">
        <v>13</v>
      </c>
      <c r="L2106" s="2" t="s">
        <v>159</v>
      </c>
    </row>
    <row r="2107" spans="1:12" x14ac:dyDescent="0.3">
      <c r="A2107" s="2">
        <v>2096</v>
      </c>
      <c r="B2107" s="2" t="s">
        <v>778</v>
      </c>
      <c r="C2107" s="2" t="s">
        <v>1607</v>
      </c>
      <c r="D2107" s="2" t="s">
        <v>28</v>
      </c>
      <c r="E2107" s="2" t="s">
        <v>29</v>
      </c>
      <c r="F2107" s="2">
        <v>90</v>
      </c>
      <c r="G2107" s="2" t="s">
        <v>5885</v>
      </c>
      <c r="H2107" s="2" t="s">
        <v>5886</v>
      </c>
      <c r="I2107" s="2" t="s">
        <v>187</v>
      </c>
      <c r="J2107" s="3">
        <v>44837</v>
      </c>
      <c r="K2107" s="2">
        <v>92</v>
      </c>
      <c r="L2107" s="2" t="s">
        <v>45</v>
      </c>
    </row>
    <row r="2108" spans="1:12" x14ac:dyDescent="0.3">
      <c r="A2108" s="2">
        <v>2097</v>
      </c>
      <c r="B2108" s="2" t="s">
        <v>5421</v>
      </c>
      <c r="C2108" s="2" t="s">
        <v>1219</v>
      </c>
      <c r="D2108" s="2" t="s">
        <v>28</v>
      </c>
      <c r="E2108" s="2" t="s">
        <v>29</v>
      </c>
      <c r="F2108" s="2">
        <v>90</v>
      </c>
      <c r="G2108" s="2" t="s">
        <v>5885</v>
      </c>
      <c r="H2108" s="2" t="s">
        <v>3984</v>
      </c>
      <c r="I2108" s="2" t="s">
        <v>32</v>
      </c>
      <c r="J2108" s="3">
        <v>44394</v>
      </c>
      <c r="K2108" s="2">
        <v>78</v>
      </c>
      <c r="L2108" s="2" t="s">
        <v>80</v>
      </c>
    </row>
    <row r="2109" spans="1:12" x14ac:dyDescent="0.3">
      <c r="A2109" s="2">
        <v>2098</v>
      </c>
      <c r="B2109" s="2" t="s">
        <v>5887</v>
      </c>
      <c r="C2109" s="2" t="s">
        <v>4251</v>
      </c>
      <c r="D2109" s="2" t="s">
        <v>28</v>
      </c>
      <c r="E2109" s="2" t="s">
        <v>29</v>
      </c>
      <c r="F2109" s="2">
        <v>30</v>
      </c>
      <c r="G2109" s="2" t="s">
        <v>5888</v>
      </c>
      <c r="H2109" s="2" t="s">
        <v>1674</v>
      </c>
      <c r="I2109" s="2" t="s">
        <v>25</v>
      </c>
      <c r="J2109" s="3">
        <v>44319</v>
      </c>
      <c r="K2109" s="2">
        <v>20</v>
      </c>
      <c r="L2109" s="2" t="s">
        <v>64</v>
      </c>
    </row>
    <row r="2110" spans="1:12" x14ac:dyDescent="0.3">
      <c r="A2110" s="2">
        <v>2099</v>
      </c>
      <c r="B2110" s="2" t="s">
        <v>5644</v>
      </c>
      <c r="C2110" s="2" t="s">
        <v>2524</v>
      </c>
      <c r="D2110" s="2" t="s">
        <v>28</v>
      </c>
      <c r="E2110" s="2" t="s">
        <v>29</v>
      </c>
      <c r="F2110" s="2">
        <v>60</v>
      </c>
      <c r="G2110" s="2" t="s">
        <v>5889</v>
      </c>
      <c r="H2110" s="2" t="s">
        <v>2267</v>
      </c>
      <c r="I2110" s="2" t="s">
        <v>124</v>
      </c>
      <c r="J2110" s="3">
        <v>44168</v>
      </c>
      <c r="K2110" s="2">
        <v>17</v>
      </c>
      <c r="L2110" s="2" t="s">
        <v>33</v>
      </c>
    </row>
    <row r="2111" spans="1:12" x14ac:dyDescent="0.3">
      <c r="A2111" s="2">
        <v>2100</v>
      </c>
      <c r="B2111" s="2" t="s">
        <v>5890</v>
      </c>
      <c r="C2111" s="2" t="s">
        <v>5891</v>
      </c>
      <c r="D2111" s="2" t="s">
        <v>15</v>
      </c>
      <c r="E2111" s="2" t="s">
        <v>16</v>
      </c>
      <c r="F2111" s="2">
        <v>60</v>
      </c>
      <c r="G2111" s="2" t="s">
        <v>5892</v>
      </c>
      <c r="H2111" s="2" t="s">
        <v>322</v>
      </c>
      <c r="I2111" s="2" t="s">
        <v>32</v>
      </c>
      <c r="J2111" s="3">
        <v>44724</v>
      </c>
      <c r="K2111" s="2">
        <v>31</v>
      </c>
      <c r="L2111" s="2" t="s">
        <v>20</v>
      </c>
    </row>
    <row r="2112" spans="1:12" x14ac:dyDescent="0.3">
      <c r="A2112" s="2">
        <v>2101</v>
      </c>
      <c r="B2112" s="2" t="s">
        <v>102</v>
      </c>
      <c r="C2112" s="2" t="s">
        <v>5893</v>
      </c>
      <c r="D2112" s="2" t="s">
        <v>51</v>
      </c>
      <c r="E2112" s="2" t="s">
        <v>16</v>
      </c>
      <c r="F2112" s="2">
        <v>30</v>
      </c>
      <c r="G2112" s="2" t="s">
        <v>5894</v>
      </c>
      <c r="H2112" s="2" t="s">
        <v>5895</v>
      </c>
      <c r="I2112" s="2" t="s">
        <v>32</v>
      </c>
      <c r="J2112" s="3">
        <v>44680</v>
      </c>
      <c r="K2112" s="2">
        <v>31</v>
      </c>
      <c r="L2112" s="2" t="s">
        <v>70</v>
      </c>
    </row>
    <row r="2113" spans="1:12" x14ac:dyDescent="0.3">
      <c r="A2113" s="2">
        <v>2102</v>
      </c>
      <c r="B2113" s="2" t="s">
        <v>986</v>
      </c>
      <c r="C2113" s="2" t="s">
        <v>4548</v>
      </c>
      <c r="D2113" s="2" t="s">
        <v>28</v>
      </c>
      <c r="E2113" s="2" t="s">
        <v>29</v>
      </c>
      <c r="F2113" s="2">
        <v>90</v>
      </c>
      <c r="G2113" s="2" t="s">
        <v>5896</v>
      </c>
      <c r="H2113" s="2" t="s">
        <v>4958</v>
      </c>
      <c r="I2113" s="2" t="s">
        <v>95</v>
      </c>
      <c r="J2113" s="3">
        <v>44060</v>
      </c>
      <c r="K2113" s="2">
        <v>45</v>
      </c>
      <c r="L2113" s="2" t="s">
        <v>39</v>
      </c>
    </row>
    <row r="2114" spans="1:12" x14ac:dyDescent="0.3">
      <c r="A2114" s="2">
        <v>2103</v>
      </c>
      <c r="B2114" s="2" t="s">
        <v>657</v>
      </c>
      <c r="C2114" s="2" t="s">
        <v>1023</v>
      </c>
      <c r="D2114" s="2" t="s">
        <v>28</v>
      </c>
      <c r="E2114" s="2" t="s">
        <v>29</v>
      </c>
      <c r="F2114" s="2">
        <v>60</v>
      </c>
      <c r="G2114" s="2" t="s">
        <v>5897</v>
      </c>
      <c r="H2114" s="2" t="s">
        <v>3987</v>
      </c>
      <c r="I2114" s="2" t="s">
        <v>554</v>
      </c>
      <c r="J2114" s="3">
        <v>44737</v>
      </c>
      <c r="K2114" s="2">
        <v>39</v>
      </c>
      <c r="L2114" s="2" t="s">
        <v>80</v>
      </c>
    </row>
    <row r="2115" spans="1:12" x14ac:dyDescent="0.3">
      <c r="A2115" s="2">
        <v>2104</v>
      </c>
      <c r="B2115" s="2" t="s">
        <v>1058</v>
      </c>
      <c r="C2115" s="2" t="s">
        <v>4792</v>
      </c>
      <c r="D2115" s="2" t="s">
        <v>28</v>
      </c>
      <c r="E2115" s="2" t="s">
        <v>29</v>
      </c>
      <c r="F2115" s="2">
        <v>90</v>
      </c>
      <c r="G2115" s="2" t="s">
        <v>5898</v>
      </c>
      <c r="H2115" s="2" t="s">
        <v>1276</v>
      </c>
      <c r="I2115" s="2" t="s">
        <v>32</v>
      </c>
      <c r="J2115" s="3">
        <v>44461</v>
      </c>
      <c r="K2115" s="2">
        <v>2</v>
      </c>
      <c r="L2115" s="2" t="s">
        <v>101</v>
      </c>
    </row>
    <row r="2116" spans="1:12" x14ac:dyDescent="0.3">
      <c r="A2116" s="2">
        <v>2105</v>
      </c>
      <c r="B2116" s="2" t="s">
        <v>979</v>
      </c>
      <c r="C2116" s="2" t="s">
        <v>1521</v>
      </c>
      <c r="D2116" s="2" t="s">
        <v>28</v>
      </c>
      <c r="E2116" s="2" t="s">
        <v>29</v>
      </c>
      <c r="F2116" s="2">
        <v>30</v>
      </c>
      <c r="G2116" s="2" t="s">
        <v>10516</v>
      </c>
      <c r="H2116" s="2" t="s">
        <v>3206</v>
      </c>
      <c r="I2116" s="2" t="s">
        <v>1199</v>
      </c>
      <c r="J2116" s="3">
        <v>44256</v>
      </c>
      <c r="K2116" s="2">
        <v>34</v>
      </c>
      <c r="L2116" s="2" t="s">
        <v>80</v>
      </c>
    </row>
    <row r="2117" spans="1:12" x14ac:dyDescent="0.3">
      <c r="A2117" s="2">
        <v>2106</v>
      </c>
      <c r="B2117" s="2" t="s">
        <v>5900</v>
      </c>
      <c r="C2117" s="2" t="s">
        <v>22</v>
      </c>
      <c r="D2117" s="2" t="s">
        <v>28</v>
      </c>
      <c r="E2117" s="2" t="s">
        <v>29</v>
      </c>
      <c r="F2117" s="2">
        <v>60</v>
      </c>
      <c r="G2117" s="2" t="s">
        <v>10516</v>
      </c>
      <c r="H2117" s="2" t="s">
        <v>1444</v>
      </c>
      <c r="I2117" s="2" t="s">
        <v>1199</v>
      </c>
      <c r="J2117" s="3">
        <v>44589</v>
      </c>
      <c r="K2117" s="2">
        <v>91</v>
      </c>
      <c r="L2117" s="2" t="s">
        <v>54</v>
      </c>
    </row>
    <row r="2118" spans="1:12" x14ac:dyDescent="0.3">
      <c r="A2118" s="2">
        <v>2107</v>
      </c>
      <c r="B2118" s="2" t="s">
        <v>1695</v>
      </c>
      <c r="C2118" s="2" t="s">
        <v>987</v>
      </c>
      <c r="D2118" s="2" t="s">
        <v>15</v>
      </c>
      <c r="E2118" s="2" t="s">
        <v>16</v>
      </c>
      <c r="F2118" s="2">
        <v>60</v>
      </c>
      <c r="G2118" s="2" t="s">
        <v>5901</v>
      </c>
      <c r="H2118" s="2" t="s">
        <v>2655</v>
      </c>
      <c r="I2118" s="2" t="s">
        <v>1083</v>
      </c>
      <c r="J2118" s="3">
        <v>44866</v>
      </c>
      <c r="K2118" s="2">
        <v>38</v>
      </c>
      <c r="L2118" s="2" t="s">
        <v>80</v>
      </c>
    </row>
    <row r="2119" spans="1:12" x14ac:dyDescent="0.3">
      <c r="A2119" s="2">
        <v>2108</v>
      </c>
      <c r="B2119" s="2" t="s">
        <v>3108</v>
      </c>
      <c r="C2119" s="2" t="s">
        <v>1023</v>
      </c>
      <c r="D2119" s="2" t="s">
        <v>51</v>
      </c>
      <c r="E2119" s="2" t="s">
        <v>16</v>
      </c>
      <c r="F2119" s="2">
        <v>30</v>
      </c>
      <c r="G2119" s="2" t="s">
        <v>5902</v>
      </c>
      <c r="H2119" s="2" t="s">
        <v>2397</v>
      </c>
      <c r="I2119" s="2" t="s">
        <v>187</v>
      </c>
      <c r="J2119" s="3">
        <v>44076</v>
      </c>
      <c r="K2119" s="2">
        <v>30</v>
      </c>
      <c r="L2119" s="2" t="s">
        <v>159</v>
      </c>
    </row>
    <row r="2120" spans="1:12" x14ac:dyDescent="0.3">
      <c r="A2120" s="2">
        <v>2109</v>
      </c>
      <c r="B2120" s="2" t="s">
        <v>5903</v>
      </c>
      <c r="C2120" s="2" t="s">
        <v>5193</v>
      </c>
      <c r="D2120" s="2" t="s">
        <v>15</v>
      </c>
      <c r="E2120" s="2" t="s">
        <v>16</v>
      </c>
      <c r="F2120" s="2">
        <v>30</v>
      </c>
      <c r="G2120" s="2" t="s">
        <v>5904</v>
      </c>
      <c r="H2120" s="2" t="s">
        <v>4944</v>
      </c>
      <c r="I2120" s="2" t="s">
        <v>839</v>
      </c>
      <c r="J2120" s="3">
        <v>44231</v>
      </c>
      <c r="K2120" s="2">
        <v>33</v>
      </c>
      <c r="L2120" s="2" t="s">
        <v>70</v>
      </c>
    </row>
    <row r="2121" spans="1:12" x14ac:dyDescent="0.3">
      <c r="A2121" s="2">
        <v>2110</v>
      </c>
      <c r="B2121" s="2" t="s">
        <v>5905</v>
      </c>
      <c r="C2121" s="2" t="s">
        <v>1678</v>
      </c>
      <c r="D2121" s="2" t="s">
        <v>51</v>
      </c>
      <c r="E2121" s="2" t="s">
        <v>16</v>
      </c>
      <c r="F2121" s="2">
        <v>30</v>
      </c>
      <c r="G2121" s="2" t="s">
        <v>5906</v>
      </c>
      <c r="H2121" s="2" t="s">
        <v>5619</v>
      </c>
      <c r="I2121" s="2" t="s">
        <v>32</v>
      </c>
      <c r="J2121" s="3">
        <v>44908</v>
      </c>
      <c r="K2121" s="2">
        <v>14</v>
      </c>
      <c r="L2121" s="2" t="s">
        <v>64</v>
      </c>
    </row>
    <row r="2122" spans="1:12" x14ac:dyDescent="0.3">
      <c r="A2122" s="2">
        <v>2111</v>
      </c>
      <c r="B2122" s="2" t="s">
        <v>5907</v>
      </c>
      <c r="C2122" s="2" t="s">
        <v>2385</v>
      </c>
      <c r="D2122" s="2" t="s">
        <v>15</v>
      </c>
      <c r="E2122" s="2" t="s">
        <v>16</v>
      </c>
      <c r="F2122" s="2">
        <v>30</v>
      </c>
      <c r="G2122" s="2" t="s">
        <v>5908</v>
      </c>
      <c r="H2122" s="2" t="s">
        <v>3571</v>
      </c>
      <c r="I2122" s="2" t="s">
        <v>32</v>
      </c>
      <c r="J2122" s="3">
        <v>44077</v>
      </c>
      <c r="K2122" s="2">
        <v>47</v>
      </c>
      <c r="L2122" s="2" t="s">
        <v>54</v>
      </c>
    </row>
    <row r="2123" spans="1:12" x14ac:dyDescent="0.3">
      <c r="A2123" s="2">
        <v>2112</v>
      </c>
      <c r="B2123" s="2" t="s">
        <v>646</v>
      </c>
      <c r="C2123" s="2" t="s">
        <v>256</v>
      </c>
      <c r="D2123" s="2" t="s">
        <v>28</v>
      </c>
      <c r="E2123" s="2" t="s">
        <v>29</v>
      </c>
      <c r="F2123" s="2">
        <v>30</v>
      </c>
      <c r="G2123" s="2" t="s">
        <v>5909</v>
      </c>
      <c r="H2123" s="2" t="s">
        <v>2579</v>
      </c>
      <c r="I2123" s="2" t="s">
        <v>425</v>
      </c>
      <c r="J2123" s="3">
        <v>44618</v>
      </c>
      <c r="K2123" s="2">
        <v>9</v>
      </c>
      <c r="L2123" s="2" t="s">
        <v>101</v>
      </c>
    </row>
    <row r="2124" spans="1:12" x14ac:dyDescent="0.3">
      <c r="A2124" s="2">
        <v>2113</v>
      </c>
      <c r="B2124" s="2" t="s">
        <v>5141</v>
      </c>
      <c r="C2124" s="2" t="s">
        <v>5910</v>
      </c>
      <c r="D2124" s="2" t="s">
        <v>28</v>
      </c>
      <c r="E2124" s="2" t="s">
        <v>29</v>
      </c>
      <c r="F2124" s="2">
        <v>90</v>
      </c>
      <c r="G2124" s="2" t="s">
        <v>5911</v>
      </c>
      <c r="H2124" s="2" t="s">
        <v>685</v>
      </c>
      <c r="I2124" s="2" t="s">
        <v>686</v>
      </c>
      <c r="J2124" s="3">
        <v>44425</v>
      </c>
      <c r="K2124" s="2">
        <v>42</v>
      </c>
      <c r="L2124" s="2" t="s">
        <v>33</v>
      </c>
    </row>
    <row r="2125" spans="1:12" x14ac:dyDescent="0.3">
      <c r="A2125" s="2">
        <v>2114</v>
      </c>
      <c r="B2125" s="2" t="s">
        <v>2627</v>
      </c>
      <c r="C2125" s="2" t="s">
        <v>3591</v>
      </c>
      <c r="D2125" s="2" t="s">
        <v>15</v>
      </c>
      <c r="E2125" s="2" t="s">
        <v>16</v>
      </c>
      <c r="F2125" s="2">
        <v>30</v>
      </c>
      <c r="G2125" s="2" t="s">
        <v>5912</v>
      </c>
      <c r="H2125" s="2" t="s">
        <v>1453</v>
      </c>
      <c r="I2125" s="2" t="s">
        <v>1454</v>
      </c>
      <c r="J2125" s="3">
        <v>44627</v>
      </c>
      <c r="K2125" s="2">
        <v>12</v>
      </c>
      <c r="L2125" s="2" t="s">
        <v>80</v>
      </c>
    </row>
    <row r="2126" spans="1:12" x14ac:dyDescent="0.3">
      <c r="A2126" s="2">
        <v>2115</v>
      </c>
      <c r="B2126" s="2" t="s">
        <v>4489</v>
      </c>
      <c r="C2126" s="2" t="s">
        <v>5913</v>
      </c>
      <c r="D2126" s="2" t="s">
        <v>28</v>
      </c>
      <c r="E2126" s="2" t="s">
        <v>29</v>
      </c>
      <c r="F2126" s="2">
        <v>90</v>
      </c>
      <c r="G2126" s="2" t="s">
        <v>5914</v>
      </c>
      <c r="H2126" s="2" t="s">
        <v>5915</v>
      </c>
      <c r="I2126" s="2" t="s">
        <v>32</v>
      </c>
      <c r="J2126" s="3">
        <v>44597</v>
      </c>
      <c r="K2126" s="2">
        <v>104</v>
      </c>
      <c r="L2126" s="2" t="s">
        <v>101</v>
      </c>
    </row>
    <row r="2127" spans="1:12" x14ac:dyDescent="0.3">
      <c r="A2127" s="2">
        <v>2116</v>
      </c>
      <c r="B2127" s="2" t="s">
        <v>5916</v>
      </c>
      <c r="C2127" s="2" t="s">
        <v>3845</v>
      </c>
      <c r="D2127" s="2" t="s">
        <v>28</v>
      </c>
      <c r="E2127" s="2" t="s">
        <v>29</v>
      </c>
      <c r="F2127" s="2">
        <v>60</v>
      </c>
      <c r="G2127" s="2" t="s">
        <v>10517</v>
      </c>
      <c r="H2127" s="2" t="s">
        <v>793</v>
      </c>
      <c r="I2127" s="2" t="s">
        <v>178</v>
      </c>
      <c r="J2127" s="3">
        <v>44169</v>
      </c>
      <c r="K2127" s="2">
        <v>22</v>
      </c>
      <c r="L2127" s="2" t="s">
        <v>101</v>
      </c>
    </row>
    <row r="2128" spans="1:12" x14ac:dyDescent="0.3">
      <c r="A2128" s="2">
        <v>2117</v>
      </c>
      <c r="B2128" s="2" t="s">
        <v>5918</v>
      </c>
      <c r="C2128" s="2" t="s">
        <v>866</v>
      </c>
      <c r="D2128" s="2" t="s">
        <v>28</v>
      </c>
      <c r="E2128" s="2" t="s">
        <v>29</v>
      </c>
      <c r="F2128" s="2">
        <v>90</v>
      </c>
      <c r="G2128" s="2" t="s">
        <v>5919</v>
      </c>
      <c r="H2128" s="2" t="s">
        <v>4046</v>
      </c>
      <c r="I2128" s="2" t="s">
        <v>173</v>
      </c>
      <c r="J2128" s="3">
        <v>44200</v>
      </c>
      <c r="K2128" s="2">
        <v>83</v>
      </c>
      <c r="L2128" s="2" t="s">
        <v>39</v>
      </c>
    </row>
    <row r="2129" spans="1:12" x14ac:dyDescent="0.3">
      <c r="A2129" s="2">
        <v>2118</v>
      </c>
      <c r="B2129" s="2" t="s">
        <v>5920</v>
      </c>
      <c r="C2129" s="2" t="s">
        <v>5788</v>
      </c>
      <c r="D2129" s="2" t="s">
        <v>51</v>
      </c>
      <c r="E2129" s="2" t="s">
        <v>16</v>
      </c>
      <c r="F2129" s="2">
        <v>60</v>
      </c>
      <c r="G2129" s="2" t="s">
        <v>5921</v>
      </c>
      <c r="H2129" s="2" t="s">
        <v>3770</v>
      </c>
      <c r="I2129" s="2" t="s">
        <v>32</v>
      </c>
      <c r="J2129" s="3">
        <v>44274</v>
      </c>
      <c r="K2129" s="2">
        <v>44</v>
      </c>
      <c r="L2129" s="2" t="s">
        <v>159</v>
      </c>
    </row>
    <row r="2130" spans="1:12" x14ac:dyDescent="0.3">
      <c r="A2130" s="2">
        <v>2119</v>
      </c>
      <c r="B2130" s="2" t="s">
        <v>5922</v>
      </c>
      <c r="C2130" s="2" t="s">
        <v>5923</v>
      </c>
      <c r="D2130" s="2" t="s">
        <v>15</v>
      </c>
      <c r="E2130" s="2" t="s">
        <v>16</v>
      </c>
      <c r="F2130" s="2">
        <v>90</v>
      </c>
      <c r="G2130" s="2" t="s">
        <v>5921</v>
      </c>
      <c r="H2130" s="2" t="s">
        <v>1800</v>
      </c>
      <c r="I2130" s="2" t="s">
        <v>32</v>
      </c>
      <c r="J2130" s="3">
        <v>44648</v>
      </c>
      <c r="K2130" s="2">
        <v>57</v>
      </c>
      <c r="L2130" s="2" t="s">
        <v>64</v>
      </c>
    </row>
    <row r="2131" spans="1:12" x14ac:dyDescent="0.3">
      <c r="A2131" s="2">
        <v>2120</v>
      </c>
      <c r="B2131" s="2" t="s">
        <v>986</v>
      </c>
      <c r="C2131" s="2" t="s">
        <v>2601</v>
      </c>
      <c r="D2131" s="2" t="s">
        <v>28</v>
      </c>
      <c r="E2131" s="2" t="s">
        <v>29</v>
      </c>
      <c r="F2131" s="2">
        <v>30</v>
      </c>
      <c r="G2131" s="2" t="s">
        <v>5924</v>
      </c>
      <c r="H2131" s="2" t="s">
        <v>5010</v>
      </c>
      <c r="I2131" s="2" t="s">
        <v>32</v>
      </c>
      <c r="J2131" s="3">
        <v>44695</v>
      </c>
      <c r="K2131" s="2">
        <v>96</v>
      </c>
      <c r="L2131" s="2" t="s">
        <v>54</v>
      </c>
    </row>
    <row r="2132" spans="1:12" x14ac:dyDescent="0.3">
      <c r="A2132" s="2">
        <v>2121</v>
      </c>
      <c r="B2132" s="2" t="s">
        <v>5925</v>
      </c>
      <c r="C2132" s="2" t="s">
        <v>5926</v>
      </c>
      <c r="D2132" s="2" t="s">
        <v>15</v>
      </c>
      <c r="E2132" s="2" t="s">
        <v>16</v>
      </c>
      <c r="F2132" s="2">
        <v>30</v>
      </c>
      <c r="G2132" s="2" t="s">
        <v>5927</v>
      </c>
      <c r="H2132" s="2" t="s">
        <v>378</v>
      </c>
      <c r="I2132" s="2" t="s">
        <v>146</v>
      </c>
      <c r="J2132" s="3">
        <v>44230</v>
      </c>
      <c r="K2132" s="2">
        <v>90</v>
      </c>
      <c r="L2132" s="2" t="s">
        <v>20</v>
      </c>
    </row>
    <row r="2133" spans="1:12" x14ac:dyDescent="0.3">
      <c r="A2133" s="2">
        <v>2122</v>
      </c>
      <c r="B2133" s="2" t="s">
        <v>5928</v>
      </c>
      <c r="C2133" s="2" t="s">
        <v>2125</v>
      </c>
      <c r="D2133" s="2" t="s">
        <v>28</v>
      </c>
      <c r="E2133" s="2" t="s">
        <v>29</v>
      </c>
      <c r="F2133" s="2">
        <v>60</v>
      </c>
      <c r="G2133" s="2" t="s">
        <v>5929</v>
      </c>
      <c r="H2133" s="2" t="s">
        <v>3632</v>
      </c>
      <c r="I2133" s="2" t="s">
        <v>32</v>
      </c>
      <c r="J2133" s="3">
        <v>44598</v>
      </c>
      <c r="K2133" s="2">
        <v>92</v>
      </c>
      <c r="L2133" s="2" t="s">
        <v>101</v>
      </c>
    </row>
    <row r="2134" spans="1:12" x14ac:dyDescent="0.3">
      <c r="A2134" s="2">
        <v>2123</v>
      </c>
      <c r="B2134" s="2" t="s">
        <v>567</v>
      </c>
      <c r="C2134" s="2" t="s">
        <v>5930</v>
      </c>
      <c r="D2134" s="2" t="s">
        <v>28</v>
      </c>
      <c r="E2134" s="2" t="s">
        <v>29</v>
      </c>
      <c r="F2134" s="2">
        <v>30</v>
      </c>
      <c r="G2134" s="2" t="s">
        <v>5931</v>
      </c>
      <c r="H2134" s="2" t="s">
        <v>1896</v>
      </c>
      <c r="I2134" s="2" t="s">
        <v>294</v>
      </c>
      <c r="J2134" s="3">
        <v>43959</v>
      </c>
      <c r="K2134" s="2">
        <v>27</v>
      </c>
      <c r="L2134" s="2" t="s">
        <v>101</v>
      </c>
    </row>
    <row r="2135" spans="1:12" x14ac:dyDescent="0.3">
      <c r="A2135" s="2">
        <v>2124</v>
      </c>
      <c r="B2135" s="2" t="s">
        <v>4569</v>
      </c>
      <c r="C2135" s="2" t="s">
        <v>5932</v>
      </c>
      <c r="D2135" s="2" t="s">
        <v>28</v>
      </c>
      <c r="E2135" s="2" t="s">
        <v>29</v>
      </c>
      <c r="F2135" s="2">
        <v>90</v>
      </c>
      <c r="G2135" s="2" t="s">
        <v>5933</v>
      </c>
      <c r="H2135" s="2" t="s">
        <v>5934</v>
      </c>
      <c r="I2135" s="2" t="s">
        <v>173</v>
      </c>
      <c r="J2135" s="3">
        <v>44297</v>
      </c>
      <c r="K2135" s="2">
        <v>18</v>
      </c>
      <c r="L2135" s="2" t="s">
        <v>39</v>
      </c>
    </row>
    <row r="2136" spans="1:12" x14ac:dyDescent="0.3">
      <c r="A2136" s="2">
        <v>2125</v>
      </c>
      <c r="B2136" s="2" t="s">
        <v>5935</v>
      </c>
      <c r="C2136" s="2" t="s">
        <v>4258</v>
      </c>
      <c r="D2136" s="2" t="s">
        <v>15</v>
      </c>
      <c r="E2136" s="2" t="s">
        <v>16</v>
      </c>
      <c r="F2136" s="2">
        <v>60</v>
      </c>
      <c r="G2136" s="2" t="s">
        <v>5936</v>
      </c>
      <c r="H2136" s="2" t="s">
        <v>1940</v>
      </c>
      <c r="I2136" s="2" t="s">
        <v>294</v>
      </c>
      <c r="J2136" s="3">
        <v>44404</v>
      </c>
      <c r="K2136" s="2">
        <v>64</v>
      </c>
      <c r="L2136" s="2" t="s">
        <v>64</v>
      </c>
    </row>
    <row r="2137" spans="1:12" x14ac:dyDescent="0.3">
      <c r="A2137" s="2">
        <v>2126</v>
      </c>
      <c r="B2137" s="2" t="s">
        <v>5937</v>
      </c>
      <c r="C2137" s="2" t="s">
        <v>3413</v>
      </c>
      <c r="D2137" s="2" t="s">
        <v>15</v>
      </c>
      <c r="E2137" s="2" t="s">
        <v>16</v>
      </c>
      <c r="F2137" s="2">
        <v>30</v>
      </c>
      <c r="G2137" s="2" t="s">
        <v>5938</v>
      </c>
      <c r="H2137" s="2" t="s">
        <v>5581</v>
      </c>
      <c r="I2137" s="2" t="s">
        <v>187</v>
      </c>
      <c r="J2137" s="3">
        <v>44427</v>
      </c>
      <c r="K2137" s="2">
        <v>62</v>
      </c>
      <c r="L2137" s="2" t="s">
        <v>80</v>
      </c>
    </row>
    <row r="2138" spans="1:12" x14ac:dyDescent="0.3">
      <c r="A2138" s="2">
        <v>2127</v>
      </c>
      <c r="B2138" s="2" t="s">
        <v>5334</v>
      </c>
      <c r="C2138" s="2" t="s">
        <v>5939</v>
      </c>
      <c r="D2138" s="2" t="s">
        <v>92</v>
      </c>
      <c r="E2138" s="2" t="s">
        <v>29</v>
      </c>
      <c r="F2138" s="2">
        <v>60</v>
      </c>
      <c r="G2138" s="2" t="s">
        <v>5940</v>
      </c>
      <c r="H2138" s="2" t="s">
        <v>288</v>
      </c>
      <c r="I2138" s="2" t="s">
        <v>32</v>
      </c>
      <c r="J2138" s="3">
        <v>44465</v>
      </c>
      <c r="K2138" s="2">
        <v>89</v>
      </c>
      <c r="L2138" s="2" t="s">
        <v>159</v>
      </c>
    </row>
    <row r="2139" spans="1:12" x14ac:dyDescent="0.3">
      <c r="A2139" s="2">
        <v>2128</v>
      </c>
      <c r="B2139" s="2" t="s">
        <v>5259</v>
      </c>
      <c r="C2139" s="2" t="s">
        <v>4269</v>
      </c>
      <c r="D2139" s="2" t="s">
        <v>15</v>
      </c>
      <c r="E2139" s="2" t="s">
        <v>16</v>
      </c>
      <c r="F2139" s="2">
        <v>60</v>
      </c>
      <c r="G2139" s="2" t="s">
        <v>5941</v>
      </c>
      <c r="H2139" s="2" t="s">
        <v>1884</v>
      </c>
      <c r="I2139" s="2" t="s">
        <v>1885</v>
      </c>
      <c r="J2139" s="3">
        <v>44138</v>
      </c>
      <c r="K2139" s="2">
        <v>45</v>
      </c>
      <c r="L2139" s="2" t="s">
        <v>33</v>
      </c>
    </row>
    <row r="2140" spans="1:12" x14ac:dyDescent="0.3">
      <c r="A2140" s="2">
        <v>2129</v>
      </c>
      <c r="B2140" s="2" t="s">
        <v>5942</v>
      </c>
      <c r="C2140" s="2" t="s">
        <v>5203</v>
      </c>
      <c r="D2140" s="2" t="s">
        <v>28</v>
      </c>
      <c r="E2140" s="2" t="s">
        <v>29</v>
      </c>
      <c r="F2140" s="2">
        <v>60</v>
      </c>
      <c r="G2140" s="2" t="s">
        <v>5941</v>
      </c>
      <c r="H2140" s="2" t="s">
        <v>1457</v>
      </c>
      <c r="I2140" s="2" t="s">
        <v>187</v>
      </c>
      <c r="J2140" s="3">
        <v>44694</v>
      </c>
      <c r="K2140" s="2">
        <v>72</v>
      </c>
      <c r="L2140" s="2" t="s">
        <v>101</v>
      </c>
    </row>
    <row r="2141" spans="1:12" x14ac:dyDescent="0.3">
      <c r="A2141" s="2">
        <v>2130</v>
      </c>
      <c r="B2141" s="2" t="s">
        <v>5943</v>
      </c>
      <c r="C2141" s="2" t="s">
        <v>5944</v>
      </c>
      <c r="D2141" s="2" t="s">
        <v>51</v>
      </c>
      <c r="E2141" s="2" t="s">
        <v>16</v>
      </c>
      <c r="F2141" s="2">
        <v>60</v>
      </c>
      <c r="G2141" s="2" t="s">
        <v>5945</v>
      </c>
      <c r="H2141" s="2" t="s">
        <v>2733</v>
      </c>
      <c r="I2141" s="2" t="s">
        <v>25</v>
      </c>
      <c r="J2141" s="3">
        <v>44782</v>
      </c>
      <c r="K2141" s="2">
        <v>67</v>
      </c>
      <c r="L2141" s="2" t="s">
        <v>45</v>
      </c>
    </row>
    <row r="2142" spans="1:12" x14ac:dyDescent="0.3">
      <c r="A2142" s="2">
        <v>2131</v>
      </c>
      <c r="B2142" s="2" t="s">
        <v>5946</v>
      </c>
      <c r="C2142" s="2" t="s">
        <v>4393</v>
      </c>
      <c r="D2142" s="2" t="s">
        <v>51</v>
      </c>
      <c r="E2142" s="2" t="s">
        <v>16</v>
      </c>
      <c r="F2142" s="2">
        <v>60</v>
      </c>
      <c r="G2142" s="2" t="s">
        <v>5947</v>
      </c>
      <c r="H2142" s="2" t="s">
        <v>2671</v>
      </c>
      <c r="I2142" s="2" t="s">
        <v>1157</v>
      </c>
      <c r="J2142" s="3">
        <v>44885</v>
      </c>
      <c r="K2142" s="2">
        <v>36</v>
      </c>
      <c r="L2142" s="2" t="s">
        <v>80</v>
      </c>
    </row>
    <row r="2143" spans="1:12" x14ac:dyDescent="0.3">
      <c r="A2143" s="2">
        <v>2132</v>
      </c>
      <c r="B2143" s="2" t="s">
        <v>5948</v>
      </c>
      <c r="C2143" s="2" t="s">
        <v>2362</v>
      </c>
      <c r="D2143" s="2" t="s">
        <v>15</v>
      </c>
      <c r="E2143" s="2" t="s">
        <v>16</v>
      </c>
      <c r="F2143" s="2">
        <v>30</v>
      </c>
      <c r="G2143" s="2" t="s">
        <v>5949</v>
      </c>
      <c r="H2143" s="2" t="s">
        <v>275</v>
      </c>
      <c r="I2143" s="2" t="s">
        <v>32</v>
      </c>
      <c r="J2143" s="3">
        <v>44341</v>
      </c>
      <c r="K2143" s="2">
        <v>20</v>
      </c>
      <c r="L2143" s="2" t="s">
        <v>80</v>
      </c>
    </row>
    <row r="2144" spans="1:12" x14ac:dyDescent="0.3">
      <c r="A2144" s="2">
        <v>2133</v>
      </c>
      <c r="B2144" s="2" t="s">
        <v>5950</v>
      </c>
      <c r="C2144" s="2" t="s">
        <v>4402</v>
      </c>
      <c r="D2144" s="2" t="s">
        <v>15</v>
      </c>
      <c r="E2144" s="2" t="s">
        <v>16</v>
      </c>
      <c r="F2144" s="2">
        <v>90</v>
      </c>
      <c r="G2144" s="2" t="s">
        <v>5951</v>
      </c>
      <c r="H2144" s="2" t="s">
        <v>5952</v>
      </c>
      <c r="I2144" s="2" t="s">
        <v>32</v>
      </c>
      <c r="J2144" s="3">
        <v>44417</v>
      </c>
      <c r="K2144" s="2">
        <v>79</v>
      </c>
      <c r="L2144" s="2" t="s">
        <v>20</v>
      </c>
    </row>
    <row r="2145" spans="1:12" x14ac:dyDescent="0.3">
      <c r="A2145" s="2">
        <v>2134</v>
      </c>
      <c r="B2145" s="2" t="s">
        <v>4706</v>
      </c>
      <c r="C2145" s="2" t="s">
        <v>332</v>
      </c>
      <c r="D2145" s="2" t="s">
        <v>51</v>
      </c>
      <c r="E2145" s="2" t="s">
        <v>16</v>
      </c>
      <c r="F2145" s="2">
        <v>60</v>
      </c>
      <c r="G2145" s="2" t="s">
        <v>5953</v>
      </c>
      <c r="H2145" s="2" t="s">
        <v>2902</v>
      </c>
      <c r="I2145" s="2" t="s">
        <v>32</v>
      </c>
      <c r="J2145" s="3">
        <v>44240</v>
      </c>
      <c r="K2145" s="2">
        <v>53</v>
      </c>
      <c r="L2145" s="2" t="s">
        <v>39</v>
      </c>
    </row>
    <row r="2146" spans="1:12" x14ac:dyDescent="0.3">
      <c r="A2146" s="2">
        <v>2135</v>
      </c>
      <c r="B2146" s="2" t="s">
        <v>5954</v>
      </c>
      <c r="C2146" s="2" t="s">
        <v>5955</v>
      </c>
      <c r="D2146" s="2" t="s">
        <v>28</v>
      </c>
      <c r="E2146" s="2" t="s">
        <v>29</v>
      </c>
      <c r="F2146" s="2">
        <v>90</v>
      </c>
      <c r="G2146" s="2" t="s">
        <v>5956</v>
      </c>
      <c r="H2146" s="2" t="s">
        <v>5957</v>
      </c>
      <c r="I2146" s="2" t="s">
        <v>187</v>
      </c>
      <c r="J2146" s="3">
        <v>43972</v>
      </c>
      <c r="K2146" s="2">
        <v>35</v>
      </c>
      <c r="L2146" s="2" t="s">
        <v>54</v>
      </c>
    </row>
    <row r="2147" spans="1:12" x14ac:dyDescent="0.3">
      <c r="A2147" s="2">
        <v>2136</v>
      </c>
      <c r="B2147" s="2" t="s">
        <v>5958</v>
      </c>
      <c r="C2147" s="2" t="s">
        <v>2719</v>
      </c>
      <c r="D2147" s="2" t="s">
        <v>28</v>
      </c>
      <c r="E2147" s="2" t="s">
        <v>29</v>
      </c>
      <c r="F2147" s="2">
        <v>90</v>
      </c>
      <c r="G2147" s="2" t="s">
        <v>5959</v>
      </c>
      <c r="H2147" s="2" t="s">
        <v>1956</v>
      </c>
      <c r="I2147" s="2" t="s">
        <v>32</v>
      </c>
      <c r="J2147" s="3">
        <v>44063</v>
      </c>
      <c r="K2147" s="2">
        <v>20</v>
      </c>
      <c r="L2147" s="2" t="s">
        <v>101</v>
      </c>
    </row>
    <row r="2148" spans="1:12" x14ac:dyDescent="0.3">
      <c r="A2148" s="2">
        <v>2137</v>
      </c>
      <c r="B2148" s="2" t="s">
        <v>5960</v>
      </c>
      <c r="C2148" s="2" t="s">
        <v>3090</v>
      </c>
      <c r="D2148" s="2" t="s">
        <v>28</v>
      </c>
      <c r="E2148" s="2" t="s">
        <v>29</v>
      </c>
      <c r="F2148" s="2">
        <v>60</v>
      </c>
      <c r="G2148" s="2" t="s">
        <v>5961</v>
      </c>
      <c r="H2148" s="2" t="s">
        <v>5962</v>
      </c>
      <c r="I2148" s="2" t="s">
        <v>32</v>
      </c>
      <c r="J2148" s="3">
        <v>44166</v>
      </c>
      <c r="K2148" s="2">
        <v>42</v>
      </c>
      <c r="L2148" s="2" t="s">
        <v>70</v>
      </c>
    </row>
    <row r="2149" spans="1:12" x14ac:dyDescent="0.3">
      <c r="A2149" s="2">
        <v>2138</v>
      </c>
      <c r="B2149" s="2" t="s">
        <v>5963</v>
      </c>
      <c r="C2149" s="2" t="s">
        <v>4216</v>
      </c>
      <c r="D2149" s="2" t="s">
        <v>15</v>
      </c>
      <c r="E2149" s="2" t="s">
        <v>16</v>
      </c>
      <c r="F2149" s="2">
        <v>90</v>
      </c>
      <c r="G2149" s="2" t="s">
        <v>5964</v>
      </c>
      <c r="H2149" s="2" t="s">
        <v>3446</v>
      </c>
      <c r="I2149" s="2" t="s">
        <v>32</v>
      </c>
      <c r="J2149" s="3">
        <v>44157</v>
      </c>
      <c r="K2149" s="2">
        <v>9</v>
      </c>
      <c r="L2149" s="2" t="s">
        <v>80</v>
      </c>
    </row>
    <row r="2150" spans="1:12" x14ac:dyDescent="0.3">
      <c r="A2150" s="2">
        <v>2139</v>
      </c>
      <c r="B2150" s="2" t="s">
        <v>5965</v>
      </c>
      <c r="C2150" s="2" t="s">
        <v>5966</v>
      </c>
      <c r="D2150" s="2" t="s">
        <v>15</v>
      </c>
      <c r="E2150" s="2" t="s">
        <v>16</v>
      </c>
      <c r="F2150" s="2">
        <v>30</v>
      </c>
      <c r="G2150" s="2" t="s">
        <v>5967</v>
      </c>
      <c r="H2150" s="2" t="s">
        <v>4046</v>
      </c>
      <c r="I2150" s="2" t="s">
        <v>173</v>
      </c>
      <c r="J2150" s="3">
        <v>44856</v>
      </c>
      <c r="K2150" s="2">
        <v>44</v>
      </c>
      <c r="L2150" s="2" t="s">
        <v>39</v>
      </c>
    </row>
    <row r="2151" spans="1:12" x14ac:dyDescent="0.3">
      <c r="A2151" s="2">
        <v>2140</v>
      </c>
      <c r="B2151" s="2" t="s">
        <v>4395</v>
      </c>
      <c r="C2151" s="2" t="s">
        <v>5968</v>
      </c>
      <c r="D2151" s="2" t="s">
        <v>28</v>
      </c>
      <c r="E2151" s="2" t="s">
        <v>29</v>
      </c>
      <c r="F2151" s="2">
        <v>90</v>
      </c>
      <c r="G2151" s="2" t="s">
        <v>5969</v>
      </c>
      <c r="H2151" s="2" t="s">
        <v>5473</v>
      </c>
      <c r="I2151" s="2" t="s">
        <v>240</v>
      </c>
      <c r="J2151" s="3">
        <v>44533</v>
      </c>
      <c r="K2151" s="2">
        <v>23</v>
      </c>
      <c r="L2151" s="2" t="s">
        <v>70</v>
      </c>
    </row>
    <row r="2152" spans="1:12" x14ac:dyDescent="0.3">
      <c r="A2152" s="2">
        <v>2141</v>
      </c>
      <c r="B2152" s="2" t="s">
        <v>192</v>
      </c>
      <c r="C2152" s="2" t="s">
        <v>5970</v>
      </c>
      <c r="D2152" s="2" t="s">
        <v>51</v>
      </c>
      <c r="E2152" s="2" t="s">
        <v>16</v>
      </c>
      <c r="F2152" s="2">
        <v>90</v>
      </c>
      <c r="G2152" s="2" t="s">
        <v>5971</v>
      </c>
      <c r="H2152" s="2" t="s">
        <v>1334</v>
      </c>
      <c r="I2152" s="2" t="s">
        <v>38</v>
      </c>
      <c r="J2152" s="3">
        <v>44066</v>
      </c>
      <c r="K2152" s="2">
        <v>51</v>
      </c>
      <c r="L2152" s="2" t="s">
        <v>101</v>
      </c>
    </row>
    <row r="2153" spans="1:12" x14ac:dyDescent="0.3">
      <c r="A2153" s="2">
        <v>2142</v>
      </c>
      <c r="B2153" s="2" t="s">
        <v>2731</v>
      </c>
      <c r="C2153" s="2" t="s">
        <v>5955</v>
      </c>
      <c r="D2153" s="2" t="s">
        <v>15</v>
      </c>
      <c r="E2153" s="2" t="s">
        <v>16</v>
      </c>
      <c r="F2153" s="2">
        <v>90</v>
      </c>
      <c r="G2153" s="2" t="s">
        <v>5971</v>
      </c>
      <c r="H2153" s="2" t="s">
        <v>2156</v>
      </c>
      <c r="I2153" s="2" t="s">
        <v>32</v>
      </c>
      <c r="J2153" s="3">
        <v>44675</v>
      </c>
      <c r="K2153" s="2">
        <v>89</v>
      </c>
      <c r="L2153" s="2" t="s">
        <v>101</v>
      </c>
    </row>
    <row r="2154" spans="1:12" x14ac:dyDescent="0.3">
      <c r="A2154" s="2">
        <v>2143</v>
      </c>
      <c r="B2154" s="2" t="s">
        <v>5972</v>
      </c>
      <c r="C2154" s="2" t="s">
        <v>5583</v>
      </c>
      <c r="D2154" s="2" t="s">
        <v>28</v>
      </c>
      <c r="E2154" s="2" t="s">
        <v>29</v>
      </c>
      <c r="F2154" s="2">
        <v>60</v>
      </c>
      <c r="G2154" s="2" t="s">
        <v>5973</v>
      </c>
      <c r="H2154" s="2" t="s">
        <v>5974</v>
      </c>
      <c r="I2154" s="2" t="s">
        <v>19</v>
      </c>
      <c r="J2154" s="3">
        <v>44505</v>
      </c>
      <c r="K2154" s="2">
        <v>76</v>
      </c>
      <c r="L2154" s="2" t="s">
        <v>70</v>
      </c>
    </row>
    <row r="2155" spans="1:12" x14ac:dyDescent="0.3">
      <c r="A2155" s="2">
        <v>2144</v>
      </c>
      <c r="B2155" s="2" t="s">
        <v>5975</v>
      </c>
      <c r="C2155" s="2" t="s">
        <v>4635</v>
      </c>
      <c r="D2155" s="2" t="s">
        <v>28</v>
      </c>
      <c r="E2155" s="2" t="s">
        <v>29</v>
      </c>
      <c r="F2155" s="2">
        <v>90</v>
      </c>
      <c r="G2155" s="2" t="s">
        <v>5976</v>
      </c>
      <c r="H2155" s="2" t="s">
        <v>4563</v>
      </c>
      <c r="I2155" s="2" t="s">
        <v>1824</v>
      </c>
      <c r="J2155" s="3">
        <v>44084</v>
      </c>
      <c r="K2155" s="2">
        <v>45</v>
      </c>
      <c r="L2155" s="2" t="s">
        <v>33</v>
      </c>
    </row>
    <row r="2156" spans="1:12" x14ac:dyDescent="0.3">
      <c r="A2156" s="2">
        <v>2145</v>
      </c>
      <c r="B2156" s="2" t="s">
        <v>5977</v>
      </c>
      <c r="C2156" s="2" t="s">
        <v>3680</v>
      </c>
      <c r="D2156" s="2" t="s">
        <v>15</v>
      </c>
      <c r="E2156" s="2" t="s">
        <v>16</v>
      </c>
      <c r="F2156" s="2">
        <v>30</v>
      </c>
      <c r="G2156" s="2" t="s">
        <v>5976</v>
      </c>
      <c r="H2156" s="2" t="s">
        <v>2008</v>
      </c>
      <c r="I2156" s="2" t="s">
        <v>129</v>
      </c>
      <c r="J2156" s="3">
        <v>44404</v>
      </c>
      <c r="K2156" s="2">
        <v>91</v>
      </c>
      <c r="L2156" s="2" t="s">
        <v>80</v>
      </c>
    </row>
    <row r="2157" spans="1:12" x14ac:dyDescent="0.3">
      <c r="A2157" s="2">
        <v>2146</v>
      </c>
      <c r="B2157" s="2" t="s">
        <v>5978</v>
      </c>
      <c r="C2157" s="2" t="s">
        <v>5979</v>
      </c>
      <c r="D2157" s="2" t="s">
        <v>15</v>
      </c>
      <c r="E2157" s="2" t="s">
        <v>16</v>
      </c>
      <c r="F2157" s="2">
        <v>30</v>
      </c>
      <c r="G2157" s="2" t="s">
        <v>5976</v>
      </c>
      <c r="H2157" s="2" t="s">
        <v>6</v>
      </c>
      <c r="I2157" s="2" t="s">
        <v>32</v>
      </c>
      <c r="J2157" s="3">
        <v>44890</v>
      </c>
      <c r="K2157" s="2">
        <v>62</v>
      </c>
      <c r="L2157" s="2" t="s">
        <v>39</v>
      </c>
    </row>
    <row r="2158" spans="1:12" x14ac:dyDescent="0.3">
      <c r="A2158" s="2">
        <v>2147</v>
      </c>
      <c r="B2158" s="2" t="s">
        <v>1788</v>
      </c>
      <c r="C2158" s="2" t="s">
        <v>2813</v>
      </c>
      <c r="D2158" s="2" t="s">
        <v>28</v>
      </c>
      <c r="E2158" s="2" t="s">
        <v>29</v>
      </c>
      <c r="F2158" s="2">
        <v>90</v>
      </c>
      <c r="G2158" s="2" t="s">
        <v>10518</v>
      </c>
      <c r="H2158" s="2" t="s">
        <v>2336</v>
      </c>
      <c r="I2158" s="2" t="s">
        <v>32</v>
      </c>
      <c r="J2158" s="3">
        <v>44637</v>
      </c>
      <c r="K2158" s="2">
        <v>13</v>
      </c>
      <c r="L2158" s="2" t="s">
        <v>20</v>
      </c>
    </row>
    <row r="2159" spans="1:12" x14ac:dyDescent="0.3">
      <c r="A2159" s="2">
        <v>2148</v>
      </c>
      <c r="B2159" s="2" t="s">
        <v>5981</v>
      </c>
      <c r="C2159" s="2" t="s">
        <v>1929</v>
      </c>
      <c r="D2159" s="2" t="s">
        <v>15</v>
      </c>
      <c r="E2159" s="2" t="s">
        <v>16</v>
      </c>
      <c r="F2159" s="2">
        <v>90</v>
      </c>
      <c r="G2159" s="2" t="s">
        <v>5982</v>
      </c>
      <c r="H2159" s="2" t="s">
        <v>3418</v>
      </c>
      <c r="I2159" s="2" t="s">
        <v>32</v>
      </c>
      <c r="J2159" s="3">
        <v>44134</v>
      </c>
      <c r="K2159" s="2">
        <v>7</v>
      </c>
      <c r="L2159" s="2" t="s">
        <v>54</v>
      </c>
    </row>
    <row r="2160" spans="1:12" x14ac:dyDescent="0.3">
      <c r="A2160" s="2">
        <v>2149</v>
      </c>
      <c r="B2160" s="2" t="s">
        <v>653</v>
      </c>
      <c r="C2160" s="2" t="s">
        <v>4750</v>
      </c>
      <c r="D2160" s="2" t="s">
        <v>28</v>
      </c>
      <c r="E2160" s="2" t="s">
        <v>29</v>
      </c>
      <c r="F2160" s="2">
        <v>30</v>
      </c>
      <c r="G2160" s="2" t="s">
        <v>10436</v>
      </c>
      <c r="H2160" s="2" t="s">
        <v>2664</v>
      </c>
      <c r="I2160" s="2" t="s">
        <v>32</v>
      </c>
      <c r="J2160" s="3">
        <v>44545</v>
      </c>
      <c r="K2160" s="2">
        <v>85</v>
      </c>
      <c r="L2160" s="2" t="s">
        <v>64</v>
      </c>
    </row>
    <row r="2161" spans="1:12" x14ac:dyDescent="0.3">
      <c r="A2161" s="2">
        <v>2150</v>
      </c>
      <c r="B2161" s="2" t="s">
        <v>5984</v>
      </c>
      <c r="C2161" s="2" t="s">
        <v>4153</v>
      </c>
      <c r="D2161" s="2" t="s">
        <v>51</v>
      </c>
      <c r="E2161" s="2" t="s">
        <v>16</v>
      </c>
      <c r="F2161" s="2">
        <v>30</v>
      </c>
      <c r="G2161" s="2" t="s">
        <v>10436</v>
      </c>
      <c r="H2161" s="2" t="s">
        <v>1318</v>
      </c>
      <c r="I2161" s="2" t="s">
        <v>32</v>
      </c>
      <c r="J2161" s="3">
        <v>44669</v>
      </c>
      <c r="K2161" s="2">
        <v>8</v>
      </c>
      <c r="L2161" s="2" t="s">
        <v>20</v>
      </c>
    </row>
    <row r="2162" spans="1:12" x14ac:dyDescent="0.3">
      <c r="A2162" s="2">
        <v>2151</v>
      </c>
      <c r="B2162" s="2" t="s">
        <v>5042</v>
      </c>
      <c r="C2162" s="2" t="s">
        <v>390</v>
      </c>
      <c r="D2162" s="2" t="s">
        <v>28</v>
      </c>
      <c r="E2162" s="2" t="s">
        <v>29</v>
      </c>
      <c r="F2162" s="2">
        <v>60</v>
      </c>
      <c r="G2162" s="2" t="s">
        <v>10437</v>
      </c>
      <c r="H2162" s="2" t="s">
        <v>31</v>
      </c>
      <c r="I2162" s="2" t="s">
        <v>32</v>
      </c>
      <c r="J2162" s="3">
        <v>43863</v>
      </c>
      <c r="K2162" s="2">
        <v>17</v>
      </c>
      <c r="L2162" s="2" t="s">
        <v>80</v>
      </c>
    </row>
    <row r="2163" spans="1:12" x14ac:dyDescent="0.3">
      <c r="A2163" s="2">
        <v>2152</v>
      </c>
      <c r="B2163" s="2" t="s">
        <v>5986</v>
      </c>
      <c r="C2163" s="2" t="s">
        <v>1313</v>
      </c>
      <c r="D2163" s="2" t="s">
        <v>15</v>
      </c>
      <c r="E2163" s="2" t="s">
        <v>16</v>
      </c>
      <c r="F2163" s="2">
        <v>60</v>
      </c>
      <c r="G2163" s="2" t="s">
        <v>5987</v>
      </c>
      <c r="H2163" s="2" t="s">
        <v>1601</v>
      </c>
      <c r="I2163" s="2" t="s">
        <v>32</v>
      </c>
      <c r="J2163" s="3">
        <v>44383</v>
      </c>
      <c r="K2163" s="2">
        <v>12</v>
      </c>
      <c r="L2163" s="2" t="s">
        <v>80</v>
      </c>
    </row>
    <row r="2164" spans="1:12" x14ac:dyDescent="0.3">
      <c r="A2164" s="2">
        <v>2153</v>
      </c>
      <c r="B2164" s="2" t="s">
        <v>5988</v>
      </c>
      <c r="C2164" s="2" t="s">
        <v>5258</v>
      </c>
      <c r="D2164" s="2" t="s">
        <v>28</v>
      </c>
      <c r="E2164" s="2" t="s">
        <v>29</v>
      </c>
      <c r="F2164" s="2">
        <v>30</v>
      </c>
      <c r="G2164" s="2" t="s">
        <v>5989</v>
      </c>
      <c r="H2164" s="2" t="s">
        <v>2624</v>
      </c>
      <c r="I2164" s="2" t="s">
        <v>32</v>
      </c>
      <c r="J2164" s="3">
        <v>44689</v>
      </c>
      <c r="K2164" s="2">
        <v>33</v>
      </c>
      <c r="L2164" s="2" t="s">
        <v>54</v>
      </c>
    </row>
    <row r="2165" spans="1:12" x14ac:dyDescent="0.3">
      <c r="A2165" s="2">
        <v>2154</v>
      </c>
      <c r="B2165" s="2" t="s">
        <v>752</v>
      </c>
      <c r="C2165" s="2" t="s">
        <v>5990</v>
      </c>
      <c r="D2165" s="2" t="s">
        <v>28</v>
      </c>
      <c r="E2165" s="2" t="s">
        <v>29</v>
      </c>
      <c r="F2165" s="2">
        <v>30</v>
      </c>
      <c r="G2165" s="2" t="s">
        <v>5991</v>
      </c>
      <c r="H2165" s="2" t="s">
        <v>5664</v>
      </c>
      <c r="I2165" s="2" t="s">
        <v>187</v>
      </c>
      <c r="J2165" s="3">
        <v>43961</v>
      </c>
      <c r="K2165" s="2">
        <v>37</v>
      </c>
      <c r="L2165" s="2" t="s">
        <v>70</v>
      </c>
    </row>
    <row r="2166" spans="1:12" x14ac:dyDescent="0.3">
      <c r="A2166" s="2">
        <v>2155</v>
      </c>
      <c r="B2166" s="2" t="s">
        <v>1668</v>
      </c>
      <c r="C2166" s="2" t="s">
        <v>2145</v>
      </c>
      <c r="D2166" s="2" t="s">
        <v>15</v>
      </c>
      <c r="E2166" s="2" t="s">
        <v>16</v>
      </c>
      <c r="F2166" s="2">
        <v>60</v>
      </c>
      <c r="G2166" s="2" t="s">
        <v>5991</v>
      </c>
      <c r="H2166" s="2" t="s">
        <v>5992</v>
      </c>
      <c r="I2166" s="2" t="s">
        <v>25</v>
      </c>
      <c r="J2166" s="3">
        <v>43862</v>
      </c>
      <c r="K2166" s="2">
        <v>44</v>
      </c>
      <c r="L2166" s="2" t="s">
        <v>54</v>
      </c>
    </row>
    <row r="2167" spans="1:12" x14ac:dyDescent="0.3">
      <c r="A2167" s="2">
        <v>2156</v>
      </c>
      <c r="B2167" s="2" t="s">
        <v>774</v>
      </c>
      <c r="C2167" s="2" t="s">
        <v>5993</v>
      </c>
      <c r="D2167" s="2" t="s">
        <v>28</v>
      </c>
      <c r="E2167" s="2" t="s">
        <v>29</v>
      </c>
      <c r="F2167" s="2">
        <v>30</v>
      </c>
      <c r="G2167" s="2" t="s">
        <v>5994</v>
      </c>
      <c r="H2167" s="2" t="s">
        <v>5995</v>
      </c>
      <c r="I2167" s="2" t="s">
        <v>187</v>
      </c>
      <c r="J2167" s="3">
        <v>44269</v>
      </c>
      <c r="K2167" s="2">
        <v>69</v>
      </c>
      <c r="L2167" s="2" t="s">
        <v>159</v>
      </c>
    </row>
    <row r="2168" spans="1:12" x14ac:dyDescent="0.3">
      <c r="A2168" s="2">
        <v>2157</v>
      </c>
      <c r="B2168" s="2" t="s">
        <v>1009</v>
      </c>
      <c r="C2168" s="2" t="s">
        <v>5996</v>
      </c>
      <c r="D2168" s="2" t="s">
        <v>28</v>
      </c>
      <c r="E2168" s="2" t="s">
        <v>29</v>
      </c>
      <c r="F2168" s="2">
        <v>30</v>
      </c>
      <c r="G2168" s="2" t="s">
        <v>5997</v>
      </c>
      <c r="H2168" s="2" t="s">
        <v>412</v>
      </c>
      <c r="I2168" s="2" t="s">
        <v>187</v>
      </c>
      <c r="J2168" s="3">
        <v>44347</v>
      </c>
      <c r="K2168" s="2">
        <v>27</v>
      </c>
      <c r="L2168" s="2" t="s">
        <v>101</v>
      </c>
    </row>
    <row r="2169" spans="1:12" x14ac:dyDescent="0.3">
      <c r="A2169" s="2">
        <v>2158</v>
      </c>
      <c r="B2169" s="2" t="s">
        <v>96</v>
      </c>
      <c r="C2169" s="2" t="s">
        <v>5998</v>
      </c>
      <c r="D2169" s="2" t="s">
        <v>28</v>
      </c>
      <c r="E2169" s="2" t="s">
        <v>29</v>
      </c>
      <c r="F2169" s="2">
        <v>30</v>
      </c>
      <c r="G2169" s="2" t="s">
        <v>5999</v>
      </c>
      <c r="H2169" s="2" t="s">
        <v>6000</v>
      </c>
      <c r="I2169" s="2" t="s">
        <v>178</v>
      </c>
      <c r="J2169" s="3">
        <v>44731</v>
      </c>
      <c r="K2169" s="2">
        <v>55</v>
      </c>
      <c r="L2169" s="2" t="s">
        <v>64</v>
      </c>
    </row>
    <row r="2170" spans="1:12" x14ac:dyDescent="0.3">
      <c r="A2170" s="2">
        <v>2159</v>
      </c>
      <c r="B2170" s="2" t="s">
        <v>6001</v>
      </c>
      <c r="C2170" s="2" t="s">
        <v>3464</v>
      </c>
      <c r="D2170" s="2" t="s">
        <v>15</v>
      </c>
      <c r="E2170" s="2" t="s">
        <v>16</v>
      </c>
      <c r="F2170" s="2">
        <v>90</v>
      </c>
      <c r="G2170" s="2" t="s">
        <v>6002</v>
      </c>
      <c r="H2170" s="2" t="s">
        <v>2533</v>
      </c>
      <c r="I2170" s="2" t="s">
        <v>2534</v>
      </c>
      <c r="J2170" s="3">
        <v>44124</v>
      </c>
      <c r="K2170" s="2">
        <v>28</v>
      </c>
      <c r="L2170" s="2" t="s">
        <v>33</v>
      </c>
    </row>
    <row r="2171" spans="1:12" x14ac:dyDescent="0.3">
      <c r="A2171" s="2">
        <v>2160</v>
      </c>
      <c r="B2171" s="2" t="s">
        <v>2556</v>
      </c>
      <c r="C2171" s="2" t="s">
        <v>5807</v>
      </c>
      <c r="D2171" s="2" t="s">
        <v>28</v>
      </c>
      <c r="E2171" s="2" t="s">
        <v>29</v>
      </c>
      <c r="F2171" s="2">
        <v>60</v>
      </c>
      <c r="G2171" s="2" t="s">
        <v>6002</v>
      </c>
      <c r="H2171" s="2" t="s">
        <v>382</v>
      </c>
      <c r="I2171" s="2" t="s">
        <v>32</v>
      </c>
      <c r="J2171" s="3">
        <v>44207</v>
      </c>
      <c r="K2171" s="2">
        <v>46</v>
      </c>
      <c r="L2171" s="2" t="s">
        <v>159</v>
      </c>
    </row>
    <row r="2172" spans="1:12" x14ac:dyDescent="0.3">
      <c r="A2172" s="2">
        <v>2161</v>
      </c>
      <c r="B2172" s="2" t="s">
        <v>6003</v>
      </c>
      <c r="C2172" s="2" t="s">
        <v>6004</v>
      </c>
      <c r="D2172" s="2" t="s">
        <v>28</v>
      </c>
      <c r="E2172" s="2" t="s">
        <v>29</v>
      </c>
      <c r="F2172" s="2">
        <v>60</v>
      </c>
      <c r="G2172" s="2" t="s">
        <v>6005</v>
      </c>
      <c r="H2172" s="2" t="s">
        <v>942</v>
      </c>
      <c r="I2172" s="2" t="s">
        <v>32</v>
      </c>
      <c r="J2172" s="3">
        <v>44343</v>
      </c>
      <c r="K2172" s="2">
        <v>36</v>
      </c>
      <c r="L2172" s="2" t="s">
        <v>20</v>
      </c>
    </row>
    <row r="2173" spans="1:12" x14ac:dyDescent="0.3">
      <c r="A2173" s="2">
        <v>2162</v>
      </c>
      <c r="B2173" s="2" t="s">
        <v>624</v>
      </c>
      <c r="C2173" s="2" t="s">
        <v>348</v>
      </c>
      <c r="D2173" s="2" t="s">
        <v>28</v>
      </c>
      <c r="E2173" s="2" t="s">
        <v>29</v>
      </c>
      <c r="F2173" s="2">
        <v>60</v>
      </c>
      <c r="G2173" s="2" t="s">
        <v>6006</v>
      </c>
      <c r="H2173" s="2" t="s">
        <v>4979</v>
      </c>
      <c r="I2173" s="2" t="s">
        <v>294</v>
      </c>
      <c r="J2173" s="3">
        <v>44452</v>
      </c>
      <c r="K2173" s="2">
        <v>88</v>
      </c>
      <c r="L2173" s="2" t="s">
        <v>54</v>
      </c>
    </row>
    <row r="2174" spans="1:12" x14ac:dyDescent="0.3">
      <c r="A2174" s="2">
        <v>2163</v>
      </c>
      <c r="B2174" s="2" t="s">
        <v>367</v>
      </c>
      <c r="C2174" s="2" t="s">
        <v>3084</v>
      </c>
      <c r="D2174" s="2" t="s">
        <v>28</v>
      </c>
      <c r="E2174" s="2" t="s">
        <v>29</v>
      </c>
      <c r="F2174" s="2">
        <v>60</v>
      </c>
      <c r="G2174" s="2" t="s">
        <v>6006</v>
      </c>
      <c r="H2174" s="2" t="s">
        <v>1568</v>
      </c>
      <c r="I2174" s="2" t="s">
        <v>32</v>
      </c>
      <c r="J2174" s="3">
        <v>43991</v>
      </c>
      <c r="K2174" s="2">
        <v>85</v>
      </c>
      <c r="L2174" s="2" t="s">
        <v>54</v>
      </c>
    </row>
    <row r="2175" spans="1:12" x14ac:dyDescent="0.3">
      <c r="A2175" s="2">
        <v>2164</v>
      </c>
      <c r="B2175" s="2" t="s">
        <v>751</v>
      </c>
      <c r="C2175" s="2" t="s">
        <v>3600</v>
      </c>
      <c r="D2175" s="2" t="s">
        <v>28</v>
      </c>
      <c r="E2175" s="2" t="s">
        <v>29</v>
      </c>
      <c r="F2175" s="2">
        <v>90</v>
      </c>
      <c r="G2175" s="2" t="s">
        <v>6007</v>
      </c>
      <c r="H2175" s="2" t="s">
        <v>3320</v>
      </c>
      <c r="I2175" s="2" t="s">
        <v>32</v>
      </c>
      <c r="J2175" s="3">
        <v>44138</v>
      </c>
      <c r="K2175" s="2">
        <v>35</v>
      </c>
      <c r="L2175" s="2" t="s">
        <v>39</v>
      </c>
    </row>
    <row r="2176" spans="1:12" x14ac:dyDescent="0.3">
      <c r="A2176" s="2">
        <v>2165</v>
      </c>
      <c r="B2176" s="2" t="s">
        <v>5977</v>
      </c>
      <c r="C2176" s="2" t="s">
        <v>5883</v>
      </c>
      <c r="D2176" s="2" t="s">
        <v>15</v>
      </c>
      <c r="E2176" s="2" t="s">
        <v>16</v>
      </c>
      <c r="F2176" s="2">
        <v>60</v>
      </c>
      <c r="G2176" s="2" t="s">
        <v>6008</v>
      </c>
      <c r="H2176" s="2" t="s">
        <v>5711</v>
      </c>
      <c r="I2176" s="2" t="s">
        <v>25</v>
      </c>
      <c r="J2176" s="3">
        <v>43886</v>
      </c>
      <c r="K2176" s="2">
        <v>39</v>
      </c>
      <c r="L2176" s="2" t="s">
        <v>33</v>
      </c>
    </row>
    <row r="2177" spans="1:12" x14ac:dyDescent="0.3">
      <c r="A2177" s="2">
        <v>2166</v>
      </c>
      <c r="B2177" s="2" t="s">
        <v>6009</v>
      </c>
      <c r="C2177" s="2" t="s">
        <v>3843</v>
      </c>
      <c r="D2177" s="2" t="s">
        <v>51</v>
      </c>
      <c r="E2177" s="2" t="s">
        <v>16</v>
      </c>
      <c r="F2177" s="2">
        <v>30</v>
      </c>
      <c r="G2177" s="2" t="s">
        <v>6010</v>
      </c>
      <c r="H2177" s="2" t="s">
        <v>2516</v>
      </c>
      <c r="I2177" s="2" t="s">
        <v>32</v>
      </c>
      <c r="J2177" s="3">
        <v>44899</v>
      </c>
      <c r="K2177" s="2">
        <v>5</v>
      </c>
      <c r="L2177" s="2" t="s">
        <v>45</v>
      </c>
    </row>
    <row r="2178" spans="1:12" x14ac:dyDescent="0.3">
      <c r="A2178" s="2">
        <v>2167</v>
      </c>
      <c r="B2178" s="2" t="s">
        <v>4378</v>
      </c>
      <c r="C2178" s="2" t="s">
        <v>3014</v>
      </c>
      <c r="D2178" s="2" t="s">
        <v>28</v>
      </c>
      <c r="E2178" s="2" t="s">
        <v>29</v>
      </c>
      <c r="F2178" s="2">
        <v>30</v>
      </c>
      <c r="G2178" s="2" t="s">
        <v>6012</v>
      </c>
      <c r="H2178" s="2" t="s">
        <v>2441</v>
      </c>
      <c r="I2178" s="2" t="s">
        <v>1199</v>
      </c>
      <c r="J2178" s="3">
        <v>44393</v>
      </c>
      <c r="K2178" s="2">
        <v>18</v>
      </c>
      <c r="L2178" s="2" t="s">
        <v>101</v>
      </c>
    </row>
    <row r="2179" spans="1:12" x14ac:dyDescent="0.3">
      <c r="A2179" s="2">
        <v>2168</v>
      </c>
      <c r="B2179" s="2" t="s">
        <v>6013</v>
      </c>
      <c r="C2179" s="2" t="s">
        <v>219</v>
      </c>
      <c r="D2179" s="2" t="s">
        <v>41</v>
      </c>
      <c r="E2179" s="2" t="s">
        <v>16</v>
      </c>
      <c r="F2179" s="2">
        <v>30</v>
      </c>
      <c r="G2179" s="2" t="s">
        <v>6014</v>
      </c>
      <c r="H2179" s="2" t="s">
        <v>3405</v>
      </c>
      <c r="I2179" s="2" t="s">
        <v>32</v>
      </c>
      <c r="J2179" s="3">
        <v>44478</v>
      </c>
      <c r="K2179" s="2">
        <v>44</v>
      </c>
      <c r="L2179" s="2" t="s">
        <v>20</v>
      </c>
    </row>
    <row r="2180" spans="1:12" x14ac:dyDescent="0.3">
      <c r="A2180" s="2">
        <v>2169</v>
      </c>
      <c r="B2180" s="2" t="s">
        <v>6015</v>
      </c>
      <c r="C2180" s="2" t="s">
        <v>6016</v>
      </c>
      <c r="D2180" s="2" t="s">
        <v>51</v>
      </c>
      <c r="E2180" s="2" t="s">
        <v>16</v>
      </c>
      <c r="F2180" s="2">
        <v>60</v>
      </c>
      <c r="G2180" s="2" t="s">
        <v>6017</v>
      </c>
      <c r="H2180" s="2" t="s">
        <v>34</v>
      </c>
      <c r="I2180" s="2" t="s">
        <v>1454</v>
      </c>
      <c r="J2180" s="3">
        <v>44558</v>
      </c>
      <c r="K2180" s="2">
        <v>31</v>
      </c>
      <c r="L2180" s="2" t="s">
        <v>70</v>
      </c>
    </row>
    <row r="2181" spans="1:12" x14ac:dyDescent="0.3">
      <c r="A2181" s="2">
        <v>2170</v>
      </c>
      <c r="B2181" s="2" t="s">
        <v>75</v>
      </c>
      <c r="C2181" s="2" t="s">
        <v>873</v>
      </c>
      <c r="D2181" s="2" t="s">
        <v>28</v>
      </c>
      <c r="E2181" s="2" t="s">
        <v>29</v>
      </c>
      <c r="F2181" s="2">
        <v>30</v>
      </c>
      <c r="G2181" s="2" t="s">
        <v>6018</v>
      </c>
      <c r="H2181" s="2" t="s">
        <v>2039</v>
      </c>
      <c r="I2181" s="2" t="s">
        <v>1199</v>
      </c>
      <c r="J2181" s="3">
        <v>44310</v>
      </c>
      <c r="K2181" s="2">
        <v>51</v>
      </c>
      <c r="L2181" s="2" t="s">
        <v>159</v>
      </c>
    </row>
    <row r="2182" spans="1:12" x14ac:dyDescent="0.3">
      <c r="A2182" s="2">
        <v>2171</v>
      </c>
      <c r="B2182" s="2" t="s">
        <v>6019</v>
      </c>
      <c r="C2182" s="2" t="s">
        <v>774</v>
      </c>
      <c r="D2182" s="2" t="s">
        <v>51</v>
      </c>
      <c r="E2182" s="2" t="s">
        <v>16</v>
      </c>
      <c r="F2182" s="2">
        <v>60</v>
      </c>
      <c r="G2182" s="2" t="s">
        <v>6020</v>
      </c>
      <c r="H2182" s="2" t="s">
        <v>2418</v>
      </c>
      <c r="I2182" s="2" t="s">
        <v>32</v>
      </c>
      <c r="J2182" s="3">
        <v>44870</v>
      </c>
      <c r="K2182" s="2">
        <v>65</v>
      </c>
      <c r="L2182" s="2" t="s">
        <v>64</v>
      </c>
    </row>
    <row r="2183" spans="1:12" x14ac:dyDescent="0.3">
      <c r="A2183" s="2">
        <v>2172</v>
      </c>
      <c r="B2183" s="2" t="s">
        <v>4727</v>
      </c>
      <c r="C2183" s="2" t="s">
        <v>6021</v>
      </c>
      <c r="D2183" s="2" t="s">
        <v>28</v>
      </c>
      <c r="E2183" s="2" t="s">
        <v>29</v>
      </c>
      <c r="F2183" s="2">
        <v>30</v>
      </c>
      <c r="G2183" s="2" t="s">
        <v>6022</v>
      </c>
      <c r="H2183" s="2" t="s">
        <v>6023</v>
      </c>
      <c r="I2183" s="2" t="s">
        <v>32</v>
      </c>
      <c r="J2183" s="3">
        <v>44773</v>
      </c>
      <c r="K2183" s="2">
        <v>2</v>
      </c>
      <c r="L2183" s="2" t="s">
        <v>70</v>
      </c>
    </row>
    <row r="2184" spans="1:12" x14ac:dyDescent="0.3">
      <c r="A2184" s="2">
        <v>2173</v>
      </c>
      <c r="B2184" s="2" t="s">
        <v>6024</v>
      </c>
      <c r="C2184" s="2" t="s">
        <v>6025</v>
      </c>
      <c r="D2184" s="2" t="s">
        <v>51</v>
      </c>
      <c r="E2184" s="2" t="s">
        <v>16</v>
      </c>
      <c r="F2184" s="2">
        <v>60</v>
      </c>
      <c r="G2184" s="2" t="s">
        <v>6026</v>
      </c>
      <c r="H2184" s="2" t="s">
        <v>667</v>
      </c>
      <c r="I2184" s="2" t="s">
        <v>25</v>
      </c>
      <c r="J2184" s="3">
        <v>43884</v>
      </c>
      <c r="K2184" s="2">
        <v>46</v>
      </c>
      <c r="L2184" s="2" t="s">
        <v>80</v>
      </c>
    </row>
    <row r="2185" spans="1:12" x14ac:dyDescent="0.3">
      <c r="A2185" s="2">
        <v>2174</v>
      </c>
      <c r="B2185" s="2" t="s">
        <v>1351</v>
      </c>
      <c r="C2185" s="2" t="s">
        <v>3439</v>
      </c>
      <c r="D2185" s="2" t="s">
        <v>28</v>
      </c>
      <c r="E2185" s="2" t="s">
        <v>29</v>
      </c>
      <c r="F2185" s="2">
        <v>90</v>
      </c>
      <c r="G2185" s="2" t="s">
        <v>6026</v>
      </c>
      <c r="H2185" s="2" t="s">
        <v>1417</v>
      </c>
      <c r="I2185" s="2" t="s">
        <v>32</v>
      </c>
      <c r="J2185" s="3">
        <v>44108</v>
      </c>
      <c r="K2185" s="2">
        <v>16</v>
      </c>
      <c r="L2185" s="2" t="s">
        <v>64</v>
      </c>
    </row>
    <row r="2186" spans="1:12" x14ac:dyDescent="0.3">
      <c r="A2186" s="2">
        <v>2175</v>
      </c>
      <c r="B2186" s="2" t="s">
        <v>6027</v>
      </c>
      <c r="C2186" s="2" t="s">
        <v>1789</v>
      </c>
      <c r="D2186" s="2" t="s">
        <v>15</v>
      </c>
      <c r="E2186" s="2" t="s">
        <v>16</v>
      </c>
      <c r="F2186" s="2">
        <v>30</v>
      </c>
      <c r="G2186" s="2" t="s">
        <v>6028</v>
      </c>
      <c r="H2186" s="2" t="s">
        <v>5327</v>
      </c>
      <c r="I2186" s="2" t="s">
        <v>187</v>
      </c>
      <c r="J2186" s="3">
        <v>44901</v>
      </c>
      <c r="K2186" s="2">
        <v>19</v>
      </c>
      <c r="L2186" s="2" t="s">
        <v>64</v>
      </c>
    </row>
    <row r="2187" spans="1:12" x14ac:dyDescent="0.3">
      <c r="A2187" s="2">
        <v>2176</v>
      </c>
      <c r="B2187" s="2" t="s">
        <v>5266</v>
      </c>
      <c r="C2187" s="2" t="s">
        <v>766</v>
      </c>
      <c r="D2187" s="2" t="s">
        <v>28</v>
      </c>
      <c r="E2187" s="2" t="s">
        <v>29</v>
      </c>
      <c r="F2187" s="2">
        <v>30</v>
      </c>
      <c r="G2187" s="2" t="s">
        <v>6029</v>
      </c>
      <c r="H2187" s="2" t="s">
        <v>462</v>
      </c>
      <c r="I2187" s="2" t="s">
        <v>32</v>
      </c>
      <c r="J2187" s="3">
        <v>44085</v>
      </c>
      <c r="K2187" s="2">
        <v>14</v>
      </c>
      <c r="L2187" s="2" t="s">
        <v>20</v>
      </c>
    </row>
    <row r="2188" spans="1:12" x14ac:dyDescent="0.3">
      <c r="A2188" s="2">
        <v>2177</v>
      </c>
      <c r="B2188" s="2" t="s">
        <v>6030</v>
      </c>
      <c r="C2188" s="2" t="s">
        <v>6031</v>
      </c>
      <c r="D2188" s="2" t="s">
        <v>51</v>
      </c>
      <c r="E2188" s="2" t="s">
        <v>16</v>
      </c>
      <c r="F2188" s="2">
        <v>90</v>
      </c>
      <c r="G2188" s="2" t="s">
        <v>6032</v>
      </c>
      <c r="H2188" s="2" t="s">
        <v>6033</v>
      </c>
      <c r="I2188" s="2" t="s">
        <v>32</v>
      </c>
      <c r="J2188" s="3">
        <v>43963</v>
      </c>
      <c r="K2188" s="2">
        <v>9</v>
      </c>
      <c r="L2188" s="2" t="s">
        <v>45</v>
      </c>
    </row>
    <row r="2189" spans="1:12" x14ac:dyDescent="0.3">
      <c r="A2189" s="2">
        <v>2178</v>
      </c>
      <c r="B2189" s="2" t="s">
        <v>6034</v>
      </c>
      <c r="C2189" s="2" t="s">
        <v>2047</v>
      </c>
      <c r="D2189" s="2" t="s">
        <v>15</v>
      </c>
      <c r="E2189" s="2" t="s">
        <v>16</v>
      </c>
      <c r="F2189" s="2">
        <v>30</v>
      </c>
      <c r="G2189" s="2" t="s">
        <v>6035</v>
      </c>
      <c r="H2189" s="2" t="s">
        <v>6036</v>
      </c>
      <c r="I2189" s="2" t="s">
        <v>32</v>
      </c>
      <c r="J2189" s="3">
        <v>44112</v>
      </c>
      <c r="K2189" s="2">
        <v>10</v>
      </c>
      <c r="L2189" s="2" t="s">
        <v>33</v>
      </c>
    </row>
    <row r="2190" spans="1:12" x14ac:dyDescent="0.3">
      <c r="A2190" s="2">
        <v>2179</v>
      </c>
      <c r="B2190" s="2" t="s">
        <v>4727</v>
      </c>
      <c r="C2190" s="2" t="s">
        <v>1710</v>
      </c>
      <c r="D2190" s="2" t="s">
        <v>28</v>
      </c>
      <c r="E2190" s="2" t="s">
        <v>29</v>
      </c>
      <c r="F2190" s="2">
        <v>90</v>
      </c>
      <c r="G2190" s="2" t="s">
        <v>6037</v>
      </c>
      <c r="H2190" s="2" t="s">
        <v>6038</v>
      </c>
      <c r="I2190" s="2" t="s">
        <v>19</v>
      </c>
      <c r="J2190" s="3">
        <v>44854</v>
      </c>
      <c r="K2190" s="2">
        <v>14</v>
      </c>
      <c r="L2190" s="2" t="s">
        <v>101</v>
      </c>
    </row>
    <row r="2191" spans="1:12" x14ac:dyDescent="0.3">
      <c r="A2191" s="2">
        <v>2180</v>
      </c>
      <c r="B2191" s="2" t="s">
        <v>6039</v>
      </c>
      <c r="C2191" s="2" t="s">
        <v>6040</v>
      </c>
      <c r="D2191" s="2" t="s">
        <v>15</v>
      </c>
      <c r="E2191" s="2" t="s">
        <v>16</v>
      </c>
      <c r="F2191" s="2">
        <v>90</v>
      </c>
      <c r="G2191" s="2" t="s">
        <v>6041</v>
      </c>
      <c r="H2191" s="2" t="s">
        <v>4508</v>
      </c>
      <c r="I2191" s="2" t="s">
        <v>32</v>
      </c>
      <c r="J2191" s="3">
        <v>44304</v>
      </c>
      <c r="K2191" s="2">
        <v>84</v>
      </c>
      <c r="L2191" s="2" t="s">
        <v>101</v>
      </c>
    </row>
    <row r="2192" spans="1:12" x14ac:dyDescent="0.3">
      <c r="A2192" s="2">
        <v>2181</v>
      </c>
      <c r="B2192" s="2" t="s">
        <v>3706</v>
      </c>
      <c r="C2192" s="2" t="s">
        <v>6042</v>
      </c>
      <c r="D2192" s="2" t="s">
        <v>28</v>
      </c>
      <c r="E2192" s="2" t="s">
        <v>29</v>
      </c>
      <c r="F2192" s="2">
        <v>60</v>
      </c>
      <c r="G2192" s="2" t="s">
        <v>6043</v>
      </c>
      <c r="H2192" s="2" t="s">
        <v>3245</v>
      </c>
      <c r="I2192" s="2" t="s">
        <v>32</v>
      </c>
      <c r="J2192" s="3">
        <v>44067</v>
      </c>
      <c r="K2192" s="2">
        <v>84</v>
      </c>
      <c r="L2192" s="2" t="s">
        <v>101</v>
      </c>
    </row>
    <row r="2193" spans="1:12" x14ac:dyDescent="0.3">
      <c r="A2193" s="2">
        <v>2182</v>
      </c>
      <c r="B2193" s="2" t="s">
        <v>6044</v>
      </c>
      <c r="C2193" s="2" t="s">
        <v>1727</v>
      </c>
      <c r="D2193" s="2" t="s">
        <v>28</v>
      </c>
      <c r="E2193" s="2" t="s">
        <v>29</v>
      </c>
      <c r="F2193" s="2">
        <v>60</v>
      </c>
      <c r="G2193" s="2" t="s">
        <v>6045</v>
      </c>
      <c r="H2193" s="2" t="s">
        <v>2163</v>
      </c>
      <c r="I2193" s="2" t="s">
        <v>1824</v>
      </c>
      <c r="J2193" s="3">
        <v>44791</v>
      </c>
      <c r="K2193" s="2">
        <v>3</v>
      </c>
      <c r="L2193" s="2" t="s">
        <v>45</v>
      </c>
    </row>
    <row r="2194" spans="1:12" x14ac:dyDescent="0.3">
      <c r="A2194" s="2">
        <v>2183</v>
      </c>
      <c r="B2194" s="2" t="s">
        <v>6046</v>
      </c>
      <c r="C2194" s="2" t="s">
        <v>672</v>
      </c>
      <c r="D2194" s="2" t="s">
        <v>15</v>
      </c>
      <c r="E2194" s="2" t="s">
        <v>16</v>
      </c>
      <c r="F2194" s="2">
        <v>60</v>
      </c>
      <c r="G2194" s="2" t="s">
        <v>6047</v>
      </c>
      <c r="H2194" s="2" t="s">
        <v>3263</v>
      </c>
      <c r="I2194" s="2" t="s">
        <v>32</v>
      </c>
      <c r="J2194" s="3">
        <v>44474</v>
      </c>
      <c r="K2194" s="2">
        <v>78</v>
      </c>
      <c r="L2194" s="2" t="s">
        <v>159</v>
      </c>
    </row>
    <row r="2195" spans="1:12" x14ac:dyDescent="0.3">
      <c r="A2195" s="2">
        <v>2184</v>
      </c>
      <c r="B2195" s="2" t="s">
        <v>6048</v>
      </c>
      <c r="C2195" s="2" t="s">
        <v>1341</v>
      </c>
      <c r="D2195" s="2" t="s">
        <v>28</v>
      </c>
      <c r="E2195" s="2" t="s">
        <v>29</v>
      </c>
      <c r="F2195" s="2">
        <v>60</v>
      </c>
      <c r="G2195" s="2" t="s">
        <v>6049</v>
      </c>
      <c r="H2195" s="2" t="s">
        <v>6050</v>
      </c>
      <c r="I2195" s="2" t="s">
        <v>1199</v>
      </c>
      <c r="J2195" s="3">
        <v>44218</v>
      </c>
      <c r="K2195" s="2">
        <v>13</v>
      </c>
      <c r="L2195" s="2" t="s">
        <v>39</v>
      </c>
    </row>
    <row r="2196" spans="1:12" x14ac:dyDescent="0.3">
      <c r="A2196" s="2">
        <v>2185</v>
      </c>
      <c r="B2196" s="2" t="s">
        <v>6051</v>
      </c>
      <c r="C2196" s="2" t="s">
        <v>821</v>
      </c>
      <c r="D2196" s="2" t="s">
        <v>51</v>
      </c>
      <c r="E2196" s="2" t="s">
        <v>16</v>
      </c>
      <c r="F2196" s="2">
        <v>90</v>
      </c>
      <c r="G2196" s="2" t="s">
        <v>6049</v>
      </c>
      <c r="H2196" s="2" t="s">
        <v>389</v>
      </c>
      <c r="I2196" s="2" t="s">
        <v>32</v>
      </c>
      <c r="J2196" s="3">
        <v>44149</v>
      </c>
      <c r="K2196" s="2">
        <v>62</v>
      </c>
      <c r="L2196" s="2" t="s">
        <v>64</v>
      </c>
    </row>
    <row r="2197" spans="1:12" x14ac:dyDescent="0.3">
      <c r="A2197" s="2">
        <v>2186</v>
      </c>
      <c r="B2197" s="2" t="s">
        <v>1015</v>
      </c>
      <c r="C2197" s="2" t="s">
        <v>3173</v>
      </c>
      <c r="D2197" s="2" t="s">
        <v>28</v>
      </c>
      <c r="E2197" s="2" t="s">
        <v>29</v>
      </c>
      <c r="F2197" s="2">
        <v>30</v>
      </c>
      <c r="G2197" s="2" t="s">
        <v>6052</v>
      </c>
      <c r="H2197" s="2" t="s">
        <v>5283</v>
      </c>
      <c r="I2197" s="2" t="s">
        <v>32</v>
      </c>
      <c r="J2197" s="3">
        <v>44171</v>
      </c>
      <c r="K2197" s="2">
        <v>80</v>
      </c>
      <c r="L2197" s="2" t="s">
        <v>159</v>
      </c>
    </row>
    <row r="2198" spans="1:12" x14ac:dyDescent="0.3">
      <c r="A2198" s="2">
        <v>2187</v>
      </c>
      <c r="B2198" s="2" t="s">
        <v>994</v>
      </c>
      <c r="C2198" s="2" t="s">
        <v>3581</v>
      </c>
      <c r="D2198" s="2" t="s">
        <v>28</v>
      </c>
      <c r="E2198" s="2" t="s">
        <v>29</v>
      </c>
      <c r="F2198" s="2">
        <v>60</v>
      </c>
      <c r="G2198" s="2" t="s">
        <v>6053</v>
      </c>
      <c r="H2198" s="2" t="s">
        <v>3041</v>
      </c>
      <c r="I2198" s="2" t="s">
        <v>124</v>
      </c>
      <c r="J2198" s="3">
        <v>43896</v>
      </c>
      <c r="K2198" s="2">
        <v>7</v>
      </c>
      <c r="L2198" s="2" t="s">
        <v>70</v>
      </c>
    </row>
    <row r="2199" spans="1:12" x14ac:dyDescent="0.3">
      <c r="A2199" s="2">
        <v>2188</v>
      </c>
      <c r="B2199" s="2" t="s">
        <v>6054</v>
      </c>
      <c r="C2199" s="2" t="s">
        <v>6055</v>
      </c>
      <c r="D2199" s="2" t="s">
        <v>15</v>
      </c>
      <c r="E2199" s="2" t="s">
        <v>16</v>
      </c>
      <c r="F2199" s="2">
        <v>90</v>
      </c>
      <c r="G2199" s="2" t="s">
        <v>6056</v>
      </c>
      <c r="H2199" s="2" t="s">
        <v>3384</v>
      </c>
      <c r="I2199" s="2" t="s">
        <v>32</v>
      </c>
      <c r="J2199" s="3">
        <v>44080</v>
      </c>
      <c r="K2199" s="2">
        <v>2</v>
      </c>
      <c r="L2199" s="2" t="s">
        <v>159</v>
      </c>
    </row>
    <row r="2200" spans="1:12" x14ac:dyDescent="0.3">
      <c r="A2200" s="2">
        <v>2189</v>
      </c>
      <c r="B2200" s="2" t="s">
        <v>6057</v>
      </c>
      <c r="C2200" s="2" t="s">
        <v>873</v>
      </c>
      <c r="D2200" s="2" t="s">
        <v>117</v>
      </c>
      <c r="E2200" s="2" t="s">
        <v>29</v>
      </c>
      <c r="F2200" s="2">
        <v>90</v>
      </c>
      <c r="G2200" s="2" t="s">
        <v>6058</v>
      </c>
      <c r="H2200" s="2" t="s">
        <v>6059</v>
      </c>
      <c r="I2200" s="2" t="s">
        <v>32</v>
      </c>
      <c r="J2200" s="3">
        <v>44451</v>
      </c>
      <c r="K2200" s="2">
        <v>76</v>
      </c>
      <c r="L2200" s="2" t="s">
        <v>70</v>
      </c>
    </row>
    <row r="2201" spans="1:12" x14ac:dyDescent="0.3">
      <c r="A2201" s="2">
        <v>2190</v>
      </c>
      <c r="B2201" s="2" t="s">
        <v>3699</v>
      </c>
      <c r="C2201" s="2" t="s">
        <v>841</v>
      </c>
      <c r="D2201" s="2" t="s">
        <v>28</v>
      </c>
      <c r="E2201" s="2" t="s">
        <v>29</v>
      </c>
      <c r="F2201" s="2">
        <v>60</v>
      </c>
      <c r="G2201" s="2" t="s">
        <v>6060</v>
      </c>
      <c r="H2201" s="2" t="s">
        <v>5207</v>
      </c>
      <c r="I2201" s="2" t="s">
        <v>38</v>
      </c>
      <c r="J2201" s="3">
        <v>44638</v>
      </c>
      <c r="K2201" s="2">
        <v>18</v>
      </c>
      <c r="L2201" s="2" t="s">
        <v>33</v>
      </c>
    </row>
    <row r="2202" spans="1:12" x14ac:dyDescent="0.3">
      <c r="A2202" s="2">
        <v>2191</v>
      </c>
      <c r="B2202" s="2" t="s">
        <v>3588</v>
      </c>
      <c r="C2202" s="2" t="s">
        <v>2883</v>
      </c>
      <c r="D2202" s="2" t="s">
        <v>28</v>
      </c>
      <c r="E2202" s="2" t="s">
        <v>29</v>
      </c>
      <c r="F2202" s="2">
        <v>60</v>
      </c>
      <c r="G2202" s="2" t="s">
        <v>6061</v>
      </c>
      <c r="H2202" s="2" t="s">
        <v>3263</v>
      </c>
      <c r="I2202" s="2" t="s">
        <v>32</v>
      </c>
      <c r="J2202" s="3">
        <v>44731</v>
      </c>
      <c r="K2202" s="2">
        <v>70</v>
      </c>
      <c r="L2202" s="2" t="s">
        <v>64</v>
      </c>
    </row>
    <row r="2203" spans="1:12" x14ac:dyDescent="0.3">
      <c r="A2203" s="2">
        <v>2192</v>
      </c>
      <c r="B2203" s="2" t="s">
        <v>232</v>
      </c>
      <c r="C2203" s="2" t="s">
        <v>6062</v>
      </c>
      <c r="D2203" s="2" t="s">
        <v>28</v>
      </c>
      <c r="E2203" s="2" t="s">
        <v>29</v>
      </c>
      <c r="F2203" s="2">
        <v>60</v>
      </c>
      <c r="G2203" s="2" t="s">
        <v>6063</v>
      </c>
      <c r="H2203" s="2" t="s">
        <v>1594</v>
      </c>
      <c r="I2203" s="2" t="s">
        <v>178</v>
      </c>
      <c r="J2203" s="3">
        <v>44359</v>
      </c>
      <c r="K2203" s="2">
        <v>19</v>
      </c>
      <c r="L2203" s="2" t="s">
        <v>159</v>
      </c>
    </row>
    <row r="2204" spans="1:12" x14ac:dyDescent="0.3">
      <c r="A2204" s="2">
        <v>2193</v>
      </c>
      <c r="B2204" s="2" t="s">
        <v>6064</v>
      </c>
      <c r="C2204" s="2" t="s">
        <v>6065</v>
      </c>
      <c r="D2204" s="2" t="s">
        <v>15</v>
      </c>
      <c r="E2204" s="2" t="s">
        <v>16</v>
      </c>
      <c r="F2204" s="2">
        <v>30</v>
      </c>
      <c r="G2204" s="2" t="s">
        <v>6066</v>
      </c>
      <c r="H2204" s="2" t="s">
        <v>3870</v>
      </c>
      <c r="I2204" s="2" t="s">
        <v>124</v>
      </c>
      <c r="J2204" s="3">
        <v>43957</v>
      </c>
      <c r="K2204" s="2">
        <v>77</v>
      </c>
      <c r="L2204" s="2" t="s">
        <v>39</v>
      </c>
    </row>
    <row r="2205" spans="1:12" x14ac:dyDescent="0.3">
      <c r="A2205" s="2">
        <v>2194</v>
      </c>
      <c r="B2205" s="2" t="s">
        <v>6067</v>
      </c>
      <c r="C2205" s="2" t="s">
        <v>605</v>
      </c>
      <c r="D2205" s="2" t="s">
        <v>51</v>
      </c>
      <c r="E2205" s="2" t="s">
        <v>16</v>
      </c>
      <c r="F2205" s="2">
        <v>30</v>
      </c>
      <c r="G2205" s="2" t="s">
        <v>6068</v>
      </c>
      <c r="H2205" s="2" t="s">
        <v>6069</v>
      </c>
      <c r="I2205" s="2" t="s">
        <v>294</v>
      </c>
      <c r="J2205" s="3">
        <v>43915</v>
      </c>
      <c r="K2205" s="2">
        <v>45</v>
      </c>
      <c r="L2205" s="2" t="s">
        <v>33</v>
      </c>
    </row>
    <row r="2206" spans="1:12" x14ac:dyDescent="0.3">
      <c r="A2206" s="2">
        <v>2195</v>
      </c>
      <c r="B2206" s="2" t="s">
        <v>6070</v>
      </c>
      <c r="C2206" s="2" t="s">
        <v>4444</v>
      </c>
      <c r="D2206" s="2" t="s">
        <v>15</v>
      </c>
      <c r="E2206" s="2" t="s">
        <v>16</v>
      </c>
      <c r="F2206" s="2">
        <v>60</v>
      </c>
      <c r="G2206" s="2" t="s">
        <v>6071</v>
      </c>
      <c r="H2206" s="2" t="s">
        <v>2864</v>
      </c>
      <c r="I2206" s="2" t="s">
        <v>187</v>
      </c>
      <c r="J2206" s="3">
        <v>44749</v>
      </c>
      <c r="K2206" s="2">
        <v>76</v>
      </c>
      <c r="L2206" s="2" t="s">
        <v>101</v>
      </c>
    </row>
    <row r="2207" spans="1:12" x14ac:dyDescent="0.3">
      <c r="A2207" s="2">
        <v>2196</v>
      </c>
      <c r="B2207" s="2" t="s">
        <v>6072</v>
      </c>
      <c r="C2207" s="2" t="s">
        <v>6073</v>
      </c>
      <c r="D2207" s="2" t="s">
        <v>28</v>
      </c>
      <c r="E2207" s="2" t="s">
        <v>29</v>
      </c>
      <c r="F2207" s="2">
        <v>90</v>
      </c>
      <c r="G2207" s="2" t="s">
        <v>6074</v>
      </c>
      <c r="H2207" s="2" t="s">
        <v>224</v>
      </c>
      <c r="I2207" s="2" t="s">
        <v>124</v>
      </c>
      <c r="J2207" s="3">
        <v>44646</v>
      </c>
      <c r="K2207" s="2">
        <v>81</v>
      </c>
      <c r="L2207" s="2" t="s">
        <v>33</v>
      </c>
    </row>
    <row r="2208" spans="1:12" x14ac:dyDescent="0.3">
      <c r="A2208" s="2">
        <v>2197</v>
      </c>
      <c r="B2208" s="2" t="s">
        <v>6075</v>
      </c>
      <c r="C2208" s="2" t="s">
        <v>6076</v>
      </c>
      <c r="D2208" s="2" t="s">
        <v>28</v>
      </c>
      <c r="E2208" s="2" t="s">
        <v>29</v>
      </c>
      <c r="F2208" s="2">
        <v>90</v>
      </c>
      <c r="G2208" s="2" t="s">
        <v>6077</v>
      </c>
      <c r="H2208" s="2" t="s">
        <v>1111</v>
      </c>
      <c r="I2208" s="2" t="s">
        <v>32</v>
      </c>
      <c r="J2208" s="3">
        <v>44532</v>
      </c>
      <c r="K2208" s="2">
        <v>47</v>
      </c>
      <c r="L2208" s="2" t="s">
        <v>20</v>
      </c>
    </row>
    <row r="2209" spans="1:12" x14ac:dyDescent="0.3">
      <c r="A2209" s="2">
        <v>2198</v>
      </c>
      <c r="B2209" s="2" t="s">
        <v>4590</v>
      </c>
      <c r="C2209" s="2" t="s">
        <v>6078</v>
      </c>
      <c r="D2209" s="2" t="s">
        <v>51</v>
      </c>
      <c r="E2209" s="2" t="s">
        <v>16</v>
      </c>
      <c r="F2209" s="2">
        <v>90</v>
      </c>
      <c r="G2209" s="2" t="s">
        <v>6079</v>
      </c>
      <c r="H2209" s="2" t="s">
        <v>6080</v>
      </c>
      <c r="I2209" s="2" t="s">
        <v>32</v>
      </c>
      <c r="J2209" s="3">
        <v>44195</v>
      </c>
      <c r="K2209" s="2">
        <v>33</v>
      </c>
      <c r="L2209" s="2" t="s">
        <v>45</v>
      </c>
    </row>
    <row r="2210" spans="1:12" x14ac:dyDescent="0.3">
      <c r="A2210" s="2">
        <v>2199</v>
      </c>
      <c r="B2210" s="2" t="s">
        <v>6081</v>
      </c>
      <c r="C2210" s="2" t="s">
        <v>6082</v>
      </c>
      <c r="D2210" s="2" t="s">
        <v>51</v>
      </c>
      <c r="E2210" s="2" t="s">
        <v>16</v>
      </c>
      <c r="F2210" s="2">
        <v>30</v>
      </c>
      <c r="G2210" s="2" t="s">
        <v>6083</v>
      </c>
      <c r="H2210" s="2" t="s">
        <v>370</v>
      </c>
      <c r="I2210" s="2" t="s">
        <v>32</v>
      </c>
      <c r="J2210" s="3">
        <v>44390</v>
      </c>
      <c r="K2210" s="2">
        <v>3</v>
      </c>
      <c r="L2210" s="2" t="s">
        <v>80</v>
      </c>
    </row>
    <row r="2211" spans="1:12" x14ac:dyDescent="0.3">
      <c r="A2211" s="2">
        <v>2200</v>
      </c>
      <c r="B2211" s="2" t="s">
        <v>6084</v>
      </c>
      <c r="C2211" s="2" t="s">
        <v>6085</v>
      </c>
      <c r="D2211" s="2" t="s">
        <v>51</v>
      </c>
      <c r="E2211" s="2" t="s">
        <v>16</v>
      </c>
      <c r="F2211" s="2">
        <v>30</v>
      </c>
      <c r="G2211" s="2" t="s">
        <v>6086</v>
      </c>
      <c r="H2211" s="2" t="s">
        <v>6087</v>
      </c>
      <c r="I2211" s="2" t="s">
        <v>124</v>
      </c>
      <c r="J2211" s="3">
        <v>44143</v>
      </c>
      <c r="K2211" s="2">
        <v>46</v>
      </c>
      <c r="L2211" s="2" t="s">
        <v>39</v>
      </c>
    </row>
    <row r="2212" spans="1:12" x14ac:dyDescent="0.3">
      <c r="A2212" s="2">
        <v>2201</v>
      </c>
      <c r="B2212" s="2" t="s">
        <v>6088</v>
      </c>
      <c r="C2212" s="2" t="s">
        <v>6089</v>
      </c>
      <c r="D2212" s="2" t="s">
        <v>28</v>
      </c>
      <c r="E2212" s="2" t="s">
        <v>29</v>
      </c>
      <c r="F2212" s="2">
        <v>60</v>
      </c>
      <c r="G2212" s="2" t="s">
        <v>6090</v>
      </c>
      <c r="H2212" s="2" t="s">
        <v>3424</v>
      </c>
      <c r="I2212" s="2" t="s">
        <v>32</v>
      </c>
      <c r="J2212" s="3">
        <v>44603</v>
      </c>
      <c r="K2212" s="2">
        <v>62</v>
      </c>
      <c r="L2212" s="2" t="s">
        <v>39</v>
      </c>
    </row>
    <row r="2213" spans="1:12" x14ac:dyDescent="0.3">
      <c r="A2213" s="2">
        <v>2202</v>
      </c>
      <c r="B2213" s="2" t="s">
        <v>6091</v>
      </c>
      <c r="C2213" s="2" t="s">
        <v>5214</v>
      </c>
      <c r="D2213" s="2" t="s">
        <v>15</v>
      </c>
      <c r="E2213" s="2" t="s">
        <v>16</v>
      </c>
      <c r="F2213" s="2">
        <v>30</v>
      </c>
      <c r="G2213" s="2" t="s">
        <v>10519</v>
      </c>
      <c r="H2213" s="2" t="s">
        <v>3134</v>
      </c>
      <c r="I2213" s="2" t="s">
        <v>294</v>
      </c>
      <c r="J2213" s="3">
        <v>44064</v>
      </c>
      <c r="K2213" s="2">
        <v>64</v>
      </c>
      <c r="L2213" s="2" t="s">
        <v>54</v>
      </c>
    </row>
    <row r="2214" spans="1:12" x14ac:dyDescent="0.3">
      <c r="A2214" s="2">
        <v>2203</v>
      </c>
      <c r="B2214" s="2" t="s">
        <v>1661</v>
      </c>
      <c r="C2214" s="2" t="s">
        <v>6093</v>
      </c>
      <c r="D2214" s="2" t="s">
        <v>28</v>
      </c>
      <c r="E2214" s="2" t="s">
        <v>29</v>
      </c>
      <c r="F2214" s="2">
        <v>30</v>
      </c>
      <c r="G2214" s="2" t="s">
        <v>6094</v>
      </c>
      <c r="H2214" s="2" t="s">
        <v>43</v>
      </c>
      <c r="I2214" s="2" t="s">
        <v>44</v>
      </c>
      <c r="J2214" s="3">
        <v>44378</v>
      </c>
      <c r="K2214" s="2">
        <v>26</v>
      </c>
      <c r="L2214" s="2" t="s">
        <v>64</v>
      </c>
    </row>
    <row r="2215" spans="1:12" x14ac:dyDescent="0.3">
      <c r="A2215" s="2">
        <v>2204</v>
      </c>
      <c r="B2215" s="2" t="s">
        <v>4469</v>
      </c>
      <c r="C2215" s="2" t="s">
        <v>3560</v>
      </c>
      <c r="D2215" s="2" t="s">
        <v>51</v>
      </c>
      <c r="E2215" s="2" t="s">
        <v>16</v>
      </c>
      <c r="F2215" s="2">
        <v>30</v>
      </c>
      <c r="G2215" s="2" t="s">
        <v>6095</v>
      </c>
      <c r="H2215" s="2" t="s">
        <v>2354</v>
      </c>
      <c r="I2215" s="2" t="s">
        <v>178</v>
      </c>
      <c r="J2215" s="3">
        <v>44282</v>
      </c>
      <c r="K2215" s="2">
        <v>23</v>
      </c>
      <c r="L2215" s="2" t="s">
        <v>159</v>
      </c>
    </row>
    <row r="2216" spans="1:12" x14ac:dyDescent="0.3">
      <c r="A2216" s="2">
        <v>2205</v>
      </c>
      <c r="B2216" s="2" t="s">
        <v>6096</v>
      </c>
      <c r="C2216" s="2" t="s">
        <v>1237</v>
      </c>
      <c r="D2216" s="2" t="s">
        <v>28</v>
      </c>
      <c r="E2216" s="2" t="s">
        <v>29</v>
      </c>
      <c r="F2216" s="2">
        <v>30</v>
      </c>
      <c r="G2216" s="2" t="s">
        <v>6095</v>
      </c>
      <c r="H2216" s="2" t="s">
        <v>637</v>
      </c>
      <c r="I2216" s="2" t="s">
        <v>32</v>
      </c>
      <c r="J2216" s="3">
        <v>43975</v>
      </c>
      <c r="K2216" s="2">
        <v>37</v>
      </c>
      <c r="L2216" s="2" t="s">
        <v>54</v>
      </c>
    </row>
    <row r="2217" spans="1:12" x14ac:dyDescent="0.3">
      <c r="A2217" s="2">
        <v>2206</v>
      </c>
      <c r="B2217" s="2" t="s">
        <v>824</v>
      </c>
      <c r="C2217" s="2" t="s">
        <v>3735</v>
      </c>
      <c r="D2217" s="2" t="s">
        <v>28</v>
      </c>
      <c r="E2217" s="2" t="s">
        <v>29</v>
      </c>
      <c r="F2217" s="2">
        <v>90</v>
      </c>
      <c r="G2217" s="2" t="s">
        <v>6097</v>
      </c>
      <c r="H2217" s="2" t="s">
        <v>3793</v>
      </c>
      <c r="I2217" s="2" t="s">
        <v>173</v>
      </c>
      <c r="J2217" s="3">
        <v>44246</v>
      </c>
      <c r="K2217" s="2">
        <v>72</v>
      </c>
      <c r="L2217" s="2" t="s">
        <v>54</v>
      </c>
    </row>
    <row r="2218" spans="1:12" x14ac:dyDescent="0.3">
      <c r="A2218" s="2">
        <v>2207</v>
      </c>
      <c r="B2218" s="2" t="s">
        <v>5712</v>
      </c>
      <c r="C2218" s="2" t="s">
        <v>2903</v>
      </c>
      <c r="D2218" s="2" t="s">
        <v>15</v>
      </c>
      <c r="E2218" s="2" t="s">
        <v>16</v>
      </c>
      <c r="F2218" s="2">
        <v>30</v>
      </c>
      <c r="G2218" s="2" t="s">
        <v>6098</v>
      </c>
      <c r="H2218" s="2" t="s">
        <v>307</v>
      </c>
      <c r="I2218" s="2" t="s">
        <v>32</v>
      </c>
      <c r="J2218" s="3">
        <v>43959</v>
      </c>
      <c r="K2218" s="2">
        <v>17</v>
      </c>
      <c r="L2218" s="2" t="s">
        <v>33</v>
      </c>
    </row>
    <row r="2219" spans="1:12" x14ac:dyDescent="0.3">
      <c r="A2219" s="2">
        <v>2208</v>
      </c>
      <c r="B2219" s="2" t="s">
        <v>484</v>
      </c>
      <c r="C2219" s="2" t="s">
        <v>6099</v>
      </c>
      <c r="D2219" s="2" t="s">
        <v>15</v>
      </c>
      <c r="E2219" s="2" t="s">
        <v>16</v>
      </c>
      <c r="F2219" s="2">
        <v>60</v>
      </c>
      <c r="G2219" s="2" t="s">
        <v>6100</v>
      </c>
      <c r="H2219" s="2" t="s">
        <v>6101</v>
      </c>
      <c r="I2219" s="2" t="s">
        <v>32</v>
      </c>
      <c r="J2219" s="3">
        <v>44153</v>
      </c>
      <c r="K2219" s="2">
        <v>71</v>
      </c>
      <c r="L2219" s="2" t="s">
        <v>101</v>
      </c>
    </row>
    <row r="2220" spans="1:12" x14ac:dyDescent="0.3">
      <c r="A2220" s="2">
        <v>2209</v>
      </c>
      <c r="B2220" s="2" t="s">
        <v>1427</v>
      </c>
      <c r="C2220" s="2" t="s">
        <v>1410</v>
      </c>
      <c r="D2220" s="2" t="s">
        <v>28</v>
      </c>
      <c r="E2220" s="2" t="s">
        <v>29</v>
      </c>
      <c r="F2220" s="2">
        <v>90</v>
      </c>
      <c r="G2220" s="2" t="s">
        <v>6102</v>
      </c>
      <c r="H2220" s="2" t="s">
        <v>5189</v>
      </c>
      <c r="I2220" s="2" t="s">
        <v>32</v>
      </c>
      <c r="J2220" s="3">
        <v>44305</v>
      </c>
      <c r="K2220" s="2">
        <v>69</v>
      </c>
      <c r="L2220" s="2" t="s">
        <v>20</v>
      </c>
    </row>
    <row r="2221" spans="1:12" x14ac:dyDescent="0.3">
      <c r="A2221" s="2">
        <v>2210</v>
      </c>
      <c r="B2221" s="2" t="s">
        <v>6103</v>
      </c>
      <c r="C2221" s="2" t="s">
        <v>4603</v>
      </c>
      <c r="D2221" s="2" t="s">
        <v>51</v>
      </c>
      <c r="E2221" s="2" t="s">
        <v>16</v>
      </c>
      <c r="F2221" s="2">
        <v>30</v>
      </c>
      <c r="G2221" s="2" t="s">
        <v>6104</v>
      </c>
      <c r="H2221" s="2" t="s">
        <v>6105</v>
      </c>
      <c r="I2221" s="2" t="s">
        <v>32</v>
      </c>
      <c r="J2221" s="3">
        <v>44610</v>
      </c>
      <c r="K2221" s="2">
        <v>17</v>
      </c>
      <c r="L2221" s="2" t="s">
        <v>45</v>
      </c>
    </row>
    <row r="2222" spans="1:12" x14ac:dyDescent="0.3">
      <c r="A2222" s="2">
        <v>2211</v>
      </c>
      <c r="B2222" s="2" t="s">
        <v>259</v>
      </c>
      <c r="C2222" s="2" t="s">
        <v>6042</v>
      </c>
      <c r="D2222" s="2" t="s">
        <v>28</v>
      </c>
      <c r="E2222" s="2" t="s">
        <v>29</v>
      </c>
      <c r="F2222" s="2">
        <v>60</v>
      </c>
      <c r="G2222" s="2" t="s">
        <v>6106</v>
      </c>
      <c r="H2222" s="2" t="s">
        <v>1643</v>
      </c>
      <c r="I2222" s="2" t="s">
        <v>124</v>
      </c>
      <c r="J2222" s="3">
        <v>43864</v>
      </c>
      <c r="K2222" s="2">
        <v>25</v>
      </c>
      <c r="L2222" s="2" t="s">
        <v>70</v>
      </c>
    </row>
    <row r="2223" spans="1:12" x14ac:dyDescent="0.3">
      <c r="A2223" s="2">
        <v>2212</v>
      </c>
      <c r="B2223" s="2" t="s">
        <v>1890</v>
      </c>
      <c r="C2223" s="2" t="s">
        <v>1669</v>
      </c>
      <c r="D2223" s="2" t="s">
        <v>51</v>
      </c>
      <c r="E2223" s="2" t="s">
        <v>16</v>
      </c>
      <c r="F2223" s="2">
        <v>90</v>
      </c>
      <c r="G2223" s="2" t="s">
        <v>6107</v>
      </c>
      <c r="H2223" s="2" t="s">
        <v>3206</v>
      </c>
      <c r="I2223" s="2" t="s">
        <v>1199</v>
      </c>
      <c r="J2223" s="3">
        <v>43834</v>
      </c>
      <c r="K2223" s="2">
        <v>62</v>
      </c>
      <c r="L2223" s="2" t="s">
        <v>70</v>
      </c>
    </row>
    <row r="2224" spans="1:12" x14ac:dyDescent="0.3">
      <c r="A2224" s="2">
        <v>2213</v>
      </c>
      <c r="B2224" s="2" t="s">
        <v>5156</v>
      </c>
      <c r="C2224" s="2" t="s">
        <v>3662</v>
      </c>
      <c r="D2224" s="2" t="s">
        <v>15</v>
      </c>
      <c r="E2224" s="2" t="s">
        <v>16</v>
      </c>
      <c r="F2224" s="2">
        <v>60</v>
      </c>
      <c r="G2224" s="2" t="s">
        <v>6108</v>
      </c>
      <c r="H2224" s="2" t="s">
        <v>455</v>
      </c>
      <c r="I2224" s="2" t="s">
        <v>187</v>
      </c>
      <c r="J2224" s="3">
        <v>44433</v>
      </c>
      <c r="K2224" s="2">
        <v>73</v>
      </c>
      <c r="L2224" s="2" t="s">
        <v>101</v>
      </c>
    </row>
    <row r="2225" spans="1:12" x14ac:dyDescent="0.3">
      <c r="A2225" s="2">
        <v>2214</v>
      </c>
      <c r="B2225" s="2" t="s">
        <v>6109</v>
      </c>
      <c r="C2225" s="2" t="s">
        <v>696</v>
      </c>
      <c r="D2225" s="2" t="s">
        <v>15</v>
      </c>
      <c r="E2225" s="2" t="s">
        <v>16</v>
      </c>
      <c r="F2225" s="2">
        <v>30</v>
      </c>
      <c r="G2225" s="2" t="s">
        <v>6110</v>
      </c>
      <c r="H2225" s="2" t="s">
        <v>4899</v>
      </c>
      <c r="I2225" s="2" t="s">
        <v>100</v>
      </c>
      <c r="J2225" s="3">
        <v>43898</v>
      </c>
      <c r="K2225" s="2">
        <v>40</v>
      </c>
      <c r="L2225" s="2" t="s">
        <v>70</v>
      </c>
    </row>
    <row r="2226" spans="1:12" x14ac:dyDescent="0.3">
      <c r="A2226" s="2">
        <v>2215</v>
      </c>
      <c r="B2226" s="2" t="s">
        <v>2415</v>
      </c>
      <c r="C2226" s="2" t="s">
        <v>3029</v>
      </c>
      <c r="D2226" s="2" t="s">
        <v>28</v>
      </c>
      <c r="E2226" s="2" t="s">
        <v>29</v>
      </c>
      <c r="F2226" s="2">
        <v>30</v>
      </c>
      <c r="G2226" s="2" t="s">
        <v>6113</v>
      </c>
      <c r="H2226" s="2" t="s">
        <v>4358</v>
      </c>
      <c r="I2226" s="2" t="s">
        <v>146</v>
      </c>
      <c r="J2226" s="3">
        <v>44535</v>
      </c>
      <c r="K2226" s="2">
        <v>34</v>
      </c>
      <c r="L2226" s="2" t="s">
        <v>80</v>
      </c>
    </row>
    <row r="2227" spans="1:12" x14ac:dyDescent="0.3">
      <c r="A2227" s="2">
        <v>2216</v>
      </c>
      <c r="B2227" s="2" t="s">
        <v>6114</v>
      </c>
      <c r="C2227" s="2" t="s">
        <v>2132</v>
      </c>
      <c r="D2227" s="2" t="s">
        <v>15</v>
      </c>
      <c r="E2227" s="2" t="s">
        <v>16</v>
      </c>
      <c r="F2227" s="2">
        <v>60</v>
      </c>
      <c r="G2227" s="2" t="s">
        <v>6115</v>
      </c>
      <c r="H2227" s="2" t="s">
        <v>1362</v>
      </c>
      <c r="I2227" s="2" t="s">
        <v>178</v>
      </c>
      <c r="J2227" s="3">
        <v>44428</v>
      </c>
      <c r="K2227" s="2">
        <v>52</v>
      </c>
      <c r="L2227" s="2" t="s">
        <v>64</v>
      </c>
    </row>
    <row r="2228" spans="1:12" x14ac:dyDescent="0.3">
      <c r="A2228" s="2">
        <v>2217</v>
      </c>
      <c r="B2228" s="2" t="s">
        <v>6116</v>
      </c>
      <c r="C2228" s="2" t="s">
        <v>1341</v>
      </c>
      <c r="D2228" s="2" t="s">
        <v>51</v>
      </c>
      <c r="E2228" s="2" t="s">
        <v>16</v>
      </c>
      <c r="F2228" s="2">
        <v>30</v>
      </c>
      <c r="G2228" s="2" t="s">
        <v>6117</v>
      </c>
      <c r="H2228" s="2" t="s">
        <v>4085</v>
      </c>
      <c r="I2228" s="2" t="s">
        <v>240</v>
      </c>
      <c r="J2228" s="3">
        <v>44319</v>
      </c>
      <c r="K2228" s="2">
        <v>83</v>
      </c>
      <c r="L2228" s="2" t="s">
        <v>101</v>
      </c>
    </row>
    <row r="2229" spans="1:12" x14ac:dyDescent="0.3">
      <c r="A2229" s="2">
        <v>2218</v>
      </c>
      <c r="B2229" s="2" t="s">
        <v>1096</v>
      </c>
      <c r="C2229" s="2" t="s">
        <v>2051</v>
      </c>
      <c r="D2229" s="2" t="s">
        <v>28</v>
      </c>
      <c r="E2229" s="2" t="s">
        <v>29</v>
      </c>
      <c r="F2229" s="2">
        <v>30</v>
      </c>
      <c r="G2229" s="2" t="s">
        <v>6118</v>
      </c>
      <c r="H2229" s="2" t="s">
        <v>2717</v>
      </c>
      <c r="I2229" s="2" t="s">
        <v>1889</v>
      </c>
      <c r="J2229" s="3">
        <v>44050</v>
      </c>
      <c r="K2229" s="2">
        <v>52</v>
      </c>
      <c r="L2229" s="2" t="s">
        <v>80</v>
      </c>
    </row>
    <row r="2230" spans="1:12" x14ac:dyDescent="0.3">
      <c r="A2230" s="2">
        <v>2219</v>
      </c>
      <c r="B2230" s="2" t="s">
        <v>1293</v>
      </c>
      <c r="C2230" s="2" t="s">
        <v>5168</v>
      </c>
      <c r="D2230" s="2" t="s">
        <v>15</v>
      </c>
      <c r="E2230" s="2" t="s">
        <v>16</v>
      </c>
      <c r="F2230" s="2">
        <v>60</v>
      </c>
      <c r="G2230" s="2" t="s">
        <v>6119</v>
      </c>
      <c r="H2230" s="2" t="s">
        <v>483</v>
      </c>
      <c r="I2230" s="2" t="s">
        <v>32</v>
      </c>
      <c r="J2230" s="3">
        <v>44424</v>
      </c>
      <c r="K2230" s="2">
        <v>37</v>
      </c>
      <c r="L2230" s="2" t="s">
        <v>70</v>
      </c>
    </row>
    <row r="2231" spans="1:12" x14ac:dyDescent="0.3">
      <c r="A2231" s="2">
        <v>2220</v>
      </c>
      <c r="B2231" s="2" t="s">
        <v>4430</v>
      </c>
      <c r="C2231" s="2" t="s">
        <v>3905</v>
      </c>
      <c r="D2231" s="2" t="s">
        <v>28</v>
      </c>
      <c r="E2231" s="2" t="s">
        <v>29</v>
      </c>
      <c r="F2231" s="2">
        <v>90</v>
      </c>
      <c r="G2231" s="2" t="s">
        <v>6120</v>
      </c>
      <c r="H2231" s="2" t="s">
        <v>1391</v>
      </c>
      <c r="I2231" s="2" t="s">
        <v>32</v>
      </c>
      <c r="J2231" s="3">
        <v>44685</v>
      </c>
      <c r="K2231" s="2">
        <v>54</v>
      </c>
      <c r="L2231" s="2" t="s">
        <v>101</v>
      </c>
    </row>
    <row r="2232" spans="1:12" x14ac:dyDescent="0.3">
      <c r="A2232" s="2">
        <v>2221</v>
      </c>
      <c r="B2232" s="2" t="s">
        <v>1208</v>
      </c>
      <c r="C2232" s="2" t="s">
        <v>1997</v>
      </c>
      <c r="D2232" s="2" t="s">
        <v>28</v>
      </c>
      <c r="E2232" s="2" t="s">
        <v>29</v>
      </c>
      <c r="F2232" s="2">
        <v>30</v>
      </c>
      <c r="G2232" s="2" t="s">
        <v>6121</v>
      </c>
      <c r="H2232" s="2" t="s">
        <v>6122</v>
      </c>
      <c r="I2232" s="2" t="s">
        <v>25</v>
      </c>
      <c r="J2232" s="3">
        <v>44120</v>
      </c>
      <c r="K2232" s="2">
        <v>81</v>
      </c>
      <c r="L2232" s="2" t="s">
        <v>159</v>
      </c>
    </row>
    <row r="2233" spans="1:12" x14ac:dyDescent="0.3">
      <c r="A2233" s="2">
        <v>2222</v>
      </c>
      <c r="B2233" s="2" t="s">
        <v>5567</v>
      </c>
      <c r="C2233" s="2" t="s">
        <v>2167</v>
      </c>
      <c r="D2233" s="2" t="s">
        <v>28</v>
      </c>
      <c r="E2233" s="2" t="s">
        <v>29</v>
      </c>
      <c r="F2233" s="2">
        <v>30</v>
      </c>
      <c r="G2233" s="2" t="s">
        <v>6123</v>
      </c>
      <c r="H2233" s="2" t="s">
        <v>94</v>
      </c>
      <c r="I2233" s="2" t="s">
        <v>95</v>
      </c>
      <c r="J2233" s="3">
        <v>43901</v>
      </c>
      <c r="K2233" s="2">
        <v>26</v>
      </c>
      <c r="L2233" s="2" t="s">
        <v>80</v>
      </c>
    </row>
    <row r="2234" spans="1:12" x14ac:dyDescent="0.3">
      <c r="A2234" s="2">
        <v>2223</v>
      </c>
      <c r="B2234" s="2" t="s">
        <v>3955</v>
      </c>
      <c r="C2234" s="2" t="s">
        <v>2770</v>
      </c>
      <c r="D2234" s="2" t="s">
        <v>15</v>
      </c>
      <c r="E2234" s="2" t="s">
        <v>16</v>
      </c>
      <c r="F2234" s="2">
        <v>30</v>
      </c>
      <c r="G2234" s="2" t="s">
        <v>6124</v>
      </c>
      <c r="H2234" s="2" t="s">
        <v>186</v>
      </c>
      <c r="I2234" s="2" t="s">
        <v>187</v>
      </c>
      <c r="J2234" s="3">
        <v>44339</v>
      </c>
      <c r="K2234" s="2">
        <v>89</v>
      </c>
      <c r="L2234" s="2" t="s">
        <v>70</v>
      </c>
    </row>
    <row r="2235" spans="1:12" x14ac:dyDescent="0.3">
      <c r="A2235" s="2">
        <v>2224</v>
      </c>
      <c r="B2235" s="2" t="s">
        <v>843</v>
      </c>
      <c r="C2235" s="2" t="s">
        <v>3265</v>
      </c>
      <c r="D2235" s="2" t="s">
        <v>15</v>
      </c>
      <c r="E2235" s="2" t="s">
        <v>16</v>
      </c>
      <c r="F2235" s="2">
        <v>60</v>
      </c>
      <c r="G2235" s="2" t="s">
        <v>6125</v>
      </c>
      <c r="H2235" s="2" t="s">
        <v>4256</v>
      </c>
      <c r="I2235" s="2" t="s">
        <v>1454</v>
      </c>
      <c r="J2235" s="3">
        <v>44163</v>
      </c>
      <c r="K2235" s="2">
        <v>83</v>
      </c>
      <c r="L2235" s="2" t="s">
        <v>64</v>
      </c>
    </row>
    <row r="2236" spans="1:12" x14ac:dyDescent="0.3">
      <c r="A2236" s="2">
        <v>2225</v>
      </c>
      <c r="B2236" s="2" t="s">
        <v>6126</v>
      </c>
      <c r="C2236" s="2" t="s">
        <v>1714</v>
      </c>
      <c r="D2236" s="2" t="s">
        <v>28</v>
      </c>
      <c r="E2236" s="2" t="s">
        <v>29</v>
      </c>
      <c r="F2236" s="2">
        <v>60</v>
      </c>
      <c r="G2236" s="2" t="s">
        <v>6125</v>
      </c>
      <c r="H2236" s="2" t="s">
        <v>412</v>
      </c>
      <c r="I2236" s="2" t="s">
        <v>187</v>
      </c>
      <c r="J2236" s="3">
        <v>43956</v>
      </c>
      <c r="K2236" s="2">
        <v>18</v>
      </c>
      <c r="L2236" s="2" t="s">
        <v>20</v>
      </c>
    </row>
    <row r="2237" spans="1:12" x14ac:dyDescent="0.3">
      <c r="A2237" s="2">
        <v>2226</v>
      </c>
      <c r="B2237" s="2" t="s">
        <v>6127</v>
      </c>
      <c r="C2237" s="2" t="s">
        <v>6128</v>
      </c>
      <c r="D2237" s="2" t="s">
        <v>51</v>
      </c>
      <c r="E2237" s="2" t="s">
        <v>16</v>
      </c>
      <c r="F2237" s="2">
        <v>30</v>
      </c>
      <c r="G2237" s="2" t="s">
        <v>6129</v>
      </c>
      <c r="H2237" s="2" t="s">
        <v>1512</v>
      </c>
      <c r="I2237" s="2" t="s">
        <v>25</v>
      </c>
      <c r="J2237" s="3">
        <v>44092</v>
      </c>
      <c r="K2237" s="2">
        <v>55</v>
      </c>
      <c r="L2237" s="2" t="s">
        <v>80</v>
      </c>
    </row>
    <row r="2238" spans="1:12" x14ac:dyDescent="0.3">
      <c r="A2238" s="2">
        <v>2227</v>
      </c>
      <c r="B2238" s="2" t="s">
        <v>6130</v>
      </c>
      <c r="C2238" s="2" t="s">
        <v>6131</v>
      </c>
      <c r="D2238" s="2" t="s">
        <v>51</v>
      </c>
      <c r="E2238" s="2" t="s">
        <v>16</v>
      </c>
      <c r="F2238" s="2">
        <v>90</v>
      </c>
      <c r="G2238" s="2" t="s">
        <v>6132</v>
      </c>
      <c r="H2238" s="2" t="s">
        <v>6023</v>
      </c>
      <c r="I2238" s="2" t="s">
        <v>32</v>
      </c>
      <c r="J2238" s="3">
        <v>43976</v>
      </c>
      <c r="K2238" s="2">
        <v>22</v>
      </c>
      <c r="L2238" s="2" t="s">
        <v>159</v>
      </c>
    </row>
    <row r="2239" spans="1:12" x14ac:dyDescent="0.3">
      <c r="A2239" s="2">
        <v>2228</v>
      </c>
      <c r="B2239" s="2" t="s">
        <v>6133</v>
      </c>
      <c r="C2239" s="2" t="s">
        <v>6134</v>
      </c>
      <c r="D2239" s="2" t="s">
        <v>117</v>
      </c>
      <c r="E2239" s="2" t="s">
        <v>29</v>
      </c>
      <c r="F2239" s="2">
        <v>30</v>
      </c>
      <c r="G2239" s="2" t="s">
        <v>6135</v>
      </c>
      <c r="H2239" s="2" t="s">
        <v>655</v>
      </c>
      <c r="I2239" s="2" t="s">
        <v>32</v>
      </c>
      <c r="J2239" s="3">
        <v>44650</v>
      </c>
      <c r="K2239" s="2">
        <v>44</v>
      </c>
      <c r="L2239" s="2" t="s">
        <v>33</v>
      </c>
    </row>
    <row r="2240" spans="1:12" x14ac:dyDescent="0.3">
      <c r="A2240" s="2">
        <v>2229</v>
      </c>
      <c r="B2240" s="2" t="s">
        <v>6136</v>
      </c>
      <c r="C2240" s="2" t="s">
        <v>2485</v>
      </c>
      <c r="D2240" s="2" t="s">
        <v>51</v>
      </c>
      <c r="E2240" s="2" t="s">
        <v>16</v>
      </c>
      <c r="F2240" s="2">
        <v>60</v>
      </c>
      <c r="G2240" s="2" t="s">
        <v>6137</v>
      </c>
      <c r="H2240" s="2" t="s">
        <v>3774</v>
      </c>
      <c r="I2240" s="2" t="s">
        <v>187</v>
      </c>
      <c r="J2240" s="3">
        <v>44764</v>
      </c>
      <c r="K2240" s="2">
        <v>87</v>
      </c>
      <c r="L2240" s="2" t="s">
        <v>54</v>
      </c>
    </row>
    <row r="2241" spans="1:12" x14ac:dyDescent="0.3">
      <c r="A2241" s="2">
        <v>2230</v>
      </c>
      <c r="B2241" s="2" t="s">
        <v>6138</v>
      </c>
      <c r="C2241" s="2" t="s">
        <v>6139</v>
      </c>
      <c r="D2241" s="2" t="s">
        <v>41</v>
      </c>
      <c r="E2241" s="2" t="s">
        <v>16</v>
      </c>
      <c r="F2241" s="2">
        <v>90</v>
      </c>
      <c r="G2241" s="2" t="s">
        <v>6140</v>
      </c>
      <c r="H2241" s="2" t="s">
        <v>4030</v>
      </c>
      <c r="I2241" s="2" t="s">
        <v>32</v>
      </c>
      <c r="J2241" s="3">
        <v>44918</v>
      </c>
      <c r="K2241" s="2">
        <v>22</v>
      </c>
      <c r="L2241" s="2" t="s">
        <v>80</v>
      </c>
    </row>
    <row r="2242" spans="1:12" x14ac:dyDescent="0.3">
      <c r="A2242" s="2">
        <v>2231</v>
      </c>
      <c r="B2242" s="2" t="s">
        <v>6141</v>
      </c>
      <c r="C2242" s="2" t="s">
        <v>6142</v>
      </c>
      <c r="D2242" s="2" t="s">
        <v>41</v>
      </c>
      <c r="E2242" s="2" t="s">
        <v>16</v>
      </c>
      <c r="F2242" s="2">
        <v>60</v>
      </c>
      <c r="G2242" s="2" t="s">
        <v>6143</v>
      </c>
      <c r="H2242" s="2" t="s">
        <v>1131</v>
      </c>
      <c r="I2242" s="2" t="s">
        <v>32</v>
      </c>
      <c r="J2242" s="3">
        <v>44360</v>
      </c>
      <c r="K2242" s="2">
        <v>12</v>
      </c>
      <c r="L2242" s="2" t="s">
        <v>39</v>
      </c>
    </row>
    <row r="2243" spans="1:12" x14ac:dyDescent="0.3">
      <c r="A2243" s="2">
        <v>2232</v>
      </c>
      <c r="B2243" s="2" t="s">
        <v>6144</v>
      </c>
      <c r="C2243" s="2" t="s">
        <v>2951</v>
      </c>
      <c r="D2243" s="2" t="s">
        <v>28</v>
      </c>
      <c r="E2243" s="2" t="s">
        <v>29</v>
      </c>
      <c r="F2243" s="2">
        <v>30</v>
      </c>
      <c r="G2243" s="2" t="s">
        <v>6145</v>
      </c>
      <c r="H2243" s="2" t="s">
        <v>4713</v>
      </c>
      <c r="I2243" s="2" t="s">
        <v>294</v>
      </c>
      <c r="J2243" s="3">
        <v>44616</v>
      </c>
      <c r="K2243" s="2">
        <v>73</v>
      </c>
      <c r="L2243" s="2" t="s">
        <v>159</v>
      </c>
    </row>
    <row r="2244" spans="1:12" x14ac:dyDescent="0.3">
      <c r="A2244" s="2">
        <v>2233</v>
      </c>
      <c r="B2244" s="2" t="s">
        <v>127</v>
      </c>
      <c r="C2244" s="2" t="s">
        <v>6146</v>
      </c>
      <c r="D2244" s="2" t="s">
        <v>28</v>
      </c>
      <c r="E2244" s="2" t="s">
        <v>29</v>
      </c>
      <c r="F2244" s="2">
        <v>30</v>
      </c>
      <c r="G2244" s="2" t="s">
        <v>6147</v>
      </c>
      <c r="H2244" s="2" t="s">
        <v>6148</v>
      </c>
      <c r="I2244" s="2" t="s">
        <v>110</v>
      </c>
      <c r="J2244" s="3">
        <v>44011</v>
      </c>
      <c r="K2244" s="2">
        <v>58</v>
      </c>
      <c r="L2244" s="2" t="s">
        <v>159</v>
      </c>
    </row>
    <row r="2245" spans="1:12" x14ac:dyDescent="0.3">
      <c r="A2245" s="2">
        <v>2234</v>
      </c>
      <c r="B2245" s="2" t="s">
        <v>6149</v>
      </c>
      <c r="C2245" s="2" t="s">
        <v>5428</v>
      </c>
      <c r="D2245" s="2" t="s">
        <v>28</v>
      </c>
      <c r="E2245" s="2" t="s">
        <v>29</v>
      </c>
      <c r="F2245" s="2">
        <v>30</v>
      </c>
      <c r="G2245" s="2" t="s">
        <v>6152</v>
      </c>
      <c r="H2245" s="2" t="s">
        <v>655</v>
      </c>
      <c r="I2245" s="2" t="s">
        <v>32</v>
      </c>
      <c r="J2245" s="3">
        <v>44014</v>
      </c>
      <c r="K2245" s="2">
        <v>31</v>
      </c>
      <c r="L2245" s="2" t="s">
        <v>33</v>
      </c>
    </row>
    <row r="2246" spans="1:12" x14ac:dyDescent="0.3">
      <c r="A2246" s="2">
        <v>2235</v>
      </c>
      <c r="B2246" s="2" t="s">
        <v>6151</v>
      </c>
      <c r="C2246" s="2" t="s">
        <v>4561</v>
      </c>
      <c r="D2246" s="2" t="s">
        <v>28</v>
      </c>
      <c r="E2246" s="2" t="s">
        <v>29</v>
      </c>
      <c r="F2246" s="2">
        <v>30</v>
      </c>
      <c r="G2246" s="2" t="s">
        <v>6152</v>
      </c>
      <c r="H2246" s="2" t="s">
        <v>1948</v>
      </c>
      <c r="I2246" s="2" t="s">
        <v>25</v>
      </c>
      <c r="J2246" s="3">
        <v>44583</v>
      </c>
      <c r="K2246" s="2">
        <v>74</v>
      </c>
      <c r="L2246" s="2" t="s">
        <v>54</v>
      </c>
    </row>
    <row r="2247" spans="1:12" x14ac:dyDescent="0.3">
      <c r="A2247" s="2">
        <v>2236</v>
      </c>
      <c r="B2247" s="2" t="s">
        <v>5834</v>
      </c>
      <c r="C2247" s="2" t="s">
        <v>2806</v>
      </c>
      <c r="D2247" s="2" t="s">
        <v>15</v>
      </c>
      <c r="E2247" s="2" t="s">
        <v>16</v>
      </c>
      <c r="F2247" s="2">
        <v>30</v>
      </c>
      <c r="G2247" s="2" t="s">
        <v>10521</v>
      </c>
      <c r="H2247" s="2" t="s">
        <v>6154</v>
      </c>
      <c r="I2247" s="2" t="s">
        <v>38</v>
      </c>
      <c r="J2247" s="3">
        <v>44253</v>
      </c>
      <c r="K2247" s="2">
        <v>30</v>
      </c>
      <c r="L2247" s="2" t="s">
        <v>159</v>
      </c>
    </row>
    <row r="2248" spans="1:12" x14ac:dyDescent="0.3">
      <c r="A2248" s="2">
        <v>2237</v>
      </c>
      <c r="B2248" s="2" t="s">
        <v>4599</v>
      </c>
      <c r="C2248" s="2" t="s">
        <v>3935</v>
      </c>
      <c r="D2248" s="2" t="s">
        <v>28</v>
      </c>
      <c r="E2248" s="2" t="s">
        <v>29</v>
      </c>
      <c r="F2248" s="2">
        <v>90</v>
      </c>
      <c r="G2248" s="2" t="s">
        <v>6155</v>
      </c>
      <c r="H2248" s="2" t="s">
        <v>1548</v>
      </c>
      <c r="I2248" s="2" t="s">
        <v>1549</v>
      </c>
      <c r="J2248" s="3">
        <v>44166</v>
      </c>
      <c r="K2248" s="2">
        <v>73</v>
      </c>
      <c r="L2248" s="2" t="s">
        <v>159</v>
      </c>
    </row>
    <row r="2249" spans="1:12" x14ac:dyDescent="0.3">
      <c r="A2249" s="2">
        <v>2238</v>
      </c>
      <c r="B2249" s="2" t="s">
        <v>3548</v>
      </c>
      <c r="C2249" s="2" t="s">
        <v>3997</v>
      </c>
      <c r="D2249" s="2" t="s">
        <v>28</v>
      </c>
      <c r="E2249" s="2" t="s">
        <v>29</v>
      </c>
      <c r="F2249" s="2">
        <v>30</v>
      </c>
      <c r="G2249" s="2" t="s">
        <v>6156</v>
      </c>
      <c r="H2249" s="2" t="s">
        <v>1896</v>
      </c>
      <c r="I2249" s="2" t="s">
        <v>294</v>
      </c>
      <c r="J2249" s="3">
        <v>44442</v>
      </c>
      <c r="K2249" s="2">
        <v>75</v>
      </c>
      <c r="L2249" s="2" t="s">
        <v>64</v>
      </c>
    </row>
    <row r="2250" spans="1:12" x14ac:dyDescent="0.3">
      <c r="A2250" s="2">
        <v>2239</v>
      </c>
      <c r="B2250" s="2" t="s">
        <v>899</v>
      </c>
      <c r="C2250" s="2" t="s">
        <v>3509</v>
      </c>
      <c r="D2250" s="2" t="s">
        <v>28</v>
      </c>
      <c r="E2250" s="2" t="s">
        <v>29</v>
      </c>
      <c r="F2250" s="2">
        <v>90</v>
      </c>
      <c r="G2250" s="2" t="s">
        <v>6157</v>
      </c>
      <c r="H2250" s="2" t="s">
        <v>946</v>
      </c>
      <c r="I2250" s="2" t="s">
        <v>947</v>
      </c>
      <c r="J2250" s="3">
        <v>43860</v>
      </c>
      <c r="K2250" s="2">
        <v>48</v>
      </c>
      <c r="L2250" s="2" t="s">
        <v>70</v>
      </c>
    </row>
    <row r="2251" spans="1:12" x14ac:dyDescent="0.3">
      <c r="A2251" s="2">
        <v>2240</v>
      </c>
      <c r="B2251" s="2" t="s">
        <v>6158</v>
      </c>
      <c r="C2251" s="2" t="s">
        <v>1682</v>
      </c>
      <c r="D2251" s="2" t="s">
        <v>51</v>
      </c>
      <c r="E2251" s="2" t="s">
        <v>16</v>
      </c>
      <c r="F2251" s="2">
        <v>90</v>
      </c>
      <c r="G2251" s="2" t="s">
        <v>6159</v>
      </c>
      <c r="H2251" s="2" t="s">
        <v>3365</v>
      </c>
      <c r="I2251" s="2" t="s">
        <v>146</v>
      </c>
      <c r="J2251" s="3">
        <v>44012</v>
      </c>
      <c r="K2251" s="2">
        <v>6</v>
      </c>
      <c r="L2251" s="2" t="s">
        <v>159</v>
      </c>
    </row>
    <row r="2252" spans="1:12" x14ac:dyDescent="0.3">
      <c r="A2252" s="2">
        <v>2241</v>
      </c>
      <c r="B2252" s="2" t="s">
        <v>2480</v>
      </c>
      <c r="C2252" s="2" t="s">
        <v>2922</v>
      </c>
      <c r="D2252" s="2" t="s">
        <v>15</v>
      </c>
      <c r="E2252" s="2" t="s">
        <v>16</v>
      </c>
      <c r="F2252" s="2">
        <v>30</v>
      </c>
      <c r="G2252" s="2" t="s">
        <v>6160</v>
      </c>
      <c r="H2252" s="2" t="s">
        <v>1333</v>
      </c>
      <c r="I2252" s="2" t="s">
        <v>294</v>
      </c>
      <c r="J2252" s="3">
        <v>44877</v>
      </c>
      <c r="K2252" s="2">
        <v>93</v>
      </c>
      <c r="L2252" s="2" t="s">
        <v>64</v>
      </c>
    </row>
    <row r="2253" spans="1:12" x14ac:dyDescent="0.3">
      <c r="A2253" s="2">
        <v>2242</v>
      </c>
      <c r="B2253" s="2" t="s">
        <v>6161</v>
      </c>
      <c r="C2253" s="2" t="s">
        <v>588</v>
      </c>
      <c r="D2253" s="2" t="s">
        <v>51</v>
      </c>
      <c r="E2253" s="2" t="s">
        <v>16</v>
      </c>
      <c r="F2253" s="2">
        <v>60</v>
      </c>
      <c r="G2253" s="2" t="s">
        <v>6162</v>
      </c>
      <c r="H2253" s="2" t="s">
        <v>1095</v>
      </c>
      <c r="I2253" s="2" t="s">
        <v>178</v>
      </c>
      <c r="J2253" s="3">
        <v>43889</v>
      </c>
      <c r="K2253" s="2">
        <v>23</v>
      </c>
      <c r="L2253" s="2" t="s">
        <v>54</v>
      </c>
    </row>
    <row r="2254" spans="1:12" x14ac:dyDescent="0.3">
      <c r="A2254" s="2">
        <v>2243</v>
      </c>
      <c r="B2254" s="2" t="s">
        <v>2263</v>
      </c>
      <c r="C2254" s="2" t="s">
        <v>4481</v>
      </c>
      <c r="D2254" s="2" t="s">
        <v>15</v>
      </c>
      <c r="E2254" s="2" t="s">
        <v>16</v>
      </c>
      <c r="F2254" s="2">
        <v>30</v>
      </c>
      <c r="G2254" s="2" t="s">
        <v>6163</v>
      </c>
      <c r="H2254" s="2" t="s">
        <v>2875</v>
      </c>
      <c r="I2254" s="2" t="s">
        <v>32</v>
      </c>
      <c r="J2254" s="3">
        <v>44777</v>
      </c>
      <c r="K2254" s="2">
        <v>59</v>
      </c>
      <c r="L2254" s="2" t="s">
        <v>70</v>
      </c>
    </row>
    <row r="2255" spans="1:12" x14ac:dyDescent="0.3">
      <c r="A2255" s="2">
        <v>2244</v>
      </c>
      <c r="B2255" s="2" t="s">
        <v>1998</v>
      </c>
      <c r="C2255" s="2" t="s">
        <v>1779</v>
      </c>
      <c r="D2255" s="2" t="s">
        <v>28</v>
      </c>
      <c r="E2255" s="2" t="s">
        <v>29</v>
      </c>
      <c r="F2255" s="2">
        <v>30</v>
      </c>
      <c r="G2255" s="2" t="s">
        <v>10438</v>
      </c>
      <c r="H2255" s="2" t="s">
        <v>908</v>
      </c>
      <c r="I2255" s="2" t="s">
        <v>575</v>
      </c>
      <c r="J2255" s="3">
        <v>44800</v>
      </c>
      <c r="K2255" s="2">
        <v>36</v>
      </c>
      <c r="L2255" s="2" t="s">
        <v>39</v>
      </c>
    </row>
    <row r="2256" spans="1:12" x14ac:dyDescent="0.3">
      <c r="A2256" s="2">
        <v>2245</v>
      </c>
      <c r="B2256" s="2" t="s">
        <v>6165</v>
      </c>
      <c r="C2256" s="2" t="s">
        <v>2690</v>
      </c>
      <c r="D2256" s="2" t="s">
        <v>51</v>
      </c>
      <c r="E2256" s="2" t="s">
        <v>16</v>
      </c>
      <c r="F2256" s="2">
        <v>60</v>
      </c>
      <c r="G2256" s="2" t="s">
        <v>10438</v>
      </c>
      <c r="H2256" s="2" t="s">
        <v>5340</v>
      </c>
      <c r="I2256" s="2" t="s">
        <v>32</v>
      </c>
      <c r="J2256" s="3">
        <v>43925</v>
      </c>
      <c r="K2256" s="2">
        <v>27</v>
      </c>
      <c r="L2256" s="2" t="s">
        <v>70</v>
      </c>
    </row>
    <row r="2257" spans="1:12" x14ac:dyDescent="0.3">
      <c r="A2257" s="2">
        <v>2246</v>
      </c>
      <c r="B2257" s="2" t="s">
        <v>6166</v>
      </c>
      <c r="C2257" s="2" t="s">
        <v>2422</v>
      </c>
      <c r="D2257" s="2" t="s">
        <v>28</v>
      </c>
      <c r="E2257" s="2" t="s">
        <v>29</v>
      </c>
      <c r="F2257" s="2">
        <v>60</v>
      </c>
      <c r="G2257" s="2" t="s">
        <v>6167</v>
      </c>
      <c r="H2257" s="2" t="s">
        <v>6168</v>
      </c>
      <c r="I2257" s="2" t="s">
        <v>294</v>
      </c>
      <c r="J2257" s="3">
        <v>43963</v>
      </c>
      <c r="K2257" s="2">
        <v>25</v>
      </c>
      <c r="L2257" s="2" t="s">
        <v>159</v>
      </c>
    </row>
    <row r="2258" spans="1:12" x14ac:dyDescent="0.3">
      <c r="A2258" s="2">
        <v>2247</v>
      </c>
      <c r="B2258" s="2" t="s">
        <v>1065</v>
      </c>
      <c r="C2258" s="2" t="s">
        <v>6169</v>
      </c>
      <c r="D2258" s="2" t="s">
        <v>28</v>
      </c>
      <c r="E2258" s="2" t="s">
        <v>29</v>
      </c>
      <c r="F2258" s="2">
        <v>90</v>
      </c>
      <c r="G2258" s="2" t="s">
        <v>6167</v>
      </c>
      <c r="H2258" s="2" t="s">
        <v>5069</v>
      </c>
      <c r="I2258" s="2" t="s">
        <v>32</v>
      </c>
      <c r="J2258" s="3">
        <v>44769</v>
      </c>
      <c r="K2258" s="2">
        <v>37</v>
      </c>
      <c r="L2258" s="2" t="s">
        <v>101</v>
      </c>
    </row>
    <row r="2259" spans="1:12" x14ac:dyDescent="0.3">
      <c r="A2259" s="2">
        <v>2248</v>
      </c>
      <c r="B2259" s="2" t="s">
        <v>6170</v>
      </c>
      <c r="C2259" s="2" t="s">
        <v>5541</v>
      </c>
      <c r="D2259" s="2" t="s">
        <v>28</v>
      </c>
      <c r="E2259" s="2" t="s">
        <v>29</v>
      </c>
      <c r="F2259" s="2">
        <v>30</v>
      </c>
      <c r="G2259" s="2" t="s">
        <v>6171</v>
      </c>
      <c r="H2259" s="2" t="s">
        <v>1190</v>
      </c>
      <c r="I2259" s="2" t="s">
        <v>173</v>
      </c>
      <c r="J2259" s="3">
        <v>43988</v>
      </c>
      <c r="K2259" s="2">
        <v>16</v>
      </c>
      <c r="L2259" s="2" t="s">
        <v>54</v>
      </c>
    </row>
    <row r="2260" spans="1:12" x14ac:dyDescent="0.3">
      <c r="A2260" s="2">
        <v>2249</v>
      </c>
      <c r="B2260" s="2" t="s">
        <v>6172</v>
      </c>
      <c r="C2260" s="2" t="s">
        <v>354</v>
      </c>
      <c r="D2260" s="2" t="s">
        <v>28</v>
      </c>
      <c r="E2260" s="2" t="s">
        <v>29</v>
      </c>
      <c r="F2260" s="2">
        <v>90</v>
      </c>
      <c r="G2260" s="2" t="s">
        <v>6173</v>
      </c>
      <c r="H2260" s="2" t="s">
        <v>1103</v>
      </c>
      <c r="I2260" s="2" t="s">
        <v>25</v>
      </c>
      <c r="J2260" s="3">
        <v>44230</v>
      </c>
      <c r="K2260" s="2">
        <v>49</v>
      </c>
      <c r="L2260" s="2" t="s">
        <v>80</v>
      </c>
    </row>
    <row r="2261" spans="1:12" x14ac:dyDescent="0.3">
      <c r="A2261" s="2">
        <v>2250</v>
      </c>
      <c r="B2261" s="2" t="s">
        <v>3256</v>
      </c>
      <c r="C2261" s="2" t="s">
        <v>5519</v>
      </c>
      <c r="D2261" s="2" t="s">
        <v>28</v>
      </c>
      <c r="E2261" s="2" t="s">
        <v>29</v>
      </c>
      <c r="F2261" s="2">
        <v>60</v>
      </c>
      <c r="G2261" s="2" t="s">
        <v>6174</v>
      </c>
      <c r="H2261" s="2" t="s">
        <v>4867</v>
      </c>
      <c r="I2261" s="2" t="s">
        <v>294</v>
      </c>
      <c r="J2261" s="3">
        <v>44534</v>
      </c>
      <c r="K2261" s="2">
        <v>2</v>
      </c>
      <c r="L2261" s="2" t="s">
        <v>39</v>
      </c>
    </row>
    <row r="2262" spans="1:12" x14ac:dyDescent="0.3">
      <c r="A2262" s="2">
        <v>2251</v>
      </c>
      <c r="B2262" s="2" t="s">
        <v>2734</v>
      </c>
      <c r="C2262" s="2" t="s">
        <v>4042</v>
      </c>
      <c r="D2262" s="2" t="s">
        <v>41</v>
      </c>
      <c r="E2262" s="2" t="s">
        <v>16</v>
      </c>
      <c r="F2262" s="2">
        <v>30</v>
      </c>
      <c r="G2262" s="2" t="s">
        <v>6175</v>
      </c>
      <c r="H2262" s="2" t="s">
        <v>3169</v>
      </c>
      <c r="I2262" s="2" t="s">
        <v>110</v>
      </c>
      <c r="J2262" s="3">
        <v>44114</v>
      </c>
      <c r="K2262" s="2">
        <v>26</v>
      </c>
      <c r="L2262" s="2" t="s">
        <v>54</v>
      </c>
    </row>
    <row r="2263" spans="1:12" x14ac:dyDescent="0.3">
      <c r="A2263" s="2">
        <v>2252</v>
      </c>
      <c r="B2263" s="2" t="s">
        <v>6176</v>
      </c>
      <c r="C2263" s="2" t="s">
        <v>4766</v>
      </c>
      <c r="D2263" s="2" t="s">
        <v>28</v>
      </c>
      <c r="E2263" s="2" t="s">
        <v>29</v>
      </c>
      <c r="F2263" s="2">
        <v>90</v>
      </c>
      <c r="G2263" s="2" t="s">
        <v>6177</v>
      </c>
      <c r="H2263" s="2" t="s">
        <v>2069</v>
      </c>
      <c r="I2263" s="2" t="s">
        <v>1035</v>
      </c>
      <c r="J2263" s="3">
        <v>44255</v>
      </c>
      <c r="K2263" s="2">
        <v>10</v>
      </c>
      <c r="L2263" s="2" t="s">
        <v>20</v>
      </c>
    </row>
    <row r="2264" spans="1:12" x14ac:dyDescent="0.3">
      <c r="A2264" s="2">
        <v>2253</v>
      </c>
      <c r="B2264" s="2" t="s">
        <v>2520</v>
      </c>
      <c r="C2264" s="2" t="s">
        <v>1376</v>
      </c>
      <c r="D2264" s="2" t="s">
        <v>28</v>
      </c>
      <c r="E2264" s="2" t="s">
        <v>29</v>
      </c>
      <c r="F2264" s="2">
        <v>90</v>
      </c>
      <c r="G2264" s="2" t="s">
        <v>6178</v>
      </c>
      <c r="H2264" s="2" t="s">
        <v>1206</v>
      </c>
      <c r="I2264" s="2" t="s">
        <v>294</v>
      </c>
      <c r="J2264" s="3">
        <v>44205</v>
      </c>
      <c r="K2264" s="2">
        <v>65</v>
      </c>
      <c r="L2264" s="2" t="s">
        <v>80</v>
      </c>
    </row>
    <row r="2265" spans="1:12" x14ac:dyDescent="0.3">
      <c r="A2265" s="2">
        <v>2254</v>
      </c>
      <c r="B2265" s="2" t="s">
        <v>2760</v>
      </c>
      <c r="C2265" s="2" t="s">
        <v>512</v>
      </c>
      <c r="D2265" s="2" t="s">
        <v>15</v>
      </c>
      <c r="E2265" s="2" t="s">
        <v>16</v>
      </c>
      <c r="F2265" s="2">
        <v>60</v>
      </c>
      <c r="G2265" s="2" t="s">
        <v>6179</v>
      </c>
      <c r="H2265" s="2" t="s">
        <v>5603</v>
      </c>
      <c r="I2265" s="2" t="s">
        <v>32</v>
      </c>
      <c r="J2265" s="3">
        <v>44267</v>
      </c>
      <c r="K2265" s="2">
        <v>35</v>
      </c>
      <c r="L2265" s="2" t="s">
        <v>54</v>
      </c>
    </row>
    <row r="2266" spans="1:12" x14ac:dyDescent="0.3">
      <c r="A2266" s="2">
        <v>2255</v>
      </c>
      <c r="B2266" s="2" t="s">
        <v>4018</v>
      </c>
      <c r="C2266" s="2" t="s">
        <v>4322</v>
      </c>
      <c r="D2266" s="2" t="s">
        <v>28</v>
      </c>
      <c r="E2266" s="2" t="s">
        <v>29</v>
      </c>
      <c r="F2266" s="2">
        <v>90</v>
      </c>
      <c r="G2266" s="2" t="s">
        <v>6180</v>
      </c>
      <c r="H2266" s="2" t="s">
        <v>6181</v>
      </c>
      <c r="I2266" s="2" t="s">
        <v>32</v>
      </c>
      <c r="J2266" s="3">
        <v>44803</v>
      </c>
      <c r="K2266" s="2">
        <v>18</v>
      </c>
      <c r="L2266" s="2" t="s">
        <v>45</v>
      </c>
    </row>
    <row r="2267" spans="1:12" x14ac:dyDescent="0.3">
      <c r="A2267" s="2">
        <v>2256</v>
      </c>
      <c r="B2267" s="2" t="s">
        <v>2634</v>
      </c>
      <c r="C2267" s="2" t="s">
        <v>4116</v>
      </c>
      <c r="D2267" s="2" t="s">
        <v>15</v>
      </c>
      <c r="E2267" s="2" t="s">
        <v>16</v>
      </c>
      <c r="F2267" s="2">
        <v>60</v>
      </c>
      <c r="G2267" s="2" t="s">
        <v>6182</v>
      </c>
      <c r="H2267" s="2" t="s">
        <v>5637</v>
      </c>
      <c r="I2267" s="2" t="s">
        <v>32</v>
      </c>
      <c r="J2267" s="3">
        <v>43938</v>
      </c>
      <c r="K2267" s="2">
        <v>25</v>
      </c>
      <c r="L2267" s="2" t="s">
        <v>70</v>
      </c>
    </row>
    <row r="2268" spans="1:12" x14ac:dyDescent="0.3">
      <c r="A2268" s="2">
        <v>2257</v>
      </c>
      <c r="B2268" s="2" t="s">
        <v>6183</v>
      </c>
      <c r="C2268" s="2" t="s">
        <v>3071</v>
      </c>
      <c r="D2268" s="2" t="s">
        <v>51</v>
      </c>
      <c r="E2268" s="2" t="s">
        <v>16</v>
      </c>
      <c r="F2268" s="2">
        <v>90</v>
      </c>
      <c r="G2268" s="2" t="s">
        <v>10439</v>
      </c>
      <c r="H2268" s="2" t="s">
        <v>1477</v>
      </c>
      <c r="I2268" s="2" t="s">
        <v>1478</v>
      </c>
      <c r="J2268" s="3">
        <v>44336</v>
      </c>
      <c r="K2268" s="2">
        <v>68</v>
      </c>
      <c r="L2268" s="2" t="s">
        <v>70</v>
      </c>
    </row>
    <row r="2269" spans="1:12" x14ac:dyDescent="0.3">
      <c r="A2269" s="2">
        <v>2258</v>
      </c>
      <c r="B2269" s="2" t="s">
        <v>3325</v>
      </c>
      <c r="C2269" s="2" t="s">
        <v>651</v>
      </c>
      <c r="D2269" s="2" t="s">
        <v>28</v>
      </c>
      <c r="E2269" s="2" t="s">
        <v>29</v>
      </c>
      <c r="F2269" s="2">
        <v>60</v>
      </c>
      <c r="G2269" s="2" t="s">
        <v>10522</v>
      </c>
      <c r="H2269" s="2" t="s">
        <v>5631</v>
      </c>
      <c r="I2269" s="2" t="s">
        <v>129</v>
      </c>
      <c r="J2269" s="3">
        <v>44484</v>
      </c>
      <c r="K2269" s="2">
        <v>17</v>
      </c>
      <c r="L2269" s="2" t="s">
        <v>54</v>
      </c>
    </row>
    <row r="2270" spans="1:12" x14ac:dyDescent="0.3">
      <c r="A2270" s="2">
        <v>2259</v>
      </c>
      <c r="B2270" s="2" t="s">
        <v>6186</v>
      </c>
      <c r="C2270" s="2" t="s">
        <v>4490</v>
      </c>
      <c r="D2270" s="2" t="s">
        <v>28</v>
      </c>
      <c r="E2270" s="2" t="s">
        <v>29</v>
      </c>
      <c r="F2270" s="2">
        <v>90</v>
      </c>
      <c r="G2270" s="2" t="s">
        <v>10523</v>
      </c>
      <c r="H2270" s="2" t="s">
        <v>698</v>
      </c>
      <c r="I2270" s="2" t="s">
        <v>213</v>
      </c>
      <c r="J2270" s="3">
        <v>44648</v>
      </c>
      <c r="K2270" s="2">
        <v>105</v>
      </c>
      <c r="L2270" s="2" t="s">
        <v>64</v>
      </c>
    </row>
    <row r="2271" spans="1:12" x14ac:dyDescent="0.3">
      <c r="A2271" s="2">
        <v>2260</v>
      </c>
      <c r="B2271" s="2" t="s">
        <v>6188</v>
      </c>
      <c r="C2271" s="2" t="s">
        <v>5554</v>
      </c>
      <c r="D2271" s="2" t="s">
        <v>51</v>
      </c>
      <c r="E2271" s="2" t="s">
        <v>16</v>
      </c>
      <c r="F2271" s="2">
        <v>90</v>
      </c>
      <c r="G2271" s="2" t="s">
        <v>6189</v>
      </c>
      <c r="H2271" s="2" t="s">
        <v>4598</v>
      </c>
      <c r="I2271" s="2" t="s">
        <v>187</v>
      </c>
      <c r="J2271" s="3">
        <v>44718</v>
      </c>
      <c r="K2271" s="2">
        <v>75</v>
      </c>
      <c r="L2271" s="2" t="s">
        <v>101</v>
      </c>
    </row>
    <row r="2272" spans="1:12" x14ac:dyDescent="0.3">
      <c r="A2272" s="2">
        <v>2261</v>
      </c>
      <c r="B2272" s="2" t="s">
        <v>751</v>
      </c>
      <c r="C2272" s="2" t="s">
        <v>6190</v>
      </c>
      <c r="D2272" s="2" t="s">
        <v>28</v>
      </c>
      <c r="E2272" s="2" t="s">
        <v>29</v>
      </c>
      <c r="F2272" s="2">
        <v>60</v>
      </c>
      <c r="G2272" s="2" t="s">
        <v>6191</v>
      </c>
      <c r="H2272" s="2" t="s">
        <v>5667</v>
      </c>
      <c r="I2272" s="2" t="s">
        <v>32</v>
      </c>
      <c r="J2272" s="3">
        <v>44625</v>
      </c>
      <c r="K2272" s="2">
        <v>96</v>
      </c>
      <c r="L2272" s="2" t="s">
        <v>45</v>
      </c>
    </row>
    <row r="2273" spans="1:12" x14ac:dyDescent="0.3">
      <c r="A2273" s="2">
        <v>2262</v>
      </c>
      <c r="B2273" s="2" t="s">
        <v>6192</v>
      </c>
      <c r="C2273" s="2" t="s">
        <v>2145</v>
      </c>
      <c r="D2273" s="2" t="s">
        <v>51</v>
      </c>
      <c r="E2273" s="2" t="s">
        <v>16</v>
      </c>
      <c r="F2273" s="2">
        <v>90</v>
      </c>
      <c r="G2273" s="2" t="s">
        <v>6193</v>
      </c>
      <c r="H2273" s="2" t="s">
        <v>5025</v>
      </c>
      <c r="I2273" s="2" t="s">
        <v>32</v>
      </c>
      <c r="J2273" s="3">
        <v>44734</v>
      </c>
      <c r="K2273" s="2">
        <v>50</v>
      </c>
      <c r="L2273" s="2" t="s">
        <v>159</v>
      </c>
    </row>
    <row r="2274" spans="1:12" x14ac:dyDescent="0.3">
      <c r="A2274" s="2">
        <v>2263</v>
      </c>
      <c r="B2274" s="2" t="s">
        <v>6194</v>
      </c>
      <c r="C2274" s="2" t="s">
        <v>3341</v>
      </c>
      <c r="D2274" s="2" t="s">
        <v>51</v>
      </c>
      <c r="E2274" s="2" t="s">
        <v>16</v>
      </c>
      <c r="F2274" s="2">
        <v>30</v>
      </c>
      <c r="G2274" s="2" t="s">
        <v>6195</v>
      </c>
      <c r="H2274" s="2" t="s">
        <v>168</v>
      </c>
      <c r="I2274" s="2" t="s">
        <v>32</v>
      </c>
      <c r="J2274" s="3">
        <v>44351</v>
      </c>
      <c r="K2274" s="2">
        <v>52</v>
      </c>
      <c r="L2274" s="2" t="s">
        <v>20</v>
      </c>
    </row>
    <row r="2275" spans="1:12" x14ac:dyDescent="0.3">
      <c r="A2275" s="2">
        <v>2264</v>
      </c>
      <c r="B2275" s="2" t="s">
        <v>6196</v>
      </c>
      <c r="C2275" s="2" t="s">
        <v>3614</v>
      </c>
      <c r="D2275" s="2" t="s">
        <v>51</v>
      </c>
      <c r="E2275" s="2" t="s">
        <v>16</v>
      </c>
      <c r="F2275" s="2">
        <v>60</v>
      </c>
      <c r="G2275" s="2" t="s">
        <v>10524</v>
      </c>
      <c r="H2275" s="2" t="s">
        <v>1412</v>
      </c>
      <c r="I2275" s="2" t="s">
        <v>1413</v>
      </c>
      <c r="J2275" s="3">
        <v>44022</v>
      </c>
      <c r="K2275" s="2">
        <v>60</v>
      </c>
      <c r="L2275" s="2" t="s">
        <v>39</v>
      </c>
    </row>
    <row r="2276" spans="1:12" x14ac:dyDescent="0.3">
      <c r="A2276" s="2">
        <v>2265</v>
      </c>
      <c r="B2276" s="2" t="s">
        <v>6198</v>
      </c>
      <c r="C2276" s="2" t="s">
        <v>3011</v>
      </c>
      <c r="D2276" s="2" t="s">
        <v>28</v>
      </c>
      <c r="E2276" s="2" t="s">
        <v>29</v>
      </c>
      <c r="F2276" s="2">
        <v>60</v>
      </c>
      <c r="G2276" s="2" t="s">
        <v>6199</v>
      </c>
      <c r="H2276" s="2" t="s">
        <v>5711</v>
      </c>
      <c r="I2276" s="2" t="s">
        <v>25</v>
      </c>
      <c r="J2276" s="3">
        <v>44656</v>
      </c>
      <c r="K2276" s="2">
        <v>64</v>
      </c>
      <c r="L2276" s="2" t="s">
        <v>45</v>
      </c>
    </row>
    <row r="2277" spans="1:12" x14ac:dyDescent="0.3">
      <c r="A2277" s="2">
        <v>2266</v>
      </c>
      <c r="B2277" s="2" t="s">
        <v>4401</v>
      </c>
      <c r="C2277" s="2" t="s">
        <v>6200</v>
      </c>
      <c r="D2277" s="2" t="s">
        <v>28</v>
      </c>
      <c r="E2277" s="2" t="s">
        <v>29</v>
      </c>
      <c r="F2277" s="2">
        <v>90</v>
      </c>
      <c r="G2277" s="2" t="s">
        <v>6201</v>
      </c>
      <c r="H2277" s="2" t="s">
        <v>6202</v>
      </c>
      <c r="I2277" s="2" t="s">
        <v>294</v>
      </c>
      <c r="J2277" s="3">
        <v>44402</v>
      </c>
      <c r="K2277" s="2">
        <v>62</v>
      </c>
      <c r="L2277" s="2" t="s">
        <v>159</v>
      </c>
    </row>
    <row r="2278" spans="1:12" x14ac:dyDescent="0.3">
      <c r="A2278" s="2">
        <v>2267</v>
      </c>
      <c r="B2278" s="2" t="s">
        <v>6203</v>
      </c>
      <c r="C2278" s="2" t="s">
        <v>6204</v>
      </c>
      <c r="D2278" s="2" t="s">
        <v>28</v>
      </c>
      <c r="E2278" s="2" t="s">
        <v>29</v>
      </c>
      <c r="F2278" s="2">
        <v>90</v>
      </c>
      <c r="G2278" s="2" t="s">
        <v>6205</v>
      </c>
      <c r="H2278" s="2" t="s">
        <v>3909</v>
      </c>
      <c r="I2278" s="2" t="s">
        <v>32</v>
      </c>
      <c r="J2278" s="3">
        <v>43949</v>
      </c>
      <c r="K2278" s="2">
        <v>81</v>
      </c>
      <c r="L2278" s="2" t="s">
        <v>159</v>
      </c>
    </row>
    <row r="2279" spans="1:12" x14ac:dyDescent="0.3">
      <c r="A2279" s="2">
        <v>2268</v>
      </c>
      <c r="B2279" s="2" t="s">
        <v>5702</v>
      </c>
      <c r="C2279" s="2" t="s">
        <v>5993</v>
      </c>
      <c r="D2279" s="2" t="s">
        <v>51</v>
      </c>
      <c r="E2279" s="2" t="s">
        <v>16</v>
      </c>
      <c r="F2279" s="2">
        <v>30</v>
      </c>
      <c r="G2279" s="2" t="s">
        <v>6206</v>
      </c>
      <c r="H2279" s="2" t="s">
        <v>3682</v>
      </c>
      <c r="I2279" s="2" t="s">
        <v>178</v>
      </c>
      <c r="J2279" s="3">
        <v>44804</v>
      </c>
      <c r="K2279" s="2">
        <v>8</v>
      </c>
      <c r="L2279" s="2" t="s">
        <v>64</v>
      </c>
    </row>
    <row r="2280" spans="1:12" x14ac:dyDescent="0.3">
      <c r="A2280" s="2">
        <v>2269</v>
      </c>
      <c r="B2280" s="2" t="s">
        <v>6207</v>
      </c>
      <c r="C2280" s="2" t="s">
        <v>5853</v>
      </c>
      <c r="D2280" s="2" t="s">
        <v>51</v>
      </c>
      <c r="E2280" s="2" t="s">
        <v>16</v>
      </c>
      <c r="F2280" s="2">
        <v>60</v>
      </c>
      <c r="G2280" s="2" t="s">
        <v>6208</v>
      </c>
      <c r="H2280" s="2" t="s">
        <v>3200</v>
      </c>
      <c r="I2280" s="2" t="s">
        <v>32</v>
      </c>
      <c r="J2280" s="3">
        <v>43885</v>
      </c>
      <c r="K2280" s="2">
        <v>41</v>
      </c>
      <c r="L2280" s="2" t="s">
        <v>80</v>
      </c>
    </row>
    <row r="2281" spans="1:12" x14ac:dyDescent="0.3">
      <c r="A2281" s="2">
        <v>2270</v>
      </c>
      <c r="B2281" s="2" t="s">
        <v>6209</v>
      </c>
      <c r="C2281" s="2" t="s">
        <v>321</v>
      </c>
      <c r="D2281" s="2" t="s">
        <v>15</v>
      </c>
      <c r="E2281" s="2" t="s">
        <v>16</v>
      </c>
      <c r="F2281" s="2">
        <v>30</v>
      </c>
      <c r="G2281" s="2" t="s">
        <v>6210</v>
      </c>
      <c r="H2281" s="2" t="s">
        <v>5336</v>
      </c>
      <c r="I2281" s="2" t="s">
        <v>32</v>
      </c>
      <c r="J2281" s="3">
        <v>44685</v>
      </c>
      <c r="K2281" s="2">
        <v>98</v>
      </c>
      <c r="L2281" s="2" t="s">
        <v>64</v>
      </c>
    </row>
    <row r="2282" spans="1:12" x14ac:dyDescent="0.3">
      <c r="A2282" s="2">
        <v>2271</v>
      </c>
      <c r="B2282" s="2" t="s">
        <v>6211</v>
      </c>
      <c r="C2282" s="2" t="s">
        <v>6212</v>
      </c>
      <c r="D2282" s="2" t="s">
        <v>15</v>
      </c>
      <c r="E2282" s="2" t="s">
        <v>16</v>
      </c>
      <c r="F2282" s="2">
        <v>90</v>
      </c>
      <c r="G2282" s="2" t="s">
        <v>6213</v>
      </c>
      <c r="H2282" s="2" t="s">
        <v>4256</v>
      </c>
      <c r="I2282" s="2" t="s">
        <v>1454</v>
      </c>
      <c r="J2282" s="3">
        <v>44349</v>
      </c>
      <c r="K2282" s="2">
        <v>20</v>
      </c>
      <c r="L2282" s="2" t="s">
        <v>70</v>
      </c>
    </row>
    <row r="2283" spans="1:12" x14ac:dyDescent="0.3">
      <c r="A2283" s="2">
        <v>2272</v>
      </c>
      <c r="B2283" s="2" t="s">
        <v>4647</v>
      </c>
      <c r="C2283" s="2" t="s">
        <v>3382</v>
      </c>
      <c r="D2283" s="2" t="s">
        <v>28</v>
      </c>
      <c r="E2283" s="2" t="s">
        <v>29</v>
      </c>
      <c r="F2283" s="2">
        <v>90</v>
      </c>
      <c r="G2283" s="2" t="s">
        <v>6214</v>
      </c>
      <c r="H2283" s="2" t="s">
        <v>3449</v>
      </c>
      <c r="I2283" s="2" t="s">
        <v>187</v>
      </c>
      <c r="J2283" s="3">
        <v>44223</v>
      </c>
      <c r="K2283" s="2">
        <v>63</v>
      </c>
      <c r="L2283" s="2" t="s">
        <v>80</v>
      </c>
    </row>
    <row r="2284" spans="1:12" x14ac:dyDescent="0.3">
      <c r="A2284" s="2">
        <v>2273</v>
      </c>
      <c r="B2284" s="2" t="s">
        <v>6215</v>
      </c>
      <c r="C2284" s="2" t="s">
        <v>6216</v>
      </c>
      <c r="D2284" s="2" t="s">
        <v>15</v>
      </c>
      <c r="E2284" s="2" t="s">
        <v>16</v>
      </c>
      <c r="F2284" s="2">
        <v>60</v>
      </c>
      <c r="G2284" s="2" t="s">
        <v>6217</v>
      </c>
      <c r="H2284" s="2" t="s">
        <v>2441</v>
      </c>
      <c r="I2284" s="2" t="s">
        <v>1199</v>
      </c>
      <c r="J2284" s="3">
        <v>44465</v>
      </c>
      <c r="K2284" s="2">
        <v>5</v>
      </c>
      <c r="L2284" s="2" t="s">
        <v>39</v>
      </c>
    </row>
    <row r="2285" spans="1:12" x14ac:dyDescent="0.3">
      <c r="A2285" s="2">
        <v>2274</v>
      </c>
      <c r="B2285" s="2" t="s">
        <v>6218</v>
      </c>
      <c r="C2285" s="2" t="s">
        <v>5838</v>
      </c>
      <c r="D2285" s="2" t="s">
        <v>41</v>
      </c>
      <c r="E2285" s="2" t="s">
        <v>16</v>
      </c>
      <c r="F2285" s="2">
        <v>90</v>
      </c>
      <c r="G2285" s="2" t="s">
        <v>6219</v>
      </c>
      <c r="H2285" s="2" t="s">
        <v>978</v>
      </c>
      <c r="I2285" s="2" t="s">
        <v>294</v>
      </c>
      <c r="J2285" s="3">
        <v>44550</v>
      </c>
      <c r="K2285" s="2">
        <v>72</v>
      </c>
      <c r="L2285" s="2" t="s">
        <v>20</v>
      </c>
    </row>
    <row r="2286" spans="1:12" x14ac:dyDescent="0.3">
      <c r="A2286" s="2">
        <v>2275</v>
      </c>
      <c r="B2286" s="2" t="s">
        <v>6220</v>
      </c>
      <c r="C2286" s="2" t="s">
        <v>6221</v>
      </c>
      <c r="D2286" s="2" t="s">
        <v>15</v>
      </c>
      <c r="E2286" s="2" t="s">
        <v>16</v>
      </c>
      <c r="F2286" s="2">
        <v>90</v>
      </c>
      <c r="G2286" s="2" t="s">
        <v>6222</v>
      </c>
      <c r="H2286" s="2" t="s">
        <v>3437</v>
      </c>
      <c r="I2286" s="2" t="s">
        <v>100</v>
      </c>
      <c r="J2286" s="3">
        <v>44877</v>
      </c>
      <c r="K2286" s="2">
        <v>70</v>
      </c>
      <c r="L2286" s="2" t="s">
        <v>64</v>
      </c>
    </row>
    <row r="2287" spans="1:12" x14ac:dyDescent="0.3">
      <c r="A2287" s="2">
        <v>2276</v>
      </c>
      <c r="B2287" s="2" t="s">
        <v>6223</v>
      </c>
      <c r="C2287" s="2" t="s">
        <v>1208</v>
      </c>
      <c r="D2287" s="2" t="s">
        <v>51</v>
      </c>
      <c r="E2287" s="2" t="s">
        <v>16</v>
      </c>
      <c r="F2287" s="2">
        <v>90</v>
      </c>
      <c r="G2287" s="2" t="s">
        <v>6222</v>
      </c>
      <c r="H2287" s="2" t="s">
        <v>6224</v>
      </c>
      <c r="I2287" s="2" t="s">
        <v>294</v>
      </c>
      <c r="J2287" s="3">
        <v>44419</v>
      </c>
      <c r="K2287" s="2">
        <v>82</v>
      </c>
      <c r="L2287" s="2" t="s">
        <v>64</v>
      </c>
    </row>
    <row r="2288" spans="1:12" x14ac:dyDescent="0.3">
      <c r="A2288" s="2">
        <v>2277</v>
      </c>
      <c r="B2288" s="2" t="s">
        <v>671</v>
      </c>
      <c r="C2288" s="2" t="s">
        <v>1853</v>
      </c>
      <c r="D2288" s="2" t="s">
        <v>15</v>
      </c>
      <c r="E2288" s="2" t="s">
        <v>16</v>
      </c>
      <c r="F2288" s="2">
        <v>30</v>
      </c>
      <c r="G2288" s="2" t="s">
        <v>6225</v>
      </c>
      <c r="H2288" s="2" t="s">
        <v>3056</v>
      </c>
      <c r="I2288" s="2" t="s">
        <v>187</v>
      </c>
      <c r="J2288" s="3">
        <v>44340</v>
      </c>
      <c r="K2288" s="2">
        <v>24</v>
      </c>
      <c r="L2288" s="2" t="s">
        <v>101</v>
      </c>
    </row>
    <row r="2289" spans="1:12" x14ac:dyDescent="0.3">
      <c r="A2289" s="2">
        <v>2278</v>
      </c>
      <c r="B2289" s="2" t="s">
        <v>727</v>
      </c>
      <c r="C2289" s="2" t="s">
        <v>6226</v>
      </c>
      <c r="D2289" s="2" t="s">
        <v>28</v>
      </c>
      <c r="E2289" s="2" t="s">
        <v>29</v>
      </c>
      <c r="F2289" s="2">
        <v>90</v>
      </c>
      <c r="G2289" s="2" t="s">
        <v>6227</v>
      </c>
      <c r="H2289" s="2" t="s">
        <v>6228</v>
      </c>
      <c r="I2289" s="2" t="s">
        <v>187</v>
      </c>
      <c r="J2289" s="3">
        <v>44349</v>
      </c>
      <c r="K2289" s="2">
        <v>80</v>
      </c>
      <c r="L2289" s="2" t="s">
        <v>54</v>
      </c>
    </row>
    <row r="2290" spans="1:12" x14ac:dyDescent="0.3">
      <c r="A2290" s="2">
        <v>2279</v>
      </c>
      <c r="B2290" s="2" t="s">
        <v>6229</v>
      </c>
      <c r="C2290" s="2" t="s">
        <v>1654</v>
      </c>
      <c r="D2290" s="2" t="s">
        <v>51</v>
      </c>
      <c r="E2290" s="2" t="s">
        <v>16</v>
      </c>
      <c r="F2290" s="2">
        <v>60</v>
      </c>
      <c r="G2290" s="2" t="s">
        <v>6230</v>
      </c>
      <c r="H2290" s="2" t="s">
        <v>3459</v>
      </c>
      <c r="I2290" s="2" t="s">
        <v>178</v>
      </c>
      <c r="J2290" s="3">
        <v>44472</v>
      </c>
      <c r="K2290" s="2">
        <v>38</v>
      </c>
      <c r="L2290" s="2" t="s">
        <v>80</v>
      </c>
    </row>
    <row r="2291" spans="1:12" x14ac:dyDescent="0.3">
      <c r="A2291" s="2">
        <v>2280</v>
      </c>
      <c r="B2291" s="2" t="s">
        <v>6231</v>
      </c>
      <c r="C2291" s="2" t="s">
        <v>6232</v>
      </c>
      <c r="D2291" s="2" t="s">
        <v>51</v>
      </c>
      <c r="E2291" s="2" t="s">
        <v>16</v>
      </c>
      <c r="F2291" s="2">
        <v>90</v>
      </c>
      <c r="G2291" s="2" t="s">
        <v>6233</v>
      </c>
      <c r="H2291" s="2" t="s">
        <v>6234</v>
      </c>
      <c r="I2291" s="2" t="s">
        <v>32</v>
      </c>
      <c r="J2291" s="3">
        <v>44313</v>
      </c>
      <c r="K2291" s="2">
        <v>12</v>
      </c>
      <c r="L2291" s="2" t="s">
        <v>39</v>
      </c>
    </row>
    <row r="2292" spans="1:12" x14ac:dyDescent="0.3">
      <c r="A2292" s="2">
        <v>2281</v>
      </c>
      <c r="B2292" s="2" t="s">
        <v>6235</v>
      </c>
      <c r="C2292" s="2" t="s">
        <v>5254</v>
      </c>
      <c r="D2292" s="2" t="s">
        <v>51</v>
      </c>
      <c r="E2292" s="2" t="s">
        <v>16</v>
      </c>
      <c r="F2292" s="2">
        <v>60</v>
      </c>
      <c r="G2292" s="2" t="s">
        <v>6236</v>
      </c>
      <c r="H2292" s="2" t="s">
        <v>1138</v>
      </c>
      <c r="I2292" s="2" t="s">
        <v>124</v>
      </c>
      <c r="J2292" s="3">
        <v>44843</v>
      </c>
      <c r="K2292" s="2">
        <v>21</v>
      </c>
      <c r="L2292" s="2" t="s">
        <v>70</v>
      </c>
    </row>
    <row r="2293" spans="1:12" x14ac:dyDescent="0.3">
      <c r="A2293" s="2">
        <v>2282</v>
      </c>
      <c r="B2293" s="2" t="s">
        <v>1009</v>
      </c>
      <c r="C2293" s="2" t="s">
        <v>6237</v>
      </c>
      <c r="D2293" s="2" t="s">
        <v>51</v>
      </c>
      <c r="E2293" s="2" t="s">
        <v>16</v>
      </c>
      <c r="F2293" s="2">
        <v>60</v>
      </c>
      <c r="G2293" s="2" t="s">
        <v>6238</v>
      </c>
      <c r="H2293" s="2" t="s">
        <v>2727</v>
      </c>
      <c r="I2293" s="2" t="s">
        <v>2330</v>
      </c>
      <c r="J2293" s="3">
        <v>44437</v>
      </c>
      <c r="K2293" s="2">
        <v>64</v>
      </c>
      <c r="L2293" s="2" t="s">
        <v>101</v>
      </c>
    </row>
    <row r="2294" spans="1:12" x14ac:dyDescent="0.3">
      <c r="A2294" s="2">
        <v>2283</v>
      </c>
      <c r="B2294" s="2" t="s">
        <v>1128</v>
      </c>
      <c r="C2294" s="2" t="s">
        <v>6076</v>
      </c>
      <c r="D2294" s="2" t="s">
        <v>28</v>
      </c>
      <c r="E2294" s="2" t="s">
        <v>29</v>
      </c>
      <c r="F2294" s="2">
        <v>30</v>
      </c>
      <c r="G2294" s="2" t="s">
        <v>6239</v>
      </c>
      <c r="H2294" s="2" t="s">
        <v>5243</v>
      </c>
      <c r="I2294" s="2" t="s">
        <v>25</v>
      </c>
      <c r="J2294" s="3">
        <v>44061</v>
      </c>
      <c r="K2294" s="2">
        <v>19</v>
      </c>
      <c r="L2294" s="2" t="s">
        <v>64</v>
      </c>
    </row>
    <row r="2295" spans="1:12" x14ac:dyDescent="0.3">
      <c r="A2295" s="2">
        <v>2284</v>
      </c>
      <c r="B2295" s="2" t="s">
        <v>6240</v>
      </c>
      <c r="C2295" s="2" t="s">
        <v>5310</v>
      </c>
      <c r="D2295" s="2" t="s">
        <v>51</v>
      </c>
      <c r="E2295" s="2" t="s">
        <v>16</v>
      </c>
      <c r="F2295" s="2">
        <v>60</v>
      </c>
      <c r="G2295" s="2" t="s">
        <v>6241</v>
      </c>
      <c r="H2295" s="2" t="s">
        <v>5420</v>
      </c>
      <c r="I2295" s="2" t="s">
        <v>32</v>
      </c>
      <c r="J2295" s="3">
        <v>44882</v>
      </c>
      <c r="K2295" s="2">
        <v>5</v>
      </c>
      <c r="L2295" s="2" t="s">
        <v>64</v>
      </c>
    </row>
    <row r="2296" spans="1:12" x14ac:dyDescent="0.3">
      <c r="A2296" s="2">
        <v>2285</v>
      </c>
      <c r="B2296" s="2" t="s">
        <v>6242</v>
      </c>
      <c r="C2296" s="2" t="s">
        <v>1746</v>
      </c>
      <c r="D2296" s="2" t="s">
        <v>15</v>
      </c>
      <c r="E2296" s="2" t="s">
        <v>16</v>
      </c>
      <c r="F2296" s="2">
        <v>90</v>
      </c>
      <c r="G2296" s="2" t="s">
        <v>6243</v>
      </c>
      <c r="H2296" s="2" t="s">
        <v>1232</v>
      </c>
      <c r="I2296" s="2" t="s">
        <v>1233</v>
      </c>
      <c r="J2296" s="3">
        <v>44545</v>
      </c>
      <c r="K2296" s="2">
        <v>64</v>
      </c>
      <c r="L2296" s="2" t="s">
        <v>70</v>
      </c>
    </row>
    <row r="2297" spans="1:12" x14ac:dyDescent="0.3">
      <c r="A2297" s="2">
        <v>2286</v>
      </c>
      <c r="B2297" s="2" t="s">
        <v>5920</v>
      </c>
      <c r="C2297" s="2" t="s">
        <v>4974</v>
      </c>
      <c r="D2297" s="2" t="s">
        <v>28</v>
      </c>
      <c r="E2297" s="2" t="s">
        <v>29</v>
      </c>
      <c r="F2297" s="2">
        <v>30</v>
      </c>
      <c r="G2297" s="2" t="s">
        <v>6244</v>
      </c>
      <c r="H2297" s="2" t="s">
        <v>1214</v>
      </c>
      <c r="I2297" s="2" t="s">
        <v>32</v>
      </c>
      <c r="J2297" s="3">
        <v>44025</v>
      </c>
      <c r="K2297" s="2">
        <v>59</v>
      </c>
      <c r="L2297" s="2" t="s">
        <v>159</v>
      </c>
    </row>
    <row r="2298" spans="1:12" x14ac:dyDescent="0.3">
      <c r="A2298" s="2">
        <v>2287</v>
      </c>
      <c r="B2298" s="2" t="s">
        <v>6245</v>
      </c>
      <c r="C2298" s="2" t="s">
        <v>6212</v>
      </c>
      <c r="D2298" s="2" t="s">
        <v>51</v>
      </c>
      <c r="E2298" s="2" t="s">
        <v>16</v>
      </c>
      <c r="F2298" s="2">
        <v>60</v>
      </c>
      <c r="G2298" s="2" t="s">
        <v>6246</v>
      </c>
      <c r="H2298" s="2" t="s">
        <v>1284</v>
      </c>
      <c r="I2298" s="2" t="s">
        <v>32</v>
      </c>
      <c r="J2298" s="3">
        <v>44096</v>
      </c>
      <c r="K2298" s="2">
        <v>19</v>
      </c>
      <c r="L2298" s="2" t="s">
        <v>33</v>
      </c>
    </row>
    <row r="2299" spans="1:12" x14ac:dyDescent="0.3">
      <c r="A2299" s="2">
        <v>2288</v>
      </c>
      <c r="B2299" s="2" t="s">
        <v>5695</v>
      </c>
      <c r="C2299" s="2" t="s">
        <v>6247</v>
      </c>
      <c r="D2299" s="2" t="s">
        <v>28</v>
      </c>
      <c r="E2299" s="2" t="s">
        <v>29</v>
      </c>
      <c r="F2299" s="2">
        <v>90</v>
      </c>
      <c r="G2299" s="2" t="s">
        <v>6248</v>
      </c>
      <c r="H2299" s="2" t="s">
        <v>1168</v>
      </c>
      <c r="I2299" s="2" t="s">
        <v>32</v>
      </c>
      <c r="J2299" s="3">
        <v>44646</v>
      </c>
      <c r="K2299" s="2">
        <v>22</v>
      </c>
      <c r="L2299" s="2" t="s">
        <v>20</v>
      </c>
    </row>
    <row r="2300" spans="1:12" x14ac:dyDescent="0.3">
      <c r="A2300" s="2">
        <v>2289</v>
      </c>
      <c r="B2300" s="2" t="s">
        <v>6249</v>
      </c>
      <c r="C2300" s="2" t="s">
        <v>4489</v>
      </c>
      <c r="D2300" s="2" t="s">
        <v>28</v>
      </c>
      <c r="E2300" s="2" t="s">
        <v>29</v>
      </c>
      <c r="F2300" s="2">
        <v>60</v>
      </c>
      <c r="G2300" s="2" t="s">
        <v>6250</v>
      </c>
      <c r="H2300" s="2" t="s">
        <v>985</v>
      </c>
      <c r="I2300" s="2" t="s">
        <v>38</v>
      </c>
      <c r="J2300" s="3">
        <v>44021</v>
      </c>
      <c r="K2300" s="2">
        <v>50</v>
      </c>
      <c r="L2300" s="2" t="s">
        <v>80</v>
      </c>
    </row>
    <row r="2301" spans="1:12" x14ac:dyDescent="0.3">
      <c r="A2301" s="2">
        <v>2290</v>
      </c>
      <c r="B2301" s="2" t="s">
        <v>6251</v>
      </c>
      <c r="C2301" s="2" t="s">
        <v>1041</v>
      </c>
      <c r="D2301" s="2" t="s">
        <v>15</v>
      </c>
      <c r="E2301" s="2" t="s">
        <v>16</v>
      </c>
      <c r="F2301" s="2">
        <v>60</v>
      </c>
      <c r="G2301" s="2" t="s">
        <v>6252</v>
      </c>
      <c r="H2301" s="2" t="s">
        <v>917</v>
      </c>
      <c r="I2301" s="2" t="s">
        <v>32</v>
      </c>
      <c r="J2301" s="3">
        <v>44662</v>
      </c>
      <c r="K2301" s="2">
        <v>22</v>
      </c>
      <c r="L2301" s="2" t="s">
        <v>54</v>
      </c>
    </row>
    <row r="2302" spans="1:12" x14ac:dyDescent="0.3">
      <c r="A2302" s="2">
        <v>2291</v>
      </c>
      <c r="B2302" s="2" t="s">
        <v>6253</v>
      </c>
      <c r="C2302" s="2" t="s">
        <v>2853</v>
      </c>
      <c r="D2302" s="2" t="s">
        <v>28</v>
      </c>
      <c r="E2302" s="2" t="s">
        <v>29</v>
      </c>
      <c r="F2302" s="2">
        <v>30</v>
      </c>
      <c r="G2302" s="2" t="s">
        <v>6254</v>
      </c>
      <c r="H2302" s="2" t="s">
        <v>2348</v>
      </c>
      <c r="I2302" s="2" t="s">
        <v>32</v>
      </c>
      <c r="J2302" s="3">
        <v>44751</v>
      </c>
      <c r="K2302" s="2">
        <v>75</v>
      </c>
      <c r="L2302" s="2" t="s">
        <v>80</v>
      </c>
    </row>
    <row r="2303" spans="1:12" x14ac:dyDescent="0.3">
      <c r="A2303" s="2">
        <v>2292</v>
      </c>
      <c r="B2303" s="2" t="s">
        <v>3857</v>
      </c>
      <c r="C2303" s="2" t="s">
        <v>6255</v>
      </c>
      <c r="D2303" s="2" t="s">
        <v>51</v>
      </c>
      <c r="E2303" s="2" t="s">
        <v>16</v>
      </c>
      <c r="F2303" s="2">
        <v>90</v>
      </c>
      <c r="G2303" s="2" t="s">
        <v>6256</v>
      </c>
      <c r="H2303" s="2" t="s">
        <v>2613</v>
      </c>
      <c r="I2303" s="2" t="s">
        <v>32</v>
      </c>
      <c r="J2303" s="3">
        <v>44413</v>
      </c>
      <c r="K2303" s="2">
        <v>75</v>
      </c>
      <c r="L2303" s="2" t="s">
        <v>39</v>
      </c>
    </row>
    <row r="2304" spans="1:12" x14ac:dyDescent="0.3">
      <c r="A2304" s="2">
        <v>2293</v>
      </c>
      <c r="B2304" s="2" t="s">
        <v>4596</v>
      </c>
      <c r="C2304" s="2" t="s">
        <v>5891</v>
      </c>
      <c r="D2304" s="2" t="s">
        <v>28</v>
      </c>
      <c r="E2304" s="2" t="s">
        <v>29</v>
      </c>
      <c r="F2304" s="2">
        <v>30</v>
      </c>
      <c r="G2304" s="2" t="s">
        <v>6257</v>
      </c>
      <c r="H2304" s="2" t="s">
        <v>4541</v>
      </c>
      <c r="I2304" s="2" t="s">
        <v>89</v>
      </c>
      <c r="J2304" s="3">
        <v>44133</v>
      </c>
      <c r="K2304" s="2">
        <v>49</v>
      </c>
      <c r="L2304" s="2" t="s">
        <v>45</v>
      </c>
    </row>
    <row r="2305" spans="1:12" x14ac:dyDescent="0.3">
      <c r="A2305" s="2">
        <v>2294</v>
      </c>
      <c r="B2305" s="2" t="s">
        <v>747</v>
      </c>
      <c r="C2305" s="2" t="s">
        <v>5786</v>
      </c>
      <c r="D2305" s="2" t="s">
        <v>51</v>
      </c>
      <c r="E2305" s="2" t="s">
        <v>16</v>
      </c>
      <c r="F2305" s="2">
        <v>30</v>
      </c>
      <c r="G2305" s="2" t="s">
        <v>6258</v>
      </c>
      <c r="H2305" s="2" t="s">
        <v>6259</v>
      </c>
      <c r="I2305" s="2" t="s">
        <v>6260</v>
      </c>
      <c r="J2305" s="3">
        <v>43945</v>
      </c>
      <c r="K2305" s="2">
        <v>36</v>
      </c>
      <c r="L2305" s="2" t="s">
        <v>70</v>
      </c>
    </row>
    <row r="2306" spans="1:12" x14ac:dyDescent="0.3">
      <c r="A2306" s="2">
        <v>2295</v>
      </c>
      <c r="B2306" s="2" t="s">
        <v>2203</v>
      </c>
      <c r="C2306" s="2" t="s">
        <v>6261</v>
      </c>
      <c r="D2306" s="2" t="s">
        <v>28</v>
      </c>
      <c r="E2306" s="2" t="s">
        <v>29</v>
      </c>
      <c r="F2306" s="2">
        <v>60</v>
      </c>
      <c r="G2306" s="2" t="s">
        <v>6262</v>
      </c>
      <c r="H2306" s="2" t="s">
        <v>2552</v>
      </c>
      <c r="I2306" s="2" t="s">
        <v>32</v>
      </c>
      <c r="J2306" s="3">
        <v>44099</v>
      </c>
      <c r="K2306" s="2">
        <v>72</v>
      </c>
      <c r="L2306" s="2" t="s">
        <v>70</v>
      </c>
    </row>
    <row r="2307" spans="1:12" x14ac:dyDescent="0.3">
      <c r="A2307" s="2">
        <v>2296</v>
      </c>
      <c r="B2307" s="2" t="s">
        <v>4099</v>
      </c>
      <c r="C2307" s="2" t="s">
        <v>748</v>
      </c>
      <c r="D2307" s="2" t="s">
        <v>15</v>
      </c>
      <c r="E2307" s="2" t="s">
        <v>16</v>
      </c>
      <c r="F2307" s="2">
        <v>90</v>
      </c>
      <c r="G2307" s="2" t="s">
        <v>6263</v>
      </c>
      <c r="H2307" s="2" t="s">
        <v>4098</v>
      </c>
      <c r="I2307" s="2" t="s">
        <v>1889</v>
      </c>
      <c r="J2307" s="3">
        <v>44317</v>
      </c>
      <c r="K2307" s="2">
        <v>8</v>
      </c>
      <c r="L2307" s="2" t="s">
        <v>64</v>
      </c>
    </row>
    <row r="2308" spans="1:12" x14ac:dyDescent="0.3">
      <c r="A2308" s="2">
        <v>2297</v>
      </c>
      <c r="B2308" s="2" t="s">
        <v>6264</v>
      </c>
      <c r="C2308" s="2" t="s">
        <v>376</v>
      </c>
      <c r="D2308" s="2" t="s">
        <v>28</v>
      </c>
      <c r="E2308" s="2" t="s">
        <v>29</v>
      </c>
      <c r="F2308" s="2">
        <v>30</v>
      </c>
      <c r="G2308" s="2" t="s">
        <v>6265</v>
      </c>
      <c r="H2308" s="2" t="s">
        <v>221</v>
      </c>
      <c r="I2308" s="2" t="s">
        <v>32</v>
      </c>
      <c r="J2308" s="3">
        <v>44393</v>
      </c>
      <c r="K2308" s="2">
        <v>91</v>
      </c>
      <c r="L2308" s="2" t="s">
        <v>80</v>
      </c>
    </row>
    <row r="2309" spans="1:12" x14ac:dyDescent="0.3">
      <c r="A2309" s="2">
        <v>2298</v>
      </c>
      <c r="B2309" s="2" t="s">
        <v>3811</v>
      </c>
      <c r="C2309" s="2" t="s">
        <v>4626</v>
      </c>
      <c r="D2309" s="2" t="s">
        <v>28</v>
      </c>
      <c r="E2309" s="2" t="s">
        <v>29</v>
      </c>
      <c r="F2309" s="2">
        <v>90</v>
      </c>
      <c r="G2309" s="2" t="s">
        <v>6266</v>
      </c>
      <c r="H2309" s="2" t="s">
        <v>2154</v>
      </c>
      <c r="I2309" s="2" t="s">
        <v>124</v>
      </c>
      <c r="J2309" s="3">
        <v>43873</v>
      </c>
      <c r="K2309" s="2">
        <v>19</v>
      </c>
      <c r="L2309" s="2" t="s">
        <v>101</v>
      </c>
    </row>
    <row r="2310" spans="1:12" x14ac:dyDescent="0.3">
      <c r="A2310" s="2">
        <v>2299</v>
      </c>
      <c r="B2310" s="2" t="s">
        <v>6267</v>
      </c>
      <c r="C2310" s="2" t="s">
        <v>3938</v>
      </c>
      <c r="D2310" s="2" t="s">
        <v>51</v>
      </c>
      <c r="E2310" s="2" t="s">
        <v>16</v>
      </c>
      <c r="F2310" s="2">
        <v>90</v>
      </c>
      <c r="G2310" s="2" t="s">
        <v>6268</v>
      </c>
      <c r="H2310" s="2" t="s">
        <v>1374</v>
      </c>
      <c r="I2310" s="2" t="s">
        <v>294</v>
      </c>
      <c r="J2310" s="3">
        <v>44861</v>
      </c>
      <c r="K2310" s="2">
        <v>103</v>
      </c>
      <c r="L2310" s="2" t="s">
        <v>159</v>
      </c>
    </row>
    <row r="2311" spans="1:12" x14ac:dyDescent="0.3">
      <c r="A2311" s="2">
        <v>2300</v>
      </c>
      <c r="B2311" s="2" t="s">
        <v>2682</v>
      </c>
      <c r="C2311" s="2" t="s">
        <v>2856</v>
      </c>
      <c r="D2311" s="2" t="s">
        <v>28</v>
      </c>
      <c r="E2311" s="2" t="s">
        <v>29</v>
      </c>
      <c r="F2311" s="2">
        <v>60</v>
      </c>
      <c r="G2311" s="2" t="s">
        <v>6269</v>
      </c>
      <c r="H2311" s="2" t="s">
        <v>1747</v>
      </c>
      <c r="I2311" s="2" t="s">
        <v>294</v>
      </c>
      <c r="J2311" s="3">
        <v>44520</v>
      </c>
      <c r="K2311" s="2">
        <v>50</v>
      </c>
      <c r="L2311" s="2" t="s">
        <v>101</v>
      </c>
    </row>
    <row r="2312" spans="1:12" x14ac:dyDescent="0.3">
      <c r="A2312" s="2">
        <v>2301</v>
      </c>
      <c r="B2312" s="2" t="s">
        <v>2805</v>
      </c>
      <c r="C2312" s="2" t="s">
        <v>836</v>
      </c>
      <c r="D2312" s="2" t="s">
        <v>28</v>
      </c>
      <c r="E2312" s="2" t="s">
        <v>29</v>
      </c>
      <c r="F2312" s="2">
        <v>30</v>
      </c>
      <c r="G2312" s="2" t="s">
        <v>6270</v>
      </c>
      <c r="H2312" s="2" t="s">
        <v>1598</v>
      </c>
      <c r="I2312" s="2" t="s">
        <v>32</v>
      </c>
      <c r="J2312" s="3">
        <v>44189</v>
      </c>
      <c r="K2312" s="2">
        <v>28</v>
      </c>
      <c r="L2312" s="2" t="s">
        <v>54</v>
      </c>
    </row>
    <row r="2313" spans="1:12" x14ac:dyDescent="0.3">
      <c r="A2313" s="2">
        <v>2302</v>
      </c>
      <c r="B2313" s="2" t="s">
        <v>6271</v>
      </c>
      <c r="C2313" s="2" t="s">
        <v>6272</v>
      </c>
      <c r="D2313" s="2" t="s">
        <v>15</v>
      </c>
      <c r="E2313" s="2" t="s">
        <v>16</v>
      </c>
      <c r="F2313" s="2">
        <v>90</v>
      </c>
      <c r="G2313" s="2" t="s">
        <v>6273</v>
      </c>
      <c r="H2313" s="2" t="s">
        <v>137</v>
      </c>
      <c r="I2313" s="2" t="s">
        <v>32</v>
      </c>
      <c r="J2313" s="3">
        <v>43985</v>
      </c>
      <c r="K2313" s="2">
        <v>82</v>
      </c>
      <c r="L2313" s="2" t="s">
        <v>70</v>
      </c>
    </row>
    <row r="2314" spans="1:12" x14ac:dyDescent="0.3">
      <c r="A2314" s="2">
        <v>2303</v>
      </c>
      <c r="B2314" s="2" t="s">
        <v>6274</v>
      </c>
      <c r="C2314" s="2" t="s">
        <v>6275</v>
      </c>
      <c r="D2314" s="2" t="s">
        <v>28</v>
      </c>
      <c r="E2314" s="2" t="s">
        <v>29</v>
      </c>
      <c r="F2314" s="2">
        <v>30</v>
      </c>
      <c r="G2314" s="2" t="s">
        <v>6276</v>
      </c>
      <c r="H2314" s="2" t="s">
        <v>195</v>
      </c>
      <c r="I2314" s="2" t="s">
        <v>187</v>
      </c>
      <c r="J2314" s="3">
        <v>44754</v>
      </c>
      <c r="K2314" s="2">
        <v>105</v>
      </c>
      <c r="L2314" s="2" t="s">
        <v>33</v>
      </c>
    </row>
    <row r="2315" spans="1:12" x14ac:dyDescent="0.3">
      <c r="A2315" s="2">
        <v>2304</v>
      </c>
      <c r="B2315" s="2" t="s">
        <v>1849</v>
      </c>
      <c r="C2315" s="2" t="s">
        <v>3927</v>
      </c>
      <c r="D2315" s="2" t="s">
        <v>28</v>
      </c>
      <c r="E2315" s="2" t="s">
        <v>29</v>
      </c>
      <c r="F2315" s="2">
        <v>90</v>
      </c>
      <c r="G2315" s="2" t="s">
        <v>6277</v>
      </c>
      <c r="H2315" s="2" t="s">
        <v>3571</v>
      </c>
      <c r="I2315" s="2" t="s">
        <v>32</v>
      </c>
      <c r="J2315" s="3">
        <v>44409</v>
      </c>
      <c r="K2315" s="2">
        <v>82</v>
      </c>
      <c r="L2315" s="2" t="s">
        <v>54</v>
      </c>
    </row>
    <row r="2316" spans="1:12" x14ac:dyDescent="0.3">
      <c r="A2316" s="2">
        <v>2305</v>
      </c>
      <c r="B2316" s="2" t="s">
        <v>679</v>
      </c>
      <c r="C2316" s="2" t="s">
        <v>2139</v>
      </c>
      <c r="D2316" s="2" t="s">
        <v>15</v>
      </c>
      <c r="E2316" s="2" t="s">
        <v>16</v>
      </c>
      <c r="F2316" s="2">
        <v>60</v>
      </c>
      <c r="G2316" s="2" t="s">
        <v>6278</v>
      </c>
      <c r="H2316" s="2" t="s">
        <v>3263</v>
      </c>
      <c r="I2316" s="2" t="s">
        <v>32</v>
      </c>
      <c r="J2316" s="3">
        <v>44367</v>
      </c>
      <c r="K2316" s="2">
        <v>4</v>
      </c>
      <c r="L2316" s="2" t="s">
        <v>20</v>
      </c>
    </row>
    <row r="2317" spans="1:12" x14ac:dyDescent="0.3">
      <c r="A2317" s="2">
        <v>2306</v>
      </c>
      <c r="B2317" s="2" t="s">
        <v>5928</v>
      </c>
      <c r="C2317" s="2" t="s">
        <v>6279</v>
      </c>
      <c r="D2317" s="2" t="s">
        <v>28</v>
      </c>
      <c r="E2317" s="2" t="s">
        <v>29</v>
      </c>
      <c r="F2317" s="2">
        <v>30</v>
      </c>
      <c r="G2317" s="2" t="s">
        <v>6280</v>
      </c>
      <c r="H2317" s="2" t="s">
        <v>1864</v>
      </c>
      <c r="I2317" s="2" t="s">
        <v>294</v>
      </c>
      <c r="J2317" s="3">
        <v>44126</v>
      </c>
      <c r="K2317" s="2">
        <v>55</v>
      </c>
      <c r="L2317" s="2" t="s">
        <v>39</v>
      </c>
    </row>
    <row r="2318" spans="1:12" x14ac:dyDescent="0.3">
      <c r="A2318" s="2">
        <v>2307</v>
      </c>
      <c r="B2318" s="2" t="s">
        <v>6281</v>
      </c>
      <c r="C2318" s="2" t="s">
        <v>2010</v>
      </c>
      <c r="D2318" s="2" t="s">
        <v>51</v>
      </c>
      <c r="E2318" s="2" t="s">
        <v>16</v>
      </c>
      <c r="F2318" s="2">
        <v>90</v>
      </c>
      <c r="G2318" s="2" t="s">
        <v>6282</v>
      </c>
      <c r="H2318" s="2" t="s">
        <v>6283</v>
      </c>
      <c r="I2318" s="2" t="s">
        <v>32</v>
      </c>
      <c r="J2318" s="3">
        <v>44232</v>
      </c>
      <c r="K2318" s="2">
        <v>9</v>
      </c>
      <c r="L2318" s="2" t="s">
        <v>70</v>
      </c>
    </row>
    <row r="2319" spans="1:12" x14ac:dyDescent="0.3">
      <c r="A2319" s="2">
        <v>2308</v>
      </c>
      <c r="B2319" s="2" t="s">
        <v>1856</v>
      </c>
      <c r="C2319" s="2" t="s">
        <v>5332</v>
      </c>
      <c r="D2319" s="2" t="s">
        <v>51</v>
      </c>
      <c r="E2319" s="2" t="s">
        <v>16</v>
      </c>
      <c r="F2319" s="2">
        <v>90</v>
      </c>
      <c r="G2319" s="2" t="s">
        <v>6284</v>
      </c>
      <c r="H2319" s="2" t="s">
        <v>1325</v>
      </c>
      <c r="I2319" s="2" t="s">
        <v>187</v>
      </c>
      <c r="J2319" s="3">
        <v>44754</v>
      </c>
      <c r="K2319" s="2">
        <v>73</v>
      </c>
      <c r="L2319" s="2" t="s">
        <v>64</v>
      </c>
    </row>
    <row r="2320" spans="1:12" x14ac:dyDescent="0.3">
      <c r="A2320" s="2">
        <v>2309</v>
      </c>
      <c r="B2320" s="2" t="s">
        <v>765</v>
      </c>
      <c r="C2320" s="2" t="s">
        <v>1304</v>
      </c>
      <c r="D2320" s="2" t="s">
        <v>15</v>
      </c>
      <c r="E2320" s="2" t="s">
        <v>16</v>
      </c>
      <c r="F2320" s="2">
        <v>60</v>
      </c>
      <c r="G2320" s="2" t="s">
        <v>6285</v>
      </c>
      <c r="H2320" s="2" t="s">
        <v>6080</v>
      </c>
      <c r="I2320" s="2" t="s">
        <v>32</v>
      </c>
      <c r="J2320" s="3">
        <v>43836</v>
      </c>
      <c r="K2320" s="2">
        <v>61</v>
      </c>
      <c r="L2320" s="2" t="s">
        <v>159</v>
      </c>
    </row>
    <row r="2321" spans="1:12" x14ac:dyDescent="0.3">
      <c r="A2321" s="2">
        <v>2310</v>
      </c>
      <c r="B2321" s="2" t="s">
        <v>6286</v>
      </c>
      <c r="C2321" s="2" t="s">
        <v>4281</v>
      </c>
      <c r="D2321" s="2" t="s">
        <v>15</v>
      </c>
      <c r="E2321" s="2" t="s">
        <v>16</v>
      </c>
      <c r="F2321" s="2">
        <v>90</v>
      </c>
      <c r="G2321" s="2" t="s">
        <v>6287</v>
      </c>
      <c r="H2321" s="2" t="s">
        <v>1210</v>
      </c>
      <c r="I2321" s="2" t="s">
        <v>294</v>
      </c>
      <c r="J2321" s="3">
        <v>44667</v>
      </c>
      <c r="K2321" s="2">
        <v>26</v>
      </c>
      <c r="L2321" s="2" t="s">
        <v>64</v>
      </c>
    </row>
    <row r="2322" spans="1:12" x14ac:dyDescent="0.3">
      <c r="A2322" s="2">
        <v>2311</v>
      </c>
      <c r="B2322" s="2" t="s">
        <v>6288</v>
      </c>
      <c r="C2322" s="2" t="s">
        <v>2448</v>
      </c>
      <c r="D2322" s="2" t="s">
        <v>51</v>
      </c>
      <c r="E2322" s="2" t="s">
        <v>16</v>
      </c>
      <c r="F2322" s="2">
        <v>30</v>
      </c>
      <c r="G2322" s="2" t="s">
        <v>6289</v>
      </c>
      <c r="H2322" s="2" t="s">
        <v>1206</v>
      </c>
      <c r="I2322" s="2" t="s">
        <v>294</v>
      </c>
      <c r="J2322" s="3">
        <v>44795</v>
      </c>
      <c r="K2322" s="2">
        <v>69</v>
      </c>
      <c r="L2322" s="2" t="s">
        <v>20</v>
      </c>
    </row>
    <row r="2323" spans="1:12" x14ac:dyDescent="0.3">
      <c r="A2323" s="2">
        <v>2312</v>
      </c>
      <c r="B2323" s="2" t="s">
        <v>6290</v>
      </c>
      <c r="C2323" s="2" t="s">
        <v>6291</v>
      </c>
      <c r="D2323" s="2" t="s">
        <v>15</v>
      </c>
      <c r="E2323" s="2" t="s">
        <v>16</v>
      </c>
      <c r="F2323" s="2">
        <v>60</v>
      </c>
      <c r="G2323" s="2" t="s">
        <v>10525</v>
      </c>
      <c r="H2323" s="2" t="s">
        <v>6293</v>
      </c>
      <c r="I2323" s="2" t="s">
        <v>32</v>
      </c>
      <c r="J2323" s="3">
        <v>43831</v>
      </c>
      <c r="K2323" s="2">
        <v>69</v>
      </c>
      <c r="L2323" s="2" t="s">
        <v>54</v>
      </c>
    </row>
    <row r="2324" spans="1:12" x14ac:dyDescent="0.3">
      <c r="A2324" s="2">
        <v>2313</v>
      </c>
      <c r="B2324" s="2" t="s">
        <v>1657</v>
      </c>
      <c r="C2324" s="2" t="s">
        <v>4632</v>
      </c>
      <c r="D2324" s="2" t="s">
        <v>28</v>
      </c>
      <c r="E2324" s="2" t="s">
        <v>29</v>
      </c>
      <c r="F2324" s="2">
        <v>90</v>
      </c>
      <c r="G2324" s="2" t="s">
        <v>6294</v>
      </c>
      <c r="H2324" s="2" t="s">
        <v>4699</v>
      </c>
      <c r="I2324" s="2" t="s">
        <v>32</v>
      </c>
      <c r="J2324" s="3">
        <v>44382</v>
      </c>
      <c r="K2324" s="2">
        <v>47</v>
      </c>
      <c r="L2324" s="2" t="s">
        <v>80</v>
      </c>
    </row>
    <row r="2325" spans="1:12" x14ac:dyDescent="0.3">
      <c r="A2325" s="2">
        <v>2314</v>
      </c>
      <c r="B2325" s="2" t="s">
        <v>6295</v>
      </c>
      <c r="C2325" s="2" t="s">
        <v>6296</v>
      </c>
      <c r="D2325" s="2" t="s">
        <v>28</v>
      </c>
      <c r="E2325" s="2" t="s">
        <v>29</v>
      </c>
      <c r="F2325" s="2">
        <v>30</v>
      </c>
      <c r="G2325" s="2" t="s">
        <v>6297</v>
      </c>
      <c r="H2325" s="2" t="s">
        <v>2745</v>
      </c>
      <c r="I2325" s="2" t="s">
        <v>32</v>
      </c>
      <c r="J2325" s="3">
        <v>44900</v>
      </c>
      <c r="K2325" s="2">
        <v>90</v>
      </c>
      <c r="L2325" s="2" t="s">
        <v>54</v>
      </c>
    </row>
    <row r="2326" spans="1:12" x14ac:dyDescent="0.3">
      <c r="A2326" s="2">
        <v>2315</v>
      </c>
      <c r="B2326" s="2" t="s">
        <v>4703</v>
      </c>
      <c r="C2326" s="2" t="s">
        <v>6298</v>
      </c>
      <c r="D2326" s="2" t="s">
        <v>28</v>
      </c>
      <c r="E2326" s="2" t="s">
        <v>29</v>
      </c>
      <c r="F2326" s="2">
        <v>30</v>
      </c>
      <c r="G2326" s="2" t="s">
        <v>6299</v>
      </c>
      <c r="H2326" s="2" t="s">
        <v>1362</v>
      </c>
      <c r="I2326" s="2" t="s">
        <v>178</v>
      </c>
      <c r="J2326" s="3">
        <v>44246</v>
      </c>
      <c r="K2326" s="2">
        <v>52</v>
      </c>
      <c r="L2326" s="2" t="s">
        <v>33</v>
      </c>
    </row>
    <row r="2327" spans="1:12" x14ac:dyDescent="0.3">
      <c r="A2327" s="2">
        <v>2316</v>
      </c>
      <c r="B2327" s="2" t="s">
        <v>6300</v>
      </c>
      <c r="C2327" s="2" t="s">
        <v>35</v>
      </c>
      <c r="D2327" s="2" t="s">
        <v>51</v>
      </c>
      <c r="E2327" s="2" t="s">
        <v>16</v>
      </c>
      <c r="F2327" s="2">
        <v>90</v>
      </c>
      <c r="G2327" s="2" t="s">
        <v>6301</v>
      </c>
      <c r="H2327" s="2" t="s">
        <v>742</v>
      </c>
      <c r="I2327" s="2" t="s">
        <v>124</v>
      </c>
      <c r="J2327" s="3">
        <v>43883</v>
      </c>
      <c r="K2327" s="2">
        <v>31</v>
      </c>
      <c r="L2327" s="2" t="s">
        <v>64</v>
      </c>
    </row>
    <row r="2328" spans="1:12" x14ac:dyDescent="0.3">
      <c r="A2328" s="2">
        <v>2317</v>
      </c>
      <c r="B2328" s="2" t="s">
        <v>3959</v>
      </c>
      <c r="C2328" s="2" t="s">
        <v>2779</v>
      </c>
      <c r="D2328" s="2" t="s">
        <v>28</v>
      </c>
      <c r="E2328" s="2" t="s">
        <v>29</v>
      </c>
      <c r="F2328" s="2">
        <v>90</v>
      </c>
      <c r="G2328" s="2" t="s">
        <v>6302</v>
      </c>
      <c r="H2328" s="2" t="s">
        <v>5451</v>
      </c>
      <c r="I2328" s="2" t="s">
        <v>32</v>
      </c>
      <c r="J2328" s="3">
        <v>44440</v>
      </c>
      <c r="K2328" s="2">
        <v>78</v>
      </c>
      <c r="L2328" s="2" t="s">
        <v>101</v>
      </c>
    </row>
    <row r="2329" spans="1:12" x14ac:dyDescent="0.3">
      <c r="A2329" s="2">
        <v>2318</v>
      </c>
      <c r="B2329" s="2" t="s">
        <v>6303</v>
      </c>
      <c r="C2329" s="2" t="s">
        <v>1304</v>
      </c>
      <c r="D2329" s="2" t="s">
        <v>51</v>
      </c>
      <c r="E2329" s="2" t="s">
        <v>16</v>
      </c>
      <c r="F2329" s="2">
        <v>60</v>
      </c>
      <c r="G2329" s="2" t="s">
        <v>6304</v>
      </c>
      <c r="H2329" s="2" t="s">
        <v>6305</v>
      </c>
      <c r="I2329" s="2" t="s">
        <v>32</v>
      </c>
      <c r="J2329" s="3">
        <v>44775</v>
      </c>
      <c r="K2329" s="2">
        <v>86</v>
      </c>
      <c r="L2329" s="2" t="s">
        <v>39</v>
      </c>
    </row>
    <row r="2330" spans="1:12" x14ac:dyDescent="0.3">
      <c r="A2330" s="2">
        <v>2319</v>
      </c>
      <c r="B2330" s="2" t="s">
        <v>6306</v>
      </c>
      <c r="C2330" s="2" t="s">
        <v>6307</v>
      </c>
      <c r="D2330" s="2" t="s">
        <v>28</v>
      </c>
      <c r="E2330" s="2" t="s">
        <v>29</v>
      </c>
      <c r="F2330" s="2">
        <v>30</v>
      </c>
      <c r="G2330" s="2" t="s">
        <v>6308</v>
      </c>
      <c r="H2330" s="2" t="s">
        <v>2749</v>
      </c>
      <c r="I2330" s="2" t="s">
        <v>187</v>
      </c>
      <c r="J2330" s="3">
        <v>44146</v>
      </c>
      <c r="K2330" s="2">
        <v>46</v>
      </c>
      <c r="L2330" s="2" t="s">
        <v>54</v>
      </c>
    </row>
    <row r="2331" spans="1:12" x14ac:dyDescent="0.3">
      <c r="A2331" s="2">
        <v>2320</v>
      </c>
      <c r="B2331" s="2" t="s">
        <v>5031</v>
      </c>
      <c r="C2331" s="2" t="s">
        <v>4234</v>
      </c>
      <c r="D2331" s="2" t="s">
        <v>28</v>
      </c>
      <c r="E2331" s="2" t="s">
        <v>29</v>
      </c>
      <c r="F2331" s="2">
        <v>60</v>
      </c>
      <c r="G2331" s="2" t="s">
        <v>6308</v>
      </c>
      <c r="H2331" s="2" t="s">
        <v>4100</v>
      </c>
      <c r="I2331" s="2" t="s">
        <v>294</v>
      </c>
      <c r="J2331" s="3">
        <v>44422</v>
      </c>
      <c r="K2331" s="2">
        <v>27</v>
      </c>
      <c r="L2331" s="2" t="s">
        <v>80</v>
      </c>
    </row>
    <row r="2332" spans="1:12" x14ac:dyDescent="0.3">
      <c r="A2332" s="2">
        <v>2321</v>
      </c>
      <c r="B2332" s="2" t="s">
        <v>2517</v>
      </c>
      <c r="C2332" s="2" t="s">
        <v>3089</v>
      </c>
      <c r="D2332" s="2" t="s">
        <v>41</v>
      </c>
      <c r="E2332" s="2" t="s">
        <v>16</v>
      </c>
      <c r="F2332" s="2">
        <v>30</v>
      </c>
      <c r="G2332" s="2" t="s">
        <v>6309</v>
      </c>
      <c r="H2332" s="2" t="s">
        <v>1888</v>
      </c>
      <c r="I2332" s="2" t="s">
        <v>1889</v>
      </c>
      <c r="J2332" s="3">
        <v>44837</v>
      </c>
      <c r="K2332" s="2">
        <v>55</v>
      </c>
      <c r="L2332" s="2" t="s">
        <v>45</v>
      </c>
    </row>
    <row r="2333" spans="1:12" x14ac:dyDescent="0.3">
      <c r="A2333" s="2">
        <v>2322</v>
      </c>
      <c r="B2333" s="2" t="s">
        <v>6310</v>
      </c>
      <c r="C2333" s="2" t="s">
        <v>6311</v>
      </c>
      <c r="D2333" s="2" t="s">
        <v>28</v>
      </c>
      <c r="E2333" s="2" t="s">
        <v>29</v>
      </c>
      <c r="F2333" s="2">
        <v>90</v>
      </c>
      <c r="G2333" s="2" t="s">
        <v>6309</v>
      </c>
      <c r="H2333" s="2" t="s">
        <v>6312</v>
      </c>
      <c r="I2333" s="2" t="s">
        <v>173</v>
      </c>
      <c r="J2333" s="3">
        <v>44214</v>
      </c>
      <c r="K2333" s="2">
        <v>8</v>
      </c>
      <c r="L2333" s="2" t="s">
        <v>159</v>
      </c>
    </row>
    <row r="2334" spans="1:12" x14ac:dyDescent="0.3">
      <c r="A2334" s="2">
        <v>2323</v>
      </c>
      <c r="B2334" s="2" t="s">
        <v>797</v>
      </c>
      <c r="C2334" s="2" t="s">
        <v>6255</v>
      </c>
      <c r="D2334" s="2" t="s">
        <v>15</v>
      </c>
      <c r="E2334" s="2" t="s">
        <v>16</v>
      </c>
      <c r="F2334" s="2">
        <v>60</v>
      </c>
      <c r="G2334" s="2" t="s">
        <v>6313</v>
      </c>
      <c r="H2334" s="2" t="s">
        <v>5581</v>
      </c>
      <c r="I2334" s="2" t="s">
        <v>187</v>
      </c>
      <c r="J2334" s="3">
        <v>44209</v>
      </c>
      <c r="K2334" s="2">
        <v>45</v>
      </c>
      <c r="L2334" s="2" t="s">
        <v>80</v>
      </c>
    </row>
    <row r="2335" spans="1:12" x14ac:dyDescent="0.3">
      <c r="A2335" s="2">
        <v>2324</v>
      </c>
      <c r="B2335" s="2" t="s">
        <v>1801</v>
      </c>
      <c r="C2335" s="2" t="s">
        <v>6314</v>
      </c>
      <c r="D2335" s="2" t="s">
        <v>15</v>
      </c>
      <c r="E2335" s="2" t="s">
        <v>16</v>
      </c>
      <c r="F2335" s="2">
        <v>60</v>
      </c>
      <c r="G2335" s="2" t="s">
        <v>6315</v>
      </c>
      <c r="H2335" s="2" t="s">
        <v>412</v>
      </c>
      <c r="I2335" s="2" t="s">
        <v>187</v>
      </c>
      <c r="J2335" s="3">
        <v>44323</v>
      </c>
      <c r="K2335" s="2">
        <v>66</v>
      </c>
      <c r="L2335" s="2" t="s">
        <v>101</v>
      </c>
    </row>
    <row r="2336" spans="1:12" x14ac:dyDescent="0.3">
      <c r="A2336" s="2">
        <v>2325</v>
      </c>
      <c r="B2336" s="2" t="s">
        <v>6316</v>
      </c>
      <c r="C2336" s="2" t="s">
        <v>3084</v>
      </c>
      <c r="D2336" s="2" t="s">
        <v>15</v>
      </c>
      <c r="E2336" s="2" t="s">
        <v>16</v>
      </c>
      <c r="F2336" s="2">
        <v>30</v>
      </c>
      <c r="G2336" s="2" t="s">
        <v>6315</v>
      </c>
      <c r="H2336" s="2" t="s">
        <v>772</v>
      </c>
      <c r="I2336" s="2" t="s">
        <v>32</v>
      </c>
      <c r="J2336" s="3">
        <v>44753</v>
      </c>
      <c r="K2336" s="2">
        <v>58</v>
      </c>
      <c r="L2336" s="2" t="s">
        <v>101</v>
      </c>
    </row>
    <row r="2337" spans="1:12" x14ac:dyDescent="0.3">
      <c r="A2337" s="2">
        <v>2326</v>
      </c>
      <c r="B2337" s="2" t="s">
        <v>6317</v>
      </c>
      <c r="C2337" s="2" t="s">
        <v>5541</v>
      </c>
      <c r="D2337" s="2" t="s">
        <v>15</v>
      </c>
      <c r="E2337" s="2" t="s">
        <v>16</v>
      </c>
      <c r="F2337" s="2">
        <v>60</v>
      </c>
      <c r="G2337" s="2" t="s">
        <v>6318</v>
      </c>
      <c r="H2337" s="2" t="s">
        <v>6319</v>
      </c>
      <c r="I2337" s="2" t="s">
        <v>32</v>
      </c>
      <c r="J2337" s="3">
        <v>44205</v>
      </c>
      <c r="K2337" s="2">
        <v>41</v>
      </c>
      <c r="L2337" s="2" t="s">
        <v>101</v>
      </c>
    </row>
    <row r="2338" spans="1:12" x14ac:dyDescent="0.3">
      <c r="A2338" s="2">
        <v>2327</v>
      </c>
      <c r="B2338" s="2" t="s">
        <v>3232</v>
      </c>
      <c r="C2338" s="2" t="s">
        <v>5215</v>
      </c>
      <c r="D2338" s="2" t="s">
        <v>28</v>
      </c>
      <c r="E2338" s="2" t="s">
        <v>29</v>
      </c>
      <c r="F2338" s="2">
        <v>30</v>
      </c>
      <c r="G2338" s="2" t="s">
        <v>6320</v>
      </c>
      <c r="H2338" s="2" t="s">
        <v>2993</v>
      </c>
      <c r="I2338" s="2" t="s">
        <v>32</v>
      </c>
      <c r="J2338" s="3">
        <v>44418</v>
      </c>
      <c r="K2338" s="2">
        <v>12</v>
      </c>
      <c r="L2338" s="2" t="s">
        <v>101</v>
      </c>
    </row>
    <row r="2339" spans="1:12" x14ac:dyDescent="0.3">
      <c r="A2339" s="2">
        <v>2328</v>
      </c>
      <c r="B2339" s="2" t="s">
        <v>1327</v>
      </c>
      <c r="C2339" s="2" t="s">
        <v>931</v>
      </c>
      <c r="D2339" s="2" t="s">
        <v>28</v>
      </c>
      <c r="E2339" s="2" t="s">
        <v>29</v>
      </c>
      <c r="F2339" s="2">
        <v>90</v>
      </c>
      <c r="G2339" s="2" t="s">
        <v>6321</v>
      </c>
      <c r="H2339" s="2" t="s">
        <v>2305</v>
      </c>
      <c r="I2339" s="2" t="s">
        <v>25</v>
      </c>
      <c r="J2339" s="3">
        <v>44455</v>
      </c>
      <c r="K2339" s="2">
        <v>80</v>
      </c>
      <c r="L2339" s="2" t="s">
        <v>80</v>
      </c>
    </row>
    <row r="2340" spans="1:12" x14ac:dyDescent="0.3">
      <c r="A2340" s="2">
        <v>2329</v>
      </c>
      <c r="B2340" s="2" t="s">
        <v>580</v>
      </c>
      <c r="C2340" s="2" t="s">
        <v>6322</v>
      </c>
      <c r="D2340" s="2" t="s">
        <v>28</v>
      </c>
      <c r="E2340" s="2" t="s">
        <v>29</v>
      </c>
      <c r="F2340" s="2">
        <v>90</v>
      </c>
      <c r="G2340" s="2" t="s">
        <v>6323</v>
      </c>
      <c r="H2340" s="2" t="s">
        <v>3854</v>
      </c>
      <c r="I2340" s="2" t="s">
        <v>38</v>
      </c>
      <c r="J2340" s="3">
        <v>44687</v>
      </c>
      <c r="K2340" s="2">
        <v>29</v>
      </c>
      <c r="L2340" s="2" t="s">
        <v>20</v>
      </c>
    </row>
    <row r="2341" spans="1:12" x14ac:dyDescent="0.3">
      <c r="A2341" s="2">
        <v>2330</v>
      </c>
      <c r="B2341" s="2" t="s">
        <v>6324</v>
      </c>
      <c r="C2341" s="2" t="s">
        <v>1345</v>
      </c>
      <c r="D2341" s="2" t="s">
        <v>51</v>
      </c>
      <c r="E2341" s="2" t="s">
        <v>16</v>
      </c>
      <c r="F2341" s="2">
        <v>30</v>
      </c>
      <c r="G2341" s="2" t="s">
        <v>6325</v>
      </c>
      <c r="H2341" s="2" t="s">
        <v>168</v>
      </c>
      <c r="I2341" s="2" t="s">
        <v>32</v>
      </c>
      <c r="J2341" s="3">
        <v>44903</v>
      </c>
      <c r="K2341" s="2">
        <v>68</v>
      </c>
      <c r="L2341" s="2" t="s">
        <v>64</v>
      </c>
    </row>
    <row r="2342" spans="1:12" x14ac:dyDescent="0.3">
      <c r="A2342" s="2">
        <v>2331</v>
      </c>
      <c r="B2342" s="2" t="s">
        <v>6326</v>
      </c>
      <c r="C2342" s="2" t="s">
        <v>832</v>
      </c>
      <c r="D2342" s="2" t="s">
        <v>51</v>
      </c>
      <c r="E2342" s="2" t="s">
        <v>16</v>
      </c>
      <c r="F2342" s="2">
        <v>90</v>
      </c>
      <c r="G2342" s="2" t="s">
        <v>6327</v>
      </c>
      <c r="H2342" s="2" t="s">
        <v>2056</v>
      </c>
      <c r="I2342" s="2" t="s">
        <v>32</v>
      </c>
      <c r="J2342" s="3">
        <v>44717</v>
      </c>
      <c r="K2342" s="2">
        <v>5</v>
      </c>
      <c r="L2342" s="2" t="s">
        <v>64</v>
      </c>
    </row>
    <row r="2343" spans="1:12" x14ac:dyDescent="0.3">
      <c r="A2343" s="2">
        <v>2332</v>
      </c>
      <c r="B2343" s="2" t="s">
        <v>6328</v>
      </c>
      <c r="C2343" s="2" t="s">
        <v>2922</v>
      </c>
      <c r="D2343" s="2" t="s">
        <v>28</v>
      </c>
      <c r="E2343" s="2" t="s">
        <v>29</v>
      </c>
      <c r="F2343" s="2">
        <v>60</v>
      </c>
      <c r="G2343" s="2" t="s">
        <v>6329</v>
      </c>
      <c r="H2343" s="2" t="s">
        <v>1583</v>
      </c>
      <c r="I2343" s="2" t="s">
        <v>178</v>
      </c>
      <c r="J2343" s="3">
        <v>44856</v>
      </c>
      <c r="K2343" s="2">
        <v>37</v>
      </c>
      <c r="L2343" s="2" t="s">
        <v>101</v>
      </c>
    </row>
    <row r="2344" spans="1:12" x14ac:dyDescent="0.3">
      <c r="A2344" s="2">
        <v>2333</v>
      </c>
      <c r="B2344" s="2" t="s">
        <v>6330</v>
      </c>
      <c r="C2344" s="2" t="s">
        <v>6331</v>
      </c>
      <c r="D2344" s="2" t="s">
        <v>28</v>
      </c>
      <c r="E2344" s="2" t="s">
        <v>29</v>
      </c>
      <c r="F2344" s="2">
        <v>60</v>
      </c>
      <c r="G2344" s="2" t="s">
        <v>6332</v>
      </c>
      <c r="H2344" s="2" t="s">
        <v>412</v>
      </c>
      <c r="I2344" s="2" t="s">
        <v>187</v>
      </c>
      <c r="J2344" s="3">
        <v>44426</v>
      </c>
      <c r="K2344" s="2">
        <v>18</v>
      </c>
      <c r="L2344" s="2" t="s">
        <v>20</v>
      </c>
    </row>
    <row r="2345" spans="1:12" x14ac:dyDescent="0.3">
      <c r="A2345" s="2">
        <v>2334</v>
      </c>
      <c r="B2345" s="2" t="s">
        <v>6333</v>
      </c>
      <c r="C2345" s="2" t="s">
        <v>1592</v>
      </c>
      <c r="D2345" s="2" t="s">
        <v>51</v>
      </c>
      <c r="E2345" s="2" t="s">
        <v>16</v>
      </c>
      <c r="F2345" s="2">
        <v>90</v>
      </c>
      <c r="G2345" s="2" t="s">
        <v>6334</v>
      </c>
      <c r="H2345" s="2" t="s">
        <v>4085</v>
      </c>
      <c r="I2345" s="2" t="s">
        <v>240</v>
      </c>
      <c r="J2345" s="3">
        <v>44505</v>
      </c>
      <c r="K2345" s="2">
        <v>70</v>
      </c>
      <c r="L2345" s="2" t="s">
        <v>159</v>
      </c>
    </row>
    <row r="2346" spans="1:12" x14ac:dyDescent="0.3">
      <c r="A2346" s="2">
        <v>2335</v>
      </c>
      <c r="B2346" s="2" t="s">
        <v>2495</v>
      </c>
      <c r="C2346" s="2" t="s">
        <v>5998</v>
      </c>
      <c r="D2346" s="2" t="s">
        <v>28</v>
      </c>
      <c r="E2346" s="2" t="s">
        <v>29</v>
      </c>
      <c r="F2346" s="2">
        <v>60</v>
      </c>
      <c r="G2346" s="2" t="s">
        <v>6335</v>
      </c>
      <c r="H2346" s="2" t="s">
        <v>4039</v>
      </c>
      <c r="I2346" s="2" t="s">
        <v>32</v>
      </c>
      <c r="J2346" s="3">
        <v>44829</v>
      </c>
      <c r="K2346" s="2">
        <v>17</v>
      </c>
      <c r="L2346" s="2" t="s">
        <v>101</v>
      </c>
    </row>
    <row r="2347" spans="1:12" x14ac:dyDescent="0.3">
      <c r="A2347" s="2">
        <v>2336</v>
      </c>
      <c r="B2347" s="2" t="s">
        <v>6336</v>
      </c>
      <c r="C2347" s="2" t="s">
        <v>5452</v>
      </c>
      <c r="D2347" s="2" t="s">
        <v>51</v>
      </c>
      <c r="E2347" s="2" t="s">
        <v>16</v>
      </c>
      <c r="F2347" s="2">
        <v>60</v>
      </c>
      <c r="G2347" s="2" t="s">
        <v>6337</v>
      </c>
      <c r="H2347" s="2" t="s">
        <v>1168</v>
      </c>
      <c r="I2347" s="2" t="s">
        <v>32</v>
      </c>
      <c r="J2347" s="3">
        <v>44539</v>
      </c>
      <c r="K2347" s="2">
        <v>75</v>
      </c>
      <c r="L2347" s="2" t="s">
        <v>64</v>
      </c>
    </row>
    <row r="2348" spans="1:12" x14ac:dyDescent="0.3">
      <c r="A2348" s="2">
        <v>2337</v>
      </c>
      <c r="B2348" s="2" t="s">
        <v>6338</v>
      </c>
      <c r="C2348" s="2" t="s">
        <v>5824</v>
      </c>
      <c r="D2348" s="2" t="s">
        <v>51</v>
      </c>
      <c r="E2348" s="2" t="s">
        <v>16</v>
      </c>
      <c r="F2348" s="2">
        <v>90</v>
      </c>
      <c r="G2348" s="2" t="s">
        <v>6339</v>
      </c>
      <c r="H2348" s="2" t="s">
        <v>634</v>
      </c>
      <c r="I2348" s="2" t="s">
        <v>32</v>
      </c>
      <c r="J2348" s="3">
        <v>44462</v>
      </c>
      <c r="K2348" s="2">
        <v>46</v>
      </c>
      <c r="L2348" s="2" t="s">
        <v>39</v>
      </c>
    </row>
    <row r="2349" spans="1:12" x14ac:dyDescent="0.3">
      <c r="A2349" s="2">
        <v>2338</v>
      </c>
      <c r="B2349" s="2" t="s">
        <v>5644</v>
      </c>
      <c r="C2349" s="2" t="s">
        <v>5893</v>
      </c>
      <c r="D2349" s="2" t="s">
        <v>28</v>
      </c>
      <c r="E2349" s="2" t="s">
        <v>29</v>
      </c>
      <c r="F2349" s="2">
        <v>90</v>
      </c>
      <c r="G2349" s="2" t="s">
        <v>6340</v>
      </c>
      <c r="H2349" s="2" t="s">
        <v>4337</v>
      </c>
      <c r="I2349" s="2" t="s">
        <v>25</v>
      </c>
      <c r="J2349" s="3">
        <v>44409</v>
      </c>
      <c r="K2349" s="2">
        <v>37</v>
      </c>
      <c r="L2349" s="2" t="s">
        <v>54</v>
      </c>
    </row>
    <row r="2350" spans="1:12" x14ac:dyDescent="0.3">
      <c r="A2350" s="2">
        <v>2339</v>
      </c>
      <c r="B2350" s="2" t="s">
        <v>711</v>
      </c>
      <c r="C2350" s="2" t="s">
        <v>536</v>
      </c>
      <c r="D2350" s="2" t="s">
        <v>28</v>
      </c>
      <c r="E2350" s="2" t="s">
        <v>29</v>
      </c>
      <c r="F2350" s="2">
        <v>90</v>
      </c>
      <c r="G2350" s="2" t="s">
        <v>6341</v>
      </c>
      <c r="H2350" s="2" t="s">
        <v>1142</v>
      </c>
      <c r="I2350" s="2" t="s">
        <v>38</v>
      </c>
      <c r="J2350" s="3">
        <v>44098</v>
      </c>
      <c r="K2350" s="2">
        <v>46</v>
      </c>
      <c r="L2350" s="2" t="s">
        <v>101</v>
      </c>
    </row>
    <row r="2351" spans="1:12" x14ac:dyDescent="0.3">
      <c r="A2351" s="2">
        <v>2340</v>
      </c>
      <c r="B2351" s="2" t="s">
        <v>485</v>
      </c>
      <c r="C2351" s="2" t="s">
        <v>2043</v>
      </c>
      <c r="D2351" s="2" t="s">
        <v>28</v>
      </c>
      <c r="E2351" s="2" t="s">
        <v>29</v>
      </c>
      <c r="F2351" s="2">
        <v>90</v>
      </c>
      <c r="G2351" s="2" t="s">
        <v>6342</v>
      </c>
      <c r="H2351" s="2" t="s">
        <v>6343</v>
      </c>
      <c r="I2351" s="2" t="s">
        <v>32</v>
      </c>
      <c r="J2351" s="3">
        <v>44405</v>
      </c>
      <c r="K2351" s="2">
        <v>33</v>
      </c>
      <c r="L2351" s="2" t="s">
        <v>39</v>
      </c>
    </row>
    <row r="2352" spans="1:12" x14ac:dyDescent="0.3">
      <c r="A2352" s="2">
        <v>2341</v>
      </c>
      <c r="B2352" s="2" t="s">
        <v>6344</v>
      </c>
      <c r="C2352" s="2" t="s">
        <v>6345</v>
      </c>
      <c r="D2352" s="2" t="s">
        <v>15</v>
      </c>
      <c r="E2352" s="2" t="s">
        <v>16</v>
      </c>
      <c r="F2352" s="2">
        <v>90</v>
      </c>
      <c r="G2352" s="2" t="s">
        <v>6346</v>
      </c>
      <c r="H2352" s="2" t="s">
        <v>2021</v>
      </c>
      <c r="I2352" s="2" t="s">
        <v>2022</v>
      </c>
      <c r="J2352" s="3">
        <v>44088</v>
      </c>
      <c r="K2352" s="2">
        <v>13</v>
      </c>
      <c r="L2352" s="2" t="s">
        <v>33</v>
      </c>
    </row>
    <row r="2353" spans="1:12" x14ac:dyDescent="0.3">
      <c r="A2353" s="2">
        <v>2342</v>
      </c>
      <c r="B2353" s="2" t="s">
        <v>1553</v>
      </c>
      <c r="C2353" s="2" t="s">
        <v>3426</v>
      </c>
      <c r="D2353" s="2" t="s">
        <v>28</v>
      </c>
      <c r="E2353" s="2" t="s">
        <v>29</v>
      </c>
      <c r="F2353" s="2">
        <v>60</v>
      </c>
      <c r="G2353" s="2" t="s">
        <v>10440</v>
      </c>
      <c r="H2353" s="2" t="s">
        <v>6348</v>
      </c>
      <c r="I2353" s="2" t="s">
        <v>32</v>
      </c>
      <c r="J2353" s="3">
        <v>44681</v>
      </c>
      <c r="K2353" s="2">
        <v>23</v>
      </c>
      <c r="L2353" s="2" t="s">
        <v>101</v>
      </c>
    </row>
    <row r="2354" spans="1:12" x14ac:dyDescent="0.3">
      <c r="A2354" s="2">
        <v>2343</v>
      </c>
      <c r="B2354" s="2" t="s">
        <v>4953</v>
      </c>
      <c r="C2354" s="2" t="s">
        <v>6349</v>
      </c>
      <c r="D2354" s="2" t="s">
        <v>51</v>
      </c>
      <c r="E2354" s="2" t="s">
        <v>16</v>
      </c>
      <c r="F2354" s="2">
        <v>90</v>
      </c>
      <c r="G2354" s="2" t="s">
        <v>6350</v>
      </c>
      <c r="H2354" s="2" t="s">
        <v>1206</v>
      </c>
      <c r="I2354" s="2" t="s">
        <v>294</v>
      </c>
      <c r="J2354" s="3">
        <v>44724</v>
      </c>
      <c r="K2354" s="2">
        <v>5</v>
      </c>
      <c r="L2354" s="2" t="s">
        <v>159</v>
      </c>
    </row>
    <row r="2355" spans="1:12" x14ac:dyDescent="0.3">
      <c r="A2355" s="2">
        <v>2344</v>
      </c>
      <c r="B2355" s="2" t="s">
        <v>2639</v>
      </c>
      <c r="C2355" s="2" t="s">
        <v>6351</v>
      </c>
      <c r="D2355" s="2" t="s">
        <v>28</v>
      </c>
      <c r="E2355" s="2" t="s">
        <v>29</v>
      </c>
      <c r="F2355" s="2">
        <v>60</v>
      </c>
      <c r="G2355" s="2" t="s">
        <v>6352</v>
      </c>
      <c r="H2355" s="2" t="s">
        <v>6353</v>
      </c>
      <c r="I2355" s="2" t="s">
        <v>32</v>
      </c>
      <c r="J2355" s="3">
        <v>44775</v>
      </c>
      <c r="K2355" s="2">
        <v>23</v>
      </c>
      <c r="L2355" s="2" t="s">
        <v>39</v>
      </c>
    </row>
    <row r="2356" spans="1:12" x14ac:dyDescent="0.3">
      <c r="A2356" s="2">
        <v>2345</v>
      </c>
      <c r="B2356" s="2" t="s">
        <v>1058</v>
      </c>
      <c r="C2356" s="2" t="s">
        <v>384</v>
      </c>
      <c r="D2356" s="2" t="s">
        <v>28</v>
      </c>
      <c r="E2356" s="2" t="s">
        <v>29</v>
      </c>
      <c r="F2356" s="2">
        <v>30</v>
      </c>
      <c r="G2356" s="2" t="s">
        <v>10526</v>
      </c>
      <c r="H2356" s="2" t="s">
        <v>2516</v>
      </c>
      <c r="I2356" s="2" t="s">
        <v>32</v>
      </c>
      <c r="J2356" s="3">
        <v>44829</v>
      </c>
      <c r="K2356" s="2">
        <v>71</v>
      </c>
      <c r="L2356" s="2" t="s">
        <v>45</v>
      </c>
    </row>
    <row r="2357" spans="1:12" x14ac:dyDescent="0.3">
      <c r="A2357" s="2">
        <v>2346</v>
      </c>
      <c r="B2357" s="2" t="s">
        <v>183</v>
      </c>
      <c r="C2357" s="2" t="s">
        <v>6355</v>
      </c>
      <c r="D2357" s="2" t="s">
        <v>28</v>
      </c>
      <c r="E2357" s="2" t="s">
        <v>29</v>
      </c>
      <c r="F2357" s="2">
        <v>90</v>
      </c>
      <c r="G2357" s="2" t="s">
        <v>6356</v>
      </c>
      <c r="H2357" s="2" t="s">
        <v>2972</v>
      </c>
      <c r="I2357" s="2" t="s">
        <v>32</v>
      </c>
      <c r="J2357" s="3">
        <v>44252</v>
      </c>
      <c r="K2357" s="2">
        <v>94</v>
      </c>
      <c r="L2357" s="2" t="s">
        <v>45</v>
      </c>
    </row>
    <row r="2358" spans="1:12" x14ac:dyDescent="0.3">
      <c r="A2358" s="2">
        <v>2347</v>
      </c>
      <c r="B2358" s="2" t="s">
        <v>4875</v>
      </c>
      <c r="C2358" s="2" t="s">
        <v>4828</v>
      </c>
      <c r="D2358" s="2" t="s">
        <v>28</v>
      </c>
      <c r="E2358" s="2" t="s">
        <v>29</v>
      </c>
      <c r="F2358" s="2">
        <v>90</v>
      </c>
      <c r="G2358" s="2" t="s">
        <v>6357</v>
      </c>
      <c r="H2358" s="2" t="s">
        <v>1690</v>
      </c>
      <c r="I2358" s="2" t="s">
        <v>208</v>
      </c>
      <c r="J2358" s="3">
        <v>44240</v>
      </c>
      <c r="K2358" s="2">
        <v>45</v>
      </c>
      <c r="L2358" s="2" t="s">
        <v>70</v>
      </c>
    </row>
    <row r="2359" spans="1:12" x14ac:dyDescent="0.3">
      <c r="A2359" s="2">
        <v>2348</v>
      </c>
      <c r="B2359" s="2" t="s">
        <v>6358</v>
      </c>
      <c r="C2359" s="2" t="s">
        <v>2738</v>
      </c>
      <c r="D2359" s="2" t="s">
        <v>15</v>
      </c>
      <c r="E2359" s="2" t="s">
        <v>16</v>
      </c>
      <c r="F2359" s="2">
        <v>30</v>
      </c>
      <c r="G2359" s="2" t="s">
        <v>6357</v>
      </c>
      <c r="H2359" s="2" t="s">
        <v>4807</v>
      </c>
      <c r="I2359" s="2" t="s">
        <v>32</v>
      </c>
      <c r="J2359" s="3">
        <v>44600</v>
      </c>
      <c r="K2359" s="2">
        <v>85</v>
      </c>
      <c r="L2359" s="2" t="s">
        <v>80</v>
      </c>
    </row>
    <row r="2360" spans="1:12" x14ac:dyDescent="0.3">
      <c r="A2360" s="2">
        <v>2349</v>
      </c>
      <c r="B2360" s="2" t="s">
        <v>6359</v>
      </c>
      <c r="C2360" s="2" t="s">
        <v>6360</v>
      </c>
      <c r="D2360" s="2" t="s">
        <v>15</v>
      </c>
      <c r="E2360" s="2" t="s">
        <v>16</v>
      </c>
      <c r="F2360" s="2">
        <v>60</v>
      </c>
      <c r="G2360" s="2" t="s">
        <v>6361</v>
      </c>
      <c r="H2360" s="2" t="s">
        <v>6362</v>
      </c>
      <c r="I2360" s="2" t="s">
        <v>425</v>
      </c>
      <c r="J2360" s="3">
        <v>43935</v>
      </c>
      <c r="K2360" s="2">
        <v>62</v>
      </c>
      <c r="L2360" s="2" t="s">
        <v>70</v>
      </c>
    </row>
    <row r="2361" spans="1:12" x14ac:dyDescent="0.3">
      <c r="A2361" s="2">
        <v>2350</v>
      </c>
      <c r="B2361" s="2" t="s">
        <v>5095</v>
      </c>
      <c r="C2361" s="2" t="s">
        <v>2923</v>
      </c>
      <c r="D2361" s="2" t="s">
        <v>15</v>
      </c>
      <c r="E2361" s="2" t="s">
        <v>16</v>
      </c>
      <c r="F2361" s="2">
        <v>30</v>
      </c>
      <c r="G2361" s="2" t="s">
        <v>6361</v>
      </c>
      <c r="H2361" s="2" t="s">
        <v>3854</v>
      </c>
      <c r="I2361" s="2" t="s">
        <v>38</v>
      </c>
      <c r="J2361" s="3">
        <v>44506</v>
      </c>
      <c r="K2361" s="2">
        <v>61</v>
      </c>
      <c r="L2361" s="2" t="s">
        <v>39</v>
      </c>
    </row>
    <row r="2362" spans="1:12" x14ac:dyDescent="0.3">
      <c r="A2362" s="2">
        <v>2351</v>
      </c>
      <c r="B2362" s="2" t="s">
        <v>2682</v>
      </c>
      <c r="C2362" s="2" t="s">
        <v>6363</v>
      </c>
      <c r="D2362" s="2" t="s">
        <v>28</v>
      </c>
      <c r="E2362" s="2" t="s">
        <v>29</v>
      </c>
      <c r="F2362" s="2">
        <v>30</v>
      </c>
      <c r="G2362" s="2" t="s">
        <v>6364</v>
      </c>
      <c r="H2362" s="2" t="s">
        <v>474</v>
      </c>
      <c r="I2362" s="2" t="s">
        <v>475</v>
      </c>
      <c r="J2362" s="3">
        <v>44009</v>
      </c>
      <c r="K2362" s="2">
        <v>42</v>
      </c>
      <c r="L2362" s="2" t="s">
        <v>45</v>
      </c>
    </row>
    <row r="2363" spans="1:12" x14ac:dyDescent="0.3">
      <c r="A2363" s="2">
        <v>2352</v>
      </c>
      <c r="B2363" s="2" t="s">
        <v>6365</v>
      </c>
      <c r="C2363" s="2" t="s">
        <v>116</v>
      </c>
      <c r="D2363" s="2" t="s">
        <v>28</v>
      </c>
      <c r="E2363" s="2" t="s">
        <v>29</v>
      </c>
      <c r="F2363" s="2">
        <v>30</v>
      </c>
      <c r="G2363" s="2" t="s">
        <v>6366</v>
      </c>
      <c r="H2363" s="2" t="s">
        <v>3070</v>
      </c>
      <c r="I2363" s="2" t="s">
        <v>575</v>
      </c>
      <c r="J2363" s="3">
        <v>43910</v>
      </c>
      <c r="K2363" s="2">
        <v>66</v>
      </c>
      <c r="L2363" s="2" t="s">
        <v>33</v>
      </c>
    </row>
    <row r="2364" spans="1:12" x14ac:dyDescent="0.3">
      <c r="A2364" s="2">
        <v>2353</v>
      </c>
      <c r="B2364" s="2" t="s">
        <v>6367</v>
      </c>
      <c r="C2364" s="2" t="s">
        <v>4829</v>
      </c>
      <c r="D2364" s="2" t="s">
        <v>51</v>
      </c>
      <c r="E2364" s="2" t="s">
        <v>16</v>
      </c>
      <c r="F2364" s="2">
        <v>60</v>
      </c>
      <c r="G2364" s="2" t="s">
        <v>6366</v>
      </c>
      <c r="H2364" s="2" t="s">
        <v>203</v>
      </c>
      <c r="I2364" s="2" t="s">
        <v>32</v>
      </c>
      <c r="J2364" s="3">
        <v>44338</v>
      </c>
      <c r="K2364" s="2">
        <v>49</v>
      </c>
      <c r="L2364" s="2" t="s">
        <v>33</v>
      </c>
    </row>
    <row r="2365" spans="1:12" x14ac:dyDescent="0.3">
      <c r="A2365" s="2">
        <v>2354</v>
      </c>
      <c r="B2365" s="2" t="s">
        <v>6368</v>
      </c>
      <c r="C2365" s="2" t="s">
        <v>2757</v>
      </c>
      <c r="D2365" s="2" t="s">
        <v>51</v>
      </c>
      <c r="E2365" s="2" t="s">
        <v>16</v>
      </c>
      <c r="F2365" s="2">
        <v>90</v>
      </c>
      <c r="G2365" s="2" t="s">
        <v>6369</v>
      </c>
      <c r="H2365" s="2" t="s">
        <v>4675</v>
      </c>
      <c r="I2365" s="2" t="s">
        <v>178</v>
      </c>
      <c r="J2365" s="3">
        <v>44022</v>
      </c>
      <c r="K2365" s="2">
        <v>22</v>
      </c>
      <c r="L2365" s="2" t="s">
        <v>80</v>
      </c>
    </row>
    <row r="2366" spans="1:12" x14ac:dyDescent="0.3">
      <c r="A2366" s="2">
        <v>2355</v>
      </c>
      <c r="B2366" s="2" t="s">
        <v>4375</v>
      </c>
      <c r="C2366" s="2" t="s">
        <v>3884</v>
      </c>
      <c r="D2366" s="2" t="s">
        <v>28</v>
      </c>
      <c r="E2366" s="2" t="s">
        <v>29</v>
      </c>
      <c r="F2366" s="2">
        <v>30</v>
      </c>
      <c r="G2366" s="2" t="s">
        <v>6370</v>
      </c>
      <c r="H2366" s="2" t="s">
        <v>2156</v>
      </c>
      <c r="I2366" s="2" t="s">
        <v>32</v>
      </c>
      <c r="J2366" s="3">
        <v>44138</v>
      </c>
      <c r="K2366" s="2">
        <v>14</v>
      </c>
      <c r="L2366" s="2" t="s">
        <v>39</v>
      </c>
    </row>
    <row r="2367" spans="1:12" x14ac:dyDescent="0.3">
      <c r="A2367" s="2">
        <v>2356</v>
      </c>
      <c r="B2367" s="2" t="s">
        <v>6371</v>
      </c>
      <c r="C2367" s="2" t="s">
        <v>2841</v>
      </c>
      <c r="D2367" s="2" t="s">
        <v>15</v>
      </c>
      <c r="E2367" s="2" t="s">
        <v>16</v>
      </c>
      <c r="F2367" s="2">
        <v>30</v>
      </c>
      <c r="G2367" s="2" t="s">
        <v>10527</v>
      </c>
      <c r="H2367" s="2" t="s">
        <v>2127</v>
      </c>
      <c r="I2367" s="2" t="s">
        <v>32</v>
      </c>
      <c r="J2367" s="3">
        <v>44517</v>
      </c>
      <c r="K2367" s="2">
        <v>4</v>
      </c>
      <c r="L2367" s="2" t="s">
        <v>70</v>
      </c>
    </row>
    <row r="2368" spans="1:12" x14ac:dyDescent="0.3">
      <c r="A2368" s="2">
        <v>2357</v>
      </c>
      <c r="B2368" s="2" t="s">
        <v>3013</v>
      </c>
      <c r="C2368" s="2" t="s">
        <v>2856</v>
      </c>
      <c r="D2368" s="2" t="s">
        <v>51</v>
      </c>
      <c r="E2368" s="2" t="s">
        <v>16</v>
      </c>
      <c r="F2368" s="2">
        <v>60</v>
      </c>
      <c r="G2368" s="2" t="s">
        <v>6373</v>
      </c>
      <c r="H2368" s="2" t="s">
        <v>920</v>
      </c>
      <c r="I2368" s="2" t="s">
        <v>178</v>
      </c>
      <c r="J2368" s="3">
        <v>44003</v>
      </c>
      <c r="K2368" s="2">
        <v>35</v>
      </c>
      <c r="L2368" s="2" t="s">
        <v>159</v>
      </c>
    </row>
    <row r="2369" spans="1:12" x14ac:dyDescent="0.3">
      <c r="A2369" s="2">
        <v>2358</v>
      </c>
      <c r="B2369" s="2" t="s">
        <v>6374</v>
      </c>
      <c r="C2369" s="2" t="s">
        <v>4865</v>
      </c>
      <c r="D2369" s="2" t="s">
        <v>41</v>
      </c>
      <c r="E2369" s="2" t="s">
        <v>16</v>
      </c>
      <c r="F2369" s="2">
        <v>60</v>
      </c>
      <c r="G2369" s="2" t="s">
        <v>6373</v>
      </c>
      <c r="H2369" s="2" t="s">
        <v>2250</v>
      </c>
      <c r="I2369" s="2" t="s">
        <v>187</v>
      </c>
      <c r="J2369" s="3">
        <v>44433</v>
      </c>
      <c r="K2369" s="2">
        <v>78</v>
      </c>
      <c r="L2369" s="2" t="s">
        <v>33</v>
      </c>
    </row>
    <row r="2370" spans="1:12" x14ac:dyDescent="0.3">
      <c r="A2370" s="2">
        <v>2359</v>
      </c>
      <c r="B2370" s="2" t="s">
        <v>1030</v>
      </c>
      <c r="C2370" s="2" t="s">
        <v>2033</v>
      </c>
      <c r="D2370" s="2" t="s">
        <v>28</v>
      </c>
      <c r="E2370" s="2" t="s">
        <v>29</v>
      </c>
      <c r="F2370" s="2">
        <v>30</v>
      </c>
      <c r="G2370" s="2" t="s">
        <v>6375</v>
      </c>
      <c r="H2370" s="2" t="s">
        <v>1490</v>
      </c>
      <c r="I2370" s="2" t="s">
        <v>294</v>
      </c>
      <c r="J2370" s="3">
        <v>44001</v>
      </c>
      <c r="K2370" s="2">
        <v>20</v>
      </c>
      <c r="L2370" s="2" t="s">
        <v>70</v>
      </c>
    </row>
    <row r="2371" spans="1:12" x14ac:dyDescent="0.3">
      <c r="A2371" s="2">
        <v>2360</v>
      </c>
      <c r="B2371" s="2" t="s">
        <v>2285</v>
      </c>
      <c r="C2371" s="2" t="s">
        <v>2735</v>
      </c>
      <c r="D2371" s="2" t="s">
        <v>15</v>
      </c>
      <c r="E2371" s="2" t="s">
        <v>16</v>
      </c>
      <c r="F2371" s="2">
        <v>90</v>
      </c>
      <c r="G2371" s="2" t="s">
        <v>6376</v>
      </c>
      <c r="H2371" s="2" t="s">
        <v>6377</v>
      </c>
      <c r="I2371" s="2" t="s">
        <v>164</v>
      </c>
      <c r="J2371" s="3">
        <v>44729</v>
      </c>
      <c r="K2371" s="2">
        <v>104</v>
      </c>
      <c r="L2371" s="2" t="s">
        <v>54</v>
      </c>
    </row>
    <row r="2372" spans="1:12" x14ac:dyDescent="0.3">
      <c r="A2372" s="2">
        <v>2361</v>
      </c>
      <c r="B2372" s="2" t="s">
        <v>6378</v>
      </c>
      <c r="C2372" s="2" t="s">
        <v>388</v>
      </c>
      <c r="D2372" s="2" t="s">
        <v>28</v>
      </c>
      <c r="E2372" s="2" t="s">
        <v>29</v>
      </c>
      <c r="F2372" s="2">
        <v>30</v>
      </c>
      <c r="G2372" s="2" t="s">
        <v>6379</v>
      </c>
      <c r="H2372" s="2" t="s">
        <v>288</v>
      </c>
      <c r="I2372" s="2" t="s">
        <v>32</v>
      </c>
      <c r="J2372" s="3">
        <v>44039</v>
      </c>
      <c r="K2372" s="2">
        <v>23</v>
      </c>
      <c r="L2372" s="2" t="s">
        <v>33</v>
      </c>
    </row>
    <row r="2373" spans="1:12" x14ac:dyDescent="0.3">
      <c r="A2373" s="2">
        <v>2362</v>
      </c>
      <c r="B2373" s="2" t="s">
        <v>6380</v>
      </c>
      <c r="C2373" s="2" t="s">
        <v>991</v>
      </c>
      <c r="D2373" s="2" t="s">
        <v>15</v>
      </c>
      <c r="E2373" s="2" t="s">
        <v>16</v>
      </c>
      <c r="F2373" s="2">
        <v>90</v>
      </c>
      <c r="G2373" s="2" t="s">
        <v>6381</v>
      </c>
      <c r="H2373" s="2" t="s">
        <v>655</v>
      </c>
      <c r="I2373" s="2" t="s">
        <v>32</v>
      </c>
      <c r="J2373" s="3">
        <v>44147</v>
      </c>
      <c r="K2373" s="2">
        <v>23</v>
      </c>
      <c r="L2373" s="2" t="s">
        <v>39</v>
      </c>
    </row>
    <row r="2374" spans="1:12" x14ac:dyDescent="0.3">
      <c r="A2374" s="2">
        <v>2363</v>
      </c>
      <c r="B2374" s="2" t="s">
        <v>1610</v>
      </c>
      <c r="C2374" s="2" t="s">
        <v>5164</v>
      </c>
      <c r="D2374" s="2" t="s">
        <v>28</v>
      </c>
      <c r="E2374" s="2" t="s">
        <v>29</v>
      </c>
      <c r="F2374" s="2">
        <v>30</v>
      </c>
      <c r="G2374" s="2" t="s">
        <v>6382</v>
      </c>
      <c r="H2374" s="2" t="s">
        <v>4889</v>
      </c>
      <c r="I2374" s="2" t="s">
        <v>110</v>
      </c>
      <c r="J2374" s="3">
        <v>44119</v>
      </c>
      <c r="K2374" s="2">
        <v>85</v>
      </c>
      <c r="L2374" s="2" t="s">
        <v>101</v>
      </c>
    </row>
    <row r="2375" spans="1:12" x14ac:dyDescent="0.3">
      <c r="A2375" s="2">
        <v>2364</v>
      </c>
      <c r="B2375" s="2" t="s">
        <v>433</v>
      </c>
      <c r="C2375" s="2" t="s">
        <v>6021</v>
      </c>
      <c r="D2375" s="2" t="s">
        <v>41</v>
      </c>
      <c r="E2375" s="2" t="s">
        <v>16</v>
      </c>
      <c r="F2375" s="2">
        <v>30</v>
      </c>
      <c r="G2375" s="2" t="s">
        <v>6382</v>
      </c>
      <c r="H2375" s="2" t="s">
        <v>924</v>
      </c>
      <c r="I2375" s="2" t="s">
        <v>32</v>
      </c>
      <c r="J2375" s="3">
        <v>44675</v>
      </c>
      <c r="K2375" s="2">
        <v>18</v>
      </c>
      <c r="L2375" s="2" t="s">
        <v>80</v>
      </c>
    </row>
    <row r="2376" spans="1:12" x14ac:dyDescent="0.3">
      <c r="A2376" s="2">
        <v>2365</v>
      </c>
      <c r="B2376" s="2" t="s">
        <v>6383</v>
      </c>
      <c r="C2376" s="2" t="s">
        <v>2912</v>
      </c>
      <c r="D2376" s="2" t="s">
        <v>51</v>
      </c>
      <c r="E2376" s="2" t="s">
        <v>16</v>
      </c>
      <c r="F2376" s="2">
        <v>60</v>
      </c>
      <c r="G2376" s="2" t="s">
        <v>6384</v>
      </c>
      <c r="H2376" s="2" t="s">
        <v>641</v>
      </c>
      <c r="I2376" s="2" t="s">
        <v>294</v>
      </c>
      <c r="J2376" s="3">
        <v>43905</v>
      </c>
      <c r="K2376" s="2">
        <v>44</v>
      </c>
      <c r="L2376" s="2" t="s">
        <v>39</v>
      </c>
    </row>
    <row r="2377" spans="1:12" x14ac:dyDescent="0.3">
      <c r="A2377" s="2">
        <v>2366</v>
      </c>
      <c r="B2377" s="2" t="s">
        <v>6385</v>
      </c>
      <c r="C2377" s="2" t="s">
        <v>2197</v>
      </c>
      <c r="D2377" s="2" t="s">
        <v>51</v>
      </c>
      <c r="E2377" s="2" t="s">
        <v>16</v>
      </c>
      <c r="F2377" s="2">
        <v>60</v>
      </c>
      <c r="G2377" s="2" t="s">
        <v>6386</v>
      </c>
      <c r="H2377" s="2" t="s">
        <v>6387</v>
      </c>
      <c r="I2377" s="2" t="s">
        <v>32</v>
      </c>
      <c r="J2377" s="3">
        <v>44164</v>
      </c>
      <c r="K2377" s="2">
        <v>2</v>
      </c>
      <c r="L2377" s="2" t="s">
        <v>70</v>
      </c>
    </row>
    <row r="2378" spans="1:12" x14ac:dyDescent="0.3">
      <c r="A2378" s="2">
        <v>2367</v>
      </c>
      <c r="B2378" s="2" t="s">
        <v>3706</v>
      </c>
      <c r="C2378" s="2" t="s">
        <v>197</v>
      </c>
      <c r="D2378" s="2" t="s">
        <v>28</v>
      </c>
      <c r="E2378" s="2" t="s">
        <v>29</v>
      </c>
      <c r="F2378" s="2">
        <v>90</v>
      </c>
      <c r="G2378" s="2" t="s">
        <v>6388</v>
      </c>
      <c r="H2378" s="2" t="s">
        <v>1426</v>
      </c>
      <c r="I2378" s="2" t="s">
        <v>32</v>
      </c>
      <c r="J2378" s="3">
        <v>44041</v>
      </c>
      <c r="K2378" s="2">
        <v>13</v>
      </c>
      <c r="L2378" s="2" t="s">
        <v>70</v>
      </c>
    </row>
    <row r="2379" spans="1:12" x14ac:dyDescent="0.3">
      <c r="A2379" s="2">
        <v>2368</v>
      </c>
      <c r="B2379" s="2" t="s">
        <v>5317</v>
      </c>
      <c r="C2379" s="2" t="s">
        <v>1928</v>
      </c>
      <c r="D2379" s="2" t="s">
        <v>15</v>
      </c>
      <c r="E2379" s="2" t="s">
        <v>16</v>
      </c>
      <c r="F2379" s="2">
        <v>60</v>
      </c>
      <c r="G2379" s="2" t="s">
        <v>6389</v>
      </c>
      <c r="H2379" s="2" t="s">
        <v>1336</v>
      </c>
      <c r="I2379" s="2" t="s">
        <v>129</v>
      </c>
      <c r="J2379" s="3">
        <v>44190</v>
      </c>
      <c r="K2379" s="2">
        <v>3</v>
      </c>
      <c r="L2379" s="2" t="s">
        <v>80</v>
      </c>
    </row>
    <row r="2380" spans="1:12" x14ac:dyDescent="0.3">
      <c r="A2380" s="2">
        <v>2369</v>
      </c>
      <c r="B2380" s="2" t="s">
        <v>5942</v>
      </c>
      <c r="C2380" s="2" t="s">
        <v>6390</v>
      </c>
      <c r="D2380" s="2" t="s">
        <v>28</v>
      </c>
      <c r="E2380" s="2" t="s">
        <v>29</v>
      </c>
      <c r="F2380" s="2">
        <v>90</v>
      </c>
      <c r="G2380" s="2" t="s">
        <v>6391</v>
      </c>
      <c r="H2380" s="2" t="s">
        <v>1537</v>
      </c>
      <c r="I2380" s="2" t="s">
        <v>294</v>
      </c>
      <c r="J2380" s="3">
        <v>44091</v>
      </c>
      <c r="K2380" s="2">
        <v>64</v>
      </c>
      <c r="L2380" s="2" t="s">
        <v>39</v>
      </c>
    </row>
    <row r="2381" spans="1:12" x14ac:dyDescent="0.3">
      <c r="A2381" s="2">
        <v>2370</v>
      </c>
      <c r="B2381" s="2" t="s">
        <v>6392</v>
      </c>
      <c r="C2381" s="2" t="s">
        <v>3016</v>
      </c>
      <c r="D2381" s="2" t="s">
        <v>15</v>
      </c>
      <c r="E2381" s="2" t="s">
        <v>16</v>
      </c>
      <c r="F2381" s="2">
        <v>90</v>
      </c>
      <c r="G2381" s="2" t="s">
        <v>6393</v>
      </c>
      <c r="H2381" s="2" t="s">
        <v>4901</v>
      </c>
      <c r="I2381" s="2" t="s">
        <v>32</v>
      </c>
      <c r="J2381" s="3">
        <v>44438</v>
      </c>
      <c r="K2381" s="2">
        <v>73</v>
      </c>
      <c r="L2381" s="2" t="s">
        <v>159</v>
      </c>
    </row>
    <row r="2382" spans="1:12" x14ac:dyDescent="0.3">
      <c r="A2382" s="2">
        <v>2371</v>
      </c>
      <c r="B2382" s="2" t="s">
        <v>6394</v>
      </c>
      <c r="C2382" s="2" t="s">
        <v>5214</v>
      </c>
      <c r="D2382" s="2" t="s">
        <v>15</v>
      </c>
      <c r="E2382" s="2" t="s">
        <v>16</v>
      </c>
      <c r="F2382" s="2">
        <v>30</v>
      </c>
      <c r="G2382" s="2" t="s">
        <v>6395</v>
      </c>
      <c r="H2382" s="2" t="s">
        <v>4317</v>
      </c>
      <c r="I2382" s="2" t="s">
        <v>32</v>
      </c>
      <c r="J2382" s="3">
        <v>44460</v>
      </c>
      <c r="K2382" s="2">
        <v>94</v>
      </c>
      <c r="L2382" s="2" t="s">
        <v>39</v>
      </c>
    </row>
    <row r="2383" spans="1:12" x14ac:dyDescent="0.3">
      <c r="A2383" s="2">
        <v>2372</v>
      </c>
      <c r="B2383" s="2" t="s">
        <v>6396</v>
      </c>
      <c r="C2383" s="2" t="s">
        <v>2719</v>
      </c>
      <c r="D2383" s="2" t="s">
        <v>41</v>
      </c>
      <c r="E2383" s="2" t="s">
        <v>16</v>
      </c>
      <c r="F2383" s="2">
        <v>30</v>
      </c>
      <c r="G2383" s="2" t="s">
        <v>6397</v>
      </c>
      <c r="H2383" s="2" t="s">
        <v>5449</v>
      </c>
      <c r="I2383" s="2" t="s">
        <v>32</v>
      </c>
      <c r="J2383" s="3">
        <v>44373</v>
      </c>
      <c r="K2383" s="2">
        <v>34</v>
      </c>
      <c r="L2383" s="2" t="s">
        <v>54</v>
      </c>
    </row>
    <row r="2384" spans="1:12" x14ac:dyDescent="0.3">
      <c r="A2384" s="2">
        <v>2373</v>
      </c>
      <c r="B2384" s="2" t="s">
        <v>55</v>
      </c>
      <c r="C2384" s="2" t="s">
        <v>1623</v>
      </c>
      <c r="D2384" s="2" t="s">
        <v>28</v>
      </c>
      <c r="E2384" s="2" t="s">
        <v>29</v>
      </c>
      <c r="F2384" s="2">
        <v>30</v>
      </c>
      <c r="G2384" s="2" t="s">
        <v>6398</v>
      </c>
      <c r="H2384" s="2" t="s">
        <v>405</v>
      </c>
      <c r="I2384" s="2" t="s">
        <v>32</v>
      </c>
      <c r="J2384" s="3">
        <v>44556</v>
      </c>
      <c r="K2384" s="2">
        <v>92</v>
      </c>
      <c r="L2384" s="2" t="s">
        <v>54</v>
      </c>
    </row>
    <row r="2385" spans="1:12" x14ac:dyDescent="0.3">
      <c r="A2385" s="2">
        <v>2374</v>
      </c>
      <c r="B2385" s="2" t="s">
        <v>3410</v>
      </c>
      <c r="C2385" s="2" t="s">
        <v>4600</v>
      </c>
      <c r="D2385" s="2" t="s">
        <v>28</v>
      </c>
      <c r="E2385" s="2" t="s">
        <v>29</v>
      </c>
      <c r="F2385" s="2">
        <v>30</v>
      </c>
      <c r="G2385" s="2" t="s">
        <v>6399</v>
      </c>
      <c r="H2385" s="2" t="s">
        <v>4678</v>
      </c>
      <c r="I2385" s="2" t="s">
        <v>886</v>
      </c>
      <c r="J2385" s="3">
        <v>43906</v>
      </c>
      <c r="K2385" s="2">
        <v>60</v>
      </c>
      <c r="L2385" s="2" t="s">
        <v>45</v>
      </c>
    </row>
    <row r="2386" spans="1:12" x14ac:dyDescent="0.3">
      <c r="A2386" s="2">
        <v>2375</v>
      </c>
      <c r="B2386" s="2" t="s">
        <v>1982</v>
      </c>
      <c r="C2386" s="2" t="s">
        <v>635</v>
      </c>
      <c r="D2386" s="2" t="s">
        <v>28</v>
      </c>
      <c r="E2386" s="2" t="s">
        <v>29</v>
      </c>
      <c r="F2386" s="2">
        <v>60</v>
      </c>
      <c r="G2386" s="2" t="s">
        <v>6400</v>
      </c>
      <c r="H2386" s="2" t="s">
        <v>5874</v>
      </c>
      <c r="I2386" s="2" t="s">
        <v>839</v>
      </c>
      <c r="J2386" s="3">
        <v>44256</v>
      </c>
      <c r="K2386" s="2">
        <v>79</v>
      </c>
      <c r="L2386" s="2" t="s">
        <v>70</v>
      </c>
    </row>
    <row r="2387" spans="1:12" x14ac:dyDescent="0.3">
      <c r="A2387" s="2">
        <v>2376</v>
      </c>
      <c r="B2387" s="2" t="s">
        <v>1226</v>
      </c>
      <c r="C2387" s="2" t="s">
        <v>6401</v>
      </c>
      <c r="D2387" s="2" t="s">
        <v>28</v>
      </c>
      <c r="E2387" s="2" t="s">
        <v>29</v>
      </c>
      <c r="F2387" s="2">
        <v>60</v>
      </c>
      <c r="G2387" s="2" t="s">
        <v>6402</v>
      </c>
      <c r="H2387" s="2" t="s">
        <v>6069</v>
      </c>
      <c r="I2387" s="2" t="s">
        <v>294</v>
      </c>
      <c r="J2387" s="3">
        <v>43848</v>
      </c>
      <c r="K2387" s="2">
        <v>13</v>
      </c>
      <c r="L2387" s="2" t="s">
        <v>20</v>
      </c>
    </row>
    <row r="2388" spans="1:12" x14ac:dyDescent="0.3">
      <c r="A2388" s="2">
        <v>2377</v>
      </c>
      <c r="B2388" s="2" t="s">
        <v>2267</v>
      </c>
      <c r="C2388" s="2" t="s">
        <v>3314</v>
      </c>
      <c r="D2388" s="2" t="s">
        <v>28</v>
      </c>
      <c r="E2388" s="2" t="s">
        <v>29</v>
      </c>
      <c r="F2388" s="2">
        <v>60</v>
      </c>
      <c r="G2388" s="2" t="s">
        <v>6403</v>
      </c>
      <c r="H2388" s="2" t="s">
        <v>53</v>
      </c>
      <c r="I2388" s="2" t="s">
        <v>32</v>
      </c>
      <c r="J2388" s="3">
        <v>44834</v>
      </c>
      <c r="K2388" s="2">
        <v>95</v>
      </c>
      <c r="L2388" s="2" t="s">
        <v>54</v>
      </c>
    </row>
    <row r="2389" spans="1:12" x14ac:dyDescent="0.3">
      <c r="A2389" s="2">
        <v>2378</v>
      </c>
      <c r="B2389" s="2" t="s">
        <v>3940</v>
      </c>
      <c r="C2389" s="2" t="s">
        <v>2143</v>
      </c>
      <c r="D2389" s="2" t="s">
        <v>28</v>
      </c>
      <c r="E2389" s="2" t="s">
        <v>29</v>
      </c>
      <c r="F2389" s="2">
        <v>30</v>
      </c>
      <c r="G2389" s="2" t="s">
        <v>6404</v>
      </c>
      <c r="H2389" s="2" t="s">
        <v>1082</v>
      </c>
      <c r="I2389" s="2" t="s">
        <v>1083</v>
      </c>
      <c r="J2389" s="3">
        <v>44876</v>
      </c>
      <c r="K2389" s="2">
        <v>19</v>
      </c>
      <c r="L2389" s="2" t="s">
        <v>33</v>
      </c>
    </row>
    <row r="2390" spans="1:12" x14ac:dyDescent="0.3">
      <c r="A2390" s="2">
        <v>2379</v>
      </c>
      <c r="B2390" s="2" t="s">
        <v>5246</v>
      </c>
      <c r="C2390" s="2" t="s">
        <v>499</v>
      </c>
      <c r="D2390" s="2" t="s">
        <v>51</v>
      </c>
      <c r="E2390" s="2" t="s">
        <v>16</v>
      </c>
      <c r="F2390" s="2">
        <v>30</v>
      </c>
      <c r="G2390" s="2" t="s">
        <v>6405</v>
      </c>
      <c r="H2390" s="2" t="s">
        <v>1494</v>
      </c>
      <c r="I2390" s="2" t="s">
        <v>32</v>
      </c>
      <c r="J2390" s="3">
        <v>44202</v>
      </c>
      <c r="K2390" s="2">
        <v>72</v>
      </c>
      <c r="L2390" s="2" t="s">
        <v>159</v>
      </c>
    </row>
    <row r="2391" spans="1:12" x14ac:dyDescent="0.3">
      <c r="A2391" s="2">
        <v>2380</v>
      </c>
      <c r="B2391" s="2" t="s">
        <v>5954</v>
      </c>
      <c r="C2391" s="2" t="s">
        <v>3258</v>
      </c>
      <c r="D2391" s="2" t="s">
        <v>28</v>
      </c>
      <c r="E2391" s="2" t="s">
        <v>29</v>
      </c>
      <c r="F2391" s="2">
        <v>90</v>
      </c>
      <c r="G2391" s="2" t="s">
        <v>6406</v>
      </c>
      <c r="H2391" s="2" t="s">
        <v>720</v>
      </c>
      <c r="I2391" s="2" t="s">
        <v>686</v>
      </c>
      <c r="J2391" s="3">
        <v>44179</v>
      </c>
      <c r="K2391" s="2">
        <v>15</v>
      </c>
      <c r="L2391" s="2" t="s">
        <v>64</v>
      </c>
    </row>
    <row r="2392" spans="1:12" x14ac:dyDescent="0.3">
      <c r="A2392" s="2">
        <v>2381</v>
      </c>
      <c r="B2392" s="2" t="s">
        <v>6407</v>
      </c>
      <c r="C2392" s="2" t="s">
        <v>35</v>
      </c>
      <c r="D2392" s="2" t="s">
        <v>51</v>
      </c>
      <c r="E2392" s="2" t="s">
        <v>16</v>
      </c>
      <c r="F2392" s="2">
        <v>30</v>
      </c>
      <c r="G2392" s="2" t="s">
        <v>6408</v>
      </c>
      <c r="H2392" s="2" t="s">
        <v>4358</v>
      </c>
      <c r="I2392" s="2" t="s">
        <v>146</v>
      </c>
      <c r="J2392" s="3">
        <v>43957</v>
      </c>
      <c r="K2392" s="2">
        <v>24</v>
      </c>
      <c r="L2392" s="2" t="s">
        <v>80</v>
      </c>
    </row>
    <row r="2393" spans="1:12" x14ac:dyDescent="0.3">
      <c r="A2393" s="2">
        <v>2382</v>
      </c>
      <c r="B2393" s="2" t="s">
        <v>5768</v>
      </c>
      <c r="C2393" s="2" t="s">
        <v>1326</v>
      </c>
      <c r="D2393" s="2" t="s">
        <v>51</v>
      </c>
      <c r="E2393" s="2" t="s">
        <v>16</v>
      </c>
      <c r="F2393" s="2">
        <v>30</v>
      </c>
      <c r="G2393" s="2" t="s">
        <v>10528</v>
      </c>
      <c r="H2393" s="2" t="s">
        <v>6410</v>
      </c>
      <c r="I2393" s="2" t="s">
        <v>32</v>
      </c>
      <c r="J2393" s="3">
        <v>43977</v>
      </c>
      <c r="K2393" s="2">
        <v>33</v>
      </c>
      <c r="L2393" s="2" t="s">
        <v>20</v>
      </c>
    </row>
    <row r="2394" spans="1:12" x14ac:dyDescent="0.3">
      <c r="A2394" s="2">
        <v>2383</v>
      </c>
      <c r="B2394" s="2" t="s">
        <v>6411</v>
      </c>
      <c r="C2394" s="2" t="s">
        <v>5413</v>
      </c>
      <c r="D2394" s="2" t="s">
        <v>28</v>
      </c>
      <c r="E2394" s="2" t="s">
        <v>29</v>
      </c>
      <c r="F2394" s="2">
        <v>90</v>
      </c>
      <c r="G2394" s="2" t="s">
        <v>6412</v>
      </c>
      <c r="H2394" s="2" t="s">
        <v>1258</v>
      </c>
      <c r="I2394" s="2" t="s">
        <v>32</v>
      </c>
      <c r="J2394" s="3">
        <v>44196</v>
      </c>
      <c r="K2394" s="2">
        <v>36</v>
      </c>
      <c r="L2394" s="2" t="s">
        <v>39</v>
      </c>
    </row>
    <row r="2395" spans="1:12" x14ac:dyDescent="0.3">
      <c r="A2395" s="2">
        <v>2384</v>
      </c>
      <c r="B2395" s="2" t="s">
        <v>6413</v>
      </c>
      <c r="C2395" s="2" t="s">
        <v>1832</v>
      </c>
      <c r="D2395" s="2" t="s">
        <v>28</v>
      </c>
      <c r="E2395" s="2" t="s">
        <v>29</v>
      </c>
      <c r="F2395" s="2">
        <v>90</v>
      </c>
      <c r="G2395" s="2" t="s">
        <v>6414</v>
      </c>
      <c r="H2395" s="2" t="s">
        <v>2336</v>
      </c>
      <c r="I2395" s="2" t="s">
        <v>32</v>
      </c>
      <c r="J2395" s="3">
        <v>44464</v>
      </c>
      <c r="K2395" s="2">
        <v>31</v>
      </c>
      <c r="L2395" s="2" t="s">
        <v>45</v>
      </c>
    </row>
    <row r="2396" spans="1:12" x14ac:dyDescent="0.3">
      <c r="A2396" s="2">
        <v>2385</v>
      </c>
      <c r="B2396" s="2" t="s">
        <v>6415</v>
      </c>
      <c r="C2396" s="2" t="s">
        <v>6416</v>
      </c>
      <c r="D2396" s="2" t="s">
        <v>51</v>
      </c>
      <c r="E2396" s="2" t="s">
        <v>16</v>
      </c>
      <c r="F2396" s="2">
        <v>90</v>
      </c>
      <c r="G2396" s="2" t="s">
        <v>6417</v>
      </c>
      <c r="H2396" s="2" t="s">
        <v>6418</v>
      </c>
      <c r="I2396" s="2" t="s">
        <v>240</v>
      </c>
      <c r="J2396" s="3">
        <v>44525</v>
      </c>
      <c r="K2396" s="2">
        <v>14</v>
      </c>
      <c r="L2396" s="2" t="s">
        <v>20</v>
      </c>
    </row>
    <row r="2397" spans="1:12" x14ac:dyDescent="0.3">
      <c r="A2397" s="2">
        <v>2386</v>
      </c>
      <c r="B2397" s="2" t="s">
        <v>6419</v>
      </c>
      <c r="C2397" s="2" t="s">
        <v>6420</v>
      </c>
      <c r="D2397" s="2" t="s">
        <v>28</v>
      </c>
      <c r="E2397" s="2" t="s">
        <v>29</v>
      </c>
      <c r="F2397" s="2">
        <v>30</v>
      </c>
      <c r="G2397" s="2" t="s">
        <v>6421</v>
      </c>
      <c r="H2397" s="2" t="s">
        <v>1729</v>
      </c>
      <c r="I2397" s="2" t="s">
        <v>32</v>
      </c>
      <c r="J2397" s="3">
        <v>44496</v>
      </c>
      <c r="K2397" s="2">
        <v>13</v>
      </c>
      <c r="L2397" s="2" t="s">
        <v>45</v>
      </c>
    </row>
    <row r="2398" spans="1:12" x14ac:dyDescent="0.3">
      <c r="A2398" s="2">
        <v>2387</v>
      </c>
      <c r="B2398" s="2" t="s">
        <v>683</v>
      </c>
      <c r="C2398" s="2" t="s">
        <v>1802</v>
      </c>
      <c r="D2398" s="2" t="s">
        <v>28</v>
      </c>
      <c r="E2398" s="2" t="s">
        <v>29</v>
      </c>
      <c r="F2398" s="2">
        <v>30</v>
      </c>
      <c r="G2398" s="2" t="s">
        <v>6422</v>
      </c>
      <c r="H2398" s="2" t="s">
        <v>1350</v>
      </c>
      <c r="I2398" s="2" t="s">
        <v>32</v>
      </c>
      <c r="J2398" s="3">
        <v>44591</v>
      </c>
      <c r="K2398" s="2">
        <v>79</v>
      </c>
      <c r="L2398" s="2" t="s">
        <v>20</v>
      </c>
    </row>
    <row r="2399" spans="1:12" x14ac:dyDescent="0.3">
      <c r="A2399" s="2">
        <v>2388</v>
      </c>
      <c r="B2399" s="2" t="s">
        <v>4414</v>
      </c>
      <c r="C2399" s="2" t="s">
        <v>6425</v>
      </c>
      <c r="D2399" s="2" t="s">
        <v>28</v>
      </c>
      <c r="E2399" s="2" t="s">
        <v>29</v>
      </c>
      <c r="F2399" s="2">
        <v>90</v>
      </c>
      <c r="G2399" s="2" t="s">
        <v>6426</v>
      </c>
      <c r="H2399" s="2" t="s">
        <v>1605</v>
      </c>
      <c r="I2399" s="2" t="s">
        <v>32</v>
      </c>
      <c r="J2399" s="3">
        <v>44864</v>
      </c>
      <c r="K2399" s="2">
        <v>47</v>
      </c>
      <c r="L2399" s="2" t="s">
        <v>20</v>
      </c>
    </row>
    <row r="2400" spans="1:12" x14ac:dyDescent="0.3">
      <c r="A2400" s="2">
        <v>2389</v>
      </c>
      <c r="B2400" s="2" t="s">
        <v>4986</v>
      </c>
      <c r="C2400" s="2" t="s">
        <v>281</v>
      </c>
      <c r="D2400" s="2" t="s">
        <v>28</v>
      </c>
      <c r="E2400" s="2" t="s">
        <v>29</v>
      </c>
      <c r="F2400" s="2">
        <v>30</v>
      </c>
      <c r="G2400" s="2" t="s">
        <v>6427</v>
      </c>
      <c r="H2400" s="2" t="s">
        <v>3274</v>
      </c>
      <c r="I2400" s="2" t="s">
        <v>32</v>
      </c>
      <c r="J2400" s="3">
        <v>44801</v>
      </c>
      <c r="K2400" s="2">
        <v>94</v>
      </c>
      <c r="L2400" s="2" t="s">
        <v>64</v>
      </c>
    </row>
    <row r="2401" spans="1:12" x14ac:dyDescent="0.3">
      <c r="A2401" s="2">
        <v>2390</v>
      </c>
      <c r="B2401" s="2" t="s">
        <v>6428</v>
      </c>
      <c r="C2401" s="2" t="s">
        <v>1216</v>
      </c>
      <c r="D2401" s="2" t="s">
        <v>51</v>
      </c>
      <c r="E2401" s="2" t="s">
        <v>16</v>
      </c>
      <c r="F2401" s="2">
        <v>90</v>
      </c>
      <c r="G2401" s="2" t="s">
        <v>6429</v>
      </c>
      <c r="H2401" s="2" t="s">
        <v>6430</v>
      </c>
      <c r="I2401" s="2" t="s">
        <v>32</v>
      </c>
      <c r="J2401" s="3">
        <v>43998</v>
      </c>
      <c r="K2401" s="2">
        <v>43</v>
      </c>
      <c r="L2401" s="2" t="s">
        <v>70</v>
      </c>
    </row>
    <row r="2402" spans="1:12" x14ac:dyDescent="0.3">
      <c r="A2402" s="2">
        <v>2391</v>
      </c>
      <c r="B2402" s="2" t="s">
        <v>5617</v>
      </c>
      <c r="C2402" s="2" t="s">
        <v>929</v>
      </c>
      <c r="D2402" s="2" t="s">
        <v>51</v>
      </c>
      <c r="E2402" s="2" t="s">
        <v>16</v>
      </c>
      <c r="F2402" s="2">
        <v>90</v>
      </c>
      <c r="G2402" s="2" t="s">
        <v>6431</v>
      </c>
      <c r="H2402" s="2" t="s">
        <v>2243</v>
      </c>
      <c r="I2402" s="2" t="s">
        <v>32</v>
      </c>
      <c r="J2402" s="3">
        <v>44403</v>
      </c>
      <c r="K2402" s="2">
        <v>62</v>
      </c>
      <c r="L2402" s="2" t="s">
        <v>33</v>
      </c>
    </row>
    <row r="2403" spans="1:12" x14ac:dyDescent="0.3">
      <c r="A2403" s="2">
        <v>2392</v>
      </c>
      <c r="B2403" s="2" t="s">
        <v>6432</v>
      </c>
      <c r="C2403" s="2" t="s">
        <v>2051</v>
      </c>
      <c r="D2403" s="2" t="s">
        <v>15</v>
      </c>
      <c r="E2403" s="2" t="s">
        <v>16</v>
      </c>
      <c r="F2403" s="2">
        <v>60</v>
      </c>
      <c r="G2403" s="2" t="s">
        <v>6433</v>
      </c>
      <c r="H2403" s="2" t="s">
        <v>2130</v>
      </c>
      <c r="I2403" s="2" t="s">
        <v>32</v>
      </c>
      <c r="J2403" s="3">
        <v>44045</v>
      </c>
      <c r="K2403" s="2">
        <v>69</v>
      </c>
      <c r="L2403" s="2" t="s">
        <v>45</v>
      </c>
    </row>
    <row r="2404" spans="1:12" x14ac:dyDescent="0.3">
      <c r="A2404" s="2">
        <v>2393</v>
      </c>
      <c r="B2404" s="2" t="s">
        <v>6434</v>
      </c>
      <c r="C2404" s="2" t="s">
        <v>1539</v>
      </c>
      <c r="D2404" s="2" t="s">
        <v>51</v>
      </c>
      <c r="E2404" s="2" t="s">
        <v>16</v>
      </c>
      <c r="F2404" s="2">
        <v>30</v>
      </c>
      <c r="G2404" s="2" t="s">
        <v>6435</v>
      </c>
      <c r="H2404" s="2" t="s">
        <v>2097</v>
      </c>
      <c r="I2404" s="2" t="s">
        <v>178</v>
      </c>
      <c r="J2404" s="3">
        <v>44813</v>
      </c>
      <c r="K2404" s="2">
        <v>11</v>
      </c>
      <c r="L2404" s="2" t="s">
        <v>101</v>
      </c>
    </row>
    <row r="2405" spans="1:12" x14ac:dyDescent="0.3">
      <c r="A2405" s="2">
        <v>2394</v>
      </c>
      <c r="B2405" s="2" t="s">
        <v>4693</v>
      </c>
      <c r="C2405" s="2" t="s">
        <v>783</v>
      </c>
      <c r="D2405" s="2" t="s">
        <v>51</v>
      </c>
      <c r="E2405" s="2" t="s">
        <v>16</v>
      </c>
      <c r="F2405" s="2">
        <v>60</v>
      </c>
      <c r="G2405" s="2" t="s">
        <v>6435</v>
      </c>
      <c r="H2405" s="2" t="s">
        <v>412</v>
      </c>
      <c r="I2405" s="2" t="s">
        <v>187</v>
      </c>
      <c r="J2405" s="3">
        <v>43896</v>
      </c>
      <c r="K2405" s="2">
        <v>42</v>
      </c>
      <c r="L2405" s="2" t="s">
        <v>45</v>
      </c>
    </row>
    <row r="2406" spans="1:12" x14ac:dyDescent="0.3">
      <c r="A2406" s="2">
        <v>2395</v>
      </c>
      <c r="B2406" s="2" t="s">
        <v>773</v>
      </c>
      <c r="C2406" s="2" t="s">
        <v>6436</v>
      </c>
      <c r="D2406" s="2" t="s">
        <v>28</v>
      </c>
      <c r="E2406" s="2" t="s">
        <v>29</v>
      </c>
      <c r="F2406" s="2">
        <v>60</v>
      </c>
      <c r="G2406" s="2" t="s">
        <v>6437</v>
      </c>
      <c r="H2406" s="2" t="s">
        <v>5316</v>
      </c>
      <c r="I2406" s="2" t="s">
        <v>25</v>
      </c>
      <c r="J2406" s="3">
        <v>44471</v>
      </c>
      <c r="K2406" s="2">
        <v>37</v>
      </c>
      <c r="L2406" s="2" t="s">
        <v>20</v>
      </c>
    </row>
    <row r="2407" spans="1:12" x14ac:dyDescent="0.3">
      <c r="A2407" s="2">
        <v>2396</v>
      </c>
      <c r="B2407" s="2" t="s">
        <v>6438</v>
      </c>
      <c r="C2407" s="2" t="s">
        <v>6439</v>
      </c>
      <c r="D2407" s="2" t="s">
        <v>15</v>
      </c>
      <c r="E2407" s="2" t="s">
        <v>16</v>
      </c>
      <c r="F2407" s="2">
        <v>90</v>
      </c>
      <c r="G2407" s="2" t="s">
        <v>6440</v>
      </c>
      <c r="H2407" s="2" t="s">
        <v>3169</v>
      </c>
      <c r="I2407" s="2" t="s">
        <v>110</v>
      </c>
      <c r="J2407" s="3">
        <v>44504</v>
      </c>
      <c r="K2407" s="2">
        <v>95</v>
      </c>
      <c r="L2407" s="2" t="s">
        <v>45</v>
      </c>
    </row>
    <row r="2408" spans="1:12" x14ac:dyDescent="0.3">
      <c r="A2408" s="2">
        <v>2397</v>
      </c>
      <c r="B2408" s="2" t="s">
        <v>2115</v>
      </c>
      <c r="C2408" s="2" t="s">
        <v>2856</v>
      </c>
      <c r="D2408" s="2" t="s">
        <v>28</v>
      </c>
      <c r="E2408" s="2" t="s">
        <v>29</v>
      </c>
      <c r="F2408" s="2">
        <v>90</v>
      </c>
      <c r="G2408" s="2" t="s">
        <v>6441</v>
      </c>
      <c r="H2408" s="2" t="s">
        <v>6442</v>
      </c>
      <c r="I2408" s="2" t="s">
        <v>294</v>
      </c>
      <c r="J2408" s="3">
        <v>43926</v>
      </c>
      <c r="K2408" s="2">
        <v>49</v>
      </c>
      <c r="L2408" s="2" t="s">
        <v>64</v>
      </c>
    </row>
    <row r="2409" spans="1:12" x14ac:dyDescent="0.3">
      <c r="A2409" s="2">
        <v>2398</v>
      </c>
      <c r="B2409" s="2" t="s">
        <v>811</v>
      </c>
      <c r="C2409" s="2" t="s">
        <v>1050</v>
      </c>
      <c r="D2409" s="2" t="s">
        <v>28</v>
      </c>
      <c r="E2409" s="2" t="s">
        <v>29</v>
      </c>
      <c r="F2409" s="2">
        <v>60</v>
      </c>
      <c r="G2409" s="2" t="s">
        <v>6443</v>
      </c>
      <c r="H2409" s="2" t="s">
        <v>3482</v>
      </c>
      <c r="I2409" s="2" t="s">
        <v>25</v>
      </c>
      <c r="J2409" s="3">
        <v>44421</v>
      </c>
      <c r="K2409" s="2">
        <v>10</v>
      </c>
      <c r="L2409" s="2" t="s">
        <v>39</v>
      </c>
    </row>
    <row r="2410" spans="1:12" x14ac:dyDescent="0.3">
      <c r="A2410" s="2">
        <v>2399</v>
      </c>
      <c r="B2410" s="2" t="s">
        <v>6444</v>
      </c>
      <c r="C2410" s="2" t="s">
        <v>1109</v>
      </c>
      <c r="D2410" s="2" t="s">
        <v>15</v>
      </c>
      <c r="E2410" s="2" t="s">
        <v>16</v>
      </c>
      <c r="F2410" s="2">
        <v>90</v>
      </c>
      <c r="G2410" s="2" t="s">
        <v>6445</v>
      </c>
      <c r="H2410" s="2" t="s">
        <v>2066</v>
      </c>
      <c r="I2410" s="2" t="s">
        <v>294</v>
      </c>
      <c r="J2410" s="3">
        <v>44806</v>
      </c>
      <c r="K2410" s="2">
        <v>94</v>
      </c>
      <c r="L2410" s="2" t="s">
        <v>64</v>
      </c>
    </row>
    <row r="2411" spans="1:12" x14ac:dyDescent="0.3">
      <c r="A2411" s="2">
        <v>2400</v>
      </c>
      <c r="B2411" s="2" t="s">
        <v>6446</v>
      </c>
      <c r="C2411" s="2" t="s">
        <v>6447</v>
      </c>
      <c r="D2411" s="2" t="s">
        <v>28</v>
      </c>
      <c r="E2411" s="2" t="s">
        <v>29</v>
      </c>
      <c r="F2411" s="2">
        <v>30</v>
      </c>
      <c r="G2411" s="2" t="s">
        <v>6448</v>
      </c>
      <c r="H2411" s="2" t="s">
        <v>182</v>
      </c>
      <c r="I2411" s="2" t="s">
        <v>32</v>
      </c>
      <c r="J2411" s="3">
        <v>44555</v>
      </c>
      <c r="K2411" s="2">
        <v>35</v>
      </c>
      <c r="L2411" s="2" t="s">
        <v>54</v>
      </c>
    </row>
    <row r="2412" spans="1:12" x14ac:dyDescent="0.3">
      <c r="A2412" s="2">
        <v>2401</v>
      </c>
      <c r="B2412" s="2" t="s">
        <v>4489</v>
      </c>
      <c r="C2412" s="2" t="s">
        <v>6449</v>
      </c>
      <c r="D2412" s="2" t="s">
        <v>28</v>
      </c>
      <c r="E2412" s="2" t="s">
        <v>29</v>
      </c>
      <c r="F2412" s="2">
        <v>60</v>
      </c>
      <c r="G2412" s="2" t="s">
        <v>6450</v>
      </c>
      <c r="H2412" s="2" t="s">
        <v>3637</v>
      </c>
      <c r="I2412" s="2" t="s">
        <v>38</v>
      </c>
      <c r="J2412" s="3">
        <v>43908</v>
      </c>
      <c r="K2412" s="2">
        <v>19</v>
      </c>
      <c r="L2412" s="2" t="s">
        <v>101</v>
      </c>
    </row>
    <row r="2413" spans="1:12" x14ac:dyDescent="0.3">
      <c r="A2413" s="2">
        <v>2402</v>
      </c>
      <c r="B2413" s="2" t="s">
        <v>6451</v>
      </c>
      <c r="C2413" s="2" t="s">
        <v>6452</v>
      </c>
      <c r="D2413" s="2" t="s">
        <v>15</v>
      </c>
      <c r="E2413" s="2" t="s">
        <v>16</v>
      </c>
      <c r="F2413" s="2">
        <v>90</v>
      </c>
      <c r="G2413" s="2" t="s">
        <v>6453</v>
      </c>
      <c r="H2413" s="2" t="s">
        <v>1087</v>
      </c>
      <c r="I2413" s="2" t="s">
        <v>554</v>
      </c>
      <c r="J2413" s="3">
        <v>44145</v>
      </c>
      <c r="K2413" s="2">
        <v>5</v>
      </c>
      <c r="L2413" s="2" t="s">
        <v>20</v>
      </c>
    </row>
    <row r="2414" spans="1:12" x14ac:dyDescent="0.3">
      <c r="A2414" s="2">
        <v>2403</v>
      </c>
      <c r="B2414" s="2" t="s">
        <v>4775</v>
      </c>
      <c r="C2414" s="2" t="s">
        <v>6454</v>
      </c>
      <c r="D2414" s="2" t="s">
        <v>28</v>
      </c>
      <c r="E2414" s="2" t="s">
        <v>29</v>
      </c>
      <c r="F2414" s="2">
        <v>30</v>
      </c>
      <c r="G2414" s="2" t="s">
        <v>6455</v>
      </c>
      <c r="H2414" s="2" t="s">
        <v>141</v>
      </c>
      <c r="I2414" s="2" t="s">
        <v>32</v>
      </c>
      <c r="J2414" s="3">
        <v>44034</v>
      </c>
      <c r="K2414" s="2">
        <v>23</v>
      </c>
      <c r="L2414" s="2" t="s">
        <v>80</v>
      </c>
    </row>
    <row r="2415" spans="1:12" x14ac:dyDescent="0.3">
      <c r="A2415" s="2">
        <v>2404</v>
      </c>
      <c r="B2415" s="2" t="s">
        <v>1096</v>
      </c>
      <c r="C2415" s="2" t="s">
        <v>547</v>
      </c>
      <c r="D2415" s="2" t="s">
        <v>28</v>
      </c>
      <c r="E2415" s="2" t="s">
        <v>29</v>
      </c>
      <c r="F2415" s="2">
        <v>90</v>
      </c>
      <c r="G2415" s="2" t="s">
        <v>6456</v>
      </c>
      <c r="H2415" s="2" t="s">
        <v>3951</v>
      </c>
      <c r="I2415" s="2" t="s">
        <v>1576</v>
      </c>
      <c r="J2415" s="3">
        <v>44915</v>
      </c>
      <c r="K2415" s="2">
        <v>36</v>
      </c>
      <c r="L2415" s="2" t="s">
        <v>39</v>
      </c>
    </row>
    <row r="2416" spans="1:12" x14ac:dyDescent="0.3">
      <c r="A2416" s="2">
        <v>2405</v>
      </c>
      <c r="B2416" s="2" t="s">
        <v>1900</v>
      </c>
      <c r="C2416" s="2" t="s">
        <v>336</v>
      </c>
      <c r="D2416" s="2" t="s">
        <v>51</v>
      </c>
      <c r="E2416" s="2" t="s">
        <v>16</v>
      </c>
      <c r="F2416" s="2">
        <v>90</v>
      </c>
      <c r="G2416" s="2" t="s">
        <v>6458</v>
      </c>
      <c r="H2416" s="2" t="s">
        <v>1791</v>
      </c>
      <c r="I2416" s="2" t="s">
        <v>32</v>
      </c>
      <c r="J2416" s="3">
        <v>44485</v>
      </c>
      <c r="K2416" s="2">
        <v>47</v>
      </c>
      <c r="L2416" s="2" t="s">
        <v>33</v>
      </c>
    </row>
    <row r="2417" spans="1:12" x14ac:dyDescent="0.3">
      <c r="A2417" s="2">
        <v>2406</v>
      </c>
      <c r="B2417" s="2" t="s">
        <v>259</v>
      </c>
      <c r="C2417" s="2" t="s">
        <v>6459</v>
      </c>
      <c r="D2417" s="2" t="s">
        <v>28</v>
      </c>
      <c r="E2417" s="2" t="s">
        <v>29</v>
      </c>
      <c r="F2417" s="2">
        <v>30</v>
      </c>
      <c r="G2417" s="2" t="s">
        <v>6460</v>
      </c>
      <c r="H2417" s="2" t="s">
        <v>1107</v>
      </c>
      <c r="I2417" s="2" t="s">
        <v>32</v>
      </c>
      <c r="J2417" s="3">
        <v>44089</v>
      </c>
      <c r="K2417" s="2">
        <v>58</v>
      </c>
      <c r="L2417" s="2" t="s">
        <v>33</v>
      </c>
    </row>
    <row r="2418" spans="1:12" x14ac:dyDescent="0.3">
      <c r="A2418" s="2">
        <v>2407</v>
      </c>
      <c r="B2418" s="2" t="s">
        <v>6461</v>
      </c>
      <c r="C2418" s="2" t="s">
        <v>4637</v>
      </c>
      <c r="D2418" s="2" t="s">
        <v>15</v>
      </c>
      <c r="E2418" s="2" t="s">
        <v>16</v>
      </c>
      <c r="F2418" s="2">
        <v>90</v>
      </c>
      <c r="G2418" s="2" t="s">
        <v>6462</v>
      </c>
      <c r="H2418" s="2" t="s">
        <v>2539</v>
      </c>
      <c r="I2418" s="2" t="s">
        <v>178</v>
      </c>
      <c r="J2418" s="3">
        <v>44687</v>
      </c>
      <c r="K2418" s="2">
        <v>44</v>
      </c>
      <c r="L2418" s="2" t="s">
        <v>80</v>
      </c>
    </row>
    <row r="2419" spans="1:12" x14ac:dyDescent="0.3">
      <c r="A2419" s="2">
        <v>2408</v>
      </c>
      <c r="B2419" s="2" t="s">
        <v>695</v>
      </c>
      <c r="C2419" s="2" t="s">
        <v>2920</v>
      </c>
      <c r="D2419" s="2" t="s">
        <v>15</v>
      </c>
      <c r="E2419" s="2" t="s">
        <v>16</v>
      </c>
      <c r="F2419" s="2">
        <v>30</v>
      </c>
      <c r="G2419" s="2" t="s">
        <v>6463</v>
      </c>
      <c r="H2419" s="2" t="s">
        <v>1333</v>
      </c>
      <c r="I2419" s="2" t="s">
        <v>294</v>
      </c>
      <c r="J2419" s="3">
        <v>44558</v>
      </c>
      <c r="K2419" s="2">
        <v>61</v>
      </c>
      <c r="L2419" s="2" t="s">
        <v>101</v>
      </c>
    </row>
    <row r="2420" spans="1:12" x14ac:dyDescent="0.3">
      <c r="A2420" s="2">
        <v>2409</v>
      </c>
      <c r="B2420" s="2" t="s">
        <v>596</v>
      </c>
      <c r="C2420" s="2" t="s">
        <v>2572</v>
      </c>
      <c r="D2420" s="2" t="s">
        <v>117</v>
      </c>
      <c r="E2420" s="2" t="s">
        <v>29</v>
      </c>
      <c r="F2420" s="2">
        <v>60</v>
      </c>
      <c r="G2420" s="2" t="s">
        <v>6464</v>
      </c>
      <c r="H2420" s="2" t="s">
        <v>4358</v>
      </c>
      <c r="I2420" s="2" t="s">
        <v>146</v>
      </c>
      <c r="J2420" s="3">
        <v>44032</v>
      </c>
      <c r="K2420" s="2">
        <v>42</v>
      </c>
      <c r="L2420" s="2" t="s">
        <v>64</v>
      </c>
    </row>
    <row r="2421" spans="1:12" x14ac:dyDescent="0.3">
      <c r="A2421" s="2">
        <v>2410</v>
      </c>
      <c r="B2421" s="2" t="s">
        <v>6465</v>
      </c>
      <c r="C2421" s="2" t="s">
        <v>5546</v>
      </c>
      <c r="D2421" s="2" t="s">
        <v>15</v>
      </c>
      <c r="E2421" s="2" t="s">
        <v>16</v>
      </c>
      <c r="F2421" s="2">
        <v>60</v>
      </c>
      <c r="G2421" s="2" t="s">
        <v>6466</v>
      </c>
      <c r="H2421" s="2" t="s">
        <v>655</v>
      </c>
      <c r="I2421" s="2" t="s">
        <v>32</v>
      </c>
      <c r="J2421" s="3">
        <v>44581</v>
      </c>
      <c r="K2421" s="2">
        <v>6</v>
      </c>
      <c r="L2421" s="2" t="s">
        <v>33</v>
      </c>
    </row>
    <row r="2422" spans="1:12" x14ac:dyDescent="0.3">
      <c r="A2422" s="2">
        <v>2411</v>
      </c>
      <c r="B2422" s="2" t="s">
        <v>6144</v>
      </c>
      <c r="C2422" s="2" t="s">
        <v>972</v>
      </c>
      <c r="D2422" s="2" t="s">
        <v>28</v>
      </c>
      <c r="E2422" s="2" t="s">
        <v>29</v>
      </c>
      <c r="F2422" s="2">
        <v>30</v>
      </c>
      <c r="G2422" s="2" t="s">
        <v>6467</v>
      </c>
      <c r="H2422" s="2" t="s">
        <v>6168</v>
      </c>
      <c r="I2422" s="2" t="s">
        <v>294</v>
      </c>
      <c r="J2422" s="3">
        <v>44882</v>
      </c>
      <c r="K2422" s="2">
        <v>93</v>
      </c>
      <c r="L2422" s="2" t="s">
        <v>159</v>
      </c>
    </row>
    <row r="2423" spans="1:12" x14ac:dyDescent="0.3">
      <c r="A2423" s="2">
        <v>2412</v>
      </c>
      <c r="B2423" s="2" t="s">
        <v>6468</v>
      </c>
      <c r="C2423" s="2" t="s">
        <v>6469</v>
      </c>
      <c r="D2423" s="2" t="s">
        <v>51</v>
      </c>
      <c r="E2423" s="2" t="s">
        <v>16</v>
      </c>
      <c r="F2423" s="2">
        <v>60</v>
      </c>
      <c r="G2423" s="2" t="s">
        <v>6470</v>
      </c>
      <c r="H2423" s="2" t="s">
        <v>5915</v>
      </c>
      <c r="I2423" s="2" t="s">
        <v>32</v>
      </c>
      <c r="J2423" s="3">
        <v>43912</v>
      </c>
      <c r="K2423" s="2">
        <v>11</v>
      </c>
      <c r="L2423" s="2" t="s">
        <v>64</v>
      </c>
    </row>
    <row r="2424" spans="1:12" x14ac:dyDescent="0.3">
      <c r="A2424" s="2">
        <v>2413</v>
      </c>
      <c r="B2424" s="2" t="s">
        <v>4602</v>
      </c>
      <c r="C2424" s="2" t="s">
        <v>2359</v>
      </c>
      <c r="D2424" s="2" t="s">
        <v>51</v>
      </c>
      <c r="E2424" s="2" t="s">
        <v>16</v>
      </c>
      <c r="F2424" s="2">
        <v>30</v>
      </c>
      <c r="G2424" s="2" t="s">
        <v>6471</v>
      </c>
      <c r="H2424" s="2" t="s">
        <v>2483</v>
      </c>
      <c r="I2424" s="2" t="s">
        <v>1199</v>
      </c>
      <c r="J2424" s="3">
        <v>44225</v>
      </c>
      <c r="K2424" s="2">
        <v>79</v>
      </c>
      <c r="L2424" s="2" t="s">
        <v>45</v>
      </c>
    </row>
    <row r="2425" spans="1:12" x14ac:dyDescent="0.3">
      <c r="A2425" s="2">
        <v>2414</v>
      </c>
      <c r="B2425" s="2" t="s">
        <v>6472</v>
      </c>
      <c r="C2425" s="2" t="s">
        <v>5862</v>
      </c>
      <c r="D2425" s="2" t="s">
        <v>15</v>
      </c>
      <c r="E2425" s="2" t="s">
        <v>16</v>
      </c>
      <c r="F2425" s="2">
        <v>30</v>
      </c>
      <c r="G2425" s="2" t="s">
        <v>6473</v>
      </c>
      <c r="H2425" s="2" t="s">
        <v>363</v>
      </c>
      <c r="I2425" s="2" t="s">
        <v>110</v>
      </c>
      <c r="J2425" s="3">
        <v>44022</v>
      </c>
      <c r="K2425" s="2">
        <v>26</v>
      </c>
      <c r="L2425" s="2" t="s">
        <v>80</v>
      </c>
    </row>
    <row r="2426" spans="1:12" x14ac:dyDescent="0.3">
      <c r="A2426" s="2">
        <v>2415</v>
      </c>
      <c r="B2426" s="2" t="s">
        <v>1464</v>
      </c>
      <c r="C2426" s="2" t="s">
        <v>2785</v>
      </c>
      <c r="D2426" s="2" t="s">
        <v>28</v>
      </c>
      <c r="E2426" s="2" t="s">
        <v>29</v>
      </c>
      <c r="F2426" s="2">
        <v>90</v>
      </c>
      <c r="G2426" s="2" t="s">
        <v>6474</v>
      </c>
      <c r="H2426" s="2" t="s">
        <v>2972</v>
      </c>
      <c r="I2426" s="2" t="s">
        <v>32</v>
      </c>
      <c r="J2426" s="3">
        <v>43851</v>
      </c>
      <c r="K2426" s="2">
        <v>79</v>
      </c>
      <c r="L2426" s="2" t="s">
        <v>33</v>
      </c>
    </row>
    <row r="2427" spans="1:12" x14ac:dyDescent="0.3">
      <c r="A2427" s="2">
        <v>2416</v>
      </c>
      <c r="B2427" s="2" t="s">
        <v>4068</v>
      </c>
      <c r="C2427" s="2" t="s">
        <v>1535</v>
      </c>
      <c r="D2427" s="2" t="s">
        <v>28</v>
      </c>
      <c r="E2427" s="2" t="s">
        <v>29</v>
      </c>
      <c r="F2427" s="2">
        <v>60</v>
      </c>
      <c r="G2427" s="2" t="s">
        <v>6475</v>
      </c>
      <c r="H2427" s="2" t="s">
        <v>1256</v>
      </c>
      <c r="I2427" s="2" t="s">
        <v>32</v>
      </c>
      <c r="J2427" s="3">
        <v>44821</v>
      </c>
      <c r="K2427" s="2">
        <v>15</v>
      </c>
      <c r="L2427" s="2" t="s">
        <v>159</v>
      </c>
    </row>
    <row r="2428" spans="1:12" x14ac:dyDescent="0.3">
      <c r="A2428" s="2">
        <v>2417</v>
      </c>
      <c r="B2428" s="2" t="s">
        <v>6476</v>
      </c>
      <c r="C2428" s="2" t="s">
        <v>6477</v>
      </c>
      <c r="D2428" s="2" t="s">
        <v>28</v>
      </c>
      <c r="E2428" s="2" t="s">
        <v>29</v>
      </c>
      <c r="F2428" s="2">
        <v>60</v>
      </c>
      <c r="G2428" s="2" t="s">
        <v>6478</v>
      </c>
      <c r="H2428" s="2" t="s">
        <v>6479</v>
      </c>
      <c r="I2428" s="2" t="s">
        <v>187</v>
      </c>
      <c r="J2428" s="3">
        <v>44330</v>
      </c>
      <c r="K2428" s="2">
        <v>33</v>
      </c>
      <c r="L2428" s="2" t="s">
        <v>54</v>
      </c>
    </row>
    <row r="2429" spans="1:12" x14ac:dyDescent="0.3">
      <c r="A2429" s="2">
        <v>2418</v>
      </c>
      <c r="B2429" s="2" t="s">
        <v>6480</v>
      </c>
      <c r="C2429" s="2" t="s">
        <v>1410</v>
      </c>
      <c r="D2429" s="2" t="s">
        <v>15</v>
      </c>
      <c r="E2429" s="2" t="s">
        <v>16</v>
      </c>
      <c r="F2429" s="2">
        <v>90</v>
      </c>
      <c r="G2429" s="2" t="s">
        <v>6481</v>
      </c>
      <c r="H2429" s="2" t="s">
        <v>2137</v>
      </c>
      <c r="I2429" s="2" t="s">
        <v>187</v>
      </c>
      <c r="J2429" s="3">
        <v>44269</v>
      </c>
      <c r="K2429" s="2">
        <v>92</v>
      </c>
      <c r="L2429" s="2" t="s">
        <v>54</v>
      </c>
    </row>
    <row r="2430" spans="1:12" x14ac:dyDescent="0.3">
      <c r="A2430" s="2">
        <v>2419</v>
      </c>
      <c r="B2430" s="2" t="s">
        <v>4438</v>
      </c>
      <c r="C2430" s="2" t="s">
        <v>4356</v>
      </c>
      <c r="D2430" s="2" t="s">
        <v>28</v>
      </c>
      <c r="E2430" s="2" t="s">
        <v>29</v>
      </c>
      <c r="F2430" s="2">
        <v>60</v>
      </c>
      <c r="G2430" s="2" t="s">
        <v>6482</v>
      </c>
      <c r="H2430" s="2" t="s">
        <v>1996</v>
      </c>
      <c r="I2430" s="2" t="s">
        <v>208</v>
      </c>
      <c r="J2430" s="3">
        <v>43956</v>
      </c>
      <c r="K2430" s="2">
        <v>2</v>
      </c>
      <c r="L2430" s="2" t="s">
        <v>101</v>
      </c>
    </row>
    <row r="2431" spans="1:12" x14ac:dyDescent="0.3">
      <c r="A2431" s="2">
        <v>2420</v>
      </c>
      <c r="B2431" s="2" t="s">
        <v>3791</v>
      </c>
      <c r="C2431" s="2" t="s">
        <v>2422</v>
      </c>
      <c r="D2431" s="2" t="s">
        <v>28</v>
      </c>
      <c r="E2431" s="2" t="s">
        <v>29</v>
      </c>
      <c r="F2431" s="2">
        <v>60</v>
      </c>
      <c r="G2431" s="2" t="s">
        <v>6483</v>
      </c>
      <c r="H2431" s="2" t="s">
        <v>627</v>
      </c>
      <c r="I2431" s="2" t="s">
        <v>294</v>
      </c>
      <c r="J2431" s="3">
        <v>43959</v>
      </c>
      <c r="K2431" s="2">
        <v>58</v>
      </c>
      <c r="L2431" s="2" t="s">
        <v>39</v>
      </c>
    </row>
    <row r="2432" spans="1:12" x14ac:dyDescent="0.3">
      <c r="A2432" s="2">
        <v>2421</v>
      </c>
      <c r="B2432" s="2" t="s">
        <v>6484</v>
      </c>
      <c r="C2432" s="2" t="s">
        <v>3464</v>
      </c>
      <c r="D2432" s="2" t="s">
        <v>28</v>
      </c>
      <c r="E2432" s="2" t="s">
        <v>29</v>
      </c>
      <c r="F2432" s="2">
        <v>30</v>
      </c>
      <c r="G2432" s="2" t="s">
        <v>6485</v>
      </c>
      <c r="H2432" s="2" t="s">
        <v>6486</v>
      </c>
      <c r="I2432" s="2" t="s">
        <v>173</v>
      </c>
      <c r="J2432" s="3">
        <v>44111</v>
      </c>
      <c r="K2432" s="2">
        <v>7</v>
      </c>
      <c r="L2432" s="2" t="s">
        <v>45</v>
      </c>
    </row>
    <row r="2433" spans="1:12" x14ac:dyDescent="0.3">
      <c r="A2433" s="2">
        <v>2422</v>
      </c>
      <c r="B2433" s="2" t="s">
        <v>6487</v>
      </c>
      <c r="C2433" s="2" t="s">
        <v>6447</v>
      </c>
      <c r="D2433" s="2" t="s">
        <v>15</v>
      </c>
      <c r="E2433" s="2" t="s">
        <v>16</v>
      </c>
      <c r="F2433" s="2">
        <v>60</v>
      </c>
      <c r="G2433" s="2" t="s">
        <v>6488</v>
      </c>
      <c r="H2433" s="2" t="s">
        <v>1530</v>
      </c>
      <c r="I2433" s="2" t="s">
        <v>32</v>
      </c>
      <c r="J2433" s="3">
        <v>44710</v>
      </c>
      <c r="K2433" s="2">
        <v>39</v>
      </c>
      <c r="L2433" s="2" t="s">
        <v>64</v>
      </c>
    </row>
    <row r="2434" spans="1:12" x14ac:dyDescent="0.3">
      <c r="A2434" s="2">
        <v>2423</v>
      </c>
      <c r="B2434" s="2" t="s">
        <v>6489</v>
      </c>
      <c r="C2434" s="2" t="s">
        <v>759</v>
      </c>
      <c r="D2434" s="2" t="s">
        <v>51</v>
      </c>
      <c r="E2434" s="2" t="s">
        <v>16</v>
      </c>
      <c r="F2434" s="2">
        <v>30</v>
      </c>
      <c r="G2434" s="2" t="s">
        <v>6490</v>
      </c>
      <c r="H2434" s="2" t="s">
        <v>2745</v>
      </c>
      <c r="I2434" s="2" t="s">
        <v>32</v>
      </c>
      <c r="J2434" s="3">
        <v>44829</v>
      </c>
      <c r="K2434" s="2">
        <v>92</v>
      </c>
      <c r="L2434" s="2" t="s">
        <v>159</v>
      </c>
    </row>
    <row r="2435" spans="1:12" x14ac:dyDescent="0.3">
      <c r="A2435" s="2">
        <v>2424</v>
      </c>
      <c r="B2435" s="2" t="s">
        <v>4727</v>
      </c>
      <c r="C2435" s="2" t="s">
        <v>4143</v>
      </c>
      <c r="D2435" s="2" t="s">
        <v>28</v>
      </c>
      <c r="E2435" s="2" t="s">
        <v>29</v>
      </c>
      <c r="F2435" s="2">
        <v>90</v>
      </c>
      <c r="G2435" s="2" t="s">
        <v>6491</v>
      </c>
      <c r="H2435" s="2" t="s">
        <v>4049</v>
      </c>
      <c r="I2435" s="2" t="s">
        <v>32</v>
      </c>
      <c r="J2435" s="3">
        <v>44262</v>
      </c>
      <c r="K2435" s="2">
        <v>20</v>
      </c>
      <c r="L2435" s="2" t="s">
        <v>20</v>
      </c>
    </row>
    <row r="2436" spans="1:12" x14ac:dyDescent="0.3">
      <c r="A2436" s="2">
        <v>2425</v>
      </c>
      <c r="B2436" s="2" t="s">
        <v>6492</v>
      </c>
      <c r="C2436" s="2" t="s">
        <v>2145</v>
      </c>
      <c r="D2436" s="2" t="s">
        <v>28</v>
      </c>
      <c r="E2436" s="2" t="s">
        <v>29</v>
      </c>
      <c r="F2436" s="2">
        <v>60</v>
      </c>
      <c r="G2436" s="2" t="s">
        <v>6493</v>
      </c>
      <c r="H2436" s="2" t="s">
        <v>405</v>
      </c>
      <c r="I2436" s="2" t="s">
        <v>32</v>
      </c>
      <c r="J2436" s="3">
        <v>44445</v>
      </c>
      <c r="K2436" s="2">
        <v>56</v>
      </c>
      <c r="L2436" s="2" t="s">
        <v>20</v>
      </c>
    </row>
    <row r="2437" spans="1:12" x14ac:dyDescent="0.3">
      <c r="A2437" s="2">
        <v>2426</v>
      </c>
      <c r="B2437" s="2" t="s">
        <v>2303</v>
      </c>
      <c r="C2437" s="2" t="s">
        <v>3375</v>
      </c>
      <c r="D2437" s="2" t="s">
        <v>28</v>
      </c>
      <c r="E2437" s="2" t="s">
        <v>29</v>
      </c>
      <c r="F2437" s="2">
        <v>60</v>
      </c>
      <c r="G2437" s="2" t="s">
        <v>6494</v>
      </c>
      <c r="H2437" s="2" t="s">
        <v>2975</v>
      </c>
      <c r="I2437" s="2" t="s">
        <v>146</v>
      </c>
      <c r="J2437" s="3">
        <v>44121</v>
      </c>
      <c r="K2437" s="2">
        <v>73</v>
      </c>
      <c r="L2437" s="2" t="s">
        <v>39</v>
      </c>
    </row>
    <row r="2438" spans="1:12" x14ac:dyDescent="0.3">
      <c r="A2438" s="2">
        <v>2427</v>
      </c>
      <c r="B2438" s="2" t="s">
        <v>1236</v>
      </c>
      <c r="C2438" s="2" t="s">
        <v>3016</v>
      </c>
      <c r="D2438" s="2" t="s">
        <v>41</v>
      </c>
      <c r="E2438" s="2" t="s">
        <v>16</v>
      </c>
      <c r="F2438" s="2">
        <v>30</v>
      </c>
      <c r="G2438" s="2" t="s">
        <v>6495</v>
      </c>
      <c r="H2438" s="2" t="s">
        <v>526</v>
      </c>
      <c r="I2438" s="2" t="s">
        <v>32</v>
      </c>
      <c r="J2438" s="3">
        <v>44857</v>
      </c>
      <c r="K2438" s="2">
        <v>68</v>
      </c>
      <c r="L2438" s="2" t="s">
        <v>54</v>
      </c>
    </row>
    <row r="2439" spans="1:12" x14ac:dyDescent="0.3">
      <c r="A2439" s="2">
        <v>2428</v>
      </c>
      <c r="B2439" s="2" t="s">
        <v>5348</v>
      </c>
      <c r="C2439" s="2" t="s">
        <v>2281</v>
      </c>
      <c r="D2439" s="2" t="s">
        <v>28</v>
      </c>
      <c r="E2439" s="2" t="s">
        <v>29</v>
      </c>
      <c r="F2439" s="2">
        <v>90</v>
      </c>
      <c r="G2439" s="2" t="s">
        <v>6496</v>
      </c>
      <c r="H2439" s="2" t="s">
        <v>1401</v>
      </c>
      <c r="I2439" s="2" t="s">
        <v>1402</v>
      </c>
      <c r="J2439" s="3">
        <v>44631</v>
      </c>
      <c r="K2439" s="2">
        <v>55</v>
      </c>
      <c r="L2439" s="2" t="s">
        <v>64</v>
      </c>
    </row>
    <row r="2440" spans="1:12" x14ac:dyDescent="0.3">
      <c r="A2440" s="2">
        <v>2429</v>
      </c>
      <c r="B2440" s="2" t="s">
        <v>6330</v>
      </c>
      <c r="C2440" s="2" t="s">
        <v>705</v>
      </c>
      <c r="D2440" s="2" t="s">
        <v>28</v>
      </c>
      <c r="E2440" s="2" t="s">
        <v>29</v>
      </c>
      <c r="F2440" s="2">
        <v>30</v>
      </c>
      <c r="G2440" s="2" t="s">
        <v>6497</v>
      </c>
      <c r="H2440" s="2" t="s">
        <v>6498</v>
      </c>
      <c r="I2440" s="2" t="s">
        <v>124</v>
      </c>
      <c r="J2440" s="3">
        <v>44673</v>
      </c>
      <c r="K2440" s="2">
        <v>89</v>
      </c>
      <c r="L2440" s="2" t="s">
        <v>39</v>
      </c>
    </row>
    <row r="2441" spans="1:12" x14ac:dyDescent="0.3">
      <c r="A2441" s="2">
        <v>2430</v>
      </c>
      <c r="B2441" s="2" t="s">
        <v>2805</v>
      </c>
      <c r="C2441" s="2" t="s">
        <v>2995</v>
      </c>
      <c r="D2441" s="2" t="s">
        <v>28</v>
      </c>
      <c r="E2441" s="2" t="s">
        <v>29</v>
      </c>
      <c r="F2441" s="2">
        <v>60</v>
      </c>
      <c r="G2441" s="2" t="s">
        <v>6499</v>
      </c>
      <c r="H2441" s="2" t="s">
        <v>1422</v>
      </c>
      <c r="I2441" s="2" t="s">
        <v>575</v>
      </c>
      <c r="J2441" s="3">
        <v>44482</v>
      </c>
      <c r="K2441" s="2">
        <v>90</v>
      </c>
      <c r="L2441" s="2" t="s">
        <v>45</v>
      </c>
    </row>
    <row r="2442" spans="1:12" x14ac:dyDescent="0.3">
      <c r="A2442" s="2">
        <v>2431</v>
      </c>
      <c r="B2442" s="2" t="s">
        <v>6500</v>
      </c>
      <c r="C2442" s="2" t="s">
        <v>2326</v>
      </c>
      <c r="D2442" s="2" t="s">
        <v>51</v>
      </c>
      <c r="E2442" s="2" t="s">
        <v>16</v>
      </c>
      <c r="F2442" s="2">
        <v>60</v>
      </c>
      <c r="G2442" s="2" t="s">
        <v>6501</v>
      </c>
      <c r="H2442" s="2" t="s">
        <v>4111</v>
      </c>
      <c r="I2442" s="2" t="s">
        <v>95</v>
      </c>
      <c r="J2442" s="3">
        <v>44096</v>
      </c>
      <c r="K2442" s="2">
        <v>61</v>
      </c>
      <c r="L2442" s="2" t="s">
        <v>101</v>
      </c>
    </row>
    <row r="2443" spans="1:12" x14ac:dyDescent="0.3">
      <c r="A2443" s="2">
        <v>2432</v>
      </c>
      <c r="B2443" s="2" t="s">
        <v>1860</v>
      </c>
      <c r="C2443" s="2" t="s">
        <v>1832</v>
      </c>
      <c r="D2443" s="2" t="s">
        <v>28</v>
      </c>
      <c r="E2443" s="2" t="s">
        <v>29</v>
      </c>
      <c r="F2443" s="2">
        <v>30</v>
      </c>
      <c r="G2443" s="2" t="s">
        <v>6502</v>
      </c>
      <c r="H2443" s="2" t="s">
        <v>1412</v>
      </c>
      <c r="I2443" s="2" t="s">
        <v>1413</v>
      </c>
      <c r="J2443" s="3">
        <v>44103</v>
      </c>
      <c r="K2443" s="2">
        <v>12</v>
      </c>
      <c r="L2443" s="2" t="s">
        <v>80</v>
      </c>
    </row>
    <row r="2444" spans="1:12" x14ac:dyDescent="0.3">
      <c r="A2444" s="2">
        <v>2433</v>
      </c>
      <c r="B2444" s="2" t="s">
        <v>6503</v>
      </c>
      <c r="C2444" s="2" t="s">
        <v>4029</v>
      </c>
      <c r="D2444" s="2" t="s">
        <v>28</v>
      </c>
      <c r="E2444" s="2" t="s">
        <v>29</v>
      </c>
      <c r="F2444" s="2">
        <v>30</v>
      </c>
      <c r="G2444" s="2" t="s">
        <v>6504</v>
      </c>
      <c r="H2444" s="2" t="s">
        <v>2348</v>
      </c>
      <c r="I2444" s="2" t="s">
        <v>32</v>
      </c>
      <c r="J2444" s="3">
        <v>43918</v>
      </c>
      <c r="K2444" s="2">
        <v>66</v>
      </c>
      <c r="L2444" s="2" t="s">
        <v>39</v>
      </c>
    </row>
    <row r="2445" spans="1:12" x14ac:dyDescent="0.3">
      <c r="A2445" s="2">
        <v>2434</v>
      </c>
      <c r="B2445" s="2" t="s">
        <v>6505</v>
      </c>
      <c r="C2445" s="2" t="s">
        <v>1132</v>
      </c>
      <c r="D2445" s="2" t="s">
        <v>51</v>
      </c>
      <c r="E2445" s="2" t="s">
        <v>16</v>
      </c>
      <c r="F2445" s="2">
        <v>90</v>
      </c>
      <c r="G2445" s="2" t="s">
        <v>6506</v>
      </c>
      <c r="H2445" s="2" t="s">
        <v>6507</v>
      </c>
      <c r="I2445" s="2" t="s">
        <v>187</v>
      </c>
      <c r="J2445" s="3">
        <v>44911</v>
      </c>
      <c r="K2445" s="2">
        <v>86</v>
      </c>
      <c r="L2445" s="2" t="s">
        <v>45</v>
      </c>
    </row>
    <row r="2446" spans="1:12" x14ac:dyDescent="0.3">
      <c r="A2446" s="2">
        <v>2435</v>
      </c>
      <c r="B2446" s="2" t="s">
        <v>6511</v>
      </c>
      <c r="C2446" s="2" t="s">
        <v>4018</v>
      </c>
      <c r="D2446" s="2" t="s">
        <v>28</v>
      </c>
      <c r="E2446" s="2" t="s">
        <v>29</v>
      </c>
      <c r="F2446" s="2">
        <v>60</v>
      </c>
      <c r="G2446" s="2" t="s">
        <v>6512</v>
      </c>
      <c r="H2446" s="2" t="s">
        <v>2982</v>
      </c>
      <c r="I2446" s="2" t="s">
        <v>2983</v>
      </c>
      <c r="J2446" s="3">
        <v>43923</v>
      </c>
      <c r="K2446" s="2">
        <v>7</v>
      </c>
      <c r="L2446" s="2" t="s">
        <v>54</v>
      </c>
    </row>
    <row r="2447" spans="1:12" x14ac:dyDescent="0.3">
      <c r="A2447" s="2">
        <v>2436</v>
      </c>
      <c r="B2447" s="2" t="s">
        <v>3149</v>
      </c>
      <c r="C2447" s="2" t="s">
        <v>6513</v>
      </c>
      <c r="D2447" s="2" t="s">
        <v>28</v>
      </c>
      <c r="E2447" s="2" t="s">
        <v>29</v>
      </c>
      <c r="F2447" s="2">
        <v>60</v>
      </c>
      <c r="G2447" s="2" t="s">
        <v>6514</v>
      </c>
      <c r="H2447" s="2" t="s">
        <v>1077</v>
      </c>
      <c r="I2447" s="2" t="s">
        <v>1078</v>
      </c>
      <c r="J2447" s="3">
        <v>44564</v>
      </c>
      <c r="K2447" s="2">
        <v>73</v>
      </c>
      <c r="L2447" s="2" t="s">
        <v>80</v>
      </c>
    </row>
    <row r="2448" spans="1:12" x14ac:dyDescent="0.3">
      <c r="A2448" s="2">
        <v>2437</v>
      </c>
      <c r="B2448" s="2" t="s">
        <v>6515</v>
      </c>
      <c r="C2448" s="2" t="s">
        <v>5797</v>
      </c>
      <c r="D2448" s="2" t="s">
        <v>51</v>
      </c>
      <c r="E2448" s="2" t="s">
        <v>16</v>
      </c>
      <c r="F2448" s="2">
        <v>60</v>
      </c>
      <c r="G2448" s="2" t="s">
        <v>6514</v>
      </c>
      <c r="H2448" s="2" t="s">
        <v>6516</v>
      </c>
      <c r="I2448" s="2" t="s">
        <v>32</v>
      </c>
      <c r="J2448" s="3">
        <v>43858</v>
      </c>
      <c r="K2448" s="2">
        <v>9</v>
      </c>
      <c r="L2448" s="2" t="s">
        <v>101</v>
      </c>
    </row>
    <row r="2449" spans="1:12" x14ac:dyDescent="0.3">
      <c r="A2449" s="2">
        <v>2438</v>
      </c>
      <c r="B2449" s="2" t="s">
        <v>6517</v>
      </c>
      <c r="C2449" s="2" t="s">
        <v>6275</v>
      </c>
      <c r="D2449" s="2" t="s">
        <v>51</v>
      </c>
      <c r="E2449" s="2" t="s">
        <v>16</v>
      </c>
      <c r="F2449" s="2">
        <v>30</v>
      </c>
      <c r="G2449" s="2" t="s">
        <v>6518</v>
      </c>
      <c r="H2449" s="2" t="s">
        <v>2401</v>
      </c>
      <c r="I2449" s="2" t="s">
        <v>178</v>
      </c>
      <c r="J2449" s="3">
        <v>44055</v>
      </c>
      <c r="K2449" s="2">
        <v>56</v>
      </c>
      <c r="L2449" s="2" t="s">
        <v>70</v>
      </c>
    </row>
    <row r="2450" spans="1:12" x14ac:dyDescent="0.3">
      <c r="A2450" s="2">
        <v>2439</v>
      </c>
      <c r="B2450" s="2" t="s">
        <v>6519</v>
      </c>
      <c r="C2450" s="2" t="s">
        <v>4137</v>
      </c>
      <c r="D2450" s="2" t="s">
        <v>51</v>
      </c>
      <c r="E2450" s="2" t="s">
        <v>16</v>
      </c>
      <c r="F2450" s="2">
        <v>90</v>
      </c>
      <c r="G2450" s="2" t="s">
        <v>6520</v>
      </c>
      <c r="H2450" s="2" t="s">
        <v>4180</v>
      </c>
      <c r="I2450" s="2" t="s">
        <v>187</v>
      </c>
      <c r="J2450" s="3">
        <v>44794</v>
      </c>
      <c r="K2450" s="2">
        <v>105</v>
      </c>
      <c r="L2450" s="2" t="s">
        <v>20</v>
      </c>
    </row>
    <row r="2451" spans="1:12" x14ac:dyDescent="0.3">
      <c r="A2451" s="2">
        <v>2440</v>
      </c>
      <c r="B2451" s="2" t="s">
        <v>4068</v>
      </c>
      <c r="C2451" s="2" t="s">
        <v>4075</v>
      </c>
      <c r="D2451" s="2" t="s">
        <v>28</v>
      </c>
      <c r="E2451" s="2" t="s">
        <v>29</v>
      </c>
      <c r="F2451" s="2">
        <v>90</v>
      </c>
      <c r="G2451" s="2" t="s">
        <v>6521</v>
      </c>
      <c r="H2451" s="2" t="s">
        <v>5736</v>
      </c>
      <c r="I2451" s="2" t="s">
        <v>95</v>
      </c>
      <c r="J2451" s="3">
        <v>44351</v>
      </c>
      <c r="K2451" s="2">
        <v>43</v>
      </c>
      <c r="L2451" s="2" t="s">
        <v>54</v>
      </c>
    </row>
    <row r="2452" spans="1:12" x14ac:dyDescent="0.3">
      <c r="A2452" s="2">
        <v>2441</v>
      </c>
      <c r="B2452" s="2" t="s">
        <v>6522</v>
      </c>
      <c r="C2452" s="2" t="s">
        <v>6523</v>
      </c>
      <c r="D2452" s="2" t="s">
        <v>28</v>
      </c>
      <c r="E2452" s="2" t="s">
        <v>29</v>
      </c>
      <c r="F2452" s="2">
        <v>30</v>
      </c>
      <c r="G2452" s="2" t="s">
        <v>6524</v>
      </c>
      <c r="H2452" s="2" t="s">
        <v>3234</v>
      </c>
      <c r="I2452" s="2" t="s">
        <v>25</v>
      </c>
      <c r="J2452" s="3">
        <v>44045</v>
      </c>
      <c r="K2452" s="2">
        <v>81</v>
      </c>
      <c r="L2452" s="2" t="s">
        <v>101</v>
      </c>
    </row>
    <row r="2453" spans="1:12" x14ac:dyDescent="0.3">
      <c r="A2453" s="2">
        <v>2442</v>
      </c>
      <c r="B2453" s="2" t="s">
        <v>1116</v>
      </c>
      <c r="C2453" s="2" t="s">
        <v>1137</v>
      </c>
      <c r="D2453" s="2" t="s">
        <v>28</v>
      </c>
      <c r="E2453" s="2" t="s">
        <v>29</v>
      </c>
      <c r="F2453" s="2">
        <v>90</v>
      </c>
      <c r="G2453" s="2" t="s">
        <v>6525</v>
      </c>
      <c r="H2453" s="2" t="s">
        <v>2021</v>
      </c>
      <c r="I2453" s="2" t="s">
        <v>2022</v>
      </c>
      <c r="J2453" s="3">
        <v>44168</v>
      </c>
      <c r="K2453" s="2">
        <v>81</v>
      </c>
      <c r="L2453" s="2" t="s">
        <v>101</v>
      </c>
    </row>
    <row r="2454" spans="1:12" x14ac:dyDescent="0.3">
      <c r="A2454" s="2">
        <v>2443</v>
      </c>
      <c r="B2454" s="2" t="s">
        <v>6526</v>
      </c>
      <c r="C2454" s="2" t="s">
        <v>6527</v>
      </c>
      <c r="D2454" s="2" t="s">
        <v>51</v>
      </c>
      <c r="E2454" s="2" t="s">
        <v>16</v>
      </c>
      <c r="F2454" s="2">
        <v>60</v>
      </c>
      <c r="G2454" s="2" t="s">
        <v>6525</v>
      </c>
      <c r="H2454" s="2" t="s">
        <v>6516</v>
      </c>
      <c r="I2454" s="2" t="s">
        <v>32</v>
      </c>
      <c r="J2454" s="3">
        <v>44807</v>
      </c>
      <c r="K2454" s="2">
        <v>29</v>
      </c>
      <c r="L2454" s="2" t="s">
        <v>101</v>
      </c>
    </row>
    <row r="2455" spans="1:12" x14ac:dyDescent="0.3">
      <c r="A2455" s="2">
        <v>2444</v>
      </c>
      <c r="B2455" s="2" t="s">
        <v>6528</v>
      </c>
      <c r="C2455" s="2" t="s">
        <v>3930</v>
      </c>
      <c r="D2455" s="2" t="s">
        <v>28</v>
      </c>
      <c r="E2455" s="2" t="s">
        <v>29</v>
      </c>
      <c r="F2455" s="2">
        <v>60</v>
      </c>
      <c r="G2455" s="2" t="s">
        <v>6529</v>
      </c>
      <c r="H2455" s="2" t="s">
        <v>5962</v>
      </c>
      <c r="I2455" s="2" t="s">
        <v>32</v>
      </c>
      <c r="J2455" s="3">
        <v>44688</v>
      </c>
      <c r="K2455" s="2">
        <v>67</v>
      </c>
      <c r="L2455" s="2" t="s">
        <v>54</v>
      </c>
    </row>
    <row r="2456" spans="1:12" x14ac:dyDescent="0.3">
      <c r="A2456" s="2">
        <v>2445</v>
      </c>
      <c r="B2456" s="2" t="s">
        <v>4025</v>
      </c>
      <c r="C2456" s="2" t="s">
        <v>3824</v>
      </c>
      <c r="D2456" s="2" t="s">
        <v>15</v>
      </c>
      <c r="E2456" s="2" t="s">
        <v>16</v>
      </c>
      <c r="F2456" s="2">
        <v>60</v>
      </c>
      <c r="G2456" s="2" t="s">
        <v>6530</v>
      </c>
      <c r="H2456" s="2" t="s">
        <v>3531</v>
      </c>
      <c r="I2456" s="2" t="s">
        <v>32</v>
      </c>
      <c r="J2456" s="3">
        <v>44241</v>
      </c>
      <c r="K2456" s="2">
        <v>10</v>
      </c>
      <c r="L2456" s="2" t="s">
        <v>159</v>
      </c>
    </row>
    <row r="2457" spans="1:12" x14ac:dyDescent="0.3">
      <c r="A2457" s="2">
        <v>2446</v>
      </c>
      <c r="B2457" s="2" t="s">
        <v>820</v>
      </c>
      <c r="C2457" s="2" t="s">
        <v>5541</v>
      </c>
      <c r="D2457" s="2" t="s">
        <v>28</v>
      </c>
      <c r="E2457" s="2" t="s">
        <v>29</v>
      </c>
      <c r="F2457" s="2">
        <v>90</v>
      </c>
      <c r="G2457" s="2" t="s">
        <v>6531</v>
      </c>
      <c r="H2457" s="2" t="s">
        <v>6036</v>
      </c>
      <c r="I2457" s="2" t="s">
        <v>32</v>
      </c>
      <c r="J2457" s="3">
        <v>44558</v>
      </c>
      <c r="K2457" s="2">
        <v>5</v>
      </c>
      <c r="L2457" s="2" t="s">
        <v>45</v>
      </c>
    </row>
    <row r="2458" spans="1:12" x14ac:dyDescent="0.3">
      <c r="A2458" s="2">
        <v>2447</v>
      </c>
      <c r="B2458" s="2" t="s">
        <v>6532</v>
      </c>
      <c r="C2458" s="2" t="s">
        <v>4009</v>
      </c>
      <c r="D2458" s="2" t="s">
        <v>28</v>
      </c>
      <c r="E2458" s="2" t="s">
        <v>29</v>
      </c>
      <c r="F2458" s="2">
        <v>90</v>
      </c>
      <c r="G2458" s="2" t="s">
        <v>6533</v>
      </c>
      <c r="H2458" s="2" t="s">
        <v>4958</v>
      </c>
      <c r="I2458" s="2" t="s">
        <v>95</v>
      </c>
      <c r="J2458" s="3">
        <v>43964</v>
      </c>
      <c r="K2458" s="2">
        <v>47</v>
      </c>
      <c r="L2458" s="2" t="s">
        <v>80</v>
      </c>
    </row>
    <row r="2459" spans="1:12" x14ac:dyDescent="0.3">
      <c r="A2459" s="2">
        <v>2448</v>
      </c>
      <c r="B2459" s="2" t="s">
        <v>2647</v>
      </c>
      <c r="C2459" s="2" t="s">
        <v>6534</v>
      </c>
      <c r="D2459" s="2" t="s">
        <v>28</v>
      </c>
      <c r="E2459" s="2" t="s">
        <v>29</v>
      </c>
      <c r="F2459" s="2">
        <v>90</v>
      </c>
      <c r="G2459" s="2" t="s">
        <v>6535</v>
      </c>
      <c r="H2459" s="2" t="s">
        <v>5667</v>
      </c>
      <c r="I2459" s="2" t="s">
        <v>32</v>
      </c>
      <c r="J2459" s="3">
        <v>44407</v>
      </c>
      <c r="K2459" s="2">
        <v>70</v>
      </c>
      <c r="L2459" s="2" t="s">
        <v>45</v>
      </c>
    </row>
    <row r="2460" spans="1:12" x14ac:dyDescent="0.3">
      <c r="A2460" s="2">
        <v>2449</v>
      </c>
      <c r="B2460" s="2" t="s">
        <v>5702</v>
      </c>
      <c r="C2460" s="2" t="s">
        <v>3522</v>
      </c>
      <c r="D2460" s="2" t="s">
        <v>28</v>
      </c>
      <c r="E2460" s="2" t="s">
        <v>29</v>
      </c>
      <c r="F2460" s="2">
        <v>90</v>
      </c>
      <c r="G2460" s="2" t="s">
        <v>6536</v>
      </c>
      <c r="H2460" s="2" t="s">
        <v>2334</v>
      </c>
      <c r="I2460" s="2" t="s">
        <v>32</v>
      </c>
      <c r="J2460" s="3">
        <v>44837</v>
      </c>
      <c r="K2460" s="2">
        <v>37</v>
      </c>
      <c r="L2460" s="2" t="s">
        <v>45</v>
      </c>
    </row>
    <row r="2461" spans="1:12" x14ac:dyDescent="0.3">
      <c r="A2461" s="2">
        <v>2450</v>
      </c>
      <c r="B2461" s="2" t="s">
        <v>6537</v>
      </c>
      <c r="C2461" s="2" t="s">
        <v>6538</v>
      </c>
      <c r="D2461" s="2" t="s">
        <v>15</v>
      </c>
      <c r="E2461" s="2" t="s">
        <v>16</v>
      </c>
      <c r="F2461" s="2">
        <v>90</v>
      </c>
      <c r="G2461" s="2" t="s">
        <v>6539</v>
      </c>
      <c r="H2461" s="2" t="s">
        <v>3206</v>
      </c>
      <c r="I2461" s="2" t="s">
        <v>1199</v>
      </c>
      <c r="J2461" s="3">
        <v>44851</v>
      </c>
      <c r="K2461" s="2">
        <v>77</v>
      </c>
      <c r="L2461" s="2" t="s">
        <v>159</v>
      </c>
    </row>
    <row r="2462" spans="1:12" x14ac:dyDescent="0.3">
      <c r="A2462" s="2">
        <v>2451</v>
      </c>
      <c r="B2462" s="2" t="s">
        <v>6540</v>
      </c>
      <c r="C2462" s="2" t="s">
        <v>6541</v>
      </c>
      <c r="D2462" s="2" t="s">
        <v>28</v>
      </c>
      <c r="E2462" s="2" t="s">
        <v>29</v>
      </c>
      <c r="F2462" s="2">
        <v>90</v>
      </c>
      <c r="G2462" s="2" t="s">
        <v>10529</v>
      </c>
      <c r="H2462" s="2" t="s">
        <v>5934</v>
      </c>
      <c r="I2462" s="2" t="s">
        <v>173</v>
      </c>
      <c r="J2462" s="3">
        <v>44239</v>
      </c>
      <c r="K2462" s="2">
        <v>94</v>
      </c>
      <c r="L2462" s="2" t="s">
        <v>80</v>
      </c>
    </row>
    <row r="2463" spans="1:12" x14ac:dyDescent="0.3">
      <c r="A2463" s="2">
        <v>2452</v>
      </c>
      <c r="B2463" s="2" t="s">
        <v>588</v>
      </c>
      <c r="C2463" s="2" t="s">
        <v>1546</v>
      </c>
      <c r="D2463" s="2" t="s">
        <v>51</v>
      </c>
      <c r="E2463" s="2" t="s">
        <v>16</v>
      </c>
      <c r="F2463" s="2">
        <v>90</v>
      </c>
      <c r="G2463" s="2" t="s">
        <v>6543</v>
      </c>
      <c r="H2463" s="2" t="s">
        <v>3224</v>
      </c>
      <c r="I2463" s="2" t="s">
        <v>2022</v>
      </c>
      <c r="J2463" s="3">
        <v>44806</v>
      </c>
      <c r="K2463" s="2">
        <v>18</v>
      </c>
      <c r="L2463" s="2" t="s">
        <v>45</v>
      </c>
    </row>
    <row r="2464" spans="1:12" x14ac:dyDescent="0.3">
      <c r="A2464" s="2">
        <v>2453</v>
      </c>
      <c r="B2464" s="2" t="s">
        <v>323</v>
      </c>
      <c r="C2464" s="2" t="s">
        <v>1488</v>
      </c>
      <c r="D2464" s="2" t="s">
        <v>28</v>
      </c>
      <c r="E2464" s="2" t="s">
        <v>29</v>
      </c>
      <c r="F2464" s="2">
        <v>60</v>
      </c>
      <c r="G2464" s="2" t="s">
        <v>6543</v>
      </c>
      <c r="H2464" s="2" t="s">
        <v>6544</v>
      </c>
      <c r="I2464" s="2" t="s">
        <v>32</v>
      </c>
      <c r="J2464" s="3">
        <v>44043</v>
      </c>
      <c r="K2464" s="2">
        <v>58</v>
      </c>
      <c r="L2464" s="2" t="s">
        <v>20</v>
      </c>
    </row>
    <row r="2465" spans="1:12" x14ac:dyDescent="0.3">
      <c r="A2465" s="2">
        <v>2454</v>
      </c>
      <c r="B2465" s="2" t="s">
        <v>4401</v>
      </c>
      <c r="C2465" s="2" t="s">
        <v>1776</v>
      </c>
      <c r="D2465" s="2" t="s">
        <v>28</v>
      </c>
      <c r="E2465" s="2" t="s">
        <v>29</v>
      </c>
      <c r="F2465" s="2">
        <v>90</v>
      </c>
      <c r="G2465" s="2" t="s">
        <v>6545</v>
      </c>
      <c r="H2465" s="2" t="s">
        <v>6546</v>
      </c>
      <c r="I2465" s="2" t="s">
        <v>2543</v>
      </c>
      <c r="J2465" s="3">
        <v>43860</v>
      </c>
      <c r="K2465" s="2">
        <v>68</v>
      </c>
      <c r="L2465" s="2" t="s">
        <v>33</v>
      </c>
    </row>
    <row r="2466" spans="1:12" x14ac:dyDescent="0.3">
      <c r="A2466" s="2">
        <v>2455</v>
      </c>
      <c r="B2466" s="2" t="s">
        <v>6547</v>
      </c>
      <c r="C2466" s="2" t="s">
        <v>2757</v>
      </c>
      <c r="D2466" s="2" t="s">
        <v>28</v>
      </c>
      <c r="E2466" s="2" t="s">
        <v>29</v>
      </c>
      <c r="F2466" s="2">
        <v>90</v>
      </c>
      <c r="G2466" s="2" t="s">
        <v>6548</v>
      </c>
      <c r="H2466" s="2" t="s">
        <v>1808</v>
      </c>
      <c r="I2466" s="2" t="s">
        <v>124</v>
      </c>
      <c r="J2466" s="3">
        <v>43983</v>
      </c>
      <c r="K2466" s="2">
        <v>52</v>
      </c>
      <c r="L2466" s="2" t="s">
        <v>45</v>
      </c>
    </row>
    <row r="2467" spans="1:12" x14ac:dyDescent="0.3">
      <c r="A2467" s="2">
        <v>2456</v>
      </c>
      <c r="B2467" s="2" t="s">
        <v>6549</v>
      </c>
      <c r="C2467" s="2" t="s">
        <v>692</v>
      </c>
      <c r="D2467" s="2" t="s">
        <v>15</v>
      </c>
      <c r="E2467" s="2" t="s">
        <v>16</v>
      </c>
      <c r="F2467" s="2">
        <v>90</v>
      </c>
      <c r="G2467" s="2" t="s">
        <v>6550</v>
      </c>
      <c r="H2467" s="2" t="s">
        <v>6551</v>
      </c>
      <c r="I2467" s="2" t="s">
        <v>178</v>
      </c>
      <c r="J2467" s="3">
        <v>44557</v>
      </c>
      <c r="K2467" s="2">
        <v>19</v>
      </c>
      <c r="L2467" s="2" t="s">
        <v>64</v>
      </c>
    </row>
    <row r="2468" spans="1:12" x14ac:dyDescent="0.3">
      <c r="A2468" s="2">
        <v>2457</v>
      </c>
      <c r="B2468" s="2" t="s">
        <v>6552</v>
      </c>
      <c r="C2468" s="2" t="s">
        <v>107</v>
      </c>
      <c r="D2468" s="2" t="s">
        <v>15</v>
      </c>
      <c r="E2468" s="2" t="s">
        <v>16</v>
      </c>
      <c r="F2468" s="2">
        <v>90</v>
      </c>
      <c r="G2468" s="2" t="s">
        <v>6553</v>
      </c>
      <c r="H2468" s="2" t="s">
        <v>545</v>
      </c>
      <c r="I2468" s="2" t="s">
        <v>173</v>
      </c>
      <c r="J2468" s="3">
        <v>44488</v>
      </c>
      <c r="K2468" s="2">
        <v>93</v>
      </c>
      <c r="L2468" s="2" t="s">
        <v>80</v>
      </c>
    </row>
    <row r="2469" spans="1:12" x14ac:dyDescent="0.3">
      <c r="A2469" s="2">
        <v>2458</v>
      </c>
      <c r="B2469" s="2" t="s">
        <v>3403</v>
      </c>
      <c r="C2469" s="2" t="s">
        <v>4393</v>
      </c>
      <c r="D2469" s="2" t="s">
        <v>51</v>
      </c>
      <c r="E2469" s="2" t="s">
        <v>16</v>
      </c>
      <c r="F2469" s="2">
        <v>90</v>
      </c>
      <c r="G2469" s="2" t="s">
        <v>6554</v>
      </c>
      <c r="H2469" s="2" t="s">
        <v>1056</v>
      </c>
      <c r="I2469" s="2" t="s">
        <v>129</v>
      </c>
      <c r="J2469" s="3">
        <v>44023</v>
      </c>
      <c r="K2469" s="2">
        <v>2</v>
      </c>
      <c r="L2469" s="2" t="s">
        <v>101</v>
      </c>
    </row>
    <row r="2470" spans="1:12" x14ac:dyDescent="0.3">
      <c r="A2470" s="2">
        <v>2459</v>
      </c>
      <c r="B2470" s="2" t="s">
        <v>765</v>
      </c>
      <c r="C2470" s="2" t="s">
        <v>6555</v>
      </c>
      <c r="D2470" s="2" t="s">
        <v>28</v>
      </c>
      <c r="E2470" s="2" t="s">
        <v>29</v>
      </c>
      <c r="F2470" s="2">
        <v>60</v>
      </c>
      <c r="G2470" s="2" t="s">
        <v>6556</v>
      </c>
      <c r="H2470" s="2" t="s">
        <v>239</v>
      </c>
      <c r="I2470" s="2" t="s">
        <v>240</v>
      </c>
      <c r="J2470" s="3">
        <v>44100</v>
      </c>
      <c r="K2470" s="2">
        <v>13</v>
      </c>
      <c r="L2470" s="2" t="s">
        <v>159</v>
      </c>
    </row>
    <row r="2471" spans="1:12" x14ac:dyDescent="0.3">
      <c r="A2471" s="2">
        <v>2460</v>
      </c>
      <c r="B2471" s="2" t="s">
        <v>6557</v>
      </c>
      <c r="C2471" s="2" t="s">
        <v>3940</v>
      </c>
      <c r="D2471" s="2" t="s">
        <v>28</v>
      </c>
      <c r="E2471" s="2" t="s">
        <v>29</v>
      </c>
      <c r="F2471" s="2">
        <v>30</v>
      </c>
      <c r="G2471" s="2" t="s">
        <v>6558</v>
      </c>
      <c r="H2471" s="2" t="s">
        <v>2787</v>
      </c>
      <c r="I2471" s="2" t="s">
        <v>32</v>
      </c>
      <c r="J2471" s="3">
        <v>43933</v>
      </c>
      <c r="K2471" s="2">
        <v>66</v>
      </c>
      <c r="L2471" s="2" t="s">
        <v>20</v>
      </c>
    </row>
    <row r="2472" spans="1:12" x14ac:dyDescent="0.3">
      <c r="A2472" s="2">
        <v>2461</v>
      </c>
      <c r="B2472" s="2" t="s">
        <v>6559</v>
      </c>
      <c r="C2472" s="2" t="s">
        <v>295</v>
      </c>
      <c r="D2472" s="2" t="s">
        <v>51</v>
      </c>
      <c r="E2472" s="2" t="s">
        <v>16</v>
      </c>
      <c r="F2472" s="2">
        <v>60</v>
      </c>
      <c r="G2472" s="2" t="s">
        <v>6560</v>
      </c>
      <c r="H2472" s="2" t="s">
        <v>6561</v>
      </c>
      <c r="I2472" s="2" t="s">
        <v>32</v>
      </c>
      <c r="J2472" s="3">
        <v>43920</v>
      </c>
      <c r="K2472" s="2">
        <v>28</v>
      </c>
      <c r="L2472" s="2" t="s">
        <v>70</v>
      </c>
    </row>
    <row r="2473" spans="1:12" x14ac:dyDescent="0.3">
      <c r="A2473" s="2">
        <v>2462</v>
      </c>
      <c r="B2473" s="2" t="s">
        <v>3124</v>
      </c>
      <c r="C2473" s="2" t="s">
        <v>6562</v>
      </c>
      <c r="D2473" s="2" t="s">
        <v>28</v>
      </c>
      <c r="E2473" s="2" t="s">
        <v>29</v>
      </c>
      <c r="F2473" s="2">
        <v>30</v>
      </c>
      <c r="G2473" s="2" t="s">
        <v>6563</v>
      </c>
      <c r="H2473" s="2" t="s">
        <v>1619</v>
      </c>
      <c r="I2473" s="2" t="s">
        <v>44</v>
      </c>
      <c r="J2473" s="3">
        <v>44355</v>
      </c>
      <c r="K2473" s="2">
        <v>52</v>
      </c>
      <c r="L2473" s="2" t="s">
        <v>20</v>
      </c>
    </row>
    <row r="2474" spans="1:12" x14ac:dyDescent="0.3">
      <c r="A2474" s="2">
        <v>2463</v>
      </c>
      <c r="B2474" s="2" t="s">
        <v>6564</v>
      </c>
      <c r="C2474" s="2" t="s">
        <v>6073</v>
      </c>
      <c r="D2474" s="2" t="s">
        <v>92</v>
      </c>
      <c r="E2474" s="2" t="s">
        <v>16</v>
      </c>
      <c r="F2474" s="2">
        <v>60</v>
      </c>
      <c r="G2474" s="2" t="s">
        <v>6565</v>
      </c>
      <c r="H2474" s="2" t="s">
        <v>1168</v>
      </c>
      <c r="I2474" s="2" t="s">
        <v>32</v>
      </c>
      <c r="J2474" s="3">
        <v>44685</v>
      </c>
      <c r="K2474" s="2">
        <v>92</v>
      </c>
      <c r="L2474" s="2" t="s">
        <v>33</v>
      </c>
    </row>
    <row r="2475" spans="1:12" x14ac:dyDescent="0.3">
      <c r="A2475" s="2">
        <v>2464</v>
      </c>
      <c r="B2475" s="2" t="s">
        <v>6566</v>
      </c>
      <c r="C2475" s="2" t="s">
        <v>2191</v>
      </c>
      <c r="D2475" s="2" t="s">
        <v>15</v>
      </c>
      <c r="E2475" s="2" t="s">
        <v>16</v>
      </c>
      <c r="F2475" s="2">
        <v>60</v>
      </c>
      <c r="G2475" s="2" t="s">
        <v>6567</v>
      </c>
      <c r="H2475" s="2" t="s">
        <v>4874</v>
      </c>
      <c r="I2475" s="2" t="s">
        <v>32</v>
      </c>
      <c r="J2475" s="3">
        <v>43968</v>
      </c>
      <c r="K2475" s="2">
        <v>60</v>
      </c>
      <c r="L2475" s="2" t="s">
        <v>20</v>
      </c>
    </row>
    <row r="2476" spans="1:12" x14ac:dyDescent="0.3">
      <c r="A2476" s="2">
        <v>2465</v>
      </c>
      <c r="B2476" s="2" t="s">
        <v>4257</v>
      </c>
      <c r="C2476" s="2" t="s">
        <v>2761</v>
      </c>
      <c r="D2476" s="2" t="s">
        <v>28</v>
      </c>
      <c r="E2476" s="2" t="s">
        <v>29</v>
      </c>
      <c r="F2476" s="2">
        <v>30</v>
      </c>
      <c r="G2476" s="2" t="s">
        <v>6567</v>
      </c>
      <c r="H2476" s="2" t="s">
        <v>3036</v>
      </c>
      <c r="I2476" s="2" t="s">
        <v>32</v>
      </c>
      <c r="J2476" s="3">
        <v>44190</v>
      </c>
      <c r="K2476" s="2">
        <v>67</v>
      </c>
      <c r="L2476" s="2" t="s">
        <v>54</v>
      </c>
    </row>
    <row r="2477" spans="1:12" x14ac:dyDescent="0.3">
      <c r="A2477" s="2">
        <v>2466</v>
      </c>
      <c r="B2477" s="2" t="s">
        <v>6568</v>
      </c>
      <c r="C2477" s="2" t="s">
        <v>4254</v>
      </c>
      <c r="D2477" s="2" t="s">
        <v>15</v>
      </c>
      <c r="E2477" s="2" t="s">
        <v>16</v>
      </c>
      <c r="F2477" s="2">
        <v>30</v>
      </c>
      <c r="G2477" s="2" t="s">
        <v>6569</v>
      </c>
      <c r="H2477" s="2" t="s">
        <v>4337</v>
      </c>
      <c r="I2477" s="2" t="s">
        <v>25</v>
      </c>
      <c r="J2477" s="3">
        <v>43902</v>
      </c>
      <c r="K2477" s="2">
        <v>78</v>
      </c>
      <c r="L2477" s="2" t="s">
        <v>64</v>
      </c>
    </row>
    <row r="2478" spans="1:12" x14ac:dyDescent="0.3">
      <c r="A2478" s="2">
        <v>2467</v>
      </c>
      <c r="B2478" s="2" t="s">
        <v>4094</v>
      </c>
      <c r="C2478" s="2" t="s">
        <v>1853</v>
      </c>
      <c r="D2478" s="2" t="s">
        <v>28</v>
      </c>
      <c r="E2478" s="2" t="s">
        <v>29</v>
      </c>
      <c r="F2478" s="2">
        <v>90</v>
      </c>
      <c r="G2478" s="2" t="s">
        <v>6569</v>
      </c>
      <c r="H2478" s="2" t="s">
        <v>637</v>
      </c>
      <c r="I2478" s="2" t="s">
        <v>32</v>
      </c>
      <c r="J2478" s="3">
        <v>44570</v>
      </c>
      <c r="K2478" s="2">
        <v>19</v>
      </c>
      <c r="L2478" s="2" t="s">
        <v>64</v>
      </c>
    </row>
    <row r="2479" spans="1:12" x14ac:dyDescent="0.3">
      <c r="A2479" s="2">
        <v>2468</v>
      </c>
      <c r="B2479" s="2" t="s">
        <v>6570</v>
      </c>
      <c r="C2479" s="2" t="s">
        <v>6416</v>
      </c>
      <c r="D2479" s="2" t="s">
        <v>51</v>
      </c>
      <c r="E2479" s="2" t="s">
        <v>16</v>
      </c>
      <c r="F2479" s="2">
        <v>30</v>
      </c>
      <c r="G2479" s="2" t="s">
        <v>6571</v>
      </c>
      <c r="H2479" s="2" t="s">
        <v>4911</v>
      </c>
      <c r="I2479" s="2" t="s">
        <v>95</v>
      </c>
      <c r="J2479" s="3">
        <v>44238</v>
      </c>
      <c r="K2479" s="2">
        <v>34</v>
      </c>
      <c r="L2479" s="2" t="s">
        <v>64</v>
      </c>
    </row>
    <row r="2480" spans="1:12" x14ac:dyDescent="0.3">
      <c r="A2480" s="2">
        <v>2469</v>
      </c>
      <c r="B2480" s="2" t="s">
        <v>3108</v>
      </c>
      <c r="C2480" s="2" t="s">
        <v>1989</v>
      </c>
      <c r="D2480" s="2" t="s">
        <v>15</v>
      </c>
      <c r="E2480" s="2" t="s">
        <v>16</v>
      </c>
      <c r="F2480" s="2">
        <v>60</v>
      </c>
      <c r="G2480" s="2" t="s">
        <v>6572</v>
      </c>
      <c r="H2480" s="2" t="s">
        <v>4208</v>
      </c>
      <c r="I2480" s="2" t="s">
        <v>44</v>
      </c>
      <c r="J2480" s="3">
        <v>43882</v>
      </c>
      <c r="K2480" s="2">
        <v>22</v>
      </c>
      <c r="L2480" s="2" t="s">
        <v>39</v>
      </c>
    </row>
    <row r="2481" spans="1:12" x14ac:dyDescent="0.3">
      <c r="A2481" s="2">
        <v>2470</v>
      </c>
      <c r="B2481" s="2" t="s">
        <v>6573</v>
      </c>
      <c r="C2481" s="2" t="s">
        <v>6574</v>
      </c>
      <c r="D2481" s="2" t="s">
        <v>15</v>
      </c>
      <c r="E2481" s="2" t="s">
        <v>16</v>
      </c>
      <c r="F2481" s="2">
        <v>60</v>
      </c>
      <c r="G2481" s="2" t="s">
        <v>6575</v>
      </c>
      <c r="H2481" s="2" t="s">
        <v>1210</v>
      </c>
      <c r="I2481" s="2" t="s">
        <v>294</v>
      </c>
      <c r="J2481" s="3">
        <v>44779</v>
      </c>
      <c r="K2481" s="2">
        <v>54</v>
      </c>
      <c r="L2481" s="2" t="s">
        <v>159</v>
      </c>
    </row>
    <row r="2482" spans="1:12" x14ac:dyDescent="0.3">
      <c r="A2482" s="2">
        <v>2471</v>
      </c>
      <c r="B2482" s="2" t="s">
        <v>6576</v>
      </c>
      <c r="C2482" s="2" t="s">
        <v>1485</v>
      </c>
      <c r="D2482" s="2" t="s">
        <v>51</v>
      </c>
      <c r="E2482" s="2" t="s">
        <v>16</v>
      </c>
      <c r="F2482" s="2">
        <v>90</v>
      </c>
      <c r="G2482" s="2" t="s">
        <v>6577</v>
      </c>
      <c r="H2482" s="2" t="s">
        <v>2093</v>
      </c>
      <c r="I2482" s="2" t="s">
        <v>32</v>
      </c>
      <c r="J2482" s="3">
        <v>44115</v>
      </c>
      <c r="K2482" s="2">
        <v>37</v>
      </c>
      <c r="L2482" s="2" t="s">
        <v>33</v>
      </c>
    </row>
    <row r="2483" spans="1:12" x14ac:dyDescent="0.3">
      <c r="A2483" s="2">
        <v>2472</v>
      </c>
      <c r="B2483" s="2" t="s">
        <v>6578</v>
      </c>
      <c r="C2483" s="2" t="s">
        <v>948</v>
      </c>
      <c r="D2483" s="2" t="s">
        <v>28</v>
      </c>
      <c r="E2483" s="2" t="s">
        <v>29</v>
      </c>
      <c r="F2483" s="2">
        <v>30</v>
      </c>
      <c r="G2483" s="2" t="s">
        <v>6579</v>
      </c>
      <c r="H2483" s="2" t="s">
        <v>4517</v>
      </c>
      <c r="I2483" s="2" t="s">
        <v>173</v>
      </c>
      <c r="J2483" s="3">
        <v>44652</v>
      </c>
      <c r="K2483" s="2">
        <v>77</v>
      </c>
      <c r="L2483" s="2" t="s">
        <v>101</v>
      </c>
    </row>
    <row r="2484" spans="1:12" x14ac:dyDescent="0.3">
      <c r="A2484" s="2">
        <v>2473</v>
      </c>
      <c r="B2484" s="2" t="s">
        <v>6580</v>
      </c>
      <c r="C2484" s="2" t="s">
        <v>1756</v>
      </c>
      <c r="D2484" s="2" t="s">
        <v>28</v>
      </c>
      <c r="E2484" s="2" t="s">
        <v>29</v>
      </c>
      <c r="F2484" s="2">
        <v>90</v>
      </c>
      <c r="G2484" s="2" t="s">
        <v>6581</v>
      </c>
      <c r="H2484" s="2" t="s">
        <v>2724</v>
      </c>
      <c r="I2484" s="2" t="s">
        <v>32</v>
      </c>
      <c r="J2484" s="3">
        <v>44362</v>
      </c>
      <c r="K2484" s="2">
        <v>5</v>
      </c>
      <c r="L2484" s="2" t="s">
        <v>33</v>
      </c>
    </row>
    <row r="2485" spans="1:12" x14ac:dyDescent="0.3">
      <c r="A2485" s="2">
        <v>2474</v>
      </c>
      <c r="B2485" s="2" t="s">
        <v>335</v>
      </c>
      <c r="C2485" s="2" t="s">
        <v>1030</v>
      </c>
      <c r="D2485" s="2" t="s">
        <v>28</v>
      </c>
      <c r="E2485" s="2" t="s">
        <v>29</v>
      </c>
      <c r="F2485" s="2">
        <v>30</v>
      </c>
      <c r="G2485" s="2" t="s">
        <v>6582</v>
      </c>
      <c r="H2485" s="2" t="s">
        <v>1712</v>
      </c>
      <c r="I2485" s="2" t="s">
        <v>187</v>
      </c>
      <c r="J2485" s="3">
        <v>44837</v>
      </c>
      <c r="K2485" s="2">
        <v>90</v>
      </c>
      <c r="L2485" s="2" t="s">
        <v>101</v>
      </c>
    </row>
    <row r="2486" spans="1:12" x14ac:dyDescent="0.3">
      <c r="A2486" s="2">
        <v>2475</v>
      </c>
      <c r="B2486" s="2" t="s">
        <v>183</v>
      </c>
      <c r="C2486" s="2" t="s">
        <v>2406</v>
      </c>
      <c r="D2486" s="2" t="s">
        <v>15</v>
      </c>
      <c r="E2486" s="2" t="s">
        <v>16</v>
      </c>
      <c r="F2486" s="2">
        <v>60</v>
      </c>
      <c r="G2486" s="2" t="s">
        <v>6583</v>
      </c>
      <c r="H2486" s="2" t="s">
        <v>928</v>
      </c>
      <c r="I2486" s="2" t="s">
        <v>38</v>
      </c>
      <c r="J2486" s="3">
        <v>44832</v>
      </c>
      <c r="K2486" s="2">
        <v>27</v>
      </c>
      <c r="L2486" s="2" t="s">
        <v>45</v>
      </c>
    </row>
    <row r="2487" spans="1:12" x14ac:dyDescent="0.3">
      <c r="A2487" s="2">
        <v>2476</v>
      </c>
      <c r="B2487" s="2" t="s">
        <v>4926</v>
      </c>
      <c r="C2487" s="2" t="s">
        <v>5001</v>
      </c>
      <c r="D2487" s="2" t="s">
        <v>15</v>
      </c>
      <c r="E2487" s="2" t="s">
        <v>16</v>
      </c>
      <c r="F2487" s="2">
        <v>30</v>
      </c>
      <c r="G2487" s="2" t="s">
        <v>6584</v>
      </c>
      <c r="H2487" s="2" t="s">
        <v>3682</v>
      </c>
      <c r="I2487" s="2" t="s">
        <v>178</v>
      </c>
      <c r="J2487" s="3">
        <v>44812</v>
      </c>
      <c r="K2487" s="2">
        <v>94</v>
      </c>
      <c r="L2487" s="2" t="s">
        <v>54</v>
      </c>
    </row>
    <row r="2488" spans="1:12" x14ac:dyDescent="0.3">
      <c r="A2488" s="2">
        <v>2477</v>
      </c>
      <c r="B2488" s="2" t="s">
        <v>1850</v>
      </c>
      <c r="C2488" s="2" t="s">
        <v>4828</v>
      </c>
      <c r="D2488" s="2" t="s">
        <v>28</v>
      </c>
      <c r="E2488" s="2" t="s">
        <v>29</v>
      </c>
      <c r="F2488" s="2">
        <v>90</v>
      </c>
      <c r="G2488" s="2" t="s">
        <v>6585</v>
      </c>
      <c r="H2488" s="2" t="s">
        <v>1905</v>
      </c>
      <c r="I2488" s="2" t="s">
        <v>187</v>
      </c>
      <c r="J2488" s="3">
        <v>44436</v>
      </c>
      <c r="K2488" s="2">
        <v>73</v>
      </c>
      <c r="L2488" s="2" t="s">
        <v>33</v>
      </c>
    </row>
    <row r="2489" spans="1:12" x14ac:dyDescent="0.3">
      <c r="A2489" s="2">
        <v>2478</v>
      </c>
      <c r="B2489" s="2" t="s">
        <v>6586</v>
      </c>
      <c r="C2489" s="2" t="s">
        <v>6587</v>
      </c>
      <c r="D2489" s="2" t="s">
        <v>51</v>
      </c>
      <c r="E2489" s="2" t="s">
        <v>16</v>
      </c>
      <c r="F2489" s="2">
        <v>90</v>
      </c>
      <c r="G2489" s="2" t="s">
        <v>6588</v>
      </c>
      <c r="H2489" s="2" t="s">
        <v>2848</v>
      </c>
      <c r="I2489" s="2" t="s">
        <v>129</v>
      </c>
      <c r="J2489" s="3">
        <v>44801</v>
      </c>
      <c r="K2489" s="2">
        <v>2</v>
      </c>
      <c r="L2489" s="2" t="s">
        <v>33</v>
      </c>
    </row>
    <row r="2490" spans="1:12" x14ac:dyDescent="0.3">
      <c r="A2490" s="2">
        <v>2479</v>
      </c>
      <c r="B2490" s="2" t="s">
        <v>3704</v>
      </c>
      <c r="C2490" s="2" t="s">
        <v>2597</v>
      </c>
      <c r="D2490" s="2" t="s">
        <v>51</v>
      </c>
      <c r="E2490" s="2" t="s">
        <v>16</v>
      </c>
      <c r="F2490" s="2">
        <v>60</v>
      </c>
      <c r="G2490" s="2" t="s">
        <v>6589</v>
      </c>
      <c r="H2490" s="2" t="s">
        <v>6590</v>
      </c>
      <c r="I2490" s="2" t="s">
        <v>124</v>
      </c>
      <c r="J2490" s="3">
        <v>44580</v>
      </c>
      <c r="K2490" s="2">
        <v>26</v>
      </c>
      <c r="L2490" s="2" t="s">
        <v>70</v>
      </c>
    </row>
    <row r="2491" spans="1:12" x14ac:dyDescent="0.3">
      <c r="A2491" s="2">
        <v>2480</v>
      </c>
      <c r="B2491" s="2" t="s">
        <v>6591</v>
      </c>
      <c r="C2491" s="2" t="s">
        <v>5993</v>
      </c>
      <c r="D2491" s="2" t="s">
        <v>28</v>
      </c>
      <c r="E2491" s="2" t="s">
        <v>29</v>
      </c>
      <c r="F2491" s="2">
        <v>90</v>
      </c>
      <c r="G2491" s="2" t="s">
        <v>6592</v>
      </c>
      <c r="H2491" s="2" t="s">
        <v>1005</v>
      </c>
      <c r="I2491" s="2" t="s">
        <v>178</v>
      </c>
      <c r="J2491" s="3">
        <v>43881</v>
      </c>
      <c r="K2491" s="2">
        <v>52</v>
      </c>
      <c r="L2491" s="2" t="s">
        <v>159</v>
      </c>
    </row>
    <row r="2492" spans="1:12" x14ac:dyDescent="0.3">
      <c r="A2492" s="2">
        <v>2481</v>
      </c>
      <c r="B2492" s="2" t="s">
        <v>6593</v>
      </c>
      <c r="C2492" s="2" t="s">
        <v>6594</v>
      </c>
      <c r="D2492" s="2" t="s">
        <v>117</v>
      </c>
      <c r="E2492" s="2" t="s">
        <v>16</v>
      </c>
      <c r="F2492" s="2">
        <v>90</v>
      </c>
      <c r="G2492" s="2" t="s">
        <v>6595</v>
      </c>
      <c r="H2492" s="2" t="s">
        <v>4669</v>
      </c>
      <c r="I2492" s="2" t="s">
        <v>187</v>
      </c>
      <c r="J2492" s="3">
        <v>44274</v>
      </c>
      <c r="K2492" s="2">
        <v>66</v>
      </c>
      <c r="L2492" s="2" t="s">
        <v>80</v>
      </c>
    </row>
    <row r="2493" spans="1:12" x14ac:dyDescent="0.3">
      <c r="A2493" s="2">
        <v>2482</v>
      </c>
      <c r="B2493" s="2" t="s">
        <v>6596</v>
      </c>
      <c r="C2493" s="2" t="s">
        <v>564</v>
      </c>
      <c r="D2493" s="2" t="s">
        <v>51</v>
      </c>
      <c r="E2493" s="2" t="s">
        <v>16</v>
      </c>
      <c r="F2493" s="2">
        <v>30</v>
      </c>
      <c r="G2493" s="2" t="s">
        <v>6597</v>
      </c>
      <c r="H2493" s="2" t="s">
        <v>420</v>
      </c>
      <c r="I2493" s="2" t="s">
        <v>32</v>
      </c>
      <c r="J2493" s="3">
        <v>44069</v>
      </c>
      <c r="K2493" s="2">
        <v>4</v>
      </c>
      <c r="L2493" s="2" t="s">
        <v>33</v>
      </c>
    </row>
    <row r="2494" spans="1:12" x14ac:dyDescent="0.3">
      <c r="A2494" s="2">
        <v>2483</v>
      </c>
      <c r="B2494" s="2" t="s">
        <v>2932</v>
      </c>
      <c r="C2494" s="2" t="s">
        <v>6598</v>
      </c>
      <c r="D2494" s="2" t="s">
        <v>28</v>
      </c>
      <c r="E2494" s="2" t="s">
        <v>29</v>
      </c>
      <c r="F2494" s="2">
        <v>30</v>
      </c>
      <c r="G2494" s="2" t="s">
        <v>6599</v>
      </c>
      <c r="H2494" s="2" t="s">
        <v>1757</v>
      </c>
      <c r="I2494" s="2" t="s">
        <v>294</v>
      </c>
      <c r="J2494" s="3">
        <v>44201</v>
      </c>
      <c r="K2494" s="2">
        <v>23</v>
      </c>
      <c r="L2494" s="2" t="s">
        <v>20</v>
      </c>
    </row>
    <row r="2495" spans="1:12" x14ac:dyDescent="0.3">
      <c r="A2495" s="2">
        <v>2484</v>
      </c>
      <c r="B2495" s="2" t="s">
        <v>6600</v>
      </c>
      <c r="C2495" s="2" t="s">
        <v>1117</v>
      </c>
      <c r="D2495" s="2" t="s">
        <v>28</v>
      </c>
      <c r="E2495" s="2" t="s">
        <v>29</v>
      </c>
      <c r="F2495" s="2">
        <v>30</v>
      </c>
      <c r="G2495" s="2" t="s">
        <v>10530</v>
      </c>
      <c r="H2495" s="2" t="s">
        <v>6602</v>
      </c>
      <c r="I2495" s="2" t="s">
        <v>32</v>
      </c>
      <c r="J2495" s="3">
        <v>44331</v>
      </c>
      <c r="K2495" s="2">
        <v>73</v>
      </c>
      <c r="L2495" s="2" t="s">
        <v>54</v>
      </c>
    </row>
    <row r="2496" spans="1:12" x14ac:dyDescent="0.3">
      <c r="A2496" s="2">
        <v>2485</v>
      </c>
      <c r="B2496" s="2" t="s">
        <v>6603</v>
      </c>
      <c r="C2496" s="2" t="s">
        <v>1361</v>
      </c>
      <c r="D2496" s="2" t="s">
        <v>15</v>
      </c>
      <c r="E2496" s="2" t="s">
        <v>16</v>
      </c>
      <c r="F2496" s="2">
        <v>30</v>
      </c>
      <c r="G2496" s="2" t="s">
        <v>6604</v>
      </c>
      <c r="H2496" s="2" t="s">
        <v>1214</v>
      </c>
      <c r="I2496" s="2" t="s">
        <v>32</v>
      </c>
      <c r="J2496" s="3">
        <v>44873</v>
      </c>
      <c r="K2496" s="2">
        <v>71</v>
      </c>
      <c r="L2496" s="2" t="s">
        <v>45</v>
      </c>
    </row>
    <row r="2497" spans="1:12" x14ac:dyDescent="0.3">
      <c r="A2497" s="2">
        <v>2486</v>
      </c>
      <c r="B2497" s="2" t="s">
        <v>6605</v>
      </c>
      <c r="C2497" s="2" t="s">
        <v>1211</v>
      </c>
      <c r="D2497" s="2" t="s">
        <v>92</v>
      </c>
      <c r="E2497" s="2" t="s">
        <v>29</v>
      </c>
      <c r="F2497" s="2">
        <v>30</v>
      </c>
      <c r="G2497" s="2" t="s">
        <v>6606</v>
      </c>
      <c r="H2497" s="2" t="s">
        <v>6607</v>
      </c>
      <c r="I2497" s="2" t="s">
        <v>32</v>
      </c>
      <c r="J2497" s="3">
        <v>44100</v>
      </c>
      <c r="K2497" s="2">
        <v>46</v>
      </c>
      <c r="L2497" s="2" t="s">
        <v>159</v>
      </c>
    </row>
    <row r="2498" spans="1:12" x14ac:dyDescent="0.3">
      <c r="A2498" s="2">
        <v>2487</v>
      </c>
      <c r="B2498" s="2" t="s">
        <v>6608</v>
      </c>
      <c r="C2498" s="2" t="s">
        <v>2024</v>
      </c>
      <c r="D2498" s="2" t="s">
        <v>51</v>
      </c>
      <c r="E2498" s="2" t="s">
        <v>16</v>
      </c>
      <c r="F2498" s="2">
        <v>90</v>
      </c>
      <c r="G2498" s="2" t="s">
        <v>6609</v>
      </c>
      <c r="H2498" s="2" t="s">
        <v>5843</v>
      </c>
      <c r="I2498" s="2" t="s">
        <v>25</v>
      </c>
      <c r="J2498" s="3">
        <v>44794</v>
      </c>
      <c r="K2498" s="2">
        <v>79</v>
      </c>
      <c r="L2498" s="2" t="s">
        <v>80</v>
      </c>
    </row>
    <row r="2499" spans="1:12" x14ac:dyDescent="0.3">
      <c r="A2499" s="2">
        <v>2488</v>
      </c>
      <c r="B2499" s="2" t="s">
        <v>6610</v>
      </c>
      <c r="C2499" s="2" t="s">
        <v>493</v>
      </c>
      <c r="D2499" s="2" t="s">
        <v>92</v>
      </c>
      <c r="E2499" s="2" t="s">
        <v>16</v>
      </c>
      <c r="F2499" s="2">
        <v>60</v>
      </c>
      <c r="G2499" s="2" t="s">
        <v>6611</v>
      </c>
      <c r="H2499" s="2" t="s">
        <v>6612</v>
      </c>
      <c r="I2499" s="2" t="s">
        <v>25</v>
      </c>
      <c r="J2499" s="3">
        <v>44171</v>
      </c>
      <c r="K2499" s="2">
        <v>43</v>
      </c>
      <c r="L2499" s="2" t="s">
        <v>45</v>
      </c>
    </row>
    <row r="2500" spans="1:12" x14ac:dyDescent="0.3">
      <c r="A2500" s="2">
        <v>2489</v>
      </c>
      <c r="B2500" s="2" t="s">
        <v>761</v>
      </c>
      <c r="C2500" s="2" t="s">
        <v>6452</v>
      </c>
      <c r="D2500" s="2" t="s">
        <v>51</v>
      </c>
      <c r="E2500" s="2" t="s">
        <v>16</v>
      </c>
      <c r="F2500" s="2">
        <v>90</v>
      </c>
      <c r="G2500" s="2" t="s">
        <v>6613</v>
      </c>
      <c r="H2500" s="2" t="s">
        <v>1732</v>
      </c>
      <c r="I2500" s="2" t="s">
        <v>1733</v>
      </c>
      <c r="J2500" s="3">
        <v>44232</v>
      </c>
      <c r="K2500" s="2">
        <v>60</v>
      </c>
      <c r="L2500" s="2" t="s">
        <v>45</v>
      </c>
    </row>
    <row r="2501" spans="1:12" x14ac:dyDescent="0.3">
      <c r="A2501" s="2">
        <v>2490</v>
      </c>
      <c r="B2501" s="2" t="s">
        <v>6614</v>
      </c>
      <c r="C2501" s="2" t="s">
        <v>2427</v>
      </c>
      <c r="D2501" s="2" t="s">
        <v>15</v>
      </c>
      <c r="E2501" s="2" t="s">
        <v>16</v>
      </c>
      <c r="F2501" s="2">
        <v>60</v>
      </c>
      <c r="G2501" s="2" t="s">
        <v>6615</v>
      </c>
      <c r="H2501" s="2" t="s">
        <v>1005</v>
      </c>
      <c r="I2501" s="2" t="s">
        <v>178</v>
      </c>
      <c r="J2501" s="3">
        <v>43997</v>
      </c>
      <c r="K2501" s="2">
        <v>51</v>
      </c>
      <c r="L2501" s="2" t="s">
        <v>45</v>
      </c>
    </row>
    <row r="2502" spans="1:12" x14ac:dyDescent="0.3">
      <c r="A2502" s="2">
        <v>2491</v>
      </c>
      <c r="B2502" s="2" t="s">
        <v>6616</v>
      </c>
      <c r="C2502" s="2" t="s">
        <v>3279</v>
      </c>
      <c r="D2502" s="2" t="s">
        <v>15</v>
      </c>
      <c r="E2502" s="2" t="s">
        <v>16</v>
      </c>
      <c r="F2502" s="2">
        <v>90</v>
      </c>
      <c r="G2502" s="2" t="s">
        <v>6615</v>
      </c>
      <c r="H2502" s="2" t="s">
        <v>5132</v>
      </c>
      <c r="I2502" s="2" t="s">
        <v>32</v>
      </c>
      <c r="J2502" s="3">
        <v>43845</v>
      </c>
      <c r="K2502" s="2">
        <v>4</v>
      </c>
      <c r="L2502" s="2" t="s">
        <v>45</v>
      </c>
    </row>
    <row r="2503" spans="1:12" x14ac:dyDescent="0.3">
      <c r="A2503" s="2">
        <v>2492</v>
      </c>
      <c r="B2503" s="2" t="s">
        <v>4257</v>
      </c>
      <c r="C2503" s="2" t="s">
        <v>1089</v>
      </c>
      <c r="D2503" s="2" t="s">
        <v>28</v>
      </c>
      <c r="E2503" s="2" t="s">
        <v>29</v>
      </c>
      <c r="F2503" s="2">
        <v>30</v>
      </c>
      <c r="G2503" s="2" t="s">
        <v>10441</v>
      </c>
      <c r="H2503" s="2" t="s">
        <v>6618</v>
      </c>
      <c r="I2503" s="2" t="s">
        <v>32</v>
      </c>
      <c r="J2503" s="3">
        <v>44283</v>
      </c>
      <c r="K2503" s="2">
        <v>47</v>
      </c>
      <c r="L2503" s="2" t="s">
        <v>54</v>
      </c>
    </row>
    <row r="2504" spans="1:12" x14ac:dyDescent="0.3">
      <c r="A2504" s="2">
        <v>2493</v>
      </c>
      <c r="B2504" s="2" t="s">
        <v>6619</v>
      </c>
      <c r="C2504" s="2" t="s">
        <v>4512</v>
      </c>
      <c r="D2504" s="2" t="s">
        <v>92</v>
      </c>
      <c r="E2504" s="2" t="s">
        <v>16</v>
      </c>
      <c r="F2504" s="2">
        <v>30</v>
      </c>
      <c r="G2504" s="2" t="s">
        <v>6620</v>
      </c>
      <c r="H2504" s="2" t="s">
        <v>279</v>
      </c>
      <c r="I2504" s="2" t="s">
        <v>213</v>
      </c>
      <c r="J2504" s="3">
        <v>44590</v>
      </c>
      <c r="K2504" s="2">
        <v>31</v>
      </c>
      <c r="L2504" s="2" t="s">
        <v>159</v>
      </c>
    </row>
    <row r="2505" spans="1:12" x14ac:dyDescent="0.3">
      <c r="A2505" s="2">
        <v>2494</v>
      </c>
      <c r="B2505" s="2" t="s">
        <v>2887</v>
      </c>
      <c r="C2505" s="2" t="s">
        <v>5671</v>
      </c>
      <c r="D2505" s="2" t="s">
        <v>28</v>
      </c>
      <c r="E2505" s="2" t="s">
        <v>29</v>
      </c>
      <c r="F2505" s="2">
        <v>30</v>
      </c>
      <c r="G2505" s="2" t="s">
        <v>6620</v>
      </c>
      <c r="H2505" s="2" t="s">
        <v>6621</v>
      </c>
      <c r="I2505" s="2" t="s">
        <v>38</v>
      </c>
      <c r="J2505" s="3">
        <v>44342</v>
      </c>
      <c r="K2505" s="2">
        <v>89</v>
      </c>
      <c r="L2505" s="2" t="s">
        <v>80</v>
      </c>
    </row>
    <row r="2506" spans="1:12" x14ac:dyDescent="0.3">
      <c r="A2506" s="2">
        <v>2495</v>
      </c>
      <c r="B2506" s="2" t="s">
        <v>2932</v>
      </c>
      <c r="C2506" s="2" t="s">
        <v>1024</v>
      </c>
      <c r="D2506" s="2" t="s">
        <v>28</v>
      </c>
      <c r="E2506" s="2" t="s">
        <v>29</v>
      </c>
      <c r="F2506" s="2">
        <v>30</v>
      </c>
      <c r="G2506" s="2" t="s">
        <v>6622</v>
      </c>
      <c r="H2506" s="2" t="s">
        <v>3053</v>
      </c>
      <c r="I2506" s="2" t="s">
        <v>32</v>
      </c>
      <c r="J2506" s="3">
        <v>44398</v>
      </c>
      <c r="K2506" s="2">
        <v>26</v>
      </c>
      <c r="L2506" s="2" t="s">
        <v>101</v>
      </c>
    </row>
    <row r="2507" spans="1:12" x14ac:dyDescent="0.3">
      <c r="A2507" s="2">
        <v>2496</v>
      </c>
      <c r="B2507" s="2" t="s">
        <v>4052</v>
      </c>
      <c r="C2507" s="2" t="s">
        <v>4528</v>
      </c>
      <c r="D2507" s="2" t="s">
        <v>28</v>
      </c>
      <c r="E2507" s="2" t="s">
        <v>29</v>
      </c>
      <c r="F2507" s="2">
        <v>30</v>
      </c>
      <c r="G2507" s="2" t="s">
        <v>6623</v>
      </c>
      <c r="H2507" s="2" t="s">
        <v>5036</v>
      </c>
      <c r="I2507" s="2" t="s">
        <v>32</v>
      </c>
      <c r="J2507" s="3">
        <v>44555</v>
      </c>
      <c r="K2507" s="2">
        <v>59</v>
      </c>
      <c r="L2507" s="2" t="s">
        <v>80</v>
      </c>
    </row>
    <row r="2508" spans="1:12" x14ac:dyDescent="0.3">
      <c r="A2508" s="2">
        <v>2497</v>
      </c>
      <c r="B2508" s="2" t="s">
        <v>6624</v>
      </c>
      <c r="C2508" s="2" t="s">
        <v>2779</v>
      </c>
      <c r="D2508" s="2" t="s">
        <v>15</v>
      </c>
      <c r="E2508" s="2" t="s">
        <v>16</v>
      </c>
      <c r="F2508" s="2">
        <v>60</v>
      </c>
      <c r="G2508" s="2" t="s">
        <v>6625</v>
      </c>
      <c r="H2508" s="2" t="s">
        <v>2872</v>
      </c>
      <c r="I2508" s="2" t="s">
        <v>294</v>
      </c>
      <c r="J2508" s="3">
        <v>43871</v>
      </c>
      <c r="K2508" s="2">
        <v>22</v>
      </c>
      <c r="L2508" s="2" t="s">
        <v>45</v>
      </c>
    </row>
    <row r="2509" spans="1:12" x14ac:dyDescent="0.3">
      <c r="A2509" s="2">
        <v>2498</v>
      </c>
      <c r="B2509" s="2" t="s">
        <v>6626</v>
      </c>
      <c r="C2509" s="2" t="s">
        <v>1175</v>
      </c>
      <c r="D2509" s="2" t="s">
        <v>51</v>
      </c>
      <c r="E2509" s="2" t="s">
        <v>16</v>
      </c>
      <c r="F2509" s="2">
        <v>30</v>
      </c>
      <c r="G2509" s="2" t="s">
        <v>6627</v>
      </c>
      <c r="H2509" s="2" t="s">
        <v>4123</v>
      </c>
      <c r="I2509" s="2" t="s">
        <v>187</v>
      </c>
      <c r="J2509" s="3">
        <v>44873</v>
      </c>
      <c r="K2509" s="2">
        <v>15</v>
      </c>
      <c r="L2509" s="2" t="s">
        <v>33</v>
      </c>
    </row>
    <row r="2510" spans="1:12" x14ac:dyDescent="0.3">
      <c r="A2510" s="2">
        <v>2499</v>
      </c>
      <c r="B2510" s="2" t="s">
        <v>6628</v>
      </c>
      <c r="C2510" s="2" t="s">
        <v>2561</v>
      </c>
      <c r="D2510" s="2" t="s">
        <v>15</v>
      </c>
      <c r="E2510" s="2" t="s">
        <v>16</v>
      </c>
      <c r="F2510" s="2">
        <v>30</v>
      </c>
      <c r="G2510" s="2" t="s">
        <v>6629</v>
      </c>
      <c r="H2510" s="2" t="s">
        <v>4272</v>
      </c>
      <c r="I2510" s="2" t="s">
        <v>1652</v>
      </c>
      <c r="J2510" s="3">
        <v>43940</v>
      </c>
      <c r="K2510" s="2">
        <v>14</v>
      </c>
      <c r="L2510" s="2" t="s">
        <v>39</v>
      </c>
    </row>
    <row r="2511" spans="1:12" x14ac:dyDescent="0.3">
      <c r="A2511" s="2">
        <v>2500</v>
      </c>
      <c r="B2511" s="2" t="s">
        <v>6630</v>
      </c>
      <c r="C2511" s="2" t="s">
        <v>1700</v>
      </c>
      <c r="D2511" s="2" t="s">
        <v>117</v>
      </c>
      <c r="E2511" s="2" t="s">
        <v>16</v>
      </c>
      <c r="F2511" s="2">
        <v>30</v>
      </c>
      <c r="G2511" s="2" t="s">
        <v>6631</v>
      </c>
      <c r="H2511" s="2" t="s">
        <v>4266</v>
      </c>
      <c r="I2511" s="2" t="s">
        <v>25</v>
      </c>
      <c r="J2511" s="3">
        <v>44917</v>
      </c>
      <c r="K2511" s="2">
        <v>35</v>
      </c>
      <c r="L2511" s="2" t="s">
        <v>101</v>
      </c>
    </row>
    <row r="2512" spans="1:12" x14ac:dyDescent="0.3">
      <c r="A2512" s="2">
        <v>2501</v>
      </c>
      <c r="B2512" s="2" t="s">
        <v>6632</v>
      </c>
      <c r="C2512" s="2" t="s">
        <v>6594</v>
      </c>
      <c r="D2512" s="2" t="s">
        <v>15</v>
      </c>
      <c r="E2512" s="2" t="s">
        <v>16</v>
      </c>
      <c r="F2512" s="2">
        <v>30</v>
      </c>
      <c r="G2512" s="2" t="s">
        <v>6631</v>
      </c>
      <c r="H2512" s="2" t="s">
        <v>655</v>
      </c>
      <c r="I2512" s="2" t="s">
        <v>32</v>
      </c>
      <c r="J2512" s="3">
        <v>44847</v>
      </c>
      <c r="K2512" s="2">
        <v>85</v>
      </c>
      <c r="L2512" s="2" t="s">
        <v>20</v>
      </c>
    </row>
    <row r="2513" spans="1:12" x14ac:dyDescent="0.3">
      <c r="A2513" s="2">
        <v>2502</v>
      </c>
      <c r="B2513" s="2" t="s">
        <v>6633</v>
      </c>
      <c r="C2513" s="2" t="s">
        <v>2413</v>
      </c>
      <c r="D2513" s="2" t="s">
        <v>51</v>
      </c>
      <c r="E2513" s="2" t="s">
        <v>16</v>
      </c>
      <c r="F2513" s="2">
        <v>30</v>
      </c>
      <c r="G2513" s="2" t="s">
        <v>6634</v>
      </c>
      <c r="H2513" s="2" t="s">
        <v>5729</v>
      </c>
      <c r="I2513" s="2" t="s">
        <v>32</v>
      </c>
      <c r="J2513" s="3">
        <v>44608</v>
      </c>
      <c r="K2513" s="2">
        <v>37</v>
      </c>
      <c r="L2513" s="2" t="s">
        <v>45</v>
      </c>
    </row>
    <row r="2514" spans="1:12" x14ac:dyDescent="0.3">
      <c r="A2514" s="2">
        <v>2503</v>
      </c>
      <c r="B2514" s="2" t="s">
        <v>2520</v>
      </c>
      <c r="C2514" s="2" t="s">
        <v>6635</v>
      </c>
      <c r="D2514" s="2" t="s">
        <v>28</v>
      </c>
      <c r="E2514" s="2" t="s">
        <v>29</v>
      </c>
      <c r="F2514" s="2">
        <v>90</v>
      </c>
      <c r="G2514" s="2" t="s">
        <v>6636</v>
      </c>
      <c r="H2514" s="2" t="s">
        <v>2066</v>
      </c>
      <c r="I2514" s="2" t="s">
        <v>294</v>
      </c>
      <c r="J2514" s="3">
        <v>44883</v>
      </c>
      <c r="K2514" s="2">
        <v>76</v>
      </c>
      <c r="L2514" s="2" t="s">
        <v>20</v>
      </c>
    </row>
    <row r="2515" spans="1:12" x14ac:dyDescent="0.3">
      <c r="A2515" s="2">
        <v>2504</v>
      </c>
      <c r="B2515" s="2" t="s">
        <v>6637</v>
      </c>
      <c r="C2515" s="2" t="s">
        <v>6638</v>
      </c>
      <c r="D2515" s="2" t="s">
        <v>51</v>
      </c>
      <c r="E2515" s="2" t="s">
        <v>16</v>
      </c>
      <c r="F2515" s="2">
        <v>30</v>
      </c>
      <c r="G2515" s="2" t="s">
        <v>6639</v>
      </c>
      <c r="H2515" s="2" t="s">
        <v>6640</v>
      </c>
      <c r="I2515" s="2" t="s">
        <v>32</v>
      </c>
      <c r="J2515" s="3">
        <v>44890</v>
      </c>
      <c r="K2515" s="2">
        <v>21</v>
      </c>
      <c r="L2515" s="2" t="s">
        <v>39</v>
      </c>
    </row>
    <row r="2516" spans="1:12" x14ac:dyDescent="0.3">
      <c r="A2516" s="2">
        <v>2505</v>
      </c>
      <c r="B2516" s="2" t="s">
        <v>256</v>
      </c>
      <c r="C2516" s="2" t="s">
        <v>6641</v>
      </c>
      <c r="D2516" s="2" t="s">
        <v>51</v>
      </c>
      <c r="E2516" s="2" t="s">
        <v>16</v>
      </c>
      <c r="F2516" s="2">
        <v>60</v>
      </c>
      <c r="G2516" s="2" t="s">
        <v>6642</v>
      </c>
      <c r="H2516" s="2" t="s">
        <v>1996</v>
      </c>
      <c r="I2516" s="2" t="s">
        <v>208</v>
      </c>
      <c r="J2516" s="3">
        <v>44074</v>
      </c>
      <c r="K2516" s="2">
        <v>52</v>
      </c>
      <c r="L2516" s="2" t="s">
        <v>80</v>
      </c>
    </row>
    <row r="2517" spans="1:12" x14ac:dyDescent="0.3">
      <c r="A2517" s="2">
        <v>2506</v>
      </c>
      <c r="B2517" s="2" t="s">
        <v>6643</v>
      </c>
      <c r="C2517" s="2" t="s">
        <v>715</v>
      </c>
      <c r="D2517" s="2" t="s">
        <v>15</v>
      </c>
      <c r="E2517" s="2" t="s">
        <v>16</v>
      </c>
      <c r="F2517" s="2">
        <v>30</v>
      </c>
      <c r="G2517" s="2" t="s">
        <v>6644</v>
      </c>
      <c r="H2517" s="2" t="s">
        <v>901</v>
      </c>
      <c r="I2517" s="2" t="s">
        <v>146</v>
      </c>
      <c r="J2517" s="3">
        <v>44848</v>
      </c>
      <c r="K2517" s="2">
        <v>85</v>
      </c>
      <c r="L2517" s="2" t="s">
        <v>33</v>
      </c>
    </row>
    <row r="2518" spans="1:12" x14ac:dyDescent="0.3">
      <c r="A2518" s="2">
        <v>2507</v>
      </c>
      <c r="B2518" s="2" t="s">
        <v>2760</v>
      </c>
      <c r="C2518" s="2" t="s">
        <v>3430</v>
      </c>
      <c r="D2518" s="2" t="s">
        <v>51</v>
      </c>
      <c r="E2518" s="2" t="s">
        <v>16</v>
      </c>
      <c r="F2518" s="2">
        <v>30</v>
      </c>
      <c r="G2518" s="2" t="s">
        <v>6645</v>
      </c>
      <c r="H2518" s="2" t="s">
        <v>526</v>
      </c>
      <c r="I2518" s="2" t="s">
        <v>32</v>
      </c>
      <c r="J2518" s="3">
        <v>44893</v>
      </c>
      <c r="K2518" s="2">
        <v>105</v>
      </c>
      <c r="L2518" s="2" t="s">
        <v>101</v>
      </c>
    </row>
    <row r="2519" spans="1:12" x14ac:dyDescent="0.3">
      <c r="A2519" s="2">
        <v>2508</v>
      </c>
      <c r="B2519" s="2" t="s">
        <v>6646</v>
      </c>
      <c r="C2519" s="2" t="s">
        <v>4226</v>
      </c>
      <c r="D2519" s="2" t="s">
        <v>15</v>
      </c>
      <c r="E2519" s="2" t="s">
        <v>16</v>
      </c>
      <c r="F2519" s="2">
        <v>90</v>
      </c>
      <c r="G2519" s="2" t="s">
        <v>6647</v>
      </c>
      <c r="H2519" s="2" t="s">
        <v>5995</v>
      </c>
      <c r="I2519" s="2" t="s">
        <v>187</v>
      </c>
      <c r="J2519" s="3">
        <v>44429</v>
      </c>
      <c r="K2519" s="2">
        <v>57</v>
      </c>
      <c r="L2519" s="2" t="s">
        <v>45</v>
      </c>
    </row>
    <row r="2520" spans="1:12" x14ac:dyDescent="0.3">
      <c r="A2520" s="2">
        <v>2509</v>
      </c>
      <c r="B2520" s="2" t="s">
        <v>6648</v>
      </c>
      <c r="C2520" s="2" t="s">
        <v>4079</v>
      </c>
      <c r="D2520" s="2" t="s">
        <v>51</v>
      </c>
      <c r="E2520" s="2" t="s">
        <v>16</v>
      </c>
      <c r="F2520" s="2">
        <v>30</v>
      </c>
      <c r="G2520" s="2" t="s">
        <v>6649</v>
      </c>
      <c r="H2520" s="2" t="s">
        <v>3480</v>
      </c>
      <c r="I2520" s="2" t="s">
        <v>187</v>
      </c>
      <c r="J2520" s="3">
        <v>44907</v>
      </c>
      <c r="K2520" s="2">
        <v>99</v>
      </c>
      <c r="L2520" s="2" t="s">
        <v>33</v>
      </c>
    </row>
    <row r="2521" spans="1:12" x14ac:dyDescent="0.3">
      <c r="A2521" s="2">
        <v>2510</v>
      </c>
      <c r="B2521" s="2" t="s">
        <v>6650</v>
      </c>
      <c r="C2521" s="2" t="s">
        <v>6651</v>
      </c>
      <c r="D2521" s="2" t="s">
        <v>15</v>
      </c>
      <c r="E2521" s="2" t="s">
        <v>16</v>
      </c>
      <c r="F2521" s="2">
        <v>60</v>
      </c>
      <c r="G2521" s="2" t="s">
        <v>6652</v>
      </c>
      <c r="H2521" s="2" t="s">
        <v>3754</v>
      </c>
      <c r="I2521" s="2" t="s">
        <v>124</v>
      </c>
      <c r="J2521" s="3">
        <v>44681</v>
      </c>
      <c r="K2521" s="2">
        <v>34</v>
      </c>
      <c r="L2521" s="2" t="s">
        <v>101</v>
      </c>
    </row>
    <row r="2522" spans="1:12" x14ac:dyDescent="0.3">
      <c r="A2522" s="2">
        <v>2511</v>
      </c>
      <c r="B2522" s="2" t="s">
        <v>6653</v>
      </c>
      <c r="C2522" s="2" t="s">
        <v>1717</v>
      </c>
      <c r="D2522" s="2" t="s">
        <v>15</v>
      </c>
      <c r="E2522" s="2" t="s">
        <v>16</v>
      </c>
      <c r="F2522" s="2">
        <v>30</v>
      </c>
      <c r="G2522" s="2" t="s">
        <v>6654</v>
      </c>
      <c r="H2522" s="2" t="s">
        <v>2212</v>
      </c>
      <c r="I2522" s="2" t="s">
        <v>32</v>
      </c>
      <c r="J2522" s="3">
        <v>44674</v>
      </c>
      <c r="K2522" s="2">
        <v>57</v>
      </c>
      <c r="L2522" s="2" t="s">
        <v>20</v>
      </c>
    </row>
    <row r="2523" spans="1:12" x14ac:dyDescent="0.3">
      <c r="A2523" s="2">
        <v>2512</v>
      </c>
      <c r="B2523" s="2" t="s">
        <v>6655</v>
      </c>
      <c r="C2523" s="2" t="s">
        <v>4504</v>
      </c>
      <c r="D2523" s="2" t="s">
        <v>51</v>
      </c>
      <c r="E2523" s="2" t="s">
        <v>16</v>
      </c>
      <c r="F2523" s="2">
        <v>30</v>
      </c>
      <c r="G2523" s="2" t="s">
        <v>6656</v>
      </c>
      <c r="H2523" s="2" t="s">
        <v>3240</v>
      </c>
      <c r="I2523" s="2" t="s">
        <v>187</v>
      </c>
      <c r="J2523" s="3">
        <v>44924</v>
      </c>
      <c r="K2523" s="2">
        <v>22</v>
      </c>
      <c r="L2523" s="2" t="s">
        <v>101</v>
      </c>
    </row>
    <row r="2524" spans="1:12" x14ac:dyDescent="0.3">
      <c r="A2524" s="2">
        <v>2513</v>
      </c>
      <c r="B2524" s="2" t="s">
        <v>6371</v>
      </c>
      <c r="C2524" s="2" t="s">
        <v>6657</v>
      </c>
      <c r="D2524" s="2" t="s">
        <v>15</v>
      </c>
      <c r="E2524" s="2" t="s">
        <v>16</v>
      </c>
      <c r="F2524" s="2">
        <v>30</v>
      </c>
      <c r="G2524" s="2" t="s">
        <v>6658</v>
      </c>
      <c r="H2524" s="2" t="s">
        <v>6659</v>
      </c>
      <c r="I2524" s="2" t="s">
        <v>208</v>
      </c>
      <c r="J2524" s="3">
        <v>44310</v>
      </c>
      <c r="K2524" s="2">
        <v>23</v>
      </c>
      <c r="L2524" s="2" t="s">
        <v>64</v>
      </c>
    </row>
    <row r="2525" spans="1:12" x14ac:dyDescent="0.3">
      <c r="A2525" s="2">
        <v>2514</v>
      </c>
      <c r="B2525" s="2" t="s">
        <v>6660</v>
      </c>
      <c r="C2525" s="2" t="s">
        <v>6661</v>
      </c>
      <c r="D2525" s="2" t="s">
        <v>28</v>
      </c>
      <c r="E2525" s="2" t="s">
        <v>29</v>
      </c>
      <c r="F2525" s="2">
        <v>90</v>
      </c>
      <c r="G2525" s="2" t="s">
        <v>6662</v>
      </c>
      <c r="H2525" s="2" t="s">
        <v>702</v>
      </c>
      <c r="I2525" s="2" t="s">
        <v>703</v>
      </c>
      <c r="J2525" s="3">
        <v>44349</v>
      </c>
      <c r="K2525" s="2">
        <v>31</v>
      </c>
      <c r="L2525" s="2" t="s">
        <v>39</v>
      </c>
    </row>
    <row r="2526" spans="1:12" x14ac:dyDescent="0.3">
      <c r="A2526" s="2">
        <v>2515</v>
      </c>
      <c r="B2526" s="2" t="s">
        <v>1656</v>
      </c>
      <c r="C2526" s="2" t="s">
        <v>6663</v>
      </c>
      <c r="D2526" s="2" t="s">
        <v>28</v>
      </c>
      <c r="E2526" s="2" t="s">
        <v>29</v>
      </c>
      <c r="F2526" s="2">
        <v>60</v>
      </c>
      <c r="G2526" s="2" t="s">
        <v>6662</v>
      </c>
      <c r="H2526" s="2" t="s">
        <v>534</v>
      </c>
      <c r="I2526" s="2" t="s">
        <v>32</v>
      </c>
      <c r="J2526" s="3">
        <v>44795</v>
      </c>
      <c r="K2526" s="2">
        <v>7</v>
      </c>
      <c r="L2526" s="2" t="s">
        <v>33</v>
      </c>
    </row>
    <row r="2527" spans="1:12" x14ac:dyDescent="0.3">
      <c r="A2527" s="2">
        <v>2516</v>
      </c>
      <c r="B2527" s="2" t="s">
        <v>6664</v>
      </c>
      <c r="C2527" s="2" t="s">
        <v>76</v>
      </c>
      <c r="D2527" s="2" t="s">
        <v>92</v>
      </c>
      <c r="E2527" s="2" t="s">
        <v>16</v>
      </c>
      <c r="F2527" s="2">
        <v>60</v>
      </c>
      <c r="G2527" s="2" t="s">
        <v>6662</v>
      </c>
      <c r="H2527" s="2" t="s">
        <v>1306</v>
      </c>
      <c r="I2527" s="2" t="s">
        <v>32</v>
      </c>
      <c r="J2527" s="3">
        <v>44642</v>
      </c>
      <c r="K2527" s="2">
        <v>98</v>
      </c>
      <c r="L2527" s="2" t="s">
        <v>64</v>
      </c>
    </row>
    <row r="2528" spans="1:12" x14ac:dyDescent="0.3">
      <c r="A2528" s="2">
        <v>2517</v>
      </c>
      <c r="B2528" s="2" t="s">
        <v>6665</v>
      </c>
      <c r="C2528" s="2" t="s">
        <v>2747</v>
      </c>
      <c r="D2528" s="2" t="s">
        <v>51</v>
      </c>
      <c r="E2528" s="2" t="s">
        <v>16</v>
      </c>
      <c r="F2528" s="2">
        <v>30</v>
      </c>
      <c r="G2528" s="2" t="s">
        <v>6666</v>
      </c>
      <c r="H2528" s="2" t="s">
        <v>3299</v>
      </c>
      <c r="I2528" s="2" t="s">
        <v>32</v>
      </c>
      <c r="J2528" s="3">
        <v>44434</v>
      </c>
      <c r="K2528" s="2">
        <v>52</v>
      </c>
      <c r="L2528" s="2" t="s">
        <v>33</v>
      </c>
    </row>
    <row r="2529" spans="1:12" x14ac:dyDescent="0.3">
      <c r="A2529" s="2">
        <v>2518</v>
      </c>
      <c r="B2529" s="2" t="s">
        <v>2409</v>
      </c>
      <c r="C2529" s="2" t="s">
        <v>4558</v>
      </c>
      <c r="D2529" s="2" t="s">
        <v>28</v>
      </c>
      <c r="E2529" s="2" t="s">
        <v>29</v>
      </c>
      <c r="F2529" s="2">
        <v>60</v>
      </c>
      <c r="G2529" s="2" t="s">
        <v>6667</v>
      </c>
      <c r="H2529" s="2" t="s">
        <v>1336</v>
      </c>
      <c r="I2529" s="2" t="s">
        <v>129</v>
      </c>
      <c r="J2529" s="3">
        <v>44307</v>
      </c>
      <c r="K2529" s="2">
        <v>26</v>
      </c>
      <c r="L2529" s="2" t="s">
        <v>159</v>
      </c>
    </row>
    <row r="2530" spans="1:12" x14ac:dyDescent="0.3">
      <c r="A2530" s="2">
        <v>2519</v>
      </c>
      <c r="B2530" s="2" t="s">
        <v>6668</v>
      </c>
      <c r="C2530" s="2" t="s">
        <v>6669</v>
      </c>
      <c r="D2530" s="2" t="s">
        <v>28</v>
      </c>
      <c r="E2530" s="2" t="s">
        <v>29</v>
      </c>
      <c r="F2530" s="2">
        <v>60</v>
      </c>
      <c r="G2530" s="2" t="s">
        <v>6667</v>
      </c>
      <c r="H2530" s="2" t="s">
        <v>3428</v>
      </c>
      <c r="I2530" s="2" t="s">
        <v>38</v>
      </c>
      <c r="J2530" s="3">
        <v>44251</v>
      </c>
      <c r="K2530" s="2">
        <v>47</v>
      </c>
      <c r="L2530" s="2" t="s">
        <v>64</v>
      </c>
    </row>
    <row r="2531" spans="1:12" x14ac:dyDescent="0.3">
      <c r="A2531" s="2">
        <v>2520</v>
      </c>
      <c r="B2531" s="2" t="s">
        <v>6670</v>
      </c>
      <c r="C2531" s="2" t="s">
        <v>6439</v>
      </c>
      <c r="D2531" s="2" t="s">
        <v>15</v>
      </c>
      <c r="E2531" s="2" t="s">
        <v>16</v>
      </c>
      <c r="F2531" s="2">
        <v>90</v>
      </c>
      <c r="G2531" s="2" t="s">
        <v>6671</v>
      </c>
      <c r="H2531" s="2" t="s">
        <v>338</v>
      </c>
      <c r="I2531" s="2" t="s">
        <v>173</v>
      </c>
      <c r="J2531" s="3">
        <v>44584</v>
      </c>
      <c r="K2531" s="2">
        <v>73</v>
      </c>
      <c r="L2531" s="2" t="s">
        <v>159</v>
      </c>
    </row>
    <row r="2532" spans="1:12" x14ac:dyDescent="0.3">
      <c r="A2532" s="2">
        <v>2521</v>
      </c>
      <c r="B2532" s="2" t="s">
        <v>4315</v>
      </c>
      <c r="C2532" s="2" t="s">
        <v>2033</v>
      </c>
      <c r="D2532" s="2" t="s">
        <v>28</v>
      </c>
      <c r="E2532" s="2" t="s">
        <v>29</v>
      </c>
      <c r="F2532" s="2">
        <v>30</v>
      </c>
      <c r="G2532" s="2" t="s">
        <v>6672</v>
      </c>
      <c r="H2532" s="2" t="s">
        <v>4066</v>
      </c>
      <c r="I2532" s="2" t="s">
        <v>4067</v>
      </c>
      <c r="J2532" s="3">
        <v>43937</v>
      </c>
      <c r="K2532" s="2">
        <v>73</v>
      </c>
      <c r="L2532" s="2" t="s">
        <v>101</v>
      </c>
    </row>
    <row r="2533" spans="1:12" x14ac:dyDescent="0.3">
      <c r="A2533" s="2">
        <v>2522</v>
      </c>
      <c r="B2533" s="2" t="s">
        <v>1352</v>
      </c>
      <c r="C2533" s="2" t="s">
        <v>4858</v>
      </c>
      <c r="D2533" s="2" t="s">
        <v>117</v>
      </c>
      <c r="E2533" s="2" t="s">
        <v>16</v>
      </c>
      <c r="F2533" s="2">
        <v>90</v>
      </c>
      <c r="G2533" s="2" t="s">
        <v>6673</v>
      </c>
      <c r="H2533" s="2" t="s">
        <v>3579</v>
      </c>
      <c r="I2533" s="2" t="s">
        <v>1576</v>
      </c>
      <c r="J2533" s="3">
        <v>44842</v>
      </c>
      <c r="K2533" s="2">
        <v>41</v>
      </c>
      <c r="L2533" s="2" t="s">
        <v>45</v>
      </c>
    </row>
    <row r="2534" spans="1:12" x14ac:dyDescent="0.3">
      <c r="A2534" s="2">
        <v>2523</v>
      </c>
      <c r="B2534" s="2" t="s">
        <v>1792</v>
      </c>
      <c r="C2534" s="2" t="s">
        <v>3167</v>
      </c>
      <c r="D2534" s="2" t="s">
        <v>28</v>
      </c>
      <c r="E2534" s="2" t="s">
        <v>29</v>
      </c>
      <c r="F2534" s="2">
        <v>90</v>
      </c>
      <c r="G2534" s="2" t="s">
        <v>6674</v>
      </c>
      <c r="H2534" s="2" t="s">
        <v>6675</v>
      </c>
      <c r="I2534" s="2" t="s">
        <v>32</v>
      </c>
      <c r="J2534" s="3">
        <v>44068</v>
      </c>
      <c r="K2534" s="2">
        <v>80</v>
      </c>
      <c r="L2534" s="2" t="s">
        <v>70</v>
      </c>
    </row>
    <row r="2535" spans="1:12" x14ac:dyDescent="0.3">
      <c r="A2535" s="2">
        <v>2524</v>
      </c>
      <c r="B2535" s="2" t="s">
        <v>6676</v>
      </c>
      <c r="C2535" s="2" t="s">
        <v>2181</v>
      </c>
      <c r="D2535" s="2" t="s">
        <v>51</v>
      </c>
      <c r="E2535" s="2" t="s">
        <v>16</v>
      </c>
      <c r="F2535" s="2">
        <v>90</v>
      </c>
      <c r="G2535" s="2" t="s">
        <v>6677</v>
      </c>
      <c r="H2535" s="2" t="s">
        <v>1310</v>
      </c>
      <c r="I2535" s="2" t="s">
        <v>1311</v>
      </c>
      <c r="J2535" s="3">
        <v>44088</v>
      </c>
      <c r="K2535" s="2">
        <v>5</v>
      </c>
      <c r="L2535" s="2" t="s">
        <v>101</v>
      </c>
    </row>
    <row r="2536" spans="1:12" x14ac:dyDescent="0.3">
      <c r="A2536" s="2">
        <v>2525</v>
      </c>
      <c r="B2536" s="2" t="s">
        <v>6676</v>
      </c>
      <c r="C2536" s="2" t="s">
        <v>1596</v>
      </c>
      <c r="D2536" s="2" t="s">
        <v>41</v>
      </c>
      <c r="E2536" s="2" t="s">
        <v>16</v>
      </c>
      <c r="F2536" s="2">
        <v>30</v>
      </c>
      <c r="G2536" s="2" t="s">
        <v>6677</v>
      </c>
      <c r="H2536" s="2" t="s">
        <v>182</v>
      </c>
      <c r="I2536" s="2" t="s">
        <v>32</v>
      </c>
      <c r="J2536" s="3">
        <v>44046</v>
      </c>
      <c r="K2536" s="2">
        <v>77</v>
      </c>
      <c r="L2536" s="2" t="s">
        <v>64</v>
      </c>
    </row>
    <row r="2537" spans="1:12" x14ac:dyDescent="0.3">
      <c r="A2537" s="2">
        <v>2526</v>
      </c>
      <c r="B2537" s="2" t="s">
        <v>2556</v>
      </c>
      <c r="C2537" s="2" t="s">
        <v>1773</v>
      </c>
      <c r="D2537" s="2" t="s">
        <v>28</v>
      </c>
      <c r="E2537" s="2" t="s">
        <v>29</v>
      </c>
      <c r="F2537" s="2">
        <v>30</v>
      </c>
      <c r="G2537" s="2" t="s">
        <v>6678</v>
      </c>
      <c r="H2537" s="2" t="s">
        <v>4683</v>
      </c>
      <c r="I2537" s="2" t="s">
        <v>178</v>
      </c>
      <c r="J2537" s="3">
        <v>43909</v>
      </c>
      <c r="K2537" s="2">
        <v>30</v>
      </c>
      <c r="L2537" s="2" t="s">
        <v>39</v>
      </c>
    </row>
    <row r="2538" spans="1:12" x14ac:dyDescent="0.3">
      <c r="A2538" s="2">
        <v>2527</v>
      </c>
      <c r="B2538" s="2" t="s">
        <v>55</v>
      </c>
      <c r="C2538" s="2" t="s">
        <v>4121</v>
      </c>
      <c r="D2538" s="2" t="s">
        <v>28</v>
      </c>
      <c r="E2538" s="2" t="s">
        <v>29</v>
      </c>
      <c r="F2538" s="2">
        <v>60</v>
      </c>
      <c r="G2538" s="2" t="s">
        <v>6679</v>
      </c>
      <c r="H2538" s="2" t="s">
        <v>4432</v>
      </c>
      <c r="I2538" s="2" t="s">
        <v>32</v>
      </c>
      <c r="J2538" s="3">
        <v>44815</v>
      </c>
      <c r="K2538" s="2">
        <v>47</v>
      </c>
      <c r="L2538" s="2" t="s">
        <v>45</v>
      </c>
    </row>
    <row r="2539" spans="1:12" x14ac:dyDescent="0.3">
      <c r="A2539" s="2">
        <v>2528</v>
      </c>
      <c r="B2539" s="2" t="s">
        <v>657</v>
      </c>
      <c r="C2539" s="2" t="s">
        <v>795</v>
      </c>
      <c r="D2539" s="2" t="s">
        <v>28</v>
      </c>
      <c r="E2539" s="2" t="s">
        <v>29</v>
      </c>
      <c r="F2539" s="2">
        <v>30</v>
      </c>
      <c r="G2539" s="2" t="s">
        <v>6680</v>
      </c>
      <c r="H2539" s="2" t="s">
        <v>2667</v>
      </c>
      <c r="I2539" s="2" t="s">
        <v>187</v>
      </c>
      <c r="J2539" s="3">
        <v>44391</v>
      </c>
      <c r="K2539" s="2">
        <v>89</v>
      </c>
      <c r="L2539" s="2" t="s">
        <v>45</v>
      </c>
    </row>
    <row r="2540" spans="1:12" x14ac:dyDescent="0.3">
      <c r="A2540" s="2">
        <v>2529</v>
      </c>
      <c r="B2540" s="2" t="s">
        <v>2177</v>
      </c>
      <c r="C2540" s="2" t="s">
        <v>3130</v>
      </c>
      <c r="D2540" s="2" t="s">
        <v>15</v>
      </c>
      <c r="E2540" s="2" t="s">
        <v>16</v>
      </c>
      <c r="F2540" s="2">
        <v>90</v>
      </c>
      <c r="G2540" s="2" t="s">
        <v>6681</v>
      </c>
      <c r="H2540" s="2" t="s">
        <v>3224</v>
      </c>
      <c r="I2540" s="2" t="s">
        <v>2022</v>
      </c>
      <c r="J2540" s="3">
        <v>44665</v>
      </c>
      <c r="K2540" s="2">
        <v>99</v>
      </c>
      <c r="L2540" s="2" t="s">
        <v>20</v>
      </c>
    </row>
    <row r="2541" spans="1:12" x14ac:dyDescent="0.3">
      <c r="A2541" s="2">
        <v>2530</v>
      </c>
      <c r="B2541" s="2" t="s">
        <v>6682</v>
      </c>
      <c r="C2541" s="2" t="s">
        <v>6683</v>
      </c>
      <c r="D2541" s="2" t="s">
        <v>51</v>
      </c>
      <c r="E2541" s="2" t="s">
        <v>16</v>
      </c>
      <c r="F2541" s="2">
        <v>90</v>
      </c>
      <c r="G2541" s="2" t="s">
        <v>6684</v>
      </c>
      <c r="H2541" s="2" t="s">
        <v>4889</v>
      </c>
      <c r="I2541" s="2" t="s">
        <v>110</v>
      </c>
      <c r="J2541" s="3">
        <v>43944</v>
      </c>
      <c r="K2541" s="2">
        <v>50</v>
      </c>
      <c r="L2541" s="2" t="s">
        <v>54</v>
      </c>
    </row>
    <row r="2542" spans="1:12" x14ac:dyDescent="0.3">
      <c r="A2542" s="2">
        <v>2531</v>
      </c>
      <c r="B2542" s="2" t="s">
        <v>1392</v>
      </c>
      <c r="C2542" s="2" t="s">
        <v>6685</v>
      </c>
      <c r="D2542" s="2" t="s">
        <v>28</v>
      </c>
      <c r="E2542" s="2" t="s">
        <v>29</v>
      </c>
      <c r="F2542" s="2">
        <v>60</v>
      </c>
      <c r="G2542" s="2" t="s">
        <v>6686</v>
      </c>
      <c r="H2542" s="2" t="s">
        <v>6687</v>
      </c>
      <c r="I2542" s="2" t="s">
        <v>32</v>
      </c>
      <c r="J2542" s="3">
        <v>44377</v>
      </c>
      <c r="K2542" s="2">
        <v>60</v>
      </c>
      <c r="L2542" s="2" t="s">
        <v>159</v>
      </c>
    </row>
    <row r="2543" spans="1:12" x14ac:dyDescent="0.3">
      <c r="A2543" s="2">
        <v>2532</v>
      </c>
      <c r="B2543" s="2" t="s">
        <v>5878</v>
      </c>
      <c r="C2543" s="2" t="s">
        <v>4962</v>
      </c>
      <c r="D2543" s="2" t="s">
        <v>28</v>
      </c>
      <c r="E2543" s="2" t="s">
        <v>29</v>
      </c>
      <c r="F2543" s="2">
        <v>60</v>
      </c>
      <c r="G2543" s="2" t="s">
        <v>6688</v>
      </c>
      <c r="H2543" s="2" t="s">
        <v>1601</v>
      </c>
      <c r="I2543" s="2" t="s">
        <v>32</v>
      </c>
      <c r="J2543" s="3">
        <v>44213</v>
      </c>
      <c r="K2543" s="2">
        <v>53</v>
      </c>
      <c r="L2543" s="2" t="s">
        <v>101</v>
      </c>
    </row>
    <row r="2544" spans="1:12" x14ac:dyDescent="0.3">
      <c r="A2544" s="2">
        <v>2533</v>
      </c>
      <c r="B2544" s="2" t="s">
        <v>3483</v>
      </c>
      <c r="C2544" s="2" t="s">
        <v>2019</v>
      </c>
      <c r="D2544" s="2" t="s">
        <v>28</v>
      </c>
      <c r="E2544" s="2" t="s">
        <v>29</v>
      </c>
      <c r="F2544" s="2">
        <v>90</v>
      </c>
      <c r="G2544" s="2" t="s">
        <v>10442</v>
      </c>
      <c r="H2544" s="2" t="s">
        <v>6690</v>
      </c>
      <c r="I2544" s="2" t="s">
        <v>294</v>
      </c>
      <c r="J2544" s="3">
        <v>44839</v>
      </c>
      <c r="K2544" s="2">
        <v>70</v>
      </c>
      <c r="L2544" s="2" t="s">
        <v>159</v>
      </c>
    </row>
    <row r="2545" spans="1:12" x14ac:dyDescent="0.3">
      <c r="A2545" s="2">
        <v>2534</v>
      </c>
      <c r="B2545" s="2" t="s">
        <v>2367</v>
      </c>
      <c r="C2545" s="2" t="s">
        <v>457</v>
      </c>
      <c r="D2545" s="2" t="s">
        <v>28</v>
      </c>
      <c r="E2545" s="2" t="s">
        <v>29</v>
      </c>
      <c r="F2545" s="2">
        <v>60</v>
      </c>
      <c r="G2545" s="2" t="s">
        <v>6691</v>
      </c>
      <c r="H2545" s="2" t="s">
        <v>1299</v>
      </c>
      <c r="I2545" s="2" t="s">
        <v>1199</v>
      </c>
      <c r="J2545" s="3">
        <v>44107</v>
      </c>
      <c r="K2545" s="2">
        <v>31</v>
      </c>
      <c r="L2545" s="2" t="s">
        <v>70</v>
      </c>
    </row>
    <row r="2546" spans="1:12" x14ac:dyDescent="0.3">
      <c r="A2546" s="2">
        <v>2535</v>
      </c>
      <c r="B2546" s="2" t="s">
        <v>1563</v>
      </c>
      <c r="C2546" s="2" t="s">
        <v>1323</v>
      </c>
      <c r="D2546" s="2" t="s">
        <v>28</v>
      </c>
      <c r="E2546" s="2" t="s">
        <v>29</v>
      </c>
      <c r="F2546" s="2">
        <v>30</v>
      </c>
      <c r="G2546" s="2" t="s">
        <v>6692</v>
      </c>
      <c r="H2546" s="2" t="s">
        <v>6693</v>
      </c>
      <c r="I2546" s="2" t="s">
        <v>25</v>
      </c>
      <c r="J2546" s="3">
        <v>44264</v>
      </c>
      <c r="K2546" s="2">
        <v>68</v>
      </c>
      <c r="L2546" s="2" t="s">
        <v>64</v>
      </c>
    </row>
    <row r="2547" spans="1:12" x14ac:dyDescent="0.3">
      <c r="A2547" s="2">
        <v>2536</v>
      </c>
      <c r="B2547" s="2" t="s">
        <v>3005</v>
      </c>
      <c r="C2547" s="2" t="s">
        <v>1326</v>
      </c>
      <c r="D2547" s="2" t="s">
        <v>28</v>
      </c>
      <c r="E2547" s="2" t="s">
        <v>29</v>
      </c>
      <c r="F2547" s="2">
        <v>60</v>
      </c>
      <c r="G2547" s="2" t="s">
        <v>6694</v>
      </c>
      <c r="H2547" s="2" t="s">
        <v>3746</v>
      </c>
      <c r="I2547" s="2" t="s">
        <v>32</v>
      </c>
      <c r="J2547" s="3">
        <v>44918</v>
      </c>
      <c r="K2547" s="2">
        <v>70</v>
      </c>
      <c r="L2547" s="2" t="s">
        <v>39</v>
      </c>
    </row>
    <row r="2548" spans="1:12" x14ac:dyDescent="0.3">
      <c r="A2548" s="2">
        <v>2537</v>
      </c>
      <c r="B2548" s="2" t="s">
        <v>6695</v>
      </c>
      <c r="C2548" s="2" t="s">
        <v>5452</v>
      </c>
      <c r="D2548" s="2" t="s">
        <v>51</v>
      </c>
      <c r="E2548" s="2" t="s">
        <v>16</v>
      </c>
      <c r="F2548" s="2">
        <v>30</v>
      </c>
      <c r="G2548" s="2" t="s">
        <v>6696</v>
      </c>
      <c r="H2548" s="2" t="s">
        <v>3746</v>
      </c>
      <c r="I2548" s="2" t="s">
        <v>32</v>
      </c>
      <c r="J2548" s="3">
        <v>43966</v>
      </c>
      <c r="K2548" s="2">
        <v>43</v>
      </c>
      <c r="L2548" s="2" t="s">
        <v>20</v>
      </c>
    </row>
    <row r="2549" spans="1:12" x14ac:dyDescent="0.3">
      <c r="A2549" s="2">
        <v>2538</v>
      </c>
      <c r="B2549" s="2" t="s">
        <v>3429</v>
      </c>
      <c r="C2549" s="2" t="s">
        <v>5225</v>
      </c>
      <c r="D2549" s="2" t="s">
        <v>28</v>
      </c>
      <c r="E2549" s="2" t="s">
        <v>29</v>
      </c>
      <c r="F2549" s="2">
        <v>90</v>
      </c>
      <c r="G2549" s="2" t="s">
        <v>6697</v>
      </c>
      <c r="H2549" s="2" t="s">
        <v>2530</v>
      </c>
      <c r="I2549" s="2" t="s">
        <v>32</v>
      </c>
      <c r="J2549" s="3">
        <v>43901</v>
      </c>
      <c r="K2549" s="2">
        <v>14</v>
      </c>
      <c r="L2549" s="2" t="s">
        <v>70</v>
      </c>
    </row>
    <row r="2550" spans="1:12" x14ac:dyDescent="0.3">
      <c r="A2550" s="2">
        <v>2539</v>
      </c>
      <c r="B2550" s="2" t="s">
        <v>2815</v>
      </c>
      <c r="C2550" s="2" t="s">
        <v>2010</v>
      </c>
      <c r="D2550" s="2" t="s">
        <v>28</v>
      </c>
      <c r="E2550" s="2" t="s">
        <v>29</v>
      </c>
      <c r="F2550" s="2">
        <v>90</v>
      </c>
      <c r="G2550" s="2" t="s">
        <v>6698</v>
      </c>
      <c r="H2550" s="2" t="s">
        <v>1448</v>
      </c>
      <c r="I2550" s="2" t="s">
        <v>1449</v>
      </c>
      <c r="J2550" s="3">
        <v>44038</v>
      </c>
      <c r="K2550" s="2">
        <v>62</v>
      </c>
      <c r="L2550" s="2" t="s">
        <v>39</v>
      </c>
    </row>
    <row r="2551" spans="1:12" x14ac:dyDescent="0.3">
      <c r="A2551" s="2">
        <v>2540</v>
      </c>
      <c r="B2551" s="2" t="s">
        <v>6699</v>
      </c>
      <c r="C2551" s="2" t="s">
        <v>3911</v>
      </c>
      <c r="D2551" s="2" t="s">
        <v>28</v>
      </c>
      <c r="E2551" s="2" t="s">
        <v>29</v>
      </c>
      <c r="F2551" s="2">
        <v>30</v>
      </c>
      <c r="G2551" s="2" t="s">
        <v>6700</v>
      </c>
      <c r="H2551" s="2" t="s">
        <v>2380</v>
      </c>
      <c r="I2551" s="2" t="s">
        <v>173</v>
      </c>
      <c r="J2551" s="3">
        <v>44802</v>
      </c>
      <c r="K2551" s="2">
        <v>95</v>
      </c>
      <c r="L2551" s="2" t="s">
        <v>39</v>
      </c>
    </row>
    <row r="2552" spans="1:12" x14ac:dyDescent="0.3">
      <c r="A2552" s="2">
        <v>2541</v>
      </c>
      <c r="B2552" s="2" t="s">
        <v>2051</v>
      </c>
      <c r="C2552" s="2" t="s">
        <v>6701</v>
      </c>
      <c r="D2552" s="2" t="s">
        <v>28</v>
      </c>
      <c r="E2552" s="2" t="s">
        <v>29</v>
      </c>
      <c r="F2552" s="2">
        <v>90</v>
      </c>
      <c r="G2552" s="2" t="s">
        <v>6700</v>
      </c>
      <c r="H2552" s="2" t="s">
        <v>4878</v>
      </c>
      <c r="I2552" s="2" t="s">
        <v>187</v>
      </c>
      <c r="J2552" s="3">
        <v>44747</v>
      </c>
      <c r="K2552" s="2">
        <v>15</v>
      </c>
      <c r="L2552" s="2" t="s">
        <v>80</v>
      </c>
    </row>
    <row r="2553" spans="1:12" x14ac:dyDescent="0.3">
      <c r="A2553" s="2">
        <v>2542</v>
      </c>
      <c r="B2553" s="2" t="s">
        <v>4094</v>
      </c>
      <c r="C2553" s="2" t="s">
        <v>955</v>
      </c>
      <c r="D2553" s="2" t="s">
        <v>28</v>
      </c>
      <c r="E2553" s="2" t="s">
        <v>29</v>
      </c>
      <c r="F2553" s="2">
        <v>30</v>
      </c>
      <c r="G2553" s="2" t="s">
        <v>6700</v>
      </c>
      <c r="H2553" s="2" t="s">
        <v>4311</v>
      </c>
      <c r="I2553" s="2" t="s">
        <v>32</v>
      </c>
      <c r="J2553" s="3">
        <v>44344</v>
      </c>
      <c r="K2553" s="2">
        <v>10</v>
      </c>
      <c r="L2553" s="2" t="s">
        <v>39</v>
      </c>
    </row>
    <row r="2554" spans="1:12" x14ac:dyDescent="0.3">
      <c r="A2554" s="2">
        <v>2543</v>
      </c>
      <c r="B2554" s="2" t="s">
        <v>5502</v>
      </c>
      <c r="C2554" s="2" t="s">
        <v>3927</v>
      </c>
      <c r="D2554" s="2" t="s">
        <v>28</v>
      </c>
      <c r="E2554" s="2" t="s">
        <v>29</v>
      </c>
      <c r="F2554" s="2">
        <v>90</v>
      </c>
      <c r="G2554" s="2" t="s">
        <v>6702</v>
      </c>
      <c r="H2554" s="2" t="s">
        <v>538</v>
      </c>
      <c r="I2554" s="2" t="s">
        <v>32</v>
      </c>
      <c r="J2554" s="3">
        <v>44764</v>
      </c>
      <c r="K2554" s="2">
        <v>79</v>
      </c>
      <c r="L2554" s="2" t="s">
        <v>20</v>
      </c>
    </row>
    <row r="2555" spans="1:12" x14ac:dyDescent="0.3">
      <c r="A2555" s="2">
        <v>2544</v>
      </c>
      <c r="B2555" s="2" t="s">
        <v>6703</v>
      </c>
      <c r="C2555" s="2" t="s">
        <v>6704</v>
      </c>
      <c r="D2555" s="2" t="s">
        <v>51</v>
      </c>
      <c r="E2555" s="2" t="s">
        <v>16</v>
      </c>
      <c r="F2555" s="2">
        <v>90</v>
      </c>
      <c r="G2555" s="2" t="s">
        <v>6705</v>
      </c>
      <c r="H2555" s="2" t="s">
        <v>6312</v>
      </c>
      <c r="I2555" s="2" t="s">
        <v>173</v>
      </c>
      <c r="J2555" s="3">
        <v>44076</v>
      </c>
      <c r="K2555" s="2">
        <v>8</v>
      </c>
      <c r="L2555" s="2" t="s">
        <v>101</v>
      </c>
    </row>
    <row r="2556" spans="1:12" x14ac:dyDescent="0.3">
      <c r="A2556" s="2">
        <v>2545</v>
      </c>
      <c r="B2556" s="2" t="s">
        <v>4176</v>
      </c>
      <c r="C2556" s="2" t="s">
        <v>1072</v>
      </c>
      <c r="D2556" s="2" t="s">
        <v>117</v>
      </c>
      <c r="E2556" s="2" t="s">
        <v>16</v>
      </c>
      <c r="F2556" s="2">
        <v>60</v>
      </c>
      <c r="G2556" s="2" t="s">
        <v>6706</v>
      </c>
      <c r="H2556" s="2" t="s">
        <v>607</v>
      </c>
      <c r="I2556" s="2" t="s">
        <v>32</v>
      </c>
      <c r="J2556" s="3">
        <v>44602</v>
      </c>
      <c r="K2556" s="2">
        <v>45</v>
      </c>
      <c r="L2556" s="2" t="s">
        <v>80</v>
      </c>
    </row>
    <row r="2557" spans="1:12" x14ac:dyDescent="0.3">
      <c r="A2557" s="2">
        <v>2546</v>
      </c>
      <c r="B2557" s="2" t="s">
        <v>3176</v>
      </c>
      <c r="C2557" s="2" t="s">
        <v>2024</v>
      </c>
      <c r="D2557" s="2" t="s">
        <v>28</v>
      </c>
      <c r="E2557" s="2" t="s">
        <v>29</v>
      </c>
      <c r="F2557" s="2">
        <v>90</v>
      </c>
      <c r="G2557" s="2" t="s">
        <v>6707</v>
      </c>
      <c r="H2557" s="2" t="s">
        <v>641</v>
      </c>
      <c r="I2557" s="2" t="s">
        <v>294</v>
      </c>
      <c r="J2557" s="3">
        <v>44454</v>
      </c>
      <c r="K2557" s="2">
        <v>10</v>
      </c>
      <c r="L2557" s="2" t="s">
        <v>159</v>
      </c>
    </row>
    <row r="2558" spans="1:12" x14ac:dyDescent="0.3">
      <c r="A2558" s="2">
        <v>2547</v>
      </c>
      <c r="B2558" s="2" t="s">
        <v>567</v>
      </c>
      <c r="C2558" s="2" t="s">
        <v>6708</v>
      </c>
      <c r="D2558" s="2" t="s">
        <v>28</v>
      </c>
      <c r="E2558" s="2" t="s">
        <v>29</v>
      </c>
      <c r="F2558" s="2">
        <v>90</v>
      </c>
      <c r="G2558" s="2" t="s">
        <v>6709</v>
      </c>
      <c r="H2558" s="2" t="s">
        <v>6710</v>
      </c>
      <c r="I2558" s="2" t="s">
        <v>32</v>
      </c>
      <c r="J2558" s="3">
        <v>44116</v>
      </c>
      <c r="K2558" s="2">
        <v>37</v>
      </c>
      <c r="L2558" s="2" t="s">
        <v>80</v>
      </c>
    </row>
    <row r="2559" spans="1:12" x14ac:dyDescent="0.3">
      <c r="A2559" s="2">
        <v>2548</v>
      </c>
      <c r="B2559" s="2" t="s">
        <v>6711</v>
      </c>
      <c r="C2559" s="2" t="s">
        <v>6712</v>
      </c>
      <c r="D2559" s="2" t="s">
        <v>51</v>
      </c>
      <c r="E2559" s="2" t="s">
        <v>16</v>
      </c>
      <c r="F2559" s="2">
        <v>90</v>
      </c>
      <c r="G2559" s="2" t="s">
        <v>6713</v>
      </c>
      <c r="H2559" s="2" t="s">
        <v>6714</v>
      </c>
      <c r="I2559" s="2" t="s">
        <v>129</v>
      </c>
      <c r="J2559" s="3">
        <v>44368</v>
      </c>
      <c r="K2559" s="2">
        <v>91</v>
      </c>
      <c r="L2559" s="2" t="s">
        <v>33</v>
      </c>
    </row>
    <row r="2560" spans="1:12" x14ac:dyDescent="0.3">
      <c r="A2560" s="2">
        <v>2549</v>
      </c>
      <c r="B2560" s="2" t="s">
        <v>2295</v>
      </c>
      <c r="C2560" s="2" t="s">
        <v>5756</v>
      </c>
      <c r="D2560" s="2" t="s">
        <v>51</v>
      </c>
      <c r="E2560" s="2" t="s">
        <v>16</v>
      </c>
      <c r="F2560" s="2">
        <v>30</v>
      </c>
      <c r="G2560" s="2" t="s">
        <v>6713</v>
      </c>
      <c r="H2560" s="2" t="s">
        <v>1519</v>
      </c>
      <c r="I2560" s="2" t="s">
        <v>32</v>
      </c>
      <c r="J2560" s="3">
        <v>44355</v>
      </c>
      <c r="K2560" s="2">
        <v>31</v>
      </c>
      <c r="L2560" s="2" t="s">
        <v>39</v>
      </c>
    </row>
    <row r="2561" spans="1:12" x14ac:dyDescent="0.3">
      <c r="A2561" s="2">
        <v>2550</v>
      </c>
      <c r="B2561" s="2" t="s">
        <v>6715</v>
      </c>
      <c r="C2561" s="2" t="s">
        <v>5193</v>
      </c>
      <c r="D2561" s="2" t="s">
        <v>28</v>
      </c>
      <c r="E2561" s="2" t="s">
        <v>29</v>
      </c>
      <c r="F2561" s="2">
        <v>60</v>
      </c>
      <c r="G2561" s="2" t="s">
        <v>6716</v>
      </c>
      <c r="H2561" s="2" t="s">
        <v>3007</v>
      </c>
      <c r="I2561" s="2" t="s">
        <v>554</v>
      </c>
      <c r="J2561" s="3">
        <v>44483</v>
      </c>
      <c r="K2561" s="2">
        <v>41</v>
      </c>
      <c r="L2561" s="2" t="s">
        <v>80</v>
      </c>
    </row>
    <row r="2562" spans="1:12" x14ac:dyDescent="0.3">
      <c r="A2562" s="2">
        <v>2551</v>
      </c>
      <c r="B2562" s="2" t="s">
        <v>6717</v>
      </c>
      <c r="C2562" s="2" t="s">
        <v>1627</v>
      </c>
      <c r="D2562" s="2" t="s">
        <v>41</v>
      </c>
      <c r="E2562" s="2" t="s">
        <v>16</v>
      </c>
      <c r="F2562" s="2">
        <v>90</v>
      </c>
      <c r="G2562" s="2" t="s">
        <v>6718</v>
      </c>
      <c r="H2562" s="2" t="s">
        <v>2366</v>
      </c>
      <c r="I2562" s="2" t="s">
        <v>1367</v>
      </c>
      <c r="J2562" s="3">
        <v>44181</v>
      </c>
      <c r="K2562" s="2">
        <v>36</v>
      </c>
      <c r="L2562" s="2" t="s">
        <v>80</v>
      </c>
    </row>
    <row r="2563" spans="1:12" x14ac:dyDescent="0.3">
      <c r="A2563" s="2">
        <v>2552</v>
      </c>
      <c r="B2563" s="2" t="s">
        <v>1654</v>
      </c>
      <c r="C2563" s="2" t="s">
        <v>6719</v>
      </c>
      <c r="D2563" s="2" t="s">
        <v>51</v>
      </c>
      <c r="E2563" s="2" t="s">
        <v>16</v>
      </c>
      <c r="F2563" s="2">
        <v>90</v>
      </c>
      <c r="G2563" s="2" t="s">
        <v>6720</v>
      </c>
      <c r="H2563" s="2" t="s">
        <v>1690</v>
      </c>
      <c r="I2563" s="2" t="s">
        <v>208</v>
      </c>
      <c r="J2563" s="3">
        <v>43996</v>
      </c>
      <c r="K2563" s="2">
        <v>37</v>
      </c>
      <c r="L2563" s="2" t="s">
        <v>80</v>
      </c>
    </row>
    <row r="2564" spans="1:12" x14ac:dyDescent="0.3">
      <c r="A2564" s="2">
        <v>2553</v>
      </c>
      <c r="B2564" s="2" t="s">
        <v>6721</v>
      </c>
      <c r="C2564" s="2" t="s">
        <v>6722</v>
      </c>
      <c r="D2564" s="2" t="s">
        <v>51</v>
      </c>
      <c r="E2564" s="2" t="s">
        <v>16</v>
      </c>
      <c r="F2564" s="2">
        <v>30</v>
      </c>
      <c r="G2564" s="2" t="s">
        <v>6723</v>
      </c>
      <c r="H2564" s="2" t="s">
        <v>5079</v>
      </c>
      <c r="I2564" s="2" t="s">
        <v>294</v>
      </c>
      <c r="J2564" s="3">
        <v>44220</v>
      </c>
      <c r="K2564" s="2">
        <v>26</v>
      </c>
      <c r="L2564" s="2" t="s">
        <v>33</v>
      </c>
    </row>
    <row r="2565" spans="1:12" x14ac:dyDescent="0.3">
      <c r="A2565" s="2">
        <v>2554</v>
      </c>
      <c r="B2565" s="2" t="s">
        <v>61</v>
      </c>
      <c r="C2565" s="2" t="s">
        <v>4913</v>
      </c>
      <c r="D2565" s="2" t="s">
        <v>28</v>
      </c>
      <c r="E2565" s="2" t="s">
        <v>29</v>
      </c>
      <c r="F2565" s="2">
        <v>90</v>
      </c>
      <c r="G2565" s="2" t="s">
        <v>6724</v>
      </c>
      <c r="H2565" s="2" t="s">
        <v>5079</v>
      </c>
      <c r="I2565" s="2" t="s">
        <v>294</v>
      </c>
      <c r="J2565" s="3">
        <v>44217</v>
      </c>
      <c r="K2565" s="2">
        <v>27</v>
      </c>
      <c r="L2565" s="2" t="s">
        <v>70</v>
      </c>
    </row>
    <row r="2566" spans="1:12" x14ac:dyDescent="0.3">
      <c r="A2566" s="2">
        <v>2555</v>
      </c>
      <c r="B2566" s="2" t="s">
        <v>188</v>
      </c>
      <c r="C2566" s="2" t="s">
        <v>722</v>
      </c>
      <c r="D2566" s="2" t="s">
        <v>28</v>
      </c>
      <c r="E2566" s="2" t="s">
        <v>29</v>
      </c>
      <c r="F2566" s="2">
        <v>90</v>
      </c>
      <c r="G2566" s="2" t="s">
        <v>6725</v>
      </c>
      <c r="H2566" s="2" t="s">
        <v>2072</v>
      </c>
      <c r="I2566" s="2" t="s">
        <v>32</v>
      </c>
      <c r="J2566" s="3">
        <v>44702</v>
      </c>
      <c r="K2566" s="2">
        <v>103</v>
      </c>
      <c r="L2566" s="2" t="s">
        <v>80</v>
      </c>
    </row>
    <row r="2567" spans="1:12" x14ac:dyDescent="0.3">
      <c r="A2567" s="2">
        <v>2556</v>
      </c>
      <c r="B2567" s="2" t="s">
        <v>4844</v>
      </c>
      <c r="C2567" s="2" t="s">
        <v>5979</v>
      </c>
      <c r="D2567" s="2" t="s">
        <v>28</v>
      </c>
      <c r="E2567" s="2" t="s">
        <v>29</v>
      </c>
      <c r="F2567" s="2">
        <v>90</v>
      </c>
      <c r="G2567" s="2" t="s">
        <v>6726</v>
      </c>
      <c r="H2567" s="2" t="s">
        <v>420</v>
      </c>
      <c r="I2567" s="2" t="s">
        <v>32</v>
      </c>
      <c r="J2567" s="3">
        <v>44071</v>
      </c>
      <c r="K2567" s="2">
        <v>55</v>
      </c>
      <c r="L2567" s="2" t="s">
        <v>159</v>
      </c>
    </row>
    <row r="2568" spans="1:12" x14ac:dyDescent="0.3">
      <c r="A2568" s="2">
        <v>2557</v>
      </c>
      <c r="B2568" s="2" t="s">
        <v>2399</v>
      </c>
      <c r="C2568" s="2" t="s">
        <v>6727</v>
      </c>
      <c r="D2568" s="2" t="s">
        <v>15</v>
      </c>
      <c r="E2568" s="2" t="s">
        <v>16</v>
      </c>
      <c r="F2568" s="2">
        <v>60</v>
      </c>
      <c r="G2568" s="2" t="s">
        <v>6731</v>
      </c>
      <c r="H2568" s="2" t="s">
        <v>4996</v>
      </c>
      <c r="I2568" s="2" t="s">
        <v>32</v>
      </c>
      <c r="J2568" s="3">
        <v>43972</v>
      </c>
      <c r="K2568" s="2">
        <v>58</v>
      </c>
      <c r="L2568" s="2" t="s">
        <v>101</v>
      </c>
    </row>
    <row r="2569" spans="1:12" x14ac:dyDescent="0.3">
      <c r="A2569" s="2">
        <v>2558</v>
      </c>
      <c r="B2569" s="2" t="s">
        <v>6729</v>
      </c>
      <c r="C2569" s="2" t="s">
        <v>6730</v>
      </c>
      <c r="D2569" s="2" t="s">
        <v>15</v>
      </c>
      <c r="E2569" s="2" t="s">
        <v>16</v>
      </c>
      <c r="F2569" s="2">
        <v>60</v>
      </c>
      <c r="G2569" s="2" t="s">
        <v>6731</v>
      </c>
      <c r="H2569" s="2" t="s">
        <v>6732</v>
      </c>
      <c r="I2569" s="2" t="s">
        <v>32</v>
      </c>
      <c r="J2569" s="3">
        <v>44471</v>
      </c>
      <c r="K2569" s="2">
        <v>48</v>
      </c>
      <c r="L2569" s="2" t="s">
        <v>70</v>
      </c>
    </row>
    <row r="2570" spans="1:12" x14ac:dyDescent="0.3">
      <c r="A2570" s="2">
        <v>2559</v>
      </c>
      <c r="B2570" s="2" t="s">
        <v>2437</v>
      </c>
      <c r="C2570" s="2" t="s">
        <v>4149</v>
      </c>
      <c r="D2570" s="2" t="s">
        <v>28</v>
      </c>
      <c r="E2570" s="2" t="s">
        <v>29</v>
      </c>
      <c r="F2570" s="2">
        <v>90</v>
      </c>
      <c r="G2570" s="2" t="s">
        <v>6733</v>
      </c>
      <c r="H2570" s="2" t="s">
        <v>3169</v>
      </c>
      <c r="I2570" s="2" t="s">
        <v>110</v>
      </c>
      <c r="J2570" s="3">
        <v>43942</v>
      </c>
      <c r="K2570" s="2">
        <v>11</v>
      </c>
      <c r="L2570" s="2" t="s">
        <v>101</v>
      </c>
    </row>
    <row r="2571" spans="1:12" x14ac:dyDescent="0.3">
      <c r="A2571" s="2">
        <v>2560</v>
      </c>
      <c r="B2571" s="2" t="s">
        <v>6734</v>
      </c>
      <c r="C2571" s="2" t="s">
        <v>6436</v>
      </c>
      <c r="D2571" s="2" t="s">
        <v>51</v>
      </c>
      <c r="E2571" s="2" t="s">
        <v>16</v>
      </c>
      <c r="F2571" s="2">
        <v>30</v>
      </c>
      <c r="G2571" s="2" t="s">
        <v>10532</v>
      </c>
      <c r="H2571" s="2" t="s">
        <v>6736</v>
      </c>
      <c r="I2571" s="2" t="s">
        <v>32</v>
      </c>
      <c r="J2571" s="3">
        <v>44435</v>
      </c>
      <c r="K2571" s="2">
        <v>16</v>
      </c>
      <c r="L2571" s="2" t="s">
        <v>80</v>
      </c>
    </row>
    <row r="2572" spans="1:12" x14ac:dyDescent="0.3">
      <c r="A2572" s="2">
        <v>2561</v>
      </c>
      <c r="B2572" s="2" t="s">
        <v>6737</v>
      </c>
      <c r="C2572" s="2" t="s">
        <v>2677</v>
      </c>
      <c r="D2572" s="2" t="s">
        <v>51</v>
      </c>
      <c r="E2572" s="2" t="s">
        <v>16</v>
      </c>
      <c r="F2572" s="2">
        <v>60</v>
      </c>
      <c r="G2572" s="2" t="s">
        <v>6738</v>
      </c>
      <c r="H2572" s="2" t="s">
        <v>319</v>
      </c>
      <c r="I2572" s="2" t="s">
        <v>208</v>
      </c>
      <c r="J2572" s="3">
        <v>44672</v>
      </c>
      <c r="K2572" s="2">
        <v>21</v>
      </c>
      <c r="L2572" s="2" t="s">
        <v>39</v>
      </c>
    </row>
    <row r="2573" spans="1:12" x14ac:dyDescent="0.3">
      <c r="A2573" s="2">
        <v>2562</v>
      </c>
      <c r="B2573" s="2" t="s">
        <v>6739</v>
      </c>
      <c r="C2573" s="2" t="s">
        <v>5702</v>
      </c>
      <c r="D2573" s="2" t="s">
        <v>15</v>
      </c>
      <c r="E2573" s="2" t="s">
        <v>16</v>
      </c>
      <c r="F2573" s="2">
        <v>30</v>
      </c>
      <c r="G2573" s="2" t="s">
        <v>6740</v>
      </c>
      <c r="H2573" s="2" t="s">
        <v>2804</v>
      </c>
      <c r="I2573" s="2" t="s">
        <v>124</v>
      </c>
      <c r="J2573" s="3">
        <v>43963</v>
      </c>
      <c r="K2573" s="2">
        <v>57</v>
      </c>
      <c r="L2573" s="2" t="s">
        <v>33</v>
      </c>
    </row>
    <row r="2574" spans="1:12" x14ac:dyDescent="0.3">
      <c r="A2574" s="2">
        <v>2563</v>
      </c>
      <c r="B2574" s="2" t="s">
        <v>6286</v>
      </c>
      <c r="C2574" s="2" t="s">
        <v>6741</v>
      </c>
      <c r="D2574" s="2" t="s">
        <v>51</v>
      </c>
      <c r="E2574" s="2" t="s">
        <v>16</v>
      </c>
      <c r="F2574" s="2">
        <v>90</v>
      </c>
      <c r="G2574" s="2" t="s">
        <v>6742</v>
      </c>
      <c r="H2574" s="2" t="s">
        <v>1011</v>
      </c>
      <c r="I2574" s="2" t="s">
        <v>32</v>
      </c>
      <c r="J2574" s="3">
        <v>44398</v>
      </c>
      <c r="K2574" s="2">
        <v>83</v>
      </c>
      <c r="L2574" s="2" t="s">
        <v>39</v>
      </c>
    </row>
    <row r="2575" spans="1:12" x14ac:dyDescent="0.3">
      <c r="A2575" s="2">
        <v>2564</v>
      </c>
      <c r="B2575" s="2" t="s">
        <v>6743</v>
      </c>
      <c r="C2575" s="2" t="s">
        <v>4960</v>
      </c>
      <c r="D2575" s="2" t="s">
        <v>15</v>
      </c>
      <c r="E2575" s="2" t="s">
        <v>16</v>
      </c>
      <c r="F2575" s="2">
        <v>30</v>
      </c>
      <c r="G2575" s="2" t="s">
        <v>6744</v>
      </c>
      <c r="H2575" s="2" t="s">
        <v>6675</v>
      </c>
      <c r="I2575" s="2" t="s">
        <v>32</v>
      </c>
      <c r="J2575" s="3">
        <v>44400</v>
      </c>
      <c r="K2575" s="2">
        <v>95</v>
      </c>
      <c r="L2575" s="2" t="s">
        <v>39</v>
      </c>
    </row>
    <row r="2576" spans="1:12" x14ac:dyDescent="0.3">
      <c r="A2576" s="2">
        <v>2565</v>
      </c>
      <c r="B2576" s="2" t="s">
        <v>6745</v>
      </c>
      <c r="C2576" s="2" t="s">
        <v>5067</v>
      </c>
      <c r="D2576" s="2" t="s">
        <v>15</v>
      </c>
      <c r="E2576" s="2" t="s">
        <v>16</v>
      </c>
      <c r="F2576" s="2">
        <v>90</v>
      </c>
      <c r="G2576" s="2" t="s">
        <v>6746</v>
      </c>
      <c r="H2576" s="2" t="s">
        <v>2772</v>
      </c>
      <c r="I2576" s="2" t="s">
        <v>32</v>
      </c>
      <c r="J2576" s="3">
        <v>44092</v>
      </c>
      <c r="K2576" s="2">
        <v>19</v>
      </c>
      <c r="L2576" s="2" t="s">
        <v>45</v>
      </c>
    </row>
    <row r="2577" spans="1:12" x14ac:dyDescent="0.3">
      <c r="A2577" s="2">
        <v>2566</v>
      </c>
      <c r="B2577" s="2" t="s">
        <v>6747</v>
      </c>
      <c r="C2577" s="2" t="s">
        <v>6748</v>
      </c>
      <c r="D2577" s="2" t="s">
        <v>28</v>
      </c>
      <c r="E2577" s="2" t="s">
        <v>29</v>
      </c>
      <c r="F2577" s="2">
        <v>90</v>
      </c>
      <c r="G2577" s="2" t="s">
        <v>6749</v>
      </c>
      <c r="H2577" s="2" t="s">
        <v>1556</v>
      </c>
      <c r="I2577" s="2" t="s">
        <v>1311</v>
      </c>
      <c r="J2577" s="3">
        <v>44787</v>
      </c>
      <c r="K2577" s="2">
        <v>96</v>
      </c>
      <c r="L2577" s="2" t="s">
        <v>64</v>
      </c>
    </row>
    <row r="2578" spans="1:12" x14ac:dyDescent="0.3">
      <c r="A2578" s="2">
        <v>2567</v>
      </c>
      <c r="B2578" s="2" t="s">
        <v>3111</v>
      </c>
      <c r="C2578" s="2" t="s">
        <v>1121</v>
      </c>
      <c r="D2578" s="2" t="s">
        <v>28</v>
      </c>
      <c r="E2578" s="2" t="s">
        <v>29</v>
      </c>
      <c r="F2578" s="2">
        <v>30</v>
      </c>
      <c r="G2578" s="2" t="s">
        <v>6750</v>
      </c>
      <c r="H2578" s="2" t="s">
        <v>4849</v>
      </c>
      <c r="I2578" s="2" t="s">
        <v>294</v>
      </c>
      <c r="J2578" s="3">
        <v>44188</v>
      </c>
      <c r="K2578" s="2">
        <v>54</v>
      </c>
      <c r="L2578" s="2" t="s">
        <v>45</v>
      </c>
    </row>
    <row r="2579" spans="1:12" x14ac:dyDescent="0.3">
      <c r="A2579" s="2">
        <v>2568</v>
      </c>
      <c r="B2579" s="2" t="s">
        <v>5303</v>
      </c>
      <c r="C2579" s="2" t="s">
        <v>1297</v>
      </c>
      <c r="D2579" s="2" t="s">
        <v>41</v>
      </c>
      <c r="E2579" s="2" t="s">
        <v>16</v>
      </c>
      <c r="F2579" s="2">
        <v>90</v>
      </c>
      <c r="G2579" s="2" t="s">
        <v>6751</v>
      </c>
      <c r="H2579" s="2" t="s">
        <v>2026</v>
      </c>
      <c r="I2579" s="2" t="s">
        <v>1078</v>
      </c>
      <c r="J2579" s="3">
        <v>44513</v>
      </c>
      <c r="K2579" s="2">
        <v>12</v>
      </c>
      <c r="L2579" s="2" t="s">
        <v>159</v>
      </c>
    </row>
    <row r="2580" spans="1:12" x14ac:dyDescent="0.3">
      <c r="A2580" s="2">
        <v>2569</v>
      </c>
      <c r="B2580" s="2" t="s">
        <v>1788</v>
      </c>
      <c r="C2580" s="2" t="s">
        <v>6752</v>
      </c>
      <c r="D2580" s="2" t="s">
        <v>28</v>
      </c>
      <c r="E2580" s="2" t="s">
        <v>29</v>
      </c>
      <c r="F2580" s="2">
        <v>90</v>
      </c>
      <c r="G2580" s="2" t="s">
        <v>6753</v>
      </c>
      <c r="H2580" s="2" t="s">
        <v>6754</v>
      </c>
      <c r="I2580" s="2" t="s">
        <v>32</v>
      </c>
      <c r="J2580" s="3">
        <v>44017</v>
      </c>
      <c r="K2580" s="2">
        <v>82</v>
      </c>
      <c r="L2580" s="2" t="s">
        <v>54</v>
      </c>
    </row>
    <row r="2581" spans="1:12" x14ac:dyDescent="0.3">
      <c r="A2581" s="2">
        <v>2570</v>
      </c>
      <c r="B2581" s="2" t="s">
        <v>6755</v>
      </c>
      <c r="C2581" s="2" t="s">
        <v>5090</v>
      </c>
      <c r="D2581" s="2" t="s">
        <v>51</v>
      </c>
      <c r="E2581" s="2" t="s">
        <v>16</v>
      </c>
      <c r="F2581" s="2">
        <v>90</v>
      </c>
      <c r="G2581" s="2" t="s">
        <v>6756</v>
      </c>
      <c r="H2581" s="2" t="s">
        <v>655</v>
      </c>
      <c r="I2581" s="2" t="s">
        <v>32</v>
      </c>
      <c r="J2581" s="3">
        <v>44707</v>
      </c>
      <c r="K2581" s="2">
        <v>47</v>
      </c>
      <c r="L2581" s="2" t="s">
        <v>45</v>
      </c>
    </row>
    <row r="2582" spans="1:12" x14ac:dyDescent="0.3">
      <c r="A2582" s="2">
        <v>2571</v>
      </c>
      <c r="B2582" s="2" t="s">
        <v>1792</v>
      </c>
      <c r="C2582" s="2" t="s">
        <v>580</v>
      </c>
      <c r="D2582" s="2" t="s">
        <v>28</v>
      </c>
      <c r="E2582" s="2" t="s">
        <v>29</v>
      </c>
      <c r="F2582" s="2">
        <v>60</v>
      </c>
      <c r="G2582" s="2" t="s">
        <v>6757</v>
      </c>
      <c r="H2582" s="2" t="s">
        <v>5652</v>
      </c>
      <c r="I2582" s="2" t="s">
        <v>32</v>
      </c>
      <c r="J2582" s="3">
        <v>44894</v>
      </c>
      <c r="K2582" s="2">
        <v>91</v>
      </c>
      <c r="L2582" s="2" t="s">
        <v>39</v>
      </c>
    </row>
    <row r="2583" spans="1:12" x14ac:dyDescent="0.3">
      <c r="A2583" s="2">
        <v>2572</v>
      </c>
      <c r="B2583" s="2" t="s">
        <v>4599</v>
      </c>
      <c r="C2583" s="2" t="s">
        <v>3467</v>
      </c>
      <c r="D2583" s="2" t="s">
        <v>51</v>
      </c>
      <c r="E2583" s="2" t="s">
        <v>16</v>
      </c>
      <c r="F2583" s="2">
        <v>60</v>
      </c>
      <c r="G2583" s="2" t="s">
        <v>6758</v>
      </c>
      <c r="H2583" s="2" t="s">
        <v>868</v>
      </c>
      <c r="I2583" s="2" t="s">
        <v>32</v>
      </c>
      <c r="J2583" s="3">
        <v>44697</v>
      </c>
      <c r="K2583" s="2">
        <v>14</v>
      </c>
      <c r="L2583" s="2" t="s">
        <v>159</v>
      </c>
    </row>
    <row r="2584" spans="1:12" x14ac:dyDescent="0.3">
      <c r="A2584" s="2">
        <v>2573</v>
      </c>
      <c r="B2584" s="2" t="s">
        <v>6759</v>
      </c>
      <c r="C2584" s="2" t="s">
        <v>3171</v>
      </c>
      <c r="D2584" s="2" t="s">
        <v>51</v>
      </c>
      <c r="E2584" s="2" t="s">
        <v>16</v>
      </c>
      <c r="F2584" s="2">
        <v>30</v>
      </c>
      <c r="G2584" s="2" t="s">
        <v>6760</v>
      </c>
      <c r="H2584" s="2" t="s">
        <v>235</v>
      </c>
      <c r="I2584" s="2" t="s">
        <v>146</v>
      </c>
      <c r="J2584" s="3">
        <v>44910</v>
      </c>
      <c r="K2584" s="2">
        <v>85</v>
      </c>
      <c r="L2584" s="2" t="s">
        <v>159</v>
      </c>
    </row>
    <row r="2585" spans="1:12" x14ac:dyDescent="0.3">
      <c r="A2585" s="2">
        <v>2574</v>
      </c>
      <c r="B2585" s="2" t="s">
        <v>6761</v>
      </c>
      <c r="C2585" s="2" t="s">
        <v>6762</v>
      </c>
      <c r="D2585" s="2" t="s">
        <v>15</v>
      </c>
      <c r="E2585" s="2" t="s">
        <v>16</v>
      </c>
      <c r="F2585" s="2">
        <v>60</v>
      </c>
      <c r="G2585" s="2" t="s">
        <v>6760</v>
      </c>
      <c r="H2585" s="2" t="s">
        <v>5248</v>
      </c>
      <c r="I2585" s="2" t="s">
        <v>32</v>
      </c>
      <c r="J2585" s="3">
        <v>44286</v>
      </c>
      <c r="K2585" s="2">
        <v>25</v>
      </c>
      <c r="L2585" s="2" t="s">
        <v>20</v>
      </c>
    </row>
    <row r="2586" spans="1:12" x14ac:dyDescent="0.3">
      <c r="A2586" s="2">
        <v>2575</v>
      </c>
      <c r="B2586" s="2" t="s">
        <v>5954</v>
      </c>
      <c r="C2586" s="2" t="s">
        <v>6635</v>
      </c>
      <c r="D2586" s="2" t="s">
        <v>28</v>
      </c>
      <c r="E2586" s="2" t="s">
        <v>29</v>
      </c>
      <c r="F2586" s="2">
        <v>90</v>
      </c>
      <c r="G2586" s="2" t="s">
        <v>6763</v>
      </c>
      <c r="H2586" s="2" t="s">
        <v>6249</v>
      </c>
      <c r="I2586" s="2" t="s">
        <v>38</v>
      </c>
      <c r="J2586" s="3">
        <v>44237</v>
      </c>
      <c r="K2586" s="2">
        <v>90</v>
      </c>
      <c r="L2586" s="2" t="s">
        <v>80</v>
      </c>
    </row>
    <row r="2587" spans="1:12" x14ac:dyDescent="0.3">
      <c r="A2587" s="2">
        <v>2576</v>
      </c>
      <c r="B2587" s="2" t="s">
        <v>6764</v>
      </c>
      <c r="C2587" s="2" t="s">
        <v>3253</v>
      </c>
      <c r="D2587" s="2" t="s">
        <v>28</v>
      </c>
      <c r="E2587" s="2" t="s">
        <v>29</v>
      </c>
      <c r="F2587" s="2">
        <v>30</v>
      </c>
      <c r="G2587" s="2" t="s">
        <v>6765</v>
      </c>
      <c r="H2587" s="2" t="s">
        <v>221</v>
      </c>
      <c r="I2587" s="2" t="s">
        <v>32</v>
      </c>
      <c r="J2587" s="3">
        <v>44403</v>
      </c>
      <c r="K2587" s="2">
        <v>38</v>
      </c>
      <c r="L2587" s="2" t="s">
        <v>33</v>
      </c>
    </row>
    <row r="2588" spans="1:12" x14ac:dyDescent="0.3">
      <c r="A2588" s="2">
        <v>2577</v>
      </c>
      <c r="B2588" s="2" t="s">
        <v>2556</v>
      </c>
      <c r="C2588" s="2" t="s">
        <v>540</v>
      </c>
      <c r="D2588" s="2" t="s">
        <v>28</v>
      </c>
      <c r="E2588" s="2" t="s">
        <v>29</v>
      </c>
      <c r="F2588" s="2">
        <v>30</v>
      </c>
      <c r="G2588" s="2" t="s">
        <v>6766</v>
      </c>
      <c r="H2588" s="2" t="s">
        <v>1621</v>
      </c>
      <c r="I2588" s="2" t="s">
        <v>146</v>
      </c>
      <c r="J2588" s="3">
        <v>44170</v>
      </c>
      <c r="K2588" s="2">
        <v>31</v>
      </c>
      <c r="L2588" s="2" t="s">
        <v>39</v>
      </c>
    </row>
    <row r="2589" spans="1:12" x14ac:dyDescent="0.3">
      <c r="A2589" s="2">
        <v>2578</v>
      </c>
      <c r="B2589" s="2" t="s">
        <v>5400</v>
      </c>
      <c r="C2589" s="2" t="s">
        <v>1237</v>
      </c>
      <c r="D2589" s="2" t="s">
        <v>15</v>
      </c>
      <c r="E2589" s="2" t="s">
        <v>16</v>
      </c>
      <c r="F2589" s="2">
        <v>30</v>
      </c>
      <c r="G2589" s="2" t="s">
        <v>6767</v>
      </c>
      <c r="H2589" s="2" t="s">
        <v>4585</v>
      </c>
      <c r="I2589" s="2" t="s">
        <v>25</v>
      </c>
      <c r="J2589" s="3">
        <v>44394</v>
      </c>
      <c r="K2589" s="2">
        <v>19</v>
      </c>
      <c r="L2589" s="2" t="s">
        <v>54</v>
      </c>
    </row>
    <row r="2590" spans="1:12" x14ac:dyDescent="0.3">
      <c r="A2590" s="2">
        <v>2579</v>
      </c>
      <c r="B2590" s="2" t="s">
        <v>1572</v>
      </c>
      <c r="C2590" s="2" t="s">
        <v>267</v>
      </c>
      <c r="D2590" s="2" t="s">
        <v>28</v>
      </c>
      <c r="E2590" s="2" t="s">
        <v>29</v>
      </c>
      <c r="F2590" s="2">
        <v>30</v>
      </c>
      <c r="G2590" s="2" t="s">
        <v>6768</v>
      </c>
      <c r="H2590" s="2" t="s">
        <v>5778</v>
      </c>
      <c r="I2590" s="2" t="s">
        <v>1311</v>
      </c>
      <c r="J2590" s="3">
        <v>44508</v>
      </c>
      <c r="K2590" s="2">
        <v>16</v>
      </c>
      <c r="L2590" s="2" t="s">
        <v>39</v>
      </c>
    </row>
    <row r="2591" spans="1:12" x14ac:dyDescent="0.3">
      <c r="A2591" s="2">
        <v>2580</v>
      </c>
      <c r="B2591" s="2" t="s">
        <v>111</v>
      </c>
      <c r="C2591" s="2" t="s">
        <v>3965</v>
      </c>
      <c r="D2591" s="2" t="s">
        <v>28</v>
      </c>
      <c r="E2591" s="2" t="s">
        <v>29</v>
      </c>
      <c r="F2591" s="2">
        <v>30</v>
      </c>
      <c r="G2591" s="2" t="s">
        <v>6769</v>
      </c>
      <c r="H2591" s="2" t="s">
        <v>6770</v>
      </c>
      <c r="I2591" s="2" t="s">
        <v>124</v>
      </c>
      <c r="J2591" s="3">
        <v>44741</v>
      </c>
      <c r="K2591" s="2">
        <v>42</v>
      </c>
      <c r="L2591" s="2" t="s">
        <v>64</v>
      </c>
    </row>
    <row r="2592" spans="1:12" x14ac:dyDescent="0.3">
      <c r="A2592" s="2">
        <v>2581</v>
      </c>
      <c r="B2592" s="2" t="s">
        <v>4742</v>
      </c>
      <c r="C2592" s="2" t="s">
        <v>1304</v>
      </c>
      <c r="D2592" s="2" t="s">
        <v>51</v>
      </c>
      <c r="E2592" s="2" t="s">
        <v>16</v>
      </c>
      <c r="F2592" s="2">
        <v>30</v>
      </c>
      <c r="G2592" s="2" t="s">
        <v>6771</v>
      </c>
      <c r="H2592" s="2" t="s">
        <v>6772</v>
      </c>
      <c r="I2592" s="2" t="s">
        <v>32</v>
      </c>
      <c r="J2592" s="3">
        <v>44217</v>
      </c>
      <c r="K2592" s="2">
        <v>41</v>
      </c>
      <c r="L2592" s="2" t="s">
        <v>70</v>
      </c>
    </row>
    <row r="2593" spans="1:12" x14ac:dyDescent="0.3">
      <c r="A2593" s="2">
        <v>2582</v>
      </c>
      <c r="B2593" s="2" t="s">
        <v>6773</v>
      </c>
      <c r="C2593" s="2" t="s">
        <v>2449</v>
      </c>
      <c r="D2593" s="2" t="s">
        <v>41</v>
      </c>
      <c r="E2593" s="2" t="s">
        <v>16</v>
      </c>
      <c r="F2593" s="2">
        <v>30</v>
      </c>
      <c r="G2593" s="2" t="s">
        <v>6774</v>
      </c>
      <c r="H2593" s="2" t="s">
        <v>6775</v>
      </c>
      <c r="I2593" s="2" t="s">
        <v>25</v>
      </c>
      <c r="J2593" s="3">
        <v>44577</v>
      </c>
      <c r="K2593" s="2">
        <v>54</v>
      </c>
      <c r="L2593" s="2" t="s">
        <v>80</v>
      </c>
    </row>
    <row r="2594" spans="1:12" x14ac:dyDescent="0.3">
      <c r="A2594" s="2">
        <v>2583</v>
      </c>
      <c r="B2594" s="2" t="s">
        <v>4372</v>
      </c>
      <c r="C2594" s="2" t="s">
        <v>6776</v>
      </c>
      <c r="D2594" s="2" t="s">
        <v>28</v>
      </c>
      <c r="E2594" s="2" t="s">
        <v>29</v>
      </c>
      <c r="F2594" s="2">
        <v>90</v>
      </c>
      <c r="G2594" s="2" t="s">
        <v>6777</v>
      </c>
      <c r="H2594" s="2" t="s">
        <v>6778</v>
      </c>
      <c r="I2594" s="2" t="s">
        <v>38</v>
      </c>
      <c r="J2594" s="3">
        <v>44262</v>
      </c>
      <c r="K2594" s="2">
        <v>36</v>
      </c>
      <c r="L2594" s="2" t="s">
        <v>45</v>
      </c>
    </row>
    <row r="2595" spans="1:12" x14ac:dyDescent="0.3">
      <c r="A2595" s="2">
        <v>2584</v>
      </c>
      <c r="B2595" s="2" t="s">
        <v>6779</v>
      </c>
      <c r="C2595" s="2" t="s">
        <v>6780</v>
      </c>
      <c r="D2595" s="2" t="s">
        <v>51</v>
      </c>
      <c r="E2595" s="2" t="s">
        <v>16</v>
      </c>
      <c r="F2595" s="2">
        <v>60</v>
      </c>
      <c r="G2595" s="2" t="s">
        <v>6781</v>
      </c>
      <c r="H2595" s="2" t="s">
        <v>6782</v>
      </c>
      <c r="I2595" s="2" t="s">
        <v>32</v>
      </c>
      <c r="J2595" s="3">
        <v>43839</v>
      </c>
      <c r="K2595" s="2">
        <v>15</v>
      </c>
      <c r="L2595" s="2" t="s">
        <v>20</v>
      </c>
    </row>
    <row r="2596" spans="1:12" x14ac:dyDescent="0.3">
      <c r="A2596" s="2">
        <v>2585</v>
      </c>
      <c r="B2596" s="2" t="s">
        <v>1622</v>
      </c>
      <c r="C2596" s="2" t="s">
        <v>6783</v>
      </c>
      <c r="D2596" s="2" t="s">
        <v>28</v>
      </c>
      <c r="E2596" s="2" t="s">
        <v>29</v>
      </c>
      <c r="F2596" s="2">
        <v>90</v>
      </c>
      <c r="G2596" s="2" t="s">
        <v>6784</v>
      </c>
      <c r="H2596" s="2" t="s">
        <v>2354</v>
      </c>
      <c r="I2596" s="2" t="s">
        <v>178</v>
      </c>
      <c r="J2596" s="3">
        <v>44919</v>
      </c>
      <c r="K2596" s="2">
        <v>104</v>
      </c>
      <c r="L2596" s="2" t="s">
        <v>54</v>
      </c>
    </row>
    <row r="2597" spans="1:12" x14ac:dyDescent="0.3">
      <c r="A2597" s="2">
        <v>2586</v>
      </c>
      <c r="B2597" s="2" t="s">
        <v>4452</v>
      </c>
      <c r="C2597" s="2" t="s">
        <v>6785</v>
      </c>
      <c r="D2597" s="2" t="s">
        <v>28</v>
      </c>
      <c r="E2597" s="2" t="s">
        <v>29</v>
      </c>
      <c r="F2597" s="2">
        <v>30</v>
      </c>
      <c r="G2597" s="2" t="s">
        <v>6786</v>
      </c>
      <c r="H2597" s="2" t="s">
        <v>6787</v>
      </c>
      <c r="I2597" s="2" t="s">
        <v>1035</v>
      </c>
      <c r="J2597" s="3">
        <v>44605</v>
      </c>
      <c r="K2597" s="2">
        <v>102</v>
      </c>
      <c r="L2597" s="2" t="s">
        <v>39</v>
      </c>
    </row>
    <row r="2598" spans="1:12" x14ac:dyDescent="0.3">
      <c r="A2598" s="2">
        <v>2587</v>
      </c>
      <c r="B2598" s="2" t="s">
        <v>6788</v>
      </c>
      <c r="C2598" s="2" t="s">
        <v>547</v>
      </c>
      <c r="D2598" s="2" t="s">
        <v>15</v>
      </c>
      <c r="E2598" s="2" t="s">
        <v>16</v>
      </c>
      <c r="F2598" s="2">
        <v>60</v>
      </c>
      <c r="G2598" s="2" t="s">
        <v>6786</v>
      </c>
      <c r="H2598" s="2" t="s">
        <v>4621</v>
      </c>
      <c r="I2598" s="2" t="s">
        <v>178</v>
      </c>
      <c r="J2598" s="3">
        <v>44149</v>
      </c>
      <c r="K2598" s="2">
        <v>25</v>
      </c>
      <c r="L2598" s="2" t="s">
        <v>39</v>
      </c>
    </row>
    <row r="2599" spans="1:12" x14ac:dyDescent="0.3">
      <c r="A2599" s="2">
        <v>2588</v>
      </c>
      <c r="B2599" s="2" t="s">
        <v>2898</v>
      </c>
      <c r="C2599" s="2" t="s">
        <v>6789</v>
      </c>
      <c r="D2599" s="2" t="s">
        <v>28</v>
      </c>
      <c r="E2599" s="2" t="s">
        <v>29</v>
      </c>
      <c r="F2599" s="2">
        <v>90</v>
      </c>
      <c r="G2599" s="2" t="s">
        <v>6786</v>
      </c>
      <c r="H2599" s="2" t="s">
        <v>1001</v>
      </c>
      <c r="I2599" s="2" t="s">
        <v>32</v>
      </c>
      <c r="J2599" s="3">
        <v>44358</v>
      </c>
      <c r="K2599" s="2">
        <v>18</v>
      </c>
      <c r="L2599" s="2" t="s">
        <v>45</v>
      </c>
    </row>
    <row r="2600" spans="1:12" x14ac:dyDescent="0.3">
      <c r="A2600" s="2">
        <v>2589</v>
      </c>
      <c r="B2600" s="2" t="s">
        <v>6790</v>
      </c>
      <c r="C2600" s="2" t="s">
        <v>3803</v>
      </c>
      <c r="D2600" s="2" t="s">
        <v>28</v>
      </c>
      <c r="E2600" s="2" t="s">
        <v>29</v>
      </c>
      <c r="F2600" s="2">
        <v>30</v>
      </c>
      <c r="G2600" s="2" t="s">
        <v>6791</v>
      </c>
      <c r="H2600" s="2" t="s">
        <v>3100</v>
      </c>
      <c r="I2600" s="2" t="s">
        <v>32</v>
      </c>
      <c r="J2600" s="3">
        <v>44654</v>
      </c>
      <c r="K2600" s="2">
        <v>3</v>
      </c>
      <c r="L2600" s="2" t="s">
        <v>33</v>
      </c>
    </row>
    <row r="2601" spans="1:12" x14ac:dyDescent="0.3">
      <c r="A2601" s="2">
        <v>2590</v>
      </c>
      <c r="B2601" s="2" t="s">
        <v>6792</v>
      </c>
      <c r="C2601" s="2" t="s">
        <v>6793</v>
      </c>
      <c r="D2601" s="2" t="s">
        <v>51</v>
      </c>
      <c r="E2601" s="2" t="s">
        <v>16</v>
      </c>
      <c r="F2601" s="2">
        <v>90</v>
      </c>
      <c r="G2601" s="2" t="s">
        <v>6794</v>
      </c>
      <c r="H2601" s="2" t="s">
        <v>6795</v>
      </c>
      <c r="I2601" s="2" t="s">
        <v>146</v>
      </c>
      <c r="J2601" s="3">
        <v>44449</v>
      </c>
      <c r="K2601" s="2">
        <v>35</v>
      </c>
      <c r="L2601" s="2" t="s">
        <v>45</v>
      </c>
    </row>
    <row r="2602" spans="1:12" x14ac:dyDescent="0.3">
      <c r="A2602" s="2">
        <v>2591</v>
      </c>
      <c r="B2602" s="2" t="s">
        <v>6796</v>
      </c>
      <c r="C2602" s="2" t="s">
        <v>4079</v>
      </c>
      <c r="D2602" s="2" t="s">
        <v>28</v>
      </c>
      <c r="E2602" s="2" t="s">
        <v>29</v>
      </c>
      <c r="F2602" s="2">
        <v>90</v>
      </c>
      <c r="G2602" s="2" t="s">
        <v>6797</v>
      </c>
      <c r="H2602" s="2" t="s">
        <v>3059</v>
      </c>
      <c r="I2602" s="2" t="s">
        <v>187</v>
      </c>
      <c r="J2602" s="3">
        <v>44630</v>
      </c>
      <c r="K2602" s="2">
        <v>86</v>
      </c>
      <c r="L2602" s="2" t="s">
        <v>33</v>
      </c>
    </row>
    <row r="2603" spans="1:12" x14ac:dyDescent="0.3">
      <c r="A2603" s="2">
        <v>2592</v>
      </c>
      <c r="B2603" s="2" t="s">
        <v>1002</v>
      </c>
      <c r="C2603" s="2" t="s">
        <v>6798</v>
      </c>
      <c r="D2603" s="2" t="s">
        <v>28</v>
      </c>
      <c r="E2603" s="2" t="s">
        <v>29</v>
      </c>
      <c r="F2603" s="2">
        <v>60</v>
      </c>
      <c r="G2603" s="2" t="s">
        <v>6799</v>
      </c>
      <c r="H2603" s="2" t="s">
        <v>3248</v>
      </c>
      <c r="I2603" s="2" t="s">
        <v>38</v>
      </c>
      <c r="J2603" s="3">
        <v>44027</v>
      </c>
      <c r="K2603" s="2">
        <v>41</v>
      </c>
      <c r="L2603" s="2" t="s">
        <v>45</v>
      </c>
    </row>
    <row r="2604" spans="1:12" x14ac:dyDescent="0.3">
      <c r="A2604" s="2">
        <v>2593</v>
      </c>
      <c r="B2604" s="2" t="s">
        <v>6800</v>
      </c>
      <c r="C2604" s="2" t="s">
        <v>3647</v>
      </c>
      <c r="D2604" s="2" t="s">
        <v>15</v>
      </c>
      <c r="E2604" s="2" t="s">
        <v>16</v>
      </c>
      <c r="F2604" s="2">
        <v>90</v>
      </c>
      <c r="G2604" s="2" t="s">
        <v>6801</v>
      </c>
      <c r="H2604" s="2" t="s">
        <v>802</v>
      </c>
      <c r="I2604" s="2" t="s">
        <v>294</v>
      </c>
      <c r="J2604" s="3">
        <v>44261</v>
      </c>
      <c r="K2604" s="2">
        <v>3</v>
      </c>
      <c r="L2604" s="2" t="s">
        <v>159</v>
      </c>
    </row>
    <row r="2605" spans="1:12" x14ac:dyDescent="0.3">
      <c r="A2605" s="2">
        <v>2594</v>
      </c>
      <c r="B2605" s="2" t="s">
        <v>735</v>
      </c>
      <c r="C2605" s="2" t="s">
        <v>6802</v>
      </c>
      <c r="D2605" s="2" t="s">
        <v>28</v>
      </c>
      <c r="E2605" s="2" t="s">
        <v>29</v>
      </c>
      <c r="F2605" s="2">
        <v>30</v>
      </c>
      <c r="G2605" s="2" t="s">
        <v>6803</v>
      </c>
      <c r="H2605" s="2" t="s">
        <v>5427</v>
      </c>
      <c r="I2605" s="2" t="s">
        <v>32</v>
      </c>
      <c r="J2605" s="3">
        <v>44155</v>
      </c>
      <c r="K2605" s="2">
        <v>3</v>
      </c>
      <c r="L2605" s="2" t="s">
        <v>39</v>
      </c>
    </row>
    <row r="2606" spans="1:12" x14ac:dyDescent="0.3">
      <c r="A2606" s="2">
        <v>2595</v>
      </c>
      <c r="B2606" s="2" t="s">
        <v>1856</v>
      </c>
      <c r="C2606" s="2" t="s">
        <v>6804</v>
      </c>
      <c r="D2606" s="2" t="s">
        <v>51</v>
      </c>
      <c r="E2606" s="2" t="s">
        <v>16</v>
      </c>
      <c r="F2606" s="2">
        <v>30</v>
      </c>
      <c r="G2606" s="2" t="s">
        <v>6805</v>
      </c>
      <c r="H2606" s="2" t="s">
        <v>810</v>
      </c>
      <c r="I2606" s="2" t="s">
        <v>32</v>
      </c>
      <c r="J2606" s="3">
        <v>44470</v>
      </c>
      <c r="K2606" s="2">
        <v>81</v>
      </c>
      <c r="L2606" s="2" t="s">
        <v>80</v>
      </c>
    </row>
    <row r="2607" spans="1:12" x14ac:dyDescent="0.3">
      <c r="A2607" s="2">
        <v>2596</v>
      </c>
      <c r="B2607" s="2" t="s">
        <v>600</v>
      </c>
      <c r="C2607" s="2" t="s">
        <v>468</v>
      </c>
      <c r="D2607" s="2" t="s">
        <v>15</v>
      </c>
      <c r="E2607" s="2" t="s">
        <v>16</v>
      </c>
      <c r="F2607" s="2">
        <v>30</v>
      </c>
      <c r="G2607" s="2" t="s">
        <v>6806</v>
      </c>
      <c r="H2607" s="2" t="s">
        <v>685</v>
      </c>
      <c r="I2607" s="2" t="s">
        <v>686</v>
      </c>
      <c r="J2607" s="3">
        <v>44774</v>
      </c>
      <c r="K2607" s="2">
        <v>98</v>
      </c>
      <c r="L2607" s="2" t="s">
        <v>101</v>
      </c>
    </row>
    <row r="2608" spans="1:12" x14ac:dyDescent="0.3">
      <c r="A2608" s="2">
        <v>2597</v>
      </c>
      <c r="B2608" s="2" t="s">
        <v>6807</v>
      </c>
      <c r="C2608" s="2" t="s">
        <v>547</v>
      </c>
      <c r="D2608" s="2" t="s">
        <v>15</v>
      </c>
      <c r="E2608" s="2" t="s">
        <v>16</v>
      </c>
      <c r="F2608" s="2">
        <v>30</v>
      </c>
      <c r="G2608" s="2" t="s">
        <v>6808</v>
      </c>
      <c r="H2608" s="2" t="s">
        <v>3175</v>
      </c>
      <c r="I2608" s="2" t="s">
        <v>1233</v>
      </c>
      <c r="J2608" s="3">
        <v>44543</v>
      </c>
      <c r="K2608" s="2">
        <v>67</v>
      </c>
      <c r="L2608" s="2" t="s">
        <v>159</v>
      </c>
    </row>
    <row r="2609" spans="1:12" x14ac:dyDescent="0.3">
      <c r="A2609" s="2">
        <v>2598</v>
      </c>
      <c r="B2609" s="2" t="s">
        <v>6809</v>
      </c>
      <c r="C2609" s="2" t="s">
        <v>6810</v>
      </c>
      <c r="D2609" s="2" t="s">
        <v>51</v>
      </c>
      <c r="E2609" s="2" t="s">
        <v>16</v>
      </c>
      <c r="F2609" s="2">
        <v>90</v>
      </c>
      <c r="G2609" s="2" t="s">
        <v>6811</v>
      </c>
      <c r="H2609" s="2" t="s">
        <v>4020</v>
      </c>
      <c r="I2609" s="2" t="s">
        <v>173</v>
      </c>
      <c r="J2609" s="3">
        <v>44914</v>
      </c>
      <c r="K2609" s="2">
        <v>7</v>
      </c>
      <c r="L2609" s="2" t="s">
        <v>64</v>
      </c>
    </row>
    <row r="2610" spans="1:12" x14ac:dyDescent="0.3">
      <c r="A2610" s="2">
        <v>2599</v>
      </c>
      <c r="B2610" s="2" t="s">
        <v>2647</v>
      </c>
      <c r="C2610" s="2" t="s">
        <v>6812</v>
      </c>
      <c r="D2610" s="2" t="s">
        <v>51</v>
      </c>
      <c r="E2610" s="2" t="s">
        <v>16</v>
      </c>
      <c r="F2610" s="2">
        <v>30</v>
      </c>
      <c r="G2610" s="2" t="s">
        <v>6813</v>
      </c>
      <c r="H2610" s="2" t="s">
        <v>4853</v>
      </c>
      <c r="I2610" s="2" t="s">
        <v>178</v>
      </c>
      <c r="J2610" s="3">
        <v>44214</v>
      </c>
      <c r="K2610" s="2">
        <v>12</v>
      </c>
      <c r="L2610" s="2" t="s">
        <v>64</v>
      </c>
    </row>
    <row r="2611" spans="1:12" x14ac:dyDescent="0.3">
      <c r="A2611" s="2">
        <v>2600</v>
      </c>
      <c r="B2611" s="2" t="s">
        <v>441</v>
      </c>
      <c r="C2611" s="2" t="s">
        <v>6814</v>
      </c>
      <c r="D2611" s="2" t="s">
        <v>28</v>
      </c>
      <c r="E2611" s="2" t="s">
        <v>29</v>
      </c>
      <c r="F2611" s="2">
        <v>60</v>
      </c>
      <c r="G2611" s="2" t="s">
        <v>6815</v>
      </c>
      <c r="H2611" s="2" t="s">
        <v>2045</v>
      </c>
      <c r="I2611" s="2" t="s">
        <v>38</v>
      </c>
      <c r="J2611" s="3">
        <v>44235</v>
      </c>
      <c r="K2611" s="2">
        <v>64</v>
      </c>
      <c r="L2611" s="2" t="s">
        <v>54</v>
      </c>
    </row>
    <row r="2612" spans="1:12" x14ac:dyDescent="0.3">
      <c r="A2612" s="2">
        <v>2601</v>
      </c>
      <c r="B2612" s="2" t="s">
        <v>5125</v>
      </c>
      <c r="C2612" s="2" t="s">
        <v>1175</v>
      </c>
      <c r="D2612" s="2" t="s">
        <v>28</v>
      </c>
      <c r="E2612" s="2" t="s">
        <v>29</v>
      </c>
      <c r="F2612" s="2">
        <v>30</v>
      </c>
      <c r="G2612" s="2" t="s">
        <v>6816</v>
      </c>
      <c r="H2612" s="2" t="s">
        <v>917</v>
      </c>
      <c r="I2612" s="2" t="s">
        <v>32</v>
      </c>
      <c r="J2612" s="3">
        <v>44551</v>
      </c>
      <c r="K2612" s="2">
        <v>7</v>
      </c>
      <c r="L2612" s="2" t="s">
        <v>159</v>
      </c>
    </row>
    <row r="2613" spans="1:12" x14ac:dyDescent="0.3">
      <c r="A2613" s="2">
        <v>2602</v>
      </c>
      <c r="B2613" s="2" t="s">
        <v>3716</v>
      </c>
      <c r="C2613" s="2" t="s">
        <v>6817</v>
      </c>
      <c r="D2613" s="2" t="s">
        <v>51</v>
      </c>
      <c r="E2613" s="2" t="s">
        <v>16</v>
      </c>
      <c r="F2613" s="2">
        <v>90</v>
      </c>
      <c r="G2613" s="2" t="s">
        <v>6818</v>
      </c>
      <c r="H2613" s="2" t="s">
        <v>2490</v>
      </c>
      <c r="I2613" s="2" t="s">
        <v>32</v>
      </c>
      <c r="J2613" s="3">
        <v>44345</v>
      </c>
      <c r="K2613" s="2">
        <v>4</v>
      </c>
      <c r="L2613" s="2" t="s">
        <v>33</v>
      </c>
    </row>
    <row r="2614" spans="1:12" x14ac:dyDescent="0.3">
      <c r="A2614" s="2">
        <v>2603</v>
      </c>
      <c r="B2614" s="2" t="s">
        <v>515</v>
      </c>
      <c r="C2614" s="2" t="s">
        <v>2561</v>
      </c>
      <c r="D2614" s="2" t="s">
        <v>51</v>
      </c>
      <c r="E2614" s="2" t="s">
        <v>16</v>
      </c>
      <c r="F2614" s="2">
        <v>60</v>
      </c>
      <c r="G2614" s="2" t="s">
        <v>6819</v>
      </c>
      <c r="H2614" s="2" t="s">
        <v>6820</v>
      </c>
      <c r="I2614" s="2" t="s">
        <v>294</v>
      </c>
      <c r="J2614" s="3">
        <v>43976</v>
      </c>
      <c r="K2614" s="2">
        <v>26</v>
      </c>
      <c r="L2614" s="2" t="s">
        <v>33</v>
      </c>
    </row>
    <row r="2615" spans="1:12" x14ac:dyDescent="0.3">
      <c r="A2615" s="2">
        <v>2604</v>
      </c>
      <c r="B2615" s="2" t="s">
        <v>3512</v>
      </c>
      <c r="C2615" s="2" t="s">
        <v>6821</v>
      </c>
      <c r="D2615" s="2" t="s">
        <v>15</v>
      </c>
      <c r="E2615" s="2" t="s">
        <v>16</v>
      </c>
      <c r="F2615" s="2">
        <v>90</v>
      </c>
      <c r="G2615" s="2" t="s">
        <v>6822</v>
      </c>
      <c r="H2615" s="2" t="s">
        <v>2717</v>
      </c>
      <c r="I2615" s="2" t="s">
        <v>1889</v>
      </c>
      <c r="J2615" s="3">
        <v>44538</v>
      </c>
      <c r="K2615" s="2">
        <v>54</v>
      </c>
      <c r="L2615" s="2" t="s">
        <v>101</v>
      </c>
    </row>
    <row r="2616" spans="1:12" x14ac:dyDescent="0.3">
      <c r="A2616" s="2">
        <v>2605</v>
      </c>
      <c r="B2616" s="2" t="s">
        <v>6823</v>
      </c>
      <c r="C2616" s="2" t="s">
        <v>6824</v>
      </c>
      <c r="D2616" s="2" t="s">
        <v>51</v>
      </c>
      <c r="E2616" s="2" t="s">
        <v>16</v>
      </c>
      <c r="F2616" s="2">
        <v>90</v>
      </c>
      <c r="G2616" s="2" t="s">
        <v>6825</v>
      </c>
      <c r="H2616" s="2" t="s">
        <v>6826</v>
      </c>
      <c r="I2616" s="2" t="s">
        <v>32</v>
      </c>
      <c r="J2616" s="3">
        <v>44794</v>
      </c>
      <c r="K2616" s="2">
        <v>41</v>
      </c>
      <c r="L2616" s="2" t="s">
        <v>70</v>
      </c>
    </row>
    <row r="2617" spans="1:12" x14ac:dyDescent="0.3">
      <c r="A2617" s="2">
        <v>2606</v>
      </c>
      <c r="B2617" s="2" t="s">
        <v>828</v>
      </c>
      <c r="C2617" s="2" t="s">
        <v>928</v>
      </c>
      <c r="D2617" s="2" t="s">
        <v>15</v>
      </c>
      <c r="E2617" s="2" t="s">
        <v>16</v>
      </c>
      <c r="F2617" s="2">
        <v>60</v>
      </c>
      <c r="G2617" s="2" t="s">
        <v>6827</v>
      </c>
      <c r="H2617" s="2" t="s">
        <v>224</v>
      </c>
      <c r="I2617" s="2" t="s">
        <v>124</v>
      </c>
      <c r="J2617" s="3">
        <v>44663</v>
      </c>
      <c r="K2617" s="2">
        <v>46</v>
      </c>
      <c r="L2617" s="2" t="s">
        <v>101</v>
      </c>
    </row>
    <row r="2618" spans="1:12" x14ac:dyDescent="0.3">
      <c r="A2618" s="2">
        <v>2607</v>
      </c>
      <c r="B2618" s="2" t="s">
        <v>3532</v>
      </c>
      <c r="C2618" s="2" t="s">
        <v>6828</v>
      </c>
      <c r="D2618" s="2" t="s">
        <v>28</v>
      </c>
      <c r="E2618" s="2" t="s">
        <v>29</v>
      </c>
      <c r="F2618" s="2">
        <v>90</v>
      </c>
      <c r="G2618" s="2" t="s">
        <v>6829</v>
      </c>
      <c r="H2618" s="2" t="s">
        <v>2354</v>
      </c>
      <c r="I2618" s="2" t="s">
        <v>178</v>
      </c>
      <c r="J2618" s="3">
        <v>44560</v>
      </c>
      <c r="K2618" s="2">
        <v>64</v>
      </c>
      <c r="L2618" s="2" t="s">
        <v>64</v>
      </c>
    </row>
    <row r="2619" spans="1:12" x14ac:dyDescent="0.3">
      <c r="A2619" s="2">
        <v>2608</v>
      </c>
      <c r="B2619" s="2" t="s">
        <v>4984</v>
      </c>
      <c r="C2619" s="2" t="s">
        <v>5850</v>
      </c>
      <c r="D2619" s="2" t="s">
        <v>28</v>
      </c>
      <c r="E2619" s="2" t="s">
        <v>29</v>
      </c>
      <c r="F2619" s="2">
        <v>60</v>
      </c>
      <c r="G2619" s="2" t="s">
        <v>6830</v>
      </c>
      <c r="H2619" s="2" t="s">
        <v>2498</v>
      </c>
      <c r="I2619" s="2" t="s">
        <v>913</v>
      </c>
      <c r="J2619" s="3">
        <v>44676</v>
      </c>
      <c r="K2619" s="2">
        <v>105</v>
      </c>
      <c r="L2619" s="2" t="s">
        <v>70</v>
      </c>
    </row>
    <row r="2620" spans="1:12" x14ac:dyDescent="0.3">
      <c r="A2620" s="2">
        <v>2609</v>
      </c>
      <c r="B2620" s="2" t="s">
        <v>3443</v>
      </c>
      <c r="C2620" s="2" t="s">
        <v>35</v>
      </c>
      <c r="D2620" s="2" t="s">
        <v>28</v>
      </c>
      <c r="E2620" s="2" t="s">
        <v>29</v>
      </c>
      <c r="F2620" s="2">
        <v>90</v>
      </c>
      <c r="G2620" s="2" t="s">
        <v>6831</v>
      </c>
      <c r="H2620" s="2" t="s">
        <v>1785</v>
      </c>
      <c r="I2620" s="2" t="s">
        <v>32</v>
      </c>
      <c r="J2620" s="3">
        <v>44748</v>
      </c>
      <c r="K2620" s="2">
        <v>68</v>
      </c>
      <c r="L2620" s="2" t="s">
        <v>45</v>
      </c>
    </row>
    <row r="2621" spans="1:12" x14ac:dyDescent="0.3">
      <c r="A2621" s="2">
        <v>2610</v>
      </c>
      <c r="B2621" s="2" t="s">
        <v>2750</v>
      </c>
      <c r="C2621" s="2" t="s">
        <v>4473</v>
      </c>
      <c r="D2621" s="2" t="s">
        <v>28</v>
      </c>
      <c r="E2621" s="2" t="s">
        <v>29</v>
      </c>
      <c r="F2621" s="2">
        <v>60</v>
      </c>
      <c r="G2621" s="2" t="s">
        <v>6832</v>
      </c>
      <c r="H2621" s="2" t="s">
        <v>2831</v>
      </c>
      <c r="I2621" s="2" t="s">
        <v>32</v>
      </c>
      <c r="J2621" s="3">
        <v>44293</v>
      </c>
      <c r="K2621" s="2">
        <v>73</v>
      </c>
      <c r="L2621" s="2" t="s">
        <v>20</v>
      </c>
    </row>
    <row r="2622" spans="1:12" x14ac:dyDescent="0.3">
      <c r="A2622" s="2">
        <v>2611</v>
      </c>
      <c r="B2622" s="2" t="s">
        <v>6833</v>
      </c>
      <c r="C2622" s="2" t="s">
        <v>3719</v>
      </c>
      <c r="D2622" s="2" t="s">
        <v>15</v>
      </c>
      <c r="E2622" s="2" t="s">
        <v>16</v>
      </c>
      <c r="F2622" s="2">
        <v>90</v>
      </c>
      <c r="G2622" s="2" t="s">
        <v>6832</v>
      </c>
      <c r="H2622" s="2" t="s">
        <v>1107</v>
      </c>
      <c r="I2622" s="2" t="s">
        <v>32</v>
      </c>
      <c r="J2622" s="3">
        <v>44098</v>
      </c>
      <c r="K2622" s="2">
        <v>44</v>
      </c>
      <c r="L2622" s="2" t="s">
        <v>159</v>
      </c>
    </row>
    <row r="2623" spans="1:12" x14ac:dyDescent="0.3">
      <c r="A2623" s="2">
        <v>2612</v>
      </c>
      <c r="B2623" s="2" t="s">
        <v>1312</v>
      </c>
      <c r="C2623" s="2" t="s">
        <v>4396</v>
      </c>
      <c r="D2623" s="2" t="s">
        <v>28</v>
      </c>
      <c r="E2623" s="2" t="s">
        <v>29</v>
      </c>
      <c r="F2623" s="2">
        <v>60</v>
      </c>
      <c r="G2623" s="2" t="s">
        <v>6834</v>
      </c>
      <c r="H2623" s="2" t="s">
        <v>4451</v>
      </c>
      <c r="I2623" s="2" t="s">
        <v>32</v>
      </c>
      <c r="J2623" s="3">
        <v>44554</v>
      </c>
      <c r="K2623" s="2">
        <v>14</v>
      </c>
      <c r="L2623" s="2" t="s">
        <v>54</v>
      </c>
    </row>
    <row r="2624" spans="1:12" x14ac:dyDescent="0.3">
      <c r="A2624" s="2">
        <v>2613</v>
      </c>
      <c r="B2624" s="2" t="s">
        <v>6835</v>
      </c>
      <c r="C2624" s="2" t="s">
        <v>6247</v>
      </c>
      <c r="D2624" s="2" t="s">
        <v>28</v>
      </c>
      <c r="E2624" s="2" t="s">
        <v>29</v>
      </c>
      <c r="F2624" s="2">
        <v>60</v>
      </c>
      <c r="G2624" s="2" t="s">
        <v>6836</v>
      </c>
      <c r="H2624" s="2" t="s">
        <v>746</v>
      </c>
      <c r="I2624" s="2" t="s">
        <v>32</v>
      </c>
      <c r="J2624" s="3">
        <v>44367</v>
      </c>
      <c r="K2624" s="2">
        <v>45</v>
      </c>
      <c r="L2624" s="2" t="s">
        <v>80</v>
      </c>
    </row>
    <row r="2625" spans="1:12" x14ac:dyDescent="0.3">
      <c r="A2625" s="2">
        <v>2614</v>
      </c>
      <c r="B2625" s="2" t="s">
        <v>6837</v>
      </c>
      <c r="C2625" s="2" t="s">
        <v>3808</v>
      </c>
      <c r="D2625" s="2" t="s">
        <v>28</v>
      </c>
      <c r="E2625" s="2" t="s">
        <v>29</v>
      </c>
      <c r="F2625" s="2">
        <v>90</v>
      </c>
      <c r="G2625" s="2" t="s">
        <v>6838</v>
      </c>
      <c r="H2625" s="2" t="s">
        <v>6839</v>
      </c>
      <c r="I2625" s="2" t="s">
        <v>187</v>
      </c>
      <c r="J2625" s="3">
        <v>44885</v>
      </c>
      <c r="K2625" s="2">
        <v>18</v>
      </c>
      <c r="L2625" s="2" t="s">
        <v>39</v>
      </c>
    </row>
    <row r="2626" spans="1:12" x14ac:dyDescent="0.3">
      <c r="A2626" s="2">
        <v>2615</v>
      </c>
      <c r="B2626" s="2" t="s">
        <v>6532</v>
      </c>
      <c r="C2626" s="2" t="s">
        <v>4960</v>
      </c>
      <c r="D2626" s="2" t="s">
        <v>28</v>
      </c>
      <c r="E2626" s="2" t="s">
        <v>29</v>
      </c>
      <c r="F2626" s="2">
        <v>30</v>
      </c>
      <c r="G2626" s="2" t="s">
        <v>6840</v>
      </c>
      <c r="H2626" s="2" t="s">
        <v>5794</v>
      </c>
      <c r="I2626" s="2" t="s">
        <v>294</v>
      </c>
      <c r="J2626" s="3">
        <v>44767</v>
      </c>
      <c r="K2626" s="2">
        <v>83</v>
      </c>
      <c r="L2626" s="2" t="s">
        <v>39</v>
      </c>
    </row>
    <row r="2627" spans="1:12" x14ac:dyDescent="0.3">
      <c r="A2627" s="2">
        <v>2616</v>
      </c>
      <c r="B2627" s="2" t="s">
        <v>6841</v>
      </c>
      <c r="C2627" s="2" t="s">
        <v>6651</v>
      </c>
      <c r="D2627" s="2" t="s">
        <v>28</v>
      </c>
      <c r="E2627" s="2" t="s">
        <v>29</v>
      </c>
      <c r="F2627" s="2">
        <v>30</v>
      </c>
      <c r="G2627" s="2" t="s">
        <v>6842</v>
      </c>
      <c r="H2627" s="2" t="s">
        <v>266</v>
      </c>
      <c r="I2627" s="2" t="s">
        <v>32</v>
      </c>
      <c r="J2627" s="3">
        <v>44444</v>
      </c>
      <c r="K2627" s="2">
        <v>41</v>
      </c>
      <c r="L2627" s="2" t="s">
        <v>159</v>
      </c>
    </row>
    <row r="2628" spans="1:12" x14ac:dyDescent="0.3">
      <c r="A2628" s="2">
        <v>2617</v>
      </c>
      <c r="B2628" s="2" t="s">
        <v>6843</v>
      </c>
      <c r="C2628" s="2" t="s">
        <v>3956</v>
      </c>
      <c r="D2628" s="2" t="s">
        <v>51</v>
      </c>
      <c r="E2628" s="2" t="s">
        <v>16</v>
      </c>
      <c r="F2628" s="2">
        <v>90</v>
      </c>
      <c r="G2628" s="2" t="s">
        <v>6844</v>
      </c>
      <c r="H2628" s="2" t="s">
        <v>2667</v>
      </c>
      <c r="I2628" s="2" t="s">
        <v>187</v>
      </c>
      <c r="J2628" s="3">
        <v>44468</v>
      </c>
      <c r="K2628" s="2">
        <v>73</v>
      </c>
      <c r="L2628" s="2" t="s">
        <v>80</v>
      </c>
    </row>
    <row r="2629" spans="1:12" x14ac:dyDescent="0.3">
      <c r="A2629" s="2">
        <v>2618</v>
      </c>
      <c r="B2629" s="2" t="s">
        <v>6845</v>
      </c>
      <c r="C2629" s="2" t="s">
        <v>1459</v>
      </c>
      <c r="D2629" s="2" t="s">
        <v>15</v>
      </c>
      <c r="E2629" s="2" t="s">
        <v>16</v>
      </c>
      <c r="F2629" s="2">
        <v>90</v>
      </c>
      <c r="G2629" s="2" t="s">
        <v>6846</v>
      </c>
      <c r="H2629" s="2" t="s">
        <v>685</v>
      </c>
      <c r="I2629" s="2" t="s">
        <v>686</v>
      </c>
      <c r="J2629" s="3">
        <v>44024</v>
      </c>
      <c r="K2629" s="2">
        <v>77</v>
      </c>
      <c r="L2629" s="2" t="s">
        <v>64</v>
      </c>
    </row>
    <row r="2630" spans="1:12" x14ac:dyDescent="0.3">
      <c r="A2630" s="2">
        <v>2619</v>
      </c>
      <c r="B2630" s="2" t="s">
        <v>6847</v>
      </c>
      <c r="C2630" s="2" t="s">
        <v>1428</v>
      </c>
      <c r="D2630" s="2" t="s">
        <v>51</v>
      </c>
      <c r="E2630" s="2" t="s">
        <v>16</v>
      </c>
      <c r="F2630" s="2">
        <v>30</v>
      </c>
      <c r="G2630" s="2" t="s">
        <v>6848</v>
      </c>
      <c r="H2630" s="2" t="s">
        <v>6849</v>
      </c>
      <c r="I2630" s="2" t="s">
        <v>32</v>
      </c>
      <c r="J2630" s="3">
        <v>44823</v>
      </c>
      <c r="K2630" s="2">
        <v>27</v>
      </c>
      <c r="L2630" s="2" t="s">
        <v>45</v>
      </c>
    </row>
    <row r="2631" spans="1:12" x14ac:dyDescent="0.3">
      <c r="A2631" s="2">
        <v>2620</v>
      </c>
      <c r="B2631" s="2" t="s">
        <v>127</v>
      </c>
      <c r="C2631" s="2" t="s">
        <v>3712</v>
      </c>
      <c r="D2631" s="2" t="s">
        <v>28</v>
      </c>
      <c r="E2631" s="2" t="s">
        <v>29</v>
      </c>
      <c r="F2631" s="2">
        <v>60</v>
      </c>
      <c r="G2631" s="2" t="s">
        <v>6850</v>
      </c>
      <c r="H2631" s="2" t="s">
        <v>3713</v>
      </c>
      <c r="I2631" s="2" t="s">
        <v>32</v>
      </c>
      <c r="J2631" s="3">
        <v>43965</v>
      </c>
      <c r="K2631" s="2">
        <v>55</v>
      </c>
      <c r="L2631" s="2" t="s">
        <v>64</v>
      </c>
    </row>
    <row r="2632" spans="1:12" x14ac:dyDescent="0.3">
      <c r="A2632" s="2">
        <v>2621</v>
      </c>
      <c r="B2632" s="2" t="s">
        <v>6492</v>
      </c>
      <c r="C2632" s="2" t="s">
        <v>4420</v>
      </c>
      <c r="D2632" s="2" t="s">
        <v>28</v>
      </c>
      <c r="E2632" s="2" t="s">
        <v>29</v>
      </c>
      <c r="F2632" s="2">
        <v>90</v>
      </c>
      <c r="G2632" s="2" t="s">
        <v>6851</v>
      </c>
      <c r="H2632" s="2" t="s">
        <v>4849</v>
      </c>
      <c r="I2632" s="2" t="s">
        <v>294</v>
      </c>
      <c r="J2632" s="3">
        <v>43933</v>
      </c>
      <c r="K2632" s="2">
        <v>35</v>
      </c>
      <c r="L2632" s="2" t="s">
        <v>33</v>
      </c>
    </row>
    <row r="2633" spans="1:12" x14ac:dyDescent="0.3">
      <c r="A2633" s="2">
        <v>2622</v>
      </c>
      <c r="B2633" s="2" t="s">
        <v>3366</v>
      </c>
      <c r="C2633" s="2" t="s">
        <v>6852</v>
      </c>
      <c r="D2633" s="2" t="s">
        <v>28</v>
      </c>
      <c r="E2633" s="2" t="s">
        <v>29</v>
      </c>
      <c r="F2633" s="2">
        <v>30</v>
      </c>
      <c r="G2633" s="2" t="s">
        <v>6853</v>
      </c>
      <c r="H2633" s="2" t="s">
        <v>5803</v>
      </c>
      <c r="I2633" s="2" t="s">
        <v>294</v>
      </c>
      <c r="J2633" s="3">
        <v>43969</v>
      </c>
      <c r="K2633" s="2">
        <v>33</v>
      </c>
      <c r="L2633" s="2" t="s">
        <v>64</v>
      </c>
    </row>
    <row r="2634" spans="1:12" x14ac:dyDescent="0.3">
      <c r="A2634" s="2">
        <v>2623</v>
      </c>
      <c r="B2634" s="2" t="s">
        <v>276</v>
      </c>
      <c r="C2634" s="2" t="s">
        <v>6190</v>
      </c>
      <c r="D2634" s="2" t="s">
        <v>51</v>
      </c>
      <c r="E2634" s="2" t="s">
        <v>16</v>
      </c>
      <c r="F2634" s="2">
        <v>30</v>
      </c>
      <c r="G2634" s="2" t="s">
        <v>6854</v>
      </c>
      <c r="H2634" s="2" t="s">
        <v>4277</v>
      </c>
      <c r="I2634" s="2" t="s">
        <v>32</v>
      </c>
      <c r="J2634" s="3">
        <v>44386</v>
      </c>
      <c r="K2634" s="2">
        <v>58</v>
      </c>
      <c r="L2634" s="2" t="s">
        <v>70</v>
      </c>
    </row>
    <row r="2635" spans="1:12" x14ac:dyDescent="0.3">
      <c r="A2635" s="2">
        <v>2624</v>
      </c>
      <c r="B2635" s="2" t="s">
        <v>1316</v>
      </c>
      <c r="C2635" s="2" t="s">
        <v>1278</v>
      </c>
      <c r="D2635" s="2" t="s">
        <v>28</v>
      </c>
      <c r="E2635" s="2" t="s">
        <v>29</v>
      </c>
      <c r="F2635" s="2">
        <v>60</v>
      </c>
      <c r="G2635" s="2" t="s">
        <v>6855</v>
      </c>
      <c r="H2635" s="2" t="s">
        <v>389</v>
      </c>
      <c r="I2635" s="2" t="s">
        <v>32</v>
      </c>
      <c r="J2635" s="3">
        <v>44778</v>
      </c>
      <c r="K2635" s="2">
        <v>14</v>
      </c>
      <c r="L2635" s="2" t="s">
        <v>80</v>
      </c>
    </row>
    <row r="2636" spans="1:12" x14ac:dyDescent="0.3">
      <c r="A2636" s="2">
        <v>2625</v>
      </c>
      <c r="B2636" s="2" t="s">
        <v>5659</v>
      </c>
      <c r="C2636" s="2" t="s">
        <v>2448</v>
      </c>
      <c r="D2636" s="2" t="s">
        <v>41</v>
      </c>
      <c r="E2636" s="2" t="s">
        <v>16</v>
      </c>
      <c r="F2636" s="2">
        <v>60</v>
      </c>
      <c r="G2636" s="2" t="s">
        <v>6856</v>
      </c>
      <c r="H2636" s="2" t="s">
        <v>1956</v>
      </c>
      <c r="I2636" s="2" t="s">
        <v>32</v>
      </c>
      <c r="J2636" s="3">
        <v>44915</v>
      </c>
      <c r="K2636" s="2">
        <v>72</v>
      </c>
      <c r="L2636" s="2" t="s">
        <v>45</v>
      </c>
    </row>
    <row r="2637" spans="1:12" x14ac:dyDescent="0.3">
      <c r="A2637" s="2">
        <v>2626</v>
      </c>
      <c r="B2637" s="2" t="s">
        <v>523</v>
      </c>
      <c r="C2637" s="2" t="s">
        <v>1746</v>
      </c>
      <c r="D2637" s="2" t="s">
        <v>51</v>
      </c>
      <c r="E2637" s="2" t="s">
        <v>16</v>
      </c>
      <c r="F2637" s="2">
        <v>30</v>
      </c>
      <c r="G2637" s="2" t="s">
        <v>6857</v>
      </c>
      <c r="H2637" s="2" t="s">
        <v>641</v>
      </c>
      <c r="I2637" s="2" t="s">
        <v>294</v>
      </c>
      <c r="J2637" s="3">
        <v>44435</v>
      </c>
      <c r="K2637" s="2">
        <v>81</v>
      </c>
      <c r="L2637" s="2" t="s">
        <v>39</v>
      </c>
    </row>
    <row r="2638" spans="1:12" x14ac:dyDescent="0.3">
      <c r="A2638" s="2">
        <v>2627</v>
      </c>
      <c r="B2638" s="2" t="s">
        <v>6858</v>
      </c>
      <c r="C2638" s="2" t="s">
        <v>1392</v>
      </c>
      <c r="D2638" s="2" t="s">
        <v>28</v>
      </c>
      <c r="E2638" s="2" t="s">
        <v>29</v>
      </c>
      <c r="F2638" s="2">
        <v>90</v>
      </c>
      <c r="G2638" s="2" t="s">
        <v>6859</v>
      </c>
      <c r="H2638" s="2" t="s">
        <v>2890</v>
      </c>
      <c r="I2638" s="2" t="s">
        <v>32</v>
      </c>
      <c r="J2638" s="3">
        <v>44718</v>
      </c>
      <c r="K2638" s="2">
        <v>27</v>
      </c>
      <c r="L2638" s="2" t="s">
        <v>80</v>
      </c>
    </row>
    <row r="2639" spans="1:12" x14ac:dyDescent="0.3">
      <c r="A2639" s="2">
        <v>2628</v>
      </c>
      <c r="B2639" s="2" t="s">
        <v>6860</v>
      </c>
      <c r="C2639" s="2" t="s">
        <v>2795</v>
      </c>
      <c r="D2639" s="2" t="s">
        <v>15</v>
      </c>
      <c r="E2639" s="2" t="s">
        <v>16</v>
      </c>
      <c r="F2639" s="2">
        <v>90</v>
      </c>
      <c r="G2639" s="2" t="s">
        <v>6861</v>
      </c>
      <c r="H2639" s="2" t="s">
        <v>5736</v>
      </c>
      <c r="I2639" s="2" t="s">
        <v>95</v>
      </c>
      <c r="J2639" s="3">
        <v>44803</v>
      </c>
      <c r="K2639" s="2">
        <v>76</v>
      </c>
      <c r="L2639" s="2" t="s">
        <v>39</v>
      </c>
    </row>
    <row r="2640" spans="1:12" x14ac:dyDescent="0.3">
      <c r="A2640" s="2">
        <v>2629</v>
      </c>
      <c r="B2640" s="2" t="s">
        <v>6862</v>
      </c>
      <c r="C2640" s="2" t="s">
        <v>2928</v>
      </c>
      <c r="D2640" s="2" t="s">
        <v>51</v>
      </c>
      <c r="E2640" s="2" t="s">
        <v>16</v>
      </c>
      <c r="F2640" s="2">
        <v>30</v>
      </c>
      <c r="G2640" s="2" t="s">
        <v>6863</v>
      </c>
      <c r="H2640" s="2" t="s">
        <v>881</v>
      </c>
      <c r="I2640" s="2" t="s">
        <v>178</v>
      </c>
      <c r="J2640" s="3">
        <v>44509</v>
      </c>
      <c r="K2640" s="2">
        <v>24</v>
      </c>
      <c r="L2640" s="2" t="s">
        <v>54</v>
      </c>
    </row>
    <row r="2641" spans="1:12" x14ac:dyDescent="0.3">
      <c r="A2641" s="2">
        <v>2630</v>
      </c>
      <c r="B2641" s="2" t="s">
        <v>6864</v>
      </c>
      <c r="C2641" s="2" t="s">
        <v>6865</v>
      </c>
      <c r="D2641" s="2" t="s">
        <v>51</v>
      </c>
      <c r="E2641" s="2" t="s">
        <v>16</v>
      </c>
      <c r="F2641" s="2">
        <v>60</v>
      </c>
      <c r="G2641" s="2" t="s">
        <v>6863</v>
      </c>
      <c r="H2641" s="2" t="s">
        <v>6050</v>
      </c>
      <c r="I2641" s="2" t="s">
        <v>1199</v>
      </c>
      <c r="J2641" s="3">
        <v>44856</v>
      </c>
      <c r="K2641" s="2">
        <v>53</v>
      </c>
      <c r="L2641" s="2" t="s">
        <v>33</v>
      </c>
    </row>
    <row r="2642" spans="1:12" x14ac:dyDescent="0.3">
      <c r="A2642" s="2">
        <v>2631</v>
      </c>
      <c r="B2642" s="2" t="s">
        <v>3902</v>
      </c>
      <c r="C2642" s="2" t="s">
        <v>14</v>
      </c>
      <c r="D2642" s="2" t="s">
        <v>28</v>
      </c>
      <c r="E2642" s="2" t="s">
        <v>29</v>
      </c>
      <c r="F2642" s="2">
        <v>30</v>
      </c>
      <c r="G2642" s="2" t="s">
        <v>6866</v>
      </c>
      <c r="H2642" s="2" t="s">
        <v>1494</v>
      </c>
      <c r="I2642" s="2" t="s">
        <v>32</v>
      </c>
      <c r="J2642" s="3">
        <v>44248</v>
      </c>
      <c r="K2642" s="2">
        <v>95</v>
      </c>
      <c r="L2642" s="2" t="s">
        <v>33</v>
      </c>
    </row>
    <row r="2643" spans="1:12" x14ac:dyDescent="0.3">
      <c r="A2643" s="2">
        <v>2632</v>
      </c>
      <c r="B2643" s="2" t="s">
        <v>5856</v>
      </c>
      <c r="C2643" s="2" t="s">
        <v>3938</v>
      </c>
      <c r="D2643" s="2" t="s">
        <v>28</v>
      </c>
      <c r="E2643" s="2" t="s">
        <v>29</v>
      </c>
      <c r="F2643" s="2">
        <v>90</v>
      </c>
      <c r="G2643" s="2" t="s">
        <v>6867</v>
      </c>
      <c r="H2643" s="2" t="s">
        <v>6659</v>
      </c>
      <c r="I2643" s="2" t="s">
        <v>208</v>
      </c>
      <c r="J2643" s="3">
        <v>44064</v>
      </c>
      <c r="K2643" s="2">
        <v>49</v>
      </c>
      <c r="L2643" s="2" t="s">
        <v>64</v>
      </c>
    </row>
    <row r="2644" spans="1:12" x14ac:dyDescent="0.3">
      <c r="A2644" s="2">
        <v>2633</v>
      </c>
      <c r="B2644" s="2" t="s">
        <v>5960</v>
      </c>
      <c r="C2644" s="2" t="s">
        <v>1721</v>
      </c>
      <c r="D2644" s="2" t="s">
        <v>28</v>
      </c>
      <c r="E2644" s="2" t="s">
        <v>29</v>
      </c>
      <c r="F2644" s="2">
        <v>90</v>
      </c>
      <c r="G2644" s="2" t="s">
        <v>6868</v>
      </c>
      <c r="H2644" s="2" t="s">
        <v>2851</v>
      </c>
      <c r="I2644" s="2" t="s">
        <v>32</v>
      </c>
      <c r="J2644" s="3">
        <v>44099</v>
      </c>
      <c r="K2644" s="2">
        <v>37</v>
      </c>
      <c r="L2644" s="2" t="s">
        <v>20</v>
      </c>
    </row>
    <row r="2645" spans="1:12" x14ac:dyDescent="0.3">
      <c r="A2645" s="2">
        <v>2634</v>
      </c>
      <c r="B2645" s="2" t="s">
        <v>6869</v>
      </c>
      <c r="C2645" s="2" t="s">
        <v>5645</v>
      </c>
      <c r="D2645" s="2" t="s">
        <v>51</v>
      </c>
      <c r="E2645" s="2" t="s">
        <v>16</v>
      </c>
      <c r="F2645" s="2">
        <v>60</v>
      </c>
      <c r="G2645" s="2" t="s">
        <v>6868</v>
      </c>
      <c r="H2645" s="2" t="s">
        <v>432</v>
      </c>
      <c r="I2645" s="2" t="s">
        <v>32</v>
      </c>
      <c r="J2645" s="3">
        <v>44124</v>
      </c>
      <c r="K2645" s="2">
        <v>13</v>
      </c>
      <c r="L2645" s="2" t="s">
        <v>33</v>
      </c>
    </row>
    <row r="2646" spans="1:12" x14ac:dyDescent="0.3">
      <c r="A2646" s="2">
        <v>2635</v>
      </c>
      <c r="B2646" s="2" t="s">
        <v>6870</v>
      </c>
      <c r="C2646" s="2" t="s">
        <v>1717</v>
      </c>
      <c r="D2646" s="2" t="s">
        <v>15</v>
      </c>
      <c r="E2646" s="2" t="s">
        <v>16</v>
      </c>
      <c r="F2646" s="2">
        <v>30</v>
      </c>
      <c r="G2646" s="2" t="s">
        <v>6871</v>
      </c>
      <c r="H2646" s="2" t="s">
        <v>1598</v>
      </c>
      <c r="I2646" s="2" t="s">
        <v>32</v>
      </c>
      <c r="J2646" s="3">
        <v>44786</v>
      </c>
      <c r="K2646" s="2">
        <v>71</v>
      </c>
      <c r="L2646" s="2" t="s">
        <v>54</v>
      </c>
    </row>
    <row r="2647" spans="1:12" x14ac:dyDescent="0.3">
      <c r="A2647" s="2">
        <v>2636</v>
      </c>
      <c r="B2647" s="2" t="s">
        <v>580</v>
      </c>
      <c r="C2647" s="2" t="s">
        <v>5138</v>
      </c>
      <c r="D2647" s="2" t="s">
        <v>28</v>
      </c>
      <c r="E2647" s="2" t="s">
        <v>29</v>
      </c>
      <c r="F2647" s="2">
        <v>30</v>
      </c>
      <c r="G2647" s="2" t="s">
        <v>6872</v>
      </c>
      <c r="H2647" s="2" t="s">
        <v>3248</v>
      </c>
      <c r="I2647" s="2" t="s">
        <v>38</v>
      </c>
      <c r="J2647" s="3">
        <v>44067</v>
      </c>
      <c r="K2647" s="2">
        <v>75</v>
      </c>
      <c r="L2647" s="2" t="s">
        <v>33</v>
      </c>
    </row>
    <row r="2648" spans="1:12" x14ac:dyDescent="0.3">
      <c r="A2648" s="2">
        <v>2637</v>
      </c>
      <c r="B2648" s="2" t="s">
        <v>714</v>
      </c>
      <c r="C2648" s="2" t="s">
        <v>929</v>
      </c>
      <c r="D2648" s="2" t="s">
        <v>28</v>
      </c>
      <c r="E2648" s="2" t="s">
        <v>29</v>
      </c>
      <c r="F2648" s="2">
        <v>60</v>
      </c>
      <c r="G2648" s="2" t="s">
        <v>6873</v>
      </c>
      <c r="H2648" s="2" t="s">
        <v>199</v>
      </c>
      <c r="I2648" s="2" t="s">
        <v>32</v>
      </c>
      <c r="J2648" s="3">
        <v>44801</v>
      </c>
      <c r="K2648" s="2">
        <v>7</v>
      </c>
      <c r="L2648" s="2" t="s">
        <v>64</v>
      </c>
    </row>
    <row r="2649" spans="1:12" x14ac:dyDescent="0.3">
      <c r="A2649" s="2">
        <v>2638</v>
      </c>
      <c r="B2649" s="2" t="s">
        <v>6874</v>
      </c>
      <c r="C2649" s="2" t="s">
        <v>1121</v>
      </c>
      <c r="D2649" s="2" t="s">
        <v>15</v>
      </c>
      <c r="E2649" s="2" t="s">
        <v>16</v>
      </c>
      <c r="F2649" s="2">
        <v>60</v>
      </c>
      <c r="G2649" s="2" t="s">
        <v>6875</v>
      </c>
      <c r="H2649" s="2" t="s">
        <v>1306</v>
      </c>
      <c r="I2649" s="2" t="s">
        <v>32</v>
      </c>
      <c r="J2649" s="3">
        <v>43984</v>
      </c>
      <c r="K2649" s="2">
        <v>57</v>
      </c>
      <c r="L2649" s="2" t="s">
        <v>20</v>
      </c>
    </row>
    <row r="2650" spans="1:12" x14ac:dyDescent="0.3">
      <c r="A2650" s="2">
        <v>2639</v>
      </c>
      <c r="B2650" s="2" t="s">
        <v>4241</v>
      </c>
      <c r="C2650" s="2" t="s">
        <v>808</v>
      </c>
      <c r="D2650" s="2" t="s">
        <v>51</v>
      </c>
      <c r="E2650" s="2" t="s">
        <v>16</v>
      </c>
      <c r="F2650" s="2">
        <v>60</v>
      </c>
      <c r="G2650" s="2" t="s">
        <v>6876</v>
      </c>
      <c r="H2650" s="2" t="s">
        <v>5025</v>
      </c>
      <c r="I2650" s="2" t="s">
        <v>32</v>
      </c>
      <c r="J2650" s="3">
        <v>44277</v>
      </c>
      <c r="K2650" s="2">
        <v>21</v>
      </c>
      <c r="L2650" s="2" t="s">
        <v>70</v>
      </c>
    </row>
    <row r="2651" spans="1:12" x14ac:dyDescent="0.3">
      <c r="A2651" s="2">
        <v>2640</v>
      </c>
      <c r="B2651" s="2" t="s">
        <v>6877</v>
      </c>
      <c r="C2651" s="2" t="s">
        <v>762</v>
      </c>
      <c r="D2651" s="2" t="s">
        <v>15</v>
      </c>
      <c r="E2651" s="2" t="s">
        <v>16</v>
      </c>
      <c r="F2651" s="2">
        <v>90</v>
      </c>
      <c r="G2651" s="2" t="s">
        <v>6878</v>
      </c>
      <c r="H2651" s="2" t="s">
        <v>1598</v>
      </c>
      <c r="I2651" s="2" t="s">
        <v>32</v>
      </c>
      <c r="J2651" s="3">
        <v>44496</v>
      </c>
      <c r="K2651" s="2">
        <v>2</v>
      </c>
      <c r="L2651" s="2" t="s">
        <v>33</v>
      </c>
    </row>
    <row r="2652" spans="1:12" x14ac:dyDescent="0.3">
      <c r="A2652" s="2">
        <v>2641</v>
      </c>
      <c r="B2652" s="2" t="s">
        <v>1816</v>
      </c>
      <c r="C2652" s="2" t="s">
        <v>1222</v>
      </c>
      <c r="D2652" s="2" t="s">
        <v>51</v>
      </c>
      <c r="E2652" s="2" t="s">
        <v>16</v>
      </c>
      <c r="F2652" s="2">
        <v>90</v>
      </c>
      <c r="G2652" s="2" t="s">
        <v>6879</v>
      </c>
      <c r="H2652" s="2" t="s">
        <v>6880</v>
      </c>
      <c r="I2652" s="2" t="s">
        <v>32</v>
      </c>
      <c r="J2652" s="3">
        <v>44087</v>
      </c>
      <c r="K2652" s="2">
        <v>69</v>
      </c>
      <c r="L2652" s="2" t="s">
        <v>39</v>
      </c>
    </row>
    <row r="2653" spans="1:12" x14ac:dyDescent="0.3">
      <c r="A2653" s="2">
        <v>2642</v>
      </c>
      <c r="B2653" s="2" t="s">
        <v>5015</v>
      </c>
      <c r="C2653" s="2" t="s">
        <v>61</v>
      </c>
      <c r="D2653" s="2" t="s">
        <v>28</v>
      </c>
      <c r="E2653" s="2" t="s">
        <v>29</v>
      </c>
      <c r="F2653" s="2">
        <v>30</v>
      </c>
      <c r="G2653" s="2" t="s">
        <v>6881</v>
      </c>
      <c r="H2653" s="2" t="s">
        <v>2069</v>
      </c>
      <c r="I2653" s="2" t="s">
        <v>1035</v>
      </c>
      <c r="J2653" s="3">
        <v>44050</v>
      </c>
      <c r="K2653" s="2">
        <v>62</v>
      </c>
      <c r="L2653" s="2" t="s">
        <v>45</v>
      </c>
    </row>
    <row r="2654" spans="1:12" x14ac:dyDescent="0.3">
      <c r="A2654" s="2">
        <v>2643</v>
      </c>
      <c r="B2654" s="2" t="s">
        <v>6882</v>
      </c>
      <c r="C2654" s="2" t="s">
        <v>1101</v>
      </c>
      <c r="D2654" s="2" t="s">
        <v>28</v>
      </c>
      <c r="E2654" s="2" t="s">
        <v>29</v>
      </c>
      <c r="F2654" s="2">
        <v>90</v>
      </c>
      <c r="G2654" s="2" t="s">
        <v>6883</v>
      </c>
      <c r="H2654" s="2" t="s">
        <v>738</v>
      </c>
      <c r="I2654" s="2" t="s">
        <v>38</v>
      </c>
      <c r="J2654" s="3">
        <v>44673</v>
      </c>
      <c r="K2654" s="2">
        <v>96</v>
      </c>
      <c r="L2654" s="2" t="s">
        <v>54</v>
      </c>
    </row>
    <row r="2655" spans="1:12" x14ac:dyDescent="0.3">
      <c r="A2655" s="2">
        <v>2644</v>
      </c>
      <c r="B2655" s="2" t="s">
        <v>6884</v>
      </c>
      <c r="C2655" s="2" t="s">
        <v>5215</v>
      </c>
      <c r="D2655" s="2" t="s">
        <v>51</v>
      </c>
      <c r="E2655" s="2" t="s">
        <v>16</v>
      </c>
      <c r="F2655" s="2">
        <v>30</v>
      </c>
      <c r="G2655" s="2" t="s">
        <v>6885</v>
      </c>
      <c r="H2655" s="2" t="s">
        <v>3558</v>
      </c>
      <c r="I2655" s="2" t="s">
        <v>32</v>
      </c>
      <c r="J2655" s="3">
        <v>44119</v>
      </c>
      <c r="K2655" s="2">
        <v>7</v>
      </c>
      <c r="L2655" s="2" t="s">
        <v>101</v>
      </c>
    </row>
    <row r="2656" spans="1:12" x14ac:dyDescent="0.3">
      <c r="A2656" s="2">
        <v>2645</v>
      </c>
      <c r="B2656" s="2" t="s">
        <v>471</v>
      </c>
      <c r="C2656" s="2" t="s">
        <v>1756</v>
      </c>
      <c r="D2656" s="2" t="s">
        <v>28</v>
      </c>
      <c r="E2656" s="2" t="s">
        <v>29</v>
      </c>
      <c r="F2656" s="2">
        <v>60</v>
      </c>
      <c r="G2656" s="2" t="s">
        <v>6886</v>
      </c>
      <c r="H2656" s="2" t="s">
        <v>4203</v>
      </c>
      <c r="I2656" s="2" t="s">
        <v>208</v>
      </c>
      <c r="J2656" s="3">
        <v>44680</v>
      </c>
      <c r="K2656" s="2">
        <v>55</v>
      </c>
      <c r="L2656" s="2" t="s">
        <v>70</v>
      </c>
    </row>
    <row r="2657" spans="1:12" x14ac:dyDescent="0.3">
      <c r="A2657" s="2">
        <v>2646</v>
      </c>
      <c r="B2657" s="2" t="s">
        <v>5607</v>
      </c>
      <c r="C2657" s="2" t="s">
        <v>653</v>
      </c>
      <c r="D2657" s="2" t="s">
        <v>15</v>
      </c>
      <c r="E2657" s="2" t="s">
        <v>16</v>
      </c>
      <c r="F2657" s="2">
        <v>60</v>
      </c>
      <c r="G2657" s="2" t="s">
        <v>6887</v>
      </c>
      <c r="H2657" s="2" t="s">
        <v>1911</v>
      </c>
      <c r="I2657" s="2" t="s">
        <v>32</v>
      </c>
      <c r="J2657" s="3">
        <v>44818</v>
      </c>
      <c r="K2657" s="2">
        <v>9</v>
      </c>
      <c r="L2657" s="2" t="s">
        <v>20</v>
      </c>
    </row>
    <row r="2658" spans="1:12" x14ac:dyDescent="0.3">
      <c r="A2658" s="2">
        <v>2647</v>
      </c>
      <c r="B2658" s="2" t="s">
        <v>6075</v>
      </c>
      <c r="C2658" s="2" t="s">
        <v>6888</v>
      </c>
      <c r="D2658" s="2" t="s">
        <v>28</v>
      </c>
      <c r="E2658" s="2" t="s">
        <v>29</v>
      </c>
      <c r="F2658" s="2">
        <v>90</v>
      </c>
      <c r="G2658" s="2" t="s">
        <v>4811</v>
      </c>
      <c r="H2658" s="2" t="s">
        <v>1276</v>
      </c>
      <c r="I2658" s="2" t="s">
        <v>32</v>
      </c>
      <c r="J2658" s="3">
        <v>44663</v>
      </c>
      <c r="K2658" s="2">
        <v>56</v>
      </c>
      <c r="L2658" s="2" t="s">
        <v>20</v>
      </c>
    </row>
    <row r="2659" spans="1:12" x14ac:dyDescent="0.3">
      <c r="A2659" s="2">
        <v>2648</v>
      </c>
      <c r="B2659" s="2" t="s">
        <v>6889</v>
      </c>
      <c r="C2659" s="2" t="s">
        <v>6890</v>
      </c>
      <c r="D2659" s="2" t="s">
        <v>51</v>
      </c>
      <c r="E2659" s="2" t="s">
        <v>16</v>
      </c>
      <c r="F2659" s="2">
        <v>90</v>
      </c>
      <c r="G2659" s="2" t="s">
        <v>6891</v>
      </c>
      <c r="H2659" s="2" t="s">
        <v>2265</v>
      </c>
      <c r="I2659" s="2" t="s">
        <v>1083</v>
      </c>
      <c r="J2659" s="3">
        <v>44446</v>
      </c>
      <c r="K2659" s="2">
        <v>6</v>
      </c>
      <c r="L2659" s="2" t="s">
        <v>64</v>
      </c>
    </row>
    <row r="2660" spans="1:12" x14ac:dyDescent="0.3">
      <c r="A2660" s="2">
        <v>2649</v>
      </c>
      <c r="B2660" s="2" t="s">
        <v>6892</v>
      </c>
      <c r="C2660" s="2" t="s">
        <v>4047</v>
      </c>
      <c r="D2660" s="2" t="s">
        <v>15</v>
      </c>
      <c r="E2660" s="2" t="s">
        <v>16</v>
      </c>
      <c r="F2660" s="2">
        <v>60</v>
      </c>
      <c r="G2660" s="2" t="s">
        <v>6893</v>
      </c>
      <c r="H2660" s="2" t="s">
        <v>615</v>
      </c>
      <c r="I2660" s="2" t="s">
        <v>32</v>
      </c>
      <c r="J2660" s="3">
        <v>44259</v>
      </c>
      <c r="K2660" s="2">
        <v>8</v>
      </c>
      <c r="L2660" s="2" t="s">
        <v>159</v>
      </c>
    </row>
    <row r="2661" spans="1:12" x14ac:dyDescent="0.3">
      <c r="A2661" s="2">
        <v>2650</v>
      </c>
      <c r="B2661" s="2" t="s">
        <v>6894</v>
      </c>
      <c r="C2661" s="2" t="s">
        <v>4755</v>
      </c>
      <c r="D2661" s="2" t="s">
        <v>15</v>
      </c>
      <c r="E2661" s="2" t="s">
        <v>16</v>
      </c>
      <c r="F2661" s="2">
        <v>60</v>
      </c>
      <c r="G2661" s="2" t="s">
        <v>6895</v>
      </c>
      <c r="H2661" s="2" t="s">
        <v>1001</v>
      </c>
      <c r="I2661" s="2" t="s">
        <v>32</v>
      </c>
      <c r="J2661" s="3">
        <v>43954</v>
      </c>
      <c r="K2661" s="2">
        <v>13</v>
      </c>
      <c r="L2661" s="2" t="s">
        <v>70</v>
      </c>
    </row>
    <row r="2662" spans="1:12" x14ac:dyDescent="0.3">
      <c r="A2662" s="2">
        <v>2651</v>
      </c>
      <c r="B2662" s="2" t="s">
        <v>6896</v>
      </c>
      <c r="C2662" s="2" t="s">
        <v>3201</v>
      </c>
      <c r="D2662" s="2" t="s">
        <v>41</v>
      </c>
      <c r="E2662" s="2" t="s">
        <v>16</v>
      </c>
      <c r="F2662" s="2">
        <v>30</v>
      </c>
      <c r="G2662" s="2" t="s">
        <v>6897</v>
      </c>
      <c r="H2662" s="2" t="s">
        <v>6551</v>
      </c>
      <c r="I2662" s="2" t="s">
        <v>178</v>
      </c>
      <c r="J2662" s="3">
        <v>44711</v>
      </c>
      <c r="K2662" s="2">
        <v>89</v>
      </c>
      <c r="L2662" s="2" t="s">
        <v>54</v>
      </c>
    </row>
    <row r="2663" spans="1:12" x14ac:dyDescent="0.3">
      <c r="A2663" s="2">
        <v>2652</v>
      </c>
      <c r="B2663" s="2" t="s">
        <v>1982</v>
      </c>
      <c r="C2663" s="2" t="s">
        <v>1301</v>
      </c>
      <c r="D2663" s="2" t="s">
        <v>28</v>
      </c>
      <c r="E2663" s="2" t="s">
        <v>29</v>
      </c>
      <c r="F2663" s="2">
        <v>60</v>
      </c>
      <c r="G2663" s="2" t="s">
        <v>6898</v>
      </c>
      <c r="H2663" s="2" t="s">
        <v>4853</v>
      </c>
      <c r="I2663" s="2" t="s">
        <v>178</v>
      </c>
      <c r="J2663" s="3">
        <v>44657</v>
      </c>
      <c r="K2663" s="2">
        <v>21</v>
      </c>
      <c r="L2663" s="2" t="s">
        <v>70</v>
      </c>
    </row>
    <row r="2664" spans="1:12" x14ac:dyDescent="0.3">
      <c r="A2664" s="2">
        <v>2653</v>
      </c>
      <c r="B2664" s="2" t="s">
        <v>6899</v>
      </c>
      <c r="C2664" s="2" t="s">
        <v>5156</v>
      </c>
      <c r="D2664" s="2" t="s">
        <v>28</v>
      </c>
      <c r="E2664" s="2" t="s">
        <v>29</v>
      </c>
      <c r="F2664" s="2">
        <v>30</v>
      </c>
      <c r="G2664" s="2" t="s">
        <v>6900</v>
      </c>
      <c r="H2664" s="2" t="s">
        <v>1005</v>
      </c>
      <c r="I2664" s="2" t="s">
        <v>178</v>
      </c>
      <c r="J2664" s="3">
        <v>44301</v>
      </c>
      <c r="K2664" s="2">
        <v>51</v>
      </c>
      <c r="L2664" s="2" t="s">
        <v>33</v>
      </c>
    </row>
    <row r="2665" spans="1:12" x14ac:dyDescent="0.3">
      <c r="A2665" s="2">
        <v>2654</v>
      </c>
      <c r="B2665" s="2" t="s">
        <v>1043</v>
      </c>
      <c r="C2665" s="2" t="s">
        <v>1182</v>
      </c>
      <c r="D2665" s="2" t="s">
        <v>51</v>
      </c>
      <c r="E2665" s="2" t="s">
        <v>16</v>
      </c>
      <c r="F2665" s="2">
        <v>30</v>
      </c>
      <c r="G2665" s="2" t="s">
        <v>6901</v>
      </c>
      <c r="H2665" s="2" t="s">
        <v>4100</v>
      </c>
      <c r="I2665" s="2" t="s">
        <v>294</v>
      </c>
      <c r="J2665" s="3">
        <v>44729</v>
      </c>
      <c r="K2665" s="2">
        <v>102</v>
      </c>
      <c r="L2665" s="2" t="s">
        <v>64</v>
      </c>
    </row>
    <row r="2666" spans="1:12" x14ac:dyDescent="0.3">
      <c r="A2666" s="2">
        <v>2655</v>
      </c>
      <c r="B2666" s="2" t="s">
        <v>6902</v>
      </c>
      <c r="C2666" s="2" t="s">
        <v>2945</v>
      </c>
      <c r="D2666" s="2" t="s">
        <v>15</v>
      </c>
      <c r="E2666" s="2" t="s">
        <v>16</v>
      </c>
      <c r="F2666" s="2">
        <v>90</v>
      </c>
      <c r="G2666" s="2" t="s">
        <v>6903</v>
      </c>
      <c r="H2666" s="2" t="s">
        <v>2133</v>
      </c>
      <c r="I2666" s="2" t="s">
        <v>32</v>
      </c>
      <c r="J2666" s="3">
        <v>44108</v>
      </c>
      <c r="K2666" s="2">
        <v>29</v>
      </c>
      <c r="L2666" s="2" t="s">
        <v>54</v>
      </c>
    </row>
    <row r="2667" spans="1:12" x14ac:dyDescent="0.3">
      <c r="A2667" s="2">
        <v>2656</v>
      </c>
      <c r="B2667" s="2" t="s">
        <v>2969</v>
      </c>
      <c r="C2667" s="2" t="s">
        <v>2309</v>
      </c>
      <c r="D2667" s="2" t="s">
        <v>15</v>
      </c>
      <c r="E2667" s="2" t="s">
        <v>16</v>
      </c>
      <c r="F2667" s="2">
        <v>90</v>
      </c>
      <c r="G2667" s="2" t="s">
        <v>6904</v>
      </c>
      <c r="H2667" s="2" t="s">
        <v>1206</v>
      </c>
      <c r="I2667" s="2" t="s">
        <v>294</v>
      </c>
      <c r="J2667" s="3">
        <v>43990</v>
      </c>
      <c r="K2667" s="2">
        <v>7</v>
      </c>
      <c r="L2667" s="2" t="s">
        <v>70</v>
      </c>
    </row>
    <row r="2668" spans="1:12" x14ac:dyDescent="0.3">
      <c r="A2668" s="2">
        <v>2657</v>
      </c>
      <c r="B2668" s="2" t="s">
        <v>2312</v>
      </c>
      <c r="C2668" s="2" t="s">
        <v>5907</v>
      </c>
      <c r="D2668" s="2" t="s">
        <v>28</v>
      </c>
      <c r="E2668" s="2" t="s">
        <v>29</v>
      </c>
      <c r="F2668" s="2">
        <v>30</v>
      </c>
      <c r="G2668" s="2" t="s">
        <v>6905</v>
      </c>
      <c r="H2668" s="2" t="s">
        <v>2376</v>
      </c>
      <c r="I2668" s="2" t="s">
        <v>32</v>
      </c>
      <c r="J2668" s="3">
        <v>44923</v>
      </c>
      <c r="K2668" s="2">
        <v>104</v>
      </c>
      <c r="L2668" s="2" t="s">
        <v>39</v>
      </c>
    </row>
    <row r="2669" spans="1:12" x14ac:dyDescent="0.3">
      <c r="A2669" s="2">
        <v>2658</v>
      </c>
      <c r="B2669" s="2" t="s">
        <v>6906</v>
      </c>
      <c r="C2669" s="2" t="s">
        <v>1148</v>
      </c>
      <c r="D2669" s="2" t="s">
        <v>28</v>
      </c>
      <c r="E2669" s="2" t="s">
        <v>29</v>
      </c>
      <c r="F2669" s="2">
        <v>60</v>
      </c>
      <c r="G2669" s="2" t="s">
        <v>6905</v>
      </c>
      <c r="H2669" s="2" t="s">
        <v>6907</v>
      </c>
      <c r="I2669" s="2" t="s">
        <v>32</v>
      </c>
      <c r="J2669" s="3">
        <v>44534</v>
      </c>
      <c r="K2669" s="2">
        <v>15</v>
      </c>
      <c r="L2669" s="2" t="s">
        <v>80</v>
      </c>
    </row>
    <row r="2670" spans="1:12" x14ac:dyDescent="0.3">
      <c r="A2670" s="2">
        <v>2659</v>
      </c>
      <c r="B2670" s="2" t="s">
        <v>6908</v>
      </c>
      <c r="C2670" s="2" t="s">
        <v>97</v>
      </c>
      <c r="D2670" s="2" t="s">
        <v>15</v>
      </c>
      <c r="E2670" s="2" t="s">
        <v>16</v>
      </c>
      <c r="F2670" s="2">
        <v>90</v>
      </c>
      <c r="G2670" s="2" t="s">
        <v>6909</v>
      </c>
      <c r="H2670" s="2" t="s">
        <v>6181</v>
      </c>
      <c r="I2670" s="2" t="s">
        <v>32</v>
      </c>
      <c r="J2670" s="3">
        <v>44565</v>
      </c>
      <c r="K2670" s="2">
        <v>101</v>
      </c>
      <c r="L2670" s="2" t="s">
        <v>80</v>
      </c>
    </row>
    <row r="2671" spans="1:12" x14ac:dyDescent="0.3">
      <c r="A2671" s="2">
        <v>2660</v>
      </c>
      <c r="B2671" s="2" t="s">
        <v>6910</v>
      </c>
      <c r="C2671" s="2" t="s">
        <v>6730</v>
      </c>
      <c r="D2671" s="2" t="s">
        <v>15</v>
      </c>
      <c r="E2671" s="2" t="s">
        <v>16</v>
      </c>
      <c r="F2671" s="2">
        <v>30</v>
      </c>
      <c r="G2671" s="2" t="s">
        <v>6911</v>
      </c>
      <c r="H2671" s="2" t="s">
        <v>6154</v>
      </c>
      <c r="I2671" s="2" t="s">
        <v>38</v>
      </c>
      <c r="J2671" s="3">
        <v>44119</v>
      </c>
      <c r="K2671" s="2">
        <v>16</v>
      </c>
      <c r="L2671" s="2" t="s">
        <v>70</v>
      </c>
    </row>
    <row r="2672" spans="1:12" x14ac:dyDescent="0.3">
      <c r="A2672" s="2">
        <v>2661</v>
      </c>
      <c r="B2672" s="2" t="s">
        <v>6912</v>
      </c>
      <c r="C2672" s="2" t="s">
        <v>4416</v>
      </c>
      <c r="D2672" s="2" t="s">
        <v>41</v>
      </c>
      <c r="E2672" s="2" t="s">
        <v>16</v>
      </c>
      <c r="F2672" s="2">
        <v>60</v>
      </c>
      <c r="G2672" s="2" t="s">
        <v>6913</v>
      </c>
      <c r="H2672" s="2" t="s">
        <v>3033</v>
      </c>
      <c r="I2672" s="2" t="s">
        <v>32</v>
      </c>
      <c r="J2672" s="3">
        <v>44496</v>
      </c>
      <c r="K2672" s="2">
        <v>43</v>
      </c>
      <c r="L2672" s="2" t="s">
        <v>45</v>
      </c>
    </row>
    <row r="2673" spans="1:12" x14ac:dyDescent="0.3">
      <c r="A2673" s="2">
        <v>2662</v>
      </c>
      <c r="B2673" s="2" t="s">
        <v>6091</v>
      </c>
      <c r="C2673" s="2" t="s">
        <v>6793</v>
      </c>
      <c r="D2673" s="2" t="s">
        <v>41</v>
      </c>
      <c r="E2673" s="2" t="s">
        <v>16</v>
      </c>
      <c r="F2673" s="2">
        <v>60</v>
      </c>
      <c r="G2673" s="2" t="s">
        <v>6914</v>
      </c>
      <c r="H2673" s="2" t="s">
        <v>2831</v>
      </c>
      <c r="I2673" s="2" t="s">
        <v>32</v>
      </c>
      <c r="J2673" s="3">
        <v>44880</v>
      </c>
      <c r="K2673" s="2">
        <v>72</v>
      </c>
      <c r="L2673" s="2" t="s">
        <v>159</v>
      </c>
    </row>
    <row r="2674" spans="1:12" x14ac:dyDescent="0.3">
      <c r="A2674" s="2">
        <v>2663</v>
      </c>
      <c r="B2674" s="2" t="s">
        <v>6915</v>
      </c>
      <c r="C2674" s="2" t="s">
        <v>3848</v>
      </c>
      <c r="D2674" s="2" t="s">
        <v>28</v>
      </c>
      <c r="E2674" s="2" t="s">
        <v>29</v>
      </c>
      <c r="F2674" s="2">
        <v>30</v>
      </c>
      <c r="G2674" s="2" t="s">
        <v>6916</v>
      </c>
      <c r="H2674" s="2" t="s">
        <v>6259</v>
      </c>
      <c r="I2674" s="2" t="s">
        <v>6260</v>
      </c>
      <c r="J2674" s="3">
        <v>44181</v>
      </c>
      <c r="K2674" s="2">
        <v>43</v>
      </c>
      <c r="L2674" s="2" t="s">
        <v>159</v>
      </c>
    </row>
    <row r="2675" spans="1:12" x14ac:dyDescent="0.3">
      <c r="A2675" s="2">
        <v>2664</v>
      </c>
      <c r="B2675" s="2" t="s">
        <v>4596</v>
      </c>
      <c r="C2675" s="2" t="s">
        <v>6917</v>
      </c>
      <c r="D2675" s="2" t="s">
        <v>28</v>
      </c>
      <c r="E2675" s="2" t="s">
        <v>29</v>
      </c>
      <c r="F2675" s="2">
        <v>90</v>
      </c>
      <c r="G2675" s="2" t="s">
        <v>6918</v>
      </c>
      <c r="H2675" s="2" t="s">
        <v>3682</v>
      </c>
      <c r="I2675" s="2" t="s">
        <v>178</v>
      </c>
      <c r="J2675" s="3">
        <v>44712</v>
      </c>
      <c r="K2675" s="2">
        <v>73</v>
      </c>
      <c r="L2675" s="2" t="s">
        <v>20</v>
      </c>
    </row>
    <row r="2676" spans="1:12" x14ac:dyDescent="0.3">
      <c r="A2676" s="2">
        <v>2665</v>
      </c>
      <c r="B2676" s="2" t="s">
        <v>3463</v>
      </c>
      <c r="C2676" s="2" t="s">
        <v>6890</v>
      </c>
      <c r="D2676" s="2" t="s">
        <v>28</v>
      </c>
      <c r="E2676" s="2" t="s">
        <v>29</v>
      </c>
      <c r="F2676" s="2">
        <v>60</v>
      </c>
      <c r="G2676" s="2" t="s">
        <v>6918</v>
      </c>
      <c r="H2676" s="2" t="s">
        <v>595</v>
      </c>
      <c r="I2676" s="2" t="s">
        <v>124</v>
      </c>
      <c r="J2676" s="3">
        <v>43894</v>
      </c>
      <c r="K2676" s="2">
        <v>47</v>
      </c>
      <c r="L2676" s="2" t="s">
        <v>101</v>
      </c>
    </row>
    <row r="2677" spans="1:12" x14ac:dyDescent="0.3">
      <c r="A2677" s="2">
        <v>2666</v>
      </c>
      <c r="B2677" s="2" t="s">
        <v>503</v>
      </c>
      <c r="C2677" s="2" t="s">
        <v>304</v>
      </c>
      <c r="D2677" s="2" t="s">
        <v>51</v>
      </c>
      <c r="E2677" s="2" t="s">
        <v>16</v>
      </c>
      <c r="F2677" s="2">
        <v>90</v>
      </c>
      <c r="G2677" s="2" t="s">
        <v>6919</v>
      </c>
      <c r="H2677" s="2" t="s">
        <v>1915</v>
      </c>
      <c r="I2677" s="2" t="s">
        <v>19</v>
      </c>
      <c r="J2677" s="3">
        <v>44839</v>
      </c>
      <c r="K2677" s="2">
        <v>58</v>
      </c>
      <c r="L2677" s="2" t="s">
        <v>39</v>
      </c>
    </row>
    <row r="2678" spans="1:12" x14ac:dyDescent="0.3">
      <c r="A2678" s="2">
        <v>2667</v>
      </c>
      <c r="B2678" s="2" t="s">
        <v>714</v>
      </c>
      <c r="C2678" s="2" t="s">
        <v>2995</v>
      </c>
      <c r="D2678" s="2" t="s">
        <v>28</v>
      </c>
      <c r="E2678" s="2" t="s">
        <v>29</v>
      </c>
      <c r="F2678" s="2">
        <v>60</v>
      </c>
      <c r="G2678" s="2" t="s">
        <v>6920</v>
      </c>
      <c r="H2678" s="2" t="s">
        <v>2559</v>
      </c>
      <c r="I2678" s="2" t="s">
        <v>124</v>
      </c>
      <c r="J2678" s="3">
        <v>43850</v>
      </c>
      <c r="K2678" s="2">
        <v>16</v>
      </c>
      <c r="L2678" s="2" t="s">
        <v>159</v>
      </c>
    </row>
    <row r="2679" spans="1:12" x14ac:dyDescent="0.3">
      <c r="A2679" s="2">
        <v>2668</v>
      </c>
      <c r="B2679" s="2" t="s">
        <v>6921</v>
      </c>
      <c r="C2679" s="2" t="s">
        <v>6922</v>
      </c>
      <c r="D2679" s="2" t="s">
        <v>41</v>
      </c>
      <c r="E2679" s="2" t="s">
        <v>16</v>
      </c>
      <c r="F2679" s="2">
        <v>90</v>
      </c>
      <c r="G2679" s="2" t="s">
        <v>6923</v>
      </c>
      <c r="H2679" s="2" t="s">
        <v>1299</v>
      </c>
      <c r="I2679" s="2" t="s">
        <v>1199</v>
      </c>
      <c r="J2679" s="3">
        <v>44917</v>
      </c>
      <c r="K2679" s="2">
        <v>97</v>
      </c>
      <c r="L2679" s="2" t="s">
        <v>70</v>
      </c>
    </row>
    <row r="2680" spans="1:12" x14ac:dyDescent="0.3">
      <c r="A2680" s="2">
        <v>2669</v>
      </c>
      <c r="B2680" s="2" t="s">
        <v>2445</v>
      </c>
      <c r="C2680" s="2" t="s">
        <v>6924</v>
      </c>
      <c r="D2680" s="2" t="s">
        <v>28</v>
      </c>
      <c r="E2680" s="2" t="s">
        <v>29</v>
      </c>
      <c r="F2680" s="2">
        <v>30</v>
      </c>
      <c r="G2680" s="2" t="s">
        <v>6925</v>
      </c>
      <c r="H2680" s="2" t="s">
        <v>495</v>
      </c>
      <c r="I2680" s="2" t="s">
        <v>173</v>
      </c>
      <c r="J2680" s="3">
        <v>44832</v>
      </c>
      <c r="K2680" s="2">
        <v>62</v>
      </c>
      <c r="L2680" s="2" t="s">
        <v>33</v>
      </c>
    </row>
    <row r="2681" spans="1:12" x14ac:dyDescent="0.3">
      <c r="A2681" s="2">
        <v>2670</v>
      </c>
      <c r="B2681" s="2" t="s">
        <v>3537</v>
      </c>
      <c r="C2681" s="2" t="s">
        <v>116</v>
      </c>
      <c r="D2681" s="2" t="s">
        <v>15</v>
      </c>
      <c r="E2681" s="2" t="s">
        <v>16</v>
      </c>
      <c r="F2681" s="2">
        <v>30</v>
      </c>
      <c r="G2681" s="2" t="s">
        <v>6926</v>
      </c>
      <c r="H2681" s="2" t="s">
        <v>2305</v>
      </c>
      <c r="I2681" s="2" t="s">
        <v>25</v>
      </c>
      <c r="J2681" s="3">
        <v>44326</v>
      </c>
      <c r="K2681" s="2">
        <v>5</v>
      </c>
      <c r="L2681" s="2" t="s">
        <v>45</v>
      </c>
    </row>
    <row r="2682" spans="1:12" x14ac:dyDescent="0.3">
      <c r="A2682" s="2">
        <v>2671</v>
      </c>
      <c r="B2682" s="2" t="s">
        <v>865</v>
      </c>
      <c r="C2682" s="2" t="s">
        <v>6927</v>
      </c>
      <c r="D2682" s="2" t="s">
        <v>28</v>
      </c>
      <c r="E2682" s="2" t="s">
        <v>29</v>
      </c>
      <c r="F2682" s="2">
        <v>90</v>
      </c>
      <c r="G2682" s="2" t="s">
        <v>6928</v>
      </c>
      <c r="H2682" s="2" t="s">
        <v>2411</v>
      </c>
      <c r="I2682" s="2" t="s">
        <v>25</v>
      </c>
      <c r="J2682" s="3">
        <v>44605</v>
      </c>
      <c r="K2682" s="2">
        <v>49</v>
      </c>
      <c r="L2682" s="2" t="s">
        <v>101</v>
      </c>
    </row>
    <row r="2683" spans="1:12" x14ac:dyDescent="0.3">
      <c r="A2683" s="2">
        <v>2672</v>
      </c>
      <c r="B2683" s="2" t="s">
        <v>4193</v>
      </c>
      <c r="C2683" s="2" t="s">
        <v>1219</v>
      </c>
      <c r="D2683" s="2" t="s">
        <v>28</v>
      </c>
      <c r="E2683" s="2" t="s">
        <v>29</v>
      </c>
      <c r="F2683" s="2">
        <v>60</v>
      </c>
      <c r="G2683" s="2" t="s">
        <v>6929</v>
      </c>
      <c r="H2683" s="2" t="s">
        <v>957</v>
      </c>
      <c r="I2683" s="2" t="s">
        <v>95</v>
      </c>
      <c r="J2683" s="3">
        <v>44165</v>
      </c>
      <c r="K2683" s="2">
        <v>55</v>
      </c>
      <c r="L2683" s="2" t="s">
        <v>64</v>
      </c>
    </row>
    <row r="2684" spans="1:12" x14ac:dyDescent="0.3">
      <c r="A2684" s="2">
        <v>2673</v>
      </c>
      <c r="B2684" s="2" t="s">
        <v>4652</v>
      </c>
      <c r="C2684" s="2" t="s">
        <v>3074</v>
      </c>
      <c r="D2684" s="2" t="s">
        <v>28</v>
      </c>
      <c r="E2684" s="2" t="s">
        <v>29</v>
      </c>
      <c r="F2684" s="2">
        <v>30</v>
      </c>
      <c r="G2684" s="2" t="s">
        <v>6930</v>
      </c>
      <c r="H2684" s="2" t="s">
        <v>1537</v>
      </c>
      <c r="I2684" s="2" t="s">
        <v>294</v>
      </c>
      <c r="J2684" s="3">
        <v>44581</v>
      </c>
      <c r="K2684" s="2">
        <v>7</v>
      </c>
      <c r="L2684" s="2" t="s">
        <v>80</v>
      </c>
    </row>
    <row r="2685" spans="1:12" x14ac:dyDescent="0.3">
      <c r="A2685" s="2">
        <v>2674</v>
      </c>
      <c r="B2685" s="2" t="s">
        <v>1191</v>
      </c>
      <c r="C2685" s="2" t="s">
        <v>1853</v>
      </c>
      <c r="D2685" s="2" t="s">
        <v>28</v>
      </c>
      <c r="E2685" s="2" t="s">
        <v>29</v>
      </c>
      <c r="F2685" s="2">
        <v>30</v>
      </c>
      <c r="G2685" s="2" t="s">
        <v>6931</v>
      </c>
      <c r="H2685" s="2" t="s">
        <v>1378</v>
      </c>
      <c r="I2685" s="2" t="s">
        <v>32</v>
      </c>
      <c r="J2685" s="3">
        <v>44836</v>
      </c>
      <c r="K2685" s="2">
        <v>29</v>
      </c>
      <c r="L2685" s="2" t="s">
        <v>64</v>
      </c>
    </row>
    <row r="2686" spans="1:12" x14ac:dyDescent="0.3">
      <c r="A2686" s="2">
        <v>2675</v>
      </c>
      <c r="B2686" s="2" t="s">
        <v>6932</v>
      </c>
      <c r="C2686" s="2" t="s">
        <v>6933</v>
      </c>
      <c r="D2686" s="2" t="s">
        <v>28</v>
      </c>
      <c r="E2686" s="2" t="s">
        <v>29</v>
      </c>
      <c r="F2686" s="2">
        <v>30</v>
      </c>
      <c r="G2686" s="2" t="s">
        <v>6934</v>
      </c>
      <c r="H2686" s="2" t="s">
        <v>1911</v>
      </c>
      <c r="I2686" s="2" t="s">
        <v>32</v>
      </c>
      <c r="J2686" s="3">
        <v>44895</v>
      </c>
      <c r="K2686" s="2">
        <v>30</v>
      </c>
      <c r="L2686" s="2" t="s">
        <v>159</v>
      </c>
    </row>
    <row r="2687" spans="1:12" x14ac:dyDescent="0.3">
      <c r="A2687" s="2">
        <v>2676</v>
      </c>
      <c r="B2687" s="2" t="s">
        <v>6935</v>
      </c>
      <c r="C2687" s="2" t="s">
        <v>5199</v>
      </c>
      <c r="D2687" s="2" t="s">
        <v>28</v>
      </c>
      <c r="E2687" s="2" t="s">
        <v>29</v>
      </c>
      <c r="F2687" s="2">
        <v>90</v>
      </c>
      <c r="G2687" s="2" t="s">
        <v>6936</v>
      </c>
      <c r="H2687" s="2" t="s">
        <v>3387</v>
      </c>
      <c r="I2687" s="2" t="s">
        <v>2878</v>
      </c>
      <c r="J2687" s="3">
        <v>44733</v>
      </c>
      <c r="K2687" s="2">
        <v>80</v>
      </c>
      <c r="L2687" s="2" t="s">
        <v>80</v>
      </c>
    </row>
    <row r="2688" spans="1:12" x14ac:dyDescent="0.3">
      <c r="A2688" s="2">
        <v>2677</v>
      </c>
      <c r="B2688" s="2" t="s">
        <v>5495</v>
      </c>
      <c r="C2688" s="2" t="s">
        <v>5362</v>
      </c>
      <c r="D2688" s="2" t="s">
        <v>41</v>
      </c>
      <c r="E2688" s="2" t="s">
        <v>16</v>
      </c>
      <c r="F2688" s="2">
        <v>90</v>
      </c>
      <c r="G2688" s="2" t="s">
        <v>6937</v>
      </c>
      <c r="H2688" s="2" t="s">
        <v>2908</v>
      </c>
      <c r="I2688" s="2" t="s">
        <v>25</v>
      </c>
      <c r="J2688" s="3">
        <v>44500</v>
      </c>
      <c r="K2688" s="2">
        <v>68</v>
      </c>
      <c r="L2688" s="2" t="s">
        <v>159</v>
      </c>
    </row>
    <row r="2689" spans="1:12" x14ac:dyDescent="0.3">
      <c r="A2689" s="2">
        <v>2678</v>
      </c>
      <c r="B2689" s="2" t="s">
        <v>2898</v>
      </c>
      <c r="C2689" s="2" t="s">
        <v>3504</v>
      </c>
      <c r="D2689" s="2" t="s">
        <v>28</v>
      </c>
      <c r="E2689" s="2" t="s">
        <v>29</v>
      </c>
      <c r="F2689" s="2">
        <v>90</v>
      </c>
      <c r="G2689" s="2" t="s">
        <v>6938</v>
      </c>
      <c r="H2689" s="2" t="s">
        <v>3670</v>
      </c>
      <c r="I2689" s="2" t="s">
        <v>3671</v>
      </c>
      <c r="J2689" s="3">
        <v>44842</v>
      </c>
      <c r="K2689" s="2">
        <v>40</v>
      </c>
      <c r="L2689" s="2" t="s">
        <v>45</v>
      </c>
    </row>
    <row r="2690" spans="1:12" x14ac:dyDescent="0.3">
      <c r="A2690" s="2">
        <v>2679</v>
      </c>
      <c r="B2690" s="2" t="s">
        <v>6939</v>
      </c>
      <c r="C2690" s="2" t="s">
        <v>304</v>
      </c>
      <c r="D2690" s="2" t="s">
        <v>15</v>
      </c>
      <c r="E2690" s="2" t="s">
        <v>16</v>
      </c>
      <c r="F2690" s="2">
        <v>60</v>
      </c>
      <c r="G2690" s="2" t="s">
        <v>6940</v>
      </c>
      <c r="H2690" s="2" t="s">
        <v>6714</v>
      </c>
      <c r="I2690" s="2" t="s">
        <v>129</v>
      </c>
      <c r="J2690" s="3">
        <v>44921</v>
      </c>
      <c r="K2690" s="2">
        <v>71</v>
      </c>
      <c r="L2690" s="2" t="s">
        <v>54</v>
      </c>
    </row>
    <row r="2691" spans="1:12" x14ac:dyDescent="0.3">
      <c r="A2691" s="2">
        <v>2680</v>
      </c>
      <c r="B2691" s="2" t="s">
        <v>2246</v>
      </c>
      <c r="C2691" s="2" t="s">
        <v>3727</v>
      </c>
      <c r="D2691" s="2" t="s">
        <v>28</v>
      </c>
      <c r="E2691" s="2" t="s">
        <v>29</v>
      </c>
      <c r="F2691" s="2">
        <v>60</v>
      </c>
      <c r="G2691" s="2" t="s">
        <v>6941</v>
      </c>
      <c r="H2691" s="2" t="s">
        <v>1583</v>
      </c>
      <c r="I2691" s="2" t="s">
        <v>178</v>
      </c>
      <c r="J2691" s="3">
        <v>44872</v>
      </c>
      <c r="K2691" s="2">
        <v>40</v>
      </c>
      <c r="L2691" s="2" t="s">
        <v>33</v>
      </c>
    </row>
    <row r="2692" spans="1:12" x14ac:dyDescent="0.3">
      <c r="A2692" s="2">
        <v>2681</v>
      </c>
      <c r="B2692" s="2" t="s">
        <v>1613</v>
      </c>
      <c r="C2692" s="2" t="s">
        <v>6942</v>
      </c>
      <c r="D2692" s="2" t="s">
        <v>28</v>
      </c>
      <c r="E2692" s="2" t="s">
        <v>29</v>
      </c>
      <c r="F2692" s="2">
        <v>60</v>
      </c>
      <c r="G2692" s="2" t="s">
        <v>6943</v>
      </c>
      <c r="H2692" s="2" t="s">
        <v>221</v>
      </c>
      <c r="I2692" s="2" t="s">
        <v>32</v>
      </c>
      <c r="J2692" s="3">
        <v>44476</v>
      </c>
      <c r="K2692" s="2">
        <v>25</v>
      </c>
      <c r="L2692" s="2" t="s">
        <v>64</v>
      </c>
    </row>
    <row r="2693" spans="1:12" x14ac:dyDescent="0.3">
      <c r="A2693" s="2">
        <v>2682</v>
      </c>
      <c r="B2693" s="2" t="s">
        <v>2823</v>
      </c>
      <c r="C2693" s="2" t="s">
        <v>5168</v>
      </c>
      <c r="D2693" s="2" t="s">
        <v>28</v>
      </c>
      <c r="E2693" s="2" t="s">
        <v>29</v>
      </c>
      <c r="F2693" s="2">
        <v>30</v>
      </c>
      <c r="G2693" s="2" t="s">
        <v>6944</v>
      </c>
      <c r="H2693" s="2" t="s">
        <v>4463</v>
      </c>
      <c r="I2693" s="2" t="s">
        <v>32</v>
      </c>
      <c r="J2693" s="3">
        <v>43927</v>
      </c>
      <c r="K2693" s="2">
        <v>49</v>
      </c>
      <c r="L2693" s="2" t="s">
        <v>33</v>
      </c>
    </row>
    <row r="2694" spans="1:12" x14ac:dyDescent="0.3">
      <c r="A2694" s="2">
        <v>2683</v>
      </c>
      <c r="B2694" s="2" t="s">
        <v>6945</v>
      </c>
      <c r="C2694" s="2" t="s">
        <v>1503</v>
      </c>
      <c r="D2694" s="2" t="s">
        <v>15</v>
      </c>
      <c r="E2694" s="2" t="s">
        <v>16</v>
      </c>
      <c r="F2694" s="2">
        <v>30</v>
      </c>
      <c r="G2694" s="2" t="s">
        <v>6946</v>
      </c>
      <c r="H2694" s="2" t="s">
        <v>3480</v>
      </c>
      <c r="I2694" s="2" t="s">
        <v>187</v>
      </c>
      <c r="J2694" s="3">
        <v>44552</v>
      </c>
      <c r="K2694" s="2">
        <v>84</v>
      </c>
      <c r="L2694" s="2" t="s">
        <v>39</v>
      </c>
    </row>
    <row r="2695" spans="1:12" x14ac:dyDescent="0.3">
      <c r="A2695" s="2">
        <v>2684</v>
      </c>
      <c r="B2695" s="2" t="s">
        <v>6947</v>
      </c>
      <c r="C2695" s="2" t="s">
        <v>759</v>
      </c>
      <c r="D2695" s="2" t="s">
        <v>15</v>
      </c>
      <c r="E2695" s="2" t="s">
        <v>16</v>
      </c>
      <c r="F2695" s="2">
        <v>90</v>
      </c>
      <c r="G2695" s="2" t="s">
        <v>6948</v>
      </c>
      <c r="H2695" s="2" t="s">
        <v>885</v>
      </c>
      <c r="I2695" s="2" t="s">
        <v>886</v>
      </c>
      <c r="J2695" s="3">
        <v>44889</v>
      </c>
      <c r="K2695" s="2">
        <v>99</v>
      </c>
      <c r="L2695" s="2" t="s">
        <v>80</v>
      </c>
    </row>
    <row r="2696" spans="1:12" x14ac:dyDescent="0.3">
      <c r="A2696" s="2">
        <v>2685</v>
      </c>
      <c r="B2696" s="2" t="s">
        <v>6949</v>
      </c>
      <c r="C2696" s="2" t="s">
        <v>272</v>
      </c>
      <c r="D2696" s="2" t="s">
        <v>15</v>
      </c>
      <c r="E2696" s="2" t="s">
        <v>16</v>
      </c>
      <c r="F2696" s="2">
        <v>60</v>
      </c>
      <c r="G2696" s="2" t="s">
        <v>6950</v>
      </c>
      <c r="H2696" s="2" t="s">
        <v>6951</v>
      </c>
      <c r="I2696" s="2" t="s">
        <v>38</v>
      </c>
      <c r="J2696" s="3">
        <v>44660</v>
      </c>
      <c r="K2696" s="2">
        <v>9</v>
      </c>
      <c r="L2696" s="2" t="s">
        <v>33</v>
      </c>
    </row>
    <row r="2697" spans="1:12" x14ac:dyDescent="0.3">
      <c r="A2697" s="2">
        <v>2686</v>
      </c>
      <c r="B2697" s="2" t="s">
        <v>271</v>
      </c>
      <c r="C2697" s="2" t="s">
        <v>4847</v>
      </c>
      <c r="D2697" s="2" t="s">
        <v>15</v>
      </c>
      <c r="E2697" s="2" t="s">
        <v>16</v>
      </c>
      <c r="F2697" s="2">
        <v>60</v>
      </c>
      <c r="G2697" s="2" t="s">
        <v>6950</v>
      </c>
      <c r="H2697" s="2" t="s">
        <v>5025</v>
      </c>
      <c r="I2697" s="2" t="s">
        <v>32</v>
      </c>
      <c r="J2697" s="3">
        <v>44604</v>
      </c>
      <c r="K2697" s="2">
        <v>32</v>
      </c>
      <c r="L2697" s="2" t="s">
        <v>20</v>
      </c>
    </row>
    <row r="2698" spans="1:12" x14ac:dyDescent="0.3">
      <c r="A2698" s="2">
        <v>2687</v>
      </c>
      <c r="B2698" s="2" t="s">
        <v>6952</v>
      </c>
      <c r="C2698" s="2" t="s">
        <v>1765</v>
      </c>
      <c r="D2698" s="2" t="s">
        <v>41</v>
      </c>
      <c r="E2698" s="2" t="s">
        <v>16</v>
      </c>
      <c r="F2698" s="2">
        <v>60</v>
      </c>
      <c r="G2698" s="2" t="s">
        <v>6953</v>
      </c>
      <c r="H2698" s="2" t="s">
        <v>5643</v>
      </c>
      <c r="I2698" s="2" t="s">
        <v>886</v>
      </c>
      <c r="J2698" s="3">
        <v>44478</v>
      </c>
      <c r="K2698" s="2">
        <v>25</v>
      </c>
      <c r="L2698" s="2" t="s">
        <v>64</v>
      </c>
    </row>
    <row r="2699" spans="1:12" x14ac:dyDescent="0.3">
      <c r="A2699" s="2">
        <v>2688</v>
      </c>
      <c r="B2699" s="2" t="s">
        <v>5916</v>
      </c>
      <c r="C2699" s="2" t="s">
        <v>639</v>
      </c>
      <c r="D2699" s="2" t="s">
        <v>28</v>
      </c>
      <c r="E2699" s="2" t="s">
        <v>29</v>
      </c>
      <c r="F2699" s="2">
        <v>30</v>
      </c>
      <c r="G2699" s="2" t="s">
        <v>6954</v>
      </c>
      <c r="H2699" s="2" t="s">
        <v>1168</v>
      </c>
      <c r="I2699" s="2" t="s">
        <v>32</v>
      </c>
      <c r="J2699" s="3">
        <v>44686</v>
      </c>
      <c r="K2699" s="2">
        <v>11</v>
      </c>
      <c r="L2699" s="2" t="s">
        <v>159</v>
      </c>
    </row>
    <row r="2700" spans="1:12" x14ac:dyDescent="0.3">
      <c r="A2700" s="2">
        <v>2689</v>
      </c>
      <c r="B2700" s="2" t="s">
        <v>6955</v>
      </c>
      <c r="C2700" s="2" t="s">
        <v>4342</v>
      </c>
      <c r="D2700" s="2" t="s">
        <v>51</v>
      </c>
      <c r="E2700" s="2" t="s">
        <v>16</v>
      </c>
      <c r="F2700" s="2">
        <v>90</v>
      </c>
      <c r="G2700" s="2" t="s">
        <v>6956</v>
      </c>
      <c r="H2700" s="2" t="s">
        <v>591</v>
      </c>
      <c r="I2700" s="2" t="s">
        <v>32</v>
      </c>
      <c r="J2700" s="3">
        <v>44243</v>
      </c>
      <c r="K2700" s="2">
        <v>93</v>
      </c>
      <c r="L2700" s="2" t="s">
        <v>45</v>
      </c>
    </row>
    <row r="2701" spans="1:12" x14ac:dyDescent="0.3">
      <c r="A2701" s="2">
        <v>2690</v>
      </c>
      <c r="B2701" s="2" t="s">
        <v>6957</v>
      </c>
      <c r="C2701" s="2" t="s">
        <v>188</v>
      </c>
      <c r="D2701" s="2" t="s">
        <v>41</v>
      </c>
      <c r="E2701" s="2" t="s">
        <v>16</v>
      </c>
      <c r="F2701" s="2">
        <v>90</v>
      </c>
      <c r="G2701" s="2" t="s">
        <v>6958</v>
      </c>
      <c r="H2701" s="2" t="s">
        <v>1490</v>
      </c>
      <c r="I2701" s="2" t="s">
        <v>294</v>
      </c>
      <c r="J2701" s="3">
        <v>44307</v>
      </c>
      <c r="K2701" s="2">
        <v>87</v>
      </c>
      <c r="L2701" s="2" t="s">
        <v>20</v>
      </c>
    </row>
    <row r="2702" spans="1:12" x14ac:dyDescent="0.3">
      <c r="A2702" s="2">
        <v>2691</v>
      </c>
      <c r="B2702" s="2" t="s">
        <v>3325</v>
      </c>
      <c r="C2702" s="2" t="s">
        <v>193</v>
      </c>
      <c r="D2702" s="2" t="s">
        <v>28</v>
      </c>
      <c r="E2702" s="2" t="s">
        <v>29</v>
      </c>
      <c r="F2702" s="2">
        <v>30</v>
      </c>
      <c r="G2702" s="2" t="s">
        <v>6959</v>
      </c>
      <c r="H2702" s="2" t="s">
        <v>2354</v>
      </c>
      <c r="I2702" s="2" t="s">
        <v>178</v>
      </c>
      <c r="J2702" s="3">
        <v>44298</v>
      </c>
      <c r="K2702" s="2">
        <v>50</v>
      </c>
      <c r="L2702" s="2" t="s">
        <v>159</v>
      </c>
    </row>
    <row r="2703" spans="1:12" x14ac:dyDescent="0.3">
      <c r="A2703" s="2">
        <v>2692</v>
      </c>
      <c r="B2703" s="2" t="s">
        <v>256</v>
      </c>
      <c r="C2703" s="2" t="s">
        <v>3673</v>
      </c>
      <c r="D2703" s="2" t="s">
        <v>28</v>
      </c>
      <c r="E2703" s="2" t="s">
        <v>29</v>
      </c>
      <c r="F2703" s="2">
        <v>90</v>
      </c>
      <c r="G2703" s="2" t="s">
        <v>6960</v>
      </c>
      <c r="H2703" s="2" t="s">
        <v>5441</v>
      </c>
      <c r="I2703" s="2" t="s">
        <v>178</v>
      </c>
      <c r="J2703" s="3">
        <v>43843</v>
      </c>
      <c r="K2703" s="2">
        <v>81</v>
      </c>
      <c r="L2703" s="2" t="s">
        <v>159</v>
      </c>
    </row>
    <row r="2704" spans="1:12" x14ac:dyDescent="0.3">
      <c r="A2704" s="2">
        <v>2693</v>
      </c>
      <c r="B2704" s="2" t="s">
        <v>1527</v>
      </c>
      <c r="C2704" s="2" t="s">
        <v>5161</v>
      </c>
      <c r="D2704" s="2" t="s">
        <v>15</v>
      </c>
      <c r="E2704" s="2" t="s">
        <v>16</v>
      </c>
      <c r="F2704" s="2">
        <v>60</v>
      </c>
      <c r="G2704" s="2" t="s">
        <v>6961</v>
      </c>
      <c r="H2704" s="2" t="s">
        <v>4283</v>
      </c>
      <c r="I2704" s="2" t="s">
        <v>178</v>
      </c>
      <c r="J2704" s="3">
        <v>44580</v>
      </c>
      <c r="K2704" s="2">
        <v>65</v>
      </c>
      <c r="L2704" s="2" t="s">
        <v>33</v>
      </c>
    </row>
    <row r="2705" spans="1:12" x14ac:dyDescent="0.3">
      <c r="A2705" s="2">
        <v>2694</v>
      </c>
      <c r="B2705" s="2" t="s">
        <v>5500</v>
      </c>
      <c r="C2705" s="2" t="s">
        <v>3738</v>
      </c>
      <c r="D2705" s="2" t="s">
        <v>28</v>
      </c>
      <c r="E2705" s="2" t="s">
        <v>29</v>
      </c>
      <c r="F2705" s="2">
        <v>60</v>
      </c>
      <c r="G2705" s="2" t="s">
        <v>6962</v>
      </c>
      <c r="H2705" s="2" t="s">
        <v>4046</v>
      </c>
      <c r="I2705" s="2" t="s">
        <v>173</v>
      </c>
      <c r="J2705" s="3">
        <v>44619</v>
      </c>
      <c r="K2705" s="2">
        <v>48</v>
      </c>
      <c r="L2705" s="2" t="s">
        <v>45</v>
      </c>
    </row>
    <row r="2706" spans="1:12" x14ac:dyDescent="0.3">
      <c r="A2706" s="2">
        <v>2695</v>
      </c>
      <c r="B2706" s="2" t="s">
        <v>2565</v>
      </c>
      <c r="C2706" s="2" t="s">
        <v>3051</v>
      </c>
      <c r="D2706" s="2" t="s">
        <v>92</v>
      </c>
      <c r="E2706" s="2" t="s">
        <v>29</v>
      </c>
      <c r="F2706" s="2">
        <v>90</v>
      </c>
      <c r="G2706" s="2" t="s">
        <v>6963</v>
      </c>
      <c r="H2706" s="2" t="s">
        <v>2667</v>
      </c>
      <c r="I2706" s="2" t="s">
        <v>187</v>
      </c>
      <c r="J2706" s="3">
        <v>43921</v>
      </c>
      <c r="K2706" s="2">
        <v>75</v>
      </c>
      <c r="L2706" s="2" t="s">
        <v>101</v>
      </c>
    </row>
    <row r="2707" spans="1:12" x14ac:dyDescent="0.3">
      <c r="A2707" s="2">
        <v>2696</v>
      </c>
      <c r="B2707" s="2" t="s">
        <v>6964</v>
      </c>
      <c r="C2707" s="2" t="s">
        <v>5370</v>
      </c>
      <c r="D2707" s="2" t="s">
        <v>51</v>
      </c>
      <c r="E2707" s="2" t="s">
        <v>16</v>
      </c>
      <c r="F2707" s="2">
        <v>90</v>
      </c>
      <c r="G2707" s="2" t="s">
        <v>6963</v>
      </c>
      <c r="H2707" s="2" t="s">
        <v>3770</v>
      </c>
      <c r="I2707" s="2" t="s">
        <v>32</v>
      </c>
      <c r="J2707" s="3">
        <v>44697</v>
      </c>
      <c r="K2707" s="2">
        <v>2</v>
      </c>
      <c r="L2707" s="2" t="s">
        <v>70</v>
      </c>
    </row>
    <row r="2708" spans="1:12" x14ac:dyDescent="0.3">
      <c r="A2708" s="2">
        <v>2697</v>
      </c>
      <c r="B2708" s="2" t="s">
        <v>1998</v>
      </c>
      <c r="C2708" s="2" t="s">
        <v>6965</v>
      </c>
      <c r="D2708" s="2" t="s">
        <v>28</v>
      </c>
      <c r="E2708" s="2" t="s">
        <v>29</v>
      </c>
      <c r="F2708" s="2">
        <v>30</v>
      </c>
      <c r="G2708" s="2" t="s">
        <v>6966</v>
      </c>
      <c r="H2708" s="2" t="s">
        <v>1920</v>
      </c>
      <c r="I2708" s="2" t="s">
        <v>1921</v>
      </c>
      <c r="J2708" s="3">
        <v>43944</v>
      </c>
      <c r="K2708" s="2">
        <v>36</v>
      </c>
      <c r="L2708" s="2" t="s">
        <v>33</v>
      </c>
    </row>
    <row r="2709" spans="1:12" x14ac:dyDescent="0.3">
      <c r="A2709" s="2">
        <v>2698</v>
      </c>
      <c r="B2709" s="2" t="s">
        <v>6967</v>
      </c>
      <c r="C2709" s="2" t="s">
        <v>2177</v>
      </c>
      <c r="D2709" s="2" t="s">
        <v>15</v>
      </c>
      <c r="E2709" s="2" t="s">
        <v>16</v>
      </c>
      <c r="F2709" s="2">
        <v>90</v>
      </c>
      <c r="G2709" s="2" t="s">
        <v>6968</v>
      </c>
      <c r="H2709" s="2" t="s">
        <v>793</v>
      </c>
      <c r="I2709" s="2" t="s">
        <v>178</v>
      </c>
      <c r="J2709" s="3">
        <v>44444</v>
      </c>
      <c r="K2709" s="2">
        <v>94</v>
      </c>
      <c r="L2709" s="2" t="s">
        <v>39</v>
      </c>
    </row>
    <row r="2710" spans="1:12" x14ac:dyDescent="0.3">
      <c r="A2710" s="2">
        <v>2699</v>
      </c>
      <c r="B2710" s="2" t="s">
        <v>4489</v>
      </c>
      <c r="C2710" s="2" t="s">
        <v>5029</v>
      </c>
      <c r="D2710" s="2" t="s">
        <v>28</v>
      </c>
      <c r="E2710" s="2" t="s">
        <v>29</v>
      </c>
      <c r="F2710" s="2">
        <v>90</v>
      </c>
      <c r="G2710" s="2" t="s">
        <v>6969</v>
      </c>
      <c r="H2710" s="2" t="s">
        <v>1888</v>
      </c>
      <c r="I2710" s="2" t="s">
        <v>1889</v>
      </c>
      <c r="J2710" s="3">
        <v>43972</v>
      </c>
      <c r="K2710" s="2">
        <v>54</v>
      </c>
      <c r="L2710" s="2" t="s">
        <v>70</v>
      </c>
    </row>
    <row r="2711" spans="1:12" x14ac:dyDescent="0.3">
      <c r="A2711" s="2">
        <v>2700</v>
      </c>
      <c r="B2711" s="2" t="s">
        <v>6970</v>
      </c>
      <c r="C2711" s="2" t="s">
        <v>6971</v>
      </c>
      <c r="D2711" s="2" t="s">
        <v>15</v>
      </c>
      <c r="E2711" s="2" t="s">
        <v>16</v>
      </c>
      <c r="F2711" s="2">
        <v>90</v>
      </c>
      <c r="G2711" s="2" t="s">
        <v>6972</v>
      </c>
      <c r="H2711" s="2" t="s">
        <v>1272</v>
      </c>
      <c r="I2711" s="2" t="s">
        <v>59</v>
      </c>
      <c r="J2711" s="3">
        <v>44132</v>
      </c>
      <c r="K2711" s="2">
        <v>83</v>
      </c>
      <c r="L2711" s="2" t="s">
        <v>64</v>
      </c>
    </row>
    <row r="2712" spans="1:12" x14ac:dyDescent="0.3">
      <c r="A2712" s="2">
        <v>2701</v>
      </c>
      <c r="B2712" s="2" t="s">
        <v>6973</v>
      </c>
      <c r="C2712" s="2" t="s">
        <v>2453</v>
      </c>
      <c r="D2712" s="2" t="s">
        <v>15</v>
      </c>
      <c r="E2712" s="2" t="s">
        <v>16</v>
      </c>
      <c r="F2712" s="2">
        <v>90</v>
      </c>
      <c r="G2712" s="2" t="s">
        <v>6974</v>
      </c>
      <c r="H2712" s="2" t="s">
        <v>4334</v>
      </c>
      <c r="I2712" s="2" t="s">
        <v>1199</v>
      </c>
      <c r="J2712" s="3">
        <v>44427</v>
      </c>
      <c r="K2712" s="2">
        <v>85</v>
      </c>
      <c r="L2712" s="2" t="s">
        <v>159</v>
      </c>
    </row>
    <row r="2713" spans="1:12" x14ac:dyDescent="0.3">
      <c r="A2713" s="2">
        <v>2702</v>
      </c>
      <c r="B2713" s="2" t="s">
        <v>6975</v>
      </c>
      <c r="C2713" s="2" t="s">
        <v>2528</v>
      </c>
      <c r="D2713" s="2" t="s">
        <v>51</v>
      </c>
      <c r="E2713" s="2" t="s">
        <v>16</v>
      </c>
      <c r="F2713" s="2">
        <v>30</v>
      </c>
      <c r="G2713" s="2" t="s">
        <v>6976</v>
      </c>
      <c r="H2713" s="2" t="s">
        <v>2393</v>
      </c>
      <c r="I2713" s="2" t="s">
        <v>1449</v>
      </c>
      <c r="J2713" s="3">
        <v>43910</v>
      </c>
      <c r="K2713" s="2">
        <v>50</v>
      </c>
      <c r="L2713" s="2" t="s">
        <v>80</v>
      </c>
    </row>
    <row r="2714" spans="1:12" x14ac:dyDescent="0.3">
      <c r="A2714" s="2">
        <v>2703</v>
      </c>
      <c r="B2714" s="2" t="s">
        <v>6977</v>
      </c>
      <c r="C2714" s="2" t="s">
        <v>4803</v>
      </c>
      <c r="D2714" s="2" t="s">
        <v>15</v>
      </c>
      <c r="E2714" s="2" t="s">
        <v>16</v>
      </c>
      <c r="F2714" s="2">
        <v>60</v>
      </c>
      <c r="G2714" s="2" t="s">
        <v>6976</v>
      </c>
      <c r="H2714" s="2" t="s">
        <v>637</v>
      </c>
      <c r="I2714" s="2" t="s">
        <v>32</v>
      </c>
      <c r="J2714" s="3">
        <v>44104</v>
      </c>
      <c r="K2714" s="2">
        <v>62</v>
      </c>
      <c r="L2714" s="2" t="s">
        <v>33</v>
      </c>
    </row>
    <row r="2715" spans="1:12" x14ac:dyDescent="0.3">
      <c r="A2715" s="2">
        <v>2704</v>
      </c>
      <c r="B2715" s="2" t="s">
        <v>3039</v>
      </c>
      <c r="C2715" s="2" t="s">
        <v>6978</v>
      </c>
      <c r="D2715" s="2" t="s">
        <v>51</v>
      </c>
      <c r="E2715" s="2" t="s">
        <v>16</v>
      </c>
      <c r="F2715" s="2">
        <v>30</v>
      </c>
      <c r="G2715" s="2" t="s">
        <v>6979</v>
      </c>
      <c r="H2715" s="2" t="s">
        <v>1453</v>
      </c>
      <c r="I2715" s="2" t="s">
        <v>1454</v>
      </c>
      <c r="J2715" s="3">
        <v>44063</v>
      </c>
      <c r="K2715" s="2">
        <v>60</v>
      </c>
      <c r="L2715" s="2" t="s">
        <v>70</v>
      </c>
    </row>
    <row r="2716" spans="1:12" x14ac:dyDescent="0.3">
      <c r="A2716" s="2">
        <v>2705</v>
      </c>
      <c r="B2716" s="2" t="s">
        <v>6980</v>
      </c>
      <c r="C2716" s="2" t="s">
        <v>5174</v>
      </c>
      <c r="D2716" s="2" t="s">
        <v>28</v>
      </c>
      <c r="E2716" s="2" t="s">
        <v>29</v>
      </c>
      <c r="F2716" s="2">
        <v>30</v>
      </c>
      <c r="G2716" s="2" t="s">
        <v>6981</v>
      </c>
      <c r="H2716" s="2" t="s">
        <v>3200</v>
      </c>
      <c r="I2716" s="2" t="s">
        <v>32</v>
      </c>
      <c r="J2716" s="3">
        <v>44271</v>
      </c>
      <c r="K2716" s="2">
        <v>93</v>
      </c>
      <c r="L2716" s="2" t="s">
        <v>80</v>
      </c>
    </row>
    <row r="2717" spans="1:12" x14ac:dyDescent="0.3">
      <c r="A2717" s="2">
        <v>2706</v>
      </c>
      <c r="B2717" s="2" t="s">
        <v>2009</v>
      </c>
      <c r="C2717" s="2" t="s">
        <v>6982</v>
      </c>
      <c r="D2717" s="2" t="s">
        <v>28</v>
      </c>
      <c r="E2717" s="2" t="s">
        <v>29</v>
      </c>
      <c r="F2717" s="2">
        <v>90</v>
      </c>
      <c r="G2717" s="2" t="s">
        <v>6983</v>
      </c>
      <c r="H2717" s="2" t="s">
        <v>5170</v>
      </c>
      <c r="I2717" s="2" t="s">
        <v>294</v>
      </c>
      <c r="J2717" s="3">
        <v>44764</v>
      </c>
      <c r="K2717" s="2">
        <v>67</v>
      </c>
      <c r="L2717" s="2" t="s">
        <v>54</v>
      </c>
    </row>
    <row r="2718" spans="1:12" x14ac:dyDescent="0.3">
      <c r="A2718" s="2">
        <v>2707</v>
      </c>
      <c r="B2718" s="2" t="s">
        <v>6984</v>
      </c>
      <c r="C2718" s="2" t="s">
        <v>5653</v>
      </c>
      <c r="D2718" s="2" t="s">
        <v>28</v>
      </c>
      <c r="E2718" s="2" t="s">
        <v>29</v>
      </c>
      <c r="F2718" s="2">
        <v>30</v>
      </c>
      <c r="G2718" s="2" t="s">
        <v>6985</v>
      </c>
      <c r="H2718" s="2" t="s">
        <v>5477</v>
      </c>
      <c r="I2718" s="2" t="s">
        <v>187</v>
      </c>
      <c r="J2718" s="3">
        <v>44462</v>
      </c>
      <c r="K2718" s="2">
        <v>60</v>
      </c>
      <c r="L2718" s="2" t="s">
        <v>70</v>
      </c>
    </row>
    <row r="2719" spans="1:12" x14ac:dyDescent="0.3">
      <c r="A2719" s="2">
        <v>2708</v>
      </c>
      <c r="B2719" s="2" t="s">
        <v>1140</v>
      </c>
      <c r="C2719" s="2" t="s">
        <v>3884</v>
      </c>
      <c r="D2719" s="2" t="s">
        <v>28</v>
      </c>
      <c r="E2719" s="2" t="s">
        <v>29</v>
      </c>
      <c r="F2719" s="2">
        <v>30</v>
      </c>
      <c r="G2719" s="2" t="s">
        <v>6986</v>
      </c>
      <c r="H2719" s="2" t="s">
        <v>3790</v>
      </c>
      <c r="I2719" s="2" t="s">
        <v>32</v>
      </c>
      <c r="J2719" s="3">
        <v>44083</v>
      </c>
      <c r="K2719" s="2">
        <v>80</v>
      </c>
      <c r="L2719" s="2" t="s">
        <v>45</v>
      </c>
    </row>
    <row r="2720" spans="1:12" x14ac:dyDescent="0.3">
      <c r="A2720" s="2">
        <v>2709</v>
      </c>
      <c r="B2720" s="2" t="s">
        <v>6987</v>
      </c>
      <c r="C2720" s="2" t="s">
        <v>961</v>
      </c>
      <c r="D2720" s="2" t="s">
        <v>15</v>
      </c>
      <c r="E2720" s="2" t="s">
        <v>16</v>
      </c>
      <c r="F2720" s="2">
        <v>30</v>
      </c>
      <c r="G2720" s="2" t="s">
        <v>6988</v>
      </c>
      <c r="H2720" s="2" t="s">
        <v>356</v>
      </c>
      <c r="I2720" s="2" t="s">
        <v>178</v>
      </c>
      <c r="J2720" s="3">
        <v>44579</v>
      </c>
      <c r="K2720" s="2">
        <v>30</v>
      </c>
      <c r="L2720" s="2" t="s">
        <v>54</v>
      </c>
    </row>
    <row r="2721" spans="1:12" x14ac:dyDescent="0.3">
      <c r="A2721" s="2">
        <v>2710</v>
      </c>
      <c r="B2721" s="2" t="s">
        <v>1554</v>
      </c>
      <c r="C2721" s="2" t="s">
        <v>6390</v>
      </c>
      <c r="D2721" s="2" t="s">
        <v>28</v>
      </c>
      <c r="E2721" s="2" t="s">
        <v>29</v>
      </c>
      <c r="F2721" s="2">
        <v>30</v>
      </c>
      <c r="G2721" s="2" t="s">
        <v>6989</v>
      </c>
      <c r="H2721" s="2" t="s">
        <v>1333</v>
      </c>
      <c r="I2721" s="2" t="s">
        <v>294</v>
      </c>
      <c r="J2721" s="3">
        <v>44528</v>
      </c>
      <c r="K2721" s="2">
        <v>29</v>
      </c>
      <c r="L2721" s="2" t="s">
        <v>159</v>
      </c>
    </row>
    <row r="2722" spans="1:12" x14ac:dyDescent="0.3">
      <c r="A2722" s="2">
        <v>2711</v>
      </c>
      <c r="B2722" s="2" t="s">
        <v>6990</v>
      </c>
      <c r="C2722" s="2" t="s">
        <v>4009</v>
      </c>
      <c r="D2722" s="2" t="s">
        <v>41</v>
      </c>
      <c r="E2722" s="2" t="s">
        <v>16</v>
      </c>
      <c r="F2722" s="2">
        <v>90</v>
      </c>
      <c r="G2722" s="2" t="s">
        <v>6991</v>
      </c>
      <c r="H2722" s="2" t="s">
        <v>2893</v>
      </c>
      <c r="I2722" s="2" t="s">
        <v>32</v>
      </c>
      <c r="J2722" s="3">
        <v>44414</v>
      </c>
      <c r="K2722" s="2">
        <v>56</v>
      </c>
      <c r="L2722" s="2" t="s">
        <v>20</v>
      </c>
    </row>
    <row r="2723" spans="1:12" x14ac:dyDescent="0.3">
      <c r="A2723" s="2">
        <v>2712</v>
      </c>
      <c r="B2723" s="2" t="s">
        <v>2603</v>
      </c>
      <c r="C2723" s="2" t="s">
        <v>2198</v>
      </c>
      <c r="D2723" s="2" t="s">
        <v>28</v>
      </c>
      <c r="E2723" s="2" t="s">
        <v>29</v>
      </c>
      <c r="F2723" s="2">
        <v>30</v>
      </c>
      <c r="G2723" s="2" t="s">
        <v>6992</v>
      </c>
      <c r="H2723" s="2" t="s">
        <v>2834</v>
      </c>
      <c r="I2723" s="2" t="s">
        <v>19</v>
      </c>
      <c r="J2723" s="3">
        <v>44061</v>
      </c>
      <c r="K2723" s="2">
        <v>14</v>
      </c>
      <c r="L2723" s="2" t="s">
        <v>80</v>
      </c>
    </row>
    <row r="2724" spans="1:12" x14ac:dyDescent="0.3">
      <c r="A2724" s="2">
        <v>2713</v>
      </c>
      <c r="B2724" s="2" t="s">
        <v>6111</v>
      </c>
      <c r="C2724" s="2" t="s">
        <v>135</v>
      </c>
      <c r="D2724" s="2" t="s">
        <v>51</v>
      </c>
      <c r="E2724" s="2" t="s">
        <v>16</v>
      </c>
      <c r="F2724" s="2">
        <v>90</v>
      </c>
      <c r="G2724" s="2" t="s">
        <v>6993</v>
      </c>
      <c r="H2724" s="2" t="s">
        <v>3384</v>
      </c>
      <c r="I2724" s="2" t="s">
        <v>32</v>
      </c>
      <c r="J2724" s="3">
        <v>44431</v>
      </c>
      <c r="K2724" s="2">
        <v>33</v>
      </c>
      <c r="L2724" s="2" t="s">
        <v>54</v>
      </c>
    </row>
    <row r="2725" spans="1:12" x14ac:dyDescent="0.3">
      <c r="A2725" s="2">
        <v>2714</v>
      </c>
      <c r="B2725" s="2" t="s">
        <v>6994</v>
      </c>
      <c r="C2725" s="2" t="s">
        <v>4949</v>
      </c>
      <c r="D2725" s="2" t="s">
        <v>51</v>
      </c>
      <c r="E2725" s="2" t="s">
        <v>16</v>
      </c>
      <c r="F2725" s="2">
        <v>90</v>
      </c>
      <c r="G2725" s="2" t="s">
        <v>6995</v>
      </c>
      <c r="H2725" s="2" t="s">
        <v>1915</v>
      </c>
      <c r="I2725" s="2" t="s">
        <v>19</v>
      </c>
      <c r="J2725" s="3">
        <v>44478</v>
      </c>
      <c r="K2725" s="2">
        <v>26</v>
      </c>
      <c r="L2725" s="2" t="s">
        <v>64</v>
      </c>
    </row>
    <row r="2726" spans="1:12" x14ac:dyDescent="0.3">
      <c r="A2726" s="2">
        <v>2715</v>
      </c>
      <c r="B2726" s="2" t="s">
        <v>6796</v>
      </c>
      <c r="C2726" s="2" t="s">
        <v>2900</v>
      </c>
      <c r="D2726" s="2" t="s">
        <v>28</v>
      </c>
      <c r="E2726" s="2" t="s">
        <v>29</v>
      </c>
      <c r="F2726" s="2">
        <v>90</v>
      </c>
      <c r="G2726" s="2" t="s">
        <v>6995</v>
      </c>
      <c r="H2726" s="2" t="s">
        <v>1228</v>
      </c>
      <c r="I2726" s="2" t="s">
        <v>25</v>
      </c>
      <c r="J2726" s="3">
        <v>44298</v>
      </c>
      <c r="K2726" s="2">
        <v>31</v>
      </c>
      <c r="L2726" s="2" t="s">
        <v>20</v>
      </c>
    </row>
    <row r="2727" spans="1:12" x14ac:dyDescent="0.3">
      <c r="A2727" s="2">
        <v>2716</v>
      </c>
      <c r="B2727" s="2" t="s">
        <v>2300</v>
      </c>
      <c r="C2727" s="2" t="s">
        <v>5955</v>
      </c>
      <c r="D2727" s="2" t="s">
        <v>28</v>
      </c>
      <c r="E2727" s="2" t="s">
        <v>29</v>
      </c>
      <c r="F2727" s="2">
        <v>90</v>
      </c>
      <c r="G2727" s="2" t="s">
        <v>6996</v>
      </c>
      <c r="H2727" s="2" t="s">
        <v>2997</v>
      </c>
      <c r="I2727" s="2" t="s">
        <v>32</v>
      </c>
      <c r="J2727" s="3">
        <v>44762</v>
      </c>
      <c r="K2727" s="2">
        <v>97</v>
      </c>
      <c r="L2727" s="2" t="s">
        <v>101</v>
      </c>
    </row>
    <row r="2728" spans="1:12" x14ac:dyDescent="0.3">
      <c r="A2728" s="2">
        <v>2717</v>
      </c>
      <c r="B2728" s="2" t="s">
        <v>5548</v>
      </c>
      <c r="C2728" s="2" t="s">
        <v>6997</v>
      </c>
      <c r="D2728" s="2" t="s">
        <v>41</v>
      </c>
      <c r="E2728" s="2" t="s">
        <v>16</v>
      </c>
      <c r="F2728" s="2">
        <v>60</v>
      </c>
      <c r="G2728" s="2" t="s">
        <v>6998</v>
      </c>
      <c r="H2728" s="2" t="s">
        <v>1764</v>
      </c>
      <c r="I2728" s="2" t="s">
        <v>124</v>
      </c>
      <c r="J2728" s="3">
        <v>44155</v>
      </c>
      <c r="K2728" s="2">
        <v>79</v>
      </c>
      <c r="L2728" s="2" t="s">
        <v>45</v>
      </c>
    </row>
    <row r="2729" spans="1:12" x14ac:dyDescent="0.3">
      <c r="A2729" s="2">
        <v>2718</v>
      </c>
      <c r="B2729" s="2" t="s">
        <v>6999</v>
      </c>
      <c r="C2729" s="2" t="s">
        <v>7000</v>
      </c>
      <c r="D2729" s="2" t="s">
        <v>51</v>
      </c>
      <c r="E2729" s="2" t="s">
        <v>16</v>
      </c>
      <c r="F2729" s="2">
        <v>90</v>
      </c>
      <c r="G2729" s="2" t="s">
        <v>6998</v>
      </c>
      <c r="H2729" s="2" t="s">
        <v>7001</v>
      </c>
      <c r="I2729" s="2" t="s">
        <v>32</v>
      </c>
      <c r="J2729" s="3">
        <v>44280</v>
      </c>
      <c r="K2729" s="2">
        <v>63</v>
      </c>
      <c r="L2729" s="2" t="s">
        <v>101</v>
      </c>
    </row>
    <row r="2730" spans="1:12" x14ac:dyDescent="0.3">
      <c r="A2730" s="2">
        <v>2719</v>
      </c>
      <c r="B2730" s="2" t="s">
        <v>1736</v>
      </c>
      <c r="C2730" s="2" t="s">
        <v>5727</v>
      </c>
      <c r="D2730" s="2" t="s">
        <v>51</v>
      </c>
      <c r="E2730" s="2" t="s">
        <v>16</v>
      </c>
      <c r="F2730" s="2">
        <v>90</v>
      </c>
      <c r="G2730" s="2" t="s">
        <v>7002</v>
      </c>
      <c r="H2730" s="2" t="s">
        <v>4180</v>
      </c>
      <c r="I2730" s="2" t="s">
        <v>187</v>
      </c>
      <c r="J2730" s="3">
        <v>44802</v>
      </c>
      <c r="K2730" s="2">
        <v>48</v>
      </c>
      <c r="L2730" s="2" t="s">
        <v>54</v>
      </c>
    </row>
    <row r="2731" spans="1:12" x14ac:dyDescent="0.3">
      <c r="A2731" s="2">
        <v>2720</v>
      </c>
      <c r="B2731" s="2" t="s">
        <v>5292</v>
      </c>
      <c r="C2731" s="2" t="s">
        <v>4218</v>
      </c>
      <c r="D2731" s="2" t="s">
        <v>28</v>
      </c>
      <c r="E2731" s="2" t="s">
        <v>29</v>
      </c>
      <c r="F2731" s="2">
        <v>90</v>
      </c>
      <c r="G2731" s="2" t="s">
        <v>7003</v>
      </c>
      <c r="H2731" s="2" t="s">
        <v>7004</v>
      </c>
      <c r="I2731" s="2" t="s">
        <v>208</v>
      </c>
      <c r="J2731" s="3">
        <v>44153</v>
      </c>
      <c r="K2731" s="2">
        <v>59</v>
      </c>
      <c r="L2731" s="2" t="s">
        <v>45</v>
      </c>
    </row>
    <row r="2732" spans="1:12" x14ac:dyDescent="0.3">
      <c r="A2732" s="2">
        <v>2721</v>
      </c>
      <c r="B2732" s="2" t="s">
        <v>5928</v>
      </c>
      <c r="C2732" s="2" t="s">
        <v>2431</v>
      </c>
      <c r="D2732" s="2" t="s">
        <v>28</v>
      </c>
      <c r="E2732" s="2" t="s">
        <v>29</v>
      </c>
      <c r="F2732" s="2">
        <v>30</v>
      </c>
      <c r="G2732" s="2" t="s">
        <v>7005</v>
      </c>
      <c r="H2732" s="2" t="s">
        <v>1354</v>
      </c>
      <c r="I2732" s="2" t="s">
        <v>294</v>
      </c>
      <c r="J2732" s="3">
        <v>44769</v>
      </c>
      <c r="K2732" s="2">
        <v>44</v>
      </c>
      <c r="L2732" s="2" t="s">
        <v>101</v>
      </c>
    </row>
    <row r="2733" spans="1:12" x14ac:dyDescent="0.3">
      <c r="A2733" s="2">
        <v>2722</v>
      </c>
      <c r="B2733" s="2" t="s">
        <v>7006</v>
      </c>
      <c r="C2733" s="2" t="s">
        <v>1857</v>
      </c>
      <c r="D2733" s="2" t="s">
        <v>28</v>
      </c>
      <c r="E2733" s="2" t="s">
        <v>29</v>
      </c>
      <c r="F2733" s="2">
        <v>60</v>
      </c>
      <c r="G2733" s="2" t="s">
        <v>7007</v>
      </c>
      <c r="H2733" s="2" t="s">
        <v>7008</v>
      </c>
      <c r="I2733" s="2" t="s">
        <v>25</v>
      </c>
      <c r="J2733" s="3">
        <v>44040</v>
      </c>
      <c r="K2733" s="2">
        <v>78</v>
      </c>
      <c r="L2733" s="2" t="s">
        <v>101</v>
      </c>
    </row>
    <row r="2734" spans="1:12" x14ac:dyDescent="0.3">
      <c r="A2734" s="2">
        <v>2723</v>
      </c>
      <c r="B2734" s="2" t="s">
        <v>7009</v>
      </c>
      <c r="C2734" s="2" t="s">
        <v>4865</v>
      </c>
      <c r="D2734" s="2" t="s">
        <v>28</v>
      </c>
      <c r="E2734" s="2" t="s">
        <v>29</v>
      </c>
      <c r="F2734" s="2">
        <v>30</v>
      </c>
      <c r="G2734" s="2" t="s">
        <v>7010</v>
      </c>
      <c r="H2734" s="2" t="s">
        <v>2622</v>
      </c>
      <c r="I2734" s="2" t="s">
        <v>294</v>
      </c>
      <c r="J2734" s="3">
        <v>44259</v>
      </c>
      <c r="K2734" s="2">
        <v>49</v>
      </c>
      <c r="L2734" s="2" t="s">
        <v>80</v>
      </c>
    </row>
    <row r="2735" spans="1:12" x14ac:dyDescent="0.3">
      <c r="A2735" s="2">
        <v>2724</v>
      </c>
      <c r="B2735" s="2" t="s">
        <v>7011</v>
      </c>
      <c r="C2735" s="2" t="s">
        <v>5318</v>
      </c>
      <c r="D2735" s="2" t="s">
        <v>51</v>
      </c>
      <c r="E2735" s="2" t="s">
        <v>16</v>
      </c>
      <c r="F2735" s="2">
        <v>60</v>
      </c>
      <c r="G2735" s="2" t="s">
        <v>7010</v>
      </c>
      <c r="H2735" s="2" t="s">
        <v>3511</v>
      </c>
      <c r="I2735" s="2" t="s">
        <v>32</v>
      </c>
      <c r="J2735" s="3">
        <v>44272</v>
      </c>
      <c r="K2735" s="2">
        <v>15</v>
      </c>
      <c r="L2735" s="2" t="s">
        <v>33</v>
      </c>
    </row>
    <row r="2736" spans="1:12" x14ac:dyDescent="0.3">
      <c r="A2736" s="2">
        <v>2725</v>
      </c>
      <c r="B2736" s="2" t="s">
        <v>2110</v>
      </c>
      <c r="C2736" s="2" t="s">
        <v>317</v>
      </c>
      <c r="D2736" s="2" t="s">
        <v>28</v>
      </c>
      <c r="E2736" s="2" t="s">
        <v>29</v>
      </c>
      <c r="F2736" s="2">
        <v>90</v>
      </c>
      <c r="G2736" s="2" t="s">
        <v>7012</v>
      </c>
      <c r="H2736" s="2" t="s">
        <v>3036</v>
      </c>
      <c r="I2736" s="2" t="s">
        <v>32</v>
      </c>
      <c r="J2736" s="3">
        <v>44639</v>
      </c>
      <c r="K2736" s="2">
        <v>74</v>
      </c>
      <c r="L2736" s="2" t="s">
        <v>64</v>
      </c>
    </row>
    <row r="2737" spans="1:12" x14ac:dyDescent="0.3">
      <c r="A2737" s="2">
        <v>2726</v>
      </c>
      <c r="B2737" s="2" t="s">
        <v>3374</v>
      </c>
      <c r="C2737" s="2" t="s">
        <v>6247</v>
      </c>
      <c r="D2737" s="2" t="s">
        <v>15</v>
      </c>
      <c r="E2737" s="2" t="s">
        <v>16</v>
      </c>
      <c r="F2737" s="2">
        <v>60</v>
      </c>
      <c r="G2737" s="2" t="s">
        <v>7013</v>
      </c>
      <c r="H2737" s="2" t="s">
        <v>3498</v>
      </c>
      <c r="I2737" s="2" t="s">
        <v>32</v>
      </c>
      <c r="J2737" s="3">
        <v>44657</v>
      </c>
      <c r="K2737" s="2">
        <v>93</v>
      </c>
      <c r="L2737" s="2" t="s">
        <v>54</v>
      </c>
    </row>
    <row r="2738" spans="1:12" x14ac:dyDescent="0.3">
      <c r="A2738" s="2">
        <v>2727</v>
      </c>
      <c r="B2738" s="2" t="s">
        <v>6600</v>
      </c>
      <c r="C2738" s="2" t="s">
        <v>7014</v>
      </c>
      <c r="D2738" s="2" t="s">
        <v>28</v>
      </c>
      <c r="E2738" s="2" t="s">
        <v>29</v>
      </c>
      <c r="F2738" s="2">
        <v>30</v>
      </c>
      <c r="G2738" s="2" t="s">
        <v>7015</v>
      </c>
      <c r="H2738" s="2" t="s">
        <v>123</v>
      </c>
      <c r="I2738" s="2" t="s">
        <v>124</v>
      </c>
      <c r="J2738" s="3">
        <v>43875</v>
      </c>
      <c r="K2738" s="2">
        <v>9</v>
      </c>
      <c r="L2738" s="2" t="s">
        <v>70</v>
      </c>
    </row>
    <row r="2739" spans="1:12" x14ac:dyDescent="0.3">
      <c r="A2739" s="2">
        <v>2728</v>
      </c>
      <c r="B2739" s="2" t="s">
        <v>6133</v>
      </c>
      <c r="C2739" s="2" t="s">
        <v>7016</v>
      </c>
      <c r="D2739" s="2" t="s">
        <v>28</v>
      </c>
      <c r="E2739" s="2" t="s">
        <v>29</v>
      </c>
      <c r="F2739" s="2">
        <v>90</v>
      </c>
      <c r="G2739" s="2" t="s">
        <v>7017</v>
      </c>
      <c r="H2739" s="2" t="s">
        <v>742</v>
      </c>
      <c r="I2739" s="2" t="s">
        <v>124</v>
      </c>
      <c r="J2739" s="3">
        <v>44734</v>
      </c>
      <c r="K2739" s="2">
        <v>22</v>
      </c>
      <c r="L2739" s="2" t="s">
        <v>33</v>
      </c>
    </row>
    <row r="2740" spans="1:12" x14ac:dyDescent="0.3">
      <c r="A2740" s="2">
        <v>2729</v>
      </c>
      <c r="B2740" s="2" t="s">
        <v>7018</v>
      </c>
      <c r="C2740" s="2" t="s">
        <v>4653</v>
      </c>
      <c r="D2740" s="2" t="s">
        <v>15</v>
      </c>
      <c r="E2740" s="2" t="s">
        <v>16</v>
      </c>
      <c r="F2740" s="2">
        <v>30</v>
      </c>
      <c r="G2740" s="2" t="s">
        <v>7019</v>
      </c>
      <c r="H2740" s="2" t="s">
        <v>7020</v>
      </c>
      <c r="I2740" s="2" t="s">
        <v>32</v>
      </c>
      <c r="J2740" s="3">
        <v>44351</v>
      </c>
      <c r="K2740" s="2">
        <v>27</v>
      </c>
      <c r="L2740" s="2" t="s">
        <v>101</v>
      </c>
    </row>
    <row r="2741" spans="1:12" x14ac:dyDescent="0.3">
      <c r="A2741" s="2">
        <v>2730</v>
      </c>
      <c r="B2741" s="2" t="s">
        <v>4871</v>
      </c>
      <c r="C2741" s="2" t="s">
        <v>1340</v>
      </c>
      <c r="D2741" s="2" t="s">
        <v>51</v>
      </c>
      <c r="E2741" s="2" t="s">
        <v>16</v>
      </c>
      <c r="F2741" s="2">
        <v>60</v>
      </c>
      <c r="G2741" s="2" t="s">
        <v>7021</v>
      </c>
      <c r="H2741" s="2" t="s">
        <v>1568</v>
      </c>
      <c r="I2741" s="2" t="s">
        <v>32</v>
      </c>
      <c r="J2741" s="3">
        <v>44266</v>
      </c>
      <c r="K2741" s="2">
        <v>71</v>
      </c>
      <c r="L2741" s="2" t="s">
        <v>80</v>
      </c>
    </row>
    <row r="2742" spans="1:12" x14ac:dyDescent="0.3">
      <c r="A2742" s="2">
        <v>2731</v>
      </c>
      <c r="B2742" s="2" t="s">
        <v>7022</v>
      </c>
      <c r="C2742" s="2" t="s">
        <v>2362</v>
      </c>
      <c r="D2742" s="2" t="s">
        <v>15</v>
      </c>
      <c r="E2742" s="2" t="s">
        <v>16</v>
      </c>
      <c r="F2742" s="2">
        <v>60</v>
      </c>
      <c r="G2742" s="2" t="s">
        <v>7023</v>
      </c>
      <c r="H2742" s="2" t="s">
        <v>7024</v>
      </c>
      <c r="I2742" s="2" t="s">
        <v>178</v>
      </c>
      <c r="J2742" s="3">
        <v>44286</v>
      </c>
      <c r="K2742" s="2">
        <v>5</v>
      </c>
      <c r="L2742" s="2" t="s">
        <v>45</v>
      </c>
    </row>
    <row r="2743" spans="1:12" x14ac:dyDescent="0.3">
      <c r="A2743" s="2">
        <v>2732</v>
      </c>
      <c r="B2743" s="2" t="s">
        <v>5849</v>
      </c>
      <c r="C2743" s="2" t="s">
        <v>983</v>
      </c>
      <c r="D2743" s="2" t="s">
        <v>28</v>
      </c>
      <c r="E2743" s="2" t="s">
        <v>29</v>
      </c>
      <c r="F2743" s="2">
        <v>30</v>
      </c>
      <c r="G2743" s="2" t="s">
        <v>7025</v>
      </c>
      <c r="H2743" s="2" t="s">
        <v>4915</v>
      </c>
      <c r="I2743" s="2" t="s">
        <v>32</v>
      </c>
      <c r="J2743" s="3">
        <v>44447</v>
      </c>
      <c r="K2743" s="2">
        <v>90</v>
      </c>
      <c r="L2743" s="2" t="s">
        <v>101</v>
      </c>
    </row>
    <row r="2744" spans="1:12" x14ac:dyDescent="0.3">
      <c r="A2744" s="2">
        <v>2733</v>
      </c>
      <c r="B2744" s="2" t="s">
        <v>3441</v>
      </c>
      <c r="C2744" s="2" t="s">
        <v>5568</v>
      </c>
      <c r="D2744" s="2" t="s">
        <v>28</v>
      </c>
      <c r="E2744" s="2" t="s">
        <v>29</v>
      </c>
      <c r="F2744" s="2">
        <v>30</v>
      </c>
      <c r="G2744" s="2" t="s">
        <v>7026</v>
      </c>
      <c r="H2744" s="2" t="s">
        <v>7027</v>
      </c>
      <c r="I2744" s="2" t="s">
        <v>173</v>
      </c>
      <c r="J2744" s="3">
        <v>44542</v>
      </c>
      <c r="K2744" s="2">
        <v>77</v>
      </c>
      <c r="L2744" s="2" t="s">
        <v>80</v>
      </c>
    </row>
    <row r="2745" spans="1:12" x14ac:dyDescent="0.3">
      <c r="A2745" s="2">
        <v>2734</v>
      </c>
      <c r="B2745" s="2" t="s">
        <v>2138</v>
      </c>
      <c r="C2745" s="2" t="s">
        <v>300</v>
      </c>
      <c r="D2745" s="2" t="s">
        <v>28</v>
      </c>
      <c r="E2745" s="2" t="s">
        <v>29</v>
      </c>
      <c r="F2745" s="2">
        <v>60</v>
      </c>
      <c r="G2745" s="2" t="s">
        <v>7028</v>
      </c>
      <c r="H2745" s="2" t="s">
        <v>4935</v>
      </c>
      <c r="I2745" s="2" t="s">
        <v>124</v>
      </c>
      <c r="J2745" s="3">
        <v>44810</v>
      </c>
      <c r="K2745" s="2">
        <v>49</v>
      </c>
      <c r="L2745" s="2" t="s">
        <v>45</v>
      </c>
    </row>
    <row r="2746" spans="1:12" x14ac:dyDescent="0.3">
      <c r="A2746" s="2">
        <v>2735</v>
      </c>
      <c r="B2746" s="2" t="s">
        <v>7029</v>
      </c>
      <c r="C2746" s="2" t="s">
        <v>332</v>
      </c>
      <c r="D2746" s="2" t="s">
        <v>28</v>
      </c>
      <c r="E2746" s="2" t="s">
        <v>29</v>
      </c>
      <c r="F2746" s="2">
        <v>60</v>
      </c>
      <c r="G2746" s="2" t="s">
        <v>7030</v>
      </c>
      <c r="H2746" s="2" t="s">
        <v>7031</v>
      </c>
      <c r="I2746" s="2" t="s">
        <v>294</v>
      </c>
      <c r="J2746" s="3">
        <v>44861</v>
      </c>
      <c r="K2746" s="2">
        <v>61</v>
      </c>
      <c r="L2746" s="2" t="s">
        <v>70</v>
      </c>
    </row>
    <row r="2747" spans="1:12" x14ac:dyDescent="0.3">
      <c r="A2747" s="2">
        <v>2736</v>
      </c>
      <c r="B2747" s="2" t="s">
        <v>1104</v>
      </c>
      <c r="C2747" s="2" t="s">
        <v>7032</v>
      </c>
      <c r="D2747" s="2" t="s">
        <v>28</v>
      </c>
      <c r="E2747" s="2" t="s">
        <v>29</v>
      </c>
      <c r="F2747" s="2">
        <v>60</v>
      </c>
      <c r="G2747" s="2" t="s">
        <v>7033</v>
      </c>
      <c r="H2747" s="2" t="s">
        <v>655</v>
      </c>
      <c r="I2747" s="2" t="s">
        <v>32</v>
      </c>
      <c r="J2747" s="3">
        <v>44378</v>
      </c>
      <c r="K2747" s="2">
        <v>36</v>
      </c>
      <c r="L2747" s="2" t="s">
        <v>64</v>
      </c>
    </row>
    <row r="2748" spans="1:12" x14ac:dyDescent="0.3">
      <c r="A2748" s="2">
        <v>2737</v>
      </c>
      <c r="B2748" s="2" t="s">
        <v>7034</v>
      </c>
      <c r="C2748" s="2" t="s">
        <v>7035</v>
      </c>
      <c r="D2748" s="2" t="s">
        <v>28</v>
      </c>
      <c r="E2748" s="2" t="s">
        <v>29</v>
      </c>
      <c r="F2748" s="2">
        <v>60</v>
      </c>
      <c r="G2748" s="2" t="s">
        <v>7036</v>
      </c>
      <c r="H2748" s="2" t="s">
        <v>2834</v>
      </c>
      <c r="I2748" s="2" t="s">
        <v>19</v>
      </c>
      <c r="J2748" s="3">
        <v>44688</v>
      </c>
      <c r="K2748" s="2">
        <v>89</v>
      </c>
      <c r="L2748" s="2" t="s">
        <v>45</v>
      </c>
    </row>
    <row r="2749" spans="1:12" x14ac:dyDescent="0.3">
      <c r="A2749" s="2">
        <v>2738</v>
      </c>
      <c r="B2749" s="2" t="s">
        <v>7037</v>
      </c>
      <c r="C2749" s="2" t="s">
        <v>6587</v>
      </c>
      <c r="D2749" s="2" t="s">
        <v>28</v>
      </c>
      <c r="E2749" s="2" t="s">
        <v>29</v>
      </c>
      <c r="F2749" s="2">
        <v>60</v>
      </c>
      <c r="G2749" s="2" t="s">
        <v>7038</v>
      </c>
      <c r="H2749" s="2" t="s">
        <v>3859</v>
      </c>
      <c r="I2749" s="2" t="s">
        <v>124</v>
      </c>
      <c r="J2749" s="3">
        <v>44112</v>
      </c>
      <c r="K2749" s="2">
        <v>66</v>
      </c>
      <c r="L2749" s="2" t="s">
        <v>45</v>
      </c>
    </row>
    <row r="2750" spans="1:12" x14ac:dyDescent="0.3">
      <c r="A2750" s="2">
        <v>2739</v>
      </c>
      <c r="B2750" s="2" t="s">
        <v>7039</v>
      </c>
      <c r="C2750" s="2" t="s">
        <v>2223</v>
      </c>
      <c r="D2750" s="2" t="s">
        <v>51</v>
      </c>
      <c r="E2750" s="2" t="s">
        <v>16</v>
      </c>
      <c r="F2750" s="2">
        <v>90</v>
      </c>
      <c r="G2750" s="2" t="s">
        <v>7040</v>
      </c>
      <c r="H2750" s="2" t="s">
        <v>5464</v>
      </c>
      <c r="I2750" s="2" t="s">
        <v>124</v>
      </c>
      <c r="J2750" s="3">
        <v>44136</v>
      </c>
      <c r="K2750" s="2">
        <v>58</v>
      </c>
      <c r="L2750" s="2" t="s">
        <v>33</v>
      </c>
    </row>
    <row r="2751" spans="1:12" x14ac:dyDescent="0.3">
      <c r="A2751" s="2">
        <v>2740</v>
      </c>
      <c r="B2751" s="2" t="s">
        <v>6894</v>
      </c>
      <c r="C2751" s="2" t="s">
        <v>4456</v>
      </c>
      <c r="D2751" s="2" t="s">
        <v>15</v>
      </c>
      <c r="E2751" s="2" t="s">
        <v>16</v>
      </c>
      <c r="F2751" s="2">
        <v>90</v>
      </c>
      <c r="G2751" s="2" t="s">
        <v>7041</v>
      </c>
      <c r="H2751" s="2" t="s">
        <v>7042</v>
      </c>
      <c r="I2751" s="2" t="s">
        <v>1885</v>
      </c>
      <c r="J2751" s="3">
        <v>44612</v>
      </c>
      <c r="K2751" s="2">
        <v>90</v>
      </c>
      <c r="L2751" s="2" t="s">
        <v>54</v>
      </c>
    </row>
    <row r="2752" spans="1:12" x14ac:dyDescent="0.3">
      <c r="A2752" s="2">
        <v>2741</v>
      </c>
      <c r="B2752" s="2" t="s">
        <v>6804</v>
      </c>
      <c r="C2752" s="2" t="s">
        <v>7043</v>
      </c>
      <c r="D2752" s="2" t="s">
        <v>28</v>
      </c>
      <c r="E2752" s="2" t="s">
        <v>29</v>
      </c>
      <c r="F2752" s="2">
        <v>90</v>
      </c>
      <c r="G2752" s="2" t="s">
        <v>7044</v>
      </c>
      <c r="H2752" s="2" t="s">
        <v>6659</v>
      </c>
      <c r="I2752" s="2" t="s">
        <v>208</v>
      </c>
      <c r="J2752" s="3">
        <v>44540</v>
      </c>
      <c r="K2752" s="2">
        <v>10</v>
      </c>
      <c r="L2752" s="2" t="s">
        <v>20</v>
      </c>
    </row>
    <row r="2753" spans="1:12" x14ac:dyDescent="0.3">
      <c r="A2753" s="2">
        <v>2742</v>
      </c>
      <c r="B2753" s="2" t="s">
        <v>5958</v>
      </c>
      <c r="C2753" s="2" t="s">
        <v>259</v>
      </c>
      <c r="D2753" s="2" t="s">
        <v>28</v>
      </c>
      <c r="E2753" s="2" t="s">
        <v>29</v>
      </c>
      <c r="F2753" s="2">
        <v>60</v>
      </c>
      <c r="G2753" s="2" t="s">
        <v>7045</v>
      </c>
      <c r="H2753" s="2" t="s">
        <v>1412</v>
      </c>
      <c r="I2753" s="2" t="s">
        <v>1413</v>
      </c>
      <c r="J2753" s="3">
        <v>44189</v>
      </c>
      <c r="K2753" s="2">
        <v>67</v>
      </c>
      <c r="L2753" s="2" t="s">
        <v>80</v>
      </c>
    </row>
    <row r="2754" spans="1:12" x14ac:dyDescent="0.3">
      <c r="A2754" s="2">
        <v>2743</v>
      </c>
      <c r="B2754" s="2" t="s">
        <v>7046</v>
      </c>
      <c r="C2754" s="2" t="s">
        <v>929</v>
      </c>
      <c r="D2754" s="2" t="s">
        <v>92</v>
      </c>
      <c r="E2754" s="2" t="s">
        <v>16</v>
      </c>
      <c r="F2754" s="2">
        <v>60</v>
      </c>
      <c r="G2754" s="2" t="s">
        <v>7047</v>
      </c>
      <c r="H2754" s="2" t="s">
        <v>2931</v>
      </c>
      <c r="I2754" s="2" t="s">
        <v>32</v>
      </c>
      <c r="J2754" s="3">
        <v>44301</v>
      </c>
      <c r="K2754" s="2">
        <v>85</v>
      </c>
      <c r="L2754" s="2" t="s">
        <v>45</v>
      </c>
    </row>
    <row r="2755" spans="1:12" x14ac:dyDescent="0.3">
      <c r="A2755" s="2">
        <v>2744</v>
      </c>
      <c r="B2755" s="2" t="s">
        <v>2523</v>
      </c>
      <c r="C2755" s="2" t="s">
        <v>2521</v>
      </c>
      <c r="D2755" s="2" t="s">
        <v>28</v>
      </c>
      <c r="E2755" s="2" t="s">
        <v>29</v>
      </c>
      <c r="F2755" s="2">
        <v>90</v>
      </c>
      <c r="G2755" s="2" t="s">
        <v>7048</v>
      </c>
      <c r="H2755" s="2" t="s">
        <v>7049</v>
      </c>
      <c r="I2755" s="2" t="s">
        <v>32</v>
      </c>
      <c r="J2755" s="3">
        <v>43895</v>
      </c>
      <c r="K2755" s="2">
        <v>32</v>
      </c>
      <c r="L2755" s="2" t="s">
        <v>64</v>
      </c>
    </row>
    <row r="2756" spans="1:12" x14ac:dyDescent="0.3">
      <c r="A2756" s="2">
        <v>2745</v>
      </c>
      <c r="B2756" s="2" t="s">
        <v>3113</v>
      </c>
      <c r="C2756" s="2" t="s">
        <v>2453</v>
      </c>
      <c r="D2756" s="2" t="s">
        <v>51</v>
      </c>
      <c r="E2756" s="2" t="s">
        <v>16</v>
      </c>
      <c r="F2756" s="2">
        <v>90</v>
      </c>
      <c r="G2756" s="2" t="s">
        <v>7050</v>
      </c>
      <c r="H2756" s="2" t="s">
        <v>1265</v>
      </c>
      <c r="I2756" s="2" t="s">
        <v>32</v>
      </c>
      <c r="J2756" s="3">
        <v>44798</v>
      </c>
      <c r="K2756" s="2">
        <v>51</v>
      </c>
      <c r="L2756" s="2" t="s">
        <v>54</v>
      </c>
    </row>
    <row r="2757" spans="1:12" x14ac:dyDescent="0.3">
      <c r="A2757" s="2">
        <v>2746</v>
      </c>
      <c r="B2757" s="2" t="s">
        <v>7051</v>
      </c>
      <c r="C2757" s="2" t="s">
        <v>3192</v>
      </c>
      <c r="D2757" s="2" t="s">
        <v>15</v>
      </c>
      <c r="E2757" s="2" t="s">
        <v>16</v>
      </c>
      <c r="F2757" s="2">
        <v>60</v>
      </c>
      <c r="G2757" s="2" t="s">
        <v>7052</v>
      </c>
      <c r="H2757" s="2" t="s">
        <v>917</v>
      </c>
      <c r="I2757" s="2" t="s">
        <v>32</v>
      </c>
      <c r="J2757" s="3">
        <v>44006</v>
      </c>
      <c r="K2757" s="2">
        <v>68</v>
      </c>
      <c r="L2757" s="2" t="s">
        <v>39</v>
      </c>
    </row>
    <row r="2758" spans="1:12" x14ac:dyDescent="0.3">
      <c r="A2758" s="2">
        <v>2747</v>
      </c>
      <c r="B2758" s="2" t="s">
        <v>7053</v>
      </c>
      <c r="C2758" s="2" t="s">
        <v>4960</v>
      </c>
      <c r="D2758" s="2" t="s">
        <v>51</v>
      </c>
      <c r="E2758" s="2" t="s">
        <v>16</v>
      </c>
      <c r="F2758" s="2">
        <v>60</v>
      </c>
      <c r="G2758" s="2" t="s">
        <v>7054</v>
      </c>
      <c r="H2758" s="2" t="s">
        <v>3610</v>
      </c>
      <c r="I2758" s="2" t="s">
        <v>32</v>
      </c>
      <c r="J2758" s="3">
        <v>44248</v>
      </c>
      <c r="K2758" s="2">
        <v>59</v>
      </c>
      <c r="L2758" s="2" t="s">
        <v>101</v>
      </c>
    </row>
    <row r="2759" spans="1:12" x14ac:dyDescent="0.3">
      <c r="A2759" s="2">
        <v>2748</v>
      </c>
      <c r="B2759" s="2" t="s">
        <v>2263</v>
      </c>
      <c r="C2759" s="2" t="s">
        <v>3612</v>
      </c>
      <c r="D2759" s="2" t="s">
        <v>15</v>
      </c>
      <c r="E2759" s="2" t="s">
        <v>16</v>
      </c>
      <c r="F2759" s="2">
        <v>30</v>
      </c>
      <c r="G2759" s="2" t="s">
        <v>7055</v>
      </c>
      <c r="H2759" s="2" t="s">
        <v>7056</v>
      </c>
      <c r="I2759" s="2" t="s">
        <v>95</v>
      </c>
      <c r="J2759" s="3">
        <v>44536</v>
      </c>
      <c r="K2759" s="2">
        <v>37</v>
      </c>
      <c r="L2759" s="2" t="s">
        <v>70</v>
      </c>
    </row>
    <row r="2760" spans="1:12" x14ac:dyDescent="0.3">
      <c r="A2760" s="2">
        <v>2749</v>
      </c>
      <c r="B2760" s="2" t="s">
        <v>1776</v>
      </c>
      <c r="C2760" s="2" t="s">
        <v>1585</v>
      </c>
      <c r="D2760" s="2" t="s">
        <v>28</v>
      </c>
      <c r="E2760" s="2" t="s">
        <v>29</v>
      </c>
      <c r="F2760" s="2">
        <v>90</v>
      </c>
      <c r="G2760" s="2" t="s">
        <v>7055</v>
      </c>
      <c r="H2760" s="2" t="s">
        <v>724</v>
      </c>
      <c r="I2760" s="2" t="s">
        <v>240</v>
      </c>
      <c r="J2760" s="3">
        <v>43996</v>
      </c>
      <c r="K2760" s="2">
        <v>46</v>
      </c>
      <c r="L2760" s="2" t="s">
        <v>64</v>
      </c>
    </row>
    <row r="2761" spans="1:12" x14ac:dyDescent="0.3">
      <c r="A2761" s="2">
        <v>2750</v>
      </c>
      <c r="B2761" s="2" t="s">
        <v>4912</v>
      </c>
      <c r="C2761" s="2" t="s">
        <v>5012</v>
      </c>
      <c r="D2761" s="2" t="s">
        <v>15</v>
      </c>
      <c r="E2761" s="2" t="s">
        <v>16</v>
      </c>
      <c r="F2761" s="2">
        <v>30</v>
      </c>
      <c r="G2761" s="2" t="s">
        <v>7057</v>
      </c>
      <c r="H2761" s="2" t="s">
        <v>5036</v>
      </c>
      <c r="I2761" s="2" t="s">
        <v>32</v>
      </c>
      <c r="J2761" s="3">
        <v>44600</v>
      </c>
      <c r="K2761" s="2">
        <v>92</v>
      </c>
      <c r="L2761" s="2" t="s">
        <v>70</v>
      </c>
    </row>
    <row r="2762" spans="1:12" x14ac:dyDescent="0.3">
      <c r="A2762" s="2">
        <v>2751</v>
      </c>
      <c r="B2762" s="2" t="s">
        <v>7058</v>
      </c>
      <c r="C2762" s="2" t="s">
        <v>2427</v>
      </c>
      <c r="D2762" s="2" t="s">
        <v>15</v>
      </c>
      <c r="E2762" s="2" t="s">
        <v>16</v>
      </c>
      <c r="F2762" s="2">
        <v>30</v>
      </c>
      <c r="G2762" s="2" t="s">
        <v>7059</v>
      </c>
      <c r="H2762" s="2" t="s">
        <v>1242</v>
      </c>
      <c r="I2762" s="2" t="s">
        <v>38</v>
      </c>
      <c r="J2762" s="3">
        <v>44092</v>
      </c>
      <c r="K2762" s="2">
        <v>25</v>
      </c>
      <c r="L2762" s="2" t="s">
        <v>33</v>
      </c>
    </row>
    <row r="2763" spans="1:12" x14ac:dyDescent="0.3">
      <c r="A2763" s="2">
        <v>2752</v>
      </c>
      <c r="B2763" s="2" t="s">
        <v>2088</v>
      </c>
      <c r="C2763" s="2" t="s">
        <v>3071</v>
      </c>
      <c r="D2763" s="2" t="s">
        <v>51</v>
      </c>
      <c r="E2763" s="2" t="s">
        <v>16</v>
      </c>
      <c r="F2763" s="2">
        <v>60</v>
      </c>
      <c r="G2763" s="2" t="s">
        <v>7059</v>
      </c>
      <c r="H2763" s="2" t="s">
        <v>330</v>
      </c>
      <c r="I2763" s="2" t="s">
        <v>32</v>
      </c>
      <c r="J2763" s="3">
        <v>44785</v>
      </c>
      <c r="K2763" s="2">
        <v>27</v>
      </c>
      <c r="L2763" s="2" t="s">
        <v>70</v>
      </c>
    </row>
    <row r="2764" spans="1:12" x14ac:dyDescent="0.3">
      <c r="A2764" s="2">
        <v>2753</v>
      </c>
      <c r="B2764" s="2" t="s">
        <v>5147</v>
      </c>
      <c r="C2764" s="2" t="s">
        <v>258</v>
      </c>
      <c r="D2764" s="2" t="s">
        <v>28</v>
      </c>
      <c r="E2764" s="2" t="s">
        <v>29</v>
      </c>
      <c r="F2764" s="2">
        <v>60</v>
      </c>
      <c r="G2764" s="2" t="s">
        <v>7060</v>
      </c>
      <c r="H2764" s="2" t="s">
        <v>1280</v>
      </c>
      <c r="I2764" s="2" t="s">
        <v>95</v>
      </c>
      <c r="J2764" s="3">
        <v>44911</v>
      </c>
      <c r="K2764" s="2">
        <v>77</v>
      </c>
      <c r="L2764" s="2" t="s">
        <v>70</v>
      </c>
    </row>
    <row r="2765" spans="1:12" x14ac:dyDescent="0.3">
      <c r="A2765" s="2">
        <v>2754</v>
      </c>
      <c r="B2765" s="2" t="s">
        <v>7061</v>
      </c>
      <c r="C2765" s="2" t="s">
        <v>7000</v>
      </c>
      <c r="D2765" s="2" t="s">
        <v>28</v>
      </c>
      <c r="E2765" s="2" t="s">
        <v>29</v>
      </c>
      <c r="F2765" s="2">
        <v>90</v>
      </c>
      <c r="G2765" s="2" t="s">
        <v>7060</v>
      </c>
      <c r="H2765" s="2" t="s">
        <v>1173</v>
      </c>
      <c r="I2765" s="2" t="s">
        <v>32</v>
      </c>
      <c r="J2765" s="3">
        <v>44632</v>
      </c>
      <c r="K2765" s="2">
        <v>92</v>
      </c>
      <c r="L2765" s="2" t="s">
        <v>159</v>
      </c>
    </row>
    <row r="2766" spans="1:12" x14ac:dyDescent="0.3">
      <c r="A2766" s="2">
        <v>2755</v>
      </c>
      <c r="B2766" s="2" t="s">
        <v>3438</v>
      </c>
      <c r="C2766" s="2" t="s">
        <v>7062</v>
      </c>
      <c r="D2766" s="2" t="s">
        <v>28</v>
      </c>
      <c r="E2766" s="2" t="s">
        <v>29</v>
      </c>
      <c r="F2766" s="2">
        <v>60</v>
      </c>
      <c r="G2766" s="2" t="s">
        <v>7063</v>
      </c>
      <c r="H2766" s="2" t="s">
        <v>1712</v>
      </c>
      <c r="I2766" s="2" t="s">
        <v>187</v>
      </c>
      <c r="J2766" s="3">
        <v>44701</v>
      </c>
      <c r="K2766" s="2">
        <v>50</v>
      </c>
      <c r="L2766" s="2" t="s">
        <v>64</v>
      </c>
    </row>
    <row r="2767" spans="1:12" x14ac:dyDescent="0.3">
      <c r="A2767" s="2">
        <v>2756</v>
      </c>
      <c r="B2767" s="2" t="s">
        <v>7064</v>
      </c>
      <c r="C2767" s="2" t="s">
        <v>6226</v>
      </c>
      <c r="D2767" s="2" t="s">
        <v>51</v>
      </c>
      <c r="E2767" s="2" t="s">
        <v>16</v>
      </c>
      <c r="F2767" s="2">
        <v>60</v>
      </c>
      <c r="G2767" s="2" t="s">
        <v>7065</v>
      </c>
      <c r="H2767" s="2" t="s">
        <v>2418</v>
      </c>
      <c r="I2767" s="2" t="s">
        <v>32</v>
      </c>
      <c r="J2767" s="3">
        <v>44562</v>
      </c>
      <c r="K2767" s="2">
        <v>6</v>
      </c>
      <c r="L2767" s="2" t="s">
        <v>39</v>
      </c>
    </row>
    <row r="2768" spans="1:12" x14ac:dyDescent="0.3">
      <c r="A2768" s="2">
        <v>2757</v>
      </c>
      <c r="B2768" s="2" t="s">
        <v>7066</v>
      </c>
      <c r="C2768" s="2" t="s">
        <v>3137</v>
      </c>
      <c r="D2768" s="2" t="s">
        <v>41</v>
      </c>
      <c r="E2768" s="2" t="s">
        <v>16</v>
      </c>
      <c r="F2768" s="2">
        <v>30</v>
      </c>
      <c r="G2768" s="2" t="s">
        <v>7067</v>
      </c>
      <c r="H2768" s="2" t="s">
        <v>3288</v>
      </c>
      <c r="I2768" s="2" t="s">
        <v>32</v>
      </c>
      <c r="J2768" s="3">
        <v>44401</v>
      </c>
      <c r="K2768" s="2">
        <v>9</v>
      </c>
      <c r="L2768" s="2" t="s">
        <v>64</v>
      </c>
    </row>
    <row r="2769" spans="1:12" x14ac:dyDescent="0.3">
      <c r="A2769" s="2">
        <v>2758</v>
      </c>
      <c r="B2769" s="2" t="s">
        <v>2679</v>
      </c>
      <c r="C2769" s="2" t="s">
        <v>3439</v>
      </c>
      <c r="D2769" s="2" t="s">
        <v>28</v>
      </c>
      <c r="E2769" s="2" t="s">
        <v>29</v>
      </c>
      <c r="F2769" s="2">
        <v>60</v>
      </c>
      <c r="G2769" s="2" t="s">
        <v>7068</v>
      </c>
      <c r="H2769" s="2" t="s">
        <v>6770</v>
      </c>
      <c r="I2769" s="2" t="s">
        <v>124</v>
      </c>
      <c r="J2769" s="3">
        <v>43837</v>
      </c>
      <c r="K2769" s="2">
        <v>72</v>
      </c>
      <c r="L2769" s="2" t="s">
        <v>101</v>
      </c>
    </row>
    <row r="2770" spans="1:12" x14ac:dyDescent="0.3">
      <c r="A2770" s="2">
        <v>2759</v>
      </c>
      <c r="B2770" s="2" t="s">
        <v>7069</v>
      </c>
      <c r="C2770" s="2" t="s">
        <v>7070</v>
      </c>
      <c r="D2770" s="2" t="s">
        <v>28</v>
      </c>
      <c r="E2770" s="2" t="s">
        <v>29</v>
      </c>
      <c r="F2770" s="2">
        <v>30</v>
      </c>
      <c r="G2770" s="2" t="s">
        <v>7071</v>
      </c>
      <c r="H2770" s="2" t="s">
        <v>1221</v>
      </c>
      <c r="I2770" s="2" t="s">
        <v>124</v>
      </c>
      <c r="J2770" s="3">
        <v>44776</v>
      </c>
      <c r="K2770" s="2">
        <v>25</v>
      </c>
      <c r="L2770" s="2" t="s">
        <v>39</v>
      </c>
    </row>
    <row r="2771" spans="1:12" x14ac:dyDescent="0.3">
      <c r="A2771" s="2">
        <v>2760</v>
      </c>
      <c r="B2771" s="2" t="s">
        <v>3310</v>
      </c>
      <c r="C2771" s="2" t="s">
        <v>2637</v>
      </c>
      <c r="D2771" s="2" t="s">
        <v>28</v>
      </c>
      <c r="E2771" s="2" t="s">
        <v>29</v>
      </c>
      <c r="F2771" s="2">
        <v>90</v>
      </c>
      <c r="G2771" s="2" t="s">
        <v>7072</v>
      </c>
      <c r="H2771" s="2" t="s">
        <v>1052</v>
      </c>
      <c r="I2771" s="2" t="s">
        <v>32</v>
      </c>
      <c r="J2771" s="3">
        <v>44845</v>
      </c>
      <c r="K2771" s="2">
        <v>87</v>
      </c>
      <c r="L2771" s="2" t="s">
        <v>80</v>
      </c>
    </row>
    <row r="2772" spans="1:12" x14ac:dyDescent="0.3">
      <c r="A2772" s="2">
        <v>2761</v>
      </c>
      <c r="B2772" s="2" t="s">
        <v>5497</v>
      </c>
      <c r="C2772" s="2" t="s">
        <v>7073</v>
      </c>
      <c r="D2772" s="2" t="s">
        <v>28</v>
      </c>
      <c r="E2772" s="2" t="s">
        <v>29</v>
      </c>
      <c r="F2772" s="2">
        <v>60</v>
      </c>
      <c r="G2772" s="2" t="s">
        <v>7074</v>
      </c>
      <c r="H2772" s="2" t="s">
        <v>599</v>
      </c>
      <c r="I2772" s="2" t="s">
        <v>32</v>
      </c>
      <c r="J2772" s="3">
        <v>44851</v>
      </c>
      <c r="K2772" s="2">
        <v>78</v>
      </c>
      <c r="L2772" s="2" t="s">
        <v>70</v>
      </c>
    </row>
    <row r="2773" spans="1:12" x14ac:dyDescent="0.3">
      <c r="A2773" s="2">
        <v>2762</v>
      </c>
      <c r="B2773" s="2" t="s">
        <v>5916</v>
      </c>
      <c r="C2773" s="2" t="s">
        <v>3621</v>
      </c>
      <c r="D2773" s="2" t="s">
        <v>28</v>
      </c>
      <c r="E2773" s="2" t="s">
        <v>29</v>
      </c>
      <c r="F2773" s="2">
        <v>90</v>
      </c>
      <c r="G2773" s="2" t="s">
        <v>7075</v>
      </c>
      <c r="H2773" s="2" t="s">
        <v>3545</v>
      </c>
      <c r="I2773" s="2" t="s">
        <v>32</v>
      </c>
      <c r="J2773" s="3">
        <v>44296</v>
      </c>
      <c r="K2773" s="2">
        <v>9</v>
      </c>
      <c r="L2773" s="2" t="s">
        <v>39</v>
      </c>
    </row>
    <row r="2774" spans="1:12" x14ac:dyDescent="0.3">
      <c r="A2774" s="2">
        <v>2763</v>
      </c>
      <c r="B2774" s="2" t="s">
        <v>7076</v>
      </c>
      <c r="C2774" s="2" t="s">
        <v>365</v>
      </c>
      <c r="D2774" s="2" t="s">
        <v>28</v>
      </c>
      <c r="E2774" s="2" t="s">
        <v>29</v>
      </c>
      <c r="F2774" s="2">
        <v>30</v>
      </c>
      <c r="G2774" s="2" t="s">
        <v>7077</v>
      </c>
      <c r="H2774" s="2" t="s">
        <v>2035</v>
      </c>
      <c r="I2774" s="2" t="s">
        <v>32</v>
      </c>
      <c r="J2774" s="3">
        <v>44743</v>
      </c>
      <c r="K2774" s="2">
        <v>40</v>
      </c>
      <c r="L2774" s="2" t="s">
        <v>45</v>
      </c>
    </row>
    <row r="2775" spans="1:12" x14ac:dyDescent="0.3">
      <c r="A2775" s="2">
        <v>2764</v>
      </c>
      <c r="B2775" s="2" t="s">
        <v>305</v>
      </c>
      <c r="C2775" s="2" t="s">
        <v>7078</v>
      </c>
      <c r="D2775" s="2" t="s">
        <v>28</v>
      </c>
      <c r="E2775" s="2" t="s">
        <v>29</v>
      </c>
      <c r="F2775" s="2">
        <v>90</v>
      </c>
      <c r="G2775" s="2" t="s">
        <v>7079</v>
      </c>
      <c r="H2775" s="2" t="s">
        <v>2336</v>
      </c>
      <c r="I2775" s="2" t="s">
        <v>32</v>
      </c>
      <c r="J2775" s="3">
        <v>44403</v>
      </c>
      <c r="K2775" s="2">
        <v>74</v>
      </c>
      <c r="L2775" s="2" t="s">
        <v>33</v>
      </c>
    </row>
    <row r="2776" spans="1:12" x14ac:dyDescent="0.3">
      <c r="A2776" s="2">
        <v>2765</v>
      </c>
      <c r="B2776" s="2" t="s">
        <v>7080</v>
      </c>
      <c r="C2776" s="2" t="s">
        <v>2643</v>
      </c>
      <c r="D2776" s="2" t="s">
        <v>15</v>
      </c>
      <c r="E2776" s="2" t="s">
        <v>16</v>
      </c>
      <c r="F2776" s="2">
        <v>90</v>
      </c>
      <c r="G2776" s="2" t="s">
        <v>7081</v>
      </c>
      <c r="H2776" s="2" t="s">
        <v>447</v>
      </c>
      <c r="I2776" s="2" t="s">
        <v>32</v>
      </c>
      <c r="J2776" s="3">
        <v>44654</v>
      </c>
      <c r="K2776" s="2">
        <v>85</v>
      </c>
      <c r="L2776" s="2" t="s">
        <v>45</v>
      </c>
    </row>
    <row r="2777" spans="1:12" x14ac:dyDescent="0.3">
      <c r="A2777" s="2">
        <v>2766</v>
      </c>
      <c r="B2777" s="2" t="s">
        <v>6578</v>
      </c>
      <c r="C2777" s="2" t="s">
        <v>4695</v>
      </c>
      <c r="D2777" s="2" t="s">
        <v>28</v>
      </c>
      <c r="E2777" s="2" t="s">
        <v>29</v>
      </c>
      <c r="F2777" s="2">
        <v>60</v>
      </c>
      <c r="G2777" s="2" t="s">
        <v>7082</v>
      </c>
      <c r="H2777" s="2" t="s">
        <v>912</v>
      </c>
      <c r="I2777" s="2" t="s">
        <v>913</v>
      </c>
      <c r="J2777" s="3">
        <v>43951</v>
      </c>
      <c r="K2777" s="2">
        <v>55</v>
      </c>
      <c r="L2777" s="2" t="s">
        <v>64</v>
      </c>
    </row>
    <row r="2778" spans="1:12" x14ac:dyDescent="0.3">
      <c r="A2778" s="2">
        <v>2767</v>
      </c>
      <c r="B2778" s="2" t="s">
        <v>4724</v>
      </c>
      <c r="C2778" s="2" t="s">
        <v>1669</v>
      </c>
      <c r="D2778" s="2" t="s">
        <v>28</v>
      </c>
      <c r="E2778" s="2" t="s">
        <v>29</v>
      </c>
      <c r="F2778" s="2">
        <v>90</v>
      </c>
      <c r="G2778" s="2" t="s">
        <v>7082</v>
      </c>
      <c r="H2778" s="2" t="s">
        <v>7083</v>
      </c>
      <c r="I2778" s="2" t="s">
        <v>294</v>
      </c>
      <c r="J2778" s="3">
        <v>44256</v>
      </c>
      <c r="K2778" s="2">
        <v>31</v>
      </c>
      <c r="L2778" s="2" t="s">
        <v>20</v>
      </c>
    </row>
    <row r="2779" spans="1:12" x14ac:dyDescent="0.3">
      <c r="A2779" s="2">
        <v>2768</v>
      </c>
      <c r="B2779" s="2" t="s">
        <v>1644</v>
      </c>
      <c r="C2779" s="2" t="s">
        <v>3600</v>
      </c>
      <c r="D2779" s="2" t="s">
        <v>15</v>
      </c>
      <c r="E2779" s="2" t="s">
        <v>16</v>
      </c>
      <c r="F2779" s="2">
        <v>90</v>
      </c>
      <c r="G2779" s="2" t="s">
        <v>7084</v>
      </c>
      <c r="H2779" s="2" t="s">
        <v>2357</v>
      </c>
      <c r="I2779" s="2" t="s">
        <v>32</v>
      </c>
      <c r="J2779" s="3">
        <v>44790</v>
      </c>
      <c r="K2779" s="2">
        <v>21</v>
      </c>
      <c r="L2779" s="2" t="s">
        <v>80</v>
      </c>
    </row>
    <row r="2780" spans="1:12" x14ac:dyDescent="0.3">
      <c r="A2780" s="2">
        <v>2769</v>
      </c>
      <c r="B2780" s="2" t="s">
        <v>7085</v>
      </c>
      <c r="C2780" s="2" t="s">
        <v>7086</v>
      </c>
      <c r="D2780" s="2" t="s">
        <v>15</v>
      </c>
      <c r="E2780" s="2" t="s">
        <v>16</v>
      </c>
      <c r="F2780" s="2">
        <v>60</v>
      </c>
      <c r="G2780" s="2" t="s">
        <v>10533</v>
      </c>
      <c r="H2780" s="2" t="s">
        <v>4924</v>
      </c>
      <c r="I2780" s="2" t="s">
        <v>32</v>
      </c>
      <c r="J2780" s="3">
        <v>44275</v>
      </c>
      <c r="K2780" s="2">
        <v>95</v>
      </c>
      <c r="L2780" s="2" t="s">
        <v>80</v>
      </c>
    </row>
    <row r="2781" spans="1:12" x14ac:dyDescent="0.3">
      <c r="A2781" s="2">
        <v>2770</v>
      </c>
      <c r="B2781" s="2" t="s">
        <v>4986</v>
      </c>
      <c r="C2781" s="2" t="s">
        <v>1296</v>
      </c>
      <c r="D2781" s="2" t="s">
        <v>51</v>
      </c>
      <c r="E2781" s="2" t="s">
        <v>16</v>
      </c>
      <c r="F2781" s="2">
        <v>30</v>
      </c>
      <c r="G2781" s="2" t="s">
        <v>7088</v>
      </c>
      <c r="H2781" s="2" t="s">
        <v>2526</v>
      </c>
      <c r="I2781" s="2" t="s">
        <v>95</v>
      </c>
      <c r="J2781" s="3">
        <v>44410</v>
      </c>
      <c r="K2781" s="2">
        <v>8</v>
      </c>
      <c r="L2781" s="2" t="s">
        <v>64</v>
      </c>
    </row>
    <row r="2782" spans="1:12" x14ac:dyDescent="0.3">
      <c r="A2782" s="2">
        <v>2771</v>
      </c>
      <c r="B2782" s="2" t="s">
        <v>7089</v>
      </c>
      <c r="C2782" s="2" t="s">
        <v>6439</v>
      </c>
      <c r="D2782" s="2" t="s">
        <v>92</v>
      </c>
      <c r="E2782" s="2" t="s">
        <v>16</v>
      </c>
      <c r="F2782" s="2">
        <v>60</v>
      </c>
      <c r="G2782" s="2" t="s">
        <v>7090</v>
      </c>
      <c r="H2782" s="2" t="s">
        <v>138</v>
      </c>
      <c r="I2782" s="2" t="s">
        <v>294</v>
      </c>
      <c r="J2782" s="3">
        <v>44405</v>
      </c>
      <c r="K2782" s="2">
        <v>16</v>
      </c>
      <c r="L2782" s="2" t="s">
        <v>70</v>
      </c>
    </row>
    <row r="2783" spans="1:12" x14ac:dyDescent="0.3">
      <c r="A2783" s="2">
        <v>2772</v>
      </c>
      <c r="B2783" s="2" t="s">
        <v>3696</v>
      </c>
      <c r="C2783" s="2" t="s">
        <v>4226</v>
      </c>
      <c r="D2783" s="2" t="s">
        <v>15</v>
      </c>
      <c r="E2783" s="2" t="s">
        <v>16</v>
      </c>
      <c r="F2783" s="2">
        <v>60</v>
      </c>
      <c r="G2783" s="2" t="s">
        <v>7091</v>
      </c>
      <c r="H2783" s="2" t="s">
        <v>7092</v>
      </c>
      <c r="I2783" s="2" t="s">
        <v>32</v>
      </c>
      <c r="J2783" s="3">
        <v>44183</v>
      </c>
      <c r="K2783" s="2">
        <v>71</v>
      </c>
      <c r="L2783" s="2" t="s">
        <v>39</v>
      </c>
    </row>
    <row r="2784" spans="1:12" x14ac:dyDescent="0.3">
      <c r="A2784" s="2">
        <v>2773</v>
      </c>
      <c r="B2784" s="2" t="s">
        <v>34</v>
      </c>
      <c r="C2784" s="2" t="s">
        <v>2474</v>
      </c>
      <c r="D2784" s="2" t="s">
        <v>28</v>
      </c>
      <c r="E2784" s="2" t="s">
        <v>29</v>
      </c>
      <c r="F2784" s="2">
        <v>30</v>
      </c>
      <c r="G2784" s="2" t="s">
        <v>7093</v>
      </c>
      <c r="H2784" s="2" t="s">
        <v>145</v>
      </c>
      <c r="I2784" s="2" t="s">
        <v>146</v>
      </c>
      <c r="J2784" s="3">
        <v>43867</v>
      </c>
      <c r="K2784" s="2">
        <v>17</v>
      </c>
      <c r="L2784" s="2" t="s">
        <v>64</v>
      </c>
    </row>
    <row r="2785" spans="1:12" x14ac:dyDescent="0.3">
      <c r="A2785" s="2">
        <v>2774</v>
      </c>
      <c r="B2785" s="2" t="s">
        <v>3388</v>
      </c>
      <c r="C2785" s="2" t="s">
        <v>1746</v>
      </c>
      <c r="D2785" s="2" t="s">
        <v>15</v>
      </c>
      <c r="E2785" s="2" t="s">
        <v>16</v>
      </c>
      <c r="F2785" s="2">
        <v>60</v>
      </c>
      <c r="G2785" s="2" t="s">
        <v>7094</v>
      </c>
      <c r="H2785" s="2" t="s">
        <v>793</v>
      </c>
      <c r="I2785" s="2" t="s">
        <v>178</v>
      </c>
      <c r="J2785" s="3">
        <v>44705</v>
      </c>
      <c r="K2785" s="2">
        <v>46</v>
      </c>
      <c r="L2785" s="2" t="s">
        <v>54</v>
      </c>
    </row>
    <row r="2786" spans="1:12" x14ac:dyDescent="0.3">
      <c r="A2786" s="2">
        <v>2775</v>
      </c>
      <c r="B2786" s="2" t="s">
        <v>7095</v>
      </c>
      <c r="C2786" s="2" t="s">
        <v>418</v>
      </c>
      <c r="D2786" s="2" t="s">
        <v>28</v>
      </c>
      <c r="E2786" s="2" t="s">
        <v>29</v>
      </c>
      <c r="F2786" s="2">
        <v>60</v>
      </c>
      <c r="G2786" s="2" t="s">
        <v>7096</v>
      </c>
      <c r="H2786" s="2" t="s">
        <v>3271</v>
      </c>
      <c r="I2786" s="2" t="s">
        <v>173</v>
      </c>
      <c r="J2786" s="3">
        <v>44906</v>
      </c>
      <c r="K2786" s="2">
        <v>84</v>
      </c>
      <c r="L2786" s="2" t="s">
        <v>45</v>
      </c>
    </row>
    <row r="2787" spans="1:12" x14ac:dyDescent="0.3">
      <c r="A2787" s="2">
        <v>2776</v>
      </c>
      <c r="B2787" s="2" t="s">
        <v>929</v>
      </c>
      <c r="C2787" s="2" t="s">
        <v>2355</v>
      </c>
      <c r="D2787" s="2" t="s">
        <v>28</v>
      </c>
      <c r="E2787" s="2" t="s">
        <v>29</v>
      </c>
      <c r="F2787" s="2">
        <v>60</v>
      </c>
      <c r="G2787" s="2" t="s">
        <v>7097</v>
      </c>
      <c r="H2787" s="2" t="s">
        <v>1194</v>
      </c>
      <c r="I2787" s="2" t="s">
        <v>38</v>
      </c>
      <c r="J2787" s="3">
        <v>44357</v>
      </c>
      <c r="K2787" s="2">
        <v>53</v>
      </c>
      <c r="L2787" s="2" t="s">
        <v>45</v>
      </c>
    </row>
    <row r="2788" spans="1:12" x14ac:dyDescent="0.3">
      <c r="A2788" s="2">
        <v>2777</v>
      </c>
      <c r="B2788" s="2" t="s">
        <v>7098</v>
      </c>
      <c r="C2788" s="2" t="s">
        <v>7099</v>
      </c>
      <c r="D2788" s="2" t="s">
        <v>15</v>
      </c>
      <c r="E2788" s="2" t="s">
        <v>16</v>
      </c>
      <c r="F2788" s="2">
        <v>90</v>
      </c>
      <c r="G2788" s="2" t="s">
        <v>7100</v>
      </c>
      <c r="H2788" s="2" t="s">
        <v>145</v>
      </c>
      <c r="I2788" s="2" t="s">
        <v>146</v>
      </c>
      <c r="J2788" s="3">
        <v>44268</v>
      </c>
      <c r="K2788" s="2">
        <v>83</v>
      </c>
      <c r="L2788" s="2" t="s">
        <v>64</v>
      </c>
    </row>
    <row r="2789" spans="1:12" x14ac:dyDescent="0.3">
      <c r="A2789" s="2">
        <v>2778</v>
      </c>
      <c r="B2789" s="2" t="s">
        <v>7101</v>
      </c>
      <c r="C2789" s="2" t="s">
        <v>6436</v>
      </c>
      <c r="D2789" s="2" t="s">
        <v>51</v>
      </c>
      <c r="E2789" s="2" t="s">
        <v>16</v>
      </c>
      <c r="F2789" s="2">
        <v>60</v>
      </c>
      <c r="G2789" s="2" t="s">
        <v>7102</v>
      </c>
      <c r="H2789" s="2" t="s">
        <v>2896</v>
      </c>
      <c r="I2789" s="2" t="s">
        <v>110</v>
      </c>
      <c r="J2789" s="3">
        <v>43833</v>
      </c>
      <c r="K2789" s="2">
        <v>51</v>
      </c>
      <c r="L2789" s="2" t="s">
        <v>70</v>
      </c>
    </row>
    <row r="2790" spans="1:12" x14ac:dyDescent="0.3">
      <c r="A2790" s="2">
        <v>2779</v>
      </c>
      <c r="B2790" s="2" t="s">
        <v>6072</v>
      </c>
      <c r="C2790" s="2" t="s">
        <v>2488</v>
      </c>
      <c r="D2790" s="2" t="s">
        <v>28</v>
      </c>
      <c r="E2790" s="2" t="s">
        <v>29</v>
      </c>
      <c r="F2790" s="2">
        <v>30</v>
      </c>
      <c r="G2790" s="2" t="s">
        <v>7103</v>
      </c>
      <c r="H2790" s="2" t="s">
        <v>1206</v>
      </c>
      <c r="I2790" s="2" t="s">
        <v>294</v>
      </c>
      <c r="J2790" s="3">
        <v>44158</v>
      </c>
      <c r="K2790" s="2">
        <v>34</v>
      </c>
      <c r="L2790" s="2" t="s">
        <v>39</v>
      </c>
    </row>
    <row r="2791" spans="1:12" x14ac:dyDescent="0.3">
      <c r="A2791" s="2">
        <v>2780</v>
      </c>
      <c r="B2791" s="2" t="s">
        <v>7104</v>
      </c>
      <c r="C2791" s="2" t="s">
        <v>4558</v>
      </c>
      <c r="D2791" s="2" t="s">
        <v>28</v>
      </c>
      <c r="E2791" s="2" t="s">
        <v>29</v>
      </c>
      <c r="F2791" s="2">
        <v>60</v>
      </c>
      <c r="G2791" s="2" t="s">
        <v>7105</v>
      </c>
      <c r="H2791" s="2" t="s">
        <v>4924</v>
      </c>
      <c r="I2791" s="2" t="s">
        <v>32</v>
      </c>
      <c r="J2791" s="3">
        <v>44386</v>
      </c>
      <c r="K2791" s="2">
        <v>3</v>
      </c>
      <c r="L2791" s="2" t="s">
        <v>159</v>
      </c>
    </row>
    <row r="2792" spans="1:12" x14ac:dyDescent="0.3">
      <c r="A2792" s="2">
        <v>2781</v>
      </c>
      <c r="B2792" s="2" t="s">
        <v>7106</v>
      </c>
      <c r="C2792" s="2" t="s">
        <v>391</v>
      </c>
      <c r="D2792" s="2" t="s">
        <v>15</v>
      </c>
      <c r="E2792" s="2" t="s">
        <v>16</v>
      </c>
      <c r="F2792" s="2">
        <v>30</v>
      </c>
      <c r="G2792" s="2" t="s">
        <v>7107</v>
      </c>
      <c r="H2792" s="2" t="s">
        <v>917</v>
      </c>
      <c r="I2792" s="2" t="s">
        <v>32</v>
      </c>
      <c r="J2792" s="3">
        <v>43841</v>
      </c>
      <c r="K2792" s="2">
        <v>28</v>
      </c>
      <c r="L2792" s="2" t="s">
        <v>33</v>
      </c>
    </row>
    <row r="2793" spans="1:12" x14ac:dyDescent="0.3">
      <c r="A2793" s="2">
        <v>2782</v>
      </c>
      <c r="B2793" s="2" t="s">
        <v>7108</v>
      </c>
      <c r="C2793" s="2" t="s">
        <v>1543</v>
      </c>
      <c r="D2793" s="2" t="s">
        <v>92</v>
      </c>
      <c r="E2793" s="2" t="s">
        <v>29</v>
      </c>
      <c r="F2793" s="2">
        <v>90</v>
      </c>
      <c r="G2793" s="2" t="s">
        <v>7109</v>
      </c>
      <c r="H2793" s="2" t="s">
        <v>3064</v>
      </c>
      <c r="I2793" s="2" t="s">
        <v>32</v>
      </c>
      <c r="J2793" s="3">
        <v>44443</v>
      </c>
      <c r="K2793" s="2">
        <v>57</v>
      </c>
      <c r="L2793" s="2" t="s">
        <v>54</v>
      </c>
    </row>
    <row r="2794" spans="1:12" x14ac:dyDescent="0.3">
      <c r="A2794" s="2">
        <v>2783</v>
      </c>
      <c r="B2794" s="2" t="s">
        <v>4286</v>
      </c>
      <c r="C2794" s="2" t="s">
        <v>5862</v>
      </c>
      <c r="D2794" s="2" t="s">
        <v>28</v>
      </c>
      <c r="E2794" s="2" t="s">
        <v>29</v>
      </c>
      <c r="F2794" s="2">
        <v>30</v>
      </c>
      <c r="G2794" s="2" t="s">
        <v>7110</v>
      </c>
      <c r="H2794" s="2" t="s">
        <v>7049</v>
      </c>
      <c r="I2794" s="2" t="s">
        <v>32</v>
      </c>
      <c r="J2794" s="3">
        <v>44774</v>
      </c>
      <c r="K2794" s="2">
        <v>98</v>
      </c>
      <c r="L2794" s="2" t="s">
        <v>101</v>
      </c>
    </row>
    <row r="2795" spans="1:12" x14ac:dyDescent="0.3">
      <c r="A2795" s="2">
        <v>2784</v>
      </c>
      <c r="B2795" s="2" t="s">
        <v>1316</v>
      </c>
      <c r="C2795" s="2" t="s">
        <v>7111</v>
      </c>
      <c r="D2795" s="2" t="s">
        <v>28</v>
      </c>
      <c r="E2795" s="2" t="s">
        <v>29</v>
      </c>
      <c r="F2795" s="2">
        <v>90</v>
      </c>
      <c r="G2795" s="2" t="s">
        <v>7112</v>
      </c>
      <c r="H2795" s="2" t="s">
        <v>3446</v>
      </c>
      <c r="I2795" s="2" t="s">
        <v>32</v>
      </c>
      <c r="J2795" s="3">
        <v>44290</v>
      </c>
      <c r="K2795" s="2">
        <v>59</v>
      </c>
      <c r="L2795" s="2" t="s">
        <v>80</v>
      </c>
    </row>
    <row r="2796" spans="1:12" x14ac:dyDescent="0.3">
      <c r="A2796" s="2">
        <v>2785</v>
      </c>
      <c r="B2796" s="2" t="s">
        <v>692</v>
      </c>
      <c r="C2796" s="2" t="s">
        <v>6661</v>
      </c>
      <c r="D2796" s="2" t="s">
        <v>28</v>
      </c>
      <c r="E2796" s="2" t="s">
        <v>29</v>
      </c>
      <c r="F2796" s="2">
        <v>90</v>
      </c>
      <c r="G2796" s="2" t="s">
        <v>7113</v>
      </c>
      <c r="H2796" s="2" t="s">
        <v>2172</v>
      </c>
      <c r="I2796" s="2" t="s">
        <v>32</v>
      </c>
      <c r="J2796" s="3">
        <v>44673</v>
      </c>
      <c r="K2796" s="2">
        <v>31</v>
      </c>
      <c r="L2796" s="2" t="s">
        <v>45</v>
      </c>
    </row>
    <row r="2797" spans="1:12" x14ac:dyDescent="0.3">
      <c r="A2797" s="2">
        <v>2786</v>
      </c>
      <c r="B2797" s="2" t="s">
        <v>7114</v>
      </c>
      <c r="C2797" s="2" t="s">
        <v>520</v>
      </c>
      <c r="D2797" s="2" t="s">
        <v>28</v>
      </c>
      <c r="E2797" s="2" t="s">
        <v>29</v>
      </c>
      <c r="F2797" s="2">
        <v>60</v>
      </c>
      <c r="G2797" s="2" t="s">
        <v>7115</v>
      </c>
      <c r="H2797" s="2" t="s">
        <v>2717</v>
      </c>
      <c r="I2797" s="2" t="s">
        <v>1889</v>
      </c>
      <c r="J2797" s="3">
        <v>44327</v>
      </c>
      <c r="K2797" s="2">
        <v>33</v>
      </c>
      <c r="L2797" s="2" t="s">
        <v>70</v>
      </c>
    </row>
    <row r="2798" spans="1:12" x14ac:dyDescent="0.3">
      <c r="A2798" s="2">
        <v>2787</v>
      </c>
      <c r="B2798" s="2" t="s">
        <v>7116</v>
      </c>
      <c r="C2798" s="2" t="s">
        <v>3394</v>
      </c>
      <c r="D2798" s="2" t="s">
        <v>51</v>
      </c>
      <c r="E2798" s="2" t="s">
        <v>16</v>
      </c>
      <c r="F2798" s="2">
        <v>90</v>
      </c>
      <c r="G2798" s="2" t="s">
        <v>7117</v>
      </c>
      <c r="H2798" s="2" t="s">
        <v>7118</v>
      </c>
      <c r="I2798" s="2" t="s">
        <v>2022</v>
      </c>
      <c r="J2798" s="3">
        <v>44790</v>
      </c>
      <c r="K2798" s="2">
        <v>98</v>
      </c>
      <c r="L2798" s="2" t="s">
        <v>64</v>
      </c>
    </row>
    <row r="2799" spans="1:12" x14ac:dyDescent="0.3">
      <c r="A2799" s="2">
        <v>2788</v>
      </c>
      <c r="B2799" s="2" t="s">
        <v>61</v>
      </c>
      <c r="C2799" s="2" t="s">
        <v>3407</v>
      </c>
      <c r="D2799" s="2" t="s">
        <v>28</v>
      </c>
      <c r="E2799" s="2" t="s">
        <v>29</v>
      </c>
      <c r="F2799" s="2">
        <v>90</v>
      </c>
      <c r="G2799" s="2" t="s">
        <v>7119</v>
      </c>
      <c r="H2799" s="2" t="s">
        <v>7120</v>
      </c>
      <c r="I2799" s="2" t="s">
        <v>294</v>
      </c>
      <c r="J2799" s="3">
        <v>44284</v>
      </c>
      <c r="K2799" s="2">
        <v>38</v>
      </c>
      <c r="L2799" s="2" t="s">
        <v>39</v>
      </c>
    </row>
    <row r="2800" spans="1:12" x14ac:dyDescent="0.3">
      <c r="A2800" s="2">
        <v>2789</v>
      </c>
      <c r="B2800" s="2" t="s">
        <v>7121</v>
      </c>
      <c r="C2800" s="2" t="s">
        <v>2909</v>
      </c>
      <c r="D2800" s="2" t="s">
        <v>28</v>
      </c>
      <c r="E2800" s="2" t="s">
        <v>29</v>
      </c>
      <c r="F2800" s="2">
        <v>60</v>
      </c>
      <c r="G2800" s="2" t="s">
        <v>7122</v>
      </c>
      <c r="H2800" s="2" t="s">
        <v>4358</v>
      </c>
      <c r="I2800" s="2" t="s">
        <v>146</v>
      </c>
      <c r="J2800" s="3">
        <v>44664</v>
      </c>
      <c r="K2800" s="2">
        <v>30</v>
      </c>
      <c r="L2800" s="2" t="s">
        <v>54</v>
      </c>
    </row>
    <row r="2801" spans="1:12" x14ac:dyDescent="0.3">
      <c r="A2801" s="2">
        <v>2790</v>
      </c>
      <c r="B2801" s="2" t="s">
        <v>492</v>
      </c>
      <c r="C2801" s="2" t="s">
        <v>7123</v>
      </c>
      <c r="D2801" s="2" t="s">
        <v>28</v>
      </c>
      <c r="E2801" s="2" t="s">
        <v>29</v>
      </c>
      <c r="F2801" s="2">
        <v>90</v>
      </c>
      <c r="G2801" s="2" t="s">
        <v>7122</v>
      </c>
      <c r="H2801" s="2" t="s">
        <v>1674</v>
      </c>
      <c r="I2801" s="2" t="s">
        <v>25</v>
      </c>
      <c r="J2801" s="3">
        <v>44233</v>
      </c>
      <c r="K2801" s="2">
        <v>29</v>
      </c>
      <c r="L2801" s="2" t="s">
        <v>54</v>
      </c>
    </row>
    <row r="2802" spans="1:12" x14ac:dyDescent="0.3">
      <c r="A2802" s="2">
        <v>2791</v>
      </c>
      <c r="B2802" s="2" t="s">
        <v>7124</v>
      </c>
      <c r="C2802" s="2" t="s">
        <v>2467</v>
      </c>
      <c r="D2802" s="2" t="s">
        <v>51</v>
      </c>
      <c r="E2802" s="2" t="s">
        <v>16</v>
      </c>
      <c r="F2802" s="2">
        <v>30</v>
      </c>
      <c r="G2802" s="2" t="s">
        <v>7125</v>
      </c>
      <c r="H2802" s="2" t="s">
        <v>710</v>
      </c>
      <c r="I2802" s="2" t="s">
        <v>187</v>
      </c>
      <c r="J2802" s="3">
        <v>44376</v>
      </c>
      <c r="K2802" s="2">
        <v>16</v>
      </c>
      <c r="L2802" s="2" t="s">
        <v>45</v>
      </c>
    </row>
    <row r="2803" spans="1:12" x14ac:dyDescent="0.3">
      <c r="A2803" s="2">
        <v>2792</v>
      </c>
      <c r="B2803" s="2" t="s">
        <v>1828</v>
      </c>
      <c r="C2803" s="2" t="s">
        <v>2669</v>
      </c>
      <c r="D2803" s="2" t="s">
        <v>28</v>
      </c>
      <c r="E2803" s="2" t="s">
        <v>29</v>
      </c>
      <c r="F2803" s="2">
        <v>60</v>
      </c>
      <c r="G2803" s="2" t="s">
        <v>7126</v>
      </c>
      <c r="H2803" s="2" t="s">
        <v>4090</v>
      </c>
      <c r="I2803" s="2" t="s">
        <v>32</v>
      </c>
      <c r="J2803" s="3">
        <v>44548</v>
      </c>
      <c r="K2803" s="2">
        <v>2</v>
      </c>
      <c r="L2803" s="2" t="s">
        <v>70</v>
      </c>
    </row>
    <row r="2804" spans="1:12" x14ac:dyDescent="0.3">
      <c r="A2804" s="2">
        <v>2793</v>
      </c>
      <c r="B2804" s="2" t="s">
        <v>7127</v>
      </c>
      <c r="C2804" s="2" t="s">
        <v>4548</v>
      </c>
      <c r="D2804" s="2" t="s">
        <v>15</v>
      </c>
      <c r="E2804" s="2" t="s">
        <v>16</v>
      </c>
      <c r="F2804" s="2">
        <v>60</v>
      </c>
      <c r="G2804" s="2" t="s">
        <v>7128</v>
      </c>
      <c r="H2804" s="2" t="s">
        <v>3288</v>
      </c>
      <c r="I2804" s="2" t="s">
        <v>32</v>
      </c>
      <c r="J2804" s="3">
        <v>44330</v>
      </c>
      <c r="K2804" s="2">
        <v>45</v>
      </c>
      <c r="L2804" s="2" t="s">
        <v>54</v>
      </c>
    </row>
    <row r="2805" spans="1:12" x14ac:dyDescent="0.3">
      <c r="A2805" s="2">
        <v>2794</v>
      </c>
      <c r="B2805" s="2" t="s">
        <v>7129</v>
      </c>
      <c r="C2805" s="2" t="s">
        <v>116</v>
      </c>
      <c r="D2805" s="2" t="s">
        <v>15</v>
      </c>
      <c r="E2805" s="2" t="s">
        <v>16</v>
      </c>
      <c r="F2805" s="2">
        <v>30</v>
      </c>
      <c r="G2805" s="2" t="s">
        <v>7130</v>
      </c>
      <c r="H2805" s="2" t="s">
        <v>3291</v>
      </c>
      <c r="I2805" s="2" t="s">
        <v>124</v>
      </c>
      <c r="J2805" s="3">
        <v>44443</v>
      </c>
      <c r="K2805" s="2">
        <v>14</v>
      </c>
      <c r="L2805" s="2" t="s">
        <v>45</v>
      </c>
    </row>
    <row r="2806" spans="1:12" x14ac:dyDescent="0.3">
      <c r="A2806" s="2">
        <v>2795</v>
      </c>
      <c r="B2806" s="2" t="s">
        <v>7131</v>
      </c>
      <c r="C2806" s="2" t="s">
        <v>4974</v>
      </c>
      <c r="D2806" s="2" t="s">
        <v>15</v>
      </c>
      <c r="E2806" s="2" t="s">
        <v>16</v>
      </c>
      <c r="F2806" s="2">
        <v>90</v>
      </c>
      <c r="G2806" s="2" t="s">
        <v>7132</v>
      </c>
      <c r="H2806" s="2" t="s">
        <v>4611</v>
      </c>
      <c r="I2806" s="2" t="s">
        <v>38</v>
      </c>
      <c r="J2806" s="3">
        <v>43979</v>
      </c>
      <c r="K2806" s="2">
        <v>62</v>
      </c>
      <c r="L2806" s="2" t="s">
        <v>64</v>
      </c>
    </row>
    <row r="2807" spans="1:12" x14ac:dyDescent="0.3">
      <c r="A2807" s="2">
        <v>2796</v>
      </c>
      <c r="B2807" s="2" t="s">
        <v>2721</v>
      </c>
      <c r="C2807" s="2" t="s">
        <v>1240</v>
      </c>
      <c r="D2807" s="2" t="s">
        <v>28</v>
      </c>
      <c r="E2807" s="2" t="s">
        <v>29</v>
      </c>
      <c r="F2807" s="2">
        <v>60</v>
      </c>
      <c r="G2807" s="2" t="s">
        <v>7133</v>
      </c>
      <c r="H2807" s="2" t="s">
        <v>495</v>
      </c>
      <c r="I2807" s="2" t="s">
        <v>173</v>
      </c>
      <c r="J2807" s="3">
        <v>44730</v>
      </c>
      <c r="K2807" s="2">
        <v>81</v>
      </c>
      <c r="L2807" s="2" t="s">
        <v>54</v>
      </c>
    </row>
    <row r="2808" spans="1:12" x14ac:dyDescent="0.3">
      <c r="A2808" s="2">
        <v>2797</v>
      </c>
      <c r="B2808" s="2" t="s">
        <v>7134</v>
      </c>
      <c r="C2808" s="2" t="s">
        <v>4600</v>
      </c>
      <c r="D2808" s="2" t="s">
        <v>51</v>
      </c>
      <c r="E2808" s="2" t="s">
        <v>16</v>
      </c>
      <c r="F2808" s="2">
        <v>30</v>
      </c>
      <c r="G2808" s="2" t="s">
        <v>7135</v>
      </c>
      <c r="H2808" s="2" t="s">
        <v>360</v>
      </c>
      <c r="I2808" s="2" t="s">
        <v>25</v>
      </c>
      <c r="J2808" s="3">
        <v>44913</v>
      </c>
      <c r="K2808" s="2">
        <v>100</v>
      </c>
      <c r="L2808" s="2" t="s">
        <v>80</v>
      </c>
    </row>
    <row r="2809" spans="1:12" x14ac:dyDescent="0.3">
      <c r="A2809" s="2">
        <v>2798</v>
      </c>
      <c r="B2809" s="2" t="s">
        <v>7136</v>
      </c>
      <c r="C2809" s="2" t="s">
        <v>3366</v>
      </c>
      <c r="D2809" s="2" t="s">
        <v>117</v>
      </c>
      <c r="E2809" s="2" t="s">
        <v>16</v>
      </c>
      <c r="F2809" s="2">
        <v>90</v>
      </c>
      <c r="G2809" s="2" t="s">
        <v>7137</v>
      </c>
      <c r="H2809" s="2" t="s">
        <v>2097</v>
      </c>
      <c r="I2809" s="2" t="s">
        <v>178</v>
      </c>
      <c r="J2809" s="3">
        <v>44021</v>
      </c>
      <c r="K2809" s="2">
        <v>38</v>
      </c>
      <c r="L2809" s="2" t="s">
        <v>39</v>
      </c>
    </row>
    <row r="2810" spans="1:12" x14ac:dyDescent="0.3">
      <c r="A2810" s="2">
        <v>2799</v>
      </c>
      <c r="B2810" s="2" t="s">
        <v>4939</v>
      </c>
      <c r="C2810" s="2" t="s">
        <v>7138</v>
      </c>
      <c r="D2810" s="2" t="s">
        <v>28</v>
      </c>
      <c r="E2810" s="2" t="s">
        <v>29</v>
      </c>
      <c r="F2810" s="2">
        <v>60</v>
      </c>
      <c r="G2810" s="2" t="s">
        <v>7139</v>
      </c>
      <c r="H2810" s="2" t="s">
        <v>7140</v>
      </c>
      <c r="I2810" s="2" t="s">
        <v>294</v>
      </c>
      <c r="J2810" s="3">
        <v>44599</v>
      </c>
      <c r="K2810" s="2">
        <v>60</v>
      </c>
      <c r="L2810" s="2" t="s">
        <v>45</v>
      </c>
    </row>
    <row r="2811" spans="1:12" x14ac:dyDescent="0.3">
      <c r="A2811" s="2">
        <v>2800</v>
      </c>
      <c r="B2811" s="2" t="s">
        <v>7141</v>
      </c>
      <c r="C2811" s="2" t="s">
        <v>296</v>
      </c>
      <c r="D2811" s="2" t="s">
        <v>15</v>
      </c>
      <c r="E2811" s="2" t="s">
        <v>16</v>
      </c>
      <c r="F2811" s="2">
        <v>60</v>
      </c>
      <c r="G2811" s="2" t="s">
        <v>7142</v>
      </c>
      <c r="H2811" s="2" t="s">
        <v>2908</v>
      </c>
      <c r="I2811" s="2" t="s">
        <v>25</v>
      </c>
      <c r="J2811" s="3">
        <v>44539</v>
      </c>
      <c r="K2811" s="2">
        <v>72</v>
      </c>
      <c r="L2811" s="2" t="s">
        <v>39</v>
      </c>
    </row>
    <row r="2812" spans="1:12" x14ac:dyDescent="0.3">
      <c r="A2812" s="2">
        <v>2801</v>
      </c>
      <c r="B2812" s="2" t="s">
        <v>7143</v>
      </c>
      <c r="C2812" s="2" t="s">
        <v>4264</v>
      </c>
      <c r="D2812" s="2" t="s">
        <v>51</v>
      </c>
      <c r="E2812" s="2" t="s">
        <v>16</v>
      </c>
      <c r="F2812" s="2">
        <v>60</v>
      </c>
      <c r="G2812" s="2" t="s">
        <v>7142</v>
      </c>
      <c r="H2812" s="2" t="s">
        <v>3024</v>
      </c>
      <c r="I2812" s="2" t="s">
        <v>32</v>
      </c>
      <c r="J2812" s="3">
        <v>44805</v>
      </c>
      <c r="K2812" s="2">
        <v>102</v>
      </c>
      <c r="L2812" s="2" t="s">
        <v>33</v>
      </c>
    </row>
    <row r="2813" spans="1:12" x14ac:dyDescent="0.3">
      <c r="A2813" s="2">
        <v>2802</v>
      </c>
      <c r="B2813" s="2" t="s">
        <v>5506</v>
      </c>
      <c r="C2813" s="2" t="s">
        <v>7144</v>
      </c>
      <c r="D2813" s="2" t="s">
        <v>28</v>
      </c>
      <c r="E2813" s="2" t="s">
        <v>29</v>
      </c>
      <c r="F2813" s="2">
        <v>90</v>
      </c>
      <c r="G2813" s="2" t="s">
        <v>7145</v>
      </c>
      <c r="H2813" s="2" t="s">
        <v>7049</v>
      </c>
      <c r="I2813" s="2" t="s">
        <v>32</v>
      </c>
      <c r="J2813" s="3">
        <v>44880</v>
      </c>
      <c r="K2813" s="2">
        <v>103</v>
      </c>
      <c r="L2813" s="2" t="s">
        <v>101</v>
      </c>
    </row>
    <row r="2814" spans="1:12" x14ac:dyDescent="0.3">
      <c r="A2814" s="2">
        <v>2803</v>
      </c>
      <c r="B2814" s="2" t="s">
        <v>7146</v>
      </c>
      <c r="C2814" s="2" t="s">
        <v>4534</v>
      </c>
      <c r="D2814" s="2" t="s">
        <v>28</v>
      </c>
      <c r="E2814" s="2" t="s">
        <v>29</v>
      </c>
      <c r="F2814" s="2">
        <v>90</v>
      </c>
      <c r="G2814" s="2" t="s">
        <v>7147</v>
      </c>
      <c r="H2814" s="2" t="s">
        <v>4203</v>
      </c>
      <c r="I2814" s="2" t="s">
        <v>208</v>
      </c>
      <c r="J2814" s="3">
        <v>44648</v>
      </c>
      <c r="K2814" s="2">
        <v>99</v>
      </c>
      <c r="L2814" s="2" t="s">
        <v>70</v>
      </c>
    </row>
    <row r="2815" spans="1:12" x14ac:dyDescent="0.3">
      <c r="A2815" s="2">
        <v>2804</v>
      </c>
      <c r="B2815" s="2" t="s">
        <v>2384</v>
      </c>
      <c r="C2815" s="2" t="s">
        <v>1658</v>
      </c>
      <c r="D2815" s="2" t="s">
        <v>28</v>
      </c>
      <c r="E2815" s="2" t="s">
        <v>29</v>
      </c>
      <c r="F2815" s="2">
        <v>90</v>
      </c>
      <c r="G2815" s="2" t="s">
        <v>7147</v>
      </c>
      <c r="H2815" s="2" t="s">
        <v>5059</v>
      </c>
      <c r="I2815" s="2" t="s">
        <v>294</v>
      </c>
      <c r="J2815" s="3">
        <v>44521</v>
      </c>
      <c r="K2815" s="2">
        <v>9</v>
      </c>
      <c r="L2815" s="2" t="s">
        <v>54</v>
      </c>
    </row>
    <row r="2816" spans="1:12" x14ac:dyDescent="0.3">
      <c r="A2816" s="2">
        <v>2805</v>
      </c>
      <c r="B2816" s="2" t="s">
        <v>7148</v>
      </c>
      <c r="C2816" s="2" t="s">
        <v>7149</v>
      </c>
      <c r="D2816" s="2" t="s">
        <v>51</v>
      </c>
      <c r="E2816" s="2" t="s">
        <v>16</v>
      </c>
      <c r="F2816" s="2">
        <v>90</v>
      </c>
      <c r="G2816" s="2" t="s">
        <v>7150</v>
      </c>
      <c r="H2816" s="2" t="s">
        <v>7151</v>
      </c>
      <c r="I2816" s="2" t="s">
        <v>38</v>
      </c>
      <c r="J2816" s="3">
        <v>44280</v>
      </c>
      <c r="K2816" s="2">
        <v>9</v>
      </c>
      <c r="L2816" s="2" t="s">
        <v>101</v>
      </c>
    </row>
    <row r="2817" spans="1:12" x14ac:dyDescent="0.3">
      <c r="A2817" s="2">
        <v>2806</v>
      </c>
      <c r="B2817" s="2" t="s">
        <v>6271</v>
      </c>
      <c r="C2817" s="2" t="s">
        <v>800</v>
      </c>
      <c r="D2817" s="2" t="s">
        <v>15</v>
      </c>
      <c r="E2817" s="2" t="s">
        <v>16</v>
      </c>
      <c r="F2817" s="2">
        <v>90</v>
      </c>
      <c r="G2817" s="2" t="s">
        <v>7150</v>
      </c>
      <c r="H2817" s="2" t="s">
        <v>2199</v>
      </c>
      <c r="I2817" s="2" t="s">
        <v>32</v>
      </c>
      <c r="J2817" s="3">
        <v>44239</v>
      </c>
      <c r="K2817" s="2">
        <v>8</v>
      </c>
      <c r="L2817" s="2" t="s">
        <v>45</v>
      </c>
    </row>
    <row r="2818" spans="1:12" x14ac:dyDescent="0.3">
      <c r="A2818" s="2">
        <v>2807</v>
      </c>
      <c r="B2818" s="2" t="s">
        <v>2647</v>
      </c>
      <c r="C2818" s="2" t="s">
        <v>7152</v>
      </c>
      <c r="D2818" s="2" t="s">
        <v>28</v>
      </c>
      <c r="E2818" s="2" t="s">
        <v>29</v>
      </c>
      <c r="F2818" s="2">
        <v>30</v>
      </c>
      <c r="G2818" s="2" t="s">
        <v>7153</v>
      </c>
      <c r="H2818" s="2" t="s">
        <v>7154</v>
      </c>
      <c r="I2818" s="2" t="s">
        <v>32</v>
      </c>
      <c r="J2818" s="3">
        <v>44865</v>
      </c>
      <c r="K2818" s="2">
        <v>73</v>
      </c>
      <c r="L2818" s="2" t="s">
        <v>80</v>
      </c>
    </row>
    <row r="2819" spans="1:12" x14ac:dyDescent="0.3">
      <c r="A2819" s="2">
        <v>2808</v>
      </c>
      <c r="B2819" s="2" t="s">
        <v>1375</v>
      </c>
      <c r="C2819" s="2" t="s">
        <v>3371</v>
      </c>
      <c r="D2819" s="2" t="s">
        <v>28</v>
      </c>
      <c r="E2819" s="2" t="s">
        <v>29</v>
      </c>
      <c r="F2819" s="2">
        <v>30</v>
      </c>
      <c r="G2819" s="2" t="s">
        <v>7155</v>
      </c>
      <c r="H2819" s="2" t="s">
        <v>2993</v>
      </c>
      <c r="I2819" s="2" t="s">
        <v>32</v>
      </c>
      <c r="J2819" s="3">
        <v>44436</v>
      </c>
      <c r="K2819" s="2">
        <v>38</v>
      </c>
      <c r="L2819" s="2" t="s">
        <v>54</v>
      </c>
    </row>
    <row r="2820" spans="1:12" x14ac:dyDescent="0.3">
      <c r="A2820" s="2">
        <v>2809</v>
      </c>
      <c r="B2820" s="2" t="s">
        <v>2523</v>
      </c>
      <c r="C2820" s="2" t="s">
        <v>5417</v>
      </c>
      <c r="D2820" s="2" t="s">
        <v>28</v>
      </c>
      <c r="E2820" s="2" t="s">
        <v>29</v>
      </c>
      <c r="F2820" s="2">
        <v>30</v>
      </c>
      <c r="G2820" s="2" t="s">
        <v>7156</v>
      </c>
      <c r="H2820" s="2" t="s">
        <v>4100</v>
      </c>
      <c r="I2820" s="2" t="s">
        <v>294</v>
      </c>
      <c r="J2820" s="3">
        <v>44844</v>
      </c>
      <c r="K2820" s="2">
        <v>24</v>
      </c>
      <c r="L2820" s="2" t="s">
        <v>64</v>
      </c>
    </row>
    <row r="2821" spans="1:12" x14ac:dyDescent="0.3">
      <c r="A2821" s="2">
        <v>2810</v>
      </c>
      <c r="B2821" s="2" t="s">
        <v>7157</v>
      </c>
      <c r="C2821" s="2" t="s">
        <v>2690</v>
      </c>
      <c r="D2821" s="2" t="s">
        <v>15</v>
      </c>
      <c r="E2821" s="2" t="s">
        <v>16</v>
      </c>
      <c r="F2821" s="2">
        <v>60</v>
      </c>
      <c r="G2821" s="2" t="s">
        <v>7158</v>
      </c>
      <c r="H2821" s="2" t="s">
        <v>6224</v>
      </c>
      <c r="I2821" s="2" t="s">
        <v>294</v>
      </c>
      <c r="J2821" s="3">
        <v>44071</v>
      </c>
      <c r="K2821" s="2">
        <v>76</v>
      </c>
      <c r="L2821" s="2" t="s">
        <v>54</v>
      </c>
    </row>
    <row r="2822" spans="1:12" x14ac:dyDescent="0.3">
      <c r="A2822" s="2">
        <v>2811</v>
      </c>
      <c r="B2822" s="2" t="s">
        <v>5656</v>
      </c>
      <c r="C2822" s="2" t="s">
        <v>3564</v>
      </c>
      <c r="D2822" s="2" t="s">
        <v>92</v>
      </c>
      <c r="E2822" s="2" t="s">
        <v>16</v>
      </c>
      <c r="F2822" s="2">
        <v>90</v>
      </c>
      <c r="G2822" s="2" t="s">
        <v>7159</v>
      </c>
      <c r="H2822" s="2" t="s">
        <v>3391</v>
      </c>
      <c r="I2822" s="2" t="s">
        <v>3392</v>
      </c>
      <c r="J2822" s="3">
        <v>44415</v>
      </c>
      <c r="K2822" s="2">
        <v>64</v>
      </c>
      <c r="L2822" s="2" t="s">
        <v>70</v>
      </c>
    </row>
    <row r="2823" spans="1:12" x14ac:dyDescent="0.3">
      <c r="A2823" s="2">
        <v>2812</v>
      </c>
      <c r="B2823" s="2" t="s">
        <v>516</v>
      </c>
      <c r="C2823" s="2" t="s">
        <v>1148</v>
      </c>
      <c r="D2823" s="2" t="s">
        <v>28</v>
      </c>
      <c r="E2823" s="2" t="s">
        <v>29</v>
      </c>
      <c r="F2823" s="2">
        <v>30</v>
      </c>
      <c r="G2823" s="2" t="s">
        <v>7160</v>
      </c>
      <c r="H2823" s="2" t="s">
        <v>7161</v>
      </c>
      <c r="I2823" s="2" t="s">
        <v>32</v>
      </c>
      <c r="J2823" s="3">
        <v>44739</v>
      </c>
      <c r="K2823" s="2">
        <v>36</v>
      </c>
      <c r="L2823" s="2" t="s">
        <v>39</v>
      </c>
    </row>
    <row r="2824" spans="1:12" x14ac:dyDescent="0.3">
      <c r="A2824" s="2">
        <v>2813</v>
      </c>
      <c r="B2824" s="2" t="s">
        <v>5856</v>
      </c>
      <c r="C2824" s="2" t="s">
        <v>4637</v>
      </c>
      <c r="D2824" s="2" t="s">
        <v>28</v>
      </c>
      <c r="E2824" s="2" t="s">
        <v>29</v>
      </c>
      <c r="F2824" s="2">
        <v>60</v>
      </c>
      <c r="G2824" s="2" t="s">
        <v>7162</v>
      </c>
      <c r="H2824" s="2" t="s">
        <v>2212</v>
      </c>
      <c r="I2824" s="2" t="s">
        <v>32</v>
      </c>
      <c r="J2824" s="3">
        <v>44759</v>
      </c>
      <c r="K2824" s="2">
        <v>21</v>
      </c>
      <c r="L2824" s="2" t="s">
        <v>20</v>
      </c>
    </row>
    <row r="2825" spans="1:12" x14ac:dyDescent="0.3">
      <c r="A2825" s="2">
        <v>2814</v>
      </c>
      <c r="B2825" s="2" t="s">
        <v>7163</v>
      </c>
      <c r="C2825" s="2" t="s">
        <v>126</v>
      </c>
      <c r="D2825" s="2" t="s">
        <v>28</v>
      </c>
      <c r="E2825" s="2" t="s">
        <v>29</v>
      </c>
      <c r="F2825" s="2">
        <v>90</v>
      </c>
      <c r="G2825" s="2" t="s">
        <v>7164</v>
      </c>
      <c r="H2825" s="2" t="s">
        <v>1457</v>
      </c>
      <c r="I2825" s="2" t="s">
        <v>187</v>
      </c>
      <c r="J2825" s="3">
        <v>44351</v>
      </c>
      <c r="K2825" s="2">
        <v>89</v>
      </c>
      <c r="L2825" s="2" t="s">
        <v>54</v>
      </c>
    </row>
    <row r="2826" spans="1:12" x14ac:dyDescent="0.3">
      <c r="A2826" s="2">
        <v>2815</v>
      </c>
      <c r="B2826" s="2" t="s">
        <v>7165</v>
      </c>
      <c r="C2826" s="2" t="s">
        <v>1488</v>
      </c>
      <c r="D2826" s="2" t="s">
        <v>51</v>
      </c>
      <c r="E2826" s="2" t="s">
        <v>16</v>
      </c>
      <c r="F2826" s="2">
        <v>30</v>
      </c>
      <c r="G2826" s="2" t="s">
        <v>10534</v>
      </c>
      <c r="H2826" s="2" t="s">
        <v>802</v>
      </c>
      <c r="I2826" s="2" t="s">
        <v>294</v>
      </c>
      <c r="J2826" s="3">
        <v>44781</v>
      </c>
      <c r="K2826" s="2">
        <v>58</v>
      </c>
      <c r="L2826" s="2" t="s">
        <v>70</v>
      </c>
    </row>
    <row r="2827" spans="1:12" x14ac:dyDescent="0.3">
      <c r="A2827" s="2">
        <v>2816</v>
      </c>
      <c r="B2827" s="2" t="s">
        <v>7167</v>
      </c>
      <c r="C2827" s="2" t="s">
        <v>7168</v>
      </c>
      <c r="D2827" s="2" t="s">
        <v>51</v>
      </c>
      <c r="E2827" s="2" t="s">
        <v>16</v>
      </c>
      <c r="F2827" s="2">
        <v>90</v>
      </c>
      <c r="G2827" s="2" t="s">
        <v>7169</v>
      </c>
      <c r="H2827" s="2" t="s">
        <v>2311</v>
      </c>
      <c r="I2827" s="2" t="s">
        <v>32</v>
      </c>
      <c r="J2827" s="3">
        <v>44467</v>
      </c>
      <c r="K2827" s="2">
        <v>69</v>
      </c>
      <c r="L2827" s="2" t="s">
        <v>101</v>
      </c>
    </row>
    <row r="2828" spans="1:12" x14ac:dyDescent="0.3">
      <c r="A2828" s="2">
        <v>2817</v>
      </c>
      <c r="B2828" s="2" t="s">
        <v>6192</v>
      </c>
      <c r="C2828" s="2" t="s">
        <v>7170</v>
      </c>
      <c r="D2828" s="2" t="s">
        <v>28</v>
      </c>
      <c r="E2828" s="2" t="s">
        <v>29</v>
      </c>
      <c r="F2828" s="2">
        <v>60</v>
      </c>
      <c r="G2828" s="2" t="s">
        <v>7171</v>
      </c>
      <c r="H2828" s="2" t="s">
        <v>1519</v>
      </c>
      <c r="I2828" s="2" t="s">
        <v>32</v>
      </c>
      <c r="J2828" s="3">
        <v>44365</v>
      </c>
      <c r="K2828" s="2">
        <v>73</v>
      </c>
      <c r="L2828" s="2" t="s">
        <v>33</v>
      </c>
    </row>
    <row r="2829" spans="1:12" x14ac:dyDescent="0.3">
      <c r="A2829" s="2">
        <v>2818</v>
      </c>
      <c r="B2829" s="2" t="s">
        <v>7172</v>
      </c>
      <c r="C2829" s="2" t="s">
        <v>5096</v>
      </c>
      <c r="D2829" s="2" t="s">
        <v>51</v>
      </c>
      <c r="E2829" s="2" t="s">
        <v>16</v>
      </c>
      <c r="F2829" s="2">
        <v>60</v>
      </c>
      <c r="G2829" s="2" t="s">
        <v>7173</v>
      </c>
      <c r="H2829" s="2" t="s">
        <v>4283</v>
      </c>
      <c r="I2829" s="2" t="s">
        <v>178</v>
      </c>
      <c r="J2829" s="3">
        <v>44473</v>
      </c>
      <c r="K2829" s="2">
        <v>78</v>
      </c>
      <c r="L2829" s="2" t="s">
        <v>54</v>
      </c>
    </row>
    <row r="2830" spans="1:12" x14ac:dyDescent="0.3">
      <c r="A2830" s="2">
        <v>2819</v>
      </c>
      <c r="B2830" s="2" t="s">
        <v>2828</v>
      </c>
      <c r="C2830" s="2" t="s">
        <v>5923</v>
      </c>
      <c r="D2830" s="2" t="s">
        <v>28</v>
      </c>
      <c r="E2830" s="2" t="s">
        <v>29</v>
      </c>
      <c r="F2830" s="2">
        <v>60</v>
      </c>
      <c r="G2830" s="2" t="s">
        <v>7174</v>
      </c>
      <c r="H2830" s="2" t="s">
        <v>7175</v>
      </c>
      <c r="I2830" s="2" t="s">
        <v>32</v>
      </c>
      <c r="J2830" s="3">
        <v>44153</v>
      </c>
      <c r="K2830" s="2">
        <v>8</v>
      </c>
      <c r="L2830" s="2" t="s">
        <v>33</v>
      </c>
    </row>
    <row r="2831" spans="1:12" x14ac:dyDescent="0.3">
      <c r="A2831" s="2">
        <v>2820</v>
      </c>
      <c r="B2831" s="2" t="s">
        <v>7176</v>
      </c>
      <c r="C2831" s="2" t="s">
        <v>7177</v>
      </c>
      <c r="D2831" s="2" t="s">
        <v>28</v>
      </c>
      <c r="E2831" s="2" t="s">
        <v>29</v>
      </c>
      <c r="F2831" s="2">
        <v>30</v>
      </c>
      <c r="G2831" s="2" t="s">
        <v>7178</v>
      </c>
      <c r="H2831" s="2" t="s">
        <v>685</v>
      </c>
      <c r="I2831" s="2" t="s">
        <v>686</v>
      </c>
      <c r="J2831" s="3">
        <v>44449</v>
      </c>
      <c r="K2831" s="2">
        <v>53</v>
      </c>
      <c r="L2831" s="2" t="s">
        <v>80</v>
      </c>
    </row>
    <row r="2832" spans="1:12" x14ac:dyDescent="0.3">
      <c r="A2832" s="2">
        <v>2821</v>
      </c>
      <c r="B2832" s="2" t="s">
        <v>4714</v>
      </c>
      <c r="C2832" s="2" t="s">
        <v>1861</v>
      </c>
      <c r="D2832" s="2" t="s">
        <v>15</v>
      </c>
      <c r="E2832" s="2" t="s">
        <v>16</v>
      </c>
      <c r="F2832" s="2">
        <v>90</v>
      </c>
      <c r="G2832" s="2" t="s">
        <v>7179</v>
      </c>
      <c r="H2832" s="2" t="s">
        <v>2710</v>
      </c>
      <c r="I2832" s="2" t="s">
        <v>294</v>
      </c>
      <c r="J2832" s="3">
        <v>44716</v>
      </c>
      <c r="K2832" s="2">
        <v>94</v>
      </c>
      <c r="L2832" s="2" t="s">
        <v>39</v>
      </c>
    </row>
    <row r="2833" spans="1:12" x14ac:dyDescent="0.3">
      <c r="A2833" s="2">
        <v>2822</v>
      </c>
      <c r="B2833" s="2" t="s">
        <v>6211</v>
      </c>
      <c r="C2833" s="2" t="s">
        <v>7180</v>
      </c>
      <c r="D2833" s="2" t="s">
        <v>51</v>
      </c>
      <c r="E2833" s="2" t="s">
        <v>16</v>
      </c>
      <c r="F2833" s="2">
        <v>60</v>
      </c>
      <c r="G2833" s="2" t="s">
        <v>7181</v>
      </c>
      <c r="H2833" s="2" t="s">
        <v>7182</v>
      </c>
      <c r="I2833" s="2" t="s">
        <v>294</v>
      </c>
      <c r="J2833" s="3">
        <v>44255</v>
      </c>
      <c r="K2833" s="2">
        <v>11</v>
      </c>
      <c r="L2833" s="2" t="s">
        <v>20</v>
      </c>
    </row>
    <row r="2834" spans="1:12" x14ac:dyDescent="0.3">
      <c r="A2834" s="2">
        <v>2823</v>
      </c>
      <c r="B2834" s="2" t="s">
        <v>7183</v>
      </c>
      <c r="C2834" s="2" t="s">
        <v>1730</v>
      </c>
      <c r="D2834" s="2" t="s">
        <v>15</v>
      </c>
      <c r="E2834" s="2" t="s">
        <v>16</v>
      </c>
      <c r="F2834" s="2">
        <v>30</v>
      </c>
      <c r="G2834" s="2" t="s">
        <v>7184</v>
      </c>
      <c r="H2834" s="2" t="s">
        <v>3343</v>
      </c>
      <c r="I2834" s="2" t="s">
        <v>1199</v>
      </c>
      <c r="J2834" s="3">
        <v>43832</v>
      </c>
      <c r="K2834" s="2">
        <v>77</v>
      </c>
      <c r="L2834" s="2" t="s">
        <v>45</v>
      </c>
    </row>
    <row r="2835" spans="1:12" x14ac:dyDescent="0.3">
      <c r="A2835" s="2">
        <v>2824</v>
      </c>
      <c r="B2835" s="2" t="s">
        <v>1239</v>
      </c>
      <c r="C2835" s="2" t="s">
        <v>7185</v>
      </c>
      <c r="D2835" s="2" t="s">
        <v>28</v>
      </c>
      <c r="E2835" s="2" t="s">
        <v>29</v>
      </c>
      <c r="F2835" s="2">
        <v>90</v>
      </c>
      <c r="G2835" s="2" t="s">
        <v>7186</v>
      </c>
      <c r="H2835" s="2" t="s">
        <v>1358</v>
      </c>
      <c r="I2835" s="2" t="s">
        <v>1359</v>
      </c>
      <c r="J2835" s="3">
        <v>44245</v>
      </c>
      <c r="K2835" s="2">
        <v>80</v>
      </c>
      <c r="L2835" s="2" t="s">
        <v>159</v>
      </c>
    </row>
    <row r="2836" spans="1:12" x14ac:dyDescent="0.3">
      <c r="A2836" s="2">
        <v>2825</v>
      </c>
      <c r="B2836" s="2" t="s">
        <v>5199</v>
      </c>
      <c r="C2836" s="2" t="s">
        <v>7187</v>
      </c>
      <c r="D2836" s="2" t="s">
        <v>15</v>
      </c>
      <c r="E2836" s="2" t="s">
        <v>16</v>
      </c>
      <c r="F2836" s="2">
        <v>30</v>
      </c>
      <c r="G2836" s="2" t="s">
        <v>7188</v>
      </c>
      <c r="H2836" s="2" t="s">
        <v>1382</v>
      </c>
      <c r="I2836" s="2" t="s">
        <v>32</v>
      </c>
      <c r="J2836" s="3">
        <v>44746</v>
      </c>
      <c r="K2836" s="2">
        <v>83</v>
      </c>
      <c r="L2836" s="2" t="s">
        <v>45</v>
      </c>
    </row>
    <row r="2837" spans="1:12" x14ac:dyDescent="0.3">
      <c r="A2837" s="2">
        <v>2826</v>
      </c>
      <c r="B2837" s="2" t="s">
        <v>1923</v>
      </c>
      <c r="C2837" s="2" t="s">
        <v>2547</v>
      </c>
      <c r="D2837" s="2" t="s">
        <v>28</v>
      </c>
      <c r="E2837" s="2" t="s">
        <v>29</v>
      </c>
      <c r="F2837" s="2">
        <v>90</v>
      </c>
      <c r="G2837" s="2" t="s">
        <v>7189</v>
      </c>
      <c r="H2837" s="2" t="s">
        <v>68</v>
      </c>
      <c r="I2837" s="2" t="s">
        <v>69</v>
      </c>
      <c r="J2837" s="3">
        <v>44868</v>
      </c>
      <c r="K2837" s="2">
        <v>103</v>
      </c>
      <c r="L2837" s="2" t="s">
        <v>20</v>
      </c>
    </row>
    <row r="2838" spans="1:12" x14ac:dyDescent="0.3">
      <c r="A2838" s="2">
        <v>2827</v>
      </c>
      <c r="B2838" s="2" t="s">
        <v>390</v>
      </c>
      <c r="C2838" s="2" t="s">
        <v>5670</v>
      </c>
      <c r="D2838" s="2" t="s">
        <v>28</v>
      </c>
      <c r="E2838" s="2" t="s">
        <v>29</v>
      </c>
      <c r="F2838" s="2">
        <v>30</v>
      </c>
      <c r="G2838" s="2" t="s">
        <v>7190</v>
      </c>
      <c r="H2838" s="2" t="s">
        <v>1884</v>
      </c>
      <c r="I2838" s="2" t="s">
        <v>1885</v>
      </c>
      <c r="J2838" s="3">
        <v>44311</v>
      </c>
      <c r="K2838" s="2">
        <v>44</v>
      </c>
      <c r="L2838" s="2" t="s">
        <v>159</v>
      </c>
    </row>
    <row r="2839" spans="1:12" x14ac:dyDescent="0.3">
      <c r="A2839" s="2">
        <v>2828</v>
      </c>
      <c r="B2839" s="2" t="s">
        <v>7191</v>
      </c>
      <c r="C2839" s="2" t="s">
        <v>5853</v>
      </c>
      <c r="D2839" s="2" t="s">
        <v>15</v>
      </c>
      <c r="E2839" s="2" t="s">
        <v>16</v>
      </c>
      <c r="F2839" s="2">
        <v>30</v>
      </c>
      <c r="G2839" s="2" t="s">
        <v>7192</v>
      </c>
      <c r="H2839" s="2" t="s">
        <v>3059</v>
      </c>
      <c r="I2839" s="2" t="s">
        <v>187</v>
      </c>
      <c r="J2839" s="3">
        <v>44018</v>
      </c>
      <c r="K2839" s="2">
        <v>46</v>
      </c>
      <c r="L2839" s="2" t="s">
        <v>45</v>
      </c>
    </row>
    <row r="2840" spans="1:12" x14ac:dyDescent="0.3">
      <c r="A2840" s="2">
        <v>2829</v>
      </c>
      <c r="B2840" s="2" t="s">
        <v>7193</v>
      </c>
      <c r="C2840" s="2" t="s">
        <v>1282</v>
      </c>
      <c r="D2840" s="2" t="s">
        <v>51</v>
      </c>
      <c r="E2840" s="2" t="s">
        <v>16</v>
      </c>
      <c r="F2840" s="2">
        <v>90</v>
      </c>
      <c r="G2840" s="2" t="s">
        <v>7194</v>
      </c>
      <c r="H2840" s="2" t="s">
        <v>3263</v>
      </c>
      <c r="I2840" s="2" t="s">
        <v>32</v>
      </c>
      <c r="J2840" s="3">
        <v>44312</v>
      </c>
      <c r="K2840" s="2">
        <v>67</v>
      </c>
      <c r="L2840" s="2" t="s">
        <v>159</v>
      </c>
    </row>
    <row r="2841" spans="1:12" x14ac:dyDescent="0.3">
      <c r="A2841" s="2">
        <v>2830</v>
      </c>
      <c r="B2841" s="2" t="s">
        <v>7195</v>
      </c>
      <c r="C2841" s="2" t="s">
        <v>902</v>
      </c>
      <c r="D2841" s="2" t="s">
        <v>117</v>
      </c>
      <c r="E2841" s="2" t="s">
        <v>16</v>
      </c>
      <c r="F2841" s="2">
        <v>60</v>
      </c>
      <c r="G2841" s="2" t="s">
        <v>7196</v>
      </c>
      <c r="H2841" s="2" t="s">
        <v>5406</v>
      </c>
      <c r="I2841" s="2" t="s">
        <v>32</v>
      </c>
      <c r="J2841" s="3">
        <v>44392</v>
      </c>
      <c r="K2841" s="2">
        <v>78</v>
      </c>
      <c r="L2841" s="2" t="s">
        <v>39</v>
      </c>
    </row>
    <row r="2842" spans="1:12" x14ac:dyDescent="0.3">
      <c r="A2842" s="2">
        <v>2831</v>
      </c>
      <c r="B2842" s="2" t="s">
        <v>7197</v>
      </c>
      <c r="C2842" s="2" t="s">
        <v>7198</v>
      </c>
      <c r="D2842" s="2" t="s">
        <v>28</v>
      </c>
      <c r="E2842" s="2" t="s">
        <v>29</v>
      </c>
      <c r="F2842" s="2">
        <v>90</v>
      </c>
      <c r="G2842" s="2" t="s">
        <v>7199</v>
      </c>
      <c r="H2842" s="2" t="s">
        <v>2972</v>
      </c>
      <c r="I2842" s="2" t="s">
        <v>32</v>
      </c>
      <c r="J2842" s="3">
        <v>44270</v>
      </c>
      <c r="K2842" s="2">
        <v>25</v>
      </c>
      <c r="L2842" s="2" t="s">
        <v>101</v>
      </c>
    </row>
    <row r="2843" spans="1:12" x14ac:dyDescent="0.3">
      <c r="A2843" s="2">
        <v>2832</v>
      </c>
      <c r="B2843" s="2" t="s">
        <v>7200</v>
      </c>
      <c r="C2843" s="2" t="s">
        <v>305</v>
      </c>
      <c r="D2843" s="2" t="s">
        <v>28</v>
      </c>
      <c r="E2843" s="2" t="s">
        <v>29</v>
      </c>
      <c r="F2843" s="2">
        <v>90</v>
      </c>
      <c r="G2843" s="2" t="s">
        <v>7201</v>
      </c>
      <c r="H2843" s="2" t="s">
        <v>5751</v>
      </c>
      <c r="I2843" s="2" t="s">
        <v>178</v>
      </c>
      <c r="J2843" s="3">
        <v>44356</v>
      </c>
      <c r="K2843" s="2">
        <v>10</v>
      </c>
      <c r="L2843" s="2" t="s">
        <v>45</v>
      </c>
    </row>
    <row r="2844" spans="1:12" x14ac:dyDescent="0.3">
      <c r="A2844" s="2">
        <v>2833</v>
      </c>
      <c r="B2844" s="2" t="s">
        <v>7202</v>
      </c>
      <c r="C2844" s="2" t="s">
        <v>2431</v>
      </c>
      <c r="D2844" s="2" t="s">
        <v>28</v>
      </c>
      <c r="E2844" s="2" t="s">
        <v>29</v>
      </c>
      <c r="F2844" s="2">
        <v>90</v>
      </c>
      <c r="G2844" s="2" t="s">
        <v>7201</v>
      </c>
      <c r="H2844" s="2" t="s">
        <v>7203</v>
      </c>
      <c r="I2844" s="2" t="s">
        <v>32</v>
      </c>
      <c r="J2844" s="3">
        <v>44022</v>
      </c>
      <c r="K2844" s="2">
        <v>40</v>
      </c>
      <c r="L2844" s="2" t="s">
        <v>20</v>
      </c>
    </row>
    <row r="2845" spans="1:12" x14ac:dyDescent="0.3">
      <c r="A2845" s="2">
        <v>2834</v>
      </c>
      <c r="B2845" s="2" t="s">
        <v>7204</v>
      </c>
      <c r="C2845" s="2" t="s">
        <v>414</v>
      </c>
      <c r="D2845" s="2" t="s">
        <v>28</v>
      </c>
      <c r="E2845" s="2" t="s">
        <v>29</v>
      </c>
      <c r="F2845" s="2">
        <v>30</v>
      </c>
      <c r="G2845" s="2" t="s">
        <v>7205</v>
      </c>
      <c r="H2845" s="2" t="s">
        <v>2846</v>
      </c>
      <c r="I2845" s="2" t="s">
        <v>32</v>
      </c>
      <c r="J2845" s="3">
        <v>43931</v>
      </c>
      <c r="K2845" s="2">
        <v>78</v>
      </c>
      <c r="L2845" s="2" t="s">
        <v>20</v>
      </c>
    </row>
    <row r="2846" spans="1:12" x14ac:dyDescent="0.3">
      <c r="A2846" s="2">
        <v>2835</v>
      </c>
      <c r="B2846" s="2" t="s">
        <v>592</v>
      </c>
      <c r="C2846" s="2" t="s">
        <v>7206</v>
      </c>
      <c r="D2846" s="2" t="s">
        <v>28</v>
      </c>
      <c r="E2846" s="2" t="s">
        <v>29</v>
      </c>
      <c r="F2846" s="2">
        <v>60</v>
      </c>
      <c r="G2846" s="2" t="s">
        <v>7207</v>
      </c>
      <c r="H2846" s="2" t="s">
        <v>6618</v>
      </c>
      <c r="I2846" s="2" t="s">
        <v>32</v>
      </c>
      <c r="J2846" s="3">
        <v>44844</v>
      </c>
      <c r="K2846" s="2">
        <v>5</v>
      </c>
      <c r="L2846" s="2" t="s">
        <v>20</v>
      </c>
    </row>
    <row r="2847" spans="1:12" x14ac:dyDescent="0.3">
      <c r="A2847" s="2">
        <v>2836</v>
      </c>
      <c r="B2847" s="2" t="s">
        <v>7208</v>
      </c>
      <c r="C2847" s="2" t="s">
        <v>2970</v>
      </c>
      <c r="D2847" s="2" t="s">
        <v>15</v>
      </c>
      <c r="E2847" s="2" t="s">
        <v>16</v>
      </c>
      <c r="F2847" s="2">
        <v>60</v>
      </c>
      <c r="G2847" s="2" t="s">
        <v>10535</v>
      </c>
      <c r="H2847" s="2" t="s">
        <v>1186</v>
      </c>
      <c r="I2847" s="2" t="s">
        <v>32</v>
      </c>
      <c r="J2847" s="3">
        <v>44535</v>
      </c>
      <c r="K2847" s="2">
        <v>7</v>
      </c>
      <c r="L2847" s="2" t="s">
        <v>33</v>
      </c>
    </row>
    <row r="2848" spans="1:12" x14ac:dyDescent="0.3">
      <c r="A2848" s="2">
        <v>2837</v>
      </c>
      <c r="B2848" s="2" t="s">
        <v>3094</v>
      </c>
      <c r="C2848" s="2" t="s">
        <v>2349</v>
      </c>
      <c r="D2848" s="2" t="s">
        <v>15</v>
      </c>
      <c r="E2848" s="2" t="s">
        <v>16</v>
      </c>
      <c r="F2848" s="2">
        <v>60</v>
      </c>
      <c r="G2848" s="2" t="s">
        <v>7210</v>
      </c>
      <c r="H2848" s="2" t="s">
        <v>6880</v>
      </c>
      <c r="I2848" s="2" t="s">
        <v>32</v>
      </c>
      <c r="J2848" s="3">
        <v>44388</v>
      </c>
      <c r="K2848" s="2">
        <v>28</v>
      </c>
      <c r="L2848" s="2" t="s">
        <v>64</v>
      </c>
    </row>
    <row r="2849" spans="1:12" x14ac:dyDescent="0.3">
      <c r="A2849" s="2">
        <v>2838</v>
      </c>
      <c r="B2849" s="2" t="s">
        <v>7211</v>
      </c>
      <c r="C2849" s="2" t="s">
        <v>644</v>
      </c>
      <c r="D2849" s="2" t="s">
        <v>28</v>
      </c>
      <c r="E2849" s="2" t="s">
        <v>29</v>
      </c>
      <c r="F2849" s="2">
        <v>90</v>
      </c>
      <c r="G2849" s="2" t="s">
        <v>7212</v>
      </c>
      <c r="H2849" s="2" t="s">
        <v>1082</v>
      </c>
      <c r="I2849" s="2" t="s">
        <v>1083</v>
      </c>
      <c r="J2849" s="3">
        <v>43834</v>
      </c>
      <c r="K2849" s="2">
        <v>22</v>
      </c>
      <c r="L2849" s="2" t="s">
        <v>70</v>
      </c>
    </row>
    <row r="2850" spans="1:12" x14ac:dyDescent="0.3">
      <c r="A2850" s="2">
        <v>2839</v>
      </c>
      <c r="B2850" s="2" t="s">
        <v>656</v>
      </c>
      <c r="C2850" s="2" t="s">
        <v>2220</v>
      </c>
      <c r="D2850" s="2" t="s">
        <v>51</v>
      </c>
      <c r="E2850" s="2" t="s">
        <v>16</v>
      </c>
      <c r="F2850" s="2">
        <v>90</v>
      </c>
      <c r="G2850" s="2" t="s">
        <v>7212</v>
      </c>
      <c r="H2850" s="2" t="s">
        <v>5148</v>
      </c>
      <c r="I2850" s="2" t="s">
        <v>32</v>
      </c>
      <c r="J2850" s="3">
        <v>44764</v>
      </c>
      <c r="K2850" s="2">
        <v>7</v>
      </c>
      <c r="L2850" s="2" t="s">
        <v>39</v>
      </c>
    </row>
    <row r="2851" spans="1:12" x14ac:dyDescent="0.3">
      <c r="A2851" s="2">
        <v>2840</v>
      </c>
      <c r="B2851" s="2" t="s">
        <v>1842</v>
      </c>
      <c r="C2851" s="2" t="s">
        <v>5862</v>
      </c>
      <c r="D2851" s="2" t="s">
        <v>28</v>
      </c>
      <c r="E2851" s="2" t="s">
        <v>29</v>
      </c>
      <c r="F2851" s="2">
        <v>90</v>
      </c>
      <c r="G2851" s="2" t="s">
        <v>7213</v>
      </c>
      <c r="H2851" s="2" t="s">
        <v>2717</v>
      </c>
      <c r="I2851" s="2" t="s">
        <v>1889</v>
      </c>
      <c r="J2851" s="3">
        <v>44770</v>
      </c>
      <c r="K2851" s="2">
        <v>44</v>
      </c>
      <c r="L2851" s="2" t="s">
        <v>80</v>
      </c>
    </row>
    <row r="2852" spans="1:12" x14ac:dyDescent="0.3">
      <c r="A2852" s="2">
        <v>2841</v>
      </c>
      <c r="B2852" s="2" t="s">
        <v>982</v>
      </c>
      <c r="C2852" s="2" t="s">
        <v>7214</v>
      </c>
      <c r="D2852" s="2" t="s">
        <v>28</v>
      </c>
      <c r="E2852" s="2" t="s">
        <v>29</v>
      </c>
      <c r="F2852" s="2">
        <v>60</v>
      </c>
      <c r="G2852" s="2" t="s">
        <v>7215</v>
      </c>
      <c r="H2852" s="2" t="s">
        <v>599</v>
      </c>
      <c r="I2852" s="2" t="s">
        <v>32</v>
      </c>
      <c r="J2852" s="3">
        <v>43870</v>
      </c>
      <c r="K2852" s="2">
        <v>31</v>
      </c>
      <c r="L2852" s="2" t="s">
        <v>64</v>
      </c>
    </row>
    <row r="2853" spans="1:12" x14ac:dyDescent="0.3">
      <c r="A2853" s="2">
        <v>2842</v>
      </c>
      <c r="B2853" s="2" t="s">
        <v>5348</v>
      </c>
      <c r="C2853" s="2" t="s">
        <v>948</v>
      </c>
      <c r="D2853" s="2" t="s">
        <v>28</v>
      </c>
      <c r="E2853" s="2" t="s">
        <v>29</v>
      </c>
      <c r="F2853" s="2">
        <v>60</v>
      </c>
      <c r="G2853" s="2" t="s">
        <v>7216</v>
      </c>
      <c r="H2853" s="2" t="s">
        <v>682</v>
      </c>
      <c r="I2853" s="2" t="s">
        <v>32</v>
      </c>
      <c r="J2853" s="3">
        <v>44842</v>
      </c>
      <c r="K2853" s="2">
        <v>72</v>
      </c>
      <c r="L2853" s="2" t="s">
        <v>70</v>
      </c>
    </row>
    <row r="2854" spans="1:12" x14ac:dyDescent="0.3">
      <c r="A2854" s="2">
        <v>2843</v>
      </c>
      <c r="B2854" s="2" t="s">
        <v>2103</v>
      </c>
      <c r="C2854" s="2" t="s">
        <v>5998</v>
      </c>
      <c r="D2854" s="2" t="s">
        <v>15</v>
      </c>
      <c r="E2854" s="2" t="s">
        <v>16</v>
      </c>
      <c r="F2854" s="2">
        <v>60</v>
      </c>
      <c r="G2854" s="2" t="s">
        <v>7217</v>
      </c>
      <c r="H2854" s="2" t="s">
        <v>2706</v>
      </c>
      <c r="I2854" s="2" t="s">
        <v>294</v>
      </c>
      <c r="J2854" s="3">
        <v>44666</v>
      </c>
      <c r="K2854" s="2">
        <v>76</v>
      </c>
      <c r="L2854" s="2" t="s">
        <v>64</v>
      </c>
    </row>
    <row r="2855" spans="1:12" x14ac:dyDescent="0.3">
      <c r="A2855" s="2">
        <v>2844</v>
      </c>
      <c r="B2855" s="2" t="s">
        <v>7218</v>
      </c>
      <c r="C2855" s="2" t="s">
        <v>7144</v>
      </c>
      <c r="D2855" s="2" t="s">
        <v>28</v>
      </c>
      <c r="E2855" s="2" t="s">
        <v>29</v>
      </c>
      <c r="F2855" s="2">
        <v>30</v>
      </c>
      <c r="G2855" s="2" t="s">
        <v>7219</v>
      </c>
      <c r="H2855" s="2" t="s">
        <v>1541</v>
      </c>
      <c r="I2855" s="2" t="s">
        <v>32</v>
      </c>
      <c r="J2855" s="3">
        <v>44170</v>
      </c>
      <c r="K2855" s="2">
        <v>28</v>
      </c>
      <c r="L2855" s="2" t="s">
        <v>70</v>
      </c>
    </row>
    <row r="2856" spans="1:12" x14ac:dyDescent="0.3">
      <c r="A2856" s="2">
        <v>2845</v>
      </c>
      <c r="B2856" s="2" t="s">
        <v>6249</v>
      </c>
      <c r="C2856" s="2" t="s">
        <v>156</v>
      </c>
      <c r="D2856" s="2" t="s">
        <v>92</v>
      </c>
      <c r="E2856" s="2" t="s">
        <v>29</v>
      </c>
      <c r="F2856" s="2">
        <v>60</v>
      </c>
      <c r="G2856" s="2" t="s">
        <v>7220</v>
      </c>
      <c r="H2856" s="2" t="s">
        <v>583</v>
      </c>
      <c r="I2856" s="2" t="s">
        <v>32</v>
      </c>
      <c r="J2856" s="3">
        <v>44918</v>
      </c>
      <c r="K2856" s="2">
        <v>21</v>
      </c>
      <c r="L2856" s="2" t="s">
        <v>45</v>
      </c>
    </row>
    <row r="2857" spans="1:12" x14ac:dyDescent="0.3">
      <c r="A2857" s="2">
        <v>2846</v>
      </c>
      <c r="B2857" s="2" t="s">
        <v>7221</v>
      </c>
      <c r="C2857" s="2" t="s">
        <v>6701</v>
      </c>
      <c r="D2857" s="2" t="s">
        <v>51</v>
      </c>
      <c r="E2857" s="2" t="s">
        <v>16</v>
      </c>
      <c r="F2857" s="2">
        <v>60</v>
      </c>
      <c r="G2857" s="2" t="s">
        <v>7222</v>
      </c>
      <c r="H2857" s="2" t="s">
        <v>4924</v>
      </c>
      <c r="I2857" s="2" t="s">
        <v>32</v>
      </c>
      <c r="J2857" s="3">
        <v>44531</v>
      </c>
      <c r="K2857" s="2">
        <v>46</v>
      </c>
      <c r="L2857" s="2" t="s">
        <v>54</v>
      </c>
    </row>
    <row r="2858" spans="1:12" x14ac:dyDescent="0.3">
      <c r="A2858" s="2">
        <v>2847</v>
      </c>
      <c r="B2858" s="2" t="s">
        <v>75</v>
      </c>
      <c r="C2858" s="2" t="s">
        <v>4237</v>
      </c>
      <c r="D2858" s="2" t="s">
        <v>28</v>
      </c>
      <c r="E2858" s="2" t="s">
        <v>29</v>
      </c>
      <c r="F2858" s="2">
        <v>30</v>
      </c>
      <c r="G2858" s="2" t="s">
        <v>7223</v>
      </c>
      <c r="H2858" s="2" t="s">
        <v>3637</v>
      </c>
      <c r="I2858" s="2" t="s">
        <v>38</v>
      </c>
      <c r="J2858" s="3">
        <v>43851</v>
      </c>
      <c r="K2858" s="2">
        <v>24</v>
      </c>
      <c r="L2858" s="2" t="s">
        <v>64</v>
      </c>
    </row>
    <row r="2859" spans="1:12" x14ac:dyDescent="0.3">
      <c r="A2859" s="2">
        <v>2848</v>
      </c>
      <c r="B2859" s="2" t="s">
        <v>4016</v>
      </c>
      <c r="C2859" s="2" t="s">
        <v>2844</v>
      </c>
      <c r="D2859" s="2" t="s">
        <v>28</v>
      </c>
      <c r="E2859" s="2" t="s">
        <v>29</v>
      </c>
      <c r="F2859" s="2">
        <v>60</v>
      </c>
      <c r="G2859" s="2" t="s">
        <v>7224</v>
      </c>
      <c r="H2859" s="2" t="s">
        <v>4729</v>
      </c>
      <c r="I2859" s="2" t="s">
        <v>32</v>
      </c>
      <c r="J2859" s="3">
        <v>43875</v>
      </c>
      <c r="K2859" s="2">
        <v>16</v>
      </c>
      <c r="L2859" s="2" t="s">
        <v>70</v>
      </c>
    </row>
    <row r="2860" spans="1:12" x14ac:dyDescent="0.3">
      <c r="A2860" s="2">
        <v>2849</v>
      </c>
      <c r="B2860" s="2" t="s">
        <v>7225</v>
      </c>
      <c r="C2860" s="2" t="s">
        <v>7226</v>
      </c>
      <c r="D2860" s="2" t="s">
        <v>51</v>
      </c>
      <c r="E2860" s="2" t="s">
        <v>16</v>
      </c>
      <c r="F2860" s="2">
        <v>60</v>
      </c>
      <c r="G2860" s="2" t="s">
        <v>7227</v>
      </c>
      <c r="H2860" s="2" t="s">
        <v>1269</v>
      </c>
      <c r="I2860" s="2" t="s">
        <v>187</v>
      </c>
      <c r="J2860" s="3">
        <v>44864</v>
      </c>
      <c r="K2860" s="2">
        <v>59</v>
      </c>
      <c r="L2860" s="2" t="s">
        <v>45</v>
      </c>
    </row>
    <row r="2861" spans="1:12" x14ac:dyDescent="0.3">
      <c r="A2861" s="2">
        <v>2850</v>
      </c>
      <c r="B2861" s="2" t="s">
        <v>7228</v>
      </c>
      <c r="C2861" s="2" t="s">
        <v>953</v>
      </c>
      <c r="D2861" s="2" t="s">
        <v>15</v>
      </c>
      <c r="E2861" s="2" t="s">
        <v>16</v>
      </c>
      <c r="F2861" s="2">
        <v>30</v>
      </c>
      <c r="G2861" s="2" t="s">
        <v>7229</v>
      </c>
      <c r="H2861" s="2" t="s">
        <v>2506</v>
      </c>
      <c r="I2861" s="2" t="s">
        <v>32</v>
      </c>
      <c r="J2861" s="3">
        <v>44500</v>
      </c>
      <c r="K2861" s="2">
        <v>36</v>
      </c>
      <c r="L2861" s="2" t="s">
        <v>20</v>
      </c>
    </row>
    <row r="2862" spans="1:12" x14ac:dyDescent="0.3">
      <c r="A2862" s="2">
        <v>2851</v>
      </c>
      <c r="B2862" s="2" t="s">
        <v>1262</v>
      </c>
      <c r="C2862" s="2" t="s">
        <v>3029</v>
      </c>
      <c r="D2862" s="2" t="s">
        <v>51</v>
      </c>
      <c r="E2862" s="2" t="s">
        <v>16</v>
      </c>
      <c r="F2862" s="2">
        <v>30</v>
      </c>
      <c r="G2862" s="2" t="s">
        <v>7230</v>
      </c>
      <c r="H2862" s="2" t="s">
        <v>1830</v>
      </c>
      <c r="I2862" s="2" t="s">
        <v>32</v>
      </c>
      <c r="J2862" s="3">
        <v>44676</v>
      </c>
      <c r="K2862" s="2">
        <v>29</v>
      </c>
      <c r="L2862" s="2" t="s">
        <v>33</v>
      </c>
    </row>
    <row r="2863" spans="1:12" x14ac:dyDescent="0.3">
      <c r="A2863" s="2">
        <v>2852</v>
      </c>
      <c r="B2863" s="2" t="s">
        <v>492</v>
      </c>
      <c r="C2863" s="2" t="s">
        <v>7231</v>
      </c>
      <c r="D2863" s="2" t="s">
        <v>28</v>
      </c>
      <c r="E2863" s="2" t="s">
        <v>29</v>
      </c>
      <c r="F2863" s="2">
        <v>60</v>
      </c>
      <c r="G2863" s="2" t="s">
        <v>7232</v>
      </c>
      <c r="H2863" s="2" t="s">
        <v>7233</v>
      </c>
      <c r="I2863" s="2" t="s">
        <v>32</v>
      </c>
      <c r="J2863" s="3">
        <v>44227</v>
      </c>
      <c r="K2863" s="2">
        <v>95</v>
      </c>
      <c r="L2863" s="2" t="s">
        <v>45</v>
      </c>
    </row>
    <row r="2864" spans="1:12" x14ac:dyDescent="0.3">
      <c r="A2864" s="2">
        <v>2853</v>
      </c>
      <c r="B2864" s="2" t="s">
        <v>7234</v>
      </c>
      <c r="C2864" s="2" t="s">
        <v>1414</v>
      </c>
      <c r="D2864" s="2" t="s">
        <v>51</v>
      </c>
      <c r="E2864" s="2" t="s">
        <v>16</v>
      </c>
      <c r="F2864" s="2">
        <v>90</v>
      </c>
      <c r="G2864" s="2" t="s">
        <v>7235</v>
      </c>
      <c r="H2864" s="2" t="s">
        <v>1781</v>
      </c>
      <c r="I2864" s="2" t="s">
        <v>32</v>
      </c>
      <c r="J2864" s="3">
        <v>43899</v>
      </c>
      <c r="K2864" s="2">
        <v>4</v>
      </c>
      <c r="L2864" s="2" t="s">
        <v>101</v>
      </c>
    </row>
    <row r="2865" spans="1:12" x14ac:dyDescent="0.3">
      <c r="A2865" s="2">
        <v>2854</v>
      </c>
      <c r="B2865" s="2" t="s">
        <v>1337</v>
      </c>
      <c r="C2865" s="2" t="s">
        <v>4790</v>
      </c>
      <c r="D2865" s="2" t="s">
        <v>28</v>
      </c>
      <c r="E2865" s="2" t="s">
        <v>29</v>
      </c>
      <c r="F2865" s="2">
        <v>60</v>
      </c>
      <c r="G2865" s="2" t="s">
        <v>7236</v>
      </c>
      <c r="H2865" s="2" t="s">
        <v>838</v>
      </c>
      <c r="I2865" s="2" t="s">
        <v>839</v>
      </c>
      <c r="J2865" s="3">
        <v>44560</v>
      </c>
      <c r="K2865" s="2">
        <v>73</v>
      </c>
      <c r="L2865" s="2" t="s">
        <v>33</v>
      </c>
    </row>
    <row r="2866" spans="1:12" x14ac:dyDescent="0.3">
      <c r="A2866" s="2">
        <v>2855</v>
      </c>
      <c r="B2866" s="2" t="s">
        <v>3927</v>
      </c>
      <c r="C2866" s="2" t="s">
        <v>1392</v>
      </c>
      <c r="D2866" s="2" t="s">
        <v>28</v>
      </c>
      <c r="E2866" s="2" t="s">
        <v>29</v>
      </c>
      <c r="F2866" s="2">
        <v>60</v>
      </c>
      <c r="G2866" s="2" t="s">
        <v>7237</v>
      </c>
      <c r="H2866" s="2" t="s">
        <v>2990</v>
      </c>
      <c r="I2866" s="2" t="s">
        <v>38</v>
      </c>
      <c r="J2866" s="3">
        <v>44066</v>
      </c>
      <c r="K2866" s="2">
        <v>25</v>
      </c>
      <c r="L2866" s="2" t="s">
        <v>70</v>
      </c>
    </row>
    <row r="2867" spans="1:12" x14ac:dyDescent="0.3">
      <c r="A2867" s="2">
        <v>2856</v>
      </c>
      <c r="B2867" s="2" t="s">
        <v>2430</v>
      </c>
      <c r="C2867" s="2" t="s">
        <v>3322</v>
      </c>
      <c r="D2867" s="2" t="s">
        <v>28</v>
      </c>
      <c r="E2867" s="2" t="s">
        <v>29</v>
      </c>
      <c r="F2867" s="2">
        <v>30</v>
      </c>
      <c r="G2867" s="2" t="s">
        <v>7238</v>
      </c>
      <c r="H2867" s="2" t="s">
        <v>4924</v>
      </c>
      <c r="I2867" s="2" t="s">
        <v>32</v>
      </c>
      <c r="J2867" s="3">
        <v>44095</v>
      </c>
      <c r="K2867" s="2">
        <v>84</v>
      </c>
      <c r="L2867" s="2" t="s">
        <v>70</v>
      </c>
    </row>
    <row r="2868" spans="1:12" x14ac:dyDescent="0.3">
      <c r="A2868" s="2">
        <v>2857</v>
      </c>
      <c r="B2868" s="2" t="s">
        <v>7239</v>
      </c>
      <c r="C2868" s="2" t="s">
        <v>3839</v>
      </c>
      <c r="D2868" s="2" t="s">
        <v>28</v>
      </c>
      <c r="E2868" s="2" t="s">
        <v>29</v>
      </c>
      <c r="F2868" s="2">
        <v>90</v>
      </c>
      <c r="G2868" s="2" t="s">
        <v>7240</v>
      </c>
      <c r="H2868" s="2" t="s">
        <v>2866</v>
      </c>
      <c r="I2868" s="2" t="s">
        <v>32</v>
      </c>
      <c r="J2868" s="3">
        <v>44710</v>
      </c>
      <c r="K2868" s="2">
        <v>16</v>
      </c>
      <c r="L2868" s="2" t="s">
        <v>64</v>
      </c>
    </row>
    <row r="2869" spans="1:12" x14ac:dyDescent="0.3">
      <c r="A2869" s="2">
        <v>2858</v>
      </c>
      <c r="B2869" s="2" t="s">
        <v>4301</v>
      </c>
      <c r="C2869" s="2" t="s">
        <v>328</v>
      </c>
      <c r="D2869" s="2" t="s">
        <v>28</v>
      </c>
      <c r="E2869" s="2" t="s">
        <v>29</v>
      </c>
      <c r="F2869" s="2">
        <v>90</v>
      </c>
      <c r="G2869" s="2" t="s">
        <v>7241</v>
      </c>
      <c r="H2869" s="2" t="s">
        <v>730</v>
      </c>
      <c r="I2869" s="2" t="s">
        <v>187</v>
      </c>
      <c r="J2869" s="3">
        <v>44913</v>
      </c>
      <c r="K2869" s="2">
        <v>8</v>
      </c>
      <c r="L2869" s="2" t="s">
        <v>54</v>
      </c>
    </row>
    <row r="2870" spans="1:12" x14ac:dyDescent="0.3">
      <c r="A2870" s="2">
        <v>2859</v>
      </c>
      <c r="B2870" s="2" t="s">
        <v>6566</v>
      </c>
      <c r="C2870" s="2" t="s">
        <v>6042</v>
      </c>
      <c r="D2870" s="2" t="s">
        <v>41</v>
      </c>
      <c r="E2870" s="2" t="s">
        <v>16</v>
      </c>
      <c r="F2870" s="2">
        <v>90</v>
      </c>
      <c r="G2870" s="2" t="s">
        <v>7242</v>
      </c>
      <c r="H2870" s="2" t="s">
        <v>2334</v>
      </c>
      <c r="I2870" s="2" t="s">
        <v>32</v>
      </c>
      <c r="J2870" s="3">
        <v>44307</v>
      </c>
      <c r="K2870" s="2">
        <v>48</v>
      </c>
      <c r="L2870" s="2" t="s">
        <v>80</v>
      </c>
    </row>
    <row r="2871" spans="1:12" x14ac:dyDescent="0.3">
      <c r="A2871" s="2">
        <v>2860</v>
      </c>
      <c r="B2871" s="2" t="s">
        <v>7243</v>
      </c>
      <c r="C2871" s="2" t="s">
        <v>4913</v>
      </c>
      <c r="D2871" s="2" t="s">
        <v>51</v>
      </c>
      <c r="E2871" s="2" t="s">
        <v>16</v>
      </c>
      <c r="F2871" s="2">
        <v>90</v>
      </c>
      <c r="G2871" s="2" t="s">
        <v>7244</v>
      </c>
      <c r="H2871" s="2" t="s">
        <v>4277</v>
      </c>
      <c r="I2871" s="2" t="s">
        <v>32</v>
      </c>
      <c r="J2871" s="3">
        <v>44613</v>
      </c>
      <c r="K2871" s="2">
        <v>52</v>
      </c>
      <c r="L2871" s="2" t="s">
        <v>159</v>
      </c>
    </row>
    <row r="2872" spans="1:12" x14ac:dyDescent="0.3">
      <c r="A2872" s="2">
        <v>2861</v>
      </c>
      <c r="B2872" s="2" t="s">
        <v>7245</v>
      </c>
      <c r="C2872" s="2" t="s">
        <v>999</v>
      </c>
      <c r="D2872" s="2" t="s">
        <v>15</v>
      </c>
      <c r="E2872" s="2" t="s">
        <v>16</v>
      </c>
      <c r="F2872" s="2">
        <v>30</v>
      </c>
      <c r="G2872" s="2" t="s">
        <v>7246</v>
      </c>
      <c r="H2872" s="2" t="s">
        <v>5992</v>
      </c>
      <c r="I2872" s="2" t="s">
        <v>25</v>
      </c>
      <c r="J2872" s="3">
        <v>44688</v>
      </c>
      <c r="K2872" s="2">
        <v>105</v>
      </c>
      <c r="L2872" s="2" t="s">
        <v>20</v>
      </c>
    </row>
    <row r="2873" spans="1:12" x14ac:dyDescent="0.3">
      <c r="A2873" s="2">
        <v>2862</v>
      </c>
      <c r="B2873" s="2" t="s">
        <v>7247</v>
      </c>
      <c r="C2873" s="2" t="s">
        <v>7248</v>
      </c>
      <c r="D2873" s="2" t="s">
        <v>15</v>
      </c>
      <c r="E2873" s="2" t="s">
        <v>16</v>
      </c>
      <c r="F2873" s="2">
        <v>30</v>
      </c>
      <c r="G2873" s="2" t="s">
        <v>7249</v>
      </c>
      <c r="H2873" s="2" t="s">
        <v>5874</v>
      </c>
      <c r="I2873" s="2" t="s">
        <v>839</v>
      </c>
      <c r="J2873" s="3">
        <v>43838</v>
      </c>
      <c r="K2873" s="2">
        <v>53</v>
      </c>
      <c r="L2873" s="2" t="s">
        <v>20</v>
      </c>
    </row>
    <row r="2874" spans="1:12" x14ac:dyDescent="0.3">
      <c r="A2874" s="2">
        <v>2863</v>
      </c>
      <c r="B2874" s="2" t="s">
        <v>7250</v>
      </c>
      <c r="C2874" s="2" t="s">
        <v>7251</v>
      </c>
      <c r="D2874" s="2" t="s">
        <v>15</v>
      </c>
      <c r="E2874" s="2" t="s">
        <v>16</v>
      </c>
      <c r="F2874" s="2">
        <v>30</v>
      </c>
      <c r="G2874" s="2" t="s">
        <v>7252</v>
      </c>
      <c r="H2874" s="2" t="s">
        <v>1370</v>
      </c>
      <c r="I2874" s="2" t="s">
        <v>32</v>
      </c>
      <c r="J2874" s="3">
        <v>44256</v>
      </c>
      <c r="K2874" s="2">
        <v>15</v>
      </c>
      <c r="L2874" s="2" t="s">
        <v>70</v>
      </c>
    </row>
    <row r="2875" spans="1:12" x14ac:dyDescent="0.3">
      <c r="A2875" s="2">
        <v>2864</v>
      </c>
      <c r="B2875" s="2" t="s">
        <v>5444</v>
      </c>
      <c r="C2875" s="2" t="s">
        <v>7253</v>
      </c>
      <c r="D2875" s="2" t="s">
        <v>28</v>
      </c>
      <c r="E2875" s="2" t="s">
        <v>29</v>
      </c>
      <c r="F2875" s="2">
        <v>90</v>
      </c>
      <c r="G2875" s="2" t="s">
        <v>7254</v>
      </c>
      <c r="H2875" s="2" t="s">
        <v>5222</v>
      </c>
      <c r="I2875" s="2" t="s">
        <v>32</v>
      </c>
      <c r="J2875" s="3">
        <v>44599</v>
      </c>
      <c r="K2875" s="2">
        <v>40</v>
      </c>
      <c r="L2875" s="2" t="s">
        <v>45</v>
      </c>
    </row>
    <row r="2876" spans="1:12" x14ac:dyDescent="0.3">
      <c r="A2876" s="2">
        <v>2865</v>
      </c>
      <c r="B2876" s="2" t="s">
        <v>7255</v>
      </c>
      <c r="C2876" s="2" t="s">
        <v>1340</v>
      </c>
      <c r="D2876" s="2" t="s">
        <v>51</v>
      </c>
      <c r="E2876" s="2" t="s">
        <v>16</v>
      </c>
      <c r="F2876" s="2">
        <v>90</v>
      </c>
      <c r="G2876" s="2" t="s">
        <v>7256</v>
      </c>
      <c r="H2876" s="2" t="s">
        <v>5652</v>
      </c>
      <c r="I2876" s="2" t="s">
        <v>32</v>
      </c>
      <c r="J2876" s="3">
        <v>44723</v>
      </c>
      <c r="K2876" s="2">
        <v>72</v>
      </c>
      <c r="L2876" s="2" t="s">
        <v>20</v>
      </c>
    </row>
    <row r="2877" spans="1:12" x14ac:dyDescent="0.3">
      <c r="A2877" s="2">
        <v>2866</v>
      </c>
      <c r="B2877" s="2" t="s">
        <v>4296</v>
      </c>
      <c r="C2877" s="2" t="s">
        <v>6040</v>
      </c>
      <c r="D2877" s="2" t="s">
        <v>51</v>
      </c>
      <c r="E2877" s="2" t="s">
        <v>16</v>
      </c>
      <c r="F2877" s="2">
        <v>90</v>
      </c>
      <c r="G2877" s="2" t="s">
        <v>7257</v>
      </c>
      <c r="H2877" s="2" t="s">
        <v>6</v>
      </c>
      <c r="I2877" s="2" t="s">
        <v>32</v>
      </c>
      <c r="J2877" s="3">
        <v>44041</v>
      </c>
      <c r="K2877" s="2">
        <v>63</v>
      </c>
      <c r="L2877" s="2" t="s">
        <v>70</v>
      </c>
    </row>
    <row r="2878" spans="1:12" x14ac:dyDescent="0.3">
      <c r="A2878" s="2">
        <v>2867</v>
      </c>
      <c r="B2878" s="2" t="s">
        <v>4750</v>
      </c>
      <c r="C2878" s="2" t="s">
        <v>7258</v>
      </c>
      <c r="D2878" s="2" t="s">
        <v>28</v>
      </c>
      <c r="E2878" s="2" t="s">
        <v>29</v>
      </c>
      <c r="F2878" s="2">
        <v>90</v>
      </c>
      <c r="G2878" s="2" t="s">
        <v>7259</v>
      </c>
      <c r="H2878" s="2" t="s">
        <v>970</v>
      </c>
      <c r="I2878" s="2" t="s">
        <v>187</v>
      </c>
      <c r="J2878" s="3">
        <v>43986</v>
      </c>
      <c r="K2878" s="2">
        <v>51</v>
      </c>
      <c r="L2878" s="2" t="s">
        <v>70</v>
      </c>
    </row>
    <row r="2879" spans="1:12" x14ac:dyDescent="0.3">
      <c r="A2879" s="2">
        <v>2868</v>
      </c>
      <c r="B2879" s="2" t="s">
        <v>7061</v>
      </c>
      <c r="C2879" s="2" t="s">
        <v>4580</v>
      </c>
      <c r="D2879" s="2" t="s">
        <v>28</v>
      </c>
      <c r="E2879" s="2" t="s">
        <v>29</v>
      </c>
      <c r="F2879" s="2">
        <v>90</v>
      </c>
      <c r="G2879" s="2" t="s">
        <v>7260</v>
      </c>
      <c r="H2879" s="2" t="s">
        <v>7261</v>
      </c>
      <c r="I2879" s="2" t="s">
        <v>32</v>
      </c>
      <c r="J2879" s="3">
        <v>44131</v>
      </c>
      <c r="K2879" s="2">
        <v>33</v>
      </c>
      <c r="L2879" s="2" t="s">
        <v>39</v>
      </c>
    </row>
    <row r="2880" spans="1:12" x14ac:dyDescent="0.3">
      <c r="A2880" s="2">
        <v>2869</v>
      </c>
      <c r="B2880" s="2" t="s">
        <v>3111</v>
      </c>
      <c r="C2880" s="2" t="s">
        <v>5568</v>
      </c>
      <c r="D2880" s="2" t="s">
        <v>28</v>
      </c>
      <c r="E2880" s="2" t="s">
        <v>29</v>
      </c>
      <c r="F2880" s="2">
        <v>30</v>
      </c>
      <c r="G2880" s="2" t="s">
        <v>7262</v>
      </c>
      <c r="H2880" s="2" t="s">
        <v>2212</v>
      </c>
      <c r="I2880" s="2" t="s">
        <v>32</v>
      </c>
      <c r="J2880" s="3">
        <v>44910</v>
      </c>
      <c r="K2880" s="2">
        <v>65</v>
      </c>
      <c r="L2880" s="2" t="s">
        <v>64</v>
      </c>
    </row>
    <row r="2881" spans="1:12" x14ac:dyDescent="0.3">
      <c r="A2881" s="2">
        <v>2870</v>
      </c>
      <c r="B2881" s="2" t="s">
        <v>6557</v>
      </c>
      <c r="C2881" s="2" t="s">
        <v>6888</v>
      </c>
      <c r="D2881" s="2" t="s">
        <v>28</v>
      </c>
      <c r="E2881" s="2" t="s">
        <v>29</v>
      </c>
      <c r="F2881" s="2">
        <v>60</v>
      </c>
      <c r="G2881" s="2" t="s">
        <v>7263</v>
      </c>
      <c r="H2881" s="2" t="s">
        <v>2579</v>
      </c>
      <c r="I2881" s="2" t="s">
        <v>425</v>
      </c>
      <c r="J2881" s="3">
        <v>44389</v>
      </c>
      <c r="K2881" s="2">
        <v>91</v>
      </c>
      <c r="L2881" s="2" t="s">
        <v>159</v>
      </c>
    </row>
    <row r="2882" spans="1:12" x14ac:dyDescent="0.3">
      <c r="A2882" s="2">
        <v>2871</v>
      </c>
      <c r="B2882" s="2" t="s">
        <v>7264</v>
      </c>
      <c r="C2882" s="2" t="s">
        <v>4570</v>
      </c>
      <c r="D2882" s="2" t="s">
        <v>51</v>
      </c>
      <c r="E2882" s="2" t="s">
        <v>16</v>
      </c>
      <c r="F2882" s="2">
        <v>60</v>
      </c>
      <c r="G2882" s="2" t="s">
        <v>7263</v>
      </c>
      <c r="H2882" s="2" t="s">
        <v>1026</v>
      </c>
      <c r="I2882" s="2" t="s">
        <v>32</v>
      </c>
      <c r="J2882" s="3">
        <v>44168</v>
      </c>
      <c r="K2882" s="2">
        <v>37</v>
      </c>
      <c r="L2882" s="2" t="s">
        <v>80</v>
      </c>
    </row>
    <row r="2883" spans="1:12" x14ac:dyDescent="0.3">
      <c r="A2883" s="2">
        <v>2872</v>
      </c>
      <c r="B2883" s="2" t="s">
        <v>2246</v>
      </c>
      <c r="C2883" s="2" t="s">
        <v>2955</v>
      </c>
      <c r="D2883" s="2" t="s">
        <v>28</v>
      </c>
      <c r="E2883" s="2" t="s">
        <v>29</v>
      </c>
      <c r="F2883" s="2">
        <v>30</v>
      </c>
      <c r="G2883" s="2" t="s">
        <v>7265</v>
      </c>
      <c r="H2883" s="2" t="s">
        <v>2720</v>
      </c>
      <c r="I2883" s="2" t="s">
        <v>32</v>
      </c>
      <c r="J2883" s="3">
        <v>43980</v>
      </c>
      <c r="K2883" s="2">
        <v>13</v>
      </c>
      <c r="L2883" s="2" t="s">
        <v>101</v>
      </c>
    </row>
    <row r="2884" spans="1:12" x14ac:dyDescent="0.3">
      <c r="A2884" s="2">
        <v>2873</v>
      </c>
      <c r="B2884" s="2" t="s">
        <v>2177</v>
      </c>
      <c r="C2884" s="2" t="s">
        <v>6351</v>
      </c>
      <c r="D2884" s="2" t="s">
        <v>15</v>
      </c>
      <c r="E2884" s="2" t="s">
        <v>16</v>
      </c>
      <c r="F2884" s="2">
        <v>90</v>
      </c>
      <c r="G2884" s="2" t="s">
        <v>7265</v>
      </c>
      <c r="H2884" s="2" t="s">
        <v>1751</v>
      </c>
      <c r="I2884" s="2" t="s">
        <v>32</v>
      </c>
      <c r="J2884" s="3">
        <v>43951</v>
      </c>
      <c r="K2884" s="2">
        <v>17</v>
      </c>
      <c r="L2884" s="2" t="s">
        <v>101</v>
      </c>
    </row>
    <row r="2885" spans="1:12" x14ac:dyDescent="0.3">
      <c r="A2885" s="2">
        <v>2874</v>
      </c>
      <c r="B2885" s="2" t="s">
        <v>1886</v>
      </c>
      <c r="C2885" s="2" t="s">
        <v>7266</v>
      </c>
      <c r="D2885" s="2" t="s">
        <v>51</v>
      </c>
      <c r="E2885" s="2" t="s">
        <v>16</v>
      </c>
      <c r="F2885" s="2">
        <v>60</v>
      </c>
      <c r="G2885" s="2" t="s">
        <v>7267</v>
      </c>
      <c r="H2885" s="2" t="s">
        <v>7120</v>
      </c>
      <c r="I2885" s="2" t="s">
        <v>294</v>
      </c>
      <c r="J2885" s="3">
        <v>44507</v>
      </c>
      <c r="K2885" s="2">
        <v>5</v>
      </c>
      <c r="L2885" s="2" t="s">
        <v>54</v>
      </c>
    </row>
    <row r="2886" spans="1:12" x14ac:dyDescent="0.3">
      <c r="A2886" s="2">
        <v>2875</v>
      </c>
      <c r="B2886" s="2" t="s">
        <v>2335</v>
      </c>
      <c r="C2886" s="2" t="s">
        <v>536</v>
      </c>
      <c r="D2886" s="2" t="s">
        <v>28</v>
      </c>
      <c r="E2886" s="2" t="s">
        <v>29</v>
      </c>
      <c r="F2886" s="2">
        <v>90</v>
      </c>
      <c r="G2886" s="2" t="s">
        <v>7268</v>
      </c>
      <c r="H2886" s="2" t="s">
        <v>7269</v>
      </c>
      <c r="I2886" s="2" t="s">
        <v>187</v>
      </c>
      <c r="J2886" s="3">
        <v>43967</v>
      </c>
      <c r="K2886" s="2">
        <v>81</v>
      </c>
      <c r="L2886" s="2" t="s">
        <v>159</v>
      </c>
    </row>
    <row r="2887" spans="1:12" x14ac:dyDescent="0.3">
      <c r="A2887" s="2">
        <v>2876</v>
      </c>
      <c r="B2887" s="2" t="s">
        <v>6557</v>
      </c>
      <c r="C2887" s="2" t="s">
        <v>7270</v>
      </c>
      <c r="D2887" s="2" t="s">
        <v>28</v>
      </c>
      <c r="E2887" s="2" t="s">
        <v>29</v>
      </c>
      <c r="F2887" s="2">
        <v>60</v>
      </c>
      <c r="G2887" s="2" t="s">
        <v>7271</v>
      </c>
      <c r="H2887" s="2" t="s">
        <v>4100</v>
      </c>
      <c r="I2887" s="2" t="s">
        <v>294</v>
      </c>
      <c r="J2887" s="3">
        <v>44558</v>
      </c>
      <c r="K2887" s="2">
        <v>15</v>
      </c>
      <c r="L2887" s="2" t="s">
        <v>20</v>
      </c>
    </row>
    <row r="2888" spans="1:12" x14ac:dyDescent="0.3">
      <c r="A2888" s="2">
        <v>2877</v>
      </c>
      <c r="B2888" s="2" t="s">
        <v>2231</v>
      </c>
      <c r="C2888" s="2" t="s">
        <v>2505</v>
      </c>
      <c r="D2888" s="2" t="s">
        <v>28</v>
      </c>
      <c r="E2888" s="2" t="s">
        <v>29</v>
      </c>
      <c r="F2888" s="2">
        <v>60</v>
      </c>
      <c r="G2888" s="2" t="s">
        <v>7272</v>
      </c>
      <c r="H2888" s="2" t="s">
        <v>534</v>
      </c>
      <c r="I2888" s="2" t="s">
        <v>32</v>
      </c>
      <c r="J2888" s="3">
        <v>44475</v>
      </c>
      <c r="K2888" s="2">
        <v>66</v>
      </c>
      <c r="L2888" s="2" t="s">
        <v>39</v>
      </c>
    </row>
    <row r="2889" spans="1:12" x14ac:dyDescent="0.3">
      <c r="A2889" s="2">
        <v>2878</v>
      </c>
      <c r="B2889" s="2" t="s">
        <v>1678</v>
      </c>
      <c r="C2889" s="2" t="s">
        <v>1145</v>
      </c>
      <c r="D2889" s="2" t="s">
        <v>28</v>
      </c>
      <c r="E2889" s="2" t="s">
        <v>29</v>
      </c>
      <c r="F2889" s="2">
        <v>60</v>
      </c>
      <c r="G2889" s="2" t="s">
        <v>7273</v>
      </c>
      <c r="H2889" s="2" t="s">
        <v>566</v>
      </c>
      <c r="I2889" s="2" t="s">
        <v>110</v>
      </c>
      <c r="J2889" s="3">
        <v>44034</v>
      </c>
      <c r="K2889" s="2">
        <v>27</v>
      </c>
      <c r="L2889" s="2" t="s">
        <v>159</v>
      </c>
    </row>
    <row r="2890" spans="1:12" x14ac:dyDescent="0.3">
      <c r="A2890" s="2">
        <v>2879</v>
      </c>
      <c r="B2890" s="2" t="s">
        <v>2371</v>
      </c>
      <c r="C2890" s="2" t="s">
        <v>4629</v>
      </c>
      <c r="D2890" s="2" t="s">
        <v>28</v>
      </c>
      <c r="E2890" s="2" t="s">
        <v>29</v>
      </c>
      <c r="F2890" s="2">
        <v>90</v>
      </c>
      <c r="G2890" s="2" t="s">
        <v>7274</v>
      </c>
      <c r="H2890" s="2" t="s">
        <v>4386</v>
      </c>
      <c r="I2890" s="2" t="s">
        <v>32</v>
      </c>
      <c r="J2890" s="3">
        <v>44107</v>
      </c>
      <c r="K2890" s="2">
        <v>44</v>
      </c>
      <c r="L2890" s="2" t="s">
        <v>45</v>
      </c>
    </row>
    <row r="2891" spans="1:12" x14ac:dyDescent="0.3">
      <c r="A2891" s="2">
        <v>2880</v>
      </c>
      <c r="B2891" s="2" t="s">
        <v>563</v>
      </c>
      <c r="C2891" s="2" t="s">
        <v>3352</v>
      </c>
      <c r="D2891" s="2" t="s">
        <v>15</v>
      </c>
      <c r="E2891" s="2" t="s">
        <v>16</v>
      </c>
      <c r="F2891" s="2">
        <v>60</v>
      </c>
      <c r="G2891" s="2" t="s">
        <v>7275</v>
      </c>
      <c r="H2891" s="2" t="s">
        <v>1901</v>
      </c>
      <c r="I2891" s="2" t="s">
        <v>178</v>
      </c>
      <c r="J2891" s="3">
        <v>44114</v>
      </c>
      <c r="K2891" s="2">
        <v>63</v>
      </c>
      <c r="L2891" s="2" t="s">
        <v>101</v>
      </c>
    </row>
    <row r="2892" spans="1:12" x14ac:dyDescent="0.3">
      <c r="A2892" s="2">
        <v>2881</v>
      </c>
      <c r="B2892" s="2" t="s">
        <v>7276</v>
      </c>
      <c r="C2892" s="2" t="s">
        <v>441</v>
      </c>
      <c r="D2892" s="2" t="s">
        <v>15</v>
      </c>
      <c r="E2892" s="2" t="s">
        <v>16</v>
      </c>
      <c r="F2892" s="2">
        <v>90</v>
      </c>
      <c r="G2892" s="2" t="s">
        <v>7277</v>
      </c>
      <c r="H2892" s="2" t="s">
        <v>5316</v>
      </c>
      <c r="I2892" s="2" t="s">
        <v>25</v>
      </c>
      <c r="J2892" s="3">
        <v>44456</v>
      </c>
      <c r="K2892" s="2">
        <v>79</v>
      </c>
      <c r="L2892" s="2" t="s">
        <v>80</v>
      </c>
    </row>
    <row r="2893" spans="1:12" x14ac:dyDescent="0.3">
      <c r="A2893" s="2">
        <v>2882</v>
      </c>
      <c r="B2893" s="2" t="s">
        <v>4359</v>
      </c>
      <c r="C2893" s="2" t="s">
        <v>7278</v>
      </c>
      <c r="D2893" s="2" t="s">
        <v>28</v>
      </c>
      <c r="E2893" s="2" t="s">
        <v>29</v>
      </c>
      <c r="F2893" s="2">
        <v>90</v>
      </c>
      <c r="G2893" s="2" t="s">
        <v>7279</v>
      </c>
      <c r="H2893" s="2" t="s">
        <v>1168</v>
      </c>
      <c r="I2893" s="2" t="s">
        <v>32</v>
      </c>
      <c r="J2893" s="3">
        <v>44706</v>
      </c>
      <c r="K2893" s="2">
        <v>53</v>
      </c>
      <c r="L2893" s="2" t="s">
        <v>70</v>
      </c>
    </row>
    <row r="2894" spans="1:12" x14ac:dyDescent="0.3">
      <c r="A2894" s="2">
        <v>2883</v>
      </c>
      <c r="B2894" s="2" t="s">
        <v>4644</v>
      </c>
      <c r="C2894" s="2" t="s">
        <v>2585</v>
      </c>
      <c r="D2894" s="2" t="s">
        <v>117</v>
      </c>
      <c r="E2894" s="2" t="s">
        <v>29</v>
      </c>
      <c r="F2894" s="2">
        <v>30</v>
      </c>
      <c r="G2894" s="2" t="s">
        <v>7280</v>
      </c>
      <c r="H2894" s="2" t="s">
        <v>7281</v>
      </c>
      <c r="I2894" s="2" t="s">
        <v>25</v>
      </c>
      <c r="J2894" s="3">
        <v>44010</v>
      </c>
      <c r="K2894" s="2">
        <v>52</v>
      </c>
      <c r="L2894" s="2" t="s">
        <v>64</v>
      </c>
    </row>
    <row r="2895" spans="1:12" x14ac:dyDescent="0.3">
      <c r="A2895" s="2">
        <v>2884</v>
      </c>
      <c r="B2895" s="2" t="s">
        <v>1928</v>
      </c>
      <c r="C2895" s="2" t="s">
        <v>1967</v>
      </c>
      <c r="D2895" s="2" t="s">
        <v>51</v>
      </c>
      <c r="E2895" s="2" t="s">
        <v>16</v>
      </c>
      <c r="F2895" s="2">
        <v>30</v>
      </c>
      <c r="G2895" s="2" t="s">
        <v>10536</v>
      </c>
      <c r="H2895" s="2" t="s">
        <v>4870</v>
      </c>
      <c r="I2895" s="2" t="s">
        <v>146</v>
      </c>
      <c r="J2895" s="3">
        <v>44743</v>
      </c>
      <c r="K2895" s="2">
        <v>102</v>
      </c>
      <c r="L2895" s="2" t="s">
        <v>64</v>
      </c>
    </row>
    <row r="2896" spans="1:12" x14ac:dyDescent="0.3">
      <c r="A2896" s="2">
        <v>2885</v>
      </c>
      <c r="B2896" s="2" t="s">
        <v>7283</v>
      </c>
      <c r="C2896" s="2" t="s">
        <v>5870</v>
      </c>
      <c r="D2896" s="2" t="s">
        <v>51</v>
      </c>
      <c r="E2896" s="2" t="s">
        <v>16</v>
      </c>
      <c r="F2896" s="2">
        <v>60</v>
      </c>
      <c r="G2896" s="2" t="s">
        <v>7284</v>
      </c>
      <c r="H2896" s="2" t="s">
        <v>1643</v>
      </c>
      <c r="I2896" s="2" t="s">
        <v>124</v>
      </c>
      <c r="J2896" s="3">
        <v>44329</v>
      </c>
      <c r="K2896" s="2">
        <v>82</v>
      </c>
      <c r="L2896" s="2" t="s">
        <v>39</v>
      </c>
    </row>
    <row r="2897" spans="1:12" x14ac:dyDescent="0.3">
      <c r="A2897" s="2">
        <v>2886</v>
      </c>
      <c r="B2897" s="2" t="s">
        <v>7283</v>
      </c>
      <c r="C2897" s="2" t="s">
        <v>5670</v>
      </c>
      <c r="D2897" s="2" t="s">
        <v>51</v>
      </c>
      <c r="E2897" s="2" t="s">
        <v>16</v>
      </c>
      <c r="F2897" s="2">
        <v>90</v>
      </c>
      <c r="G2897" s="2" t="s">
        <v>7285</v>
      </c>
      <c r="H2897" s="2" t="s">
        <v>1325</v>
      </c>
      <c r="I2897" s="2" t="s">
        <v>187</v>
      </c>
      <c r="J2897" s="3">
        <v>43895</v>
      </c>
      <c r="K2897" s="2">
        <v>56</v>
      </c>
      <c r="L2897" s="2" t="s">
        <v>33</v>
      </c>
    </row>
    <row r="2898" spans="1:12" x14ac:dyDescent="0.3">
      <c r="A2898" s="2">
        <v>2887</v>
      </c>
      <c r="B2898" s="2" t="s">
        <v>3910</v>
      </c>
      <c r="C2898" s="2" t="s">
        <v>3680</v>
      </c>
      <c r="D2898" s="2" t="s">
        <v>28</v>
      </c>
      <c r="E2898" s="2" t="s">
        <v>29</v>
      </c>
      <c r="F2898" s="2">
        <v>90</v>
      </c>
      <c r="G2898" s="2" t="s">
        <v>7286</v>
      </c>
      <c r="H2898" s="2" t="s">
        <v>1052</v>
      </c>
      <c r="I2898" s="2" t="s">
        <v>32</v>
      </c>
      <c r="J2898" s="3">
        <v>43899</v>
      </c>
      <c r="K2898" s="2">
        <v>75</v>
      </c>
      <c r="L2898" s="2" t="s">
        <v>20</v>
      </c>
    </row>
    <row r="2899" spans="1:12" x14ac:dyDescent="0.3">
      <c r="A2899" s="2">
        <v>2888</v>
      </c>
      <c r="B2899" s="2" t="s">
        <v>2200</v>
      </c>
      <c r="C2899" s="2" t="s">
        <v>6997</v>
      </c>
      <c r="D2899" s="2" t="s">
        <v>28</v>
      </c>
      <c r="E2899" s="2" t="s">
        <v>29</v>
      </c>
      <c r="F2899" s="2">
        <v>30</v>
      </c>
      <c r="G2899" s="2" t="s">
        <v>7287</v>
      </c>
      <c r="H2899" s="2" t="s">
        <v>4145</v>
      </c>
      <c r="I2899" s="2" t="s">
        <v>32</v>
      </c>
      <c r="J2899" s="3">
        <v>44417</v>
      </c>
      <c r="K2899" s="2">
        <v>25</v>
      </c>
      <c r="L2899" s="2" t="s">
        <v>45</v>
      </c>
    </row>
    <row r="2900" spans="1:12" x14ac:dyDescent="0.3">
      <c r="A2900" s="2">
        <v>2889</v>
      </c>
      <c r="B2900" s="2" t="s">
        <v>2721</v>
      </c>
      <c r="C2900" s="2" t="s">
        <v>4603</v>
      </c>
      <c r="D2900" s="2" t="s">
        <v>28</v>
      </c>
      <c r="E2900" s="2" t="s">
        <v>29</v>
      </c>
      <c r="F2900" s="2">
        <v>60</v>
      </c>
      <c r="G2900" s="2" t="s">
        <v>7288</v>
      </c>
      <c r="H2900" s="2" t="s">
        <v>1276</v>
      </c>
      <c r="I2900" s="2" t="s">
        <v>32</v>
      </c>
      <c r="J2900" s="3">
        <v>44596</v>
      </c>
      <c r="K2900" s="2">
        <v>82</v>
      </c>
      <c r="L2900" s="2" t="s">
        <v>64</v>
      </c>
    </row>
    <row r="2901" spans="1:12" x14ac:dyDescent="0.3">
      <c r="A2901" s="2">
        <v>2890</v>
      </c>
      <c r="B2901" s="2" t="s">
        <v>7289</v>
      </c>
      <c r="C2901" s="2" t="s">
        <v>7290</v>
      </c>
      <c r="D2901" s="2" t="s">
        <v>15</v>
      </c>
      <c r="E2901" s="2" t="s">
        <v>16</v>
      </c>
      <c r="F2901" s="2">
        <v>30</v>
      </c>
      <c r="G2901" s="2" t="s">
        <v>7291</v>
      </c>
      <c r="H2901" s="2" t="s">
        <v>5624</v>
      </c>
      <c r="I2901" s="2" t="s">
        <v>32</v>
      </c>
      <c r="J2901" s="3">
        <v>44817</v>
      </c>
      <c r="K2901" s="2">
        <v>53</v>
      </c>
      <c r="L2901" s="2" t="s">
        <v>20</v>
      </c>
    </row>
    <row r="2902" spans="1:12" x14ac:dyDescent="0.3">
      <c r="A2902" s="2">
        <v>2891</v>
      </c>
      <c r="B2902" s="2" t="s">
        <v>1654</v>
      </c>
      <c r="C2902" s="2" t="s">
        <v>7292</v>
      </c>
      <c r="D2902" s="2" t="s">
        <v>15</v>
      </c>
      <c r="E2902" s="2" t="s">
        <v>16</v>
      </c>
      <c r="F2902" s="2">
        <v>60</v>
      </c>
      <c r="G2902" s="2" t="s">
        <v>7293</v>
      </c>
      <c r="H2902" s="2" t="s">
        <v>2934</v>
      </c>
      <c r="I2902" s="2" t="s">
        <v>32</v>
      </c>
      <c r="J2902" s="3">
        <v>44841</v>
      </c>
      <c r="K2902" s="2">
        <v>62</v>
      </c>
      <c r="L2902" s="2" t="s">
        <v>33</v>
      </c>
    </row>
    <row r="2903" spans="1:12" x14ac:dyDescent="0.3">
      <c r="A2903" s="2">
        <v>2892</v>
      </c>
      <c r="B2903" s="2" t="s">
        <v>7294</v>
      </c>
      <c r="C2903" s="2" t="s">
        <v>2815</v>
      </c>
      <c r="D2903" s="2" t="s">
        <v>15</v>
      </c>
      <c r="E2903" s="2" t="s">
        <v>16</v>
      </c>
      <c r="F2903" s="2">
        <v>60</v>
      </c>
      <c r="G2903" s="2" t="s">
        <v>7295</v>
      </c>
      <c r="H2903" s="2" t="s">
        <v>3635</v>
      </c>
      <c r="I2903" s="2" t="s">
        <v>1157</v>
      </c>
      <c r="J2903" s="3">
        <v>44565</v>
      </c>
      <c r="K2903" s="2">
        <v>83</v>
      </c>
      <c r="L2903" s="2" t="s">
        <v>70</v>
      </c>
    </row>
    <row r="2904" spans="1:12" x14ac:dyDescent="0.3">
      <c r="A2904" s="2">
        <v>2893</v>
      </c>
      <c r="B2904" s="2" t="s">
        <v>4218</v>
      </c>
      <c r="C2904" s="2" t="s">
        <v>3127</v>
      </c>
      <c r="D2904" s="2" t="s">
        <v>28</v>
      </c>
      <c r="E2904" s="2" t="s">
        <v>29</v>
      </c>
      <c r="F2904" s="2">
        <v>60</v>
      </c>
      <c r="G2904" s="2" t="s">
        <v>7296</v>
      </c>
      <c r="H2904" s="2" t="s">
        <v>7297</v>
      </c>
      <c r="I2904" s="2" t="s">
        <v>178</v>
      </c>
      <c r="J2904" s="3">
        <v>44123</v>
      </c>
      <c r="K2904" s="2">
        <v>52</v>
      </c>
      <c r="L2904" s="2" t="s">
        <v>101</v>
      </c>
    </row>
    <row r="2905" spans="1:12" x14ac:dyDescent="0.3">
      <c r="A2905" s="2">
        <v>2894</v>
      </c>
      <c r="B2905" s="2" t="s">
        <v>7298</v>
      </c>
      <c r="C2905" s="2" t="s">
        <v>3098</v>
      </c>
      <c r="D2905" s="2" t="s">
        <v>28</v>
      </c>
      <c r="E2905" s="2" t="s">
        <v>29</v>
      </c>
      <c r="F2905" s="2">
        <v>60</v>
      </c>
      <c r="G2905" s="2" t="s">
        <v>7299</v>
      </c>
      <c r="H2905" s="2" t="s">
        <v>3433</v>
      </c>
      <c r="I2905" s="2" t="s">
        <v>1199</v>
      </c>
      <c r="J2905" s="3">
        <v>44459</v>
      </c>
      <c r="K2905" s="2">
        <v>34</v>
      </c>
      <c r="L2905" s="2" t="s">
        <v>39</v>
      </c>
    </row>
    <row r="2906" spans="1:12" x14ac:dyDescent="0.3">
      <c r="A2906" s="2">
        <v>2895</v>
      </c>
      <c r="B2906" s="2" t="s">
        <v>952</v>
      </c>
      <c r="C2906" s="2" t="s">
        <v>961</v>
      </c>
      <c r="D2906" s="2" t="s">
        <v>15</v>
      </c>
      <c r="E2906" s="2" t="s">
        <v>16</v>
      </c>
      <c r="F2906" s="2">
        <v>60</v>
      </c>
      <c r="G2906" s="2" t="s">
        <v>7300</v>
      </c>
      <c r="H2906" s="2" t="s">
        <v>2418</v>
      </c>
      <c r="I2906" s="2" t="s">
        <v>32</v>
      </c>
      <c r="J2906" s="3">
        <v>44279</v>
      </c>
      <c r="K2906" s="2">
        <v>57</v>
      </c>
      <c r="L2906" s="2" t="s">
        <v>39</v>
      </c>
    </row>
    <row r="2907" spans="1:12" x14ac:dyDescent="0.3">
      <c r="A2907" s="2">
        <v>2896</v>
      </c>
      <c r="B2907" s="2" t="s">
        <v>7301</v>
      </c>
      <c r="C2907" s="2" t="s">
        <v>1072</v>
      </c>
      <c r="D2907" s="2" t="s">
        <v>51</v>
      </c>
      <c r="E2907" s="2" t="s">
        <v>16</v>
      </c>
      <c r="F2907" s="2">
        <v>30</v>
      </c>
      <c r="G2907" s="2" t="s">
        <v>7302</v>
      </c>
      <c r="H2907" s="2" t="s">
        <v>4941</v>
      </c>
      <c r="I2907" s="2" t="s">
        <v>32</v>
      </c>
      <c r="J2907" s="3">
        <v>44851</v>
      </c>
      <c r="K2907" s="2">
        <v>85</v>
      </c>
      <c r="L2907" s="2" t="s">
        <v>20</v>
      </c>
    </row>
    <row r="2908" spans="1:12" x14ac:dyDescent="0.3">
      <c r="A2908" s="2">
        <v>2897</v>
      </c>
      <c r="B2908" s="2" t="s">
        <v>7303</v>
      </c>
      <c r="C2908" s="2" t="s">
        <v>5258</v>
      </c>
      <c r="D2908" s="2" t="s">
        <v>28</v>
      </c>
      <c r="E2908" s="2" t="s">
        <v>29</v>
      </c>
      <c r="F2908" s="2">
        <v>60</v>
      </c>
      <c r="G2908" s="2" t="s">
        <v>7304</v>
      </c>
      <c r="H2908" s="2" t="s">
        <v>2570</v>
      </c>
      <c r="I2908" s="2" t="s">
        <v>32</v>
      </c>
      <c r="J2908" s="3">
        <v>44339</v>
      </c>
      <c r="K2908" s="2">
        <v>87</v>
      </c>
      <c r="L2908" s="2" t="s">
        <v>101</v>
      </c>
    </row>
    <row r="2909" spans="1:12" x14ac:dyDescent="0.3">
      <c r="A2909" s="2">
        <v>2898</v>
      </c>
      <c r="B2909" s="2" t="s">
        <v>7305</v>
      </c>
      <c r="C2909" s="2" t="s">
        <v>5727</v>
      </c>
      <c r="D2909" s="2" t="s">
        <v>15</v>
      </c>
      <c r="E2909" s="2" t="s">
        <v>16</v>
      </c>
      <c r="F2909" s="2">
        <v>60</v>
      </c>
      <c r="G2909" s="2" t="s">
        <v>7306</v>
      </c>
      <c r="H2909" s="2" t="s">
        <v>7307</v>
      </c>
      <c r="I2909" s="2" t="s">
        <v>25</v>
      </c>
      <c r="J2909" s="3">
        <v>44730</v>
      </c>
      <c r="K2909" s="2">
        <v>66</v>
      </c>
      <c r="L2909" s="2" t="s">
        <v>45</v>
      </c>
    </row>
    <row r="2910" spans="1:12" x14ac:dyDescent="0.3">
      <c r="A2910" s="2">
        <v>2899</v>
      </c>
      <c r="B2910" s="2" t="s">
        <v>115</v>
      </c>
      <c r="C2910" s="2" t="s">
        <v>6355</v>
      </c>
      <c r="D2910" s="2" t="s">
        <v>28</v>
      </c>
      <c r="E2910" s="2" t="s">
        <v>29</v>
      </c>
      <c r="F2910" s="2">
        <v>30</v>
      </c>
      <c r="G2910" s="2" t="s">
        <v>7308</v>
      </c>
      <c r="H2910" s="2" t="s">
        <v>1804</v>
      </c>
      <c r="I2910" s="2" t="s">
        <v>32</v>
      </c>
      <c r="J2910" s="3">
        <v>44088</v>
      </c>
      <c r="K2910" s="2">
        <v>65</v>
      </c>
      <c r="L2910" s="2" t="s">
        <v>33</v>
      </c>
    </row>
    <row r="2911" spans="1:12" x14ac:dyDescent="0.3">
      <c r="A2911" s="2">
        <v>2900</v>
      </c>
      <c r="B2911" s="2" t="s">
        <v>6192</v>
      </c>
      <c r="C2911" s="2" t="s">
        <v>5487</v>
      </c>
      <c r="D2911" s="2" t="s">
        <v>51</v>
      </c>
      <c r="E2911" s="2" t="s">
        <v>16</v>
      </c>
      <c r="F2911" s="2">
        <v>60</v>
      </c>
      <c r="G2911" s="2" t="s">
        <v>7309</v>
      </c>
      <c r="H2911" s="2" t="s">
        <v>3169</v>
      </c>
      <c r="I2911" s="2" t="s">
        <v>110</v>
      </c>
      <c r="J2911" s="3">
        <v>44048</v>
      </c>
      <c r="K2911" s="2">
        <v>85</v>
      </c>
      <c r="L2911" s="2" t="s">
        <v>54</v>
      </c>
    </row>
    <row r="2912" spans="1:12" x14ac:dyDescent="0.3">
      <c r="A2912" s="2">
        <v>2901</v>
      </c>
      <c r="B2912" s="2" t="s">
        <v>7310</v>
      </c>
      <c r="C2912" s="2" t="s">
        <v>6509</v>
      </c>
      <c r="D2912" s="2" t="s">
        <v>15</v>
      </c>
      <c r="E2912" s="2" t="s">
        <v>16</v>
      </c>
      <c r="F2912" s="2">
        <v>30</v>
      </c>
      <c r="G2912" s="2" t="s">
        <v>7309</v>
      </c>
      <c r="H2912" s="2" t="s">
        <v>2084</v>
      </c>
      <c r="I2912" s="2" t="s">
        <v>294</v>
      </c>
      <c r="J2912" s="3">
        <v>44270</v>
      </c>
      <c r="K2912" s="2">
        <v>50</v>
      </c>
      <c r="L2912" s="2" t="s">
        <v>33</v>
      </c>
    </row>
    <row r="2913" spans="1:12" x14ac:dyDescent="0.3">
      <c r="A2913" s="2">
        <v>2902</v>
      </c>
      <c r="B2913" s="2" t="s">
        <v>7311</v>
      </c>
      <c r="C2913" s="2" t="s">
        <v>6436</v>
      </c>
      <c r="D2913" s="2" t="s">
        <v>15</v>
      </c>
      <c r="E2913" s="2" t="s">
        <v>16</v>
      </c>
      <c r="F2913" s="2">
        <v>90</v>
      </c>
      <c r="G2913" s="2" t="s">
        <v>7309</v>
      </c>
      <c r="H2913" s="2" t="s">
        <v>2742</v>
      </c>
      <c r="I2913" s="2" t="s">
        <v>124</v>
      </c>
      <c r="J2913" s="3">
        <v>44741</v>
      </c>
      <c r="K2913" s="2">
        <v>101</v>
      </c>
      <c r="L2913" s="2" t="s">
        <v>101</v>
      </c>
    </row>
    <row r="2914" spans="1:12" x14ac:dyDescent="0.3">
      <c r="A2914" s="2">
        <v>2903</v>
      </c>
      <c r="B2914" s="2" t="s">
        <v>7312</v>
      </c>
      <c r="C2914" s="2" t="s">
        <v>1656</v>
      </c>
      <c r="D2914" s="2" t="s">
        <v>15</v>
      </c>
      <c r="E2914" s="2" t="s">
        <v>16</v>
      </c>
      <c r="F2914" s="2">
        <v>90</v>
      </c>
      <c r="G2914" s="2" t="s">
        <v>7313</v>
      </c>
      <c r="H2914" s="2" t="s">
        <v>1537</v>
      </c>
      <c r="I2914" s="2" t="s">
        <v>294</v>
      </c>
      <c r="J2914" s="3">
        <v>44403</v>
      </c>
      <c r="K2914" s="2">
        <v>28</v>
      </c>
      <c r="L2914" s="2" t="s">
        <v>101</v>
      </c>
    </row>
    <row r="2915" spans="1:12" x14ac:dyDescent="0.3">
      <c r="A2915" s="2">
        <v>2904</v>
      </c>
      <c r="B2915" s="2" t="s">
        <v>7314</v>
      </c>
      <c r="C2915" s="2" t="s">
        <v>7315</v>
      </c>
      <c r="D2915" s="2" t="s">
        <v>28</v>
      </c>
      <c r="E2915" s="2" t="s">
        <v>29</v>
      </c>
      <c r="F2915" s="2">
        <v>90</v>
      </c>
      <c r="G2915" s="2" t="s">
        <v>7316</v>
      </c>
      <c r="H2915" s="2" t="s">
        <v>389</v>
      </c>
      <c r="I2915" s="2" t="s">
        <v>32</v>
      </c>
      <c r="J2915" s="3">
        <v>44639</v>
      </c>
      <c r="K2915" s="2">
        <v>80</v>
      </c>
      <c r="L2915" s="2" t="s">
        <v>33</v>
      </c>
    </row>
    <row r="2916" spans="1:12" x14ac:dyDescent="0.3">
      <c r="A2916" s="2">
        <v>2905</v>
      </c>
      <c r="B2916" s="2" t="s">
        <v>5457</v>
      </c>
      <c r="C2916" s="2" t="s">
        <v>7231</v>
      </c>
      <c r="D2916" s="2" t="s">
        <v>28</v>
      </c>
      <c r="E2916" s="2" t="s">
        <v>29</v>
      </c>
      <c r="F2916" s="2">
        <v>90</v>
      </c>
      <c r="G2916" s="2" t="s">
        <v>7317</v>
      </c>
      <c r="H2916" s="2" t="s">
        <v>7318</v>
      </c>
      <c r="I2916" s="2" t="s">
        <v>32</v>
      </c>
      <c r="J2916" s="3">
        <v>44053</v>
      </c>
      <c r="K2916" s="2">
        <v>26</v>
      </c>
      <c r="L2916" s="2" t="s">
        <v>159</v>
      </c>
    </row>
    <row r="2917" spans="1:12" x14ac:dyDescent="0.3">
      <c r="A2917" s="2">
        <v>2906</v>
      </c>
      <c r="B2917" s="2" t="s">
        <v>7319</v>
      </c>
      <c r="C2917" s="2" t="s">
        <v>3971</v>
      </c>
      <c r="D2917" s="2" t="s">
        <v>51</v>
      </c>
      <c r="E2917" s="2" t="s">
        <v>16</v>
      </c>
      <c r="F2917" s="2">
        <v>90</v>
      </c>
      <c r="G2917" s="2" t="s">
        <v>7320</v>
      </c>
      <c r="H2917" s="2" t="s">
        <v>1556</v>
      </c>
      <c r="I2917" s="2" t="s">
        <v>1311</v>
      </c>
      <c r="J2917" s="3">
        <v>44653</v>
      </c>
      <c r="K2917" s="2">
        <v>16</v>
      </c>
      <c r="L2917" s="2" t="s">
        <v>101</v>
      </c>
    </row>
    <row r="2918" spans="1:12" x14ac:dyDescent="0.3">
      <c r="A2918" s="2">
        <v>2907</v>
      </c>
      <c r="B2918" s="2" t="s">
        <v>1788</v>
      </c>
      <c r="C2918" s="2" t="s">
        <v>665</v>
      </c>
      <c r="D2918" s="2" t="s">
        <v>28</v>
      </c>
      <c r="E2918" s="2" t="s">
        <v>29</v>
      </c>
      <c r="F2918" s="2">
        <v>60</v>
      </c>
      <c r="G2918" s="2" t="s">
        <v>7321</v>
      </c>
      <c r="H2918" s="2" t="s">
        <v>674</v>
      </c>
      <c r="I2918" s="2" t="s">
        <v>32</v>
      </c>
      <c r="J2918" s="3">
        <v>43959</v>
      </c>
      <c r="K2918" s="2">
        <v>27</v>
      </c>
      <c r="L2918" s="2" t="s">
        <v>54</v>
      </c>
    </row>
    <row r="2919" spans="1:12" x14ac:dyDescent="0.3">
      <c r="A2919" s="2">
        <v>2908</v>
      </c>
      <c r="B2919" s="2" t="s">
        <v>7322</v>
      </c>
      <c r="C2919" s="2" t="s">
        <v>5862</v>
      </c>
      <c r="D2919" s="2" t="s">
        <v>41</v>
      </c>
      <c r="E2919" s="2" t="s">
        <v>16</v>
      </c>
      <c r="F2919" s="2">
        <v>60</v>
      </c>
      <c r="G2919" s="2" t="s">
        <v>7323</v>
      </c>
      <c r="H2919" s="2" t="s">
        <v>2877</v>
      </c>
      <c r="I2919" s="2" t="s">
        <v>2878</v>
      </c>
      <c r="J2919" s="3">
        <v>44739</v>
      </c>
      <c r="K2919" s="2">
        <v>65</v>
      </c>
      <c r="L2919" s="2" t="s">
        <v>45</v>
      </c>
    </row>
    <row r="2920" spans="1:12" x14ac:dyDescent="0.3">
      <c r="A2920" s="2">
        <v>2909</v>
      </c>
      <c r="B2920" s="2" t="s">
        <v>71</v>
      </c>
      <c r="C2920" s="2" t="s">
        <v>1215</v>
      </c>
      <c r="D2920" s="2" t="s">
        <v>15</v>
      </c>
      <c r="E2920" s="2" t="s">
        <v>16</v>
      </c>
      <c r="F2920" s="2">
        <v>60</v>
      </c>
      <c r="G2920" s="2" t="s">
        <v>7324</v>
      </c>
      <c r="H2920" s="2" t="s">
        <v>4123</v>
      </c>
      <c r="I2920" s="2" t="s">
        <v>187</v>
      </c>
      <c r="J2920" s="3">
        <v>44594</v>
      </c>
      <c r="K2920" s="2">
        <v>17</v>
      </c>
      <c r="L2920" s="2" t="s">
        <v>45</v>
      </c>
    </row>
    <row r="2921" spans="1:12" x14ac:dyDescent="0.3">
      <c r="A2921" s="2">
        <v>2910</v>
      </c>
      <c r="B2921" s="2" t="s">
        <v>7325</v>
      </c>
      <c r="C2921" s="2" t="s">
        <v>7206</v>
      </c>
      <c r="D2921" s="2" t="s">
        <v>51</v>
      </c>
      <c r="E2921" s="2" t="s">
        <v>16</v>
      </c>
      <c r="F2921" s="2">
        <v>30</v>
      </c>
      <c r="G2921" s="2" t="s">
        <v>7326</v>
      </c>
      <c r="H2921" s="2" t="s">
        <v>4337</v>
      </c>
      <c r="I2921" s="2" t="s">
        <v>25</v>
      </c>
      <c r="J2921" s="3">
        <v>44794</v>
      </c>
      <c r="K2921" s="2">
        <v>17</v>
      </c>
      <c r="L2921" s="2" t="s">
        <v>159</v>
      </c>
    </row>
    <row r="2922" spans="1:12" x14ac:dyDescent="0.3">
      <c r="A2922" s="2">
        <v>2911</v>
      </c>
      <c r="B2922" s="2" t="s">
        <v>1755</v>
      </c>
      <c r="C2922" s="2" t="s">
        <v>1866</v>
      </c>
      <c r="D2922" s="2" t="s">
        <v>28</v>
      </c>
      <c r="E2922" s="2" t="s">
        <v>29</v>
      </c>
      <c r="F2922" s="2">
        <v>60</v>
      </c>
      <c r="G2922" s="2" t="s">
        <v>7327</v>
      </c>
      <c r="H2922" s="2" t="s">
        <v>927</v>
      </c>
      <c r="I2922" s="2" t="s">
        <v>129</v>
      </c>
      <c r="J2922" s="3">
        <v>44033</v>
      </c>
      <c r="K2922" s="2">
        <v>46</v>
      </c>
      <c r="L2922" s="2" t="s">
        <v>70</v>
      </c>
    </row>
    <row r="2923" spans="1:12" x14ac:dyDescent="0.3">
      <c r="A2923" s="2">
        <v>2912</v>
      </c>
      <c r="B2923" s="2" t="s">
        <v>6843</v>
      </c>
      <c r="C2923" s="2" t="s">
        <v>418</v>
      </c>
      <c r="D2923" s="2" t="s">
        <v>51</v>
      </c>
      <c r="E2923" s="2" t="s">
        <v>16</v>
      </c>
      <c r="F2923" s="2">
        <v>60</v>
      </c>
      <c r="G2923" s="2" t="s">
        <v>7328</v>
      </c>
      <c r="H2923" s="2" t="s">
        <v>4066</v>
      </c>
      <c r="I2923" s="2" t="s">
        <v>4067</v>
      </c>
      <c r="J2923" s="3">
        <v>44246</v>
      </c>
      <c r="K2923" s="2">
        <v>16</v>
      </c>
      <c r="L2923" s="2" t="s">
        <v>159</v>
      </c>
    </row>
    <row r="2924" spans="1:12" x14ac:dyDescent="0.3">
      <c r="A2924" s="2">
        <v>2913</v>
      </c>
      <c r="B2924" s="2" t="s">
        <v>4737</v>
      </c>
      <c r="C2924" s="2" t="s">
        <v>1662</v>
      </c>
      <c r="D2924" s="2" t="s">
        <v>28</v>
      </c>
      <c r="E2924" s="2" t="s">
        <v>29</v>
      </c>
      <c r="F2924" s="2">
        <v>90</v>
      </c>
      <c r="G2924" s="2" t="s">
        <v>7329</v>
      </c>
      <c r="H2924" s="2" t="s">
        <v>7330</v>
      </c>
      <c r="I2924" s="2" t="s">
        <v>5820</v>
      </c>
      <c r="J2924" s="3">
        <v>44665</v>
      </c>
      <c r="K2924" s="2">
        <v>47</v>
      </c>
      <c r="L2924" s="2" t="s">
        <v>39</v>
      </c>
    </row>
    <row r="2925" spans="1:12" x14ac:dyDescent="0.3">
      <c r="A2925" s="2">
        <v>2914</v>
      </c>
      <c r="B2925" s="2" t="s">
        <v>1998</v>
      </c>
      <c r="C2925" s="2" t="s">
        <v>139</v>
      </c>
      <c r="D2925" s="2" t="s">
        <v>28</v>
      </c>
      <c r="E2925" s="2" t="s">
        <v>29</v>
      </c>
      <c r="F2925" s="2">
        <v>90</v>
      </c>
      <c r="G2925" s="2" t="s">
        <v>7333</v>
      </c>
      <c r="H2925" s="2" t="s">
        <v>2655</v>
      </c>
      <c r="I2925" s="2" t="s">
        <v>1083</v>
      </c>
      <c r="J2925" s="3">
        <v>44672</v>
      </c>
      <c r="K2925" s="2">
        <v>70</v>
      </c>
      <c r="L2925" s="2" t="s">
        <v>80</v>
      </c>
    </row>
    <row r="2926" spans="1:12" x14ac:dyDescent="0.3">
      <c r="A2926" s="2">
        <v>2915</v>
      </c>
      <c r="B2926" s="2" t="s">
        <v>7334</v>
      </c>
      <c r="C2926" s="2" t="s">
        <v>3447</v>
      </c>
      <c r="D2926" s="2" t="s">
        <v>28</v>
      </c>
      <c r="E2926" s="2" t="s">
        <v>29</v>
      </c>
      <c r="F2926" s="2">
        <v>60</v>
      </c>
      <c r="G2926" s="2" t="s">
        <v>7335</v>
      </c>
      <c r="H2926" s="2" t="s">
        <v>1674</v>
      </c>
      <c r="I2926" s="2" t="s">
        <v>25</v>
      </c>
      <c r="J2926" s="3">
        <v>44788</v>
      </c>
      <c r="K2926" s="2">
        <v>105</v>
      </c>
      <c r="L2926" s="2" t="s">
        <v>101</v>
      </c>
    </row>
    <row r="2927" spans="1:12" x14ac:dyDescent="0.3">
      <c r="A2927" s="2">
        <v>2916</v>
      </c>
      <c r="B2927" s="2" t="s">
        <v>650</v>
      </c>
      <c r="C2927" s="2" t="s">
        <v>1878</v>
      </c>
      <c r="D2927" s="2" t="s">
        <v>41</v>
      </c>
      <c r="E2927" s="2" t="s">
        <v>16</v>
      </c>
      <c r="F2927" s="2">
        <v>90</v>
      </c>
      <c r="G2927" s="2" t="s">
        <v>7336</v>
      </c>
      <c r="H2927" s="2" t="s">
        <v>3859</v>
      </c>
      <c r="I2927" s="2" t="s">
        <v>124</v>
      </c>
      <c r="J2927" s="3">
        <v>44561</v>
      </c>
      <c r="K2927" s="2">
        <v>7</v>
      </c>
      <c r="L2927" s="2" t="s">
        <v>33</v>
      </c>
    </row>
    <row r="2928" spans="1:12" x14ac:dyDescent="0.3">
      <c r="A2928" s="2">
        <v>2917</v>
      </c>
      <c r="B2928" s="2" t="s">
        <v>7337</v>
      </c>
      <c r="C2928" s="2" t="s">
        <v>2795</v>
      </c>
      <c r="D2928" s="2" t="s">
        <v>51</v>
      </c>
      <c r="E2928" s="2" t="s">
        <v>16</v>
      </c>
      <c r="F2928" s="2">
        <v>90</v>
      </c>
      <c r="G2928" s="2" t="s">
        <v>7338</v>
      </c>
      <c r="H2928" s="2" t="s">
        <v>901</v>
      </c>
      <c r="I2928" s="2" t="s">
        <v>146</v>
      </c>
      <c r="J2928" s="3">
        <v>44424</v>
      </c>
      <c r="K2928" s="2">
        <v>2</v>
      </c>
      <c r="L2928" s="2" t="s">
        <v>101</v>
      </c>
    </row>
    <row r="2929" spans="1:12" x14ac:dyDescent="0.3">
      <c r="A2929" s="2">
        <v>2918</v>
      </c>
      <c r="B2929" s="2" t="s">
        <v>4349</v>
      </c>
      <c r="C2929" s="2" t="s">
        <v>2697</v>
      </c>
      <c r="D2929" s="2" t="s">
        <v>51</v>
      </c>
      <c r="E2929" s="2" t="s">
        <v>16</v>
      </c>
      <c r="F2929" s="2">
        <v>30</v>
      </c>
      <c r="G2929" s="2" t="s">
        <v>7339</v>
      </c>
      <c r="H2929" s="2" t="s">
        <v>3070</v>
      </c>
      <c r="I2929" s="2" t="s">
        <v>575</v>
      </c>
      <c r="J2929" s="3">
        <v>44845</v>
      </c>
      <c r="K2929" s="2">
        <v>4</v>
      </c>
      <c r="L2929" s="2" t="s">
        <v>45</v>
      </c>
    </row>
    <row r="2930" spans="1:12" x14ac:dyDescent="0.3">
      <c r="A2930" s="2">
        <v>2919</v>
      </c>
      <c r="B2930" s="2" t="s">
        <v>7340</v>
      </c>
      <c r="C2930" s="2" t="s">
        <v>5788</v>
      </c>
      <c r="D2930" s="2" t="s">
        <v>28</v>
      </c>
      <c r="E2930" s="2" t="s">
        <v>29</v>
      </c>
      <c r="F2930" s="2">
        <v>30</v>
      </c>
      <c r="G2930" s="2" t="s">
        <v>7341</v>
      </c>
      <c r="H2930" s="2" t="s">
        <v>663</v>
      </c>
      <c r="I2930" s="2" t="s">
        <v>32</v>
      </c>
      <c r="J2930" s="3">
        <v>44775</v>
      </c>
      <c r="K2930" s="2">
        <v>105</v>
      </c>
      <c r="L2930" s="2" t="s">
        <v>70</v>
      </c>
    </row>
    <row r="2931" spans="1:12" x14ac:dyDescent="0.3">
      <c r="A2931" s="2">
        <v>2920</v>
      </c>
      <c r="B2931" s="2" t="s">
        <v>4318</v>
      </c>
      <c r="C2931" s="2" t="s">
        <v>3016</v>
      </c>
      <c r="D2931" s="2" t="s">
        <v>28</v>
      </c>
      <c r="E2931" s="2" t="s">
        <v>29</v>
      </c>
      <c r="F2931" s="2">
        <v>30</v>
      </c>
      <c r="G2931" s="2" t="s">
        <v>7341</v>
      </c>
      <c r="H2931" s="2" t="s">
        <v>4049</v>
      </c>
      <c r="I2931" s="2" t="s">
        <v>32</v>
      </c>
      <c r="J2931" s="3">
        <v>44789</v>
      </c>
      <c r="K2931" s="2">
        <v>22</v>
      </c>
      <c r="L2931" s="2" t="s">
        <v>39</v>
      </c>
    </row>
    <row r="2932" spans="1:12" x14ac:dyDescent="0.3">
      <c r="A2932" s="2">
        <v>2921</v>
      </c>
      <c r="B2932" s="2" t="s">
        <v>3967</v>
      </c>
      <c r="C2932" s="2" t="s">
        <v>3735</v>
      </c>
      <c r="D2932" s="2" t="s">
        <v>28</v>
      </c>
      <c r="E2932" s="2" t="s">
        <v>29</v>
      </c>
      <c r="F2932" s="2">
        <v>30</v>
      </c>
      <c r="G2932" s="2" t="s">
        <v>7342</v>
      </c>
      <c r="H2932" s="2" t="s">
        <v>7343</v>
      </c>
      <c r="I2932" s="2" t="s">
        <v>1126</v>
      </c>
      <c r="J2932" s="3">
        <v>44792</v>
      </c>
      <c r="K2932" s="2">
        <v>92</v>
      </c>
      <c r="L2932" s="2" t="s">
        <v>101</v>
      </c>
    </row>
    <row r="2933" spans="1:12" x14ac:dyDescent="0.3">
      <c r="A2933" s="2">
        <v>2922</v>
      </c>
      <c r="B2933" s="2" t="s">
        <v>7344</v>
      </c>
      <c r="C2933" s="2" t="s">
        <v>7345</v>
      </c>
      <c r="D2933" s="2" t="s">
        <v>15</v>
      </c>
      <c r="E2933" s="2" t="s">
        <v>16</v>
      </c>
      <c r="F2933" s="2">
        <v>60</v>
      </c>
      <c r="G2933" s="2" t="s">
        <v>7346</v>
      </c>
      <c r="H2933" s="2" t="s">
        <v>7056</v>
      </c>
      <c r="I2933" s="2" t="s">
        <v>95</v>
      </c>
      <c r="J2933" s="3">
        <v>44728</v>
      </c>
      <c r="K2933" s="2">
        <v>87</v>
      </c>
      <c r="L2933" s="2" t="s">
        <v>39</v>
      </c>
    </row>
    <row r="2934" spans="1:12" x14ac:dyDescent="0.3">
      <c r="A2934" s="2">
        <v>2923</v>
      </c>
      <c r="B2934" s="2" t="s">
        <v>1363</v>
      </c>
      <c r="C2934" s="2" t="s">
        <v>1950</v>
      </c>
      <c r="D2934" s="2" t="s">
        <v>28</v>
      </c>
      <c r="E2934" s="2" t="s">
        <v>29</v>
      </c>
      <c r="F2934" s="2">
        <v>90</v>
      </c>
      <c r="G2934" s="2" t="s">
        <v>7347</v>
      </c>
      <c r="H2934" s="2" t="s">
        <v>4285</v>
      </c>
      <c r="I2934" s="2" t="s">
        <v>124</v>
      </c>
      <c r="J2934" s="3">
        <v>43859</v>
      </c>
      <c r="K2934" s="2">
        <v>13</v>
      </c>
      <c r="L2934" s="2" t="s">
        <v>70</v>
      </c>
    </row>
    <row r="2935" spans="1:12" x14ac:dyDescent="0.3">
      <c r="A2935" s="2">
        <v>2924</v>
      </c>
      <c r="B2935" s="2" t="s">
        <v>3742</v>
      </c>
      <c r="C2935" s="2" t="s">
        <v>3564</v>
      </c>
      <c r="D2935" s="2" t="s">
        <v>28</v>
      </c>
      <c r="E2935" s="2" t="s">
        <v>29</v>
      </c>
      <c r="F2935" s="2">
        <v>60</v>
      </c>
      <c r="G2935" s="2" t="s">
        <v>7348</v>
      </c>
      <c r="H2935" s="2" t="s">
        <v>2629</v>
      </c>
      <c r="I2935" s="2" t="s">
        <v>95</v>
      </c>
      <c r="J2935" s="3">
        <v>44118</v>
      </c>
      <c r="K2935" s="2">
        <v>34</v>
      </c>
      <c r="L2935" s="2" t="s">
        <v>45</v>
      </c>
    </row>
    <row r="2936" spans="1:12" x14ac:dyDescent="0.3">
      <c r="A2936" s="2">
        <v>2925</v>
      </c>
      <c r="B2936" s="2" t="s">
        <v>7349</v>
      </c>
      <c r="C2936" s="2" t="s">
        <v>1041</v>
      </c>
      <c r="D2936" s="2" t="s">
        <v>28</v>
      </c>
      <c r="E2936" s="2" t="s">
        <v>29</v>
      </c>
      <c r="F2936" s="2">
        <v>60</v>
      </c>
      <c r="G2936" s="2" t="s">
        <v>7350</v>
      </c>
      <c r="H2936" s="2" t="s">
        <v>2236</v>
      </c>
      <c r="I2936" s="2" t="s">
        <v>2237</v>
      </c>
      <c r="J2936" s="3">
        <v>44737</v>
      </c>
      <c r="K2936" s="2">
        <v>38</v>
      </c>
      <c r="L2936" s="2" t="s">
        <v>54</v>
      </c>
    </row>
    <row r="2937" spans="1:12" x14ac:dyDescent="0.3">
      <c r="A2937" s="2">
        <v>2926</v>
      </c>
      <c r="B2937" s="2" t="s">
        <v>7351</v>
      </c>
      <c r="C2937" s="2" t="s">
        <v>7290</v>
      </c>
      <c r="D2937" s="2" t="s">
        <v>15</v>
      </c>
      <c r="E2937" s="2" t="s">
        <v>16</v>
      </c>
      <c r="F2937" s="2">
        <v>60</v>
      </c>
      <c r="G2937" s="2" t="s">
        <v>7352</v>
      </c>
      <c r="H2937" s="2" t="s">
        <v>7353</v>
      </c>
      <c r="I2937" s="2" t="s">
        <v>19</v>
      </c>
      <c r="J2937" s="3">
        <v>44826</v>
      </c>
      <c r="K2937" s="2">
        <v>91</v>
      </c>
      <c r="L2937" s="2" t="s">
        <v>39</v>
      </c>
    </row>
    <row r="2938" spans="1:12" x14ac:dyDescent="0.3">
      <c r="A2938" s="2">
        <v>2927</v>
      </c>
      <c r="B2938" s="2" t="s">
        <v>7354</v>
      </c>
      <c r="C2938" s="2" t="s">
        <v>665</v>
      </c>
      <c r="D2938" s="2" t="s">
        <v>41</v>
      </c>
      <c r="E2938" s="2" t="s">
        <v>16</v>
      </c>
      <c r="F2938" s="2">
        <v>60</v>
      </c>
      <c r="G2938" s="2" t="s">
        <v>7355</v>
      </c>
      <c r="H2938" s="2" t="s">
        <v>203</v>
      </c>
      <c r="I2938" s="2" t="s">
        <v>32</v>
      </c>
      <c r="J2938" s="3">
        <v>44031</v>
      </c>
      <c r="K2938" s="2">
        <v>80</v>
      </c>
      <c r="L2938" s="2" t="s">
        <v>101</v>
      </c>
    </row>
    <row r="2939" spans="1:12" x14ac:dyDescent="0.3">
      <c r="A2939" s="2">
        <v>2928</v>
      </c>
      <c r="B2939" s="2" t="s">
        <v>7356</v>
      </c>
      <c r="C2939" s="2" t="s">
        <v>2344</v>
      </c>
      <c r="D2939" s="2" t="s">
        <v>15</v>
      </c>
      <c r="E2939" s="2" t="s">
        <v>16</v>
      </c>
      <c r="F2939" s="2">
        <v>30</v>
      </c>
      <c r="G2939" s="2" t="s">
        <v>10443</v>
      </c>
      <c r="H2939" s="2" t="s">
        <v>655</v>
      </c>
      <c r="I2939" s="2" t="s">
        <v>32</v>
      </c>
      <c r="J2939" s="3">
        <v>44171</v>
      </c>
      <c r="K2939" s="2">
        <v>7</v>
      </c>
      <c r="L2939" s="2" t="s">
        <v>159</v>
      </c>
    </row>
    <row r="2940" spans="1:12" x14ac:dyDescent="0.3">
      <c r="A2940" s="2">
        <v>2929</v>
      </c>
      <c r="B2940" s="2" t="s">
        <v>7358</v>
      </c>
      <c r="C2940" s="2" t="s">
        <v>7359</v>
      </c>
      <c r="D2940" s="2" t="s">
        <v>15</v>
      </c>
      <c r="E2940" s="2" t="s">
        <v>16</v>
      </c>
      <c r="F2940" s="2">
        <v>90</v>
      </c>
      <c r="G2940" s="2" t="s">
        <v>7360</v>
      </c>
      <c r="H2940" s="2" t="s">
        <v>2401</v>
      </c>
      <c r="I2940" s="2" t="s">
        <v>178</v>
      </c>
      <c r="J2940" s="3">
        <v>44730</v>
      </c>
      <c r="K2940" s="2">
        <v>49</v>
      </c>
      <c r="L2940" s="2" t="s">
        <v>20</v>
      </c>
    </row>
    <row r="2941" spans="1:12" x14ac:dyDescent="0.3">
      <c r="A2941" s="2">
        <v>2930</v>
      </c>
      <c r="B2941" s="2" t="s">
        <v>7361</v>
      </c>
      <c r="C2941" s="2" t="s">
        <v>376</v>
      </c>
      <c r="D2941" s="2" t="s">
        <v>51</v>
      </c>
      <c r="E2941" s="2" t="s">
        <v>16</v>
      </c>
      <c r="F2941" s="2">
        <v>60</v>
      </c>
      <c r="G2941" s="2" t="s">
        <v>7362</v>
      </c>
      <c r="H2941" s="2" t="s">
        <v>685</v>
      </c>
      <c r="I2941" s="2" t="s">
        <v>686</v>
      </c>
      <c r="J2941" s="3">
        <v>44898</v>
      </c>
      <c r="K2941" s="2">
        <v>23</v>
      </c>
      <c r="L2941" s="2" t="s">
        <v>80</v>
      </c>
    </row>
    <row r="2942" spans="1:12" x14ac:dyDescent="0.3">
      <c r="A2942" s="2">
        <v>2931</v>
      </c>
      <c r="B2942" s="2" t="s">
        <v>7363</v>
      </c>
      <c r="C2942" s="2" t="s">
        <v>5671</v>
      </c>
      <c r="D2942" s="2" t="s">
        <v>51</v>
      </c>
      <c r="E2942" s="2" t="s">
        <v>16</v>
      </c>
      <c r="F2942" s="2">
        <v>60</v>
      </c>
      <c r="G2942" s="2" t="s">
        <v>7364</v>
      </c>
      <c r="H2942" s="2" t="s">
        <v>4944</v>
      </c>
      <c r="I2942" s="2" t="s">
        <v>839</v>
      </c>
      <c r="J2942" s="3">
        <v>44007</v>
      </c>
      <c r="K2942" s="2">
        <v>69</v>
      </c>
      <c r="L2942" s="2" t="s">
        <v>20</v>
      </c>
    </row>
    <row r="2943" spans="1:12" x14ac:dyDescent="0.3">
      <c r="A2943" s="2">
        <v>2932</v>
      </c>
      <c r="B2943" s="2" t="s">
        <v>7365</v>
      </c>
      <c r="C2943" s="2" t="s">
        <v>3564</v>
      </c>
      <c r="D2943" s="2" t="s">
        <v>15</v>
      </c>
      <c r="E2943" s="2" t="s">
        <v>16</v>
      </c>
      <c r="F2943" s="2">
        <v>60</v>
      </c>
      <c r="G2943" s="2" t="s">
        <v>7366</v>
      </c>
      <c r="H2943" s="2" t="s">
        <v>2509</v>
      </c>
      <c r="I2943" s="2" t="s">
        <v>32</v>
      </c>
      <c r="J2943" s="3">
        <v>44900</v>
      </c>
      <c r="K2943" s="2">
        <v>4</v>
      </c>
      <c r="L2943" s="2" t="s">
        <v>54</v>
      </c>
    </row>
    <row r="2944" spans="1:12" x14ac:dyDescent="0.3">
      <c r="A2944" s="2">
        <v>2933</v>
      </c>
      <c r="B2944" s="2" t="s">
        <v>7367</v>
      </c>
      <c r="C2944" s="2" t="s">
        <v>1117</v>
      </c>
      <c r="D2944" s="2" t="s">
        <v>15</v>
      </c>
      <c r="E2944" s="2" t="s">
        <v>16</v>
      </c>
      <c r="F2944" s="2">
        <v>60</v>
      </c>
      <c r="G2944" s="2" t="s">
        <v>7368</v>
      </c>
      <c r="H2944" s="2" t="s">
        <v>6693</v>
      </c>
      <c r="I2944" s="2" t="s">
        <v>25</v>
      </c>
      <c r="J2944" s="3">
        <v>44683</v>
      </c>
      <c r="K2944" s="2">
        <v>5</v>
      </c>
      <c r="L2944" s="2" t="s">
        <v>39</v>
      </c>
    </row>
    <row r="2945" spans="1:12" x14ac:dyDescent="0.3">
      <c r="A2945" s="2">
        <v>2934</v>
      </c>
      <c r="B2945" s="2" t="s">
        <v>6715</v>
      </c>
      <c r="C2945" s="2" t="s">
        <v>7369</v>
      </c>
      <c r="D2945" s="2" t="s">
        <v>28</v>
      </c>
      <c r="E2945" s="2" t="s">
        <v>29</v>
      </c>
      <c r="F2945" s="2">
        <v>60</v>
      </c>
      <c r="G2945" s="2" t="s">
        <v>7370</v>
      </c>
      <c r="H2945" s="2" t="s">
        <v>3628</v>
      </c>
      <c r="I2945" s="2" t="s">
        <v>32</v>
      </c>
      <c r="J2945" s="3">
        <v>43993</v>
      </c>
      <c r="K2945" s="2">
        <v>59</v>
      </c>
      <c r="L2945" s="2" t="s">
        <v>80</v>
      </c>
    </row>
    <row r="2946" spans="1:12" x14ac:dyDescent="0.3">
      <c r="A2946" s="2">
        <v>2935</v>
      </c>
      <c r="B2946" s="2" t="s">
        <v>7371</v>
      </c>
      <c r="C2946" s="2" t="s">
        <v>5923</v>
      </c>
      <c r="D2946" s="2" t="s">
        <v>51</v>
      </c>
      <c r="E2946" s="2" t="s">
        <v>16</v>
      </c>
      <c r="F2946" s="2">
        <v>30</v>
      </c>
      <c r="G2946" s="2" t="s">
        <v>7370</v>
      </c>
      <c r="H2946" s="2" t="s">
        <v>7001</v>
      </c>
      <c r="I2946" s="2" t="s">
        <v>32</v>
      </c>
      <c r="J2946" s="3">
        <v>44797</v>
      </c>
      <c r="K2946" s="2">
        <v>22</v>
      </c>
      <c r="L2946" s="2" t="s">
        <v>20</v>
      </c>
    </row>
    <row r="2947" spans="1:12" x14ac:dyDescent="0.3">
      <c r="A2947" s="2">
        <v>2936</v>
      </c>
      <c r="B2947" s="2" t="s">
        <v>7372</v>
      </c>
      <c r="C2947" s="2" t="s">
        <v>7373</v>
      </c>
      <c r="D2947" s="2" t="s">
        <v>51</v>
      </c>
      <c r="E2947" s="2" t="s">
        <v>16</v>
      </c>
      <c r="F2947" s="2">
        <v>60</v>
      </c>
      <c r="G2947" s="2" t="s">
        <v>7374</v>
      </c>
      <c r="H2947" s="2" t="s">
        <v>5647</v>
      </c>
      <c r="I2947" s="2" t="s">
        <v>38</v>
      </c>
      <c r="J2947" s="3">
        <v>44316</v>
      </c>
      <c r="K2947" s="2">
        <v>54</v>
      </c>
      <c r="L2947" s="2" t="s">
        <v>20</v>
      </c>
    </row>
    <row r="2948" spans="1:12" x14ac:dyDescent="0.3">
      <c r="A2948" s="2">
        <v>2937</v>
      </c>
      <c r="B2948" s="2" t="s">
        <v>5772</v>
      </c>
      <c r="C2948" s="2" t="s">
        <v>4994</v>
      </c>
      <c r="D2948" s="2" t="s">
        <v>28</v>
      </c>
      <c r="E2948" s="2" t="s">
        <v>29</v>
      </c>
      <c r="F2948" s="2">
        <v>30</v>
      </c>
      <c r="G2948" s="2" t="s">
        <v>7374</v>
      </c>
      <c r="H2948" s="2" t="s">
        <v>768</v>
      </c>
      <c r="I2948" s="2" t="s">
        <v>124</v>
      </c>
      <c r="J2948" s="3">
        <v>44483</v>
      </c>
      <c r="K2948" s="2">
        <v>83</v>
      </c>
      <c r="L2948" s="2" t="s">
        <v>70</v>
      </c>
    </row>
    <row r="2949" spans="1:12" x14ac:dyDescent="0.3">
      <c r="A2949" s="2">
        <v>2938</v>
      </c>
      <c r="B2949" s="2" t="s">
        <v>872</v>
      </c>
      <c r="C2949" s="2" t="s">
        <v>2928</v>
      </c>
      <c r="D2949" s="2" t="s">
        <v>28</v>
      </c>
      <c r="E2949" s="2" t="s">
        <v>29</v>
      </c>
      <c r="F2949" s="2">
        <v>30</v>
      </c>
      <c r="G2949" s="2" t="s">
        <v>7375</v>
      </c>
      <c r="H2949" s="2" t="s">
        <v>412</v>
      </c>
      <c r="I2949" s="2" t="s">
        <v>187</v>
      </c>
      <c r="J2949" s="3">
        <v>44201</v>
      </c>
      <c r="K2949" s="2">
        <v>34</v>
      </c>
      <c r="L2949" s="2" t="s">
        <v>101</v>
      </c>
    </row>
    <row r="2950" spans="1:12" x14ac:dyDescent="0.3">
      <c r="A2950" s="2">
        <v>2939</v>
      </c>
      <c r="B2950" s="2" t="s">
        <v>4828</v>
      </c>
      <c r="C2950" s="2" t="s">
        <v>5668</v>
      </c>
      <c r="D2950" s="2" t="s">
        <v>28</v>
      </c>
      <c r="E2950" s="2" t="s">
        <v>29</v>
      </c>
      <c r="F2950" s="2">
        <v>30</v>
      </c>
      <c r="G2950" s="2" t="s">
        <v>7376</v>
      </c>
      <c r="H2950" s="2" t="s">
        <v>663</v>
      </c>
      <c r="I2950" s="2" t="s">
        <v>32</v>
      </c>
      <c r="J2950" s="3">
        <v>44047</v>
      </c>
      <c r="K2950" s="2">
        <v>74</v>
      </c>
      <c r="L2950" s="2" t="s">
        <v>20</v>
      </c>
    </row>
    <row r="2951" spans="1:12" x14ac:dyDescent="0.3">
      <c r="A2951" s="2">
        <v>2940</v>
      </c>
      <c r="B2951" s="2" t="s">
        <v>4075</v>
      </c>
      <c r="C2951" s="2" t="s">
        <v>375</v>
      </c>
      <c r="D2951" s="2" t="s">
        <v>28</v>
      </c>
      <c r="E2951" s="2" t="s">
        <v>29</v>
      </c>
      <c r="F2951" s="2">
        <v>30</v>
      </c>
      <c r="G2951" s="2" t="s">
        <v>7377</v>
      </c>
      <c r="H2951" s="2" t="s">
        <v>7378</v>
      </c>
      <c r="I2951" s="2" t="s">
        <v>178</v>
      </c>
      <c r="J2951" s="3">
        <v>44480</v>
      </c>
      <c r="K2951" s="2">
        <v>92</v>
      </c>
      <c r="L2951" s="2" t="s">
        <v>39</v>
      </c>
    </row>
    <row r="2952" spans="1:12" x14ac:dyDescent="0.3">
      <c r="A2952" s="2">
        <v>2941</v>
      </c>
      <c r="B2952" s="2" t="s">
        <v>6044</v>
      </c>
      <c r="C2952" s="2" t="s">
        <v>7379</v>
      </c>
      <c r="D2952" s="2" t="s">
        <v>28</v>
      </c>
      <c r="E2952" s="2" t="s">
        <v>29</v>
      </c>
      <c r="F2952" s="2">
        <v>60</v>
      </c>
      <c r="G2952" s="2" t="s">
        <v>7380</v>
      </c>
      <c r="H2952" s="2" t="s">
        <v>5327</v>
      </c>
      <c r="I2952" s="2" t="s">
        <v>187</v>
      </c>
      <c r="J2952" s="3">
        <v>43944</v>
      </c>
      <c r="K2952" s="2">
        <v>78</v>
      </c>
      <c r="L2952" s="2" t="s">
        <v>159</v>
      </c>
    </row>
    <row r="2953" spans="1:12" x14ac:dyDescent="0.3">
      <c r="A2953" s="2">
        <v>2942</v>
      </c>
      <c r="B2953" s="2" t="s">
        <v>7381</v>
      </c>
      <c r="C2953" s="2" t="s">
        <v>647</v>
      </c>
      <c r="D2953" s="2" t="s">
        <v>28</v>
      </c>
      <c r="E2953" s="2" t="s">
        <v>29</v>
      </c>
      <c r="F2953" s="2">
        <v>30</v>
      </c>
      <c r="G2953" s="2" t="s">
        <v>7382</v>
      </c>
      <c r="H2953" s="2" t="s">
        <v>7383</v>
      </c>
      <c r="I2953" s="2" t="s">
        <v>110</v>
      </c>
      <c r="J2953" s="3">
        <v>44352</v>
      </c>
      <c r="K2953" s="2">
        <v>29</v>
      </c>
      <c r="L2953" s="2" t="s">
        <v>45</v>
      </c>
    </row>
    <row r="2954" spans="1:12" x14ac:dyDescent="0.3">
      <c r="A2954" s="2">
        <v>2943</v>
      </c>
      <c r="B2954" s="2" t="s">
        <v>7384</v>
      </c>
      <c r="C2954" s="2" t="s">
        <v>6360</v>
      </c>
      <c r="D2954" s="2" t="s">
        <v>15</v>
      </c>
      <c r="E2954" s="2" t="s">
        <v>16</v>
      </c>
      <c r="F2954" s="2">
        <v>60</v>
      </c>
      <c r="G2954" s="2" t="s">
        <v>7385</v>
      </c>
      <c r="H2954" s="2" t="s">
        <v>5158</v>
      </c>
      <c r="I2954" s="2" t="s">
        <v>5159</v>
      </c>
      <c r="J2954" s="3">
        <v>44127</v>
      </c>
      <c r="K2954" s="2">
        <v>62</v>
      </c>
      <c r="L2954" s="2" t="s">
        <v>70</v>
      </c>
    </row>
    <row r="2955" spans="1:12" x14ac:dyDescent="0.3">
      <c r="A2955" s="2">
        <v>2944</v>
      </c>
      <c r="B2955" s="2" t="s">
        <v>160</v>
      </c>
      <c r="C2955" s="2" t="s">
        <v>4803</v>
      </c>
      <c r="D2955" s="2" t="s">
        <v>28</v>
      </c>
      <c r="E2955" s="2" t="s">
        <v>29</v>
      </c>
      <c r="F2955" s="2">
        <v>90</v>
      </c>
      <c r="G2955" s="2" t="s">
        <v>7386</v>
      </c>
      <c r="H2955" s="2" t="s">
        <v>877</v>
      </c>
      <c r="I2955" s="2" t="s">
        <v>32</v>
      </c>
      <c r="J2955" s="3">
        <v>43876</v>
      </c>
      <c r="K2955" s="2">
        <v>39</v>
      </c>
      <c r="L2955" s="2" t="s">
        <v>80</v>
      </c>
    </row>
    <row r="2956" spans="1:12" x14ac:dyDescent="0.3">
      <c r="A2956" s="2">
        <v>2945</v>
      </c>
      <c r="B2956" s="2" t="s">
        <v>7106</v>
      </c>
      <c r="C2956" s="2" t="s">
        <v>7187</v>
      </c>
      <c r="D2956" s="2" t="s">
        <v>51</v>
      </c>
      <c r="E2956" s="2" t="s">
        <v>16</v>
      </c>
      <c r="F2956" s="2">
        <v>60</v>
      </c>
      <c r="G2956" s="2" t="s">
        <v>7387</v>
      </c>
      <c r="H2956" s="2" t="s">
        <v>938</v>
      </c>
      <c r="I2956" s="2" t="s">
        <v>25</v>
      </c>
      <c r="J2956" s="3">
        <v>43911</v>
      </c>
      <c r="K2956" s="2">
        <v>74</v>
      </c>
      <c r="L2956" s="2" t="s">
        <v>159</v>
      </c>
    </row>
    <row r="2957" spans="1:12" x14ac:dyDescent="0.3">
      <c r="A2957" s="2">
        <v>2946</v>
      </c>
      <c r="B2957" s="2" t="s">
        <v>550</v>
      </c>
      <c r="C2957" s="2" t="s">
        <v>6661</v>
      </c>
      <c r="D2957" s="2" t="s">
        <v>51</v>
      </c>
      <c r="E2957" s="2" t="s">
        <v>16</v>
      </c>
      <c r="F2957" s="2">
        <v>60</v>
      </c>
      <c r="G2957" s="2" t="s">
        <v>7388</v>
      </c>
      <c r="H2957" s="2" t="s">
        <v>3122</v>
      </c>
      <c r="I2957" s="2" t="s">
        <v>1035</v>
      </c>
      <c r="J2957" s="3">
        <v>43988</v>
      </c>
      <c r="K2957" s="2">
        <v>26</v>
      </c>
      <c r="L2957" s="2" t="s">
        <v>45</v>
      </c>
    </row>
    <row r="2958" spans="1:12" x14ac:dyDescent="0.3">
      <c r="A2958" s="2">
        <v>2947</v>
      </c>
      <c r="B2958" s="2" t="s">
        <v>7389</v>
      </c>
      <c r="C2958" s="2" t="s">
        <v>6298</v>
      </c>
      <c r="D2958" s="2" t="s">
        <v>15</v>
      </c>
      <c r="E2958" s="2" t="s">
        <v>16</v>
      </c>
      <c r="F2958" s="2">
        <v>90</v>
      </c>
      <c r="G2958" s="2" t="s">
        <v>7388</v>
      </c>
      <c r="H2958" s="2" t="s">
        <v>694</v>
      </c>
      <c r="I2958" s="2" t="s">
        <v>32</v>
      </c>
      <c r="J2958" s="3">
        <v>44527</v>
      </c>
      <c r="K2958" s="2">
        <v>56</v>
      </c>
      <c r="L2958" s="2" t="s">
        <v>64</v>
      </c>
    </row>
    <row r="2959" spans="1:12" x14ac:dyDescent="0.3">
      <c r="A2959" s="2">
        <v>2948</v>
      </c>
      <c r="B2959" s="2" t="s">
        <v>7390</v>
      </c>
      <c r="C2959" s="2" t="s">
        <v>7391</v>
      </c>
      <c r="D2959" s="2" t="s">
        <v>15</v>
      </c>
      <c r="E2959" s="2" t="s">
        <v>16</v>
      </c>
      <c r="F2959" s="2">
        <v>30</v>
      </c>
      <c r="G2959" s="2" t="s">
        <v>7392</v>
      </c>
      <c r="H2959" s="2" t="s">
        <v>5934</v>
      </c>
      <c r="I2959" s="2" t="s">
        <v>173</v>
      </c>
      <c r="J2959" s="3">
        <v>44766</v>
      </c>
      <c r="K2959" s="2">
        <v>103</v>
      </c>
      <c r="L2959" s="2" t="s">
        <v>159</v>
      </c>
    </row>
    <row r="2960" spans="1:12" x14ac:dyDescent="0.3">
      <c r="A2960" s="2">
        <v>2949</v>
      </c>
      <c r="B2960" s="2" t="s">
        <v>6906</v>
      </c>
      <c r="C2960" s="2" t="s">
        <v>2167</v>
      </c>
      <c r="D2960" s="2" t="s">
        <v>28</v>
      </c>
      <c r="E2960" s="2" t="s">
        <v>29</v>
      </c>
      <c r="F2960" s="2">
        <v>90</v>
      </c>
      <c r="G2960" s="2" t="s">
        <v>7393</v>
      </c>
      <c r="H2960" s="2" t="s">
        <v>1168</v>
      </c>
      <c r="I2960" s="2" t="s">
        <v>32</v>
      </c>
      <c r="J2960" s="3">
        <v>44305</v>
      </c>
      <c r="K2960" s="2">
        <v>43</v>
      </c>
      <c r="L2960" s="2" t="s">
        <v>80</v>
      </c>
    </row>
    <row r="2961" spans="1:12" x14ac:dyDescent="0.3">
      <c r="A2961" s="2">
        <v>2950</v>
      </c>
      <c r="B2961" s="2" t="s">
        <v>7394</v>
      </c>
      <c r="C2961" s="2" t="s">
        <v>2051</v>
      </c>
      <c r="D2961" s="2" t="s">
        <v>28</v>
      </c>
      <c r="E2961" s="2" t="s">
        <v>29</v>
      </c>
      <c r="F2961" s="2">
        <v>60</v>
      </c>
      <c r="G2961" s="2" t="s">
        <v>7395</v>
      </c>
      <c r="H2961" s="2" t="s">
        <v>1761</v>
      </c>
      <c r="I2961" s="2" t="s">
        <v>38</v>
      </c>
      <c r="J2961" s="3">
        <v>43962</v>
      </c>
      <c r="K2961" s="2">
        <v>10</v>
      </c>
      <c r="L2961" s="2" t="s">
        <v>45</v>
      </c>
    </row>
    <row r="2962" spans="1:12" x14ac:dyDescent="0.3">
      <c r="A2962" s="2">
        <v>2951</v>
      </c>
      <c r="B2962" s="2" t="s">
        <v>2973</v>
      </c>
      <c r="C2962" s="2" t="s">
        <v>4026</v>
      </c>
      <c r="D2962" s="2" t="s">
        <v>51</v>
      </c>
      <c r="E2962" s="2" t="s">
        <v>16</v>
      </c>
      <c r="F2962" s="2">
        <v>30</v>
      </c>
      <c r="G2962" s="2" t="s">
        <v>7396</v>
      </c>
      <c r="H2962" s="2" t="s">
        <v>182</v>
      </c>
      <c r="I2962" s="2" t="s">
        <v>32</v>
      </c>
      <c r="J2962" s="3">
        <v>44425</v>
      </c>
      <c r="K2962" s="2">
        <v>44</v>
      </c>
      <c r="L2962" s="2" t="s">
        <v>39</v>
      </c>
    </row>
    <row r="2963" spans="1:12" x14ac:dyDescent="0.3">
      <c r="A2963" s="2">
        <v>2952</v>
      </c>
      <c r="B2963" s="2" t="s">
        <v>800</v>
      </c>
      <c r="C2963" s="2" t="s">
        <v>1898</v>
      </c>
      <c r="D2963" s="2" t="s">
        <v>28</v>
      </c>
      <c r="E2963" s="2" t="s">
        <v>29</v>
      </c>
      <c r="F2963" s="2">
        <v>60</v>
      </c>
      <c r="G2963" s="2" t="s">
        <v>7397</v>
      </c>
      <c r="H2963" s="2" t="s">
        <v>5473</v>
      </c>
      <c r="I2963" s="2" t="s">
        <v>240</v>
      </c>
      <c r="J2963" s="3">
        <v>44671</v>
      </c>
      <c r="K2963" s="2">
        <v>9</v>
      </c>
      <c r="L2963" s="2" t="s">
        <v>39</v>
      </c>
    </row>
    <row r="2964" spans="1:12" x14ac:dyDescent="0.3">
      <c r="A2964" s="2">
        <v>2953</v>
      </c>
      <c r="B2964" s="2" t="s">
        <v>2837</v>
      </c>
      <c r="C2964" s="2" t="s">
        <v>7398</v>
      </c>
      <c r="D2964" s="2" t="s">
        <v>28</v>
      </c>
      <c r="E2964" s="2" t="s">
        <v>29</v>
      </c>
      <c r="F2964" s="2">
        <v>30</v>
      </c>
      <c r="G2964" s="2" t="s">
        <v>7399</v>
      </c>
      <c r="H2964" s="2" t="s">
        <v>7400</v>
      </c>
      <c r="I2964" s="2" t="s">
        <v>178</v>
      </c>
      <c r="J2964" s="3">
        <v>44375</v>
      </c>
      <c r="K2964" s="2">
        <v>64</v>
      </c>
      <c r="L2964" s="2" t="s">
        <v>80</v>
      </c>
    </row>
    <row r="2965" spans="1:12" x14ac:dyDescent="0.3">
      <c r="A2965" s="2">
        <v>2954</v>
      </c>
      <c r="B2965" s="2" t="s">
        <v>5567</v>
      </c>
      <c r="C2965" s="2" t="s">
        <v>800</v>
      </c>
      <c r="D2965" s="2" t="s">
        <v>28</v>
      </c>
      <c r="E2965" s="2" t="s">
        <v>29</v>
      </c>
      <c r="F2965" s="2">
        <v>30</v>
      </c>
      <c r="G2965" s="2" t="s">
        <v>7401</v>
      </c>
      <c r="H2965" s="2" t="s">
        <v>1005</v>
      </c>
      <c r="I2965" s="2" t="s">
        <v>178</v>
      </c>
      <c r="J2965" s="3">
        <v>44787</v>
      </c>
      <c r="K2965" s="2">
        <v>92</v>
      </c>
      <c r="L2965" s="2" t="s">
        <v>33</v>
      </c>
    </row>
    <row r="2966" spans="1:12" x14ac:dyDescent="0.3">
      <c r="A2966" s="2">
        <v>2955</v>
      </c>
      <c r="B2966" s="2" t="s">
        <v>935</v>
      </c>
      <c r="C2966" s="2" t="s">
        <v>1424</v>
      </c>
      <c r="D2966" s="2" t="s">
        <v>28</v>
      </c>
      <c r="E2966" s="2" t="s">
        <v>29</v>
      </c>
      <c r="F2966" s="2">
        <v>90</v>
      </c>
      <c r="G2966" s="2" t="s">
        <v>7402</v>
      </c>
      <c r="H2966" s="2" t="s">
        <v>3324</v>
      </c>
      <c r="I2966" s="2" t="s">
        <v>32</v>
      </c>
      <c r="J2966" s="3">
        <v>43969</v>
      </c>
      <c r="K2966" s="2">
        <v>62</v>
      </c>
      <c r="L2966" s="2" t="s">
        <v>45</v>
      </c>
    </row>
    <row r="2967" spans="1:12" x14ac:dyDescent="0.3">
      <c r="A2967" s="2">
        <v>2956</v>
      </c>
      <c r="B2967" s="2" t="s">
        <v>26</v>
      </c>
      <c r="C2967" s="2" t="s">
        <v>7403</v>
      </c>
      <c r="D2967" s="2" t="s">
        <v>28</v>
      </c>
      <c r="E2967" s="2" t="s">
        <v>29</v>
      </c>
      <c r="F2967" s="2">
        <v>60</v>
      </c>
      <c r="G2967" s="2" t="s">
        <v>7404</v>
      </c>
      <c r="H2967" s="2" t="s">
        <v>4874</v>
      </c>
      <c r="I2967" s="2" t="s">
        <v>32</v>
      </c>
      <c r="J2967" s="3">
        <v>44351</v>
      </c>
      <c r="K2967" s="2">
        <v>81</v>
      </c>
      <c r="L2967" s="2" t="s">
        <v>80</v>
      </c>
    </row>
    <row r="2968" spans="1:12" x14ac:dyDescent="0.3">
      <c r="A2968" s="2">
        <v>2957</v>
      </c>
      <c r="B2968" s="2" t="s">
        <v>7405</v>
      </c>
      <c r="C2968" s="2" t="s">
        <v>7292</v>
      </c>
      <c r="D2968" s="2" t="s">
        <v>15</v>
      </c>
      <c r="E2968" s="2" t="s">
        <v>16</v>
      </c>
      <c r="F2968" s="2">
        <v>60</v>
      </c>
      <c r="G2968" s="2" t="s">
        <v>7406</v>
      </c>
      <c r="H2968" s="2" t="s">
        <v>4958</v>
      </c>
      <c r="I2968" s="2" t="s">
        <v>95</v>
      </c>
      <c r="J2968" s="3">
        <v>44861</v>
      </c>
      <c r="K2968" s="2">
        <v>41</v>
      </c>
      <c r="L2968" s="2" t="s">
        <v>101</v>
      </c>
    </row>
    <row r="2969" spans="1:12" x14ac:dyDescent="0.3">
      <c r="A2969" s="2">
        <v>2958</v>
      </c>
      <c r="B2969" s="2" t="s">
        <v>357</v>
      </c>
      <c r="C2969" s="2" t="s">
        <v>1573</v>
      </c>
      <c r="D2969" s="2" t="s">
        <v>15</v>
      </c>
      <c r="E2969" s="2" t="s">
        <v>16</v>
      </c>
      <c r="F2969" s="2">
        <v>30</v>
      </c>
      <c r="G2969" s="2" t="s">
        <v>7407</v>
      </c>
      <c r="H2969" s="2" t="s">
        <v>2354</v>
      </c>
      <c r="I2969" s="2" t="s">
        <v>178</v>
      </c>
      <c r="J2969" s="3">
        <v>44541</v>
      </c>
      <c r="K2969" s="2">
        <v>85</v>
      </c>
      <c r="L2969" s="2" t="s">
        <v>70</v>
      </c>
    </row>
    <row r="2970" spans="1:12" x14ac:dyDescent="0.3">
      <c r="A2970" s="2">
        <v>2959</v>
      </c>
      <c r="B2970" s="2" t="s">
        <v>1805</v>
      </c>
      <c r="C2970" s="2" t="s">
        <v>4237</v>
      </c>
      <c r="D2970" s="2" t="s">
        <v>28</v>
      </c>
      <c r="E2970" s="2" t="s">
        <v>29</v>
      </c>
      <c r="F2970" s="2">
        <v>60</v>
      </c>
      <c r="G2970" s="2" t="s">
        <v>7408</v>
      </c>
      <c r="H2970" s="2" t="s">
        <v>186</v>
      </c>
      <c r="I2970" s="2" t="s">
        <v>187</v>
      </c>
      <c r="J2970" s="3">
        <v>43853</v>
      </c>
      <c r="K2970" s="2">
        <v>82</v>
      </c>
      <c r="L2970" s="2" t="s">
        <v>45</v>
      </c>
    </row>
    <row r="2971" spans="1:12" x14ac:dyDescent="0.3">
      <c r="A2971" s="2">
        <v>2960</v>
      </c>
      <c r="B2971" s="2" t="s">
        <v>7409</v>
      </c>
      <c r="C2971" s="2" t="s">
        <v>3706</v>
      </c>
      <c r="D2971" s="2" t="s">
        <v>51</v>
      </c>
      <c r="E2971" s="2" t="s">
        <v>16</v>
      </c>
      <c r="F2971" s="2">
        <v>60</v>
      </c>
      <c r="G2971" s="2" t="s">
        <v>7410</v>
      </c>
      <c r="H2971" s="2" t="s">
        <v>1177</v>
      </c>
      <c r="I2971" s="2" t="s">
        <v>32</v>
      </c>
      <c r="J2971" s="3">
        <v>44252</v>
      </c>
      <c r="K2971" s="2">
        <v>91</v>
      </c>
      <c r="L2971" s="2" t="s">
        <v>20</v>
      </c>
    </row>
    <row r="2972" spans="1:12" x14ac:dyDescent="0.3">
      <c r="A2972" s="2">
        <v>2961</v>
      </c>
      <c r="B2972" s="2" t="s">
        <v>7411</v>
      </c>
      <c r="C2972" s="2" t="s">
        <v>7412</v>
      </c>
      <c r="D2972" s="2" t="s">
        <v>15</v>
      </c>
      <c r="E2972" s="2" t="s">
        <v>16</v>
      </c>
      <c r="F2972" s="2">
        <v>90</v>
      </c>
      <c r="G2972" s="2" t="s">
        <v>7413</v>
      </c>
      <c r="H2972" s="2" t="s">
        <v>334</v>
      </c>
      <c r="I2972" s="2" t="s">
        <v>124</v>
      </c>
      <c r="J2972" s="3">
        <v>44915</v>
      </c>
      <c r="K2972" s="2">
        <v>59</v>
      </c>
      <c r="L2972" s="2" t="s">
        <v>64</v>
      </c>
    </row>
    <row r="2973" spans="1:12" x14ac:dyDescent="0.3">
      <c r="A2973" s="2">
        <v>2962</v>
      </c>
      <c r="B2973" s="2" t="s">
        <v>3967</v>
      </c>
      <c r="C2973" s="2" t="s">
        <v>6574</v>
      </c>
      <c r="D2973" s="2" t="s">
        <v>28</v>
      </c>
      <c r="E2973" s="2" t="s">
        <v>29</v>
      </c>
      <c r="F2973" s="2">
        <v>60</v>
      </c>
      <c r="G2973" s="2" t="s">
        <v>10537</v>
      </c>
      <c r="H2973" s="2" t="s">
        <v>6775</v>
      </c>
      <c r="I2973" s="2" t="s">
        <v>25</v>
      </c>
      <c r="J2973" s="3">
        <v>44482</v>
      </c>
      <c r="K2973" s="2">
        <v>15</v>
      </c>
      <c r="L2973" s="2" t="s">
        <v>54</v>
      </c>
    </row>
    <row r="2974" spans="1:12" x14ac:dyDescent="0.3">
      <c r="A2974" s="2">
        <v>2963</v>
      </c>
      <c r="B2974" s="2" t="s">
        <v>7415</v>
      </c>
      <c r="C2974" s="2" t="s">
        <v>7416</v>
      </c>
      <c r="D2974" s="2" t="s">
        <v>15</v>
      </c>
      <c r="E2974" s="2" t="s">
        <v>16</v>
      </c>
      <c r="F2974" s="2">
        <v>60</v>
      </c>
      <c r="G2974" s="2" t="s">
        <v>7417</v>
      </c>
      <c r="H2974" s="2" t="s">
        <v>436</v>
      </c>
      <c r="I2974" s="2" t="s">
        <v>32</v>
      </c>
      <c r="J2974" s="3">
        <v>44119</v>
      </c>
      <c r="K2974" s="2">
        <v>45</v>
      </c>
      <c r="L2974" s="2" t="s">
        <v>70</v>
      </c>
    </row>
    <row r="2975" spans="1:12" x14ac:dyDescent="0.3">
      <c r="A2975" s="2">
        <v>2964</v>
      </c>
      <c r="B2975" s="2" t="s">
        <v>7418</v>
      </c>
      <c r="C2975" s="2" t="s">
        <v>5021</v>
      </c>
      <c r="D2975" s="2" t="s">
        <v>28</v>
      </c>
      <c r="E2975" s="2" t="s">
        <v>29</v>
      </c>
      <c r="F2975" s="2">
        <v>30</v>
      </c>
      <c r="G2975" s="2" t="s">
        <v>7419</v>
      </c>
      <c r="H2975" s="2" t="s">
        <v>908</v>
      </c>
      <c r="I2975" s="2" t="s">
        <v>575</v>
      </c>
      <c r="J2975" s="3">
        <v>44607</v>
      </c>
      <c r="K2975" s="2">
        <v>3</v>
      </c>
      <c r="L2975" s="2" t="s">
        <v>70</v>
      </c>
    </row>
    <row r="2976" spans="1:12" x14ac:dyDescent="0.3">
      <c r="A2976" s="2">
        <v>2965</v>
      </c>
      <c r="B2976" s="2" t="s">
        <v>7420</v>
      </c>
      <c r="C2976" s="2" t="s">
        <v>2900</v>
      </c>
      <c r="D2976" s="2" t="s">
        <v>51</v>
      </c>
      <c r="E2976" s="2" t="s">
        <v>16</v>
      </c>
      <c r="F2976" s="2">
        <v>30</v>
      </c>
      <c r="G2976" s="2" t="s">
        <v>7421</v>
      </c>
      <c r="H2976" s="2" t="s">
        <v>6033</v>
      </c>
      <c r="I2976" s="2" t="s">
        <v>32</v>
      </c>
      <c r="J2976" s="3">
        <v>44177</v>
      </c>
      <c r="K2976" s="2">
        <v>5</v>
      </c>
      <c r="L2976" s="2" t="s">
        <v>54</v>
      </c>
    </row>
    <row r="2977" spans="1:12" x14ac:dyDescent="0.3">
      <c r="A2977" s="2">
        <v>2966</v>
      </c>
      <c r="B2977" s="2" t="s">
        <v>7422</v>
      </c>
      <c r="C2977" s="2" t="s">
        <v>7423</v>
      </c>
      <c r="D2977" s="2" t="s">
        <v>28</v>
      </c>
      <c r="E2977" s="2" t="s">
        <v>29</v>
      </c>
      <c r="F2977" s="2">
        <v>90</v>
      </c>
      <c r="G2977" s="2" t="s">
        <v>7424</v>
      </c>
      <c r="H2977" s="2" t="s">
        <v>3206</v>
      </c>
      <c r="I2977" s="2" t="s">
        <v>1199</v>
      </c>
      <c r="J2977" s="3">
        <v>44810</v>
      </c>
      <c r="K2977" s="2">
        <v>67</v>
      </c>
      <c r="L2977" s="2" t="s">
        <v>45</v>
      </c>
    </row>
    <row r="2978" spans="1:12" x14ac:dyDescent="0.3">
      <c r="A2978" s="2">
        <v>2967</v>
      </c>
      <c r="B2978" s="2" t="s">
        <v>7425</v>
      </c>
      <c r="C2978" s="2" t="s">
        <v>188</v>
      </c>
      <c r="D2978" s="2" t="s">
        <v>28</v>
      </c>
      <c r="E2978" s="2" t="s">
        <v>29</v>
      </c>
      <c r="F2978" s="2">
        <v>90</v>
      </c>
      <c r="G2978" s="2" t="s">
        <v>7426</v>
      </c>
      <c r="H2978" s="2" t="s">
        <v>186</v>
      </c>
      <c r="I2978" s="2" t="s">
        <v>187</v>
      </c>
      <c r="J2978" s="3">
        <v>44655</v>
      </c>
      <c r="K2978" s="2">
        <v>36</v>
      </c>
      <c r="L2978" s="2" t="s">
        <v>45</v>
      </c>
    </row>
    <row r="2979" spans="1:12" x14ac:dyDescent="0.3">
      <c r="A2979" s="2">
        <v>2968</v>
      </c>
      <c r="B2979" s="2" t="s">
        <v>7427</v>
      </c>
      <c r="C2979" s="2" t="s">
        <v>6708</v>
      </c>
      <c r="D2979" s="2" t="s">
        <v>51</v>
      </c>
      <c r="E2979" s="2" t="s">
        <v>16</v>
      </c>
      <c r="F2979" s="2">
        <v>90</v>
      </c>
      <c r="G2979" s="2" t="s">
        <v>7428</v>
      </c>
      <c r="H2979" s="2" t="s">
        <v>3651</v>
      </c>
      <c r="I2979" s="2" t="s">
        <v>294</v>
      </c>
      <c r="J2979" s="3">
        <v>44892</v>
      </c>
      <c r="K2979" s="2">
        <v>7</v>
      </c>
      <c r="L2979" s="2" t="s">
        <v>70</v>
      </c>
    </row>
    <row r="2980" spans="1:12" x14ac:dyDescent="0.3">
      <c r="A2980" s="2">
        <v>2969</v>
      </c>
      <c r="B2980" s="2" t="s">
        <v>7429</v>
      </c>
      <c r="C2980" s="2" t="s">
        <v>2640</v>
      </c>
      <c r="D2980" s="2" t="s">
        <v>51</v>
      </c>
      <c r="E2980" s="2" t="s">
        <v>16</v>
      </c>
      <c r="F2980" s="2">
        <v>90</v>
      </c>
      <c r="G2980" s="2" t="s">
        <v>10444</v>
      </c>
      <c r="H2980" s="2" t="s">
        <v>7431</v>
      </c>
      <c r="I2980" s="2" t="s">
        <v>32</v>
      </c>
      <c r="J2980" s="3">
        <v>44065</v>
      </c>
      <c r="K2980" s="2">
        <v>44</v>
      </c>
      <c r="L2980" s="2" t="s">
        <v>54</v>
      </c>
    </row>
    <row r="2981" spans="1:12" x14ac:dyDescent="0.3">
      <c r="A2981" s="2">
        <v>2970</v>
      </c>
      <c r="B2981" s="2" t="s">
        <v>7432</v>
      </c>
      <c r="C2981" s="2" t="s">
        <v>7433</v>
      </c>
      <c r="D2981" s="2" t="s">
        <v>51</v>
      </c>
      <c r="E2981" s="2" t="s">
        <v>16</v>
      </c>
      <c r="F2981" s="2">
        <v>60</v>
      </c>
      <c r="G2981" s="2" t="s">
        <v>7434</v>
      </c>
      <c r="H2981" s="2" t="s">
        <v>1505</v>
      </c>
      <c r="I2981" s="2" t="s">
        <v>32</v>
      </c>
      <c r="J2981" s="3">
        <v>44567</v>
      </c>
      <c r="K2981" s="2">
        <v>23</v>
      </c>
      <c r="L2981" s="2" t="s">
        <v>20</v>
      </c>
    </row>
    <row r="2982" spans="1:12" x14ac:dyDescent="0.3">
      <c r="A2982" s="2">
        <v>2971</v>
      </c>
      <c r="B2982" s="2" t="s">
        <v>550</v>
      </c>
      <c r="C2982" s="2" t="s">
        <v>7435</v>
      </c>
      <c r="D2982" s="2" t="s">
        <v>15</v>
      </c>
      <c r="E2982" s="2" t="s">
        <v>16</v>
      </c>
      <c r="F2982" s="2">
        <v>30</v>
      </c>
      <c r="G2982" s="2" t="s">
        <v>7436</v>
      </c>
      <c r="H2982" s="2" t="s">
        <v>5957</v>
      </c>
      <c r="I2982" s="2" t="s">
        <v>187</v>
      </c>
      <c r="J2982" s="3">
        <v>44660</v>
      </c>
      <c r="K2982" s="2">
        <v>28</v>
      </c>
      <c r="L2982" s="2" t="s">
        <v>20</v>
      </c>
    </row>
    <row r="2983" spans="1:12" x14ac:dyDescent="0.3">
      <c r="A2983" s="2">
        <v>2972</v>
      </c>
      <c r="B2983" s="2" t="s">
        <v>7437</v>
      </c>
      <c r="C2983" s="2" t="s">
        <v>3009</v>
      </c>
      <c r="D2983" s="2" t="s">
        <v>28</v>
      </c>
      <c r="E2983" s="2" t="s">
        <v>29</v>
      </c>
      <c r="F2983" s="2">
        <v>60</v>
      </c>
      <c r="G2983" s="2" t="s">
        <v>7438</v>
      </c>
      <c r="H2983" s="2" t="s">
        <v>1228</v>
      </c>
      <c r="I2983" s="2" t="s">
        <v>25</v>
      </c>
      <c r="J2983" s="3">
        <v>44709</v>
      </c>
      <c r="K2983" s="2">
        <v>47</v>
      </c>
      <c r="L2983" s="2" t="s">
        <v>54</v>
      </c>
    </row>
    <row r="2984" spans="1:12" x14ac:dyDescent="0.3">
      <c r="A2984" s="2">
        <v>2973</v>
      </c>
      <c r="B2984" s="2" t="s">
        <v>6446</v>
      </c>
      <c r="C2984" s="2" t="s">
        <v>7439</v>
      </c>
      <c r="D2984" s="2" t="s">
        <v>51</v>
      </c>
      <c r="E2984" s="2" t="s">
        <v>16</v>
      </c>
      <c r="F2984" s="2">
        <v>60</v>
      </c>
      <c r="G2984" s="2" t="s">
        <v>7440</v>
      </c>
      <c r="H2984" s="2" t="s">
        <v>7441</v>
      </c>
      <c r="I2984" s="2" t="s">
        <v>32</v>
      </c>
      <c r="J2984" s="3">
        <v>44656</v>
      </c>
      <c r="K2984" s="2">
        <v>38</v>
      </c>
      <c r="L2984" s="2" t="s">
        <v>64</v>
      </c>
    </row>
    <row r="2985" spans="1:12" x14ac:dyDescent="0.3">
      <c r="A2985" s="2">
        <v>2974</v>
      </c>
      <c r="B2985" s="2" t="s">
        <v>7442</v>
      </c>
      <c r="C2985" s="2" t="s">
        <v>7443</v>
      </c>
      <c r="D2985" s="2" t="s">
        <v>28</v>
      </c>
      <c r="E2985" s="2" t="s">
        <v>29</v>
      </c>
      <c r="F2985" s="2">
        <v>30</v>
      </c>
      <c r="G2985" s="2" t="s">
        <v>7444</v>
      </c>
      <c r="H2985" s="2" t="s">
        <v>2990</v>
      </c>
      <c r="I2985" s="2" t="s">
        <v>38</v>
      </c>
      <c r="J2985" s="3">
        <v>44214</v>
      </c>
      <c r="K2985" s="2">
        <v>35</v>
      </c>
      <c r="L2985" s="2" t="s">
        <v>101</v>
      </c>
    </row>
    <row r="2986" spans="1:12" x14ac:dyDescent="0.3">
      <c r="A2986" s="2">
        <v>2975</v>
      </c>
      <c r="B2986" s="2" t="s">
        <v>7445</v>
      </c>
      <c r="C2986" s="2" t="s">
        <v>791</v>
      </c>
      <c r="D2986" s="2" t="s">
        <v>41</v>
      </c>
      <c r="E2986" s="2" t="s">
        <v>16</v>
      </c>
      <c r="F2986" s="2">
        <v>30</v>
      </c>
      <c r="G2986" s="2" t="s">
        <v>7446</v>
      </c>
      <c r="H2986" s="2" t="s">
        <v>4567</v>
      </c>
      <c r="I2986" s="2" t="s">
        <v>38</v>
      </c>
      <c r="J2986" s="3">
        <v>44301</v>
      </c>
      <c r="K2986" s="2">
        <v>48</v>
      </c>
      <c r="L2986" s="2" t="s">
        <v>20</v>
      </c>
    </row>
    <row r="2987" spans="1:12" x14ac:dyDescent="0.3">
      <c r="A2987" s="2">
        <v>2976</v>
      </c>
      <c r="B2987" s="2" t="s">
        <v>7197</v>
      </c>
      <c r="C2987" s="2" t="s">
        <v>5575</v>
      </c>
      <c r="D2987" s="2" t="s">
        <v>28</v>
      </c>
      <c r="E2987" s="2" t="s">
        <v>29</v>
      </c>
      <c r="F2987" s="2">
        <v>60</v>
      </c>
      <c r="G2987" s="2" t="s">
        <v>7447</v>
      </c>
      <c r="H2987" s="2" t="s">
        <v>6775</v>
      </c>
      <c r="I2987" s="2" t="s">
        <v>25</v>
      </c>
      <c r="J2987" s="3">
        <v>44039</v>
      </c>
      <c r="K2987" s="2">
        <v>60</v>
      </c>
      <c r="L2987" s="2" t="s">
        <v>54</v>
      </c>
    </row>
    <row r="2988" spans="1:12" x14ac:dyDescent="0.3">
      <c r="A2988" s="2">
        <v>2977</v>
      </c>
      <c r="B2988" s="2" t="s">
        <v>3013</v>
      </c>
      <c r="C2988" s="2" t="s">
        <v>7448</v>
      </c>
      <c r="D2988" s="2" t="s">
        <v>41</v>
      </c>
      <c r="E2988" s="2" t="s">
        <v>16</v>
      </c>
      <c r="F2988" s="2">
        <v>60</v>
      </c>
      <c r="G2988" s="2" t="s">
        <v>7449</v>
      </c>
      <c r="H2988" s="2" t="s">
        <v>6607</v>
      </c>
      <c r="I2988" s="2" t="s">
        <v>32</v>
      </c>
      <c r="J2988" s="3">
        <v>44196</v>
      </c>
      <c r="K2988" s="2">
        <v>85</v>
      </c>
      <c r="L2988" s="2" t="s">
        <v>54</v>
      </c>
    </row>
    <row r="2989" spans="1:12" x14ac:dyDescent="0.3">
      <c r="A2989" s="2">
        <v>2978</v>
      </c>
      <c r="B2989" s="2" t="s">
        <v>7450</v>
      </c>
      <c r="C2989" s="2" t="s">
        <v>4880</v>
      </c>
      <c r="D2989" s="2" t="s">
        <v>28</v>
      </c>
      <c r="E2989" s="2" t="s">
        <v>29</v>
      </c>
      <c r="F2989" s="2">
        <v>30</v>
      </c>
      <c r="G2989" s="2" t="s">
        <v>7451</v>
      </c>
      <c r="H2989" s="2" t="s">
        <v>2713</v>
      </c>
      <c r="I2989" s="2" t="s">
        <v>38</v>
      </c>
      <c r="J2989" s="3">
        <v>44676</v>
      </c>
      <c r="K2989" s="2">
        <v>30</v>
      </c>
      <c r="L2989" s="2" t="s">
        <v>101</v>
      </c>
    </row>
    <row r="2990" spans="1:12" x14ac:dyDescent="0.3">
      <c r="A2990" s="2">
        <v>2979</v>
      </c>
      <c r="B2990" s="2" t="s">
        <v>6088</v>
      </c>
      <c r="C2990" s="2" t="s">
        <v>2509</v>
      </c>
      <c r="D2990" s="2" t="s">
        <v>28</v>
      </c>
      <c r="E2990" s="2" t="s">
        <v>29</v>
      </c>
      <c r="F2990" s="2">
        <v>30</v>
      </c>
      <c r="G2990" s="2" t="s">
        <v>7451</v>
      </c>
      <c r="H2990" s="2" t="s">
        <v>2490</v>
      </c>
      <c r="I2990" s="2" t="s">
        <v>32</v>
      </c>
      <c r="J2990" s="3">
        <v>43994</v>
      </c>
      <c r="K2990" s="2">
        <v>71</v>
      </c>
      <c r="L2990" s="2" t="s">
        <v>64</v>
      </c>
    </row>
    <row r="2991" spans="1:12" x14ac:dyDescent="0.3">
      <c r="A2991" s="2">
        <v>2980</v>
      </c>
      <c r="B2991" s="2" t="s">
        <v>7452</v>
      </c>
      <c r="C2991" s="2" t="s">
        <v>3089</v>
      </c>
      <c r="D2991" s="2" t="s">
        <v>15</v>
      </c>
      <c r="E2991" s="2" t="s">
        <v>16</v>
      </c>
      <c r="F2991" s="2">
        <v>60</v>
      </c>
      <c r="G2991" s="2" t="s">
        <v>7453</v>
      </c>
      <c r="H2991" s="2" t="s">
        <v>685</v>
      </c>
      <c r="I2991" s="2" t="s">
        <v>686</v>
      </c>
      <c r="J2991" s="3">
        <v>44255</v>
      </c>
      <c r="K2991" s="2">
        <v>2</v>
      </c>
      <c r="L2991" s="2" t="s">
        <v>54</v>
      </c>
    </row>
    <row r="2992" spans="1:12" x14ac:dyDescent="0.3">
      <c r="A2992" s="2">
        <v>2981</v>
      </c>
      <c r="B2992" s="2" t="s">
        <v>1682</v>
      </c>
      <c r="C2992" s="2" t="s">
        <v>2789</v>
      </c>
      <c r="D2992" s="2" t="s">
        <v>28</v>
      </c>
      <c r="E2992" s="2" t="s">
        <v>29</v>
      </c>
      <c r="F2992" s="2">
        <v>60</v>
      </c>
      <c r="G2992" s="2" t="s">
        <v>7453</v>
      </c>
      <c r="H2992" s="2" t="s">
        <v>2577</v>
      </c>
      <c r="I2992" s="2" t="s">
        <v>645</v>
      </c>
      <c r="J2992" s="3">
        <v>44438</v>
      </c>
      <c r="K2992" s="2">
        <v>61</v>
      </c>
      <c r="L2992" s="2" t="s">
        <v>54</v>
      </c>
    </row>
    <row r="2993" spans="1:12" x14ac:dyDescent="0.3">
      <c r="A2993" s="2">
        <v>2982</v>
      </c>
      <c r="B2993" s="2" t="s">
        <v>7454</v>
      </c>
      <c r="C2993" s="2" t="s">
        <v>1703</v>
      </c>
      <c r="D2993" s="2" t="s">
        <v>15</v>
      </c>
      <c r="E2993" s="2" t="s">
        <v>16</v>
      </c>
      <c r="F2993" s="2">
        <v>90</v>
      </c>
      <c r="G2993" s="2" t="s">
        <v>7455</v>
      </c>
      <c r="H2993" s="2" t="s">
        <v>2720</v>
      </c>
      <c r="I2993" s="2" t="s">
        <v>32</v>
      </c>
      <c r="J2993" s="3">
        <v>43880</v>
      </c>
      <c r="K2993" s="2">
        <v>27</v>
      </c>
      <c r="L2993" s="2" t="s">
        <v>45</v>
      </c>
    </row>
    <row r="2994" spans="1:12" x14ac:dyDescent="0.3">
      <c r="A2994" s="2">
        <v>2983</v>
      </c>
      <c r="B2994" s="2" t="s">
        <v>7456</v>
      </c>
      <c r="C2994" s="2" t="s">
        <v>2054</v>
      </c>
      <c r="D2994" s="2" t="s">
        <v>28</v>
      </c>
      <c r="E2994" s="2" t="s">
        <v>29</v>
      </c>
      <c r="F2994" s="2">
        <v>30</v>
      </c>
      <c r="G2994" s="2" t="s">
        <v>7457</v>
      </c>
      <c r="H2994" s="2" t="s">
        <v>7458</v>
      </c>
      <c r="I2994" s="2" t="s">
        <v>124</v>
      </c>
      <c r="J2994" s="3">
        <v>44195</v>
      </c>
      <c r="K2994" s="2">
        <v>34</v>
      </c>
      <c r="L2994" s="2" t="s">
        <v>54</v>
      </c>
    </row>
    <row r="2995" spans="1:12" x14ac:dyDescent="0.3">
      <c r="A2995" s="2">
        <v>2984</v>
      </c>
      <c r="B2995" s="2" t="s">
        <v>102</v>
      </c>
      <c r="C2995" s="2" t="s">
        <v>2708</v>
      </c>
      <c r="D2995" s="2" t="s">
        <v>51</v>
      </c>
      <c r="E2995" s="2" t="s">
        <v>16</v>
      </c>
      <c r="F2995" s="2">
        <v>90</v>
      </c>
      <c r="G2995" s="2" t="s">
        <v>7459</v>
      </c>
      <c r="H2995" s="2" t="s">
        <v>1981</v>
      </c>
      <c r="I2995" s="2" t="s">
        <v>187</v>
      </c>
      <c r="J2995" s="3">
        <v>44245</v>
      </c>
      <c r="K2995" s="2">
        <v>53</v>
      </c>
      <c r="L2995" s="2" t="s">
        <v>45</v>
      </c>
    </row>
    <row r="2996" spans="1:12" x14ac:dyDescent="0.3">
      <c r="A2996" s="2">
        <v>2985</v>
      </c>
      <c r="B2996" s="2" t="s">
        <v>46</v>
      </c>
      <c r="C2996" s="2" t="s">
        <v>3120</v>
      </c>
      <c r="D2996" s="2" t="s">
        <v>28</v>
      </c>
      <c r="E2996" s="2" t="s">
        <v>29</v>
      </c>
      <c r="F2996" s="2">
        <v>60</v>
      </c>
      <c r="G2996" s="2" t="s">
        <v>7460</v>
      </c>
      <c r="H2996" s="2" t="s">
        <v>3730</v>
      </c>
      <c r="I2996" s="2" t="s">
        <v>32</v>
      </c>
      <c r="J2996" s="3">
        <v>44128</v>
      </c>
      <c r="K2996" s="2">
        <v>73</v>
      </c>
      <c r="L2996" s="2" t="s">
        <v>39</v>
      </c>
    </row>
    <row r="2997" spans="1:12" x14ac:dyDescent="0.3">
      <c r="A2997" s="2">
        <v>2986</v>
      </c>
      <c r="B2997" s="2" t="s">
        <v>4167</v>
      </c>
      <c r="C2997" s="2" t="s">
        <v>7461</v>
      </c>
      <c r="D2997" s="2" t="s">
        <v>28</v>
      </c>
      <c r="E2997" s="2" t="s">
        <v>29</v>
      </c>
      <c r="F2997" s="2">
        <v>60</v>
      </c>
      <c r="G2997" s="2" t="s">
        <v>7462</v>
      </c>
      <c r="H2997" s="2" t="s">
        <v>370</v>
      </c>
      <c r="I2997" s="2" t="s">
        <v>32</v>
      </c>
      <c r="J2997" s="3">
        <v>44748</v>
      </c>
      <c r="K2997" s="2">
        <v>85</v>
      </c>
      <c r="L2997" s="2" t="s">
        <v>80</v>
      </c>
    </row>
    <row r="2998" spans="1:12" x14ac:dyDescent="0.3">
      <c r="A2998" s="2">
        <v>2987</v>
      </c>
      <c r="B2998" s="2" t="s">
        <v>7463</v>
      </c>
      <c r="C2998" s="2" t="s">
        <v>1599</v>
      </c>
      <c r="D2998" s="2" t="s">
        <v>28</v>
      </c>
      <c r="E2998" s="2" t="s">
        <v>29</v>
      </c>
      <c r="F2998" s="2">
        <v>30</v>
      </c>
      <c r="G2998" s="2" t="s">
        <v>7464</v>
      </c>
      <c r="H2998" s="2" t="s">
        <v>3814</v>
      </c>
      <c r="I2998" s="2" t="s">
        <v>32</v>
      </c>
      <c r="J2998" s="3">
        <v>44423</v>
      </c>
      <c r="K2998" s="2">
        <v>44</v>
      </c>
      <c r="L2998" s="2" t="s">
        <v>64</v>
      </c>
    </row>
    <row r="2999" spans="1:12" x14ac:dyDescent="0.3">
      <c r="A2999" s="2">
        <v>2988</v>
      </c>
      <c r="B2999" s="2" t="s">
        <v>7465</v>
      </c>
      <c r="C2999" s="2" t="s">
        <v>5021</v>
      </c>
      <c r="D2999" s="2" t="s">
        <v>28</v>
      </c>
      <c r="E2999" s="2" t="s">
        <v>29</v>
      </c>
      <c r="F2999" s="2">
        <v>30</v>
      </c>
      <c r="G2999" s="2" t="s">
        <v>7466</v>
      </c>
      <c r="H2999" s="2" t="s">
        <v>7118</v>
      </c>
      <c r="I2999" s="2" t="s">
        <v>2022</v>
      </c>
      <c r="J2999" s="3">
        <v>44362</v>
      </c>
      <c r="K2999" s="2">
        <v>27</v>
      </c>
      <c r="L2999" s="2" t="s">
        <v>70</v>
      </c>
    </row>
    <row r="3000" spans="1:12" x14ac:dyDescent="0.3">
      <c r="A3000" s="2">
        <v>2989</v>
      </c>
      <c r="B3000" s="2" t="s">
        <v>1468</v>
      </c>
      <c r="C3000" s="2" t="s">
        <v>5671</v>
      </c>
      <c r="D3000" s="2" t="s">
        <v>28</v>
      </c>
      <c r="E3000" s="2" t="s">
        <v>29</v>
      </c>
      <c r="F3000" s="2">
        <v>60</v>
      </c>
      <c r="G3000" s="2" t="s">
        <v>7467</v>
      </c>
      <c r="H3000" s="2" t="s">
        <v>4996</v>
      </c>
      <c r="I3000" s="2" t="s">
        <v>32</v>
      </c>
      <c r="J3000" s="3">
        <v>44462</v>
      </c>
      <c r="K3000" s="2">
        <v>24</v>
      </c>
      <c r="L3000" s="2" t="s">
        <v>45</v>
      </c>
    </row>
    <row r="3001" spans="1:12" x14ac:dyDescent="0.3">
      <c r="A3001" s="2">
        <v>2990</v>
      </c>
      <c r="B3001" s="2" t="s">
        <v>7468</v>
      </c>
      <c r="C3001" s="2" t="s">
        <v>6040</v>
      </c>
      <c r="D3001" s="2" t="s">
        <v>15</v>
      </c>
      <c r="E3001" s="2" t="s">
        <v>16</v>
      </c>
      <c r="F3001" s="2">
        <v>90</v>
      </c>
      <c r="G3001" s="2" t="s">
        <v>7469</v>
      </c>
      <c r="H3001" s="2" t="s">
        <v>2045</v>
      </c>
      <c r="I3001" s="2" t="s">
        <v>38</v>
      </c>
      <c r="J3001" s="3">
        <v>44546</v>
      </c>
      <c r="K3001" s="2">
        <v>91</v>
      </c>
      <c r="L3001" s="2" t="s">
        <v>159</v>
      </c>
    </row>
    <row r="3002" spans="1:12" x14ac:dyDescent="0.3">
      <c r="A3002" s="2">
        <v>2991</v>
      </c>
      <c r="B3002" s="2" t="s">
        <v>7470</v>
      </c>
      <c r="C3002" s="2" t="s">
        <v>4880</v>
      </c>
      <c r="D3002" s="2" t="s">
        <v>51</v>
      </c>
      <c r="E3002" s="2" t="s">
        <v>16</v>
      </c>
      <c r="F3002" s="2">
        <v>90</v>
      </c>
      <c r="G3002" s="2" t="s">
        <v>7471</v>
      </c>
      <c r="H3002" s="2" t="s">
        <v>2685</v>
      </c>
      <c r="I3002" s="2" t="s">
        <v>32</v>
      </c>
      <c r="J3002" s="3">
        <v>44481</v>
      </c>
      <c r="K3002" s="2">
        <v>88</v>
      </c>
      <c r="L3002" s="2" t="s">
        <v>54</v>
      </c>
    </row>
    <row r="3003" spans="1:12" x14ac:dyDescent="0.3">
      <c r="A3003" s="2">
        <v>2992</v>
      </c>
      <c r="B3003" s="2" t="s">
        <v>3832</v>
      </c>
      <c r="C3003" s="2" t="s">
        <v>7472</v>
      </c>
      <c r="D3003" s="2" t="s">
        <v>51</v>
      </c>
      <c r="E3003" s="2" t="s">
        <v>16</v>
      </c>
      <c r="F3003" s="2">
        <v>60</v>
      </c>
      <c r="G3003" s="2" t="s">
        <v>7473</v>
      </c>
      <c r="H3003" s="2" t="s">
        <v>7004</v>
      </c>
      <c r="I3003" s="2" t="s">
        <v>208</v>
      </c>
      <c r="J3003" s="3">
        <v>44821</v>
      </c>
      <c r="K3003" s="2">
        <v>69</v>
      </c>
      <c r="L3003" s="2" t="s">
        <v>159</v>
      </c>
    </row>
    <row r="3004" spans="1:12" x14ac:dyDescent="0.3">
      <c r="A3004" s="2">
        <v>2993</v>
      </c>
      <c r="B3004" s="2" t="s">
        <v>4572</v>
      </c>
      <c r="C3004" s="2" t="s">
        <v>4732</v>
      </c>
      <c r="D3004" s="2" t="s">
        <v>28</v>
      </c>
      <c r="E3004" s="2" t="s">
        <v>29</v>
      </c>
      <c r="F3004" s="2">
        <v>30</v>
      </c>
      <c r="G3004" s="2" t="s">
        <v>7474</v>
      </c>
      <c r="H3004" s="2" t="s">
        <v>3433</v>
      </c>
      <c r="I3004" s="2" t="s">
        <v>1199</v>
      </c>
      <c r="J3004" s="3">
        <v>44793</v>
      </c>
      <c r="K3004" s="2">
        <v>3</v>
      </c>
      <c r="L3004" s="2" t="s">
        <v>70</v>
      </c>
    </row>
    <row r="3005" spans="1:12" x14ac:dyDescent="0.3">
      <c r="A3005" s="2">
        <v>2994</v>
      </c>
      <c r="B3005" s="2" t="s">
        <v>7475</v>
      </c>
      <c r="C3005" s="2" t="s">
        <v>2177</v>
      </c>
      <c r="D3005" s="2" t="s">
        <v>51</v>
      </c>
      <c r="E3005" s="2" t="s">
        <v>16</v>
      </c>
      <c r="F3005" s="2">
        <v>60</v>
      </c>
      <c r="G3005" s="2" t="s">
        <v>7476</v>
      </c>
      <c r="H3005" s="2" t="s">
        <v>583</v>
      </c>
      <c r="I3005" s="2" t="s">
        <v>32</v>
      </c>
      <c r="J3005" s="3">
        <v>44597</v>
      </c>
      <c r="K3005" s="2">
        <v>100</v>
      </c>
      <c r="L3005" s="2" t="s">
        <v>101</v>
      </c>
    </row>
    <row r="3006" spans="1:12" x14ac:dyDescent="0.3">
      <c r="A3006" s="2">
        <v>2995</v>
      </c>
      <c r="B3006" s="2" t="s">
        <v>6557</v>
      </c>
      <c r="C3006" s="2" t="s">
        <v>1129</v>
      </c>
      <c r="D3006" s="2" t="s">
        <v>28</v>
      </c>
      <c r="E3006" s="2" t="s">
        <v>29</v>
      </c>
      <c r="F3006" s="2">
        <v>60</v>
      </c>
      <c r="G3006" s="2" t="s">
        <v>7477</v>
      </c>
      <c r="H3006" s="2" t="s">
        <v>5714</v>
      </c>
      <c r="I3006" s="2" t="s">
        <v>187</v>
      </c>
      <c r="J3006" s="3">
        <v>44890</v>
      </c>
      <c r="K3006" s="2">
        <v>54</v>
      </c>
      <c r="L3006" s="2" t="s">
        <v>64</v>
      </c>
    </row>
    <row r="3007" spans="1:12" x14ac:dyDescent="0.3">
      <c r="A3007" s="2">
        <v>2996</v>
      </c>
      <c r="B3007" s="2" t="s">
        <v>2303</v>
      </c>
      <c r="C3007" s="2" t="s">
        <v>2663</v>
      </c>
      <c r="D3007" s="2" t="s">
        <v>28</v>
      </c>
      <c r="E3007" s="2" t="s">
        <v>29</v>
      </c>
      <c r="F3007" s="2">
        <v>90</v>
      </c>
      <c r="G3007" s="2" t="s">
        <v>7478</v>
      </c>
      <c r="H3007" s="2" t="s">
        <v>5047</v>
      </c>
      <c r="I3007" s="2" t="s">
        <v>178</v>
      </c>
      <c r="J3007" s="3">
        <v>44420</v>
      </c>
      <c r="K3007" s="2">
        <v>7</v>
      </c>
      <c r="L3007" s="2" t="s">
        <v>101</v>
      </c>
    </row>
    <row r="3008" spans="1:12" x14ac:dyDescent="0.3">
      <c r="A3008" s="2">
        <v>2997</v>
      </c>
      <c r="B3008" s="2" t="s">
        <v>1049</v>
      </c>
      <c r="C3008" s="2" t="s">
        <v>2823</v>
      </c>
      <c r="D3008" s="2" t="s">
        <v>28</v>
      </c>
      <c r="E3008" s="2" t="s">
        <v>29</v>
      </c>
      <c r="F3008" s="2">
        <v>90</v>
      </c>
      <c r="G3008" s="2" t="s">
        <v>7479</v>
      </c>
      <c r="H3008" s="2" t="s">
        <v>7480</v>
      </c>
      <c r="I3008" s="2" t="s">
        <v>129</v>
      </c>
      <c r="J3008" s="3">
        <v>43950</v>
      </c>
      <c r="K3008" s="2">
        <v>80</v>
      </c>
      <c r="L3008" s="2" t="s">
        <v>64</v>
      </c>
    </row>
    <row r="3009" spans="1:12" x14ac:dyDescent="0.3">
      <c r="A3009" s="2">
        <v>2998</v>
      </c>
      <c r="B3009" s="2" t="s">
        <v>4315</v>
      </c>
      <c r="C3009" s="2" t="s">
        <v>7482</v>
      </c>
      <c r="D3009" s="2" t="s">
        <v>28</v>
      </c>
      <c r="E3009" s="2" t="s">
        <v>29</v>
      </c>
      <c r="F3009" s="2">
        <v>60</v>
      </c>
      <c r="G3009" s="2" t="s">
        <v>7483</v>
      </c>
      <c r="H3009" s="2" t="s">
        <v>538</v>
      </c>
      <c r="I3009" s="2" t="s">
        <v>32</v>
      </c>
      <c r="J3009" s="3">
        <v>44374</v>
      </c>
      <c r="K3009" s="2">
        <v>37</v>
      </c>
      <c r="L3009" s="2" t="s">
        <v>70</v>
      </c>
    </row>
    <row r="3010" spans="1:12" x14ac:dyDescent="0.3">
      <c r="A3010" s="2">
        <v>2999</v>
      </c>
      <c r="B3010" s="2" t="s">
        <v>7484</v>
      </c>
      <c r="C3010" s="2" t="s">
        <v>7485</v>
      </c>
      <c r="D3010" s="2" t="s">
        <v>51</v>
      </c>
      <c r="E3010" s="2" t="s">
        <v>16</v>
      </c>
      <c r="F3010" s="2">
        <v>60</v>
      </c>
      <c r="G3010" s="2" t="s">
        <v>7486</v>
      </c>
      <c r="H3010" s="2" t="s">
        <v>6000</v>
      </c>
      <c r="I3010" s="2" t="s">
        <v>178</v>
      </c>
      <c r="J3010" s="3">
        <v>44434</v>
      </c>
      <c r="K3010" s="2">
        <v>38</v>
      </c>
      <c r="L3010" s="2" t="s">
        <v>70</v>
      </c>
    </row>
    <row r="3011" spans="1:12" x14ac:dyDescent="0.3">
      <c r="A3011" s="2">
        <v>3000</v>
      </c>
      <c r="B3011" s="2" t="s">
        <v>7487</v>
      </c>
      <c r="C3011" s="2" t="s">
        <v>5267</v>
      </c>
      <c r="D3011" s="2" t="s">
        <v>51</v>
      </c>
      <c r="E3011" s="2" t="s">
        <v>16</v>
      </c>
      <c r="F3011" s="2">
        <v>90</v>
      </c>
      <c r="G3011" s="2" t="s">
        <v>7488</v>
      </c>
      <c r="H3011" s="2" t="s">
        <v>526</v>
      </c>
      <c r="I3011" s="2" t="s">
        <v>32</v>
      </c>
      <c r="J3011" s="3">
        <v>44840</v>
      </c>
      <c r="K3011" s="2">
        <v>70</v>
      </c>
      <c r="L3011" s="2" t="s">
        <v>20</v>
      </c>
    </row>
    <row r="3012" spans="1:12" x14ac:dyDescent="0.3">
      <c r="A3012" s="2">
        <v>3001</v>
      </c>
      <c r="B3012" s="2" t="s">
        <v>1661</v>
      </c>
      <c r="C3012" s="2" t="s">
        <v>7489</v>
      </c>
      <c r="D3012" s="2" t="s">
        <v>28</v>
      </c>
      <c r="E3012" s="2" t="s">
        <v>29</v>
      </c>
      <c r="F3012" s="2">
        <v>90</v>
      </c>
      <c r="G3012" s="2" t="s">
        <v>7490</v>
      </c>
      <c r="H3012" s="2" t="s">
        <v>7491</v>
      </c>
      <c r="I3012" s="2" t="s">
        <v>124</v>
      </c>
      <c r="J3012" s="3">
        <v>44400</v>
      </c>
      <c r="K3012" s="2">
        <v>75</v>
      </c>
      <c r="L3012" s="2" t="s">
        <v>80</v>
      </c>
    </row>
    <row r="3013" spans="1:12" x14ac:dyDescent="0.3">
      <c r="A3013" s="2">
        <v>3002</v>
      </c>
      <c r="B3013" s="2" t="s">
        <v>7492</v>
      </c>
      <c r="C3013" s="2" t="s">
        <v>1263</v>
      </c>
      <c r="D3013" s="2" t="s">
        <v>92</v>
      </c>
      <c r="E3013" s="2" t="s">
        <v>29</v>
      </c>
      <c r="F3013" s="2">
        <v>60</v>
      </c>
      <c r="G3013" s="2" t="s">
        <v>10538</v>
      </c>
      <c r="H3013" s="2" t="s">
        <v>974</v>
      </c>
      <c r="I3013" s="2" t="s">
        <v>32</v>
      </c>
      <c r="J3013" s="3">
        <v>44343</v>
      </c>
      <c r="K3013" s="2">
        <v>68</v>
      </c>
      <c r="L3013" s="2" t="s">
        <v>70</v>
      </c>
    </row>
    <row r="3014" spans="1:12" x14ac:dyDescent="0.3">
      <c r="A3014" s="2">
        <v>3003</v>
      </c>
      <c r="B3014" s="2" t="s">
        <v>7494</v>
      </c>
      <c r="C3014" s="2" t="s">
        <v>1175</v>
      </c>
      <c r="D3014" s="2" t="s">
        <v>51</v>
      </c>
      <c r="E3014" s="2" t="s">
        <v>16</v>
      </c>
      <c r="F3014" s="2">
        <v>90</v>
      </c>
      <c r="G3014" s="2" t="s">
        <v>7495</v>
      </c>
      <c r="H3014" s="2" t="s">
        <v>1690</v>
      </c>
      <c r="I3014" s="2" t="s">
        <v>208</v>
      </c>
      <c r="J3014" s="3">
        <v>44851</v>
      </c>
      <c r="K3014" s="2">
        <v>92</v>
      </c>
      <c r="L3014" s="2" t="s">
        <v>39</v>
      </c>
    </row>
    <row r="3015" spans="1:12" x14ac:dyDescent="0.3">
      <c r="A3015" s="2">
        <v>3004</v>
      </c>
      <c r="B3015" s="2" t="s">
        <v>7496</v>
      </c>
      <c r="C3015" s="2" t="s">
        <v>3037</v>
      </c>
      <c r="D3015" s="2" t="s">
        <v>28</v>
      </c>
      <c r="E3015" s="2" t="s">
        <v>29</v>
      </c>
      <c r="F3015" s="2">
        <v>90</v>
      </c>
      <c r="G3015" s="2" t="s">
        <v>7497</v>
      </c>
      <c r="H3015" s="2" t="s">
        <v>3387</v>
      </c>
      <c r="I3015" s="2" t="s">
        <v>2878</v>
      </c>
      <c r="J3015" s="3">
        <v>44747</v>
      </c>
      <c r="K3015" s="2">
        <v>84</v>
      </c>
      <c r="L3015" s="2" t="s">
        <v>64</v>
      </c>
    </row>
    <row r="3016" spans="1:12" x14ac:dyDescent="0.3">
      <c r="A3016" s="2">
        <v>3005</v>
      </c>
      <c r="B3016" s="2" t="s">
        <v>7498</v>
      </c>
      <c r="C3016" s="2" t="s">
        <v>5168</v>
      </c>
      <c r="D3016" s="2" t="s">
        <v>28</v>
      </c>
      <c r="E3016" s="2" t="s">
        <v>29</v>
      </c>
      <c r="F3016" s="2">
        <v>60</v>
      </c>
      <c r="G3016" s="2" t="s">
        <v>10539</v>
      </c>
      <c r="H3016" s="2" t="s">
        <v>2469</v>
      </c>
      <c r="I3016" s="2" t="s">
        <v>32</v>
      </c>
      <c r="J3016" s="3">
        <v>44142</v>
      </c>
      <c r="K3016" s="2">
        <v>72</v>
      </c>
      <c r="L3016" s="2" t="s">
        <v>20</v>
      </c>
    </row>
    <row r="3017" spans="1:12" x14ac:dyDescent="0.3">
      <c r="A3017" s="2">
        <v>3006</v>
      </c>
      <c r="B3017" s="2" t="s">
        <v>3616</v>
      </c>
      <c r="C3017" s="2" t="s">
        <v>722</v>
      </c>
      <c r="D3017" s="2" t="s">
        <v>28</v>
      </c>
      <c r="E3017" s="2" t="s">
        <v>29</v>
      </c>
      <c r="F3017" s="2">
        <v>90</v>
      </c>
      <c r="G3017" s="2" t="s">
        <v>7500</v>
      </c>
      <c r="H3017" s="2" t="s">
        <v>31</v>
      </c>
      <c r="I3017" s="2" t="s">
        <v>32</v>
      </c>
      <c r="J3017" s="3">
        <v>44919</v>
      </c>
      <c r="K3017" s="2">
        <v>96</v>
      </c>
      <c r="L3017" s="2" t="s">
        <v>54</v>
      </c>
    </row>
    <row r="3018" spans="1:12" x14ac:dyDescent="0.3">
      <c r="A3018" s="2">
        <v>3007</v>
      </c>
      <c r="B3018" s="2" t="s">
        <v>7501</v>
      </c>
      <c r="C3018" s="2" t="s">
        <v>7231</v>
      </c>
      <c r="D3018" s="2" t="s">
        <v>15</v>
      </c>
      <c r="E3018" s="2" t="s">
        <v>16</v>
      </c>
      <c r="F3018" s="2">
        <v>90</v>
      </c>
      <c r="G3018" s="2" t="s">
        <v>10540</v>
      </c>
      <c r="H3018" s="2" t="s">
        <v>4415</v>
      </c>
      <c r="I3018" s="2" t="s">
        <v>32</v>
      </c>
      <c r="J3018" s="3">
        <v>44462</v>
      </c>
      <c r="K3018" s="2">
        <v>27</v>
      </c>
      <c r="L3018" s="2" t="s">
        <v>159</v>
      </c>
    </row>
    <row r="3019" spans="1:12" x14ac:dyDescent="0.3">
      <c r="A3019" s="2">
        <v>3008</v>
      </c>
      <c r="B3019" s="2" t="s">
        <v>7503</v>
      </c>
      <c r="C3019" s="2" t="s">
        <v>7412</v>
      </c>
      <c r="D3019" s="2" t="s">
        <v>51</v>
      </c>
      <c r="E3019" s="2" t="s">
        <v>16</v>
      </c>
      <c r="F3019" s="2">
        <v>60</v>
      </c>
      <c r="G3019" s="2" t="s">
        <v>7504</v>
      </c>
      <c r="H3019" s="2" t="s">
        <v>4770</v>
      </c>
      <c r="I3019" s="2" t="s">
        <v>294</v>
      </c>
      <c r="J3019" s="3">
        <v>44750</v>
      </c>
      <c r="K3019" s="2">
        <v>39</v>
      </c>
      <c r="L3019" s="2" t="s">
        <v>33</v>
      </c>
    </row>
    <row r="3020" spans="1:12" x14ac:dyDescent="0.3">
      <c r="A3020" s="2">
        <v>3009</v>
      </c>
      <c r="B3020" s="2" t="s">
        <v>7505</v>
      </c>
      <c r="C3020" s="2" t="s">
        <v>2368</v>
      </c>
      <c r="D3020" s="2" t="s">
        <v>28</v>
      </c>
      <c r="E3020" s="2" t="s">
        <v>29</v>
      </c>
      <c r="F3020" s="2">
        <v>90</v>
      </c>
      <c r="G3020" s="2" t="s">
        <v>7506</v>
      </c>
      <c r="H3020" s="2" t="s">
        <v>1973</v>
      </c>
      <c r="I3020" s="2" t="s">
        <v>110</v>
      </c>
      <c r="J3020" s="3">
        <v>44463</v>
      </c>
      <c r="K3020" s="2">
        <v>58</v>
      </c>
      <c r="L3020" s="2" t="s">
        <v>54</v>
      </c>
    </row>
    <row r="3021" spans="1:12" x14ac:dyDescent="0.3">
      <c r="A3021" s="2">
        <v>3010</v>
      </c>
      <c r="B3021" s="2" t="s">
        <v>4278</v>
      </c>
      <c r="C3021" s="2" t="s">
        <v>2453</v>
      </c>
      <c r="D3021" s="2" t="s">
        <v>28</v>
      </c>
      <c r="E3021" s="2" t="s">
        <v>29</v>
      </c>
      <c r="F3021" s="2">
        <v>90</v>
      </c>
      <c r="G3021" s="2" t="s">
        <v>7507</v>
      </c>
      <c r="H3021" s="2" t="s">
        <v>7508</v>
      </c>
      <c r="I3021" s="2" t="s">
        <v>240</v>
      </c>
      <c r="J3021" s="3">
        <v>44551</v>
      </c>
      <c r="K3021" s="2">
        <v>54</v>
      </c>
      <c r="L3021" s="2" t="s">
        <v>101</v>
      </c>
    </row>
    <row r="3022" spans="1:12" x14ac:dyDescent="0.3">
      <c r="A3022" s="2">
        <v>3011</v>
      </c>
      <c r="B3022" s="2" t="s">
        <v>2887</v>
      </c>
      <c r="C3022" s="2" t="s">
        <v>7509</v>
      </c>
      <c r="D3022" s="2" t="s">
        <v>28</v>
      </c>
      <c r="E3022" s="2" t="s">
        <v>29</v>
      </c>
      <c r="F3022" s="2">
        <v>90</v>
      </c>
      <c r="G3022" s="2" t="s">
        <v>7507</v>
      </c>
      <c r="H3022" s="2" t="s">
        <v>3466</v>
      </c>
      <c r="I3022" s="2" t="s">
        <v>32</v>
      </c>
      <c r="J3022" s="3">
        <v>43857</v>
      </c>
      <c r="K3022" s="2">
        <v>4</v>
      </c>
      <c r="L3022" s="2" t="s">
        <v>80</v>
      </c>
    </row>
    <row r="3023" spans="1:12" x14ac:dyDescent="0.3">
      <c r="A3023" s="2">
        <v>3012</v>
      </c>
      <c r="B3023" s="2" t="s">
        <v>7510</v>
      </c>
      <c r="C3023" s="2" t="s">
        <v>7423</v>
      </c>
      <c r="D3023" s="2" t="s">
        <v>15</v>
      </c>
      <c r="E3023" s="2" t="s">
        <v>16</v>
      </c>
      <c r="F3023" s="2">
        <v>60</v>
      </c>
      <c r="G3023" s="2" t="s">
        <v>7511</v>
      </c>
      <c r="H3023" s="2" t="s">
        <v>3002</v>
      </c>
      <c r="I3023" s="2" t="s">
        <v>32</v>
      </c>
      <c r="J3023" s="3">
        <v>44276</v>
      </c>
      <c r="K3023" s="2">
        <v>66</v>
      </c>
      <c r="L3023" s="2" t="s">
        <v>39</v>
      </c>
    </row>
    <row r="3024" spans="1:12" x14ac:dyDescent="0.3">
      <c r="A3024" s="2">
        <v>3013</v>
      </c>
      <c r="B3024" s="2" t="s">
        <v>4317</v>
      </c>
      <c r="C3024" s="2" t="s">
        <v>987</v>
      </c>
      <c r="D3024" s="2" t="s">
        <v>28</v>
      </c>
      <c r="E3024" s="2" t="s">
        <v>29</v>
      </c>
      <c r="F3024" s="2">
        <v>30</v>
      </c>
      <c r="G3024" s="2" t="s">
        <v>7512</v>
      </c>
      <c r="H3024" s="2" t="s">
        <v>2105</v>
      </c>
      <c r="I3024" s="2" t="s">
        <v>110</v>
      </c>
      <c r="J3024" s="3">
        <v>44444</v>
      </c>
      <c r="K3024" s="2">
        <v>72</v>
      </c>
      <c r="L3024" s="2" t="s">
        <v>70</v>
      </c>
    </row>
    <row r="3025" spans="1:12" x14ac:dyDescent="0.3">
      <c r="A3025" s="2">
        <v>3014</v>
      </c>
      <c r="B3025" s="2" t="s">
        <v>7193</v>
      </c>
      <c r="C3025" s="2" t="s">
        <v>4753</v>
      </c>
      <c r="D3025" s="2" t="s">
        <v>51</v>
      </c>
      <c r="E3025" s="2" t="s">
        <v>16</v>
      </c>
      <c r="F3025" s="2">
        <v>90</v>
      </c>
      <c r="G3025" s="2" t="s">
        <v>7513</v>
      </c>
      <c r="H3025" s="2" t="s">
        <v>641</v>
      </c>
      <c r="I3025" s="2" t="s">
        <v>294</v>
      </c>
      <c r="J3025" s="3">
        <v>44682</v>
      </c>
      <c r="K3025" s="2">
        <v>10</v>
      </c>
      <c r="L3025" s="2" t="s">
        <v>80</v>
      </c>
    </row>
    <row r="3026" spans="1:12" x14ac:dyDescent="0.3">
      <c r="A3026" s="2">
        <v>3015</v>
      </c>
      <c r="B3026" s="2" t="s">
        <v>7514</v>
      </c>
      <c r="C3026" s="2" t="s">
        <v>2883</v>
      </c>
      <c r="D3026" s="2" t="s">
        <v>15</v>
      </c>
      <c r="E3026" s="2" t="s">
        <v>16</v>
      </c>
      <c r="F3026" s="2">
        <v>60</v>
      </c>
      <c r="G3026" s="2" t="s">
        <v>7515</v>
      </c>
      <c r="H3026" s="2" t="s">
        <v>158</v>
      </c>
      <c r="I3026" s="2" t="s">
        <v>32</v>
      </c>
      <c r="J3026" s="3">
        <v>44683</v>
      </c>
      <c r="K3026" s="2">
        <v>68</v>
      </c>
      <c r="L3026" s="2" t="s">
        <v>54</v>
      </c>
    </row>
    <row r="3027" spans="1:12" x14ac:dyDescent="0.3">
      <c r="A3027" s="2">
        <v>3016</v>
      </c>
      <c r="B3027" s="2" t="s">
        <v>580</v>
      </c>
      <c r="C3027" s="2" t="s">
        <v>4286</v>
      </c>
      <c r="D3027" s="2" t="s">
        <v>28</v>
      </c>
      <c r="E3027" s="2" t="s">
        <v>29</v>
      </c>
      <c r="F3027" s="2">
        <v>30</v>
      </c>
      <c r="G3027" s="2" t="s">
        <v>7516</v>
      </c>
      <c r="H3027" s="2" t="s">
        <v>2902</v>
      </c>
      <c r="I3027" s="2" t="s">
        <v>32</v>
      </c>
      <c r="J3027" s="3">
        <v>44164</v>
      </c>
      <c r="K3027" s="2">
        <v>40</v>
      </c>
      <c r="L3027" s="2" t="s">
        <v>54</v>
      </c>
    </row>
    <row r="3028" spans="1:12" x14ac:dyDescent="0.3">
      <c r="A3028" s="2">
        <v>3017</v>
      </c>
      <c r="B3028" s="2" t="s">
        <v>4897</v>
      </c>
      <c r="C3028" s="2" t="s">
        <v>7517</v>
      </c>
      <c r="D3028" s="2" t="s">
        <v>28</v>
      </c>
      <c r="E3028" s="2" t="s">
        <v>29</v>
      </c>
      <c r="F3028" s="2">
        <v>30</v>
      </c>
      <c r="G3028" s="2" t="s">
        <v>7518</v>
      </c>
      <c r="H3028" s="2" t="s">
        <v>2633</v>
      </c>
      <c r="I3028" s="2" t="s">
        <v>32</v>
      </c>
      <c r="J3028" s="3">
        <v>44188</v>
      </c>
      <c r="K3028" s="2">
        <v>48</v>
      </c>
      <c r="L3028" s="2" t="s">
        <v>101</v>
      </c>
    </row>
    <row r="3029" spans="1:12" x14ac:dyDescent="0.3">
      <c r="A3029" s="2">
        <v>3018</v>
      </c>
      <c r="B3029" s="2" t="s">
        <v>7202</v>
      </c>
      <c r="C3029" s="2" t="s">
        <v>6555</v>
      </c>
      <c r="D3029" s="2" t="s">
        <v>28</v>
      </c>
      <c r="E3029" s="2" t="s">
        <v>29</v>
      </c>
      <c r="F3029" s="2">
        <v>60</v>
      </c>
      <c r="G3029" s="2" t="s">
        <v>7519</v>
      </c>
      <c r="H3029" s="2" t="s">
        <v>440</v>
      </c>
      <c r="I3029" s="2" t="s">
        <v>25</v>
      </c>
      <c r="J3029" s="3">
        <v>44834</v>
      </c>
      <c r="K3029" s="2">
        <v>83</v>
      </c>
      <c r="L3029" s="2" t="s">
        <v>80</v>
      </c>
    </row>
    <row r="3030" spans="1:12" x14ac:dyDescent="0.3">
      <c r="A3030" s="2">
        <v>3019</v>
      </c>
      <c r="B3030" s="2" t="s">
        <v>1769</v>
      </c>
      <c r="C3030" s="2" t="s">
        <v>7520</v>
      </c>
      <c r="D3030" s="2" t="s">
        <v>28</v>
      </c>
      <c r="E3030" s="2" t="s">
        <v>29</v>
      </c>
      <c r="F3030" s="2">
        <v>30</v>
      </c>
      <c r="G3030" s="2" t="s">
        <v>7521</v>
      </c>
      <c r="H3030" s="2" t="s">
        <v>4794</v>
      </c>
      <c r="I3030" s="2" t="s">
        <v>32</v>
      </c>
      <c r="J3030" s="3">
        <v>44745</v>
      </c>
      <c r="K3030" s="2">
        <v>4</v>
      </c>
      <c r="L3030" s="2" t="s">
        <v>54</v>
      </c>
    </row>
    <row r="3031" spans="1:12" x14ac:dyDescent="0.3">
      <c r="A3031" s="2">
        <v>3020</v>
      </c>
      <c r="B3031" s="2" t="s">
        <v>320</v>
      </c>
      <c r="C3031" s="2" t="s">
        <v>2618</v>
      </c>
      <c r="D3031" s="2" t="s">
        <v>51</v>
      </c>
      <c r="E3031" s="2" t="s">
        <v>16</v>
      </c>
      <c r="F3031" s="2">
        <v>30</v>
      </c>
      <c r="G3031" s="2" t="s">
        <v>7522</v>
      </c>
      <c r="H3031" s="2" t="s">
        <v>172</v>
      </c>
      <c r="I3031" s="2" t="s">
        <v>173</v>
      </c>
      <c r="J3031" s="3">
        <v>44646</v>
      </c>
      <c r="K3031" s="2">
        <v>53</v>
      </c>
      <c r="L3031" s="2" t="s">
        <v>101</v>
      </c>
    </row>
    <row r="3032" spans="1:12" x14ac:dyDescent="0.3">
      <c r="A3032" s="2">
        <v>3021</v>
      </c>
      <c r="B3032" s="2" t="s">
        <v>7523</v>
      </c>
      <c r="C3032" s="2" t="s">
        <v>1857</v>
      </c>
      <c r="D3032" s="2" t="s">
        <v>51</v>
      </c>
      <c r="E3032" s="2" t="s">
        <v>16</v>
      </c>
      <c r="F3032" s="2">
        <v>60</v>
      </c>
      <c r="G3032" s="2" t="s">
        <v>7524</v>
      </c>
      <c r="H3032" s="2" t="s">
        <v>1206</v>
      </c>
      <c r="I3032" s="2" t="s">
        <v>294</v>
      </c>
      <c r="J3032" s="3">
        <v>43832</v>
      </c>
      <c r="K3032" s="2">
        <v>51</v>
      </c>
      <c r="L3032" s="2" t="s">
        <v>80</v>
      </c>
    </row>
    <row r="3033" spans="1:12" x14ac:dyDescent="0.3">
      <c r="A3033" s="2">
        <v>3022</v>
      </c>
      <c r="B3033" s="2" t="s">
        <v>7525</v>
      </c>
      <c r="C3033" s="2" t="s">
        <v>106</v>
      </c>
      <c r="D3033" s="2" t="s">
        <v>15</v>
      </c>
      <c r="E3033" s="2" t="s">
        <v>16</v>
      </c>
      <c r="F3033" s="2">
        <v>90</v>
      </c>
      <c r="G3033" s="2" t="s">
        <v>7524</v>
      </c>
      <c r="H3033" s="2" t="s">
        <v>7526</v>
      </c>
      <c r="I3033" s="2" t="s">
        <v>32</v>
      </c>
      <c r="J3033" s="3">
        <v>43873</v>
      </c>
      <c r="K3033" s="2">
        <v>52</v>
      </c>
      <c r="L3033" s="2" t="s">
        <v>64</v>
      </c>
    </row>
    <row r="3034" spans="1:12" x14ac:dyDescent="0.3">
      <c r="A3034" s="2">
        <v>3023</v>
      </c>
      <c r="B3034" s="2" t="s">
        <v>4644</v>
      </c>
      <c r="C3034" s="2" t="s">
        <v>7527</v>
      </c>
      <c r="D3034" s="2" t="s">
        <v>28</v>
      </c>
      <c r="E3034" s="2" t="s">
        <v>29</v>
      </c>
      <c r="F3034" s="2">
        <v>60</v>
      </c>
      <c r="G3034" s="2" t="s">
        <v>7528</v>
      </c>
      <c r="H3034" s="2" t="s">
        <v>2667</v>
      </c>
      <c r="I3034" s="2" t="s">
        <v>187</v>
      </c>
      <c r="J3034" s="3">
        <v>44484</v>
      </c>
      <c r="K3034" s="2">
        <v>41</v>
      </c>
      <c r="L3034" s="2" t="s">
        <v>70</v>
      </c>
    </row>
    <row r="3035" spans="1:12" x14ac:dyDescent="0.3">
      <c r="A3035" s="2">
        <v>3024</v>
      </c>
      <c r="B3035" s="2" t="s">
        <v>7529</v>
      </c>
      <c r="C3035" s="2" t="s">
        <v>7530</v>
      </c>
      <c r="D3035" s="2" t="s">
        <v>15</v>
      </c>
      <c r="E3035" s="2" t="s">
        <v>16</v>
      </c>
      <c r="F3035" s="2">
        <v>60</v>
      </c>
      <c r="G3035" s="2" t="s">
        <v>7531</v>
      </c>
      <c r="H3035" s="2" t="s">
        <v>710</v>
      </c>
      <c r="I3035" s="2" t="s">
        <v>187</v>
      </c>
      <c r="J3035" s="3">
        <v>44857</v>
      </c>
      <c r="K3035" s="2">
        <v>94</v>
      </c>
      <c r="L3035" s="2" t="s">
        <v>20</v>
      </c>
    </row>
    <row r="3036" spans="1:12" x14ac:dyDescent="0.3">
      <c r="A3036" s="2">
        <v>3025</v>
      </c>
      <c r="B3036" s="2" t="s">
        <v>1966</v>
      </c>
      <c r="C3036" s="2" t="s">
        <v>5993</v>
      </c>
      <c r="D3036" s="2" t="s">
        <v>51</v>
      </c>
      <c r="E3036" s="2" t="s">
        <v>16</v>
      </c>
      <c r="F3036" s="2">
        <v>60</v>
      </c>
      <c r="G3036" s="2" t="s">
        <v>7532</v>
      </c>
      <c r="H3036" s="2" t="s">
        <v>558</v>
      </c>
      <c r="I3036" s="2" t="s">
        <v>32</v>
      </c>
      <c r="J3036" s="3">
        <v>43874</v>
      </c>
      <c r="K3036" s="2">
        <v>85</v>
      </c>
      <c r="L3036" s="2" t="s">
        <v>159</v>
      </c>
    </row>
    <row r="3037" spans="1:12" x14ac:dyDescent="0.3">
      <c r="A3037" s="2">
        <v>3026</v>
      </c>
      <c r="B3037" s="2" t="s">
        <v>7533</v>
      </c>
      <c r="C3037" s="2" t="s">
        <v>6249</v>
      </c>
      <c r="D3037" s="2" t="s">
        <v>28</v>
      </c>
      <c r="E3037" s="2" t="s">
        <v>29</v>
      </c>
      <c r="F3037" s="2">
        <v>90</v>
      </c>
      <c r="G3037" s="2" t="s">
        <v>7534</v>
      </c>
      <c r="H3037" s="2" t="s">
        <v>4424</v>
      </c>
      <c r="I3037" s="2" t="s">
        <v>25</v>
      </c>
      <c r="J3037" s="3">
        <v>44686</v>
      </c>
      <c r="K3037" s="2">
        <v>77</v>
      </c>
      <c r="L3037" s="2" t="s">
        <v>39</v>
      </c>
    </row>
    <row r="3038" spans="1:12" x14ac:dyDescent="0.3">
      <c r="A3038" s="2">
        <v>3027</v>
      </c>
      <c r="B3038" s="2" t="s">
        <v>7535</v>
      </c>
      <c r="C3038" s="2" t="s">
        <v>1376</v>
      </c>
      <c r="D3038" s="2" t="s">
        <v>15</v>
      </c>
      <c r="E3038" s="2" t="s">
        <v>16</v>
      </c>
      <c r="F3038" s="2">
        <v>90</v>
      </c>
      <c r="G3038" s="2" t="s">
        <v>7536</v>
      </c>
      <c r="H3038" s="2" t="s">
        <v>1091</v>
      </c>
      <c r="I3038" s="2" t="s">
        <v>32</v>
      </c>
      <c r="J3038" s="3">
        <v>44877</v>
      </c>
      <c r="K3038" s="2">
        <v>99</v>
      </c>
      <c r="L3038" s="2" t="s">
        <v>159</v>
      </c>
    </row>
    <row r="3039" spans="1:12" x14ac:dyDescent="0.3">
      <c r="A3039" s="2">
        <v>3028</v>
      </c>
      <c r="B3039" s="2" t="s">
        <v>7537</v>
      </c>
      <c r="C3039" s="2" t="s">
        <v>5391</v>
      </c>
      <c r="D3039" s="2" t="s">
        <v>28</v>
      </c>
      <c r="E3039" s="2" t="s">
        <v>29</v>
      </c>
      <c r="F3039" s="2">
        <v>60</v>
      </c>
      <c r="G3039" s="2" t="s">
        <v>10541</v>
      </c>
      <c r="H3039" s="2" t="s">
        <v>2875</v>
      </c>
      <c r="I3039" s="2" t="s">
        <v>32</v>
      </c>
      <c r="J3039" s="3">
        <v>44595</v>
      </c>
      <c r="K3039" s="2">
        <v>83</v>
      </c>
      <c r="L3039" s="2" t="s">
        <v>39</v>
      </c>
    </row>
    <row r="3040" spans="1:12" x14ac:dyDescent="0.3">
      <c r="A3040" s="2">
        <v>3029</v>
      </c>
      <c r="B3040" s="2" t="s">
        <v>6643</v>
      </c>
      <c r="C3040" s="2" t="s">
        <v>3262</v>
      </c>
      <c r="D3040" s="2" t="s">
        <v>51</v>
      </c>
      <c r="E3040" s="2" t="s">
        <v>16</v>
      </c>
      <c r="F3040" s="2">
        <v>90</v>
      </c>
      <c r="G3040" s="2" t="s">
        <v>7539</v>
      </c>
      <c r="H3040" s="2" t="s">
        <v>595</v>
      </c>
      <c r="I3040" s="2" t="s">
        <v>124</v>
      </c>
      <c r="J3040" s="3">
        <v>43984</v>
      </c>
      <c r="K3040" s="2">
        <v>69</v>
      </c>
      <c r="L3040" s="2" t="s">
        <v>20</v>
      </c>
    </row>
    <row r="3041" spans="1:12" x14ac:dyDescent="0.3">
      <c r="A3041" s="2">
        <v>3030</v>
      </c>
      <c r="B3041" s="2" t="s">
        <v>7540</v>
      </c>
      <c r="C3041" s="2" t="s">
        <v>1874</v>
      </c>
      <c r="D3041" s="2" t="s">
        <v>28</v>
      </c>
      <c r="E3041" s="2" t="s">
        <v>29</v>
      </c>
      <c r="F3041" s="2">
        <v>90</v>
      </c>
      <c r="G3041" s="2" t="s">
        <v>7541</v>
      </c>
      <c r="H3041" s="2" t="s">
        <v>5505</v>
      </c>
      <c r="I3041" s="2" t="s">
        <v>240</v>
      </c>
      <c r="J3041" s="3">
        <v>44408</v>
      </c>
      <c r="K3041" s="2">
        <v>25</v>
      </c>
      <c r="L3041" s="2" t="s">
        <v>45</v>
      </c>
    </row>
    <row r="3042" spans="1:12" x14ac:dyDescent="0.3">
      <c r="A3042" s="2">
        <v>3031</v>
      </c>
      <c r="B3042" s="2" t="s">
        <v>1049</v>
      </c>
      <c r="C3042" s="2" t="s">
        <v>6712</v>
      </c>
      <c r="D3042" s="2" t="s">
        <v>28</v>
      </c>
      <c r="E3042" s="2" t="s">
        <v>29</v>
      </c>
      <c r="F3042" s="2">
        <v>90</v>
      </c>
      <c r="G3042" s="2" t="s">
        <v>7542</v>
      </c>
      <c r="H3042" s="2" t="s">
        <v>2336</v>
      </c>
      <c r="I3042" s="2" t="s">
        <v>32</v>
      </c>
      <c r="J3042" s="3">
        <v>44813</v>
      </c>
      <c r="K3042" s="2">
        <v>95</v>
      </c>
      <c r="L3042" s="2" t="s">
        <v>101</v>
      </c>
    </row>
    <row r="3043" spans="1:12" x14ac:dyDescent="0.3">
      <c r="A3043" s="2">
        <v>3032</v>
      </c>
      <c r="B3043" s="2" t="s">
        <v>882</v>
      </c>
      <c r="C3043" s="2" t="s">
        <v>7543</v>
      </c>
      <c r="D3043" s="2" t="s">
        <v>28</v>
      </c>
      <c r="E3043" s="2" t="s">
        <v>29</v>
      </c>
      <c r="F3043" s="2">
        <v>30</v>
      </c>
      <c r="G3043" s="2" t="s">
        <v>7544</v>
      </c>
      <c r="H3043" s="2" t="s">
        <v>4748</v>
      </c>
      <c r="I3043" s="2" t="s">
        <v>32</v>
      </c>
      <c r="J3043" s="3">
        <v>43940</v>
      </c>
      <c r="K3043" s="2">
        <v>84</v>
      </c>
      <c r="L3043" s="2" t="s">
        <v>159</v>
      </c>
    </row>
    <row r="3044" spans="1:12" x14ac:dyDescent="0.3">
      <c r="A3044" s="2">
        <v>3033</v>
      </c>
      <c r="B3044" s="2" t="s">
        <v>6407</v>
      </c>
      <c r="C3044" s="2" t="s">
        <v>1573</v>
      </c>
      <c r="D3044" s="2" t="s">
        <v>51</v>
      </c>
      <c r="E3044" s="2" t="s">
        <v>16</v>
      </c>
      <c r="F3044" s="2">
        <v>90</v>
      </c>
      <c r="G3044" s="2" t="s">
        <v>7545</v>
      </c>
      <c r="H3044" s="2" t="s">
        <v>7546</v>
      </c>
      <c r="I3044" s="2" t="s">
        <v>187</v>
      </c>
      <c r="J3044" s="3">
        <v>44293</v>
      </c>
      <c r="K3044" s="2">
        <v>58</v>
      </c>
      <c r="L3044" s="2" t="s">
        <v>101</v>
      </c>
    </row>
    <row r="3045" spans="1:12" x14ac:dyDescent="0.3">
      <c r="A3045" s="2">
        <v>3034</v>
      </c>
      <c r="B3045" s="2" t="s">
        <v>1027</v>
      </c>
      <c r="C3045" s="2" t="s">
        <v>3664</v>
      </c>
      <c r="D3045" s="2" t="s">
        <v>28</v>
      </c>
      <c r="E3045" s="2" t="s">
        <v>29</v>
      </c>
      <c r="F3045" s="2">
        <v>30</v>
      </c>
      <c r="G3045" s="2" t="s">
        <v>10445</v>
      </c>
      <c r="H3045" s="2" t="s">
        <v>4567</v>
      </c>
      <c r="I3045" s="2" t="s">
        <v>38</v>
      </c>
      <c r="J3045" s="3">
        <v>44888</v>
      </c>
      <c r="K3045" s="2">
        <v>44</v>
      </c>
      <c r="L3045" s="2" t="s">
        <v>159</v>
      </c>
    </row>
    <row r="3046" spans="1:12" x14ac:dyDescent="0.3">
      <c r="A3046" s="2">
        <v>3035</v>
      </c>
      <c r="B3046" s="2" t="s">
        <v>3501</v>
      </c>
      <c r="C3046" s="2" t="s">
        <v>4018</v>
      </c>
      <c r="D3046" s="2" t="s">
        <v>28</v>
      </c>
      <c r="E3046" s="2" t="s">
        <v>29</v>
      </c>
      <c r="F3046" s="2">
        <v>90</v>
      </c>
      <c r="G3046" s="2" t="s">
        <v>7548</v>
      </c>
      <c r="H3046" s="2" t="s">
        <v>6618</v>
      </c>
      <c r="I3046" s="2" t="s">
        <v>32</v>
      </c>
      <c r="J3046" s="3">
        <v>44848</v>
      </c>
      <c r="K3046" s="2">
        <v>94</v>
      </c>
      <c r="L3046" s="2" t="s">
        <v>39</v>
      </c>
    </row>
    <row r="3047" spans="1:12" x14ac:dyDescent="0.3">
      <c r="A3047" s="2">
        <v>3036</v>
      </c>
      <c r="B3047" s="2" t="s">
        <v>4988</v>
      </c>
      <c r="C3047" s="2" t="s">
        <v>1278</v>
      </c>
      <c r="D3047" s="2" t="s">
        <v>15</v>
      </c>
      <c r="E3047" s="2" t="s">
        <v>16</v>
      </c>
      <c r="F3047" s="2">
        <v>30</v>
      </c>
      <c r="G3047" s="2" t="s">
        <v>7549</v>
      </c>
      <c r="H3047" s="2" t="s">
        <v>2506</v>
      </c>
      <c r="I3047" s="2" t="s">
        <v>32</v>
      </c>
      <c r="J3047" s="3">
        <v>44798</v>
      </c>
      <c r="K3047" s="2">
        <v>91</v>
      </c>
      <c r="L3047" s="2" t="s">
        <v>80</v>
      </c>
    </row>
    <row r="3048" spans="1:12" x14ac:dyDescent="0.3">
      <c r="A3048" s="2">
        <v>3037</v>
      </c>
      <c r="B3048" s="2" t="s">
        <v>7550</v>
      </c>
      <c r="C3048" s="2" t="s">
        <v>205</v>
      </c>
      <c r="D3048" s="2" t="s">
        <v>41</v>
      </c>
      <c r="E3048" s="2" t="s">
        <v>16</v>
      </c>
      <c r="F3048" s="2">
        <v>30</v>
      </c>
      <c r="G3048" s="2" t="s">
        <v>7551</v>
      </c>
      <c r="H3048" s="2" t="s">
        <v>2130</v>
      </c>
      <c r="I3048" s="2" t="s">
        <v>32</v>
      </c>
      <c r="J3048" s="3">
        <v>44799</v>
      </c>
      <c r="K3048" s="2">
        <v>7</v>
      </c>
      <c r="L3048" s="2" t="s">
        <v>54</v>
      </c>
    </row>
    <row r="3049" spans="1:12" x14ac:dyDescent="0.3">
      <c r="A3049" s="2">
        <v>3038</v>
      </c>
      <c r="B3049" s="2" t="s">
        <v>5072</v>
      </c>
      <c r="C3049" s="2" t="s">
        <v>6275</v>
      </c>
      <c r="D3049" s="2" t="s">
        <v>92</v>
      </c>
      <c r="E3049" s="2" t="s">
        <v>29</v>
      </c>
      <c r="F3049" s="2">
        <v>90</v>
      </c>
      <c r="G3049" s="2" t="s">
        <v>7552</v>
      </c>
      <c r="H3049" s="2" t="s">
        <v>6612</v>
      </c>
      <c r="I3049" s="2" t="s">
        <v>25</v>
      </c>
      <c r="J3049" s="3">
        <v>44300</v>
      </c>
      <c r="K3049" s="2">
        <v>41</v>
      </c>
      <c r="L3049" s="2" t="s">
        <v>20</v>
      </c>
    </row>
    <row r="3050" spans="1:12" x14ac:dyDescent="0.3">
      <c r="A3050" s="2">
        <v>3039</v>
      </c>
      <c r="B3050" s="2" t="s">
        <v>4016</v>
      </c>
      <c r="C3050" s="2" t="s">
        <v>2326</v>
      </c>
      <c r="D3050" s="2" t="s">
        <v>28</v>
      </c>
      <c r="E3050" s="2" t="s">
        <v>29</v>
      </c>
      <c r="F3050" s="2">
        <v>60</v>
      </c>
      <c r="G3050" s="2" t="s">
        <v>10542</v>
      </c>
      <c r="H3050" s="2" t="s">
        <v>4867</v>
      </c>
      <c r="I3050" s="2" t="s">
        <v>294</v>
      </c>
      <c r="J3050" s="3">
        <v>44892</v>
      </c>
      <c r="K3050" s="2">
        <v>84</v>
      </c>
      <c r="L3050" s="2" t="s">
        <v>80</v>
      </c>
    </row>
    <row r="3051" spans="1:12" x14ac:dyDescent="0.3">
      <c r="A3051" s="2">
        <v>3040</v>
      </c>
      <c r="B3051" s="2" t="s">
        <v>1765</v>
      </c>
      <c r="C3051" s="2" t="s">
        <v>1286</v>
      </c>
      <c r="D3051" s="2" t="s">
        <v>28</v>
      </c>
      <c r="E3051" s="2" t="s">
        <v>29</v>
      </c>
      <c r="F3051" s="2">
        <v>30</v>
      </c>
      <c r="G3051" s="2" t="s">
        <v>7554</v>
      </c>
      <c r="H3051" s="2" t="s">
        <v>7555</v>
      </c>
      <c r="I3051" s="2" t="s">
        <v>129</v>
      </c>
      <c r="J3051" s="3">
        <v>43927</v>
      </c>
      <c r="K3051" s="2">
        <v>76</v>
      </c>
      <c r="L3051" s="2" t="s">
        <v>64</v>
      </c>
    </row>
    <row r="3052" spans="1:12" x14ac:dyDescent="0.3">
      <c r="A3052" s="2">
        <v>3041</v>
      </c>
      <c r="B3052" s="2" t="s">
        <v>5239</v>
      </c>
      <c r="C3052" s="2" t="s">
        <v>7556</v>
      </c>
      <c r="D3052" s="2" t="s">
        <v>15</v>
      </c>
      <c r="E3052" s="2" t="s">
        <v>16</v>
      </c>
      <c r="F3052" s="2">
        <v>30</v>
      </c>
      <c r="G3052" s="2" t="s">
        <v>7554</v>
      </c>
      <c r="H3052" s="2" t="s">
        <v>5000</v>
      </c>
      <c r="I3052" s="2" t="s">
        <v>32</v>
      </c>
      <c r="J3052" s="3">
        <v>44511</v>
      </c>
      <c r="K3052" s="2">
        <v>94</v>
      </c>
      <c r="L3052" s="2" t="s">
        <v>20</v>
      </c>
    </row>
    <row r="3053" spans="1:12" x14ac:dyDescent="0.3">
      <c r="A3053" s="2">
        <v>3042</v>
      </c>
      <c r="B3053" s="2" t="s">
        <v>7557</v>
      </c>
      <c r="C3053" s="2" t="s">
        <v>3009</v>
      </c>
      <c r="D3053" s="2" t="s">
        <v>28</v>
      </c>
      <c r="E3053" s="2" t="s">
        <v>29</v>
      </c>
      <c r="F3053" s="2">
        <v>90</v>
      </c>
      <c r="G3053" s="2" t="s">
        <v>7558</v>
      </c>
      <c r="H3053" s="2" t="s">
        <v>1977</v>
      </c>
      <c r="I3053" s="2" t="s">
        <v>124</v>
      </c>
      <c r="J3053" s="3">
        <v>44050</v>
      </c>
      <c r="K3053" s="2">
        <v>23</v>
      </c>
      <c r="L3053" s="2" t="s">
        <v>64</v>
      </c>
    </row>
    <row r="3054" spans="1:12" x14ac:dyDescent="0.3">
      <c r="A3054" s="2">
        <v>3043</v>
      </c>
      <c r="B3054" s="2" t="s">
        <v>5163</v>
      </c>
      <c r="C3054" s="2" t="s">
        <v>2715</v>
      </c>
      <c r="D3054" s="2" t="s">
        <v>28</v>
      </c>
      <c r="E3054" s="2" t="s">
        <v>29</v>
      </c>
      <c r="F3054" s="2">
        <v>90</v>
      </c>
      <c r="G3054" s="2" t="s">
        <v>7559</v>
      </c>
      <c r="H3054" s="2" t="s">
        <v>1884</v>
      </c>
      <c r="I3054" s="2" t="s">
        <v>1885</v>
      </c>
      <c r="J3054" s="3">
        <v>44684</v>
      </c>
      <c r="K3054" s="2">
        <v>18</v>
      </c>
      <c r="L3054" s="2" t="s">
        <v>70</v>
      </c>
    </row>
    <row r="3055" spans="1:12" x14ac:dyDescent="0.3">
      <c r="A3055" s="2">
        <v>3044</v>
      </c>
      <c r="B3055" s="2" t="s">
        <v>5975</v>
      </c>
      <c r="C3055" s="2" t="s">
        <v>134</v>
      </c>
      <c r="D3055" s="2" t="s">
        <v>28</v>
      </c>
      <c r="E3055" s="2" t="s">
        <v>29</v>
      </c>
      <c r="F3055" s="2">
        <v>90</v>
      </c>
      <c r="G3055" s="2" t="s">
        <v>7560</v>
      </c>
      <c r="H3055" s="2" t="s">
        <v>3056</v>
      </c>
      <c r="I3055" s="2" t="s">
        <v>187</v>
      </c>
      <c r="J3055" s="3">
        <v>44189</v>
      </c>
      <c r="K3055" s="2">
        <v>28</v>
      </c>
      <c r="L3055" s="2" t="s">
        <v>101</v>
      </c>
    </row>
    <row r="3056" spans="1:12" x14ac:dyDescent="0.3">
      <c r="A3056" s="2">
        <v>3045</v>
      </c>
      <c r="B3056" s="2" t="s">
        <v>7561</v>
      </c>
      <c r="C3056" s="2" t="s">
        <v>2458</v>
      </c>
      <c r="D3056" s="2" t="s">
        <v>28</v>
      </c>
      <c r="E3056" s="2" t="s">
        <v>29</v>
      </c>
      <c r="F3056" s="2">
        <v>30</v>
      </c>
      <c r="G3056" s="2" t="s">
        <v>7562</v>
      </c>
      <c r="H3056" s="2" t="s">
        <v>4760</v>
      </c>
      <c r="I3056" s="2" t="s">
        <v>32</v>
      </c>
      <c r="J3056" s="3">
        <v>44455</v>
      </c>
      <c r="K3056" s="2">
        <v>65</v>
      </c>
      <c r="L3056" s="2" t="s">
        <v>64</v>
      </c>
    </row>
    <row r="3057" spans="1:12" x14ac:dyDescent="0.3">
      <c r="A3057" s="2">
        <v>3046</v>
      </c>
      <c r="B3057" s="2" t="s">
        <v>339</v>
      </c>
      <c r="C3057" s="2" t="s">
        <v>6651</v>
      </c>
      <c r="D3057" s="2" t="s">
        <v>15</v>
      </c>
      <c r="E3057" s="2" t="s">
        <v>16</v>
      </c>
      <c r="F3057" s="2">
        <v>30</v>
      </c>
      <c r="G3057" s="2" t="s">
        <v>7563</v>
      </c>
      <c r="H3057" s="2" t="s">
        <v>5232</v>
      </c>
      <c r="I3057" s="2" t="s">
        <v>146</v>
      </c>
      <c r="J3057" s="3">
        <v>44796</v>
      </c>
      <c r="K3057" s="2">
        <v>102</v>
      </c>
      <c r="L3057" s="2" t="s">
        <v>45</v>
      </c>
    </row>
    <row r="3058" spans="1:12" x14ac:dyDescent="0.3">
      <c r="A3058" s="2">
        <v>3047</v>
      </c>
      <c r="B3058" s="2" t="s">
        <v>218</v>
      </c>
      <c r="C3058" s="2" t="s">
        <v>340</v>
      </c>
      <c r="D3058" s="2" t="s">
        <v>92</v>
      </c>
      <c r="E3058" s="2" t="s">
        <v>16</v>
      </c>
      <c r="F3058" s="2">
        <v>90</v>
      </c>
      <c r="G3058" s="2" t="s">
        <v>10543</v>
      </c>
      <c r="H3058" s="2" t="s">
        <v>2875</v>
      </c>
      <c r="I3058" s="2" t="s">
        <v>32</v>
      </c>
      <c r="J3058" s="3">
        <v>44551</v>
      </c>
      <c r="K3058" s="2">
        <v>5</v>
      </c>
      <c r="L3058" s="2" t="s">
        <v>33</v>
      </c>
    </row>
    <row r="3059" spans="1:12" x14ac:dyDescent="0.3">
      <c r="A3059" s="2">
        <v>3048</v>
      </c>
      <c r="B3059" s="2" t="s">
        <v>869</v>
      </c>
      <c r="C3059" s="2" t="s">
        <v>795</v>
      </c>
      <c r="D3059" s="2" t="s">
        <v>28</v>
      </c>
      <c r="E3059" s="2" t="s">
        <v>29</v>
      </c>
      <c r="F3059" s="2">
        <v>90</v>
      </c>
      <c r="G3059" s="2" t="s">
        <v>7565</v>
      </c>
      <c r="H3059" s="2" t="s">
        <v>4161</v>
      </c>
      <c r="I3059" s="2" t="s">
        <v>32</v>
      </c>
      <c r="J3059" s="3">
        <v>44312</v>
      </c>
      <c r="K3059" s="2">
        <v>62</v>
      </c>
      <c r="L3059" s="2" t="s">
        <v>20</v>
      </c>
    </row>
    <row r="3060" spans="1:12" x14ac:dyDescent="0.3">
      <c r="A3060" s="2">
        <v>3049</v>
      </c>
      <c r="B3060" s="2" t="s">
        <v>7566</v>
      </c>
      <c r="C3060" s="2" t="s">
        <v>5145</v>
      </c>
      <c r="D3060" s="2" t="s">
        <v>28</v>
      </c>
      <c r="E3060" s="2" t="s">
        <v>29</v>
      </c>
      <c r="F3060" s="2">
        <v>60</v>
      </c>
      <c r="G3060" s="2" t="s">
        <v>7567</v>
      </c>
      <c r="H3060" s="2" t="s">
        <v>382</v>
      </c>
      <c r="I3060" s="2" t="s">
        <v>32</v>
      </c>
      <c r="J3060" s="3">
        <v>44640</v>
      </c>
      <c r="K3060" s="2">
        <v>13</v>
      </c>
      <c r="L3060" s="2" t="s">
        <v>33</v>
      </c>
    </row>
    <row r="3061" spans="1:12" x14ac:dyDescent="0.3">
      <c r="A3061" s="2">
        <v>3050</v>
      </c>
      <c r="B3061" s="2" t="s">
        <v>3597</v>
      </c>
      <c r="C3061" s="2" t="s">
        <v>4485</v>
      </c>
      <c r="D3061" s="2" t="s">
        <v>15</v>
      </c>
      <c r="E3061" s="2" t="s">
        <v>16</v>
      </c>
      <c r="F3061" s="2">
        <v>90</v>
      </c>
      <c r="G3061" s="2" t="s">
        <v>10544</v>
      </c>
      <c r="H3061" s="2" t="s">
        <v>1723</v>
      </c>
      <c r="I3061" s="2" t="s">
        <v>173</v>
      </c>
      <c r="J3061" s="3">
        <v>44895</v>
      </c>
      <c r="K3061" s="2">
        <v>60</v>
      </c>
      <c r="L3061" s="2" t="s">
        <v>39</v>
      </c>
    </row>
    <row r="3062" spans="1:12" x14ac:dyDescent="0.3">
      <c r="A3062" s="2">
        <v>3051</v>
      </c>
      <c r="B3062" s="2" t="s">
        <v>6378</v>
      </c>
      <c r="C3062" s="2" t="s">
        <v>6933</v>
      </c>
      <c r="D3062" s="2" t="s">
        <v>28</v>
      </c>
      <c r="E3062" s="2" t="s">
        <v>29</v>
      </c>
      <c r="F3062" s="2">
        <v>60</v>
      </c>
      <c r="G3062" s="2" t="s">
        <v>7569</v>
      </c>
      <c r="H3062" s="2" t="s">
        <v>1609</v>
      </c>
      <c r="I3062" s="2" t="s">
        <v>32</v>
      </c>
      <c r="J3062" s="3">
        <v>44407</v>
      </c>
      <c r="K3062" s="2">
        <v>2</v>
      </c>
      <c r="L3062" s="2" t="s">
        <v>101</v>
      </c>
    </row>
    <row r="3063" spans="1:12" x14ac:dyDescent="0.3">
      <c r="A3063" s="2">
        <v>3052</v>
      </c>
      <c r="B3063" s="2" t="s">
        <v>1946</v>
      </c>
      <c r="C3063" s="2" t="s">
        <v>138</v>
      </c>
      <c r="D3063" s="2" t="s">
        <v>28</v>
      </c>
      <c r="E3063" s="2" t="s">
        <v>29</v>
      </c>
      <c r="F3063" s="2">
        <v>60</v>
      </c>
      <c r="G3063" s="2" t="s">
        <v>7570</v>
      </c>
      <c r="H3063" s="2" t="s">
        <v>3774</v>
      </c>
      <c r="I3063" s="2" t="s">
        <v>187</v>
      </c>
      <c r="J3063" s="3">
        <v>44099</v>
      </c>
      <c r="K3063" s="2">
        <v>72</v>
      </c>
      <c r="L3063" s="2" t="s">
        <v>20</v>
      </c>
    </row>
    <row r="3064" spans="1:12" x14ac:dyDescent="0.3">
      <c r="A3064" s="2">
        <v>3053</v>
      </c>
      <c r="B3064" s="2" t="s">
        <v>4775</v>
      </c>
      <c r="C3064" s="2" t="s">
        <v>2832</v>
      </c>
      <c r="D3064" s="2" t="s">
        <v>28</v>
      </c>
      <c r="E3064" s="2" t="s">
        <v>29</v>
      </c>
      <c r="F3064" s="2">
        <v>90</v>
      </c>
      <c r="G3064" s="2" t="s">
        <v>7571</v>
      </c>
      <c r="H3064" s="2" t="s">
        <v>7572</v>
      </c>
      <c r="I3064" s="2" t="s">
        <v>886</v>
      </c>
      <c r="J3064" s="3">
        <v>44236</v>
      </c>
      <c r="K3064" s="2">
        <v>81</v>
      </c>
      <c r="L3064" s="2" t="s">
        <v>54</v>
      </c>
    </row>
    <row r="3065" spans="1:12" x14ac:dyDescent="0.3">
      <c r="A3065" s="2">
        <v>3054</v>
      </c>
      <c r="B3065" s="2" t="s">
        <v>7573</v>
      </c>
      <c r="C3065" s="2" t="s">
        <v>1023</v>
      </c>
      <c r="D3065" s="2" t="s">
        <v>15</v>
      </c>
      <c r="E3065" s="2" t="s">
        <v>16</v>
      </c>
      <c r="F3065" s="2">
        <v>60</v>
      </c>
      <c r="G3065" s="2" t="s">
        <v>7574</v>
      </c>
      <c r="H3065" s="2" t="s">
        <v>558</v>
      </c>
      <c r="I3065" s="2" t="s">
        <v>32</v>
      </c>
      <c r="J3065" s="3">
        <v>44354</v>
      </c>
      <c r="K3065" s="2">
        <v>82</v>
      </c>
      <c r="L3065" s="2" t="s">
        <v>54</v>
      </c>
    </row>
    <row r="3066" spans="1:12" x14ac:dyDescent="0.3">
      <c r="A3066" s="2">
        <v>3055</v>
      </c>
      <c r="B3066" s="2" t="s">
        <v>960</v>
      </c>
      <c r="C3066" s="2" t="s">
        <v>3366</v>
      </c>
      <c r="D3066" s="2" t="s">
        <v>28</v>
      </c>
      <c r="E3066" s="2" t="s">
        <v>29</v>
      </c>
      <c r="F3066" s="2">
        <v>90</v>
      </c>
      <c r="G3066" s="2" t="s">
        <v>7575</v>
      </c>
      <c r="H3066" s="2" t="s">
        <v>2917</v>
      </c>
      <c r="I3066" s="2" t="s">
        <v>95</v>
      </c>
      <c r="J3066" s="3">
        <v>44768</v>
      </c>
      <c r="K3066" s="2">
        <v>38</v>
      </c>
      <c r="L3066" s="2" t="s">
        <v>33</v>
      </c>
    </row>
    <row r="3067" spans="1:12" x14ac:dyDescent="0.3">
      <c r="A3067" s="2">
        <v>3056</v>
      </c>
      <c r="B3067" s="2" t="s">
        <v>1140</v>
      </c>
      <c r="C3067" s="2" t="s">
        <v>928</v>
      </c>
      <c r="D3067" s="2" t="s">
        <v>28</v>
      </c>
      <c r="E3067" s="2" t="s">
        <v>29</v>
      </c>
      <c r="F3067" s="2">
        <v>90</v>
      </c>
      <c r="G3067" s="2" t="s">
        <v>7576</v>
      </c>
      <c r="H3067" s="2" t="s">
        <v>3579</v>
      </c>
      <c r="I3067" s="2" t="s">
        <v>1576</v>
      </c>
      <c r="J3067" s="3">
        <v>44313</v>
      </c>
      <c r="K3067" s="2">
        <v>75</v>
      </c>
      <c r="L3067" s="2" t="s">
        <v>20</v>
      </c>
    </row>
    <row r="3068" spans="1:12" x14ac:dyDescent="0.3">
      <c r="A3068" s="2">
        <v>3057</v>
      </c>
      <c r="B3068" s="2" t="s">
        <v>1563</v>
      </c>
      <c r="C3068" s="2" t="s">
        <v>7577</v>
      </c>
      <c r="D3068" s="2" t="s">
        <v>28</v>
      </c>
      <c r="E3068" s="2" t="s">
        <v>29</v>
      </c>
      <c r="F3068" s="2">
        <v>60</v>
      </c>
      <c r="G3068" s="2" t="s">
        <v>7578</v>
      </c>
      <c r="H3068" s="2" t="s">
        <v>5811</v>
      </c>
      <c r="I3068" s="2" t="s">
        <v>294</v>
      </c>
      <c r="J3068" s="3">
        <v>44667</v>
      </c>
      <c r="K3068" s="2">
        <v>55</v>
      </c>
      <c r="L3068" s="2" t="s">
        <v>159</v>
      </c>
    </row>
    <row r="3069" spans="1:12" x14ac:dyDescent="0.3">
      <c r="A3069" s="2">
        <v>3058</v>
      </c>
      <c r="B3069" s="2" t="s">
        <v>1351</v>
      </c>
      <c r="C3069" s="2" t="s">
        <v>4416</v>
      </c>
      <c r="D3069" s="2" t="s">
        <v>28</v>
      </c>
      <c r="E3069" s="2" t="s">
        <v>29</v>
      </c>
      <c r="F3069" s="2">
        <v>60</v>
      </c>
      <c r="G3069" s="2" t="s">
        <v>7579</v>
      </c>
      <c r="H3069" s="2" t="s">
        <v>4111</v>
      </c>
      <c r="I3069" s="2" t="s">
        <v>95</v>
      </c>
      <c r="J3069" s="3">
        <v>44771</v>
      </c>
      <c r="K3069" s="2">
        <v>82</v>
      </c>
      <c r="L3069" s="2" t="s">
        <v>45</v>
      </c>
    </row>
    <row r="3070" spans="1:12" x14ac:dyDescent="0.3">
      <c r="A3070" s="2">
        <v>3059</v>
      </c>
      <c r="B3070" s="2" t="s">
        <v>3469</v>
      </c>
      <c r="C3070" s="2" t="s">
        <v>2557</v>
      </c>
      <c r="D3070" s="2" t="s">
        <v>28</v>
      </c>
      <c r="E3070" s="2" t="s">
        <v>29</v>
      </c>
      <c r="F3070" s="2">
        <v>60</v>
      </c>
      <c r="G3070" s="2" t="s">
        <v>7579</v>
      </c>
      <c r="H3070" s="2" t="s">
        <v>4049</v>
      </c>
      <c r="I3070" s="2" t="s">
        <v>32</v>
      </c>
      <c r="J3070" s="3">
        <v>44647</v>
      </c>
      <c r="K3070" s="2">
        <v>64</v>
      </c>
      <c r="L3070" s="2" t="s">
        <v>33</v>
      </c>
    </row>
    <row r="3071" spans="1:12" x14ac:dyDescent="0.3">
      <c r="A3071" s="2">
        <v>3060</v>
      </c>
      <c r="B3071" s="2" t="s">
        <v>7580</v>
      </c>
      <c r="C3071" s="2" t="s">
        <v>3322</v>
      </c>
      <c r="D3071" s="2" t="s">
        <v>51</v>
      </c>
      <c r="E3071" s="2" t="s">
        <v>16</v>
      </c>
      <c r="F3071" s="2">
        <v>60</v>
      </c>
      <c r="G3071" s="2" t="s">
        <v>7581</v>
      </c>
      <c r="H3071" s="2" t="s">
        <v>5867</v>
      </c>
      <c r="I3071" s="2" t="s">
        <v>32</v>
      </c>
      <c r="J3071" s="3">
        <v>44694</v>
      </c>
      <c r="K3071" s="2">
        <v>57</v>
      </c>
      <c r="L3071" s="2" t="s">
        <v>54</v>
      </c>
    </row>
    <row r="3072" spans="1:12" x14ac:dyDescent="0.3">
      <c r="A3072" s="2">
        <v>3061</v>
      </c>
      <c r="B3072" s="2" t="s">
        <v>7582</v>
      </c>
      <c r="C3072" s="2" t="s">
        <v>4237</v>
      </c>
      <c r="D3072" s="2" t="s">
        <v>28</v>
      </c>
      <c r="E3072" s="2" t="s">
        <v>29</v>
      </c>
      <c r="F3072" s="2">
        <v>60</v>
      </c>
      <c r="G3072" s="2" t="s">
        <v>7583</v>
      </c>
      <c r="H3072" s="2" t="s">
        <v>7584</v>
      </c>
      <c r="I3072" s="2" t="s">
        <v>32</v>
      </c>
      <c r="J3072" s="3">
        <v>44707</v>
      </c>
      <c r="K3072" s="2">
        <v>97</v>
      </c>
      <c r="L3072" s="2" t="s">
        <v>64</v>
      </c>
    </row>
    <row r="3073" spans="1:12" x14ac:dyDescent="0.3">
      <c r="A3073" s="2">
        <v>3062</v>
      </c>
      <c r="B3073" s="2" t="s">
        <v>7585</v>
      </c>
      <c r="C3073" s="2" t="s">
        <v>1851</v>
      </c>
      <c r="D3073" s="2" t="s">
        <v>51</v>
      </c>
      <c r="E3073" s="2" t="s">
        <v>16</v>
      </c>
      <c r="F3073" s="2">
        <v>90</v>
      </c>
      <c r="G3073" s="2" t="s">
        <v>7586</v>
      </c>
      <c r="H3073" s="2" t="s">
        <v>3666</v>
      </c>
      <c r="I3073" s="2" t="s">
        <v>1483</v>
      </c>
      <c r="J3073" s="3">
        <v>44445</v>
      </c>
      <c r="K3073" s="2">
        <v>13</v>
      </c>
      <c r="L3073" s="2" t="s">
        <v>39</v>
      </c>
    </row>
    <row r="3074" spans="1:12" x14ac:dyDescent="0.3">
      <c r="A3074" s="2">
        <v>3063</v>
      </c>
      <c r="B3074" s="2" t="s">
        <v>7587</v>
      </c>
      <c r="C3074" s="2" t="s">
        <v>7588</v>
      </c>
      <c r="D3074" s="2" t="s">
        <v>51</v>
      </c>
      <c r="E3074" s="2" t="s">
        <v>16</v>
      </c>
      <c r="F3074" s="2">
        <v>30</v>
      </c>
      <c r="G3074" s="2" t="s">
        <v>7589</v>
      </c>
      <c r="H3074" s="2" t="s">
        <v>974</v>
      </c>
      <c r="I3074" s="2" t="s">
        <v>32</v>
      </c>
      <c r="J3074" s="3">
        <v>44642</v>
      </c>
      <c r="K3074" s="2">
        <v>99</v>
      </c>
      <c r="L3074" s="2" t="s">
        <v>159</v>
      </c>
    </row>
    <row r="3075" spans="1:12" x14ac:dyDescent="0.3">
      <c r="A3075" s="2">
        <v>3064</v>
      </c>
      <c r="B3075" s="2" t="s">
        <v>504</v>
      </c>
      <c r="C3075" s="2" t="s">
        <v>1047</v>
      </c>
      <c r="D3075" s="2" t="s">
        <v>28</v>
      </c>
      <c r="E3075" s="2" t="s">
        <v>29</v>
      </c>
      <c r="F3075" s="2">
        <v>30</v>
      </c>
      <c r="G3075" s="2" t="s">
        <v>7590</v>
      </c>
      <c r="H3075" s="2" t="s">
        <v>834</v>
      </c>
      <c r="I3075" s="2" t="s">
        <v>32</v>
      </c>
      <c r="J3075" s="3">
        <v>44747</v>
      </c>
      <c r="K3075" s="2">
        <v>54</v>
      </c>
      <c r="L3075" s="2" t="s">
        <v>20</v>
      </c>
    </row>
    <row r="3076" spans="1:12" x14ac:dyDescent="0.3">
      <c r="A3076" s="2">
        <v>3065</v>
      </c>
      <c r="B3076" s="2" t="s">
        <v>4625</v>
      </c>
      <c r="C3076" s="2" t="s">
        <v>3968</v>
      </c>
      <c r="D3076" s="2" t="s">
        <v>28</v>
      </c>
      <c r="E3076" s="2" t="s">
        <v>29</v>
      </c>
      <c r="F3076" s="2">
        <v>30</v>
      </c>
      <c r="G3076" s="2" t="s">
        <v>7591</v>
      </c>
      <c r="H3076" s="2" t="s">
        <v>1615</v>
      </c>
      <c r="I3076" s="2" t="s">
        <v>32</v>
      </c>
      <c r="J3076" s="3">
        <v>44164</v>
      </c>
      <c r="K3076" s="2">
        <v>62</v>
      </c>
      <c r="L3076" s="2" t="s">
        <v>33</v>
      </c>
    </row>
    <row r="3077" spans="1:12" x14ac:dyDescent="0.3">
      <c r="A3077" s="2">
        <v>3066</v>
      </c>
      <c r="B3077" s="2" t="s">
        <v>7592</v>
      </c>
      <c r="C3077" s="2" t="s">
        <v>7593</v>
      </c>
      <c r="D3077" s="2" t="s">
        <v>15</v>
      </c>
      <c r="E3077" s="2" t="s">
        <v>16</v>
      </c>
      <c r="F3077" s="2">
        <v>90</v>
      </c>
      <c r="G3077" s="2" t="s">
        <v>7594</v>
      </c>
      <c r="H3077" s="2" t="s">
        <v>1210</v>
      </c>
      <c r="I3077" s="2" t="s">
        <v>294</v>
      </c>
      <c r="J3077" s="3">
        <v>44547</v>
      </c>
      <c r="K3077" s="2">
        <v>15</v>
      </c>
      <c r="L3077" s="2" t="s">
        <v>80</v>
      </c>
    </row>
    <row r="3078" spans="1:12" x14ac:dyDescent="0.3">
      <c r="A3078" s="2">
        <v>3067</v>
      </c>
      <c r="B3078" s="2" t="s">
        <v>7595</v>
      </c>
      <c r="C3078" s="2" t="s">
        <v>414</v>
      </c>
      <c r="D3078" s="2" t="s">
        <v>28</v>
      </c>
      <c r="E3078" s="2" t="s">
        <v>29</v>
      </c>
      <c r="F3078" s="2">
        <v>60</v>
      </c>
      <c r="G3078" s="2" t="s">
        <v>7596</v>
      </c>
      <c r="H3078" s="2" t="s">
        <v>1667</v>
      </c>
      <c r="I3078" s="2" t="s">
        <v>32</v>
      </c>
      <c r="J3078" s="3">
        <v>44762</v>
      </c>
      <c r="K3078" s="2">
        <v>75</v>
      </c>
      <c r="L3078" s="2" t="s">
        <v>80</v>
      </c>
    </row>
    <row r="3079" spans="1:12" x14ac:dyDescent="0.3">
      <c r="A3079" s="2">
        <v>3068</v>
      </c>
      <c r="B3079" s="2" t="s">
        <v>7176</v>
      </c>
      <c r="C3079" s="2" t="s">
        <v>277</v>
      </c>
      <c r="D3079" s="2" t="s">
        <v>28</v>
      </c>
      <c r="E3079" s="2" t="s">
        <v>29</v>
      </c>
      <c r="F3079" s="2">
        <v>60</v>
      </c>
      <c r="G3079" s="2" t="s">
        <v>7597</v>
      </c>
      <c r="H3079" s="2" t="s">
        <v>4098</v>
      </c>
      <c r="I3079" s="2" t="s">
        <v>1889</v>
      </c>
      <c r="J3079" s="3">
        <v>44164</v>
      </c>
      <c r="K3079" s="2">
        <v>15</v>
      </c>
      <c r="L3079" s="2" t="s">
        <v>64</v>
      </c>
    </row>
    <row r="3080" spans="1:12" x14ac:dyDescent="0.3">
      <c r="A3080" s="2">
        <v>3069</v>
      </c>
      <c r="B3080" s="2" t="s">
        <v>3655</v>
      </c>
      <c r="C3080" s="2" t="s">
        <v>4399</v>
      </c>
      <c r="D3080" s="2" t="s">
        <v>28</v>
      </c>
      <c r="E3080" s="2" t="s">
        <v>29</v>
      </c>
      <c r="F3080" s="2">
        <v>60</v>
      </c>
      <c r="G3080" s="2" t="s">
        <v>7597</v>
      </c>
      <c r="H3080" s="2" t="s">
        <v>7598</v>
      </c>
      <c r="I3080" s="2" t="s">
        <v>187</v>
      </c>
      <c r="J3080" s="3">
        <v>44123</v>
      </c>
      <c r="K3080" s="2">
        <v>50</v>
      </c>
      <c r="L3080" s="2" t="s">
        <v>54</v>
      </c>
    </row>
    <row r="3081" spans="1:12" x14ac:dyDescent="0.3">
      <c r="A3081" s="2">
        <v>3070</v>
      </c>
      <c r="B3081" s="2" t="s">
        <v>1703</v>
      </c>
      <c r="C3081" s="2" t="s">
        <v>131</v>
      </c>
      <c r="D3081" s="2" t="s">
        <v>28</v>
      </c>
      <c r="E3081" s="2" t="s">
        <v>29</v>
      </c>
      <c r="F3081" s="2">
        <v>30</v>
      </c>
      <c r="G3081" s="2" t="s">
        <v>7599</v>
      </c>
      <c r="H3081" s="2" t="s">
        <v>607</v>
      </c>
      <c r="I3081" s="2" t="s">
        <v>32</v>
      </c>
      <c r="J3081" s="3">
        <v>44368</v>
      </c>
      <c r="K3081" s="2">
        <v>44</v>
      </c>
      <c r="L3081" s="2" t="s">
        <v>54</v>
      </c>
    </row>
    <row r="3082" spans="1:12" x14ac:dyDescent="0.3">
      <c r="A3082" s="2">
        <v>3071</v>
      </c>
      <c r="B3082" s="2" t="s">
        <v>7245</v>
      </c>
      <c r="C3082" s="2" t="s">
        <v>161</v>
      </c>
      <c r="D3082" s="2" t="s">
        <v>51</v>
      </c>
      <c r="E3082" s="2" t="s">
        <v>16</v>
      </c>
      <c r="F3082" s="2">
        <v>30</v>
      </c>
      <c r="G3082" s="2" t="s">
        <v>7600</v>
      </c>
      <c r="H3082" s="2" t="s">
        <v>1515</v>
      </c>
      <c r="I3082" s="2" t="s">
        <v>124</v>
      </c>
      <c r="J3082" s="3">
        <v>44116</v>
      </c>
      <c r="K3082" s="2">
        <v>53</v>
      </c>
      <c r="L3082" s="2" t="s">
        <v>101</v>
      </c>
    </row>
    <row r="3083" spans="1:12" x14ac:dyDescent="0.3">
      <c r="A3083" s="2">
        <v>3072</v>
      </c>
      <c r="B3083" s="2" t="s">
        <v>6616</v>
      </c>
      <c r="C3083" s="2" t="s">
        <v>2518</v>
      </c>
      <c r="D3083" s="2" t="s">
        <v>15</v>
      </c>
      <c r="E3083" s="2" t="s">
        <v>16</v>
      </c>
      <c r="F3083" s="2">
        <v>60</v>
      </c>
      <c r="G3083" s="2" t="s">
        <v>7601</v>
      </c>
      <c r="H3083" s="2" t="s">
        <v>3206</v>
      </c>
      <c r="I3083" s="2" t="s">
        <v>1199</v>
      </c>
      <c r="J3083" s="3">
        <v>44342</v>
      </c>
      <c r="K3083" s="2">
        <v>89</v>
      </c>
      <c r="L3083" s="2" t="s">
        <v>159</v>
      </c>
    </row>
    <row r="3084" spans="1:12" x14ac:dyDescent="0.3">
      <c r="A3084" s="2">
        <v>3073</v>
      </c>
      <c r="B3084" s="2" t="s">
        <v>4224</v>
      </c>
      <c r="C3084" s="2" t="s">
        <v>210</v>
      </c>
      <c r="D3084" s="2" t="s">
        <v>28</v>
      </c>
      <c r="E3084" s="2" t="s">
        <v>29</v>
      </c>
      <c r="F3084" s="2">
        <v>60</v>
      </c>
      <c r="G3084" s="2" t="s">
        <v>7602</v>
      </c>
      <c r="H3084" s="2" t="s">
        <v>1845</v>
      </c>
      <c r="I3084" s="2" t="s">
        <v>294</v>
      </c>
      <c r="J3084" s="3">
        <v>44492</v>
      </c>
      <c r="K3084" s="2">
        <v>67</v>
      </c>
      <c r="L3084" s="2" t="s">
        <v>54</v>
      </c>
    </row>
    <row r="3085" spans="1:12" x14ac:dyDescent="0.3">
      <c r="A3085" s="2">
        <v>3074</v>
      </c>
      <c r="B3085" s="2" t="s">
        <v>3973</v>
      </c>
      <c r="C3085" s="2" t="s">
        <v>5145</v>
      </c>
      <c r="D3085" s="2" t="s">
        <v>28</v>
      </c>
      <c r="E3085" s="2" t="s">
        <v>29</v>
      </c>
      <c r="F3085" s="2">
        <v>30</v>
      </c>
      <c r="G3085" s="2" t="s">
        <v>7603</v>
      </c>
      <c r="H3085" s="2" t="s">
        <v>4441</v>
      </c>
      <c r="I3085" s="2" t="s">
        <v>146</v>
      </c>
      <c r="J3085" s="3">
        <v>44715</v>
      </c>
      <c r="K3085" s="2">
        <v>31</v>
      </c>
      <c r="L3085" s="2" t="s">
        <v>64</v>
      </c>
    </row>
    <row r="3086" spans="1:12" x14ac:dyDescent="0.3">
      <c r="A3086" s="2">
        <v>3075</v>
      </c>
      <c r="B3086" s="2" t="s">
        <v>921</v>
      </c>
      <c r="C3086" s="2" t="s">
        <v>5712</v>
      </c>
      <c r="D3086" s="2" t="s">
        <v>28</v>
      </c>
      <c r="E3086" s="2" t="s">
        <v>29</v>
      </c>
      <c r="F3086" s="2">
        <v>90</v>
      </c>
      <c r="G3086" s="2" t="s">
        <v>7604</v>
      </c>
      <c r="H3086" s="2" t="s">
        <v>2822</v>
      </c>
      <c r="I3086" s="2" t="s">
        <v>32</v>
      </c>
      <c r="J3086" s="3">
        <v>44787</v>
      </c>
      <c r="K3086" s="2">
        <v>8</v>
      </c>
      <c r="L3086" s="2" t="s">
        <v>20</v>
      </c>
    </row>
    <row r="3087" spans="1:12" x14ac:dyDescent="0.3">
      <c r="A3087" s="2">
        <v>3076</v>
      </c>
      <c r="B3087" s="2" t="s">
        <v>1211</v>
      </c>
      <c r="C3087" s="2" t="s">
        <v>2438</v>
      </c>
      <c r="D3087" s="2" t="s">
        <v>28</v>
      </c>
      <c r="E3087" s="2" t="s">
        <v>29</v>
      </c>
      <c r="F3087" s="2">
        <v>90</v>
      </c>
      <c r="G3087" s="2" t="s">
        <v>7605</v>
      </c>
      <c r="H3087" s="2" t="s">
        <v>1329</v>
      </c>
      <c r="I3087" s="2" t="s">
        <v>95</v>
      </c>
      <c r="J3087" s="3">
        <v>44546</v>
      </c>
      <c r="K3087" s="2">
        <v>89</v>
      </c>
      <c r="L3087" s="2" t="s">
        <v>20</v>
      </c>
    </row>
    <row r="3088" spans="1:12" x14ac:dyDescent="0.3">
      <c r="A3088" s="2">
        <v>3077</v>
      </c>
      <c r="B3088" s="2" t="s">
        <v>7606</v>
      </c>
      <c r="C3088" s="2" t="s">
        <v>7607</v>
      </c>
      <c r="D3088" s="2" t="s">
        <v>15</v>
      </c>
      <c r="E3088" s="2" t="s">
        <v>16</v>
      </c>
      <c r="F3088" s="2">
        <v>60</v>
      </c>
      <c r="G3088" s="2" t="s">
        <v>7608</v>
      </c>
      <c r="H3088" s="2" t="s">
        <v>5521</v>
      </c>
      <c r="I3088" s="2" t="s">
        <v>25</v>
      </c>
      <c r="J3088" s="3">
        <v>44107</v>
      </c>
      <c r="K3088" s="2">
        <v>58</v>
      </c>
      <c r="L3088" s="2" t="s">
        <v>159</v>
      </c>
    </row>
    <row r="3089" spans="1:12" x14ac:dyDescent="0.3">
      <c r="A3089" s="2">
        <v>3078</v>
      </c>
      <c r="B3089" s="2" t="s">
        <v>2371</v>
      </c>
      <c r="C3089" s="2" t="s">
        <v>7187</v>
      </c>
      <c r="D3089" s="2" t="s">
        <v>51</v>
      </c>
      <c r="E3089" s="2" t="s">
        <v>16</v>
      </c>
      <c r="F3089" s="2">
        <v>30</v>
      </c>
      <c r="G3089" s="2" t="s">
        <v>7609</v>
      </c>
      <c r="H3089" s="2" t="s">
        <v>6259</v>
      </c>
      <c r="I3089" s="2" t="s">
        <v>6260</v>
      </c>
      <c r="J3089" s="3">
        <v>44452</v>
      </c>
      <c r="K3089" s="2">
        <v>2</v>
      </c>
      <c r="L3089" s="2" t="s">
        <v>20</v>
      </c>
    </row>
    <row r="3090" spans="1:12" x14ac:dyDescent="0.3">
      <c r="A3090" s="2">
        <v>3079</v>
      </c>
      <c r="B3090" s="2" t="s">
        <v>5272</v>
      </c>
      <c r="C3090" s="2" t="s">
        <v>2563</v>
      </c>
      <c r="D3090" s="2" t="s">
        <v>28</v>
      </c>
      <c r="E3090" s="2" t="s">
        <v>29</v>
      </c>
      <c r="F3090" s="2">
        <v>30</v>
      </c>
      <c r="G3090" s="2" t="s">
        <v>7610</v>
      </c>
      <c r="H3090" s="2" t="s">
        <v>1732</v>
      </c>
      <c r="I3090" s="2" t="s">
        <v>1733</v>
      </c>
      <c r="J3090" s="3">
        <v>44434</v>
      </c>
      <c r="K3090" s="2">
        <v>74</v>
      </c>
      <c r="L3090" s="2" t="s">
        <v>39</v>
      </c>
    </row>
    <row r="3091" spans="1:12" x14ac:dyDescent="0.3">
      <c r="A3091" s="2">
        <v>3080</v>
      </c>
      <c r="B3091" s="2" t="s">
        <v>7611</v>
      </c>
      <c r="C3091" s="2" t="s">
        <v>472</v>
      </c>
      <c r="D3091" s="2" t="s">
        <v>51</v>
      </c>
      <c r="E3091" s="2" t="s">
        <v>16</v>
      </c>
      <c r="F3091" s="2">
        <v>90</v>
      </c>
      <c r="G3091" s="2" t="s">
        <v>7610</v>
      </c>
      <c r="H3091" s="2" t="s">
        <v>412</v>
      </c>
      <c r="I3091" s="2" t="s">
        <v>187</v>
      </c>
      <c r="J3091" s="3">
        <v>44198</v>
      </c>
      <c r="K3091" s="2">
        <v>6</v>
      </c>
      <c r="L3091" s="2" t="s">
        <v>70</v>
      </c>
    </row>
    <row r="3092" spans="1:12" x14ac:dyDescent="0.3">
      <c r="A3092" s="2">
        <v>3081</v>
      </c>
      <c r="B3092" s="2" t="s">
        <v>7612</v>
      </c>
      <c r="C3092" s="2" t="s">
        <v>3535</v>
      </c>
      <c r="D3092" s="2" t="s">
        <v>92</v>
      </c>
      <c r="E3092" s="2" t="s">
        <v>16</v>
      </c>
      <c r="F3092" s="2">
        <v>90</v>
      </c>
      <c r="G3092" s="2" t="s">
        <v>7613</v>
      </c>
      <c r="H3092" s="2" t="s">
        <v>4413</v>
      </c>
      <c r="I3092" s="2" t="s">
        <v>32</v>
      </c>
      <c r="J3092" s="3">
        <v>44106</v>
      </c>
      <c r="K3092" s="2">
        <v>33</v>
      </c>
      <c r="L3092" s="2" t="s">
        <v>54</v>
      </c>
    </row>
    <row r="3093" spans="1:12" x14ac:dyDescent="0.3">
      <c r="A3093" s="2">
        <v>3082</v>
      </c>
      <c r="B3093" s="2" t="s">
        <v>7614</v>
      </c>
      <c r="C3093" s="2" t="s">
        <v>5290</v>
      </c>
      <c r="D3093" s="2" t="s">
        <v>41</v>
      </c>
      <c r="E3093" s="2" t="s">
        <v>16</v>
      </c>
      <c r="F3093" s="2">
        <v>90</v>
      </c>
      <c r="G3093" s="2" t="s">
        <v>10446</v>
      </c>
      <c r="H3093" s="2" t="s">
        <v>868</v>
      </c>
      <c r="I3093" s="2" t="s">
        <v>32</v>
      </c>
      <c r="J3093" s="3">
        <v>44496</v>
      </c>
      <c r="K3093" s="2">
        <v>93</v>
      </c>
      <c r="L3093" s="2" t="s">
        <v>101</v>
      </c>
    </row>
    <row r="3094" spans="1:12" x14ac:dyDescent="0.3">
      <c r="A3094" s="2">
        <v>3083</v>
      </c>
      <c r="B3094" s="2" t="s">
        <v>2251</v>
      </c>
      <c r="C3094" s="2" t="s">
        <v>791</v>
      </c>
      <c r="D3094" s="2" t="s">
        <v>28</v>
      </c>
      <c r="E3094" s="2" t="s">
        <v>29</v>
      </c>
      <c r="F3094" s="2">
        <v>60</v>
      </c>
      <c r="G3094" s="2" t="s">
        <v>7616</v>
      </c>
      <c r="H3094" s="2" t="s">
        <v>1754</v>
      </c>
      <c r="I3094" s="2" t="s">
        <v>25</v>
      </c>
      <c r="J3094" s="3">
        <v>44540</v>
      </c>
      <c r="K3094" s="2">
        <v>23</v>
      </c>
      <c r="L3094" s="2" t="s">
        <v>70</v>
      </c>
    </row>
    <row r="3095" spans="1:12" x14ac:dyDescent="0.3">
      <c r="A3095" s="2">
        <v>3084</v>
      </c>
      <c r="B3095" s="2" t="s">
        <v>1828</v>
      </c>
      <c r="C3095" s="2" t="s">
        <v>5788</v>
      </c>
      <c r="D3095" s="2" t="s">
        <v>92</v>
      </c>
      <c r="E3095" s="2" t="s">
        <v>29</v>
      </c>
      <c r="F3095" s="2">
        <v>30</v>
      </c>
      <c r="G3095" s="2" t="s">
        <v>7617</v>
      </c>
      <c r="H3095" s="2" t="s">
        <v>5992</v>
      </c>
      <c r="I3095" s="2" t="s">
        <v>25</v>
      </c>
      <c r="J3095" s="3">
        <v>44774</v>
      </c>
      <c r="K3095" s="2">
        <v>4</v>
      </c>
      <c r="L3095" s="2" t="s">
        <v>101</v>
      </c>
    </row>
    <row r="3096" spans="1:12" x14ac:dyDescent="0.3">
      <c r="A3096" s="2">
        <v>3085</v>
      </c>
      <c r="B3096" s="2" t="s">
        <v>5083</v>
      </c>
      <c r="C3096" s="2" t="s">
        <v>7618</v>
      </c>
      <c r="D3096" s="2" t="s">
        <v>28</v>
      </c>
      <c r="E3096" s="2" t="s">
        <v>29</v>
      </c>
      <c r="F3096" s="2">
        <v>60</v>
      </c>
      <c r="G3096" s="2" t="s">
        <v>7619</v>
      </c>
      <c r="H3096" s="2" t="s">
        <v>1022</v>
      </c>
      <c r="I3096" s="2" t="s">
        <v>164</v>
      </c>
      <c r="J3096" s="3">
        <v>44221</v>
      </c>
      <c r="K3096" s="2">
        <v>5</v>
      </c>
      <c r="L3096" s="2" t="s">
        <v>45</v>
      </c>
    </row>
    <row r="3097" spans="1:12" x14ac:dyDescent="0.3">
      <c r="A3097" s="2">
        <v>3086</v>
      </c>
      <c r="B3097" s="2" t="s">
        <v>5410</v>
      </c>
      <c r="C3097" s="2" t="s">
        <v>2594</v>
      </c>
      <c r="D3097" s="2" t="s">
        <v>15</v>
      </c>
      <c r="E3097" s="2" t="s">
        <v>16</v>
      </c>
      <c r="F3097" s="2">
        <v>30</v>
      </c>
      <c r="G3097" s="2" t="s">
        <v>7620</v>
      </c>
      <c r="H3097" s="2" t="s">
        <v>3428</v>
      </c>
      <c r="I3097" s="2" t="s">
        <v>38</v>
      </c>
      <c r="J3097" s="3">
        <v>44752</v>
      </c>
      <c r="K3097" s="2">
        <v>26</v>
      </c>
      <c r="L3097" s="2" t="s">
        <v>80</v>
      </c>
    </row>
    <row r="3098" spans="1:12" x14ac:dyDescent="0.3">
      <c r="A3098" s="2">
        <v>3087</v>
      </c>
      <c r="B3098" s="2" t="s">
        <v>735</v>
      </c>
      <c r="C3098" s="2" t="s">
        <v>4913</v>
      </c>
      <c r="D3098" s="2" t="s">
        <v>28</v>
      </c>
      <c r="E3098" s="2" t="s">
        <v>29</v>
      </c>
      <c r="F3098" s="2">
        <v>30</v>
      </c>
      <c r="G3098" s="2" t="s">
        <v>7621</v>
      </c>
      <c r="H3098" s="2" t="s">
        <v>1210</v>
      </c>
      <c r="I3098" s="2" t="s">
        <v>294</v>
      </c>
      <c r="J3098" s="3">
        <v>44365</v>
      </c>
      <c r="K3098" s="2">
        <v>50</v>
      </c>
      <c r="L3098" s="2" t="s">
        <v>64</v>
      </c>
    </row>
    <row r="3099" spans="1:12" x14ac:dyDescent="0.3">
      <c r="A3099" s="2">
        <v>3088</v>
      </c>
      <c r="B3099" s="2" t="s">
        <v>2701</v>
      </c>
      <c r="C3099" s="2" t="s">
        <v>7622</v>
      </c>
      <c r="D3099" s="2" t="s">
        <v>28</v>
      </c>
      <c r="E3099" s="2" t="s">
        <v>29</v>
      </c>
      <c r="F3099" s="2">
        <v>30</v>
      </c>
      <c r="G3099" s="2" t="s">
        <v>7623</v>
      </c>
      <c r="H3099" s="2" t="s">
        <v>400</v>
      </c>
      <c r="I3099" s="2" t="s">
        <v>401</v>
      </c>
      <c r="J3099" s="3">
        <v>44853</v>
      </c>
      <c r="K3099" s="2">
        <v>101</v>
      </c>
      <c r="L3099" s="2" t="s">
        <v>70</v>
      </c>
    </row>
    <row r="3100" spans="1:12" x14ac:dyDescent="0.3">
      <c r="A3100" s="2">
        <v>3089</v>
      </c>
      <c r="B3100" s="2" t="s">
        <v>7624</v>
      </c>
      <c r="C3100" s="2" t="s">
        <v>1470</v>
      </c>
      <c r="D3100" s="2" t="s">
        <v>15</v>
      </c>
      <c r="E3100" s="2" t="s">
        <v>16</v>
      </c>
      <c r="F3100" s="2">
        <v>60</v>
      </c>
      <c r="G3100" s="2" t="s">
        <v>7625</v>
      </c>
      <c r="H3100" s="2" t="s">
        <v>768</v>
      </c>
      <c r="I3100" s="2" t="s">
        <v>124</v>
      </c>
      <c r="J3100" s="3">
        <v>43902</v>
      </c>
      <c r="K3100" s="2">
        <v>69</v>
      </c>
      <c r="L3100" s="2" t="s">
        <v>54</v>
      </c>
    </row>
    <row r="3101" spans="1:12" x14ac:dyDescent="0.3">
      <c r="A3101" s="2">
        <v>3090</v>
      </c>
      <c r="B3101" s="2" t="s">
        <v>7626</v>
      </c>
      <c r="C3101" s="2" t="s">
        <v>7627</v>
      </c>
      <c r="D3101" s="2" t="s">
        <v>28</v>
      </c>
      <c r="E3101" s="2" t="s">
        <v>29</v>
      </c>
      <c r="F3101" s="2">
        <v>90</v>
      </c>
      <c r="G3101" s="2" t="s">
        <v>7628</v>
      </c>
      <c r="H3101" s="2" t="s">
        <v>3391</v>
      </c>
      <c r="I3101" s="2" t="s">
        <v>3392</v>
      </c>
      <c r="J3101" s="3">
        <v>44248</v>
      </c>
      <c r="K3101" s="2">
        <v>43</v>
      </c>
      <c r="L3101" s="2" t="s">
        <v>33</v>
      </c>
    </row>
    <row r="3102" spans="1:12" x14ac:dyDescent="0.3">
      <c r="A3102" s="2">
        <v>3091</v>
      </c>
      <c r="B3102" s="2" t="s">
        <v>5725</v>
      </c>
      <c r="C3102" s="2" t="s">
        <v>7629</v>
      </c>
      <c r="D3102" s="2" t="s">
        <v>28</v>
      </c>
      <c r="E3102" s="2" t="s">
        <v>29</v>
      </c>
      <c r="F3102" s="2">
        <v>60</v>
      </c>
      <c r="G3102" s="2" t="s">
        <v>7630</v>
      </c>
      <c r="H3102" s="2" t="s">
        <v>133</v>
      </c>
      <c r="I3102" s="2" t="s">
        <v>124</v>
      </c>
      <c r="J3102" s="3">
        <v>44447</v>
      </c>
      <c r="K3102" s="2">
        <v>37</v>
      </c>
      <c r="L3102" s="2" t="s">
        <v>39</v>
      </c>
    </row>
    <row r="3103" spans="1:12" x14ac:dyDescent="0.3">
      <c r="A3103" s="2">
        <v>3092</v>
      </c>
      <c r="B3103" s="2" t="s">
        <v>4236</v>
      </c>
      <c r="C3103" s="2" t="s">
        <v>3917</v>
      </c>
      <c r="D3103" s="2" t="s">
        <v>51</v>
      </c>
      <c r="E3103" s="2" t="s">
        <v>16</v>
      </c>
      <c r="F3103" s="2">
        <v>60</v>
      </c>
      <c r="G3103" s="2" t="s">
        <v>7631</v>
      </c>
      <c r="H3103" s="2" t="s">
        <v>3116</v>
      </c>
      <c r="I3103" s="2" t="s">
        <v>32</v>
      </c>
      <c r="J3103" s="3">
        <v>43991</v>
      </c>
      <c r="K3103" s="2">
        <v>39</v>
      </c>
      <c r="L3103" s="2" t="s">
        <v>39</v>
      </c>
    </row>
    <row r="3104" spans="1:12" x14ac:dyDescent="0.3">
      <c r="A3104" s="2">
        <v>3093</v>
      </c>
      <c r="B3104" s="2" t="s">
        <v>4099</v>
      </c>
      <c r="C3104" s="2" t="s">
        <v>7632</v>
      </c>
      <c r="D3104" s="2" t="s">
        <v>15</v>
      </c>
      <c r="E3104" s="2" t="s">
        <v>16</v>
      </c>
      <c r="F3104" s="2">
        <v>30</v>
      </c>
      <c r="G3104" s="2" t="s">
        <v>7631</v>
      </c>
      <c r="H3104" s="2" t="s">
        <v>6516</v>
      </c>
      <c r="I3104" s="2" t="s">
        <v>32</v>
      </c>
      <c r="J3104" s="3">
        <v>44612</v>
      </c>
      <c r="K3104" s="2">
        <v>35</v>
      </c>
      <c r="L3104" s="2" t="s">
        <v>70</v>
      </c>
    </row>
    <row r="3105" spans="1:12" x14ac:dyDescent="0.3">
      <c r="A3105" s="2">
        <v>3094</v>
      </c>
      <c r="B3105" s="2" t="s">
        <v>3140</v>
      </c>
      <c r="C3105" s="2" t="s">
        <v>961</v>
      </c>
      <c r="D3105" s="2" t="s">
        <v>28</v>
      </c>
      <c r="E3105" s="2" t="s">
        <v>29</v>
      </c>
      <c r="F3105" s="2">
        <v>90</v>
      </c>
      <c r="G3105" s="2" t="s">
        <v>7633</v>
      </c>
      <c r="H3105" s="2" t="s">
        <v>2305</v>
      </c>
      <c r="I3105" s="2" t="s">
        <v>25</v>
      </c>
      <c r="J3105" s="3">
        <v>44304</v>
      </c>
      <c r="K3105" s="2">
        <v>87</v>
      </c>
      <c r="L3105" s="2" t="s">
        <v>159</v>
      </c>
    </row>
    <row r="3106" spans="1:12" x14ac:dyDescent="0.3">
      <c r="A3106" s="2">
        <v>3095</v>
      </c>
      <c r="B3106" s="2" t="s">
        <v>7634</v>
      </c>
      <c r="C3106" s="2" t="s">
        <v>2650</v>
      </c>
      <c r="D3106" s="2" t="s">
        <v>51</v>
      </c>
      <c r="E3106" s="2" t="s">
        <v>16</v>
      </c>
      <c r="F3106" s="2">
        <v>30</v>
      </c>
      <c r="G3106" s="2" t="s">
        <v>7635</v>
      </c>
      <c r="H3106" s="2" t="s">
        <v>7636</v>
      </c>
      <c r="I3106" s="2" t="s">
        <v>32</v>
      </c>
      <c r="J3106" s="3">
        <v>44080</v>
      </c>
      <c r="K3106" s="2">
        <v>56</v>
      </c>
      <c r="L3106" s="2" t="s">
        <v>20</v>
      </c>
    </row>
    <row r="3107" spans="1:12" x14ac:dyDescent="0.3">
      <c r="A3107" s="2">
        <v>3096</v>
      </c>
      <c r="B3107" s="2" t="s">
        <v>7637</v>
      </c>
      <c r="C3107" s="2" t="s">
        <v>1558</v>
      </c>
      <c r="D3107" s="2" t="s">
        <v>15</v>
      </c>
      <c r="E3107" s="2" t="s">
        <v>16</v>
      </c>
      <c r="F3107" s="2">
        <v>90</v>
      </c>
      <c r="G3107" s="2" t="s">
        <v>7638</v>
      </c>
      <c r="H3107" s="2" t="s">
        <v>1548</v>
      </c>
      <c r="I3107" s="2" t="s">
        <v>1549</v>
      </c>
      <c r="J3107" s="3">
        <v>44528</v>
      </c>
      <c r="K3107" s="2">
        <v>24</v>
      </c>
      <c r="L3107" s="2" t="s">
        <v>33</v>
      </c>
    </row>
    <row r="3108" spans="1:12" x14ac:dyDescent="0.3">
      <c r="A3108" s="2">
        <v>3097</v>
      </c>
      <c r="B3108" s="2" t="s">
        <v>6896</v>
      </c>
      <c r="C3108" s="2" t="s">
        <v>3111</v>
      </c>
      <c r="D3108" s="2" t="s">
        <v>15</v>
      </c>
      <c r="E3108" s="2" t="s">
        <v>16</v>
      </c>
      <c r="F3108" s="2">
        <v>90</v>
      </c>
      <c r="G3108" s="2" t="s">
        <v>7640</v>
      </c>
      <c r="H3108" s="2" t="s">
        <v>99</v>
      </c>
      <c r="I3108" s="2" t="s">
        <v>100</v>
      </c>
      <c r="J3108" s="3">
        <v>44429</v>
      </c>
      <c r="K3108" s="2">
        <v>51</v>
      </c>
      <c r="L3108" s="2" t="s">
        <v>159</v>
      </c>
    </row>
    <row r="3109" spans="1:12" x14ac:dyDescent="0.3">
      <c r="A3109" s="2">
        <v>3098</v>
      </c>
      <c r="B3109" s="2" t="s">
        <v>2455</v>
      </c>
      <c r="C3109" s="2" t="s">
        <v>651</v>
      </c>
      <c r="D3109" s="2" t="s">
        <v>15</v>
      </c>
      <c r="E3109" s="2" t="s">
        <v>16</v>
      </c>
      <c r="F3109" s="2">
        <v>90</v>
      </c>
      <c r="G3109" s="2" t="s">
        <v>7640</v>
      </c>
      <c r="H3109" s="2" t="s">
        <v>3551</v>
      </c>
      <c r="I3109" s="2" t="s">
        <v>32</v>
      </c>
      <c r="J3109" s="3">
        <v>44805</v>
      </c>
      <c r="K3109" s="2">
        <v>78</v>
      </c>
      <c r="L3109" s="2" t="s">
        <v>64</v>
      </c>
    </row>
    <row r="3110" spans="1:12" x14ac:dyDescent="0.3">
      <c r="A3110" s="2">
        <v>3099</v>
      </c>
      <c r="B3110" s="2" t="s">
        <v>5045</v>
      </c>
      <c r="C3110" s="2" t="s">
        <v>3529</v>
      </c>
      <c r="D3110" s="2" t="s">
        <v>15</v>
      </c>
      <c r="E3110" s="2" t="s">
        <v>16</v>
      </c>
      <c r="F3110" s="2">
        <v>60</v>
      </c>
      <c r="G3110" s="2" t="s">
        <v>7641</v>
      </c>
      <c r="H3110" s="2" t="s">
        <v>7642</v>
      </c>
      <c r="I3110" s="2" t="s">
        <v>32</v>
      </c>
      <c r="J3110" s="3">
        <v>44812</v>
      </c>
      <c r="K3110" s="2">
        <v>17</v>
      </c>
      <c r="L3110" s="2" t="s">
        <v>20</v>
      </c>
    </row>
    <row r="3111" spans="1:12" x14ac:dyDescent="0.3">
      <c r="A3111" s="2">
        <v>3100</v>
      </c>
      <c r="B3111" s="2" t="s">
        <v>7643</v>
      </c>
      <c r="C3111" s="2" t="s">
        <v>3589</v>
      </c>
      <c r="D3111" s="2" t="s">
        <v>28</v>
      </c>
      <c r="E3111" s="2" t="s">
        <v>29</v>
      </c>
      <c r="F3111" s="2">
        <v>90</v>
      </c>
      <c r="G3111" s="2" t="s">
        <v>7644</v>
      </c>
      <c r="H3111" s="2" t="s">
        <v>641</v>
      </c>
      <c r="I3111" s="2" t="s">
        <v>294</v>
      </c>
      <c r="J3111" s="3">
        <v>44246</v>
      </c>
      <c r="K3111" s="2">
        <v>23</v>
      </c>
      <c r="L3111" s="2" t="s">
        <v>54</v>
      </c>
    </row>
    <row r="3112" spans="1:12" x14ac:dyDescent="0.3">
      <c r="A3112" s="2">
        <v>3101</v>
      </c>
      <c r="B3112" s="2" t="s">
        <v>1577</v>
      </c>
      <c r="C3112" s="2" t="s">
        <v>7645</v>
      </c>
      <c r="D3112" s="2" t="s">
        <v>15</v>
      </c>
      <c r="E3112" s="2" t="s">
        <v>16</v>
      </c>
      <c r="F3112" s="2">
        <v>60</v>
      </c>
      <c r="G3112" s="2" t="s">
        <v>7646</v>
      </c>
      <c r="H3112" s="2" t="s">
        <v>2536</v>
      </c>
      <c r="I3112" s="2" t="s">
        <v>124</v>
      </c>
      <c r="J3112" s="3">
        <v>44553</v>
      </c>
      <c r="K3112" s="2">
        <v>69</v>
      </c>
      <c r="L3112" s="2" t="s">
        <v>54</v>
      </c>
    </row>
    <row r="3113" spans="1:12" x14ac:dyDescent="0.3">
      <c r="A3113" s="2">
        <v>3102</v>
      </c>
      <c r="B3113" s="2" t="s">
        <v>1584</v>
      </c>
      <c r="C3113" s="2" t="s">
        <v>5792</v>
      </c>
      <c r="D3113" s="2" t="s">
        <v>117</v>
      </c>
      <c r="E3113" s="2" t="s">
        <v>16</v>
      </c>
      <c r="F3113" s="2">
        <v>30</v>
      </c>
      <c r="G3113" s="2" t="s">
        <v>7647</v>
      </c>
      <c r="H3113" s="2" t="s">
        <v>5189</v>
      </c>
      <c r="I3113" s="2" t="s">
        <v>32</v>
      </c>
      <c r="J3113" s="3">
        <v>44133</v>
      </c>
      <c r="K3113" s="2">
        <v>7</v>
      </c>
      <c r="L3113" s="2" t="s">
        <v>70</v>
      </c>
    </row>
    <row r="3114" spans="1:12" x14ac:dyDescent="0.3">
      <c r="A3114" s="2">
        <v>3103</v>
      </c>
      <c r="B3114" s="2" t="s">
        <v>4004</v>
      </c>
      <c r="C3114" s="2" t="s">
        <v>2995</v>
      </c>
      <c r="D3114" s="2" t="s">
        <v>28</v>
      </c>
      <c r="E3114" s="2" t="s">
        <v>29</v>
      </c>
      <c r="F3114" s="2">
        <v>30</v>
      </c>
      <c r="G3114" s="2" t="s">
        <v>7648</v>
      </c>
      <c r="H3114" s="2" t="s">
        <v>182</v>
      </c>
      <c r="I3114" s="2" t="s">
        <v>32</v>
      </c>
      <c r="J3114" s="3">
        <v>43846</v>
      </c>
      <c r="K3114" s="2">
        <v>33</v>
      </c>
      <c r="L3114" s="2" t="s">
        <v>39</v>
      </c>
    </row>
    <row r="3115" spans="1:12" x14ac:dyDescent="0.3">
      <c r="A3115" s="2">
        <v>3104</v>
      </c>
      <c r="B3115" s="2" t="s">
        <v>7649</v>
      </c>
      <c r="C3115" s="2" t="s">
        <v>597</v>
      </c>
      <c r="D3115" s="2" t="s">
        <v>15</v>
      </c>
      <c r="E3115" s="2" t="s">
        <v>16</v>
      </c>
      <c r="F3115" s="2">
        <v>90</v>
      </c>
      <c r="G3115" s="2" t="s">
        <v>7650</v>
      </c>
      <c r="H3115" s="2" t="s">
        <v>3897</v>
      </c>
      <c r="I3115" s="2" t="s">
        <v>3898</v>
      </c>
      <c r="J3115" s="3">
        <v>43840</v>
      </c>
      <c r="K3115" s="2">
        <v>35</v>
      </c>
      <c r="L3115" s="2" t="s">
        <v>20</v>
      </c>
    </row>
    <row r="3116" spans="1:12" x14ac:dyDescent="0.3">
      <c r="A3116" s="2">
        <v>3105</v>
      </c>
      <c r="B3116" s="2" t="s">
        <v>6316</v>
      </c>
      <c r="C3116" s="2" t="s">
        <v>2273</v>
      </c>
      <c r="D3116" s="2" t="s">
        <v>51</v>
      </c>
      <c r="E3116" s="2" t="s">
        <v>16</v>
      </c>
      <c r="F3116" s="2">
        <v>60</v>
      </c>
      <c r="G3116" s="2" t="s">
        <v>7651</v>
      </c>
      <c r="H3116" s="2" t="s">
        <v>970</v>
      </c>
      <c r="I3116" s="2" t="s">
        <v>187</v>
      </c>
      <c r="J3116" s="3">
        <v>44470</v>
      </c>
      <c r="K3116" s="2">
        <v>31</v>
      </c>
      <c r="L3116" s="2" t="s">
        <v>159</v>
      </c>
    </row>
    <row r="3117" spans="1:12" x14ac:dyDescent="0.3">
      <c r="A3117" s="2">
        <v>3106</v>
      </c>
      <c r="B3117" s="2" t="s">
        <v>5015</v>
      </c>
      <c r="C3117" s="2" t="s">
        <v>7652</v>
      </c>
      <c r="D3117" s="2" t="s">
        <v>28</v>
      </c>
      <c r="E3117" s="2" t="s">
        <v>29</v>
      </c>
      <c r="F3117" s="2">
        <v>60</v>
      </c>
      <c r="G3117" s="2" t="s">
        <v>7653</v>
      </c>
      <c r="H3117" s="2" t="s">
        <v>7654</v>
      </c>
      <c r="I3117" s="2" t="s">
        <v>32</v>
      </c>
      <c r="J3117" s="3">
        <v>44481</v>
      </c>
      <c r="K3117" s="2">
        <v>3</v>
      </c>
      <c r="L3117" s="2" t="s">
        <v>45</v>
      </c>
    </row>
    <row r="3118" spans="1:12" x14ac:dyDescent="0.3">
      <c r="A3118" s="2">
        <v>3107</v>
      </c>
      <c r="B3118" s="2" t="s">
        <v>5746</v>
      </c>
      <c r="C3118" s="2" t="s">
        <v>229</v>
      </c>
      <c r="D3118" s="2" t="s">
        <v>15</v>
      </c>
      <c r="E3118" s="2" t="s">
        <v>16</v>
      </c>
      <c r="F3118" s="2">
        <v>90</v>
      </c>
      <c r="G3118" s="2" t="s">
        <v>7655</v>
      </c>
      <c r="H3118" s="2" t="s">
        <v>2875</v>
      </c>
      <c r="I3118" s="2" t="s">
        <v>32</v>
      </c>
      <c r="J3118" s="3">
        <v>44041</v>
      </c>
      <c r="K3118" s="2">
        <v>82</v>
      </c>
      <c r="L3118" s="2" t="s">
        <v>159</v>
      </c>
    </row>
    <row r="3119" spans="1:12" x14ac:dyDescent="0.3">
      <c r="A3119" s="2">
        <v>3108</v>
      </c>
      <c r="B3119" s="2" t="s">
        <v>2523</v>
      </c>
      <c r="C3119" s="2" t="s">
        <v>5749</v>
      </c>
      <c r="D3119" s="2" t="s">
        <v>28</v>
      </c>
      <c r="E3119" s="2" t="s">
        <v>29</v>
      </c>
      <c r="F3119" s="2">
        <v>60</v>
      </c>
      <c r="G3119" s="2" t="s">
        <v>7656</v>
      </c>
      <c r="H3119" s="2" t="s">
        <v>4389</v>
      </c>
      <c r="I3119" s="2" t="s">
        <v>32</v>
      </c>
      <c r="J3119" s="3">
        <v>44307</v>
      </c>
      <c r="K3119" s="2">
        <v>89</v>
      </c>
      <c r="L3119" s="2" t="s">
        <v>39</v>
      </c>
    </row>
    <row r="3120" spans="1:12" x14ac:dyDescent="0.3">
      <c r="A3120" s="2">
        <v>3109</v>
      </c>
      <c r="B3120" s="2" t="s">
        <v>7657</v>
      </c>
      <c r="C3120" s="2" t="s">
        <v>5979</v>
      </c>
      <c r="D3120" s="2" t="s">
        <v>28</v>
      </c>
      <c r="E3120" s="2" t="s">
        <v>29</v>
      </c>
      <c r="F3120" s="2">
        <v>60</v>
      </c>
      <c r="G3120" s="2" t="s">
        <v>7658</v>
      </c>
      <c r="H3120" s="2" t="s">
        <v>1977</v>
      </c>
      <c r="I3120" s="2" t="s">
        <v>124</v>
      </c>
      <c r="J3120" s="3">
        <v>44892</v>
      </c>
      <c r="K3120" s="2">
        <v>4</v>
      </c>
      <c r="L3120" s="2" t="s">
        <v>54</v>
      </c>
    </row>
    <row r="3121" spans="1:12" x14ac:dyDescent="0.3">
      <c r="A3121" s="2">
        <v>3110</v>
      </c>
      <c r="B3121" s="2" t="s">
        <v>313</v>
      </c>
      <c r="C3121" s="2" t="s">
        <v>1596</v>
      </c>
      <c r="D3121" s="2" t="s">
        <v>28</v>
      </c>
      <c r="E3121" s="2" t="s">
        <v>29</v>
      </c>
      <c r="F3121" s="2">
        <v>60</v>
      </c>
      <c r="G3121" s="2" t="s">
        <v>7659</v>
      </c>
      <c r="H3121" s="2" t="s">
        <v>3651</v>
      </c>
      <c r="I3121" s="2" t="s">
        <v>294</v>
      </c>
      <c r="J3121" s="3">
        <v>44495</v>
      </c>
      <c r="K3121" s="2">
        <v>58</v>
      </c>
      <c r="L3121" s="2" t="s">
        <v>54</v>
      </c>
    </row>
    <row r="3122" spans="1:12" x14ac:dyDescent="0.3">
      <c r="A3122" s="2">
        <v>3111</v>
      </c>
      <c r="B3122" s="2" t="s">
        <v>7660</v>
      </c>
      <c r="C3122" s="2" t="s">
        <v>6762</v>
      </c>
      <c r="D3122" s="2" t="s">
        <v>15</v>
      </c>
      <c r="E3122" s="2" t="s">
        <v>16</v>
      </c>
      <c r="F3122" s="2">
        <v>90</v>
      </c>
      <c r="G3122" s="2" t="s">
        <v>7661</v>
      </c>
      <c r="H3122" s="2" t="s">
        <v>3774</v>
      </c>
      <c r="I3122" s="2" t="s">
        <v>187</v>
      </c>
      <c r="J3122" s="3">
        <v>44136</v>
      </c>
      <c r="K3122" s="2">
        <v>23</v>
      </c>
      <c r="L3122" s="2" t="s">
        <v>159</v>
      </c>
    </row>
    <row r="3123" spans="1:12" x14ac:dyDescent="0.3">
      <c r="A3123" s="2">
        <v>3112</v>
      </c>
      <c r="B3123" s="2" t="s">
        <v>5195</v>
      </c>
      <c r="C3123" s="2" t="s">
        <v>1678</v>
      </c>
      <c r="D3123" s="2" t="s">
        <v>28</v>
      </c>
      <c r="E3123" s="2" t="s">
        <v>29</v>
      </c>
      <c r="F3123" s="2">
        <v>30</v>
      </c>
      <c r="G3123" s="2" t="s">
        <v>7662</v>
      </c>
      <c r="H3123" s="2" t="s">
        <v>4158</v>
      </c>
      <c r="I3123" s="2" t="s">
        <v>32</v>
      </c>
      <c r="J3123" s="3">
        <v>44248</v>
      </c>
      <c r="K3123" s="2">
        <v>30</v>
      </c>
      <c r="L3123" s="2" t="s">
        <v>39</v>
      </c>
    </row>
    <row r="3124" spans="1:12" x14ac:dyDescent="0.3">
      <c r="A3124" s="2">
        <v>3113</v>
      </c>
      <c r="B3124" s="2" t="s">
        <v>7663</v>
      </c>
      <c r="C3124" s="2" t="s">
        <v>1116</v>
      </c>
      <c r="D3124" s="2" t="s">
        <v>51</v>
      </c>
      <c r="E3124" s="2" t="s">
        <v>16</v>
      </c>
      <c r="F3124" s="2">
        <v>60</v>
      </c>
      <c r="G3124" s="2" t="s">
        <v>7664</v>
      </c>
      <c r="H3124" s="2" t="s">
        <v>7665</v>
      </c>
      <c r="I3124" s="2" t="s">
        <v>7666</v>
      </c>
      <c r="J3124" s="3">
        <v>44250</v>
      </c>
      <c r="K3124" s="2">
        <v>41</v>
      </c>
      <c r="L3124" s="2" t="s">
        <v>39</v>
      </c>
    </row>
    <row r="3125" spans="1:12" x14ac:dyDescent="0.3">
      <c r="A3125" s="2">
        <v>3114</v>
      </c>
      <c r="B3125" s="2" t="s">
        <v>7667</v>
      </c>
      <c r="C3125" s="2" t="s">
        <v>1894</v>
      </c>
      <c r="D3125" s="2" t="s">
        <v>51</v>
      </c>
      <c r="E3125" s="2" t="s">
        <v>16</v>
      </c>
      <c r="F3125" s="2">
        <v>60</v>
      </c>
      <c r="G3125" s="2" t="s">
        <v>7668</v>
      </c>
      <c r="H3125" s="2" t="s">
        <v>5819</v>
      </c>
      <c r="I3125" s="2" t="s">
        <v>5820</v>
      </c>
      <c r="J3125" s="3">
        <v>44789</v>
      </c>
      <c r="K3125" s="2">
        <v>69</v>
      </c>
      <c r="L3125" s="2" t="s">
        <v>64</v>
      </c>
    </row>
    <row r="3126" spans="1:12" x14ac:dyDescent="0.3">
      <c r="A3126" s="2">
        <v>3115</v>
      </c>
      <c r="B3126" s="2" t="s">
        <v>2796</v>
      </c>
      <c r="C3126" s="2" t="s">
        <v>205</v>
      </c>
      <c r="D3126" s="2" t="s">
        <v>28</v>
      </c>
      <c r="E3126" s="2" t="s">
        <v>29</v>
      </c>
      <c r="F3126" s="2">
        <v>60</v>
      </c>
      <c r="G3126" s="2" t="s">
        <v>7669</v>
      </c>
      <c r="H3126" s="2" t="s">
        <v>6736</v>
      </c>
      <c r="I3126" s="2" t="s">
        <v>32</v>
      </c>
      <c r="J3126" s="3">
        <v>44563</v>
      </c>
      <c r="K3126" s="2">
        <v>10</v>
      </c>
      <c r="L3126" s="2" t="s">
        <v>54</v>
      </c>
    </row>
    <row r="3127" spans="1:12" x14ac:dyDescent="0.3">
      <c r="A3127" s="2">
        <v>3116</v>
      </c>
      <c r="B3127" s="2" t="s">
        <v>7670</v>
      </c>
      <c r="C3127" s="2" t="s">
        <v>3911</v>
      </c>
      <c r="D3127" s="2" t="s">
        <v>51</v>
      </c>
      <c r="E3127" s="2" t="s">
        <v>16</v>
      </c>
      <c r="F3127" s="2">
        <v>90</v>
      </c>
      <c r="G3127" s="2" t="s">
        <v>7671</v>
      </c>
      <c r="H3127" s="2" t="s">
        <v>6736</v>
      </c>
      <c r="I3127" s="2" t="s">
        <v>32</v>
      </c>
      <c r="J3127" s="3">
        <v>44417</v>
      </c>
      <c r="K3127" s="2">
        <v>25</v>
      </c>
      <c r="L3127" s="2" t="s">
        <v>70</v>
      </c>
    </row>
    <row r="3128" spans="1:12" x14ac:dyDescent="0.3">
      <c r="A3128" s="2">
        <v>3117</v>
      </c>
      <c r="B3128" s="2" t="s">
        <v>7672</v>
      </c>
      <c r="C3128" s="2" t="s">
        <v>4679</v>
      </c>
      <c r="D3128" s="2" t="s">
        <v>51</v>
      </c>
      <c r="E3128" s="2" t="s">
        <v>16</v>
      </c>
      <c r="F3128" s="2">
        <v>30</v>
      </c>
      <c r="G3128" s="2" t="s">
        <v>7673</v>
      </c>
      <c r="H3128" s="2" t="s">
        <v>2953</v>
      </c>
      <c r="I3128" s="2" t="s">
        <v>124</v>
      </c>
      <c r="J3128" s="3">
        <v>44037</v>
      </c>
      <c r="K3128" s="2">
        <v>2</v>
      </c>
      <c r="L3128" s="2" t="s">
        <v>20</v>
      </c>
    </row>
    <row r="3129" spans="1:12" x14ac:dyDescent="0.3">
      <c r="A3129" s="2">
        <v>3118</v>
      </c>
      <c r="B3129" s="2" t="s">
        <v>1997</v>
      </c>
      <c r="C3129" s="2" t="s">
        <v>7674</v>
      </c>
      <c r="D3129" s="2" t="s">
        <v>28</v>
      </c>
      <c r="E3129" s="2" t="s">
        <v>29</v>
      </c>
      <c r="F3129" s="2">
        <v>60</v>
      </c>
      <c r="G3129" s="2" t="s">
        <v>7673</v>
      </c>
      <c r="H3129" s="2" t="s">
        <v>3396</v>
      </c>
      <c r="I3129" s="2" t="s">
        <v>32</v>
      </c>
      <c r="J3129" s="3">
        <v>44633</v>
      </c>
      <c r="K3129" s="2">
        <v>66</v>
      </c>
      <c r="L3129" s="2" t="s">
        <v>159</v>
      </c>
    </row>
    <row r="3130" spans="1:12" x14ac:dyDescent="0.3">
      <c r="A3130" s="2">
        <v>3119</v>
      </c>
      <c r="B3130" s="2" t="s">
        <v>7675</v>
      </c>
      <c r="C3130" s="2" t="s">
        <v>547</v>
      </c>
      <c r="D3130" s="2" t="s">
        <v>51</v>
      </c>
      <c r="E3130" s="2" t="s">
        <v>16</v>
      </c>
      <c r="F3130" s="2">
        <v>90</v>
      </c>
      <c r="G3130" s="2" t="s">
        <v>7676</v>
      </c>
      <c r="H3130" s="2" t="s">
        <v>3399</v>
      </c>
      <c r="I3130" s="2" t="s">
        <v>124</v>
      </c>
      <c r="J3130" s="3">
        <v>44197</v>
      </c>
      <c r="K3130" s="2">
        <v>5</v>
      </c>
      <c r="L3130" s="2" t="s">
        <v>39</v>
      </c>
    </row>
    <row r="3131" spans="1:12" x14ac:dyDescent="0.3">
      <c r="A3131" s="2">
        <v>3120</v>
      </c>
      <c r="B3131" s="2" t="s">
        <v>7195</v>
      </c>
      <c r="C3131" s="2" t="s">
        <v>2216</v>
      </c>
      <c r="D3131" s="2" t="s">
        <v>28</v>
      </c>
      <c r="E3131" s="2" t="s">
        <v>29</v>
      </c>
      <c r="F3131" s="2">
        <v>60</v>
      </c>
      <c r="G3131" s="2" t="s">
        <v>7677</v>
      </c>
      <c r="H3131" s="2" t="s">
        <v>3834</v>
      </c>
      <c r="I3131" s="2" t="s">
        <v>32</v>
      </c>
      <c r="J3131" s="3">
        <v>44102</v>
      </c>
      <c r="K3131" s="2">
        <v>11</v>
      </c>
      <c r="L3131" s="2" t="s">
        <v>39</v>
      </c>
    </row>
    <row r="3132" spans="1:12" x14ac:dyDescent="0.3">
      <c r="A3132" s="2">
        <v>3121</v>
      </c>
      <c r="B3132" s="2" t="s">
        <v>7678</v>
      </c>
      <c r="C3132" s="2" t="s">
        <v>7679</v>
      </c>
      <c r="D3132" s="2" t="s">
        <v>28</v>
      </c>
      <c r="E3132" s="2" t="s">
        <v>29</v>
      </c>
      <c r="F3132" s="2">
        <v>30</v>
      </c>
      <c r="G3132" s="2" t="s">
        <v>7680</v>
      </c>
      <c r="H3132" s="2" t="s">
        <v>5214</v>
      </c>
      <c r="I3132" s="2" t="s">
        <v>95</v>
      </c>
      <c r="J3132" s="3">
        <v>44009</v>
      </c>
      <c r="K3132" s="2">
        <v>43</v>
      </c>
      <c r="L3132" s="2" t="s">
        <v>45</v>
      </c>
    </row>
    <row r="3133" spans="1:12" x14ac:dyDescent="0.3">
      <c r="A3133" s="2">
        <v>3122</v>
      </c>
      <c r="B3133" s="2" t="s">
        <v>1405</v>
      </c>
      <c r="C3133" s="2" t="s">
        <v>422</v>
      </c>
      <c r="D3133" s="2" t="s">
        <v>28</v>
      </c>
      <c r="E3133" s="2" t="s">
        <v>29</v>
      </c>
      <c r="F3133" s="2">
        <v>90</v>
      </c>
      <c r="G3133" s="2" t="s">
        <v>7681</v>
      </c>
      <c r="H3133" s="2" t="s">
        <v>3206</v>
      </c>
      <c r="I3133" s="2" t="s">
        <v>1199</v>
      </c>
      <c r="J3133" s="3">
        <v>44069</v>
      </c>
      <c r="K3133" s="2">
        <v>44</v>
      </c>
      <c r="L3133" s="2" t="s">
        <v>45</v>
      </c>
    </row>
    <row r="3134" spans="1:12" x14ac:dyDescent="0.3">
      <c r="A3134" s="2">
        <v>3123</v>
      </c>
      <c r="B3134" s="2" t="s">
        <v>1979</v>
      </c>
      <c r="C3134" s="2" t="s">
        <v>1817</v>
      </c>
      <c r="D3134" s="2" t="s">
        <v>28</v>
      </c>
      <c r="E3134" s="2" t="s">
        <v>29</v>
      </c>
      <c r="F3134" s="2">
        <v>30</v>
      </c>
      <c r="G3134" s="2" t="s">
        <v>7682</v>
      </c>
      <c r="H3134" s="2" t="s">
        <v>1643</v>
      </c>
      <c r="I3134" s="2" t="s">
        <v>124</v>
      </c>
      <c r="J3134" s="3">
        <v>44407</v>
      </c>
      <c r="K3134" s="2">
        <v>89</v>
      </c>
      <c r="L3134" s="2" t="s">
        <v>45</v>
      </c>
    </row>
    <row r="3135" spans="1:12" x14ac:dyDescent="0.3">
      <c r="A3135" s="2">
        <v>3124</v>
      </c>
      <c r="B3135" s="2" t="s">
        <v>7683</v>
      </c>
      <c r="C3135" s="2" t="s">
        <v>7684</v>
      </c>
      <c r="D3135" s="2" t="s">
        <v>28</v>
      </c>
      <c r="E3135" s="2" t="s">
        <v>29</v>
      </c>
      <c r="F3135" s="2">
        <v>90</v>
      </c>
      <c r="G3135" s="2" t="s">
        <v>7685</v>
      </c>
      <c r="H3135" s="2" t="s">
        <v>522</v>
      </c>
      <c r="I3135" s="2" t="s">
        <v>32</v>
      </c>
      <c r="J3135" s="3">
        <v>44033</v>
      </c>
      <c r="K3135" s="2">
        <v>72</v>
      </c>
      <c r="L3135" s="2" t="s">
        <v>64</v>
      </c>
    </row>
    <row r="3136" spans="1:12" x14ac:dyDescent="0.3">
      <c r="A3136" s="2">
        <v>3125</v>
      </c>
      <c r="B3136" s="2" t="s">
        <v>7686</v>
      </c>
      <c r="C3136" s="2" t="s">
        <v>7687</v>
      </c>
      <c r="D3136" s="2" t="s">
        <v>51</v>
      </c>
      <c r="E3136" s="2" t="s">
        <v>16</v>
      </c>
      <c r="F3136" s="2">
        <v>30</v>
      </c>
      <c r="G3136" s="2" t="s">
        <v>7688</v>
      </c>
      <c r="H3136" s="2" t="s">
        <v>7689</v>
      </c>
      <c r="I3136" s="2" t="s">
        <v>38</v>
      </c>
      <c r="J3136" s="3">
        <v>43962</v>
      </c>
      <c r="K3136" s="2">
        <v>60</v>
      </c>
      <c r="L3136" s="2" t="s">
        <v>54</v>
      </c>
    </row>
    <row r="3137" spans="1:12" x14ac:dyDescent="0.3">
      <c r="A3137" s="2">
        <v>3126</v>
      </c>
      <c r="B3137" s="2" t="s">
        <v>7690</v>
      </c>
      <c r="C3137" s="2" t="s">
        <v>7691</v>
      </c>
      <c r="D3137" s="2" t="s">
        <v>28</v>
      </c>
      <c r="E3137" s="2" t="s">
        <v>29</v>
      </c>
      <c r="F3137" s="2">
        <v>60</v>
      </c>
      <c r="G3137" s="2" t="s">
        <v>7692</v>
      </c>
      <c r="H3137" s="2" t="s">
        <v>678</v>
      </c>
      <c r="I3137" s="2" t="s">
        <v>32</v>
      </c>
      <c r="J3137" s="3">
        <v>44235</v>
      </c>
      <c r="K3137" s="2">
        <v>91</v>
      </c>
      <c r="L3137" s="2" t="s">
        <v>80</v>
      </c>
    </row>
    <row r="3138" spans="1:12" x14ac:dyDescent="0.3">
      <c r="A3138" s="2">
        <v>3127</v>
      </c>
      <c r="B3138" s="2" t="s">
        <v>4471</v>
      </c>
      <c r="C3138" s="2" t="s">
        <v>6922</v>
      </c>
      <c r="D3138" s="2" t="s">
        <v>15</v>
      </c>
      <c r="E3138" s="2" t="s">
        <v>16</v>
      </c>
      <c r="F3138" s="2">
        <v>90</v>
      </c>
      <c r="G3138" s="2" t="s">
        <v>7693</v>
      </c>
      <c r="H3138" s="2" t="s">
        <v>993</v>
      </c>
      <c r="I3138" s="2" t="s">
        <v>32</v>
      </c>
      <c r="J3138" s="3">
        <v>44742</v>
      </c>
      <c r="K3138" s="2">
        <v>80</v>
      </c>
      <c r="L3138" s="2" t="s">
        <v>45</v>
      </c>
    </row>
    <row r="3139" spans="1:12" x14ac:dyDescent="0.3">
      <c r="A3139" s="2">
        <v>3128</v>
      </c>
      <c r="B3139" s="2" t="s">
        <v>1225</v>
      </c>
      <c r="C3139" s="2" t="s">
        <v>1243</v>
      </c>
      <c r="D3139" s="2" t="s">
        <v>28</v>
      </c>
      <c r="E3139" s="2" t="s">
        <v>29</v>
      </c>
      <c r="F3139" s="2">
        <v>30</v>
      </c>
      <c r="G3139" s="2" t="s">
        <v>6190</v>
      </c>
      <c r="H3139" s="2" t="s">
        <v>4111</v>
      </c>
      <c r="I3139" s="2" t="s">
        <v>95</v>
      </c>
      <c r="J3139" s="3">
        <v>44778</v>
      </c>
      <c r="K3139" s="2">
        <v>39</v>
      </c>
      <c r="L3139" s="2" t="s">
        <v>20</v>
      </c>
    </row>
    <row r="3140" spans="1:12" x14ac:dyDescent="0.3">
      <c r="A3140" s="2">
        <v>3129</v>
      </c>
      <c r="B3140" s="2" t="s">
        <v>304</v>
      </c>
      <c r="C3140" s="2" t="s">
        <v>4561</v>
      </c>
      <c r="D3140" s="2" t="s">
        <v>15</v>
      </c>
      <c r="E3140" s="2" t="s">
        <v>16</v>
      </c>
      <c r="F3140" s="2">
        <v>90</v>
      </c>
      <c r="G3140" s="2" t="s">
        <v>7694</v>
      </c>
      <c r="H3140" s="2" t="s">
        <v>1590</v>
      </c>
      <c r="I3140" s="2" t="s">
        <v>32</v>
      </c>
      <c r="J3140" s="3">
        <v>44259</v>
      </c>
      <c r="K3140" s="2">
        <v>18</v>
      </c>
      <c r="L3140" s="2" t="s">
        <v>20</v>
      </c>
    </row>
    <row r="3141" spans="1:12" x14ac:dyDescent="0.3">
      <c r="A3141" s="2">
        <v>3130</v>
      </c>
      <c r="B3141" s="2" t="s">
        <v>7695</v>
      </c>
      <c r="C3141" s="2" t="s">
        <v>1003</v>
      </c>
      <c r="D3141" s="2" t="s">
        <v>51</v>
      </c>
      <c r="E3141" s="2" t="s">
        <v>16</v>
      </c>
      <c r="F3141" s="2">
        <v>90</v>
      </c>
      <c r="G3141" s="2" t="s">
        <v>7696</v>
      </c>
      <c r="H3141" s="2" t="s">
        <v>4979</v>
      </c>
      <c r="I3141" s="2" t="s">
        <v>294</v>
      </c>
      <c r="J3141" s="3">
        <v>44886</v>
      </c>
      <c r="K3141" s="2">
        <v>19</v>
      </c>
      <c r="L3141" s="2" t="s">
        <v>70</v>
      </c>
    </row>
    <row r="3142" spans="1:12" x14ac:dyDescent="0.3">
      <c r="A3142" s="2">
        <v>3131</v>
      </c>
      <c r="B3142" s="2" t="s">
        <v>4710</v>
      </c>
      <c r="C3142" s="2" t="s">
        <v>7433</v>
      </c>
      <c r="D3142" s="2" t="s">
        <v>92</v>
      </c>
      <c r="E3142" s="2" t="s">
        <v>16</v>
      </c>
      <c r="F3142" s="2">
        <v>90</v>
      </c>
      <c r="G3142" s="2" t="s">
        <v>7697</v>
      </c>
      <c r="H3142" s="2" t="s">
        <v>1621</v>
      </c>
      <c r="I3142" s="2" t="s">
        <v>146</v>
      </c>
      <c r="J3142" s="3">
        <v>44301</v>
      </c>
      <c r="K3142" s="2">
        <v>26</v>
      </c>
      <c r="L3142" s="2" t="s">
        <v>54</v>
      </c>
    </row>
    <row r="3143" spans="1:12" x14ac:dyDescent="0.3">
      <c r="A3143" s="2">
        <v>3132</v>
      </c>
      <c r="B3143" s="2" t="s">
        <v>7698</v>
      </c>
      <c r="C3143" s="2" t="s">
        <v>1861</v>
      </c>
      <c r="D3143" s="2" t="s">
        <v>51</v>
      </c>
      <c r="E3143" s="2" t="s">
        <v>16</v>
      </c>
      <c r="F3143" s="2">
        <v>90</v>
      </c>
      <c r="G3143" s="2" t="s">
        <v>7699</v>
      </c>
      <c r="H3143" s="2" t="s">
        <v>7700</v>
      </c>
      <c r="I3143" s="2" t="s">
        <v>32</v>
      </c>
      <c r="J3143" s="3">
        <v>44370</v>
      </c>
      <c r="K3143" s="2">
        <v>40</v>
      </c>
      <c r="L3143" s="2" t="s">
        <v>159</v>
      </c>
    </row>
    <row r="3144" spans="1:12" x14ac:dyDescent="0.3">
      <c r="A3144" s="2">
        <v>3133</v>
      </c>
      <c r="B3144" s="2" t="s">
        <v>2166</v>
      </c>
      <c r="C3144" s="2" t="s">
        <v>229</v>
      </c>
      <c r="D3144" s="2" t="s">
        <v>28</v>
      </c>
      <c r="E3144" s="2" t="s">
        <v>29</v>
      </c>
      <c r="F3144" s="2">
        <v>90</v>
      </c>
      <c r="G3144" s="2" t="s">
        <v>7701</v>
      </c>
      <c r="H3144" s="2" t="s">
        <v>5803</v>
      </c>
      <c r="I3144" s="2" t="s">
        <v>294</v>
      </c>
      <c r="J3144" s="3">
        <v>44610</v>
      </c>
      <c r="K3144" s="2">
        <v>40</v>
      </c>
      <c r="L3144" s="2" t="s">
        <v>54</v>
      </c>
    </row>
    <row r="3145" spans="1:12" x14ac:dyDescent="0.3">
      <c r="A3145" s="2">
        <v>3134</v>
      </c>
      <c r="B3145" s="2" t="s">
        <v>34</v>
      </c>
      <c r="C3145" s="2" t="s">
        <v>1496</v>
      </c>
      <c r="D3145" s="2" t="s">
        <v>28</v>
      </c>
      <c r="E3145" s="2" t="s">
        <v>29</v>
      </c>
      <c r="F3145" s="2">
        <v>30</v>
      </c>
      <c r="G3145" s="2" t="s">
        <v>7702</v>
      </c>
      <c r="H3145" s="2" t="s">
        <v>2768</v>
      </c>
      <c r="I3145" s="2" t="s">
        <v>554</v>
      </c>
      <c r="J3145" s="3">
        <v>44189</v>
      </c>
      <c r="K3145" s="2">
        <v>10</v>
      </c>
      <c r="L3145" s="2" t="s">
        <v>70</v>
      </c>
    </row>
    <row r="3146" spans="1:12" x14ac:dyDescent="0.3">
      <c r="A3146" s="2">
        <v>3135</v>
      </c>
      <c r="B3146" s="2" t="s">
        <v>7294</v>
      </c>
      <c r="C3146" s="2" t="s">
        <v>6719</v>
      </c>
      <c r="D3146" s="2" t="s">
        <v>15</v>
      </c>
      <c r="E3146" s="2" t="s">
        <v>16</v>
      </c>
      <c r="F3146" s="2">
        <v>90</v>
      </c>
      <c r="G3146" s="2" t="s">
        <v>7702</v>
      </c>
      <c r="H3146" s="2" t="s">
        <v>5427</v>
      </c>
      <c r="I3146" s="2" t="s">
        <v>32</v>
      </c>
      <c r="J3146" s="3">
        <v>44175</v>
      </c>
      <c r="K3146" s="2">
        <v>78</v>
      </c>
      <c r="L3146" s="2" t="s">
        <v>101</v>
      </c>
    </row>
    <row r="3147" spans="1:12" x14ac:dyDescent="0.3">
      <c r="A3147" s="2">
        <v>3136</v>
      </c>
      <c r="B3147" s="2" t="s">
        <v>6790</v>
      </c>
      <c r="C3147" s="2" t="s">
        <v>872</v>
      </c>
      <c r="D3147" s="2" t="s">
        <v>28</v>
      </c>
      <c r="E3147" s="2" t="s">
        <v>29</v>
      </c>
      <c r="F3147" s="2">
        <v>60</v>
      </c>
      <c r="G3147" s="2" t="s">
        <v>7089</v>
      </c>
      <c r="H3147" s="2" t="s">
        <v>746</v>
      </c>
      <c r="I3147" s="2" t="s">
        <v>32</v>
      </c>
      <c r="J3147" s="3">
        <v>44022</v>
      </c>
      <c r="K3147" s="2">
        <v>41</v>
      </c>
      <c r="L3147" s="2" t="s">
        <v>45</v>
      </c>
    </row>
    <row r="3148" spans="1:12" x14ac:dyDescent="0.3">
      <c r="A3148" s="2">
        <v>3137</v>
      </c>
      <c r="B3148" s="2" t="s">
        <v>3515</v>
      </c>
      <c r="C3148" s="2" t="s">
        <v>7703</v>
      </c>
      <c r="D3148" s="2" t="s">
        <v>28</v>
      </c>
      <c r="E3148" s="2" t="s">
        <v>29</v>
      </c>
      <c r="F3148" s="2">
        <v>90</v>
      </c>
      <c r="G3148" s="2" t="s">
        <v>7704</v>
      </c>
      <c r="H3148" s="2" t="s">
        <v>3551</v>
      </c>
      <c r="I3148" s="2" t="s">
        <v>32</v>
      </c>
      <c r="J3148" s="3">
        <v>44188</v>
      </c>
      <c r="K3148" s="2">
        <v>53</v>
      </c>
      <c r="L3148" s="2" t="s">
        <v>54</v>
      </c>
    </row>
    <row r="3149" spans="1:12" x14ac:dyDescent="0.3">
      <c r="A3149" s="2">
        <v>3138</v>
      </c>
      <c r="B3149" s="2" t="s">
        <v>4489</v>
      </c>
      <c r="C3149" s="2" t="s">
        <v>7577</v>
      </c>
      <c r="D3149" s="2" t="s">
        <v>28</v>
      </c>
      <c r="E3149" s="2" t="s">
        <v>29</v>
      </c>
      <c r="F3149" s="2">
        <v>90</v>
      </c>
      <c r="G3149" s="2" t="s">
        <v>7705</v>
      </c>
      <c r="H3149" s="2" t="s">
        <v>1052</v>
      </c>
      <c r="I3149" s="2" t="s">
        <v>32</v>
      </c>
      <c r="J3149" s="3">
        <v>44637</v>
      </c>
      <c r="K3149" s="2">
        <v>50</v>
      </c>
      <c r="L3149" s="2" t="s">
        <v>101</v>
      </c>
    </row>
    <row r="3150" spans="1:12" x14ac:dyDescent="0.3">
      <c r="A3150" s="2">
        <v>3139</v>
      </c>
      <c r="B3150" s="2" t="s">
        <v>7706</v>
      </c>
      <c r="C3150" s="2" t="s">
        <v>5883</v>
      </c>
      <c r="D3150" s="2" t="s">
        <v>51</v>
      </c>
      <c r="E3150" s="2" t="s">
        <v>16</v>
      </c>
      <c r="F3150" s="2">
        <v>30</v>
      </c>
      <c r="G3150" s="2" t="s">
        <v>7707</v>
      </c>
      <c r="H3150" s="2" t="s">
        <v>7708</v>
      </c>
      <c r="I3150" s="2" t="s">
        <v>686</v>
      </c>
      <c r="J3150" s="3">
        <v>44556</v>
      </c>
      <c r="K3150" s="2">
        <v>18</v>
      </c>
      <c r="L3150" s="2" t="s">
        <v>80</v>
      </c>
    </row>
    <row r="3151" spans="1:12" x14ac:dyDescent="0.3">
      <c r="A3151" s="2">
        <v>3140</v>
      </c>
      <c r="B3151" s="2" t="s">
        <v>7709</v>
      </c>
      <c r="C3151" s="2" t="s">
        <v>1788</v>
      </c>
      <c r="D3151" s="2" t="s">
        <v>92</v>
      </c>
      <c r="E3151" s="2" t="s">
        <v>29</v>
      </c>
      <c r="F3151" s="2">
        <v>90</v>
      </c>
      <c r="G3151" s="2" t="s">
        <v>7710</v>
      </c>
      <c r="H3151" s="2" t="s">
        <v>3511</v>
      </c>
      <c r="I3151" s="2" t="s">
        <v>32</v>
      </c>
      <c r="J3151" s="3">
        <v>43992</v>
      </c>
      <c r="K3151" s="2">
        <v>17</v>
      </c>
      <c r="L3151" s="2" t="s">
        <v>64</v>
      </c>
    </row>
    <row r="3152" spans="1:12" x14ac:dyDescent="0.3">
      <c r="A3152" s="2">
        <v>3141</v>
      </c>
      <c r="B3152" s="2" t="s">
        <v>7711</v>
      </c>
      <c r="C3152" s="2" t="s">
        <v>2293</v>
      </c>
      <c r="D3152" s="2" t="s">
        <v>28</v>
      </c>
      <c r="E3152" s="2" t="s">
        <v>29</v>
      </c>
      <c r="F3152" s="2">
        <v>90</v>
      </c>
      <c r="G3152" s="2" t="s">
        <v>7712</v>
      </c>
      <c r="H3152" s="2" t="s">
        <v>2035</v>
      </c>
      <c r="I3152" s="2" t="s">
        <v>32</v>
      </c>
      <c r="J3152" s="3">
        <v>44394</v>
      </c>
      <c r="K3152" s="2">
        <v>16</v>
      </c>
      <c r="L3152" s="2" t="s">
        <v>20</v>
      </c>
    </row>
    <row r="3153" spans="1:12" x14ac:dyDescent="0.3">
      <c r="A3153" s="2">
        <v>3142</v>
      </c>
      <c r="B3153" s="2" t="s">
        <v>504</v>
      </c>
      <c r="C3153" s="2" t="s">
        <v>6469</v>
      </c>
      <c r="D3153" s="2" t="s">
        <v>28</v>
      </c>
      <c r="E3153" s="2" t="s">
        <v>29</v>
      </c>
      <c r="F3153" s="2">
        <v>60</v>
      </c>
      <c r="G3153" s="2" t="s">
        <v>7713</v>
      </c>
      <c r="H3153" s="2" t="s">
        <v>4285</v>
      </c>
      <c r="I3153" s="2" t="s">
        <v>124</v>
      </c>
      <c r="J3153" s="3">
        <v>44381</v>
      </c>
      <c r="K3153" s="2">
        <v>63</v>
      </c>
      <c r="L3153" s="2" t="s">
        <v>159</v>
      </c>
    </row>
    <row r="3154" spans="1:12" x14ac:dyDescent="0.3">
      <c r="A3154" s="2">
        <v>3143</v>
      </c>
      <c r="B3154" s="2" t="s">
        <v>1755</v>
      </c>
      <c r="C3154" s="2" t="s">
        <v>3887</v>
      </c>
      <c r="D3154" s="2" t="s">
        <v>28</v>
      </c>
      <c r="E3154" s="2" t="s">
        <v>29</v>
      </c>
      <c r="F3154" s="2">
        <v>60</v>
      </c>
      <c r="G3154" s="2" t="s">
        <v>7714</v>
      </c>
      <c r="H3154" s="2" t="s">
        <v>248</v>
      </c>
      <c r="I3154" s="2" t="s">
        <v>178</v>
      </c>
      <c r="J3154" s="3">
        <v>44414</v>
      </c>
      <c r="K3154" s="2">
        <v>15</v>
      </c>
      <c r="L3154" s="2" t="s">
        <v>70</v>
      </c>
    </row>
    <row r="3155" spans="1:12" x14ac:dyDescent="0.3">
      <c r="A3155" s="2">
        <v>3144</v>
      </c>
      <c r="B3155" s="2" t="s">
        <v>61</v>
      </c>
      <c r="C3155" s="2" t="s">
        <v>1352</v>
      </c>
      <c r="D3155" s="2" t="s">
        <v>28</v>
      </c>
      <c r="E3155" s="2" t="s">
        <v>29</v>
      </c>
      <c r="F3155" s="2">
        <v>60</v>
      </c>
      <c r="G3155" s="2" t="s">
        <v>7715</v>
      </c>
      <c r="H3155" s="2" t="s">
        <v>3070</v>
      </c>
      <c r="I3155" s="2" t="s">
        <v>575</v>
      </c>
      <c r="J3155" s="3">
        <v>44813</v>
      </c>
      <c r="K3155" s="2">
        <v>9</v>
      </c>
      <c r="L3155" s="2" t="s">
        <v>70</v>
      </c>
    </row>
    <row r="3156" spans="1:12" x14ac:dyDescent="0.3">
      <c r="A3156" s="2">
        <v>3145</v>
      </c>
      <c r="B3156" s="2" t="s">
        <v>7657</v>
      </c>
      <c r="C3156" s="2" t="s">
        <v>7716</v>
      </c>
      <c r="D3156" s="2" t="s">
        <v>28</v>
      </c>
      <c r="E3156" s="2" t="s">
        <v>29</v>
      </c>
      <c r="F3156" s="2">
        <v>30</v>
      </c>
      <c r="G3156" s="2" t="s">
        <v>7717</v>
      </c>
      <c r="H3156" s="2" t="s">
        <v>172</v>
      </c>
      <c r="I3156" s="2" t="s">
        <v>173</v>
      </c>
      <c r="J3156" s="3">
        <v>44542</v>
      </c>
      <c r="K3156" s="2">
        <v>66</v>
      </c>
      <c r="L3156" s="2" t="s">
        <v>64</v>
      </c>
    </row>
    <row r="3157" spans="1:12" x14ac:dyDescent="0.3">
      <c r="A3157" s="2">
        <v>3146</v>
      </c>
      <c r="B3157" s="2" t="s">
        <v>2994</v>
      </c>
      <c r="C3157" s="2" t="s">
        <v>3173</v>
      </c>
      <c r="D3157" s="2" t="s">
        <v>51</v>
      </c>
      <c r="E3157" s="2" t="s">
        <v>16</v>
      </c>
      <c r="F3157" s="2">
        <v>60</v>
      </c>
      <c r="G3157" s="2" t="s">
        <v>7718</v>
      </c>
      <c r="H3157" s="2" t="s">
        <v>1791</v>
      </c>
      <c r="I3157" s="2" t="s">
        <v>32</v>
      </c>
      <c r="J3157" s="3">
        <v>44803</v>
      </c>
      <c r="K3157" s="2">
        <v>92</v>
      </c>
      <c r="L3157" s="2" t="s">
        <v>101</v>
      </c>
    </row>
    <row r="3158" spans="1:12" x14ac:dyDescent="0.3">
      <c r="A3158" s="2">
        <v>3147</v>
      </c>
      <c r="B3158" s="2" t="s">
        <v>1961</v>
      </c>
      <c r="C3158" s="2" t="s">
        <v>3439</v>
      </c>
      <c r="D3158" s="2" t="s">
        <v>15</v>
      </c>
      <c r="E3158" s="2" t="s">
        <v>16</v>
      </c>
      <c r="F3158" s="2">
        <v>30</v>
      </c>
      <c r="G3158" s="2" t="s">
        <v>7719</v>
      </c>
      <c r="H3158" s="2" t="s">
        <v>7720</v>
      </c>
      <c r="I3158" s="2" t="s">
        <v>38</v>
      </c>
      <c r="J3158" s="3">
        <v>44132</v>
      </c>
      <c r="K3158" s="2">
        <v>75</v>
      </c>
      <c r="L3158" s="2" t="s">
        <v>101</v>
      </c>
    </row>
    <row r="3159" spans="1:12" x14ac:dyDescent="0.3">
      <c r="A3159" s="2">
        <v>3148</v>
      </c>
      <c r="B3159" s="2" t="s">
        <v>2244</v>
      </c>
      <c r="C3159" s="2" t="s">
        <v>7721</v>
      </c>
      <c r="D3159" s="2" t="s">
        <v>28</v>
      </c>
      <c r="E3159" s="2" t="s">
        <v>29</v>
      </c>
      <c r="F3159" s="2">
        <v>30</v>
      </c>
      <c r="G3159" s="2" t="s">
        <v>7722</v>
      </c>
      <c r="H3159" s="2" t="s">
        <v>5706</v>
      </c>
      <c r="I3159" s="2" t="s">
        <v>32</v>
      </c>
      <c r="J3159" s="3">
        <v>43913</v>
      </c>
      <c r="K3159" s="2">
        <v>4</v>
      </c>
      <c r="L3159" s="2" t="s">
        <v>20</v>
      </c>
    </row>
    <row r="3160" spans="1:12" x14ac:dyDescent="0.3">
      <c r="A3160" s="2">
        <v>3149</v>
      </c>
      <c r="B3160" s="2" t="s">
        <v>7276</v>
      </c>
      <c r="C3160" s="2" t="s">
        <v>7723</v>
      </c>
      <c r="D3160" s="2" t="s">
        <v>15</v>
      </c>
      <c r="E3160" s="2" t="s">
        <v>16</v>
      </c>
      <c r="F3160" s="2">
        <v>90</v>
      </c>
      <c r="G3160" s="2" t="s">
        <v>7724</v>
      </c>
      <c r="H3160" s="2" t="s">
        <v>2354</v>
      </c>
      <c r="I3160" s="2" t="s">
        <v>178</v>
      </c>
      <c r="J3160" s="3">
        <v>44206</v>
      </c>
      <c r="K3160" s="2">
        <v>74</v>
      </c>
      <c r="L3160" s="2" t="s">
        <v>159</v>
      </c>
    </row>
    <row r="3161" spans="1:12" x14ac:dyDescent="0.3">
      <c r="A3161" s="2">
        <v>3150</v>
      </c>
      <c r="B3161" s="2" t="s">
        <v>2487</v>
      </c>
      <c r="C3161" s="2" t="s">
        <v>422</v>
      </c>
      <c r="D3161" s="2" t="s">
        <v>15</v>
      </c>
      <c r="E3161" s="2" t="s">
        <v>16</v>
      </c>
      <c r="F3161" s="2">
        <v>30</v>
      </c>
      <c r="G3161" s="2" t="s">
        <v>7724</v>
      </c>
      <c r="H3161" s="2" t="s">
        <v>3774</v>
      </c>
      <c r="I3161" s="2" t="s">
        <v>187</v>
      </c>
      <c r="J3161" s="3">
        <v>44468</v>
      </c>
      <c r="K3161" s="2">
        <v>31</v>
      </c>
      <c r="L3161" s="2" t="s">
        <v>101</v>
      </c>
    </row>
    <row r="3162" spans="1:12" x14ac:dyDescent="0.3">
      <c r="A3162" s="2">
        <v>3151</v>
      </c>
      <c r="B3162" s="2" t="s">
        <v>5928</v>
      </c>
      <c r="C3162" s="2" t="s">
        <v>2336</v>
      </c>
      <c r="D3162" s="2" t="s">
        <v>28</v>
      </c>
      <c r="E3162" s="2" t="s">
        <v>29</v>
      </c>
      <c r="F3162" s="2">
        <v>30</v>
      </c>
      <c r="G3162" s="2" t="s">
        <v>7725</v>
      </c>
      <c r="H3162" s="2" t="s">
        <v>4932</v>
      </c>
      <c r="I3162" s="2" t="s">
        <v>38</v>
      </c>
      <c r="J3162" s="3">
        <v>44459</v>
      </c>
      <c r="K3162" s="2">
        <v>88</v>
      </c>
      <c r="L3162" s="2" t="s">
        <v>33</v>
      </c>
    </row>
    <row r="3163" spans="1:12" x14ac:dyDescent="0.3">
      <c r="A3163" s="2">
        <v>3152</v>
      </c>
      <c r="B3163" s="2" t="s">
        <v>6994</v>
      </c>
      <c r="C3163" s="2" t="s">
        <v>268</v>
      </c>
      <c r="D3163" s="2" t="s">
        <v>15</v>
      </c>
      <c r="E3163" s="2" t="s">
        <v>16</v>
      </c>
      <c r="F3163" s="2">
        <v>60</v>
      </c>
      <c r="G3163" s="2" t="s">
        <v>7725</v>
      </c>
      <c r="H3163" s="2" t="s">
        <v>663</v>
      </c>
      <c r="I3163" s="2" t="s">
        <v>32</v>
      </c>
      <c r="J3163" s="3">
        <v>44458</v>
      </c>
      <c r="K3163" s="2">
        <v>35</v>
      </c>
      <c r="L3163" s="2" t="s">
        <v>64</v>
      </c>
    </row>
    <row r="3164" spans="1:12" x14ac:dyDescent="0.3">
      <c r="A3164" s="2">
        <v>3153</v>
      </c>
      <c r="B3164" s="2" t="s">
        <v>7726</v>
      </c>
      <c r="C3164" s="2" t="s">
        <v>3162</v>
      </c>
      <c r="D3164" s="2" t="s">
        <v>15</v>
      </c>
      <c r="E3164" s="2" t="s">
        <v>16</v>
      </c>
      <c r="F3164" s="2">
        <v>30</v>
      </c>
      <c r="G3164" s="2" t="s">
        <v>7727</v>
      </c>
      <c r="H3164" s="2" t="s">
        <v>2678</v>
      </c>
      <c r="I3164" s="2" t="s">
        <v>32</v>
      </c>
      <c r="J3164" s="3">
        <v>44171</v>
      </c>
      <c r="K3164" s="2">
        <v>36</v>
      </c>
      <c r="L3164" s="2" t="s">
        <v>54</v>
      </c>
    </row>
    <row r="3165" spans="1:12" x14ac:dyDescent="0.3">
      <c r="A3165" s="2">
        <v>3154</v>
      </c>
      <c r="B3165" s="2" t="s">
        <v>6326</v>
      </c>
      <c r="C3165" s="2" t="s">
        <v>7728</v>
      </c>
      <c r="D3165" s="2" t="s">
        <v>41</v>
      </c>
      <c r="E3165" s="2" t="s">
        <v>16</v>
      </c>
      <c r="F3165" s="2">
        <v>60</v>
      </c>
      <c r="G3165" s="2" t="s">
        <v>7729</v>
      </c>
      <c r="H3165" s="2" t="s">
        <v>3862</v>
      </c>
      <c r="I3165" s="2" t="s">
        <v>2543</v>
      </c>
      <c r="J3165" s="3">
        <v>43898</v>
      </c>
      <c r="K3165" s="2">
        <v>31</v>
      </c>
      <c r="L3165" s="2" t="s">
        <v>54</v>
      </c>
    </row>
    <row r="3166" spans="1:12" x14ac:dyDescent="0.3">
      <c r="A3166" s="2">
        <v>3155</v>
      </c>
      <c r="B3166" s="2" t="s">
        <v>7730</v>
      </c>
      <c r="C3166" s="2" t="s">
        <v>4876</v>
      </c>
      <c r="D3166" s="2" t="s">
        <v>28</v>
      </c>
      <c r="E3166" s="2" t="s">
        <v>29</v>
      </c>
      <c r="F3166" s="2">
        <v>90</v>
      </c>
      <c r="G3166" s="2" t="s">
        <v>7731</v>
      </c>
      <c r="H3166" s="2" t="s">
        <v>293</v>
      </c>
      <c r="I3166" s="2" t="s">
        <v>294</v>
      </c>
      <c r="J3166" s="3">
        <v>43938</v>
      </c>
      <c r="K3166" s="2">
        <v>44</v>
      </c>
      <c r="L3166" s="2" t="s">
        <v>70</v>
      </c>
    </row>
    <row r="3167" spans="1:12" x14ac:dyDescent="0.3">
      <c r="A3167" s="2">
        <v>3156</v>
      </c>
      <c r="B3167" s="2" t="s">
        <v>1851</v>
      </c>
      <c r="C3167" s="2" t="s">
        <v>1846</v>
      </c>
      <c r="D3167" s="2" t="s">
        <v>28</v>
      </c>
      <c r="E3167" s="2" t="s">
        <v>29</v>
      </c>
      <c r="F3167" s="2">
        <v>60</v>
      </c>
      <c r="G3167" s="2" t="s">
        <v>7732</v>
      </c>
      <c r="H3167" s="2" t="s">
        <v>1325</v>
      </c>
      <c r="I3167" s="2" t="s">
        <v>187</v>
      </c>
      <c r="J3167" s="3">
        <v>44598</v>
      </c>
      <c r="K3167" s="2">
        <v>45</v>
      </c>
      <c r="L3167" s="2" t="s">
        <v>101</v>
      </c>
    </row>
    <row r="3168" spans="1:12" x14ac:dyDescent="0.3">
      <c r="A3168" s="2">
        <v>3157</v>
      </c>
      <c r="B3168" s="2" t="s">
        <v>1427</v>
      </c>
      <c r="C3168" s="2" t="s">
        <v>3621</v>
      </c>
      <c r="D3168" s="2" t="s">
        <v>28</v>
      </c>
      <c r="E3168" s="2" t="s">
        <v>29</v>
      </c>
      <c r="F3168" s="2">
        <v>30</v>
      </c>
      <c r="G3168" s="2" t="s">
        <v>7733</v>
      </c>
      <c r="H3168" s="2" t="s">
        <v>1791</v>
      </c>
      <c r="I3168" s="2" t="s">
        <v>32</v>
      </c>
      <c r="J3168" s="3">
        <v>44367</v>
      </c>
      <c r="K3168" s="2">
        <v>37</v>
      </c>
      <c r="L3168" s="2" t="s">
        <v>70</v>
      </c>
    </row>
    <row r="3169" spans="1:12" x14ac:dyDescent="0.3">
      <c r="A3169" s="2">
        <v>3158</v>
      </c>
      <c r="B3169" s="2" t="s">
        <v>7734</v>
      </c>
      <c r="C3169" s="2" t="s">
        <v>5002</v>
      </c>
      <c r="D3169" s="2" t="s">
        <v>28</v>
      </c>
      <c r="E3169" s="2" t="s">
        <v>29</v>
      </c>
      <c r="F3169" s="2">
        <v>30</v>
      </c>
      <c r="G3169" s="2" t="s">
        <v>7735</v>
      </c>
      <c r="H3169" s="2" t="s">
        <v>7736</v>
      </c>
      <c r="I3169" s="2" t="s">
        <v>1889</v>
      </c>
      <c r="J3169" s="3">
        <v>44789</v>
      </c>
      <c r="K3169" s="2">
        <v>101</v>
      </c>
      <c r="L3169" s="2" t="s">
        <v>80</v>
      </c>
    </row>
    <row r="3170" spans="1:12" x14ac:dyDescent="0.3">
      <c r="A3170" s="2">
        <v>3159</v>
      </c>
      <c r="B3170" s="2" t="s">
        <v>7737</v>
      </c>
      <c r="C3170" s="2" t="s">
        <v>3488</v>
      </c>
      <c r="D3170" s="2" t="s">
        <v>15</v>
      </c>
      <c r="E3170" s="2" t="s">
        <v>16</v>
      </c>
      <c r="F3170" s="2">
        <v>60</v>
      </c>
      <c r="G3170" s="2" t="s">
        <v>7738</v>
      </c>
      <c r="H3170" s="2" t="s">
        <v>7739</v>
      </c>
      <c r="I3170" s="2" t="s">
        <v>146</v>
      </c>
      <c r="J3170" s="3">
        <v>44171</v>
      </c>
      <c r="K3170" s="2">
        <v>28</v>
      </c>
      <c r="L3170" s="2" t="s">
        <v>101</v>
      </c>
    </row>
    <row r="3171" spans="1:12" x14ac:dyDescent="0.3">
      <c r="A3171" s="2">
        <v>3160</v>
      </c>
      <c r="B3171" s="2" t="s">
        <v>3079</v>
      </c>
      <c r="C3171" s="2" t="s">
        <v>6082</v>
      </c>
      <c r="D3171" s="2" t="s">
        <v>28</v>
      </c>
      <c r="E3171" s="2" t="s">
        <v>29</v>
      </c>
      <c r="F3171" s="2">
        <v>60</v>
      </c>
      <c r="G3171" s="2" t="s">
        <v>7740</v>
      </c>
      <c r="H3171" s="2" t="s">
        <v>1864</v>
      </c>
      <c r="I3171" s="2" t="s">
        <v>294</v>
      </c>
      <c r="J3171" s="3">
        <v>44630</v>
      </c>
      <c r="K3171" s="2">
        <v>94</v>
      </c>
      <c r="L3171" s="2" t="s">
        <v>45</v>
      </c>
    </row>
    <row r="3172" spans="1:12" x14ac:dyDescent="0.3">
      <c r="A3172" s="2">
        <v>3161</v>
      </c>
      <c r="B3172" s="2" t="s">
        <v>7741</v>
      </c>
      <c r="C3172" s="2" t="s">
        <v>7742</v>
      </c>
      <c r="D3172" s="2" t="s">
        <v>28</v>
      </c>
      <c r="E3172" s="2" t="s">
        <v>29</v>
      </c>
      <c r="F3172" s="2">
        <v>60</v>
      </c>
      <c r="G3172" s="2" t="s">
        <v>7743</v>
      </c>
      <c r="H3172" s="2" t="s">
        <v>1060</v>
      </c>
      <c r="I3172" s="2" t="s">
        <v>38</v>
      </c>
      <c r="J3172" s="3">
        <v>44405</v>
      </c>
      <c r="K3172" s="2">
        <v>78</v>
      </c>
      <c r="L3172" s="2" t="s">
        <v>54</v>
      </c>
    </row>
    <row r="3173" spans="1:12" x14ac:dyDescent="0.3">
      <c r="A3173" s="2">
        <v>3162</v>
      </c>
      <c r="B3173" s="2" t="s">
        <v>5309</v>
      </c>
      <c r="C3173" s="2" t="s">
        <v>1406</v>
      </c>
      <c r="D3173" s="2" t="s">
        <v>15</v>
      </c>
      <c r="E3173" s="2" t="s">
        <v>16</v>
      </c>
      <c r="F3173" s="2">
        <v>30</v>
      </c>
      <c r="G3173" s="2" t="s">
        <v>7744</v>
      </c>
      <c r="H3173" s="2" t="s">
        <v>3790</v>
      </c>
      <c r="I3173" s="2" t="s">
        <v>32</v>
      </c>
      <c r="J3173" s="3">
        <v>44247</v>
      </c>
      <c r="K3173" s="2">
        <v>5</v>
      </c>
      <c r="L3173" s="2" t="s">
        <v>101</v>
      </c>
    </row>
    <row r="3174" spans="1:12" x14ac:dyDescent="0.3">
      <c r="A3174" s="2">
        <v>3163</v>
      </c>
      <c r="B3174" s="2" t="s">
        <v>7745</v>
      </c>
      <c r="C3174" s="2" t="s">
        <v>6527</v>
      </c>
      <c r="D3174" s="2" t="s">
        <v>15</v>
      </c>
      <c r="E3174" s="2" t="s">
        <v>16</v>
      </c>
      <c r="F3174" s="2">
        <v>30</v>
      </c>
      <c r="G3174" s="2" t="s">
        <v>7746</v>
      </c>
      <c r="H3174" s="2" t="s">
        <v>7546</v>
      </c>
      <c r="I3174" s="2" t="s">
        <v>187</v>
      </c>
      <c r="J3174" s="3">
        <v>44438</v>
      </c>
      <c r="K3174" s="2">
        <v>66</v>
      </c>
      <c r="L3174" s="2" t="s">
        <v>80</v>
      </c>
    </row>
    <row r="3175" spans="1:12" x14ac:dyDescent="0.3">
      <c r="A3175" s="2">
        <v>3164</v>
      </c>
      <c r="B3175" s="2" t="s">
        <v>6580</v>
      </c>
      <c r="C3175" s="2" t="s">
        <v>1710</v>
      </c>
      <c r="D3175" s="2" t="s">
        <v>28</v>
      </c>
      <c r="E3175" s="2" t="s">
        <v>29</v>
      </c>
      <c r="F3175" s="2">
        <v>90</v>
      </c>
      <c r="G3175" s="2" t="s">
        <v>7747</v>
      </c>
      <c r="H3175" s="2" t="s">
        <v>1948</v>
      </c>
      <c r="I3175" s="2" t="s">
        <v>25</v>
      </c>
      <c r="J3175" s="3">
        <v>43845</v>
      </c>
      <c r="K3175" s="2">
        <v>64</v>
      </c>
      <c r="L3175" s="2" t="s">
        <v>45</v>
      </c>
    </row>
    <row r="3176" spans="1:12" x14ac:dyDescent="0.3">
      <c r="A3176" s="2">
        <v>3165</v>
      </c>
      <c r="B3176" s="2" t="s">
        <v>6578</v>
      </c>
      <c r="C3176" s="2" t="s">
        <v>4596</v>
      </c>
      <c r="D3176" s="2" t="s">
        <v>28</v>
      </c>
      <c r="E3176" s="2" t="s">
        <v>29</v>
      </c>
      <c r="F3176" s="2">
        <v>90</v>
      </c>
      <c r="G3176" s="2" t="s">
        <v>7748</v>
      </c>
      <c r="H3176" s="2" t="s">
        <v>655</v>
      </c>
      <c r="I3176" s="2" t="s">
        <v>32</v>
      </c>
      <c r="J3176" s="3">
        <v>44873</v>
      </c>
      <c r="K3176" s="2">
        <v>95</v>
      </c>
      <c r="L3176" s="2" t="s">
        <v>64</v>
      </c>
    </row>
    <row r="3177" spans="1:12" x14ac:dyDescent="0.3">
      <c r="A3177" s="2">
        <v>3166</v>
      </c>
      <c r="B3177" s="2" t="s">
        <v>7749</v>
      </c>
      <c r="C3177" s="2" t="s">
        <v>661</v>
      </c>
      <c r="D3177" s="2" t="s">
        <v>51</v>
      </c>
      <c r="E3177" s="2" t="s">
        <v>16</v>
      </c>
      <c r="F3177" s="2">
        <v>30</v>
      </c>
      <c r="G3177" s="2" t="s">
        <v>7750</v>
      </c>
      <c r="H3177" s="2" t="s">
        <v>7353</v>
      </c>
      <c r="I3177" s="2" t="s">
        <v>19</v>
      </c>
      <c r="J3177" s="3">
        <v>43922</v>
      </c>
      <c r="K3177" s="2">
        <v>80</v>
      </c>
      <c r="L3177" s="2" t="s">
        <v>54</v>
      </c>
    </row>
    <row r="3178" spans="1:12" x14ac:dyDescent="0.3">
      <c r="A3178" s="2">
        <v>3167</v>
      </c>
      <c r="B3178" s="2" t="s">
        <v>1116</v>
      </c>
      <c r="C3178" s="2" t="s">
        <v>1274</v>
      </c>
      <c r="D3178" s="2" t="s">
        <v>28</v>
      </c>
      <c r="E3178" s="2" t="s">
        <v>29</v>
      </c>
      <c r="F3178" s="2">
        <v>30</v>
      </c>
      <c r="G3178" s="2" t="s">
        <v>7751</v>
      </c>
      <c r="H3178" s="2" t="s">
        <v>7752</v>
      </c>
      <c r="I3178" s="2" t="s">
        <v>32</v>
      </c>
      <c r="J3178" s="3">
        <v>43977</v>
      </c>
      <c r="K3178" s="2">
        <v>77</v>
      </c>
      <c r="L3178" s="2" t="s">
        <v>39</v>
      </c>
    </row>
    <row r="3179" spans="1:12" x14ac:dyDescent="0.3">
      <c r="A3179" s="2">
        <v>3168</v>
      </c>
      <c r="B3179" s="2" t="s">
        <v>7753</v>
      </c>
      <c r="C3179" s="2" t="s">
        <v>111</v>
      </c>
      <c r="D3179" s="2" t="s">
        <v>28</v>
      </c>
      <c r="E3179" s="2" t="s">
        <v>29</v>
      </c>
      <c r="F3179" s="2">
        <v>30</v>
      </c>
      <c r="G3179" s="2" t="s">
        <v>7754</v>
      </c>
      <c r="H3179" s="2" t="s">
        <v>2745</v>
      </c>
      <c r="I3179" s="2" t="s">
        <v>32</v>
      </c>
      <c r="J3179" s="3">
        <v>44855</v>
      </c>
      <c r="K3179" s="2">
        <v>65</v>
      </c>
      <c r="L3179" s="2" t="s">
        <v>20</v>
      </c>
    </row>
    <row r="3180" spans="1:12" x14ac:dyDescent="0.3">
      <c r="A3180" s="2">
        <v>3169</v>
      </c>
      <c r="B3180" s="2" t="s">
        <v>7755</v>
      </c>
      <c r="C3180" s="2" t="s">
        <v>4971</v>
      </c>
      <c r="D3180" s="2" t="s">
        <v>51</v>
      </c>
      <c r="E3180" s="2" t="s">
        <v>16</v>
      </c>
      <c r="F3180" s="2">
        <v>30</v>
      </c>
      <c r="G3180" s="2" t="s">
        <v>7756</v>
      </c>
      <c r="H3180" s="2" t="s">
        <v>7056</v>
      </c>
      <c r="I3180" s="2" t="s">
        <v>95</v>
      </c>
      <c r="J3180" s="3">
        <v>44227</v>
      </c>
      <c r="K3180" s="2">
        <v>54</v>
      </c>
      <c r="L3180" s="2" t="s">
        <v>54</v>
      </c>
    </row>
    <row r="3181" spans="1:12" x14ac:dyDescent="0.3">
      <c r="A3181" s="2">
        <v>3170</v>
      </c>
      <c r="B3181" s="2" t="s">
        <v>4591</v>
      </c>
      <c r="C3181" s="2" t="s">
        <v>3953</v>
      </c>
      <c r="D3181" s="2" t="s">
        <v>28</v>
      </c>
      <c r="E3181" s="2" t="s">
        <v>29</v>
      </c>
      <c r="F3181" s="2">
        <v>30</v>
      </c>
      <c r="G3181" s="2" t="s">
        <v>7757</v>
      </c>
      <c r="H3181" s="2" t="s">
        <v>7758</v>
      </c>
      <c r="I3181" s="2" t="s">
        <v>819</v>
      </c>
      <c r="J3181" s="3">
        <v>44152</v>
      </c>
      <c r="K3181" s="2">
        <v>17</v>
      </c>
      <c r="L3181" s="2" t="s">
        <v>20</v>
      </c>
    </row>
    <row r="3182" spans="1:12" x14ac:dyDescent="0.3">
      <c r="A3182" s="2">
        <v>3171</v>
      </c>
      <c r="B3182" s="2" t="s">
        <v>6190</v>
      </c>
      <c r="C3182" s="2" t="s">
        <v>277</v>
      </c>
      <c r="D3182" s="2" t="s">
        <v>28</v>
      </c>
      <c r="E3182" s="2" t="s">
        <v>29</v>
      </c>
      <c r="F3182" s="2">
        <v>30</v>
      </c>
      <c r="G3182" s="2" t="s">
        <v>7759</v>
      </c>
      <c r="H3182" s="2" t="s">
        <v>5222</v>
      </c>
      <c r="I3182" s="2" t="s">
        <v>32</v>
      </c>
      <c r="J3182" s="3">
        <v>44792</v>
      </c>
      <c r="K3182" s="2">
        <v>7</v>
      </c>
      <c r="L3182" s="2" t="s">
        <v>45</v>
      </c>
    </row>
    <row r="3183" spans="1:12" x14ac:dyDescent="0.3">
      <c r="A3183" s="2">
        <v>3172</v>
      </c>
      <c r="B3183" s="2" t="s">
        <v>6192</v>
      </c>
      <c r="C3183" s="2" t="s">
        <v>5195</v>
      </c>
      <c r="D3183" s="2" t="s">
        <v>28</v>
      </c>
      <c r="E3183" s="2" t="s">
        <v>29</v>
      </c>
      <c r="F3183" s="2">
        <v>90</v>
      </c>
      <c r="G3183" s="2" t="s">
        <v>7760</v>
      </c>
      <c r="H3183" s="2" t="s">
        <v>1056</v>
      </c>
      <c r="I3183" s="2" t="s">
        <v>129</v>
      </c>
      <c r="J3183" s="3">
        <v>44375</v>
      </c>
      <c r="K3183" s="2">
        <v>21</v>
      </c>
      <c r="L3183" s="2" t="s">
        <v>39</v>
      </c>
    </row>
    <row r="3184" spans="1:12" x14ac:dyDescent="0.3">
      <c r="A3184" s="2">
        <v>3173</v>
      </c>
      <c r="B3184" s="2" t="s">
        <v>1313</v>
      </c>
      <c r="C3184" s="2" t="s">
        <v>7761</v>
      </c>
      <c r="D3184" s="2" t="s">
        <v>28</v>
      </c>
      <c r="E3184" s="2" t="s">
        <v>29</v>
      </c>
      <c r="F3184" s="2">
        <v>60</v>
      </c>
      <c r="G3184" s="2" t="s">
        <v>7762</v>
      </c>
      <c r="H3184" s="2" t="s">
        <v>7763</v>
      </c>
      <c r="I3184" s="2" t="s">
        <v>129</v>
      </c>
      <c r="J3184" s="3">
        <v>44133</v>
      </c>
      <c r="K3184" s="2">
        <v>29</v>
      </c>
      <c r="L3184" s="2" t="s">
        <v>39</v>
      </c>
    </row>
    <row r="3185" spans="1:12" x14ac:dyDescent="0.3">
      <c r="A3185" s="2">
        <v>3174</v>
      </c>
      <c r="B3185" s="2" t="s">
        <v>7764</v>
      </c>
      <c r="C3185" s="2" t="s">
        <v>5174</v>
      </c>
      <c r="D3185" s="2" t="s">
        <v>15</v>
      </c>
      <c r="E3185" s="2" t="s">
        <v>16</v>
      </c>
      <c r="F3185" s="2">
        <v>30</v>
      </c>
      <c r="G3185" s="2" t="s">
        <v>7765</v>
      </c>
      <c r="H3185" s="2" t="s">
        <v>7526</v>
      </c>
      <c r="I3185" s="2" t="s">
        <v>32</v>
      </c>
      <c r="J3185" s="3">
        <v>44249</v>
      </c>
      <c r="K3185" s="2">
        <v>64</v>
      </c>
      <c r="L3185" s="2" t="s">
        <v>45</v>
      </c>
    </row>
    <row r="3186" spans="1:12" x14ac:dyDescent="0.3">
      <c r="A3186" s="2">
        <v>3175</v>
      </c>
      <c r="B3186" s="2" t="s">
        <v>6306</v>
      </c>
      <c r="C3186" s="2" t="s">
        <v>7766</v>
      </c>
      <c r="D3186" s="2" t="s">
        <v>28</v>
      </c>
      <c r="E3186" s="2" t="s">
        <v>29</v>
      </c>
      <c r="F3186" s="2">
        <v>90</v>
      </c>
      <c r="G3186" s="2" t="s">
        <v>7767</v>
      </c>
      <c r="H3186" s="2" t="s">
        <v>7768</v>
      </c>
      <c r="I3186" s="2" t="s">
        <v>19</v>
      </c>
      <c r="J3186" s="3">
        <v>44228</v>
      </c>
      <c r="K3186" s="2">
        <v>90</v>
      </c>
      <c r="L3186" s="2" t="s">
        <v>54</v>
      </c>
    </row>
    <row r="3187" spans="1:12" x14ac:dyDescent="0.3">
      <c r="A3187" s="2">
        <v>3176</v>
      </c>
      <c r="B3187" s="2" t="s">
        <v>7769</v>
      </c>
      <c r="C3187" s="2" t="s">
        <v>672</v>
      </c>
      <c r="D3187" s="2" t="s">
        <v>15</v>
      </c>
      <c r="E3187" s="2" t="s">
        <v>16</v>
      </c>
      <c r="F3187" s="2">
        <v>30</v>
      </c>
      <c r="G3187" s="2" t="s">
        <v>7770</v>
      </c>
      <c r="H3187" s="2" t="s">
        <v>3148</v>
      </c>
      <c r="I3187" s="2" t="s">
        <v>146</v>
      </c>
      <c r="J3187" s="3">
        <v>44687</v>
      </c>
      <c r="K3187" s="2">
        <v>54</v>
      </c>
      <c r="L3187" s="2" t="s">
        <v>54</v>
      </c>
    </row>
    <row r="3188" spans="1:12" x14ac:dyDescent="0.3">
      <c r="A3188" s="2">
        <v>3177</v>
      </c>
      <c r="B3188" s="2" t="s">
        <v>485</v>
      </c>
      <c r="C3188" s="2" t="s">
        <v>6452</v>
      </c>
      <c r="D3188" s="2" t="s">
        <v>28</v>
      </c>
      <c r="E3188" s="2" t="s">
        <v>29</v>
      </c>
      <c r="F3188" s="2">
        <v>90</v>
      </c>
      <c r="G3188" s="2" t="s">
        <v>7771</v>
      </c>
      <c r="H3188" s="2" t="s">
        <v>641</v>
      </c>
      <c r="I3188" s="2" t="s">
        <v>294</v>
      </c>
      <c r="J3188" s="3">
        <v>44551</v>
      </c>
      <c r="K3188" s="2">
        <v>77</v>
      </c>
      <c r="L3188" s="2" t="s">
        <v>45</v>
      </c>
    </row>
    <row r="3189" spans="1:12" x14ac:dyDescent="0.3">
      <c r="A3189" s="2">
        <v>3178</v>
      </c>
      <c r="B3189" s="2" t="s">
        <v>7772</v>
      </c>
      <c r="C3189" s="2" t="s">
        <v>762</v>
      </c>
      <c r="D3189" s="2" t="s">
        <v>51</v>
      </c>
      <c r="E3189" s="2" t="s">
        <v>16</v>
      </c>
      <c r="F3189" s="2">
        <v>30</v>
      </c>
      <c r="G3189" s="2" t="s">
        <v>7773</v>
      </c>
      <c r="H3189" s="2" t="s">
        <v>7161</v>
      </c>
      <c r="I3189" s="2" t="s">
        <v>32</v>
      </c>
      <c r="J3189" s="3">
        <v>43989</v>
      </c>
      <c r="K3189" s="2">
        <v>38</v>
      </c>
      <c r="L3189" s="2" t="s">
        <v>54</v>
      </c>
    </row>
    <row r="3190" spans="1:12" x14ac:dyDescent="0.3">
      <c r="A3190" s="2">
        <v>3179</v>
      </c>
      <c r="B3190" s="2" t="s">
        <v>1065</v>
      </c>
      <c r="C3190" s="2" t="s">
        <v>7774</v>
      </c>
      <c r="D3190" s="2" t="s">
        <v>28</v>
      </c>
      <c r="E3190" s="2" t="s">
        <v>29</v>
      </c>
      <c r="F3190" s="2">
        <v>30</v>
      </c>
      <c r="G3190" s="2" t="s">
        <v>10545</v>
      </c>
      <c r="H3190" s="2" t="s">
        <v>3790</v>
      </c>
      <c r="I3190" s="2" t="s">
        <v>32</v>
      </c>
      <c r="J3190" s="3">
        <v>44909</v>
      </c>
      <c r="K3190" s="2">
        <v>56</v>
      </c>
      <c r="L3190" s="2" t="s">
        <v>70</v>
      </c>
    </row>
    <row r="3191" spans="1:12" x14ac:dyDescent="0.3">
      <c r="A3191" s="2">
        <v>3180</v>
      </c>
      <c r="B3191" s="2" t="s">
        <v>2782</v>
      </c>
      <c r="C3191" s="2" t="s">
        <v>5483</v>
      </c>
      <c r="D3191" s="2" t="s">
        <v>28</v>
      </c>
      <c r="E3191" s="2" t="s">
        <v>29</v>
      </c>
      <c r="F3191" s="2">
        <v>90</v>
      </c>
      <c r="G3191" s="2" t="s">
        <v>7776</v>
      </c>
      <c r="H3191" s="2" t="s">
        <v>7777</v>
      </c>
      <c r="I3191" s="2" t="s">
        <v>32</v>
      </c>
      <c r="J3191" s="3">
        <v>44213</v>
      </c>
      <c r="K3191" s="2">
        <v>79</v>
      </c>
      <c r="L3191" s="2" t="s">
        <v>33</v>
      </c>
    </row>
    <row r="3192" spans="1:12" x14ac:dyDescent="0.3">
      <c r="A3192" s="2">
        <v>3181</v>
      </c>
      <c r="B3192" s="2" t="s">
        <v>4939</v>
      </c>
      <c r="C3192" s="2" t="s">
        <v>5032</v>
      </c>
      <c r="D3192" s="2" t="s">
        <v>28</v>
      </c>
      <c r="E3192" s="2" t="s">
        <v>29</v>
      </c>
      <c r="F3192" s="2">
        <v>60</v>
      </c>
      <c r="G3192" s="2" t="s">
        <v>7778</v>
      </c>
      <c r="H3192" s="2" t="s">
        <v>1184</v>
      </c>
      <c r="I3192" s="2" t="s">
        <v>886</v>
      </c>
      <c r="J3192" s="3">
        <v>43865</v>
      </c>
      <c r="K3192" s="2">
        <v>18</v>
      </c>
      <c r="L3192" s="2" t="s">
        <v>101</v>
      </c>
    </row>
    <row r="3193" spans="1:12" x14ac:dyDescent="0.3">
      <c r="A3193" s="2">
        <v>3182</v>
      </c>
      <c r="B3193" s="2" t="s">
        <v>4536</v>
      </c>
      <c r="C3193" s="2" t="s">
        <v>7779</v>
      </c>
      <c r="D3193" s="2" t="s">
        <v>28</v>
      </c>
      <c r="E3193" s="2" t="s">
        <v>29</v>
      </c>
      <c r="F3193" s="2">
        <v>30</v>
      </c>
      <c r="G3193" s="2" t="s">
        <v>7780</v>
      </c>
      <c r="H3193" s="2" t="s">
        <v>1819</v>
      </c>
      <c r="I3193" s="2" t="s">
        <v>89</v>
      </c>
      <c r="J3193" s="3">
        <v>44403</v>
      </c>
      <c r="K3193" s="2">
        <v>43</v>
      </c>
      <c r="L3193" s="2" t="s">
        <v>33</v>
      </c>
    </row>
    <row r="3194" spans="1:12" x14ac:dyDescent="0.3">
      <c r="A3194" s="2">
        <v>3183</v>
      </c>
      <c r="B3194" s="2" t="s">
        <v>2157</v>
      </c>
      <c r="C3194" s="2" t="s">
        <v>1923</v>
      </c>
      <c r="D3194" s="2" t="s">
        <v>41</v>
      </c>
      <c r="E3194" s="2" t="s">
        <v>16</v>
      </c>
      <c r="F3194" s="2">
        <v>90</v>
      </c>
      <c r="G3194" s="2" t="s">
        <v>7781</v>
      </c>
      <c r="H3194" s="2" t="s">
        <v>84</v>
      </c>
      <c r="I3194" s="2" t="s">
        <v>32</v>
      </c>
      <c r="J3194" s="3">
        <v>44342</v>
      </c>
      <c r="K3194" s="2">
        <v>66</v>
      </c>
      <c r="L3194" s="2" t="s">
        <v>33</v>
      </c>
    </row>
    <row r="3195" spans="1:12" x14ac:dyDescent="0.3">
      <c r="A3195" s="2">
        <v>3184</v>
      </c>
      <c r="B3195" s="2" t="s">
        <v>7782</v>
      </c>
      <c r="C3195" s="2" t="s">
        <v>1304</v>
      </c>
      <c r="D3195" s="2" t="s">
        <v>15</v>
      </c>
      <c r="E3195" s="2" t="s">
        <v>16</v>
      </c>
      <c r="F3195" s="2">
        <v>90</v>
      </c>
      <c r="G3195" s="2" t="s">
        <v>7783</v>
      </c>
      <c r="H3195" s="2" t="s">
        <v>266</v>
      </c>
      <c r="I3195" s="2" t="s">
        <v>32</v>
      </c>
      <c r="J3195" s="3">
        <v>43875</v>
      </c>
      <c r="K3195" s="2">
        <v>5</v>
      </c>
      <c r="L3195" s="2" t="s">
        <v>70</v>
      </c>
    </row>
    <row r="3196" spans="1:12" x14ac:dyDescent="0.3">
      <c r="A3196" s="2">
        <v>3185</v>
      </c>
      <c r="B3196" s="2" t="s">
        <v>2919</v>
      </c>
      <c r="C3196" s="2" t="s">
        <v>5913</v>
      </c>
      <c r="D3196" s="2" t="s">
        <v>28</v>
      </c>
      <c r="E3196" s="2" t="s">
        <v>29</v>
      </c>
      <c r="F3196" s="2">
        <v>60</v>
      </c>
      <c r="G3196" s="2" t="s">
        <v>7784</v>
      </c>
      <c r="H3196" s="2" t="s">
        <v>7785</v>
      </c>
      <c r="I3196" s="2" t="s">
        <v>32</v>
      </c>
      <c r="J3196" s="3">
        <v>44585</v>
      </c>
      <c r="K3196" s="2">
        <v>92</v>
      </c>
      <c r="L3196" s="2" t="s">
        <v>64</v>
      </c>
    </row>
    <row r="3197" spans="1:12" x14ac:dyDescent="0.3">
      <c r="A3197" s="2">
        <v>3186</v>
      </c>
      <c r="B3197" s="2" t="s">
        <v>6715</v>
      </c>
      <c r="C3197" s="2" t="s">
        <v>7520</v>
      </c>
      <c r="D3197" s="2" t="s">
        <v>28</v>
      </c>
      <c r="E3197" s="2" t="s">
        <v>29</v>
      </c>
      <c r="F3197" s="2">
        <v>60</v>
      </c>
      <c r="G3197" s="2" t="s">
        <v>7786</v>
      </c>
      <c r="H3197" s="2" t="s">
        <v>5581</v>
      </c>
      <c r="I3197" s="2" t="s">
        <v>187</v>
      </c>
      <c r="J3197" s="3">
        <v>44425</v>
      </c>
      <c r="K3197" s="2">
        <v>4</v>
      </c>
      <c r="L3197" s="2" t="s">
        <v>70</v>
      </c>
    </row>
    <row r="3198" spans="1:12" x14ac:dyDescent="0.3">
      <c r="A3198" s="2">
        <v>3187</v>
      </c>
      <c r="B3198" s="2" t="s">
        <v>7787</v>
      </c>
      <c r="C3198" s="2" t="s">
        <v>2269</v>
      </c>
      <c r="D3198" s="2" t="s">
        <v>51</v>
      </c>
      <c r="E3198" s="2" t="s">
        <v>16</v>
      </c>
      <c r="F3198" s="2">
        <v>60</v>
      </c>
      <c r="G3198" s="2" t="s">
        <v>7788</v>
      </c>
      <c r="H3198" s="2" t="s">
        <v>1077</v>
      </c>
      <c r="I3198" s="2" t="s">
        <v>1078</v>
      </c>
      <c r="J3198" s="3">
        <v>43902</v>
      </c>
      <c r="K3198" s="2">
        <v>6</v>
      </c>
      <c r="L3198" s="2" t="s">
        <v>80</v>
      </c>
    </row>
    <row r="3199" spans="1:12" x14ac:dyDescent="0.3">
      <c r="A3199" s="2">
        <v>3188</v>
      </c>
      <c r="B3199" s="2" t="s">
        <v>6492</v>
      </c>
      <c r="C3199" s="2" t="s">
        <v>7789</v>
      </c>
      <c r="D3199" s="2" t="s">
        <v>28</v>
      </c>
      <c r="E3199" s="2" t="s">
        <v>29</v>
      </c>
      <c r="F3199" s="2">
        <v>60</v>
      </c>
      <c r="G3199" s="2" t="s">
        <v>7790</v>
      </c>
      <c r="H3199" s="2" t="s">
        <v>6479</v>
      </c>
      <c r="I3199" s="2" t="s">
        <v>187</v>
      </c>
      <c r="J3199" s="3">
        <v>44724</v>
      </c>
      <c r="K3199" s="2">
        <v>99</v>
      </c>
      <c r="L3199" s="2" t="s">
        <v>101</v>
      </c>
    </row>
    <row r="3200" spans="1:12" x14ac:dyDescent="0.3">
      <c r="A3200" s="2">
        <v>3189</v>
      </c>
      <c r="B3200" s="2" t="s">
        <v>7791</v>
      </c>
      <c r="C3200" s="2" t="s">
        <v>5452</v>
      </c>
      <c r="D3200" s="2" t="s">
        <v>28</v>
      </c>
      <c r="E3200" s="2" t="s">
        <v>29</v>
      </c>
      <c r="F3200" s="2">
        <v>30</v>
      </c>
      <c r="G3200" s="2" t="s">
        <v>7792</v>
      </c>
      <c r="H3200" s="2" t="s">
        <v>105</v>
      </c>
      <c r="I3200" s="2" t="s">
        <v>32</v>
      </c>
      <c r="J3200" s="3">
        <v>44263</v>
      </c>
      <c r="K3200" s="2">
        <v>4</v>
      </c>
      <c r="L3200" s="2" t="s">
        <v>45</v>
      </c>
    </row>
    <row r="3201" spans="1:12" x14ac:dyDescent="0.3">
      <c r="A3201" s="2">
        <v>3190</v>
      </c>
      <c r="B3201" s="2" t="s">
        <v>1108</v>
      </c>
      <c r="C3201" s="2" t="s">
        <v>3111</v>
      </c>
      <c r="D3201" s="2" t="s">
        <v>28</v>
      </c>
      <c r="E3201" s="2" t="s">
        <v>29</v>
      </c>
      <c r="F3201" s="2">
        <v>30</v>
      </c>
      <c r="G3201" s="2" t="s">
        <v>7793</v>
      </c>
      <c r="H3201" s="2" t="s">
        <v>7794</v>
      </c>
      <c r="I3201" s="2" t="s">
        <v>32</v>
      </c>
      <c r="J3201" s="3">
        <v>44631</v>
      </c>
      <c r="K3201" s="2">
        <v>101</v>
      </c>
      <c r="L3201" s="2" t="s">
        <v>20</v>
      </c>
    </row>
    <row r="3202" spans="1:12" x14ac:dyDescent="0.3">
      <c r="A3202" s="2">
        <v>3191</v>
      </c>
      <c r="B3202" s="2" t="s">
        <v>7795</v>
      </c>
      <c r="C3202" s="2" t="s">
        <v>5837</v>
      </c>
      <c r="D3202" s="2" t="s">
        <v>28</v>
      </c>
      <c r="E3202" s="2" t="s">
        <v>29</v>
      </c>
      <c r="F3202" s="2">
        <v>30</v>
      </c>
      <c r="G3202" s="2" t="s">
        <v>7796</v>
      </c>
      <c r="H3202" s="2" t="s">
        <v>6693</v>
      </c>
      <c r="I3202" s="2" t="s">
        <v>25</v>
      </c>
      <c r="J3202" s="3">
        <v>44034</v>
      </c>
      <c r="K3202" s="2">
        <v>83</v>
      </c>
      <c r="L3202" s="2" t="s">
        <v>54</v>
      </c>
    </row>
    <row r="3203" spans="1:12" x14ac:dyDescent="0.3">
      <c r="A3203" s="2">
        <v>3192</v>
      </c>
      <c r="B3203" s="2" t="s">
        <v>7797</v>
      </c>
      <c r="C3203" s="2" t="s">
        <v>5193</v>
      </c>
      <c r="D3203" s="2" t="s">
        <v>15</v>
      </c>
      <c r="E3203" s="2" t="s">
        <v>16</v>
      </c>
      <c r="F3203" s="2">
        <v>30</v>
      </c>
      <c r="G3203" s="2" t="s">
        <v>7798</v>
      </c>
      <c r="H3203" s="2" t="s">
        <v>7799</v>
      </c>
      <c r="I3203" s="2" t="s">
        <v>173</v>
      </c>
      <c r="J3203" s="3">
        <v>44794</v>
      </c>
      <c r="K3203" s="2">
        <v>19</v>
      </c>
      <c r="L3203" s="2" t="s">
        <v>54</v>
      </c>
    </row>
    <row r="3204" spans="1:12" x14ac:dyDescent="0.3">
      <c r="A3204" s="2">
        <v>3193</v>
      </c>
      <c r="B3204" s="2" t="s">
        <v>7800</v>
      </c>
      <c r="C3204" s="2" t="s">
        <v>7801</v>
      </c>
      <c r="D3204" s="2" t="s">
        <v>15</v>
      </c>
      <c r="E3204" s="2" t="s">
        <v>16</v>
      </c>
      <c r="F3204" s="2">
        <v>90</v>
      </c>
      <c r="G3204" s="2" t="s">
        <v>7798</v>
      </c>
      <c r="H3204" s="2" t="s">
        <v>1333</v>
      </c>
      <c r="I3204" s="2" t="s">
        <v>294</v>
      </c>
      <c r="J3204" s="3">
        <v>43961</v>
      </c>
      <c r="K3204" s="2">
        <v>24</v>
      </c>
      <c r="L3204" s="2" t="s">
        <v>45</v>
      </c>
    </row>
    <row r="3205" spans="1:12" x14ac:dyDescent="0.3">
      <c r="A3205" s="2">
        <v>3194</v>
      </c>
      <c r="B3205" s="2" t="s">
        <v>7802</v>
      </c>
      <c r="C3205" s="2" t="s">
        <v>928</v>
      </c>
      <c r="D3205" s="2" t="s">
        <v>51</v>
      </c>
      <c r="E3205" s="2" t="s">
        <v>16</v>
      </c>
      <c r="F3205" s="2">
        <v>90</v>
      </c>
      <c r="G3205" s="2" t="s">
        <v>7803</v>
      </c>
      <c r="H3205" s="2" t="s">
        <v>6507</v>
      </c>
      <c r="I3205" s="2" t="s">
        <v>187</v>
      </c>
      <c r="J3205" s="3">
        <v>43952</v>
      </c>
      <c r="K3205" s="2">
        <v>49</v>
      </c>
      <c r="L3205" s="2" t="s">
        <v>159</v>
      </c>
    </row>
    <row r="3206" spans="1:12" x14ac:dyDescent="0.3">
      <c r="A3206" s="2">
        <v>3195</v>
      </c>
      <c r="B3206" s="2" t="s">
        <v>7804</v>
      </c>
      <c r="C3206" s="2" t="s">
        <v>1846</v>
      </c>
      <c r="D3206" s="2" t="s">
        <v>28</v>
      </c>
      <c r="E3206" s="2" t="s">
        <v>29</v>
      </c>
      <c r="F3206" s="2">
        <v>30</v>
      </c>
      <c r="G3206" s="2" t="s">
        <v>7805</v>
      </c>
      <c r="H3206" s="2" t="s">
        <v>7806</v>
      </c>
      <c r="I3206" s="2" t="s">
        <v>294</v>
      </c>
      <c r="J3206" s="3">
        <v>44851</v>
      </c>
      <c r="K3206" s="2">
        <v>99</v>
      </c>
      <c r="L3206" s="2" t="s">
        <v>101</v>
      </c>
    </row>
    <row r="3207" spans="1:12" x14ac:dyDescent="0.3">
      <c r="A3207" s="2">
        <v>3196</v>
      </c>
      <c r="B3207" s="2" t="s">
        <v>7412</v>
      </c>
      <c r="C3207" s="2" t="s">
        <v>336</v>
      </c>
      <c r="D3207" s="2" t="s">
        <v>28</v>
      </c>
      <c r="E3207" s="2" t="s">
        <v>29</v>
      </c>
      <c r="F3207" s="2">
        <v>60</v>
      </c>
      <c r="G3207" s="2" t="s">
        <v>7807</v>
      </c>
      <c r="H3207" s="2" t="s">
        <v>1242</v>
      </c>
      <c r="I3207" s="2" t="s">
        <v>38</v>
      </c>
      <c r="J3207" s="3">
        <v>44843</v>
      </c>
      <c r="K3207" s="2">
        <v>70</v>
      </c>
      <c r="L3207" s="2" t="s">
        <v>33</v>
      </c>
    </row>
    <row r="3208" spans="1:12" x14ac:dyDescent="0.3">
      <c r="A3208" s="2">
        <v>3197</v>
      </c>
      <c r="B3208" s="2" t="s">
        <v>3410</v>
      </c>
      <c r="C3208" s="2" t="s">
        <v>5090</v>
      </c>
      <c r="D3208" s="2" t="s">
        <v>28</v>
      </c>
      <c r="E3208" s="2" t="s">
        <v>29</v>
      </c>
      <c r="F3208" s="2">
        <v>90</v>
      </c>
      <c r="G3208" s="2" t="s">
        <v>7808</v>
      </c>
      <c r="H3208" s="2" t="s">
        <v>2542</v>
      </c>
      <c r="I3208" s="2" t="s">
        <v>2543</v>
      </c>
      <c r="J3208" s="3">
        <v>44802</v>
      </c>
      <c r="K3208" s="2">
        <v>62</v>
      </c>
      <c r="L3208" s="2" t="s">
        <v>80</v>
      </c>
    </row>
    <row r="3209" spans="1:12" x14ac:dyDescent="0.3">
      <c r="A3209" s="2">
        <v>3198</v>
      </c>
      <c r="B3209" s="2" t="s">
        <v>7809</v>
      </c>
      <c r="C3209" s="2" t="s">
        <v>4762</v>
      </c>
      <c r="D3209" s="2" t="s">
        <v>41</v>
      </c>
      <c r="E3209" s="2" t="s">
        <v>16</v>
      </c>
      <c r="F3209" s="2">
        <v>60</v>
      </c>
      <c r="G3209" s="2" t="s">
        <v>7810</v>
      </c>
      <c r="H3209" s="2" t="s">
        <v>3234</v>
      </c>
      <c r="I3209" s="2" t="s">
        <v>25</v>
      </c>
      <c r="J3209" s="3">
        <v>44185</v>
      </c>
      <c r="K3209" s="2">
        <v>59</v>
      </c>
      <c r="L3209" s="2" t="s">
        <v>101</v>
      </c>
    </row>
    <row r="3210" spans="1:12" x14ac:dyDescent="0.3">
      <c r="A3210" s="2">
        <v>3199</v>
      </c>
      <c r="B3210" s="2" t="s">
        <v>2005</v>
      </c>
      <c r="C3210" s="2" t="s">
        <v>7527</v>
      </c>
      <c r="D3210" s="2" t="s">
        <v>117</v>
      </c>
      <c r="E3210" s="2" t="s">
        <v>16</v>
      </c>
      <c r="F3210" s="2">
        <v>30</v>
      </c>
      <c r="G3210" s="2" t="s">
        <v>7810</v>
      </c>
      <c r="H3210" s="2" t="s">
        <v>3236</v>
      </c>
      <c r="I3210" s="2" t="s">
        <v>32</v>
      </c>
      <c r="J3210" s="3">
        <v>44631</v>
      </c>
      <c r="K3210" s="2">
        <v>45</v>
      </c>
      <c r="L3210" s="2" t="s">
        <v>64</v>
      </c>
    </row>
    <row r="3211" spans="1:12" x14ac:dyDescent="0.3">
      <c r="A3211" s="2">
        <v>3200</v>
      </c>
      <c r="B3211" s="2" t="s">
        <v>7811</v>
      </c>
      <c r="C3211" s="2" t="s">
        <v>3535</v>
      </c>
      <c r="D3211" s="2" t="s">
        <v>15</v>
      </c>
      <c r="E3211" s="2" t="s">
        <v>16</v>
      </c>
      <c r="F3211" s="2">
        <v>90</v>
      </c>
      <c r="G3211" s="2" t="s">
        <v>7812</v>
      </c>
      <c r="H3211" s="2" t="s">
        <v>2076</v>
      </c>
      <c r="I3211" s="2" t="s">
        <v>2077</v>
      </c>
      <c r="J3211" s="3">
        <v>44396</v>
      </c>
      <c r="K3211" s="2">
        <v>25</v>
      </c>
      <c r="L3211" s="2" t="s">
        <v>101</v>
      </c>
    </row>
    <row r="3212" spans="1:12" x14ac:dyDescent="0.3">
      <c r="A3212" s="2">
        <v>3201</v>
      </c>
      <c r="B3212" s="2" t="s">
        <v>6290</v>
      </c>
      <c r="C3212" s="2" t="s">
        <v>3717</v>
      </c>
      <c r="D3212" s="2" t="s">
        <v>51</v>
      </c>
      <c r="E3212" s="2" t="s">
        <v>16</v>
      </c>
      <c r="F3212" s="2">
        <v>90</v>
      </c>
      <c r="G3212" s="2" t="s">
        <v>7813</v>
      </c>
      <c r="H3212" s="2" t="s">
        <v>682</v>
      </c>
      <c r="I3212" s="2" t="s">
        <v>32</v>
      </c>
      <c r="J3212" s="3">
        <v>44121</v>
      </c>
      <c r="K3212" s="2">
        <v>55</v>
      </c>
      <c r="L3212" s="2" t="s">
        <v>20</v>
      </c>
    </row>
    <row r="3213" spans="1:12" x14ac:dyDescent="0.3">
      <c r="A3213" s="2">
        <v>3202</v>
      </c>
      <c r="B3213" s="2" t="s">
        <v>7505</v>
      </c>
      <c r="C3213" s="2" t="s">
        <v>3375</v>
      </c>
      <c r="D3213" s="2" t="s">
        <v>28</v>
      </c>
      <c r="E3213" s="2" t="s">
        <v>29</v>
      </c>
      <c r="F3213" s="2">
        <v>60</v>
      </c>
      <c r="G3213" s="2" t="s">
        <v>7814</v>
      </c>
      <c r="H3213" s="2" t="s">
        <v>4835</v>
      </c>
      <c r="I3213" s="2" t="s">
        <v>32</v>
      </c>
      <c r="J3213" s="3">
        <v>43861</v>
      </c>
      <c r="K3213" s="2">
        <v>82</v>
      </c>
      <c r="L3213" s="2" t="s">
        <v>54</v>
      </c>
    </row>
    <row r="3214" spans="1:12" x14ac:dyDescent="0.3">
      <c r="A3214" s="2">
        <v>3203</v>
      </c>
      <c r="B3214" s="2" t="s">
        <v>3544</v>
      </c>
      <c r="C3214" s="2" t="s">
        <v>2862</v>
      </c>
      <c r="D3214" s="2" t="s">
        <v>28</v>
      </c>
      <c r="E3214" s="2" t="s">
        <v>29</v>
      </c>
      <c r="F3214" s="2">
        <v>60</v>
      </c>
      <c r="G3214" s="2" t="s">
        <v>7815</v>
      </c>
      <c r="H3214" s="2" t="s">
        <v>5748</v>
      </c>
      <c r="I3214" s="2" t="s">
        <v>124</v>
      </c>
      <c r="J3214" s="3">
        <v>44586</v>
      </c>
      <c r="K3214" s="2">
        <v>32</v>
      </c>
      <c r="L3214" s="2" t="s">
        <v>39</v>
      </c>
    </row>
    <row r="3215" spans="1:12" x14ac:dyDescent="0.3">
      <c r="A3215" s="2">
        <v>3204</v>
      </c>
      <c r="B3215" s="2" t="s">
        <v>496</v>
      </c>
      <c r="C3215" s="2" t="s">
        <v>2449</v>
      </c>
      <c r="D3215" s="2" t="s">
        <v>28</v>
      </c>
      <c r="E3215" s="2" t="s">
        <v>29</v>
      </c>
      <c r="F3215" s="2">
        <v>30</v>
      </c>
      <c r="G3215" s="2" t="s">
        <v>7816</v>
      </c>
      <c r="H3215" s="2" t="s">
        <v>5962</v>
      </c>
      <c r="I3215" s="2" t="s">
        <v>32</v>
      </c>
      <c r="J3215" s="3">
        <v>44278</v>
      </c>
      <c r="K3215" s="2">
        <v>84</v>
      </c>
      <c r="L3215" s="2" t="s">
        <v>101</v>
      </c>
    </row>
    <row r="3216" spans="1:12" x14ac:dyDescent="0.3">
      <c r="A3216" s="2">
        <v>3205</v>
      </c>
      <c r="B3216" s="2" t="s">
        <v>895</v>
      </c>
      <c r="C3216" s="2" t="s">
        <v>121</v>
      </c>
      <c r="D3216" s="2" t="s">
        <v>15</v>
      </c>
      <c r="E3216" s="2" t="s">
        <v>16</v>
      </c>
      <c r="F3216" s="2">
        <v>60</v>
      </c>
      <c r="G3216" s="2" t="s">
        <v>10546</v>
      </c>
      <c r="H3216" s="2" t="s">
        <v>7818</v>
      </c>
      <c r="I3216" s="2" t="s">
        <v>1311</v>
      </c>
      <c r="J3216" s="3">
        <v>44532</v>
      </c>
      <c r="K3216" s="2">
        <v>33</v>
      </c>
      <c r="L3216" s="2" t="s">
        <v>54</v>
      </c>
    </row>
    <row r="3217" spans="1:12" x14ac:dyDescent="0.3">
      <c r="A3217" s="2">
        <v>3206</v>
      </c>
      <c r="B3217" s="2" t="s">
        <v>204</v>
      </c>
      <c r="C3217" s="2" t="s">
        <v>7819</v>
      </c>
      <c r="D3217" s="2" t="s">
        <v>28</v>
      </c>
      <c r="E3217" s="2" t="s">
        <v>29</v>
      </c>
      <c r="F3217" s="2">
        <v>90</v>
      </c>
      <c r="G3217" s="2" t="s">
        <v>7820</v>
      </c>
      <c r="H3217" s="2" t="s">
        <v>5603</v>
      </c>
      <c r="I3217" s="2" t="s">
        <v>32</v>
      </c>
      <c r="J3217" s="3">
        <v>43901</v>
      </c>
      <c r="K3217" s="2">
        <v>22</v>
      </c>
      <c r="L3217" s="2" t="s">
        <v>70</v>
      </c>
    </row>
    <row r="3218" spans="1:12" x14ac:dyDescent="0.3">
      <c r="A3218" s="2">
        <v>3207</v>
      </c>
      <c r="B3218" s="2" t="s">
        <v>7821</v>
      </c>
      <c r="C3218" s="2" t="s">
        <v>6748</v>
      </c>
      <c r="D3218" s="2" t="s">
        <v>51</v>
      </c>
      <c r="E3218" s="2" t="s">
        <v>16</v>
      </c>
      <c r="F3218" s="2">
        <v>90</v>
      </c>
      <c r="G3218" s="2" t="s">
        <v>7822</v>
      </c>
      <c r="H3218" s="2" t="s">
        <v>4520</v>
      </c>
      <c r="I3218" s="2" t="s">
        <v>32</v>
      </c>
      <c r="J3218" s="3">
        <v>44130</v>
      </c>
      <c r="K3218" s="2">
        <v>68</v>
      </c>
      <c r="L3218" s="2" t="s">
        <v>101</v>
      </c>
    </row>
    <row r="3219" spans="1:12" x14ac:dyDescent="0.3">
      <c r="A3219" s="2">
        <v>3208</v>
      </c>
      <c r="B3219" s="2" t="s">
        <v>6274</v>
      </c>
      <c r="C3219" s="2" t="s">
        <v>7823</v>
      </c>
      <c r="D3219" s="2" t="s">
        <v>28</v>
      </c>
      <c r="E3219" s="2" t="s">
        <v>29</v>
      </c>
      <c r="F3219" s="2">
        <v>90</v>
      </c>
      <c r="G3219" s="2" t="s">
        <v>7824</v>
      </c>
      <c r="H3219" s="2" t="s">
        <v>6036</v>
      </c>
      <c r="I3219" s="2" t="s">
        <v>32</v>
      </c>
      <c r="J3219" s="3">
        <v>44692</v>
      </c>
      <c r="K3219" s="2">
        <v>85</v>
      </c>
      <c r="L3219" s="2" t="s">
        <v>159</v>
      </c>
    </row>
    <row r="3220" spans="1:12" x14ac:dyDescent="0.3">
      <c r="A3220" s="2">
        <v>3209</v>
      </c>
      <c r="B3220" s="2" t="s">
        <v>1524</v>
      </c>
      <c r="C3220" s="2" t="s">
        <v>7825</v>
      </c>
      <c r="D3220" s="2" t="s">
        <v>15</v>
      </c>
      <c r="E3220" s="2" t="s">
        <v>16</v>
      </c>
      <c r="F3220" s="2">
        <v>90</v>
      </c>
      <c r="G3220" s="2" t="s">
        <v>7826</v>
      </c>
      <c r="H3220" s="2" t="s">
        <v>48</v>
      </c>
      <c r="I3220" s="2" t="s">
        <v>25</v>
      </c>
      <c r="J3220" s="3">
        <v>44806</v>
      </c>
      <c r="K3220" s="2">
        <v>4</v>
      </c>
      <c r="L3220" s="2" t="s">
        <v>54</v>
      </c>
    </row>
    <row r="3221" spans="1:12" x14ac:dyDescent="0.3">
      <c r="A3221" s="2">
        <v>3210</v>
      </c>
      <c r="B3221" s="2" t="s">
        <v>2292</v>
      </c>
      <c r="C3221" s="2" t="s">
        <v>5174</v>
      </c>
      <c r="D3221" s="2" t="s">
        <v>28</v>
      </c>
      <c r="E3221" s="2" t="s">
        <v>29</v>
      </c>
      <c r="F3221" s="2">
        <v>30</v>
      </c>
      <c r="G3221" s="2" t="s">
        <v>7826</v>
      </c>
      <c r="H3221" s="2" t="s">
        <v>2512</v>
      </c>
      <c r="I3221" s="2" t="s">
        <v>32</v>
      </c>
      <c r="J3221" s="3">
        <v>44823</v>
      </c>
      <c r="K3221" s="2">
        <v>95</v>
      </c>
      <c r="L3221" s="2" t="s">
        <v>64</v>
      </c>
    </row>
    <row r="3222" spans="1:12" x14ac:dyDescent="0.3">
      <c r="A3222" s="2">
        <v>3211</v>
      </c>
      <c r="B3222" s="2" t="s">
        <v>7827</v>
      </c>
      <c r="C3222" s="2" t="s">
        <v>825</v>
      </c>
      <c r="D3222" s="2" t="s">
        <v>51</v>
      </c>
      <c r="E3222" s="2" t="s">
        <v>16</v>
      </c>
      <c r="F3222" s="2">
        <v>30</v>
      </c>
      <c r="G3222" s="2" t="s">
        <v>7828</v>
      </c>
      <c r="H3222" s="2" t="s">
        <v>7829</v>
      </c>
      <c r="I3222" s="2" t="s">
        <v>934</v>
      </c>
      <c r="J3222" s="3">
        <v>44708</v>
      </c>
      <c r="K3222" s="2">
        <v>86</v>
      </c>
      <c r="L3222" s="2" t="s">
        <v>20</v>
      </c>
    </row>
    <row r="3223" spans="1:12" x14ac:dyDescent="0.3">
      <c r="A3223" s="2">
        <v>3212</v>
      </c>
      <c r="B3223" s="2" t="s">
        <v>7830</v>
      </c>
      <c r="C3223" s="2" t="s">
        <v>7721</v>
      </c>
      <c r="D3223" s="2" t="s">
        <v>15</v>
      </c>
      <c r="E3223" s="2" t="s">
        <v>16</v>
      </c>
      <c r="F3223" s="2">
        <v>90</v>
      </c>
      <c r="G3223" s="2" t="s">
        <v>7831</v>
      </c>
      <c r="H3223" s="2" t="s">
        <v>6732</v>
      </c>
      <c r="I3223" s="2" t="s">
        <v>32</v>
      </c>
      <c r="J3223" s="3">
        <v>44533</v>
      </c>
      <c r="K3223" s="2">
        <v>40</v>
      </c>
      <c r="L3223" s="2" t="s">
        <v>39</v>
      </c>
    </row>
    <row r="3224" spans="1:12" x14ac:dyDescent="0.3">
      <c r="A3224" s="2">
        <v>3213</v>
      </c>
      <c r="B3224" s="2" t="s">
        <v>5774</v>
      </c>
      <c r="C3224" s="2" t="s">
        <v>841</v>
      </c>
      <c r="D3224" s="2" t="s">
        <v>28</v>
      </c>
      <c r="E3224" s="2" t="s">
        <v>29</v>
      </c>
      <c r="F3224" s="2">
        <v>30</v>
      </c>
      <c r="G3224" s="2" t="s">
        <v>7832</v>
      </c>
      <c r="H3224" s="2" t="s">
        <v>4056</v>
      </c>
      <c r="I3224" s="2" t="s">
        <v>124</v>
      </c>
      <c r="J3224" s="3">
        <v>44397</v>
      </c>
      <c r="K3224" s="2">
        <v>16</v>
      </c>
      <c r="L3224" s="2" t="s">
        <v>64</v>
      </c>
    </row>
    <row r="3225" spans="1:12" x14ac:dyDescent="0.3">
      <c r="A3225" s="2">
        <v>3214</v>
      </c>
      <c r="B3225" s="2" t="s">
        <v>4411</v>
      </c>
      <c r="C3225" s="2" t="s">
        <v>3009</v>
      </c>
      <c r="D3225" s="2" t="s">
        <v>28</v>
      </c>
      <c r="E3225" s="2" t="s">
        <v>29</v>
      </c>
      <c r="F3225" s="2">
        <v>60</v>
      </c>
      <c r="G3225" s="2" t="s">
        <v>7833</v>
      </c>
      <c r="H3225" s="2" t="s">
        <v>2236</v>
      </c>
      <c r="I3225" s="2" t="s">
        <v>2237</v>
      </c>
      <c r="J3225" s="3">
        <v>44163</v>
      </c>
      <c r="K3225" s="2">
        <v>43</v>
      </c>
      <c r="L3225" s="2" t="s">
        <v>45</v>
      </c>
    </row>
    <row r="3226" spans="1:12" x14ac:dyDescent="0.3">
      <c r="A3226" s="2">
        <v>3215</v>
      </c>
      <c r="B3226" s="2" t="s">
        <v>305</v>
      </c>
      <c r="C3226" s="2" t="s">
        <v>7834</v>
      </c>
      <c r="D3226" s="2" t="s">
        <v>28</v>
      </c>
      <c r="E3226" s="2" t="s">
        <v>29</v>
      </c>
      <c r="F3226" s="2">
        <v>60</v>
      </c>
      <c r="G3226" s="2" t="s">
        <v>10447</v>
      </c>
      <c r="H3226" s="2" t="s">
        <v>2418</v>
      </c>
      <c r="I3226" s="2" t="s">
        <v>32</v>
      </c>
      <c r="J3226" s="3">
        <v>44470</v>
      </c>
      <c r="K3226" s="2">
        <v>29</v>
      </c>
      <c r="L3226" s="2" t="s">
        <v>39</v>
      </c>
    </row>
    <row r="3227" spans="1:12" x14ac:dyDescent="0.3">
      <c r="A3227" s="2">
        <v>3216</v>
      </c>
      <c r="B3227" s="2" t="s">
        <v>4200</v>
      </c>
      <c r="C3227" s="2" t="s">
        <v>406</v>
      </c>
      <c r="D3227" s="2" t="s">
        <v>51</v>
      </c>
      <c r="E3227" s="2" t="s">
        <v>16</v>
      </c>
      <c r="F3227" s="2">
        <v>60</v>
      </c>
      <c r="G3227" s="2" t="s">
        <v>7836</v>
      </c>
      <c r="H3227" s="2" t="s">
        <v>2727</v>
      </c>
      <c r="I3227" s="2" t="s">
        <v>2330</v>
      </c>
      <c r="J3227" s="3">
        <v>44106</v>
      </c>
      <c r="K3227" s="2">
        <v>31</v>
      </c>
      <c r="L3227" s="2" t="s">
        <v>101</v>
      </c>
    </row>
    <row r="3228" spans="1:12" x14ac:dyDescent="0.3">
      <c r="A3228" s="2">
        <v>3217</v>
      </c>
      <c r="B3228" s="2" t="s">
        <v>4554</v>
      </c>
      <c r="C3228" s="2" t="s">
        <v>3652</v>
      </c>
      <c r="D3228" s="2" t="s">
        <v>51</v>
      </c>
      <c r="E3228" s="2" t="s">
        <v>16</v>
      </c>
      <c r="F3228" s="2">
        <v>30</v>
      </c>
      <c r="G3228" s="2" t="s">
        <v>7837</v>
      </c>
      <c r="H3228" s="2" t="s">
        <v>6795</v>
      </c>
      <c r="I3228" s="2" t="s">
        <v>146</v>
      </c>
      <c r="J3228" s="3">
        <v>44292</v>
      </c>
      <c r="K3228" s="2">
        <v>22</v>
      </c>
      <c r="L3228" s="2" t="s">
        <v>101</v>
      </c>
    </row>
    <row r="3229" spans="1:12" x14ac:dyDescent="0.3">
      <c r="A3229" s="2">
        <v>3218</v>
      </c>
      <c r="B3229" s="2" t="s">
        <v>7838</v>
      </c>
      <c r="C3229" s="2" t="s">
        <v>3831</v>
      </c>
      <c r="D3229" s="2" t="s">
        <v>28</v>
      </c>
      <c r="E3229" s="2" t="s">
        <v>29</v>
      </c>
      <c r="F3229" s="2">
        <v>90</v>
      </c>
      <c r="G3229" s="2" t="s">
        <v>7839</v>
      </c>
      <c r="H3229" s="2" t="s">
        <v>974</v>
      </c>
      <c r="I3229" s="2" t="s">
        <v>32</v>
      </c>
      <c r="J3229" s="3">
        <v>44752</v>
      </c>
      <c r="K3229" s="2">
        <v>24</v>
      </c>
      <c r="L3229" s="2" t="s">
        <v>39</v>
      </c>
    </row>
    <row r="3230" spans="1:12" x14ac:dyDescent="0.3">
      <c r="A3230" s="2">
        <v>3219</v>
      </c>
      <c r="B3230" s="2" t="s">
        <v>1424</v>
      </c>
      <c r="C3230" s="2" t="s">
        <v>3435</v>
      </c>
      <c r="D3230" s="2" t="s">
        <v>28</v>
      </c>
      <c r="E3230" s="2" t="s">
        <v>29</v>
      </c>
      <c r="F3230" s="2">
        <v>60</v>
      </c>
      <c r="G3230" s="2" t="s">
        <v>7840</v>
      </c>
      <c r="H3230" s="2" t="s">
        <v>3462</v>
      </c>
      <c r="I3230" s="2" t="s">
        <v>32</v>
      </c>
      <c r="J3230" s="3">
        <v>44785</v>
      </c>
      <c r="K3230" s="2">
        <v>101</v>
      </c>
      <c r="L3230" s="2" t="s">
        <v>54</v>
      </c>
    </row>
    <row r="3231" spans="1:12" x14ac:dyDescent="0.3">
      <c r="A3231" s="2">
        <v>3220</v>
      </c>
      <c r="B3231" s="2" t="s">
        <v>4101</v>
      </c>
      <c r="C3231" s="2" t="s">
        <v>2148</v>
      </c>
      <c r="D3231" s="2" t="s">
        <v>28</v>
      </c>
      <c r="E3231" s="2" t="s">
        <v>29</v>
      </c>
      <c r="F3231" s="2">
        <v>60</v>
      </c>
      <c r="G3231" s="2" t="s">
        <v>7841</v>
      </c>
      <c r="H3231" s="2" t="s">
        <v>5173</v>
      </c>
      <c r="I3231" s="2" t="s">
        <v>686</v>
      </c>
      <c r="J3231" s="3">
        <v>44716</v>
      </c>
      <c r="K3231" s="2">
        <v>78</v>
      </c>
      <c r="L3231" s="2" t="s">
        <v>45</v>
      </c>
    </row>
    <row r="3232" spans="1:12" x14ac:dyDescent="0.3">
      <c r="A3232" s="2">
        <v>3221</v>
      </c>
      <c r="B3232" s="2" t="s">
        <v>7842</v>
      </c>
      <c r="C3232" s="2" t="s">
        <v>2898</v>
      </c>
      <c r="D3232" s="2" t="s">
        <v>28</v>
      </c>
      <c r="E3232" s="2" t="s">
        <v>29</v>
      </c>
      <c r="F3232" s="2">
        <v>90</v>
      </c>
      <c r="G3232" s="2" t="s">
        <v>7843</v>
      </c>
      <c r="H3232" s="2" t="s">
        <v>7844</v>
      </c>
      <c r="I3232" s="2" t="s">
        <v>124</v>
      </c>
      <c r="J3232" s="3">
        <v>44681</v>
      </c>
      <c r="K3232" s="2">
        <v>87</v>
      </c>
      <c r="L3232" s="2" t="s">
        <v>64</v>
      </c>
    </row>
    <row r="3233" spans="1:12" x14ac:dyDescent="0.3">
      <c r="A3233" s="2">
        <v>3222</v>
      </c>
      <c r="B3233" s="2" t="s">
        <v>1029</v>
      </c>
      <c r="C3233" s="2" t="s">
        <v>5381</v>
      </c>
      <c r="D3233" s="2" t="s">
        <v>51</v>
      </c>
      <c r="E3233" s="2" t="s">
        <v>16</v>
      </c>
      <c r="F3233" s="2">
        <v>90</v>
      </c>
      <c r="G3233" s="2" t="s">
        <v>7845</v>
      </c>
      <c r="H3233" s="2" t="s">
        <v>5886</v>
      </c>
      <c r="I3233" s="2" t="s">
        <v>187</v>
      </c>
      <c r="J3233" s="3">
        <v>44840</v>
      </c>
      <c r="K3233" s="2">
        <v>91</v>
      </c>
      <c r="L3233" s="2" t="s">
        <v>45</v>
      </c>
    </row>
    <row r="3234" spans="1:12" x14ac:dyDescent="0.3">
      <c r="A3234" s="2">
        <v>3223</v>
      </c>
      <c r="B3234" s="2" t="s">
        <v>7846</v>
      </c>
      <c r="C3234" s="2" t="s">
        <v>7180</v>
      </c>
      <c r="D3234" s="2" t="s">
        <v>15</v>
      </c>
      <c r="E3234" s="2" t="s">
        <v>16</v>
      </c>
      <c r="F3234" s="2">
        <v>30</v>
      </c>
      <c r="G3234" s="2" t="s">
        <v>7847</v>
      </c>
      <c r="H3234" s="2" t="s">
        <v>933</v>
      </c>
      <c r="I3234" s="2" t="s">
        <v>934</v>
      </c>
      <c r="J3234" s="3">
        <v>44028</v>
      </c>
      <c r="K3234" s="2">
        <v>70</v>
      </c>
      <c r="L3234" s="2" t="s">
        <v>80</v>
      </c>
    </row>
    <row r="3235" spans="1:12" x14ac:dyDescent="0.3">
      <c r="A3235" s="2">
        <v>3224</v>
      </c>
      <c r="B3235" s="2" t="s">
        <v>7848</v>
      </c>
      <c r="C3235" s="2" t="s">
        <v>7849</v>
      </c>
      <c r="D3235" s="2" t="s">
        <v>51</v>
      </c>
      <c r="E3235" s="2" t="s">
        <v>16</v>
      </c>
      <c r="F3235" s="2">
        <v>30</v>
      </c>
      <c r="G3235" s="2" t="s">
        <v>7850</v>
      </c>
      <c r="H3235" s="2" t="s">
        <v>479</v>
      </c>
      <c r="I3235" s="2" t="s">
        <v>303</v>
      </c>
      <c r="J3235" s="3">
        <v>44132</v>
      </c>
      <c r="K3235" s="2">
        <v>71</v>
      </c>
      <c r="L3235" s="2" t="s">
        <v>64</v>
      </c>
    </row>
    <row r="3236" spans="1:12" x14ac:dyDescent="0.3">
      <c r="A3236" s="2">
        <v>3225</v>
      </c>
      <c r="B3236" s="2" t="s">
        <v>7851</v>
      </c>
      <c r="C3236" s="2" t="s">
        <v>1810</v>
      </c>
      <c r="D3236" s="2" t="s">
        <v>15</v>
      </c>
      <c r="E3236" s="2" t="s">
        <v>16</v>
      </c>
      <c r="F3236" s="2">
        <v>90</v>
      </c>
      <c r="G3236" s="2" t="s">
        <v>7852</v>
      </c>
      <c r="H3236" s="2" t="s">
        <v>3334</v>
      </c>
      <c r="I3236" s="2" t="s">
        <v>32</v>
      </c>
      <c r="J3236" s="3">
        <v>44360</v>
      </c>
      <c r="K3236" s="2">
        <v>27</v>
      </c>
      <c r="L3236" s="2" t="s">
        <v>39</v>
      </c>
    </row>
    <row r="3237" spans="1:12" x14ac:dyDescent="0.3">
      <c r="A3237" s="2">
        <v>3226</v>
      </c>
      <c r="B3237" s="2" t="s">
        <v>1273</v>
      </c>
      <c r="C3237" s="2" t="s">
        <v>4026</v>
      </c>
      <c r="D3237" s="2" t="s">
        <v>28</v>
      </c>
      <c r="E3237" s="2" t="s">
        <v>29</v>
      </c>
      <c r="F3237" s="2">
        <v>60</v>
      </c>
      <c r="G3237" s="2" t="s">
        <v>7853</v>
      </c>
      <c r="H3237" s="2" t="s">
        <v>37</v>
      </c>
      <c r="I3237" s="2" t="s">
        <v>38</v>
      </c>
      <c r="J3237" s="3">
        <v>44753</v>
      </c>
      <c r="K3237" s="2">
        <v>12</v>
      </c>
      <c r="L3237" s="2" t="s">
        <v>20</v>
      </c>
    </row>
    <row r="3238" spans="1:12" x14ac:dyDescent="0.3">
      <c r="A3238" s="2">
        <v>3227</v>
      </c>
      <c r="B3238" s="2" t="s">
        <v>921</v>
      </c>
      <c r="C3238" s="2" t="s">
        <v>3051</v>
      </c>
      <c r="D3238" s="2" t="s">
        <v>28</v>
      </c>
      <c r="E3238" s="2" t="s">
        <v>29</v>
      </c>
      <c r="F3238" s="2">
        <v>30</v>
      </c>
      <c r="G3238" s="2" t="s">
        <v>7854</v>
      </c>
      <c r="H3238" s="2" t="s">
        <v>3500</v>
      </c>
      <c r="I3238" s="2" t="s">
        <v>25</v>
      </c>
      <c r="J3238" s="3">
        <v>44874</v>
      </c>
      <c r="K3238" s="2">
        <v>84</v>
      </c>
      <c r="L3238" s="2" t="s">
        <v>45</v>
      </c>
    </row>
    <row r="3239" spans="1:12" x14ac:dyDescent="0.3">
      <c r="A3239" s="2">
        <v>3228</v>
      </c>
      <c r="B3239" s="2" t="s">
        <v>2484</v>
      </c>
      <c r="C3239" s="2" t="s">
        <v>3872</v>
      </c>
      <c r="D3239" s="2" t="s">
        <v>15</v>
      </c>
      <c r="E3239" s="2" t="s">
        <v>16</v>
      </c>
      <c r="F3239" s="2">
        <v>30</v>
      </c>
      <c r="G3239" s="2" t="s">
        <v>7855</v>
      </c>
      <c r="H3239" s="2" t="s">
        <v>6087</v>
      </c>
      <c r="I3239" s="2" t="s">
        <v>124</v>
      </c>
      <c r="J3239" s="3">
        <v>44038</v>
      </c>
      <c r="K3239" s="2">
        <v>73</v>
      </c>
      <c r="L3239" s="2" t="s">
        <v>70</v>
      </c>
    </row>
    <row r="3240" spans="1:12" x14ac:dyDescent="0.3">
      <c r="A3240" s="2">
        <v>3229</v>
      </c>
      <c r="B3240" s="2" t="s">
        <v>7856</v>
      </c>
      <c r="C3240" s="2" t="s">
        <v>3673</v>
      </c>
      <c r="D3240" s="2" t="s">
        <v>15</v>
      </c>
      <c r="E3240" s="2" t="s">
        <v>16</v>
      </c>
      <c r="F3240" s="2">
        <v>30</v>
      </c>
      <c r="G3240" s="2" t="s">
        <v>7857</v>
      </c>
      <c r="H3240" s="2" t="s">
        <v>4941</v>
      </c>
      <c r="I3240" s="2" t="s">
        <v>32</v>
      </c>
      <c r="J3240" s="3">
        <v>44606</v>
      </c>
      <c r="K3240" s="2">
        <v>4</v>
      </c>
      <c r="L3240" s="2" t="s">
        <v>39</v>
      </c>
    </row>
    <row r="3241" spans="1:12" x14ac:dyDescent="0.3">
      <c r="A3241" s="2">
        <v>3230</v>
      </c>
      <c r="B3241" s="2" t="s">
        <v>527</v>
      </c>
      <c r="C3241" s="2" t="s">
        <v>5359</v>
      </c>
      <c r="D3241" s="2" t="s">
        <v>28</v>
      </c>
      <c r="E3241" s="2" t="s">
        <v>29</v>
      </c>
      <c r="F3241" s="2">
        <v>30</v>
      </c>
      <c r="G3241" s="2" t="s">
        <v>7858</v>
      </c>
      <c r="H3241" s="2" t="s">
        <v>641</v>
      </c>
      <c r="I3241" s="2" t="s">
        <v>294</v>
      </c>
      <c r="J3241" s="3">
        <v>44871</v>
      </c>
      <c r="K3241" s="2">
        <v>99</v>
      </c>
      <c r="L3241" s="2" t="s">
        <v>64</v>
      </c>
    </row>
    <row r="3242" spans="1:12" x14ac:dyDescent="0.3">
      <c r="A3242" s="2">
        <v>3231</v>
      </c>
      <c r="B3242" s="2" t="s">
        <v>7859</v>
      </c>
      <c r="C3242" s="2" t="s">
        <v>7860</v>
      </c>
      <c r="D3242" s="2" t="s">
        <v>51</v>
      </c>
      <c r="E3242" s="2" t="s">
        <v>16</v>
      </c>
      <c r="F3242" s="2">
        <v>30</v>
      </c>
      <c r="G3242" s="2" t="s">
        <v>7861</v>
      </c>
      <c r="H3242" s="2" t="s">
        <v>5464</v>
      </c>
      <c r="I3242" s="2" t="s">
        <v>124</v>
      </c>
      <c r="J3242" s="3">
        <v>44923</v>
      </c>
      <c r="K3242" s="2">
        <v>53</v>
      </c>
      <c r="L3242" s="2" t="s">
        <v>80</v>
      </c>
    </row>
    <row r="3243" spans="1:12" x14ac:dyDescent="0.3">
      <c r="A3243" s="2">
        <v>3232</v>
      </c>
      <c r="B3243" s="2" t="s">
        <v>3791</v>
      </c>
      <c r="C3243" s="2" t="s">
        <v>2030</v>
      </c>
      <c r="D3243" s="2" t="s">
        <v>28</v>
      </c>
      <c r="E3243" s="2" t="s">
        <v>29</v>
      </c>
      <c r="F3243" s="2">
        <v>60</v>
      </c>
      <c r="G3243" s="2" t="s">
        <v>7862</v>
      </c>
      <c r="H3243" s="2" t="s">
        <v>5000</v>
      </c>
      <c r="I3243" s="2" t="s">
        <v>32</v>
      </c>
      <c r="J3243" s="3">
        <v>43862</v>
      </c>
      <c r="K3243" s="2">
        <v>26</v>
      </c>
      <c r="L3243" s="2" t="s">
        <v>80</v>
      </c>
    </row>
    <row r="3244" spans="1:12" x14ac:dyDescent="0.3">
      <c r="A3244" s="2">
        <v>3233</v>
      </c>
      <c r="B3244" s="2" t="s">
        <v>5004</v>
      </c>
      <c r="C3244" s="2" t="s">
        <v>1188</v>
      </c>
      <c r="D3244" s="2" t="s">
        <v>15</v>
      </c>
      <c r="E3244" s="2" t="s">
        <v>16</v>
      </c>
      <c r="F3244" s="2">
        <v>90</v>
      </c>
      <c r="G3244" s="2" t="s">
        <v>7862</v>
      </c>
      <c r="H3244" s="2" t="s">
        <v>7863</v>
      </c>
      <c r="I3244" s="2" t="s">
        <v>32</v>
      </c>
      <c r="J3244" s="3">
        <v>44183</v>
      </c>
      <c r="K3244" s="2">
        <v>25</v>
      </c>
      <c r="L3244" s="2" t="s">
        <v>20</v>
      </c>
    </row>
    <row r="3245" spans="1:12" x14ac:dyDescent="0.3">
      <c r="A3245" s="2">
        <v>3234</v>
      </c>
      <c r="B3245" s="2" t="s">
        <v>7864</v>
      </c>
      <c r="C3245" s="2" t="s">
        <v>1546</v>
      </c>
      <c r="D3245" s="2" t="s">
        <v>41</v>
      </c>
      <c r="E3245" s="2" t="s">
        <v>16</v>
      </c>
      <c r="F3245" s="2">
        <v>30</v>
      </c>
      <c r="G3245" s="2" t="s">
        <v>7865</v>
      </c>
      <c r="H3245" s="2" t="s">
        <v>2250</v>
      </c>
      <c r="I3245" s="2" t="s">
        <v>187</v>
      </c>
      <c r="J3245" s="3">
        <v>44062</v>
      </c>
      <c r="K3245" s="2">
        <v>9</v>
      </c>
      <c r="L3245" s="2" t="s">
        <v>45</v>
      </c>
    </row>
    <row r="3246" spans="1:12" x14ac:dyDescent="0.3">
      <c r="A3246" s="2">
        <v>3235</v>
      </c>
      <c r="B3246" s="2" t="s">
        <v>4614</v>
      </c>
      <c r="C3246" s="2" t="s">
        <v>237</v>
      </c>
      <c r="D3246" s="2" t="s">
        <v>51</v>
      </c>
      <c r="E3246" s="2" t="s">
        <v>16</v>
      </c>
      <c r="F3246" s="2">
        <v>60</v>
      </c>
      <c r="G3246" s="2" t="s">
        <v>7866</v>
      </c>
      <c r="H3246" s="2" t="s">
        <v>2483</v>
      </c>
      <c r="I3246" s="2" t="s">
        <v>1199</v>
      </c>
      <c r="J3246" s="3">
        <v>43965</v>
      </c>
      <c r="K3246" s="2">
        <v>43</v>
      </c>
      <c r="L3246" s="2" t="s">
        <v>33</v>
      </c>
    </row>
    <row r="3247" spans="1:12" x14ac:dyDescent="0.3">
      <c r="A3247" s="2">
        <v>3236</v>
      </c>
      <c r="B3247" s="2" t="s">
        <v>7867</v>
      </c>
      <c r="C3247" s="2" t="s">
        <v>2145</v>
      </c>
      <c r="D3247" s="2" t="s">
        <v>51</v>
      </c>
      <c r="E3247" s="2" t="s">
        <v>16</v>
      </c>
      <c r="F3247" s="2">
        <v>60</v>
      </c>
      <c r="G3247" s="2" t="s">
        <v>7868</v>
      </c>
      <c r="H3247" s="2" t="s">
        <v>3632</v>
      </c>
      <c r="I3247" s="2" t="s">
        <v>32</v>
      </c>
      <c r="J3247" s="3">
        <v>44347</v>
      </c>
      <c r="K3247" s="2">
        <v>95</v>
      </c>
      <c r="L3247" s="2" t="s">
        <v>101</v>
      </c>
    </row>
    <row r="3248" spans="1:12" x14ac:dyDescent="0.3">
      <c r="A3248" s="2">
        <v>3237</v>
      </c>
      <c r="B3248" s="2" t="s">
        <v>7412</v>
      </c>
      <c r="C3248" s="2" t="s">
        <v>7869</v>
      </c>
      <c r="D3248" s="2" t="s">
        <v>28</v>
      </c>
      <c r="E3248" s="2" t="s">
        <v>29</v>
      </c>
      <c r="F3248" s="2">
        <v>90</v>
      </c>
      <c r="G3248" s="2" t="s">
        <v>7870</v>
      </c>
      <c r="H3248" s="2" t="s">
        <v>1619</v>
      </c>
      <c r="I3248" s="2" t="s">
        <v>44</v>
      </c>
      <c r="J3248" s="3">
        <v>44312</v>
      </c>
      <c r="K3248" s="2">
        <v>62</v>
      </c>
      <c r="L3248" s="2" t="s">
        <v>20</v>
      </c>
    </row>
    <row r="3249" spans="1:12" x14ac:dyDescent="0.3">
      <c r="A3249" s="2">
        <v>3238</v>
      </c>
      <c r="B3249" s="2" t="s">
        <v>2540</v>
      </c>
      <c r="C3249" s="2" t="s">
        <v>5321</v>
      </c>
      <c r="D3249" s="2" t="s">
        <v>15</v>
      </c>
      <c r="E3249" s="2" t="s">
        <v>16</v>
      </c>
      <c r="F3249" s="2">
        <v>30</v>
      </c>
      <c r="G3249" s="2" t="s">
        <v>7871</v>
      </c>
      <c r="H3249" s="2" t="s">
        <v>3673</v>
      </c>
      <c r="I3249" s="2" t="s">
        <v>777</v>
      </c>
      <c r="J3249" s="3">
        <v>44431</v>
      </c>
      <c r="K3249" s="2">
        <v>34</v>
      </c>
      <c r="L3249" s="2" t="s">
        <v>45</v>
      </c>
    </row>
    <row r="3250" spans="1:12" x14ac:dyDescent="0.3">
      <c r="A3250" s="2">
        <v>3239</v>
      </c>
      <c r="B3250" s="2" t="s">
        <v>7872</v>
      </c>
      <c r="C3250" s="2" t="s">
        <v>4384</v>
      </c>
      <c r="D3250" s="2" t="s">
        <v>51</v>
      </c>
      <c r="E3250" s="2" t="s">
        <v>16</v>
      </c>
      <c r="F3250" s="2">
        <v>60</v>
      </c>
      <c r="G3250" s="2" t="s">
        <v>7873</v>
      </c>
      <c r="H3250" s="2" t="s">
        <v>634</v>
      </c>
      <c r="I3250" s="2" t="s">
        <v>32</v>
      </c>
      <c r="J3250" s="3">
        <v>44461</v>
      </c>
      <c r="K3250" s="2">
        <v>58</v>
      </c>
      <c r="L3250" s="2" t="s">
        <v>33</v>
      </c>
    </row>
    <row r="3251" spans="1:12" x14ac:dyDescent="0.3">
      <c r="A3251" s="2">
        <v>3240</v>
      </c>
      <c r="B3251" s="2" t="s">
        <v>921</v>
      </c>
      <c r="C3251" s="2" t="s">
        <v>4603</v>
      </c>
      <c r="D3251" s="2" t="s">
        <v>28</v>
      </c>
      <c r="E3251" s="2" t="s">
        <v>29</v>
      </c>
      <c r="F3251" s="2">
        <v>30</v>
      </c>
      <c r="G3251" s="2" t="s">
        <v>7874</v>
      </c>
      <c r="H3251" s="2" t="s">
        <v>607</v>
      </c>
      <c r="I3251" s="2" t="s">
        <v>32</v>
      </c>
      <c r="J3251" s="3">
        <v>44157</v>
      </c>
      <c r="K3251" s="2">
        <v>21</v>
      </c>
      <c r="L3251" s="2" t="s">
        <v>33</v>
      </c>
    </row>
    <row r="3252" spans="1:12" x14ac:dyDescent="0.3">
      <c r="A3252" s="2">
        <v>3241</v>
      </c>
      <c r="B3252" s="2" t="s">
        <v>1243</v>
      </c>
      <c r="C3252" s="2" t="s">
        <v>5295</v>
      </c>
      <c r="D3252" s="2" t="s">
        <v>28</v>
      </c>
      <c r="E3252" s="2" t="s">
        <v>29</v>
      </c>
      <c r="F3252" s="2">
        <v>90</v>
      </c>
      <c r="G3252" s="2" t="s">
        <v>7875</v>
      </c>
      <c r="H3252" s="2" t="s">
        <v>7876</v>
      </c>
      <c r="I3252" s="2" t="s">
        <v>187</v>
      </c>
      <c r="J3252" s="3">
        <v>43915</v>
      </c>
      <c r="K3252" s="2">
        <v>68</v>
      </c>
      <c r="L3252" s="2" t="s">
        <v>64</v>
      </c>
    </row>
    <row r="3253" spans="1:12" x14ac:dyDescent="0.3">
      <c r="A3253" s="2">
        <v>3242</v>
      </c>
      <c r="B3253" s="2" t="s">
        <v>7877</v>
      </c>
      <c r="C3253" s="2" t="s">
        <v>4444</v>
      </c>
      <c r="D3253" s="2" t="s">
        <v>28</v>
      </c>
      <c r="E3253" s="2" t="s">
        <v>29</v>
      </c>
      <c r="F3253" s="2">
        <v>90</v>
      </c>
      <c r="G3253" s="2" t="s">
        <v>7878</v>
      </c>
      <c r="H3253" s="2" t="s">
        <v>94</v>
      </c>
      <c r="I3253" s="2" t="s">
        <v>95</v>
      </c>
      <c r="J3253" s="3">
        <v>44227</v>
      </c>
      <c r="K3253" s="2">
        <v>14</v>
      </c>
      <c r="L3253" s="2" t="s">
        <v>45</v>
      </c>
    </row>
    <row r="3254" spans="1:12" x14ac:dyDescent="0.3">
      <c r="A3254" s="2">
        <v>3243</v>
      </c>
      <c r="B3254" s="2" t="s">
        <v>967</v>
      </c>
      <c r="C3254" s="2" t="s">
        <v>7391</v>
      </c>
      <c r="D3254" s="2" t="s">
        <v>28</v>
      </c>
      <c r="E3254" s="2" t="s">
        <v>29</v>
      </c>
      <c r="F3254" s="2">
        <v>90</v>
      </c>
      <c r="G3254" s="2" t="s">
        <v>7879</v>
      </c>
      <c r="H3254" s="2" t="s">
        <v>579</v>
      </c>
      <c r="I3254" s="2" t="s">
        <v>32</v>
      </c>
      <c r="J3254" s="3">
        <v>44215</v>
      </c>
      <c r="K3254" s="2">
        <v>7</v>
      </c>
      <c r="L3254" s="2" t="s">
        <v>159</v>
      </c>
    </row>
    <row r="3255" spans="1:12" x14ac:dyDescent="0.3">
      <c r="A3255" s="2">
        <v>3244</v>
      </c>
      <c r="B3255" s="2" t="s">
        <v>998</v>
      </c>
      <c r="C3255" s="2" t="s">
        <v>422</v>
      </c>
      <c r="D3255" s="2" t="s">
        <v>15</v>
      </c>
      <c r="E3255" s="2" t="s">
        <v>16</v>
      </c>
      <c r="F3255" s="2">
        <v>60</v>
      </c>
      <c r="G3255" s="2" t="s">
        <v>7880</v>
      </c>
      <c r="H3255" s="2" t="s">
        <v>1253</v>
      </c>
      <c r="I3255" s="2" t="s">
        <v>32</v>
      </c>
      <c r="J3255" s="3">
        <v>44425</v>
      </c>
      <c r="K3255" s="2">
        <v>8</v>
      </c>
      <c r="L3255" s="2" t="s">
        <v>70</v>
      </c>
    </row>
    <row r="3256" spans="1:12" x14ac:dyDescent="0.3">
      <c r="A3256" s="2">
        <v>3245</v>
      </c>
      <c r="B3256" s="2" t="s">
        <v>7881</v>
      </c>
      <c r="C3256" s="2" t="s">
        <v>6712</v>
      </c>
      <c r="D3256" s="2" t="s">
        <v>51</v>
      </c>
      <c r="E3256" s="2" t="s">
        <v>16</v>
      </c>
      <c r="F3256" s="2">
        <v>90</v>
      </c>
      <c r="G3256" s="2" t="s">
        <v>7882</v>
      </c>
      <c r="H3256" s="2" t="s">
        <v>1754</v>
      </c>
      <c r="I3256" s="2" t="s">
        <v>25</v>
      </c>
      <c r="J3256" s="3">
        <v>44768</v>
      </c>
      <c r="K3256" s="2">
        <v>51</v>
      </c>
      <c r="L3256" s="2" t="s">
        <v>33</v>
      </c>
    </row>
    <row r="3257" spans="1:12" x14ac:dyDescent="0.3">
      <c r="A3257" s="2">
        <v>3246</v>
      </c>
      <c r="B3257" s="2" t="s">
        <v>7883</v>
      </c>
      <c r="C3257" s="2" t="s">
        <v>2618</v>
      </c>
      <c r="D3257" s="2" t="s">
        <v>51</v>
      </c>
      <c r="E3257" s="2" t="s">
        <v>16</v>
      </c>
      <c r="F3257" s="2">
        <v>30</v>
      </c>
      <c r="G3257" s="2" t="s">
        <v>7882</v>
      </c>
      <c r="H3257" s="2" t="s">
        <v>2624</v>
      </c>
      <c r="I3257" s="2" t="s">
        <v>32</v>
      </c>
      <c r="J3257" s="3">
        <v>44324</v>
      </c>
      <c r="K3257" s="2">
        <v>41</v>
      </c>
      <c r="L3257" s="2" t="s">
        <v>101</v>
      </c>
    </row>
    <row r="3258" spans="1:12" x14ac:dyDescent="0.3">
      <c r="A3258" s="2">
        <v>3247</v>
      </c>
      <c r="B3258" s="2" t="s">
        <v>7884</v>
      </c>
      <c r="C3258" s="2" t="s">
        <v>2371</v>
      </c>
      <c r="D3258" s="2" t="s">
        <v>15</v>
      </c>
      <c r="E3258" s="2" t="s">
        <v>16</v>
      </c>
      <c r="F3258" s="2">
        <v>90</v>
      </c>
      <c r="G3258" s="2" t="s">
        <v>7885</v>
      </c>
      <c r="H3258" s="2" t="s">
        <v>4935</v>
      </c>
      <c r="I3258" s="2" t="s">
        <v>124</v>
      </c>
      <c r="J3258" s="3">
        <v>44460</v>
      </c>
      <c r="K3258" s="2">
        <v>49</v>
      </c>
      <c r="L3258" s="2" t="s">
        <v>70</v>
      </c>
    </row>
    <row r="3259" spans="1:12" x14ac:dyDescent="0.3">
      <c r="A3259" s="2">
        <v>3248</v>
      </c>
      <c r="B3259" s="2" t="s">
        <v>7886</v>
      </c>
      <c r="C3259" s="2" t="s">
        <v>4102</v>
      </c>
      <c r="D3259" s="2" t="s">
        <v>28</v>
      </c>
      <c r="E3259" s="2" t="s">
        <v>29</v>
      </c>
      <c r="F3259" s="2">
        <v>30</v>
      </c>
      <c r="G3259" s="2" t="s">
        <v>7887</v>
      </c>
      <c r="H3259" s="2" t="s">
        <v>1150</v>
      </c>
      <c r="I3259" s="2" t="s">
        <v>32</v>
      </c>
      <c r="J3259" s="3">
        <v>44896</v>
      </c>
      <c r="K3259" s="2">
        <v>44</v>
      </c>
      <c r="L3259" s="2" t="s">
        <v>64</v>
      </c>
    </row>
    <row r="3260" spans="1:12" x14ac:dyDescent="0.3">
      <c r="A3260" s="2">
        <v>3249</v>
      </c>
      <c r="B3260" s="2" t="s">
        <v>7888</v>
      </c>
      <c r="C3260" s="2" t="s">
        <v>7889</v>
      </c>
      <c r="D3260" s="2" t="s">
        <v>51</v>
      </c>
      <c r="E3260" s="2" t="s">
        <v>16</v>
      </c>
      <c r="F3260" s="2">
        <v>60</v>
      </c>
      <c r="G3260" s="2" t="s">
        <v>7890</v>
      </c>
      <c r="H3260" s="2" t="s">
        <v>5934</v>
      </c>
      <c r="I3260" s="2" t="s">
        <v>173</v>
      </c>
      <c r="J3260" s="3">
        <v>44703</v>
      </c>
      <c r="K3260" s="2">
        <v>87</v>
      </c>
      <c r="L3260" s="2" t="s">
        <v>80</v>
      </c>
    </row>
    <row r="3261" spans="1:12" x14ac:dyDescent="0.3">
      <c r="A3261" s="2">
        <v>3250</v>
      </c>
      <c r="B3261" s="2" t="s">
        <v>7891</v>
      </c>
      <c r="C3261" s="2" t="s">
        <v>3077</v>
      </c>
      <c r="D3261" s="2" t="s">
        <v>51</v>
      </c>
      <c r="E3261" s="2" t="s">
        <v>16</v>
      </c>
      <c r="F3261" s="2">
        <v>30</v>
      </c>
      <c r="G3261" s="2" t="s">
        <v>7892</v>
      </c>
      <c r="H3261" s="2" t="s">
        <v>2172</v>
      </c>
      <c r="I3261" s="2" t="s">
        <v>32</v>
      </c>
      <c r="J3261" s="3">
        <v>44142</v>
      </c>
      <c r="K3261" s="2">
        <v>7</v>
      </c>
      <c r="L3261" s="2" t="s">
        <v>45</v>
      </c>
    </row>
    <row r="3262" spans="1:12" x14ac:dyDescent="0.3">
      <c r="A3262" s="2">
        <v>3251</v>
      </c>
      <c r="B3262" s="2" t="s">
        <v>7893</v>
      </c>
      <c r="C3262" s="2" t="s">
        <v>1219</v>
      </c>
      <c r="D3262" s="2" t="s">
        <v>28</v>
      </c>
      <c r="E3262" s="2" t="s">
        <v>29</v>
      </c>
      <c r="F3262" s="2">
        <v>60</v>
      </c>
      <c r="G3262" s="2" t="s">
        <v>7894</v>
      </c>
      <c r="H3262" s="2" t="s">
        <v>7895</v>
      </c>
      <c r="I3262" s="2" t="s">
        <v>25</v>
      </c>
      <c r="J3262" s="3">
        <v>44251</v>
      </c>
      <c r="K3262" s="2">
        <v>42</v>
      </c>
      <c r="L3262" s="2" t="s">
        <v>70</v>
      </c>
    </row>
    <row r="3263" spans="1:12" x14ac:dyDescent="0.3">
      <c r="A3263" s="2">
        <v>3252</v>
      </c>
      <c r="B3263" s="2" t="s">
        <v>7896</v>
      </c>
      <c r="C3263" s="2" t="s">
        <v>3779</v>
      </c>
      <c r="D3263" s="2" t="s">
        <v>15</v>
      </c>
      <c r="E3263" s="2" t="s">
        <v>16</v>
      </c>
      <c r="F3263" s="2">
        <v>30</v>
      </c>
      <c r="G3263" s="2" t="s">
        <v>7897</v>
      </c>
      <c r="H3263" s="2" t="s">
        <v>7898</v>
      </c>
      <c r="I3263" s="2" t="s">
        <v>425</v>
      </c>
      <c r="J3263" s="3">
        <v>44837</v>
      </c>
      <c r="K3263" s="2">
        <v>11</v>
      </c>
      <c r="L3263" s="2" t="s">
        <v>33</v>
      </c>
    </row>
    <row r="3264" spans="1:12" x14ac:dyDescent="0.3">
      <c r="A3264" s="2">
        <v>3253</v>
      </c>
      <c r="B3264" s="2" t="s">
        <v>2399</v>
      </c>
      <c r="C3264" s="2" t="s">
        <v>1109</v>
      </c>
      <c r="D3264" s="2" t="s">
        <v>28</v>
      </c>
      <c r="E3264" s="2" t="s">
        <v>29</v>
      </c>
      <c r="F3264" s="2">
        <v>30</v>
      </c>
      <c r="G3264" s="2" t="s">
        <v>7899</v>
      </c>
      <c r="H3264" s="2" t="s">
        <v>2772</v>
      </c>
      <c r="I3264" s="2" t="s">
        <v>32</v>
      </c>
      <c r="J3264" s="3">
        <v>44225</v>
      </c>
      <c r="K3264" s="2">
        <v>35</v>
      </c>
      <c r="L3264" s="2" t="s">
        <v>70</v>
      </c>
    </row>
    <row r="3265" spans="1:12" x14ac:dyDescent="0.3">
      <c r="A3265" s="2">
        <v>3254</v>
      </c>
      <c r="B3265" s="2" t="s">
        <v>7902</v>
      </c>
      <c r="C3265" s="2" t="s">
        <v>588</v>
      </c>
      <c r="D3265" s="2" t="s">
        <v>51</v>
      </c>
      <c r="E3265" s="2" t="s">
        <v>16</v>
      </c>
      <c r="F3265" s="2">
        <v>60</v>
      </c>
      <c r="G3265" s="2" t="s">
        <v>7903</v>
      </c>
      <c r="H3265" s="2" t="s">
        <v>2357</v>
      </c>
      <c r="I3265" s="2" t="s">
        <v>32</v>
      </c>
      <c r="J3265" s="3">
        <v>44078</v>
      </c>
      <c r="K3265" s="2">
        <v>30</v>
      </c>
      <c r="L3265" s="2" t="s">
        <v>64</v>
      </c>
    </row>
    <row r="3266" spans="1:12" x14ac:dyDescent="0.3">
      <c r="A3266" s="2">
        <v>3255</v>
      </c>
      <c r="B3266" s="2" t="s">
        <v>7904</v>
      </c>
      <c r="C3266" s="2" t="s">
        <v>143</v>
      </c>
      <c r="D3266" s="2" t="s">
        <v>51</v>
      </c>
      <c r="E3266" s="2" t="s">
        <v>16</v>
      </c>
      <c r="F3266" s="2">
        <v>60</v>
      </c>
      <c r="G3266" s="2" t="s">
        <v>7905</v>
      </c>
      <c r="H3266" s="2" t="s">
        <v>3915</v>
      </c>
      <c r="I3266" s="2" t="s">
        <v>173</v>
      </c>
      <c r="J3266" s="3">
        <v>44592</v>
      </c>
      <c r="K3266" s="2">
        <v>45</v>
      </c>
      <c r="L3266" s="2" t="s">
        <v>159</v>
      </c>
    </row>
    <row r="3267" spans="1:12" x14ac:dyDescent="0.3">
      <c r="A3267" s="2">
        <v>3256</v>
      </c>
      <c r="B3267" s="2" t="s">
        <v>967</v>
      </c>
      <c r="C3267" s="2" t="s">
        <v>4753</v>
      </c>
      <c r="D3267" s="2" t="s">
        <v>28</v>
      </c>
      <c r="E3267" s="2" t="s">
        <v>29</v>
      </c>
      <c r="F3267" s="2">
        <v>30</v>
      </c>
      <c r="G3267" s="2" t="s">
        <v>7906</v>
      </c>
      <c r="H3267" s="2" t="s">
        <v>3396</v>
      </c>
      <c r="I3267" s="2" t="s">
        <v>32</v>
      </c>
      <c r="J3267" s="3">
        <v>44349</v>
      </c>
      <c r="K3267" s="2">
        <v>17</v>
      </c>
      <c r="L3267" s="2" t="s">
        <v>159</v>
      </c>
    </row>
    <row r="3268" spans="1:12" x14ac:dyDescent="0.3">
      <c r="A3268" s="2">
        <v>3257</v>
      </c>
      <c r="B3268" s="2" t="s">
        <v>7907</v>
      </c>
      <c r="C3268" s="2" t="s">
        <v>7908</v>
      </c>
      <c r="D3268" s="2" t="s">
        <v>51</v>
      </c>
      <c r="E3268" s="2" t="s">
        <v>16</v>
      </c>
      <c r="F3268" s="2">
        <v>60</v>
      </c>
      <c r="G3268" s="2" t="s">
        <v>7909</v>
      </c>
      <c r="H3268" s="2" t="s">
        <v>4651</v>
      </c>
      <c r="I3268" s="2" t="s">
        <v>32</v>
      </c>
      <c r="J3268" s="3">
        <v>44241</v>
      </c>
      <c r="K3268" s="2">
        <v>19</v>
      </c>
      <c r="L3268" s="2" t="s">
        <v>20</v>
      </c>
    </row>
    <row r="3269" spans="1:12" x14ac:dyDescent="0.3">
      <c r="A3269" s="2">
        <v>3258</v>
      </c>
      <c r="B3269" s="2" t="s">
        <v>7910</v>
      </c>
      <c r="C3269" s="2" t="s">
        <v>1627</v>
      </c>
      <c r="D3269" s="2" t="s">
        <v>41</v>
      </c>
      <c r="E3269" s="2" t="s">
        <v>16</v>
      </c>
      <c r="F3269" s="2">
        <v>30</v>
      </c>
      <c r="G3269" s="2" t="s">
        <v>7911</v>
      </c>
      <c r="H3269" s="2" t="s">
        <v>3764</v>
      </c>
      <c r="I3269" s="2" t="s">
        <v>32</v>
      </c>
      <c r="J3269" s="3">
        <v>43936</v>
      </c>
      <c r="K3269" s="2">
        <v>23</v>
      </c>
      <c r="L3269" s="2" t="s">
        <v>45</v>
      </c>
    </row>
    <row r="3270" spans="1:12" x14ac:dyDescent="0.3">
      <c r="A3270" s="2">
        <v>3259</v>
      </c>
      <c r="B3270" s="2" t="s">
        <v>2367</v>
      </c>
      <c r="C3270" s="2" t="s">
        <v>3217</v>
      </c>
      <c r="D3270" s="2" t="s">
        <v>28</v>
      </c>
      <c r="E3270" s="2" t="s">
        <v>29</v>
      </c>
      <c r="F3270" s="2">
        <v>60</v>
      </c>
      <c r="G3270" s="2" t="s">
        <v>7912</v>
      </c>
      <c r="H3270" s="2" t="s">
        <v>2834</v>
      </c>
      <c r="I3270" s="2" t="s">
        <v>19</v>
      </c>
      <c r="J3270" s="3">
        <v>44593</v>
      </c>
      <c r="K3270" s="2">
        <v>79</v>
      </c>
      <c r="L3270" s="2" t="s">
        <v>54</v>
      </c>
    </row>
    <row r="3271" spans="1:12" x14ac:dyDescent="0.3">
      <c r="A3271" s="2">
        <v>3260</v>
      </c>
      <c r="B3271" s="2" t="s">
        <v>7913</v>
      </c>
      <c r="C3271" s="2" t="s">
        <v>5417</v>
      </c>
      <c r="D3271" s="2" t="s">
        <v>28</v>
      </c>
      <c r="E3271" s="2" t="s">
        <v>29</v>
      </c>
      <c r="F3271" s="2">
        <v>60</v>
      </c>
      <c r="G3271" s="2" t="s">
        <v>7914</v>
      </c>
      <c r="H3271" s="2" t="s">
        <v>2008</v>
      </c>
      <c r="I3271" s="2" t="s">
        <v>129</v>
      </c>
      <c r="J3271" s="3">
        <v>44263</v>
      </c>
      <c r="K3271" s="2">
        <v>11</v>
      </c>
      <c r="L3271" s="2" t="s">
        <v>159</v>
      </c>
    </row>
    <row r="3272" spans="1:12" x14ac:dyDescent="0.3">
      <c r="A3272" s="2">
        <v>3261</v>
      </c>
      <c r="B3272" s="2" t="s">
        <v>7915</v>
      </c>
      <c r="C3272" s="2" t="s">
        <v>7000</v>
      </c>
      <c r="D3272" s="2" t="s">
        <v>15</v>
      </c>
      <c r="E3272" s="2" t="s">
        <v>16</v>
      </c>
      <c r="F3272" s="2">
        <v>60</v>
      </c>
      <c r="G3272" s="2" t="s">
        <v>7916</v>
      </c>
      <c r="H3272" s="2" t="s">
        <v>3059</v>
      </c>
      <c r="I3272" s="2" t="s">
        <v>187</v>
      </c>
      <c r="J3272" s="3">
        <v>44510</v>
      </c>
      <c r="K3272" s="2">
        <v>10</v>
      </c>
      <c r="L3272" s="2" t="s">
        <v>64</v>
      </c>
    </row>
    <row r="3273" spans="1:12" x14ac:dyDescent="0.3">
      <c r="A3273" s="2">
        <v>3262</v>
      </c>
      <c r="B3273" s="2" t="s">
        <v>3988</v>
      </c>
      <c r="C3273" s="2" t="s">
        <v>6477</v>
      </c>
      <c r="D3273" s="2" t="s">
        <v>15</v>
      </c>
      <c r="E3273" s="2" t="s">
        <v>16</v>
      </c>
      <c r="F3273" s="2">
        <v>90</v>
      </c>
      <c r="G3273" s="2" t="s">
        <v>7917</v>
      </c>
      <c r="H3273" s="2" t="s">
        <v>5406</v>
      </c>
      <c r="I3273" s="2" t="s">
        <v>32</v>
      </c>
      <c r="J3273" s="3">
        <v>44884</v>
      </c>
      <c r="K3273" s="2">
        <v>40</v>
      </c>
      <c r="L3273" s="2" t="s">
        <v>20</v>
      </c>
    </row>
    <row r="3274" spans="1:12" x14ac:dyDescent="0.3">
      <c r="A3274" s="2">
        <v>3263</v>
      </c>
      <c r="B3274" s="2" t="s">
        <v>7918</v>
      </c>
      <c r="C3274" s="2" t="s">
        <v>1928</v>
      </c>
      <c r="D3274" s="2" t="s">
        <v>15</v>
      </c>
      <c r="E3274" s="2" t="s">
        <v>16</v>
      </c>
      <c r="F3274" s="2">
        <v>30</v>
      </c>
      <c r="G3274" s="2" t="s">
        <v>7919</v>
      </c>
      <c r="H3274" s="2" t="s">
        <v>1716</v>
      </c>
      <c r="I3274" s="2" t="s">
        <v>425</v>
      </c>
      <c r="J3274" s="3">
        <v>44347</v>
      </c>
      <c r="K3274" s="2">
        <v>91</v>
      </c>
      <c r="L3274" s="2" t="s">
        <v>80</v>
      </c>
    </row>
    <row r="3275" spans="1:12" x14ac:dyDescent="0.3">
      <c r="A3275" s="2">
        <v>3264</v>
      </c>
      <c r="B3275" s="2" t="s">
        <v>7920</v>
      </c>
      <c r="C3275" s="2" t="s">
        <v>6465</v>
      </c>
      <c r="D3275" s="2" t="s">
        <v>51</v>
      </c>
      <c r="E3275" s="2" t="s">
        <v>16</v>
      </c>
      <c r="F3275" s="2">
        <v>30</v>
      </c>
      <c r="G3275" s="2" t="s">
        <v>10547</v>
      </c>
      <c r="H3275" s="2" t="s">
        <v>4794</v>
      </c>
      <c r="I3275" s="2" t="s">
        <v>32</v>
      </c>
      <c r="J3275" s="3">
        <v>44532</v>
      </c>
      <c r="K3275" s="2">
        <v>43</v>
      </c>
      <c r="L3275" s="2" t="s">
        <v>80</v>
      </c>
    </row>
    <row r="3276" spans="1:12" x14ac:dyDescent="0.3">
      <c r="A3276" s="2">
        <v>3265</v>
      </c>
      <c r="B3276" s="2" t="s">
        <v>2424</v>
      </c>
      <c r="C3276" s="2" t="s">
        <v>3785</v>
      </c>
      <c r="D3276" s="2" t="s">
        <v>28</v>
      </c>
      <c r="E3276" s="2" t="s">
        <v>29</v>
      </c>
      <c r="F3276" s="2">
        <v>30</v>
      </c>
      <c r="G3276" s="2" t="s">
        <v>7922</v>
      </c>
      <c r="H3276" s="2" t="s">
        <v>1615</v>
      </c>
      <c r="I3276" s="2" t="s">
        <v>32</v>
      </c>
      <c r="J3276" s="3">
        <v>44026</v>
      </c>
      <c r="K3276" s="2">
        <v>62</v>
      </c>
      <c r="L3276" s="2" t="s">
        <v>159</v>
      </c>
    </row>
    <row r="3277" spans="1:12" x14ac:dyDescent="0.3">
      <c r="A3277" s="2">
        <v>3266</v>
      </c>
      <c r="B3277" s="2" t="s">
        <v>7923</v>
      </c>
      <c r="C3277" s="2" t="s">
        <v>4681</v>
      </c>
      <c r="D3277" s="2" t="s">
        <v>51</v>
      </c>
      <c r="E3277" s="2" t="s">
        <v>16</v>
      </c>
      <c r="F3277" s="2">
        <v>30</v>
      </c>
      <c r="G3277" s="2" t="s">
        <v>7924</v>
      </c>
      <c r="H3277" s="2" t="s">
        <v>1830</v>
      </c>
      <c r="I3277" s="2" t="s">
        <v>32</v>
      </c>
      <c r="J3277" s="3">
        <v>44511</v>
      </c>
      <c r="K3277" s="2">
        <v>29</v>
      </c>
      <c r="L3277" s="2" t="s">
        <v>54</v>
      </c>
    </row>
    <row r="3278" spans="1:12" x14ac:dyDescent="0.3">
      <c r="A3278" s="2">
        <v>3267</v>
      </c>
      <c r="B3278" s="2" t="s">
        <v>4460</v>
      </c>
      <c r="C3278" s="2" t="s">
        <v>4342</v>
      </c>
      <c r="D3278" s="2" t="s">
        <v>28</v>
      </c>
      <c r="E3278" s="2" t="s">
        <v>29</v>
      </c>
      <c r="F3278" s="2">
        <v>90</v>
      </c>
      <c r="G3278" s="2" t="s">
        <v>7925</v>
      </c>
      <c r="H3278" s="2" t="s">
        <v>3343</v>
      </c>
      <c r="I3278" s="2" t="s">
        <v>1199</v>
      </c>
      <c r="J3278" s="3">
        <v>43883</v>
      </c>
      <c r="K3278" s="2">
        <v>2</v>
      </c>
      <c r="L3278" s="2" t="s">
        <v>64</v>
      </c>
    </row>
    <row r="3279" spans="1:12" x14ac:dyDescent="0.3">
      <c r="A3279" s="2">
        <v>3268</v>
      </c>
      <c r="B3279" s="2" t="s">
        <v>7926</v>
      </c>
      <c r="C3279" s="2" t="s">
        <v>7231</v>
      </c>
      <c r="D3279" s="2" t="s">
        <v>51</v>
      </c>
      <c r="E3279" s="2" t="s">
        <v>16</v>
      </c>
      <c r="F3279" s="2">
        <v>90</v>
      </c>
      <c r="G3279" s="2" t="s">
        <v>7927</v>
      </c>
      <c r="H3279" s="2" t="s">
        <v>7400</v>
      </c>
      <c r="I3279" s="2" t="s">
        <v>178</v>
      </c>
      <c r="J3279" s="3">
        <v>44828</v>
      </c>
      <c r="K3279" s="2">
        <v>21</v>
      </c>
      <c r="L3279" s="2" t="s">
        <v>64</v>
      </c>
    </row>
    <row r="3280" spans="1:12" x14ac:dyDescent="0.3">
      <c r="A3280" s="2">
        <v>3269</v>
      </c>
      <c r="B3280" s="2" t="s">
        <v>785</v>
      </c>
      <c r="C3280" s="2" t="s">
        <v>5142</v>
      </c>
      <c r="D3280" s="2" t="s">
        <v>117</v>
      </c>
      <c r="E3280" s="2" t="s">
        <v>29</v>
      </c>
      <c r="F3280" s="2">
        <v>60</v>
      </c>
      <c r="G3280" s="2" t="s">
        <v>7928</v>
      </c>
      <c r="H3280" s="2" t="s">
        <v>1272</v>
      </c>
      <c r="I3280" s="2" t="s">
        <v>59</v>
      </c>
      <c r="J3280" s="3">
        <v>44485</v>
      </c>
      <c r="K3280" s="2">
        <v>87</v>
      </c>
      <c r="L3280" s="2" t="s">
        <v>159</v>
      </c>
    </row>
    <row r="3281" spans="1:12" x14ac:dyDescent="0.3">
      <c r="A3281" s="2">
        <v>3270</v>
      </c>
      <c r="B3281" s="2" t="s">
        <v>7929</v>
      </c>
      <c r="C3281" s="2" t="s">
        <v>97</v>
      </c>
      <c r="D3281" s="2" t="s">
        <v>41</v>
      </c>
      <c r="E3281" s="2" t="s">
        <v>16</v>
      </c>
      <c r="F3281" s="2">
        <v>90</v>
      </c>
      <c r="G3281" s="2" t="s">
        <v>10548</v>
      </c>
      <c r="H3281" s="2" t="s">
        <v>6607</v>
      </c>
      <c r="I3281" s="2" t="s">
        <v>32</v>
      </c>
      <c r="J3281" s="3">
        <v>44168</v>
      </c>
      <c r="K3281" s="2">
        <v>56</v>
      </c>
      <c r="L3281" s="2" t="s">
        <v>45</v>
      </c>
    </row>
    <row r="3282" spans="1:12" x14ac:dyDescent="0.3">
      <c r="A3282" s="2">
        <v>3271</v>
      </c>
      <c r="B3282" s="2" t="s">
        <v>7931</v>
      </c>
      <c r="C3282" s="2" t="s">
        <v>2715</v>
      </c>
      <c r="D3282" s="2" t="s">
        <v>51</v>
      </c>
      <c r="E3282" s="2" t="s">
        <v>16</v>
      </c>
      <c r="F3282" s="2">
        <v>30</v>
      </c>
      <c r="G3282" s="2" t="s">
        <v>7932</v>
      </c>
      <c r="H3282" s="2" t="s">
        <v>288</v>
      </c>
      <c r="I3282" s="2" t="s">
        <v>32</v>
      </c>
      <c r="J3282" s="3">
        <v>44140</v>
      </c>
      <c r="K3282" s="2">
        <v>40</v>
      </c>
      <c r="L3282" s="2" t="s">
        <v>45</v>
      </c>
    </row>
    <row r="3283" spans="1:12" x14ac:dyDescent="0.3">
      <c r="A3283" s="2">
        <v>3272</v>
      </c>
      <c r="B3283" s="2" t="s">
        <v>6511</v>
      </c>
      <c r="C3283" s="2" t="s">
        <v>112</v>
      </c>
      <c r="D3283" s="2" t="s">
        <v>28</v>
      </c>
      <c r="E3283" s="2" t="s">
        <v>29</v>
      </c>
      <c r="F3283" s="2">
        <v>30</v>
      </c>
      <c r="G3283" s="2" t="s">
        <v>7933</v>
      </c>
      <c r="H3283" s="2" t="s">
        <v>2348</v>
      </c>
      <c r="I3283" s="2" t="s">
        <v>32</v>
      </c>
      <c r="J3283" s="3">
        <v>44712</v>
      </c>
      <c r="K3283" s="2">
        <v>72</v>
      </c>
      <c r="L3283" s="2" t="s">
        <v>64</v>
      </c>
    </row>
    <row r="3284" spans="1:12" x14ac:dyDescent="0.3">
      <c r="A3284" s="2">
        <v>3273</v>
      </c>
      <c r="B3284" s="2" t="s">
        <v>7934</v>
      </c>
      <c r="C3284" s="2" t="s">
        <v>2014</v>
      </c>
      <c r="D3284" s="2" t="s">
        <v>15</v>
      </c>
      <c r="E3284" s="2" t="s">
        <v>16</v>
      </c>
      <c r="F3284" s="2">
        <v>90</v>
      </c>
      <c r="G3284" s="2" t="s">
        <v>7935</v>
      </c>
      <c r="H3284" s="2" t="s">
        <v>7936</v>
      </c>
      <c r="I3284" s="2" t="s">
        <v>32</v>
      </c>
      <c r="J3284" s="3">
        <v>44053</v>
      </c>
      <c r="K3284" s="2">
        <v>49</v>
      </c>
      <c r="L3284" s="2" t="s">
        <v>39</v>
      </c>
    </row>
    <row r="3285" spans="1:12" x14ac:dyDescent="0.3">
      <c r="A3285" s="2">
        <v>3274</v>
      </c>
      <c r="B3285" s="2" t="s">
        <v>7937</v>
      </c>
      <c r="C3285" s="2" t="s">
        <v>3469</v>
      </c>
      <c r="D3285" s="2" t="s">
        <v>15</v>
      </c>
      <c r="E3285" s="2" t="s">
        <v>16</v>
      </c>
      <c r="F3285" s="2">
        <v>90</v>
      </c>
      <c r="G3285" s="2" t="s">
        <v>7938</v>
      </c>
      <c r="H3285" s="2" t="s">
        <v>4992</v>
      </c>
      <c r="I3285" s="2" t="s">
        <v>294</v>
      </c>
      <c r="J3285" s="3">
        <v>44475</v>
      </c>
      <c r="K3285" s="2">
        <v>15</v>
      </c>
      <c r="L3285" s="2" t="s">
        <v>45</v>
      </c>
    </row>
    <row r="3286" spans="1:12" x14ac:dyDescent="0.3">
      <c r="A3286" s="2">
        <v>3275</v>
      </c>
      <c r="B3286" s="2" t="s">
        <v>7939</v>
      </c>
      <c r="C3286" s="2" t="s">
        <v>4998</v>
      </c>
      <c r="D3286" s="2" t="s">
        <v>15</v>
      </c>
      <c r="E3286" s="2" t="s">
        <v>16</v>
      </c>
      <c r="F3286" s="2">
        <v>30</v>
      </c>
      <c r="G3286" s="2" t="s">
        <v>7940</v>
      </c>
      <c r="H3286" s="2" t="s">
        <v>34</v>
      </c>
      <c r="I3286" s="2" t="s">
        <v>1454</v>
      </c>
      <c r="J3286" s="3">
        <v>44704</v>
      </c>
      <c r="K3286" s="2">
        <v>17</v>
      </c>
      <c r="L3286" s="2" t="s">
        <v>70</v>
      </c>
    </row>
    <row r="3287" spans="1:12" x14ac:dyDescent="0.3">
      <c r="A3287" s="2">
        <v>3276</v>
      </c>
      <c r="B3287" s="2" t="s">
        <v>7741</v>
      </c>
      <c r="C3287" s="2" t="s">
        <v>2195</v>
      </c>
      <c r="D3287" s="2" t="s">
        <v>28</v>
      </c>
      <c r="E3287" s="2" t="s">
        <v>29</v>
      </c>
      <c r="F3287" s="2">
        <v>30</v>
      </c>
      <c r="G3287" s="2" t="s">
        <v>7941</v>
      </c>
      <c r="H3287" s="2" t="s">
        <v>966</v>
      </c>
      <c r="I3287" s="2" t="s">
        <v>187</v>
      </c>
      <c r="J3287" s="3">
        <v>44131</v>
      </c>
      <c r="K3287" s="2">
        <v>65</v>
      </c>
      <c r="L3287" s="2" t="s">
        <v>64</v>
      </c>
    </row>
    <row r="3288" spans="1:12" x14ac:dyDescent="0.3">
      <c r="A3288" s="2">
        <v>3277</v>
      </c>
      <c r="B3288" s="2" t="s">
        <v>3268</v>
      </c>
      <c r="C3288" s="2" t="s">
        <v>5161</v>
      </c>
      <c r="D3288" s="2" t="s">
        <v>51</v>
      </c>
      <c r="E3288" s="2" t="s">
        <v>16</v>
      </c>
      <c r="F3288" s="2">
        <v>90</v>
      </c>
      <c r="G3288" s="2" t="s">
        <v>7942</v>
      </c>
      <c r="H3288" s="2" t="s">
        <v>974</v>
      </c>
      <c r="I3288" s="2" t="s">
        <v>32</v>
      </c>
      <c r="J3288" s="3">
        <v>44207</v>
      </c>
      <c r="K3288" s="2">
        <v>32</v>
      </c>
      <c r="L3288" s="2" t="s">
        <v>101</v>
      </c>
    </row>
    <row r="3289" spans="1:12" x14ac:dyDescent="0.3">
      <c r="A3289" s="2">
        <v>3278</v>
      </c>
      <c r="B3289" s="2" t="s">
        <v>2118</v>
      </c>
      <c r="C3289" s="2" t="s">
        <v>3652</v>
      </c>
      <c r="D3289" s="2" t="s">
        <v>28</v>
      </c>
      <c r="E3289" s="2" t="s">
        <v>29</v>
      </c>
      <c r="F3289" s="2">
        <v>30</v>
      </c>
      <c r="G3289" s="2" t="s">
        <v>7943</v>
      </c>
      <c r="H3289" s="2" t="s">
        <v>7092</v>
      </c>
      <c r="I3289" s="2" t="s">
        <v>32</v>
      </c>
      <c r="J3289" s="3">
        <v>43977</v>
      </c>
      <c r="K3289" s="2">
        <v>61</v>
      </c>
      <c r="L3289" s="2" t="s">
        <v>159</v>
      </c>
    </row>
    <row r="3290" spans="1:12" x14ac:dyDescent="0.3">
      <c r="A3290" s="2">
        <v>3279</v>
      </c>
      <c r="B3290" s="2" t="s">
        <v>7944</v>
      </c>
      <c r="C3290" s="2" t="s">
        <v>5250</v>
      </c>
      <c r="D3290" s="2" t="s">
        <v>28</v>
      </c>
      <c r="E3290" s="2" t="s">
        <v>29</v>
      </c>
      <c r="F3290" s="2">
        <v>60</v>
      </c>
      <c r="G3290" s="2" t="s">
        <v>7945</v>
      </c>
      <c r="H3290" s="2" t="s">
        <v>7946</v>
      </c>
      <c r="I3290" s="2" t="s">
        <v>32</v>
      </c>
      <c r="J3290" s="3">
        <v>44635</v>
      </c>
      <c r="K3290" s="2">
        <v>2</v>
      </c>
      <c r="L3290" s="2" t="s">
        <v>39</v>
      </c>
    </row>
    <row r="3291" spans="1:12" x14ac:dyDescent="0.3">
      <c r="A3291" s="2">
        <v>3280</v>
      </c>
      <c r="B3291" s="2" t="s">
        <v>1572</v>
      </c>
      <c r="C3291" s="2" t="s">
        <v>7947</v>
      </c>
      <c r="D3291" s="2" t="s">
        <v>28</v>
      </c>
      <c r="E3291" s="2" t="s">
        <v>29</v>
      </c>
      <c r="F3291" s="2">
        <v>90</v>
      </c>
      <c r="G3291" s="2" t="s">
        <v>7948</v>
      </c>
      <c r="H3291" s="2" t="s">
        <v>2032</v>
      </c>
      <c r="I3291" s="2" t="s">
        <v>173</v>
      </c>
      <c r="J3291" s="3">
        <v>44581</v>
      </c>
      <c r="K3291" s="2">
        <v>84</v>
      </c>
      <c r="L3291" s="2" t="s">
        <v>54</v>
      </c>
    </row>
    <row r="3292" spans="1:12" x14ac:dyDescent="0.3">
      <c r="A3292" s="2">
        <v>3281</v>
      </c>
      <c r="B3292" s="2" t="s">
        <v>7319</v>
      </c>
      <c r="C3292" s="2" t="s">
        <v>3652</v>
      </c>
      <c r="D3292" s="2" t="s">
        <v>51</v>
      </c>
      <c r="E3292" s="2" t="s">
        <v>16</v>
      </c>
      <c r="F3292" s="2">
        <v>30</v>
      </c>
      <c r="G3292" s="2" t="s">
        <v>7949</v>
      </c>
      <c r="H3292" s="2" t="s">
        <v>875</v>
      </c>
      <c r="I3292" s="2" t="s">
        <v>187</v>
      </c>
      <c r="J3292" s="3">
        <v>44862</v>
      </c>
      <c r="K3292" s="2">
        <v>82</v>
      </c>
      <c r="L3292" s="2" t="s">
        <v>159</v>
      </c>
    </row>
    <row r="3293" spans="1:12" x14ac:dyDescent="0.3">
      <c r="A3293" s="2">
        <v>3282</v>
      </c>
      <c r="B3293" s="2" t="s">
        <v>2932</v>
      </c>
      <c r="C3293" s="2" t="s">
        <v>4218</v>
      </c>
      <c r="D3293" s="2" t="s">
        <v>28</v>
      </c>
      <c r="E3293" s="2" t="s">
        <v>29</v>
      </c>
      <c r="F3293" s="2">
        <v>30</v>
      </c>
      <c r="G3293" s="2" t="s">
        <v>7950</v>
      </c>
      <c r="H3293" s="2" t="s">
        <v>4285</v>
      </c>
      <c r="I3293" s="2" t="s">
        <v>124</v>
      </c>
      <c r="J3293" s="3">
        <v>43948</v>
      </c>
      <c r="K3293" s="2">
        <v>35</v>
      </c>
      <c r="L3293" s="2" t="s">
        <v>159</v>
      </c>
    </row>
    <row r="3294" spans="1:12" x14ac:dyDescent="0.3">
      <c r="A3294" s="2">
        <v>3283</v>
      </c>
      <c r="B3294" s="2" t="s">
        <v>7314</v>
      </c>
      <c r="C3294" s="2" t="s">
        <v>5318</v>
      </c>
      <c r="D3294" s="2" t="s">
        <v>28</v>
      </c>
      <c r="E3294" s="2" t="s">
        <v>29</v>
      </c>
      <c r="F3294" s="2">
        <v>30</v>
      </c>
      <c r="G3294" s="2" t="s">
        <v>7951</v>
      </c>
      <c r="H3294" s="2" t="s">
        <v>2169</v>
      </c>
      <c r="I3294" s="2" t="s">
        <v>32</v>
      </c>
      <c r="J3294" s="3">
        <v>43876</v>
      </c>
      <c r="K3294" s="2">
        <v>60</v>
      </c>
      <c r="L3294" s="2" t="s">
        <v>20</v>
      </c>
    </row>
    <row r="3295" spans="1:12" x14ac:dyDescent="0.3">
      <c r="A3295" s="2">
        <v>3284</v>
      </c>
      <c r="B3295" s="2" t="s">
        <v>7952</v>
      </c>
      <c r="C3295" s="2" t="s">
        <v>7953</v>
      </c>
      <c r="D3295" s="2" t="s">
        <v>51</v>
      </c>
      <c r="E3295" s="2" t="s">
        <v>16</v>
      </c>
      <c r="F3295" s="2">
        <v>30</v>
      </c>
      <c r="G3295" s="2" t="s">
        <v>7954</v>
      </c>
      <c r="H3295" s="2" t="s">
        <v>3010</v>
      </c>
      <c r="I3295" s="2" t="s">
        <v>187</v>
      </c>
      <c r="J3295" s="3">
        <v>44688</v>
      </c>
      <c r="K3295" s="2">
        <v>72</v>
      </c>
      <c r="L3295" s="2" t="s">
        <v>33</v>
      </c>
    </row>
    <row r="3296" spans="1:12" x14ac:dyDescent="0.3">
      <c r="A3296" s="2">
        <v>3285</v>
      </c>
      <c r="B3296" s="2" t="s">
        <v>2829</v>
      </c>
      <c r="C3296" s="2" t="s">
        <v>7955</v>
      </c>
      <c r="D3296" s="2" t="s">
        <v>28</v>
      </c>
      <c r="E3296" s="2" t="s">
        <v>29</v>
      </c>
      <c r="F3296" s="2">
        <v>60</v>
      </c>
      <c r="G3296" s="2" t="s">
        <v>7956</v>
      </c>
      <c r="H3296" s="2" t="s">
        <v>5243</v>
      </c>
      <c r="I3296" s="2" t="s">
        <v>25</v>
      </c>
      <c r="J3296" s="3">
        <v>43987</v>
      </c>
      <c r="K3296" s="2">
        <v>33</v>
      </c>
      <c r="L3296" s="2" t="s">
        <v>70</v>
      </c>
    </row>
    <row r="3297" spans="1:12" x14ac:dyDescent="0.3">
      <c r="A3297" s="2">
        <v>3286</v>
      </c>
      <c r="B3297" s="2" t="s">
        <v>5916</v>
      </c>
      <c r="C3297" s="2" t="s">
        <v>5502</v>
      </c>
      <c r="D3297" s="2" t="s">
        <v>28</v>
      </c>
      <c r="E3297" s="2" t="s">
        <v>29</v>
      </c>
      <c r="F3297" s="2">
        <v>60</v>
      </c>
      <c r="G3297" s="2" t="s">
        <v>7957</v>
      </c>
      <c r="H3297" s="2" t="s">
        <v>641</v>
      </c>
      <c r="I3297" s="2" t="s">
        <v>294</v>
      </c>
      <c r="J3297" s="3">
        <v>44688</v>
      </c>
      <c r="K3297" s="2">
        <v>60</v>
      </c>
      <c r="L3297" s="2" t="s">
        <v>70</v>
      </c>
    </row>
    <row r="3298" spans="1:12" x14ac:dyDescent="0.3">
      <c r="A3298" s="2">
        <v>3287</v>
      </c>
      <c r="B3298" s="2" t="s">
        <v>7958</v>
      </c>
      <c r="C3298" s="2" t="s">
        <v>4813</v>
      </c>
      <c r="D3298" s="2" t="s">
        <v>28</v>
      </c>
      <c r="E3298" s="2" t="s">
        <v>29</v>
      </c>
      <c r="F3298" s="2">
        <v>30</v>
      </c>
      <c r="G3298" s="2" t="s">
        <v>7959</v>
      </c>
      <c r="H3298" s="2" t="s">
        <v>4049</v>
      </c>
      <c r="I3298" s="2" t="s">
        <v>32</v>
      </c>
      <c r="J3298" s="3">
        <v>44183</v>
      </c>
      <c r="K3298" s="2">
        <v>13</v>
      </c>
      <c r="L3298" s="2" t="s">
        <v>45</v>
      </c>
    </row>
    <row r="3299" spans="1:12" x14ac:dyDescent="0.3">
      <c r="A3299" s="2">
        <v>3288</v>
      </c>
      <c r="B3299" s="2" t="s">
        <v>7960</v>
      </c>
      <c r="C3299" s="2" t="s">
        <v>2813</v>
      </c>
      <c r="D3299" s="2" t="s">
        <v>51</v>
      </c>
      <c r="E3299" s="2" t="s">
        <v>16</v>
      </c>
      <c r="F3299" s="2">
        <v>90</v>
      </c>
      <c r="G3299" s="2" t="s">
        <v>7961</v>
      </c>
      <c r="H3299" s="2" t="s">
        <v>3242</v>
      </c>
      <c r="I3299" s="2" t="s">
        <v>32</v>
      </c>
      <c r="J3299" s="3">
        <v>44892</v>
      </c>
      <c r="K3299" s="2">
        <v>64</v>
      </c>
      <c r="L3299" s="2" t="s">
        <v>80</v>
      </c>
    </row>
    <row r="3300" spans="1:12" x14ac:dyDescent="0.3">
      <c r="A3300" s="2">
        <v>3289</v>
      </c>
      <c r="B3300" s="2" t="s">
        <v>343</v>
      </c>
      <c r="C3300" s="2" t="s">
        <v>7962</v>
      </c>
      <c r="D3300" s="2" t="s">
        <v>28</v>
      </c>
      <c r="E3300" s="2" t="s">
        <v>29</v>
      </c>
      <c r="F3300" s="2">
        <v>30</v>
      </c>
      <c r="G3300" s="2" t="s">
        <v>7961</v>
      </c>
      <c r="H3300" s="2" t="s">
        <v>3263</v>
      </c>
      <c r="I3300" s="2" t="s">
        <v>32</v>
      </c>
      <c r="J3300" s="3">
        <v>44474</v>
      </c>
      <c r="K3300" s="2">
        <v>78</v>
      </c>
      <c r="L3300" s="2" t="s">
        <v>159</v>
      </c>
    </row>
    <row r="3301" spans="1:12" x14ac:dyDescent="0.3">
      <c r="A3301" s="2">
        <v>3290</v>
      </c>
      <c r="B3301" s="2" t="s">
        <v>7963</v>
      </c>
      <c r="C3301" s="2" t="s">
        <v>3872</v>
      </c>
      <c r="D3301" s="2" t="s">
        <v>51</v>
      </c>
      <c r="E3301" s="2" t="s">
        <v>16</v>
      </c>
      <c r="F3301" s="2">
        <v>30</v>
      </c>
      <c r="G3301" s="2" t="s">
        <v>7964</v>
      </c>
      <c r="H3301" s="2" t="s">
        <v>7965</v>
      </c>
      <c r="I3301" s="2" t="s">
        <v>38</v>
      </c>
      <c r="J3301" s="3">
        <v>44624</v>
      </c>
      <c r="K3301" s="2">
        <v>68</v>
      </c>
      <c r="L3301" s="2" t="s">
        <v>80</v>
      </c>
    </row>
    <row r="3302" spans="1:12" x14ac:dyDescent="0.3">
      <c r="A3302" s="2">
        <v>3291</v>
      </c>
      <c r="B3302" s="2" t="s">
        <v>990</v>
      </c>
      <c r="C3302" s="2" t="s">
        <v>1317</v>
      </c>
      <c r="D3302" s="2" t="s">
        <v>28</v>
      </c>
      <c r="E3302" s="2" t="s">
        <v>29</v>
      </c>
      <c r="F3302" s="2">
        <v>30</v>
      </c>
      <c r="G3302" s="2" t="s">
        <v>7966</v>
      </c>
      <c r="H3302" s="2" t="s">
        <v>1819</v>
      </c>
      <c r="I3302" s="2" t="s">
        <v>89</v>
      </c>
      <c r="J3302" s="3">
        <v>44594</v>
      </c>
      <c r="K3302" s="2">
        <v>30</v>
      </c>
      <c r="L3302" s="2" t="s">
        <v>54</v>
      </c>
    </row>
    <row r="3303" spans="1:12" x14ac:dyDescent="0.3">
      <c r="A3303" s="2">
        <v>3292</v>
      </c>
      <c r="B3303" s="2" t="s">
        <v>7365</v>
      </c>
      <c r="C3303" s="2" t="s">
        <v>3569</v>
      </c>
      <c r="D3303" s="2" t="s">
        <v>51</v>
      </c>
      <c r="E3303" s="2" t="s">
        <v>16</v>
      </c>
      <c r="F3303" s="2">
        <v>90</v>
      </c>
      <c r="G3303" s="2" t="s">
        <v>7967</v>
      </c>
      <c r="H3303" s="2" t="s">
        <v>4361</v>
      </c>
      <c r="I3303" s="2" t="s">
        <v>4362</v>
      </c>
      <c r="J3303" s="3">
        <v>43871</v>
      </c>
      <c r="K3303" s="2">
        <v>43</v>
      </c>
      <c r="L3303" s="2" t="s">
        <v>70</v>
      </c>
    </row>
    <row r="3304" spans="1:12" x14ac:dyDescent="0.3">
      <c r="A3304" s="2">
        <v>3293</v>
      </c>
      <c r="B3304" s="2" t="s">
        <v>3429</v>
      </c>
      <c r="C3304" s="2" t="s">
        <v>3549</v>
      </c>
      <c r="D3304" s="2" t="s">
        <v>92</v>
      </c>
      <c r="E3304" s="2" t="s">
        <v>29</v>
      </c>
      <c r="F3304" s="2">
        <v>30</v>
      </c>
      <c r="G3304" s="2" t="s">
        <v>7968</v>
      </c>
      <c r="H3304" s="2" t="s">
        <v>2866</v>
      </c>
      <c r="I3304" s="2" t="s">
        <v>32</v>
      </c>
      <c r="J3304" s="3">
        <v>43958</v>
      </c>
      <c r="K3304" s="2">
        <v>76</v>
      </c>
      <c r="L3304" s="2" t="s">
        <v>80</v>
      </c>
    </row>
    <row r="3305" spans="1:12" x14ac:dyDescent="0.3">
      <c r="A3305" s="2">
        <v>3294</v>
      </c>
      <c r="B3305" s="2" t="s">
        <v>2823</v>
      </c>
      <c r="C3305" s="2" t="s">
        <v>7622</v>
      </c>
      <c r="D3305" s="2" t="s">
        <v>51</v>
      </c>
      <c r="E3305" s="2" t="s">
        <v>16</v>
      </c>
      <c r="F3305" s="2">
        <v>90</v>
      </c>
      <c r="G3305" s="2" t="s">
        <v>7969</v>
      </c>
      <c r="H3305" s="2" t="s">
        <v>2678</v>
      </c>
      <c r="I3305" s="2" t="s">
        <v>32</v>
      </c>
      <c r="J3305" s="3">
        <v>44689</v>
      </c>
      <c r="K3305" s="2">
        <v>36</v>
      </c>
      <c r="L3305" s="2" t="s">
        <v>54</v>
      </c>
    </row>
    <row r="3306" spans="1:12" x14ac:dyDescent="0.3">
      <c r="A3306" s="2">
        <v>3295</v>
      </c>
      <c r="B3306" s="2" t="s">
        <v>7970</v>
      </c>
      <c r="C3306" s="2" t="s">
        <v>4131</v>
      </c>
      <c r="D3306" s="2" t="s">
        <v>51</v>
      </c>
      <c r="E3306" s="2" t="s">
        <v>16</v>
      </c>
      <c r="F3306" s="2">
        <v>60</v>
      </c>
      <c r="G3306" s="2" t="s">
        <v>7971</v>
      </c>
      <c r="H3306" s="2" t="s">
        <v>641</v>
      </c>
      <c r="I3306" s="2" t="s">
        <v>294</v>
      </c>
      <c r="J3306" s="3">
        <v>43863</v>
      </c>
      <c r="K3306" s="2">
        <v>31</v>
      </c>
      <c r="L3306" s="2" t="s">
        <v>39</v>
      </c>
    </row>
    <row r="3307" spans="1:12" x14ac:dyDescent="0.3">
      <c r="A3307" s="2">
        <v>3296</v>
      </c>
      <c r="B3307" s="2" t="s">
        <v>7972</v>
      </c>
      <c r="C3307" s="2" t="s">
        <v>7973</v>
      </c>
      <c r="D3307" s="2" t="s">
        <v>15</v>
      </c>
      <c r="E3307" s="2" t="s">
        <v>16</v>
      </c>
      <c r="F3307" s="2">
        <v>60</v>
      </c>
      <c r="G3307" s="2" t="s">
        <v>7974</v>
      </c>
      <c r="H3307" s="2" t="s">
        <v>163</v>
      </c>
      <c r="I3307" s="2" t="s">
        <v>164</v>
      </c>
      <c r="J3307" s="3">
        <v>44485</v>
      </c>
      <c r="K3307" s="2">
        <v>94</v>
      </c>
      <c r="L3307" s="2" t="s">
        <v>70</v>
      </c>
    </row>
    <row r="3308" spans="1:12" x14ac:dyDescent="0.3">
      <c r="A3308" s="2">
        <v>3297</v>
      </c>
      <c r="B3308" s="2" t="s">
        <v>375</v>
      </c>
      <c r="C3308" s="2" t="s">
        <v>2276</v>
      </c>
      <c r="D3308" s="2" t="s">
        <v>28</v>
      </c>
      <c r="E3308" s="2" t="s">
        <v>29</v>
      </c>
      <c r="F3308" s="2">
        <v>30</v>
      </c>
      <c r="G3308" s="2" t="s">
        <v>7975</v>
      </c>
      <c r="H3308" s="2" t="s">
        <v>1477</v>
      </c>
      <c r="I3308" s="2" t="s">
        <v>1478</v>
      </c>
      <c r="J3308" s="3">
        <v>44593</v>
      </c>
      <c r="K3308" s="2">
        <v>97</v>
      </c>
      <c r="L3308" s="2" t="s">
        <v>101</v>
      </c>
    </row>
    <row r="3309" spans="1:12" x14ac:dyDescent="0.3">
      <c r="A3309" s="2">
        <v>3298</v>
      </c>
      <c r="B3309" s="2" t="s">
        <v>7976</v>
      </c>
      <c r="C3309" s="2" t="s">
        <v>708</v>
      </c>
      <c r="D3309" s="2" t="s">
        <v>28</v>
      </c>
      <c r="E3309" s="2" t="s">
        <v>29</v>
      </c>
      <c r="F3309" s="2">
        <v>90</v>
      </c>
      <c r="G3309" s="2" t="s">
        <v>7977</v>
      </c>
      <c r="H3309" s="2" t="s">
        <v>2479</v>
      </c>
      <c r="I3309" s="2" t="s">
        <v>1233</v>
      </c>
      <c r="J3309" s="3">
        <v>44386</v>
      </c>
      <c r="K3309" s="2">
        <v>33</v>
      </c>
      <c r="L3309" s="2" t="s">
        <v>101</v>
      </c>
    </row>
    <row r="3310" spans="1:12" x14ac:dyDescent="0.3">
      <c r="A3310" s="2">
        <v>3299</v>
      </c>
      <c r="B3310" s="2" t="s">
        <v>7356</v>
      </c>
      <c r="C3310" s="2" t="s">
        <v>5659</v>
      </c>
      <c r="D3310" s="2" t="s">
        <v>51</v>
      </c>
      <c r="E3310" s="2" t="s">
        <v>16</v>
      </c>
      <c r="F3310" s="2">
        <v>60</v>
      </c>
      <c r="G3310" s="2" t="s">
        <v>7978</v>
      </c>
      <c r="H3310" s="2" t="s">
        <v>1956</v>
      </c>
      <c r="I3310" s="2" t="s">
        <v>32</v>
      </c>
      <c r="J3310" s="3">
        <v>44650</v>
      </c>
      <c r="K3310" s="2">
        <v>16</v>
      </c>
      <c r="L3310" s="2" t="s">
        <v>33</v>
      </c>
    </row>
    <row r="3311" spans="1:12" x14ac:dyDescent="0.3">
      <c r="A3311" s="2">
        <v>3300</v>
      </c>
      <c r="B3311" s="2" t="s">
        <v>6144</v>
      </c>
      <c r="C3311" s="2" t="s">
        <v>2970</v>
      </c>
      <c r="D3311" s="2" t="s">
        <v>28</v>
      </c>
      <c r="E3311" s="2" t="s">
        <v>29</v>
      </c>
      <c r="F3311" s="2">
        <v>90</v>
      </c>
      <c r="G3311" s="2" t="s">
        <v>7979</v>
      </c>
      <c r="H3311" s="2" t="s">
        <v>5819</v>
      </c>
      <c r="I3311" s="2" t="s">
        <v>5820</v>
      </c>
      <c r="J3311" s="3">
        <v>44536</v>
      </c>
      <c r="K3311" s="2">
        <v>64</v>
      </c>
      <c r="L3311" s="2" t="s">
        <v>101</v>
      </c>
    </row>
    <row r="3312" spans="1:12" x14ac:dyDescent="0.3">
      <c r="A3312" s="2">
        <v>3301</v>
      </c>
      <c r="B3312" s="2" t="s">
        <v>5920</v>
      </c>
      <c r="C3312" s="2" t="s">
        <v>7980</v>
      </c>
      <c r="D3312" s="2" t="s">
        <v>28</v>
      </c>
      <c r="E3312" s="2" t="s">
        <v>29</v>
      </c>
      <c r="F3312" s="2">
        <v>90</v>
      </c>
      <c r="G3312" s="2" t="s">
        <v>7981</v>
      </c>
      <c r="H3312" s="2" t="s">
        <v>881</v>
      </c>
      <c r="I3312" s="2" t="s">
        <v>178</v>
      </c>
      <c r="J3312" s="3">
        <v>44387</v>
      </c>
      <c r="K3312" s="2">
        <v>51</v>
      </c>
      <c r="L3312" s="2" t="s">
        <v>39</v>
      </c>
    </row>
    <row r="3313" spans="1:12" x14ac:dyDescent="0.3">
      <c r="A3313" s="2">
        <v>3302</v>
      </c>
      <c r="B3313" s="2" t="s">
        <v>7982</v>
      </c>
      <c r="C3313" s="2" t="s">
        <v>3089</v>
      </c>
      <c r="D3313" s="2" t="s">
        <v>15</v>
      </c>
      <c r="E3313" s="2" t="s">
        <v>16</v>
      </c>
      <c r="F3313" s="2">
        <v>90</v>
      </c>
      <c r="G3313" s="2" t="s">
        <v>7983</v>
      </c>
      <c r="H3313" s="2" t="s">
        <v>917</v>
      </c>
      <c r="I3313" s="2" t="s">
        <v>32</v>
      </c>
      <c r="J3313" s="3">
        <v>44569</v>
      </c>
      <c r="K3313" s="2">
        <v>32</v>
      </c>
      <c r="L3313" s="2" t="s">
        <v>20</v>
      </c>
    </row>
    <row r="3314" spans="1:12" x14ac:dyDescent="0.3">
      <c r="A3314" s="2">
        <v>3303</v>
      </c>
      <c r="B3314" s="2" t="s">
        <v>4318</v>
      </c>
      <c r="C3314" s="2" t="s">
        <v>1216</v>
      </c>
      <c r="D3314" s="2" t="s">
        <v>28</v>
      </c>
      <c r="E3314" s="2" t="s">
        <v>29</v>
      </c>
      <c r="F3314" s="2">
        <v>30</v>
      </c>
      <c r="G3314" s="2" t="s">
        <v>7984</v>
      </c>
      <c r="H3314" s="2" t="s">
        <v>1940</v>
      </c>
      <c r="I3314" s="2" t="s">
        <v>294</v>
      </c>
      <c r="J3314" s="3">
        <v>44414</v>
      </c>
      <c r="K3314" s="2">
        <v>24</v>
      </c>
      <c r="L3314" s="2" t="s">
        <v>20</v>
      </c>
    </row>
    <row r="3315" spans="1:12" x14ac:dyDescent="0.3">
      <c r="A3315" s="2">
        <v>3304</v>
      </c>
      <c r="B3315" s="2" t="s">
        <v>7239</v>
      </c>
      <c r="C3315" s="2" t="s">
        <v>6465</v>
      </c>
      <c r="D3315" s="2" t="s">
        <v>28</v>
      </c>
      <c r="E3315" s="2" t="s">
        <v>29</v>
      </c>
      <c r="F3315" s="2">
        <v>90</v>
      </c>
      <c r="G3315" s="2" t="s">
        <v>7985</v>
      </c>
      <c r="H3315" s="2" t="s">
        <v>1366</v>
      </c>
      <c r="I3315" s="2" t="s">
        <v>1367</v>
      </c>
      <c r="J3315" s="3">
        <v>44794</v>
      </c>
      <c r="K3315" s="2">
        <v>21</v>
      </c>
      <c r="L3315" s="2" t="s">
        <v>80</v>
      </c>
    </row>
    <row r="3316" spans="1:12" x14ac:dyDescent="0.3">
      <c r="A3316" s="2">
        <v>3305</v>
      </c>
      <c r="B3316" s="2" t="s">
        <v>7986</v>
      </c>
      <c r="C3316" s="2" t="s">
        <v>4971</v>
      </c>
      <c r="D3316" s="2" t="s">
        <v>51</v>
      </c>
      <c r="E3316" s="2" t="s">
        <v>16</v>
      </c>
      <c r="F3316" s="2">
        <v>30</v>
      </c>
      <c r="G3316" s="2" t="s">
        <v>7987</v>
      </c>
      <c r="H3316" s="2" t="s">
        <v>4326</v>
      </c>
      <c r="I3316" s="2" t="s">
        <v>1078</v>
      </c>
      <c r="J3316" s="3">
        <v>44039</v>
      </c>
      <c r="K3316" s="2">
        <v>21</v>
      </c>
      <c r="L3316" s="2" t="s">
        <v>159</v>
      </c>
    </row>
    <row r="3317" spans="1:12" x14ac:dyDescent="0.3">
      <c r="A3317" s="2">
        <v>3306</v>
      </c>
      <c r="B3317" s="2" t="s">
        <v>7988</v>
      </c>
      <c r="C3317" s="2" t="s">
        <v>2905</v>
      </c>
      <c r="D3317" s="2" t="s">
        <v>28</v>
      </c>
      <c r="E3317" s="2" t="s">
        <v>29</v>
      </c>
      <c r="F3317" s="2">
        <v>30</v>
      </c>
      <c r="G3317" s="2" t="s">
        <v>7989</v>
      </c>
      <c r="H3317" s="2" t="s">
        <v>3228</v>
      </c>
      <c r="I3317" s="2" t="s">
        <v>294</v>
      </c>
      <c r="J3317" s="3">
        <v>44319</v>
      </c>
      <c r="K3317" s="2">
        <v>38</v>
      </c>
      <c r="L3317" s="2" t="s">
        <v>64</v>
      </c>
    </row>
    <row r="3318" spans="1:12" x14ac:dyDescent="0.3">
      <c r="A3318" s="2">
        <v>3307</v>
      </c>
      <c r="B3318" s="2" t="s">
        <v>7990</v>
      </c>
      <c r="C3318" s="2" t="s">
        <v>1765</v>
      </c>
      <c r="D3318" s="2" t="s">
        <v>15</v>
      </c>
      <c r="E3318" s="2" t="s">
        <v>16</v>
      </c>
      <c r="F3318" s="2">
        <v>60</v>
      </c>
      <c r="G3318" s="2" t="s">
        <v>7991</v>
      </c>
      <c r="H3318" s="2" t="s">
        <v>2759</v>
      </c>
      <c r="I3318" s="2" t="s">
        <v>32</v>
      </c>
      <c r="J3318" s="3">
        <v>44355</v>
      </c>
      <c r="K3318" s="2">
        <v>36</v>
      </c>
      <c r="L3318" s="2" t="s">
        <v>33</v>
      </c>
    </row>
    <row r="3319" spans="1:12" x14ac:dyDescent="0.3">
      <c r="A3319" s="2">
        <v>3308</v>
      </c>
      <c r="B3319" s="2" t="s">
        <v>7992</v>
      </c>
      <c r="C3319" s="2" t="s">
        <v>2677</v>
      </c>
      <c r="D3319" s="2" t="s">
        <v>28</v>
      </c>
      <c r="E3319" s="2" t="s">
        <v>29</v>
      </c>
      <c r="F3319" s="2">
        <v>30</v>
      </c>
      <c r="G3319" s="2" t="s">
        <v>7993</v>
      </c>
      <c r="H3319" s="2" t="s">
        <v>7233</v>
      </c>
      <c r="I3319" s="2" t="s">
        <v>32</v>
      </c>
      <c r="J3319" s="3">
        <v>44389</v>
      </c>
      <c r="K3319" s="2">
        <v>12</v>
      </c>
      <c r="L3319" s="2" t="s">
        <v>45</v>
      </c>
    </row>
    <row r="3320" spans="1:12" x14ac:dyDescent="0.3">
      <c r="A3320" s="2">
        <v>3309</v>
      </c>
      <c r="B3320" s="2" t="s">
        <v>909</v>
      </c>
      <c r="C3320" s="2" t="s">
        <v>3079</v>
      </c>
      <c r="D3320" s="2" t="s">
        <v>51</v>
      </c>
      <c r="E3320" s="2" t="s">
        <v>16</v>
      </c>
      <c r="F3320" s="2">
        <v>60</v>
      </c>
      <c r="G3320" s="2" t="s">
        <v>7994</v>
      </c>
      <c r="H3320" s="2" t="s">
        <v>3215</v>
      </c>
      <c r="I3320" s="2" t="s">
        <v>32</v>
      </c>
      <c r="J3320" s="3">
        <v>44479</v>
      </c>
      <c r="K3320" s="2">
        <v>83</v>
      </c>
      <c r="L3320" s="2" t="s">
        <v>33</v>
      </c>
    </row>
    <row r="3321" spans="1:12" x14ac:dyDescent="0.3">
      <c r="A3321" s="2">
        <v>3310</v>
      </c>
      <c r="B3321" s="2" t="s">
        <v>7995</v>
      </c>
      <c r="C3321" s="2" t="s">
        <v>5907</v>
      </c>
      <c r="D3321" s="2" t="s">
        <v>51</v>
      </c>
      <c r="E3321" s="2" t="s">
        <v>16</v>
      </c>
      <c r="F3321" s="2">
        <v>90</v>
      </c>
      <c r="G3321" s="2" t="s">
        <v>7996</v>
      </c>
      <c r="H3321" s="2" t="s">
        <v>7997</v>
      </c>
      <c r="I3321" s="2" t="s">
        <v>645</v>
      </c>
      <c r="J3321" s="3">
        <v>44441</v>
      </c>
      <c r="K3321" s="2">
        <v>10</v>
      </c>
      <c r="L3321" s="2" t="s">
        <v>70</v>
      </c>
    </row>
    <row r="3322" spans="1:12" x14ac:dyDescent="0.3">
      <c r="A3322" s="2">
        <v>3311</v>
      </c>
      <c r="B3322" s="2" t="s">
        <v>6889</v>
      </c>
      <c r="C3322" s="2" t="s">
        <v>1085</v>
      </c>
      <c r="D3322" s="2" t="s">
        <v>15</v>
      </c>
      <c r="E3322" s="2" t="s">
        <v>16</v>
      </c>
      <c r="F3322" s="2">
        <v>60</v>
      </c>
      <c r="G3322" s="2" t="s">
        <v>7998</v>
      </c>
      <c r="H3322" s="2" t="s">
        <v>7281</v>
      </c>
      <c r="I3322" s="2" t="s">
        <v>25</v>
      </c>
      <c r="J3322" s="3">
        <v>44097</v>
      </c>
      <c r="K3322" s="2">
        <v>43</v>
      </c>
      <c r="L3322" s="2" t="s">
        <v>80</v>
      </c>
    </row>
    <row r="3323" spans="1:12" x14ac:dyDescent="0.3">
      <c r="A3323" s="2">
        <v>3312</v>
      </c>
      <c r="B3323" s="2" t="s">
        <v>3158</v>
      </c>
      <c r="C3323" s="2" t="s">
        <v>7423</v>
      </c>
      <c r="D3323" s="2" t="s">
        <v>28</v>
      </c>
      <c r="E3323" s="2" t="s">
        <v>29</v>
      </c>
      <c r="F3323" s="2">
        <v>60</v>
      </c>
      <c r="G3323" s="2" t="s">
        <v>7999</v>
      </c>
      <c r="H3323" s="2" t="s">
        <v>8000</v>
      </c>
      <c r="I3323" s="2" t="s">
        <v>32</v>
      </c>
      <c r="J3323" s="3">
        <v>43856</v>
      </c>
      <c r="K3323" s="2">
        <v>16</v>
      </c>
      <c r="L3323" s="2" t="s">
        <v>54</v>
      </c>
    </row>
    <row r="3324" spans="1:12" x14ac:dyDescent="0.3">
      <c r="A3324" s="2">
        <v>3313</v>
      </c>
      <c r="B3324" s="2" t="s">
        <v>2110</v>
      </c>
      <c r="C3324" s="2" t="s">
        <v>6661</v>
      </c>
      <c r="D3324" s="2" t="s">
        <v>28</v>
      </c>
      <c r="E3324" s="2" t="s">
        <v>29</v>
      </c>
      <c r="F3324" s="2">
        <v>30</v>
      </c>
      <c r="G3324" s="2" t="s">
        <v>8001</v>
      </c>
      <c r="H3324" s="2" t="s">
        <v>742</v>
      </c>
      <c r="I3324" s="2" t="s">
        <v>124</v>
      </c>
      <c r="J3324" s="3">
        <v>44501</v>
      </c>
      <c r="K3324" s="2">
        <v>81</v>
      </c>
      <c r="L3324" s="2" t="s">
        <v>70</v>
      </c>
    </row>
    <row r="3325" spans="1:12" x14ac:dyDescent="0.3">
      <c r="A3325" s="2">
        <v>3314</v>
      </c>
      <c r="B3325" s="2" t="s">
        <v>3318</v>
      </c>
      <c r="C3325" s="2" t="s">
        <v>5306</v>
      </c>
      <c r="D3325" s="2" t="s">
        <v>92</v>
      </c>
      <c r="E3325" s="2" t="s">
        <v>16</v>
      </c>
      <c r="F3325" s="2">
        <v>60</v>
      </c>
      <c r="G3325" s="2" t="s">
        <v>8002</v>
      </c>
      <c r="H3325" s="2" t="s">
        <v>495</v>
      </c>
      <c r="I3325" s="2" t="s">
        <v>173</v>
      </c>
      <c r="J3325" s="3">
        <v>43944</v>
      </c>
      <c r="K3325" s="2">
        <v>28</v>
      </c>
      <c r="L3325" s="2" t="s">
        <v>39</v>
      </c>
    </row>
    <row r="3326" spans="1:12" x14ac:dyDescent="0.3">
      <c r="A3326" s="2">
        <v>3315</v>
      </c>
      <c r="B3326" s="2" t="s">
        <v>8003</v>
      </c>
      <c r="C3326" s="2" t="s">
        <v>7032</v>
      </c>
      <c r="D3326" s="2" t="s">
        <v>28</v>
      </c>
      <c r="E3326" s="2" t="s">
        <v>29</v>
      </c>
      <c r="F3326" s="2">
        <v>60</v>
      </c>
      <c r="G3326" s="2" t="s">
        <v>8004</v>
      </c>
      <c r="H3326" s="2" t="s">
        <v>4944</v>
      </c>
      <c r="I3326" s="2" t="s">
        <v>839</v>
      </c>
      <c r="J3326" s="3">
        <v>44601</v>
      </c>
      <c r="K3326" s="2">
        <v>86</v>
      </c>
      <c r="L3326" s="2" t="s">
        <v>64</v>
      </c>
    </row>
    <row r="3327" spans="1:12" x14ac:dyDescent="0.3">
      <c r="A3327" s="2">
        <v>3316</v>
      </c>
      <c r="B3327" s="2" t="s">
        <v>8005</v>
      </c>
      <c r="C3327" s="2" t="s">
        <v>8006</v>
      </c>
      <c r="D3327" s="2" t="s">
        <v>51</v>
      </c>
      <c r="E3327" s="2" t="s">
        <v>16</v>
      </c>
      <c r="F3327" s="2">
        <v>60</v>
      </c>
      <c r="G3327" s="2" t="s">
        <v>8007</v>
      </c>
      <c r="H3327" s="2" t="s">
        <v>3673</v>
      </c>
      <c r="I3327" s="2" t="s">
        <v>777</v>
      </c>
      <c r="J3327" s="3">
        <v>44541</v>
      </c>
      <c r="K3327" s="2">
        <v>95</v>
      </c>
      <c r="L3327" s="2" t="s">
        <v>33</v>
      </c>
    </row>
    <row r="3328" spans="1:12" x14ac:dyDescent="0.3">
      <c r="A3328" s="2">
        <v>3317</v>
      </c>
      <c r="B3328" s="2" t="s">
        <v>2267</v>
      </c>
      <c r="C3328" s="2" t="s">
        <v>4695</v>
      </c>
      <c r="D3328" s="2" t="s">
        <v>28</v>
      </c>
      <c r="E3328" s="2" t="s">
        <v>29</v>
      </c>
      <c r="F3328" s="2">
        <v>90</v>
      </c>
      <c r="G3328" s="2" t="s">
        <v>8007</v>
      </c>
      <c r="H3328" s="2" t="s">
        <v>6659</v>
      </c>
      <c r="I3328" s="2" t="s">
        <v>208</v>
      </c>
      <c r="J3328" s="3">
        <v>44194</v>
      </c>
      <c r="K3328" s="2">
        <v>63</v>
      </c>
      <c r="L3328" s="2" t="s">
        <v>54</v>
      </c>
    </row>
    <row r="3329" spans="1:12" x14ac:dyDescent="0.3">
      <c r="A3329" s="2">
        <v>3318</v>
      </c>
      <c r="B3329" s="2" t="s">
        <v>8008</v>
      </c>
      <c r="C3329" s="2" t="s">
        <v>1793</v>
      </c>
      <c r="D3329" s="2" t="s">
        <v>28</v>
      </c>
      <c r="E3329" s="2" t="s">
        <v>29</v>
      </c>
      <c r="F3329" s="2">
        <v>90</v>
      </c>
      <c r="G3329" s="2" t="s">
        <v>8009</v>
      </c>
      <c r="H3329" s="2" t="s">
        <v>1018</v>
      </c>
      <c r="I3329" s="2" t="s">
        <v>294</v>
      </c>
      <c r="J3329" s="3">
        <v>44841</v>
      </c>
      <c r="K3329" s="2">
        <v>55</v>
      </c>
      <c r="L3329" s="2" t="s">
        <v>70</v>
      </c>
    </row>
    <row r="3330" spans="1:12" x14ac:dyDescent="0.3">
      <c r="A3330" s="2">
        <v>3319</v>
      </c>
      <c r="B3330" s="2" t="s">
        <v>1424</v>
      </c>
      <c r="C3330" s="2" t="s">
        <v>6657</v>
      </c>
      <c r="D3330" s="2" t="s">
        <v>28</v>
      </c>
      <c r="E3330" s="2" t="s">
        <v>29</v>
      </c>
      <c r="F3330" s="2">
        <v>90</v>
      </c>
      <c r="G3330" s="2" t="s">
        <v>8010</v>
      </c>
      <c r="H3330" s="2" t="s">
        <v>346</v>
      </c>
      <c r="I3330" s="2" t="s">
        <v>32</v>
      </c>
      <c r="J3330" s="3">
        <v>44009</v>
      </c>
      <c r="K3330" s="2">
        <v>12</v>
      </c>
      <c r="L3330" s="2" t="s">
        <v>101</v>
      </c>
    </row>
    <row r="3331" spans="1:12" x14ac:dyDescent="0.3">
      <c r="A3331" s="2">
        <v>3320</v>
      </c>
      <c r="B3331" s="2" t="s">
        <v>8011</v>
      </c>
      <c r="C3331" s="2" t="s">
        <v>2509</v>
      </c>
      <c r="D3331" s="2" t="s">
        <v>15</v>
      </c>
      <c r="E3331" s="2" t="s">
        <v>16</v>
      </c>
      <c r="F3331" s="2">
        <v>60</v>
      </c>
      <c r="G3331" s="2" t="s">
        <v>10448</v>
      </c>
      <c r="H3331" s="2" t="s">
        <v>1206</v>
      </c>
      <c r="I3331" s="2" t="s">
        <v>294</v>
      </c>
      <c r="J3331" s="3">
        <v>44289</v>
      </c>
      <c r="K3331" s="2">
        <v>29</v>
      </c>
      <c r="L3331" s="2" t="s">
        <v>54</v>
      </c>
    </row>
    <row r="3332" spans="1:12" x14ac:dyDescent="0.3">
      <c r="A3332" s="2">
        <v>3321</v>
      </c>
      <c r="B3332" s="2" t="s">
        <v>8013</v>
      </c>
      <c r="C3332" s="2" t="s">
        <v>556</v>
      </c>
      <c r="D3332" s="2" t="s">
        <v>15</v>
      </c>
      <c r="E3332" s="2" t="s">
        <v>16</v>
      </c>
      <c r="F3332" s="2">
        <v>90</v>
      </c>
      <c r="G3332" s="2" t="s">
        <v>8014</v>
      </c>
      <c r="H3332" s="2" t="s">
        <v>1306</v>
      </c>
      <c r="I3332" s="2" t="s">
        <v>32</v>
      </c>
      <c r="J3332" s="3">
        <v>43831</v>
      </c>
      <c r="K3332" s="2">
        <v>11</v>
      </c>
      <c r="L3332" s="2" t="s">
        <v>101</v>
      </c>
    </row>
    <row r="3333" spans="1:12" x14ac:dyDescent="0.3">
      <c r="A3333" s="2">
        <v>3322</v>
      </c>
      <c r="B3333" s="2" t="s">
        <v>323</v>
      </c>
      <c r="C3333" s="2" t="s">
        <v>3077</v>
      </c>
      <c r="D3333" s="2" t="s">
        <v>28</v>
      </c>
      <c r="E3333" s="2" t="s">
        <v>29</v>
      </c>
      <c r="F3333" s="2">
        <v>30</v>
      </c>
      <c r="G3333" s="2" t="s">
        <v>8015</v>
      </c>
      <c r="H3333" s="2" t="s">
        <v>7140</v>
      </c>
      <c r="I3333" s="2" t="s">
        <v>294</v>
      </c>
      <c r="J3333" s="3">
        <v>44619</v>
      </c>
      <c r="K3333" s="2">
        <v>48</v>
      </c>
      <c r="L3333" s="2" t="s">
        <v>20</v>
      </c>
    </row>
    <row r="3334" spans="1:12" x14ac:dyDescent="0.3">
      <c r="A3334" s="2">
        <v>3323</v>
      </c>
      <c r="B3334" s="2" t="s">
        <v>5266</v>
      </c>
      <c r="C3334" s="2" t="s">
        <v>5772</v>
      </c>
      <c r="D3334" s="2" t="s">
        <v>51</v>
      </c>
      <c r="E3334" s="2" t="s">
        <v>16</v>
      </c>
      <c r="F3334" s="2">
        <v>30</v>
      </c>
      <c r="G3334" s="2" t="s">
        <v>8016</v>
      </c>
      <c r="H3334" s="2" t="s">
        <v>1099</v>
      </c>
      <c r="I3334" s="2" t="s">
        <v>25</v>
      </c>
      <c r="J3334" s="3">
        <v>44360</v>
      </c>
      <c r="K3334" s="2">
        <v>85</v>
      </c>
      <c r="L3334" s="2" t="s">
        <v>70</v>
      </c>
    </row>
    <row r="3335" spans="1:12" x14ac:dyDescent="0.3">
      <c r="A3335" s="2">
        <v>3324</v>
      </c>
      <c r="B3335" s="2" t="s">
        <v>7037</v>
      </c>
      <c r="C3335" s="2" t="s">
        <v>4416</v>
      </c>
      <c r="D3335" s="2" t="s">
        <v>28</v>
      </c>
      <c r="E3335" s="2" t="s">
        <v>29</v>
      </c>
      <c r="F3335" s="2">
        <v>30</v>
      </c>
      <c r="G3335" s="2" t="s">
        <v>8017</v>
      </c>
      <c r="H3335" s="2" t="s">
        <v>793</v>
      </c>
      <c r="I3335" s="2" t="s">
        <v>178</v>
      </c>
      <c r="J3335" s="3">
        <v>43990</v>
      </c>
      <c r="K3335" s="2">
        <v>21</v>
      </c>
      <c r="L3335" s="2" t="s">
        <v>80</v>
      </c>
    </row>
    <row r="3336" spans="1:12" x14ac:dyDescent="0.3">
      <c r="A3336" s="2">
        <v>3325</v>
      </c>
      <c r="B3336" s="2" t="s">
        <v>3512</v>
      </c>
      <c r="C3336" s="2" t="s">
        <v>7043</v>
      </c>
      <c r="D3336" s="2" t="s">
        <v>51</v>
      </c>
      <c r="E3336" s="2" t="s">
        <v>16</v>
      </c>
      <c r="F3336" s="2">
        <v>30</v>
      </c>
      <c r="G3336" s="2" t="s">
        <v>8018</v>
      </c>
      <c r="H3336" s="2" t="s">
        <v>8019</v>
      </c>
      <c r="I3336" s="2" t="s">
        <v>32</v>
      </c>
      <c r="J3336" s="3">
        <v>44747</v>
      </c>
      <c r="K3336" s="2">
        <v>79</v>
      </c>
      <c r="L3336" s="2" t="s">
        <v>101</v>
      </c>
    </row>
    <row r="3337" spans="1:12" x14ac:dyDescent="0.3">
      <c r="A3337" s="2">
        <v>3326</v>
      </c>
      <c r="B3337" s="2" t="s">
        <v>8020</v>
      </c>
      <c r="C3337" s="2" t="s">
        <v>5215</v>
      </c>
      <c r="D3337" s="2" t="s">
        <v>15</v>
      </c>
      <c r="E3337" s="2" t="s">
        <v>16</v>
      </c>
      <c r="F3337" s="2">
        <v>90</v>
      </c>
      <c r="G3337" s="2" t="s">
        <v>8021</v>
      </c>
      <c r="H3337" s="2" t="s">
        <v>8022</v>
      </c>
      <c r="I3337" s="2" t="s">
        <v>294</v>
      </c>
      <c r="J3337" s="3">
        <v>44257</v>
      </c>
      <c r="K3337" s="2">
        <v>49</v>
      </c>
      <c r="L3337" s="2" t="s">
        <v>45</v>
      </c>
    </row>
    <row r="3338" spans="1:12" x14ac:dyDescent="0.3">
      <c r="A3338" s="2">
        <v>3327</v>
      </c>
      <c r="B3338" s="2" t="s">
        <v>8023</v>
      </c>
      <c r="C3338" s="2" t="s">
        <v>5306</v>
      </c>
      <c r="D3338" s="2" t="s">
        <v>15</v>
      </c>
      <c r="E3338" s="2" t="s">
        <v>16</v>
      </c>
      <c r="F3338" s="2">
        <v>90</v>
      </c>
      <c r="G3338" s="2" t="s">
        <v>8024</v>
      </c>
      <c r="H3338" s="2" t="s">
        <v>4046</v>
      </c>
      <c r="I3338" s="2" t="s">
        <v>173</v>
      </c>
      <c r="J3338" s="3">
        <v>43877</v>
      </c>
      <c r="K3338" s="2">
        <v>2</v>
      </c>
      <c r="L3338" s="2" t="s">
        <v>70</v>
      </c>
    </row>
    <row r="3339" spans="1:12" x14ac:dyDescent="0.3">
      <c r="A3339" s="2">
        <v>3328</v>
      </c>
      <c r="B3339" s="2" t="s">
        <v>2377</v>
      </c>
      <c r="C3339" s="2" t="s">
        <v>3162</v>
      </c>
      <c r="D3339" s="2" t="s">
        <v>117</v>
      </c>
      <c r="E3339" s="2" t="s">
        <v>16</v>
      </c>
      <c r="F3339" s="2">
        <v>90</v>
      </c>
      <c r="G3339" s="2" t="s">
        <v>8025</v>
      </c>
      <c r="H3339" s="2" t="s">
        <v>2890</v>
      </c>
      <c r="I3339" s="2" t="s">
        <v>32</v>
      </c>
      <c r="J3339" s="3">
        <v>44671</v>
      </c>
      <c r="K3339" s="2">
        <v>80</v>
      </c>
      <c r="L3339" s="2" t="s">
        <v>70</v>
      </c>
    </row>
    <row r="3340" spans="1:12" x14ac:dyDescent="0.3">
      <c r="A3340" s="2">
        <v>3329</v>
      </c>
      <c r="B3340" s="2" t="s">
        <v>4395</v>
      </c>
      <c r="C3340" s="2" t="s">
        <v>8026</v>
      </c>
      <c r="D3340" s="2" t="s">
        <v>28</v>
      </c>
      <c r="E3340" s="2" t="s">
        <v>29</v>
      </c>
      <c r="F3340" s="2">
        <v>30</v>
      </c>
      <c r="G3340" s="2" t="s">
        <v>8027</v>
      </c>
      <c r="H3340" s="2" t="s">
        <v>8028</v>
      </c>
      <c r="I3340" s="2" t="s">
        <v>294</v>
      </c>
      <c r="J3340" s="3">
        <v>43912</v>
      </c>
      <c r="K3340" s="2">
        <v>69</v>
      </c>
      <c r="L3340" s="2" t="s">
        <v>70</v>
      </c>
    </row>
    <row r="3341" spans="1:12" x14ac:dyDescent="0.3">
      <c r="A3341" s="2">
        <v>3330</v>
      </c>
      <c r="B3341" s="2" t="s">
        <v>430</v>
      </c>
      <c r="C3341" s="2" t="s">
        <v>644</v>
      </c>
      <c r="D3341" s="2" t="s">
        <v>28</v>
      </c>
      <c r="E3341" s="2" t="s">
        <v>29</v>
      </c>
      <c r="F3341" s="2">
        <v>30</v>
      </c>
      <c r="G3341" s="2" t="s">
        <v>8029</v>
      </c>
      <c r="H3341" s="2" t="s">
        <v>8030</v>
      </c>
      <c r="I3341" s="2" t="s">
        <v>32</v>
      </c>
      <c r="J3341" s="3">
        <v>44292</v>
      </c>
      <c r="K3341" s="2">
        <v>78</v>
      </c>
      <c r="L3341" s="2" t="s">
        <v>101</v>
      </c>
    </row>
    <row r="3342" spans="1:12" x14ac:dyDescent="0.3">
      <c r="A3342" s="2">
        <v>3331</v>
      </c>
      <c r="B3342" s="2" t="s">
        <v>8031</v>
      </c>
      <c r="C3342" s="2" t="s">
        <v>6003</v>
      </c>
      <c r="D3342" s="2" t="s">
        <v>15</v>
      </c>
      <c r="E3342" s="2" t="s">
        <v>16</v>
      </c>
      <c r="F3342" s="2">
        <v>60</v>
      </c>
      <c r="G3342" s="2" t="s">
        <v>8032</v>
      </c>
      <c r="H3342" s="2" t="s">
        <v>8033</v>
      </c>
      <c r="I3342" s="2" t="s">
        <v>32</v>
      </c>
      <c r="J3342" s="3">
        <v>43877</v>
      </c>
      <c r="K3342" s="2">
        <v>76</v>
      </c>
      <c r="L3342" s="2" t="s">
        <v>54</v>
      </c>
    </row>
    <row r="3343" spans="1:12" x14ac:dyDescent="0.3">
      <c r="A3343" s="2">
        <v>3332</v>
      </c>
      <c r="B3343" s="2" t="s">
        <v>8034</v>
      </c>
      <c r="C3343" s="2" t="s">
        <v>8035</v>
      </c>
      <c r="D3343" s="2" t="s">
        <v>15</v>
      </c>
      <c r="E3343" s="2" t="s">
        <v>16</v>
      </c>
      <c r="F3343" s="2">
        <v>60</v>
      </c>
      <c r="G3343" s="2" t="s">
        <v>8036</v>
      </c>
      <c r="H3343" s="2" t="s">
        <v>2872</v>
      </c>
      <c r="I3343" s="2" t="s">
        <v>294</v>
      </c>
      <c r="J3343" s="3">
        <v>44924</v>
      </c>
      <c r="K3343" s="2">
        <v>103</v>
      </c>
      <c r="L3343" s="2" t="s">
        <v>33</v>
      </c>
    </row>
    <row r="3344" spans="1:12" x14ac:dyDescent="0.3">
      <c r="A3344" s="2">
        <v>3333</v>
      </c>
      <c r="B3344" s="2" t="s">
        <v>8037</v>
      </c>
      <c r="C3344" s="2" t="s">
        <v>556</v>
      </c>
      <c r="D3344" s="2" t="s">
        <v>15</v>
      </c>
      <c r="E3344" s="2" t="s">
        <v>16</v>
      </c>
      <c r="F3344" s="2">
        <v>60</v>
      </c>
      <c r="G3344" s="2" t="s">
        <v>8038</v>
      </c>
      <c r="H3344" s="2" t="s">
        <v>5631</v>
      </c>
      <c r="I3344" s="2" t="s">
        <v>129</v>
      </c>
      <c r="J3344" s="3">
        <v>44670</v>
      </c>
      <c r="K3344" s="2">
        <v>81</v>
      </c>
      <c r="L3344" s="2" t="s">
        <v>54</v>
      </c>
    </row>
    <row r="3345" spans="1:12" x14ac:dyDescent="0.3">
      <c r="A3345" s="2">
        <v>3334</v>
      </c>
      <c r="B3345" s="2" t="s">
        <v>4757</v>
      </c>
      <c r="C3345" s="2" t="s">
        <v>5604</v>
      </c>
      <c r="D3345" s="2" t="s">
        <v>28</v>
      </c>
      <c r="E3345" s="2" t="s">
        <v>29</v>
      </c>
      <c r="F3345" s="2">
        <v>90</v>
      </c>
      <c r="G3345" s="2" t="s">
        <v>8039</v>
      </c>
      <c r="H3345" s="2" t="s">
        <v>4675</v>
      </c>
      <c r="I3345" s="2" t="s">
        <v>178</v>
      </c>
      <c r="J3345" s="3">
        <v>44388</v>
      </c>
      <c r="K3345" s="2">
        <v>83</v>
      </c>
      <c r="L3345" s="2" t="s">
        <v>101</v>
      </c>
    </row>
    <row r="3346" spans="1:12" x14ac:dyDescent="0.3">
      <c r="A3346" s="2">
        <v>3335</v>
      </c>
      <c r="B3346" s="2" t="s">
        <v>1671</v>
      </c>
      <c r="C3346" s="2" t="s">
        <v>7908</v>
      </c>
      <c r="D3346" s="2" t="s">
        <v>28</v>
      </c>
      <c r="E3346" s="2" t="s">
        <v>29</v>
      </c>
      <c r="F3346" s="2">
        <v>30</v>
      </c>
      <c r="G3346" s="2" t="s">
        <v>8040</v>
      </c>
      <c r="H3346" s="2" t="s">
        <v>1026</v>
      </c>
      <c r="I3346" s="2" t="s">
        <v>32</v>
      </c>
      <c r="J3346" s="3">
        <v>44617</v>
      </c>
      <c r="K3346" s="2">
        <v>92</v>
      </c>
      <c r="L3346" s="2" t="s">
        <v>70</v>
      </c>
    </row>
    <row r="3347" spans="1:12" x14ac:dyDescent="0.3">
      <c r="A3347" s="2">
        <v>3336</v>
      </c>
      <c r="B3347" s="2" t="s">
        <v>4419</v>
      </c>
      <c r="C3347" s="2" t="s">
        <v>7908</v>
      </c>
      <c r="D3347" s="2" t="s">
        <v>51</v>
      </c>
      <c r="E3347" s="2" t="s">
        <v>16</v>
      </c>
      <c r="F3347" s="2">
        <v>90</v>
      </c>
      <c r="G3347" s="2" t="s">
        <v>8041</v>
      </c>
      <c r="H3347" s="2" t="s">
        <v>8042</v>
      </c>
      <c r="I3347" s="2" t="s">
        <v>124</v>
      </c>
      <c r="J3347" s="3">
        <v>44570</v>
      </c>
      <c r="K3347" s="2">
        <v>73</v>
      </c>
      <c r="L3347" s="2" t="s">
        <v>20</v>
      </c>
    </row>
    <row r="3348" spans="1:12" x14ac:dyDescent="0.3">
      <c r="A3348" s="2">
        <v>3337</v>
      </c>
      <c r="B3348" s="2" t="s">
        <v>2256</v>
      </c>
      <c r="C3348" s="2" t="s">
        <v>232</v>
      </c>
      <c r="D3348" s="2" t="s">
        <v>28</v>
      </c>
      <c r="E3348" s="2" t="s">
        <v>29</v>
      </c>
      <c r="F3348" s="2">
        <v>30</v>
      </c>
      <c r="G3348" s="2" t="s">
        <v>8043</v>
      </c>
      <c r="H3348" s="2" t="s">
        <v>5643</v>
      </c>
      <c r="I3348" s="2" t="s">
        <v>886</v>
      </c>
      <c r="J3348" s="3">
        <v>44796</v>
      </c>
      <c r="K3348" s="2">
        <v>2</v>
      </c>
      <c r="L3348" s="2" t="s">
        <v>70</v>
      </c>
    </row>
    <row r="3349" spans="1:12" x14ac:dyDescent="0.3">
      <c r="A3349" s="2">
        <v>3338</v>
      </c>
      <c r="B3349" s="2" t="s">
        <v>8044</v>
      </c>
      <c r="C3349" s="2" t="s">
        <v>1062</v>
      </c>
      <c r="D3349" s="2" t="s">
        <v>92</v>
      </c>
      <c r="E3349" s="2" t="s">
        <v>16</v>
      </c>
      <c r="F3349" s="2">
        <v>30</v>
      </c>
      <c r="G3349" s="2" t="s">
        <v>8045</v>
      </c>
      <c r="H3349" s="2" t="s">
        <v>2685</v>
      </c>
      <c r="I3349" s="2" t="s">
        <v>32</v>
      </c>
      <c r="J3349" s="3">
        <v>44186</v>
      </c>
      <c r="K3349" s="2">
        <v>34</v>
      </c>
      <c r="L3349" s="2" t="s">
        <v>54</v>
      </c>
    </row>
    <row r="3350" spans="1:12" x14ac:dyDescent="0.3">
      <c r="A3350" s="2">
        <v>3339</v>
      </c>
      <c r="B3350" s="2" t="s">
        <v>2919</v>
      </c>
      <c r="C3350" s="2" t="s">
        <v>8046</v>
      </c>
      <c r="D3350" s="2" t="s">
        <v>28</v>
      </c>
      <c r="E3350" s="2" t="s">
        <v>29</v>
      </c>
      <c r="F3350" s="2">
        <v>60</v>
      </c>
      <c r="G3350" s="2" t="s">
        <v>8047</v>
      </c>
      <c r="H3350" s="2" t="s">
        <v>8048</v>
      </c>
      <c r="I3350" s="2" t="s">
        <v>89</v>
      </c>
      <c r="J3350" s="3">
        <v>43903</v>
      </c>
      <c r="K3350" s="2">
        <v>58</v>
      </c>
      <c r="L3350" s="2" t="s">
        <v>39</v>
      </c>
    </row>
    <row r="3351" spans="1:12" x14ac:dyDescent="0.3">
      <c r="A3351" s="2">
        <v>3340</v>
      </c>
      <c r="B3351" s="2" t="s">
        <v>8049</v>
      </c>
      <c r="C3351" s="2" t="s">
        <v>1044</v>
      </c>
      <c r="D3351" s="2" t="s">
        <v>51</v>
      </c>
      <c r="E3351" s="2" t="s">
        <v>16</v>
      </c>
      <c r="F3351" s="2">
        <v>90</v>
      </c>
      <c r="G3351" s="2" t="s">
        <v>8050</v>
      </c>
      <c r="H3351" s="2" t="s">
        <v>2444</v>
      </c>
      <c r="I3351" s="2" t="s">
        <v>32</v>
      </c>
      <c r="J3351" s="3">
        <v>44296</v>
      </c>
      <c r="K3351" s="2">
        <v>49</v>
      </c>
      <c r="L3351" s="2" t="s">
        <v>20</v>
      </c>
    </row>
    <row r="3352" spans="1:12" x14ac:dyDescent="0.3">
      <c r="A3352" s="2">
        <v>3341</v>
      </c>
      <c r="B3352" s="2" t="s">
        <v>183</v>
      </c>
      <c r="C3352" s="2" t="s">
        <v>4121</v>
      </c>
      <c r="D3352" s="2" t="s">
        <v>28</v>
      </c>
      <c r="E3352" s="2" t="s">
        <v>29</v>
      </c>
      <c r="F3352" s="2">
        <v>30</v>
      </c>
      <c r="G3352" s="2" t="s">
        <v>8051</v>
      </c>
      <c r="H3352" s="2" t="s">
        <v>8019</v>
      </c>
      <c r="I3352" s="2" t="s">
        <v>32</v>
      </c>
      <c r="J3352" s="3">
        <v>44167</v>
      </c>
      <c r="K3352" s="2">
        <v>37</v>
      </c>
      <c r="L3352" s="2" t="s">
        <v>70</v>
      </c>
    </row>
    <row r="3353" spans="1:12" x14ac:dyDescent="0.3">
      <c r="A3353" s="2">
        <v>3342</v>
      </c>
      <c r="B3353" s="2" t="s">
        <v>155</v>
      </c>
      <c r="C3353" s="2" t="s">
        <v>4504</v>
      </c>
      <c r="D3353" s="2" t="s">
        <v>28</v>
      </c>
      <c r="E3353" s="2" t="s">
        <v>29</v>
      </c>
      <c r="F3353" s="2">
        <v>60</v>
      </c>
      <c r="G3353" s="2" t="s">
        <v>8052</v>
      </c>
      <c r="H3353" s="2" t="s">
        <v>1221</v>
      </c>
      <c r="I3353" s="2" t="s">
        <v>124</v>
      </c>
      <c r="J3353" s="3">
        <v>44139</v>
      </c>
      <c r="K3353" s="2">
        <v>20</v>
      </c>
      <c r="L3353" s="2" t="s">
        <v>33</v>
      </c>
    </row>
    <row r="3354" spans="1:12" x14ac:dyDescent="0.3">
      <c r="A3354" s="2">
        <v>3343</v>
      </c>
      <c r="B3354" s="2" t="s">
        <v>8053</v>
      </c>
      <c r="C3354" s="2" t="s">
        <v>4088</v>
      </c>
      <c r="D3354" s="2" t="s">
        <v>51</v>
      </c>
      <c r="E3354" s="2" t="s">
        <v>16</v>
      </c>
      <c r="F3354" s="2">
        <v>30</v>
      </c>
      <c r="G3354" s="2" t="s">
        <v>8054</v>
      </c>
      <c r="H3354" s="2" t="s">
        <v>3365</v>
      </c>
      <c r="I3354" s="2" t="s">
        <v>146</v>
      </c>
      <c r="J3354" s="3">
        <v>44561</v>
      </c>
      <c r="K3354" s="2">
        <v>54</v>
      </c>
      <c r="L3354" s="2" t="s">
        <v>159</v>
      </c>
    </row>
    <row r="3355" spans="1:12" x14ac:dyDescent="0.3">
      <c r="A3355" s="2">
        <v>3344</v>
      </c>
      <c r="B3355" s="2" t="s">
        <v>8055</v>
      </c>
      <c r="C3355" s="2" t="s">
        <v>8056</v>
      </c>
      <c r="D3355" s="2" t="s">
        <v>28</v>
      </c>
      <c r="E3355" s="2" t="s">
        <v>29</v>
      </c>
      <c r="F3355" s="2">
        <v>30</v>
      </c>
      <c r="G3355" s="2" t="s">
        <v>8057</v>
      </c>
      <c r="H3355" s="2" t="s">
        <v>3206</v>
      </c>
      <c r="I3355" s="2" t="s">
        <v>1199</v>
      </c>
      <c r="J3355" s="3">
        <v>44605</v>
      </c>
      <c r="K3355" s="2">
        <v>27</v>
      </c>
      <c r="L3355" s="2" t="s">
        <v>20</v>
      </c>
    </row>
    <row r="3356" spans="1:12" x14ac:dyDescent="0.3">
      <c r="A3356" s="2">
        <v>3345</v>
      </c>
      <c r="B3356" s="2" t="s">
        <v>3450</v>
      </c>
      <c r="C3356" s="2" t="s">
        <v>953</v>
      </c>
      <c r="D3356" s="2" t="s">
        <v>51</v>
      </c>
      <c r="E3356" s="2" t="s">
        <v>16</v>
      </c>
      <c r="F3356" s="2">
        <v>30</v>
      </c>
      <c r="G3356" s="2" t="s">
        <v>8058</v>
      </c>
      <c r="H3356" s="2" t="s">
        <v>2261</v>
      </c>
      <c r="I3356" s="2" t="s">
        <v>32</v>
      </c>
      <c r="J3356" s="3">
        <v>44162</v>
      </c>
      <c r="K3356" s="2">
        <v>65</v>
      </c>
      <c r="L3356" s="2" t="s">
        <v>80</v>
      </c>
    </row>
    <row r="3357" spans="1:12" x14ac:dyDescent="0.3">
      <c r="A3357" s="2">
        <v>3346</v>
      </c>
      <c r="B3357" s="2" t="s">
        <v>785</v>
      </c>
      <c r="C3357" s="2" t="s">
        <v>418</v>
      </c>
      <c r="D3357" s="2" t="s">
        <v>28</v>
      </c>
      <c r="E3357" s="2" t="s">
        <v>29</v>
      </c>
      <c r="F3357" s="2">
        <v>60</v>
      </c>
      <c r="G3357" s="2" t="s">
        <v>8059</v>
      </c>
      <c r="H3357" s="2" t="s">
        <v>8060</v>
      </c>
      <c r="I3357" s="2" t="s">
        <v>32</v>
      </c>
      <c r="J3357" s="3">
        <v>44598</v>
      </c>
      <c r="K3357" s="2">
        <v>56</v>
      </c>
      <c r="L3357" s="2" t="s">
        <v>33</v>
      </c>
    </row>
    <row r="3358" spans="1:12" x14ac:dyDescent="0.3">
      <c r="A3358" s="2">
        <v>3347</v>
      </c>
      <c r="B3358" s="2" t="s">
        <v>304</v>
      </c>
      <c r="C3358" s="2" t="s">
        <v>6477</v>
      </c>
      <c r="D3358" s="2" t="s">
        <v>51</v>
      </c>
      <c r="E3358" s="2" t="s">
        <v>16</v>
      </c>
      <c r="F3358" s="2">
        <v>90</v>
      </c>
      <c r="G3358" s="2" t="s">
        <v>8061</v>
      </c>
      <c r="H3358" s="2" t="s">
        <v>2305</v>
      </c>
      <c r="I3358" s="2" t="s">
        <v>25</v>
      </c>
      <c r="J3358" s="3">
        <v>44461</v>
      </c>
      <c r="K3358" s="2">
        <v>18</v>
      </c>
      <c r="L3358" s="2" t="s">
        <v>20</v>
      </c>
    </row>
    <row r="3359" spans="1:12" x14ac:dyDescent="0.3">
      <c r="A3359" s="2">
        <v>3348</v>
      </c>
      <c r="B3359" s="2" t="s">
        <v>8062</v>
      </c>
      <c r="C3359" s="2" t="s">
        <v>2885</v>
      </c>
      <c r="D3359" s="2" t="s">
        <v>51</v>
      </c>
      <c r="E3359" s="2" t="s">
        <v>16</v>
      </c>
      <c r="F3359" s="2">
        <v>90</v>
      </c>
      <c r="G3359" s="2" t="s">
        <v>8063</v>
      </c>
      <c r="H3359" s="2" t="s">
        <v>702</v>
      </c>
      <c r="I3359" s="2" t="s">
        <v>703</v>
      </c>
      <c r="J3359" s="3">
        <v>44021</v>
      </c>
      <c r="K3359" s="2">
        <v>32</v>
      </c>
      <c r="L3359" s="2" t="s">
        <v>70</v>
      </c>
    </row>
    <row r="3360" spans="1:12" x14ac:dyDescent="0.3">
      <c r="A3360" s="2">
        <v>3349</v>
      </c>
      <c r="B3360" s="2" t="s">
        <v>6984</v>
      </c>
      <c r="C3360" s="2" t="s">
        <v>8064</v>
      </c>
      <c r="D3360" s="2" t="s">
        <v>28</v>
      </c>
      <c r="E3360" s="2" t="s">
        <v>29</v>
      </c>
      <c r="F3360" s="2">
        <v>30</v>
      </c>
      <c r="G3360" s="2" t="s">
        <v>8066</v>
      </c>
      <c r="H3360" s="2" t="s">
        <v>4272</v>
      </c>
      <c r="I3360" s="2" t="s">
        <v>1652</v>
      </c>
      <c r="J3360" s="3">
        <v>43862</v>
      </c>
      <c r="K3360" s="2">
        <v>8</v>
      </c>
      <c r="L3360" s="2" t="s">
        <v>101</v>
      </c>
    </row>
    <row r="3361" spans="1:12" x14ac:dyDescent="0.3">
      <c r="A3361" s="2">
        <v>3350</v>
      </c>
      <c r="B3361" s="2" t="s">
        <v>2976</v>
      </c>
      <c r="C3361" s="2" t="s">
        <v>2223</v>
      </c>
      <c r="D3361" s="2" t="s">
        <v>28</v>
      </c>
      <c r="E3361" s="2" t="s">
        <v>29</v>
      </c>
      <c r="F3361" s="2">
        <v>30</v>
      </c>
      <c r="G3361" s="2" t="s">
        <v>8067</v>
      </c>
      <c r="H3361" s="2" t="s">
        <v>3571</v>
      </c>
      <c r="I3361" s="2" t="s">
        <v>32</v>
      </c>
      <c r="J3361" s="3">
        <v>44232</v>
      </c>
      <c r="K3361" s="2">
        <v>54</v>
      </c>
      <c r="L3361" s="2" t="s">
        <v>54</v>
      </c>
    </row>
    <row r="3362" spans="1:12" x14ac:dyDescent="0.3">
      <c r="A3362" s="2">
        <v>3351</v>
      </c>
      <c r="B3362" s="2" t="s">
        <v>8068</v>
      </c>
      <c r="C3362" s="2" t="s">
        <v>6982</v>
      </c>
      <c r="D3362" s="2" t="s">
        <v>15</v>
      </c>
      <c r="E3362" s="2" t="s">
        <v>16</v>
      </c>
      <c r="F3362" s="2">
        <v>60</v>
      </c>
      <c r="G3362" s="2" t="s">
        <v>8069</v>
      </c>
      <c r="H3362" s="2" t="s">
        <v>4996</v>
      </c>
      <c r="I3362" s="2" t="s">
        <v>32</v>
      </c>
      <c r="J3362" s="3">
        <v>44549</v>
      </c>
      <c r="K3362" s="2">
        <v>50</v>
      </c>
      <c r="L3362" s="2" t="s">
        <v>33</v>
      </c>
    </row>
    <row r="3363" spans="1:12" x14ac:dyDescent="0.3">
      <c r="A3363" s="2">
        <v>3352</v>
      </c>
      <c r="B3363" s="2" t="s">
        <v>8070</v>
      </c>
      <c r="C3363" s="2" t="s">
        <v>1656</v>
      </c>
      <c r="D3363" s="2" t="s">
        <v>51</v>
      </c>
      <c r="E3363" s="2" t="s">
        <v>16</v>
      </c>
      <c r="F3363" s="2">
        <v>90</v>
      </c>
      <c r="G3363" s="2" t="s">
        <v>8071</v>
      </c>
      <c r="H3363" s="2" t="s">
        <v>518</v>
      </c>
      <c r="I3363" s="2" t="s">
        <v>32</v>
      </c>
      <c r="J3363" s="3">
        <v>44386</v>
      </c>
      <c r="K3363" s="2">
        <v>42</v>
      </c>
      <c r="L3363" s="2" t="s">
        <v>80</v>
      </c>
    </row>
    <row r="3364" spans="1:12" x14ac:dyDescent="0.3">
      <c r="A3364" s="2">
        <v>3353</v>
      </c>
      <c r="B3364" s="2" t="s">
        <v>902</v>
      </c>
      <c r="C3364" s="2" t="s">
        <v>2813</v>
      </c>
      <c r="D3364" s="2" t="s">
        <v>51</v>
      </c>
      <c r="E3364" s="2" t="s">
        <v>16</v>
      </c>
      <c r="F3364" s="2">
        <v>90</v>
      </c>
      <c r="G3364" s="2" t="s">
        <v>8072</v>
      </c>
      <c r="H3364" s="2" t="s">
        <v>432</v>
      </c>
      <c r="I3364" s="2" t="s">
        <v>32</v>
      </c>
      <c r="J3364" s="3">
        <v>44301</v>
      </c>
      <c r="K3364" s="2">
        <v>64</v>
      </c>
      <c r="L3364" s="2" t="s">
        <v>70</v>
      </c>
    </row>
    <row r="3365" spans="1:12" x14ac:dyDescent="0.3">
      <c r="A3365" s="2">
        <v>3354</v>
      </c>
      <c r="B3365" s="2" t="s">
        <v>8073</v>
      </c>
      <c r="C3365" s="2" t="s">
        <v>8074</v>
      </c>
      <c r="D3365" s="2" t="s">
        <v>15</v>
      </c>
      <c r="E3365" s="2" t="s">
        <v>16</v>
      </c>
      <c r="F3365" s="2">
        <v>60</v>
      </c>
      <c r="G3365" s="2" t="s">
        <v>8075</v>
      </c>
      <c r="H3365" s="2" t="s">
        <v>8076</v>
      </c>
      <c r="I3365" s="2" t="s">
        <v>178</v>
      </c>
      <c r="J3365" s="3">
        <v>44092</v>
      </c>
      <c r="K3365" s="2">
        <v>77</v>
      </c>
      <c r="L3365" s="2" t="s">
        <v>159</v>
      </c>
    </row>
    <row r="3366" spans="1:12" x14ac:dyDescent="0.3">
      <c r="A3366" s="2">
        <v>3355</v>
      </c>
      <c r="B3366" s="2" t="s">
        <v>3818</v>
      </c>
      <c r="C3366" s="2" t="s">
        <v>1994</v>
      </c>
      <c r="D3366" s="2" t="s">
        <v>15</v>
      </c>
      <c r="E3366" s="2" t="s">
        <v>16</v>
      </c>
      <c r="F3366" s="2">
        <v>30</v>
      </c>
      <c r="G3366" s="2" t="s">
        <v>8077</v>
      </c>
      <c r="H3366" s="2" t="s">
        <v>5609</v>
      </c>
      <c r="I3366" s="2" t="s">
        <v>19</v>
      </c>
      <c r="J3366" s="3">
        <v>44141</v>
      </c>
      <c r="K3366" s="2">
        <v>60</v>
      </c>
      <c r="L3366" s="2" t="s">
        <v>39</v>
      </c>
    </row>
    <row r="3367" spans="1:12" x14ac:dyDescent="0.3">
      <c r="A3367" s="2">
        <v>3356</v>
      </c>
      <c r="B3367" s="2" t="s">
        <v>567</v>
      </c>
      <c r="C3367" s="2" t="s">
        <v>3077</v>
      </c>
      <c r="D3367" s="2" t="s">
        <v>15</v>
      </c>
      <c r="E3367" s="2" t="s">
        <v>16</v>
      </c>
      <c r="F3367" s="2">
        <v>90</v>
      </c>
      <c r="G3367" s="2" t="s">
        <v>8078</v>
      </c>
      <c r="H3367" s="2" t="s">
        <v>2875</v>
      </c>
      <c r="I3367" s="2" t="s">
        <v>32</v>
      </c>
      <c r="J3367" s="3">
        <v>44433</v>
      </c>
      <c r="K3367" s="2">
        <v>14</v>
      </c>
      <c r="L3367" s="2" t="s">
        <v>70</v>
      </c>
    </row>
    <row r="3368" spans="1:12" x14ac:dyDescent="0.3">
      <c r="A3368" s="2">
        <v>3357</v>
      </c>
      <c r="B3368" s="2" t="s">
        <v>3246</v>
      </c>
      <c r="C3368" s="2" t="s">
        <v>7078</v>
      </c>
      <c r="D3368" s="2" t="s">
        <v>28</v>
      </c>
      <c r="E3368" s="2" t="s">
        <v>29</v>
      </c>
      <c r="F3368" s="2">
        <v>90</v>
      </c>
      <c r="G3368" s="2" t="s">
        <v>8079</v>
      </c>
      <c r="H3368" s="2" t="s">
        <v>2100</v>
      </c>
      <c r="I3368" s="2" t="s">
        <v>819</v>
      </c>
      <c r="J3368" s="3">
        <v>44075</v>
      </c>
      <c r="K3368" s="2">
        <v>78</v>
      </c>
      <c r="L3368" s="2" t="s">
        <v>45</v>
      </c>
    </row>
    <row r="3369" spans="1:12" x14ac:dyDescent="0.3">
      <c r="A3369" s="2">
        <v>3358</v>
      </c>
      <c r="B3369" s="2" t="s">
        <v>1734</v>
      </c>
      <c r="C3369" s="2" t="s">
        <v>1554</v>
      </c>
      <c r="D3369" s="2" t="s">
        <v>28</v>
      </c>
      <c r="E3369" s="2" t="s">
        <v>29</v>
      </c>
      <c r="F3369" s="2">
        <v>90</v>
      </c>
      <c r="G3369" s="2" t="s">
        <v>8080</v>
      </c>
      <c r="H3369" s="2" t="s">
        <v>2008</v>
      </c>
      <c r="I3369" s="2" t="s">
        <v>129</v>
      </c>
      <c r="J3369" s="3">
        <v>44048</v>
      </c>
      <c r="K3369" s="2">
        <v>25</v>
      </c>
      <c r="L3369" s="2" t="s">
        <v>20</v>
      </c>
    </row>
    <row r="3370" spans="1:12" x14ac:dyDescent="0.3">
      <c r="A3370" s="2">
        <v>3359</v>
      </c>
      <c r="B3370" s="2" t="s">
        <v>8081</v>
      </c>
      <c r="C3370" s="2" t="s">
        <v>4079</v>
      </c>
      <c r="D3370" s="2" t="s">
        <v>51</v>
      </c>
      <c r="E3370" s="2" t="s">
        <v>16</v>
      </c>
      <c r="F3370" s="2">
        <v>60</v>
      </c>
      <c r="G3370" s="2" t="s">
        <v>8082</v>
      </c>
      <c r="H3370" s="2" t="s">
        <v>1206</v>
      </c>
      <c r="I3370" s="2" t="s">
        <v>294</v>
      </c>
      <c r="J3370" s="3">
        <v>44316</v>
      </c>
      <c r="K3370" s="2">
        <v>90</v>
      </c>
      <c r="L3370" s="2" t="s">
        <v>39</v>
      </c>
    </row>
    <row r="3371" spans="1:12" x14ac:dyDescent="0.3">
      <c r="A3371" s="2">
        <v>3360</v>
      </c>
      <c r="B3371" s="2" t="s">
        <v>6072</v>
      </c>
      <c r="C3371" s="2" t="s">
        <v>97</v>
      </c>
      <c r="D3371" s="2" t="s">
        <v>15</v>
      </c>
      <c r="E3371" s="2" t="s">
        <v>16</v>
      </c>
      <c r="F3371" s="2">
        <v>90</v>
      </c>
      <c r="G3371" s="2" t="s">
        <v>8082</v>
      </c>
      <c r="H3371" s="2" t="s">
        <v>3402</v>
      </c>
      <c r="I3371" s="2" t="s">
        <v>32</v>
      </c>
      <c r="J3371" s="3">
        <v>44607</v>
      </c>
      <c r="K3371" s="2">
        <v>47</v>
      </c>
      <c r="L3371" s="2" t="s">
        <v>64</v>
      </c>
    </row>
    <row r="3372" spans="1:12" x14ac:dyDescent="0.3">
      <c r="A3372" s="2">
        <v>3361</v>
      </c>
      <c r="B3372" s="2" t="s">
        <v>8083</v>
      </c>
      <c r="C3372" s="2" t="s">
        <v>4264</v>
      </c>
      <c r="D3372" s="2" t="s">
        <v>51</v>
      </c>
      <c r="E3372" s="2" t="s">
        <v>16</v>
      </c>
      <c r="F3372" s="2">
        <v>90</v>
      </c>
      <c r="G3372" s="2" t="s">
        <v>8084</v>
      </c>
      <c r="H3372" s="2" t="s">
        <v>4779</v>
      </c>
      <c r="I3372" s="2" t="s">
        <v>686</v>
      </c>
      <c r="J3372" s="3">
        <v>43841</v>
      </c>
      <c r="K3372" s="2">
        <v>13</v>
      </c>
      <c r="L3372" s="2" t="s">
        <v>101</v>
      </c>
    </row>
    <row r="3373" spans="1:12" x14ac:dyDescent="0.3">
      <c r="A3373" s="2">
        <v>3362</v>
      </c>
      <c r="B3373" s="2" t="s">
        <v>1211</v>
      </c>
      <c r="C3373" s="2" t="s">
        <v>1853</v>
      </c>
      <c r="D3373" s="2" t="s">
        <v>28</v>
      </c>
      <c r="E3373" s="2" t="s">
        <v>29</v>
      </c>
      <c r="F3373" s="2">
        <v>30</v>
      </c>
      <c r="G3373" s="2" t="s">
        <v>8085</v>
      </c>
      <c r="H3373" s="2" t="s">
        <v>2026</v>
      </c>
      <c r="I3373" s="2" t="s">
        <v>1078</v>
      </c>
      <c r="J3373" s="3">
        <v>43997</v>
      </c>
      <c r="K3373" s="2">
        <v>80</v>
      </c>
      <c r="L3373" s="2" t="s">
        <v>101</v>
      </c>
    </row>
    <row r="3374" spans="1:12" x14ac:dyDescent="0.3">
      <c r="A3374" s="2">
        <v>3363</v>
      </c>
      <c r="B3374" s="2" t="s">
        <v>8086</v>
      </c>
      <c r="C3374" s="2" t="s">
        <v>4762</v>
      </c>
      <c r="D3374" s="2" t="s">
        <v>51</v>
      </c>
      <c r="E3374" s="2" t="s">
        <v>16</v>
      </c>
      <c r="F3374" s="2">
        <v>60</v>
      </c>
      <c r="G3374" s="2" t="s">
        <v>8088</v>
      </c>
      <c r="H3374" s="2" t="s">
        <v>6105</v>
      </c>
      <c r="I3374" s="2" t="s">
        <v>32</v>
      </c>
      <c r="J3374" s="3">
        <v>44099</v>
      </c>
      <c r="K3374" s="2">
        <v>8</v>
      </c>
      <c r="L3374" s="2" t="s">
        <v>70</v>
      </c>
    </row>
    <row r="3375" spans="1:12" x14ac:dyDescent="0.3">
      <c r="A3375" s="2">
        <v>3364</v>
      </c>
      <c r="B3375" s="2" t="s">
        <v>4649</v>
      </c>
      <c r="C3375" s="2" t="s">
        <v>3365</v>
      </c>
      <c r="D3375" s="2" t="s">
        <v>28</v>
      </c>
      <c r="E3375" s="2" t="s">
        <v>29</v>
      </c>
      <c r="F3375" s="2">
        <v>30</v>
      </c>
      <c r="G3375" s="2" t="s">
        <v>8088</v>
      </c>
      <c r="H3375" s="2" t="s">
        <v>7572</v>
      </c>
      <c r="I3375" s="2" t="s">
        <v>886</v>
      </c>
      <c r="J3375" s="3">
        <v>44835</v>
      </c>
      <c r="K3375" s="2">
        <v>21</v>
      </c>
      <c r="L3375" s="2" t="s">
        <v>33</v>
      </c>
    </row>
    <row r="3376" spans="1:12" x14ac:dyDescent="0.3">
      <c r="A3376" s="2">
        <v>3365</v>
      </c>
      <c r="B3376" s="2" t="s">
        <v>8089</v>
      </c>
      <c r="C3376" s="2" t="s">
        <v>3744</v>
      </c>
      <c r="D3376" s="2" t="s">
        <v>15</v>
      </c>
      <c r="E3376" s="2" t="s">
        <v>16</v>
      </c>
      <c r="F3376" s="2">
        <v>60</v>
      </c>
      <c r="G3376" s="2" t="s">
        <v>8090</v>
      </c>
      <c r="H3376" s="2" t="s">
        <v>1448</v>
      </c>
      <c r="I3376" s="2" t="s">
        <v>1449</v>
      </c>
      <c r="J3376" s="3">
        <v>44547</v>
      </c>
      <c r="K3376" s="2">
        <v>89</v>
      </c>
      <c r="L3376" s="2" t="s">
        <v>101</v>
      </c>
    </row>
    <row r="3377" spans="1:12" x14ac:dyDescent="0.3">
      <c r="A3377" s="2">
        <v>3366</v>
      </c>
      <c r="B3377" s="2" t="s">
        <v>8091</v>
      </c>
      <c r="C3377" s="2" t="s">
        <v>4387</v>
      </c>
      <c r="D3377" s="2" t="s">
        <v>15</v>
      </c>
      <c r="E3377" s="2" t="s">
        <v>16</v>
      </c>
      <c r="F3377" s="2">
        <v>90</v>
      </c>
      <c r="G3377" s="2" t="s">
        <v>8090</v>
      </c>
      <c r="H3377" s="2" t="s">
        <v>5748</v>
      </c>
      <c r="I3377" s="2" t="s">
        <v>124</v>
      </c>
      <c r="J3377" s="3">
        <v>44922</v>
      </c>
      <c r="K3377" s="2">
        <v>61</v>
      </c>
      <c r="L3377" s="2" t="s">
        <v>159</v>
      </c>
    </row>
    <row r="3378" spans="1:12" x14ac:dyDescent="0.3">
      <c r="A3378" s="2">
        <v>3367</v>
      </c>
      <c r="B3378" s="2" t="s">
        <v>8092</v>
      </c>
      <c r="C3378" s="2" t="s">
        <v>8093</v>
      </c>
      <c r="D3378" s="2" t="s">
        <v>51</v>
      </c>
      <c r="E3378" s="2" t="s">
        <v>16</v>
      </c>
      <c r="F3378" s="2">
        <v>30</v>
      </c>
      <c r="G3378" s="2" t="s">
        <v>8094</v>
      </c>
      <c r="H3378" s="2" t="s">
        <v>8095</v>
      </c>
      <c r="I3378" s="2" t="s">
        <v>38</v>
      </c>
      <c r="J3378" s="3">
        <v>44920</v>
      </c>
      <c r="K3378" s="2">
        <v>69</v>
      </c>
      <c r="L3378" s="2" t="s">
        <v>54</v>
      </c>
    </row>
    <row r="3379" spans="1:12" x14ac:dyDescent="0.3">
      <c r="A3379" s="2">
        <v>3368</v>
      </c>
      <c r="B3379" s="2" t="s">
        <v>8096</v>
      </c>
      <c r="C3379" s="2" t="s">
        <v>791</v>
      </c>
      <c r="D3379" s="2" t="s">
        <v>51</v>
      </c>
      <c r="E3379" s="2" t="s">
        <v>16</v>
      </c>
      <c r="F3379" s="2">
        <v>30</v>
      </c>
      <c r="G3379" s="2" t="s">
        <v>8097</v>
      </c>
      <c r="H3379" s="2" t="s">
        <v>2608</v>
      </c>
      <c r="I3379" s="2" t="s">
        <v>38</v>
      </c>
      <c r="J3379" s="3">
        <v>44723</v>
      </c>
      <c r="K3379" s="2">
        <v>62</v>
      </c>
      <c r="L3379" s="2" t="s">
        <v>45</v>
      </c>
    </row>
    <row r="3380" spans="1:12" x14ac:dyDescent="0.3">
      <c r="A3380" s="2">
        <v>3369</v>
      </c>
      <c r="B3380" s="2" t="s">
        <v>2346</v>
      </c>
      <c r="C3380" s="2" t="s">
        <v>1364</v>
      </c>
      <c r="D3380" s="2" t="s">
        <v>28</v>
      </c>
      <c r="E3380" s="2" t="s">
        <v>29</v>
      </c>
      <c r="F3380" s="2">
        <v>30</v>
      </c>
      <c r="G3380" s="2" t="s">
        <v>8098</v>
      </c>
      <c r="H3380" s="2" t="s">
        <v>2645</v>
      </c>
      <c r="I3380" s="2" t="s">
        <v>32</v>
      </c>
      <c r="J3380" s="3">
        <v>44764</v>
      </c>
      <c r="K3380" s="2">
        <v>84</v>
      </c>
      <c r="L3380" s="2" t="s">
        <v>80</v>
      </c>
    </row>
    <row r="3381" spans="1:12" x14ac:dyDescent="0.3">
      <c r="A3381" s="2">
        <v>3370</v>
      </c>
      <c r="B3381" s="2" t="s">
        <v>160</v>
      </c>
      <c r="C3381" s="2" t="s">
        <v>6169</v>
      </c>
      <c r="D3381" s="2" t="s">
        <v>28</v>
      </c>
      <c r="E3381" s="2" t="s">
        <v>29</v>
      </c>
      <c r="F3381" s="2">
        <v>90</v>
      </c>
      <c r="G3381" s="2" t="s">
        <v>8099</v>
      </c>
      <c r="H3381" s="2" t="s">
        <v>7008</v>
      </c>
      <c r="I3381" s="2" t="s">
        <v>25</v>
      </c>
      <c r="J3381" s="3">
        <v>44097</v>
      </c>
      <c r="K3381" s="2">
        <v>73</v>
      </c>
      <c r="L3381" s="2" t="s">
        <v>54</v>
      </c>
    </row>
    <row r="3382" spans="1:12" x14ac:dyDescent="0.3">
      <c r="A3382" s="2">
        <v>3371</v>
      </c>
      <c r="B3382" s="2" t="s">
        <v>8100</v>
      </c>
      <c r="C3382" s="2" t="s">
        <v>3444</v>
      </c>
      <c r="D3382" s="2" t="s">
        <v>15</v>
      </c>
      <c r="E3382" s="2" t="s">
        <v>16</v>
      </c>
      <c r="F3382" s="2">
        <v>30</v>
      </c>
      <c r="G3382" s="2" t="s">
        <v>8101</v>
      </c>
      <c r="H3382" s="2" t="s">
        <v>682</v>
      </c>
      <c r="I3382" s="2" t="s">
        <v>32</v>
      </c>
      <c r="J3382" s="3">
        <v>44311</v>
      </c>
      <c r="K3382" s="2">
        <v>10</v>
      </c>
      <c r="L3382" s="2" t="s">
        <v>80</v>
      </c>
    </row>
    <row r="3383" spans="1:12" x14ac:dyDescent="0.3">
      <c r="A3383" s="2">
        <v>3372</v>
      </c>
      <c r="B3383" s="2" t="s">
        <v>787</v>
      </c>
      <c r="C3383" s="2" t="s">
        <v>2637</v>
      </c>
      <c r="D3383" s="2" t="s">
        <v>28</v>
      </c>
      <c r="E3383" s="2" t="s">
        <v>29</v>
      </c>
      <c r="F3383" s="2">
        <v>30</v>
      </c>
      <c r="G3383" s="2" t="s">
        <v>8102</v>
      </c>
      <c r="H3383" s="2" t="s">
        <v>1594</v>
      </c>
      <c r="I3383" s="2" t="s">
        <v>178</v>
      </c>
      <c r="J3383" s="3">
        <v>44477</v>
      </c>
      <c r="K3383" s="2">
        <v>76</v>
      </c>
      <c r="L3383" s="2" t="s">
        <v>33</v>
      </c>
    </row>
    <row r="3384" spans="1:12" x14ac:dyDescent="0.3">
      <c r="A3384" s="2">
        <v>3373</v>
      </c>
      <c r="B3384" s="2" t="s">
        <v>3599</v>
      </c>
      <c r="C3384" s="2" t="s">
        <v>2761</v>
      </c>
      <c r="D3384" s="2" t="s">
        <v>28</v>
      </c>
      <c r="E3384" s="2" t="s">
        <v>29</v>
      </c>
      <c r="F3384" s="2">
        <v>60</v>
      </c>
      <c r="G3384" s="2" t="s">
        <v>8103</v>
      </c>
      <c r="H3384" s="2" t="s">
        <v>2804</v>
      </c>
      <c r="I3384" s="2" t="s">
        <v>124</v>
      </c>
      <c r="J3384" s="3">
        <v>44507</v>
      </c>
      <c r="K3384" s="2">
        <v>65</v>
      </c>
      <c r="L3384" s="2" t="s">
        <v>159</v>
      </c>
    </row>
    <row r="3385" spans="1:12" x14ac:dyDescent="0.3">
      <c r="A3385" s="2">
        <v>3374</v>
      </c>
      <c r="B3385" s="2" t="s">
        <v>8104</v>
      </c>
      <c r="C3385" s="2" t="s">
        <v>812</v>
      </c>
      <c r="D3385" s="2" t="s">
        <v>51</v>
      </c>
      <c r="E3385" s="2" t="s">
        <v>16</v>
      </c>
      <c r="F3385" s="2">
        <v>60</v>
      </c>
      <c r="G3385" s="2" t="s">
        <v>8105</v>
      </c>
      <c r="H3385" s="2" t="s">
        <v>806</v>
      </c>
      <c r="I3385" s="2" t="s">
        <v>178</v>
      </c>
      <c r="J3385" s="3">
        <v>44905</v>
      </c>
      <c r="K3385" s="2">
        <v>105</v>
      </c>
      <c r="L3385" s="2" t="s">
        <v>159</v>
      </c>
    </row>
    <row r="3386" spans="1:12" x14ac:dyDescent="0.3">
      <c r="A3386" s="2">
        <v>3375</v>
      </c>
      <c r="B3386" s="2" t="s">
        <v>8106</v>
      </c>
      <c r="C3386" s="2" t="s">
        <v>27</v>
      </c>
      <c r="D3386" s="2" t="s">
        <v>51</v>
      </c>
      <c r="E3386" s="2" t="s">
        <v>16</v>
      </c>
      <c r="F3386" s="2">
        <v>60</v>
      </c>
      <c r="G3386" s="2" t="s">
        <v>8107</v>
      </c>
      <c r="H3386" s="2" t="s">
        <v>518</v>
      </c>
      <c r="I3386" s="2" t="s">
        <v>32</v>
      </c>
      <c r="J3386" s="3">
        <v>44060</v>
      </c>
      <c r="K3386" s="2">
        <v>82</v>
      </c>
      <c r="L3386" s="2" t="s">
        <v>64</v>
      </c>
    </row>
    <row r="3387" spans="1:12" x14ac:dyDescent="0.3">
      <c r="A3387" s="2">
        <v>3376</v>
      </c>
      <c r="B3387" s="2" t="s">
        <v>8108</v>
      </c>
      <c r="C3387" s="2" t="s">
        <v>5452</v>
      </c>
      <c r="D3387" s="2" t="s">
        <v>28</v>
      </c>
      <c r="E3387" s="2" t="s">
        <v>29</v>
      </c>
      <c r="F3387" s="2">
        <v>30</v>
      </c>
      <c r="G3387" s="2" t="s">
        <v>8109</v>
      </c>
      <c r="H3387" s="2" t="s">
        <v>8110</v>
      </c>
      <c r="I3387" s="2" t="s">
        <v>173</v>
      </c>
      <c r="J3387" s="3">
        <v>43966</v>
      </c>
      <c r="K3387" s="2">
        <v>5</v>
      </c>
      <c r="L3387" s="2" t="s">
        <v>64</v>
      </c>
    </row>
    <row r="3388" spans="1:12" x14ac:dyDescent="0.3">
      <c r="A3388" s="2">
        <v>3377</v>
      </c>
      <c r="B3388" s="2" t="s">
        <v>7982</v>
      </c>
      <c r="C3388" s="2" t="s">
        <v>7144</v>
      </c>
      <c r="D3388" s="2" t="s">
        <v>41</v>
      </c>
      <c r="E3388" s="2" t="s">
        <v>16</v>
      </c>
      <c r="F3388" s="2">
        <v>90</v>
      </c>
      <c r="G3388" s="2" t="s">
        <v>8111</v>
      </c>
      <c r="H3388" s="2" t="s">
        <v>4479</v>
      </c>
      <c r="I3388" s="2" t="s">
        <v>32</v>
      </c>
      <c r="J3388" s="3">
        <v>44704</v>
      </c>
      <c r="K3388" s="2">
        <v>3</v>
      </c>
      <c r="L3388" s="2" t="s">
        <v>45</v>
      </c>
    </row>
    <row r="3389" spans="1:12" x14ac:dyDescent="0.3">
      <c r="A3389" s="2">
        <v>3378</v>
      </c>
      <c r="B3389" s="2" t="s">
        <v>8112</v>
      </c>
      <c r="C3389" s="2" t="s">
        <v>8113</v>
      </c>
      <c r="D3389" s="2" t="s">
        <v>41</v>
      </c>
      <c r="E3389" s="2" t="s">
        <v>16</v>
      </c>
      <c r="F3389" s="2">
        <v>60</v>
      </c>
      <c r="G3389" s="2" t="s">
        <v>8114</v>
      </c>
      <c r="H3389" s="2" t="s">
        <v>938</v>
      </c>
      <c r="I3389" s="2" t="s">
        <v>25</v>
      </c>
      <c r="J3389" s="3">
        <v>44114</v>
      </c>
      <c r="K3389" s="2">
        <v>65</v>
      </c>
      <c r="L3389" s="2" t="s">
        <v>159</v>
      </c>
    </row>
    <row r="3390" spans="1:12" x14ac:dyDescent="0.3">
      <c r="A3390" s="2">
        <v>3379</v>
      </c>
      <c r="B3390" s="2" t="s">
        <v>8115</v>
      </c>
      <c r="C3390" s="2" t="s">
        <v>5979</v>
      </c>
      <c r="D3390" s="2" t="s">
        <v>51</v>
      </c>
      <c r="E3390" s="2" t="s">
        <v>16</v>
      </c>
      <c r="F3390" s="2">
        <v>90</v>
      </c>
      <c r="G3390" s="2" t="s">
        <v>8116</v>
      </c>
      <c r="H3390" s="2" t="s">
        <v>275</v>
      </c>
      <c r="I3390" s="2" t="s">
        <v>32</v>
      </c>
      <c r="J3390" s="3">
        <v>44753</v>
      </c>
      <c r="K3390" s="2">
        <v>8</v>
      </c>
      <c r="L3390" s="2" t="s">
        <v>159</v>
      </c>
    </row>
    <row r="3391" spans="1:12" x14ac:dyDescent="0.3">
      <c r="A3391" s="2">
        <v>3380</v>
      </c>
      <c r="B3391" s="2" t="s">
        <v>245</v>
      </c>
      <c r="C3391" s="2" t="s">
        <v>8117</v>
      </c>
      <c r="D3391" s="2" t="s">
        <v>28</v>
      </c>
      <c r="E3391" s="2" t="s">
        <v>29</v>
      </c>
      <c r="F3391" s="2">
        <v>90</v>
      </c>
      <c r="G3391" s="2" t="s">
        <v>8118</v>
      </c>
      <c r="H3391" s="2" t="s">
        <v>1131</v>
      </c>
      <c r="I3391" s="2" t="s">
        <v>32</v>
      </c>
      <c r="J3391" s="3">
        <v>43856</v>
      </c>
      <c r="K3391" s="2">
        <v>85</v>
      </c>
      <c r="L3391" s="2" t="s">
        <v>45</v>
      </c>
    </row>
    <row r="3392" spans="1:12" x14ac:dyDescent="0.3">
      <c r="A3392" s="2">
        <v>3381</v>
      </c>
      <c r="B3392" s="2" t="s">
        <v>8119</v>
      </c>
      <c r="C3392" s="2" t="s">
        <v>983</v>
      </c>
      <c r="D3392" s="2" t="s">
        <v>28</v>
      </c>
      <c r="E3392" s="2" t="s">
        <v>29</v>
      </c>
      <c r="F3392" s="2">
        <v>30</v>
      </c>
      <c r="G3392" s="2" t="s">
        <v>8120</v>
      </c>
      <c r="H3392" s="2" t="s">
        <v>8121</v>
      </c>
      <c r="I3392" s="2" t="s">
        <v>44</v>
      </c>
      <c r="J3392" s="3">
        <v>43833</v>
      </c>
      <c r="K3392" s="2">
        <v>83</v>
      </c>
      <c r="L3392" s="2" t="s">
        <v>39</v>
      </c>
    </row>
    <row r="3393" spans="1:12" x14ac:dyDescent="0.3">
      <c r="A3393" s="2">
        <v>3382</v>
      </c>
      <c r="B3393" s="2" t="s">
        <v>1132</v>
      </c>
      <c r="C3393" s="2" t="s">
        <v>5968</v>
      </c>
      <c r="D3393" s="2" t="s">
        <v>28</v>
      </c>
      <c r="E3393" s="2" t="s">
        <v>29</v>
      </c>
      <c r="F3393" s="2">
        <v>60</v>
      </c>
      <c r="G3393" s="2" t="s">
        <v>8120</v>
      </c>
      <c r="H3393" s="2" t="s">
        <v>1258</v>
      </c>
      <c r="I3393" s="2" t="s">
        <v>32</v>
      </c>
      <c r="J3393" s="3">
        <v>44237</v>
      </c>
      <c r="K3393" s="2">
        <v>54</v>
      </c>
      <c r="L3393" s="2" t="s">
        <v>70</v>
      </c>
    </row>
    <row r="3394" spans="1:12" x14ac:dyDescent="0.3">
      <c r="A3394" s="2">
        <v>3383</v>
      </c>
      <c r="B3394" s="2" t="s">
        <v>8122</v>
      </c>
      <c r="C3394" s="2" t="s">
        <v>2071</v>
      </c>
      <c r="D3394" s="2" t="s">
        <v>51</v>
      </c>
      <c r="E3394" s="2" t="s">
        <v>16</v>
      </c>
      <c r="F3394" s="2">
        <v>60</v>
      </c>
      <c r="G3394" s="2" t="s">
        <v>10646</v>
      </c>
      <c r="H3394" s="2" t="s">
        <v>3157</v>
      </c>
      <c r="I3394" s="2" t="s">
        <v>32</v>
      </c>
      <c r="J3394" s="3">
        <v>44446</v>
      </c>
      <c r="K3394" s="2">
        <v>3</v>
      </c>
      <c r="L3394" s="2" t="s">
        <v>54</v>
      </c>
    </row>
    <row r="3395" spans="1:12" x14ac:dyDescent="0.3">
      <c r="A3395" s="2">
        <v>3384</v>
      </c>
      <c r="B3395" s="2" t="s">
        <v>8124</v>
      </c>
      <c r="C3395" s="2" t="s">
        <v>7069</v>
      </c>
      <c r="D3395" s="2" t="s">
        <v>28</v>
      </c>
      <c r="E3395" s="2" t="s">
        <v>29</v>
      </c>
      <c r="F3395" s="2">
        <v>60</v>
      </c>
      <c r="G3395" s="2" t="s">
        <v>8125</v>
      </c>
      <c r="H3395" s="2" t="s">
        <v>1056</v>
      </c>
      <c r="I3395" s="2" t="s">
        <v>129</v>
      </c>
      <c r="J3395" s="3">
        <v>44897</v>
      </c>
      <c r="K3395" s="2">
        <v>77</v>
      </c>
      <c r="L3395" s="2" t="s">
        <v>101</v>
      </c>
    </row>
    <row r="3396" spans="1:12" x14ac:dyDescent="0.3">
      <c r="A3396" s="2">
        <v>3385</v>
      </c>
      <c r="B3396" s="2" t="s">
        <v>3629</v>
      </c>
      <c r="C3396" s="2" t="s">
        <v>8126</v>
      </c>
      <c r="D3396" s="2" t="s">
        <v>28</v>
      </c>
      <c r="E3396" s="2" t="s">
        <v>29</v>
      </c>
      <c r="F3396" s="2">
        <v>30</v>
      </c>
      <c r="G3396" s="2" t="s">
        <v>8127</v>
      </c>
      <c r="H3396" s="2" t="s">
        <v>6430</v>
      </c>
      <c r="I3396" s="2" t="s">
        <v>32</v>
      </c>
      <c r="J3396" s="3">
        <v>44874</v>
      </c>
      <c r="K3396" s="2">
        <v>88</v>
      </c>
      <c r="L3396" s="2" t="s">
        <v>80</v>
      </c>
    </row>
    <row r="3397" spans="1:12" x14ac:dyDescent="0.3">
      <c r="A3397" s="2">
        <v>3386</v>
      </c>
      <c r="B3397" s="2" t="s">
        <v>5014</v>
      </c>
      <c r="C3397" s="2" t="s">
        <v>8128</v>
      </c>
      <c r="D3397" s="2" t="s">
        <v>15</v>
      </c>
      <c r="E3397" s="2" t="s">
        <v>16</v>
      </c>
      <c r="F3397" s="2">
        <v>60</v>
      </c>
      <c r="G3397" s="2" t="s">
        <v>8129</v>
      </c>
      <c r="H3397" s="2" t="s">
        <v>5521</v>
      </c>
      <c r="I3397" s="2" t="s">
        <v>25</v>
      </c>
      <c r="J3397" s="3">
        <v>44703</v>
      </c>
      <c r="K3397" s="2">
        <v>5</v>
      </c>
      <c r="L3397" s="2" t="s">
        <v>64</v>
      </c>
    </row>
    <row r="3398" spans="1:12" x14ac:dyDescent="0.3">
      <c r="A3398" s="2">
        <v>3387</v>
      </c>
      <c r="B3398" s="2" t="s">
        <v>6274</v>
      </c>
      <c r="C3398" s="2" t="s">
        <v>5764</v>
      </c>
      <c r="D3398" s="2" t="s">
        <v>28</v>
      </c>
      <c r="E3398" s="2" t="s">
        <v>29</v>
      </c>
      <c r="F3398" s="2">
        <v>60</v>
      </c>
      <c r="G3398" s="2" t="s">
        <v>8130</v>
      </c>
      <c r="H3398" s="2" t="s">
        <v>458</v>
      </c>
      <c r="I3398" s="2" t="s">
        <v>294</v>
      </c>
      <c r="J3398" s="3">
        <v>44257</v>
      </c>
      <c r="K3398" s="2">
        <v>48</v>
      </c>
      <c r="L3398" s="2" t="s">
        <v>20</v>
      </c>
    </row>
    <row r="3399" spans="1:12" x14ac:dyDescent="0.3">
      <c r="A3399" s="2">
        <v>3388</v>
      </c>
      <c r="B3399" s="2" t="s">
        <v>4124</v>
      </c>
      <c r="C3399" s="2" t="s">
        <v>4422</v>
      </c>
      <c r="D3399" s="2" t="s">
        <v>51</v>
      </c>
      <c r="E3399" s="2" t="s">
        <v>16</v>
      </c>
      <c r="F3399" s="2">
        <v>30</v>
      </c>
      <c r="G3399" s="2" t="s">
        <v>8131</v>
      </c>
      <c r="H3399" s="2" t="s">
        <v>2552</v>
      </c>
      <c r="I3399" s="2" t="s">
        <v>32</v>
      </c>
      <c r="J3399" s="3">
        <v>44248</v>
      </c>
      <c r="K3399" s="2">
        <v>63</v>
      </c>
      <c r="L3399" s="2" t="s">
        <v>33</v>
      </c>
    </row>
    <row r="3400" spans="1:12" x14ac:dyDescent="0.3">
      <c r="A3400" s="2">
        <v>3389</v>
      </c>
      <c r="B3400" s="2" t="s">
        <v>1002</v>
      </c>
      <c r="C3400" s="2" t="s">
        <v>3831</v>
      </c>
      <c r="D3400" s="2" t="s">
        <v>28</v>
      </c>
      <c r="E3400" s="2" t="s">
        <v>29</v>
      </c>
      <c r="F3400" s="2">
        <v>90</v>
      </c>
      <c r="G3400" s="2" t="s">
        <v>8132</v>
      </c>
      <c r="H3400" s="2" t="s">
        <v>2494</v>
      </c>
      <c r="I3400" s="2" t="s">
        <v>25</v>
      </c>
      <c r="J3400" s="3">
        <v>44376</v>
      </c>
      <c r="K3400" s="2">
        <v>7</v>
      </c>
      <c r="L3400" s="2" t="s">
        <v>45</v>
      </c>
    </row>
    <row r="3401" spans="1:12" x14ac:dyDescent="0.3">
      <c r="A3401" s="2">
        <v>3390</v>
      </c>
      <c r="B3401" s="2" t="s">
        <v>4290</v>
      </c>
      <c r="C3401" s="2" t="s">
        <v>3485</v>
      </c>
      <c r="D3401" s="2" t="s">
        <v>51</v>
      </c>
      <c r="E3401" s="2" t="s">
        <v>16</v>
      </c>
      <c r="F3401" s="2">
        <v>60</v>
      </c>
      <c r="G3401" s="2" t="s">
        <v>8133</v>
      </c>
      <c r="H3401" s="2" t="s">
        <v>288</v>
      </c>
      <c r="I3401" s="2" t="s">
        <v>32</v>
      </c>
      <c r="J3401" s="3">
        <v>44443</v>
      </c>
      <c r="K3401" s="2">
        <v>29</v>
      </c>
      <c r="L3401" s="2" t="s">
        <v>101</v>
      </c>
    </row>
    <row r="3402" spans="1:12" x14ac:dyDescent="0.3">
      <c r="A3402" s="2">
        <v>3391</v>
      </c>
      <c r="B3402" s="2" t="s">
        <v>4572</v>
      </c>
      <c r="C3402" s="2" t="s">
        <v>8134</v>
      </c>
      <c r="D3402" s="2" t="s">
        <v>28</v>
      </c>
      <c r="E3402" s="2" t="s">
        <v>29</v>
      </c>
      <c r="F3402" s="2">
        <v>30</v>
      </c>
      <c r="G3402" s="2" t="s">
        <v>8135</v>
      </c>
      <c r="H3402" s="2" t="s">
        <v>7572</v>
      </c>
      <c r="I3402" s="2" t="s">
        <v>886</v>
      </c>
      <c r="J3402" s="3">
        <v>44104</v>
      </c>
      <c r="K3402" s="2">
        <v>7</v>
      </c>
      <c r="L3402" s="2" t="s">
        <v>20</v>
      </c>
    </row>
    <row r="3403" spans="1:12" x14ac:dyDescent="0.3">
      <c r="A3403" s="2">
        <v>3392</v>
      </c>
      <c r="B3403" s="2" t="s">
        <v>872</v>
      </c>
      <c r="C3403" s="2" t="s">
        <v>8136</v>
      </c>
      <c r="D3403" s="2" t="s">
        <v>28</v>
      </c>
      <c r="E3403" s="2" t="s">
        <v>29</v>
      </c>
      <c r="F3403" s="2">
        <v>30</v>
      </c>
      <c r="G3403" s="2" t="s">
        <v>8137</v>
      </c>
      <c r="H3403" s="2" t="s">
        <v>412</v>
      </c>
      <c r="I3403" s="2" t="s">
        <v>187</v>
      </c>
      <c r="J3403" s="3">
        <v>44747</v>
      </c>
      <c r="K3403" s="2">
        <v>65</v>
      </c>
      <c r="L3403" s="2" t="s">
        <v>20</v>
      </c>
    </row>
    <row r="3404" spans="1:12" x14ac:dyDescent="0.3">
      <c r="A3404" s="2">
        <v>3393</v>
      </c>
      <c r="B3404" s="2" t="s">
        <v>8138</v>
      </c>
      <c r="C3404" s="2" t="s">
        <v>906</v>
      </c>
      <c r="D3404" s="2" t="s">
        <v>15</v>
      </c>
      <c r="E3404" s="2" t="s">
        <v>16</v>
      </c>
      <c r="F3404" s="2">
        <v>30</v>
      </c>
      <c r="G3404" s="2" t="s">
        <v>8139</v>
      </c>
      <c r="H3404" s="2" t="s">
        <v>2742</v>
      </c>
      <c r="I3404" s="2" t="s">
        <v>124</v>
      </c>
      <c r="J3404" s="3">
        <v>44429</v>
      </c>
      <c r="K3404" s="2">
        <v>76</v>
      </c>
      <c r="L3404" s="2" t="s">
        <v>70</v>
      </c>
    </row>
    <row r="3405" spans="1:12" x14ac:dyDescent="0.3">
      <c r="A3405" s="2">
        <v>3394</v>
      </c>
      <c r="B3405" s="2" t="s">
        <v>2384</v>
      </c>
      <c r="C3405" s="2" t="s">
        <v>6727</v>
      </c>
      <c r="D3405" s="2" t="s">
        <v>28</v>
      </c>
      <c r="E3405" s="2" t="s">
        <v>29</v>
      </c>
      <c r="F3405" s="2">
        <v>60</v>
      </c>
      <c r="G3405" s="2" t="s">
        <v>8141</v>
      </c>
      <c r="H3405" s="2" t="s">
        <v>5886</v>
      </c>
      <c r="I3405" s="2" t="s">
        <v>187</v>
      </c>
      <c r="J3405" s="3">
        <v>44195</v>
      </c>
      <c r="K3405" s="2">
        <v>13</v>
      </c>
      <c r="L3405" s="2" t="s">
        <v>33</v>
      </c>
    </row>
    <row r="3406" spans="1:12" x14ac:dyDescent="0.3">
      <c r="A3406" s="2">
        <v>3395</v>
      </c>
      <c r="B3406" s="2" t="s">
        <v>8142</v>
      </c>
      <c r="C3406" s="2" t="s">
        <v>2492</v>
      </c>
      <c r="D3406" s="2" t="s">
        <v>51</v>
      </c>
      <c r="E3406" s="2" t="s">
        <v>16</v>
      </c>
      <c r="F3406" s="2">
        <v>60</v>
      </c>
      <c r="G3406" s="2" t="s">
        <v>8143</v>
      </c>
      <c r="H3406" s="2" t="s">
        <v>750</v>
      </c>
      <c r="I3406" s="2" t="s">
        <v>25</v>
      </c>
      <c r="J3406" s="3">
        <v>44097</v>
      </c>
      <c r="K3406" s="2">
        <v>36</v>
      </c>
      <c r="L3406" s="2" t="s">
        <v>159</v>
      </c>
    </row>
    <row r="3407" spans="1:12" x14ac:dyDescent="0.3">
      <c r="A3407" s="2">
        <v>3396</v>
      </c>
      <c r="B3407" s="2" t="s">
        <v>6476</v>
      </c>
      <c r="C3407" s="2" t="s">
        <v>8144</v>
      </c>
      <c r="D3407" s="2" t="s">
        <v>28</v>
      </c>
      <c r="E3407" s="2" t="s">
        <v>29</v>
      </c>
      <c r="F3407" s="2">
        <v>30</v>
      </c>
      <c r="G3407" s="2" t="s">
        <v>8145</v>
      </c>
      <c r="H3407" s="2" t="s">
        <v>3531</v>
      </c>
      <c r="I3407" s="2" t="s">
        <v>32</v>
      </c>
      <c r="J3407" s="3">
        <v>44386</v>
      </c>
      <c r="K3407" s="2">
        <v>65</v>
      </c>
      <c r="L3407" s="2" t="s">
        <v>45</v>
      </c>
    </row>
    <row r="3408" spans="1:12" x14ac:dyDescent="0.3">
      <c r="A3408" s="2">
        <v>3397</v>
      </c>
      <c r="B3408" s="2" t="s">
        <v>8146</v>
      </c>
      <c r="C3408" s="2" t="s">
        <v>8147</v>
      </c>
      <c r="D3408" s="2" t="s">
        <v>15</v>
      </c>
      <c r="E3408" s="2" t="s">
        <v>16</v>
      </c>
      <c r="F3408" s="2">
        <v>60</v>
      </c>
      <c r="G3408" s="2" t="s">
        <v>8148</v>
      </c>
      <c r="H3408" s="2" t="s">
        <v>4299</v>
      </c>
      <c r="I3408" s="2" t="s">
        <v>32</v>
      </c>
      <c r="J3408" s="3">
        <v>43871</v>
      </c>
      <c r="K3408" s="2">
        <v>63</v>
      </c>
      <c r="L3408" s="2" t="s">
        <v>45</v>
      </c>
    </row>
    <row r="3409" spans="1:12" x14ac:dyDescent="0.3">
      <c r="A3409" s="2">
        <v>3398</v>
      </c>
      <c r="B3409" s="2" t="s">
        <v>8149</v>
      </c>
      <c r="C3409" s="2" t="s">
        <v>281</v>
      </c>
      <c r="D3409" s="2" t="s">
        <v>28</v>
      </c>
      <c r="E3409" s="2" t="s">
        <v>29</v>
      </c>
      <c r="F3409" s="2">
        <v>90</v>
      </c>
      <c r="G3409" s="2" t="s">
        <v>8150</v>
      </c>
      <c r="H3409" s="2" t="s">
        <v>3909</v>
      </c>
      <c r="I3409" s="2" t="s">
        <v>32</v>
      </c>
      <c r="J3409" s="3">
        <v>44433</v>
      </c>
      <c r="K3409" s="2">
        <v>76</v>
      </c>
      <c r="L3409" s="2" t="s">
        <v>70</v>
      </c>
    </row>
    <row r="3410" spans="1:12" x14ac:dyDescent="0.3">
      <c r="A3410" s="2">
        <v>3399</v>
      </c>
      <c r="B3410" s="2" t="s">
        <v>8151</v>
      </c>
      <c r="C3410" s="2" t="s">
        <v>5534</v>
      </c>
      <c r="D3410" s="2" t="s">
        <v>28</v>
      </c>
      <c r="E3410" s="2" t="s">
        <v>29</v>
      </c>
      <c r="F3410" s="2">
        <v>90</v>
      </c>
      <c r="G3410" s="2" t="s">
        <v>10550</v>
      </c>
      <c r="H3410" s="2" t="s">
        <v>6618</v>
      </c>
      <c r="I3410" s="2" t="s">
        <v>32</v>
      </c>
      <c r="J3410" s="3">
        <v>44789</v>
      </c>
      <c r="K3410" s="2">
        <v>37</v>
      </c>
      <c r="L3410" s="2" t="s">
        <v>101</v>
      </c>
    </row>
    <row r="3411" spans="1:12" x14ac:dyDescent="0.3">
      <c r="A3411" s="2">
        <v>3400</v>
      </c>
      <c r="B3411" s="2" t="s">
        <v>8153</v>
      </c>
      <c r="C3411" s="2" t="s">
        <v>7180</v>
      </c>
      <c r="D3411" s="2" t="s">
        <v>51</v>
      </c>
      <c r="E3411" s="2" t="s">
        <v>16</v>
      </c>
      <c r="F3411" s="2">
        <v>30</v>
      </c>
      <c r="G3411" s="2" t="s">
        <v>8154</v>
      </c>
      <c r="H3411" s="2" t="s">
        <v>8155</v>
      </c>
      <c r="I3411" s="2" t="s">
        <v>32</v>
      </c>
      <c r="J3411" s="3">
        <v>43973</v>
      </c>
      <c r="K3411" s="2">
        <v>28</v>
      </c>
      <c r="L3411" s="2" t="s">
        <v>80</v>
      </c>
    </row>
    <row r="3412" spans="1:12" x14ac:dyDescent="0.3">
      <c r="A3412" s="2">
        <v>3401</v>
      </c>
      <c r="B3412" s="2" t="s">
        <v>567</v>
      </c>
      <c r="C3412" s="2" t="s">
        <v>8156</v>
      </c>
      <c r="D3412" s="2" t="s">
        <v>28</v>
      </c>
      <c r="E3412" s="2" t="s">
        <v>29</v>
      </c>
      <c r="F3412" s="2">
        <v>60</v>
      </c>
      <c r="G3412" s="2" t="s">
        <v>8157</v>
      </c>
      <c r="H3412" s="2" t="s">
        <v>4673</v>
      </c>
      <c r="I3412" s="2" t="s">
        <v>294</v>
      </c>
      <c r="J3412" s="3">
        <v>44230</v>
      </c>
      <c r="K3412" s="2">
        <v>44</v>
      </c>
      <c r="L3412" s="2" t="s">
        <v>33</v>
      </c>
    </row>
    <row r="3413" spans="1:12" x14ac:dyDescent="0.3">
      <c r="A3413" s="2">
        <v>3402</v>
      </c>
      <c r="B3413" s="2" t="s">
        <v>8158</v>
      </c>
      <c r="C3413" s="2" t="s">
        <v>4603</v>
      </c>
      <c r="D3413" s="2" t="s">
        <v>15</v>
      </c>
      <c r="E3413" s="2" t="s">
        <v>16</v>
      </c>
      <c r="F3413" s="2">
        <v>60</v>
      </c>
      <c r="G3413" s="2" t="s">
        <v>8159</v>
      </c>
      <c r="H3413" s="2" t="s">
        <v>917</v>
      </c>
      <c r="I3413" s="2" t="s">
        <v>32</v>
      </c>
      <c r="J3413" s="3">
        <v>44726</v>
      </c>
      <c r="K3413" s="2">
        <v>25</v>
      </c>
      <c r="L3413" s="2" t="s">
        <v>45</v>
      </c>
    </row>
    <row r="3414" spans="1:12" x14ac:dyDescent="0.3">
      <c r="A3414" s="2">
        <v>3403</v>
      </c>
      <c r="B3414" s="2" t="s">
        <v>1165</v>
      </c>
      <c r="C3414" s="2" t="s">
        <v>3336</v>
      </c>
      <c r="D3414" s="2" t="s">
        <v>41</v>
      </c>
      <c r="E3414" s="2" t="s">
        <v>16</v>
      </c>
      <c r="F3414" s="2">
        <v>60</v>
      </c>
      <c r="G3414" s="2" t="s">
        <v>8160</v>
      </c>
      <c r="H3414" s="2" t="s">
        <v>1022</v>
      </c>
      <c r="I3414" s="2" t="s">
        <v>164</v>
      </c>
      <c r="J3414" s="3">
        <v>44530</v>
      </c>
      <c r="K3414" s="2">
        <v>69</v>
      </c>
      <c r="L3414" s="2" t="s">
        <v>70</v>
      </c>
    </row>
    <row r="3415" spans="1:12" x14ac:dyDescent="0.3">
      <c r="A3415" s="2">
        <v>3404</v>
      </c>
      <c r="B3415" s="2" t="s">
        <v>2828</v>
      </c>
      <c r="C3415" s="2" t="s">
        <v>1301</v>
      </c>
      <c r="D3415" s="2" t="s">
        <v>117</v>
      </c>
      <c r="E3415" s="2" t="s">
        <v>16</v>
      </c>
      <c r="F3415" s="2">
        <v>90</v>
      </c>
      <c r="G3415" s="2" t="s">
        <v>8161</v>
      </c>
      <c r="H3415" s="2" t="s">
        <v>7665</v>
      </c>
      <c r="I3415" s="2" t="s">
        <v>7666</v>
      </c>
      <c r="J3415" s="3">
        <v>44333</v>
      </c>
      <c r="K3415" s="2">
        <v>10</v>
      </c>
      <c r="L3415" s="2" t="s">
        <v>20</v>
      </c>
    </row>
    <row r="3416" spans="1:12" x14ac:dyDescent="0.3">
      <c r="A3416" s="2">
        <v>3405</v>
      </c>
      <c r="B3416" s="2" t="s">
        <v>8162</v>
      </c>
      <c r="C3416" s="2" t="s">
        <v>5689</v>
      </c>
      <c r="D3416" s="2" t="s">
        <v>28</v>
      </c>
      <c r="E3416" s="2" t="s">
        <v>29</v>
      </c>
      <c r="F3416" s="2">
        <v>90</v>
      </c>
      <c r="G3416" s="2" t="s">
        <v>8163</v>
      </c>
      <c r="H3416" s="2" t="s">
        <v>7763</v>
      </c>
      <c r="I3416" s="2" t="s">
        <v>129</v>
      </c>
      <c r="J3416" s="3">
        <v>44476</v>
      </c>
      <c r="K3416" s="2">
        <v>20</v>
      </c>
      <c r="L3416" s="2" t="s">
        <v>70</v>
      </c>
    </row>
    <row r="3417" spans="1:12" x14ac:dyDescent="0.3">
      <c r="A3417" s="2">
        <v>3406</v>
      </c>
      <c r="B3417" s="2" t="s">
        <v>4644</v>
      </c>
      <c r="C3417" s="2" t="s">
        <v>7290</v>
      </c>
      <c r="D3417" s="2" t="s">
        <v>28</v>
      </c>
      <c r="E3417" s="2" t="s">
        <v>29</v>
      </c>
      <c r="F3417" s="2">
        <v>30</v>
      </c>
      <c r="G3417" s="2" t="s">
        <v>8164</v>
      </c>
      <c r="H3417" s="2" t="s">
        <v>145</v>
      </c>
      <c r="I3417" s="2" t="s">
        <v>146</v>
      </c>
      <c r="J3417" s="3">
        <v>44219</v>
      </c>
      <c r="K3417" s="2">
        <v>73</v>
      </c>
      <c r="L3417" s="2" t="s">
        <v>101</v>
      </c>
    </row>
    <row r="3418" spans="1:12" x14ac:dyDescent="0.3">
      <c r="A3418" s="2">
        <v>3407</v>
      </c>
      <c r="B3418" s="2" t="s">
        <v>1591</v>
      </c>
      <c r="C3418" s="2" t="s">
        <v>2431</v>
      </c>
      <c r="D3418" s="2" t="s">
        <v>28</v>
      </c>
      <c r="E3418" s="2" t="s">
        <v>29</v>
      </c>
      <c r="F3418" s="2">
        <v>30</v>
      </c>
      <c r="G3418" s="2" t="s">
        <v>8165</v>
      </c>
      <c r="H3418" s="2" t="s">
        <v>1490</v>
      </c>
      <c r="I3418" s="2" t="s">
        <v>294</v>
      </c>
      <c r="J3418" s="3">
        <v>44225</v>
      </c>
      <c r="K3418" s="2">
        <v>59</v>
      </c>
      <c r="L3418" s="2" t="s">
        <v>54</v>
      </c>
    </row>
    <row r="3419" spans="1:12" x14ac:dyDescent="0.3">
      <c r="A3419" s="2">
        <v>3408</v>
      </c>
      <c r="B3419" s="2" t="s">
        <v>4419</v>
      </c>
      <c r="C3419" s="2" t="s">
        <v>7889</v>
      </c>
      <c r="D3419" s="2" t="s">
        <v>28</v>
      </c>
      <c r="E3419" s="2" t="s">
        <v>29</v>
      </c>
      <c r="F3419" s="2">
        <v>30</v>
      </c>
      <c r="G3419" s="2" t="s">
        <v>8166</v>
      </c>
      <c r="H3419" s="2" t="s">
        <v>1228</v>
      </c>
      <c r="I3419" s="2" t="s">
        <v>25</v>
      </c>
      <c r="J3419" s="3">
        <v>44393</v>
      </c>
      <c r="K3419" s="2">
        <v>65</v>
      </c>
      <c r="L3419" s="2" t="s">
        <v>64</v>
      </c>
    </row>
    <row r="3420" spans="1:12" x14ac:dyDescent="0.3">
      <c r="A3420" s="2">
        <v>3409</v>
      </c>
      <c r="B3420" s="2" t="s">
        <v>1464</v>
      </c>
      <c r="C3420" s="2" t="s">
        <v>2197</v>
      </c>
      <c r="D3420" s="2" t="s">
        <v>28</v>
      </c>
      <c r="E3420" s="2" t="s">
        <v>29</v>
      </c>
      <c r="F3420" s="2">
        <v>90</v>
      </c>
      <c r="G3420" s="2" t="s">
        <v>8167</v>
      </c>
      <c r="H3420" s="2" t="s">
        <v>2848</v>
      </c>
      <c r="I3420" s="2" t="s">
        <v>129</v>
      </c>
      <c r="J3420" s="3">
        <v>44578</v>
      </c>
      <c r="K3420" s="2">
        <v>77</v>
      </c>
      <c r="L3420" s="2" t="s">
        <v>20</v>
      </c>
    </row>
    <row r="3421" spans="1:12" x14ac:dyDescent="0.3">
      <c r="A3421" s="2">
        <v>3410</v>
      </c>
      <c r="B3421" s="2" t="s">
        <v>8168</v>
      </c>
      <c r="C3421" s="2" t="s">
        <v>2139</v>
      </c>
      <c r="D3421" s="2" t="s">
        <v>92</v>
      </c>
      <c r="E3421" s="2" t="s">
        <v>16</v>
      </c>
      <c r="F3421" s="2">
        <v>90</v>
      </c>
      <c r="G3421" s="2" t="s">
        <v>8169</v>
      </c>
      <c r="H3421" s="2" t="s">
        <v>7269</v>
      </c>
      <c r="I3421" s="2" t="s">
        <v>187</v>
      </c>
      <c r="J3421" s="3">
        <v>43983</v>
      </c>
      <c r="K3421" s="2">
        <v>74</v>
      </c>
      <c r="L3421" s="2" t="s">
        <v>54</v>
      </c>
    </row>
    <row r="3422" spans="1:12" x14ac:dyDescent="0.3">
      <c r="A3422" s="2">
        <v>3411</v>
      </c>
      <c r="B3422" s="2" t="s">
        <v>1881</v>
      </c>
      <c r="C3422" s="2" t="s">
        <v>2017</v>
      </c>
      <c r="D3422" s="2" t="s">
        <v>28</v>
      </c>
      <c r="E3422" s="2" t="s">
        <v>29</v>
      </c>
      <c r="F3422" s="2">
        <v>30</v>
      </c>
      <c r="G3422" s="2" t="s">
        <v>8170</v>
      </c>
      <c r="H3422" s="2" t="s">
        <v>6602</v>
      </c>
      <c r="I3422" s="2" t="s">
        <v>32</v>
      </c>
      <c r="J3422" s="3">
        <v>44110</v>
      </c>
      <c r="K3422" s="2">
        <v>41</v>
      </c>
      <c r="L3422" s="2" t="s">
        <v>54</v>
      </c>
    </row>
    <row r="3423" spans="1:12" x14ac:dyDescent="0.3">
      <c r="A3423" s="2">
        <v>3412</v>
      </c>
      <c r="B3423" s="2" t="s">
        <v>8171</v>
      </c>
      <c r="C3423" s="2" t="s">
        <v>2014</v>
      </c>
      <c r="D3423" s="2" t="s">
        <v>51</v>
      </c>
      <c r="E3423" s="2" t="s">
        <v>16</v>
      </c>
      <c r="F3423" s="2">
        <v>90</v>
      </c>
      <c r="G3423" s="2" t="s">
        <v>8172</v>
      </c>
      <c r="H3423" s="2" t="s">
        <v>8173</v>
      </c>
      <c r="I3423" s="2" t="s">
        <v>25</v>
      </c>
      <c r="J3423" s="3">
        <v>44201</v>
      </c>
      <c r="K3423" s="2">
        <v>5</v>
      </c>
      <c r="L3423" s="2" t="s">
        <v>54</v>
      </c>
    </row>
    <row r="3424" spans="1:12" x14ac:dyDescent="0.3">
      <c r="A3424" s="2">
        <v>3413</v>
      </c>
      <c r="B3424" s="2" t="s">
        <v>8174</v>
      </c>
      <c r="C3424" s="2" t="s">
        <v>6465</v>
      </c>
      <c r="D3424" s="2" t="s">
        <v>51</v>
      </c>
      <c r="E3424" s="2" t="s">
        <v>16</v>
      </c>
      <c r="F3424" s="2">
        <v>90</v>
      </c>
      <c r="G3424" s="2" t="s">
        <v>8175</v>
      </c>
      <c r="H3424" s="2" t="s">
        <v>7665</v>
      </c>
      <c r="I3424" s="2" t="s">
        <v>7666</v>
      </c>
      <c r="J3424" s="3">
        <v>43899</v>
      </c>
      <c r="K3424" s="2">
        <v>51</v>
      </c>
      <c r="L3424" s="2" t="s">
        <v>80</v>
      </c>
    </row>
    <row r="3425" spans="1:12" x14ac:dyDescent="0.3">
      <c r="A3425" s="2">
        <v>3414</v>
      </c>
      <c r="B3425" s="2" t="s">
        <v>357</v>
      </c>
      <c r="C3425" s="2" t="s">
        <v>1162</v>
      </c>
      <c r="D3425" s="2" t="s">
        <v>28</v>
      </c>
      <c r="E3425" s="2" t="s">
        <v>29</v>
      </c>
      <c r="F3425" s="2">
        <v>60</v>
      </c>
      <c r="G3425" s="2" t="s">
        <v>8176</v>
      </c>
      <c r="H3425" s="2" t="s">
        <v>5327</v>
      </c>
      <c r="I3425" s="2" t="s">
        <v>187</v>
      </c>
      <c r="J3425" s="3">
        <v>44219</v>
      </c>
      <c r="K3425" s="2">
        <v>4</v>
      </c>
      <c r="L3425" s="2" t="s">
        <v>45</v>
      </c>
    </row>
    <row r="3426" spans="1:12" x14ac:dyDescent="0.3">
      <c r="A3426" s="2">
        <v>3415</v>
      </c>
      <c r="B3426" s="2" t="s">
        <v>8177</v>
      </c>
      <c r="C3426" s="2" t="s">
        <v>1749</v>
      </c>
      <c r="D3426" s="2" t="s">
        <v>15</v>
      </c>
      <c r="E3426" s="2" t="s">
        <v>16</v>
      </c>
      <c r="F3426" s="2">
        <v>90</v>
      </c>
      <c r="G3426" s="2" t="s">
        <v>8178</v>
      </c>
      <c r="H3426" s="2" t="s">
        <v>5132</v>
      </c>
      <c r="I3426" s="2" t="s">
        <v>32</v>
      </c>
      <c r="J3426" s="3">
        <v>44866</v>
      </c>
      <c r="K3426" s="2">
        <v>60</v>
      </c>
      <c r="L3426" s="2" t="s">
        <v>101</v>
      </c>
    </row>
    <row r="3427" spans="1:12" x14ac:dyDescent="0.3">
      <c r="A3427" s="2">
        <v>3416</v>
      </c>
      <c r="B3427" s="2" t="s">
        <v>8179</v>
      </c>
      <c r="C3427" s="2" t="s">
        <v>1932</v>
      </c>
      <c r="D3427" s="2" t="s">
        <v>51</v>
      </c>
      <c r="E3427" s="2" t="s">
        <v>16</v>
      </c>
      <c r="F3427" s="2">
        <v>30</v>
      </c>
      <c r="G3427" s="2" t="s">
        <v>8180</v>
      </c>
      <c r="H3427" s="2" t="s">
        <v>7004</v>
      </c>
      <c r="I3427" s="2" t="s">
        <v>208</v>
      </c>
      <c r="J3427" s="3">
        <v>44655</v>
      </c>
      <c r="K3427" s="2">
        <v>72</v>
      </c>
      <c r="L3427" s="2" t="s">
        <v>39</v>
      </c>
    </row>
    <row r="3428" spans="1:12" x14ac:dyDescent="0.3">
      <c r="A3428" s="2">
        <v>3417</v>
      </c>
      <c r="B3428" s="2" t="s">
        <v>2571</v>
      </c>
      <c r="C3428" s="2" t="s">
        <v>1191</v>
      </c>
      <c r="D3428" s="2" t="s">
        <v>28</v>
      </c>
      <c r="E3428" s="2" t="s">
        <v>29</v>
      </c>
      <c r="F3428" s="2">
        <v>90</v>
      </c>
      <c r="G3428" s="2" t="s">
        <v>8181</v>
      </c>
      <c r="H3428" s="2" t="s">
        <v>1819</v>
      </c>
      <c r="I3428" s="2" t="s">
        <v>89</v>
      </c>
      <c r="J3428" s="3">
        <v>44197</v>
      </c>
      <c r="K3428" s="2">
        <v>78</v>
      </c>
      <c r="L3428" s="2" t="s">
        <v>101</v>
      </c>
    </row>
    <row r="3429" spans="1:12" x14ac:dyDescent="0.3">
      <c r="A3429" s="2">
        <v>3418</v>
      </c>
      <c r="B3429" s="2" t="s">
        <v>8182</v>
      </c>
      <c r="C3429" s="2" t="s">
        <v>5764</v>
      </c>
      <c r="D3429" s="2" t="s">
        <v>51</v>
      </c>
      <c r="E3429" s="2" t="s">
        <v>16</v>
      </c>
      <c r="F3429" s="2">
        <v>90</v>
      </c>
      <c r="G3429" s="2" t="s">
        <v>8183</v>
      </c>
      <c r="H3429" s="2" t="s">
        <v>7642</v>
      </c>
      <c r="I3429" s="2" t="s">
        <v>32</v>
      </c>
      <c r="J3429" s="3">
        <v>44021</v>
      </c>
      <c r="K3429" s="2">
        <v>73</v>
      </c>
      <c r="L3429" s="2" t="s">
        <v>39</v>
      </c>
    </row>
    <row r="3430" spans="1:12" x14ac:dyDescent="0.3">
      <c r="A3430" s="2">
        <v>3419</v>
      </c>
      <c r="B3430" s="2" t="s">
        <v>8184</v>
      </c>
      <c r="C3430" s="2" t="s">
        <v>2507</v>
      </c>
      <c r="D3430" s="2" t="s">
        <v>51</v>
      </c>
      <c r="E3430" s="2" t="s">
        <v>16</v>
      </c>
      <c r="F3430" s="2">
        <v>90</v>
      </c>
      <c r="G3430" s="2" t="s">
        <v>8185</v>
      </c>
      <c r="H3430" s="2" t="s">
        <v>3866</v>
      </c>
      <c r="I3430" s="2" t="s">
        <v>32</v>
      </c>
      <c r="J3430" s="3">
        <v>44459</v>
      </c>
      <c r="K3430" s="2">
        <v>48</v>
      </c>
      <c r="L3430" s="2" t="s">
        <v>70</v>
      </c>
    </row>
    <row r="3431" spans="1:12" x14ac:dyDescent="0.3">
      <c r="A3431" s="2">
        <v>3420</v>
      </c>
      <c r="B3431" s="2" t="s">
        <v>555</v>
      </c>
      <c r="C3431" s="2" t="s">
        <v>1204</v>
      </c>
      <c r="D3431" s="2" t="s">
        <v>28</v>
      </c>
      <c r="E3431" s="2" t="s">
        <v>29</v>
      </c>
      <c r="F3431" s="2">
        <v>90</v>
      </c>
      <c r="G3431" s="2" t="s">
        <v>8186</v>
      </c>
      <c r="H3431" s="2" t="s">
        <v>1249</v>
      </c>
      <c r="I3431" s="2" t="s">
        <v>146</v>
      </c>
      <c r="J3431" s="3">
        <v>43900</v>
      </c>
      <c r="K3431" s="2">
        <v>73</v>
      </c>
      <c r="L3431" s="2" t="s">
        <v>39</v>
      </c>
    </row>
    <row r="3432" spans="1:12" x14ac:dyDescent="0.3">
      <c r="A3432" s="2">
        <v>3421</v>
      </c>
      <c r="B3432" s="2" t="s">
        <v>8187</v>
      </c>
      <c r="C3432" s="2" t="s">
        <v>2339</v>
      </c>
      <c r="D3432" s="2" t="s">
        <v>117</v>
      </c>
      <c r="E3432" s="2" t="s">
        <v>29</v>
      </c>
      <c r="F3432" s="2">
        <v>90</v>
      </c>
      <c r="G3432" s="2" t="s">
        <v>8188</v>
      </c>
      <c r="H3432" s="2" t="s">
        <v>8121</v>
      </c>
      <c r="I3432" s="2" t="s">
        <v>44</v>
      </c>
      <c r="J3432" s="3">
        <v>44714</v>
      </c>
      <c r="K3432" s="2">
        <v>55</v>
      </c>
      <c r="L3432" s="2" t="s">
        <v>45</v>
      </c>
    </row>
    <row r="3433" spans="1:12" x14ac:dyDescent="0.3">
      <c r="A3433" s="2">
        <v>3422</v>
      </c>
      <c r="B3433" s="2" t="s">
        <v>8189</v>
      </c>
      <c r="C3433" s="2" t="s">
        <v>1247</v>
      </c>
      <c r="D3433" s="2" t="s">
        <v>51</v>
      </c>
      <c r="E3433" s="2" t="s">
        <v>16</v>
      </c>
      <c r="F3433" s="2">
        <v>30</v>
      </c>
      <c r="G3433" s="2" t="s">
        <v>8188</v>
      </c>
      <c r="H3433" s="2" t="s">
        <v>1575</v>
      </c>
      <c r="I3433" s="2" t="s">
        <v>1576</v>
      </c>
      <c r="J3433" s="3">
        <v>44533</v>
      </c>
      <c r="K3433" s="2">
        <v>2</v>
      </c>
      <c r="L3433" s="2" t="s">
        <v>45</v>
      </c>
    </row>
    <row r="3434" spans="1:12" x14ac:dyDescent="0.3">
      <c r="A3434" s="2">
        <v>3423</v>
      </c>
      <c r="B3434" s="2" t="s">
        <v>6837</v>
      </c>
      <c r="C3434" s="2" t="s">
        <v>5328</v>
      </c>
      <c r="D3434" s="2" t="s">
        <v>28</v>
      </c>
      <c r="E3434" s="2" t="s">
        <v>29</v>
      </c>
      <c r="F3434" s="2">
        <v>30</v>
      </c>
      <c r="G3434" s="2" t="s">
        <v>8190</v>
      </c>
      <c r="H3434" s="2" t="s">
        <v>8191</v>
      </c>
      <c r="I3434" s="2" t="s">
        <v>886</v>
      </c>
      <c r="J3434" s="3">
        <v>44414</v>
      </c>
      <c r="K3434" s="2">
        <v>37</v>
      </c>
      <c r="L3434" s="2" t="s">
        <v>101</v>
      </c>
    </row>
    <row r="3435" spans="1:12" x14ac:dyDescent="0.3">
      <c r="A3435" s="2">
        <v>3424</v>
      </c>
      <c r="B3435" s="2" t="s">
        <v>967</v>
      </c>
      <c r="C3435" s="2" t="s">
        <v>940</v>
      </c>
      <c r="D3435" s="2" t="s">
        <v>28</v>
      </c>
      <c r="E3435" s="2" t="s">
        <v>29</v>
      </c>
      <c r="F3435" s="2">
        <v>60</v>
      </c>
      <c r="G3435" s="2" t="s">
        <v>8192</v>
      </c>
      <c r="H3435" s="2" t="s">
        <v>1743</v>
      </c>
      <c r="I3435" s="2" t="s">
        <v>1744</v>
      </c>
      <c r="J3435" s="3">
        <v>44095</v>
      </c>
      <c r="K3435" s="2">
        <v>81</v>
      </c>
      <c r="L3435" s="2" t="s">
        <v>159</v>
      </c>
    </row>
    <row r="3436" spans="1:12" x14ac:dyDescent="0.3">
      <c r="A3436" s="2">
        <v>3425</v>
      </c>
      <c r="B3436" s="2" t="s">
        <v>4916</v>
      </c>
      <c r="C3436" s="2" t="s">
        <v>5081</v>
      </c>
      <c r="D3436" s="2" t="s">
        <v>28</v>
      </c>
      <c r="E3436" s="2" t="s">
        <v>29</v>
      </c>
      <c r="F3436" s="2">
        <v>90</v>
      </c>
      <c r="G3436" s="2" t="s">
        <v>8193</v>
      </c>
      <c r="H3436" s="2" t="s">
        <v>2577</v>
      </c>
      <c r="I3436" s="2" t="s">
        <v>645</v>
      </c>
      <c r="J3436" s="3">
        <v>44781</v>
      </c>
      <c r="K3436" s="2">
        <v>41</v>
      </c>
      <c r="L3436" s="2" t="s">
        <v>45</v>
      </c>
    </row>
    <row r="3437" spans="1:12" x14ac:dyDescent="0.3">
      <c r="A3437" s="2">
        <v>3426</v>
      </c>
      <c r="B3437" s="2" t="s">
        <v>6630</v>
      </c>
      <c r="C3437" s="2" t="s">
        <v>3719</v>
      </c>
      <c r="D3437" s="2" t="s">
        <v>51</v>
      </c>
      <c r="E3437" s="2" t="s">
        <v>16</v>
      </c>
      <c r="F3437" s="2">
        <v>30</v>
      </c>
      <c r="G3437" s="2" t="s">
        <v>8194</v>
      </c>
      <c r="H3437" s="2" t="s">
        <v>8195</v>
      </c>
      <c r="I3437" s="2" t="s">
        <v>32</v>
      </c>
      <c r="J3437" s="3">
        <v>44609</v>
      </c>
      <c r="K3437" s="2">
        <v>95</v>
      </c>
      <c r="L3437" s="2" t="s">
        <v>80</v>
      </c>
    </row>
    <row r="3438" spans="1:12" x14ac:dyDescent="0.3">
      <c r="A3438" s="2">
        <v>3427</v>
      </c>
      <c r="B3438" s="2" t="s">
        <v>8196</v>
      </c>
      <c r="C3438" s="2" t="s">
        <v>1072</v>
      </c>
      <c r="D3438" s="2" t="s">
        <v>28</v>
      </c>
      <c r="E3438" s="2" t="s">
        <v>29</v>
      </c>
      <c r="F3438" s="2">
        <v>60</v>
      </c>
      <c r="G3438" s="2" t="s">
        <v>8197</v>
      </c>
      <c r="H3438" s="2" t="s">
        <v>3882</v>
      </c>
      <c r="I3438" s="2" t="s">
        <v>38</v>
      </c>
      <c r="J3438" s="3">
        <v>44154</v>
      </c>
      <c r="K3438" s="2">
        <v>24</v>
      </c>
      <c r="L3438" s="2" t="s">
        <v>54</v>
      </c>
    </row>
    <row r="3439" spans="1:12" x14ac:dyDescent="0.3">
      <c r="A3439" s="2">
        <v>3428</v>
      </c>
      <c r="B3439" s="2" t="s">
        <v>8198</v>
      </c>
      <c r="C3439" s="2" t="s">
        <v>4422</v>
      </c>
      <c r="D3439" s="2" t="s">
        <v>15</v>
      </c>
      <c r="E3439" s="2" t="s">
        <v>16</v>
      </c>
      <c r="F3439" s="2">
        <v>60</v>
      </c>
      <c r="G3439" s="2" t="s">
        <v>10449</v>
      </c>
      <c r="H3439" s="2" t="s">
        <v>3651</v>
      </c>
      <c r="I3439" s="2" t="s">
        <v>294</v>
      </c>
      <c r="J3439" s="3">
        <v>44658</v>
      </c>
      <c r="K3439" s="2">
        <v>48</v>
      </c>
      <c r="L3439" s="2" t="s">
        <v>20</v>
      </c>
    </row>
    <row r="3440" spans="1:12" x14ac:dyDescent="0.3">
      <c r="A3440" s="2">
        <v>3429</v>
      </c>
      <c r="B3440" s="2" t="s">
        <v>7498</v>
      </c>
      <c r="C3440" s="2" t="s">
        <v>8113</v>
      </c>
      <c r="D3440" s="2" t="s">
        <v>28</v>
      </c>
      <c r="E3440" s="2" t="s">
        <v>29</v>
      </c>
      <c r="F3440" s="2">
        <v>60</v>
      </c>
      <c r="G3440" s="2" t="s">
        <v>8200</v>
      </c>
      <c r="H3440" s="2" t="s">
        <v>1969</v>
      </c>
      <c r="I3440" s="2" t="s">
        <v>32</v>
      </c>
      <c r="J3440" s="3">
        <v>43865</v>
      </c>
      <c r="K3440" s="2">
        <v>19</v>
      </c>
      <c r="L3440" s="2" t="s">
        <v>33</v>
      </c>
    </row>
    <row r="3441" spans="1:12" x14ac:dyDescent="0.3">
      <c r="A3441" s="2">
        <v>3430</v>
      </c>
      <c r="B3441" s="2" t="s">
        <v>7136</v>
      </c>
      <c r="C3441" s="2" t="s">
        <v>5325</v>
      </c>
      <c r="D3441" s="2" t="s">
        <v>51</v>
      </c>
      <c r="E3441" s="2" t="s">
        <v>16</v>
      </c>
      <c r="F3441" s="2">
        <v>60</v>
      </c>
      <c r="G3441" s="2" t="s">
        <v>8200</v>
      </c>
      <c r="H3441" s="2" t="s">
        <v>3770</v>
      </c>
      <c r="I3441" s="2" t="s">
        <v>32</v>
      </c>
      <c r="J3441" s="3">
        <v>44031</v>
      </c>
      <c r="K3441" s="2">
        <v>36</v>
      </c>
      <c r="L3441" s="2" t="s">
        <v>101</v>
      </c>
    </row>
    <row r="3442" spans="1:12" x14ac:dyDescent="0.3">
      <c r="A3442" s="2">
        <v>3431</v>
      </c>
      <c r="B3442" s="2" t="s">
        <v>7657</v>
      </c>
      <c r="C3442" s="2" t="s">
        <v>5211</v>
      </c>
      <c r="D3442" s="2" t="s">
        <v>28</v>
      </c>
      <c r="E3442" s="2" t="s">
        <v>29</v>
      </c>
      <c r="F3442" s="2">
        <v>30</v>
      </c>
      <c r="G3442" s="2" t="s">
        <v>8202</v>
      </c>
      <c r="H3442" s="2" t="s">
        <v>3673</v>
      </c>
      <c r="I3442" s="2" t="s">
        <v>777</v>
      </c>
      <c r="J3442" s="3">
        <v>44036</v>
      </c>
      <c r="K3442" s="2">
        <v>44</v>
      </c>
      <c r="L3442" s="2" t="s">
        <v>54</v>
      </c>
    </row>
    <row r="3443" spans="1:12" x14ac:dyDescent="0.3">
      <c r="A3443" s="2">
        <v>3432</v>
      </c>
      <c r="B3443" s="2" t="s">
        <v>8203</v>
      </c>
      <c r="C3443" s="2" t="s">
        <v>1826</v>
      </c>
      <c r="D3443" s="2" t="s">
        <v>28</v>
      </c>
      <c r="E3443" s="2" t="s">
        <v>29</v>
      </c>
      <c r="F3443" s="2">
        <v>60</v>
      </c>
      <c r="G3443" s="2" t="s">
        <v>8204</v>
      </c>
      <c r="H3443" s="2" t="s">
        <v>8205</v>
      </c>
      <c r="I3443" s="2" t="s">
        <v>25</v>
      </c>
      <c r="J3443" s="3">
        <v>44855</v>
      </c>
      <c r="K3443" s="2">
        <v>17</v>
      </c>
      <c r="L3443" s="2" t="s">
        <v>39</v>
      </c>
    </row>
    <row r="3444" spans="1:12" x14ac:dyDescent="0.3">
      <c r="A3444" s="2">
        <v>3433</v>
      </c>
      <c r="B3444" s="2" t="s">
        <v>3370</v>
      </c>
      <c r="C3444" s="2" t="s">
        <v>551</v>
      </c>
      <c r="D3444" s="2" t="s">
        <v>28</v>
      </c>
      <c r="E3444" s="2" t="s">
        <v>29</v>
      </c>
      <c r="F3444" s="2">
        <v>60</v>
      </c>
      <c r="G3444" s="2" t="s">
        <v>10647</v>
      </c>
      <c r="H3444" s="2" t="s">
        <v>1937</v>
      </c>
      <c r="I3444" s="2" t="s">
        <v>25</v>
      </c>
      <c r="J3444" s="3">
        <v>44769</v>
      </c>
      <c r="K3444" s="2">
        <v>87</v>
      </c>
      <c r="L3444" s="2" t="s">
        <v>80</v>
      </c>
    </row>
    <row r="3445" spans="1:12" x14ac:dyDescent="0.3">
      <c r="A3445" s="2">
        <v>3434</v>
      </c>
      <c r="B3445" s="2" t="s">
        <v>835</v>
      </c>
      <c r="C3445" s="2" t="s">
        <v>3019</v>
      </c>
      <c r="D3445" s="2" t="s">
        <v>51</v>
      </c>
      <c r="E3445" s="2" t="s">
        <v>16</v>
      </c>
      <c r="F3445" s="2">
        <v>30</v>
      </c>
      <c r="G3445" s="2" t="s">
        <v>8207</v>
      </c>
      <c r="H3445" s="2" t="s">
        <v>8030</v>
      </c>
      <c r="I3445" s="2" t="s">
        <v>32</v>
      </c>
      <c r="J3445" s="3">
        <v>44223</v>
      </c>
      <c r="K3445" s="2">
        <v>78</v>
      </c>
      <c r="L3445" s="2" t="s">
        <v>80</v>
      </c>
    </row>
    <row r="3446" spans="1:12" x14ac:dyDescent="0.3">
      <c r="A3446" s="2">
        <v>3435</v>
      </c>
      <c r="B3446" s="2" t="s">
        <v>8208</v>
      </c>
      <c r="C3446" s="2" t="s">
        <v>8209</v>
      </c>
      <c r="D3446" s="2" t="s">
        <v>15</v>
      </c>
      <c r="E3446" s="2" t="s">
        <v>16</v>
      </c>
      <c r="F3446" s="2">
        <v>30</v>
      </c>
      <c r="G3446" s="2" t="s">
        <v>8210</v>
      </c>
      <c r="H3446" s="2" t="s">
        <v>1042</v>
      </c>
      <c r="I3446" s="2" t="s">
        <v>32</v>
      </c>
      <c r="J3446" s="3">
        <v>44541</v>
      </c>
      <c r="K3446" s="2">
        <v>32</v>
      </c>
      <c r="L3446" s="2" t="s">
        <v>20</v>
      </c>
    </row>
    <row r="3447" spans="1:12" x14ac:dyDescent="0.3">
      <c r="A3447" s="2">
        <v>3436</v>
      </c>
      <c r="B3447" s="2" t="s">
        <v>8211</v>
      </c>
      <c r="C3447" s="2" t="s">
        <v>2874</v>
      </c>
      <c r="D3447" s="2" t="s">
        <v>28</v>
      </c>
      <c r="E3447" s="2" t="s">
        <v>29</v>
      </c>
      <c r="F3447" s="2">
        <v>30</v>
      </c>
      <c r="G3447" s="2" t="s">
        <v>8212</v>
      </c>
      <c r="H3447" s="2" t="s">
        <v>8000</v>
      </c>
      <c r="I3447" s="2" t="s">
        <v>32</v>
      </c>
      <c r="J3447" s="3">
        <v>44299</v>
      </c>
      <c r="K3447" s="2">
        <v>84</v>
      </c>
      <c r="L3447" s="2" t="s">
        <v>45</v>
      </c>
    </row>
    <row r="3448" spans="1:12" x14ac:dyDescent="0.3">
      <c r="A3448" s="2">
        <v>3437</v>
      </c>
      <c r="B3448" s="2" t="s">
        <v>4909</v>
      </c>
      <c r="C3448" s="2" t="s">
        <v>4574</v>
      </c>
      <c r="D3448" s="2" t="s">
        <v>51</v>
      </c>
      <c r="E3448" s="2" t="s">
        <v>16</v>
      </c>
      <c r="F3448" s="2">
        <v>90</v>
      </c>
      <c r="G3448" s="2" t="s">
        <v>8213</v>
      </c>
      <c r="H3448" s="2" t="s">
        <v>191</v>
      </c>
      <c r="I3448" s="2" t="s">
        <v>89</v>
      </c>
      <c r="J3448" s="3">
        <v>44215</v>
      </c>
      <c r="K3448" s="2">
        <v>64</v>
      </c>
      <c r="L3448" s="2" t="s">
        <v>101</v>
      </c>
    </row>
    <row r="3449" spans="1:12" x14ac:dyDescent="0.3">
      <c r="A3449" s="2">
        <v>3438</v>
      </c>
      <c r="B3449" s="2" t="s">
        <v>8214</v>
      </c>
      <c r="C3449" s="2" t="s">
        <v>1810</v>
      </c>
      <c r="D3449" s="2" t="s">
        <v>15</v>
      </c>
      <c r="E3449" s="2" t="s">
        <v>16</v>
      </c>
      <c r="F3449" s="2">
        <v>90</v>
      </c>
      <c r="G3449" s="2" t="s">
        <v>8213</v>
      </c>
      <c r="H3449" s="2" t="s">
        <v>4874</v>
      </c>
      <c r="I3449" s="2" t="s">
        <v>32</v>
      </c>
      <c r="J3449" s="3">
        <v>44339</v>
      </c>
      <c r="K3449" s="2">
        <v>28</v>
      </c>
      <c r="L3449" s="2" t="s">
        <v>101</v>
      </c>
    </row>
    <row r="3450" spans="1:12" x14ac:dyDescent="0.3">
      <c r="A3450" s="2">
        <v>3439</v>
      </c>
      <c r="B3450" s="2" t="s">
        <v>3443</v>
      </c>
      <c r="C3450" s="2" t="s">
        <v>6314</v>
      </c>
      <c r="D3450" s="2" t="s">
        <v>28</v>
      </c>
      <c r="E3450" s="2" t="s">
        <v>29</v>
      </c>
      <c r="F3450" s="2">
        <v>90</v>
      </c>
      <c r="G3450" s="2" t="s">
        <v>8215</v>
      </c>
      <c r="H3450" s="2" t="s">
        <v>726</v>
      </c>
      <c r="I3450" s="2" t="s">
        <v>32</v>
      </c>
      <c r="J3450" s="3">
        <v>44301</v>
      </c>
      <c r="K3450" s="2">
        <v>90</v>
      </c>
      <c r="L3450" s="2" t="s">
        <v>20</v>
      </c>
    </row>
    <row r="3451" spans="1:12" x14ac:dyDescent="0.3">
      <c r="A3451" s="2">
        <v>3440</v>
      </c>
      <c r="B3451" s="2" t="s">
        <v>8216</v>
      </c>
      <c r="C3451" s="2" t="s">
        <v>2453</v>
      </c>
      <c r="D3451" s="2" t="s">
        <v>41</v>
      </c>
      <c r="E3451" s="2" t="s">
        <v>16</v>
      </c>
      <c r="F3451" s="2">
        <v>90</v>
      </c>
      <c r="G3451" s="2" t="s">
        <v>8217</v>
      </c>
      <c r="H3451" s="2" t="s">
        <v>7343</v>
      </c>
      <c r="I3451" s="2" t="s">
        <v>1126</v>
      </c>
      <c r="J3451" s="3">
        <v>44704</v>
      </c>
      <c r="K3451" s="2">
        <v>77</v>
      </c>
      <c r="L3451" s="2" t="s">
        <v>39</v>
      </c>
    </row>
    <row r="3452" spans="1:12" x14ac:dyDescent="0.3">
      <c r="A3452" s="2">
        <v>3441</v>
      </c>
      <c r="B3452" s="2" t="s">
        <v>3003</v>
      </c>
      <c r="C3452" s="2" t="s">
        <v>6216</v>
      </c>
      <c r="D3452" s="2" t="s">
        <v>51</v>
      </c>
      <c r="E3452" s="2" t="s">
        <v>16</v>
      </c>
      <c r="F3452" s="2">
        <v>60</v>
      </c>
      <c r="G3452" s="2" t="s">
        <v>8218</v>
      </c>
      <c r="H3452" s="2" t="s">
        <v>6</v>
      </c>
      <c r="I3452" s="2" t="s">
        <v>32</v>
      </c>
      <c r="J3452" s="3">
        <v>43840</v>
      </c>
      <c r="K3452" s="2">
        <v>19</v>
      </c>
      <c r="L3452" s="2" t="s">
        <v>64</v>
      </c>
    </row>
    <row r="3453" spans="1:12" x14ac:dyDescent="0.3">
      <c r="A3453" s="2">
        <v>3442</v>
      </c>
      <c r="B3453" s="2" t="s">
        <v>8219</v>
      </c>
      <c r="C3453" s="2" t="s">
        <v>6789</v>
      </c>
      <c r="D3453" s="2" t="s">
        <v>15</v>
      </c>
      <c r="E3453" s="2" t="s">
        <v>16</v>
      </c>
      <c r="F3453" s="2">
        <v>30</v>
      </c>
      <c r="G3453" s="2" t="s">
        <v>8220</v>
      </c>
      <c r="H3453" s="2" t="s">
        <v>7642</v>
      </c>
      <c r="I3453" s="2" t="s">
        <v>32</v>
      </c>
      <c r="J3453" s="3">
        <v>43985</v>
      </c>
      <c r="K3453" s="2">
        <v>6</v>
      </c>
      <c r="L3453" s="2" t="s">
        <v>159</v>
      </c>
    </row>
    <row r="3454" spans="1:12" x14ac:dyDescent="0.3">
      <c r="A3454" s="2">
        <v>3443</v>
      </c>
      <c r="B3454" s="2" t="s">
        <v>8221</v>
      </c>
      <c r="C3454" s="2" t="s">
        <v>3413</v>
      </c>
      <c r="D3454" s="2" t="s">
        <v>15</v>
      </c>
      <c r="E3454" s="2" t="s">
        <v>16</v>
      </c>
      <c r="F3454" s="2">
        <v>90</v>
      </c>
      <c r="G3454" s="2" t="s">
        <v>8222</v>
      </c>
      <c r="H3454" s="2" t="s">
        <v>7700</v>
      </c>
      <c r="I3454" s="2" t="s">
        <v>32</v>
      </c>
      <c r="J3454" s="3">
        <v>44420</v>
      </c>
      <c r="K3454" s="2">
        <v>26</v>
      </c>
      <c r="L3454" s="2" t="s">
        <v>64</v>
      </c>
    </row>
    <row r="3455" spans="1:12" x14ac:dyDescent="0.3">
      <c r="A3455" s="2">
        <v>3444</v>
      </c>
      <c r="B3455" s="2" t="s">
        <v>4803</v>
      </c>
      <c r="C3455" s="2" t="s">
        <v>372</v>
      </c>
      <c r="D3455" s="2" t="s">
        <v>28</v>
      </c>
      <c r="E3455" s="2" t="s">
        <v>29</v>
      </c>
      <c r="F3455" s="2">
        <v>60</v>
      </c>
      <c r="G3455" s="2" t="s">
        <v>8223</v>
      </c>
      <c r="H3455" s="2" t="s">
        <v>1541</v>
      </c>
      <c r="I3455" s="2" t="s">
        <v>32</v>
      </c>
      <c r="J3455" s="3">
        <v>44739</v>
      </c>
      <c r="K3455" s="2">
        <v>36</v>
      </c>
      <c r="L3455" s="2" t="s">
        <v>101</v>
      </c>
    </row>
    <row r="3456" spans="1:12" x14ac:dyDescent="0.3">
      <c r="A3456" s="2">
        <v>3445</v>
      </c>
      <c r="B3456" s="2" t="s">
        <v>364</v>
      </c>
      <c r="C3456" s="2" t="s">
        <v>5100</v>
      </c>
      <c r="D3456" s="2" t="s">
        <v>15</v>
      </c>
      <c r="E3456" s="2" t="s">
        <v>16</v>
      </c>
      <c r="F3456" s="2">
        <v>90</v>
      </c>
      <c r="G3456" s="2" t="s">
        <v>8224</v>
      </c>
      <c r="H3456" s="2" t="s">
        <v>2875</v>
      </c>
      <c r="I3456" s="2" t="s">
        <v>32</v>
      </c>
      <c r="J3456" s="3">
        <v>44315</v>
      </c>
      <c r="K3456" s="2">
        <v>79</v>
      </c>
      <c r="L3456" s="2" t="s">
        <v>54</v>
      </c>
    </row>
    <row r="3457" spans="1:12" x14ac:dyDescent="0.3">
      <c r="A3457" s="2">
        <v>3446</v>
      </c>
      <c r="B3457" s="2" t="s">
        <v>6401</v>
      </c>
      <c r="C3457" s="2" t="s">
        <v>4603</v>
      </c>
      <c r="D3457" s="2" t="s">
        <v>28</v>
      </c>
      <c r="E3457" s="2" t="s">
        <v>29</v>
      </c>
      <c r="F3457" s="2">
        <v>30</v>
      </c>
      <c r="G3457" s="2" t="s">
        <v>8225</v>
      </c>
      <c r="H3457" s="2" t="s">
        <v>2931</v>
      </c>
      <c r="I3457" s="2" t="s">
        <v>32</v>
      </c>
      <c r="J3457" s="3">
        <v>44803</v>
      </c>
      <c r="K3457" s="2">
        <v>94</v>
      </c>
      <c r="L3457" s="2" t="s">
        <v>80</v>
      </c>
    </row>
    <row r="3458" spans="1:12" x14ac:dyDescent="0.3">
      <c r="A3458" s="2">
        <v>3447</v>
      </c>
      <c r="B3458" s="2" t="s">
        <v>8226</v>
      </c>
      <c r="C3458" s="2" t="s">
        <v>8227</v>
      </c>
      <c r="D3458" s="2" t="s">
        <v>15</v>
      </c>
      <c r="E3458" s="2" t="s">
        <v>16</v>
      </c>
      <c r="F3458" s="2">
        <v>30</v>
      </c>
      <c r="G3458" s="2" t="s">
        <v>8228</v>
      </c>
      <c r="H3458" s="2" t="s">
        <v>2599</v>
      </c>
      <c r="I3458" s="2" t="s">
        <v>25</v>
      </c>
      <c r="J3458" s="3">
        <v>43940</v>
      </c>
      <c r="K3458" s="2">
        <v>11</v>
      </c>
      <c r="L3458" s="2" t="s">
        <v>45</v>
      </c>
    </row>
    <row r="3459" spans="1:12" x14ac:dyDescent="0.3">
      <c r="A3459" s="2">
        <v>3448</v>
      </c>
      <c r="B3459" s="2" t="s">
        <v>8229</v>
      </c>
      <c r="C3459" s="2" t="s">
        <v>5332</v>
      </c>
      <c r="D3459" s="2" t="s">
        <v>15</v>
      </c>
      <c r="E3459" s="2" t="s">
        <v>16</v>
      </c>
      <c r="F3459" s="2">
        <v>60</v>
      </c>
      <c r="G3459" s="2" t="s">
        <v>8230</v>
      </c>
      <c r="H3459" s="2" t="s">
        <v>1082</v>
      </c>
      <c r="I3459" s="2" t="s">
        <v>1083</v>
      </c>
      <c r="J3459" s="3">
        <v>43971</v>
      </c>
      <c r="K3459" s="2">
        <v>64</v>
      </c>
      <c r="L3459" s="2" t="s">
        <v>20</v>
      </c>
    </row>
    <row r="3460" spans="1:12" x14ac:dyDescent="0.3">
      <c r="A3460" s="2">
        <v>3449</v>
      </c>
      <c r="B3460" s="2" t="s">
        <v>1128</v>
      </c>
      <c r="C3460" s="2" t="s">
        <v>6296</v>
      </c>
      <c r="D3460" s="2" t="s">
        <v>28</v>
      </c>
      <c r="E3460" s="2" t="s">
        <v>29</v>
      </c>
      <c r="F3460" s="2">
        <v>30</v>
      </c>
      <c r="G3460" s="2" t="s">
        <v>8231</v>
      </c>
      <c r="H3460" s="2" t="s">
        <v>3666</v>
      </c>
      <c r="I3460" s="2" t="s">
        <v>1483</v>
      </c>
      <c r="J3460" s="3">
        <v>44497</v>
      </c>
      <c r="K3460" s="2">
        <v>56</v>
      </c>
      <c r="L3460" s="2" t="s">
        <v>101</v>
      </c>
    </row>
    <row r="3461" spans="1:12" x14ac:dyDescent="0.3">
      <c r="A3461" s="2">
        <v>3450</v>
      </c>
      <c r="B3461" s="2" t="s">
        <v>8232</v>
      </c>
      <c r="C3461" s="2" t="s">
        <v>2824</v>
      </c>
      <c r="D3461" s="2" t="s">
        <v>15</v>
      </c>
      <c r="E3461" s="2" t="s">
        <v>16</v>
      </c>
      <c r="F3461" s="2">
        <v>90</v>
      </c>
      <c r="G3461" s="2" t="s">
        <v>8233</v>
      </c>
      <c r="H3461" s="2" t="s">
        <v>1272</v>
      </c>
      <c r="I3461" s="2" t="s">
        <v>59</v>
      </c>
      <c r="J3461" s="3">
        <v>44415</v>
      </c>
      <c r="K3461" s="2">
        <v>53</v>
      </c>
      <c r="L3461" s="2" t="s">
        <v>159</v>
      </c>
    </row>
    <row r="3462" spans="1:12" x14ac:dyDescent="0.3">
      <c r="A3462" s="2">
        <v>3451</v>
      </c>
      <c r="B3462" s="2" t="s">
        <v>5737</v>
      </c>
      <c r="C3462" s="2" t="s">
        <v>4583</v>
      </c>
      <c r="D3462" s="2" t="s">
        <v>28</v>
      </c>
      <c r="E3462" s="2" t="s">
        <v>29</v>
      </c>
      <c r="F3462" s="2">
        <v>90</v>
      </c>
      <c r="G3462" s="2" t="s">
        <v>8234</v>
      </c>
      <c r="H3462" s="2" t="s">
        <v>2408</v>
      </c>
      <c r="I3462" s="2" t="s">
        <v>187</v>
      </c>
      <c r="J3462" s="3">
        <v>44347</v>
      </c>
      <c r="K3462" s="2">
        <v>62</v>
      </c>
      <c r="L3462" s="2" t="s">
        <v>101</v>
      </c>
    </row>
    <row r="3463" spans="1:12" x14ac:dyDescent="0.3">
      <c r="A3463" s="2">
        <v>3452</v>
      </c>
      <c r="B3463" s="2" t="s">
        <v>3946</v>
      </c>
      <c r="C3463" s="2" t="s">
        <v>2561</v>
      </c>
      <c r="D3463" s="2" t="s">
        <v>28</v>
      </c>
      <c r="E3463" s="2" t="s">
        <v>29</v>
      </c>
      <c r="F3463" s="2">
        <v>30</v>
      </c>
      <c r="G3463" s="2" t="s">
        <v>8235</v>
      </c>
      <c r="H3463" s="2" t="s">
        <v>5420</v>
      </c>
      <c r="I3463" s="2" t="s">
        <v>32</v>
      </c>
      <c r="J3463" s="3">
        <v>43939</v>
      </c>
      <c r="K3463" s="2">
        <v>39</v>
      </c>
      <c r="L3463" s="2" t="s">
        <v>33</v>
      </c>
    </row>
    <row r="3464" spans="1:12" x14ac:dyDescent="0.3">
      <c r="A3464" s="2">
        <v>3453</v>
      </c>
      <c r="B3464" s="2" t="s">
        <v>496</v>
      </c>
      <c r="C3464" s="2" t="s">
        <v>2928</v>
      </c>
      <c r="D3464" s="2" t="s">
        <v>28</v>
      </c>
      <c r="E3464" s="2" t="s">
        <v>29</v>
      </c>
      <c r="F3464" s="2">
        <v>90</v>
      </c>
      <c r="G3464" s="2" t="s">
        <v>3222</v>
      </c>
      <c r="H3464" s="2" t="s">
        <v>5736</v>
      </c>
      <c r="I3464" s="2" t="s">
        <v>95</v>
      </c>
      <c r="J3464" s="3">
        <v>44246</v>
      </c>
      <c r="K3464" s="2">
        <v>73</v>
      </c>
      <c r="L3464" s="2" t="s">
        <v>64</v>
      </c>
    </row>
    <row r="3465" spans="1:12" x14ac:dyDescent="0.3">
      <c r="A3465" s="2">
        <v>3454</v>
      </c>
      <c r="B3465" s="2" t="s">
        <v>7864</v>
      </c>
      <c r="C3465" s="2" t="s">
        <v>8236</v>
      </c>
      <c r="D3465" s="2" t="s">
        <v>51</v>
      </c>
      <c r="E3465" s="2" t="s">
        <v>16</v>
      </c>
      <c r="F3465" s="2">
        <v>60</v>
      </c>
      <c r="G3465" s="2" t="s">
        <v>8237</v>
      </c>
      <c r="H3465" s="2" t="s">
        <v>4293</v>
      </c>
      <c r="I3465" s="2" t="s">
        <v>38</v>
      </c>
      <c r="J3465" s="3">
        <v>44158</v>
      </c>
      <c r="K3465" s="2">
        <v>5</v>
      </c>
      <c r="L3465" s="2" t="s">
        <v>45</v>
      </c>
    </row>
    <row r="3466" spans="1:12" x14ac:dyDescent="0.3">
      <c r="A3466" s="2">
        <v>3455</v>
      </c>
      <c r="B3466" s="2" t="s">
        <v>8238</v>
      </c>
      <c r="C3466" s="2" t="s">
        <v>3732</v>
      </c>
      <c r="D3466" s="2" t="s">
        <v>28</v>
      </c>
      <c r="E3466" s="2" t="s">
        <v>29</v>
      </c>
      <c r="F3466" s="2">
        <v>30</v>
      </c>
      <c r="G3466" s="2" t="s">
        <v>8239</v>
      </c>
      <c r="H3466" s="2" t="s">
        <v>3651</v>
      </c>
      <c r="I3466" s="2" t="s">
        <v>294</v>
      </c>
      <c r="J3466" s="3">
        <v>44767</v>
      </c>
      <c r="K3466" s="2">
        <v>52</v>
      </c>
      <c r="L3466" s="2" t="s">
        <v>20</v>
      </c>
    </row>
    <row r="3467" spans="1:12" x14ac:dyDescent="0.3">
      <c r="A3467" s="2">
        <v>3456</v>
      </c>
      <c r="B3467" s="2" t="s">
        <v>8240</v>
      </c>
      <c r="C3467" s="2" t="s">
        <v>2257</v>
      </c>
      <c r="D3467" s="2" t="s">
        <v>51</v>
      </c>
      <c r="E3467" s="2" t="s">
        <v>16</v>
      </c>
      <c r="F3467" s="2">
        <v>90</v>
      </c>
      <c r="G3467" s="2" t="s">
        <v>8241</v>
      </c>
      <c r="H3467" s="2" t="s">
        <v>1612</v>
      </c>
      <c r="I3467" s="2" t="s">
        <v>240</v>
      </c>
      <c r="J3467" s="3">
        <v>44717</v>
      </c>
      <c r="K3467" s="2">
        <v>67</v>
      </c>
      <c r="L3467" s="2" t="s">
        <v>54</v>
      </c>
    </row>
    <row r="3468" spans="1:12" x14ac:dyDescent="0.3">
      <c r="A3468" s="2">
        <v>3457</v>
      </c>
      <c r="B3468" s="2" t="s">
        <v>8242</v>
      </c>
      <c r="C3468" s="2" t="s">
        <v>2037</v>
      </c>
      <c r="D3468" s="2" t="s">
        <v>15</v>
      </c>
      <c r="E3468" s="2" t="s">
        <v>16</v>
      </c>
      <c r="F3468" s="2">
        <v>30</v>
      </c>
      <c r="G3468" s="2" t="s">
        <v>8243</v>
      </c>
      <c r="H3468" s="2" t="s">
        <v>6687</v>
      </c>
      <c r="I3468" s="2" t="s">
        <v>32</v>
      </c>
      <c r="J3468" s="3">
        <v>43897</v>
      </c>
      <c r="K3468" s="2">
        <v>43</v>
      </c>
      <c r="L3468" s="2" t="s">
        <v>80</v>
      </c>
    </row>
    <row r="3469" spans="1:12" x14ac:dyDescent="0.3">
      <c r="A3469" s="2">
        <v>3458</v>
      </c>
      <c r="B3469" s="2" t="s">
        <v>6459</v>
      </c>
      <c r="C3469" s="2" t="s">
        <v>7779</v>
      </c>
      <c r="D3469" s="2" t="s">
        <v>28</v>
      </c>
      <c r="E3469" s="2" t="s">
        <v>29</v>
      </c>
      <c r="F3469" s="2">
        <v>60</v>
      </c>
      <c r="G3469" s="2" t="s">
        <v>8244</v>
      </c>
      <c r="H3469" s="2" t="s">
        <v>894</v>
      </c>
      <c r="I3469" s="2" t="s">
        <v>38</v>
      </c>
      <c r="J3469" s="3">
        <v>44402</v>
      </c>
      <c r="K3469" s="2">
        <v>65</v>
      </c>
      <c r="L3469" s="2" t="s">
        <v>45</v>
      </c>
    </row>
    <row r="3470" spans="1:12" x14ac:dyDescent="0.3">
      <c r="A3470" s="2">
        <v>3459</v>
      </c>
      <c r="B3470" s="2" t="s">
        <v>8245</v>
      </c>
      <c r="C3470" s="2" t="s">
        <v>4340</v>
      </c>
      <c r="D3470" s="2" t="s">
        <v>15</v>
      </c>
      <c r="E3470" s="2" t="s">
        <v>16</v>
      </c>
      <c r="F3470" s="2">
        <v>60</v>
      </c>
      <c r="G3470" s="2" t="s">
        <v>8246</v>
      </c>
      <c r="H3470" s="2" t="s">
        <v>3261</v>
      </c>
      <c r="I3470" s="2" t="s">
        <v>124</v>
      </c>
      <c r="J3470" s="3">
        <v>44882</v>
      </c>
      <c r="K3470" s="2">
        <v>75</v>
      </c>
      <c r="L3470" s="2" t="s">
        <v>159</v>
      </c>
    </row>
    <row r="3471" spans="1:12" x14ac:dyDescent="0.3">
      <c r="A3471" s="2">
        <v>3460</v>
      </c>
      <c r="B3471" s="2" t="s">
        <v>6847</v>
      </c>
      <c r="C3471" s="2" t="s">
        <v>6810</v>
      </c>
      <c r="D3471" s="2" t="s">
        <v>51</v>
      </c>
      <c r="E3471" s="2" t="s">
        <v>16</v>
      </c>
      <c r="F3471" s="2">
        <v>30</v>
      </c>
      <c r="G3471" s="2" t="s">
        <v>8247</v>
      </c>
      <c r="H3471" s="2" t="s">
        <v>1992</v>
      </c>
      <c r="I3471" s="2" t="s">
        <v>32</v>
      </c>
      <c r="J3471" s="3">
        <v>43959</v>
      </c>
      <c r="K3471" s="2">
        <v>28</v>
      </c>
      <c r="L3471" s="2" t="s">
        <v>101</v>
      </c>
    </row>
    <row r="3472" spans="1:12" x14ac:dyDescent="0.3">
      <c r="A3472" s="2">
        <v>3461</v>
      </c>
      <c r="B3472" s="2" t="s">
        <v>4233</v>
      </c>
      <c r="C3472" s="2" t="s">
        <v>2210</v>
      </c>
      <c r="D3472" s="2" t="s">
        <v>28</v>
      </c>
      <c r="E3472" s="2" t="s">
        <v>29</v>
      </c>
      <c r="F3472" s="2">
        <v>60</v>
      </c>
      <c r="G3472" s="2" t="s">
        <v>8248</v>
      </c>
      <c r="H3472" s="2" t="s">
        <v>8249</v>
      </c>
      <c r="I3472" s="2" t="s">
        <v>19</v>
      </c>
      <c r="J3472" s="3">
        <v>44868</v>
      </c>
      <c r="K3472" s="2">
        <v>69</v>
      </c>
      <c r="L3472" s="2" t="s">
        <v>39</v>
      </c>
    </row>
    <row r="3473" spans="1:12" x14ac:dyDescent="0.3">
      <c r="A3473" s="2">
        <v>3462</v>
      </c>
      <c r="B3473" s="2" t="s">
        <v>8250</v>
      </c>
      <c r="C3473" s="2" t="s">
        <v>2207</v>
      </c>
      <c r="D3473" s="2" t="s">
        <v>51</v>
      </c>
      <c r="E3473" s="2" t="s">
        <v>16</v>
      </c>
      <c r="F3473" s="2">
        <v>30</v>
      </c>
      <c r="G3473" s="2" t="s">
        <v>8248</v>
      </c>
      <c r="H3473" s="2" t="s">
        <v>350</v>
      </c>
      <c r="I3473" s="2" t="s">
        <v>25</v>
      </c>
      <c r="J3473" s="3">
        <v>44842</v>
      </c>
      <c r="K3473" s="2">
        <v>41</v>
      </c>
      <c r="L3473" s="2" t="s">
        <v>101</v>
      </c>
    </row>
    <row r="3474" spans="1:12" x14ac:dyDescent="0.3">
      <c r="A3474" s="2">
        <v>3463</v>
      </c>
      <c r="B3474" s="2" t="s">
        <v>8251</v>
      </c>
      <c r="C3474" s="2" t="s">
        <v>1384</v>
      </c>
      <c r="D3474" s="2" t="s">
        <v>51</v>
      </c>
      <c r="E3474" s="2" t="s">
        <v>16</v>
      </c>
      <c r="F3474" s="2">
        <v>90</v>
      </c>
      <c r="G3474" s="2" t="s">
        <v>8252</v>
      </c>
      <c r="H3474" s="2" t="s">
        <v>2982</v>
      </c>
      <c r="I3474" s="2" t="s">
        <v>2983</v>
      </c>
      <c r="J3474" s="3">
        <v>44907</v>
      </c>
      <c r="K3474" s="2">
        <v>46</v>
      </c>
      <c r="L3474" s="2" t="s">
        <v>80</v>
      </c>
    </row>
    <row r="3475" spans="1:12" x14ac:dyDescent="0.3">
      <c r="A3475" s="2">
        <v>3464</v>
      </c>
      <c r="B3475" s="2" t="s">
        <v>8253</v>
      </c>
      <c r="C3475" s="2" t="s">
        <v>665</v>
      </c>
      <c r="D3475" s="2" t="s">
        <v>28</v>
      </c>
      <c r="E3475" s="2" t="s">
        <v>29</v>
      </c>
      <c r="F3475" s="2">
        <v>90</v>
      </c>
      <c r="G3475" s="2" t="s">
        <v>8254</v>
      </c>
      <c r="H3475" s="2" t="s">
        <v>288</v>
      </c>
      <c r="I3475" s="2" t="s">
        <v>32</v>
      </c>
      <c r="J3475" s="3">
        <v>44289</v>
      </c>
      <c r="K3475" s="2">
        <v>12</v>
      </c>
      <c r="L3475" s="2" t="s">
        <v>33</v>
      </c>
    </row>
    <row r="3476" spans="1:12" x14ac:dyDescent="0.3">
      <c r="A3476" s="2">
        <v>3465</v>
      </c>
      <c r="B3476" s="2" t="s">
        <v>1682</v>
      </c>
      <c r="C3476" s="2" t="s">
        <v>4352</v>
      </c>
      <c r="D3476" s="2" t="s">
        <v>28</v>
      </c>
      <c r="E3476" s="2" t="s">
        <v>29</v>
      </c>
      <c r="F3476" s="2">
        <v>30</v>
      </c>
      <c r="G3476" s="2" t="s">
        <v>8255</v>
      </c>
      <c r="H3476" s="2" t="s">
        <v>5214</v>
      </c>
      <c r="I3476" s="2" t="s">
        <v>95</v>
      </c>
      <c r="J3476" s="3">
        <v>44135</v>
      </c>
      <c r="K3476" s="2">
        <v>49</v>
      </c>
      <c r="L3476" s="2" t="s">
        <v>70</v>
      </c>
    </row>
    <row r="3477" spans="1:12" x14ac:dyDescent="0.3">
      <c r="A3477" s="2">
        <v>3466</v>
      </c>
      <c r="B3477" s="2" t="s">
        <v>8256</v>
      </c>
      <c r="C3477" s="2" t="s">
        <v>5891</v>
      </c>
      <c r="D3477" s="2" t="s">
        <v>51</v>
      </c>
      <c r="E3477" s="2" t="s">
        <v>16</v>
      </c>
      <c r="F3477" s="2">
        <v>60</v>
      </c>
      <c r="G3477" s="2" t="s">
        <v>8257</v>
      </c>
      <c r="H3477" s="2" t="s">
        <v>2742</v>
      </c>
      <c r="I3477" s="2" t="s">
        <v>124</v>
      </c>
      <c r="J3477" s="3">
        <v>44431</v>
      </c>
      <c r="K3477" s="2">
        <v>40</v>
      </c>
      <c r="L3477" s="2" t="s">
        <v>80</v>
      </c>
    </row>
    <row r="3478" spans="1:12" x14ac:dyDescent="0.3">
      <c r="A3478" s="2">
        <v>3467</v>
      </c>
      <c r="B3478" s="2" t="s">
        <v>6274</v>
      </c>
      <c r="C3478" s="2" t="s">
        <v>5653</v>
      </c>
      <c r="D3478" s="2" t="s">
        <v>28</v>
      </c>
      <c r="E3478" s="2" t="s">
        <v>29</v>
      </c>
      <c r="F3478" s="2">
        <v>60</v>
      </c>
      <c r="G3478" s="2" t="s">
        <v>8258</v>
      </c>
      <c r="H3478" s="2" t="s">
        <v>3462</v>
      </c>
      <c r="I3478" s="2" t="s">
        <v>32</v>
      </c>
      <c r="J3478" s="3">
        <v>44140</v>
      </c>
      <c r="K3478" s="2">
        <v>74</v>
      </c>
      <c r="L3478" s="2" t="s">
        <v>64</v>
      </c>
    </row>
    <row r="3479" spans="1:12" x14ac:dyDescent="0.3">
      <c r="A3479" s="2">
        <v>3468</v>
      </c>
      <c r="B3479" s="2" t="s">
        <v>8259</v>
      </c>
      <c r="C3479" s="2" t="s">
        <v>5359</v>
      </c>
      <c r="D3479" s="2" t="s">
        <v>51</v>
      </c>
      <c r="E3479" s="2" t="s">
        <v>16</v>
      </c>
      <c r="F3479" s="2">
        <v>90</v>
      </c>
      <c r="G3479" s="2" t="s">
        <v>8260</v>
      </c>
      <c r="H3479" s="2" t="s">
        <v>1764</v>
      </c>
      <c r="I3479" s="2" t="s">
        <v>124</v>
      </c>
      <c r="J3479" s="3">
        <v>44148</v>
      </c>
      <c r="K3479" s="2">
        <v>71</v>
      </c>
      <c r="L3479" s="2" t="s">
        <v>45</v>
      </c>
    </row>
    <row r="3480" spans="1:12" x14ac:dyDescent="0.3">
      <c r="A3480" s="2">
        <v>3469</v>
      </c>
      <c r="B3480" s="2" t="s">
        <v>8261</v>
      </c>
      <c r="C3480" s="2" t="s">
        <v>5926</v>
      </c>
      <c r="D3480" s="2" t="s">
        <v>28</v>
      </c>
      <c r="E3480" s="2" t="s">
        <v>29</v>
      </c>
      <c r="F3480" s="2">
        <v>30</v>
      </c>
      <c r="G3480" s="2" t="s">
        <v>8262</v>
      </c>
      <c r="H3480" s="2" t="s">
        <v>5603</v>
      </c>
      <c r="I3480" s="2" t="s">
        <v>32</v>
      </c>
      <c r="J3480" s="3">
        <v>43913</v>
      </c>
      <c r="K3480" s="2">
        <v>58</v>
      </c>
      <c r="L3480" s="2" t="s">
        <v>54</v>
      </c>
    </row>
    <row r="3481" spans="1:12" x14ac:dyDescent="0.3">
      <c r="A3481" s="2">
        <v>3470</v>
      </c>
      <c r="B3481" s="2" t="s">
        <v>8263</v>
      </c>
      <c r="C3481" s="2" t="s">
        <v>1072</v>
      </c>
      <c r="D3481" s="2" t="s">
        <v>15</v>
      </c>
      <c r="E3481" s="2" t="s">
        <v>16</v>
      </c>
      <c r="F3481" s="2">
        <v>60</v>
      </c>
      <c r="G3481" s="2" t="s">
        <v>8264</v>
      </c>
      <c r="H3481" s="2" t="s">
        <v>3387</v>
      </c>
      <c r="I3481" s="2" t="s">
        <v>2878</v>
      </c>
      <c r="J3481" s="3">
        <v>44650</v>
      </c>
      <c r="K3481" s="2">
        <v>10</v>
      </c>
      <c r="L3481" s="2" t="s">
        <v>80</v>
      </c>
    </row>
    <row r="3482" spans="1:12" x14ac:dyDescent="0.3">
      <c r="A3482" s="2">
        <v>3471</v>
      </c>
      <c r="B3482" s="2" t="s">
        <v>8265</v>
      </c>
      <c r="C3482" s="2" t="s">
        <v>736</v>
      </c>
      <c r="D3482" s="2" t="s">
        <v>41</v>
      </c>
      <c r="E3482" s="2" t="s">
        <v>16</v>
      </c>
      <c r="F3482" s="2">
        <v>60</v>
      </c>
      <c r="G3482" s="2" t="s">
        <v>8266</v>
      </c>
      <c r="H3482" s="2" t="s">
        <v>2649</v>
      </c>
      <c r="I3482" s="2" t="s">
        <v>32</v>
      </c>
      <c r="J3482" s="3">
        <v>44212</v>
      </c>
      <c r="K3482" s="2">
        <v>37</v>
      </c>
      <c r="L3482" s="2" t="s">
        <v>20</v>
      </c>
    </row>
    <row r="3483" spans="1:12" x14ac:dyDescent="0.3">
      <c r="A3483" s="2">
        <v>3472</v>
      </c>
      <c r="B3483" s="2" t="s">
        <v>8267</v>
      </c>
      <c r="C3483" s="2" t="s">
        <v>759</v>
      </c>
      <c r="D3483" s="2" t="s">
        <v>15</v>
      </c>
      <c r="E3483" s="2" t="s">
        <v>16</v>
      </c>
      <c r="F3483" s="2">
        <v>60</v>
      </c>
      <c r="G3483" s="2" t="s">
        <v>8268</v>
      </c>
      <c r="H3483" s="2" t="s">
        <v>1901</v>
      </c>
      <c r="I3483" s="2" t="s">
        <v>178</v>
      </c>
      <c r="J3483" s="3">
        <v>44717</v>
      </c>
      <c r="K3483" s="2">
        <v>60</v>
      </c>
      <c r="L3483" s="2" t="s">
        <v>159</v>
      </c>
    </row>
    <row r="3484" spans="1:12" x14ac:dyDescent="0.3">
      <c r="A3484" s="2">
        <v>3473</v>
      </c>
      <c r="B3484" s="2" t="s">
        <v>3469</v>
      </c>
      <c r="C3484" s="2" t="s">
        <v>3430</v>
      </c>
      <c r="D3484" s="2" t="s">
        <v>28</v>
      </c>
      <c r="E3484" s="2" t="s">
        <v>29</v>
      </c>
      <c r="F3484" s="2">
        <v>30</v>
      </c>
      <c r="G3484" s="2" t="s">
        <v>8268</v>
      </c>
      <c r="H3484" s="2" t="s">
        <v>8269</v>
      </c>
      <c r="I3484" s="2" t="s">
        <v>146</v>
      </c>
      <c r="J3484" s="3">
        <v>43885</v>
      </c>
      <c r="K3484" s="2">
        <v>20</v>
      </c>
      <c r="L3484" s="2" t="s">
        <v>54</v>
      </c>
    </row>
    <row r="3485" spans="1:12" x14ac:dyDescent="0.3">
      <c r="A3485" s="2">
        <v>3474</v>
      </c>
      <c r="B3485" s="2" t="s">
        <v>8270</v>
      </c>
      <c r="C3485" s="2" t="s">
        <v>4444</v>
      </c>
      <c r="D3485" s="2" t="s">
        <v>28</v>
      </c>
      <c r="E3485" s="2" t="s">
        <v>29</v>
      </c>
      <c r="F3485" s="2">
        <v>30</v>
      </c>
      <c r="G3485" s="2" t="s">
        <v>8271</v>
      </c>
      <c r="H3485" s="2" t="s">
        <v>4111</v>
      </c>
      <c r="I3485" s="2" t="s">
        <v>95</v>
      </c>
      <c r="J3485" s="3">
        <v>44495</v>
      </c>
      <c r="K3485" s="2">
        <v>75</v>
      </c>
      <c r="L3485" s="2" t="s">
        <v>80</v>
      </c>
    </row>
    <row r="3486" spans="1:12" x14ac:dyDescent="0.3">
      <c r="A3486" s="2">
        <v>3475</v>
      </c>
      <c r="B3486" s="2" t="s">
        <v>6932</v>
      </c>
      <c r="C3486" s="2" t="s">
        <v>508</v>
      </c>
      <c r="D3486" s="2" t="s">
        <v>28</v>
      </c>
      <c r="E3486" s="2" t="s">
        <v>29</v>
      </c>
      <c r="F3486" s="2">
        <v>60</v>
      </c>
      <c r="G3486" s="2" t="s">
        <v>8272</v>
      </c>
      <c r="H3486" s="2" t="s">
        <v>611</v>
      </c>
      <c r="I3486" s="2" t="s">
        <v>32</v>
      </c>
      <c r="J3486" s="3">
        <v>44157</v>
      </c>
      <c r="K3486" s="2">
        <v>11</v>
      </c>
      <c r="L3486" s="2" t="s">
        <v>39</v>
      </c>
    </row>
    <row r="3487" spans="1:12" x14ac:dyDescent="0.3">
      <c r="A3487" s="2">
        <v>3476</v>
      </c>
      <c r="B3487" s="2" t="s">
        <v>8273</v>
      </c>
      <c r="C3487" s="2" t="s">
        <v>4609</v>
      </c>
      <c r="D3487" s="2" t="s">
        <v>15</v>
      </c>
      <c r="E3487" s="2" t="s">
        <v>16</v>
      </c>
      <c r="F3487" s="2">
        <v>30</v>
      </c>
      <c r="G3487" s="2" t="s">
        <v>8274</v>
      </c>
      <c r="H3487" s="2" t="s">
        <v>7004</v>
      </c>
      <c r="I3487" s="2" t="s">
        <v>208</v>
      </c>
      <c r="J3487" s="3">
        <v>44146</v>
      </c>
      <c r="K3487" s="2">
        <v>52</v>
      </c>
      <c r="L3487" s="2" t="s">
        <v>64</v>
      </c>
    </row>
    <row r="3488" spans="1:12" x14ac:dyDescent="0.3">
      <c r="A3488" s="2">
        <v>3477</v>
      </c>
      <c r="B3488" s="2" t="s">
        <v>8275</v>
      </c>
      <c r="C3488" s="2" t="s">
        <v>620</v>
      </c>
      <c r="D3488" s="2" t="s">
        <v>41</v>
      </c>
      <c r="E3488" s="2" t="s">
        <v>16</v>
      </c>
      <c r="F3488" s="2">
        <v>90</v>
      </c>
      <c r="G3488" s="2" t="s">
        <v>8276</v>
      </c>
      <c r="H3488" s="2" t="s">
        <v>4662</v>
      </c>
      <c r="I3488" s="2" t="s">
        <v>32</v>
      </c>
      <c r="J3488" s="3">
        <v>43942</v>
      </c>
      <c r="K3488" s="2">
        <v>6</v>
      </c>
      <c r="L3488" s="2" t="s">
        <v>39</v>
      </c>
    </row>
    <row r="3489" spans="1:12" x14ac:dyDescent="0.3">
      <c r="A3489" s="2">
        <v>3478</v>
      </c>
      <c r="B3489" s="2" t="s">
        <v>7611</v>
      </c>
      <c r="C3489" s="2" t="s">
        <v>152</v>
      </c>
      <c r="D3489" s="2" t="s">
        <v>15</v>
      </c>
      <c r="E3489" s="2" t="s">
        <v>16</v>
      </c>
      <c r="F3489" s="2">
        <v>60</v>
      </c>
      <c r="G3489" s="2" t="s">
        <v>8277</v>
      </c>
      <c r="H3489" s="2" t="s">
        <v>6000</v>
      </c>
      <c r="I3489" s="2" t="s">
        <v>178</v>
      </c>
      <c r="J3489" s="3">
        <v>44049</v>
      </c>
      <c r="K3489" s="2">
        <v>85</v>
      </c>
      <c r="L3489" s="2" t="s">
        <v>70</v>
      </c>
    </row>
    <row r="3490" spans="1:12" x14ac:dyDescent="0.3">
      <c r="A3490" s="2">
        <v>3479</v>
      </c>
      <c r="B3490" s="2" t="s">
        <v>1850</v>
      </c>
      <c r="C3490" s="2" t="s">
        <v>4750</v>
      </c>
      <c r="D3490" s="2" t="s">
        <v>28</v>
      </c>
      <c r="E3490" s="2" t="s">
        <v>29</v>
      </c>
      <c r="F3490" s="2">
        <v>30</v>
      </c>
      <c r="G3490" s="2" t="s">
        <v>8278</v>
      </c>
      <c r="H3490" s="2" t="s">
        <v>2834</v>
      </c>
      <c r="I3490" s="2" t="s">
        <v>19</v>
      </c>
      <c r="J3490" s="3">
        <v>44712</v>
      </c>
      <c r="K3490" s="2">
        <v>63</v>
      </c>
      <c r="L3490" s="2" t="s">
        <v>80</v>
      </c>
    </row>
    <row r="3491" spans="1:12" x14ac:dyDescent="0.3">
      <c r="A3491" s="2">
        <v>3480</v>
      </c>
      <c r="B3491" s="2" t="s">
        <v>8279</v>
      </c>
      <c r="C3491" s="2" t="s">
        <v>2191</v>
      </c>
      <c r="D3491" s="2" t="s">
        <v>51</v>
      </c>
      <c r="E3491" s="2" t="s">
        <v>16</v>
      </c>
      <c r="F3491" s="2">
        <v>60</v>
      </c>
      <c r="G3491" s="2" t="s">
        <v>8278</v>
      </c>
      <c r="H3491" s="2" t="s">
        <v>5915</v>
      </c>
      <c r="I3491" s="2" t="s">
        <v>32</v>
      </c>
      <c r="J3491" s="3">
        <v>43990</v>
      </c>
      <c r="K3491" s="2">
        <v>59</v>
      </c>
      <c r="L3491" s="2" t="s">
        <v>159</v>
      </c>
    </row>
    <row r="3492" spans="1:12" x14ac:dyDescent="0.3">
      <c r="A3492" s="2">
        <v>3481</v>
      </c>
      <c r="B3492" s="2" t="s">
        <v>8280</v>
      </c>
      <c r="C3492" s="2" t="s">
        <v>2367</v>
      </c>
      <c r="D3492" s="2" t="s">
        <v>15</v>
      </c>
      <c r="E3492" s="2" t="s">
        <v>16</v>
      </c>
      <c r="F3492" s="2">
        <v>60</v>
      </c>
      <c r="G3492" s="2" t="s">
        <v>8281</v>
      </c>
      <c r="H3492" s="2" t="s">
        <v>570</v>
      </c>
      <c r="I3492" s="2" t="s">
        <v>187</v>
      </c>
      <c r="J3492" s="3">
        <v>43995</v>
      </c>
      <c r="K3492" s="2">
        <v>20</v>
      </c>
      <c r="L3492" s="2" t="s">
        <v>33</v>
      </c>
    </row>
    <row r="3493" spans="1:12" x14ac:dyDescent="0.3">
      <c r="A3493" s="2">
        <v>3482</v>
      </c>
      <c r="B3493" s="2" t="s">
        <v>8282</v>
      </c>
      <c r="C3493" s="2" t="s">
        <v>237</v>
      </c>
      <c r="D3493" s="2" t="s">
        <v>51</v>
      </c>
      <c r="E3493" s="2" t="s">
        <v>16</v>
      </c>
      <c r="F3493" s="2">
        <v>30</v>
      </c>
      <c r="G3493" s="2" t="s">
        <v>8283</v>
      </c>
      <c r="H3493" s="2" t="s">
        <v>474</v>
      </c>
      <c r="I3493" s="2" t="s">
        <v>475</v>
      </c>
      <c r="J3493" s="3">
        <v>44924</v>
      </c>
      <c r="K3493" s="2">
        <v>90</v>
      </c>
      <c r="L3493" s="2" t="s">
        <v>101</v>
      </c>
    </row>
    <row r="3494" spans="1:12" x14ac:dyDescent="0.3">
      <c r="A3494" s="2">
        <v>3483</v>
      </c>
      <c r="B3494" s="2" t="s">
        <v>8284</v>
      </c>
      <c r="C3494" s="2" t="s">
        <v>1692</v>
      </c>
      <c r="D3494" s="2" t="s">
        <v>51</v>
      </c>
      <c r="E3494" s="2" t="s">
        <v>16</v>
      </c>
      <c r="F3494" s="2">
        <v>30</v>
      </c>
      <c r="G3494" s="2" t="s">
        <v>8285</v>
      </c>
      <c r="H3494" s="2" t="s">
        <v>2179</v>
      </c>
      <c r="I3494" s="2" t="s">
        <v>294</v>
      </c>
      <c r="J3494" s="3">
        <v>44803</v>
      </c>
      <c r="K3494" s="2">
        <v>96</v>
      </c>
      <c r="L3494" s="2" t="s">
        <v>39</v>
      </c>
    </row>
    <row r="3495" spans="1:12" x14ac:dyDescent="0.3">
      <c r="A3495" s="2">
        <v>3484</v>
      </c>
      <c r="B3495" s="2" t="s">
        <v>8286</v>
      </c>
      <c r="C3495" s="2" t="s">
        <v>3037</v>
      </c>
      <c r="D3495" s="2" t="s">
        <v>92</v>
      </c>
      <c r="E3495" s="2" t="s">
        <v>16</v>
      </c>
      <c r="F3495" s="2">
        <v>90</v>
      </c>
      <c r="G3495" s="2" t="s">
        <v>8287</v>
      </c>
      <c r="H3495" s="2" t="s">
        <v>4081</v>
      </c>
      <c r="I3495" s="2" t="s">
        <v>32</v>
      </c>
      <c r="J3495" s="3">
        <v>43906</v>
      </c>
      <c r="K3495" s="2">
        <v>42</v>
      </c>
      <c r="L3495" s="2" t="s">
        <v>159</v>
      </c>
    </row>
    <row r="3496" spans="1:12" x14ac:dyDescent="0.3">
      <c r="A3496" s="2">
        <v>3485</v>
      </c>
      <c r="B3496" s="2" t="s">
        <v>8288</v>
      </c>
      <c r="C3496" s="2" t="s">
        <v>367</v>
      </c>
      <c r="D3496" s="2" t="s">
        <v>28</v>
      </c>
      <c r="E3496" s="2" t="s">
        <v>29</v>
      </c>
      <c r="F3496" s="2">
        <v>30</v>
      </c>
      <c r="G3496" s="2" t="s">
        <v>10552</v>
      </c>
      <c r="H3496" s="2" t="s">
        <v>2218</v>
      </c>
      <c r="I3496" s="2" t="s">
        <v>173</v>
      </c>
      <c r="J3496" s="3">
        <v>44560</v>
      </c>
      <c r="K3496" s="2">
        <v>58</v>
      </c>
      <c r="L3496" s="2" t="s">
        <v>101</v>
      </c>
    </row>
    <row r="3497" spans="1:12" x14ac:dyDescent="0.3">
      <c r="A3497" s="2">
        <v>3486</v>
      </c>
      <c r="B3497" s="2" t="s">
        <v>8290</v>
      </c>
      <c r="C3497" s="2" t="s">
        <v>8291</v>
      </c>
      <c r="D3497" s="2" t="s">
        <v>15</v>
      </c>
      <c r="E3497" s="2" t="s">
        <v>16</v>
      </c>
      <c r="F3497" s="2">
        <v>30</v>
      </c>
      <c r="G3497" s="2" t="s">
        <v>10553</v>
      </c>
      <c r="H3497" s="2" t="s">
        <v>1973</v>
      </c>
      <c r="I3497" s="2" t="s">
        <v>110</v>
      </c>
      <c r="J3497" s="3">
        <v>44078</v>
      </c>
      <c r="K3497" s="2">
        <v>19</v>
      </c>
      <c r="L3497" s="2" t="s">
        <v>54</v>
      </c>
    </row>
    <row r="3498" spans="1:12" x14ac:dyDescent="0.3">
      <c r="A3498" s="2">
        <v>3487</v>
      </c>
      <c r="B3498" s="2" t="s">
        <v>8293</v>
      </c>
      <c r="C3498" s="2" t="s">
        <v>8294</v>
      </c>
      <c r="D3498" s="2" t="s">
        <v>15</v>
      </c>
      <c r="E3498" s="2" t="s">
        <v>16</v>
      </c>
      <c r="F3498" s="2">
        <v>60</v>
      </c>
      <c r="G3498" s="2" t="s">
        <v>8295</v>
      </c>
      <c r="H3498" s="2" t="s">
        <v>3746</v>
      </c>
      <c r="I3498" s="2" t="s">
        <v>32</v>
      </c>
      <c r="J3498" s="3">
        <v>44660</v>
      </c>
      <c r="K3498" s="2">
        <v>61</v>
      </c>
      <c r="L3498" s="2" t="s">
        <v>80</v>
      </c>
    </row>
    <row r="3499" spans="1:12" x14ac:dyDescent="0.3">
      <c r="A3499" s="2">
        <v>3488</v>
      </c>
      <c r="B3499" s="2" t="s">
        <v>5168</v>
      </c>
      <c r="C3499" s="2" t="s">
        <v>931</v>
      </c>
      <c r="D3499" s="2" t="s">
        <v>28</v>
      </c>
      <c r="E3499" s="2" t="s">
        <v>29</v>
      </c>
      <c r="F3499" s="2">
        <v>30</v>
      </c>
      <c r="G3499" s="2" t="s">
        <v>8296</v>
      </c>
      <c r="H3499" s="2" t="s">
        <v>1378</v>
      </c>
      <c r="I3499" s="2" t="s">
        <v>32</v>
      </c>
      <c r="J3499" s="3">
        <v>44317</v>
      </c>
      <c r="K3499" s="2">
        <v>11</v>
      </c>
      <c r="L3499" s="2" t="s">
        <v>101</v>
      </c>
    </row>
    <row r="3500" spans="1:12" x14ac:dyDescent="0.3">
      <c r="A3500" s="2">
        <v>3489</v>
      </c>
      <c r="B3500" s="2" t="s">
        <v>3300</v>
      </c>
      <c r="C3500" s="2" t="s">
        <v>6073</v>
      </c>
      <c r="D3500" s="2" t="s">
        <v>28</v>
      </c>
      <c r="E3500" s="2" t="s">
        <v>29</v>
      </c>
      <c r="F3500" s="2">
        <v>30</v>
      </c>
      <c r="G3500" s="2" t="s">
        <v>8297</v>
      </c>
      <c r="H3500" s="2" t="s">
        <v>5376</v>
      </c>
      <c r="I3500" s="2" t="s">
        <v>32</v>
      </c>
      <c r="J3500" s="3">
        <v>43984</v>
      </c>
      <c r="K3500" s="2">
        <v>16</v>
      </c>
      <c r="L3500" s="2" t="s">
        <v>101</v>
      </c>
    </row>
    <row r="3501" spans="1:12" x14ac:dyDescent="0.3">
      <c r="A3501" s="2">
        <v>3490</v>
      </c>
      <c r="B3501" s="2" t="s">
        <v>1379</v>
      </c>
      <c r="C3501" s="2" t="s">
        <v>3014</v>
      </c>
      <c r="D3501" s="2" t="s">
        <v>28</v>
      </c>
      <c r="E3501" s="2" t="s">
        <v>29</v>
      </c>
      <c r="F3501" s="2">
        <v>30</v>
      </c>
      <c r="G3501" s="2" t="s">
        <v>8297</v>
      </c>
      <c r="H3501" s="2" t="s">
        <v>5686</v>
      </c>
      <c r="I3501" s="2" t="s">
        <v>32</v>
      </c>
      <c r="J3501" s="3">
        <v>43913</v>
      </c>
      <c r="K3501" s="2">
        <v>56</v>
      </c>
      <c r="L3501" s="2" t="s">
        <v>33</v>
      </c>
    </row>
    <row r="3502" spans="1:12" x14ac:dyDescent="0.3">
      <c r="A3502" s="2">
        <v>3491</v>
      </c>
      <c r="B3502" s="2" t="s">
        <v>8298</v>
      </c>
      <c r="C3502" s="2" t="s">
        <v>7652</v>
      </c>
      <c r="D3502" s="2" t="s">
        <v>15</v>
      </c>
      <c r="E3502" s="2" t="s">
        <v>16</v>
      </c>
      <c r="F3502" s="2">
        <v>30</v>
      </c>
      <c r="G3502" s="2" t="s">
        <v>8299</v>
      </c>
      <c r="H3502" s="2" t="s">
        <v>5995</v>
      </c>
      <c r="I3502" s="2" t="s">
        <v>187</v>
      </c>
      <c r="J3502" s="3">
        <v>44244</v>
      </c>
      <c r="K3502" s="2">
        <v>70</v>
      </c>
      <c r="L3502" s="2" t="s">
        <v>70</v>
      </c>
    </row>
    <row r="3503" spans="1:12" x14ac:dyDescent="0.3">
      <c r="A3503" s="2">
        <v>3492</v>
      </c>
      <c r="B3503" s="2" t="s">
        <v>7484</v>
      </c>
      <c r="C3503" s="2" t="s">
        <v>6534</v>
      </c>
      <c r="D3503" s="2" t="s">
        <v>41</v>
      </c>
      <c r="E3503" s="2" t="s">
        <v>16</v>
      </c>
      <c r="F3503" s="2">
        <v>90</v>
      </c>
      <c r="G3503" s="2" t="s">
        <v>8300</v>
      </c>
      <c r="H3503" s="2" t="s">
        <v>3984</v>
      </c>
      <c r="I3503" s="2" t="s">
        <v>32</v>
      </c>
      <c r="J3503" s="3">
        <v>44265</v>
      </c>
      <c r="K3503" s="2">
        <v>39</v>
      </c>
      <c r="L3503" s="2" t="s">
        <v>80</v>
      </c>
    </row>
    <row r="3504" spans="1:12" x14ac:dyDescent="0.3">
      <c r="A3504" s="2">
        <v>3493</v>
      </c>
      <c r="B3504" s="2" t="s">
        <v>8301</v>
      </c>
      <c r="C3504" s="2" t="s">
        <v>4903</v>
      </c>
      <c r="D3504" s="2" t="s">
        <v>51</v>
      </c>
      <c r="E3504" s="2" t="s">
        <v>16</v>
      </c>
      <c r="F3504" s="2">
        <v>30</v>
      </c>
      <c r="G3504" s="2" t="s">
        <v>8302</v>
      </c>
      <c r="H3504" s="2" t="s">
        <v>2583</v>
      </c>
      <c r="I3504" s="2" t="s">
        <v>32</v>
      </c>
      <c r="J3504" s="3">
        <v>44562</v>
      </c>
      <c r="K3504" s="2">
        <v>26</v>
      </c>
      <c r="L3504" s="2" t="s">
        <v>45</v>
      </c>
    </row>
    <row r="3505" spans="1:12" x14ac:dyDescent="0.3">
      <c r="A3505" s="2">
        <v>3494</v>
      </c>
      <c r="B3505" s="2" t="s">
        <v>232</v>
      </c>
      <c r="C3505" s="2" t="s">
        <v>3493</v>
      </c>
      <c r="D3505" s="2" t="s">
        <v>28</v>
      </c>
      <c r="E3505" s="2" t="s">
        <v>29</v>
      </c>
      <c r="F3505" s="2">
        <v>30</v>
      </c>
      <c r="G3505" s="2" t="s">
        <v>8303</v>
      </c>
      <c r="H3505" s="2" t="s">
        <v>109</v>
      </c>
      <c r="I3505" s="2" t="s">
        <v>110</v>
      </c>
      <c r="J3505" s="3">
        <v>44225</v>
      </c>
      <c r="K3505" s="2">
        <v>13</v>
      </c>
      <c r="L3505" s="2" t="s">
        <v>20</v>
      </c>
    </row>
    <row r="3506" spans="1:12" x14ac:dyDescent="0.3">
      <c r="A3506" s="2">
        <v>3495</v>
      </c>
      <c r="B3506" s="2" t="s">
        <v>8304</v>
      </c>
      <c r="C3506" s="2" t="s">
        <v>3102</v>
      </c>
      <c r="D3506" s="2" t="s">
        <v>15</v>
      </c>
      <c r="E3506" s="2" t="s">
        <v>16</v>
      </c>
      <c r="F3506" s="2">
        <v>30</v>
      </c>
      <c r="G3506" s="2" t="s">
        <v>8303</v>
      </c>
      <c r="H3506" s="2" t="s">
        <v>6228</v>
      </c>
      <c r="I3506" s="2" t="s">
        <v>187</v>
      </c>
      <c r="J3506" s="3">
        <v>44141</v>
      </c>
      <c r="K3506" s="2">
        <v>83</v>
      </c>
      <c r="L3506" s="2" t="s">
        <v>101</v>
      </c>
    </row>
    <row r="3507" spans="1:12" x14ac:dyDescent="0.3">
      <c r="A3507" s="2">
        <v>3496</v>
      </c>
      <c r="B3507" s="2" t="s">
        <v>752</v>
      </c>
      <c r="C3507" s="2" t="s">
        <v>1923</v>
      </c>
      <c r="D3507" s="2" t="s">
        <v>117</v>
      </c>
      <c r="E3507" s="2" t="s">
        <v>29</v>
      </c>
      <c r="F3507" s="2">
        <v>60</v>
      </c>
      <c r="G3507" s="2" t="s">
        <v>8305</v>
      </c>
      <c r="H3507" s="2" t="s">
        <v>1519</v>
      </c>
      <c r="I3507" s="2" t="s">
        <v>32</v>
      </c>
      <c r="J3507" s="3">
        <v>43936</v>
      </c>
      <c r="K3507" s="2">
        <v>2</v>
      </c>
      <c r="L3507" s="2" t="s">
        <v>54</v>
      </c>
    </row>
    <row r="3508" spans="1:12" x14ac:dyDescent="0.3">
      <c r="A3508" s="2">
        <v>3497</v>
      </c>
      <c r="B3508" s="2" t="s">
        <v>6172</v>
      </c>
      <c r="C3508" s="2" t="s">
        <v>8306</v>
      </c>
      <c r="D3508" s="2" t="s">
        <v>28</v>
      </c>
      <c r="E3508" s="2" t="s">
        <v>29</v>
      </c>
      <c r="F3508" s="2">
        <v>30</v>
      </c>
      <c r="G3508" s="2" t="s">
        <v>8307</v>
      </c>
      <c r="H3508" s="2" t="s">
        <v>7844</v>
      </c>
      <c r="I3508" s="2" t="s">
        <v>124</v>
      </c>
      <c r="J3508" s="3">
        <v>44545</v>
      </c>
      <c r="K3508" s="2">
        <v>43</v>
      </c>
      <c r="L3508" s="2" t="s">
        <v>80</v>
      </c>
    </row>
    <row r="3509" spans="1:12" x14ac:dyDescent="0.3">
      <c r="A3509" s="2">
        <v>3498</v>
      </c>
      <c r="B3509" s="2" t="s">
        <v>8308</v>
      </c>
      <c r="C3509" s="2" t="s">
        <v>858</v>
      </c>
      <c r="D3509" s="2" t="s">
        <v>51</v>
      </c>
      <c r="E3509" s="2" t="s">
        <v>16</v>
      </c>
      <c r="F3509" s="2">
        <v>60</v>
      </c>
      <c r="G3509" s="2" t="s">
        <v>8309</v>
      </c>
      <c r="H3509" s="2" t="s">
        <v>4484</v>
      </c>
      <c r="I3509" s="2" t="s">
        <v>32</v>
      </c>
      <c r="J3509" s="3">
        <v>44848</v>
      </c>
      <c r="K3509" s="2">
        <v>22</v>
      </c>
      <c r="L3509" s="2" t="s">
        <v>80</v>
      </c>
    </row>
    <row r="3510" spans="1:12" x14ac:dyDescent="0.3">
      <c r="A3510" s="2">
        <v>3499</v>
      </c>
      <c r="B3510" s="2" t="s">
        <v>7595</v>
      </c>
      <c r="C3510" s="2" t="s">
        <v>7204</v>
      </c>
      <c r="D3510" s="2" t="s">
        <v>28</v>
      </c>
      <c r="E3510" s="2" t="s">
        <v>29</v>
      </c>
      <c r="F3510" s="2">
        <v>90</v>
      </c>
      <c r="G3510" s="2" t="s">
        <v>8310</v>
      </c>
      <c r="H3510" s="2" t="s">
        <v>2696</v>
      </c>
      <c r="I3510" s="2" t="s">
        <v>95</v>
      </c>
      <c r="J3510" s="3">
        <v>44725</v>
      </c>
      <c r="K3510" s="2">
        <v>16</v>
      </c>
      <c r="L3510" s="2" t="s">
        <v>101</v>
      </c>
    </row>
    <row r="3511" spans="1:12" x14ac:dyDescent="0.3">
      <c r="A3511" s="2">
        <v>3500</v>
      </c>
      <c r="B3511" s="2" t="s">
        <v>5764</v>
      </c>
      <c r="C3511" s="2" t="s">
        <v>5258</v>
      </c>
      <c r="D3511" s="2" t="s">
        <v>28</v>
      </c>
      <c r="E3511" s="2" t="s">
        <v>29</v>
      </c>
      <c r="F3511" s="2">
        <v>60</v>
      </c>
      <c r="G3511" s="2" t="s">
        <v>8311</v>
      </c>
      <c r="H3511" s="2" t="s">
        <v>6951</v>
      </c>
      <c r="I3511" s="2" t="s">
        <v>38</v>
      </c>
      <c r="J3511" s="3">
        <v>44544</v>
      </c>
      <c r="K3511" s="2">
        <v>56</v>
      </c>
      <c r="L3511" s="2" t="s">
        <v>39</v>
      </c>
    </row>
    <row r="3512" spans="1:12" x14ac:dyDescent="0.3">
      <c r="A3512" s="2">
        <v>3501</v>
      </c>
      <c r="B3512" s="2" t="s">
        <v>2203</v>
      </c>
      <c r="C3512" s="2" t="s">
        <v>8312</v>
      </c>
      <c r="D3512" s="2" t="s">
        <v>51</v>
      </c>
      <c r="E3512" s="2" t="s">
        <v>16</v>
      </c>
      <c r="F3512" s="2">
        <v>60</v>
      </c>
      <c r="G3512" s="2" t="s">
        <v>8313</v>
      </c>
      <c r="H3512" s="2" t="s">
        <v>2053</v>
      </c>
      <c r="I3512" s="2" t="s">
        <v>187</v>
      </c>
      <c r="J3512" s="3">
        <v>44647</v>
      </c>
      <c r="K3512" s="2">
        <v>31</v>
      </c>
      <c r="L3512" s="2" t="s">
        <v>70</v>
      </c>
    </row>
    <row r="3513" spans="1:12" x14ac:dyDescent="0.3">
      <c r="A3513" s="2">
        <v>3502</v>
      </c>
      <c r="B3513" s="2" t="s">
        <v>6271</v>
      </c>
      <c r="C3513" s="2" t="s">
        <v>5428</v>
      </c>
      <c r="D3513" s="2" t="s">
        <v>15</v>
      </c>
      <c r="E3513" s="2" t="s">
        <v>16</v>
      </c>
      <c r="F3513" s="2">
        <v>90</v>
      </c>
      <c r="G3513" s="2" t="s">
        <v>8314</v>
      </c>
      <c r="H3513" s="2" t="s">
        <v>1295</v>
      </c>
      <c r="I3513" s="2" t="s">
        <v>32</v>
      </c>
      <c r="J3513" s="3">
        <v>44678</v>
      </c>
      <c r="K3513" s="2">
        <v>95</v>
      </c>
      <c r="L3513" s="2" t="s">
        <v>159</v>
      </c>
    </row>
    <row r="3514" spans="1:12" x14ac:dyDescent="0.3">
      <c r="A3514" s="2">
        <v>3503</v>
      </c>
      <c r="B3514" s="2" t="s">
        <v>8315</v>
      </c>
      <c r="C3514" s="2" t="s">
        <v>4819</v>
      </c>
      <c r="D3514" s="2" t="s">
        <v>15</v>
      </c>
      <c r="E3514" s="2" t="s">
        <v>16</v>
      </c>
      <c r="F3514" s="2">
        <v>90</v>
      </c>
      <c r="G3514" s="2" t="s">
        <v>8316</v>
      </c>
      <c r="H3514" s="2" t="s">
        <v>1834</v>
      </c>
      <c r="I3514" s="2" t="s">
        <v>32</v>
      </c>
      <c r="J3514" s="3">
        <v>43853</v>
      </c>
      <c r="K3514" s="2">
        <v>42</v>
      </c>
      <c r="L3514" s="2" t="s">
        <v>159</v>
      </c>
    </row>
    <row r="3515" spans="1:12" x14ac:dyDescent="0.3">
      <c r="A3515" s="2">
        <v>3504</v>
      </c>
      <c r="B3515" s="2" t="s">
        <v>8317</v>
      </c>
      <c r="C3515" s="2" t="s">
        <v>7412</v>
      </c>
      <c r="D3515" s="2" t="s">
        <v>15</v>
      </c>
      <c r="E3515" s="2" t="s">
        <v>16</v>
      </c>
      <c r="F3515" s="2">
        <v>90</v>
      </c>
      <c r="G3515" s="2" t="s">
        <v>8318</v>
      </c>
      <c r="H3515" s="2" t="s">
        <v>6612</v>
      </c>
      <c r="I3515" s="2" t="s">
        <v>25</v>
      </c>
      <c r="J3515" s="3">
        <v>44356</v>
      </c>
      <c r="K3515" s="2">
        <v>47</v>
      </c>
      <c r="L3515" s="2" t="s">
        <v>20</v>
      </c>
    </row>
    <row r="3516" spans="1:12" x14ac:dyDescent="0.3">
      <c r="A3516" s="2">
        <v>3505</v>
      </c>
      <c r="B3516" s="2" t="s">
        <v>8319</v>
      </c>
      <c r="C3516" s="2" t="s">
        <v>4439</v>
      </c>
      <c r="D3516" s="2" t="s">
        <v>51</v>
      </c>
      <c r="E3516" s="2" t="s">
        <v>16</v>
      </c>
      <c r="F3516" s="2">
        <v>90</v>
      </c>
      <c r="G3516" s="2" t="s">
        <v>8320</v>
      </c>
      <c r="H3516" s="2" t="s">
        <v>137</v>
      </c>
      <c r="I3516" s="2" t="s">
        <v>32</v>
      </c>
      <c r="J3516" s="3">
        <v>44909</v>
      </c>
      <c r="K3516" s="2">
        <v>95</v>
      </c>
      <c r="L3516" s="2" t="s">
        <v>101</v>
      </c>
    </row>
    <row r="3517" spans="1:12" x14ac:dyDescent="0.3">
      <c r="A3517" s="2">
        <v>3506</v>
      </c>
      <c r="B3517" s="2" t="s">
        <v>4596</v>
      </c>
      <c r="C3517" s="2" t="s">
        <v>7359</v>
      </c>
      <c r="D3517" s="2" t="s">
        <v>28</v>
      </c>
      <c r="E3517" s="2" t="s">
        <v>29</v>
      </c>
      <c r="F3517" s="2">
        <v>60</v>
      </c>
      <c r="G3517" s="2" t="s">
        <v>8321</v>
      </c>
      <c r="H3517" s="2" t="s">
        <v>279</v>
      </c>
      <c r="I3517" s="2" t="s">
        <v>213</v>
      </c>
      <c r="J3517" s="3">
        <v>44370</v>
      </c>
      <c r="K3517" s="2">
        <v>59</v>
      </c>
      <c r="L3517" s="2" t="s">
        <v>54</v>
      </c>
    </row>
    <row r="3518" spans="1:12" x14ac:dyDescent="0.3">
      <c r="A3518" s="2">
        <v>3507</v>
      </c>
      <c r="B3518" s="2" t="s">
        <v>8322</v>
      </c>
      <c r="C3518" s="2" t="s">
        <v>791</v>
      </c>
      <c r="D3518" s="2" t="s">
        <v>51</v>
      </c>
      <c r="E3518" s="2" t="s">
        <v>16</v>
      </c>
      <c r="F3518" s="2">
        <v>90</v>
      </c>
      <c r="G3518" s="2" t="s">
        <v>8323</v>
      </c>
      <c r="H3518" s="2" t="s">
        <v>1206</v>
      </c>
      <c r="I3518" s="2" t="s">
        <v>294</v>
      </c>
      <c r="J3518" s="3">
        <v>44235</v>
      </c>
      <c r="K3518" s="2">
        <v>47</v>
      </c>
      <c r="L3518" s="2" t="s">
        <v>20</v>
      </c>
    </row>
    <row r="3519" spans="1:12" x14ac:dyDescent="0.3">
      <c r="A3519" s="2">
        <v>3508</v>
      </c>
      <c r="B3519" s="2" t="s">
        <v>8168</v>
      </c>
      <c r="C3519" s="2" t="s">
        <v>1765</v>
      </c>
      <c r="D3519" s="2" t="s">
        <v>51</v>
      </c>
      <c r="E3519" s="2" t="s">
        <v>16</v>
      </c>
      <c r="F3519" s="2">
        <v>30</v>
      </c>
      <c r="G3519" s="2" t="s">
        <v>8324</v>
      </c>
      <c r="H3519" s="2" t="s">
        <v>429</v>
      </c>
      <c r="I3519" s="2" t="s">
        <v>32</v>
      </c>
      <c r="J3519" s="3">
        <v>44740</v>
      </c>
      <c r="K3519" s="2">
        <v>70</v>
      </c>
      <c r="L3519" s="2" t="s">
        <v>159</v>
      </c>
    </row>
    <row r="3520" spans="1:12" x14ac:dyDescent="0.3">
      <c r="A3520" s="2">
        <v>3509</v>
      </c>
      <c r="B3520" s="2" t="s">
        <v>8325</v>
      </c>
      <c r="C3520" s="2" t="s">
        <v>5944</v>
      </c>
      <c r="D3520" s="2" t="s">
        <v>51</v>
      </c>
      <c r="E3520" s="2" t="s">
        <v>16</v>
      </c>
      <c r="F3520" s="2">
        <v>30</v>
      </c>
      <c r="G3520" s="2" t="s">
        <v>8326</v>
      </c>
      <c r="H3520" s="2" t="s">
        <v>8327</v>
      </c>
      <c r="I3520" s="2" t="s">
        <v>32</v>
      </c>
      <c r="J3520" s="3">
        <v>44842</v>
      </c>
      <c r="K3520" s="2">
        <v>40</v>
      </c>
      <c r="L3520" s="2" t="s">
        <v>20</v>
      </c>
    </row>
    <row r="3521" spans="1:12" x14ac:dyDescent="0.3">
      <c r="A3521" s="2">
        <v>3510</v>
      </c>
      <c r="B3521" s="2" t="s">
        <v>3166</v>
      </c>
      <c r="C3521" s="2" t="s">
        <v>4876</v>
      </c>
      <c r="D3521" s="2" t="s">
        <v>28</v>
      </c>
      <c r="E3521" s="2" t="s">
        <v>29</v>
      </c>
      <c r="F3521" s="2">
        <v>60</v>
      </c>
      <c r="G3521" s="2" t="s">
        <v>8328</v>
      </c>
      <c r="H3521" s="2" t="s">
        <v>750</v>
      </c>
      <c r="I3521" s="2" t="s">
        <v>25</v>
      </c>
      <c r="J3521" s="3">
        <v>44864</v>
      </c>
      <c r="K3521" s="2">
        <v>63</v>
      </c>
      <c r="L3521" s="2" t="s">
        <v>70</v>
      </c>
    </row>
    <row r="3522" spans="1:12" x14ac:dyDescent="0.3">
      <c r="A3522" s="2">
        <v>3511</v>
      </c>
      <c r="B3522" s="2" t="s">
        <v>3443</v>
      </c>
      <c r="C3522" s="2" t="s">
        <v>3279</v>
      </c>
      <c r="D3522" s="2" t="s">
        <v>28</v>
      </c>
      <c r="E3522" s="2" t="s">
        <v>29</v>
      </c>
      <c r="F3522" s="2">
        <v>30</v>
      </c>
      <c r="G3522" s="2" t="s">
        <v>8329</v>
      </c>
      <c r="H3522" s="2" t="s">
        <v>3134</v>
      </c>
      <c r="I3522" s="2" t="s">
        <v>294</v>
      </c>
      <c r="J3522" s="3">
        <v>43967</v>
      </c>
      <c r="K3522" s="2">
        <v>46</v>
      </c>
      <c r="L3522" s="2" t="s">
        <v>39</v>
      </c>
    </row>
    <row r="3523" spans="1:12" x14ac:dyDescent="0.3">
      <c r="A3523" s="2">
        <v>3512</v>
      </c>
      <c r="B3523" s="2" t="s">
        <v>7657</v>
      </c>
      <c r="C3523" s="2" t="s">
        <v>4623</v>
      </c>
      <c r="D3523" s="2" t="s">
        <v>117</v>
      </c>
      <c r="E3523" s="2" t="s">
        <v>29</v>
      </c>
      <c r="F3523" s="2">
        <v>90</v>
      </c>
      <c r="G3523" s="2" t="s">
        <v>8330</v>
      </c>
      <c r="H3523" s="2" t="s">
        <v>8331</v>
      </c>
      <c r="I3523" s="2" t="s">
        <v>32</v>
      </c>
      <c r="J3523" s="3">
        <v>44115</v>
      </c>
      <c r="K3523" s="2">
        <v>5</v>
      </c>
      <c r="L3523" s="2" t="s">
        <v>45</v>
      </c>
    </row>
    <row r="3524" spans="1:12" x14ac:dyDescent="0.3">
      <c r="A3524" s="2">
        <v>3513</v>
      </c>
      <c r="B3524" s="2" t="s">
        <v>6198</v>
      </c>
      <c r="C3524" s="2" t="s">
        <v>35</v>
      </c>
      <c r="D3524" s="2" t="s">
        <v>28</v>
      </c>
      <c r="E3524" s="2" t="s">
        <v>29</v>
      </c>
      <c r="F3524" s="2">
        <v>60</v>
      </c>
      <c r="G3524" s="2" t="s">
        <v>8332</v>
      </c>
      <c r="H3524" s="2" t="s">
        <v>6675</v>
      </c>
      <c r="I3524" s="2" t="s">
        <v>32</v>
      </c>
      <c r="J3524" s="3">
        <v>44578</v>
      </c>
      <c r="K3524" s="2">
        <v>42</v>
      </c>
      <c r="L3524" s="2" t="s">
        <v>39</v>
      </c>
    </row>
    <row r="3525" spans="1:12" x14ac:dyDescent="0.3">
      <c r="A3525" s="2">
        <v>3514</v>
      </c>
      <c r="B3525" s="2" t="s">
        <v>2371</v>
      </c>
      <c r="C3525" s="2" t="s">
        <v>669</v>
      </c>
      <c r="D3525" s="2" t="s">
        <v>28</v>
      </c>
      <c r="E3525" s="2" t="s">
        <v>29</v>
      </c>
      <c r="F3525" s="2">
        <v>60</v>
      </c>
      <c r="G3525" s="2" t="s">
        <v>8333</v>
      </c>
      <c r="H3525" s="2" t="s">
        <v>4851</v>
      </c>
      <c r="I3525" s="2" t="s">
        <v>2543</v>
      </c>
      <c r="J3525" s="3">
        <v>44781</v>
      </c>
      <c r="K3525" s="2">
        <v>80</v>
      </c>
      <c r="L3525" s="2" t="s">
        <v>33</v>
      </c>
    </row>
    <row r="3526" spans="1:12" x14ac:dyDescent="0.3">
      <c r="A3526" s="2">
        <v>3515</v>
      </c>
      <c r="B3526" s="2" t="s">
        <v>232</v>
      </c>
      <c r="C3526" s="2" t="s">
        <v>6360</v>
      </c>
      <c r="D3526" s="2" t="s">
        <v>28</v>
      </c>
      <c r="E3526" s="2" t="s">
        <v>29</v>
      </c>
      <c r="F3526" s="2">
        <v>90</v>
      </c>
      <c r="G3526" s="2" t="s">
        <v>8334</v>
      </c>
      <c r="H3526" s="2" t="s">
        <v>2341</v>
      </c>
      <c r="I3526" s="2" t="s">
        <v>2342</v>
      </c>
      <c r="J3526" s="3">
        <v>43834</v>
      </c>
      <c r="K3526" s="2">
        <v>4</v>
      </c>
      <c r="L3526" s="2" t="s">
        <v>159</v>
      </c>
    </row>
    <row r="3527" spans="1:12" x14ac:dyDescent="0.3">
      <c r="A3527" s="2">
        <v>3516</v>
      </c>
      <c r="B3527" s="2" t="s">
        <v>4031</v>
      </c>
      <c r="C3527" s="2" t="s">
        <v>692</v>
      </c>
      <c r="D3527" s="2" t="s">
        <v>28</v>
      </c>
      <c r="E3527" s="2" t="s">
        <v>29</v>
      </c>
      <c r="F3527" s="2">
        <v>30</v>
      </c>
      <c r="G3527" s="2" t="s">
        <v>8335</v>
      </c>
      <c r="H3527" s="2" t="s">
        <v>3424</v>
      </c>
      <c r="I3527" s="2" t="s">
        <v>32</v>
      </c>
      <c r="J3527" s="3">
        <v>44760</v>
      </c>
      <c r="K3527" s="2">
        <v>25</v>
      </c>
      <c r="L3527" s="2" t="s">
        <v>45</v>
      </c>
    </row>
    <row r="3528" spans="1:12" x14ac:dyDescent="0.3">
      <c r="A3528" s="2">
        <v>3517</v>
      </c>
      <c r="B3528" s="2" t="s">
        <v>869</v>
      </c>
      <c r="C3528" s="2" t="s">
        <v>3803</v>
      </c>
      <c r="D3528" s="2" t="s">
        <v>28</v>
      </c>
      <c r="E3528" s="2" t="s">
        <v>29</v>
      </c>
      <c r="F3528" s="2">
        <v>60</v>
      </c>
      <c r="G3528" s="2" t="s">
        <v>8336</v>
      </c>
      <c r="H3528" s="2" t="s">
        <v>917</v>
      </c>
      <c r="I3528" s="2" t="s">
        <v>32</v>
      </c>
      <c r="J3528" s="3">
        <v>44805</v>
      </c>
      <c r="K3528" s="2">
        <v>6</v>
      </c>
      <c r="L3528" s="2" t="s">
        <v>80</v>
      </c>
    </row>
    <row r="3529" spans="1:12" x14ac:dyDescent="0.3">
      <c r="A3529" s="2">
        <v>3518</v>
      </c>
      <c r="B3529" s="2" t="s">
        <v>5567</v>
      </c>
      <c r="C3529" s="2" t="s">
        <v>5161</v>
      </c>
      <c r="D3529" s="2" t="s">
        <v>28</v>
      </c>
      <c r="E3529" s="2" t="s">
        <v>29</v>
      </c>
      <c r="F3529" s="2">
        <v>30</v>
      </c>
      <c r="G3529" s="2" t="s">
        <v>8337</v>
      </c>
      <c r="H3529" s="2" t="s">
        <v>3882</v>
      </c>
      <c r="I3529" s="2" t="s">
        <v>38</v>
      </c>
      <c r="J3529" s="3">
        <v>44700</v>
      </c>
      <c r="K3529" s="2">
        <v>44</v>
      </c>
      <c r="L3529" s="2" t="s">
        <v>20</v>
      </c>
    </row>
    <row r="3530" spans="1:12" x14ac:dyDescent="0.3">
      <c r="A3530" s="2">
        <v>3519</v>
      </c>
      <c r="B3530" s="2" t="s">
        <v>8338</v>
      </c>
      <c r="C3530" s="2" t="s">
        <v>8339</v>
      </c>
      <c r="D3530" s="2" t="s">
        <v>41</v>
      </c>
      <c r="E3530" s="2" t="s">
        <v>16</v>
      </c>
      <c r="F3530" s="2">
        <v>60</v>
      </c>
      <c r="G3530" s="2" t="s">
        <v>8340</v>
      </c>
      <c r="H3530" s="2" t="s">
        <v>2212</v>
      </c>
      <c r="I3530" s="2" t="s">
        <v>32</v>
      </c>
      <c r="J3530" s="3">
        <v>44456</v>
      </c>
      <c r="K3530" s="2">
        <v>82</v>
      </c>
      <c r="L3530" s="2" t="s">
        <v>45</v>
      </c>
    </row>
    <row r="3531" spans="1:12" x14ac:dyDescent="0.3">
      <c r="A3531" s="2">
        <v>3520</v>
      </c>
      <c r="B3531" s="2" t="s">
        <v>5975</v>
      </c>
      <c r="C3531" s="2" t="s">
        <v>5665</v>
      </c>
      <c r="D3531" s="2" t="s">
        <v>28</v>
      </c>
      <c r="E3531" s="2" t="s">
        <v>29</v>
      </c>
      <c r="F3531" s="2">
        <v>90</v>
      </c>
      <c r="G3531" s="2" t="s">
        <v>8341</v>
      </c>
      <c r="H3531" s="2" t="s">
        <v>5643</v>
      </c>
      <c r="I3531" s="2" t="s">
        <v>886</v>
      </c>
      <c r="J3531" s="3">
        <v>44329</v>
      </c>
      <c r="K3531" s="2">
        <v>90</v>
      </c>
      <c r="L3531" s="2" t="s">
        <v>33</v>
      </c>
    </row>
    <row r="3532" spans="1:12" x14ac:dyDescent="0.3">
      <c r="A3532" s="2">
        <v>3521</v>
      </c>
      <c r="B3532" s="2" t="s">
        <v>8008</v>
      </c>
      <c r="C3532" s="2" t="s">
        <v>111</v>
      </c>
      <c r="D3532" s="2" t="s">
        <v>28</v>
      </c>
      <c r="E3532" s="2" t="s">
        <v>29</v>
      </c>
      <c r="F3532" s="2">
        <v>30</v>
      </c>
      <c r="G3532" s="2" t="s">
        <v>8342</v>
      </c>
      <c r="H3532" s="2" t="s">
        <v>7001</v>
      </c>
      <c r="I3532" s="2" t="s">
        <v>32</v>
      </c>
      <c r="J3532" s="3">
        <v>44747</v>
      </c>
      <c r="K3532" s="2">
        <v>51</v>
      </c>
      <c r="L3532" s="2" t="s">
        <v>54</v>
      </c>
    </row>
    <row r="3533" spans="1:12" x14ac:dyDescent="0.3">
      <c r="A3533" s="2">
        <v>3522</v>
      </c>
      <c r="B3533" s="2" t="s">
        <v>4438</v>
      </c>
      <c r="C3533" s="2" t="s">
        <v>4366</v>
      </c>
      <c r="D3533" s="2" t="s">
        <v>28</v>
      </c>
      <c r="E3533" s="2" t="s">
        <v>29</v>
      </c>
      <c r="F3533" s="2">
        <v>30</v>
      </c>
      <c r="G3533" s="2" t="s">
        <v>8343</v>
      </c>
      <c r="H3533" s="2" t="s">
        <v>293</v>
      </c>
      <c r="I3533" s="2" t="s">
        <v>294</v>
      </c>
      <c r="J3533" s="3">
        <v>44864</v>
      </c>
      <c r="K3533" s="2">
        <v>98</v>
      </c>
      <c r="L3533" s="2" t="s">
        <v>39</v>
      </c>
    </row>
    <row r="3534" spans="1:12" x14ac:dyDescent="0.3">
      <c r="A3534" s="2">
        <v>3523</v>
      </c>
      <c r="B3534" s="2" t="s">
        <v>1769</v>
      </c>
      <c r="C3534" s="2" t="s">
        <v>2991</v>
      </c>
      <c r="D3534" s="2" t="s">
        <v>28</v>
      </c>
      <c r="E3534" s="2" t="s">
        <v>29</v>
      </c>
      <c r="F3534" s="2">
        <v>90</v>
      </c>
      <c r="G3534" s="2" t="s">
        <v>8344</v>
      </c>
      <c r="H3534" s="2" t="s">
        <v>2265</v>
      </c>
      <c r="I3534" s="2" t="s">
        <v>1083</v>
      </c>
      <c r="J3534" s="3">
        <v>44367</v>
      </c>
      <c r="K3534" s="2">
        <v>93</v>
      </c>
      <c r="L3534" s="2" t="s">
        <v>20</v>
      </c>
    </row>
    <row r="3535" spans="1:12" x14ac:dyDescent="0.3">
      <c r="A3535" s="2">
        <v>3524</v>
      </c>
      <c r="B3535" s="2" t="s">
        <v>8345</v>
      </c>
      <c r="C3535" s="2" t="s">
        <v>3527</v>
      </c>
      <c r="D3535" s="2" t="s">
        <v>15</v>
      </c>
      <c r="E3535" s="2" t="s">
        <v>16</v>
      </c>
      <c r="F3535" s="2">
        <v>60</v>
      </c>
      <c r="G3535" s="2" t="s">
        <v>8346</v>
      </c>
      <c r="H3535" s="2" t="s">
        <v>3224</v>
      </c>
      <c r="I3535" s="2" t="s">
        <v>2022</v>
      </c>
      <c r="J3535" s="3">
        <v>44338</v>
      </c>
      <c r="K3535" s="2">
        <v>22</v>
      </c>
      <c r="L3535" s="2" t="s">
        <v>45</v>
      </c>
    </row>
    <row r="3536" spans="1:12" x14ac:dyDescent="0.3">
      <c r="A3536" s="2">
        <v>3525</v>
      </c>
      <c r="B3536" s="2" t="s">
        <v>4635</v>
      </c>
      <c r="C3536" s="2" t="s">
        <v>8347</v>
      </c>
      <c r="D3536" s="2" t="s">
        <v>15</v>
      </c>
      <c r="E3536" s="2" t="s">
        <v>16</v>
      </c>
      <c r="F3536" s="2">
        <v>30</v>
      </c>
      <c r="G3536" s="2" t="s">
        <v>8348</v>
      </c>
      <c r="H3536" s="2" t="s">
        <v>2291</v>
      </c>
      <c r="I3536" s="2" t="s">
        <v>25</v>
      </c>
      <c r="J3536" s="3">
        <v>44495</v>
      </c>
      <c r="K3536" s="2">
        <v>56</v>
      </c>
      <c r="L3536" s="2" t="s">
        <v>20</v>
      </c>
    </row>
    <row r="3537" spans="1:12" x14ac:dyDescent="0.3">
      <c r="A3537" s="2">
        <v>3526</v>
      </c>
      <c r="B3537" s="2" t="s">
        <v>8349</v>
      </c>
      <c r="C3537" s="2" t="s">
        <v>4420</v>
      </c>
      <c r="D3537" s="2" t="s">
        <v>15</v>
      </c>
      <c r="E3537" s="2" t="s">
        <v>16</v>
      </c>
      <c r="F3537" s="2">
        <v>90</v>
      </c>
      <c r="G3537" s="2" t="s">
        <v>8350</v>
      </c>
      <c r="H3537" s="2" t="s">
        <v>4517</v>
      </c>
      <c r="I3537" s="2" t="s">
        <v>173</v>
      </c>
      <c r="J3537" s="3">
        <v>44360</v>
      </c>
      <c r="K3537" s="2">
        <v>43</v>
      </c>
      <c r="L3537" s="2" t="s">
        <v>159</v>
      </c>
    </row>
    <row r="3538" spans="1:12" x14ac:dyDescent="0.3">
      <c r="A3538" s="2">
        <v>3527</v>
      </c>
      <c r="B3538" s="2" t="s">
        <v>5364</v>
      </c>
      <c r="C3538" s="2" t="s">
        <v>7416</v>
      </c>
      <c r="D3538" s="2" t="s">
        <v>28</v>
      </c>
      <c r="E3538" s="2" t="s">
        <v>29</v>
      </c>
      <c r="F3538" s="2">
        <v>30</v>
      </c>
      <c r="G3538" s="2" t="s">
        <v>8351</v>
      </c>
      <c r="H3538" s="2" t="s">
        <v>6787</v>
      </c>
      <c r="I3538" s="2" t="s">
        <v>1035</v>
      </c>
      <c r="J3538" s="3">
        <v>43982</v>
      </c>
      <c r="K3538" s="2">
        <v>2</v>
      </c>
      <c r="L3538" s="2" t="s">
        <v>39</v>
      </c>
    </row>
    <row r="3539" spans="1:12" x14ac:dyDescent="0.3">
      <c r="A3539" s="2">
        <v>3528</v>
      </c>
      <c r="B3539" s="2" t="s">
        <v>2118</v>
      </c>
      <c r="C3539" s="2" t="s">
        <v>936</v>
      </c>
      <c r="D3539" s="2" t="s">
        <v>28</v>
      </c>
      <c r="E3539" s="2" t="s">
        <v>29</v>
      </c>
      <c r="F3539" s="2">
        <v>90</v>
      </c>
      <c r="G3539" s="2" t="s">
        <v>8352</v>
      </c>
      <c r="H3539" s="2" t="s">
        <v>2418</v>
      </c>
      <c r="I3539" s="2" t="s">
        <v>32</v>
      </c>
      <c r="J3539" s="3">
        <v>43862</v>
      </c>
      <c r="K3539" s="2">
        <v>54</v>
      </c>
      <c r="L3539" s="2" t="s">
        <v>39</v>
      </c>
    </row>
    <row r="3540" spans="1:12" x14ac:dyDescent="0.3">
      <c r="A3540" s="2">
        <v>3529</v>
      </c>
      <c r="B3540" s="2" t="s">
        <v>3623</v>
      </c>
      <c r="C3540" s="2" t="s">
        <v>5797</v>
      </c>
      <c r="D3540" s="2" t="s">
        <v>28</v>
      </c>
      <c r="E3540" s="2" t="s">
        <v>29</v>
      </c>
      <c r="F3540" s="2">
        <v>90</v>
      </c>
      <c r="G3540" s="2" t="s">
        <v>8354</v>
      </c>
      <c r="H3540" s="2" t="s">
        <v>5803</v>
      </c>
      <c r="I3540" s="2" t="s">
        <v>294</v>
      </c>
      <c r="J3540" s="3">
        <v>44659</v>
      </c>
      <c r="K3540" s="2">
        <v>90</v>
      </c>
      <c r="L3540" s="2" t="s">
        <v>80</v>
      </c>
    </row>
    <row r="3541" spans="1:12" x14ac:dyDescent="0.3">
      <c r="A3541" s="2">
        <v>3530</v>
      </c>
      <c r="B3541" s="2" t="s">
        <v>3108</v>
      </c>
      <c r="C3541" s="2" t="s">
        <v>175</v>
      </c>
      <c r="D3541" s="2" t="s">
        <v>15</v>
      </c>
      <c r="E3541" s="2" t="s">
        <v>16</v>
      </c>
      <c r="F3541" s="2">
        <v>90</v>
      </c>
      <c r="G3541" s="2" t="s">
        <v>8354</v>
      </c>
      <c r="H3541" s="2" t="s">
        <v>1022</v>
      </c>
      <c r="I3541" s="2" t="s">
        <v>164</v>
      </c>
      <c r="J3541" s="3">
        <v>43912</v>
      </c>
      <c r="K3541" s="2">
        <v>21</v>
      </c>
      <c r="L3541" s="2" t="s">
        <v>64</v>
      </c>
    </row>
    <row r="3542" spans="1:12" x14ac:dyDescent="0.3">
      <c r="A3542" s="2">
        <v>3531</v>
      </c>
      <c r="B3542" s="2" t="s">
        <v>8355</v>
      </c>
      <c r="C3542" s="2" t="s">
        <v>1215</v>
      </c>
      <c r="D3542" s="2" t="s">
        <v>51</v>
      </c>
      <c r="E3542" s="2" t="s">
        <v>16</v>
      </c>
      <c r="F3542" s="2">
        <v>90</v>
      </c>
      <c r="G3542" s="2" t="s">
        <v>8354</v>
      </c>
      <c r="H3542" s="2" t="s">
        <v>8022</v>
      </c>
      <c r="I3542" s="2" t="s">
        <v>294</v>
      </c>
      <c r="J3542" s="3">
        <v>43897</v>
      </c>
      <c r="K3542" s="2">
        <v>42</v>
      </c>
      <c r="L3542" s="2" t="s">
        <v>54</v>
      </c>
    </row>
    <row r="3543" spans="1:12" x14ac:dyDescent="0.3">
      <c r="A3543" s="2">
        <v>3532</v>
      </c>
      <c r="B3543" s="2" t="s">
        <v>3726</v>
      </c>
      <c r="C3543" s="2" t="s">
        <v>915</v>
      </c>
      <c r="D3543" s="2" t="s">
        <v>15</v>
      </c>
      <c r="E3543" s="2" t="s">
        <v>16</v>
      </c>
      <c r="F3543" s="2">
        <v>30</v>
      </c>
      <c r="G3543" s="2" t="s">
        <v>8362</v>
      </c>
      <c r="H3543" s="2" t="s">
        <v>3826</v>
      </c>
      <c r="I3543" s="2" t="s">
        <v>20</v>
      </c>
      <c r="J3543" s="3">
        <v>43900</v>
      </c>
      <c r="K3543" s="2">
        <v>78</v>
      </c>
      <c r="L3543" s="2" t="s">
        <v>80</v>
      </c>
    </row>
    <row r="3544" spans="1:12" x14ac:dyDescent="0.3">
      <c r="A3544" s="2">
        <v>3533</v>
      </c>
      <c r="B3544" s="2" t="s">
        <v>2036</v>
      </c>
      <c r="C3544" s="2" t="s">
        <v>1891</v>
      </c>
      <c r="D3544" s="2" t="s">
        <v>15</v>
      </c>
      <c r="E3544" s="2" t="s">
        <v>16</v>
      </c>
      <c r="F3544" s="2">
        <v>90</v>
      </c>
      <c r="G3544" s="2" t="s">
        <v>8363</v>
      </c>
      <c r="H3544" s="2" t="s">
        <v>1082</v>
      </c>
      <c r="I3544" s="2" t="s">
        <v>1083</v>
      </c>
      <c r="J3544" s="3">
        <v>43971</v>
      </c>
      <c r="K3544" s="2">
        <v>33</v>
      </c>
      <c r="L3544" s="2" t="s">
        <v>159</v>
      </c>
    </row>
    <row r="3545" spans="1:12" x14ac:dyDescent="0.3">
      <c r="A3545" s="2">
        <v>3534</v>
      </c>
      <c r="B3545" s="2" t="s">
        <v>2750</v>
      </c>
      <c r="C3545" s="2" t="s">
        <v>2399</v>
      </c>
      <c r="D3545" s="2" t="s">
        <v>28</v>
      </c>
      <c r="E3545" s="2" t="s">
        <v>29</v>
      </c>
      <c r="F3545" s="2">
        <v>30</v>
      </c>
      <c r="G3545" s="2" t="s">
        <v>10554</v>
      </c>
      <c r="H3545" s="2" t="s">
        <v>641</v>
      </c>
      <c r="I3545" s="2" t="s">
        <v>294</v>
      </c>
      <c r="J3545" s="3">
        <v>44209</v>
      </c>
      <c r="K3545" s="2">
        <v>68</v>
      </c>
      <c r="L3545" s="2" t="s">
        <v>54</v>
      </c>
    </row>
    <row r="3546" spans="1:12" x14ac:dyDescent="0.3">
      <c r="A3546" s="2">
        <v>3535</v>
      </c>
      <c r="B3546" s="2" t="s">
        <v>8365</v>
      </c>
      <c r="C3546" s="2" t="s">
        <v>4828</v>
      </c>
      <c r="D3546" s="2" t="s">
        <v>41</v>
      </c>
      <c r="E3546" s="2" t="s">
        <v>16</v>
      </c>
      <c r="F3546" s="2">
        <v>90</v>
      </c>
      <c r="G3546" s="2" t="s">
        <v>10554</v>
      </c>
      <c r="H3546" s="2" t="s">
        <v>4729</v>
      </c>
      <c r="I3546" s="2" t="s">
        <v>32</v>
      </c>
      <c r="J3546" s="3">
        <v>44305</v>
      </c>
      <c r="K3546" s="2">
        <v>90</v>
      </c>
      <c r="L3546" s="2" t="s">
        <v>159</v>
      </c>
    </row>
    <row r="3547" spans="1:12" x14ac:dyDescent="0.3">
      <c r="A3547" s="2">
        <v>3536</v>
      </c>
      <c r="B3547" s="2" t="s">
        <v>612</v>
      </c>
      <c r="C3547" s="2" t="s">
        <v>4635</v>
      </c>
      <c r="D3547" s="2" t="s">
        <v>28</v>
      </c>
      <c r="E3547" s="2" t="s">
        <v>29</v>
      </c>
      <c r="F3547" s="2">
        <v>30</v>
      </c>
      <c r="G3547" s="2" t="s">
        <v>8366</v>
      </c>
      <c r="H3547" s="2" t="s">
        <v>634</v>
      </c>
      <c r="I3547" s="2" t="s">
        <v>32</v>
      </c>
      <c r="J3547" s="3">
        <v>44179</v>
      </c>
      <c r="K3547" s="2">
        <v>35</v>
      </c>
      <c r="L3547" s="2" t="s">
        <v>54</v>
      </c>
    </row>
    <row r="3548" spans="1:12" x14ac:dyDescent="0.3">
      <c r="A3548" s="2">
        <v>3537</v>
      </c>
      <c r="B3548" s="2" t="s">
        <v>964</v>
      </c>
      <c r="C3548" s="2" t="s">
        <v>3369</v>
      </c>
      <c r="D3548" s="2" t="s">
        <v>28</v>
      </c>
      <c r="E3548" s="2" t="s">
        <v>29</v>
      </c>
      <c r="F3548" s="2">
        <v>30</v>
      </c>
      <c r="G3548" s="2" t="s">
        <v>8367</v>
      </c>
      <c r="H3548" s="2" t="s">
        <v>7898</v>
      </c>
      <c r="I3548" s="2" t="s">
        <v>425</v>
      </c>
      <c r="J3548" s="3">
        <v>43895</v>
      </c>
      <c r="K3548" s="2">
        <v>33</v>
      </c>
      <c r="L3548" s="2" t="s">
        <v>101</v>
      </c>
    </row>
    <row r="3549" spans="1:12" x14ac:dyDescent="0.3">
      <c r="A3549" s="2">
        <v>3538</v>
      </c>
      <c r="B3549" s="2" t="s">
        <v>3886</v>
      </c>
      <c r="C3549" s="2" t="s">
        <v>4396</v>
      </c>
      <c r="D3549" s="2" t="s">
        <v>51</v>
      </c>
      <c r="E3549" s="2" t="s">
        <v>16</v>
      </c>
      <c r="F3549" s="2">
        <v>60</v>
      </c>
      <c r="G3549" s="2" t="s">
        <v>8368</v>
      </c>
      <c r="H3549" s="2" t="s">
        <v>4030</v>
      </c>
      <c r="I3549" s="2" t="s">
        <v>32</v>
      </c>
      <c r="J3549" s="3">
        <v>44017</v>
      </c>
      <c r="K3549" s="2">
        <v>54</v>
      </c>
      <c r="L3549" s="2" t="s">
        <v>45</v>
      </c>
    </row>
    <row r="3550" spans="1:12" x14ac:dyDescent="0.3">
      <c r="A3550" s="2">
        <v>3539</v>
      </c>
      <c r="B3550" s="2" t="s">
        <v>8369</v>
      </c>
      <c r="C3550" s="2" t="s">
        <v>4797</v>
      </c>
      <c r="D3550" s="2" t="s">
        <v>41</v>
      </c>
      <c r="E3550" s="2" t="s">
        <v>16</v>
      </c>
      <c r="F3550" s="2">
        <v>90</v>
      </c>
      <c r="G3550" s="2" t="s">
        <v>8370</v>
      </c>
      <c r="H3550" s="2" t="s">
        <v>574</v>
      </c>
      <c r="I3550" s="2" t="s">
        <v>575</v>
      </c>
      <c r="J3550" s="3">
        <v>43903</v>
      </c>
      <c r="K3550" s="2">
        <v>15</v>
      </c>
      <c r="L3550" s="2" t="s">
        <v>80</v>
      </c>
    </row>
    <row r="3551" spans="1:12" x14ac:dyDescent="0.3">
      <c r="A3551" s="2">
        <v>3540</v>
      </c>
      <c r="B3551" s="2" t="s">
        <v>8371</v>
      </c>
      <c r="C3551" s="2" t="s">
        <v>2431</v>
      </c>
      <c r="D3551" s="2" t="s">
        <v>51</v>
      </c>
      <c r="E3551" s="2" t="s">
        <v>16</v>
      </c>
      <c r="F3551" s="2">
        <v>30</v>
      </c>
      <c r="G3551" s="2" t="s">
        <v>8372</v>
      </c>
      <c r="H3551" s="2" t="s">
        <v>603</v>
      </c>
      <c r="I3551" s="2" t="s">
        <v>187</v>
      </c>
      <c r="J3551" s="3">
        <v>44765</v>
      </c>
      <c r="K3551" s="2">
        <v>53</v>
      </c>
      <c r="L3551" s="2" t="s">
        <v>159</v>
      </c>
    </row>
    <row r="3552" spans="1:12" x14ac:dyDescent="0.3">
      <c r="A3552" s="2">
        <v>3541</v>
      </c>
      <c r="B3552" s="2" t="s">
        <v>5916</v>
      </c>
      <c r="C3552" s="2" t="s">
        <v>949</v>
      </c>
      <c r="D3552" s="2" t="s">
        <v>28</v>
      </c>
      <c r="E3552" s="2" t="s">
        <v>29</v>
      </c>
      <c r="F3552" s="2">
        <v>90</v>
      </c>
      <c r="G3552" s="2" t="s">
        <v>8373</v>
      </c>
      <c r="H3552" s="2" t="s">
        <v>6080</v>
      </c>
      <c r="I3552" s="2" t="s">
        <v>32</v>
      </c>
      <c r="J3552" s="3">
        <v>44170</v>
      </c>
      <c r="K3552" s="2">
        <v>34</v>
      </c>
      <c r="L3552" s="2" t="s">
        <v>20</v>
      </c>
    </row>
    <row r="3553" spans="1:12" x14ac:dyDescent="0.3">
      <c r="A3553" s="2">
        <v>3542</v>
      </c>
      <c r="B3553" s="2" t="s">
        <v>5878</v>
      </c>
      <c r="C3553" s="2" t="s">
        <v>2378</v>
      </c>
      <c r="D3553" s="2" t="s">
        <v>28</v>
      </c>
      <c r="E3553" s="2" t="s">
        <v>29</v>
      </c>
      <c r="F3553" s="2">
        <v>90</v>
      </c>
      <c r="G3553" s="2" t="s">
        <v>8374</v>
      </c>
      <c r="H3553" s="2" t="s">
        <v>6714</v>
      </c>
      <c r="I3553" s="2" t="s">
        <v>129</v>
      </c>
      <c r="J3553" s="3">
        <v>44734</v>
      </c>
      <c r="K3553" s="2">
        <v>61</v>
      </c>
      <c r="L3553" s="2" t="s">
        <v>159</v>
      </c>
    </row>
    <row r="3554" spans="1:12" x14ac:dyDescent="0.3">
      <c r="A3554" s="2">
        <v>3543</v>
      </c>
      <c r="B3554" s="2" t="s">
        <v>6557</v>
      </c>
      <c r="C3554" s="2" t="s">
        <v>6663</v>
      </c>
      <c r="D3554" s="2" t="s">
        <v>28</v>
      </c>
      <c r="E3554" s="2" t="s">
        <v>29</v>
      </c>
      <c r="F3554" s="2">
        <v>90</v>
      </c>
      <c r="G3554" s="2" t="s">
        <v>8375</v>
      </c>
      <c r="H3554" s="2" t="s">
        <v>3206</v>
      </c>
      <c r="I3554" s="2" t="s">
        <v>1199</v>
      </c>
      <c r="J3554" s="3">
        <v>44349</v>
      </c>
      <c r="K3554" s="2">
        <v>92</v>
      </c>
      <c r="L3554" s="2" t="s">
        <v>64</v>
      </c>
    </row>
    <row r="3555" spans="1:12" x14ac:dyDescent="0.3">
      <c r="A3555" s="2">
        <v>3544</v>
      </c>
      <c r="B3555" s="2" t="s">
        <v>8376</v>
      </c>
      <c r="C3555" s="2" t="s">
        <v>8377</v>
      </c>
      <c r="D3555" s="2" t="s">
        <v>51</v>
      </c>
      <c r="E3555" s="2" t="s">
        <v>16</v>
      </c>
      <c r="F3555" s="2">
        <v>60</v>
      </c>
      <c r="G3555" s="2" t="s">
        <v>8378</v>
      </c>
      <c r="H3555" s="2" t="s">
        <v>908</v>
      </c>
      <c r="I3555" s="2" t="s">
        <v>575</v>
      </c>
      <c r="J3555" s="3">
        <v>44045</v>
      </c>
      <c r="K3555" s="2">
        <v>51</v>
      </c>
      <c r="L3555" s="2" t="s">
        <v>64</v>
      </c>
    </row>
    <row r="3556" spans="1:12" x14ac:dyDescent="0.3">
      <c r="A3556" s="2">
        <v>3545</v>
      </c>
      <c r="B3556" s="2" t="s">
        <v>8379</v>
      </c>
      <c r="C3556" s="2" t="s">
        <v>770</v>
      </c>
      <c r="D3556" s="2" t="s">
        <v>15</v>
      </c>
      <c r="E3556" s="2" t="s">
        <v>16</v>
      </c>
      <c r="F3556" s="2">
        <v>90</v>
      </c>
      <c r="G3556" s="2" t="s">
        <v>8380</v>
      </c>
      <c r="H3556" s="2" t="s">
        <v>172</v>
      </c>
      <c r="I3556" s="2" t="s">
        <v>173</v>
      </c>
      <c r="J3556" s="3">
        <v>44596</v>
      </c>
      <c r="K3556" s="2">
        <v>16</v>
      </c>
      <c r="L3556" s="2" t="s">
        <v>20</v>
      </c>
    </row>
    <row r="3557" spans="1:12" x14ac:dyDescent="0.3">
      <c r="A3557" s="2">
        <v>3546</v>
      </c>
      <c r="B3557" s="2" t="s">
        <v>6717</v>
      </c>
      <c r="C3557" s="2" t="s">
        <v>4306</v>
      </c>
      <c r="D3557" s="2" t="s">
        <v>51</v>
      </c>
      <c r="E3557" s="2" t="s">
        <v>16</v>
      </c>
      <c r="F3557" s="2">
        <v>90</v>
      </c>
      <c r="G3557" s="2" t="s">
        <v>8381</v>
      </c>
      <c r="H3557" s="2" t="s">
        <v>4924</v>
      </c>
      <c r="I3557" s="2" t="s">
        <v>32</v>
      </c>
      <c r="J3557" s="3">
        <v>44119</v>
      </c>
      <c r="K3557" s="2">
        <v>10</v>
      </c>
      <c r="L3557" s="2" t="s">
        <v>39</v>
      </c>
    </row>
    <row r="3558" spans="1:12" x14ac:dyDescent="0.3">
      <c r="A3558" s="2">
        <v>3547</v>
      </c>
      <c r="B3558" s="2" t="s">
        <v>2922</v>
      </c>
      <c r="C3558" s="2" t="s">
        <v>858</v>
      </c>
      <c r="D3558" s="2" t="s">
        <v>15</v>
      </c>
      <c r="E3558" s="2" t="s">
        <v>16</v>
      </c>
      <c r="F3558" s="2">
        <v>60</v>
      </c>
      <c r="G3558" s="2" t="s">
        <v>8382</v>
      </c>
      <c r="H3558" s="2" t="s">
        <v>244</v>
      </c>
      <c r="I3558" s="2" t="s">
        <v>240</v>
      </c>
      <c r="J3558" s="3">
        <v>44016</v>
      </c>
      <c r="K3558" s="2">
        <v>51</v>
      </c>
      <c r="L3558" s="2" t="s">
        <v>33</v>
      </c>
    </row>
    <row r="3559" spans="1:12" x14ac:dyDescent="0.3">
      <c r="A3559" s="2">
        <v>3548</v>
      </c>
      <c r="B3559" s="2" t="s">
        <v>2164</v>
      </c>
      <c r="C3559" s="2" t="s">
        <v>3435</v>
      </c>
      <c r="D3559" s="2" t="s">
        <v>51</v>
      </c>
      <c r="E3559" s="2" t="s">
        <v>16</v>
      </c>
      <c r="F3559" s="2">
        <v>90</v>
      </c>
      <c r="G3559" s="2" t="s">
        <v>8383</v>
      </c>
      <c r="H3559" s="2" t="s">
        <v>7598</v>
      </c>
      <c r="I3559" s="2" t="s">
        <v>187</v>
      </c>
      <c r="J3559" s="3">
        <v>43886</v>
      </c>
      <c r="K3559" s="2">
        <v>85</v>
      </c>
      <c r="L3559" s="2" t="s">
        <v>70</v>
      </c>
    </row>
    <row r="3560" spans="1:12" x14ac:dyDescent="0.3">
      <c r="A3560" s="2">
        <v>3549</v>
      </c>
      <c r="B3560" s="2" t="s">
        <v>3805</v>
      </c>
      <c r="C3560" s="2" t="s">
        <v>1212</v>
      </c>
      <c r="D3560" s="2" t="s">
        <v>28</v>
      </c>
      <c r="E3560" s="2" t="s">
        <v>29</v>
      </c>
      <c r="F3560" s="2">
        <v>60</v>
      </c>
      <c r="G3560" s="2" t="s">
        <v>8383</v>
      </c>
      <c r="H3560" s="2" t="s">
        <v>957</v>
      </c>
      <c r="I3560" s="2" t="s">
        <v>95</v>
      </c>
      <c r="J3560" s="3">
        <v>44883</v>
      </c>
      <c r="K3560" s="2">
        <v>57</v>
      </c>
      <c r="L3560" s="2" t="s">
        <v>80</v>
      </c>
    </row>
    <row r="3561" spans="1:12" x14ac:dyDescent="0.3">
      <c r="A3561" s="2">
        <v>3550</v>
      </c>
      <c r="B3561" s="2" t="s">
        <v>6419</v>
      </c>
      <c r="C3561" s="2" t="s">
        <v>2246</v>
      </c>
      <c r="D3561" s="2" t="s">
        <v>28</v>
      </c>
      <c r="E3561" s="2" t="s">
        <v>29</v>
      </c>
      <c r="F3561" s="2">
        <v>90</v>
      </c>
      <c r="G3561" s="2" t="s">
        <v>8384</v>
      </c>
      <c r="H3561" s="2" t="s">
        <v>694</v>
      </c>
      <c r="I3561" s="2" t="s">
        <v>32</v>
      </c>
      <c r="J3561" s="3">
        <v>44873</v>
      </c>
      <c r="K3561" s="2">
        <v>61</v>
      </c>
      <c r="L3561" s="2" t="s">
        <v>20</v>
      </c>
    </row>
    <row r="3562" spans="1:12" x14ac:dyDescent="0.3">
      <c r="A3562" s="2">
        <v>3551</v>
      </c>
      <c r="B3562" s="2" t="s">
        <v>3519</v>
      </c>
      <c r="C3562" s="2" t="s">
        <v>8385</v>
      </c>
      <c r="D3562" s="2" t="s">
        <v>28</v>
      </c>
      <c r="E3562" s="2" t="s">
        <v>29</v>
      </c>
      <c r="F3562" s="2">
        <v>90</v>
      </c>
      <c r="G3562" s="2" t="s">
        <v>8386</v>
      </c>
      <c r="H3562" s="2" t="s">
        <v>5427</v>
      </c>
      <c r="I3562" s="2" t="s">
        <v>32</v>
      </c>
      <c r="J3562" s="3">
        <v>44335</v>
      </c>
      <c r="K3562" s="2">
        <v>39</v>
      </c>
      <c r="L3562" s="2" t="s">
        <v>39</v>
      </c>
    </row>
    <row r="3563" spans="1:12" x14ac:dyDescent="0.3">
      <c r="A3563" s="2">
        <v>3552</v>
      </c>
      <c r="B3563" s="2" t="s">
        <v>612</v>
      </c>
      <c r="C3563" s="2" t="s">
        <v>972</v>
      </c>
      <c r="D3563" s="2" t="s">
        <v>15</v>
      </c>
      <c r="E3563" s="2" t="s">
        <v>16</v>
      </c>
      <c r="F3563" s="2">
        <v>90</v>
      </c>
      <c r="G3563" s="2" t="s">
        <v>8387</v>
      </c>
      <c r="H3563" s="2" t="s">
        <v>4631</v>
      </c>
      <c r="I3563" s="2" t="s">
        <v>187</v>
      </c>
      <c r="J3563" s="3">
        <v>44573</v>
      </c>
      <c r="K3563" s="2">
        <v>86</v>
      </c>
      <c r="L3563" s="2" t="s">
        <v>20</v>
      </c>
    </row>
    <row r="3564" spans="1:12" x14ac:dyDescent="0.3">
      <c r="A3564" s="2">
        <v>3553</v>
      </c>
      <c r="B3564" s="2" t="s">
        <v>8388</v>
      </c>
      <c r="C3564" s="2" t="s">
        <v>5431</v>
      </c>
      <c r="D3564" s="2" t="s">
        <v>51</v>
      </c>
      <c r="E3564" s="2" t="s">
        <v>16</v>
      </c>
      <c r="F3564" s="2">
        <v>30</v>
      </c>
      <c r="G3564" s="2" t="s">
        <v>8389</v>
      </c>
      <c r="H3564" s="2" t="s">
        <v>6249</v>
      </c>
      <c r="I3564" s="2" t="s">
        <v>38</v>
      </c>
      <c r="J3564" s="3">
        <v>44497</v>
      </c>
      <c r="K3564" s="2">
        <v>50</v>
      </c>
      <c r="L3564" s="2" t="s">
        <v>101</v>
      </c>
    </row>
    <row r="3565" spans="1:12" x14ac:dyDescent="0.3">
      <c r="A3565" s="2">
        <v>3554</v>
      </c>
      <c r="B3565" s="2" t="s">
        <v>3811</v>
      </c>
      <c r="C3565" s="2" t="s">
        <v>2829</v>
      </c>
      <c r="D3565" s="2" t="s">
        <v>28</v>
      </c>
      <c r="E3565" s="2" t="s">
        <v>29</v>
      </c>
      <c r="F3565" s="2">
        <v>30</v>
      </c>
      <c r="G3565" s="2" t="s">
        <v>8390</v>
      </c>
      <c r="H3565" s="2" t="s">
        <v>3433</v>
      </c>
      <c r="I3565" s="2" t="s">
        <v>1199</v>
      </c>
      <c r="J3565" s="3">
        <v>44670</v>
      </c>
      <c r="K3565" s="2">
        <v>8</v>
      </c>
      <c r="L3565" s="2" t="s">
        <v>64</v>
      </c>
    </row>
    <row r="3566" spans="1:12" x14ac:dyDescent="0.3">
      <c r="A3566" s="2">
        <v>3555</v>
      </c>
      <c r="B3566" s="2" t="s">
        <v>657</v>
      </c>
      <c r="C3566" s="2" t="s">
        <v>8377</v>
      </c>
      <c r="D3566" s="2" t="s">
        <v>28</v>
      </c>
      <c r="E3566" s="2" t="s">
        <v>29</v>
      </c>
      <c r="F3566" s="2">
        <v>30</v>
      </c>
      <c r="G3566" s="2" t="s">
        <v>8391</v>
      </c>
      <c r="H3566" s="2" t="s">
        <v>8392</v>
      </c>
      <c r="I3566" s="2" t="s">
        <v>32</v>
      </c>
      <c r="J3566" s="3">
        <v>43951</v>
      </c>
      <c r="K3566" s="2">
        <v>9</v>
      </c>
      <c r="L3566" s="2" t="s">
        <v>39</v>
      </c>
    </row>
    <row r="3567" spans="1:12" x14ac:dyDescent="0.3">
      <c r="A3567" s="2">
        <v>3556</v>
      </c>
      <c r="B3567" s="2" t="s">
        <v>8393</v>
      </c>
      <c r="C3567" s="2" t="s">
        <v>1700</v>
      </c>
      <c r="D3567" s="2" t="s">
        <v>51</v>
      </c>
      <c r="E3567" s="2" t="s">
        <v>16</v>
      </c>
      <c r="F3567" s="2">
        <v>60</v>
      </c>
      <c r="G3567" s="2" t="s">
        <v>8394</v>
      </c>
      <c r="H3567" s="2" t="s">
        <v>4955</v>
      </c>
      <c r="I3567" s="2" t="s">
        <v>645</v>
      </c>
      <c r="J3567" s="3">
        <v>44018</v>
      </c>
      <c r="K3567" s="2">
        <v>52</v>
      </c>
      <c r="L3567" s="2" t="s">
        <v>33</v>
      </c>
    </row>
    <row r="3568" spans="1:12" x14ac:dyDescent="0.3">
      <c r="A3568" s="2">
        <v>3557</v>
      </c>
      <c r="B3568" s="2" t="s">
        <v>6605</v>
      </c>
      <c r="C3568" s="2" t="s">
        <v>840</v>
      </c>
      <c r="D3568" s="2" t="s">
        <v>28</v>
      </c>
      <c r="E3568" s="2" t="s">
        <v>29</v>
      </c>
      <c r="F3568" s="2">
        <v>90</v>
      </c>
      <c r="G3568" s="2" t="s">
        <v>8395</v>
      </c>
      <c r="H3568" s="2" t="s">
        <v>526</v>
      </c>
      <c r="I3568" s="2" t="s">
        <v>32</v>
      </c>
      <c r="J3568" s="3">
        <v>44378</v>
      </c>
      <c r="K3568" s="2">
        <v>43</v>
      </c>
      <c r="L3568" s="2" t="s">
        <v>159</v>
      </c>
    </row>
    <row r="3569" spans="1:12" x14ac:dyDescent="0.3">
      <c r="A3569" s="2">
        <v>3558</v>
      </c>
      <c r="B3569" s="2" t="s">
        <v>7992</v>
      </c>
      <c r="C3569" s="2" t="s">
        <v>131</v>
      </c>
      <c r="D3569" s="2" t="s">
        <v>28</v>
      </c>
      <c r="E3569" s="2" t="s">
        <v>29</v>
      </c>
      <c r="F3569" s="2">
        <v>90</v>
      </c>
      <c r="G3569" s="2" t="s">
        <v>8396</v>
      </c>
      <c r="H3569" s="2" t="s">
        <v>2233</v>
      </c>
      <c r="I3569" s="2" t="s">
        <v>187</v>
      </c>
      <c r="J3569" s="3">
        <v>44376</v>
      </c>
      <c r="K3569" s="2">
        <v>44</v>
      </c>
      <c r="L3569" s="2" t="s">
        <v>159</v>
      </c>
    </row>
    <row r="3570" spans="1:12" x14ac:dyDescent="0.3">
      <c r="A3570" s="2">
        <v>3559</v>
      </c>
      <c r="B3570" s="2" t="s">
        <v>8397</v>
      </c>
      <c r="C3570" s="2" t="s">
        <v>3416</v>
      </c>
      <c r="D3570" s="2" t="s">
        <v>51</v>
      </c>
      <c r="E3570" s="2" t="s">
        <v>16</v>
      </c>
      <c r="F3570" s="2">
        <v>60</v>
      </c>
      <c r="G3570" s="2" t="s">
        <v>8398</v>
      </c>
      <c r="H3570" s="2" t="s">
        <v>1819</v>
      </c>
      <c r="I3570" s="2" t="s">
        <v>89</v>
      </c>
      <c r="J3570" s="3">
        <v>44014</v>
      </c>
      <c r="K3570" s="2">
        <v>50</v>
      </c>
      <c r="L3570" s="2" t="s">
        <v>159</v>
      </c>
    </row>
    <row r="3571" spans="1:12" x14ac:dyDescent="0.3">
      <c r="A3571" s="2">
        <v>3560</v>
      </c>
      <c r="B3571" s="2" t="s">
        <v>5662</v>
      </c>
      <c r="C3571" s="2" t="s">
        <v>629</v>
      </c>
      <c r="D3571" s="2" t="s">
        <v>28</v>
      </c>
      <c r="E3571" s="2" t="s">
        <v>29</v>
      </c>
      <c r="F3571" s="2">
        <v>90</v>
      </c>
      <c r="G3571" s="2" t="s">
        <v>8399</v>
      </c>
      <c r="H3571" s="2" t="s">
        <v>3730</v>
      </c>
      <c r="I3571" s="2" t="s">
        <v>32</v>
      </c>
      <c r="J3571" s="3">
        <v>44847</v>
      </c>
      <c r="K3571" s="2">
        <v>82</v>
      </c>
      <c r="L3571" s="2" t="s">
        <v>33</v>
      </c>
    </row>
    <row r="3572" spans="1:12" x14ac:dyDescent="0.3">
      <c r="A3572" s="2">
        <v>3561</v>
      </c>
      <c r="B3572" s="2" t="s">
        <v>8400</v>
      </c>
      <c r="C3572" s="2" t="s">
        <v>2054</v>
      </c>
      <c r="D3572" s="2" t="s">
        <v>28</v>
      </c>
      <c r="E3572" s="2" t="s">
        <v>29</v>
      </c>
      <c r="F3572" s="2">
        <v>30</v>
      </c>
      <c r="G3572" s="2" t="s">
        <v>8401</v>
      </c>
      <c r="H3572" s="2" t="s">
        <v>4030</v>
      </c>
      <c r="I3572" s="2" t="s">
        <v>32</v>
      </c>
      <c r="J3572" s="3">
        <v>44565</v>
      </c>
      <c r="K3572" s="2">
        <v>93</v>
      </c>
      <c r="L3572" s="2" t="s">
        <v>70</v>
      </c>
    </row>
    <row r="3573" spans="1:12" x14ac:dyDescent="0.3">
      <c r="A3573" s="2">
        <v>3562</v>
      </c>
      <c r="B3573" s="2" t="s">
        <v>2746</v>
      </c>
      <c r="C3573" s="2" t="s">
        <v>1131</v>
      </c>
      <c r="D3573" s="2" t="s">
        <v>51</v>
      </c>
      <c r="E3573" s="2" t="s">
        <v>16</v>
      </c>
      <c r="F3573" s="2">
        <v>60</v>
      </c>
      <c r="G3573" s="2" t="s">
        <v>8402</v>
      </c>
      <c r="H3573" s="2" t="s">
        <v>1834</v>
      </c>
      <c r="I3573" s="2" t="s">
        <v>32</v>
      </c>
      <c r="J3573" s="3">
        <v>44215</v>
      </c>
      <c r="K3573" s="2">
        <v>14</v>
      </c>
      <c r="L3573" s="2" t="s">
        <v>45</v>
      </c>
    </row>
    <row r="3574" spans="1:12" x14ac:dyDescent="0.3">
      <c r="A3574" s="2">
        <v>3563</v>
      </c>
      <c r="B3574" s="2" t="s">
        <v>8403</v>
      </c>
      <c r="C3574" s="2" t="s">
        <v>1840</v>
      </c>
      <c r="D3574" s="2" t="s">
        <v>51</v>
      </c>
      <c r="E3574" s="2" t="s">
        <v>16</v>
      </c>
      <c r="F3574" s="2">
        <v>30</v>
      </c>
      <c r="G3574" s="2" t="s">
        <v>8404</v>
      </c>
      <c r="H3574" s="2" t="s">
        <v>1625</v>
      </c>
      <c r="I3574" s="2" t="s">
        <v>32</v>
      </c>
      <c r="J3574" s="3">
        <v>44149</v>
      </c>
      <c r="K3574" s="2">
        <v>14</v>
      </c>
      <c r="L3574" s="2" t="s">
        <v>64</v>
      </c>
    </row>
    <row r="3575" spans="1:12" x14ac:dyDescent="0.3">
      <c r="A3575" s="2">
        <v>3564</v>
      </c>
      <c r="B3575" s="2" t="s">
        <v>8405</v>
      </c>
      <c r="C3575" s="2" t="s">
        <v>5786</v>
      </c>
      <c r="D3575" s="2" t="s">
        <v>15</v>
      </c>
      <c r="E3575" s="2" t="s">
        <v>16</v>
      </c>
      <c r="F3575" s="2">
        <v>60</v>
      </c>
      <c r="G3575" s="2" t="s">
        <v>8406</v>
      </c>
      <c r="H3575" s="2" t="s">
        <v>3261</v>
      </c>
      <c r="I3575" s="2" t="s">
        <v>124</v>
      </c>
      <c r="J3575" s="3">
        <v>44742</v>
      </c>
      <c r="K3575" s="2">
        <v>25</v>
      </c>
      <c r="L3575" s="2" t="s">
        <v>39</v>
      </c>
    </row>
    <row r="3576" spans="1:12" x14ac:dyDescent="0.3">
      <c r="A3576" s="2">
        <v>3565</v>
      </c>
      <c r="B3576" s="2" t="s">
        <v>8407</v>
      </c>
      <c r="C3576" s="2" t="s">
        <v>1392</v>
      </c>
      <c r="D3576" s="2" t="s">
        <v>28</v>
      </c>
      <c r="E3576" s="2" t="s">
        <v>29</v>
      </c>
      <c r="F3576" s="2">
        <v>90</v>
      </c>
      <c r="G3576" s="2" t="s">
        <v>8408</v>
      </c>
      <c r="H3576" s="2" t="s">
        <v>793</v>
      </c>
      <c r="I3576" s="2" t="s">
        <v>178</v>
      </c>
      <c r="J3576" s="3">
        <v>44291</v>
      </c>
      <c r="K3576" s="2">
        <v>44</v>
      </c>
      <c r="L3576" s="2" t="s">
        <v>54</v>
      </c>
    </row>
    <row r="3577" spans="1:12" x14ac:dyDescent="0.3">
      <c r="A3577" s="2">
        <v>3566</v>
      </c>
      <c r="B3577" s="2" t="s">
        <v>6378</v>
      </c>
      <c r="C3577" s="2" t="s">
        <v>6425</v>
      </c>
      <c r="D3577" s="2" t="s">
        <v>28</v>
      </c>
      <c r="E3577" s="2" t="s">
        <v>29</v>
      </c>
      <c r="F3577" s="2">
        <v>90</v>
      </c>
      <c r="G3577" s="2" t="s">
        <v>8409</v>
      </c>
      <c r="H3577" s="2" t="s">
        <v>3854</v>
      </c>
      <c r="I3577" s="2" t="s">
        <v>38</v>
      </c>
      <c r="J3577" s="3">
        <v>44363</v>
      </c>
      <c r="K3577" s="2">
        <v>17</v>
      </c>
      <c r="L3577" s="2" t="s">
        <v>33</v>
      </c>
    </row>
    <row r="3578" spans="1:12" x14ac:dyDescent="0.3">
      <c r="A3578" s="2">
        <v>3567</v>
      </c>
      <c r="B3578" s="2" t="s">
        <v>8410</v>
      </c>
      <c r="C3578" s="2" t="s">
        <v>5928</v>
      </c>
      <c r="D3578" s="2" t="s">
        <v>51</v>
      </c>
      <c r="E3578" s="2" t="s">
        <v>16</v>
      </c>
      <c r="F3578" s="2">
        <v>90</v>
      </c>
      <c r="G3578" s="2" t="s">
        <v>8411</v>
      </c>
      <c r="H3578" s="2" t="s">
        <v>1070</v>
      </c>
      <c r="I3578" s="2" t="s">
        <v>32</v>
      </c>
      <c r="J3578" s="3">
        <v>43837</v>
      </c>
      <c r="K3578" s="2">
        <v>45</v>
      </c>
      <c r="L3578" s="2" t="s">
        <v>54</v>
      </c>
    </row>
    <row r="3579" spans="1:12" x14ac:dyDescent="0.3">
      <c r="A3579" s="2">
        <v>3568</v>
      </c>
      <c r="B3579" s="2" t="s">
        <v>7690</v>
      </c>
      <c r="C3579" s="2" t="s">
        <v>8412</v>
      </c>
      <c r="D3579" s="2" t="s">
        <v>28</v>
      </c>
      <c r="E3579" s="2" t="s">
        <v>29</v>
      </c>
      <c r="F3579" s="2">
        <v>60</v>
      </c>
      <c r="G3579" s="2" t="s">
        <v>8413</v>
      </c>
      <c r="H3579" s="2" t="s">
        <v>5867</v>
      </c>
      <c r="I3579" s="2" t="s">
        <v>32</v>
      </c>
      <c r="J3579" s="3">
        <v>44308</v>
      </c>
      <c r="K3579" s="2">
        <v>85</v>
      </c>
      <c r="L3579" s="2" t="s">
        <v>33</v>
      </c>
    </row>
    <row r="3580" spans="1:12" x14ac:dyDescent="0.3">
      <c r="A3580" s="2">
        <v>3569</v>
      </c>
      <c r="B3580" s="2" t="s">
        <v>1616</v>
      </c>
      <c r="C3580" s="2" t="s">
        <v>680</v>
      </c>
      <c r="D3580" s="2" t="s">
        <v>15</v>
      </c>
      <c r="E3580" s="2" t="s">
        <v>16</v>
      </c>
      <c r="F3580" s="2">
        <v>30</v>
      </c>
      <c r="G3580" s="2" t="s">
        <v>8414</v>
      </c>
      <c r="H3580" s="2" t="s">
        <v>1422</v>
      </c>
      <c r="I3580" s="2" t="s">
        <v>575</v>
      </c>
      <c r="J3580" s="3">
        <v>43939</v>
      </c>
      <c r="K3580" s="2">
        <v>15</v>
      </c>
      <c r="L3580" s="2" t="s">
        <v>33</v>
      </c>
    </row>
    <row r="3581" spans="1:12" x14ac:dyDescent="0.3">
      <c r="A3581" s="2">
        <v>3570</v>
      </c>
      <c r="B3581" s="2" t="s">
        <v>8415</v>
      </c>
      <c r="C3581" s="2" t="s">
        <v>354</v>
      </c>
      <c r="D3581" s="2" t="s">
        <v>41</v>
      </c>
      <c r="E3581" s="2" t="s">
        <v>16</v>
      </c>
      <c r="F3581" s="2">
        <v>30</v>
      </c>
      <c r="G3581" s="2" t="s">
        <v>8416</v>
      </c>
      <c r="H3581" s="2" t="s">
        <v>1292</v>
      </c>
      <c r="I3581" s="2" t="s">
        <v>32</v>
      </c>
      <c r="J3581" s="3">
        <v>44051</v>
      </c>
      <c r="K3581" s="2">
        <v>51</v>
      </c>
      <c r="L3581" s="2" t="s">
        <v>54</v>
      </c>
    </row>
    <row r="3582" spans="1:12" x14ac:dyDescent="0.3">
      <c r="A3582" s="2">
        <v>3571</v>
      </c>
      <c r="B3582" s="2" t="s">
        <v>4257</v>
      </c>
      <c r="C3582" s="2" t="s">
        <v>1688</v>
      </c>
      <c r="D3582" s="2" t="s">
        <v>28</v>
      </c>
      <c r="E3582" s="2" t="s">
        <v>29</v>
      </c>
      <c r="F3582" s="2">
        <v>30</v>
      </c>
      <c r="G3582" s="2" t="s">
        <v>10450</v>
      </c>
      <c r="H3582" s="2" t="s">
        <v>5473</v>
      </c>
      <c r="I3582" s="2" t="s">
        <v>240</v>
      </c>
      <c r="J3582" s="3">
        <v>43888</v>
      </c>
      <c r="K3582" s="2">
        <v>7</v>
      </c>
      <c r="L3582" s="2" t="s">
        <v>45</v>
      </c>
    </row>
    <row r="3583" spans="1:12" x14ac:dyDescent="0.3">
      <c r="A3583" s="2">
        <v>3572</v>
      </c>
      <c r="B3583" s="2" t="s">
        <v>8418</v>
      </c>
      <c r="C3583" s="2" t="s">
        <v>8419</v>
      </c>
      <c r="D3583" s="2" t="s">
        <v>28</v>
      </c>
      <c r="E3583" s="2" t="s">
        <v>29</v>
      </c>
      <c r="F3583" s="2">
        <v>30</v>
      </c>
      <c r="G3583" s="2" t="s">
        <v>8420</v>
      </c>
      <c r="H3583" s="2" t="s">
        <v>6080</v>
      </c>
      <c r="I3583" s="2" t="s">
        <v>32</v>
      </c>
      <c r="J3583" s="3">
        <v>43877</v>
      </c>
      <c r="K3583" s="2">
        <v>43</v>
      </c>
      <c r="L3583" s="2" t="s">
        <v>159</v>
      </c>
    </row>
    <row r="3584" spans="1:12" x14ac:dyDescent="0.3">
      <c r="A3584" s="2">
        <v>3573</v>
      </c>
      <c r="B3584" s="2" t="s">
        <v>8421</v>
      </c>
      <c r="C3584" s="2" t="s">
        <v>6477</v>
      </c>
      <c r="D3584" s="2" t="s">
        <v>15</v>
      </c>
      <c r="E3584" s="2" t="s">
        <v>16</v>
      </c>
      <c r="F3584" s="2">
        <v>60</v>
      </c>
      <c r="G3584" s="2" t="s">
        <v>8420</v>
      </c>
      <c r="H3584" s="2" t="s">
        <v>8422</v>
      </c>
      <c r="I3584" s="2" t="s">
        <v>32</v>
      </c>
      <c r="J3584" s="3">
        <v>43834</v>
      </c>
      <c r="K3584" s="2">
        <v>31</v>
      </c>
      <c r="L3584" s="2" t="s">
        <v>39</v>
      </c>
    </row>
    <row r="3585" spans="1:12" x14ac:dyDescent="0.3">
      <c r="A3585" s="2">
        <v>3574</v>
      </c>
      <c r="B3585" s="2" t="s">
        <v>5623</v>
      </c>
      <c r="C3585" s="2" t="s">
        <v>2051</v>
      </c>
      <c r="D3585" s="2" t="s">
        <v>28</v>
      </c>
      <c r="E3585" s="2" t="s">
        <v>29</v>
      </c>
      <c r="F3585" s="2">
        <v>60</v>
      </c>
      <c r="G3585" s="2" t="s">
        <v>8423</v>
      </c>
      <c r="H3585" s="2" t="s">
        <v>514</v>
      </c>
      <c r="I3585" s="2" t="s">
        <v>19</v>
      </c>
      <c r="J3585" s="3">
        <v>44508</v>
      </c>
      <c r="K3585" s="2">
        <v>92</v>
      </c>
      <c r="L3585" s="2" t="s">
        <v>39</v>
      </c>
    </row>
    <row r="3586" spans="1:12" x14ac:dyDescent="0.3">
      <c r="A3586" s="2">
        <v>3575</v>
      </c>
      <c r="B3586" s="2" t="s">
        <v>4494</v>
      </c>
      <c r="C3586" s="2" t="s">
        <v>5876</v>
      </c>
      <c r="D3586" s="2" t="s">
        <v>117</v>
      </c>
      <c r="E3586" s="2" t="s">
        <v>29</v>
      </c>
      <c r="F3586" s="2">
        <v>90</v>
      </c>
      <c r="G3586" s="2" t="s">
        <v>8424</v>
      </c>
      <c r="H3586" s="2" t="s">
        <v>3449</v>
      </c>
      <c r="I3586" s="2" t="s">
        <v>187</v>
      </c>
      <c r="J3586" s="3">
        <v>44054</v>
      </c>
      <c r="K3586" s="2">
        <v>82</v>
      </c>
      <c r="L3586" s="2" t="s">
        <v>54</v>
      </c>
    </row>
    <row r="3587" spans="1:12" x14ac:dyDescent="0.3">
      <c r="A3587" s="2">
        <v>3576</v>
      </c>
      <c r="B3587" s="2" t="s">
        <v>8425</v>
      </c>
      <c r="C3587" s="2" t="s">
        <v>8426</v>
      </c>
      <c r="D3587" s="2" t="s">
        <v>15</v>
      </c>
      <c r="E3587" s="2" t="s">
        <v>16</v>
      </c>
      <c r="F3587" s="2">
        <v>30</v>
      </c>
      <c r="G3587" s="2" t="s">
        <v>8427</v>
      </c>
      <c r="H3587" s="2" t="s">
        <v>412</v>
      </c>
      <c r="I3587" s="2" t="s">
        <v>187</v>
      </c>
      <c r="J3587" s="3">
        <v>44253</v>
      </c>
      <c r="K3587" s="2">
        <v>44</v>
      </c>
      <c r="L3587" s="2" t="s">
        <v>64</v>
      </c>
    </row>
    <row r="3588" spans="1:12" x14ac:dyDescent="0.3">
      <c r="A3588" s="2">
        <v>3577</v>
      </c>
      <c r="B3588" s="2" t="s">
        <v>8428</v>
      </c>
      <c r="C3588" s="2" t="s">
        <v>3301</v>
      </c>
      <c r="D3588" s="2" t="s">
        <v>51</v>
      </c>
      <c r="E3588" s="2" t="s">
        <v>16</v>
      </c>
      <c r="F3588" s="2">
        <v>90</v>
      </c>
      <c r="G3588" s="2" t="s">
        <v>8429</v>
      </c>
      <c r="H3588" s="2" t="s">
        <v>2997</v>
      </c>
      <c r="I3588" s="2" t="s">
        <v>32</v>
      </c>
      <c r="J3588" s="3">
        <v>44756</v>
      </c>
      <c r="K3588" s="2">
        <v>22</v>
      </c>
      <c r="L3588" s="2" t="s">
        <v>80</v>
      </c>
    </row>
    <row r="3589" spans="1:12" x14ac:dyDescent="0.3">
      <c r="A3589" s="2">
        <v>3578</v>
      </c>
      <c r="B3589" s="2" t="s">
        <v>3904</v>
      </c>
      <c r="C3589" s="2" t="s">
        <v>1172</v>
      </c>
      <c r="D3589" s="2" t="s">
        <v>15</v>
      </c>
      <c r="E3589" s="2" t="s">
        <v>16</v>
      </c>
      <c r="F3589" s="2">
        <v>30</v>
      </c>
      <c r="G3589" s="2" t="s">
        <v>8430</v>
      </c>
      <c r="H3589" s="2" t="s">
        <v>4870</v>
      </c>
      <c r="I3589" s="2" t="s">
        <v>146</v>
      </c>
      <c r="J3589" s="3">
        <v>43850</v>
      </c>
      <c r="K3589" s="2">
        <v>43</v>
      </c>
      <c r="L3589" s="2" t="s">
        <v>70</v>
      </c>
    </row>
    <row r="3590" spans="1:12" x14ac:dyDescent="0.3">
      <c r="A3590" s="2">
        <v>3579</v>
      </c>
      <c r="B3590" s="2" t="s">
        <v>7243</v>
      </c>
      <c r="C3590" s="2" t="s">
        <v>2977</v>
      </c>
      <c r="D3590" s="2" t="s">
        <v>15</v>
      </c>
      <c r="E3590" s="2" t="s">
        <v>16</v>
      </c>
      <c r="F3590" s="2">
        <v>60</v>
      </c>
      <c r="G3590" s="2" t="s">
        <v>8431</v>
      </c>
      <c r="H3590" s="2" t="s">
        <v>1575</v>
      </c>
      <c r="I3590" s="2" t="s">
        <v>1576</v>
      </c>
      <c r="J3590" s="3">
        <v>44861</v>
      </c>
      <c r="K3590" s="2">
        <v>50</v>
      </c>
      <c r="L3590" s="2" t="s">
        <v>159</v>
      </c>
    </row>
    <row r="3591" spans="1:12" x14ac:dyDescent="0.3">
      <c r="A3591" s="2">
        <v>3580</v>
      </c>
      <c r="B3591" s="2" t="s">
        <v>8432</v>
      </c>
      <c r="C3591" s="2" t="s">
        <v>3173</v>
      </c>
      <c r="D3591" s="2" t="s">
        <v>41</v>
      </c>
      <c r="E3591" s="2" t="s">
        <v>16</v>
      </c>
      <c r="F3591" s="2">
        <v>30</v>
      </c>
      <c r="G3591" s="2" t="s">
        <v>8433</v>
      </c>
      <c r="H3591" s="2" t="s">
        <v>5477</v>
      </c>
      <c r="I3591" s="2" t="s">
        <v>187</v>
      </c>
      <c r="J3591" s="3">
        <v>44566</v>
      </c>
      <c r="K3591" s="2">
        <v>98</v>
      </c>
      <c r="L3591" s="2" t="s">
        <v>45</v>
      </c>
    </row>
    <row r="3592" spans="1:12" x14ac:dyDescent="0.3">
      <c r="A3592" s="2">
        <v>3581</v>
      </c>
      <c r="B3592" s="2" t="s">
        <v>4247</v>
      </c>
      <c r="C3592" s="2" t="s">
        <v>581</v>
      </c>
      <c r="D3592" s="2" t="s">
        <v>51</v>
      </c>
      <c r="E3592" s="2" t="s">
        <v>16</v>
      </c>
      <c r="F3592" s="2">
        <v>30</v>
      </c>
      <c r="G3592" s="2" t="s">
        <v>8434</v>
      </c>
      <c r="H3592" s="2" t="s">
        <v>738</v>
      </c>
      <c r="I3592" s="2" t="s">
        <v>38</v>
      </c>
      <c r="J3592" s="3">
        <v>44381</v>
      </c>
      <c r="K3592" s="2">
        <v>14</v>
      </c>
      <c r="L3592" s="2" t="s">
        <v>33</v>
      </c>
    </row>
    <row r="3593" spans="1:12" x14ac:dyDescent="0.3">
      <c r="A3593" s="2">
        <v>3582</v>
      </c>
      <c r="B3593" s="2" t="s">
        <v>5287</v>
      </c>
      <c r="C3593" s="2" t="s">
        <v>4005</v>
      </c>
      <c r="D3593" s="2" t="s">
        <v>51</v>
      </c>
      <c r="E3593" s="2" t="s">
        <v>16</v>
      </c>
      <c r="F3593" s="2">
        <v>30</v>
      </c>
      <c r="G3593" s="2" t="s">
        <v>8435</v>
      </c>
      <c r="H3593" s="2" t="s">
        <v>5148</v>
      </c>
      <c r="I3593" s="2" t="s">
        <v>32</v>
      </c>
      <c r="J3593" s="3">
        <v>44575</v>
      </c>
      <c r="K3593" s="2">
        <v>49</v>
      </c>
      <c r="L3593" s="2" t="s">
        <v>39</v>
      </c>
    </row>
    <row r="3594" spans="1:12" x14ac:dyDescent="0.3">
      <c r="A3594" s="2">
        <v>3583</v>
      </c>
      <c r="B3594" s="2" t="s">
        <v>1405</v>
      </c>
      <c r="C3594" s="2" t="s">
        <v>1109</v>
      </c>
      <c r="D3594" s="2" t="s">
        <v>28</v>
      </c>
      <c r="E3594" s="2" t="s">
        <v>29</v>
      </c>
      <c r="F3594" s="2">
        <v>60</v>
      </c>
      <c r="G3594" s="2" t="s">
        <v>8436</v>
      </c>
      <c r="H3594" s="2" t="s">
        <v>3208</v>
      </c>
      <c r="I3594" s="2" t="s">
        <v>32</v>
      </c>
      <c r="J3594" s="3">
        <v>43940</v>
      </c>
      <c r="K3594" s="2">
        <v>60</v>
      </c>
      <c r="L3594" s="2" t="s">
        <v>54</v>
      </c>
    </row>
    <row r="3595" spans="1:12" x14ac:dyDescent="0.3">
      <c r="A3595" s="2">
        <v>3584</v>
      </c>
      <c r="B3595" s="2" t="s">
        <v>5147</v>
      </c>
      <c r="C3595" s="2" t="s">
        <v>5534</v>
      </c>
      <c r="D3595" s="2" t="s">
        <v>28</v>
      </c>
      <c r="E3595" s="2" t="s">
        <v>29</v>
      </c>
      <c r="F3595" s="2">
        <v>60</v>
      </c>
      <c r="G3595" s="2" t="s">
        <v>8437</v>
      </c>
      <c r="H3595" s="2" t="s">
        <v>3396</v>
      </c>
      <c r="I3595" s="2" t="s">
        <v>32</v>
      </c>
      <c r="J3595" s="3">
        <v>44323</v>
      </c>
      <c r="K3595" s="2">
        <v>54</v>
      </c>
      <c r="L3595" s="2" t="s">
        <v>64</v>
      </c>
    </row>
    <row r="3596" spans="1:12" x14ac:dyDescent="0.3">
      <c r="A3596" s="2">
        <v>3585</v>
      </c>
      <c r="B3596" s="2" t="s">
        <v>402</v>
      </c>
      <c r="C3596" s="2" t="s">
        <v>1105</v>
      </c>
      <c r="D3596" s="2" t="s">
        <v>15</v>
      </c>
      <c r="E3596" s="2" t="s">
        <v>16</v>
      </c>
      <c r="F3596" s="2">
        <v>60</v>
      </c>
      <c r="G3596" s="2" t="s">
        <v>8437</v>
      </c>
      <c r="H3596" s="2" t="s">
        <v>5099</v>
      </c>
      <c r="I3596" s="2" t="s">
        <v>32</v>
      </c>
      <c r="J3596" s="3">
        <v>44350</v>
      </c>
      <c r="K3596" s="2">
        <v>38</v>
      </c>
      <c r="L3596" s="2" t="s">
        <v>64</v>
      </c>
    </row>
    <row r="3597" spans="1:12" x14ac:dyDescent="0.3">
      <c r="A3597" s="2">
        <v>3586</v>
      </c>
      <c r="B3597" s="2" t="s">
        <v>8438</v>
      </c>
      <c r="C3597" s="2" t="s">
        <v>3621</v>
      </c>
      <c r="D3597" s="2" t="s">
        <v>51</v>
      </c>
      <c r="E3597" s="2" t="s">
        <v>16</v>
      </c>
      <c r="F3597" s="2">
        <v>60</v>
      </c>
      <c r="G3597" s="2" t="s">
        <v>8439</v>
      </c>
      <c r="H3597" s="2" t="s">
        <v>2183</v>
      </c>
      <c r="I3597" s="2" t="s">
        <v>124</v>
      </c>
      <c r="J3597" s="3">
        <v>44450</v>
      </c>
      <c r="K3597" s="2">
        <v>41</v>
      </c>
      <c r="L3597" s="2" t="s">
        <v>45</v>
      </c>
    </row>
    <row r="3598" spans="1:12" x14ac:dyDescent="0.3">
      <c r="A3598" s="2">
        <v>3587</v>
      </c>
      <c r="B3598" s="2" t="s">
        <v>1333</v>
      </c>
      <c r="C3598" s="2" t="s">
        <v>4974</v>
      </c>
      <c r="D3598" s="2" t="s">
        <v>28</v>
      </c>
      <c r="E3598" s="2" t="s">
        <v>29</v>
      </c>
      <c r="F3598" s="2">
        <v>30</v>
      </c>
      <c r="G3598" s="2" t="s">
        <v>8440</v>
      </c>
      <c r="H3598" s="2" t="s">
        <v>793</v>
      </c>
      <c r="I3598" s="2" t="s">
        <v>178</v>
      </c>
      <c r="J3598" s="3">
        <v>44110</v>
      </c>
      <c r="K3598" s="2">
        <v>70</v>
      </c>
      <c r="L3598" s="2" t="s">
        <v>33</v>
      </c>
    </row>
    <row r="3599" spans="1:12" x14ac:dyDescent="0.3">
      <c r="A3599" s="2">
        <v>3588</v>
      </c>
      <c r="B3599" s="2" t="s">
        <v>8441</v>
      </c>
      <c r="C3599" s="2" t="s">
        <v>5970</v>
      </c>
      <c r="D3599" s="2" t="s">
        <v>15</v>
      </c>
      <c r="E3599" s="2" t="s">
        <v>16</v>
      </c>
      <c r="F3599" s="2">
        <v>30</v>
      </c>
      <c r="G3599" s="2" t="s">
        <v>8442</v>
      </c>
      <c r="H3599" s="2" t="s">
        <v>6080</v>
      </c>
      <c r="I3599" s="2" t="s">
        <v>32</v>
      </c>
      <c r="J3599" s="3">
        <v>43987</v>
      </c>
      <c r="K3599" s="2">
        <v>44</v>
      </c>
      <c r="L3599" s="2" t="s">
        <v>64</v>
      </c>
    </row>
    <row r="3600" spans="1:12" x14ac:dyDescent="0.3">
      <c r="A3600" s="2">
        <v>3589</v>
      </c>
      <c r="B3600" s="2" t="s">
        <v>2442</v>
      </c>
      <c r="C3600" s="2" t="s">
        <v>5211</v>
      </c>
      <c r="D3600" s="2" t="s">
        <v>51</v>
      </c>
      <c r="E3600" s="2" t="s">
        <v>16</v>
      </c>
      <c r="F3600" s="2">
        <v>90</v>
      </c>
      <c r="G3600" s="2" t="s">
        <v>8443</v>
      </c>
      <c r="H3600" s="2" t="s">
        <v>2351</v>
      </c>
      <c r="I3600" s="2" t="s">
        <v>32</v>
      </c>
      <c r="J3600" s="3">
        <v>44126</v>
      </c>
      <c r="K3600" s="2">
        <v>54</v>
      </c>
      <c r="L3600" s="2" t="s">
        <v>39</v>
      </c>
    </row>
    <row r="3601" spans="1:12" x14ac:dyDescent="0.3">
      <c r="A3601" s="2">
        <v>3590</v>
      </c>
      <c r="B3601" s="2" t="s">
        <v>3378</v>
      </c>
      <c r="C3601" s="2" t="s">
        <v>5267</v>
      </c>
      <c r="D3601" s="2" t="s">
        <v>15</v>
      </c>
      <c r="E3601" s="2" t="s">
        <v>16</v>
      </c>
      <c r="F3601" s="2">
        <v>30</v>
      </c>
      <c r="G3601" s="2" t="s">
        <v>8444</v>
      </c>
      <c r="H3601" s="2" t="s">
        <v>659</v>
      </c>
      <c r="I3601" s="2" t="s">
        <v>32</v>
      </c>
      <c r="J3601" s="3">
        <v>43840</v>
      </c>
      <c r="K3601" s="2">
        <v>59</v>
      </c>
      <c r="L3601" s="2" t="s">
        <v>64</v>
      </c>
    </row>
    <row r="3602" spans="1:12" x14ac:dyDescent="0.3">
      <c r="A3602" s="2">
        <v>3591</v>
      </c>
      <c r="B3602" s="2" t="s">
        <v>2823</v>
      </c>
      <c r="C3602" s="2" t="s">
        <v>4181</v>
      </c>
      <c r="D3602" s="2" t="s">
        <v>92</v>
      </c>
      <c r="E3602" s="2" t="s">
        <v>29</v>
      </c>
      <c r="F3602" s="2">
        <v>30</v>
      </c>
      <c r="G3602" s="2" t="s">
        <v>8445</v>
      </c>
      <c r="H3602" s="2" t="s">
        <v>5069</v>
      </c>
      <c r="I3602" s="2" t="s">
        <v>32</v>
      </c>
      <c r="J3602" s="3">
        <v>43972</v>
      </c>
      <c r="K3602" s="2">
        <v>50</v>
      </c>
      <c r="L3602" s="2" t="s">
        <v>39</v>
      </c>
    </row>
    <row r="3603" spans="1:12" x14ac:dyDescent="0.3">
      <c r="A3603" s="2">
        <v>3592</v>
      </c>
      <c r="B3603" s="2" t="s">
        <v>7314</v>
      </c>
      <c r="C3603" s="2" t="s">
        <v>5716</v>
      </c>
      <c r="D3603" s="2" t="s">
        <v>28</v>
      </c>
      <c r="E3603" s="2" t="s">
        <v>29</v>
      </c>
      <c r="F3603" s="2">
        <v>90</v>
      </c>
      <c r="G3603" s="2" t="s">
        <v>8446</v>
      </c>
      <c r="H3603" s="2" t="s">
        <v>985</v>
      </c>
      <c r="I3603" s="2" t="s">
        <v>38</v>
      </c>
      <c r="J3603" s="3">
        <v>43845</v>
      </c>
      <c r="K3603" s="2">
        <v>79</v>
      </c>
      <c r="L3603" s="2" t="s">
        <v>45</v>
      </c>
    </row>
    <row r="3604" spans="1:12" x14ac:dyDescent="0.3">
      <c r="A3604" s="2">
        <v>3593</v>
      </c>
      <c r="B3604" s="2" t="s">
        <v>550</v>
      </c>
      <c r="C3604" s="2" t="s">
        <v>1774</v>
      </c>
      <c r="D3604" s="2" t="s">
        <v>28</v>
      </c>
      <c r="E3604" s="2" t="s">
        <v>29</v>
      </c>
      <c r="F3604" s="2">
        <v>90</v>
      </c>
      <c r="G3604" s="2" t="s">
        <v>8447</v>
      </c>
      <c r="H3604" s="2" t="s">
        <v>4594</v>
      </c>
      <c r="I3604" s="2" t="s">
        <v>38</v>
      </c>
      <c r="J3604" s="3">
        <v>44838</v>
      </c>
      <c r="K3604" s="2">
        <v>96</v>
      </c>
      <c r="L3604" s="2" t="s">
        <v>80</v>
      </c>
    </row>
    <row r="3605" spans="1:12" x14ac:dyDescent="0.3">
      <c r="A3605" s="2">
        <v>3594</v>
      </c>
      <c r="B3605" s="2" t="s">
        <v>1356</v>
      </c>
      <c r="C3605" s="2" t="s">
        <v>7168</v>
      </c>
      <c r="D3605" s="2" t="s">
        <v>28</v>
      </c>
      <c r="E3605" s="2" t="s">
        <v>29</v>
      </c>
      <c r="F3605" s="2">
        <v>30</v>
      </c>
      <c r="G3605" s="2" t="s">
        <v>8448</v>
      </c>
      <c r="H3605" s="2" t="s">
        <v>5158</v>
      </c>
      <c r="I3605" s="2" t="s">
        <v>5159</v>
      </c>
      <c r="J3605" s="3">
        <v>44551</v>
      </c>
      <c r="K3605" s="2">
        <v>63</v>
      </c>
      <c r="L3605" s="2" t="s">
        <v>20</v>
      </c>
    </row>
    <row r="3606" spans="1:12" x14ac:dyDescent="0.3">
      <c r="A3606" s="2">
        <v>3595</v>
      </c>
      <c r="B3606" s="2" t="s">
        <v>2513</v>
      </c>
      <c r="C3606" s="2" t="s">
        <v>4173</v>
      </c>
      <c r="D3606" s="2" t="s">
        <v>28</v>
      </c>
      <c r="E3606" s="2" t="s">
        <v>29</v>
      </c>
      <c r="F3606" s="2">
        <v>60</v>
      </c>
      <c r="G3606" s="2" t="s">
        <v>8449</v>
      </c>
      <c r="H3606" s="2" t="s">
        <v>2696</v>
      </c>
      <c r="I3606" s="2" t="s">
        <v>95</v>
      </c>
      <c r="J3606" s="3">
        <v>43917</v>
      </c>
      <c r="K3606" s="2">
        <v>18</v>
      </c>
      <c r="L3606" s="2" t="s">
        <v>39</v>
      </c>
    </row>
    <row r="3607" spans="1:12" x14ac:dyDescent="0.3">
      <c r="A3607" s="2">
        <v>3596</v>
      </c>
      <c r="B3607" s="2" t="s">
        <v>1371</v>
      </c>
      <c r="C3607" s="2" t="s">
        <v>1826</v>
      </c>
      <c r="D3607" s="2" t="s">
        <v>28</v>
      </c>
      <c r="E3607" s="2" t="s">
        <v>29</v>
      </c>
      <c r="F3607" s="2">
        <v>90</v>
      </c>
      <c r="G3607" s="2" t="s">
        <v>8450</v>
      </c>
      <c r="H3607" s="2" t="s">
        <v>1336</v>
      </c>
      <c r="I3607" s="2" t="s">
        <v>129</v>
      </c>
      <c r="J3607" s="3">
        <v>43873</v>
      </c>
      <c r="K3607" s="2">
        <v>76</v>
      </c>
      <c r="L3607" s="2" t="s">
        <v>159</v>
      </c>
    </row>
    <row r="3608" spans="1:12" x14ac:dyDescent="0.3">
      <c r="A3608" s="2">
        <v>3597</v>
      </c>
      <c r="B3608" s="2" t="s">
        <v>8451</v>
      </c>
      <c r="C3608" s="2" t="s">
        <v>1222</v>
      </c>
      <c r="D3608" s="2" t="s">
        <v>15</v>
      </c>
      <c r="E3608" s="2" t="s">
        <v>16</v>
      </c>
      <c r="F3608" s="2">
        <v>30</v>
      </c>
      <c r="G3608" s="2" t="s">
        <v>8452</v>
      </c>
      <c r="H3608" s="2" t="s">
        <v>1768</v>
      </c>
      <c r="I3608" s="2" t="s">
        <v>32</v>
      </c>
      <c r="J3608" s="3">
        <v>44755</v>
      </c>
      <c r="K3608" s="2">
        <v>42</v>
      </c>
      <c r="L3608" s="2" t="s">
        <v>70</v>
      </c>
    </row>
    <row r="3609" spans="1:12" x14ac:dyDescent="0.3">
      <c r="A3609" s="2">
        <v>3598</v>
      </c>
      <c r="B3609" s="2" t="s">
        <v>8453</v>
      </c>
      <c r="C3609" s="2" t="s">
        <v>35</v>
      </c>
      <c r="D3609" s="2" t="s">
        <v>117</v>
      </c>
      <c r="E3609" s="2" t="s">
        <v>16</v>
      </c>
      <c r="F3609" s="2">
        <v>90</v>
      </c>
      <c r="G3609" s="2" t="s">
        <v>8454</v>
      </c>
      <c r="H3609" s="2" t="s">
        <v>2533</v>
      </c>
      <c r="I3609" s="2" t="s">
        <v>2534</v>
      </c>
      <c r="J3609" s="3">
        <v>44649</v>
      </c>
      <c r="K3609" s="2">
        <v>22</v>
      </c>
      <c r="L3609" s="2" t="s">
        <v>39</v>
      </c>
    </row>
    <row r="3610" spans="1:12" x14ac:dyDescent="0.3">
      <c r="A3610" s="2">
        <v>3599</v>
      </c>
      <c r="B3610" s="2" t="s">
        <v>8455</v>
      </c>
      <c r="C3610" s="2" t="s">
        <v>6016</v>
      </c>
      <c r="D3610" s="2" t="s">
        <v>15</v>
      </c>
      <c r="E3610" s="2" t="s">
        <v>16</v>
      </c>
      <c r="F3610" s="2">
        <v>30</v>
      </c>
      <c r="G3610" s="2" t="s">
        <v>8456</v>
      </c>
      <c r="H3610" s="2" t="s">
        <v>2766</v>
      </c>
      <c r="I3610" s="2" t="s">
        <v>294</v>
      </c>
      <c r="J3610" s="3">
        <v>44863</v>
      </c>
      <c r="K3610" s="2">
        <v>47</v>
      </c>
      <c r="L3610" s="2" t="s">
        <v>101</v>
      </c>
    </row>
    <row r="3611" spans="1:12" x14ac:dyDescent="0.3">
      <c r="A3611" s="2">
        <v>3600</v>
      </c>
      <c r="B3611" s="2" t="s">
        <v>758</v>
      </c>
      <c r="C3611" s="2" t="s">
        <v>653</v>
      </c>
      <c r="D3611" s="2" t="s">
        <v>15</v>
      </c>
      <c r="E3611" s="2" t="s">
        <v>16</v>
      </c>
      <c r="F3611" s="2">
        <v>30</v>
      </c>
      <c r="G3611" s="2" t="s">
        <v>8457</v>
      </c>
      <c r="H3611" s="2" t="s">
        <v>4028</v>
      </c>
      <c r="I3611" s="2" t="s">
        <v>32</v>
      </c>
      <c r="J3611" s="3">
        <v>43902</v>
      </c>
      <c r="K3611" s="2">
        <v>29</v>
      </c>
      <c r="L3611" s="2" t="s">
        <v>159</v>
      </c>
    </row>
    <row r="3612" spans="1:12" x14ac:dyDescent="0.3">
      <c r="A3612" s="2">
        <v>3601</v>
      </c>
      <c r="B3612" s="2" t="s">
        <v>8458</v>
      </c>
      <c r="C3612" s="2" t="s">
        <v>472</v>
      </c>
      <c r="D3612" s="2" t="s">
        <v>92</v>
      </c>
      <c r="E3612" s="2" t="s">
        <v>16</v>
      </c>
      <c r="F3612" s="2">
        <v>60</v>
      </c>
      <c r="G3612" s="2" t="s">
        <v>8459</v>
      </c>
      <c r="H3612" s="2" t="s">
        <v>8460</v>
      </c>
      <c r="I3612" s="2" t="s">
        <v>19</v>
      </c>
      <c r="J3612" s="3">
        <v>44489</v>
      </c>
      <c r="K3612" s="2">
        <v>53</v>
      </c>
      <c r="L3612" s="2" t="s">
        <v>33</v>
      </c>
    </row>
    <row r="3613" spans="1:12" x14ac:dyDescent="0.3">
      <c r="A3613" s="2">
        <v>3602</v>
      </c>
      <c r="B3613" s="2" t="s">
        <v>8461</v>
      </c>
      <c r="C3613" s="2" t="s">
        <v>3066</v>
      </c>
      <c r="D3613" s="2" t="s">
        <v>51</v>
      </c>
      <c r="E3613" s="2" t="s">
        <v>16</v>
      </c>
      <c r="F3613" s="2">
        <v>30</v>
      </c>
      <c r="G3613" s="2" t="s">
        <v>8462</v>
      </c>
      <c r="H3613" s="2" t="s">
        <v>1729</v>
      </c>
      <c r="I3613" s="2" t="s">
        <v>32</v>
      </c>
      <c r="J3613" s="3">
        <v>44212</v>
      </c>
      <c r="K3613" s="2">
        <v>77</v>
      </c>
      <c r="L3613" s="2" t="s">
        <v>64</v>
      </c>
    </row>
    <row r="3614" spans="1:12" x14ac:dyDescent="0.3">
      <c r="A3614" s="2">
        <v>3603</v>
      </c>
      <c r="B3614" s="2" t="s">
        <v>7643</v>
      </c>
      <c r="C3614" s="2" t="s">
        <v>5359</v>
      </c>
      <c r="D3614" s="2" t="s">
        <v>28</v>
      </c>
      <c r="E3614" s="2" t="s">
        <v>29</v>
      </c>
      <c r="F3614" s="2">
        <v>30</v>
      </c>
      <c r="G3614" s="2" t="s">
        <v>8463</v>
      </c>
      <c r="H3614" s="2" t="s">
        <v>781</v>
      </c>
      <c r="I3614" s="2" t="s">
        <v>294</v>
      </c>
      <c r="J3614" s="3">
        <v>43916</v>
      </c>
      <c r="K3614" s="2">
        <v>61</v>
      </c>
      <c r="L3614" s="2" t="s">
        <v>20</v>
      </c>
    </row>
    <row r="3615" spans="1:12" x14ac:dyDescent="0.3">
      <c r="A3615" s="2">
        <v>3604</v>
      </c>
      <c r="B3615" s="2" t="s">
        <v>8464</v>
      </c>
      <c r="C3615" s="2" t="s">
        <v>3930</v>
      </c>
      <c r="D3615" s="2" t="s">
        <v>15</v>
      </c>
      <c r="E3615" s="2" t="s">
        <v>16</v>
      </c>
      <c r="F3615" s="2">
        <v>60</v>
      </c>
      <c r="G3615" s="2" t="s">
        <v>8465</v>
      </c>
      <c r="H3615" s="2" t="s">
        <v>270</v>
      </c>
      <c r="I3615" s="2" t="s">
        <v>187</v>
      </c>
      <c r="J3615" s="3">
        <v>44494</v>
      </c>
      <c r="K3615" s="2">
        <v>10</v>
      </c>
      <c r="L3615" s="2" t="s">
        <v>45</v>
      </c>
    </row>
    <row r="3616" spans="1:12" x14ac:dyDescent="0.3">
      <c r="A3616" s="2">
        <v>3605</v>
      </c>
      <c r="B3616" s="2" t="s">
        <v>8466</v>
      </c>
      <c r="C3616" s="2" t="s">
        <v>8467</v>
      </c>
      <c r="D3616" s="2" t="s">
        <v>51</v>
      </c>
      <c r="E3616" s="2" t="s">
        <v>16</v>
      </c>
      <c r="F3616" s="2">
        <v>90</v>
      </c>
      <c r="G3616" s="2" t="s">
        <v>8468</v>
      </c>
      <c r="H3616" s="2" t="s">
        <v>1168</v>
      </c>
      <c r="I3616" s="2" t="s">
        <v>32</v>
      </c>
      <c r="J3616" s="3">
        <v>44137</v>
      </c>
      <c r="K3616" s="2">
        <v>12</v>
      </c>
      <c r="L3616" s="2" t="s">
        <v>39</v>
      </c>
    </row>
    <row r="3617" spans="1:12" x14ac:dyDescent="0.3">
      <c r="A3617" s="2">
        <v>3606</v>
      </c>
      <c r="B3617" s="2" t="s">
        <v>798</v>
      </c>
      <c r="C3617" s="2" t="s">
        <v>2064</v>
      </c>
      <c r="D3617" s="2" t="s">
        <v>28</v>
      </c>
      <c r="E3617" s="2" t="s">
        <v>29</v>
      </c>
      <c r="F3617" s="2">
        <v>60</v>
      </c>
      <c r="G3617" s="2" t="s">
        <v>8469</v>
      </c>
      <c r="H3617" s="2" t="s">
        <v>2397</v>
      </c>
      <c r="I3617" s="2" t="s">
        <v>187</v>
      </c>
      <c r="J3617" s="3">
        <v>44785</v>
      </c>
      <c r="K3617" s="2">
        <v>50</v>
      </c>
      <c r="L3617" s="2" t="s">
        <v>54</v>
      </c>
    </row>
    <row r="3618" spans="1:12" x14ac:dyDescent="0.3">
      <c r="A3618" s="2">
        <v>3607</v>
      </c>
      <c r="B3618" s="2" t="s">
        <v>4407</v>
      </c>
      <c r="C3618" s="2" t="s">
        <v>5742</v>
      </c>
      <c r="D3618" s="2" t="s">
        <v>15</v>
      </c>
      <c r="E3618" s="2" t="s">
        <v>16</v>
      </c>
      <c r="F3618" s="2">
        <v>30</v>
      </c>
      <c r="G3618" s="2" t="s">
        <v>8470</v>
      </c>
      <c r="H3618" s="2" t="s">
        <v>518</v>
      </c>
      <c r="I3618" s="2" t="s">
        <v>32</v>
      </c>
      <c r="J3618" s="3">
        <v>43848</v>
      </c>
      <c r="K3618" s="2">
        <v>43</v>
      </c>
      <c r="L3618" s="2" t="s">
        <v>70</v>
      </c>
    </row>
    <row r="3619" spans="1:12" x14ac:dyDescent="0.3">
      <c r="A3619" s="2">
        <v>3608</v>
      </c>
      <c r="B3619" s="2" t="s">
        <v>828</v>
      </c>
      <c r="C3619" s="2" t="s">
        <v>1101</v>
      </c>
      <c r="D3619" s="2" t="s">
        <v>28</v>
      </c>
      <c r="E3619" s="2" t="s">
        <v>29</v>
      </c>
      <c r="F3619" s="2">
        <v>30</v>
      </c>
      <c r="G3619" s="2" t="s">
        <v>8471</v>
      </c>
      <c r="H3619" s="2" t="s">
        <v>3991</v>
      </c>
      <c r="I3619" s="2" t="s">
        <v>32</v>
      </c>
      <c r="J3619" s="3">
        <v>43865</v>
      </c>
      <c r="K3619" s="2">
        <v>23</v>
      </c>
      <c r="L3619" s="2" t="s">
        <v>101</v>
      </c>
    </row>
    <row r="3620" spans="1:12" x14ac:dyDescent="0.3">
      <c r="A3620" s="2">
        <v>3609</v>
      </c>
      <c r="B3620" s="2" t="s">
        <v>8472</v>
      </c>
      <c r="C3620" s="2" t="s">
        <v>1212</v>
      </c>
      <c r="D3620" s="2" t="s">
        <v>28</v>
      </c>
      <c r="E3620" s="2" t="s">
        <v>29</v>
      </c>
      <c r="F3620" s="2">
        <v>30</v>
      </c>
      <c r="G3620" s="2" t="s">
        <v>8473</v>
      </c>
      <c r="H3620" s="2" t="s">
        <v>2552</v>
      </c>
      <c r="I3620" s="2" t="s">
        <v>32</v>
      </c>
      <c r="J3620" s="3">
        <v>44729</v>
      </c>
      <c r="K3620" s="2">
        <v>55</v>
      </c>
      <c r="L3620" s="2" t="s">
        <v>80</v>
      </c>
    </row>
    <row r="3621" spans="1:12" x14ac:dyDescent="0.3">
      <c r="A3621" s="2">
        <v>3610</v>
      </c>
      <c r="B3621" s="2" t="s">
        <v>8474</v>
      </c>
      <c r="C3621" s="2" t="s">
        <v>3171</v>
      </c>
      <c r="D3621" s="2" t="s">
        <v>51</v>
      </c>
      <c r="E3621" s="2" t="s">
        <v>16</v>
      </c>
      <c r="F3621" s="2">
        <v>60</v>
      </c>
      <c r="G3621" s="2" t="s">
        <v>8475</v>
      </c>
      <c r="H3621" s="2" t="s">
        <v>963</v>
      </c>
      <c r="I3621" s="2" t="s">
        <v>25</v>
      </c>
      <c r="J3621" s="3">
        <v>44647</v>
      </c>
      <c r="K3621" s="2">
        <v>71</v>
      </c>
      <c r="L3621" s="2" t="s">
        <v>64</v>
      </c>
    </row>
    <row r="3622" spans="1:12" x14ac:dyDescent="0.3">
      <c r="A3622" s="2">
        <v>3611</v>
      </c>
      <c r="B3622" s="2" t="s">
        <v>2523</v>
      </c>
      <c r="C3622" s="2" t="s">
        <v>4504</v>
      </c>
      <c r="D3622" s="2" t="s">
        <v>28</v>
      </c>
      <c r="E3622" s="2" t="s">
        <v>29</v>
      </c>
      <c r="F3622" s="2">
        <v>60</v>
      </c>
      <c r="G3622" s="2" t="s">
        <v>8476</v>
      </c>
      <c r="H3622" s="2" t="s">
        <v>2893</v>
      </c>
      <c r="I3622" s="2" t="s">
        <v>32</v>
      </c>
      <c r="J3622" s="3">
        <v>44191</v>
      </c>
      <c r="K3622" s="2">
        <v>37</v>
      </c>
      <c r="L3622" s="2" t="s">
        <v>70</v>
      </c>
    </row>
    <row r="3623" spans="1:12" x14ac:dyDescent="0.3">
      <c r="A3623" s="2">
        <v>3612</v>
      </c>
      <c r="B3623" s="2" t="s">
        <v>8477</v>
      </c>
      <c r="C3623" s="2" t="s">
        <v>3429</v>
      </c>
      <c r="D3623" s="2" t="s">
        <v>51</v>
      </c>
      <c r="E3623" s="2" t="s">
        <v>16</v>
      </c>
      <c r="F3623" s="2">
        <v>30</v>
      </c>
      <c r="G3623" s="2" t="s">
        <v>8478</v>
      </c>
      <c r="H3623" s="2" t="s">
        <v>2284</v>
      </c>
      <c r="I3623" s="2" t="s">
        <v>32</v>
      </c>
      <c r="J3623" s="3">
        <v>44534</v>
      </c>
      <c r="K3623" s="2">
        <v>62</v>
      </c>
      <c r="L3623" s="2" t="s">
        <v>45</v>
      </c>
    </row>
    <row r="3624" spans="1:12" x14ac:dyDescent="0.3">
      <c r="A3624" s="2">
        <v>3613</v>
      </c>
      <c r="B3624" s="2" t="s">
        <v>8479</v>
      </c>
      <c r="C3624" s="2" t="s">
        <v>6635</v>
      </c>
      <c r="D3624" s="2" t="s">
        <v>15</v>
      </c>
      <c r="E3624" s="2" t="s">
        <v>16</v>
      </c>
      <c r="F3624" s="2">
        <v>90</v>
      </c>
      <c r="G3624" s="2" t="s">
        <v>8480</v>
      </c>
      <c r="H3624" s="2" t="s">
        <v>5376</v>
      </c>
      <c r="I3624" s="2" t="s">
        <v>32</v>
      </c>
      <c r="J3624" s="3">
        <v>43949</v>
      </c>
      <c r="K3624" s="2">
        <v>63</v>
      </c>
      <c r="L3624" s="2" t="s">
        <v>159</v>
      </c>
    </row>
    <row r="3625" spans="1:12" x14ac:dyDescent="0.3">
      <c r="A3625" s="2">
        <v>3614</v>
      </c>
      <c r="B3625" s="2" t="s">
        <v>8481</v>
      </c>
      <c r="C3625" s="2" t="s">
        <v>376</v>
      </c>
      <c r="D3625" s="2" t="s">
        <v>15</v>
      </c>
      <c r="E3625" s="2" t="s">
        <v>16</v>
      </c>
      <c r="F3625" s="2">
        <v>60</v>
      </c>
      <c r="G3625" s="2" t="s">
        <v>8482</v>
      </c>
      <c r="H3625" s="2" t="s">
        <v>8483</v>
      </c>
      <c r="I3625" s="2" t="s">
        <v>32</v>
      </c>
      <c r="J3625" s="3">
        <v>44111</v>
      </c>
      <c r="K3625" s="2">
        <v>13</v>
      </c>
      <c r="L3625" s="2" t="s">
        <v>45</v>
      </c>
    </row>
    <row r="3626" spans="1:12" x14ac:dyDescent="0.3">
      <c r="A3626" s="2">
        <v>3615</v>
      </c>
      <c r="B3626" s="2" t="s">
        <v>8486</v>
      </c>
      <c r="C3626" s="2" t="s">
        <v>8487</v>
      </c>
      <c r="D3626" s="2" t="s">
        <v>51</v>
      </c>
      <c r="E3626" s="2" t="s">
        <v>16</v>
      </c>
      <c r="F3626" s="2">
        <v>90</v>
      </c>
      <c r="G3626" s="2" t="s">
        <v>8488</v>
      </c>
      <c r="H3626" s="2" t="s">
        <v>3100</v>
      </c>
      <c r="I3626" s="2" t="s">
        <v>32</v>
      </c>
      <c r="J3626" s="3">
        <v>44869</v>
      </c>
      <c r="K3626" s="2">
        <v>64</v>
      </c>
      <c r="L3626" s="2" t="s">
        <v>64</v>
      </c>
    </row>
    <row r="3627" spans="1:12" x14ac:dyDescent="0.3">
      <c r="A3627" s="2">
        <v>3616</v>
      </c>
      <c r="B3627" s="2" t="s">
        <v>8492</v>
      </c>
      <c r="C3627" s="2" t="s">
        <v>8493</v>
      </c>
      <c r="D3627" s="2" t="s">
        <v>51</v>
      </c>
      <c r="E3627" s="2" t="s">
        <v>16</v>
      </c>
      <c r="F3627" s="2">
        <v>60</v>
      </c>
      <c r="G3627" s="2" t="s">
        <v>8494</v>
      </c>
      <c r="H3627" s="2" t="s">
        <v>5379</v>
      </c>
      <c r="I3627" s="2" t="s">
        <v>1199</v>
      </c>
      <c r="J3627" s="3">
        <v>44294</v>
      </c>
      <c r="K3627" s="2">
        <v>57</v>
      </c>
      <c r="L3627" s="2" t="s">
        <v>33</v>
      </c>
    </row>
    <row r="3628" spans="1:12" x14ac:dyDescent="0.3">
      <c r="A3628" s="2">
        <v>3617</v>
      </c>
      <c r="B3628" s="2" t="s">
        <v>4438</v>
      </c>
      <c r="C3628" s="2" t="s">
        <v>2692</v>
      </c>
      <c r="D3628" s="2" t="s">
        <v>28</v>
      </c>
      <c r="E3628" s="2" t="s">
        <v>29</v>
      </c>
      <c r="F3628" s="2">
        <v>60</v>
      </c>
      <c r="G3628" s="2" t="s">
        <v>8495</v>
      </c>
      <c r="H3628" s="2" t="s">
        <v>4196</v>
      </c>
      <c r="I3628" s="2" t="s">
        <v>240</v>
      </c>
      <c r="J3628" s="3">
        <v>43838</v>
      </c>
      <c r="K3628" s="2">
        <v>56</v>
      </c>
      <c r="L3628" s="2" t="s">
        <v>33</v>
      </c>
    </row>
    <row r="3629" spans="1:12" x14ac:dyDescent="0.3">
      <c r="A3629" s="2">
        <v>3618</v>
      </c>
      <c r="B3629" s="2" t="s">
        <v>4550</v>
      </c>
      <c r="C3629" s="2" t="s">
        <v>8496</v>
      </c>
      <c r="D3629" s="2" t="s">
        <v>28</v>
      </c>
      <c r="E3629" s="2" t="s">
        <v>29</v>
      </c>
      <c r="F3629" s="2">
        <v>30</v>
      </c>
      <c r="G3629" s="2" t="s">
        <v>8497</v>
      </c>
      <c r="H3629" s="2" t="s">
        <v>2673</v>
      </c>
      <c r="I3629" s="2" t="s">
        <v>19</v>
      </c>
      <c r="J3629" s="3">
        <v>44480</v>
      </c>
      <c r="K3629" s="2">
        <v>62</v>
      </c>
      <c r="L3629" s="2" t="s">
        <v>64</v>
      </c>
    </row>
    <row r="3630" spans="1:12" x14ac:dyDescent="0.3">
      <c r="A3630" s="2">
        <v>3619</v>
      </c>
      <c r="B3630" s="2" t="s">
        <v>8498</v>
      </c>
      <c r="C3630" s="2" t="s">
        <v>6594</v>
      </c>
      <c r="D3630" s="2" t="s">
        <v>28</v>
      </c>
      <c r="E3630" s="2" t="s">
        <v>29</v>
      </c>
      <c r="F3630" s="2">
        <v>60</v>
      </c>
      <c r="G3630" s="2" t="s">
        <v>8499</v>
      </c>
      <c r="H3630" s="2" t="s">
        <v>4587</v>
      </c>
      <c r="I3630" s="2" t="s">
        <v>32</v>
      </c>
      <c r="J3630" s="3">
        <v>44621</v>
      </c>
      <c r="K3630" s="2">
        <v>21</v>
      </c>
      <c r="L3630" s="2" t="s">
        <v>54</v>
      </c>
    </row>
    <row r="3631" spans="1:12" x14ac:dyDescent="0.3">
      <c r="A3631" s="2">
        <v>3620</v>
      </c>
      <c r="B3631" s="2" t="s">
        <v>1894</v>
      </c>
      <c r="C3631" s="2" t="s">
        <v>7618</v>
      </c>
      <c r="D3631" s="2" t="s">
        <v>117</v>
      </c>
      <c r="E3631" s="2" t="s">
        <v>29</v>
      </c>
      <c r="F3631" s="2">
        <v>90</v>
      </c>
      <c r="G3631" s="2" t="s">
        <v>8500</v>
      </c>
      <c r="H3631" s="2" t="s">
        <v>5399</v>
      </c>
      <c r="I3631" s="2" t="s">
        <v>32</v>
      </c>
      <c r="J3631" s="3">
        <v>44688</v>
      </c>
      <c r="K3631" s="2">
        <v>65</v>
      </c>
      <c r="L3631" s="2" t="s">
        <v>159</v>
      </c>
    </row>
    <row r="3632" spans="1:12" x14ac:dyDescent="0.3">
      <c r="A3632" s="2">
        <v>3621</v>
      </c>
      <c r="B3632" s="2" t="s">
        <v>2367</v>
      </c>
      <c r="C3632" s="2" t="s">
        <v>1105</v>
      </c>
      <c r="D3632" s="2" t="s">
        <v>28</v>
      </c>
      <c r="E3632" s="2" t="s">
        <v>29</v>
      </c>
      <c r="F3632" s="2">
        <v>60</v>
      </c>
      <c r="G3632" s="2" t="s">
        <v>8501</v>
      </c>
      <c r="H3632" s="2" t="s">
        <v>3628</v>
      </c>
      <c r="I3632" s="2" t="s">
        <v>32</v>
      </c>
      <c r="J3632" s="3">
        <v>44343</v>
      </c>
      <c r="K3632" s="2">
        <v>4</v>
      </c>
      <c r="L3632" s="2" t="s">
        <v>101</v>
      </c>
    </row>
    <row r="3633" spans="1:12" x14ac:dyDescent="0.3">
      <c r="A3633" s="2">
        <v>3622</v>
      </c>
      <c r="B3633" s="2" t="s">
        <v>6072</v>
      </c>
      <c r="C3633" s="2" t="s">
        <v>2496</v>
      </c>
      <c r="D3633" s="2" t="s">
        <v>28</v>
      </c>
      <c r="E3633" s="2" t="s">
        <v>29</v>
      </c>
      <c r="F3633" s="2">
        <v>90</v>
      </c>
      <c r="G3633" s="2" t="s">
        <v>8501</v>
      </c>
      <c r="H3633" s="2" t="s">
        <v>1534</v>
      </c>
      <c r="I3633" s="2" t="s">
        <v>32</v>
      </c>
      <c r="J3633" s="3">
        <v>44815</v>
      </c>
      <c r="K3633" s="2">
        <v>49</v>
      </c>
      <c r="L3633" s="2" t="s">
        <v>64</v>
      </c>
    </row>
    <row r="3634" spans="1:12" x14ac:dyDescent="0.3">
      <c r="A3634" s="2">
        <v>3623</v>
      </c>
      <c r="B3634" s="2" t="s">
        <v>8502</v>
      </c>
      <c r="C3634" s="2" t="s">
        <v>5389</v>
      </c>
      <c r="D3634" s="2" t="s">
        <v>15</v>
      </c>
      <c r="E3634" s="2" t="s">
        <v>16</v>
      </c>
      <c r="F3634" s="2">
        <v>90</v>
      </c>
      <c r="G3634" s="2" t="s">
        <v>8503</v>
      </c>
      <c r="H3634" s="2" t="s">
        <v>2993</v>
      </c>
      <c r="I3634" s="2" t="s">
        <v>32</v>
      </c>
      <c r="J3634" s="3">
        <v>43839</v>
      </c>
      <c r="K3634" s="2">
        <v>67</v>
      </c>
      <c r="L3634" s="2" t="s">
        <v>70</v>
      </c>
    </row>
    <row r="3635" spans="1:12" x14ac:dyDescent="0.3">
      <c r="A3635" s="2">
        <v>3624</v>
      </c>
      <c r="B3635" s="2" t="s">
        <v>8504</v>
      </c>
      <c r="C3635" s="2" t="s">
        <v>7556</v>
      </c>
      <c r="D3635" s="2" t="s">
        <v>15</v>
      </c>
      <c r="E3635" s="2" t="s">
        <v>16</v>
      </c>
      <c r="F3635" s="2">
        <v>60</v>
      </c>
      <c r="G3635" s="2" t="s">
        <v>8505</v>
      </c>
      <c r="H3635" s="2" t="s">
        <v>1490</v>
      </c>
      <c r="I3635" s="2" t="s">
        <v>294</v>
      </c>
      <c r="J3635" s="3">
        <v>44562</v>
      </c>
      <c r="K3635" s="2">
        <v>68</v>
      </c>
      <c r="L3635" s="2" t="s">
        <v>39</v>
      </c>
    </row>
    <row r="3636" spans="1:12" x14ac:dyDescent="0.3">
      <c r="A3636" s="2">
        <v>3625</v>
      </c>
      <c r="B3636" s="2" t="s">
        <v>1946</v>
      </c>
      <c r="C3636" s="2" t="s">
        <v>1985</v>
      </c>
      <c r="D3636" s="2" t="s">
        <v>28</v>
      </c>
      <c r="E3636" s="2" t="s">
        <v>29</v>
      </c>
      <c r="F3636" s="2">
        <v>60</v>
      </c>
      <c r="G3636" s="2" t="s">
        <v>8506</v>
      </c>
      <c r="H3636" s="2" t="s">
        <v>6659</v>
      </c>
      <c r="I3636" s="2" t="s">
        <v>208</v>
      </c>
      <c r="J3636" s="3">
        <v>44896</v>
      </c>
      <c r="K3636" s="2">
        <v>29</v>
      </c>
      <c r="L3636" s="2" t="s">
        <v>101</v>
      </c>
    </row>
    <row r="3637" spans="1:12" x14ac:dyDescent="0.3">
      <c r="A3637" s="2">
        <v>3626</v>
      </c>
      <c r="B3637" s="2" t="s">
        <v>8507</v>
      </c>
      <c r="C3637" s="2" t="s">
        <v>3569</v>
      </c>
      <c r="D3637" s="2" t="s">
        <v>51</v>
      </c>
      <c r="E3637" s="2" t="s">
        <v>16</v>
      </c>
      <c r="F3637" s="2">
        <v>30</v>
      </c>
      <c r="G3637" s="2" t="s">
        <v>8508</v>
      </c>
      <c r="H3637" s="2" t="s">
        <v>4071</v>
      </c>
      <c r="I3637" s="2" t="s">
        <v>886</v>
      </c>
      <c r="J3637" s="3">
        <v>44381</v>
      </c>
      <c r="K3637" s="2">
        <v>8</v>
      </c>
      <c r="L3637" s="2" t="s">
        <v>101</v>
      </c>
    </row>
    <row r="3638" spans="1:12" x14ac:dyDescent="0.3">
      <c r="A3638" s="2">
        <v>3627</v>
      </c>
      <c r="B3638" s="2" t="s">
        <v>7675</v>
      </c>
      <c r="C3638" s="2" t="s">
        <v>1798</v>
      </c>
      <c r="D3638" s="2" t="s">
        <v>51</v>
      </c>
      <c r="E3638" s="2" t="s">
        <v>16</v>
      </c>
      <c r="F3638" s="2">
        <v>90</v>
      </c>
      <c r="G3638" s="2" t="s">
        <v>8509</v>
      </c>
      <c r="H3638" s="2" t="s">
        <v>1173</v>
      </c>
      <c r="I3638" s="2" t="s">
        <v>32</v>
      </c>
      <c r="J3638" s="3">
        <v>44046</v>
      </c>
      <c r="K3638" s="2">
        <v>71</v>
      </c>
      <c r="L3638" s="2" t="s">
        <v>39</v>
      </c>
    </row>
    <row r="3639" spans="1:12" x14ac:dyDescent="0.3">
      <c r="A3639" s="2">
        <v>3628</v>
      </c>
      <c r="B3639" s="2" t="s">
        <v>4808</v>
      </c>
      <c r="C3639" s="2" t="s">
        <v>1749</v>
      </c>
      <c r="D3639" s="2" t="s">
        <v>15</v>
      </c>
      <c r="E3639" s="2" t="s">
        <v>16</v>
      </c>
      <c r="F3639" s="2">
        <v>60</v>
      </c>
      <c r="G3639" s="2" t="s">
        <v>8510</v>
      </c>
      <c r="H3639" s="2" t="s">
        <v>1785</v>
      </c>
      <c r="I3639" s="2" t="s">
        <v>32</v>
      </c>
      <c r="J3639" s="3">
        <v>44566</v>
      </c>
      <c r="K3639" s="2">
        <v>54</v>
      </c>
      <c r="L3639" s="2" t="s">
        <v>39</v>
      </c>
    </row>
    <row r="3640" spans="1:12" x14ac:dyDescent="0.3">
      <c r="A3640" s="2">
        <v>3629</v>
      </c>
      <c r="B3640" s="2" t="s">
        <v>6967</v>
      </c>
      <c r="C3640" s="2" t="s">
        <v>4473</v>
      </c>
      <c r="D3640" s="2" t="s">
        <v>15</v>
      </c>
      <c r="E3640" s="2" t="s">
        <v>16</v>
      </c>
      <c r="F3640" s="2">
        <v>60</v>
      </c>
      <c r="G3640" s="2" t="s">
        <v>8511</v>
      </c>
      <c r="H3640" s="2" t="s">
        <v>8512</v>
      </c>
      <c r="I3640" s="2" t="s">
        <v>32</v>
      </c>
      <c r="J3640" s="3">
        <v>44279</v>
      </c>
      <c r="K3640" s="2">
        <v>78</v>
      </c>
      <c r="L3640" s="2" t="s">
        <v>64</v>
      </c>
    </row>
    <row r="3641" spans="1:12" x14ac:dyDescent="0.3">
      <c r="A3641" s="2">
        <v>3630</v>
      </c>
      <c r="B3641" s="2" t="s">
        <v>8513</v>
      </c>
      <c r="C3641" s="2" t="s">
        <v>8514</v>
      </c>
      <c r="D3641" s="2" t="s">
        <v>15</v>
      </c>
      <c r="E3641" s="2" t="s">
        <v>16</v>
      </c>
      <c r="F3641" s="2">
        <v>90</v>
      </c>
      <c r="G3641" s="2" t="s">
        <v>8515</v>
      </c>
      <c r="H3641" s="2" t="s">
        <v>2411</v>
      </c>
      <c r="I3641" s="2" t="s">
        <v>25</v>
      </c>
      <c r="J3641" s="3">
        <v>44127</v>
      </c>
      <c r="K3641" s="2">
        <v>8</v>
      </c>
      <c r="L3641" s="2" t="s">
        <v>70</v>
      </c>
    </row>
    <row r="3642" spans="1:12" x14ac:dyDescent="0.3">
      <c r="A3642" s="2">
        <v>3631</v>
      </c>
      <c r="B3642" s="2" t="s">
        <v>1207</v>
      </c>
      <c r="C3642" s="2" t="s">
        <v>7078</v>
      </c>
      <c r="D3642" s="2" t="s">
        <v>28</v>
      </c>
      <c r="E3642" s="2" t="s">
        <v>29</v>
      </c>
      <c r="F3642" s="2">
        <v>60</v>
      </c>
      <c r="G3642" s="2" t="s">
        <v>8516</v>
      </c>
      <c r="H3642" s="2" t="s">
        <v>2035</v>
      </c>
      <c r="I3642" s="2" t="s">
        <v>32</v>
      </c>
      <c r="J3642" s="3">
        <v>44298</v>
      </c>
      <c r="K3642" s="2">
        <v>19</v>
      </c>
      <c r="L3642" s="2" t="s">
        <v>39</v>
      </c>
    </row>
    <row r="3643" spans="1:12" x14ac:dyDescent="0.3">
      <c r="A3643" s="2">
        <v>3632</v>
      </c>
      <c r="B3643" s="2" t="s">
        <v>4072</v>
      </c>
      <c r="C3643" s="2" t="s">
        <v>1326</v>
      </c>
      <c r="D3643" s="2" t="s">
        <v>28</v>
      </c>
      <c r="E3643" s="2" t="s">
        <v>29</v>
      </c>
      <c r="F3643" s="2">
        <v>60</v>
      </c>
      <c r="G3643" s="2" t="s">
        <v>8517</v>
      </c>
      <c r="H3643" s="2" t="s">
        <v>6087</v>
      </c>
      <c r="I3643" s="2" t="s">
        <v>124</v>
      </c>
      <c r="J3643" s="3">
        <v>44522</v>
      </c>
      <c r="K3643" s="2">
        <v>56</v>
      </c>
      <c r="L3643" s="2" t="s">
        <v>159</v>
      </c>
    </row>
    <row r="3644" spans="1:12" x14ac:dyDescent="0.3">
      <c r="A3644" s="2">
        <v>3633</v>
      </c>
      <c r="B3644" s="2" t="s">
        <v>6721</v>
      </c>
      <c r="C3644" s="2" t="s">
        <v>1532</v>
      </c>
      <c r="D3644" s="2" t="s">
        <v>15</v>
      </c>
      <c r="E3644" s="2" t="s">
        <v>16</v>
      </c>
      <c r="F3644" s="2">
        <v>90</v>
      </c>
      <c r="G3644" s="2" t="s">
        <v>8518</v>
      </c>
      <c r="H3644" s="2" t="s">
        <v>4320</v>
      </c>
      <c r="I3644" s="2" t="s">
        <v>240</v>
      </c>
      <c r="J3644" s="3">
        <v>44629</v>
      </c>
      <c r="K3644" s="2">
        <v>10</v>
      </c>
      <c r="L3644" s="2" t="s">
        <v>101</v>
      </c>
    </row>
    <row r="3645" spans="1:12" x14ac:dyDescent="0.3">
      <c r="A3645" s="2">
        <v>3634</v>
      </c>
      <c r="B3645" s="2" t="s">
        <v>4363</v>
      </c>
      <c r="C3645" s="2" t="s">
        <v>2509</v>
      </c>
      <c r="D3645" s="2" t="s">
        <v>28</v>
      </c>
      <c r="E3645" s="2" t="s">
        <v>29</v>
      </c>
      <c r="F3645" s="2">
        <v>30</v>
      </c>
      <c r="G3645" s="2" t="s">
        <v>8519</v>
      </c>
      <c r="H3645" s="2" t="s">
        <v>7118</v>
      </c>
      <c r="I3645" s="2" t="s">
        <v>2022</v>
      </c>
      <c r="J3645" s="3">
        <v>43978</v>
      </c>
      <c r="K3645" s="2">
        <v>76</v>
      </c>
      <c r="L3645" s="2" t="s">
        <v>70</v>
      </c>
    </row>
    <row r="3646" spans="1:12" x14ac:dyDescent="0.3">
      <c r="A3646" s="2">
        <v>3635</v>
      </c>
      <c r="B3646" s="2" t="s">
        <v>7800</v>
      </c>
      <c r="C3646" s="2" t="s">
        <v>1390</v>
      </c>
      <c r="D3646" s="2" t="s">
        <v>15</v>
      </c>
      <c r="E3646" s="2" t="s">
        <v>16</v>
      </c>
      <c r="F3646" s="2">
        <v>60</v>
      </c>
      <c r="G3646" s="2" t="s">
        <v>8520</v>
      </c>
      <c r="H3646" s="2" t="s">
        <v>7480</v>
      </c>
      <c r="I3646" s="2" t="s">
        <v>129</v>
      </c>
      <c r="J3646" s="3">
        <v>43860</v>
      </c>
      <c r="K3646" s="2">
        <v>16</v>
      </c>
      <c r="L3646" s="2" t="s">
        <v>64</v>
      </c>
    </row>
    <row r="3647" spans="1:12" x14ac:dyDescent="0.3">
      <c r="A3647" s="2">
        <v>3636</v>
      </c>
      <c r="B3647" s="2" t="s">
        <v>8521</v>
      </c>
      <c r="C3647" s="2" t="s">
        <v>748</v>
      </c>
      <c r="D3647" s="2" t="s">
        <v>15</v>
      </c>
      <c r="E3647" s="2" t="s">
        <v>16</v>
      </c>
      <c r="F3647" s="2">
        <v>30</v>
      </c>
      <c r="G3647" s="2" t="s">
        <v>8522</v>
      </c>
      <c r="H3647" s="2" t="s">
        <v>5957</v>
      </c>
      <c r="I3647" s="2" t="s">
        <v>187</v>
      </c>
      <c r="J3647" s="3">
        <v>44792</v>
      </c>
      <c r="K3647" s="2">
        <v>57</v>
      </c>
      <c r="L3647" s="2" t="s">
        <v>80</v>
      </c>
    </row>
    <row r="3648" spans="1:12" x14ac:dyDescent="0.3">
      <c r="A3648" s="2">
        <v>3637</v>
      </c>
      <c r="B3648" s="2" t="s">
        <v>3209</v>
      </c>
      <c r="C3648" s="2" t="s">
        <v>1013</v>
      </c>
      <c r="D3648" s="2" t="s">
        <v>51</v>
      </c>
      <c r="E3648" s="2" t="s">
        <v>16</v>
      </c>
      <c r="F3648" s="2">
        <v>90</v>
      </c>
      <c r="G3648" s="2" t="s">
        <v>8523</v>
      </c>
      <c r="H3648" s="2" t="s">
        <v>1761</v>
      </c>
      <c r="I3648" s="2" t="s">
        <v>38</v>
      </c>
      <c r="J3648" s="3">
        <v>44166</v>
      </c>
      <c r="K3648" s="2">
        <v>53</v>
      </c>
      <c r="L3648" s="2" t="s">
        <v>33</v>
      </c>
    </row>
    <row r="3649" spans="1:12" x14ac:dyDescent="0.3">
      <c r="A3649" s="2">
        <v>3638</v>
      </c>
      <c r="B3649" s="2" t="s">
        <v>7955</v>
      </c>
      <c r="C3649" s="2" t="s">
        <v>4173</v>
      </c>
      <c r="D3649" s="2" t="s">
        <v>28</v>
      </c>
      <c r="E3649" s="2" t="s">
        <v>29</v>
      </c>
      <c r="F3649" s="2">
        <v>90</v>
      </c>
      <c r="G3649" s="2" t="s">
        <v>8524</v>
      </c>
      <c r="H3649" s="2" t="s">
        <v>3446</v>
      </c>
      <c r="I3649" s="2" t="s">
        <v>32</v>
      </c>
      <c r="J3649" s="3">
        <v>43880</v>
      </c>
      <c r="K3649" s="2">
        <v>20</v>
      </c>
      <c r="L3649" s="2" t="s">
        <v>54</v>
      </c>
    </row>
    <row r="3650" spans="1:12" x14ac:dyDescent="0.3">
      <c r="A3650" s="2">
        <v>3639</v>
      </c>
      <c r="B3650" s="2" t="s">
        <v>1661</v>
      </c>
      <c r="C3650" s="2" t="s">
        <v>1496</v>
      </c>
      <c r="D3650" s="2" t="s">
        <v>621</v>
      </c>
      <c r="E3650" s="2" t="s">
        <v>29</v>
      </c>
      <c r="F3650" s="2">
        <v>60</v>
      </c>
      <c r="G3650" s="2" t="s">
        <v>8525</v>
      </c>
      <c r="H3650" s="2" t="s">
        <v>1915</v>
      </c>
      <c r="I3650" s="2" t="s">
        <v>19</v>
      </c>
      <c r="J3650" s="3">
        <v>43924</v>
      </c>
      <c r="K3650" s="2">
        <v>58</v>
      </c>
      <c r="L3650" s="2" t="s">
        <v>64</v>
      </c>
    </row>
    <row r="3651" spans="1:12" x14ac:dyDescent="0.3">
      <c r="A3651" s="2">
        <v>3640</v>
      </c>
      <c r="B3651" s="2" t="s">
        <v>3880</v>
      </c>
      <c r="C3651" s="2" t="s">
        <v>755</v>
      </c>
      <c r="D3651" s="2" t="s">
        <v>28</v>
      </c>
      <c r="E3651" s="2" t="s">
        <v>29</v>
      </c>
      <c r="F3651" s="2">
        <v>90</v>
      </c>
      <c r="G3651" s="2" t="s">
        <v>8526</v>
      </c>
      <c r="H3651" s="2" t="s">
        <v>1643</v>
      </c>
      <c r="I3651" s="2" t="s">
        <v>124</v>
      </c>
      <c r="J3651" s="3">
        <v>43988</v>
      </c>
      <c r="K3651" s="2">
        <v>41</v>
      </c>
      <c r="L3651" s="2" t="s">
        <v>20</v>
      </c>
    </row>
    <row r="3652" spans="1:12" x14ac:dyDescent="0.3">
      <c r="A3652" s="2">
        <v>3641</v>
      </c>
      <c r="B3652" s="2" t="s">
        <v>8226</v>
      </c>
      <c r="C3652" s="2" t="s">
        <v>4512</v>
      </c>
      <c r="D3652" s="2" t="s">
        <v>15</v>
      </c>
      <c r="E3652" s="2" t="s">
        <v>16</v>
      </c>
      <c r="F3652" s="2">
        <v>60</v>
      </c>
      <c r="G3652" s="2" t="s">
        <v>8527</v>
      </c>
      <c r="H3652" s="2" t="s">
        <v>3002</v>
      </c>
      <c r="I3652" s="2" t="s">
        <v>32</v>
      </c>
      <c r="J3652" s="3">
        <v>44474</v>
      </c>
      <c r="K3652" s="2">
        <v>58</v>
      </c>
      <c r="L3652" s="2" t="s">
        <v>33</v>
      </c>
    </row>
    <row r="3653" spans="1:12" x14ac:dyDescent="0.3">
      <c r="A3653" s="2">
        <v>3642</v>
      </c>
      <c r="B3653" s="2" t="s">
        <v>8528</v>
      </c>
      <c r="C3653" s="2" t="s">
        <v>449</v>
      </c>
      <c r="D3653" s="2" t="s">
        <v>15</v>
      </c>
      <c r="E3653" s="2" t="s">
        <v>16</v>
      </c>
      <c r="F3653" s="2">
        <v>30</v>
      </c>
      <c r="G3653" s="2" t="s">
        <v>8529</v>
      </c>
      <c r="H3653" s="2" t="s">
        <v>8110</v>
      </c>
      <c r="I3653" s="2" t="s">
        <v>173</v>
      </c>
      <c r="J3653" s="3">
        <v>43940</v>
      </c>
      <c r="K3653" s="2">
        <v>69</v>
      </c>
      <c r="L3653" s="2" t="s">
        <v>39</v>
      </c>
    </row>
    <row r="3654" spans="1:12" x14ac:dyDescent="0.3">
      <c r="A3654" s="2">
        <v>3643</v>
      </c>
      <c r="B3654" s="2" t="s">
        <v>7787</v>
      </c>
      <c r="C3654" s="2" t="s">
        <v>4131</v>
      </c>
      <c r="D3654" s="2" t="s">
        <v>51</v>
      </c>
      <c r="E3654" s="2" t="s">
        <v>16</v>
      </c>
      <c r="F3654" s="2">
        <v>60</v>
      </c>
      <c r="G3654" s="2" t="s">
        <v>8529</v>
      </c>
      <c r="H3654" s="2" t="s">
        <v>2121</v>
      </c>
      <c r="I3654" s="2" t="s">
        <v>38</v>
      </c>
      <c r="J3654" s="3">
        <v>44063</v>
      </c>
      <c r="K3654" s="2">
        <v>37</v>
      </c>
      <c r="L3654" s="2" t="s">
        <v>39</v>
      </c>
    </row>
    <row r="3655" spans="1:12" x14ac:dyDescent="0.3">
      <c r="A3655" s="2">
        <v>3644</v>
      </c>
      <c r="B3655" s="2" t="s">
        <v>6328</v>
      </c>
      <c r="C3655" s="2" t="s">
        <v>138</v>
      </c>
      <c r="D3655" s="2" t="s">
        <v>28</v>
      </c>
      <c r="E3655" s="2" t="s">
        <v>29</v>
      </c>
      <c r="F3655" s="2">
        <v>30</v>
      </c>
      <c r="G3655" s="2" t="s">
        <v>8529</v>
      </c>
      <c r="H3655" s="2" t="s">
        <v>1537</v>
      </c>
      <c r="I3655" s="2" t="s">
        <v>294</v>
      </c>
      <c r="J3655" s="3">
        <v>43952</v>
      </c>
      <c r="K3655" s="2">
        <v>75</v>
      </c>
      <c r="L3655" s="2" t="s">
        <v>159</v>
      </c>
    </row>
    <row r="3656" spans="1:12" x14ac:dyDescent="0.3">
      <c r="A3656" s="2">
        <v>3645</v>
      </c>
      <c r="B3656" s="2" t="s">
        <v>5749</v>
      </c>
      <c r="C3656" s="2" t="s">
        <v>3419</v>
      </c>
      <c r="D3656" s="2" t="s">
        <v>28</v>
      </c>
      <c r="E3656" s="2" t="s">
        <v>29</v>
      </c>
      <c r="F3656" s="2">
        <v>60</v>
      </c>
      <c r="G3656" s="2" t="s">
        <v>8530</v>
      </c>
      <c r="H3656" s="2" t="s">
        <v>4678</v>
      </c>
      <c r="I3656" s="2" t="s">
        <v>886</v>
      </c>
      <c r="J3656" s="3">
        <v>44458</v>
      </c>
      <c r="K3656" s="2">
        <v>18</v>
      </c>
      <c r="L3656" s="2" t="s">
        <v>101</v>
      </c>
    </row>
    <row r="3657" spans="1:12" x14ac:dyDescent="0.3">
      <c r="A3657" s="2">
        <v>3646</v>
      </c>
      <c r="B3657" s="2" t="s">
        <v>8531</v>
      </c>
      <c r="C3657" s="2" t="s">
        <v>2942</v>
      </c>
      <c r="D3657" s="2" t="s">
        <v>28</v>
      </c>
      <c r="E3657" s="2" t="s">
        <v>29</v>
      </c>
      <c r="F3657" s="2">
        <v>30</v>
      </c>
      <c r="G3657" s="2" t="s">
        <v>8532</v>
      </c>
      <c r="H3657" s="2" t="s">
        <v>864</v>
      </c>
      <c r="I3657" s="2" t="s">
        <v>19</v>
      </c>
      <c r="J3657" s="3">
        <v>44808</v>
      </c>
      <c r="K3657" s="2">
        <v>8</v>
      </c>
      <c r="L3657" s="2" t="s">
        <v>70</v>
      </c>
    </row>
    <row r="3658" spans="1:12" x14ac:dyDescent="0.3">
      <c r="A3658" s="2">
        <v>3647</v>
      </c>
      <c r="B3658" s="2" t="s">
        <v>6721</v>
      </c>
      <c r="C3658" s="2" t="s">
        <v>4469</v>
      </c>
      <c r="D3658" s="2" t="s">
        <v>15</v>
      </c>
      <c r="E3658" s="2" t="s">
        <v>16</v>
      </c>
      <c r="F3658" s="2">
        <v>60</v>
      </c>
      <c r="G3658" s="2" t="s">
        <v>8535</v>
      </c>
      <c r="H3658" s="2" t="s">
        <v>8534</v>
      </c>
      <c r="I3658" s="2" t="s">
        <v>294</v>
      </c>
      <c r="J3658" s="3">
        <v>44018</v>
      </c>
      <c r="K3658" s="2">
        <v>43</v>
      </c>
      <c r="L3658" s="2" t="s">
        <v>159</v>
      </c>
    </row>
    <row r="3659" spans="1:12" x14ac:dyDescent="0.3">
      <c r="A3659" s="2">
        <v>3648</v>
      </c>
      <c r="B3659" s="2" t="s">
        <v>5567</v>
      </c>
      <c r="C3659" s="2" t="s">
        <v>7073</v>
      </c>
      <c r="D3659" s="2" t="s">
        <v>28</v>
      </c>
      <c r="E3659" s="2" t="s">
        <v>29</v>
      </c>
      <c r="F3659" s="2">
        <v>60</v>
      </c>
      <c r="G3659" s="2" t="s">
        <v>8535</v>
      </c>
      <c r="H3659" s="2" t="s">
        <v>3695</v>
      </c>
      <c r="I3659" s="2" t="s">
        <v>173</v>
      </c>
      <c r="J3659" s="3">
        <v>43838</v>
      </c>
      <c r="K3659" s="2">
        <v>47</v>
      </c>
      <c r="L3659" s="2" t="s">
        <v>33</v>
      </c>
    </row>
    <row r="3660" spans="1:12" x14ac:dyDescent="0.3">
      <c r="A3660" s="2">
        <v>3649</v>
      </c>
      <c r="B3660" s="2" t="s">
        <v>3101</v>
      </c>
      <c r="C3660" s="2" t="s">
        <v>6139</v>
      </c>
      <c r="D3660" s="2" t="s">
        <v>28</v>
      </c>
      <c r="E3660" s="2" t="s">
        <v>29</v>
      </c>
      <c r="F3660" s="2">
        <v>30</v>
      </c>
      <c r="G3660" s="2" t="s">
        <v>8536</v>
      </c>
      <c r="H3660" s="2" t="s">
        <v>6621</v>
      </c>
      <c r="I3660" s="2" t="s">
        <v>38</v>
      </c>
      <c r="J3660" s="3">
        <v>44851</v>
      </c>
      <c r="K3660" s="2">
        <v>3</v>
      </c>
      <c r="L3660" s="2" t="s">
        <v>33</v>
      </c>
    </row>
    <row r="3661" spans="1:12" x14ac:dyDescent="0.3">
      <c r="A3661" s="2">
        <v>3650</v>
      </c>
      <c r="B3661" s="2" t="s">
        <v>7176</v>
      </c>
      <c r="C3661" s="2" t="s">
        <v>4583</v>
      </c>
      <c r="D3661" s="2" t="s">
        <v>28</v>
      </c>
      <c r="E3661" s="2" t="s">
        <v>29</v>
      </c>
      <c r="F3661" s="2">
        <v>60</v>
      </c>
      <c r="G3661" s="2" t="s">
        <v>8537</v>
      </c>
      <c r="H3661" s="2" t="s">
        <v>710</v>
      </c>
      <c r="I3661" s="2" t="s">
        <v>187</v>
      </c>
      <c r="J3661" s="3">
        <v>44913</v>
      </c>
      <c r="K3661" s="2">
        <v>62</v>
      </c>
      <c r="L3661" s="2" t="s">
        <v>159</v>
      </c>
    </row>
    <row r="3662" spans="1:12" x14ac:dyDescent="0.3">
      <c r="A3662" s="2">
        <v>3651</v>
      </c>
      <c r="B3662" s="2" t="s">
        <v>1170</v>
      </c>
      <c r="C3662" s="2" t="s">
        <v>5428</v>
      </c>
      <c r="D3662" s="2" t="s">
        <v>28</v>
      </c>
      <c r="E3662" s="2" t="s">
        <v>29</v>
      </c>
      <c r="F3662" s="2">
        <v>60</v>
      </c>
      <c r="G3662" s="2" t="s">
        <v>8538</v>
      </c>
      <c r="H3662" s="2" t="s">
        <v>378</v>
      </c>
      <c r="I3662" s="2" t="s">
        <v>146</v>
      </c>
      <c r="J3662" s="3">
        <v>44316</v>
      </c>
      <c r="K3662" s="2">
        <v>58</v>
      </c>
      <c r="L3662" s="2" t="s">
        <v>20</v>
      </c>
    </row>
    <row r="3663" spans="1:12" x14ac:dyDescent="0.3">
      <c r="A3663" s="2">
        <v>3652</v>
      </c>
      <c r="B3663" s="2" t="s">
        <v>8539</v>
      </c>
      <c r="C3663" s="2" t="s">
        <v>4998</v>
      </c>
      <c r="D3663" s="2" t="s">
        <v>15</v>
      </c>
      <c r="E3663" s="2" t="s">
        <v>16</v>
      </c>
      <c r="F3663" s="2">
        <v>90</v>
      </c>
      <c r="G3663" s="2" t="s">
        <v>8540</v>
      </c>
      <c r="H3663" s="2" t="s">
        <v>1719</v>
      </c>
      <c r="I3663" s="2" t="s">
        <v>38</v>
      </c>
      <c r="J3663" s="3">
        <v>44378</v>
      </c>
      <c r="K3663" s="2">
        <v>5</v>
      </c>
      <c r="L3663" s="2" t="s">
        <v>45</v>
      </c>
    </row>
    <row r="3664" spans="1:12" x14ac:dyDescent="0.3">
      <c r="A3664" s="2">
        <v>3653</v>
      </c>
      <c r="B3664" s="2" t="s">
        <v>7827</v>
      </c>
      <c r="C3664" s="2" t="s">
        <v>1259</v>
      </c>
      <c r="D3664" s="2" t="s">
        <v>15</v>
      </c>
      <c r="E3664" s="2" t="s">
        <v>16</v>
      </c>
      <c r="F3664" s="2">
        <v>90</v>
      </c>
      <c r="G3664" s="2" t="s">
        <v>8540</v>
      </c>
      <c r="H3664" s="2" t="s">
        <v>734</v>
      </c>
      <c r="I3664" s="2" t="s">
        <v>32</v>
      </c>
      <c r="J3664" s="3">
        <v>44656</v>
      </c>
      <c r="K3664" s="2">
        <v>36</v>
      </c>
      <c r="L3664" s="2" t="s">
        <v>101</v>
      </c>
    </row>
    <row r="3665" spans="1:12" x14ac:dyDescent="0.3">
      <c r="A3665" s="2">
        <v>3654</v>
      </c>
      <c r="B3665" s="2" t="s">
        <v>3216</v>
      </c>
      <c r="C3665" s="2" t="s">
        <v>4037</v>
      </c>
      <c r="D3665" s="2" t="s">
        <v>28</v>
      </c>
      <c r="E3665" s="2" t="s">
        <v>29</v>
      </c>
      <c r="F3665" s="2">
        <v>60</v>
      </c>
      <c r="G3665" s="2" t="s">
        <v>8541</v>
      </c>
      <c r="H3665" s="2" t="s">
        <v>1754</v>
      </c>
      <c r="I3665" s="2" t="s">
        <v>25</v>
      </c>
      <c r="J3665" s="3">
        <v>44299</v>
      </c>
      <c r="K3665" s="2">
        <v>65</v>
      </c>
      <c r="L3665" s="2" t="s">
        <v>54</v>
      </c>
    </row>
    <row r="3666" spans="1:12" x14ac:dyDescent="0.3">
      <c r="A3666" s="2">
        <v>3655</v>
      </c>
      <c r="B3666" s="2" t="s">
        <v>8542</v>
      </c>
      <c r="C3666" s="2" t="s">
        <v>946</v>
      </c>
      <c r="D3666" s="2" t="s">
        <v>51</v>
      </c>
      <c r="E3666" s="2" t="s">
        <v>16</v>
      </c>
      <c r="F3666" s="2">
        <v>60</v>
      </c>
      <c r="G3666" s="2" t="s">
        <v>8543</v>
      </c>
      <c r="H3666" s="2" t="s">
        <v>8028</v>
      </c>
      <c r="I3666" s="2" t="s">
        <v>294</v>
      </c>
      <c r="J3666" s="3">
        <v>44172</v>
      </c>
      <c r="K3666" s="2">
        <v>44</v>
      </c>
      <c r="L3666" s="2" t="s">
        <v>39</v>
      </c>
    </row>
    <row r="3667" spans="1:12" x14ac:dyDescent="0.3">
      <c r="A3667" s="2">
        <v>3656</v>
      </c>
      <c r="B3667" s="2" t="s">
        <v>3374</v>
      </c>
      <c r="C3667" s="2" t="s">
        <v>8544</v>
      </c>
      <c r="D3667" s="2" t="s">
        <v>15</v>
      </c>
      <c r="E3667" s="2" t="s">
        <v>16</v>
      </c>
      <c r="F3667" s="2">
        <v>30</v>
      </c>
      <c r="G3667" s="2" t="s">
        <v>8545</v>
      </c>
      <c r="H3667" s="2" t="s">
        <v>128</v>
      </c>
      <c r="I3667" s="2" t="s">
        <v>129</v>
      </c>
      <c r="J3667" s="3">
        <v>44867</v>
      </c>
      <c r="K3667" s="2">
        <v>63</v>
      </c>
      <c r="L3667" s="2" t="s">
        <v>20</v>
      </c>
    </row>
    <row r="3668" spans="1:12" x14ac:dyDescent="0.3">
      <c r="A3668" s="2">
        <v>3657</v>
      </c>
      <c r="B3668" s="2" t="s">
        <v>5594</v>
      </c>
      <c r="C3668" s="2" t="s">
        <v>3947</v>
      </c>
      <c r="D3668" s="2" t="s">
        <v>51</v>
      </c>
      <c r="E3668" s="2" t="s">
        <v>16</v>
      </c>
      <c r="F3668" s="2">
        <v>60</v>
      </c>
      <c r="G3668" s="2" t="s">
        <v>8546</v>
      </c>
      <c r="H3668" s="2" t="s">
        <v>8547</v>
      </c>
      <c r="I3668" s="2" t="s">
        <v>32</v>
      </c>
      <c r="J3668" s="3">
        <v>44343</v>
      </c>
      <c r="K3668" s="2">
        <v>7</v>
      </c>
      <c r="L3668" s="2" t="s">
        <v>33</v>
      </c>
    </row>
    <row r="3669" spans="1:12" x14ac:dyDescent="0.3">
      <c r="A3669" s="2">
        <v>3658</v>
      </c>
      <c r="B3669" s="2" t="s">
        <v>138</v>
      </c>
      <c r="C3669" s="2" t="s">
        <v>8548</v>
      </c>
      <c r="D3669" s="2" t="s">
        <v>28</v>
      </c>
      <c r="E3669" s="2" t="s">
        <v>29</v>
      </c>
      <c r="F3669" s="2">
        <v>60</v>
      </c>
      <c r="G3669" s="2" t="s">
        <v>8549</v>
      </c>
      <c r="H3669" s="2" t="s">
        <v>2084</v>
      </c>
      <c r="I3669" s="2" t="s">
        <v>294</v>
      </c>
      <c r="J3669" s="3">
        <v>44475</v>
      </c>
      <c r="K3669" s="2">
        <v>27</v>
      </c>
      <c r="L3669" s="2" t="s">
        <v>39</v>
      </c>
    </row>
    <row r="3670" spans="1:12" x14ac:dyDescent="0.3">
      <c r="A3670" s="2">
        <v>3659</v>
      </c>
      <c r="B3670" s="2" t="s">
        <v>5594</v>
      </c>
      <c r="C3670" s="2" t="s">
        <v>1023</v>
      </c>
      <c r="D3670" s="2" t="s">
        <v>28</v>
      </c>
      <c r="E3670" s="2" t="s">
        <v>29</v>
      </c>
      <c r="F3670" s="2">
        <v>60</v>
      </c>
      <c r="G3670" s="2" t="s">
        <v>8549</v>
      </c>
      <c r="H3670" s="2" t="s">
        <v>3200</v>
      </c>
      <c r="I3670" s="2" t="s">
        <v>32</v>
      </c>
      <c r="J3670" s="3">
        <v>44629</v>
      </c>
      <c r="K3670" s="2">
        <v>42</v>
      </c>
      <c r="L3670" s="2" t="s">
        <v>101</v>
      </c>
    </row>
    <row r="3671" spans="1:12" x14ac:dyDescent="0.3">
      <c r="A3671" s="2">
        <v>3660</v>
      </c>
      <c r="B3671" s="2" t="s">
        <v>6242</v>
      </c>
      <c r="C3671" s="2" t="s">
        <v>6638</v>
      </c>
      <c r="D3671" s="2" t="s">
        <v>15</v>
      </c>
      <c r="E3671" s="2" t="s">
        <v>16</v>
      </c>
      <c r="F3671" s="2">
        <v>90</v>
      </c>
      <c r="G3671" s="2" t="s">
        <v>8550</v>
      </c>
      <c r="H3671" s="2" t="s">
        <v>2613</v>
      </c>
      <c r="I3671" s="2" t="s">
        <v>32</v>
      </c>
      <c r="J3671" s="3">
        <v>44787</v>
      </c>
      <c r="K3671" s="2">
        <v>91</v>
      </c>
      <c r="L3671" s="2" t="s">
        <v>80</v>
      </c>
    </row>
    <row r="3672" spans="1:12" x14ac:dyDescent="0.3">
      <c r="A3672" s="2">
        <v>3661</v>
      </c>
      <c r="B3672" s="2" t="s">
        <v>6070</v>
      </c>
      <c r="C3672" s="2" t="s">
        <v>8551</v>
      </c>
      <c r="D3672" s="2" t="s">
        <v>51</v>
      </c>
      <c r="E3672" s="2" t="s">
        <v>16</v>
      </c>
      <c r="F3672" s="2">
        <v>60</v>
      </c>
      <c r="G3672" s="2" t="s">
        <v>8552</v>
      </c>
      <c r="H3672" s="2" t="s">
        <v>8022</v>
      </c>
      <c r="I3672" s="2" t="s">
        <v>294</v>
      </c>
      <c r="J3672" s="3">
        <v>44371</v>
      </c>
      <c r="K3672" s="2">
        <v>38</v>
      </c>
      <c r="L3672" s="2" t="s">
        <v>70</v>
      </c>
    </row>
    <row r="3673" spans="1:12" x14ac:dyDescent="0.3">
      <c r="A3673" s="2">
        <v>3662</v>
      </c>
      <c r="B3673" s="2" t="s">
        <v>8553</v>
      </c>
      <c r="C3673" s="2" t="s">
        <v>8554</v>
      </c>
      <c r="D3673" s="2" t="s">
        <v>15</v>
      </c>
      <c r="E3673" s="2" t="s">
        <v>16</v>
      </c>
      <c r="F3673" s="2">
        <v>60</v>
      </c>
      <c r="G3673" s="2" t="s">
        <v>8555</v>
      </c>
      <c r="H3673" s="2" t="s">
        <v>5167</v>
      </c>
      <c r="I3673" s="2" t="s">
        <v>32</v>
      </c>
      <c r="J3673" s="3">
        <v>44359</v>
      </c>
      <c r="K3673" s="2">
        <v>31</v>
      </c>
      <c r="L3673" s="2" t="s">
        <v>101</v>
      </c>
    </row>
    <row r="3674" spans="1:12" x14ac:dyDescent="0.3">
      <c r="A3674" s="2">
        <v>3663</v>
      </c>
      <c r="B3674" s="2" t="s">
        <v>4703</v>
      </c>
      <c r="C3674" s="2" t="s">
        <v>4570</v>
      </c>
      <c r="D3674" s="2" t="s">
        <v>28</v>
      </c>
      <c r="E3674" s="2" t="s">
        <v>29</v>
      </c>
      <c r="F3674" s="2">
        <v>60</v>
      </c>
      <c r="G3674" s="2" t="s">
        <v>8556</v>
      </c>
      <c r="H3674" s="2" t="s">
        <v>920</v>
      </c>
      <c r="I3674" s="2" t="s">
        <v>178</v>
      </c>
      <c r="J3674" s="3">
        <v>43835</v>
      </c>
      <c r="K3674" s="2">
        <v>30</v>
      </c>
      <c r="L3674" s="2" t="s">
        <v>20</v>
      </c>
    </row>
    <row r="3675" spans="1:12" x14ac:dyDescent="0.3">
      <c r="A3675" s="2">
        <v>3664</v>
      </c>
      <c r="B3675" s="2" t="s">
        <v>6411</v>
      </c>
      <c r="C3675" s="2" t="s">
        <v>197</v>
      </c>
      <c r="D3675" s="2" t="s">
        <v>28</v>
      </c>
      <c r="E3675" s="2" t="s">
        <v>29</v>
      </c>
      <c r="F3675" s="2">
        <v>90</v>
      </c>
      <c r="G3675" s="2" t="s">
        <v>8557</v>
      </c>
      <c r="H3675" s="2" t="s">
        <v>3261</v>
      </c>
      <c r="I3675" s="2" t="s">
        <v>124</v>
      </c>
      <c r="J3675" s="3">
        <v>44816</v>
      </c>
      <c r="K3675" s="2">
        <v>74</v>
      </c>
      <c r="L3675" s="2" t="s">
        <v>39</v>
      </c>
    </row>
    <row r="3676" spans="1:12" x14ac:dyDescent="0.3">
      <c r="A3676" s="2">
        <v>3665</v>
      </c>
      <c r="B3676" s="2" t="s">
        <v>8216</v>
      </c>
      <c r="C3676" s="2" t="s">
        <v>410</v>
      </c>
      <c r="D3676" s="2" t="s">
        <v>51</v>
      </c>
      <c r="E3676" s="2" t="s">
        <v>16</v>
      </c>
      <c r="F3676" s="2">
        <v>60</v>
      </c>
      <c r="G3676" s="2" t="s">
        <v>8558</v>
      </c>
      <c r="H3676" s="2" t="s">
        <v>920</v>
      </c>
      <c r="I3676" s="2" t="s">
        <v>178</v>
      </c>
      <c r="J3676" s="3">
        <v>44224</v>
      </c>
      <c r="K3676" s="2">
        <v>7</v>
      </c>
      <c r="L3676" s="2" t="s">
        <v>33</v>
      </c>
    </row>
    <row r="3677" spans="1:12" x14ac:dyDescent="0.3">
      <c r="A3677" s="2">
        <v>3666</v>
      </c>
      <c r="B3677" s="2" t="s">
        <v>8288</v>
      </c>
      <c r="C3677" s="2" t="s">
        <v>7226</v>
      </c>
      <c r="D3677" s="2" t="s">
        <v>28</v>
      </c>
      <c r="E3677" s="2" t="s">
        <v>29</v>
      </c>
      <c r="F3677" s="2">
        <v>30</v>
      </c>
      <c r="G3677" s="2" t="s">
        <v>8559</v>
      </c>
      <c r="H3677" s="2" t="s">
        <v>2745</v>
      </c>
      <c r="I3677" s="2" t="s">
        <v>32</v>
      </c>
      <c r="J3677" s="3">
        <v>44907</v>
      </c>
      <c r="K3677" s="2">
        <v>9</v>
      </c>
      <c r="L3677" s="2" t="s">
        <v>101</v>
      </c>
    </row>
    <row r="3678" spans="1:12" x14ac:dyDescent="0.3">
      <c r="A3678" s="2">
        <v>3667</v>
      </c>
      <c r="B3678" s="2" t="s">
        <v>8560</v>
      </c>
      <c r="C3678" s="2" t="s">
        <v>8561</v>
      </c>
      <c r="D3678" s="2" t="s">
        <v>51</v>
      </c>
      <c r="E3678" s="2" t="s">
        <v>16</v>
      </c>
      <c r="F3678" s="2">
        <v>60</v>
      </c>
      <c r="G3678" s="2" t="s">
        <v>8562</v>
      </c>
      <c r="H3678" s="2" t="s">
        <v>6353</v>
      </c>
      <c r="I3678" s="2" t="s">
        <v>32</v>
      </c>
      <c r="J3678" s="3">
        <v>44565</v>
      </c>
      <c r="K3678" s="2">
        <v>38</v>
      </c>
      <c r="L3678" s="2" t="s">
        <v>33</v>
      </c>
    </row>
    <row r="3679" spans="1:12" x14ac:dyDescent="0.3">
      <c r="A3679" s="2">
        <v>3668</v>
      </c>
      <c r="B3679" s="2" t="s">
        <v>5614</v>
      </c>
      <c r="C3679" s="2" t="s">
        <v>8563</v>
      </c>
      <c r="D3679" s="2" t="s">
        <v>28</v>
      </c>
      <c r="E3679" s="2" t="s">
        <v>29</v>
      </c>
      <c r="F3679" s="2">
        <v>90</v>
      </c>
      <c r="G3679" s="2" t="s">
        <v>8564</v>
      </c>
      <c r="H3679" s="2" t="s">
        <v>2397</v>
      </c>
      <c r="I3679" s="2" t="s">
        <v>187</v>
      </c>
      <c r="J3679" s="3">
        <v>44791</v>
      </c>
      <c r="K3679" s="2">
        <v>72</v>
      </c>
      <c r="L3679" s="2" t="s">
        <v>101</v>
      </c>
    </row>
    <row r="3680" spans="1:12" x14ac:dyDescent="0.3">
      <c r="A3680" s="2">
        <v>3669</v>
      </c>
      <c r="B3680" s="2" t="s">
        <v>1057</v>
      </c>
      <c r="C3680" s="2" t="s">
        <v>8565</v>
      </c>
      <c r="D3680" s="2" t="s">
        <v>51</v>
      </c>
      <c r="E3680" s="2" t="s">
        <v>16</v>
      </c>
      <c r="F3680" s="2">
        <v>30</v>
      </c>
      <c r="G3680" s="2" t="s">
        <v>8566</v>
      </c>
      <c r="H3680" s="2" t="s">
        <v>1272</v>
      </c>
      <c r="I3680" s="2" t="s">
        <v>59</v>
      </c>
      <c r="J3680" s="3">
        <v>44056</v>
      </c>
      <c r="K3680" s="2">
        <v>76</v>
      </c>
      <c r="L3680" s="2" t="s">
        <v>39</v>
      </c>
    </row>
    <row r="3681" spans="1:12" x14ac:dyDescent="0.3">
      <c r="A3681" s="2">
        <v>3670</v>
      </c>
      <c r="B3681" s="2" t="s">
        <v>1376</v>
      </c>
      <c r="C3681" s="2" t="s">
        <v>5391</v>
      </c>
      <c r="D3681" s="2" t="s">
        <v>92</v>
      </c>
      <c r="E3681" s="2" t="s">
        <v>29</v>
      </c>
      <c r="F3681" s="2">
        <v>90</v>
      </c>
      <c r="G3681" s="2" t="s">
        <v>8566</v>
      </c>
      <c r="H3681" s="2" t="s">
        <v>5934</v>
      </c>
      <c r="I3681" s="2" t="s">
        <v>173</v>
      </c>
      <c r="J3681" s="3">
        <v>44498</v>
      </c>
      <c r="K3681" s="2">
        <v>78</v>
      </c>
      <c r="L3681" s="2" t="s">
        <v>159</v>
      </c>
    </row>
    <row r="3682" spans="1:12" x14ac:dyDescent="0.3">
      <c r="A3682" s="2">
        <v>3671</v>
      </c>
      <c r="B3682" s="2" t="s">
        <v>8567</v>
      </c>
      <c r="C3682" s="2" t="s">
        <v>215</v>
      </c>
      <c r="D3682" s="2" t="s">
        <v>15</v>
      </c>
      <c r="E3682" s="2" t="s">
        <v>16</v>
      </c>
      <c r="F3682" s="2">
        <v>90</v>
      </c>
      <c r="G3682" s="2" t="s">
        <v>8568</v>
      </c>
      <c r="H3682" s="2" t="s">
        <v>1115</v>
      </c>
      <c r="I3682" s="2" t="s">
        <v>32</v>
      </c>
      <c r="J3682" s="3">
        <v>43856</v>
      </c>
      <c r="K3682" s="2">
        <v>3</v>
      </c>
      <c r="L3682" s="2" t="s">
        <v>159</v>
      </c>
    </row>
    <row r="3683" spans="1:12" x14ac:dyDescent="0.3">
      <c r="A3683" s="2">
        <v>3672</v>
      </c>
      <c r="B3683" s="2" t="s">
        <v>2605</v>
      </c>
      <c r="C3683" s="2" t="s">
        <v>4318</v>
      </c>
      <c r="D3683" s="2" t="s">
        <v>28</v>
      </c>
      <c r="E3683" s="2" t="s">
        <v>29</v>
      </c>
      <c r="F3683" s="2">
        <v>30</v>
      </c>
      <c r="G3683" s="2" t="s">
        <v>8569</v>
      </c>
      <c r="H3683" s="2" t="s">
        <v>1370</v>
      </c>
      <c r="I3683" s="2" t="s">
        <v>32</v>
      </c>
      <c r="J3683" s="3">
        <v>43950</v>
      </c>
      <c r="K3683" s="2">
        <v>71</v>
      </c>
      <c r="L3683" s="2" t="s">
        <v>159</v>
      </c>
    </row>
    <row r="3684" spans="1:12" x14ac:dyDescent="0.3">
      <c r="A3684" s="2">
        <v>3673</v>
      </c>
      <c r="B3684" s="2" t="s">
        <v>2734</v>
      </c>
      <c r="C3684" s="2" t="s">
        <v>3968</v>
      </c>
      <c r="D3684" s="2" t="s">
        <v>51</v>
      </c>
      <c r="E3684" s="2" t="s">
        <v>16</v>
      </c>
      <c r="F3684" s="2">
        <v>60</v>
      </c>
      <c r="G3684" s="2" t="s">
        <v>8570</v>
      </c>
      <c r="H3684" s="2" t="s">
        <v>2893</v>
      </c>
      <c r="I3684" s="2" t="s">
        <v>32</v>
      </c>
      <c r="J3684" s="3">
        <v>43935</v>
      </c>
      <c r="K3684" s="2">
        <v>71</v>
      </c>
      <c r="L3684" s="2" t="s">
        <v>45</v>
      </c>
    </row>
    <row r="3685" spans="1:12" x14ac:dyDescent="0.3">
      <c r="A3685" s="2">
        <v>3674</v>
      </c>
      <c r="B3685" s="2" t="s">
        <v>8571</v>
      </c>
      <c r="C3685" s="2" t="s">
        <v>788</v>
      </c>
      <c r="D3685" s="2" t="s">
        <v>51</v>
      </c>
      <c r="E3685" s="2" t="s">
        <v>16</v>
      </c>
      <c r="F3685" s="2">
        <v>30</v>
      </c>
      <c r="G3685" s="2" t="s">
        <v>8572</v>
      </c>
      <c r="H3685" s="2" t="s">
        <v>1292</v>
      </c>
      <c r="I3685" s="2" t="s">
        <v>32</v>
      </c>
      <c r="J3685" s="3">
        <v>44125</v>
      </c>
      <c r="K3685" s="2">
        <v>6</v>
      </c>
      <c r="L3685" s="2" t="s">
        <v>101</v>
      </c>
    </row>
    <row r="3686" spans="1:12" x14ac:dyDescent="0.3">
      <c r="A3686" s="2">
        <v>3675</v>
      </c>
      <c r="B3686" s="2" t="s">
        <v>8573</v>
      </c>
      <c r="C3686" s="2" t="s">
        <v>896</v>
      </c>
      <c r="D3686" s="2" t="s">
        <v>41</v>
      </c>
      <c r="E3686" s="2" t="s">
        <v>16</v>
      </c>
      <c r="F3686" s="2">
        <v>60</v>
      </c>
      <c r="G3686" s="2" t="s">
        <v>10555</v>
      </c>
      <c r="H3686" s="2" t="s">
        <v>2190</v>
      </c>
      <c r="I3686" s="2" t="s">
        <v>32</v>
      </c>
      <c r="J3686" s="3">
        <v>44768</v>
      </c>
      <c r="K3686" s="2">
        <v>98</v>
      </c>
      <c r="L3686" s="2" t="s">
        <v>39</v>
      </c>
    </row>
    <row r="3687" spans="1:12" x14ac:dyDescent="0.3">
      <c r="A3687" s="2">
        <v>3676</v>
      </c>
      <c r="B3687" s="2" t="s">
        <v>2405</v>
      </c>
      <c r="C3687" s="2" t="s">
        <v>8575</v>
      </c>
      <c r="D3687" s="2" t="s">
        <v>28</v>
      </c>
      <c r="E3687" s="2" t="s">
        <v>29</v>
      </c>
      <c r="F3687" s="2">
        <v>30</v>
      </c>
      <c r="G3687" s="2" t="s">
        <v>8576</v>
      </c>
      <c r="H3687" s="2" t="s">
        <v>5711</v>
      </c>
      <c r="I3687" s="2" t="s">
        <v>25</v>
      </c>
      <c r="J3687" s="3">
        <v>44669</v>
      </c>
      <c r="K3687" s="2">
        <v>43</v>
      </c>
      <c r="L3687" s="2" t="s">
        <v>33</v>
      </c>
    </row>
    <row r="3688" spans="1:12" x14ac:dyDescent="0.3">
      <c r="A3688" s="2">
        <v>3677</v>
      </c>
      <c r="B3688" s="2" t="s">
        <v>5425</v>
      </c>
      <c r="C3688" s="2" t="s">
        <v>8577</v>
      </c>
      <c r="D3688" s="2" t="s">
        <v>51</v>
      </c>
      <c r="E3688" s="2" t="s">
        <v>16</v>
      </c>
      <c r="F3688" s="2">
        <v>90</v>
      </c>
      <c r="G3688" s="2" t="s">
        <v>8578</v>
      </c>
      <c r="H3688" s="2" t="s">
        <v>3242</v>
      </c>
      <c r="I3688" s="2" t="s">
        <v>32</v>
      </c>
      <c r="J3688" s="3">
        <v>44060</v>
      </c>
      <c r="K3688" s="2">
        <v>77</v>
      </c>
      <c r="L3688" s="2" t="s">
        <v>33</v>
      </c>
    </row>
    <row r="3689" spans="1:12" x14ac:dyDescent="0.3">
      <c r="A3689" s="2">
        <v>3678</v>
      </c>
      <c r="B3689" s="2" t="s">
        <v>588</v>
      </c>
      <c r="C3689" s="2" t="s">
        <v>5428</v>
      </c>
      <c r="D3689" s="2" t="s">
        <v>28</v>
      </c>
      <c r="E3689" s="2" t="s">
        <v>29</v>
      </c>
      <c r="F3689" s="2">
        <v>60</v>
      </c>
      <c r="G3689" s="2" t="s">
        <v>8579</v>
      </c>
      <c r="H3689" s="2" t="s">
        <v>6772</v>
      </c>
      <c r="I3689" s="2" t="s">
        <v>32</v>
      </c>
      <c r="J3689" s="3">
        <v>44145</v>
      </c>
      <c r="K3689" s="2">
        <v>49</v>
      </c>
      <c r="L3689" s="2" t="s">
        <v>159</v>
      </c>
    </row>
    <row r="3690" spans="1:12" x14ac:dyDescent="0.3">
      <c r="A3690" s="2">
        <v>3679</v>
      </c>
      <c r="B3690" s="2" t="s">
        <v>899</v>
      </c>
      <c r="C3690" s="2" t="s">
        <v>3928</v>
      </c>
      <c r="D3690" s="2" t="s">
        <v>621</v>
      </c>
      <c r="E3690" s="2" t="s">
        <v>29</v>
      </c>
      <c r="F3690" s="2">
        <v>30</v>
      </c>
      <c r="G3690" s="2" t="s">
        <v>8580</v>
      </c>
      <c r="H3690" s="2" t="s">
        <v>3245</v>
      </c>
      <c r="I3690" s="2" t="s">
        <v>32</v>
      </c>
      <c r="J3690" s="3">
        <v>44452</v>
      </c>
      <c r="K3690" s="2">
        <v>25</v>
      </c>
      <c r="L3690" s="2" t="s">
        <v>70</v>
      </c>
    </row>
    <row r="3691" spans="1:12" x14ac:dyDescent="0.3">
      <c r="A3691" s="2">
        <v>3680</v>
      </c>
      <c r="B3691" s="2" t="s">
        <v>1371</v>
      </c>
      <c r="C3691" s="2" t="s">
        <v>8581</v>
      </c>
      <c r="D3691" s="2" t="s">
        <v>28</v>
      </c>
      <c r="E3691" s="2" t="s">
        <v>29</v>
      </c>
      <c r="F3691" s="2">
        <v>30</v>
      </c>
      <c r="G3691" s="2" t="s">
        <v>8582</v>
      </c>
      <c r="H3691" s="2" t="s">
        <v>1598</v>
      </c>
      <c r="I3691" s="2" t="s">
        <v>32</v>
      </c>
      <c r="J3691" s="3">
        <v>44129</v>
      </c>
      <c r="K3691" s="2">
        <v>76</v>
      </c>
      <c r="L3691" s="2" t="s">
        <v>20</v>
      </c>
    </row>
    <row r="3692" spans="1:12" x14ac:dyDescent="0.3">
      <c r="A3692" s="2">
        <v>3681</v>
      </c>
      <c r="B3692" s="2" t="s">
        <v>8369</v>
      </c>
      <c r="C3692" s="2" t="s">
        <v>4402</v>
      </c>
      <c r="D3692" s="2" t="s">
        <v>15</v>
      </c>
      <c r="E3692" s="2" t="s">
        <v>16</v>
      </c>
      <c r="F3692" s="2">
        <v>90</v>
      </c>
      <c r="G3692" s="2" t="s">
        <v>8583</v>
      </c>
      <c r="H3692" s="2" t="s">
        <v>2498</v>
      </c>
      <c r="I3692" s="2" t="s">
        <v>913</v>
      </c>
      <c r="J3692" s="3">
        <v>43979</v>
      </c>
      <c r="K3692" s="2">
        <v>38</v>
      </c>
      <c r="L3692" s="2" t="s">
        <v>20</v>
      </c>
    </row>
    <row r="3693" spans="1:12" x14ac:dyDescent="0.3">
      <c r="A3693" s="2">
        <v>3682</v>
      </c>
      <c r="B3693" s="2" t="s">
        <v>8584</v>
      </c>
      <c r="C3693" s="2" t="s">
        <v>5328</v>
      </c>
      <c r="D3693" s="2" t="s">
        <v>51</v>
      </c>
      <c r="E3693" s="2" t="s">
        <v>16</v>
      </c>
      <c r="F3693" s="2">
        <v>30</v>
      </c>
      <c r="G3693" s="2" t="s">
        <v>8585</v>
      </c>
      <c r="H3693" s="2" t="s">
        <v>7546</v>
      </c>
      <c r="I3693" s="2" t="s">
        <v>187</v>
      </c>
      <c r="J3693" s="3">
        <v>44164</v>
      </c>
      <c r="K3693" s="2">
        <v>59</v>
      </c>
      <c r="L3693" s="2" t="s">
        <v>20</v>
      </c>
    </row>
    <row r="3694" spans="1:12" x14ac:dyDescent="0.3">
      <c r="A3694" s="2">
        <v>3683</v>
      </c>
      <c r="B3694" s="2" t="s">
        <v>8586</v>
      </c>
      <c r="C3694" s="2" t="s">
        <v>7472</v>
      </c>
      <c r="D3694" s="2" t="s">
        <v>28</v>
      </c>
      <c r="E3694" s="2" t="s">
        <v>29</v>
      </c>
      <c r="F3694" s="2">
        <v>60</v>
      </c>
      <c r="G3694" s="2" t="s">
        <v>8587</v>
      </c>
      <c r="H3694" s="2" t="s">
        <v>4567</v>
      </c>
      <c r="I3694" s="2" t="s">
        <v>38</v>
      </c>
      <c r="J3694" s="3">
        <v>44071</v>
      </c>
      <c r="K3694" s="2">
        <v>12</v>
      </c>
      <c r="L3694" s="2" t="s">
        <v>20</v>
      </c>
    </row>
    <row r="3695" spans="1:12" x14ac:dyDescent="0.3">
      <c r="A3695" s="2">
        <v>3684</v>
      </c>
      <c r="B3695" s="2" t="s">
        <v>8588</v>
      </c>
      <c r="C3695" s="2" t="s">
        <v>305</v>
      </c>
      <c r="D3695" s="2" t="s">
        <v>15</v>
      </c>
      <c r="E3695" s="2" t="s">
        <v>16</v>
      </c>
      <c r="F3695" s="2">
        <v>30</v>
      </c>
      <c r="G3695" s="2" t="s">
        <v>8587</v>
      </c>
      <c r="H3695" s="2" t="s">
        <v>1347</v>
      </c>
      <c r="I3695" s="2" t="s">
        <v>32</v>
      </c>
      <c r="J3695" s="3">
        <v>44336</v>
      </c>
      <c r="K3695" s="2">
        <v>76</v>
      </c>
      <c r="L3695" s="2" t="s">
        <v>159</v>
      </c>
    </row>
    <row r="3696" spans="1:12" x14ac:dyDescent="0.3">
      <c r="A3696" s="2">
        <v>3685</v>
      </c>
      <c r="B3696" s="2" t="s">
        <v>8589</v>
      </c>
      <c r="C3696" s="2" t="s">
        <v>5199</v>
      </c>
      <c r="D3696" s="2" t="s">
        <v>15</v>
      </c>
      <c r="E3696" s="2" t="s">
        <v>16</v>
      </c>
      <c r="F3696" s="2">
        <v>30</v>
      </c>
      <c r="G3696" s="2" t="s">
        <v>8590</v>
      </c>
      <c r="H3696" s="2" t="s">
        <v>599</v>
      </c>
      <c r="I3696" s="2" t="s">
        <v>32</v>
      </c>
      <c r="J3696" s="3">
        <v>44299</v>
      </c>
      <c r="K3696" s="2">
        <v>73</v>
      </c>
      <c r="L3696" s="2" t="s">
        <v>80</v>
      </c>
    </row>
    <row r="3697" spans="1:12" x14ac:dyDescent="0.3">
      <c r="A3697" s="2">
        <v>3686</v>
      </c>
      <c r="B3697" s="2" t="s">
        <v>8591</v>
      </c>
      <c r="C3697" s="2" t="s">
        <v>4819</v>
      </c>
      <c r="D3697" s="2" t="s">
        <v>41</v>
      </c>
      <c r="E3697" s="2" t="s">
        <v>16</v>
      </c>
      <c r="F3697" s="2">
        <v>60</v>
      </c>
      <c r="G3697" s="2" t="s">
        <v>8592</v>
      </c>
      <c r="H3697" s="2" t="s">
        <v>6907</v>
      </c>
      <c r="I3697" s="2" t="s">
        <v>32</v>
      </c>
      <c r="J3697" s="3">
        <v>44606</v>
      </c>
      <c r="K3697" s="2">
        <v>54</v>
      </c>
      <c r="L3697" s="2" t="s">
        <v>80</v>
      </c>
    </row>
    <row r="3698" spans="1:12" x14ac:dyDescent="0.3">
      <c r="A3698" s="2">
        <v>3687</v>
      </c>
      <c r="B3698" s="2" t="s">
        <v>8593</v>
      </c>
      <c r="C3698" s="2" t="s">
        <v>4045</v>
      </c>
      <c r="D3698" s="2" t="s">
        <v>28</v>
      </c>
      <c r="E3698" s="2" t="s">
        <v>29</v>
      </c>
      <c r="F3698" s="2">
        <v>60</v>
      </c>
      <c r="G3698" s="2" t="s">
        <v>8594</v>
      </c>
      <c r="H3698" s="2" t="s">
        <v>7829</v>
      </c>
      <c r="I3698" s="2" t="s">
        <v>934</v>
      </c>
      <c r="J3698" s="3">
        <v>44098</v>
      </c>
      <c r="K3698" s="2">
        <v>67</v>
      </c>
      <c r="L3698" s="2" t="s">
        <v>159</v>
      </c>
    </row>
    <row r="3699" spans="1:12" x14ac:dyDescent="0.3">
      <c r="A3699" s="2">
        <v>3688</v>
      </c>
      <c r="B3699" s="2" t="s">
        <v>8595</v>
      </c>
      <c r="C3699" s="2" t="s">
        <v>188</v>
      </c>
      <c r="D3699" s="2" t="s">
        <v>51</v>
      </c>
      <c r="E3699" s="2" t="s">
        <v>16</v>
      </c>
      <c r="F3699" s="2">
        <v>60</v>
      </c>
      <c r="G3699" s="2" t="s">
        <v>8596</v>
      </c>
      <c r="H3699" s="2" t="s">
        <v>141</v>
      </c>
      <c r="I3699" s="2" t="s">
        <v>32</v>
      </c>
      <c r="J3699" s="3">
        <v>44001</v>
      </c>
      <c r="K3699" s="2">
        <v>7</v>
      </c>
      <c r="L3699" s="2" t="s">
        <v>54</v>
      </c>
    </row>
    <row r="3700" spans="1:12" x14ac:dyDescent="0.3">
      <c r="A3700" s="2">
        <v>3689</v>
      </c>
      <c r="B3700" s="2" t="s">
        <v>1748</v>
      </c>
      <c r="C3700" s="2" t="s">
        <v>2677</v>
      </c>
      <c r="D3700" s="2" t="s">
        <v>28</v>
      </c>
      <c r="E3700" s="2" t="s">
        <v>29</v>
      </c>
      <c r="F3700" s="2">
        <v>90</v>
      </c>
      <c r="G3700" s="2" t="s">
        <v>8597</v>
      </c>
      <c r="H3700" s="2" t="s">
        <v>6770</v>
      </c>
      <c r="I3700" s="2" t="s">
        <v>124</v>
      </c>
      <c r="J3700" s="3">
        <v>44230</v>
      </c>
      <c r="K3700" s="2">
        <v>7</v>
      </c>
      <c r="L3700" s="2" t="s">
        <v>33</v>
      </c>
    </row>
    <row r="3701" spans="1:12" x14ac:dyDescent="0.3">
      <c r="A3701" s="2">
        <v>3690</v>
      </c>
      <c r="B3701" s="2" t="s">
        <v>8598</v>
      </c>
      <c r="C3701" s="2" t="s">
        <v>3700</v>
      </c>
      <c r="D3701" s="2" t="s">
        <v>28</v>
      </c>
      <c r="E3701" s="2" t="s">
        <v>29</v>
      </c>
      <c r="F3701" s="2">
        <v>60</v>
      </c>
      <c r="G3701" s="2" t="s">
        <v>8599</v>
      </c>
      <c r="H3701" s="2" t="s">
        <v>5794</v>
      </c>
      <c r="I3701" s="2" t="s">
        <v>294</v>
      </c>
      <c r="J3701" s="3">
        <v>43929</v>
      </c>
      <c r="K3701" s="2">
        <v>32</v>
      </c>
      <c r="L3701" s="2" t="s">
        <v>45</v>
      </c>
    </row>
    <row r="3702" spans="1:12" x14ac:dyDescent="0.3">
      <c r="A3702" s="2">
        <v>3691</v>
      </c>
      <c r="B3702" s="2" t="s">
        <v>3400</v>
      </c>
      <c r="C3702" s="2" t="s">
        <v>1596</v>
      </c>
      <c r="D3702" s="2" t="s">
        <v>51</v>
      </c>
      <c r="E3702" s="2" t="s">
        <v>16</v>
      </c>
      <c r="F3702" s="2">
        <v>30</v>
      </c>
      <c r="G3702" s="2" t="s">
        <v>8600</v>
      </c>
      <c r="H3702" s="2" t="s">
        <v>1729</v>
      </c>
      <c r="I3702" s="2" t="s">
        <v>32</v>
      </c>
      <c r="J3702" s="3">
        <v>43881</v>
      </c>
      <c r="K3702" s="2">
        <v>54</v>
      </c>
      <c r="L3702" s="2" t="s">
        <v>80</v>
      </c>
    </row>
    <row r="3703" spans="1:12" x14ac:dyDescent="0.3">
      <c r="A3703" s="2">
        <v>3692</v>
      </c>
      <c r="B3703" s="2" t="s">
        <v>7804</v>
      </c>
      <c r="C3703" s="2" t="s">
        <v>2499</v>
      </c>
      <c r="D3703" s="2" t="s">
        <v>28</v>
      </c>
      <c r="E3703" s="2" t="s">
        <v>29</v>
      </c>
      <c r="F3703" s="2">
        <v>30</v>
      </c>
      <c r="G3703" s="2" t="s">
        <v>8601</v>
      </c>
      <c r="H3703" s="2" t="s">
        <v>5843</v>
      </c>
      <c r="I3703" s="2" t="s">
        <v>25</v>
      </c>
      <c r="J3703" s="3">
        <v>44653</v>
      </c>
      <c r="K3703" s="2">
        <v>94</v>
      </c>
      <c r="L3703" s="2" t="s">
        <v>64</v>
      </c>
    </row>
    <row r="3704" spans="1:12" x14ac:dyDescent="0.3">
      <c r="A3704" s="2">
        <v>3693</v>
      </c>
      <c r="B3704" s="2" t="s">
        <v>909</v>
      </c>
      <c r="C3704" s="2" t="s">
        <v>272</v>
      </c>
      <c r="D3704" s="2" t="s">
        <v>41</v>
      </c>
      <c r="E3704" s="2" t="s">
        <v>16</v>
      </c>
      <c r="F3704" s="2">
        <v>60</v>
      </c>
      <c r="G3704" s="2" t="s">
        <v>8602</v>
      </c>
      <c r="H3704" s="2" t="s">
        <v>685</v>
      </c>
      <c r="I3704" s="2" t="s">
        <v>686</v>
      </c>
      <c r="J3704" s="3">
        <v>44265</v>
      </c>
      <c r="K3704" s="2">
        <v>77</v>
      </c>
      <c r="L3704" s="2" t="s">
        <v>45</v>
      </c>
    </row>
    <row r="3705" spans="1:12" x14ac:dyDescent="0.3">
      <c r="A3705" s="2">
        <v>3694</v>
      </c>
      <c r="B3705" s="2" t="s">
        <v>8603</v>
      </c>
      <c r="C3705" s="2" t="s">
        <v>8604</v>
      </c>
      <c r="D3705" s="2" t="s">
        <v>41</v>
      </c>
      <c r="E3705" s="2" t="s">
        <v>16</v>
      </c>
      <c r="F3705" s="2">
        <v>30</v>
      </c>
      <c r="G3705" s="2" t="s">
        <v>8605</v>
      </c>
      <c r="H3705" s="2" t="s">
        <v>641</v>
      </c>
      <c r="I3705" s="2" t="s">
        <v>294</v>
      </c>
      <c r="J3705" s="3">
        <v>44287</v>
      </c>
      <c r="K3705" s="2">
        <v>74</v>
      </c>
      <c r="L3705" s="2" t="s">
        <v>159</v>
      </c>
    </row>
    <row r="3706" spans="1:12" x14ac:dyDescent="0.3">
      <c r="A3706" s="2">
        <v>3695</v>
      </c>
      <c r="B3706" s="2" t="s">
        <v>8606</v>
      </c>
      <c r="C3706" s="2" t="s">
        <v>2434</v>
      </c>
      <c r="D3706" s="2" t="s">
        <v>28</v>
      </c>
      <c r="E3706" s="2" t="s">
        <v>29</v>
      </c>
      <c r="F3706" s="2">
        <v>60</v>
      </c>
      <c r="G3706" s="2" t="s">
        <v>8607</v>
      </c>
      <c r="H3706" s="2" t="s">
        <v>3894</v>
      </c>
      <c r="I3706" s="2" t="s">
        <v>110</v>
      </c>
      <c r="J3706" s="3">
        <v>44005</v>
      </c>
      <c r="K3706" s="2">
        <v>75</v>
      </c>
      <c r="L3706" s="2" t="s">
        <v>80</v>
      </c>
    </row>
    <row r="3707" spans="1:12" x14ac:dyDescent="0.3">
      <c r="A3707" s="2">
        <v>3696</v>
      </c>
      <c r="B3707" s="2" t="s">
        <v>8608</v>
      </c>
      <c r="C3707" s="2" t="s">
        <v>481</v>
      </c>
      <c r="D3707" s="2" t="s">
        <v>51</v>
      </c>
      <c r="E3707" s="2" t="s">
        <v>16</v>
      </c>
      <c r="F3707" s="2">
        <v>60</v>
      </c>
      <c r="G3707" s="2" t="s">
        <v>8609</v>
      </c>
      <c r="H3707" s="2" t="s">
        <v>3666</v>
      </c>
      <c r="I3707" s="2" t="s">
        <v>1483</v>
      </c>
      <c r="J3707" s="3">
        <v>44209</v>
      </c>
      <c r="K3707" s="2">
        <v>17</v>
      </c>
      <c r="L3707" s="2" t="s">
        <v>45</v>
      </c>
    </row>
    <row r="3708" spans="1:12" x14ac:dyDescent="0.3">
      <c r="A3708" s="2">
        <v>3697</v>
      </c>
      <c r="B3708" s="2" t="s">
        <v>7311</v>
      </c>
      <c r="C3708" s="2" t="s">
        <v>2332</v>
      </c>
      <c r="D3708" s="2" t="s">
        <v>51</v>
      </c>
      <c r="E3708" s="2" t="s">
        <v>16</v>
      </c>
      <c r="F3708" s="2">
        <v>30</v>
      </c>
      <c r="G3708" s="2" t="s">
        <v>8610</v>
      </c>
      <c r="H3708" s="2" t="s">
        <v>5934</v>
      </c>
      <c r="I3708" s="2" t="s">
        <v>173</v>
      </c>
      <c r="J3708" s="3">
        <v>44427</v>
      </c>
      <c r="K3708" s="2">
        <v>21</v>
      </c>
      <c r="L3708" s="2" t="s">
        <v>101</v>
      </c>
    </row>
    <row r="3709" spans="1:12" x14ac:dyDescent="0.3">
      <c r="A3709" s="2">
        <v>3698</v>
      </c>
      <c r="B3709" s="2" t="s">
        <v>441</v>
      </c>
      <c r="C3709" s="2" t="s">
        <v>3467</v>
      </c>
      <c r="D3709" s="2" t="s">
        <v>28</v>
      </c>
      <c r="E3709" s="2" t="s">
        <v>29</v>
      </c>
      <c r="F3709" s="2">
        <v>60</v>
      </c>
      <c r="G3709" s="2" t="s">
        <v>8611</v>
      </c>
      <c r="H3709" s="2" t="s">
        <v>1859</v>
      </c>
      <c r="I3709" s="2" t="s">
        <v>89</v>
      </c>
      <c r="J3709" s="3">
        <v>44135</v>
      </c>
      <c r="K3709" s="2">
        <v>10</v>
      </c>
      <c r="L3709" s="2" t="s">
        <v>159</v>
      </c>
    </row>
    <row r="3710" spans="1:12" x14ac:dyDescent="0.3">
      <c r="A3710" s="2">
        <v>3699</v>
      </c>
      <c r="B3710" s="2" t="s">
        <v>8612</v>
      </c>
      <c r="C3710" s="2" t="s">
        <v>1851</v>
      </c>
      <c r="D3710" s="2" t="s">
        <v>51</v>
      </c>
      <c r="E3710" s="2" t="s">
        <v>16</v>
      </c>
      <c r="F3710" s="2">
        <v>90</v>
      </c>
      <c r="G3710" s="2" t="s">
        <v>8611</v>
      </c>
      <c r="H3710" s="2" t="s">
        <v>1382</v>
      </c>
      <c r="I3710" s="2" t="s">
        <v>32</v>
      </c>
      <c r="J3710" s="3">
        <v>44704</v>
      </c>
      <c r="K3710" s="2">
        <v>94</v>
      </c>
      <c r="L3710" s="2" t="s">
        <v>101</v>
      </c>
    </row>
    <row r="3711" spans="1:12" x14ac:dyDescent="0.3">
      <c r="A3711" s="2">
        <v>3700</v>
      </c>
      <c r="B3711" s="2" t="s">
        <v>7624</v>
      </c>
      <c r="C3711" s="2" t="s">
        <v>5032</v>
      </c>
      <c r="D3711" s="2" t="s">
        <v>15</v>
      </c>
      <c r="E3711" s="2" t="s">
        <v>16</v>
      </c>
      <c r="F3711" s="2">
        <v>90</v>
      </c>
      <c r="G3711" s="2" t="s">
        <v>8613</v>
      </c>
      <c r="H3711" s="2" t="s">
        <v>1077</v>
      </c>
      <c r="I3711" s="2" t="s">
        <v>1078</v>
      </c>
      <c r="J3711" s="3">
        <v>44863</v>
      </c>
      <c r="K3711" s="2">
        <v>97</v>
      </c>
      <c r="L3711" s="2" t="s">
        <v>54</v>
      </c>
    </row>
    <row r="3712" spans="1:12" x14ac:dyDescent="0.3">
      <c r="A3712" s="2">
        <v>3701</v>
      </c>
      <c r="B3712" s="2" t="s">
        <v>5849</v>
      </c>
      <c r="C3712" s="2" t="s">
        <v>841</v>
      </c>
      <c r="D3712" s="2" t="s">
        <v>28</v>
      </c>
      <c r="E3712" s="2" t="s">
        <v>29</v>
      </c>
      <c r="F3712" s="2">
        <v>90</v>
      </c>
      <c r="G3712" s="2" t="s">
        <v>8614</v>
      </c>
      <c r="H3712" s="2" t="s">
        <v>4081</v>
      </c>
      <c r="I3712" s="2" t="s">
        <v>32</v>
      </c>
      <c r="J3712" s="3">
        <v>44233</v>
      </c>
      <c r="K3712" s="2">
        <v>20</v>
      </c>
      <c r="L3712" s="2" t="s">
        <v>33</v>
      </c>
    </row>
    <row r="3713" spans="1:12" x14ac:dyDescent="0.3">
      <c r="A3713" s="2">
        <v>3702</v>
      </c>
      <c r="B3713" s="2" t="s">
        <v>8615</v>
      </c>
      <c r="C3713" s="2" t="s">
        <v>1054</v>
      </c>
      <c r="D3713" s="2" t="s">
        <v>51</v>
      </c>
      <c r="E3713" s="2" t="s">
        <v>16</v>
      </c>
      <c r="F3713" s="2">
        <v>30</v>
      </c>
      <c r="G3713" s="2" t="s">
        <v>8616</v>
      </c>
      <c r="H3713" s="2" t="s">
        <v>853</v>
      </c>
      <c r="I3713" s="2" t="s">
        <v>32</v>
      </c>
      <c r="J3713" s="3">
        <v>44042</v>
      </c>
      <c r="K3713" s="2">
        <v>42</v>
      </c>
      <c r="L3713" s="2" t="s">
        <v>54</v>
      </c>
    </row>
    <row r="3714" spans="1:12" x14ac:dyDescent="0.3">
      <c r="A3714" s="2">
        <v>3703</v>
      </c>
      <c r="B3714" s="2" t="s">
        <v>8617</v>
      </c>
      <c r="C3714" s="2" t="s">
        <v>97</v>
      </c>
      <c r="D3714" s="2" t="s">
        <v>51</v>
      </c>
      <c r="E3714" s="2" t="s">
        <v>16</v>
      </c>
      <c r="F3714" s="2">
        <v>90</v>
      </c>
      <c r="G3714" s="2" t="s">
        <v>8618</v>
      </c>
      <c r="H3714" s="2" t="s">
        <v>5723</v>
      </c>
      <c r="I3714" s="2" t="s">
        <v>187</v>
      </c>
      <c r="J3714" s="3">
        <v>43994</v>
      </c>
      <c r="K3714" s="2">
        <v>80</v>
      </c>
      <c r="L3714" s="2" t="s">
        <v>33</v>
      </c>
    </row>
    <row r="3715" spans="1:12" x14ac:dyDescent="0.3">
      <c r="A3715" s="2">
        <v>3704</v>
      </c>
      <c r="B3715" s="2" t="s">
        <v>3924</v>
      </c>
      <c r="C3715" s="2" t="s">
        <v>7860</v>
      </c>
      <c r="D3715" s="2" t="s">
        <v>15</v>
      </c>
      <c r="E3715" s="2" t="s">
        <v>16</v>
      </c>
      <c r="F3715" s="2">
        <v>60</v>
      </c>
      <c r="G3715" s="2" t="s">
        <v>8621</v>
      </c>
      <c r="H3715" s="2" t="s">
        <v>4587</v>
      </c>
      <c r="I3715" s="2" t="s">
        <v>32</v>
      </c>
      <c r="J3715" s="3">
        <v>44587</v>
      </c>
      <c r="K3715" s="2">
        <v>66</v>
      </c>
      <c r="L3715" s="2" t="s">
        <v>101</v>
      </c>
    </row>
    <row r="3716" spans="1:12" x14ac:dyDescent="0.3">
      <c r="A3716" s="2">
        <v>3705</v>
      </c>
      <c r="B3716" s="2" t="s">
        <v>4250</v>
      </c>
      <c r="C3716" s="2" t="s">
        <v>268</v>
      </c>
      <c r="D3716" s="2" t="s">
        <v>41</v>
      </c>
      <c r="E3716" s="2" t="s">
        <v>16</v>
      </c>
      <c r="F3716" s="2">
        <v>90</v>
      </c>
      <c r="G3716" s="2" t="s">
        <v>8622</v>
      </c>
      <c r="H3716" s="2" t="s">
        <v>6343</v>
      </c>
      <c r="I3716" s="2" t="s">
        <v>32</v>
      </c>
      <c r="J3716" s="3">
        <v>44925</v>
      </c>
      <c r="K3716" s="2">
        <v>26</v>
      </c>
      <c r="L3716" s="2" t="s">
        <v>80</v>
      </c>
    </row>
    <row r="3717" spans="1:12" x14ac:dyDescent="0.3">
      <c r="A3717" s="2">
        <v>3706</v>
      </c>
      <c r="B3717" s="2" t="s">
        <v>8623</v>
      </c>
      <c r="C3717" s="2" t="s">
        <v>5431</v>
      </c>
      <c r="D3717" s="2" t="s">
        <v>28</v>
      </c>
      <c r="E3717" s="2" t="s">
        <v>29</v>
      </c>
      <c r="F3717" s="2">
        <v>60</v>
      </c>
      <c r="G3717" s="2" t="s">
        <v>8624</v>
      </c>
      <c r="H3717" s="2" t="s">
        <v>1969</v>
      </c>
      <c r="I3717" s="2" t="s">
        <v>32</v>
      </c>
      <c r="J3717" s="3">
        <v>44496</v>
      </c>
      <c r="K3717" s="2">
        <v>14</v>
      </c>
      <c r="L3717" s="2" t="s">
        <v>39</v>
      </c>
    </row>
    <row r="3718" spans="1:12" x14ac:dyDescent="0.3">
      <c r="A3718" s="2">
        <v>3707</v>
      </c>
      <c r="B3718" s="2" t="s">
        <v>8625</v>
      </c>
      <c r="C3718" s="2" t="s">
        <v>605</v>
      </c>
      <c r="D3718" s="2" t="s">
        <v>51</v>
      </c>
      <c r="E3718" s="2" t="s">
        <v>16</v>
      </c>
      <c r="F3718" s="2">
        <v>60</v>
      </c>
      <c r="G3718" s="2" t="s">
        <v>8626</v>
      </c>
      <c r="H3718" s="2" t="s">
        <v>663</v>
      </c>
      <c r="I3718" s="2" t="s">
        <v>32</v>
      </c>
      <c r="J3718" s="3">
        <v>43962</v>
      </c>
      <c r="K3718" s="2">
        <v>81</v>
      </c>
      <c r="L3718" s="2" t="s">
        <v>159</v>
      </c>
    </row>
    <row r="3719" spans="1:12" x14ac:dyDescent="0.3">
      <c r="A3719" s="2">
        <v>3708</v>
      </c>
      <c r="B3719" s="2" t="s">
        <v>7566</v>
      </c>
      <c r="C3719" s="2" t="s">
        <v>8627</v>
      </c>
      <c r="D3719" s="2" t="s">
        <v>28</v>
      </c>
      <c r="E3719" s="2" t="s">
        <v>29</v>
      </c>
      <c r="F3719" s="2">
        <v>90</v>
      </c>
      <c r="G3719" s="2" t="s">
        <v>8628</v>
      </c>
      <c r="H3719" s="2" t="s">
        <v>2183</v>
      </c>
      <c r="I3719" s="2" t="s">
        <v>124</v>
      </c>
      <c r="J3719" s="3">
        <v>44745</v>
      </c>
      <c r="K3719" s="2">
        <v>98</v>
      </c>
      <c r="L3719" s="2" t="s">
        <v>54</v>
      </c>
    </row>
    <row r="3720" spans="1:12" x14ac:dyDescent="0.3">
      <c r="A3720" s="2">
        <v>3709</v>
      </c>
      <c r="B3720" s="2" t="s">
        <v>6203</v>
      </c>
      <c r="C3720" s="2" t="s">
        <v>3552</v>
      </c>
      <c r="D3720" s="2" t="s">
        <v>28</v>
      </c>
      <c r="E3720" s="2" t="s">
        <v>29</v>
      </c>
      <c r="F3720" s="2">
        <v>90</v>
      </c>
      <c r="G3720" s="2" t="s">
        <v>8629</v>
      </c>
      <c r="H3720" s="2" t="s">
        <v>1315</v>
      </c>
      <c r="I3720" s="2" t="s">
        <v>32</v>
      </c>
      <c r="J3720" s="3">
        <v>44020</v>
      </c>
      <c r="K3720" s="2">
        <v>62</v>
      </c>
      <c r="L3720" s="2" t="s">
        <v>80</v>
      </c>
    </row>
    <row r="3721" spans="1:12" x14ac:dyDescent="0.3">
      <c r="A3721" s="2">
        <v>3710</v>
      </c>
      <c r="B3721" s="2" t="s">
        <v>8630</v>
      </c>
      <c r="C3721" s="2" t="s">
        <v>6004</v>
      </c>
      <c r="D3721" s="2" t="s">
        <v>15</v>
      </c>
      <c r="E3721" s="2" t="s">
        <v>16</v>
      </c>
      <c r="F3721" s="2">
        <v>60</v>
      </c>
      <c r="G3721" s="2" t="s">
        <v>8631</v>
      </c>
      <c r="H3721" s="2" t="s">
        <v>1253</v>
      </c>
      <c r="I3721" s="2" t="s">
        <v>32</v>
      </c>
      <c r="J3721" s="3">
        <v>44253</v>
      </c>
      <c r="K3721" s="2">
        <v>50</v>
      </c>
      <c r="L3721" s="2" t="s">
        <v>20</v>
      </c>
    </row>
    <row r="3722" spans="1:12" x14ac:dyDescent="0.3">
      <c r="A3722" s="2">
        <v>3711</v>
      </c>
      <c r="B3722" s="2" t="s">
        <v>2174</v>
      </c>
      <c r="C3722" s="2" t="s">
        <v>8632</v>
      </c>
      <c r="D3722" s="2" t="s">
        <v>28</v>
      </c>
      <c r="E3722" s="2" t="s">
        <v>29</v>
      </c>
      <c r="F3722" s="2">
        <v>90</v>
      </c>
      <c r="G3722" s="2" t="s">
        <v>10556</v>
      </c>
      <c r="H3722" s="2" t="s">
        <v>8634</v>
      </c>
      <c r="I3722" s="2" t="s">
        <v>32</v>
      </c>
      <c r="J3722" s="3">
        <v>44496</v>
      </c>
      <c r="K3722" s="2">
        <v>86</v>
      </c>
      <c r="L3722" s="2" t="s">
        <v>20</v>
      </c>
    </row>
    <row r="3723" spans="1:12" x14ac:dyDescent="0.3">
      <c r="A3723" s="2">
        <v>3712</v>
      </c>
      <c r="B3723" s="2" t="s">
        <v>7802</v>
      </c>
      <c r="C3723" s="2" t="s">
        <v>8035</v>
      </c>
      <c r="D3723" s="2" t="s">
        <v>41</v>
      </c>
      <c r="E3723" s="2" t="s">
        <v>16</v>
      </c>
      <c r="F3723" s="2">
        <v>90</v>
      </c>
      <c r="G3723" s="2" t="s">
        <v>8635</v>
      </c>
      <c r="H3723" s="2" t="s">
        <v>4673</v>
      </c>
      <c r="I3723" s="2" t="s">
        <v>294</v>
      </c>
      <c r="J3723" s="3">
        <v>44382</v>
      </c>
      <c r="K3723" s="2">
        <v>13</v>
      </c>
      <c r="L3723" s="2" t="s">
        <v>39</v>
      </c>
    </row>
    <row r="3724" spans="1:12" x14ac:dyDescent="0.3">
      <c r="A3724" s="2">
        <v>3713</v>
      </c>
      <c r="B3724" s="2" t="s">
        <v>8636</v>
      </c>
      <c r="C3724" s="2" t="s">
        <v>4356</v>
      </c>
      <c r="D3724" s="2" t="s">
        <v>41</v>
      </c>
      <c r="E3724" s="2" t="s">
        <v>16</v>
      </c>
      <c r="F3724" s="2">
        <v>90</v>
      </c>
      <c r="G3724" s="2" t="s">
        <v>8637</v>
      </c>
      <c r="H3724" s="2" t="s">
        <v>1221</v>
      </c>
      <c r="I3724" s="2" t="s">
        <v>124</v>
      </c>
      <c r="J3724" s="3">
        <v>43892</v>
      </c>
      <c r="K3724" s="2">
        <v>71</v>
      </c>
      <c r="L3724" s="2" t="s">
        <v>45</v>
      </c>
    </row>
    <row r="3725" spans="1:12" x14ac:dyDescent="0.3">
      <c r="A3725" s="2">
        <v>3714</v>
      </c>
      <c r="B3725" s="2" t="s">
        <v>4721</v>
      </c>
      <c r="C3725" s="2" t="s">
        <v>3602</v>
      </c>
      <c r="D3725" s="2" t="s">
        <v>28</v>
      </c>
      <c r="E3725" s="2" t="s">
        <v>29</v>
      </c>
      <c r="F3725" s="2">
        <v>90</v>
      </c>
      <c r="G3725" s="2" t="s">
        <v>8638</v>
      </c>
      <c r="H3725" s="2" t="s">
        <v>4889</v>
      </c>
      <c r="I3725" s="2" t="s">
        <v>110</v>
      </c>
      <c r="J3725" s="3">
        <v>44785</v>
      </c>
      <c r="K3725" s="2">
        <v>77</v>
      </c>
      <c r="L3725" s="2" t="s">
        <v>101</v>
      </c>
    </row>
    <row r="3726" spans="1:12" x14ac:dyDescent="0.3">
      <c r="A3726" s="2">
        <v>3715</v>
      </c>
      <c r="B3726" s="2" t="s">
        <v>4224</v>
      </c>
      <c r="C3726" s="2" t="s">
        <v>3118</v>
      </c>
      <c r="D3726" s="2" t="s">
        <v>28</v>
      </c>
      <c r="E3726" s="2" t="s">
        <v>29</v>
      </c>
      <c r="F3726" s="2">
        <v>90</v>
      </c>
      <c r="G3726" s="2" t="s">
        <v>8639</v>
      </c>
      <c r="H3726" s="2" t="s">
        <v>1473</v>
      </c>
      <c r="I3726" s="2" t="s">
        <v>38</v>
      </c>
      <c r="J3726" s="3">
        <v>43964</v>
      </c>
      <c r="K3726" s="2">
        <v>5</v>
      </c>
      <c r="L3726" s="2" t="s">
        <v>101</v>
      </c>
    </row>
    <row r="3727" spans="1:12" x14ac:dyDescent="0.3">
      <c r="A3727" s="2">
        <v>3716</v>
      </c>
      <c r="B3727" s="2" t="s">
        <v>8640</v>
      </c>
      <c r="C3727" s="2" t="s">
        <v>2838</v>
      </c>
      <c r="D3727" s="2" t="s">
        <v>51</v>
      </c>
      <c r="E3727" s="2" t="s">
        <v>16</v>
      </c>
      <c r="F3727" s="2">
        <v>90</v>
      </c>
      <c r="G3727" s="2" t="s">
        <v>8641</v>
      </c>
      <c r="H3727" s="2" t="s">
        <v>8642</v>
      </c>
      <c r="I3727" s="2" t="s">
        <v>294</v>
      </c>
      <c r="J3727" s="3">
        <v>44330</v>
      </c>
      <c r="K3727" s="2">
        <v>29</v>
      </c>
      <c r="L3727" s="2" t="s">
        <v>101</v>
      </c>
    </row>
    <row r="3728" spans="1:12" x14ac:dyDescent="0.3">
      <c r="A3728" s="2">
        <v>3717</v>
      </c>
      <c r="B3728" s="2" t="s">
        <v>1403</v>
      </c>
      <c r="C3728" s="2" t="s">
        <v>8643</v>
      </c>
      <c r="D3728" s="2" t="s">
        <v>28</v>
      </c>
      <c r="E3728" s="2" t="s">
        <v>29</v>
      </c>
      <c r="F3728" s="2">
        <v>60</v>
      </c>
      <c r="G3728" s="2" t="s">
        <v>8644</v>
      </c>
      <c r="H3728" s="2" t="s">
        <v>7092</v>
      </c>
      <c r="I3728" s="2" t="s">
        <v>32</v>
      </c>
      <c r="J3728" s="3">
        <v>43994</v>
      </c>
      <c r="K3728" s="2">
        <v>63</v>
      </c>
      <c r="L3728" s="2" t="s">
        <v>101</v>
      </c>
    </row>
    <row r="3729" spans="1:12" x14ac:dyDescent="0.3">
      <c r="A3729" s="2">
        <v>3718</v>
      </c>
      <c r="B3729" s="2" t="s">
        <v>2911</v>
      </c>
      <c r="C3729" s="2" t="s">
        <v>6574</v>
      </c>
      <c r="D3729" s="2" t="s">
        <v>15</v>
      </c>
      <c r="E3729" s="2" t="s">
        <v>16</v>
      </c>
      <c r="F3729" s="2">
        <v>60</v>
      </c>
      <c r="G3729" s="2" t="s">
        <v>8645</v>
      </c>
      <c r="H3729" s="2" t="s">
        <v>5758</v>
      </c>
      <c r="I3729" s="2" t="s">
        <v>32</v>
      </c>
      <c r="J3729" s="3">
        <v>44897</v>
      </c>
      <c r="K3729" s="2">
        <v>76</v>
      </c>
      <c r="L3729" s="2" t="s">
        <v>33</v>
      </c>
    </row>
    <row r="3730" spans="1:12" x14ac:dyDescent="0.3">
      <c r="A3730" s="2">
        <v>3719</v>
      </c>
      <c r="B3730" s="2" t="s">
        <v>4044</v>
      </c>
      <c r="C3730" s="2" t="s">
        <v>715</v>
      </c>
      <c r="D3730" s="2" t="s">
        <v>51</v>
      </c>
      <c r="E3730" s="2" t="s">
        <v>16</v>
      </c>
      <c r="F3730" s="2">
        <v>30</v>
      </c>
      <c r="G3730" s="2" t="s">
        <v>8646</v>
      </c>
      <c r="H3730" s="2" t="s">
        <v>1848</v>
      </c>
      <c r="I3730" s="2" t="s">
        <v>839</v>
      </c>
      <c r="J3730" s="3">
        <v>44646</v>
      </c>
      <c r="K3730" s="2">
        <v>46</v>
      </c>
      <c r="L3730" s="2" t="s">
        <v>159</v>
      </c>
    </row>
    <row r="3731" spans="1:12" x14ac:dyDescent="0.3">
      <c r="A3731" s="2">
        <v>3720</v>
      </c>
      <c r="B3731" s="2" t="s">
        <v>8647</v>
      </c>
      <c r="C3731" s="2" t="s">
        <v>1517</v>
      </c>
      <c r="D3731" s="2" t="s">
        <v>28</v>
      </c>
      <c r="E3731" s="2" t="s">
        <v>29</v>
      </c>
      <c r="F3731" s="2">
        <v>90</v>
      </c>
      <c r="G3731" s="2" t="s">
        <v>8648</v>
      </c>
      <c r="H3731" s="2" t="s">
        <v>3053</v>
      </c>
      <c r="I3731" s="2" t="s">
        <v>32</v>
      </c>
      <c r="J3731" s="3">
        <v>44481</v>
      </c>
      <c r="K3731" s="2">
        <v>42</v>
      </c>
      <c r="L3731" s="2" t="s">
        <v>39</v>
      </c>
    </row>
    <row r="3732" spans="1:12" x14ac:dyDescent="0.3">
      <c r="A3732" s="2">
        <v>3721</v>
      </c>
      <c r="B3732" s="2" t="s">
        <v>8649</v>
      </c>
      <c r="C3732" s="2" t="s">
        <v>8650</v>
      </c>
      <c r="D3732" s="2" t="s">
        <v>51</v>
      </c>
      <c r="E3732" s="2" t="s">
        <v>16</v>
      </c>
      <c r="F3732" s="2">
        <v>30</v>
      </c>
      <c r="G3732" s="2" t="s">
        <v>8651</v>
      </c>
      <c r="H3732" s="2" t="s">
        <v>4567</v>
      </c>
      <c r="I3732" s="2" t="s">
        <v>38</v>
      </c>
      <c r="J3732" s="3">
        <v>44543</v>
      </c>
      <c r="K3732" s="2">
        <v>6</v>
      </c>
      <c r="L3732" s="2" t="s">
        <v>39</v>
      </c>
    </row>
    <row r="3733" spans="1:12" x14ac:dyDescent="0.3">
      <c r="A3733" s="2">
        <v>3722</v>
      </c>
      <c r="B3733" s="2" t="s">
        <v>3031</v>
      </c>
      <c r="C3733" s="2" t="s">
        <v>2252</v>
      </c>
      <c r="D3733" s="2" t="s">
        <v>51</v>
      </c>
      <c r="E3733" s="2" t="s">
        <v>16</v>
      </c>
      <c r="F3733" s="2">
        <v>30</v>
      </c>
      <c r="G3733" s="2" t="s">
        <v>8652</v>
      </c>
      <c r="H3733" s="2" t="s">
        <v>2591</v>
      </c>
      <c r="I3733" s="2" t="s">
        <v>38</v>
      </c>
      <c r="J3733" s="3">
        <v>44030</v>
      </c>
      <c r="K3733" s="2">
        <v>67</v>
      </c>
      <c r="L3733" s="2" t="s">
        <v>101</v>
      </c>
    </row>
    <row r="3734" spans="1:12" x14ac:dyDescent="0.3">
      <c r="A3734" s="2">
        <v>3723</v>
      </c>
      <c r="B3734" s="2" t="s">
        <v>3979</v>
      </c>
      <c r="C3734" s="2" t="s">
        <v>3046</v>
      </c>
      <c r="D3734" s="2" t="s">
        <v>15</v>
      </c>
      <c r="E3734" s="2" t="s">
        <v>16</v>
      </c>
      <c r="F3734" s="2">
        <v>90</v>
      </c>
      <c r="G3734" s="2" t="s">
        <v>8653</v>
      </c>
      <c r="H3734" s="2" t="s">
        <v>5603</v>
      </c>
      <c r="I3734" s="2" t="s">
        <v>32</v>
      </c>
      <c r="J3734" s="3">
        <v>44574</v>
      </c>
      <c r="K3734" s="2">
        <v>46</v>
      </c>
      <c r="L3734" s="2" t="s">
        <v>101</v>
      </c>
    </row>
    <row r="3735" spans="1:12" x14ac:dyDescent="0.3">
      <c r="A3735" s="2">
        <v>3724</v>
      </c>
      <c r="B3735" s="2" t="s">
        <v>2384</v>
      </c>
      <c r="C3735" s="2" t="s">
        <v>8654</v>
      </c>
      <c r="D3735" s="2" t="s">
        <v>28</v>
      </c>
      <c r="E3735" s="2" t="s">
        <v>29</v>
      </c>
      <c r="F3735" s="2">
        <v>60</v>
      </c>
      <c r="G3735" s="2" t="s">
        <v>8655</v>
      </c>
      <c r="H3735" s="2" t="s">
        <v>207</v>
      </c>
      <c r="I3735" s="2" t="s">
        <v>208</v>
      </c>
      <c r="J3735" s="3">
        <v>44371</v>
      </c>
      <c r="K3735" s="2">
        <v>85</v>
      </c>
      <c r="L3735" s="2" t="s">
        <v>80</v>
      </c>
    </row>
    <row r="3736" spans="1:12" x14ac:dyDescent="0.3">
      <c r="A3736" s="2">
        <v>3725</v>
      </c>
      <c r="B3736" s="2" t="s">
        <v>6161</v>
      </c>
      <c r="C3736" s="2" t="s">
        <v>5225</v>
      </c>
      <c r="D3736" s="2" t="s">
        <v>51</v>
      </c>
      <c r="E3736" s="2" t="s">
        <v>16</v>
      </c>
      <c r="F3736" s="2">
        <v>90</v>
      </c>
      <c r="G3736" s="2" t="s">
        <v>8656</v>
      </c>
      <c r="H3736" s="2" t="s">
        <v>48</v>
      </c>
      <c r="I3736" s="2" t="s">
        <v>25</v>
      </c>
      <c r="J3736" s="3">
        <v>43979</v>
      </c>
      <c r="K3736" s="2">
        <v>48</v>
      </c>
      <c r="L3736" s="2" t="s">
        <v>159</v>
      </c>
    </row>
    <row r="3737" spans="1:12" x14ac:dyDescent="0.3">
      <c r="A3737" s="2">
        <v>3726</v>
      </c>
      <c r="B3737" s="2" t="s">
        <v>8657</v>
      </c>
      <c r="C3737" s="2" t="s">
        <v>8658</v>
      </c>
      <c r="D3737" s="2" t="s">
        <v>28</v>
      </c>
      <c r="E3737" s="2" t="s">
        <v>29</v>
      </c>
      <c r="F3737" s="2">
        <v>60</v>
      </c>
      <c r="G3737" s="2" t="s">
        <v>8659</v>
      </c>
      <c r="H3737" s="2" t="s">
        <v>2334</v>
      </c>
      <c r="I3737" s="2" t="s">
        <v>32</v>
      </c>
      <c r="J3737" s="3">
        <v>44005</v>
      </c>
      <c r="K3737" s="2">
        <v>66</v>
      </c>
      <c r="L3737" s="2" t="s">
        <v>80</v>
      </c>
    </row>
    <row r="3738" spans="1:12" x14ac:dyDescent="0.3">
      <c r="A3738" s="2">
        <v>3727</v>
      </c>
      <c r="B3738" s="2" t="s">
        <v>8660</v>
      </c>
      <c r="C3738" s="2" t="s">
        <v>2751</v>
      </c>
      <c r="D3738" s="2" t="s">
        <v>15</v>
      </c>
      <c r="E3738" s="2" t="s">
        <v>16</v>
      </c>
      <c r="F3738" s="2">
        <v>30</v>
      </c>
      <c r="G3738" s="2" t="s">
        <v>8661</v>
      </c>
      <c r="H3738" s="2" t="s">
        <v>1605</v>
      </c>
      <c r="I3738" s="2" t="s">
        <v>32</v>
      </c>
      <c r="J3738" s="3">
        <v>44321</v>
      </c>
      <c r="K3738" s="2">
        <v>17</v>
      </c>
      <c r="L3738" s="2" t="s">
        <v>33</v>
      </c>
    </row>
    <row r="3739" spans="1:12" x14ac:dyDescent="0.3">
      <c r="A3739" s="2">
        <v>3728</v>
      </c>
      <c r="B3739" s="2" t="s">
        <v>1797</v>
      </c>
      <c r="C3739" s="2" t="s">
        <v>3812</v>
      </c>
      <c r="D3739" s="2" t="s">
        <v>41</v>
      </c>
      <c r="E3739" s="2" t="s">
        <v>16</v>
      </c>
      <c r="F3739" s="2">
        <v>30</v>
      </c>
      <c r="G3739" s="2" t="s">
        <v>8662</v>
      </c>
      <c r="H3739" s="2" t="s">
        <v>5207</v>
      </c>
      <c r="I3739" s="2" t="s">
        <v>38</v>
      </c>
      <c r="J3739" s="3">
        <v>43990</v>
      </c>
      <c r="K3739" s="2">
        <v>61</v>
      </c>
      <c r="L3739" s="2" t="s">
        <v>33</v>
      </c>
    </row>
    <row r="3740" spans="1:12" x14ac:dyDescent="0.3">
      <c r="A3740" s="2">
        <v>3729</v>
      </c>
      <c r="B3740" s="2" t="s">
        <v>638</v>
      </c>
      <c r="C3740" s="2" t="s">
        <v>7618</v>
      </c>
      <c r="D3740" s="2" t="s">
        <v>15</v>
      </c>
      <c r="E3740" s="2" t="s">
        <v>16</v>
      </c>
      <c r="F3740" s="2">
        <v>60</v>
      </c>
      <c r="G3740" s="2" t="s">
        <v>8663</v>
      </c>
      <c r="H3740" s="2" t="s">
        <v>1590</v>
      </c>
      <c r="I3740" s="2" t="s">
        <v>32</v>
      </c>
      <c r="J3740" s="3">
        <v>43939</v>
      </c>
      <c r="K3740" s="2">
        <v>63</v>
      </c>
      <c r="L3740" s="2" t="s">
        <v>101</v>
      </c>
    </row>
    <row r="3741" spans="1:12" x14ac:dyDescent="0.3">
      <c r="A3741" s="2">
        <v>3730</v>
      </c>
      <c r="B3741" s="2" t="s">
        <v>8664</v>
      </c>
      <c r="C3741" s="2" t="s">
        <v>1810</v>
      </c>
      <c r="D3741" s="2" t="s">
        <v>51</v>
      </c>
      <c r="E3741" s="2" t="s">
        <v>16</v>
      </c>
      <c r="F3741" s="2">
        <v>30</v>
      </c>
      <c r="G3741" s="2" t="s">
        <v>8665</v>
      </c>
      <c r="H3741" s="2" t="s">
        <v>7720</v>
      </c>
      <c r="I3741" s="2" t="s">
        <v>38</v>
      </c>
      <c r="J3741" s="3">
        <v>44261</v>
      </c>
      <c r="K3741" s="2">
        <v>17</v>
      </c>
      <c r="L3741" s="2" t="s">
        <v>70</v>
      </c>
    </row>
    <row r="3742" spans="1:12" x14ac:dyDescent="0.3">
      <c r="A3742" s="2">
        <v>3731</v>
      </c>
      <c r="B3742" s="2" t="s">
        <v>4469</v>
      </c>
      <c r="C3742" s="2" t="s">
        <v>7449</v>
      </c>
      <c r="D3742" s="2" t="s">
        <v>117</v>
      </c>
      <c r="E3742" s="2" t="s">
        <v>29</v>
      </c>
      <c r="F3742" s="2">
        <v>90</v>
      </c>
      <c r="G3742" s="2" t="s">
        <v>8665</v>
      </c>
      <c r="H3742" s="2" t="s">
        <v>3343</v>
      </c>
      <c r="I3742" s="2" t="s">
        <v>1199</v>
      </c>
      <c r="J3742" s="3">
        <v>43860</v>
      </c>
      <c r="K3742" s="2">
        <v>23</v>
      </c>
      <c r="L3742" s="2" t="s">
        <v>54</v>
      </c>
    </row>
    <row r="3743" spans="1:12" x14ac:dyDescent="0.3">
      <c r="A3743" s="2">
        <v>3732</v>
      </c>
      <c r="B3743" s="2" t="s">
        <v>8666</v>
      </c>
      <c r="C3743" s="2" t="s">
        <v>1677</v>
      </c>
      <c r="D3743" s="2" t="s">
        <v>41</v>
      </c>
      <c r="E3743" s="2" t="s">
        <v>16</v>
      </c>
      <c r="F3743" s="2">
        <v>30</v>
      </c>
      <c r="G3743" s="2" t="s">
        <v>8667</v>
      </c>
      <c r="H3743" s="2" t="s">
        <v>1537</v>
      </c>
      <c r="I3743" s="2" t="s">
        <v>294</v>
      </c>
      <c r="J3743" s="3">
        <v>44726</v>
      </c>
      <c r="K3743" s="2">
        <v>68</v>
      </c>
      <c r="L3743" s="2" t="s">
        <v>64</v>
      </c>
    </row>
    <row r="3744" spans="1:12" x14ac:dyDescent="0.3">
      <c r="A3744" s="2">
        <v>3733</v>
      </c>
      <c r="B3744" s="2" t="s">
        <v>4307</v>
      </c>
      <c r="C3744" s="2" t="s">
        <v>8668</v>
      </c>
      <c r="D3744" s="2" t="s">
        <v>15</v>
      </c>
      <c r="E3744" s="2" t="s">
        <v>16</v>
      </c>
      <c r="F3744" s="2">
        <v>90</v>
      </c>
      <c r="G3744" s="2" t="s">
        <v>8667</v>
      </c>
      <c r="H3744" s="2" t="s">
        <v>5427</v>
      </c>
      <c r="I3744" s="2" t="s">
        <v>32</v>
      </c>
      <c r="J3744" s="3">
        <v>44269</v>
      </c>
      <c r="K3744" s="2">
        <v>38</v>
      </c>
      <c r="L3744" s="2" t="s">
        <v>33</v>
      </c>
    </row>
    <row r="3745" spans="1:12" x14ac:dyDescent="0.3">
      <c r="A3745" s="2">
        <v>3734</v>
      </c>
      <c r="B3745" s="2" t="s">
        <v>8669</v>
      </c>
      <c r="C3745" s="2" t="s">
        <v>4949</v>
      </c>
      <c r="D3745" s="2" t="s">
        <v>51</v>
      </c>
      <c r="E3745" s="2" t="s">
        <v>16</v>
      </c>
      <c r="F3745" s="2">
        <v>90</v>
      </c>
      <c r="G3745" s="2" t="s">
        <v>10557</v>
      </c>
      <c r="H3745" s="2" t="s">
        <v>2552</v>
      </c>
      <c r="I3745" s="2" t="s">
        <v>32</v>
      </c>
      <c r="J3745" s="3">
        <v>44329</v>
      </c>
      <c r="K3745" s="2">
        <v>68</v>
      </c>
      <c r="L3745" s="2" t="s">
        <v>64</v>
      </c>
    </row>
    <row r="3746" spans="1:12" x14ac:dyDescent="0.3">
      <c r="A3746" s="2">
        <v>3735</v>
      </c>
      <c r="B3746" s="2" t="s">
        <v>8671</v>
      </c>
      <c r="C3746" s="2" t="s">
        <v>6439</v>
      </c>
      <c r="D3746" s="2" t="s">
        <v>15</v>
      </c>
      <c r="E3746" s="2" t="s">
        <v>16</v>
      </c>
      <c r="F3746" s="2">
        <v>30</v>
      </c>
      <c r="G3746" s="2" t="s">
        <v>8672</v>
      </c>
      <c r="H3746" s="2" t="s">
        <v>6710</v>
      </c>
      <c r="I3746" s="2" t="s">
        <v>32</v>
      </c>
      <c r="J3746" s="3">
        <v>44811</v>
      </c>
      <c r="K3746" s="2">
        <v>78</v>
      </c>
      <c r="L3746" s="2" t="s">
        <v>80</v>
      </c>
    </row>
    <row r="3747" spans="1:12" x14ac:dyDescent="0.3">
      <c r="A3747" s="2">
        <v>3736</v>
      </c>
      <c r="B3747" s="2" t="s">
        <v>8673</v>
      </c>
      <c r="C3747" s="2" t="s">
        <v>267</v>
      </c>
      <c r="D3747" s="2" t="s">
        <v>28</v>
      </c>
      <c r="E3747" s="2" t="s">
        <v>29</v>
      </c>
      <c r="F3747" s="2">
        <v>90</v>
      </c>
      <c r="G3747" s="2" t="s">
        <v>10558</v>
      </c>
      <c r="H3747" s="2" t="s">
        <v>3274</v>
      </c>
      <c r="I3747" s="2" t="s">
        <v>32</v>
      </c>
      <c r="J3747" s="3">
        <v>44779</v>
      </c>
      <c r="K3747" s="2">
        <v>27</v>
      </c>
      <c r="L3747" s="2" t="s">
        <v>54</v>
      </c>
    </row>
    <row r="3748" spans="1:12" x14ac:dyDescent="0.3">
      <c r="A3748" s="2">
        <v>3737</v>
      </c>
      <c r="B3748" s="2" t="s">
        <v>6300</v>
      </c>
      <c r="C3748" s="2" t="s">
        <v>2883</v>
      </c>
      <c r="D3748" s="2" t="s">
        <v>51</v>
      </c>
      <c r="E3748" s="2" t="s">
        <v>16</v>
      </c>
      <c r="F3748" s="2">
        <v>90</v>
      </c>
      <c r="G3748" s="2" t="s">
        <v>8675</v>
      </c>
      <c r="H3748" s="2" t="s">
        <v>4484</v>
      </c>
      <c r="I3748" s="2" t="s">
        <v>32</v>
      </c>
      <c r="J3748" s="3">
        <v>44559</v>
      </c>
      <c r="K3748" s="2">
        <v>75</v>
      </c>
      <c r="L3748" s="2" t="s">
        <v>20</v>
      </c>
    </row>
    <row r="3749" spans="1:12" x14ac:dyDescent="0.3">
      <c r="A3749" s="2">
        <v>3738</v>
      </c>
      <c r="B3749" s="2" t="s">
        <v>8676</v>
      </c>
      <c r="C3749" s="2" t="s">
        <v>6534</v>
      </c>
      <c r="D3749" s="2" t="s">
        <v>28</v>
      </c>
      <c r="E3749" s="2" t="s">
        <v>29</v>
      </c>
      <c r="F3749" s="2">
        <v>30</v>
      </c>
      <c r="G3749" s="2" t="s">
        <v>10559</v>
      </c>
      <c r="H3749" s="2" t="s">
        <v>258</v>
      </c>
      <c r="I3749" s="2" t="s">
        <v>32</v>
      </c>
      <c r="J3749" s="3">
        <v>44874</v>
      </c>
      <c r="K3749" s="2">
        <v>91</v>
      </c>
      <c r="L3749" s="2" t="s">
        <v>80</v>
      </c>
    </row>
    <row r="3750" spans="1:12" x14ac:dyDescent="0.3">
      <c r="A3750" s="2">
        <v>3739</v>
      </c>
      <c r="B3750" s="2" t="s">
        <v>2650</v>
      </c>
      <c r="C3750" s="2" t="s">
        <v>8678</v>
      </c>
      <c r="D3750" s="2" t="s">
        <v>28</v>
      </c>
      <c r="E3750" s="2" t="s">
        <v>29</v>
      </c>
      <c r="F3750" s="2">
        <v>30</v>
      </c>
      <c r="G3750" s="2" t="s">
        <v>8679</v>
      </c>
      <c r="H3750" s="2" t="s">
        <v>1896</v>
      </c>
      <c r="I3750" s="2" t="s">
        <v>294</v>
      </c>
      <c r="J3750" s="3">
        <v>44822</v>
      </c>
      <c r="K3750" s="2">
        <v>10</v>
      </c>
      <c r="L3750" s="2" t="s">
        <v>159</v>
      </c>
    </row>
    <row r="3751" spans="1:12" x14ac:dyDescent="0.3">
      <c r="A3751" s="2">
        <v>3740</v>
      </c>
      <c r="B3751" s="2" t="s">
        <v>8680</v>
      </c>
      <c r="C3751" s="2" t="s">
        <v>1710</v>
      </c>
      <c r="D3751" s="2" t="s">
        <v>51</v>
      </c>
      <c r="E3751" s="2" t="s">
        <v>16</v>
      </c>
      <c r="F3751" s="2">
        <v>90</v>
      </c>
      <c r="G3751" s="2" t="s">
        <v>8681</v>
      </c>
      <c r="H3751" s="2" t="s">
        <v>5025</v>
      </c>
      <c r="I3751" s="2" t="s">
        <v>32</v>
      </c>
      <c r="J3751" s="3">
        <v>44056</v>
      </c>
      <c r="K3751" s="2">
        <v>47</v>
      </c>
      <c r="L3751" s="2" t="s">
        <v>80</v>
      </c>
    </row>
    <row r="3752" spans="1:12" x14ac:dyDescent="0.3">
      <c r="A3752" s="2">
        <v>3741</v>
      </c>
      <c r="B3752" s="2" t="s">
        <v>3021</v>
      </c>
      <c r="C3752" s="2" t="s">
        <v>6082</v>
      </c>
      <c r="D3752" s="2" t="s">
        <v>28</v>
      </c>
      <c r="E3752" s="2" t="s">
        <v>29</v>
      </c>
      <c r="F3752" s="2">
        <v>30</v>
      </c>
      <c r="G3752" s="2" t="s">
        <v>10560</v>
      </c>
      <c r="H3752" s="2" t="s">
        <v>168</v>
      </c>
      <c r="I3752" s="2" t="s">
        <v>32</v>
      </c>
      <c r="J3752" s="3">
        <v>44362</v>
      </c>
      <c r="K3752" s="2">
        <v>94</v>
      </c>
      <c r="L3752" s="2" t="s">
        <v>54</v>
      </c>
    </row>
    <row r="3753" spans="1:12" x14ac:dyDescent="0.3">
      <c r="A3753" s="2">
        <v>3742</v>
      </c>
      <c r="B3753" s="2" t="s">
        <v>4644</v>
      </c>
      <c r="C3753" s="2" t="s">
        <v>7123</v>
      </c>
      <c r="D3753" s="2" t="s">
        <v>28</v>
      </c>
      <c r="E3753" s="2" t="s">
        <v>29</v>
      </c>
      <c r="F3753" s="2">
        <v>90</v>
      </c>
      <c r="G3753" s="2" t="s">
        <v>10561</v>
      </c>
      <c r="H3753" s="2" t="s">
        <v>361</v>
      </c>
      <c r="I3753" s="2" t="s">
        <v>25</v>
      </c>
      <c r="J3753" s="3">
        <v>44770</v>
      </c>
      <c r="K3753" s="2">
        <v>40</v>
      </c>
      <c r="L3753" s="2" t="s">
        <v>33</v>
      </c>
    </row>
    <row r="3754" spans="1:12" x14ac:dyDescent="0.3">
      <c r="A3754" s="2">
        <v>3743</v>
      </c>
      <c r="B3754" s="2" t="s">
        <v>7540</v>
      </c>
      <c r="C3754" s="2" t="s">
        <v>8685</v>
      </c>
      <c r="D3754" s="2" t="s">
        <v>28</v>
      </c>
      <c r="E3754" s="2" t="s">
        <v>29</v>
      </c>
      <c r="F3754" s="2">
        <v>60</v>
      </c>
      <c r="G3754" s="2" t="s">
        <v>8686</v>
      </c>
      <c r="H3754" s="2" t="s">
        <v>3619</v>
      </c>
      <c r="I3754" s="2" t="s">
        <v>575</v>
      </c>
      <c r="J3754" s="3">
        <v>44164</v>
      </c>
      <c r="K3754" s="2">
        <v>17</v>
      </c>
      <c r="L3754" s="2" t="s">
        <v>64</v>
      </c>
    </row>
    <row r="3755" spans="1:12" x14ac:dyDescent="0.3">
      <c r="A3755" s="2">
        <v>3744</v>
      </c>
      <c r="B3755" s="2" t="s">
        <v>7037</v>
      </c>
      <c r="C3755" s="2" t="s">
        <v>8687</v>
      </c>
      <c r="D3755" s="2" t="s">
        <v>28</v>
      </c>
      <c r="E3755" s="2" t="s">
        <v>29</v>
      </c>
      <c r="F3755" s="2">
        <v>90</v>
      </c>
      <c r="G3755" s="2" t="s">
        <v>8688</v>
      </c>
      <c r="H3755" s="2" t="s">
        <v>4924</v>
      </c>
      <c r="I3755" s="2" t="s">
        <v>32</v>
      </c>
      <c r="J3755" s="3">
        <v>44420</v>
      </c>
      <c r="K3755" s="2">
        <v>90</v>
      </c>
      <c r="L3755" s="2" t="s">
        <v>39</v>
      </c>
    </row>
    <row r="3756" spans="1:12" x14ac:dyDescent="0.3">
      <c r="A3756" s="2">
        <v>3745</v>
      </c>
      <c r="B3756" s="2" t="s">
        <v>8689</v>
      </c>
      <c r="C3756" s="2" t="s">
        <v>6062</v>
      </c>
      <c r="D3756" s="2" t="s">
        <v>51</v>
      </c>
      <c r="E3756" s="2" t="s">
        <v>16</v>
      </c>
      <c r="F3756" s="2">
        <v>90</v>
      </c>
      <c r="G3756" s="2" t="s">
        <v>8690</v>
      </c>
      <c r="H3756" s="2" t="s">
        <v>5173</v>
      </c>
      <c r="I3756" s="2" t="s">
        <v>686</v>
      </c>
      <c r="J3756" s="3">
        <v>44260</v>
      </c>
      <c r="K3756" s="2">
        <v>11</v>
      </c>
      <c r="L3756" s="2" t="s">
        <v>64</v>
      </c>
    </row>
    <row r="3757" spans="1:12" x14ac:dyDescent="0.3">
      <c r="A3757" s="2">
        <v>3746</v>
      </c>
      <c r="B3757" s="2" t="s">
        <v>3501</v>
      </c>
      <c r="C3757" s="2" t="s">
        <v>8064</v>
      </c>
      <c r="D3757" s="2" t="s">
        <v>28</v>
      </c>
      <c r="E3757" s="2" t="s">
        <v>29</v>
      </c>
      <c r="F3757" s="2">
        <v>90</v>
      </c>
      <c r="G3757" s="2" t="s">
        <v>8691</v>
      </c>
      <c r="H3757" s="2" t="s">
        <v>334</v>
      </c>
      <c r="I3757" s="2" t="s">
        <v>124</v>
      </c>
      <c r="J3757" s="3">
        <v>44647</v>
      </c>
      <c r="K3757" s="2">
        <v>3</v>
      </c>
      <c r="L3757" s="2" t="s">
        <v>70</v>
      </c>
    </row>
    <row r="3758" spans="1:12" x14ac:dyDescent="0.3">
      <c r="A3758" s="2">
        <v>3747</v>
      </c>
      <c r="B3758" s="2" t="s">
        <v>828</v>
      </c>
      <c r="C3758" s="2" t="s">
        <v>8650</v>
      </c>
      <c r="D3758" s="2" t="s">
        <v>28</v>
      </c>
      <c r="E3758" s="2" t="s">
        <v>29</v>
      </c>
      <c r="F3758" s="2">
        <v>30</v>
      </c>
      <c r="G3758" s="2" t="s">
        <v>8692</v>
      </c>
      <c r="H3758" s="2" t="s">
        <v>3713</v>
      </c>
      <c r="I3758" s="2" t="s">
        <v>32</v>
      </c>
      <c r="J3758" s="3">
        <v>43968</v>
      </c>
      <c r="K3758" s="2">
        <v>85</v>
      </c>
      <c r="L3758" s="2" t="s">
        <v>39</v>
      </c>
    </row>
    <row r="3759" spans="1:12" x14ac:dyDescent="0.3">
      <c r="A3759" s="2">
        <v>3748</v>
      </c>
      <c r="B3759" s="2" t="s">
        <v>6837</v>
      </c>
      <c r="C3759" s="2" t="s">
        <v>3140</v>
      </c>
      <c r="D3759" s="2" t="s">
        <v>28</v>
      </c>
      <c r="E3759" s="2" t="s">
        <v>29</v>
      </c>
      <c r="F3759" s="2">
        <v>90</v>
      </c>
      <c r="G3759" s="2" t="s">
        <v>8693</v>
      </c>
      <c r="H3759" s="2" t="s">
        <v>5718</v>
      </c>
      <c r="I3759" s="2" t="s">
        <v>294</v>
      </c>
      <c r="J3759" s="3">
        <v>43913</v>
      </c>
      <c r="K3759" s="2">
        <v>67</v>
      </c>
      <c r="L3759" s="2" t="s">
        <v>54</v>
      </c>
    </row>
    <row r="3760" spans="1:12" x14ac:dyDescent="0.3">
      <c r="A3760" s="2">
        <v>3749</v>
      </c>
      <c r="B3760" s="2" t="s">
        <v>2160</v>
      </c>
      <c r="C3760" s="2" t="s">
        <v>3346</v>
      </c>
      <c r="D3760" s="2" t="s">
        <v>15</v>
      </c>
      <c r="E3760" s="2" t="s">
        <v>16</v>
      </c>
      <c r="F3760" s="2">
        <v>30</v>
      </c>
      <c r="G3760" s="2" t="s">
        <v>8694</v>
      </c>
      <c r="H3760" s="2" t="s">
        <v>8000</v>
      </c>
      <c r="I3760" s="2" t="s">
        <v>32</v>
      </c>
      <c r="J3760" s="3">
        <v>44705</v>
      </c>
      <c r="K3760" s="2">
        <v>44</v>
      </c>
      <c r="L3760" s="2" t="s">
        <v>54</v>
      </c>
    </row>
    <row r="3761" spans="1:12" x14ac:dyDescent="0.3">
      <c r="A3761" s="2">
        <v>3750</v>
      </c>
      <c r="B3761" s="2" t="s">
        <v>8695</v>
      </c>
      <c r="C3761" s="2" t="s">
        <v>4218</v>
      </c>
      <c r="D3761" s="2" t="s">
        <v>28</v>
      </c>
      <c r="E3761" s="2" t="s">
        <v>29</v>
      </c>
      <c r="F3761" s="2">
        <v>60</v>
      </c>
      <c r="G3761" s="2" t="s">
        <v>8696</v>
      </c>
      <c r="H3761" s="2" t="s">
        <v>6377</v>
      </c>
      <c r="I3761" s="2" t="s">
        <v>164</v>
      </c>
      <c r="J3761" s="3">
        <v>43938</v>
      </c>
      <c r="K3761" s="2">
        <v>38</v>
      </c>
      <c r="L3761" s="2" t="s">
        <v>39</v>
      </c>
    </row>
    <row r="3762" spans="1:12" x14ac:dyDescent="0.3">
      <c r="A3762" s="2">
        <v>3751</v>
      </c>
      <c r="B3762" s="2" t="s">
        <v>7250</v>
      </c>
      <c r="C3762" s="2" t="s">
        <v>6845</v>
      </c>
      <c r="D3762" s="2" t="s">
        <v>51</v>
      </c>
      <c r="E3762" s="2" t="s">
        <v>16</v>
      </c>
      <c r="F3762" s="2">
        <v>90</v>
      </c>
      <c r="G3762" s="2" t="s">
        <v>8697</v>
      </c>
      <c r="H3762" s="2" t="s">
        <v>386</v>
      </c>
      <c r="I3762" s="2" t="s">
        <v>294</v>
      </c>
      <c r="J3762" s="3">
        <v>44604</v>
      </c>
      <c r="K3762" s="2">
        <v>81</v>
      </c>
      <c r="L3762" s="2" t="s">
        <v>45</v>
      </c>
    </row>
    <row r="3763" spans="1:12" x14ac:dyDescent="0.3">
      <c r="A3763" s="2">
        <v>3752</v>
      </c>
      <c r="B3763" s="2" t="s">
        <v>8698</v>
      </c>
      <c r="C3763" s="2" t="s">
        <v>7099</v>
      </c>
      <c r="D3763" s="2" t="s">
        <v>15</v>
      </c>
      <c r="E3763" s="2" t="s">
        <v>16</v>
      </c>
      <c r="F3763" s="2">
        <v>60</v>
      </c>
      <c r="G3763" s="2" t="s">
        <v>8697</v>
      </c>
      <c r="H3763" s="2" t="s">
        <v>3116</v>
      </c>
      <c r="I3763" s="2" t="s">
        <v>32</v>
      </c>
      <c r="J3763" s="3">
        <v>44520</v>
      </c>
      <c r="K3763" s="2">
        <v>6</v>
      </c>
      <c r="L3763" s="2" t="s">
        <v>101</v>
      </c>
    </row>
    <row r="3764" spans="1:12" x14ac:dyDescent="0.3">
      <c r="A3764" s="2">
        <v>3753</v>
      </c>
      <c r="B3764" s="2" t="s">
        <v>8699</v>
      </c>
      <c r="C3764" s="2" t="s">
        <v>4577</v>
      </c>
      <c r="D3764" s="2" t="s">
        <v>51</v>
      </c>
      <c r="E3764" s="2" t="s">
        <v>16</v>
      </c>
      <c r="F3764" s="2">
        <v>90</v>
      </c>
      <c r="G3764" s="2" t="s">
        <v>8700</v>
      </c>
      <c r="H3764" s="2" t="s">
        <v>5277</v>
      </c>
      <c r="I3764" s="2" t="s">
        <v>32</v>
      </c>
      <c r="J3764" s="3">
        <v>44800</v>
      </c>
      <c r="K3764" s="2">
        <v>102</v>
      </c>
      <c r="L3764" s="2" t="s">
        <v>54</v>
      </c>
    </row>
    <row r="3765" spans="1:12" x14ac:dyDescent="0.3">
      <c r="A3765" s="2">
        <v>3754</v>
      </c>
      <c r="B3765" s="2" t="s">
        <v>2292</v>
      </c>
      <c r="C3765" s="2" t="s">
        <v>1243</v>
      </c>
      <c r="D3765" s="2" t="s">
        <v>28</v>
      </c>
      <c r="E3765" s="2" t="s">
        <v>29</v>
      </c>
      <c r="F3765" s="2">
        <v>60</v>
      </c>
      <c r="G3765" s="2" t="s">
        <v>10562</v>
      </c>
      <c r="H3765" s="2" t="s">
        <v>2950</v>
      </c>
      <c r="I3765" s="2" t="s">
        <v>38</v>
      </c>
      <c r="J3765" s="3">
        <v>44916</v>
      </c>
      <c r="K3765" s="2">
        <v>33</v>
      </c>
      <c r="L3765" s="2" t="s">
        <v>39</v>
      </c>
    </row>
    <row r="3766" spans="1:12" x14ac:dyDescent="0.3">
      <c r="A3766" s="2">
        <v>3755</v>
      </c>
      <c r="B3766" s="2" t="s">
        <v>8702</v>
      </c>
      <c r="C3766" s="2" t="s">
        <v>5932</v>
      </c>
      <c r="D3766" s="2" t="s">
        <v>15</v>
      </c>
      <c r="E3766" s="2" t="s">
        <v>16</v>
      </c>
      <c r="F3766" s="2">
        <v>90</v>
      </c>
      <c r="G3766" s="2" t="s">
        <v>8703</v>
      </c>
      <c r="H3766" s="2" t="s">
        <v>8512</v>
      </c>
      <c r="I3766" s="2" t="s">
        <v>32</v>
      </c>
      <c r="J3766" s="3">
        <v>44834</v>
      </c>
      <c r="K3766" s="2">
        <v>17</v>
      </c>
      <c r="L3766" s="2" t="s">
        <v>54</v>
      </c>
    </row>
    <row r="3767" spans="1:12" x14ac:dyDescent="0.3">
      <c r="A3767" s="2">
        <v>3756</v>
      </c>
      <c r="B3767" s="2" t="s">
        <v>8704</v>
      </c>
      <c r="C3767" s="2" t="s">
        <v>6134</v>
      </c>
      <c r="D3767" s="2" t="s">
        <v>51</v>
      </c>
      <c r="E3767" s="2" t="s">
        <v>16</v>
      </c>
      <c r="F3767" s="2">
        <v>90</v>
      </c>
      <c r="G3767" s="2" t="s">
        <v>8705</v>
      </c>
      <c r="H3767" s="2" t="s">
        <v>818</v>
      </c>
      <c r="I3767" s="2" t="s">
        <v>819</v>
      </c>
      <c r="J3767" s="3">
        <v>44766</v>
      </c>
      <c r="K3767" s="2">
        <v>99</v>
      </c>
      <c r="L3767" s="2" t="s">
        <v>101</v>
      </c>
    </row>
    <row r="3768" spans="1:12" x14ac:dyDescent="0.3">
      <c r="A3768" s="2">
        <v>3757</v>
      </c>
      <c r="B3768" s="2" t="s">
        <v>3068</v>
      </c>
      <c r="C3768" s="2" t="s">
        <v>2301</v>
      </c>
      <c r="D3768" s="2" t="s">
        <v>15</v>
      </c>
      <c r="E3768" s="2" t="s">
        <v>16</v>
      </c>
      <c r="F3768" s="2">
        <v>60</v>
      </c>
      <c r="G3768" s="2" t="s">
        <v>8706</v>
      </c>
      <c r="H3768" s="2" t="s">
        <v>3759</v>
      </c>
      <c r="I3768" s="2" t="s">
        <v>3760</v>
      </c>
      <c r="J3768" s="3">
        <v>44713</v>
      </c>
      <c r="K3768" s="2">
        <v>89</v>
      </c>
      <c r="L3768" s="2" t="s">
        <v>80</v>
      </c>
    </row>
    <row r="3769" spans="1:12" x14ac:dyDescent="0.3">
      <c r="A3769" s="2">
        <v>3758</v>
      </c>
      <c r="B3769" s="2" t="s">
        <v>6306</v>
      </c>
      <c r="C3769" s="2" t="s">
        <v>4410</v>
      </c>
      <c r="D3769" s="2" t="s">
        <v>28</v>
      </c>
      <c r="E3769" s="2" t="s">
        <v>29</v>
      </c>
      <c r="F3769" s="2">
        <v>90</v>
      </c>
      <c r="G3769" s="2" t="s">
        <v>8707</v>
      </c>
      <c r="H3769" s="2" t="s">
        <v>2664</v>
      </c>
      <c r="I3769" s="2" t="s">
        <v>32</v>
      </c>
      <c r="J3769" s="3">
        <v>44161</v>
      </c>
      <c r="K3769" s="2">
        <v>74</v>
      </c>
      <c r="L3769" s="2" t="s">
        <v>39</v>
      </c>
    </row>
    <row r="3770" spans="1:12" x14ac:dyDescent="0.3">
      <c r="A3770" s="2">
        <v>3759</v>
      </c>
      <c r="B3770" s="2" t="s">
        <v>8708</v>
      </c>
      <c r="C3770" s="2" t="s">
        <v>2181</v>
      </c>
      <c r="D3770" s="2" t="s">
        <v>51</v>
      </c>
      <c r="E3770" s="2" t="s">
        <v>16</v>
      </c>
      <c r="F3770" s="2">
        <v>30</v>
      </c>
      <c r="G3770" s="2" t="s">
        <v>8709</v>
      </c>
      <c r="H3770" s="2" t="s">
        <v>2664</v>
      </c>
      <c r="I3770" s="2" t="s">
        <v>32</v>
      </c>
      <c r="J3770" s="3">
        <v>44423</v>
      </c>
      <c r="K3770" s="2">
        <v>65</v>
      </c>
      <c r="L3770" s="2" t="s">
        <v>159</v>
      </c>
    </row>
    <row r="3771" spans="1:12" x14ac:dyDescent="0.3">
      <c r="A3771" s="2">
        <v>3760</v>
      </c>
      <c r="B3771" s="2" t="s">
        <v>902</v>
      </c>
      <c r="C3771" s="2" t="s">
        <v>8654</v>
      </c>
      <c r="D3771" s="2" t="s">
        <v>92</v>
      </c>
      <c r="E3771" s="2" t="s">
        <v>29</v>
      </c>
      <c r="F3771" s="2">
        <v>60</v>
      </c>
      <c r="G3771" s="2" t="s">
        <v>10563</v>
      </c>
      <c r="H3771" s="2" t="s">
        <v>2366</v>
      </c>
      <c r="I3771" s="2" t="s">
        <v>1367</v>
      </c>
      <c r="J3771" s="3">
        <v>43855</v>
      </c>
      <c r="K3771" s="2">
        <v>81</v>
      </c>
      <c r="L3771" s="2" t="s">
        <v>45</v>
      </c>
    </row>
    <row r="3772" spans="1:12" x14ac:dyDescent="0.3">
      <c r="A3772" s="2">
        <v>3761</v>
      </c>
      <c r="B3772" s="2" t="s">
        <v>6549</v>
      </c>
      <c r="C3772" s="2" t="s">
        <v>1270</v>
      </c>
      <c r="D3772" s="2" t="s">
        <v>51</v>
      </c>
      <c r="E3772" s="2" t="s">
        <v>16</v>
      </c>
      <c r="F3772" s="2">
        <v>30</v>
      </c>
      <c r="G3772" s="2" t="s">
        <v>8711</v>
      </c>
      <c r="H3772" s="2" t="s">
        <v>3373</v>
      </c>
      <c r="I3772" s="2" t="s">
        <v>32</v>
      </c>
      <c r="J3772" s="3">
        <v>44097</v>
      </c>
      <c r="K3772" s="2">
        <v>66</v>
      </c>
      <c r="L3772" s="2" t="s">
        <v>33</v>
      </c>
    </row>
    <row r="3773" spans="1:12" x14ac:dyDescent="0.3">
      <c r="A3773" s="2">
        <v>3762</v>
      </c>
      <c r="B3773" s="2" t="s">
        <v>3300</v>
      </c>
      <c r="C3773" s="2" t="s">
        <v>8712</v>
      </c>
      <c r="D3773" s="2" t="s">
        <v>28</v>
      </c>
      <c r="E3773" s="2" t="s">
        <v>29</v>
      </c>
      <c r="F3773" s="2">
        <v>30</v>
      </c>
      <c r="G3773" s="2" t="s">
        <v>8713</v>
      </c>
      <c r="H3773" s="2" t="s">
        <v>5952</v>
      </c>
      <c r="I3773" s="2" t="s">
        <v>32</v>
      </c>
      <c r="J3773" s="3">
        <v>44547</v>
      </c>
      <c r="K3773" s="2">
        <v>47</v>
      </c>
      <c r="L3773" s="2" t="s">
        <v>70</v>
      </c>
    </row>
    <row r="3774" spans="1:12" x14ac:dyDescent="0.3">
      <c r="A3774" s="2">
        <v>3763</v>
      </c>
      <c r="B3774" s="2" t="s">
        <v>8714</v>
      </c>
      <c r="C3774" s="2" t="s">
        <v>2920</v>
      </c>
      <c r="D3774" s="2" t="s">
        <v>51</v>
      </c>
      <c r="E3774" s="2" t="s">
        <v>16</v>
      </c>
      <c r="F3774" s="2">
        <v>90</v>
      </c>
      <c r="G3774" s="2" t="s">
        <v>8715</v>
      </c>
      <c r="H3774" s="2" t="s">
        <v>3206</v>
      </c>
      <c r="I3774" s="2" t="s">
        <v>1199</v>
      </c>
      <c r="J3774" s="3">
        <v>44746</v>
      </c>
      <c r="K3774" s="2">
        <v>97</v>
      </c>
      <c r="L3774" s="2" t="s">
        <v>20</v>
      </c>
    </row>
    <row r="3775" spans="1:12" x14ac:dyDescent="0.3">
      <c r="A3775" s="2">
        <v>3764</v>
      </c>
      <c r="B3775" s="2" t="s">
        <v>1721</v>
      </c>
      <c r="C3775" s="2" t="s">
        <v>2006</v>
      </c>
      <c r="D3775" s="2" t="s">
        <v>28</v>
      </c>
      <c r="E3775" s="2" t="s">
        <v>29</v>
      </c>
      <c r="F3775" s="2">
        <v>90</v>
      </c>
      <c r="G3775" s="2" t="s">
        <v>8716</v>
      </c>
      <c r="H3775" s="2" t="s">
        <v>451</v>
      </c>
      <c r="I3775" s="2" t="s">
        <v>294</v>
      </c>
      <c r="J3775" s="3">
        <v>44003</v>
      </c>
      <c r="K3775" s="2">
        <v>42</v>
      </c>
      <c r="L3775" s="2" t="s">
        <v>70</v>
      </c>
    </row>
    <row r="3776" spans="1:12" x14ac:dyDescent="0.3">
      <c r="A3776" s="2">
        <v>3765</v>
      </c>
      <c r="B3776" s="2" t="s">
        <v>4092</v>
      </c>
      <c r="C3776" s="2" t="s">
        <v>1428</v>
      </c>
      <c r="D3776" s="2" t="s">
        <v>28</v>
      </c>
      <c r="E3776" s="2" t="s">
        <v>29</v>
      </c>
      <c r="F3776" s="2">
        <v>60</v>
      </c>
      <c r="G3776" s="2" t="s">
        <v>8717</v>
      </c>
      <c r="H3776" s="2" t="s">
        <v>63</v>
      </c>
      <c r="I3776" s="2" t="s">
        <v>32</v>
      </c>
      <c r="J3776" s="3">
        <v>44547</v>
      </c>
      <c r="K3776" s="2">
        <v>54</v>
      </c>
      <c r="L3776" s="2" t="s">
        <v>80</v>
      </c>
    </row>
    <row r="3777" spans="1:12" x14ac:dyDescent="0.3">
      <c r="A3777" s="2">
        <v>3766</v>
      </c>
      <c r="B3777" s="2" t="s">
        <v>8162</v>
      </c>
      <c r="C3777" s="2" t="s">
        <v>6349</v>
      </c>
      <c r="D3777" s="2" t="s">
        <v>28</v>
      </c>
      <c r="E3777" s="2" t="s">
        <v>29</v>
      </c>
      <c r="F3777" s="2">
        <v>60</v>
      </c>
      <c r="G3777" s="2" t="s">
        <v>8718</v>
      </c>
      <c r="H3777" s="2" t="s">
        <v>8534</v>
      </c>
      <c r="I3777" s="2" t="s">
        <v>294</v>
      </c>
      <c r="J3777" s="3">
        <v>44165</v>
      </c>
      <c r="K3777" s="2">
        <v>18</v>
      </c>
      <c r="L3777" s="2" t="s">
        <v>45</v>
      </c>
    </row>
    <row r="3778" spans="1:12" x14ac:dyDescent="0.3">
      <c r="A3778" s="2">
        <v>3767</v>
      </c>
      <c r="B3778" s="2" t="s">
        <v>7595</v>
      </c>
      <c r="C3778" s="2" t="s">
        <v>205</v>
      </c>
      <c r="D3778" s="2" t="s">
        <v>117</v>
      </c>
      <c r="E3778" s="2" t="s">
        <v>29</v>
      </c>
      <c r="F3778" s="2">
        <v>90</v>
      </c>
      <c r="G3778" s="2" t="s">
        <v>8719</v>
      </c>
      <c r="H3778" s="2" t="s">
        <v>186</v>
      </c>
      <c r="I3778" s="2" t="s">
        <v>187</v>
      </c>
      <c r="J3778" s="3">
        <v>44351</v>
      </c>
      <c r="K3778" s="2">
        <v>95</v>
      </c>
      <c r="L3778" s="2" t="s">
        <v>20</v>
      </c>
    </row>
    <row r="3779" spans="1:12" x14ac:dyDescent="0.3">
      <c r="A3779" s="2">
        <v>3768</v>
      </c>
      <c r="B3779" s="2" t="s">
        <v>8720</v>
      </c>
      <c r="C3779" s="2" t="s">
        <v>8721</v>
      </c>
      <c r="D3779" s="2" t="s">
        <v>15</v>
      </c>
      <c r="E3779" s="2" t="s">
        <v>16</v>
      </c>
      <c r="F3779" s="2">
        <v>60</v>
      </c>
      <c r="G3779" s="2" t="s">
        <v>8722</v>
      </c>
      <c r="H3779" s="2" t="s">
        <v>1712</v>
      </c>
      <c r="I3779" s="2" t="s">
        <v>187</v>
      </c>
      <c r="J3779" s="3">
        <v>44224</v>
      </c>
      <c r="K3779" s="2">
        <v>33</v>
      </c>
      <c r="L3779" s="2" t="s">
        <v>64</v>
      </c>
    </row>
    <row r="3780" spans="1:12" x14ac:dyDescent="0.3">
      <c r="A3780" s="2">
        <v>3769</v>
      </c>
      <c r="B3780" s="2" t="s">
        <v>2051</v>
      </c>
      <c r="C3780" s="2" t="s">
        <v>8723</v>
      </c>
      <c r="D3780" s="2" t="s">
        <v>28</v>
      </c>
      <c r="E3780" s="2" t="s">
        <v>29</v>
      </c>
      <c r="F3780" s="2">
        <v>30</v>
      </c>
      <c r="G3780" s="2" t="s">
        <v>8724</v>
      </c>
      <c r="H3780" s="2" t="s">
        <v>2685</v>
      </c>
      <c r="I3780" s="2" t="s">
        <v>32</v>
      </c>
      <c r="J3780" s="3">
        <v>44201</v>
      </c>
      <c r="K3780" s="2">
        <v>42</v>
      </c>
      <c r="L3780" s="2" t="s">
        <v>20</v>
      </c>
    </row>
    <row r="3781" spans="1:12" x14ac:dyDescent="0.3">
      <c r="A3781" s="2">
        <v>3770</v>
      </c>
      <c r="B3781" s="2" t="s">
        <v>8725</v>
      </c>
      <c r="C3781" s="2" t="s">
        <v>3201</v>
      </c>
      <c r="D3781" s="2" t="s">
        <v>28</v>
      </c>
      <c r="E3781" s="2" t="s">
        <v>29</v>
      </c>
      <c r="F3781" s="2">
        <v>60</v>
      </c>
      <c r="G3781" s="2" t="s">
        <v>8726</v>
      </c>
      <c r="H3781" s="2" t="s">
        <v>5277</v>
      </c>
      <c r="I3781" s="2" t="s">
        <v>32</v>
      </c>
      <c r="J3781" s="3">
        <v>44472</v>
      </c>
      <c r="K3781" s="2">
        <v>49</v>
      </c>
      <c r="L3781" s="2" t="s">
        <v>33</v>
      </c>
    </row>
    <row r="3782" spans="1:12" x14ac:dyDescent="0.3">
      <c r="A3782" s="2">
        <v>3771</v>
      </c>
      <c r="B3782" s="2" t="s">
        <v>2184</v>
      </c>
      <c r="C3782" s="2" t="s">
        <v>3509</v>
      </c>
      <c r="D3782" s="2" t="s">
        <v>28</v>
      </c>
      <c r="E3782" s="2" t="s">
        <v>29</v>
      </c>
      <c r="F3782" s="2">
        <v>60</v>
      </c>
      <c r="G3782" s="2" t="s">
        <v>8727</v>
      </c>
      <c r="H3782" s="2" t="s">
        <v>1757</v>
      </c>
      <c r="I3782" s="2" t="s">
        <v>294</v>
      </c>
      <c r="J3782" s="3">
        <v>44828</v>
      </c>
      <c r="K3782" s="2">
        <v>59</v>
      </c>
      <c r="L3782" s="2" t="s">
        <v>54</v>
      </c>
    </row>
    <row r="3783" spans="1:12" x14ac:dyDescent="0.3">
      <c r="A3783" s="2">
        <v>3772</v>
      </c>
      <c r="B3783" s="2" t="s">
        <v>1104</v>
      </c>
      <c r="C3783" s="2" t="s">
        <v>7278</v>
      </c>
      <c r="D3783" s="2" t="s">
        <v>28</v>
      </c>
      <c r="E3783" s="2" t="s">
        <v>29</v>
      </c>
      <c r="F3783" s="2">
        <v>90</v>
      </c>
      <c r="G3783" s="2" t="s">
        <v>10564</v>
      </c>
      <c r="H3783" s="2" t="s">
        <v>8547</v>
      </c>
      <c r="I3783" s="2" t="s">
        <v>32</v>
      </c>
      <c r="J3783" s="3">
        <v>44637</v>
      </c>
      <c r="K3783" s="2">
        <v>101</v>
      </c>
      <c r="L3783" s="2" t="s">
        <v>101</v>
      </c>
    </row>
    <row r="3784" spans="1:12" x14ac:dyDescent="0.3">
      <c r="A3784" s="2">
        <v>3773</v>
      </c>
      <c r="B3784" s="2" t="s">
        <v>7958</v>
      </c>
      <c r="C3784" s="2" t="s">
        <v>4387</v>
      </c>
      <c r="D3784" s="2" t="s">
        <v>28</v>
      </c>
      <c r="E3784" s="2" t="s">
        <v>29</v>
      </c>
      <c r="F3784" s="2">
        <v>30</v>
      </c>
      <c r="G3784" s="2" t="s">
        <v>8729</v>
      </c>
      <c r="H3784" s="2" t="s">
        <v>1401</v>
      </c>
      <c r="I3784" s="2" t="s">
        <v>1402</v>
      </c>
      <c r="J3784" s="3">
        <v>44053</v>
      </c>
      <c r="K3784" s="2">
        <v>38</v>
      </c>
      <c r="L3784" s="2" t="s">
        <v>64</v>
      </c>
    </row>
    <row r="3785" spans="1:12" x14ac:dyDescent="0.3">
      <c r="A3785" s="2">
        <v>3774</v>
      </c>
      <c r="B3785" s="2" t="s">
        <v>1684</v>
      </c>
      <c r="C3785" s="2" t="s">
        <v>5968</v>
      </c>
      <c r="D3785" s="2" t="s">
        <v>28</v>
      </c>
      <c r="E3785" s="2" t="s">
        <v>29</v>
      </c>
      <c r="F3785" s="2">
        <v>90</v>
      </c>
      <c r="G3785" s="2" t="s">
        <v>8729</v>
      </c>
      <c r="H3785" s="2" t="s">
        <v>3882</v>
      </c>
      <c r="I3785" s="2" t="s">
        <v>38</v>
      </c>
      <c r="J3785" s="3">
        <v>44343</v>
      </c>
      <c r="K3785" s="2">
        <v>36</v>
      </c>
      <c r="L3785" s="2" t="s">
        <v>80</v>
      </c>
    </row>
    <row r="3786" spans="1:12" x14ac:dyDescent="0.3">
      <c r="A3786" s="2">
        <v>3775</v>
      </c>
      <c r="B3786" s="2" t="s">
        <v>8730</v>
      </c>
      <c r="C3786" s="2" t="s">
        <v>3700</v>
      </c>
      <c r="D3786" s="2" t="s">
        <v>92</v>
      </c>
      <c r="E3786" s="2" t="s">
        <v>29</v>
      </c>
      <c r="F3786" s="2">
        <v>30</v>
      </c>
      <c r="G3786" s="2" t="s">
        <v>8731</v>
      </c>
      <c r="H3786" s="2" t="s">
        <v>7642</v>
      </c>
      <c r="I3786" s="2" t="s">
        <v>32</v>
      </c>
      <c r="J3786" s="3">
        <v>44870</v>
      </c>
      <c r="K3786" s="2">
        <v>49</v>
      </c>
      <c r="L3786" s="2" t="s">
        <v>70</v>
      </c>
    </row>
    <row r="3787" spans="1:12" x14ac:dyDescent="0.3">
      <c r="A3787" s="2">
        <v>3776</v>
      </c>
      <c r="B3787" s="2" t="s">
        <v>8732</v>
      </c>
      <c r="C3787" s="2" t="s">
        <v>3394</v>
      </c>
      <c r="D3787" s="2" t="s">
        <v>28</v>
      </c>
      <c r="E3787" s="2" t="s">
        <v>29</v>
      </c>
      <c r="F3787" s="2">
        <v>30</v>
      </c>
      <c r="G3787" s="2" t="s">
        <v>8733</v>
      </c>
      <c r="H3787" s="2" t="s">
        <v>2261</v>
      </c>
      <c r="I3787" s="2" t="s">
        <v>32</v>
      </c>
      <c r="J3787" s="3">
        <v>44721</v>
      </c>
      <c r="K3787" s="2">
        <v>35</v>
      </c>
      <c r="L3787" s="2" t="s">
        <v>159</v>
      </c>
    </row>
    <row r="3788" spans="1:12" x14ac:dyDescent="0.3">
      <c r="A3788" s="2">
        <v>3777</v>
      </c>
      <c r="B3788" s="2" t="s">
        <v>2815</v>
      </c>
      <c r="C3788" s="2" t="s">
        <v>6594</v>
      </c>
      <c r="D3788" s="2" t="s">
        <v>28</v>
      </c>
      <c r="E3788" s="2" t="s">
        <v>29</v>
      </c>
      <c r="F3788" s="2">
        <v>60</v>
      </c>
      <c r="G3788" s="2" t="s">
        <v>8734</v>
      </c>
      <c r="H3788" s="2" t="s">
        <v>5609</v>
      </c>
      <c r="I3788" s="2" t="s">
        <v>19</v>
      </c>
      <c r="J3788" s="3">
        <v>44187</v>
      </c>
      <c r="K3788" s="2">
        <v>50</v>
      </c>
      <c r="L3788" s="2" t="s">
        <v>39</v>
      </c>
    </row>
    <row r="3789" spans="1:12" x14ac:dyDescent="0.3">
      <c r="A3789" s="2">
        <v>3778</v>
      </c>
      <c r="B3789" s="2" t="s">
        <v>8735</v>
      </c>
      <c r="C3789" s="2" t="s">
        <v>5214</v>
      </c>
      <c r="D3789" s="2" t="s">
        <v>51</v>
      </c>
      <c r="E3789" s="2" t="s">
        <v>16</v>
      </c>
      <c r="F3789" s="2">
        <v>90</v>
      </c>
      <c r="G3789" s="2" t="s">
        <v>8736</v>
      </c>
      <c r="H3789" s="2" t="s">
        <v>6249</v>
      </c>
      <c r="I3789" s="2" t="s">
        <v>38</v>
      </c>
      <c r="J3789" s="3">
        <v>44607</v>
      </c>
      <c r="K3789" s="2">
        <v>84</v>
      </c>
      <c r="L3789" s="2" t="s">
        <v>64</v>
      </c>
    </row>
    <row r="3790" spans="1:12" x14ac:dyDescent="0.3">
      <c r="A3790" s="2">
        <v>3779</v>
      </c>
      <c r="B3790" s="2" t="s">
        <v>8737</v>
      </c>
      <c r="C3790" s="2" t="s">
        <v>1821</v>
      </c>
      <c r="D3790" s="2" t="s">
        <v>15</v>
      </c>
      <c r="E3790" s="2" t="s">
        <v>16</v>
      </c>
      <c r="F3790" s="2">
        <v>60</v>
      </c>
      <c r="G3790" s="2" t="s">
        <v>8738</v>
      </c>
      <c r="H3790" s="2" t="s">
        <v>5751</v>
      </c>
      <c r="I3790" s="2" t="s">
        <v>178</v>
      </c>
      <c r="J3790" s="3">
        <v>44681</v>
      </c>
      <c r="K3790" s="2">
        <v>73</v>
      </c>
      <c r="L3790" s="2" t="s">
        <v>39</v>
      </c>
    </row>
    <row r="3791" spans="1:12" x14ac:dyDescent="0.3">
      <c r="A3791" s="2">
        <v>3780</v>
      </c>
      <c r="B3791" s="2" t="s">
        <v>4805</v>
      </c>
      <c r="C3791" s="2" t="s">
        <v>1692</v>
      </c>
      <c r="D3791" s="2" t="s">
        <v>28</v>
      </c>
      <c r="E3791" s="2" t="s">
        <v>29</v>
      </c>
      <c r="F3791" s="2">
        <v>60</v>
      </c>
      <c r="G3791" s="2" t="s">
        <v>8739</v>
      </c>
      <c r="H3791" s="2" t="s">
        <v>8740</v>
      </c>
      <c r="I3791" s="2" t="s">
        <v>913</v>
      </c>
      <c r="J3791" s="3">
        <v>44099</v>
      </c>
      <c r="K3791" s="2">
        <v>82</v>
      </c>
      <c r="L3791" s="2" t="s">
        <v>45</v>
      </c>
    </row>
    <row r="3792" spans="1:12" x14ac:dyDescent="0.3">
      <c r="A3792" s="2">
        <v>3781</v>
      </c>
      <c r="B3792" s="2" t="s">
        <v>6264</v>
      </c>
      <c r="C3792" s="2" t="s">
        <v>3111</v>
      </c>
      <c r="D3792" s="2" t="s">
        <v>28</v>
      </c>
      <c r="E3792" s="2" t="s">
        <v>29</v>
      </c>
      <c r="F3792" s="2">
        <v>90</v>
      </c>
      <c r="G3792" s="2" t="s">
        <v>8741</v>
      </c>
      <c r="H3792" s="2" t="s">
        <v>6951</v>
      </c>
      <c r="I3792" s="2" t="s">
        <v>38</v>
      </c>
      <c r="J3792" s="3">
        <v>44550</v>
      </c>
      <c r="K3792" s="2">
        <v>41</v>
      </c>
      <c r="L3792" s="2" t="s">
        <v>64</v>
      </c>
    </row>
    <row r="3793" spans="1:12" x14ac:dyDescent="0.3">
      <c r="A3793" s="2">
        <v>3782</v>
      </c>
      <c r="B3793" s="2" t="s">
        <v>831</v>
      </c>
      <c r="C3793" s="2" t="s">
        <v>4609</v>
      </c>
      <c r="D3793" s="2" t="s">
        <v>15</v>
      </c>
      <c r="E3793" s="2" t="s">
        <v>16</v>
      </c>
      <c r="F3793" s="2">
        <v>60</v>
      </c>
      <c r="G3793" s="2" t="s">
        <v>8742</v>
      </c>
      <c r="H3793" s="2" t="s">
        <v>5271</v>
      </c>
      <c r="I3793" s="2" t="s">
        <v>187</v>
      </c>
      <c r="J3793" s="3">
        <v>43851</v>
      </c>
      <c r="K3793" s="2">
        <v>21</v>
      </c>
      <c r="L3793" s="2" t="s">
        <v>64</v>
      </c>
    </row>
    <row r="3794" spans="1:12" x14ac:dyDescent="0.3">
      <c r="A3794" s="2">
        <v>3783</v>
      </c>
      <c r="B3794" s="2" t="s">
        <v>8743</v>
      </c>
      <c r="C3794" s="2" t="s">
        <v>3938</v>
      </c>
      <c r="D3794" s="2" t="s">
        <v>51</v>
      </c>
      <c r="E3794" s="2" t="s">
        <v>16</v>
      </c>
      <c r="F3794" s="2">
        <v>60</v>
      </c>
      <c r="G3794" s="2" t="s">
        <v>8744</v>
      </c>
      <c r="H3794" s="2" t="s">
        <v>3678</v>
      </c>
      <c r="I3794" s="2" t="s">
        <v>32</v>
      </c>
      <c r="J3794" s="3">
        <v>44532</v>
      </c>
      <c r="K3794" s="2">
        <v>8</v>
      </c>
      <c r="L3794" s="2" t="s">
        <v>45</v>
      </c>
    </row>
    <row r="3795" spans="1:12" x14ac:dyDescent="0.3">
      <c r="A3795" s="2">
        <v>3784</v>
      </c>
      <c r="B3795" s="2" t="s">
        <v>8745</v>
      </c>
      <c r="C3795" s="2" t="s">
        <v>8746</v>
      </c>
      <c r="D3795" s="2" t="s">
        <v>15</v>
      </c>
      <c r="E3795" s="2" t="s">
        <v>16</v>
      </c>
      <c r="F3795" s="2">
        <v>30</v>
      </c>
      <c r="G3795" s="2" t="s">
        <v>8747</v>
      </c>
      <c r="H3795" s="2" t="s">
        <v>443</v>
      </c>
      <c r="I3795" s="2" t="s">
        <v>294</v>
      </c>
      <c r="J3795" s="3">
        <v>44327</v>
      </c>
      <c r="K3795" s="2">
        <v>17</v>
      </c>
      <c r="L3795" s="2" t="s">
        <v>80</v>
      </c>
    </row>
    <row r="3796" spans="1:12" x14ac:dyDescent="0.3">
      <c r="A3796" s="2">
        <v>3785</v>
      </c>
      <c r="B3796" s="2" t="s">
        <v>2600</v>
      </c>
      <c r="C3796" s="2" t="s">
        <v>8748</v>
      </c>
      <c r="D3796" s="2" t="s">
        <v>51</v>
      </c>
      <c r="E3796" s="2" t="s">
        <v>16</v>
      </c>
      <c r="F3796" s="2">
        <v>60</v>
      </c>
      <c r="G3796" s="2" t="s">
        <v>10565</v>
      </c>
      <c r="H3796" s="2" t="s">
        <v>1764</v>
      </c>
      <c r="I3796" s="2" t="s">
        <v>124</v>
      </c>
      <c r="J3796" s="3">
        <v>44780</v>
      </c>
      <c r="K3796" s="2">
        <v>39</v>
      </c>
      <c r="L3796" s="2" t="s">
        <v>39</v>
      </c>
    </row>
    <row r="3797" spans="1:12" x14ac:dyDescent="0.3">
      <c r="A3797" s="2">
        <v>3786</v>
      </c>
      <c r="B3797" s="2" t="s">
        <v>5285</v>
      </c>
      <c r="C3797" s="2" t="s">
        <v>328</v>
      </c>
      <c r="D3797" s="2" t="s">
        <v>92</v>
      </c>
      <c r="E3797" s="2" t="s">
        <v>29</v>
      </c>
      <c r="F3797" s="2">
        <v>90</v>
      </c>
      <c r="G3797" s="2" t="s">
        <v>8750</v>
      </c>
      <c r="H3797" s="2" t="s">
        <v>1194</v>
      </c>
      <c r="I3797" s="2" t="s">
        <v>38</v>
      </c>
      <c r="J3797" s="3">
        <v>44683</v>
      </c>
      <c r="K3797" s="2">
        <v>81</v>
      </c>
      <c r="L3797" s="2" t="s">
        <v>45</v>
      </c>
    </row>
    <row r="3798" spans="1:12" x14ac:dyDescent="0.3">
      <c r="A3798" s="2">
        <v>3787</v>
      </c>
      <c r="B3798" s="2" t="s">
        <v>8317</v>
      </c>
      <c r="C3798" s="2" t="s">
        <v>4795</v>
      </c>
      <c r="D3798" s="2" t="s">
        <v>28</v>
      </c>
      <c r="E3798" s="2" t="s">
        <v>29</v>
      </c>
      <c r="F3798" s="2">
        <v>90</v>
      </c>
      <c r="G3798" s="2" t="s">
        <v>8751</v>
      </c>
      <c r="H3798" s="2" t="s">
        <v>7261</v>
      </c>
      <c r="I3798" s="2" t="s">
        <v>32</v>
      </c>
      <c r="J3798" s="3">
        <v>43832</v>
      </c>
      <c r="K3798" s="2">
        <v>24</v>
      </c>
      <c r="L3798" s="2" t="s">
        <v>45</v>
      </c>
    </row>
    <row r="3799" spans="1:12" x14ac:dyDescent="0.3">
      <c r="A3799" s="2">
        <v>3788</v>
      </c>
      <c r="B3799" s="2" t="s">
        <v>3345</v>
      </c>
      <c r="C3799" s="2" t="s">
        <v>3325</v>
      </c>
      <c r="D3799" s="2" t="s">
        <v>28</v>
      </c>
      <c r="E3799" s="2" t="s">
        <v>29</v>
      </c>
      <c r="F3799" s="2">
        <v>90</v>
      </c>
      <c r="G3799" s="2" t="s">
        <v>8752</v>
      </c>
      <c r="H3799" s="2" t="s">
        <v>6181</v>
      </c>
      <c r="I3799" s="2" t="s">
        <v>32</v>
      </c>
      <c r="J3799" s="3">
        <v>44672</v>
      </c>
      <c r="K3799" s="2">
        <v>41</v>
      </c>
      <c r="L3799" s="2" t="s">
        <v>70</v>
      </c>
    </row>
    <row r="3800" spans="1:12" x14ac:dyDescent="0.3">
      <c r="A3800" s="2">
        <v>3789</v>
      </c>
      <c r="B3800" s="2" t="s">
        <v>8753</v>
      </c>
      <c r="C3800" s="2" t="s">
        <v>4191</v>
      </c>
      <c r="D3800" s="2" t="s">
        <v>51</v>
      </c>
      <c r="E3800" s="2" t="s">
        <v>16</v>
      </c>
      <c r="F3800" s="2">
        <v>30</v>
      </c>
      <c r="G3800" s="2" t="s">
        <v>8754</v>
      </c>
      <c r="H3800" s="2" t="s">
        <v>641</v>
      </c>
      <c r="I3800" s="2" t="s">
        <v>294</v>
      </c>
      <c r="J3800" s="3">
        <v>43842</v>
      </c>
      <c r="K3800" s="2">
        <v>78</v>
      </c>
      <c r="L3800" s="2" t="s">
        <v>39</v>
      </c>
    </row>
    <row r="3801" spans="1:12" x14ac:dyDescent="0.3">
      <c r="A3801" s="2">
        <v>3790</v>
      </c>
      <c r="B3801" s="2" t="s">
        <v>8755</v>
      </c>
      <c r="C3801" s="2" t="s">
        <v>1451</v>
      </c>
      <c r="D3801" s="2" t="s">
        <v>28</v>
      </c>
      <c r="E3801" s="2" t="s">
        <v>29</v>
      </c>
      <c r="F3801" s="2">
        <v>90</v>
      </c>
      <c r="G3801" s="2" t="s">
        <v>10566</v>
      </c>
      <c r="H3801" s="2" t="s">
        <v>1008</v>
      </c>
      <c r="I3801" s="2" t="s">
        <v>32</v>
      </c>
      <c r="J3801" s="3">
        <v>44034</v>
      </c>
      <c r="K3801" s="2">
        <v>70</v>
      </c>
      <c r="L3801" s="2" t="s">
        <v>54</v>
      </c>
    </row>
    <row r="3802" spans="1:12" x14ac:dyDescent="0.3">
      <c r="A3802" s="2">
        <v>3791</v>
      </c>
      <c r="B3802" s="2" t="s">
        <v>5072</v>
      </c>
      <c r="C3802" s="2" t="s">
        <v>8117</v>
      </c>
      <c r="D3802" s="2" t="s">
        <v>28</v>
      </c>
      <c r="E3802" s="2" t="s">
        <v>29</v>
      </c>
      <c r="F3802" s="2">
        <v>90</v>
      </c>
      <c r="G3802" s="2" t="s">
        <v>8757</v>
      </c>
      <c r="H3802" s="2" t="s">
        <v>8758</v>
      </c>
      <c r="I3802" s="2" t="s">
        <v>178</v>
      </c>
      <c r="J3802" s="3">
        <v>44686</v>
      </c>
      <c r="K3802" s="2">
        <v>101</v>
      </c>
      <c r="L3802" s="2" t="s">
        <v>33</v>
      </c>
    </row>
    <row r="3803" spans="1:12" x14ac:dyDescent="0.3">
      <c r="A3803" s="2">
        <v>3792</v>
      </c>
      <c r="B3803" s="2" t="s">
        <v>8759</v>
      </c>
      <c r="C3803" s="2" t="s">
        <v>8760</v>
      </c>
      <c r="D3803" s="2" t="s">
        <v>28</v>
      </c>
      <c r="E3803" s="2" t="s">
        <v>29</v>
      </c>
      <c r="F3803" s="2">
        <v>60</v>
      </c>
      <c r="G3803" s="2" t="s">
        <v>8761</v>
      </c>
      <c r="H3803" s="2" t="s">
        <v>2133</v>
      </c>
      <c r="I3803" s="2" t="s">
        <v>32</v>
      </c>
      <c r="J3803" s="3">
        <v>43925</v>
      </c>
      <c r="K3803" s="2">
        <v>9</v>
      </c>
      <c r="L3803" s="2" t="s">
        <v>64</v>
      </c>
    </row>
    <row r="3804" spans="1:12" x14ac:dyDescent="0.3">
      <c r="A3804" s="2">
        <v>3793</v>
      </c>
      <c r="B3804" s="2" t="s">
        <v>3567</v>
      </c>
      <c r="C3804" s="2" t="s">
        <v>4399</v>
      </c>
      <c r="D3804" s="2" t="s">
        <v>28</v>
      </c>
      <c r="E3804" s="2" t="s">
        <v>29</v>
      </c>
      <c r="F3804" s="2">
        <v>60</v>
      </c>
      <c r="G3804" s="2" t="s">
        <v>8762</v>
      </c>
      <c r="H3804" s="2" t="s">
        <v>2555</v>
      </c>
      <c r="I3804" s="2" t="s">
        <v>32</v>
      </c>
      <c r="J3804" s="3">
        <v>43877</v>
      </c>
      <c r="K3804" s="2">
        <v>31</v>
      </c>
      <c r="L3804" s="2" t="s">
        <v>39</v>
      </c>
    </row>
    <row r="3805" spans="1:12" x14ac:dyDescent="0.3">
      <c r="A3805" s="2">
        <v>3794</v>
      </c>
      <c r="B3805" s="2" t="s">
        <v>8763</v>
      </c>
      <c r="C3805" s="2" t="s">
        <v>6216</v>
      </c>
      <c r="D3805" s="2" t="s">
        <v>51</v>
      </c>
      <c r="E3805" s="2" t="s">
        <v>16</v>
      </c>
      <c r="F3805" s="2">
        <v>90</v>
      </c>
      <c r="G3805" s="2" t="s">
        <v>8764</v>
      </c>
      <c r="H3805" s="2" t="s">
        <v>1206</v>
      </c>
      <c r="I3805" s="2" t="s">
        <v>294</v>
      </c>
      <c r="J3805" s="3">
        <v>43965</v>
      </c>
      <c r="K3805" s="2">
        <v>64</v>
      </c>
      <c r="L3805" s="2" t="s">
        <v>101</v>
      </c>
    </row>
    <row r="3806" spans="1:12" x14ac:dyDescent="0.3">
      <c r="A3806" s="2">
        <v>3795</v>
      </c>
      <c r="B3806" s="2" t="s">
        <v>6653</v>
      </c>
      <c r="C3806" s="2" t="s">
        <v>1459</v>
      </c>
      <c r="D3806" s="2" t="s">
        <v>15</v>
      </c>
      <c r="E3806" s="2" t="s">
        <v>16</v>
      </c>
      <c r="F3806" s="2">
        <v>90</v>
      </c>
      <c r="G3806" s="2" t="s">
        <v>8765</v>
      </c>
      <c r="H3806" s="2" t="s">
        <v>8000</v>
      </c>
      <c r="I3806" s="2" t="s">
        <v>32</v>
      </c>
      <c r="J3806" s="3">
        <v>44856</v>
      </c>
      <c r="K3806" s="2">
        <v>88</v>
      </c>
      <c r="L3806" s="2" t="s">
        <v>80</v>
      </c>
    </row>
    <row r="3807" spans="1:12" x14ac:dyDescent="0.3">
      <c r="A3807" s="2">
        <v>3796</v>
      </c>
      <c r="B3807" s="2" t="s">
        <v>8766</v>
      </c>
      <c r="C3807" s="2" t="s">
        <v>551</v>
      </c>
      <c r="D3807" s="2" t="s">
        <v>28</v>
      </c>
      <c r="E3807" s="2" t="s">
        <v>29</v>
      </c>
      <c r="F3807" s="2">
        <v>60</v>
      </c>
      <c r="G3807" s="2" t="s">
        <v>8767</v>
      </c>
      <c r="H3807" s="2" t="s">
        <v>1426</v>
      </c>
      <c r="I3807" s="2" t="s">
        <v>32</v>
      </c>
      <c r="J3807" s="3">
        <v>44096</v>
      </c>
      <c r="K3807" s="2">
        <v>29</v>
      </c>
      <c r="L3807" s="2" t="s">
        <v>54</v>
      </c>
    </row>
    <row r="3808" spans="1:12" x14ac:dyDescent="0.3">
      <c r="A3808" s="2">
        <v>3797</v>
      </c>
      <c r="B3808" s="2" t="s">
        <v>1464</v>
      </c>
      <c r="C3808" s="2" t="s">
        <v>2252</v>
      </c>
      <c r="D3808" s="2" t="s">
        <v>28</v>
      </c>
      <c r="E3808" s="2" t="s">
        <v>29</v>
      </c>
      <c r="F3808" s="2">
        <v>60</v>
      </c>
      <c r="G3808" s="2" t="s">
        <v>8767</v>
      </c>
      <c r="H3808" s="2" t="s">
        <v>3236</v>
      </c>
      <c r="I3808" s="2" t="s">
        <v>32</v>
      </c>
      <c r="J3808" s="3">
        <v>44427</v>
      </c>
      <c r="K3808" s="2">
        <v>28</v>
      </c>
      <c r="L3808" s="2" t="s">
        <v>101</v>
      </c>
    </row>
    <row r="3809" spans="1:12" x14ac:dyDescent="0.3">
      <c r="A3809" s="2">
        <v>3798</v>
      </c>
      <c r="B3809" s="2" t="s">
        <v>8768</v>
      </c>
      <c r="C3809" s="2" t="s">
        <v>1746</v>
      </c>
      <c r="D3809" s="2" t="s">
        <v>15</v>
      </c>
      <c r="E3809" s="2" t="s">
        <v>16</v>
      </c>
      <c r="F3809" s="2">
        <v>90</v>
      </c>
      <c r="G3809" s="2" t="s">
        <v>8769</v>
      </c>
      <c r="H3809" s="2" t="s">
        <v>611</v>
      </c>
      <c r="I3809" s="2" t="s">
        <v>32</v>
      </c>
      <c r="J3809" s="3">
        <v>44639</v>
      </c>
      <c r="K3809" s="2">
        <v>90</v>
      </c>
      <c r="L3809" s="2" t="s">
        <v>101</v>
      </c>
    </row>
    <row r="3810" spans="1:12" x14ac:dyDescent="0.3">
      <c r="A3810" s="2">
        <v>3799</v>
      </c>
      <c r="B3810" s="2" t="s">
        <v>2051</v>
      </c>
      <c r="C3810" s="2" t="s">
        <v>543</v>
      </c>
      <c r="D3810" s="2" t="s">
        <v>28</v>
      </c>
      <c r="E3810" s="2" t="s">
        <v>29</v>
      </c>
      <c r="F3810" s="2">
        <v>30</v>
      </c>
      <c r="G3810" s="2" t="s">
        <v>8770</v>
      </c>
      <c r="H3810" s="2" t="s">
        <v>7758</v>
      </c>
      <c r="I3810" s="2" t="s">
        <v>819</v>
      </c>
      <c r="J3810" s="3">
        <v>44170</v>
      </c>
      <c r="K3810" s="2">
        <v>9</v>
      </c>
      <c r="L3810" s="2" t="s">
        <v>64</v>
      </c>
    </row>
    <row r="3811" spans="1:12" x14ac:dyDescent="0.3">
      <c r="A3811" s="2">
        <v>3800</v>
      </c>
      <c r="B3811" s="2" t="s">
        <v>2346</v>
      </c>
      <c r="C3811" s="2" t="s">
        <v>8771</v>
      </c>
      <c r="D3811" s="2" t="s">
        <v>28</v>
      </c>
      <c r="E3811" s="2" t="s">
        <v>29</v>
      </c>
      <c r="F3811" s="2">
        <v>30</v>
      </c>
      <c r="G3811" s="2" t="s">
        <v>8770</v>
      </c>
      <c r="H3811" s="2" t="s">
        <v>538</v>
      </c>
      <c r="I3811" s="2" t="s">
        <v>32</v>
      </c>
      <c r="J3811" s="3">
        <v>44879</v>
      </c>
      <c r="K3811" s="2">
        <v>40</v>
      </c>
      <c r="L3811" s="2" t="s">
        <v>45</v>
      </c>
    </row>
    <row r="3812" spans="1:12" x14ac:dyDescent="0.3">
      <c r="A3812" s="2">
        <v>3801</v>
      </c>
      <c r="B3812" s="2" t="s">
        <v>5623</v>
      </c>
      <c r="C3812" s="2" t="s">
        <v>7435</v>
      </c>
      <c r="D3812" s="2" t="s">
        <v>28</v>
      </c>
      <c r="E3812" s="2" t="s">
        <v>29</v>
      </c>
      <c r="F3812" s="2">
        <v>30</v>
      </c>
      <c r="G3812" s="2" t="s">
        <v>8772</v>
      </c>
      <c r="H3812" s="2" t="s">
        <v>1868</v>
      </c>
      <c r="I3812" s="2" t="s">
        <v>1869</v>
      </c>
      <c r="J3812" s="3">
        <v>44357</v>
      </c>
      <c r="K3812" s="2">
        <v>44</v>
      </c>
      <c r="L3812" s="2" t="s">
        <v>64</v>
      </c>
    </row>
    <row r="3813" spans="1:12" x14ac:dyDescent="0.3">
      <c r="A3813" s="2">
        <v>3802</v>
      </c>
      <c r="B3813" s="2" t="s">
        <v>8773</v>
      </c>
      <c r="C3813" s="2" t="s">
        <v>472</v>
      </c>
      <c r="D3813" s="2" t="s">
        <v>15</v>
      </c>
      <c r="E3813" s="2" t="s">
        <v>16</v>
      </c>
      <c r="F3813" s="2">
        <v>30</v>
      </c>
      <c r="G3813" s="2" t="s">
        <v>10451</v>
      </c>
      <c r="H3813" s="2" t="s">
        <v>3334</v>
      </c>
      <c r="I3813" s="2" t="s">
        <v>32</v>
      </c>
      <c r="J3813" s="3">
        <v>44195</v>
      </c>
      <c r="K3813" s="2">
        <v>80</v>
      </c>
      <c r="L3813" s="2" t="s">
        <v>159</v>
      </c>
    </row>
    <row r="3814" spans="1:12" x14ac:dyDescent="0.3">
      <c r="A3814" s="2">
        <v>3803</v>
      </c>
      <c r="B3814" s="2" t="s">
        <v>4407</v>
      </c>
      <c r="C3814" s="2" t="s">
        <v>4596</v>
      </c>
      <c r="D3814" s="2" t="s">
        <v>15</v>
      </c>
      <c r="E3814" s="2" t="s">
        <v>16</v>
      </c>
      <c r="F3814" s="2">
        <v>30</v>
      </c>
      <c r="G3814" s="2" t="s">
        <v>8775</v>
      </c>
      <c r="H3814" s="2" t="s">
        <v>3882</v>
      </c>
      <c r="I3814" s="2" t="s">
        <v>38</v>
      </c>
      <c r="J3814" s="3">
        <v>44418</v>
      </c>
      <c r="K3814" s="2">
        <v>56</v>
      </c>
      <c r="L3814" s="2" t="s">
        <v>64</v>
      </c>
    </row>
    <row r="3815" spans="1:12" x14ac:dyDescent="0.3">
      <c r="A3815" s="2">
        <v>3804</v>
      </c>
      <c r="B3815" s="2" t="s">
        <v>665</v>
      </c>
      <c r="C3815" s="2" t="s">
        <v>3341</v>
      </c>
      <c r="D3815" s="2" t="s">
        <v>28</v>
      </c>
      <c r="E3815" s="2" t="s">
        <v>29</v>
      </c>
      <c r="F3815" s="2">
        <v>60</v>
      </c>
      <c r="G3815" s="2" t="s">
        <v>8775</v>
      </c>
      <c r="H3815" s="2" t="s">
        <v>1855</v>
      </c>
      <c r="I3815" s="2" t="s">
        <v>25</v>
      </c>
      <c r="J3815" s="3">
        <v>44878</v>
      </c>
      <c r="K3815" s="2">
        <v>53</v>
      </c>
      <c r="L3815" s="2" t="s">
        <v>45</v>
      </c>
    </row>
    <row r="3816" spans="1:12" x14ac:dyDescent="0.3">
      <c r="A3816" s="2">
        <v>3805</v>
      </c>
      <c r="B3816" s="2" t="s">
        <v>4329</v>
      </c>
      <c r="C3816" s="2" t="s">
        <v>1727</v>
      </c>
      <c r="D3816" s="2" t="s">
        <v>51</v>
      </c>
      <c r="E3816" s="2" t="s">
        <v>16</v>
      </c>
      <c r="F3816" s="2">
        <v>60</v>
      </c>
      <c r="G3816" s="2" t="s">
        <v>8778</v>
      </c>
      <c r="H3816" s="2" t="s">
        <v>3215</v>
      </c>
      <c r="I3816" s="2" t="s">
        <v>32</v>
      </c>
      <c r="J3816" s="3">
        <v>43951</v>
      </c>
      <c r="K3816" s="2">
        <v>2</v>
      </c>
      <c r="L3816" s="2" t="s">
        <v>54</v>
      </c>
    </row>
    <row r="3817" spans="1:12" x14ac:dyDescent="0.3">
      <c r="A3817" s="2">
        <v>3806</v>
      </c>
      <c r="B3817" s="2" t="s">
        <v>6947</v>
      </c>
      <c r="C3817" s="2" t="s">
        <v>3584</v>
      </c>
      <c r="D3817" s="2" t="s">
        <v>51</v>
      </c>
      <c r="E3817" s="2" t="s">
        <v>16</v>
      </c>
      <c r="F3817" s="2">
        <v>30</v>
      </c>
      <c r="G3817" s="2" t="s">
        <v>8779</v>
      </c>
      <c r="H3817" s="2" t="s">
        <v>8780</v>
      </c>
      <c r="I3817" s="2" t="s">
        <v>32</v>
      </c>
      <c r="J3817" s="3">
        <v>44873</v>
      </c>
      <c r="K3817" s="2">
        <v>102</v>
      </c>
      <c r="L3817" s="2" t="s">
        <v>70</v>
      </c>
    </row>
    <row r="3818" spans="1:12" x14ac:dyDescent="0.3">
      <c r="A3818" s="2">
        <v>3807</v>
      </c>
      <c r="B3818" s="2" t="s">
        <v>8781</v>
      </c>
      <c r="C3818" s="2" t="s">
        <v>3253</v>
      </c>
      <c r="D3818" s="2" t="s">
        <v>28</v>
      </c>
      <c r="E3818" s="2" t="s">
        <v>29</v>
      </c>
      <c r="F3818" s="2">
        <v>60</v>
      </c>
      <c r="G3818" s="2" t="s">
        <v>8782</v>
      </c>
      <c r="H3818" s="2" t="s">
        <v>5301</v>
      </c>
      <c r="I3818" s="2" t="s">
        <v>173</v>
      </c>
      <c r="J3818" s="3">
        <v>44443</v>
      </c>
      <c r="K3818" s="2">
        <v>95</v>
      </c>
      <c r="L3818" s="2" t="s">
        <v>54</v>
      </c>
    </row>
    <row r="3819" spans="1:12" x14ac:dyDescent="0.3">
      <c r="A3819" s="2">
        <v>3808</v>
      </c>
      <c r="B3819" s="2" t="s">
        <v>8783</v>
      </c>
      <c r="C3819" s="2" t="s">
        <v>4681</v>
      </c>
      <c r="D3819" s="2" t="s">
        <v>51</v>
      </c>
      <c r="E3819" s="2" t="s">
        <v>16</v>
      </c>
      <c r="F3819" s="2">
        <v>60</v>
      </c>
      <c r="G3819" s="2" t="s">
        <v>8784</v>
      </c>
      <c r="H3819" s="2" t="s">
        <v>5874</v>
      </c>
      <c r="I3819" s="2" t="s">
        <v>839</v>
      </c>
      <c r="J3819" s="3">
        <v>44709</v>
      </c>
      <c r="K3819" s="2">
        <v>76</v>
      </c>
      <c r="L3819" s="2" t="s">
        <v>101</v>
      </c>
    </row>
    <row r="3820" spans="1:12" x14ac:dyDescent="0.3">
      <c r="A3820" s="2">
        <v>3809</v>
      </c>
      <c r="B3820" s="2" t="s">
        <v>8785</v>
      </c>
      <c r="C3820" s="2" t="s">
        <v>6635</v>
      </c>
      <c r="D3820" s="2" t="s">
        <v>15</v>
      </c>
      <c r="E3820" s="2" t="s">
        <v>16</v>
      </c>
      <c r="F3820" s="2">
        <v>90</v>
      </c>
      <c r="G3820" s="2" t="s">
        <v>8786</v>
      </c>
      <c r="H3820" s="2" t="s">
        <v>1095</v>
      </c>
      <c r="I3820" s="2" t="s">
        <v>178</v>
      </c>
      <c r="J3820" s="3">
        <v>44239</v>
      </c>
      <c r="K3820" s="2">
        <v>33</v>
      </c>
      <c r="L3820" s="2" t="s">
        <v>159</v>
      </c>
    </row>
    <row r="3821" spans="1:12" x14ac:dyDescent="0.3">
      <c r="A3821" s="2">
        <v>3810</v>
      </c>
      <c r="B3821" s="2" t="s">
        <v>5034</v>
      </c>
      <c r="C3821" s="2" t="s">
        <v>3011</v>
      </c>
      <c r="D3821" s="2" t="s">
        <v>28</v>
      </c>
      <c r="E3821" s="2" t="s">
        <v>29</v>
      </c>
      <c r="F3821" s="2">
        <v>30</v>
      </c>
      <c r="G3821" s="2" t="s">
        <v>8787</v>
      </c>
      <c r="H3821" s="2" t="s">
        <v>1186</v>
      </c>
      <c r="I3821" s="2" t="s">
        <v>32</v>
      </c>
      <c r="J3821" s="3">
        <v>43981</v>
      </c>
      <c r="K3821" s="2">
        <v>62</v>
      </c>
      <c r="L3821" s="2" t="s">
        <v>45</v>
      </c>
    </row>
    <row r="3822" spans="1:12" x14ac:dyDescent="0.3">
      <c r="A3822" s="2">
        <v>3811</v>
      </c>
      <c r="B3822" s="2" t="s">
        <v>8788</v>
      </c>
      <c r="C3822" s="2" t="s">
        <v>4287</v>
      </c>
      <c r="D3822" s="2" t="s">
        <v>28</v>
      </c>
      <c r="E3822" s="2" t="s">
        <v>29</v>
      </c>
      <c r="F3822" s="2">
        <v>60</v>
      </c>
      <c r="G3822" s="2" t="s">
        <v>8789</v>
      </c>
      <c r="H3822" s="2" t="s">
        <v>6105</v>
      </c>
      <c r="I3822" s="2" t="s">
        <v>32</v>
      </c>
      <c r="J3822" s="3">
        <v>44481</v>
      </c>
      <c r="K3822" s="2">
        <v>94</v>
      </c>
      <c r="L3822" s="2" t="s">
        <v>80</v>
      </c>
    </row>
    <row r="3823" spans="1:12" x14ac:dyDescent="0.3">
      <c r="A3823" s="2">
        <v>3812</v>
      </c>
      <c r="B3823" s="2" t="s">
        <v>8790</v>
      </c>
      <c r="C3823" s="2" t="s">
        <v>3843</v>
      </c>
      <c r="D3823" s="2" t="s">
        <v>15</v>
      </c>
      <c r="E3823" s="2" t="s">
        <v>16</v>
      </c>
      <c r="F3823" s="2">
        <v>60</v>
      </c>
      <c r="G3823" s="2" t="s">
        <v>8791</v>
      </c>
      <c r="H3823" s="2" t="s">
        <v>1426</v>
      </c>
      <c r="I3823" s="2" t="s">
        <v>32</v>
      </c>
      <c r="J3823" s="3">
        <v>44058</v>
      </c>
      <c r="K3823" s="2">
        <v>47</v>
      </c>
      <c r="L3823" s="2" t="s">
        <v>54</v>
      </c>
    </row>
    <row r="3824" spans="1:12" x14ac:dyDescent="0.3">
      <c r="A3824" s="2">
        <v>3813</v>
      </c>
      <c r="B3824" s="2" t="s">
        <v>6003</v>
      </c>
      <c r="C3824" s="2" t="s">
        <v>7369</v>
      </c>
      <c r="D3824" s="2" t="s">
        <v>15</v>
      </c>
      <c r="E3824" s="2" t="s">
        <v>16</v>
      </c>
      <c r="F3824" s="2">
        <v>90</v>
      </c>
      <c r="G3824" s="2" t="s">
        <v>10452</v>
      </c>
      <c r="H3824" s="2" t="s">
        <v>3774</v>
      </c>
      <c r="I3824" s="2" t="s">
        <v>187</v>
      </c>
      <c r="J3824" s="3">
        <v>44121</v>
      </c>
      <c r="K3824" s="2">
        <v>83</v>
      </c>
      <c r="L3824" s="2" t="s">
        <v>80</v>
      </c>
    </row>
    <row r="3825" spans="1:12" x14ac:dyDescent="0.3">
      <c r="A3825" s="2">
        <v>3814</v>
      </c>
      <c r="B3825" s="2" t="s">
        <v>232</v>
      </c>
      <c r="C3825" s="2" t="s">
        <v>617</v>
      </c>
      <c r="D3825" s="2" t="s">
        <v>28</v>
      </c>
      <c r="E3825" s="2" t="s">
        <v>29</v>
      </c>
      <c r="F3825" s="2">
        <v>60</v>
      </c>
      <c r="G3825" s="2" t="s">
        <v>8793</v>
      </c>
      <c r="H3825" s="2" t="s">
        <v>105</v>
      </c>
      <c r="I3825" s="2" t="s">
        <v>32</v>
      </c>
      <c r="J3825" s="3">
        <v>44134</v>
      </c>
      <c r="K3825" s="2">
        <v>11</v>
      </c>
      <c r="L3825" s="2" t="s">
        <v>20</v>
      </c>
    </row>
    <row r="3826" spans="1:12" x14ac:dyDescent="0.3">
      <c r="A3826" s="2">
        <v>3815</v>
      </c>
      <c r="B3826" s="2" t="s">
        <v>5623</v>
      </c>
      <c r="C3826" s="2" t="s">
        <v>8794</v>
      </c>
      <c r="D3826" s="2" t="s">
        <v>28</v>
      </c>
      <c r="E3826" s="2" t="s">
        <v>29</v>
      </c>
      <c r="F3826" s="2">
        <v>90</v>
      </c>
      <c r="G3826" s="2" t="s">
        <v>8795</v>
      </c>
      <c r="H3826" s="2" t="s">
        <v>1444</v>
      </c>
      <c r="I3826" s="2" t="s">
        <v>1199</v>
      </c>
      <c r="J3826" s="3">
        <v>44536</v>
      </c>
      <c r="K3826" s="2">
        <v>51</v>
      </c>
      <c r="L3826" s="2" t="s">
        <v>20</v>
      </c>
    </row>
    <row r="3827" spans="1:12" x14ac:dyDescent="0.3">
      <c r="A3827" s="2">
        <v>3816</v>
      </c>
      <c r="B3827" s="2" t="s">
        <v>8796</v>
      </c>
      <c r="C3827" s="2" t="s">
        <v>736</v>
      </c>
      <c r="D3827" s="2" t="s">
        <v>51</v>
      </c>
      <c r="E3827" s="2" t="s">
        <v>16</v>
      </c>
      <c r="F3827" s="2">
        <v>60</v>
      </c>
      <c r="G3827" s="2" t="s">
        <v>8797</v>
      </c>
      <c r="H3827" s="2" t="s">
        <v>1834</v>
      </c>
      <c r="I3827" s="2" t="s">
        <v>32</v>
      </c>
      <c r="J3827" s="3">
        <v>44191</v>
      </c>
      <c r="K3827" s="2">
        <v>33</v>
      </c>
      <c r="L3827" s="2" t="s">
        <v>33</v>
      </c>
    </row>
    <row r="3828" spans="1:12" x14ac:dyDescent="0.3">
      <c r="A3828" s="2">
        <v>3817</v>
      </c>
      <c r="B3828" s="2" t="s">
        <v>8798</v>
      </c>
      <c r="C3828" s="2" t="s">
        <v>2082</v>
      </c>
      <c r="D3828" s="2" t="s">
        <v>51</v>
      </c>
      <c r="E3828" s="2" t="s">
        <v>16</v>
      </c>
      <c r="F3828" s="2">
        <v>30</v>
      </c>
      <c r="G3828" s="2" t="s">
        <v>8799</v>
      </c>
      <c r="H3828" s="2" t="s">
        <v>730</v>
      </c>
      <c r="I3828" s="2" t="s">
        <v>187</v>
      </c>
      <c r="J3828" s="3">
        <v>44106</v>
      </c>
      <c r="K3828" s="2">
        <v>73</v>
      </c>
      <c r="L3828" s="2" t="s">
        <v>64</v>
      </c>
    </row>
    <row r="3829" spans="1:12" x14ac:dyDescent="0.3">
      <c r="A3829" s="2">
        <v>3818</v>
      </c>
      <c r="B3829" s="2" t="s">
        <v>3532</v>
      </c>
      <c r="C3829" s="2" t="s">
        <v>2119</v>
      </c>
      <c r="D3829" s="2" t="s">
        <v>28</v>
      </c>
      <c r="E3829" s="2" t="s">
        <v>29</v>
      </c>
      <c r="F3829" s="2">
        <v>90</v>
      </c>
      <c r="G3829" s="2" t="s">
        <v>8800</v>
      </c>
      <c r="H3829" s="2" t="s">
        <v>8801</v>
      </c>
      <c r="I3829" s="2" t="s">
        <v>32</v>
      </c>
      <c r="J3829" s="3">
        <v>44837</v>
      </c>
      <c r="K3829" s="2">
        <v>12</v>
      </c>
      <c r="L3829" s="2" t="s">
        <v>64</v>
      </c>
    </row>
    <row r="3830" spans="1:12" x14ac:dyDescent="0.3">
      <c r="A3830" s="2">
        <v>3819</v>
      </c>
      <c r="B3830" s="2" t="s">
        <v>4842</v>
      </c>
      <c r="C3830" s="2" t="s">
        <v>1409</v>
      </c>
      <c r="D3830" s="2" t="s">
        <v>28</v>
      </c>
      <c r="E3830" s="2" t="s">
        <v>29</v>
      </c>
      <c r="F3830" s="2">
        <v>30</v>
      </c>
      <c r="G3830" s="2" t="s">
        <v>8802</v>
      </c>
      <c r="H3830" s="2" t="s">
        <v>8803</v>
      </c>
      <c r="I3830" s="2" t="s">
        <v>187</v>
      </c>
      <c r="J3830" s="3">
        <v>44832</v>
      </c>
      <c r="K3830" s="2">
        <v>54</v>
      </c>
      <c r="L3830" s="2" t="s">
        <v>64</v>
      </c>
    </row>
    <row r="3831" spans="1:12" x14ac:dyDescent="0.3">
      <c r="A3831" s="2">
        <v>3820</v>
      </c>
      <c r="B3831" s="2" t="s">
        <v>3443</v>
      </c>
      <c r="C3831" s="2" t="s">
        <v>6817</v>
      </c>
      <c r="D3831" s="2" t="s">
        <v>28</v>
      </c>
      <c r="E3831" s="2" t="s">
        <v>29</v>
      </c>
      <c r="F3831" s="2">
        <v>60</v>
      </c>
      <c r="G3831" s="2" t="s">
        <v>8804</v>
      </c>
      <c r="H3831" s="2" t="s">
        <v>2931</v>
      </c>
      <c r="I3831" s="2" t="s">
        <v>32</v>
      </c>
      <c r="J3831" s="3">
        <v>44629</v>
      </c>
      <c r="K3831" s="2">
        <v>76</v>
      </c>
      <c r="L3831" s="2" t="s">
        <v>20</v>
      </c>
    </row>
    <row r="3832" spans="1:12" x14ac:dyDescent="0.3">
      <c r="A3832" s="2">
        <v>3821</v>
      </c>
      <c r="B3832" s="2" t="s">
        <v>305</v>
      </c>
      <c r="C3832" s="2" t="s">
        <v>8227</v>
      </c>
      <c r="D3832" s="2" t="s">
        <v>28</v>
      </c>
      <c r="E3832" s="2" t="s">
        <v>29</v>
      </c>
      <c r="F3832" s="2">
        <v>90</v>
      </c>
      <c r="G3832" s="2" t="s">
        <v>10567</v>
      </c>
      <c r="H3832" s="2" t="s">
        <v>655</v>
      </c>
      <c r="I3832" s="2" t="s">
        <v>32</v>
      </c>
      <c r="J3832" s="3">
        <v>44417</v>
      </c>
      <c r="K3832" s="2">
        <v>51</v>
      </c>
      <c r="L3832" s="2" t="s">
        <v>20</v>
      </c>
    </row>
    <row r="3833" spans="1:12" x14ac:dyDescent="0.3">
      <c r="A3833" s="2">
        <v>3822</v>
      </c>
      <c r="B3833" s="2" t="s">
        <v>555</v>
      </c>
      <c r="C3833" s="2" t="s">
        <v>8678</v>
      </c>
      <c r="D3833" s="2" t="s">
        <v>28</v>
      </c>
      <c r="E3833" s="2" t="s">
        <v>29</v>
      </c>
      <c r="F3833" s="2">
        <v>30</v>
      </c>
      <c r="G3833" s="2" t="s">
        <v>8806</v>
      </c>
      <c r="H3833" s="2" t="s">
        <v>674</v>
      </c>
      <c r="I3833" s="2" t="s">
        <v>32</v>
      </c>
      <c r="J3833" s="3">
        <v>44873</v>
      </c>
      <c r="K3833" s="2">
        <v>19</v>
      </c>
      <c r="L3833" s="2" t="s">
        <v>64</v>
      </c>
    </row>
    <row r="3834" spans="1:12" x14ac:dyDescent="0.3">
      <c r="A3834" s="2">
        <v>3823</v>
      </c>
      <c r="B3834" s="2" t="s">
        <v>4318</v>
      </c>
      <c r="C3834" s="2" t="s">
        <v>2951</v>
      </c>
      <c r="D3834" s="2" t="s">
        <v>28</v>
      </c>
      <c r="E3834" s="2" t="s">
        <v>29</v>
      </c>
      <c r="F3834" s="2">
        <v>60</v>
      </c>
      <c r="G3834" s="2" t="s">
        <v>8807</v>
      </c>
      <c r="H3834" s="2" t="s">
        <v>5178</v>
      </c>
      <c r="I3834" s="2" t="s">
        <v>25</v>
      </c>
      <c r="J3834" s="3">
        <v>44839</v>
      </c>
      <c r="K3834" s="2">
        <v>66</v>
      </c>
      <c r="L3834" s="2" t="s">
        <v>159</v>
      </c>
    </row>
    <row r="3835" spans="1:12" x14ac:dyDescent="0.3">
      <c r="A3835" s="2">
        <v>3824</v>
      </c>
      <c r="B3835" s="2" t="s">
        <v>7425</v>
      </c>
      <c r="C3835" s="2" t="s">
        <v>4226</v>
      </c>
      <c r="D3835" s="2" t="s">
        <v>51</v>
      </c>
      <c r="E3835" s="2" t="s">
        <v>16</v>
      </c>
      <c r="F3835" s="2">
        <v>30</v>
      </c>
      <c r="G3835" s="2" t="s">
        <v>8808</v>
      </c>
      <c r="H3835" s="2" t="s">
        <v>3695</v>
      </c>
      <c r="I3835" s="2" t="s">
        <v>173</v>
      </c>
      <c r="J3835" s="3">
        <v>44246</v>
      </c>
      <c r="K3835" s="2">
        <v>66</v>
      </c>
      <c r="L3835" s="2" t="s">
        <v>101</v>
      </c>
    </row>
    <row r="3836" spans="1:12" x14ac:dyDescent="0.3">
      <c r="A3836" s="2">
        <v>3825</v>
      </c>
      <c r="B3836" s="2" t="s">
        <v>1239</v>
      </c>
      <c r="C3836" s="2" t="s">
        <v>7889</v>
      </c>
      <c r="D3836" s="2" t="s">
        <v>28</v>
      </c>
      <c r="E3836" s="2" t="s">
        <v>29</v>
      </c>
      <c r="F3836" s="2">
        <v>60</v>
      </c>
      <c r="G3836" s="2" t="s">
        <v>8809</v>
      </c>
      <c r="H3836" s="2" t="s">
        <v>842</v>
      </c>
      <c r="I3836" s="2" t="s">
        <v>32</v>
      </c>
      <c r="J3836" s="3">
        <v>44873</v>
      </c>
      <c r="K3836" s="2">
        <v>13</v>
      </c>
      <c r="L3836" s="2" t="s">
        <v>33</v>
      </c>
    </row>
    <row r="3837" spans="1:12" x14ac:dyDescent="0.3">
      <c r="A3837" s="2">
        <v>3826</v>
      </c>
      <c r="B3837" s="2" t="s">
        <v>5725</v>
      </c>
      <c r="C3837" s="2" t="s">
        <v>4609</v>
      </c>
      <c r="D3837" s="2" t="s">
        <v>28</v>
      </c>
      <c r="E3837" s="2" t="s">
        <v>29</v>
      </c>
      <c r="F3837" s="2">
        <v>30</v>
      </c>
      <c r="G3837" s="2" t="s">
        <v>8810</v>
      </c>
      <c r="H3837" s="2" t="s">
        <v>3002</v>
      </c>
      <c r="I3837" s="2" t="s">
        <v>32</v>
      </c>
      <c r="J3837" s="3">
        <v>44043</v>
      </c>
      <c r="K3837" s="2">
        <v>51</v>
      </c>
      <c r="L3837" s="2" t="s">
        <v>54</v>
      </c>
    </row>
    <row r="3838" spans="1:12" x14ac:dyDescent="0.3">
      <c r="A3838" s="2">
        <v>3827</v>
      </c>
      <c r="B3838" s="2" t="s">
        <v>5062</v>
      </c>
      <c r="C3838" s="2" t="s">
        <v>8811</v>
      </c>
      <c r="D3838" s="2" t="s">
        <v>28</v>
      </c>
      <c r="E3838" s="2" t="s">
        <v>29</v>
      </c>
      <c r="F3838" s="2">
        <v>30</v>
      </c>
      <c r="G3838" s="2" t="s">
        <v>8812</v>
      </c>
      <c r="H3838" s="2" t="s">
        <v>8033</v>
      </c>
      <c r="I3838" s="2" t="s">
        <v>32</v>
      </c>
      <c r="J3838" s="3">
        <v>44695</v>
      </c>
      <c r="K3838" s="2">
        <v>97</v>
      </c>
      <c r="L3838" s="2" t="s">
        <v>64</v>
      </c>
    </row>
    <row r="3839" spans="1:12" x14ac:dyDescent="0.3">
      <c r="A3839" s="2">
        <v>3828</v>
      </c>
      <c r="B3839" s="2" t="s">
        <v>8813</v>
      </c>
      <c r="C3839" s="2" t="s">
        <v>4181</v>
      </c>
      <c r="D3839" s="2" t="s">
        <v>51</v>
      </c>
      <c r="E3839" s="2" t="s">
        <v>16</v>
      </c>
      <c r="F3839" s="2">
        <v>60</v>
      </c>
      <c r="G3839" s="2" t="s">
        <v>8814</v>
      </c>
      <c r="H3839" s="2" t="s">
        <v>2622</v>
      </c>
      <c r="I3839" s="2" t="s">
        <v>294</v>
      </c>
      <c r="J3839" s="3">
        <v>44114</v>
      </c>
      <c r="K3839" s="2">
        <v>6</v>
      </c>
      <c r="L3839" s="2" t="s">
        <v>70</v>
      </c>
    </row>
    <row r="3840" spans="1:12" x14ac:dyDescent="0.3">
      <c r="A3840" s="2">
        <v>3829</v>
      </c>
      <c r="B3840" s="2" t="s">
        <v>4126</v>
      </c>
      <c r="C3840" s="2" t="s">
        <v>8347</v>
      </c>
      <c r="D3840" s="2" t="s">
        <v>28</v>
      </c>
      <c r="E3840" s="2" t="s">
        <v>29</v>
      </c>
      <c r="F3840" s="2">
        <v>90</v>
      </c>
      <c r="G3840" s="2" t="s">
        <v>8815</v>
      </c>
      <c r="H3840" s="2" t="s">
        <v>412</v>
      </c>
      <c r="I3840" s="2" t="s">
        <v>187</v>
      </c>
      <c r="J3840" s="3">
        <v>44774</v>
      </c>
      <c r="K3840" s="2">
        <v>25</v>
      </c>
      <c r="L3840" s="2" t="s">
        <v>101</v>
      </c>
    </row>
    <row r="3841" spans="1:12" x14ac:dyDescent="0.3">
      <c r="A3841" s="2">
        <v>3830</v>
      </c>
      <c r="B3841" s="2" t="s">
        <v>8816</v>
      </c>
      <c r="C3841" s="2" t="s">
        <v>2276</v>
      </c>
      <c r="D3841" s="2" t="s">
        <v>15</v>
      </c>
      <c r="E3841" s="2" t="s">
        <v>16</v>
      </c>
      <c r="F3841" s="2">
        <v>60</v>
      </c>
      <c r="G3841" s="2" t="s">
        <v>8815</v>
      </c>
      <c r="H3841" s="2" t="s">
        <v>655</v>
      </c>
      <c r="I3841" s="2" t="s">
        <v>32</v>
      </c>
      <c r="J3841" s="3">
        <v>43983</v>
      </c>
      <c r="K3841" s="2">
        <v>78</v>
      </c>
      <c r="L3841" s="2" t="s">
        <v>80</v>
      </c>
    </row>
    <row r="3842" spans="1:12" x14ac:dyDescent="0.3">
      <c r="A3842" s="2">
        <v>3831</v>
      </c>
      <c r="B3842" s="2" t="s">
        <v>8817</v>
      </c>
      <c r="C3842" s="2" t="s">
        <v>1488</v>
      </c>
      <c r="D3842" s="2" t="s">
        <v>28</v>
      </c>
      <c r="E3842" s="2" t="s">
        <v>29</v>
      </c>
      <c r="F3842" s="2">
        <v>30</v>
      </c>
      <c r="G3842" s="2" t="s">
        <v>8818</v>
      </c>
      <c r="H3842" s="2" t="s">
        <v>2250</v>
      </c>
      <c r="I3842" s="2" t="s">
        <v>187</v>
      </c>
      <c r="J3842" s="3">
        <v>44118</v>
      </c>
      <c r="K3842" s="2">
        <v>68</v>
      </c>
      <c r="L3842" s="2" t="s">
        <v>33</v>
      </c>
    </row>
    <row r="3843" spans="1:12" x14ac:dyDescent="0.3">
      <c r="A3843" s="2">
        <v>3832</v>
      </c>
      <c r="B3843" s="2" t="s">
        <v>1015</v>
      </c>
      <c r="C3843" s="2" t="s">
        <v>5330</v>
      </c>
      <c r="D3843" s="2" t="s">
        <v>28</v>
      </c>
      <c r="E3843" s="2" t="s">
        <v>29</v>
      </c>
      <c r="F3843" s="2">
        <v>60</v>
      </c>
      <c r="G3843" s="2" t="s">
        <v>8819</v>
      </c>
      <c r="H3843" s="2" t="s">
        <v>3396</v>
      </c>
      <c r="I3843" s="2" t="s">
        <v>32</v>
      </c>
      <c r="J3843" s="3">
        <v>44040</v>
      </c>
      <c r="K3843" s="2">
        <v>84</v>
      </c>
      <c r="L3843" s="2" t="s">
        <v>101</v>
      </c>
    </row>
    <row r="3844" spans="1:12" x14ac:dyDescent="0.3">
      <c r="A3844" s="2">
        <v>3833</v>
      </c>
      <c r="B3844" s="2" t="s">
        <v>960</v>
      </c>
      <c r="C3844" s="2" t="s">
        <v>391</v>
      </c>
      <c r="D3844" s="2" t="s">
        <v>28</v>
      </c>
      <c r="E3844" s="2" t="s">
        <v>29</v>
      </c>
      <c r="F3844" s="2">
        <v>30</v>
      </c>
      <c r="G3844" s="2" t="s">
        <v>8820</v>
      </c>
      <c r="H3844" s="2" t="s">
        <v>5736</v>
      </c>
      <c r="I3844" s="2" t="s">
        <v>95</v>
      </c>
      <c r="J3844" s="3">
        <v>44331</v>
      </c>
      <c r="K3844" s="2">
        <v>41</v>
      </c>
      <c r="L3844" s="2" t="s">
        <v>159</v>
      </c>
    </row>
    <row r="3845" spans="1:12" x14ac:dyDescent="0.3">
      <c r="A3845" s="2">
        <v>3834</v>
      </c>
      <c r="B3845" s="2" t="s">
        <v>707</v>
      </c>
      <c r="C3845" s="2" t="s">
        <v>1635</v>
      </c>
      <c r="D3845" s="2" t="s">
        <v>28</v>
      </c>
      <c r="E3845" s="2" t="s">
        <v>29</v>
      </c>
      <c r="F3845" s="2">
        <v>60</v>
      </c>
      <c r="G3845" s="2" t="s">
        <v>8820</v>
      </c>
      <c r="H3845" s="2" t="s">
        <v>5843</v>
      </c>
      <c r="I3845" s="2" t="s">
        <v>25</v>
      </c>
      <c r="J3845" s="3">
        <v>44732</v>
      </c>
      <c r="K3845" s="2">
        <v>36</v>
      </c>
      <c r="L3845" s="2" t="s">
        <v>64</v>
      </c>
    </row>
    <row r="3846" spans="1:12" x14ac:dyDescent="0.3">
      <c r="A3846" s="2">
        <v>3835</v>
      </c>
      <c r="B3846" s="2" t="s">
        <v>6295</v>
      </c>
      <c r="C3846" s="2" t="s">
        <v>588</v>
      </c>
      <c r="D3846" s="2" t="s">
        <v>28</v>
      </c>
      <c r="E3846" s="2" t="s">
        <v>29</v>
      </c>
      <c r="F3846" s="2">
        <v>30</v>
      </c>
      <c r="G3846" s="2" t="s">
        <v>8821</v>
      </c>
      <c r="H3846" s="2" t="s">
        <v>933</v>
      </c>
      <c r="I3846" s="2" t="s">
        <v>934</v>
      </c>
      <c r="J3846" s="3">
        <v>44598</v>
      </c>
      <c r="K3846" s="2">
        <v>22</v>
      </c>
      <c r="L3846" s="2" t="s">
        <v>54</v>
      </c>
    </row>
    <row r="3847" spans="1:12" x14ac:dyDescent="0.3">
      <c r="A3847" s="2">
        <v>3836</v>
      </c>
      <c r="B3847" s="2" t="s">
        <v>8822</v>
      </c>
      <c r="C3847" s="2" t="s">
        <v>1137</v>
      </c>
      <c r="D3847" s="2" t="s">
        <v>15</v>
      </c>
      <c r="E3847" s="2" t="s">
        <v>16</v>
      </c>
      <c r="F3847" s="2">
        <v>60</v>
      </c>
      <c r="G3847" s="2" t="s">
        <v>8823</v>
      </c>
      <c r="H3847" s="2" t="s">
        <v>8824</v>
      </c>
      <c r="I3847" s="2" t="s">
        <v>3898</v>
      </c>
      <c r="J3847" s="3">
        <v>44805</v>
      </c>
      <c r="K3847" s="2">
        <v>45</v>
      </c>
      <c r="L3847" s="2" t="s">
        <v>101</v>
      </c>
    </row>
    <row r="3848" spans="1:12" x14ac:dyDescent="0.3">
      <c r="A3848" s="2">
        <v>3837</v>
      </c>
      <c r="B3848" s="2" t="s">
        <v>8825</v>
      </c>
      <c r="C3848" s="2" t="s">
        <v>1058</v>
      </c>
      <c r="D3848" s="2" t="s">
        <v>15</v>
      </c>
      <c r="E3848" s="2" t="s">
        <v>16</v>
      </c>
      <c r="F3848" s="2">
        <v>30</v>
      </c>
      <c r="G3848" s="2" t="s">
        <v>8826</v>
      </c>
      <c r="H3848" s="2" t="s">
        <v>203</v>
      </c>
      <c r="I3848" s="2" t="s">
        <v>32</v>
      </c>
      <c r="J3848" s="3">
        <v>44280</v>
      </c>
      <c r="K3848" s="2">
        <v>32</v>
      </c>
      <c r="L3848" s="2" t="s">
        <v>33</v>
      </c>
    </row>
    <row r="3849" spans="1:12" x14ac:dyDescent="0.3">
      <c r="A3849" s="2">
        <v>3838</v>
      </c>
      <c r="B3849" s="2" t="s">
        <v>8827</v>
      </c>
      <c r="C3849" s="2" t="s">
        <v>3591</v>
      </c>
      <c r="D3849" s="2" t="s">
        <v>51</v>
      </c>
      <c r="E3849" s="2" t="s">
        <v>16</v>
      </c>
      <c r="F3849" s="2">
        <v>60</v>
      </c>
      <c r="G3849" s="2" t="s">
        <v>8828</v>
      </c>
      <c r="H3849" s="2" t="s">
        <v>1224</v>
      </c>
      <c r="I3849" s="2" t="s">
        <v>25</v>
      </c>
      <c r="J3849" s="3">
        <v>44891</v>
      </c>
      <c r="K3849" s="2">
        <v>22</v>
      </c>
      <c r="L3849" s="2" t="s">
        <v>20</v>
      </c>
    </row>
    <row r="3850" spans="1:12" x14ac:dyDescent="0.3">
      <c r="A3850" s="2">
        <v>3839</v>
      </c>
      <c r="B3850" s="2" t="s">
        <v>1319</v>
      </c>
      <c r="C3850" s="2" t="s">
        <v>4168</v>
      </c>
      <c r="D3850" s="2" t="s">
        <v>41</v>
      </c>
      <c r="E3850" s="2" t="s">
        <v>16</v>
      </c>
      <c r="F3850" s="2">
        <v>60</v>
      </c>
      <c r="G3850" s="2" t="s">
        <v>8829</v>
      </c>
      <c r="H3850" s="2" t="s">
        <v>920</v>
      </c>
      <c r="I3850" s="2" t="s">
        <v>178</v>
      </c>
      <c r="J3850" s="3">
        <v>44242</v>
      </c>
      <c r="K3850" s="2">
        <v>83</v>
      </c>
      <c r="L3850" s="2" t="s">
        <v>159</v>
      </c>
    </row>
    <row r="3851" spans="1:12" x14ac:dyDescent="0.3">
      <c r="A3851" s="2">
        <v>3840</v>
      </c>
      <c r="B3851" s="2" t="s">
        <v>5990</v>
      </c>
      <c r="C3851" s="2" t="s">
        <v>1030</v>
      </c>
      <c r="D3851" s="2" t="s">
        <v>28</v>
      </c>
      <c r="E3851" s="2" t="s">
        <v>29</v>
      </c>
      <c r="F3851" s="2">
        <v>60</v>
      </c>
      <c r="G3851" s="2" t="s">
        <v>8830</v>
      </c>
      <c r="H3851" s="2" t="s">
        <v>3449</v>
      </c>
      <c r="I3851" s="2" t="s">
        <v>187</v>
      </c>
      <c r="J3851" s="3">
        <v>44282</v>
      </c>
      <c r="K3851" s="2">
        <v>9</v>
      </c>
      <c r="L3851" s="2" t="s">
        <v>33</v>
      </c>
    </row>
    <row r="3852" spans="1:12" x14ac:dyDescent="0.3">
      <c r="A3852" s="2">
        <v>3841</v>
      </c>
      <c r="B3852" s="2" t="s">
        <v>8831</v>
      </c>
      <c r="C3852" s="2" t="s">
        <v>5526</v>
      </c>
      <c r="D3852" s="2" t="s">
        <v>51</v>
      </c>
      <c r="E3852" s="2" t="s">
        <v>16</v>
      </c>
      <c r="F3852" s="2">
        <v>60</v>
      </c>
      <c r="G3852" s="2" t="s">
        <v>8832</v>
      </c>
      <c r="H3852" s="2" t="s">
        <v>3053</v>
      </c>
      <c r="I3852" s="2" t="s">
        <v>32</v>
      </c>
      <c r="J3852" s="3">
        <v>44739</v>
      </c>
      <c r="K3852" s="2">
        <v>55</v>
      </c>
      <c r="L3852" s="2" t="s">
        <v>33</v>
      </c>
    </row>
    <row r="3853" spans="1:12" x14ac:dyDescent="0.3">
      <c r="A3853" s="2">
        <v>3842</v>
      </c>
      <c r="B3853" s="2" t="s">
        <v>8766</v>
      </c>
      <c r="C3853" s="2" t="s">
        <v>5383</v>
      </c>
      <c r="D3853" s="2" t="s">
        <v>28</v>
      </c>
      <c r="E3853" s="2" t="s">
        <v>29</v>
      </c>
      <c r="F3853" s="2">
        <v>60</v>
      </c>
      <c r="G3853" s="2" t="s">
        <v>8833</v>
      </c>
      <c r="H3853" s="2" t="s">
        <v>2542</v>
      </c>
      <c r="I3853" s="2" t="s">
        <v>2543</v>
      </c>
      <c r="J3853" s="3">
        <v>44493</v>
      </c>
      <c r="K3853" s="2">
        <v>4</v>
      </c>
      <c r="L3853" s="2" t="s">
        <v>33</v>
      </c>
    </row>
    <row r="3854" spans="1:12" x14ac:dyDescent="0.3">
      <c r="A3854" s="2">
        <v>3843</v>
      </c>
      <c r="B3854" s="2" t="s">
        <v>8834</v>
      </c>
      <c r="C3854" s="2" t="s">
        <v>3706</v>
      </c>
      <c r="D3854" s="2" t="s">
        <v>51</v>
      </c>
      <c r="E3854" s="2" t="s">
        <v>16</v>
      </c>
      <c r="F3854" s="2">
        <v>90</v>
      </c>
      <c r="G3854" s="2" t="s">
        <v>8835</v>
      </c>
      <c r="H3854" s="2" t="s">
        <v>3699</v>
      </c>
      <c r="I3854" s="2" t="s">
        <v>2983</v>
      </c>
      <c r="J3854" s="3">
        <v>44571</v>
      </c>
      <c r="K3854" s="2">
        <v>62</v>
      </c>
      <c r="L3854" s="2" t="s">
        <v>39</v>
      </c>
    </row>
    <row r="3855" spans="1:12" x14ac:dyDescent="0.3">
      <c r="A3855" s="2">
        <v>3844</v>
      </c>
      <c r="B3855" s="2" t="s">
        <v>7709</v>
      </c>
      <c r="C3855" s="2" t="s">
        <v>8836</v>
      </c>
      <c r="D3855" s="2" t="s">
        <v>28</v>
      </c>
      <c r="E3855" s="2" t="s">
        <v>29</v>
      </c>
      <c r="F3855" s="2">
        <v>30</v>
      </c>
      <c r="G3855" s="2" t="s">
        <v>8837</v>
      </c>
      <c r="H3855" s="2" t="s">
        <v>2121</v>
      </c>
      <c r="I3855" s="2" t="s">
        <v>38</v>
      </c>
      <c r="J3855" s="3">
        <v>44434</v>
      </c>
      <c r="K3855" s="2">
        <v>74</v>
      </c>
      <c r="L3855" s="2" t="s">
        <v>33</v>
      </c>
    </row>
    <row r="3856" spans="1:12" x14ac:dyDescent="0.3">
      <c r="A3856" s="2">
        <v>3845</v>
      </c>
      <c r="B3856" s="2" t="s">
        <v>929</v>
      </c>
      <c r="C3856" s="2" t="s">
        <v>4410</v>
      </c>
      <c r="D3856" s="2" t="s">
        <v>28</v>
      </c>
      <c r="E3856" s="2" t="s">
        <v>29</v>
      </c>
      <c r="F3856" s="2">
        <v>90</v>
      </c>
      <c r="G3856" s="2" t="s">
        <v>8838</v>
      </c>
      <c r="H3856" s="2" t="s">
        <v>6087</v>
      </c>
      <c r="I3856" s="2" t="s">
        <v>124</v>
      </c>
      <c r="J3856" s="3">
        <v>43912</v>
      </c>
      <c r="K3856" s="2">
        <v>78</v>
      </c>
      <c r="L3856" s="2" t="s">
        <v>159</v>
      </c>
    </row>
    <row r="3857" spans="1:12" x14ac:dyDescent="0.3">
      <c r="A3857" s="2">
        <v>3846</v>
      </c>
      <c r="B3857" s="2" t="s">
        <v>922</v>
      </c>
      <c r="C3857" s="2" t="s">
        <v>2154</v>
      </c>
      <c r="D3857" s="2" t="s">
        <v>28</v>
      </c>
      <c r="E3857" s="2" t="s">
        <v>29</v>
      </c>
      <c r="F3857" s="2">
        <v>60</v>
      </c>
      <c r="G3857" s="2" t="s">
        <v>8839</v>
      </c>
      <c r="H3857" s="2" t="s">
        <v>6516</v>
      </c>
      <c r="I3857" s="2" t="s">
        <v>32</v>
      </c>
      <c r="J3857" s="3">
        <v>44637</v>
      </c>
      <c r="K3857" s="2">
        <v>48</v>
      </c>
      <c r="L3857" s="2" t="s">
        <v>80</v>
      </c>
    </row>
    <row r="3858" spans="1:12" x14ac:dyDescent="0.3">
      <c r="A3858" s="2">
        <v>3847</v>
      </c>
      <c r="B3858" s="2" t="s">
        <v>8203</v>
      </c>
      <c r="C3858" s="2" t="s">
        <v>2019</v>
      </c>
      <c r="D3858" s="2" t="s">
        <v>28</v>
      </c>
      <c r="E3858" s="2" t="s">
        <v>29</v>
      </c>
      <c r="F3858" s="2">
        <v>30</v>
      </c>
      <c r="G3858" s="2" t="s">
        <v>8840</v>
      </c>
      <c r="H3858" s="2" t="s">
        <v>3987</v>
      </c>
      <c r="I3858" s="2" t="s">
        <v>554</v>
      </c>
      <c r="J3858" s="3">
        <v>43923</v>
      </c>
      <c r="K3858" s="2">
        <v>7</v>
      </c>
      <c r="L3858" s="2" t="s">
        <v>33</v>
      </c>
    </row>
    <row r="3859" spans="1:12" x14ac:dyDescent="0.3">
      <c r="A3859" s="2">
        <v>3848</v>
      </c>
      <c r="B3859" s="2" t="s">
        <v>8841</v>
      </c>
      <c r="C3859" s="2" t="s">
        <v>6449</v>
      </c>
      <c r="D3859" s="2" t="s">
        <v>51</v>
      </c>
      <c r="E3859" s="2" t="s">
        <v>16</v>
      </c>
      <c r="F3859" s="2">
        <v>30</v>
      </c>
      <c r="G3859" s="2" t="s">
        <v>8840</v>
      </c>
      <c r="H3859" s="2" t="s">
        <v>6202</v>
      </c>
      <c r="I3859" s="2" t="s">
        <v>294</v>
      </c>
      <c r="J3859" s="3">
        <v>44162</v>
      </c>
      <c r="K3859" s="2">
        <v>40</v>
      </c>
      <c r="L3859" s="2" t="s">
        <v>70</v>
      </c>
    </row>
    <row r="3860" spans="1:12" x14ac:dyDescent="0.3">
      <c r="A3860" s="2">
        <v>3849</v>
      </c>
      <c r="B3860" s="2" t="s">
        <v>8842</v>
      </c>
      <c r="C3860" s="2" t="s">
        <v>5668</v>
      </c>
      <c r="D3860" s="2" t="s">
        <v>15</v>
      </c>
      <c r="E3860" s="2" t="s">
        <v>16</v>
      </c>
      <c r="F3860" s="2">
        <v>60</v>
      </c>
      <c r="G3860" s="2" t="s">
        <v>8843</v>
      </c>
      <c r="H3860" s="2" t="s">
        <v>619</v>
      </c>
      <c r="I3860" s="2" t="s">
        <v>187</v>
      </c>
      <c r="J3860" s="3">
        <v>44497</v>
      </c>
      <c r="K3860" s="2">
        <v>34</v>
      </c>
      <c r="L3860" s="2" t="s">
        <v>159</v>
      </c>
    </row>
    <row r="3861" spans="1:12" x14ac:dyDescent="0.3">
      <c r="A3861" s="2">
        <v>3850</v>
      </c>
      <c r="B3861" s="2" t="s">
        <v>1591</v>
      </c>
      <c r="C3861" s="2" t="s">
        <v>367</v>
      </c>
      <c r="D3861" s="2" t="s">
        <v>28</v>
      </c>
      <c r="E3861" s="2" t="s">
        <v>29</v>
      </c>
      <c r="F3861" s="2">
        <v>90</v>
      </c>
      <c r="G3861" s="2" t="s">
        <v>8844</v>
      </c>
      <c r="H3861" s="2" t="s">
        <v>2336</v>
      </c>
      <c r="I3861" s="2" t="s">
        <v>32</v>
      </c>
      <c r="J3861" s="3">
        <v>44436</v>
      </c>
      <c r="K3861" s="2">
        <v>92</v>
      </c>
      <c r="L3861" s="2" t="s">
        <v>159</v>
      </c>
    </row>
    <row r="3862" spans="1:12" x14ac:dyDescent="0.3">
      <c r="A3862" s="2">
        <v>3851</v>
      </c>
      <c r="B3862" s="2" t="s">
        <v>8845</v>
      </c>
      <c r="C3862" s="2" t="s">
        <v>4558</v>
      </c>
      <c r="D3862" s="2" t="s">
        <v>41</v>
      </c>
      <c r="E3862" s="2" t="s">
        <v>16</v>
      </c>
      <c r="F3862" s="2">
        <v>90</v>
      </c>
      <c r="G3862" s="2" t="s">
        <v>8846</v>
      </c>
      <c r="H3862" s="2" t="s">
        <v>3399</v>
      </c>
      <c r="I3862" s="2" t="s">
        <v>124</v>
      </c>
      <c r="J3862" s="3">
        <v>44115</v>
      </c>
      <c r="K3862" s="2">
        <v>10</v>
      </c>
      <c r="L3862" s="2" t="s">
        <v>45</v>
      </c>
    </row>
    <row r="3863" spans="1:12" x14ac:dyDescent="0.3">
      <c r="A3863" s="2">
        <v>3852</v>
      </c>
      <c r="B3863" s="2" t="s">
        <v>8847</v>
      </c>
      <c r="C3863" s="2" t="s">
        <v>8848</v>
      </c>
      <c r="D3863" s="2" t="s">
        <v>51</v>
      </c>
      <c r="E3863" s="2" t="s">
        <v>16</v>
      </c>
      <c r="F3863" s="2">
        <v>60</v>
      </c>
      <c r="G3863" s="2" t="s">
        <v>8849</v>
      </c>
      <c r="H3863" s="2" t="s">
        <v>4299</v>
      </c>
      <c r="I3863" s="2" t="s">
        <v>32</v>
      </c>
      <c r="J3863" s="3">
        <v>44908</v>
      </c>
      <c r="K3863" s="2">
        <v>20</v>
      </c>
      <c r="L3863" s="2" t="s">
        <v>20</v>
      </c>
    </row>
    <row r="3864" spans="1:12" x14ac:dyDescent="0.3">
      <c r="A3864" s="2">
        <v>3853</v>
      </c>
      <c r="B3864" s="2" t="s">
        <v>8850</v>
      </c>
      <c r="C3864" s="2" t="s">
        <v>4858</v>
      </c>
      <c r="D3864" s="2" t="s">
        <v>15</v>
      </c>
      <c r="E3864" s="2" t="s">
        <v>16</v>
      </c>
      <c r="F3864" s="2">
        <v>60</v>
      </c>
      <c r="G3864" s="2" t="s">
        <v>8851</v>
      </c>
      <c r="H3864" s="2" t="s">
        <v>1915</v>
      </c>
      <c r="I3864" s="2" t="s">
        <v>19</v>
      </c>
      <c r="J3864" s="3">
        <v>44259</v>
      </c>
      <c r="K3864" s="2">
        <v>22</v>
      </c>
      <c r="L3864" s="2" t="s">
        <v>159</v>
      </c>
    </row>
    <row r="3865" spans="1:12" x14ac:dyDescent="0.3">
      <c r="A3865" s="2">
        <v>3854</v>
      </c>
      <c r="B3865" s="2" t="s">
        <v>2523</v>
      </c>
      <c r="C3865" s="2" t="s">
        <v>8852</v>
      </c>
      <c r="D3865" s="2" t="s">
        <v>28</v>
      </c>
      <c r="E3865" s="2" t="s">
        <v>29</v>
      </c>
      <c r="F3865" s="2">
        <v>60</v>
      </c>
      <c r="G3865" s="2" t="s">
        <v>8853</v>
      </c>
      <c r="H3865" s="2" t="s">
        <v>298</v>
      </c>
      <c r="I3865" s="2" t="s">
        <v>25</v>
      </c>
      <c r="J3865" s="3">
        <v>44191</v>
      </c>
      <c r="K3865" s="2">
        <v>32</v>
      </c>
      <c r="L3865" s="2" t="s">
        <v>80</v>
      </c>
    </row>
    <row r="3866" spans="1:12" x14ac:dyDescent="0.3">
      <c r="A3866" s="2">
        <v>3855</v>
      </c>
      <c r="B3866" s="2" t="s">
        <v>7029</v>
      </c>
      <c r="C3866" s="2" t="s">
        <v>4373</v>
      </c>
      <c r="D3866" s="2" t="s">
        <v>28</v>
      </c>
      <c r="E3866" s="2" t="s">
        <v>29</v>
      </c>
      <c r="F3866" s="2">
        <v>90</v>
      </c>
      <c r="G3866" s="2" t="s">
        <v>8854</v>
      </c>
      <c r="H3866" s="2" t="s">
        <v>412</v>
      </c>
      <c r="I3866" s="2" t="s">
        <v>187</v>
      </c>
      <c r="J3866" s="3">
        <v>43894</v>
      </c>
      <c r="K3866" s="2">
        <v>61</v>
      </c>
      <c r="L3866" s="2" t="s">
        <v>159</v>
      </c>
    </row>
    <row r="3867" spans="1:12" x14ac:dyDescent="0.3">
      <c r="A3867" s="2">
        <v>3856</v>
      </c>
      <c r="B3867" s="2" t="s">
        <v>4313</v>
      </c>
      <c r="C3867" s="2" t="s">
        <v>3944</v>
      </c>
      <c r="D3867" s="2" t="s">
        <v>51</v>
      </c>
      <c r="E3867" s="2" t="s">
        <v>16</v>
      </c>
      <c r="F3867" s="2">
        <v>90</v>
      </c>
      <c r="G3867" s="2" t="s">
        <v>8854</v>
      </c>
      <c r="H3867" s="2" t="s">
        <v>6675</v>
      </c>
      <c r="I3867" s="2" t="s">
        <v>32</v>
      </c>
      <c r="J3867" s="3">
        <v>44296</v>
      </c>
      <c r="K3867" s="2">
        <v>19</v>
      </c>
      <c r="L3867" s="2" t="s">
        <v>33</v>
      </c>
    </row>
    <row r="3868" spans="1:12" x14ac:dyDescent="0.3">
      <c r="A3868" s="2">
        <v>3857</v>
      </c>
      <c r="B3868" s="2" t="s">
        <v>8855</v>
      </c>
      <c r="C3868" s="2" t="s">
        <v>7123</v>
      </c>
      <c r="D3868" s="2" t="s">
        <v>51</v>
      </c>
      <c r="E3868" s="2" t="s">
        <v>16</v>
      </c>
      <c r="F3868" s="2">
        <v>60</v>
      </c>
      <c r="G3868" s="2" t="s">
        <v>8856</v>
      </c>
      <c r="H3868" s="2" t="s">
        <v>772</v>
      </c>
      <c r="I3868" s="2" t="s">
        <v>32</v>
      </c>
      <c r="J3868" s="3">
        <v>44329</v>
      </c>
      <c r="K3868" s="2">
        <v>13</v>
      </c>
      <c r="L3868" s="2" t="s">
        <v>33</v>
      </c>
    </row>
    <row r="3869" spans="1:12" x14ac:dyDescent="0.3">
      <c r="A3869" s="2">
        <v>3858</v>
      </c>
      <c r="B3869" s="2" t="s">
        <v>8857</v>
      </c>
      <c r="C3869" s="2" t="s">
        <v>8858</v>
      </c>
      <c r="D3869" s="2" t="s">
        <v>51</v>
      </c>
      <c r="E3869" s="2" t="s">
        <v>16</v>
      </c>
      <c r="F3869" s="2">
        <v>30</v>
      </c>
      <c r="G3869" s="2" t="s">
        <v>8859</v>
      </c>
      <c r="H3869" s="2" t="s">
        <v>4944</v>
      </c>
      <c r="I3869" s="2" t="s">
        <v>839</v>
      </c>
      <c r="J3869" s="3">
        <v>44367</v>
      </c>
      <c r="K3869" s="2">
        <v>21</v>
      </c>
      <c r="L3869" s="2" t="s">
        <v>45</v>
      </c>
    </row>
    <row r="3870" spans="1:12" x14ac:dyDescent="0.3">
      <c r="A3870" s="2">
        <v>3859</v>
      </c>
      <c r="B3870" s="2" t="s">
        <v>8860</v>
      </c>
      <c r="C3870" s="2" t="s">
        <v>8551</v>
      </c>
      <c r="D3870" s="2" t="s">
        <v>15</v>
      </c>
      <c r="E3870" s="2" t="s">
        <v>16</v>
      </c>
      <c r="F3870" s="2">
        <v>60</v>
      </c>
      <c r="G3870" s="2" t="s">
        <v>8861</v>
      </c>
      <c r="H3870" s="2" t="s">
        <v>8862</v>
      </c>
      <c r="I3870" s="2" t="s">
        <v>187</v>
      </c>
      <c r="J3870" s="3">
        <v>43956</v>
      </c>
      <c r="K3870" s="2">
        <v>9</v>
      </c>
      <c r="L3870" s="2" t="s">
        <v>159</v>
      </c>
    </row>
    <row r="3871" spans="1:12" x14ac:dyDescent="0.3">
      <c r="A3871" s="2">
        <v>3860</v>
      </c>
      <c r="B3871" s="2" t="s">
        <v>8863</v>
      </c>
      <c r="C3871" s="2" t="s">
        <v>2197</v>
      </c>
      <c r="D3871" s="2" t="s">
        <v>15</v>
      </c>
      <c r="E3871" s="2" t="s">
        <v>16</v>
      </c>
      <c r="F3871" s="2">
        <v>30</v>
      </c>
      <c r="G3871" s="2" t="s">
        <v>8864</v>
      </c>
      <c r="H3871" s="2" t="s">
        <v>8865</v>
      </c>
      <c r="I3871" s="2" t="s">
        <v>32</v>
      </c>
      <c r="J3871" s="3">
        <v>44420</v>
      </c>
      <c r="K3871" s="2">
        <v>43</v>
      </c>
      <c r="L3871" s="2" t="s">
        <v>33</v>
      </c>
    </row>
    <row r="3872" spans="1:12" x14ac:dyDescent="0.3">
      <c r="A3872" s="2">
        <v>3861</v>
      </c>
      <c r="B3872" s="2" t="s">
        <v>7080</v>
      </c>
      <c r="C3872" s="2" t="s">
        <v>651</v>
      </c>
      <c r="D3872" s="2" t="s">
        <v>51</v>
      </c>
      <c r="E3872" s="2" t="s">
        <v>16</v>
      </c>
      <c r="F3872" s="2">
        <v>30</v>
      </c>
      <c r="G3872" s="2" t="s">
        <v>8866</v>
      </c>
      <c r="H3872" s="2" t="s">
        <v>659</v>
      </c>
      <c r="I3872" s="2" t="s">
        <v>32</v>
      </c>
      <c r="J3872" s="3">
        <v>44872</v>
      </c>
      <c r="K3872" s="2">
        <v>18</v>
      </c>
      <c r="L3872" s="2" t="s">
        <v>54</v>
      </c>
    </row>
    <row r="3873" spans="1:12" x14ac:dyDescent="0.3">
      <c r="A3873" s="2">
        <v>3862</v>
      </c>
      <c r="B3873" s="2" t="s">
        <v>8867</v>
      </c>
      <c r="C3873" s="2" t="s">
        <v>3572</v>
      </c>
      <c r="D3873" s="2" t="s">
        <v>51</v>
      </c>
      <c r="E3873" s="2" t="s">
        <v>16</v>
      </c>
      <c r="F3873" s="2">
        <v>90</v>
      </c>
      <c r="G3873" s="2" t="s">
        <v>8868</v>
      </c>
      <c r="H3873" s="2" t="s">
        <v>1265</v>
      </c>
      <c r="I3873" s="2" t="s">
        <v>32</v>
      </c>
      <c r="J3873" s="3">
        <v>44905</v>
      </c>
      <c r="K3873" s="2">
        <v>95</v>
      </c>
      <c r="L3873" s="2" t="s">
        <v>159</v>
      </c>
    </row>
    <row r="3874" spans="1:12" x14ac:dyDescent="0.3">
      <c r="A3874" s="2">
        <v>3863</v>
      </c>
      <c r="B3874" s="2" t="s">
        <v>921</v>
      </c>
      <c r="C3874" s="2" t="s">
        <v>8869</v>
      </c>
      <c r="D3874" s="2" t="s">
        <v>28</v>
      </c>
      <c r="E3874" s="2" t="s">
        <v>29</v>
      </c>
      <c r="F3874" s="2">
        <v>90</v>
      </c>
      <c r="G3874" s="2" t="s">
        <v>8868</v>
      </c>
      <c r="H3874" s="2" t="s">
        <v>1534</v>
      </c>
      <c r="I3874" s="2" t="s">
        <v>32</v>
      </c>
      <c r="J3874" s="3">
        <v>44680</v>
      </c>
      <c r="K3874" s="2">
        <v>74</v>
      </c>
      <c r="L3874" s="2" t="s">
        <v>101</v>
      </c>
    </row>
    <row r="3875" spans="1:12" x14ac:dyDescent="0.3">
      <c r="A3875" s="2">
        <v>3864</v>
      </c>
      <c r="B3875" s="2" t="s">
        <v>8870</v>
      </c>
      <c r="C3875" s="2" t="s">
        <v>1957</v>
      </c>
      <c r="D3875" s="2" t="s">
        <v>51</v>
      </c>
      <c r="E3875" s="2" t="s">
        <v>16</v>
      </c>
      <c r="F3875" s="2">
        <v>90</v>
      </c>
      <c r="G3875" s="2" t="s">
        <v>8871</v>
      </c>
      <c r="H3875" s="2" t="s">
        <v>2706</v>
      </c>
      <c r="I3875" s="2" t="s">
        <v>294</v>
      </c>
      <c r="J3875" s="3">
        <v>44411</v>
      </c>
      <c r="K3875" s="2">
        <v>60</v>
      </c>
      <c r="L3875" s="2" t="s">
        <v>101</v>
      </c>
    </row>
    <row r="3876" spans="1:12" x14ac:dyDescent="0.3">
      <c r="A3876" s="2">
        <v>3865</v>
      </c>
      <c r="B3876" s="2" t="s">
        <v>8872</v>
      </c>
      <c r="C3876" s="2" t="s">
        <v>4113</v>
      </c>
      <c r="D3876" s="2" t="s">
        <v>15</v>
      </c>
      <c r="E3876" s="2" t="s">
        <v>16</v>
      </c>
      <c r="F3876" s="2">
        <v>30</v>
      </c>
      <c r="G3876" s="2" t="s">
        <v>8873</v>
      </c>
      <c r="H3876" s="2" t="s">
        <v>8874</v>
      </c>
      <c r="I3876" s="2" t="s">
        <v>32</v>
      </c>
      <c r="J3876" s="3">
        <v>44096</v>
      </c>
      <c r="K3876" s="2">
        <v>46</v>
      </c>
      <c r="L3876" s="2" t="s">
        <v>45</v>
      </c>
    </row>
    <row r="3877" spans="1:12" x14ac:dyDescent="0.3">
      <c r="A3877" s="2">
        <v>3866</v>
      </c>
      <c r="B3877" s="2" t="s">
        <v>8875</v>
      </c>
      <c r="C3877" s="2" t="s">
        <v>4828</v>
      </c>
      <c r="D3877" s="2" t="s">
        <v>28</v>
      </c>
      <c r="E3877" s="2" t="s">
        <v>29</v>
      </c>
      <c r="F3877" s="2">
        <v>30</v>
      </c>
      <c r="G3877" s="2" t="s">
        <v>8876</v>
      </c>
      <c r="H3877" s="2" t="s">
        <v>641</v>
      </c>
      <c r="I3877" s="2" t="s">
        <v>294</v>
      </c>
      <c r="J3877" s="3">
        <v>44908</v>
      </c>
      <c r="K3877" s="2">
        <v>55</v>
      </c>
      <c r="L3877" s="2" t="s">
        <v>159</v>
      </c>
    </row>
    <row r="3878" spans="1:12" x14ac:dyDescent="0.3">
      <c r="A3878" s="2">
        <v>3867</v>
      </c>
      <c r="B3878" s="2" t="s">
        <v>7239</v>
      </c>
      <c r="C3878" s="2" t="s">
        <v>76</v>
      </c>
      <c r="D3878" s="2" t="s">
        <v>28</v>
      </c>
      <c r="E3878" s="2" t="s">
        <v>29</v>
      </c>
      <c r="F3878" s="2">
        <v>90</v>
      </c>
      <c r="G3878" s="2" t="s">
        <v>8877</v>
      </c>
      <c r="H3878" s="2" t="s">
        <v>8878</v>
      </c>
      <c r="I3878" s="2" t="s">
        <v>32</v>
      </c>
      <c r="J3878" s="3">
        <v>43992</v>
      </c>
      <c r="K3878" s="2">
        <v>20</v>
      </c>
      <c r="L3878" s="2" t="s">
        <v>54</v>
      </c>
    </row>
    <row r="3879" spans="1:12" x14ac:dyDescent="0.3">
      <c r="A3879" s="2">
        <v>3868</v>
      </c>
      <c r="B3879" s="2" t="s">
        <v>8879</v>
      </c>
      <c r="C3879" s="2" t="s">
        <v>5907</v>
      </c>
      <c r="D3879" s="2" t="s">
        <v>28</v>
      </c>
      <c r="E3879" s="2" t="s">
        <v>29</v>
      </c>
      <c r="F3879" s="2">
        <v>60</v>
      </c>
      <c r="G3879" s="2" t="s">
        <v>8880</v>
      </c>
      <c r="H3879" s="2" t="s">
        <v>1845</v>
      </c>
      <c r="I3879" s="2" t="s">
        <v>294</v>
      </c>
      <c r="J3879" s="3">
        <v>44702</v>
      </c>
      <c r="K3879" s="2">
        <v>7</v>
      </c>
      <c r="L3879" s="2" t="s">
        <v>64</v>
      </c>
    </row>
    <row r="3880" spans="1:12" x14ac:dyDescent="0.3">
      <c r="A3880" s="2">
        <v>3869</v>
      </c>
      <c r="B3880" s="2" t="s">
        <v>4858</v>
      </c>
      <c r="C3880" s="2" t="s">
        <v>295</v>
      </c>
      <c r="D3880" s="2" t="s">
        <v>28</v>
      </c>
      <c r="E3880" s="2" t="s">
        <v>29</v>
      </c>
      <c r="F3880" s="2">
        <v>30</v>
      </c>
      <c r="G3880" s="2" t="s">
        <v>8881</v>
      </c>
      <c r="H3880" s="2" t="s">
        <v>890</v>
      </c>
      <c r="I3880" s="2" t="s">
        <v>178</v>
      </c>
      <c r="J3880" s="3">
        <v>43837</v>
      </c>
      <c r="K3880" s="2">
        <v>15</v>
      </c>
      <c r="L3880" s="2" t="s">
        <v>54</v>
      </c>
    </row>
    <row r="3881" spans="1:12" x14ac:dyDescent="0.3">
      <c r="A3881" s="2">
        <v>3870</v>
      </c>
      <c r="B3881" s="2" t="s">
        <v>1581</v>
      </c>
      <c r="C3881" s="2" t="s">
        <v>6804</v>
      </c>
      <c r="D3881" s="2" t="s">
        <v>28</v>
      </c>
      <c r="E3881" s="2" t="s">
        <v>29</v>
      </c>
      <c r="F3881" s="2">
        <v>30</v>
      </c>
      <c r="G3881" s="2" t="s">
        <v>8882</v>
      </c>
      <c r="H3881" s="2" t="s">
        <v>288</v>
      </c>
      <c r="I3881" s="2" t="s">
        <v>32</v>
      </c>
      <c r="J3881" s="3">
        <v>44205</v>
      </c>
      <c r="K3881" s="2">
        <v>10</v>
      </c>
      <c r="L3881" s="2" t="s">
        <v>80</v>
      </c>
    </row>
    <row r="3882" spans="1:12" x14ac:dyDescent="0.3">
      <c r="A3882" s="2">
        <v>3871</v>
      </c>
      <c r="B3882" s="2" t="s">
        <v>312</v>
      </c>
      <c r="C3882" s="2" t="s">
        <v>2301</v>
      </c>
      <c r="D3882" s="2" t="s">
        <v>15</v>
      </c>
      <c r="E3882" s="2" t="s">
        <v>16</v>
      </c>
      <c r="F3882" s="2">
        <v>90</v>
      </c>
      <c r="G3882" s="2" t="s">
        <v>8883</v>
      </c>
      <c r="H3882" s="2" t="s">
        <v>3882</v>
      </c>
      <c r="I3882" s="2" t="s">
        <v>38</v>
      </c>
      <c r="J3882" s="3">
        <v>44677</v>
      </c>
      <c r="K3882" s="2">
        <v>5</v>
      </c>
      <c r="L3882" s="2" t="s">
        <v>33</v>
      </c>
    </row>
    <row r="3883" spans="1:12" x14ac:dyDescent="0.3">
      <c r="A3883" s="2">
        <v>3872</v>
      </c>
      <c r="B3883" s="2" t="s">
        <v>1591</v>
      </c>
      <c r="C3883" s="2" t="s">
        <v>3090</v>
      </c>
      <c r="D3883" s="2" t="s">
        <v>28</v>
      </c>
      <c r="E3883" s="2" t="s">
        <v>29</v>
      </c>
      <c r="F3883" s="2">
        <v>30</v>
      </c>
      <c r="G3883" s="2" t="s">
        <v>8884</v>
      </c>
      <c r="H3883" s="2" t="s">
        <v>3245</v>
      </c>
      <c r="I3883" s="2" t="s">
        <v>32</v>
      </c>
      <c r="J3883" s="3">
        <v>44019</v>
      </c>
      <c r="K3883" s="2">
        <v>53</v>
      </c>
      <c r="L3883" s="2" t="s">
        <v>39</v>
      </c>
    </row>
    <row r="3884" spans="1:12" x14ac:dyDescent="0.3">
      <c r="A3884" s="2">
        <v>3873</v>
      </c>
      <c r="B3884" s="2" t="s">
        <v>4647</v>
      </c>
      <c r="C3884" s="2" t="s">
        <v>2279</v>
      </c>
      <c r="D3884" s="2" t="s">
        <v>28</v>
      </c>
      <c r="E3884" s="2" t="s">
        <v>29</v>
      </c>
      <c r="F3884" s="2">
        <v>60</v>
      </c>
      <c r="G3884" s="2" t="s">
        <v>8885</v>
      </c>
      <c r="H3884" s="2" t="s">
        <v>8886</v>
      </c>
      <c r="I3884" s="2" t="s">
        <v>1311</v>
      </c>
      <c r="J3884" s="3">
        <v>44606</v>
      </c>
      <c r="K3884" s="2">
        <v>88</v>
      </c>
      <c r="L3884" s="2" t="s">
        <v>54</v>
      </c>
    </row>
    <row r="3885" spans="1:12" x14ac:dyDescent="0.3">
      <c r="A3885" s="2">
        <v>3874</v>
      </c>
      <c r="B3885" s="2" t="s">
        <v>7018</v>
      </c>
      <c r="C3885" s="2" t="s">
        <v>8887</v>
      </c>
      <c r="D3885" s="2" t="s">
        <v>15</v>
      </c>
      <c r="E3885" s="2" t="s">
        <v>16</v>
      </c>
      <c r="F3885" s="2">
        <v>30</v>
      </c>
      <c r="G3885" s="2" t="s">
        <v>8888</v>
      </c>
      <c r="H3885" s="2" t="s">
        <v>927</v>
      </c>
      <c r="I3885" s="2" t="s">
        <v>129</v>
      </c>
      <c r="J3885" s="3">
        <v>44871</v>
      </c>
      <c r="K3885" s="2">
        <v>86</v>
      </c>
      <c r="L3885" s="2" t="s">
        <v>101</v>
      </c>
    </row>
    <row r="3886" spans="1:12" x14ac:dyDescent="0.3">
      <c r="A3886" s="2">
        <v>3875</v>
      </c>
      <c r="B3886" s="2" t="s">
        <v>7011</v>
      </c>
      <c r="C3886" s="2" t="s">
        <v>8236</v>
      </c>
      <c r="D3886" s="2" t="s">
        <v>15</v>
      </c>
      <c r="E3886" s="2" t="s">
        <v>16</v>
      </c>
      <c r="F3886" s="2">
        <v>90</v>
      </c>
      <c r="G3886" s="2" t="s">
        <v>8889</v>
      </c>
      <c r="H3886" s="2" t="s">
        <v>1708</v>
      </c>
      <c r="I3886" s="2" t="s">
        <v>124</v>
      </c>
      <c r="J3886" s="3">
        <v>44464</v>
      </c>
      <c r="K3886" s="2">
        <v>18</v>
      </c>
      <c r="L3886" s="2" t="s">
        <v>64</v>
      </c>
    </row>
    <row r="3887" spans="1:12" x14ac:dyDescent="0.3">
      <c r="A3887" s="2">
        <v>3876</v>
      </c>
      <c r="B3887" s="2" t="s">
        <v>3195</v>
      </c>
      <c r="C3887" s="2" t="s">
        <v>1465</v>
      </c>
      <c r="D3887" s="2" t="s">
        <v>15</v>
      </c>
      <c r="E3887" s="2" t="s">
        <v>16</v>
      </c>
      <c r="F3887" s="2">
        <v>30</v>
      </c>
      <c r="G3887" s="2" t="s">
        <v>8890</v>
      </c>
      <c r="H3887" s="2" t="s">
        <v>1486</v>
      </c>
      <c r="I3887" s="2" t="s">
        <v>32</v>
      </c>
      <c r="J3887" s="3">
        <v>44265</v>
      </c>
      <c r="K3887" s="2">
        <v>42</v>
      </c>
      <c r="L3887" s="2" t="s">
        <v>101</v>
      </c>
    </row>
    <row r="3888" spans="1:12" x14ac:dyDescent="0.3">
      <c r="A3888" s="2">
        <v>3877</v>
      </c>
      <c r="B3888" s="2" t="s">
        <v>8891</v>
      </c>
      <c r="C3888" s="2" t="s">
        <v>3419</v>
      </c>
      <c r="D3888" s="2" t="s">
        <v>51</v>
      </c>
      <c r="E3888" s="2" t="s">
        <v>16</v>
      </c>
      <c r="F3888" s="2">
        <v>30</v>
      </c>
      <c r="G3888" s="2" t="s">
        <v>8892</v>
      </c>
      <c r="H3888" s="2" t="s">
        <v>1827</v>
      </c>
      <c r="I3888" s="2" t="s">
        <v>25</v>
      </c>
      <c r="J3888" s="3">
        <v>44849</v>
      </c>
      <c r="K3888" s="2">
        <v>56</v>
      </c>
      <c r="L3888" s="2" t="s">
        <v>80</v>
      </c>
    </row>
    <row r="3889" spans="1:12" x14ac:dyDescent="0.3">
      <c r="A3889" s="2">
        <v>3878</v>
      </c>
      <c r="B3889" s="2" t="s">
        <v>1010</v>
      </c>
      <c r="C3889" s="2" t="s">
        <v>6447</v>
      </c>
      <c r="D3889" s="2" t="s">
        <v>28</v>
      </c>
      <c r="E3889" s="2" t="s">
        <v>29</v>
      </c>
      <c r="F3889" s="2">
        <v>60</v>
      </c>
      <c r="G3889" s="2" t="s">
        <v>8893</v>
      </c>
      <c r="H3889" s="2" t="s">
        <v>1969</v>
      </c>
      <c r="I3889" s="2" t="s">
        <v>32</v>
      </c>
      <c r="J3889" s="3">
        <v>44101</v>
      </c>
      <c r="K3889" s="2">
        <v>26</v>
      </c>
      <c r="L3889" s="2" t="s">
        <v>64</v>
      </c>
    </row>
    <row r="3890" spans="1:12" x14ac:dyDescent="0.3">
      <c r="A3890" s="2">
        <v>3879</v>
      </c>
      <c r="B3890" s="2" t="s">
        <v>6845</v>
      </c>
      <c r="C3890" s="2" t="s">
        <v>8514</v>
      </c>
      <c r="D3890" s="2" t="s">
        <v>51</v>
      </c>
      <c r="E3890" s="2" t="s">
        <v>16</v>
      </c>
      <c r="F3890" s="2">
        <v>90</v>
      </c>
      <c r="G3890" s="2" t="s">
        <v>8894</v>
      </c>
      <c r="H3890" s="2" t="s">
        <v>4034</v>
      </c>
      <c r="I3890" s="2" t="s">
        <v>178</v>
      </c>
      <c r="J3890" s="3">
        <v>44051</v>
      </c>
      <c r="K3890" s="2">
        <v>54</v>
      </c>
      <c r="L3890" s="2" t="s">
        <v>45</v>
      </c>
    </row>
    <row r="3891" spans="1:12" x14ac:dyDescent="0.3">
      <c r="A3891" s="2">
        <v>3880</v>
      </c>
      <c r="B3891" s="2" t="s">
        <v>6328</v>
      </c>
      <c r="C3891" s="2" t="s">
        <v>8685</v>
      </c>
      <c r="D3891" s="2" t="s">
        <v>28</v>
      </c>
      <c r="E3891" s="2" t="s">
        <v>29</v>
      </c>
      <c r="F3891" s="2">
        <v>90</v>
      </c>
      <c r="G3891" s="2" t="s">
        <v>8895</v>
      </c>
      <c r="H3891" s="2" t="s">
        <v>2875</v>
      </c>
      <c r="I3891" s="2" t="s">
        <v>32</v>
      </c>
      <c r="J3891" s="3">
        <v>43886</v>
      </c>
      <c r="K3891" s="2">
        <v>37</v>
      </c>
      <c r="L3891" s="2" t="s">
        <v>70</v>
      </c>
    </row>
    <row r="3892" spans="1:12" x14ac:dyDescent="0.3">
      <c r="A3892" s="2">
        <v>3881</v>
      </c>
      <c r="B3892" s="2" t="s">
        <v>1158</v>
      </c>
      <c r="C3892" s="2" t="s">
        <v>8896</v>
      </c>
      <c r="D3892" s="2" t="s">
        <v>28</v>
      </c>
      <c r="E3892" s="2" t="s">
        <v>29</v>
      </c>
      <c r="F3892" s="2">
        <v>60</v>
      </c>
      <c r="G3892" s="2" t="s">
        <v>8897</v>
      </c>
      <c r="H3892" s="2" t="s">
        <v>3157</v>
      </c>
      <c r="I3892" s="2" t="s">
        <v>32</v>
      </c>
      <c r="J3892" s="3">
        <v>44863</v>
      </c>
      <c r="K3892" s="2">
        <v>38</v>
      </c>
      <c r="L3892" s="2" t="s">
        <v>64</v>
      </c>
    </row>
    <row r="3893" spans="1:12" x14ac:dyDescent="0.3">
      <c r="A3893" s="2">
        <v>3882</v>
      </c>
      <c r="B3893" s="2" t="s">
        <v>1758</v>
      </c>
      <c r="C3893" s="2" t="s">
        <v>4994</v>
      </c>
      <c r="D3893" s="2" t="s">
        <v>15</v>
      </c>
      <c r="E3893" s="2" t="s">
        <v>16</v>
      </c>
      <c r="F3893" s="2">
        <v>30</v>
      </c>
      <c r="G3893" s="2" t="s">
        <v>8898</v>
      </c>
      <c r="H3893" s="2" t="s">
        <v>3666</v>
      </c>
      <c r="I3893" s="2" t="s">
        <v>1483</v>
      </c>
      <c r="J3893" s="3">
        <v>44068</v>
      </c>
      <c r="K3893" s="2">
        <v>17</v>
      </c>
      <c r="L3893" s="2" t="s">
        <v>70</v>
      </c>
    </row>
    <row r="3894" spans="1:12" x14ac:dyDescent="0.3">
      <c r="A3894" s="2">
        <v>3883</v>
      </c>
      <c r="B3894" s="2" t="s">
        <v>8899</v>
      </c>
      <c r="C3894" s="2" t="s">
        <v>1058</v>
      </c>
      <c r="D3894" s="2" t="s">
        <v>15</v>
      </c>
      <c r="E3894" s="2" t="s">
        <v>16</v>
      </c>
      <c r="F3894" s="2">
        <v>60</v>
      </c>
      <c r="G3894" s="2" t="s">
        <v>8900</v>
      </c>
      <c r="H3894" s="2" t="s">
        <v>1674</v>
      </c>
      <c r="I3894" s="2" t="s">
        <v>25</v>
      </c>
      <c r="J3894" s="3">
        <v>44669</v>
      </c>
      <c r="K3894" s="2">
        <v>18</v>
      </c>
      <c r="L3894" s="2" t="s">
        <v>80</v>
      </c>
    </row>
    <row r="3895" spans="1:12" x14ac:dyDescent="0.3">
      <c r="A3895" s="2">
        <v>3884</v>
      </c>
      <c r="B3895" s="2" t="s">
        <v>6540</v>
      </c>
      <c r="C3895" s="2" t="s">
        <v>358</v>
      </c>
      <c r="D3895" s="2" t="s">
        <v>28</v>
      </c>
      <c r="E3895" s="2" t="s">
        <v>29</v>
      </c>
      <c r="F3895" s="2">
        <v>90</v>
      </c>
      <c r="G3895" s="2" t="s">
        <v>8901</v>
      </c>
      <c r="H3895" s="2" t="s">
        <v>5974</v>
      </c>
      <c r="I3895" s="2" t="s">
        <v>19</v>
      </c>
      <c r="J3895" s="3">
        <v>44240</v>
      </c>
      <c r="K3895" s="2">
        <v>94</v>
      </c>
      <c r="L3895" s="2" t="s">
        <v>101</v>
      </c>
    </row>
    <row r="3896" spans="1:12" x14ac:dyDescent="0.3">
      <c r="A3896" s="2">
        <v>3885</v>
      </c>
      <c r="B3896" s="2" t="s">
        <v>6624</v>
      </c>
      <c r="C3896" s="2" t="s">
        <v>403</v>
      </c>
      <c r="D3896" s="2" t="s">
        <v>51</v>
      </c>
      <c r="E3896" s="2" t="s">
        <v>16</v>
      </c>
      <c r="F3896" s="2">
        <v>90</v>
      </c>
      <c r="G3896" s="2" t="s">
        <v>8901</v>
      </c>
      <c r="H3896" s="2" t="s">
        <v>526</v>
      </c>
      <c r="I3896" s="2" t="s">
        <v>32</v>
      </c>
      <c r="J3896" s="3">
        <v>44210</v>
      </c>
      <c r="K3896" s="2">
        <v>47</v>
      </c>
      <c r="L3896" s="2" t="s">
        <v>39</v>
      </c>
    </row>
    <row r="3897" spans="1:12" x14ac:dyDescent="0.3">
      <c r="A3897" s="2">
        <v>3886</v>
      </c>
      <c r="B3897" s="2" t="s">
        <v>4368</v>
      </c>
      <c r="C3897" s="2" t="s">
        <v>4469</v>
      </c>
      <c r="D3897" s="2" t="s">
        <v>117</v>
      </c>
      <c r="E3897" s="2" t="s">
        <v>29</v>
      </c>
      <c r="F3897" s="2">
        <v>60</v>
      </c>
      <c r="G3897" s="2" t="s">
        <v>8902</v>
      </c>
      <c r="H3897" s="2" t="s">
        <v>7642</v>
      </c>
      <c r="I3897" s="2" t="s">
        <v>32</v>
      </c>
      <c r="J3897" s="3">
        <v>44363</v>
      </c>
      <c r="K3897" s="2">
        <v>94</v>
      </c>
      <c r="L3897" s="2" t="s">
        <v>101</v>
      </c>
    </row>
    <row r="3898" spans="1:12" x14ac:dyDescent="0.3">
      <c r="A3898" s="2">
        <v>3887</v>
      </c>
      <c r="B3898" s="2" t="s">
        <v>1229</v>
      </c>
      <c r="C3898" s="2" t="s">
        <v>4143</v>
      </c>
      <c r="D3898" s="2" t="s">
        <v>28</v>
      </c>
      <c r="E3898" s="2" t="s">
        <v>29</v>
      </c>
      <c r="F3898" s="2">
        <v>60</v>
      </c>
      <c r="G3898" s="2" t="s">
        <v>8903</v>
      </c>
      <c r="H3898" s="2" t="s">
        <v>7763</v>
      </c>
      <c r="I3898" s="2" t="s">
        <v>129</v>
      </c>
      <c r="J3898" s="3">
        <v>44782</v>
      </c>
      <c r="K3898" s="2">
        <v>56</v>
      </c>
      <c r="L3898" s="2" t="s">
        <v>64</v>
      </c>
    </row>
    <row r="3899" spans="1:12" x14ac:dyDescent="0.3">
      <c r="A3899" s="2">
        <v>3888</v>
      </c>
      <c r="B3899" s="2" t="s">
        <v>5789</v>
      </c>
      <c r="C3899" s="2" t="s">
        <v>4994</v>
      </c>
      <c r="D3899" s="2" t="s">
        <v>28</v>
      </c>
      <c r="E3899" s="2" t="s">
        <v>29</v>
      </c>
      <c r="F3899" s="2">
        <v>90</v>
      </c>
      <c r="G3899" s="2" t="s">
        <v>8904</v>
      </c>
      <c r="H3899" s="2" t="s">
        <v>7008</v>
      </c>
      <c r="I3899" s="2" t="s">
        <v>25</v>
      </c>
      <c r="J3899" s="3">
        <v>44881</v>
      </c>
      <c r="K3899" s="2">
        <v>7</v>
      </c>
      <c r="L3899" s="2" t="s">
        <v>45</v>
      </c>
    </row>
    <row r="3900" spans="1:12" x14ac:dyDescent="0.3">
      <c r="A3900" s="2">
        <v>3889</v>
      </c>
      <c r="B3900" s="2" t="s">
        <v>3537</v>
      </c>
      <c r="C3900" s="2" t="s">
        <v>7138</v>
      </c>
      <c r="D3900" s="2" t="s">
        <v>15</v>
      </c>
      <c r="E3900" s="2" t="s">
        <v>16</v>
      </c>
      <c r="F3900" s="2">
        <v>60</v>
      </c>
      <c r="G3900" s="2" t="s">
        <v>8905</v>
      </c>
      <c r="H3900" s="2" t="s">
        <v>8906</v>
      </c>
      <c r="I3900" s="2" t="s">
        <v>240</v>
      </c>
      <c r="J3900" s="3">
        <v>43994</v>
      </c>
      <c r="K3900" s="2">
        <v>3</v>
      </c>
      <c r="L3900" s="2" t="s">
        <v>64</v>
      </c>
    </row>
    <row r="3901" spans="1:12" x14ac:dyDescent="0.3">
      <c r="A3901" s="2">
        <v>3890</v>
      </c>
      <c r="B3901" s="2" t="s">
        <v>8908</v>
      </c>
      <c r="C3901" s="2" t="s">
        <v>481</v>
      </c>
      <c r="D3901" s="2" t="s">
        <v>15</v>
      </c>
      <c r="E3901" s="2" t="s">
        <v>16</v>
      </c>
      <c r="F3901" s="2">
        <v>30</v>
      </c>
      <c r="G3901" s="2" t="s">
        <v>8909</v>
      </c>
      <c r="H3901" s="2" t="s">
        <v>917</v>
      </c>
      <c r="I3901" s="2" t="s">
        <v>32</v>
      </c>
      <c r="J3901" s="3">
        <v>44645</v>
      </c>
      <c r="K3901" s="2">
        <v>6</v>
      </c>
      <c r="L3901" s="2" t="s">
        <v>45</v>
      </c>
    </row>
    <row r="3902" spans="1:12" x14ac:dyDescent="0.3">
      <c r="A3902" s="2">
        <v>3891</v>
      </c>
      <c r="B3902" s="2" t="s">
        <v>8910</v>
      </c>
      <c r="C3902" s="2" t="s">
        <v>2773</v>
      </c>
      <c r="D3902" s="2" t="s">
        <v>15</v>
      </c>
      <c r="E3902" s="2" t="s">
        <v>16</v>
      </c>
      <c r="F3902" s="2">
        <v>60</v>
      </c>
      <c r="G3902" s="2" t="s">
        <v>8909</v>
      </c>
      <c r="H3902" s="2" t="s">
        <v>6826</v>
      </c>
      <c r="I3902" s="2" t="s">
        <v>32</v>
      </c>
      <c r="J3902" s="3">
        <v>44437</v>
      </c>
      <c r="K3902" s="2">
        <v>68</v>
      </c>
      <c r="L3902" s="2" t="s">
        <v>101</v>
      </c>
    </row>
    <row r="3903" spans="1:12" x14ac:dyDescent="0.3">
      <c r="A3903" s="2">
        <v>3892</v>
      </c>
      <c r="B3903" s="2" t="s">
        <v>8911</v>
      </c>
      <c r="C3903" s="2" t="s">
        <v>7226</v>
      </c>
      <c r="D3903" s="2" t="s">
        <v>28</v>
      </c>
      <c r="E3903" s="2" t="s">
        <v>29</v>
      </c>
      <c r="F3903" s="2">
        <v>30</v>
      </c>
      <c r="G3903" s="2" t="s">
        <v>8912</v>
      </c>
      <c r="H3903" s="2" t="s">
        <v>2380</v>
      </c>
      <c r="I3903" s="2" t="s">
        <v>173</v>
      </c>
      <c r="J3903" s="3">
        <v>44302</v>
      </c>
      <c r="K3903" s="2">
        <v>3</v>
      </c>
      <c r="L3903" s="2" t="s">
        <v>64</v>
      </c>
    </row>
    <row r="3904" spans="1:12" x14ac:dyDescent="0.3">
      <c r="A3904" s="2">
        <v>3893</v>
      </c>
      <c r="B3904" s="2" t="s">
        <v>1985</v>
      </c>
      <c r="C3904" s="2" t="s">
        <v>8913</v>
      </c>
      <c r="D3904" s="2" t="s">
        <v>28</v>
      </c>
      <c r="E3904" s="2" t="s">
        <v>29</v>
      </c>
      <c r="F3904" s="2">
        <v>60</v>
      </c>
      <c r="G3904" s="2" t="s">
        <v>8912</v>
      </c>
      <c r="H3904" s="2" t="s">
        <v>408</v>
      </c>
      <c r="I3904" s="2" t="s">
        <v>25</v>
      </c>
      <c r="J3904" s="3">
        <v>44038</v>
      </c>
      <c r="K3904" s="2">
        <v>78</v>
      </c>
      <c r="L3904" s="2" t="s">
        <v>101</v>
      </c>
    </row>
    <row r="3905" spans="1:12" x14ac:dyDescent="0.3">
      <c r="A3905" s="2">
        <v>3894</v>
      </c>
      <c r="B3905" s="2" t="s">
        <v>8914</v>
      </c>
      <c r="C3905" s="2" t="s">
        <v>8915</v>
      </c>
      <c r="D3905" s="2" t="s">
        <v>51</v>
      </c>
      <c r="E3905" s="2" t="s">
        <v>16</v>
      </c>
      <c r="F3905" s="2">
        <v>90</v>
      </c>
      <c r="G3905" s="2" t="s">
        <v>8916</v>
      </c>
      <c r="H3905" s="2" t="s">
        <v>6736</v>
      </c>
      <c r="I3905" s="2" t="s">
        <v>32</v>
      </c>
      <c r="J3905" s="3">
        <v>44116</v>
      </c>
      <c r="K3905" s="2">
        <v>77</v>
      </c>
      <c r="L3905" s="2" t="s">
        <v>159</v>
      </c>
    </row>
    <row r="3906" spans="1:12" x14ac:dyDescent="0.3">
      <c r="A3906" s="2">
        <v>3895</v>
      </c>
      <c r="B3906" s="2" t="s">
        <v>2650</v>
      </c>
      <c r="C3906" s="2" t="s">
        <v>8917</v>
      </c>
      <c r="D3906" s="2" t="s">
        <v>28</v>
      </c>
      <c r="E3906" s="2" t="s">
        <v>29</v>
      </c>
      <c r="F3906" s="2">
        <v>90</v>
      </c>
      <c r="G3906" s="2" t="s">
        <v>8918</v>
      </c>
      <c r="H3906" s="2" t="s">
        <v>2163</v>
      </c>
      <c r="I3906" s="2" t="s">
        <v>1824</v>
      </c>
      <c r="J3906" s="3">
        <v>44012</v>
      </c>
      <c r="K3906" s="2">
        <v>45</v>
      </c>
      <c r="L3906" s="2" t="s">
        <v>39</v>
      </c>
    </row>
    <row r="3907" spans="1:12" x14ac:dyDescent="0.3">
      <c r="A3907" s="2">
        <v>3896</v>
      </c>
      <c r="B3907" s="2" t="s">
        <v>8919</v>
      </c>
      <c r="C3907" s="2" t="s">
        <v>7485</v>
      </c>
      <c r="D3907" s="2" t="s">
        <v>15</v>
      </c>
      <c r="E3907" s="2" t="s">
        <v>16</v>
      </c>
      <c r="F3907" s="2">
        <v>60</v>
      </c>
      <c r="G3907" s="2" t="s">
        <v>8920</v>
      </c>
      <c r="H3907" s="2" t="s">
        <v>6787</v>
      </c>
      <c r="I3907" s="2" t="s">
        <v>1035</v>
      </c>
      <c r="J3907" s="3">
        <v>44063</v>
      </c>
      <c r="K3907" s="2">
        <v>59</v>
      </c>
      <c r="L3907" s="2" t="s">
        <v>33</v>
      </c>
    </row>
    <row r="3908" spans="1:12" x14ac:dyDescent="0.3">
      <c r="A3908" s="2">
        <v>3897</v>
      </c>
      <c r="B3908" s="2" t="s">
        <v>5559</v>
      </c>
      <c r="C3908" s="2" t="s">
        <v>3269</v>
      </c>
      <c r="D3908" s="2" t="s">
        <v>28</v>
      </c>
      <c r="E3908" s="2" t="s">
        <v>29</v>
      </c>
      <c r="F3908" s="2">
        <v>60</v>
      </c>
      <c r="G3908" s="2" t="s">
        <v>10568</v>
      </c>
      <c r="H3908" s="2" t="s">
        <v>4077</v>
      </c>
      <c r="I3908" s="2" t="s">
        <v>554</v>
      </c>
      <c r="J3908" s="3">
        <v>43902</v>
      </c>
      <c r="K3908" s="2">
        <v>11</v>
      </c>
      <c r="L3908" s="2" t="s">
        <v>80</v>
      </c>
    </row>
    <row r="3909" spans="1:12" x14ac:dyDescent="0.3">
      <c r="A3909" s="2">
        <v>3898</v>
      </c>
      <c r="B3909" s="2" t="s">
        <v>3696</v>
      </c>
      <c r="C3909" s="2" t="s">
        <v>7149</v>
      </c>
      <c r="D3909" s="2" t="s">
        <v>41</v>
      </c>
      <c r="E3909" s="2" t="s">
        <v>16</v>
      </c>
      <c r="F3909" s="2">
        <v>30</v>
      </c>
      <c r="G3909" s="2" t="s">
        <v>8922</v>
      </c>
      <c r="H3909" s="2" t="s">
        <v>917</v>
      </c>
      <c r="I3909" s="2" t="s">
        <v>32</v>
      </c>
      <c r="J3909" s="3">
        <v>44903</v>
      </c>
      <c r="K3909" s="2">
        <v>73</v>
      </c>
      <c r="L3909" s="2" t="s">
        <v>39</v>
      </c>
    </row>
    <row r="3910" spans="1:12" x14ac:dyDescent="0.3">
      <c r="A3910" s="2">
        <v>3899</v>
      </c>
      <c r="B3910" s="2" t="s">
        <v>8923</v>
      </c>
      <c r="C3910" s="2" t="s">
        <v>1765</v>
      </c>
      <c r="D3910" s="2" t="s">
        <v>51</v>
      </c>
      <c r="E3910" s="2" t="s">
        <v>16</v>
      </c>
      <c r="F3910" s="2">
        <v>90</v>
      </c>
      <c r="G3910" s="2" t="s">
        <v>8924</v>
      </c>
      <c r="H3910" s="2" t="s">
        <v>2893</v>
      </c>
      <c r="I3910" s="2" t="s">
        <v>32</v>
      </c>
      <c r="J3910" s="3">
        <v>44785</v>
      </c>
      <c r="K3910" s="2">
        <v>46</v>
      </c>
      <c r="L3910" s="2" t="s">
        <v>80</v>
      </c>
    </row>
    <row r="3911" spans="1:12" x14ac:dyDescent="0.3">
      <c r="A3911" s="2">
        <v>3900</v>
      </c>
      <c r="B3911" s="2" t="s">
        <v>4460</v>
      </c>
      <c r="C3911" s="2" t="s">
        <v>391</v>
      </c>
      <c r="D3911" s="2" t="s">
        <v>28</v>
      </c>
      <c r="E3911" s="2" t="s">
        <v>29</v>
      </c>
      <c r="F3911" s="2">
        <v>30</v>
      </c>
      <c r="G3911" s="2" t="s">
        <v>8925</v>
      </c>
      <c r="H3911" s="2" t="s">
        <v>1272</v>
      </c>
      <c r="I3911" s="2" t="s">
        <v>59</v>
      </c>
      <c r="J3911" s="3">
        <v>44213</v>
      </c>
      <c r="K3911" s="2">
        <v>16</v>
      </c>
      <c r="L3911" s="2" t="s">
        <v>70</v>
      </c>
    </row>
    <row r="3912" spans="1:12" x14ac:dyDescent="0.3">
      <c r="A3912" s="2">
        <v>3901</v>
      </c>
      <c r="B3912" s="2" t="s">
        <v>8926</v>
      </c>
      <c r="C3912" s="2" t="s">
        <v>1813</v>
      </c>
      <c r="D3912" s="2" t="s">
        <v>51</v>
      </c>
      <c r="E3912" s="2" t="s">
        <v>16</v>
      </c>
      <c r="F3912" s="2">
        <v>60</v>
      </c>
      <c r="G3912" s="2" t="s">
        <v>8925</v>
      </c>
      <c r="H3912" s="2" t="s">
        <v>2076</v>
      </c>
      <c r="I3912" s="2" t="s">
        <v>2077</v>
      </c>
      <c r="J3912" s="3">
        <v>44241</v>
      </c>
      <c r="K3912" s="2">
        <v>11</v>
      </c>
      <c r="L3912" s="2" t="s">
        <v>70</v>
      </c>
    </row>
    <row r="3913" spans="1:12" x14ac:dyDescent="0.3">
      <c r="A3913" s="2">
        <v>3902</v>
      </c>
      <c r="B3913" s="2" t="s">
        <v>7734</v>
      </c>
      <c r="C3913" s="2" t="s">
        <v>8134</v>
      </c>
      <c r="D3913" s="2" t="s">
        <v>15</v>
      </c>
      <c r="E3913" s="2" t="s">
        <v>16</v>
      </c>
      <c r="F3913" s="2">
        <v>90</v>
      </c>
      <c r="G3913" s="2" t="s">
        <v>8927</v>
      </c>
      <c r="H3913" s="2" t="s">
        <v>2831</v>
      </c>
      <c r="I3913" s="2" t="s">
        <v>32</v>
      </c>
      <c r="J3913" s="3">
        <v>44340</v>
      </c>
      <c r="K3913" s="2">
        <v>72</v>
      </c>
      <c r="L3913" s="2" t="s">
        <v>33</v>
      </c>
    </row>
    <row r="3914" spans="1:12" x14ac:dyDescent="0.3">
      <c r="A3914" s="2">
        <v>3903</v>
      </c>
      <c r="B3914" s="2" t="s">
        <v>7896</v>
      </c>
      <c r="C3914" s="2" t="s">
        <v>2480</v>
      </c>
      <c r="D3914" s="2" t="s">
        <v>92</v>
      </c>
      <c r="E3914" s="2" t="s">
        <v>16</v>
      </c>
      <c r="F3914" s="2">
        <v>30</v>
      </c>
      <c r="G3914" s="2" t="s">
        <v>8928</v>
      </c>
      <c r="H3914" s="2" t="s">
        <v>7689</v>
      </c>
      <c r="I3914" s="2" t="s">
        <v>38</v>
      </c>
      <c r="J3914" s="3">
        <v>44752</v>
      </c>
      <c r="K3914" s="2">
        <v>41</v>
      </c>
      <c r="L3914" s="2" t="s">
        <v>39</v>
      </c>
    </row>
    <row r="3915" spans="1:12" x14ac:dyDescent="0.3">
      <c r="A3915" s="2">
        <v>3904</v>
      </c>
      <c r="B3915" s="2" t="s">
        <v>8929</v>
      </c>
      <c r="C3915" s="2" t="s">
        <v>2125</v>
      </c>
      <c r="D3915" s="2" t="s">
        <v>51</v>
      </c>
      <c r="E3915" s="2" t="s">
        <v>16</v>
      </c>
      <c r="F3915" s="2">
        <v>60</v>
      </c>
      <c r="G3915" s="2" t="s">
        <v>8930</v>
      </c>
      <c r="H3915" s="2" t="s">
        <v>270</v>
      </c>
      <c r="I3915" s="2" t="s">
        <v>187</v>
      </c>
      <c r="J3915" s="3">
        <v>43961</v>
      </c>
      <c r="K3915" s="2">
        <v>23</v>
      </c>
      <c r="L3915" s="2" t="s">
        <v>39</v>
      </c>
    </row>
    <row r="3916" spans="1:12" x14ac:dyDescent="0.3">
      <c r="A3916" s="2">
        <v>3905</v>
      </c>
      <c r="B3916" s="2" t="s">
        <v>7006</v>
      </c>
      <c r="C3916" s="2" t="s">
        <v>328</v>
      </c>
      <c r="D3916" s="2" t="s">
        <v>28</v>
      </c>
      <c r="E3916" s="2" t="s">
        <v>29</v>
      </c>
      <c r="F3916" s="2">
        <v>90</v>
      </c>
      <c r="G3916" s="2" t="s">
        <v>8931</v>
      </c>
      <c r="H3916" s="2" t="s">
        <v>5778</v>
      </c>
      <c r="I3916" s="2" t="s">
        <v>1311</v>
      </c>
      <c r="J3916" s="3">
        <v>43932</v>
      </c>
      <c r="K3916" s="2">
        <v>7</v>
      </c>
      <c r="L3916" s="2" t="s">
        <v>39</v>
      </c>
    </row>
    <row r="3917" spans="1:12" x14ac:dyDescent="0.3">
      <c r="A3917" s="2">
        <v>3906</v>
      </c>
      <c r="B3917" s="2" t="s">
        <v>8932</v>
      </c>
      <c r="C3917" s="2" t="s">
        <v>4324</v>
      </c>
      <c r="D3917" s="2" t="s">
        <v>15</v>
      </c>
      <c r="E3917" s="2" t="s">
        <v>16</v>
      </c>
      <c r="F3917" s="2">
        <v>30</v>
      </c>
      <c r="G3917" s="2" t="s">
        <v>8933</v>
      </c>
      <c r="H3917" s="2" t="s">
        <v>8019</v>
      </c>
      <c r="I3917" s="2" t="s">
        <v>32</v>
      </c>
      <c r="J3917" s="3">
        <v>44037</v>
      </c>
      <c r="K3917" s="2">
        <v>76</v>
      </c>
      <c r="L3917" s="2" t="s">
        <v>33</v>
      </c>
    </row>
    <row r="3918" spans="1:12" x14ac:dyDescent="0.3">
      <c r="A3918" s="2">
        <v>3907</v>
      </c>
      <c r="B3918" s="2" t="s">
        <v>8934</v>
      </c>
      <c r="C3918" s="2" t="s">
        <v>34</v>
      </c>
      <c r="D3918" s="2" t="s">
        <v>51</v>
      </c>
      <c r="E3918" s="2" t="s">
        <v>16</v>
      </c>
      <c r="F3918" s="2">
        <v>60</v>
      </c>
      <c r="G3918" s="2" t="s">
        <v>8935</v>
      </c>
      <c r="H3918" s="2" t="s">
        <v>4678</v>
      </c>
      <c r="I3918" s="2" t="s">
        <v>886</v>
      </c>
      <c r="J3918" s="3">
        <v>44838</v>
      </c>
      <c r="K3918" s="2">
        <v>12</v>
      </c>
      <c r="L3918" s="2" t="s">
        <v>20</v>
      </c>
    </row>
    <row r="3919" spans="1:12" x14ac:dyDescent="0.3">
      <c r="A3919" s="2">
        <v>3908</v>
      </c>
      <c r="B3919" s="2" t="s">
        <v>8936</v>
      </c>
      <c r="C3919" s="2" t="s">
        <v>367</v>
      </c>
      <c r="D3919" s="2" t="s">
        <v>51</v>
      </c>
      <c r="E3919" s="2" t="s">
        <v>16</v>
      </c>
      <c r="F3919" s="2">
        <v>30</v>
      </c>
      <c r="G3919" s="2" t="s">
        <v>8937</v>
      </c>
      <c r="H3919" s="2" t="s">
        <v>4334</v>
      </c>
      <c r="I3919" s="2" t="s">
        <v>1199</v>
      </c>
      <c r="J3919" s="3">
        <v>44361</v>
      </c>
      <c r="K3919" s="2">
        <v>25</v>
      </c>
      <c r="L3919" s="2" t="s">
        <v>101</v>
      </c>
    </row>
    <row r="3920" spans="1:12" x14ac:dyDescent="0.3">
      <c r="A3920" s="2">
        <v>3909</v>
      </c>
      <c r="B3920" s="2" t="s">
        <v>6075</v>
      </c>
      <c r="C3920" s="2" t="s">
        <v>8551</v>
      </c>
      <c r="D3920" s="2" t="s">
        <v>28</v>
      </c>
      <c r="E3920" s="2" t="s">
        <v>29</v>
      </c>
      <c r="F3920" s="2">
        <v>90</v>
      </c>
      <c r="G3920" s="2" t="s">
        <v>8938</v>
      </c>
      <c r="H3920" s="2" t="s">
        <v>2179</v>
      </c>
      <c r="I3920" s="2" t="s">
        <v>294</v>
      </c>
      <c r="J3920" s="3">
        <v>44235</v>
      </c>
      <c r="K3920" s="2">
        <v>62</v>
      </c>
      <c r="L3920" s="2" t="s">
        <v>45</v>
      </c>
    </row>
    <row r="3921" spans="1:12" x14ac:dyDescent="0.3">
      <c r="A3921" s="2">
        <v>3910</v>
      </c>
      <c r="B3921" s="2" t="s">
        <v>8939</v>
      </c>
      <c r="C3921" s="2" t="s">
        <v>2903</v>
      </c>
      <c r="D3921" s="2" t="s">
        <v>51</v>
      </c>
      <c r="E3921" s="2" t="s">
        <v>16</v>
      </c>
      <c r="F3921" s="2">
        <v>90</v>
      </c>
      <c r="G3921" s="2" t="s">
        <v>8940</v>
      </c>
      <c r="H3921" s="2" t="s">
        <v>1609</v>
      </c>
      <c r="I3921" s="2" t="s">
        <v>32</v>
      </c>
      <c r="J3921" s="3">
        <v>44914</v>
      </c>
      <c r="K3921" s="2">
        <v>65</v>
      </c>
      <c r="L3921" s="2" t="s">
        <v>54</v>
      </c>
    </row>
    <row r="3922" spans="1:12" x14ac:dyDescent="0.3">
      <c r="A3922" s="2">
        <v>3911</v>
      </c>
      <c r="B3922" s="2" t="s">
        <v>5518</v>
      </c>
      <c r="C3922" s="2" t="s">
        <v>665</v>
      </c>
      <c r="D3922" s="2" t="s">
        <v>28</v>
      </c>
      <c r="E3922" s="2" t="s">
        <v>29</v>
      </c>
      <c r="F3922" s="2">
        <v>30</v>
      </c>
      <c r="G3922" s="2" t="s">
        <v>8941</v>
      </c>
      <c r="H3922" s="2" t="s">
        <v>7154</v>
      </c>
      <c r="I3922" s="2" t="s">
        <v>32</v>
      </c>
      <c r="J3922" s="3">
        <v>44319</v>
      </c>
      <c r="K3922" s="2">
        <v>53</v>
      </c>
      <c r="L3922" s="2" t="s">
        <v>33</v>
      </c>
    </row>
    <row r="3923" spans="1:12" x14ac:dyDescent="0.3">
      <c r="A3923" s="2">
        <v>3912</v>
      </c>
      <c r="B3923" s="2" t="s">
        <v>8942</v>
      </c>
      <c r="C3923" s="2" t="s">
        <v>8467</v>
      </c>
      <c r="D3923" s="2" t="s">
        <v>28</v>
      </c>
      <c r="E3923" s="2" t="s">
        <v>29</v>
      </c>
      <c r="F3923" s="2">
        <v>60</v>
      </c>
      <c r="G3923" s="2" t="s">
        <v>8943</v>
      </c>
      <c r="H3923" s="2" t="s">
        <v>43</v>
      </c>
      <c r="I3923" s="2" t="s">
        <v>44</v>
      </c>
      <c r="J3923" s="3">
        <v>44437</v>
      </c>
      <c r="K3923" s="2">
        <v>91</v>
      </c>
      <c r="L3923" s="2" t="s">
        <v>70</v>
      </c>
    </row>
    <row r="3924" spans="1:12" x14ac:dyDescent="0.3">
      <c r="A3924" s="2">
        <v>3913</v>
      </c>
      <c r="B3924" s="2" t="s">
        <v>8944</v>
      </c>
      <c r="C3924" s="2" t="s">
        <v>1386</v>
      </c>
      <c r="D3924" s="2" t="s">
        <v>41</v>
      </c>
      <c r="E3924" s="2" t="s">
        <v>16</v>
      </c>
      <c r="F3924" s="2">
        <v>60</v>
      </c>
      <c r="G3924" s="2" t="s">
        <v>8945</v>
      </c>
      <c r="H3924" s="2" t="s">
        <v>8946</v>
      </c>
      <c r="I3924" s="2" t="s">
        <v>95</v>
      </c>
      <c r="J3924" s="3">
        <v>44262</v>
      </c>
      <c r="K3924" s="2">
        <v>35</v>
      </c>
      <c r="L3924" s="2" t="s">
        <v>64</v>
      </c>
    </row>
    <row r="3925" spans="1:12" x14ac:dyDescent="0.3">
      <c r="A3925" s="2">
        <v>3914</v>
      </c>
      <c r="B3925" s="2" t="s">
        <v>2951</v>
      </c>
      <c r="C3925" s="2" t="s">
        <v>232</v>
      </c>
      <c r="D3925" s="2" t="s">
        <v>15</v>
      </c>
      <c r="E3925" s="2" t="s">
        <v>16</v>
      </c>
      <c r="F3925" s="2">
        <v>30</v>
      </c>
      <c r="G3925" s="2" t="s">
        <v>8947</v>
      </c>
      <c r="H3925" s="2" t="s">
        <v>764</v>
      </c>
      <c r="I3925" s="2" t="s">
        <v>32</v>
      </c>
      <c r="J3925" s="3">
        <v>43934</v>
      </c>
      <c r="K3925" s="2">
        <v>71</v>
      </c>
      <c r="L3925" s="2" t="s">
        <v>20</v>
      </c>
    </row>
    <row r="3926" spans="1:12" x14ac:dyDescent="0.3">
      <c r="A3926" s="2">
        <v>3915</v>
      </c>
      <c r="B3926" s="2" t="s">
        <v>3999</v>
      </c>
      <c r="C3926" s="2" t="s">
        <v>851</v>
      </c>
      <c r="D3926" s="2" t="s">
        <v>28</v>
      </c>
      <c r="E3926" s="2" t="s">
        <v>29</v>
      </c>
      <c r="F3926" s="2">
        <v>30</v>
      </c>
      <c r="G3926" s="2" t="s">
        <v>8948</v>
      </c>
      <c r="H3926" s="2" t="s">
        <v>5173</v>
      </c>
      <c r="I3926" s="2" t="s">
        <v>686</v>
      </c>
      <c r="J3926" s="3">
        <v>44707</v>
      </c>
      <c r="K3926" s="2">
        <v>44</v>
      </c>
      <c r="L3926" s="2" t="s">
        <v>54</v>
      </c>
    </row>
    <row r="3927" spans="1:12" x14ac:dyDescent="0.3">
      <c r="A3927" s="2">
        <v>3916</v>
      </c>
      <c r="B3927" s="2" t="s">
        <v>8949</v>
      </c>
      <c r="C3927" s="2" t="s">
        <v>4153</v>
      </c>
      <c r="D3927" s="2" t="s">
        <v>15</v>
      </c>
      <c r="E3927" s="2" t="s">
        <v>16</v>
      </c>
      <c r="F3927" s="2">
        <v>30</v>
      </c>
      <c r="G3927" s="2" t="s">
        <v>8948</v>
      </c>
      <c r="H3927" s="2" t="s">
        <v>1318</v>
      </c>
      <c r="I3927" s="2" t="s">
        <v>32</v>
      </c>
      <c r="J3927" s="3">
        <v>43933</v>
      </c>
      <c r="K3927" s="2">
        <v>82</v>
      </c>
      <c r="L3927" s="2" t="s">
        <v>20</v>
      </c>
    </row>
    <row r="3928" spans="1:12" x14ac:dyDescent="0.3">
      <c r="A3928" s="2">
        <v>3917</v>
      </c>
      <c r="B3928" s="2" t="s">
        <v>8950</v>
      </c>
      <c r="C3928" s="2" t="s">
        <v>2928</v>
      </c>
      <c r="D3928" s="2" t="s">
        <v>28</v>
      </c>
      <c r="E3928" s="2" t="s">
        <v>29</v>
      </c>
      <c r="F3928" s="2">
        <v>30</v>
      </c>
      <c r="G3928" s="2" t="s">
        <v>8951</v>
      </c>
      <c r="H3928" s="2" t="s">
        <v>389</v>
      </c>
      <c r="I3928" s="2" t="s">
        <v>32</v>
      </c>
      <c r="J3928" s="3">
        <v>44431</v>
      </c>
      <c r="K3928" s="2">
        <v>41</v>
      </c>
      <c r="L3928" s="2" t="s">
        <v>80</v>
      </c>
    </row>
    <row r="3929" spans="1:12" x14ac:dyDescent="0.3">
      <c r="A3929" s="2">
        <v>3918</v>
      </c>
      <c r="B3929" s="2" t="s">
        <v>6096</v>
      </c>
      <c r="C3929" s="2" t="s">
        <v>1212</v>
      </c>
      <c r="D3929" s="2" t="s">
        <v>28</v>
      </c>
      <c r="E3929" s="2" t="s">
        <v>29</v>
      </c>
      <c r="F3929" s="2">
        <v>60</v>
      </c>
      <c r="G3929" s="2" t="s">
        <v>8952</v>
      </c>
      <c r="H3929" s="2" t="s">
        <v>6069</v>
      </c>
      <c r="I3929" s="2" t="s">
        <v>294</v>
      </c>
      <c r="J3929" s="3">
        <v>44489</v>
      </c>
      <c r="K3929" s="2">
        <v>83</v>
      </c>
      <c r="L3929" s="2" t="s">
        <v>101</v>
      </c>
    </row>
    <row r="3930" spans="1:12" x14ac:dyDescent="0.3">
      <c r="A3930" s="2">
        <v>3919</v>
      </c>
      <c r="B3930" s="2" t="s">
        <v>2009</v>
      </c>
      <c r="C3930" s="2" t="s">
        <v>3941</v>
      </c>
      <c r="D3930" s="2" t="s">
        <v>28</v>
      </c>
      <c r="E3930" s="2" t="s">
        <v>29</v>
      </c>
      <c r="F3930" s="2">
        <v>90</v>
      </c>
      <c r="G3930" s="2" t="s">
        <v>8953</v>
      </c>
      <c r="H3930" s="2" t="s">
        <v>5664</v>
      </c>
      <c r="I3930" s="2" t="s">
        <v>187</v>
      </c>
      <c r="J3930" s="3">
        <v>44464</v>
      </c>
      <c r="K3930" s="2">
        <v>16</v>
      </c>
      <c r="L3930" s="2" t="s">
        <v>54</v>
      </c>
    </row>
    <row r="3931" spans="1:12" x14ac:dyDescent="0.3">
      <c r="A3931" s="2">
        <v>3920</v>
      </c>
      <c r="B3931" s="2" t="s">
        <v>2887</v>
      </c>
      <c r="C3931" s="2" t="s">
        <v>8954</v>
      </c>
      <c r="D3931" s="2" t="s">
        <v>28</v>
      </c>
      <c r="E3931" s="2" t="s">
        <v>29</v>
      </c>
      <c r="F3931" s="2">
        <v>90</v>
      </c>
      <c r="G3931" s="2" t="s">
        <v>8955</v>
      </c>
      <c r="H3931" s="2" t="s">
        <v>938</v>
      </c>
      <c r="I3931" s="2" t="s">
        <v>25</v>
      </c>
      <c r="J3931" s="3">
        <v>44863</v>
      </c>
      <c r="K3931" s="2">
        <v>17</v>
      </c>
      <c r="L3931" s="2" t="s">
        <v>80</v>
      </c>
    </row>
    <row r="3932" spans="1:12" x14ac:dyDescent="0.3">
      <c r="A3932" s="2">
        <v>3921</v>
      </c>
      <c r="B3932" s="2" t="s">
        <v>4775</v>
      </c>
      <c r="C3932" s="2" t="s">
        <v>5001</v>
      </c>
      <c r="D3932" s="2" t="s">
        <v>28</v>
      </c>
      <c r="E3932" s="2" t="s">
        <v>29</v>
      </c>
      <c r="F3932" s="2">
        <v>60</v>
      </c>
      <c r="G3932" s="2" t="s">
        <v>8956</v>
      </c>
      <c r="H3932" s="2" t="s">
        <v>8642</v>
      </c>
      <c r="I3932" s="2" t="s">
        <v>294</v>
      </c>
      <c r="J3932" s="3">
        <v>44703</v>
      </c>
      <c r="K3932" s="2">
        <v>105</v>
      </c>
      <c r="L3932" s="2" t="s">
        <v>39</v>
      </c>
    </row>
    <row r="3933" spans="1:12" x14ac:dyDescent="0.3">
      <c r="A3933" s="2">
        <v>3922</v>
      </c>
      <c r="B3933" s="2" t="s">
        <v>3501</v>
      </c>
      <c r="C3933" s="2" t="s">
        <v>4116</v>
      </c>
      <c r="D3933" s="2" t="s">
        <v>28</v>
      </c>
      <c r="E3933" s="2" t="s">
        <v>29</v>
      </c>
      <c r="F3933" s="2">
        <v>30</v>
      </c>
      <c r="G3933" s="2" t="s">
        <v>8957</v>
      </c>
      <c r="H3933" s="2" t="s">
        <v>389</v>
      </c>
      <c r="I3933" s="2" t="s">
        <v>32</v>
      </c>
      <c r="J3933" s="3">
        <v>43858</v>
      </c>
      <c r="K3933" s="2">
        <v>20</v>
      </c>
      <c r="L3933" s="2" t="s">
        <v>80</v>
      </c>
    </row>
    <row r="3934" spans="1:12" x14ac:dyDescent="0.3">
      <c r="A3934" s="2">
        <v>3923</v>
      </c>
      <c r="B3934" s="2" t="s">
        <v>3563</v>
      </c>
      <c r="C3934" s="2" t="s">
        <v>6291</v>
      </c>
      <c r="D3934" s="2" t="s">
        <v>28</v>
      </c>
      <c r="E3934" s="2" t="s">
        <v>29</v>
      </c>
      <c r="F3934" s="2">
        <v>30</v>
      </c>
      <c r="G3934" s="2" t="s">
        <v>8958</v>
      </c>
      <c r="H3934" s="2" t="s">
        <v>396</v>
      </c>
      <c r="I3934" s="2" t="s">
        <v>32</v>
      </c>
      <c r="J3934" s="3">
        <v>44283</v>
      </c>
      <c r="K3934" s="2">
        <v>46</v>
      </c>
      <c r="L3934" s="2" t="s">
        <v>39</v>
      </c>
    </row>
    <row r="3935" spans="1:12" x14ac:dyDescent="0.3">
      <c r="A3935" s="2">
        <v>3924</v>
      </c>
      <c r="B3935" s="2" t="s">
        <v>8959</v>
      </c>
      <c r="C3935" s="2" t="s">
        <v>3071</v>
      </c>
      <c r="D3935" s="2" t="s">
        <v>51</v>
      </c>
      <c r="E3935" s="2" t="s">
        <v>16</v>
      </c>
      <c r="F3935" s="2">
        <v>60</v>
      </c>
      <c r="G3935" s="2" t="s">
        <v>8960</v>
      </c>
      <c r="H3935" s="2" t="s">
        <v>4098</v>
      </c>
      <c r="I3935" s="2" t="s">
        <v>1889</v>
      </c>
      <c r="J3935" s="3">
        <v>44669</v>
      </c>
      <c r="K3935" s="2">
        <v>82</v>
      </c>
      <c r="L3935" s="2" t="s">
        <v>64</v>
      </c>
    </row>
    <row r="3936" spans="1:12" x14ac:dyDescent="0.3">
      <c r="A3936" s="2">
        <v>3925</v>
      </c>
      <c r="B3936" s="2" t="s">
        <v>6737</v>
      </c>
      <c r="C3936" s="2" t="s">
        <v>6793</v>
      </c>
      <c r="D3936" s="2" t="s">
        <v>51</v>
      </c>
      <c r="E3936" s="2" t="s">
        <v>16</v>
      </c>
      <c r="F3936" s="2">
        <v>30</v>
      </c>
      <c r="G3936" s="2" t="s">
        <v>8961</v>
      </c>
      <c r="H3936" s="2" t="s">
        <v>3194</v>
      </c>
      <c r="I3936" s="2" t="s">
        <v>819</v>
      </c>
      <c r="J3936" s="3">
        <v>44342</v>
      </c>
      <c r="K3936" s="2">
        <v>12</v>
      </c>
      <c r="L3936" s="2" t="s">
        <v>39</v>
      </c>
    </row>
    <row r="3937" spans="1:12" x14ac:dyDescent="0.3">
      <c r="A3937" s="2">
        <v>3926</v>
      </c>
      <c r="B3937" s="2" t="s">
        <v>6532</v>
      </c>
      <c r="C3937" s="2" t="s">
        <v>2750</v>
      </c>
      <c r="D3937" s="2" t="s">
        <v>28</v>
      </c>
      <c r="E3937" s="2" t="s">
        <v>29</v>
      </c>
      <c r="F3937" s="2">
        <v>30</v>
      </c>
      <c r="G3937" s="2" t="s">
        <v>8962</v>
      </c>
      <c r="H3937" s="2" t="s">
        <v>4090</v>
      </c>
      <c r="I3937" s="2" t="s">
        <v>32</v>
      </c>
      <c r="J3937" s="3">
        <v>44623</v>
      </c>
      <c r="K3937" s="2">
        <v>63</v>
      </c>
      <c r="L3937" s="2" t="s">
        <v>101</v>
      </c>
    </row>
    <row r="3938" spans="1:12" x14ac:dyDescent="0.3">
      <c r="A3938" s="2">
        <v>3927</v>
      </c>
      <c r="B3938" s="2" t="s">
        <v>4605</v>
      </c>
      <c r="C3938" s="2" t="s">
        <v>3584</v>
      </c>
      <c r="D3938" s="2" t="s">
        <v>28</v>
      </c>
      <c r="E3938" s="2" t="s">
        <v>29</v>
      </c>
      <c r="F3938" s="2">
        <v>60</v>
      </c>
      <c r="G3938" s="2" t="s">
        <v>8963</v>
      </c>
      <c r="H3938" s="2" t="s">
        <v>4911</v>
      </c>
      <c r="I3938" s="2" t="s">
        <v>95</v>
      </c>
      <c r="J3938" s="3">
        <v>44767</v>
      </c>
      <c r="K3938" s="2">
        <v>48</v>
      </c>
      <c r="L3938" s="2" t="s">
        <v>45</v>
      </c>
    </row>
    <row r="3939" spans="1:12" x14ac:dyDescent="0.3">
      <c r="A3939" s="2">
        <v>3928</v>
      </c>
      <c r="B3939" s="2" t="s">
        <v>8964</v>
      </c>
      <c r="C3939" s="2" t="s">
        <v>8156</v>
      </c>
      <c r="D3939" s="2" t="s">
        <v>51</v>
      </c>
      <c r="E3939" s="2" t="s">
        <v>16</v>
      </c>
      <c r="F3939" s="2">
        <v>30</v>
      </c>
      <c r="G3939" s="2" t="s">
        <v>8965</v>
      </c>
      <c r="H3939" s="2" t="s">
        <v>1448</v>
      </c>
      <c r="I3939" s="2" t="s">
        <v>1449</v>
      </c>
      <c r="J3939" s="3">
        <v>44560</v>
      </c>
      <c r="K3939" s="2">
        <v>23</v>
      </c>
      <c r="L3939" s="2" t="s">
        <v>101</v>
      </c>
    </row>
    <row r="3940" spans="1:12" x14ac:dyDescent="0.3">
      <c r="A3940" s="2">
        <v>3929</v>
      </c>
      <c r="B3940" s="2" t="s">
        <v>6411</v>
      </c>
      <c r="C3940" s="2" t="s">
        <v>8966</v>
      </c>
      <c r="D3940" s="2" t="s">
        <v>28</v>
      </c>
      <c r="E3940" s="2" t="s">
        <v>29</v>
      </c>
      <c r="F3940" s="2">
        <v>60</v>
      </c>
      <c r="G3940" s="2" t="s">
        <v>8967</v>
      </c>
      <c r="H3940" s="2" t="s">
        <v>3343</v>
      </c>
      <c r="I3940" s="2" t="s">
        <v>1199</v>
      </c>
      <c r="J3940" s="3">
        <v>44236</v>
      </c>
      <c r="K3940" s="2">
        <v>90</v>
      </c>
      <c r="L3940" s="2" t="s">
        <v>80</v>
      </c>
    </row>
    <row r="3941" spans="1:12" x14ac:dyDescent="0.3">
      <c r="A3941" s="2">
        <v>3930</v>
      </c>
      <c r="B3941" s="2" t="s">
        <v>7195</v>
      </c>
      <c r="C3941" s="2" t="s">
        <v>983</v>
      </c>
      <c r="D3941" s="2" t="s">
        <v>51</v>
      </c>
      <c r="E3941" s="2" t="s">
        <v>16</v>
      </c>
      <c r="F3941" s="2">
        <v>60</v>
      </c>
      <c r="G3941" s="2" t="s">
        <v>8968</v>
      </c>
      <c r="H3941" s="2" t="s">
        <v>8155</v>
      </c>
      <c r="I3941" s="2" t="s">
        <v>32</v>
      </c>
      <c r="J3941" s="3">
        <v>44319</v>
      </c>
      <c r="K3941" s="2">
        <v>6</v>
      </c>
      <c r="L3941" s="2" t="s">
        <v>39</v>
      </c>
    </row>
    <row r="3942" spans="1:12" x14ac:dyDescent="0.3">
      <c r="A3942" s="2">
        <v>3931</v>
      </c>
      <c r="B3942" s="2" t="s">
        <v>5042</v>
      </c>
      <c r="C3942" s="2" t="s">
        <v>6</v>
      </c>
      <c r="D3942" s="2" t="s">
        <v>28</v>
      </c>
      <c r="E3942" s="2" t="s">
        <v>29</v>
      </c>
      <c r="F3942" s="2">
        <v>30</v>
      </c>
      <c r="G3942" s="2" t="s">
        <v>8969</v>
      </c>
      <c r="H3942" s="2" t="s">
        <v>4621</v>
      </c>
      <c r="I3942" s="2" t="s">
        <v>178</v>
      </c>
      <c r="J3942" s="3">
        <v>44084</v>
      </c>
      <c r="K3942" s="2">
        <v>76</v>
      </c>
      <c r="L3942" s="2" t="s">
        <v>80</v>
      </c>
    </row>
    <row r="3943" spans="1:12" x14ac:dyDescent="0.3">
      <c r="A3943" s="2">
        <v>3932</v>
      </c>
      <c r="B3943" s="2" t="s">
        <v>1144</v>
      </c>
      <c r="C3943" s="2" t="s">
        <v>8970</v>
      </c>
      <c r="D3943" s="2" t="s">
        <v>15</v>
      </c>
      <c r="E3943" s="2" t="s">
        <v>16</v>
      </c>
      <c r="F3943" s="2">
        <v>30</v>
      </c>
      <c r="G3943" s="2" t="s">
        <v>8971</v>
      </c>
      <c r="H3943" s="2" t="s">
        <v>2093</v>
      </c>
      <c r="I3943" s="2" t="s">
        <v>32</v>
      </c>
      <c r="J3943" s="3">
        <v>44783</v>
      </c>
      <c r="K3943" s="2">
        <v>42</v>
      </c>
      <c r="L3943" s="2" t="s">
        <v>54</v>
      </c>
    </row>
    <row r="3944" spans="1:12" x14ac:dyDescent="0.3">
      <c r="A3944" s="2">
        <v>3933</v>
      </c>
      <c r="B3944" s="2" t="s">
        <v>6641</v>
      </c>
      <c r="C3944" s="2" t="s">
        <v>8852</v>
      </c>
      <c r="D3944" s="2" t="s">
        <v>28</v>
      </c>
      <c r="E3944" s="2" t="s">
        <v>29</v>
      </c>
      <c r="F3944" s="2">
        <v>30</v>
      </c>
      <c r="G3944" s="2" t="s">
        <v>8972</v>
      </c>
      <c r="H3944" s="2" t="s">
        <v>7400</v>
      </c>
      <c r="I3944" s="2" t="s">
        <v>178</v>
      </c>
      <c r="J3944" s="3">
        <v>44082</v>
      </c>
      <c r="K3944" s="2">
        <v>14</v>
      </c>
      <c r="L3944" s="2" t="s">
        <v>39</v>
      </c>
    </row>
    <row r="3945" spans="1:12" x14ac:dyDescent="0.3">
      <c r="A3945" s="2">
        <v>3934</v>
      </c>
      <c r="B3945" s="2" t="s">
        <v>6264</v>
      </c>
      <c r="C3945" s="2" t="s">
        <v>8760</v>
      </c>
      <c r="D3945" s="2" t="s">
        <v>28</v>
      </c>
      <c r="E3945" s="2" t="s">
        <v>29</v>
      </c>
      <c r="F3945" s="2">
        <v>60</v>
      </c>
      <c r="G3945" s="2" t="s">
        <v>8972</v>
      </c>
      <c r="H3945" s="2" t="s">
        <v>4967</v>
      </c>
      <c r="I3945" s="2" t="s">
        <v>32</v>
      </c>
      <c r="J3945" s="3">
        <v>44025</v>
      </c>
      <c r="K3945" s="2">
        <v>70</v>
      </c>
      <c r="L3945" s="2" t="s">
        <v>54</v>
      </c>
    </row>
    <row r="3946" spans="1:12" x14ac:dyDescent="0.3">
      <c r="A3946" s="2">
        <v>3935</v>
      </c>
      <c r="B3946" s="2" t="s">
        <v>3105</v>
      </c>
      <c r="C3946" s="2" t="s">
        <v>5295</v>
      </c>
      <c r="D3946" s="2" t="s">
        <v>15</v>
      </c>
      <c r="E3946" s="2" t="s">
        <v>16</v>
      </c>
      <c r="F3946" s="2">
        <v>90</v>
      </c>
      <c r="G3946" s="2" t="s">
        <v>8973</v>
      </c>
      <c r="H3946" s="2" t="s">
        <v>420</v>
      </c>
      <c r="I3946" s="2" t="s">
        <v>32</v>
      </c>
      <c r="J3946" s="3">
        <v>43938</v>
      </c>
      <c r="K3946" s="2">
        <v>53</v>
      </c>
      <c r="L3946" s="2" t="s">
        <v>70</v>
      </c>
    </row>
    <row r="3947" spans="1:12" x14ac:dyDescent="0.3">
      <c r="A3947" s="2">
        <v>3936</v>
      </c>
      <c r="B3947" s="2" t="s">
        <v>1752</v>
      </c>
      <c r="C3947" s="2" t="s">
        <v>4865</v>
      </c>
      <c r="D3947" s="2" t="s">
        <v>28</v>
      </c>
      <c r="E3947" s="2" t="s">
        <v>29</v>
      </c>
      <c r="F3947" s="2">
        <v>90</v>
      </c>
      <c r="G3947" s="2" t="s">
        <v>8974</v>
      </c>
      <c r="H3947" s="2" t="s">
        <v>3770</v>
      </c>
      <c r="I3947" s="2" t="s">
        <v>32</v>
      </c>
      <c r="J3947" s="3">
        <v>44561</v>
      </c>
      <c r="K3947" s="2">
        <v>72</v>
      </c>
      <c r="L3947" s="2" t="s">
        <v>45</v>
      </c>
    </row>
    <row r="3948" spans="1:12" x14ac:dyDescent="0.3">
      <c r="A3948" s="2">
        <v>3937</v>
      </c>
      <c r="B3948" s="2" t="s">
        <v>7245</v>
      </c>
      <c r="C3948" s="2" t="s">
        <v>2998</v>
      </c>
      <c r="D3948" s="2" t="s">
        <v>15</v>
      </c>
      <c r="E3948" s="2" t="s">
        <v>16</v>
      </c>
      <c r="F3948" s="2">
        <v>60</v>
      </c>
      <c r="G3948" s="2" t="s">
        <v>8977</v>
      </c>
      <c r="H3948" s="2" t="s">
        <v>5628</v>
      </c>
      <c r="I3948" s="2" t="s">
        <v>32</v>
      </c>
      <c r="J3948" s="3">
        <v>44277</v>
      </c>
      <c r="K3948" s="2">
        <v>29</v>
      </c>
      <c r="L3948" s="2" t="s">
        <v>70</v>
      </c>
    </row>
    <row r="3949" spans="1:12" x14ac:dyDescent="0.3">
      <c r="A3949" s="2">
        <v>3938</v>
      </c>
      <c r="B3949" s="2" t="s">
        <v>8149</v>
      </c>
      <c r="C3949" s="2" t="s">
        <v>1116</v>
      </c>
      <c r="D3949" s="2" t="s">
        <v>28</v>
      </c>
      <c r="E3949" s="2" t="s">
        <v>29</v>
      </c>
      <c r="F3949" s="2">
        <v>90</v>
      </c>
      <c r="G3949" s="2" t="s">
        <v>8978</v>
      </c>
      <c r="H3949" s="2" t="s">
        <v>8979</v>
      </c>
      <c r="I3949" s="2" t="s">
        <v>32</v>
      </c>
      <c r="J3949" s="3">
        <v>44825</v>
      </c>
      <c r="K3949" s="2">
        <v>19</v>
      </c>
      <c r="L3949" s="2" t="s">
        <v>70</v>
      </c>
    </row>
    <row r="3950" spans="1:12" x14ac:dyDescent="0.3">
      <c r="A3950" s="2">
        <v>3939</v>
      </c>
      <c r="B3950" s="2" t="s">
        <v>3731</v>
      </c>
      <c r="C3950" s="2" t="s">
        <v>7691</v>
      </c>
      <c r="D3950" s="2" t="s">
        <v>28</v>
      </c>
      <c r="E3950" s="2" t="s">
        <v>29</v>
      </c>
      <c r="F3950" s="2">
        <v>90</v>
      </c>
      <c r="G3950" s="2" t="s">
        <v>8980</v>
      </c>
      <c r="H3950" s="2" t="s">
        <v>5624</v>
      </c>
      <c r="I3950" s="2" t="s">
        <v>32</v>
      </c>
      <c r="J3950" s="3">
        <v>44526</v>
      </c>
      <c r="K3950" s="2">
        <v>57</v>
      </c>
      <c r="L3950" s="2" t="s">
        <v>64</v>
      </c>
    </row>
    <row r="3951" spans="1:12" x14ac:dyDescent="0.3">
      <c r="A3951" s="2">
        <v>3940</v>
      </c>
      <c r="B3951" s="2" t="s">
        <v>6719</v>
      </c>
      <c r="C3951" s="2" t="s">
        <v>2563</v>
      </c>
      <c r="D3951" s="2" t="s">
        <v>15</v>
      </c>
      <c r="E3951" s="2" t="s">
        <v>16</v>
      </c>
      <c r="F3951" s="2">
        <v>90</v>
      </c>
      <c r="G3951" s="2" t="s">
        <v>8981</v>
      </c>
      <c r="H3951" s="2" t="s">
        <v>5811</v>
      </c>
      <c r="I3951" s="2" t="s">
        <v>294</v>
      </c>
      <c r="J3951" s="3">
        <v>44443</v>
      </c>
      <c r="K3951" s="2">
        <v>94</v>
      </c>
      <c r="L3951" s="2" t="s">
        <v>45</v>
      </c>
    </row>
    <row r="3952" spans="1:12" x14ac:dyDescent="0.3">
      <c r="A3952" s="2">
        <v>3941</v>
      </c>
      <c r="B3952" s="2" t="s">
        <v>4628</v>
      </c>
      <c r="C3952" s="2" t="s">
        <v>2832</v>
      </c>
      <c r="D3952" s="2" t="s">
        <v>28</v>
      </c>
      <c r="E3952" s="2" t="s">
        <v>29</v>
      </c>
      <c r="F3952" s="2">
        <v>30</v>
      </c>
      <c r="G3952" s="2" t="s">
        <v>8982</v>
      </c>
      <c r="H3952" s="2" t="s">
        <v>3194</v>
      </c>
      <c r="I3952" s="2" t="s">
        <v>819</v>
      </c>
      <c r="J3952" s="3">
        <v>44453</v>
      </c>
      <c r="K3952" s="2">
        <v>14</v>
      </c>
      <c r="L3952" s="2" t="s">
        <v>80</v>
      </c>
    </row>
    <row r="3953" spans="1:12" x14ac:dyDescent="0.3">
      <c r="A3953" s="2">
        <v>3942</v>
      </c>
      <c r="B3953" s="2" t="s">
        <v>5364</v>
      </c>
      <c r="C3953" s="2" t="s">
        <v>5529</v>
      </c>
      <c r="D3953" s="2" t="s">
        <v>28</v>
      </c>
      <c r="E3953" s="2" t="s">
        <v>29</v>
      </c>
      <c r="F3953" s="2">
        <v>90</v>
      </c>
      <c r="G3953" s="2" t="s">
        <v>8983</v>
      </c>
      <c r="H3953" s="2" t="s">
        <v>4098</v>
      </c>
      <c r="I3953" s="2" t="s">
        <v>1889</v>
      </c>
      <c r="J3953" s="3">
        <v>44633</v>
      </c>
      <c r="K3953" s="2">
        <v>102</v>
      </c>
      <c r="L3953" s="2" t="s">
        <v>101</v>
      </c>
    </row>
    <row r="3954" spans="1:12" x14ac:dyDescent="0.3">
      <c r="A3954" s="2">
        <v>3943</v>
      </c>
      <c r="B3954" s="2" t="s">
        <v>3515</v>
      </c>
      <c r="C3954" s="2" t="s">
        <v>5972</v>
      </c>
      <c r="D3954" s="2" t="s">
        <v>28</v>
      </c>
      <c r="E3954" s="2" t="s">
        <v>29</v>
      </c>
      <c r="F3954" s="2">
        <v>60</v>
      </c>
      <c r="G3954" s="2" t="s">
        <v>8984</v>
      </c>
      <c r="H3954" s="2" t="s">
        <v>591</v>
      </c>
      <c r="I3954" s="2" t="s">
        <v>32</v>
      </c>
      <c r="J3954" s="3">
        <v>44214</v>
      </c>
      <c r="K3954" s="2">
        <v>73</v>
      </c>
      <c r="L3954" s="2" t="s">
        <v>80</v>
      </c>
    </row>
    <row r="3955" spans="1:12" x14ac:dyDescent="0.3">
      <c r="A3955" s="2">
        <v>3944</v>
      </c>
      <c r="B3955" s="2" t="s">
        <v>8985</v>
      </c>
      <c r="C3955" s="2" t="s">
        <v>5832</v>
      </c>
      <c r="D3955" s="2" t="s">
        <v>15</v>
      </c>
      <c r="E3955" s="2" t="s">
        <v>16</v>
      </c>
      <c r="F3955" s="2">
        <v>90</v>
      </c>
      <c r="G3955" s="2" t="s">
        <v>8986</v>
      </c>
      <c r="H3955" s="2" t="s">
        <v>483</v>
      </c>
      <c r="I3955" s="2" t="s">
        <v>32</v>
      </c>
      <c r="J3955" s="3">
        <v>44593</v>
      </c>
      <c r="K3955" s="2">
        <v>10</v>
      </c>
      <c r="L3955" s="2" t="s">
        <v>159</v>
      </c>
    </row>
    <row r="3956" spans="1:12" x14ac:dyDescent="0.3">
      <c r="A3956" s="2">
        <v>3945</v>
      </c>
      <c r="B3956" s="2" t="s">
        <v>8987</v>
      </c>
      <c r="C3956" s="2" t="s">
        <v>3057</v>
      </c>
      <c r="D3956" s="2" t="s">
        <v>15</v>
      </c>
      <c r="E3956" s="2" t="s">
        <v>16</v>
      </c>
      <c r="F3956" s="2">
        <v>30</v>
      </c>
      <c r="G3956" s="2" t="s">
        <v>8988</v>
      </c>
      <c r="H3956" s="2" t="s">
        <v>3495</v>
      </c>
      <c r="I3956" s="2" t="s">
        <v>1083</v>
      </c>
      <c r="J3956" s="3">
        <v>44131</v>
      </c>
      <c r="K3956" s="2">
        <v>43</v>
      </c>
      <c r="L3956" s="2" t="s">
        <v>101</v>
      </c>
    </row>
    <row r="3957" spans="1:12" x14ac:dyDescent="0.3">
      <c r="A3957" s="2">
        <v>3946</v>
      </c>
      <c r="B3957" s="2" t="s">
        <v>5314</v>
      </c>
      <c r="C3957" s="2" t="s">
        <v>4410</v>
      </c>
      <c r="D3957" s="2" t="s">
        <v>28</v>
      </c>
      <c r="E3957" s="2" t="s">
        <v>29</v>
      </c>
      <c r="F3957" s="2">
        <v>90</v>
      </c>
      <c r="G3957" s="2" t="s">
        <v>8988</v>
      </c>
      <c r="H3957" s="2" t="s">
        <v>3324</v>
      </c>
      <c r="I3957" s="2" t="s">
        <v>32</v>
      </c>
      <c r="J3957" s="3">
        <v>44880</v>
      </c>
      <c r="K3957" s="2">
        <v>26</v>
      </c>
      <c r="L3957" s="2" t="s">
        <v>64</v>
      </c>
    </row>
    <row r="3958" spans="1:12" x14ac:dyDescent="0.3">
      <c r="A3958" s="2">
        <v>3947</v>
      </c>
      <c r="B3958" s="2" t="s">
        <v>527</v>
      </c>
      <c r="C3958" s="2" t="s">
        <v>6814</v>
      </c>
      <c r="D3958" s="2" t="s">
        <v>28</v>
      </c>
      <c r="E3958" s="2" t="s">
        <v>29</v>
      </c>
      <c r="F3958" s="2">
        <v>30</v>
      </c>
      <c r="G3958" s="2" t="s">
        <v>8989</v>
      </c>
      <c r="H3958" s="2" t="s">
        <v>6770</v>
      </c>
      <c r="I3958" s="2" t="s">
        <v>124</v>
      </c>
      <c r="J3958" s="3">
        <v>44205</v>
      </c>
      <c r="K3958" s="2">
        <v>67</v>
      </c>
      <c r="L3958" s="2" t="s">
        <v>70</v>
      </c>
    </row>
    <row r="3959" spans="1:12" x14ac:dyDescent="0.3">
      <c r="A3959" s="2">
        <v>3948</v>
      </c>
      <c r="B3959" s="2" t="s">
        <v>8990</v>
      </c>
      <c r="C3959" s="2" t="s">
        <v>5215</v>
      </c>
      <c r="D3959" s="2" t="s">
        <v>51</v>
      </c>
      <c r="E3959" s="2" t="s">
        <v>16</v>
      </c>
      <c r="F3959" s="2">
        <v>30</v>
      </c>
      <c r="G3959" s="2" t="s">
        <v>8991</v>
      </c>
      <c r="H3959" s="2" t="s">
        <v>7829</v>
      </c>
      <c r="I3959" s="2" t="s">
        <v>934</v>
      </c>
      <c r="J3959" s="3">
        <v>43927</v>
      </c>
      <c r="K3959" s="2">
        <v>51</v>
      </c>
      <c r="L3959" s="2" t="s">
        <v>80</v>
      </c>
    </row>
    <row r="3960" spans="1:12" x14ac:dyDescent="0.3">
      <c r="A3960" s="2">
        <v>3949</v>
      </c>
      <c r="B3960" s="2" t="s">
        <v>7303</v>
      </c>
      <c r="C3960" s="2" t="s">
        <v>3389</v>
      </c>
      <c r="D3960" s="2" t="s">
        <v>28</v>
      </c>
      <c r="E3960" s="2" t="s">
        <v>29</v>
      </c>
      <c r="F3960" s="2">
        <v>90</v>
      </c>
      <c r="G3960" s="2" t="s">
        <v>8992</v>
      </c>
      <c r="H3960" s="2" t="s">
        <v>3876</v>
      </c>
      <c r="I3960" s="2" t="s">
        <v>32</v>
      </c>
      <c r="J3960" s="3">
        <v>44077</v>
      </c>
      <c r="K3960" s="2">
        <v>68</v>
      </c>
      <c r="L3960" s="2" t="s">
        <v>80</v>
      </c>
    </row>
    <row r="3961" spans="1:12" x14ac:dyDescent="0.3">
      <c r="A3961" s="2">
        <v>3950</v>
      </c>
      <c r="B3961" s="2" t="s">
        <v>4058</v>
      </c>
      <c r="C3961" s="2" t="s">
        <v>4137</v>
      </c>
      <c r="D3961" s="2" t="s">
        <v>15</v>
      </c>
      <c r="E3961" s="2" t="s">
        <v>16</v>
      </c>
      <c r="F3961" s="2">
        <v>90</v>
      </c>
      <c r="G3961" s="2" t="s">
        <v>8993</v>
      </c>
      <c r="H3961" s="2" t="s">
        <v>1318</v>
      </c>
      <c r="I3961" s="2" t="s">
        <v>32</v>
      </c>
      <c r="J3961" s="3">
        <v>44260</v>
      </c>
      <c r="K3961" s="2">
        <v>6</v>
      </c>
      <c r="L3961" s="2" t="s">
        <v>80</v>
      </c>
    </row>
    <row r="3962" spans="1:12" x14ac:dyDescent="0.3">
      <c r="A3962" s="2">
        <v>3951</v>
      </c>
      <c r="B3962" s="2" t="s">
        <v>2391</v>
      </c>
      <c r="C3962" s="2" t="s">
        <v>1003</v>
      </c>
      <c r="D3962" s="2" t="s">
        <v>51</v>
      </c>
      <c r="E3962" s="2" t="s">
        <v>16</v>
      </c>
      <c r="F3962" s="2">
        <v>30</v>
      </c>
      <c r="G3962" s="2" t="s">
        <v>8994</v>
      </c>
      <c r="H3962" s="2" t="s">
        <v>5301</v>
      </c>
      <c r="I3962" s="2" t="s">
        <v>173</v>
      </c>
      <c r="J3962" s="3">
        <v>44407</v>
      </c>
      <c r="K3962" s="2">
        <v>44</v>
      </c>
      <c r="L3962" s="2" t="s">
        <v>101</v>
      </c>
    </row>
    <row r="3963" spans="1:12" x14ac:dyDescent="0.3">
      <c r="A3963" s="2">
        <v>3952</v>
      </c>
      <c r="B3963" s="2" t="s">
        <v>120</v>
      </c>
      <c r="C3963" s="2" t="s">
        <v>3928</v>
      </c>
      <c r="D3963" s="2" t="s">
        <v>15</v>
      </c>
      <c r="E3963" s="2" t="s">
        <v>16</v>
      </c>
      <c r="F3963" s="2">
        <v>60</v>
      </c>
      <c r="G3963" s="2" t="s">
        <v>8995</v>
      </c>
      <c r="H3963" s="2" t="s">
        <v>3682</v>
      </c>
      <c r="I3963" s="2" t="s">
        <v>178</v>
      </c>
      <c r="J3963" s="3">
        <v>44063</v>
      </c>
      <c r="K3963" s="2">
        <v>32</v>
      </c>
      <c r="L3963" s="2" t="s">
        <v>33</v>
      </c>
    </row>
    <row r="3964" spans="1:12" x14ac:dyDescent="0.3">
      <c r="A3964" s="2">
        <v>3953</v>
      </c>
      <c r="B3964" s="2" t="s">
        <v>3967</v>
      </c>
      <c r="C3964" s="2" t="s">
        <v>5417</v>
      </c>
      <c r="D3964" s="2" t="s">
        <v>28</v>
      </c>
      <c r="E3964" s="2" t="s">
        <v>29</v>
      </c>
      <c r="F3964" s="2">
        <v>60</v>
      </c>
      <c r="G3964" s="2" t="s">
        <v>8996</v>
      </c>
      <c r="H3964" s="2" t="s">
        <v>4748</v>
      </c>
      <c r="I3964" s="2" t="s">
        <v>32</v>
      </c>
      <c r="J3964" s="3">
        <v>44442</v>
      </c>
      <c r="K3964" s="2">
        <v>25</v>
      </c>
      <c r="L3964" s="2" t="s">
        <v>101</v>
      </c>
    </row>
    <row r="3965" spans="1:12" x14ac:dyDescent="0.3">
      <c r="A3965" s="2">
        <v>3954</v>
      </c>
      <c r="B3965" s="2" t="s">
        <v>8788</v>
      </c>
      <c r="C3965" s="2" t="s">
        <v>1985</v>
      </c>
      <c r="D3965" s="2" t="s">
        <v>28</v>
      </c>
      <c r="E3965" s="2" t="s">
        <v>29</v>
      </c>
      <c r="F3965" s="2">
        <v>90</v>
      </c>
      <c r="G3965" s="2" t="s">
        <v>8996</v>
      </c>
      <c r="H3965" s="2" t="s">
        <v>1791</v>
      </c>
      <c r="I3965" s="2" t="s">
        <v>32</v>
      </c>
      <c r="J3965" s="3">
        <v>44426</v>
      </c>
      <c r="K3965" s="2">
        <v>89</v>
      </c>
      <c r="L3965" s="2" t="s">
        <v>159</v>
      </c>
    </row>
    <row r="3966" spans="1:12" x14ac:dyDescent="0.3">
      <c r="A3966" s="2">
        <v>3955</v>
      </c>
      <c r="B3966" s="2" t="s">
        <v>2223</v>
      </c>
      <c r="C3966" s="2" t="s">
        <v>1853</v>
      </c>
      <c r="D3966" s="2" t="s">
        <v>28</v>
      </c>
      <c r="E3966" s="2" t="s">
        <v>29</v>
      </c>
      <c r="F3966" s="2">
        <v>60</v>
      </c>
      <c r="G3966" s="2" t="s">
        <v>8996</v>
      </c>
      <c r="H3966" s="2" t="s">
        <v>3424</v>
      </c>
      <c r="I3966" s="2" t="s">
        <v>32</v>
      </c>
      <c r="J3966" s="3">
        <v>44149</v>
      </c>
      <c r="K3966" s="2">
        <v>18</v>
      </c>
      <c r="L3966" s="2" t="s">
        <v>70</v>
      </c>
    </row>
    <row r="3967" spans="1:12" x14ac:dyDescent="0.3">
      <c r="A3967" s="2">
        <v>3956</v>
      </c>
      <c r="B3967" s="2" t="s">
        <v>979</v>
      </c>
      <c r="C3967" s="2" t="s">
        <v>2228</v>
      </c>
      <c r="D3967" s="2" t="s">
        <v>28</v>
      </c>
      <c r="E3967" s="2" t="s">
        <v>29</v>
      </c>
      <c r="F3967" s="2">
        <v>60</v>
      </c>
      <c r="G3967" s="2" t="s">
        <v>8997</v>
      </c>
      <c r="H3967" s="2" t="s">
        <v>3361</v>
      </c>
      <c r="I3967" s="2" t="s">
        <v>95</v>
      </c>
      <c r="J3967" s="3">
        <v>43928</v>
      </c>
      <c r="K3967" s="2">
        <v>16</v>
      </c>
      <c r="L3967" s="2" t="s">
        <v>101</v>
      </c>
    </row>
    <row r="3968" spans="1:12" x14ac:dyDescent="0.3">
      <c r="A3968" s="2">
        <v>3957</v>
      </c>
      <c r="B3968" s="2" t="s">
        <v>8998</v>
      </c>
      <c r="C3968" s="2" t="s">
        <v>388</v>
      </c>
      <c r="D3968" s="2" t="s">
        <v>41</v>
      </c>
      <c r="E3968" s="2" t="s">
        <v>16</v>
      </c>
      <c r="F3968" s="2">
        <v>60</v>
      </c>
      <c r="G3968" s="2" t="s">
        <v>8999</v>
      </c>
      <c r="H3968" s="2" t="s">
        <v>2818</v>
      </c>
      <c r="I3968" s="2" t="s">
        <v>32</v>
      </c>
      <c r="J3968" s="3">
        <v>44214</v>
      </c>
      <c r="K3968" s="2">
        <v>48</v>
      </c>
      <c r="L3968" s="2" t="s">
        <v>159</v>
      </c>
    </row>
    <row r="3969" spans="1:12" x14ac:dyDescent="0.3">
      <c r="A3969" s="2">
        <v>3958</v>
      </c>
      <c r="B3969" s="2" t="s">
        <v>2415</v>
      </c>
      <c r="C3969" s="2" t="s">
        <v>1779</v>
      </c>
      <c r="D3969" s="2" t="s">
        <v>92</v>
      </c>
      <c r="E3969" s="2" t="s">
        <v>29</v>
      </c>
      <c r="F3969" s="2">
        <v>60</v>
      </c>
      <c r="G3969" s="2" t="s">
        <v>9000</v>
      </c>
      <c r="H3969" s="2" t="s">
        <v>53</v>
      </c>
      <c r="I3969" s="2" t="s">
        <v>32</v>
      </c>
      <c r="J3969" s="3">
        <v>44563</v>
      </c>
      <c r="K3969" s="2">
        <v>93</v>
      </c>
      <c r="L3969" s="2" t="s">
        <v>101</v>
      </c>
    </row>
    <row r="3970" spans="1:12" x14ac:dyDescent="0.3">
      <c r="A3970" s="2">
        <v>3959</v>
      </c>
      <c r="B3970" s="2" t="s">
        <v>3213</v>
      </c>
      <c r="C3970" s="2" t="s">
        <v>4933</v>
      </c>
      <c r="D3970" s="2" t="s">
        <v>15</v>
      </c>
      <c r="E3970" s="2" t="s">
        <v>16</v>
      </c>
      <c r="F3970" s="2">
        <v>60</v>
      </c>
      <c r="G3970" s="2" t="s">
        <v>9001</v>
      </c>
      <c r="H3970" s="2" t="s">
        <v>138</v>
      </c>
      <c r="I3970" s="2" t="s">
        <v>294</v>
      </c>
      <c r="J3970" s="3">
        <v>44775</v>
      </c>
      <c r="K3970" s="2">
        <v>2</v>
      </c>
      <c r="L3970" s="2" t="s">
        <v>20</v>
      </c>
    </row>
    <row r="3971" spans="1:12" x14ac:dyDescent="0.3">
      <c r="A3971" s="2">
        <v>3960</v>
      </c>
      <c r="B3971" s="2" t="s">
        <v>8293</v>
      </c>
      <c r="C3971" s="2" t="s">
        <v>5258</v>
      </c>
      <c r="D3971" s="2" t="s">
        <v>15</v>
      </c>
      <c r="E3971" s="2" t="s">
        <v>16</v>
      </c>
      <c r="F3971" s="2">
        <v>30</v>
      </c>
      <c r="G3971" s="2" t="s">
        <v>9002</v>
      </c>
      <c r="H3971" s="2" t="s">
        <v>5189</v>
      </c>
      <c r="I3971" s="2" t="s">
        <v>32</v>
      </c>
      <c r="J3971" s="3">
        <v>44002</v>
      </c>
      <c r="K3971" s="2">
        <v>12</v>
      </c>
      <c r="L3971" s="2" t="s">
        <v>70</v>
      </c>
    </row>
    <row r="3972" spans="1:12" x14ac:dyDescent="0.3">
      <c r="A3972" s="2">
        <v>3961</v>
      </c>
      <c r="B3972" s="2" t="s">
        <v>3716</v>
      </c>
      <c r="C3972" s="2" t="s">
        <v>9003</v>
      </c>
      <c r="D3972" s="2" t="s">
        <v>51</v>
      </c>
      <c r="E3972" s="2" t="s">
        <v>16</v>
      </c>
      <c r="F3972" s="2">
        <v>30</v>
      </c>
      <c r="G3972" s="2" t="s">
        <v>9004</v>
      </c>
      <c r="H3972" s="2" t="s">
        <v>6228</v>
      </c>
      <c r="I3972" s="2" t="s">
        <v>187</v>
      </c>
      <c r="J3972" s="3">
        <v>44447</v>
      </c>
      <c r="K3972" s="2">
        <v>29</v>
      </c>
      <c r="L3972" s="2" t="s">
        <v>80</v>
      </c>
    </row>
    <row r="3973" spans="1:12" x14ac:dyDescent="0.3">
      <c r="A3973" s="2">
        <v>3962</v>
      </c>
      <c r="B3973" s="2" t="s">
        <v>4151</v>
      </c>
      <c r="C3973" s="2" t="s">
        <v>2844</v>
      </c>
      <c r="D3973" s="2" t="s">
        <v>51</v>
      </c>
      <c r="E3973" s="2" t="s">
        <v>16</v>
      </c>
      <c r="F3973" s="2">
        <v>60</v>
      </c>
      <c r="G3973" s="2" t="s">
        <v>9005</v>
      </c>
      <c r="H3973" s="2" t="s">
        <v>6736</v>
      </c>
      <c r="I3973" s="2" t="s">
        <v>32</v>
      </c>
      <c r="J3973" s="3">
        <v>44523</v>
      </c>
      <c r="K3973" s="2">
        <v>17</v>
      </c>
      <c r="L3973" s="2" t="s">
        <v>33</v>
      </c>
    </row>
    <row r="3974" spans="1:12" x14ac:dyDescent="0.3">
      <c r="A3974" s="2">
        <v>3963</v>
      </c>
      <c r="B3974" s="2" t="s">
        <v>2584</v>
      </c>
      <c r="C3974" s="2" t="s">
        <v>3564</v>
      </c>
      <c r="D3974" s="2" t="s">
        <v>28</v>
      </c>
      <c r="E3974" s="2" t="s">
        <v>29</v>
      </c>
      <c r="F3974" s="2">
        <v>60</v>
      </c>
      <c r="G3974" s="2" t="s">
        <v>9006</v>
      </c>
      <c r="H3974" s="2" t="s">
        <v>2199</v>
      </c>
      <c r="I3974" s="2" t="s">
        <v>32</v>
      </c>
      <c r="J3974" s="3">
        <v>44131</v>
      </c>
      <c r="K3974" s="2">
        <v>4</v>
      </c>
      <c r="L3974" s="2" t="s">
        <v>64</v>
      </c>
    </row>
    <row r="3975" spans="1:12" x14ac:dyDescent="0.3">
      <c r="A3975" s="2">
        <v>3964</v>
      </c>
      <c r="B3975" s="2" t="s">
        <v>3574</v>
      </c>
      <c r="C3975" s="2" t="s">
        <v>1273</v>
      </c>
      <c r="D3975" s="2" t="s">
        <v>15</v>
      </c>
      <c r="E3975" s="2" t="s">
        <v>16</v>
      </c>
      <c r="F3975" s="2">
        <v>90</v>
      </c>
      <c r="G3975" s="2" t="s">
        <v>9007</v>
      </c>
      <c r="H3975" s="2" t="s">
        <v>9008</v>
      </c>
      <c r="I3975" s="2" t="s">
        <v>32</v>
      </c>
      <c r="J3975" s="3">
        <v>44669</v>
      </c>
      <c r="K3975" s="2">
        <v>75</v>
      </c>
      <c r="L3975" s="2" t="s">
        <v>80</v>
      </c>
    </row>
    <row r="3976" spans="1:12" x14ac:dyDescent="0.3">
      <c r="A3976" s="2">
        <v>3965</v>
      </c>
      <c r="B3976" s="2" t="s">
        <v>9009</v>
      </c>
      <c r="C3976" s="2" t="s">
        <v>296</v>
      </c>
      <c r="D3976" s="2" t="s">
        <v>51</v>
      </c>
      <c r="E3976" s="2" t="s">
        <v>16</v>
      </c>
      <c r="F3976" s="2">
        <v>90</v>
      </c>
      <c r="G3976" s="2" t="s">
        <v>9010</v>
      </c>
      <c r="H3976" s="2" t="s">
        <v>1430</v>
      </c>
      <c r="I3976" s="2" t="s">
        <v>32</v>
      </c>
      <c r="J3976" s="3">
        <v>44300</v>
      </c>
      <c r="K3976" s="2">
        <v>40</v>
      </c>
      <c r="L3976" s="2" t="s">
        <v>54</v>
      </c>
    </row>
    <row r="3977" spans="1:12" x14ac:dyDescent="0.3">
      <c r="A3977" s="2">
        <v>3966</v>
      </c>
      <c r="B3977" s="2" t="s">
        <v>1262</v>
      </c>
      <c r="C3977" s="2" t="s">
        <v>3251</v>
      </c>
      <c r="D3977" s="2" t="s">
        <v>15</v>
      </c>
      <c r="E3977" s="2" t="s">
        <v>16</v>
      </c>
      <c r="F3977" s="2">
        <v>60</v>
      </c>
      <c r="G3977" s="2" t="s">
        <v>9011</v>
      </c>
      <c r="H3977" s="2" t="s">
        <v>4901</v>
      </c>
      <c r="I3977" s="2" t="s">
        <v>32</v>
      </c>
      <c r="J3977" s="3">
        <v>44016</v>
      </c>
      <c r="K3977" s="2">
        <v>81</v>
      </c>
      <c r="L3977" s="2" t="s">
        <v>20</v>
      </c>
    </row>
    <row r="3978" spans="1:12" x14ac:dyDescent="0.3">
      <c r="A3978" s="2">
        <v>3967</v>
      </c>
      <c r="B3978" s="2" t="s">
        <v>1838</v>
      </c>
      <c r="C3978" s="2" t="s">
        <v>9012</v>
      </c>
      <c r="D3978" s="2" t="s">
        <v>28</v>
      </c>
      <c r="E3978" s="2" t="s">
        <v>29</v>
      </c>
      <c r="F3978" s="2">
        <v>30</v>
      </c>
      <c r="G3978" s="2" t="s">
        <v>9013</v>
      </c>
      <c r="H3978" s="2" t="s">
        <v>957</v>
      </c>
      <c r="I3978" s="2" t="s">
        <v>95</v>
      </c>
      <c r="J3978" s="3">
        <v>44164</v>
      </c>
      <c r="K3978" s="2">
        <v>41</v>
      </c>
      <c r="L3978" s="2" t="s">
        <v>64</v>
      </c>
    </row>
    <row r="3979" spans="1:12" x14ac:dyDescent="0.3">
      <c r="A3979" s="2">
        <v>3968</v>
      </c>
      <c r="B3979" s="2" t="s">
        <v>9014</v>
      </c>
      <c r="C3979" s="2" t="s">
        <v>4782</v>
      </c>
      <c r="D3979" s="2" t="s">
        <v>51</v>
      </c>
      <c r="E3979" s="2" t="s">
        <v>16</v>
      </c>
      <c r="F3979" s="2">
        <v>90</v>
      </c>
      <c r="G3979" s="2" t="s">
        <v>9015</v>
      </c>
      <c r="H3979" s="2" t="s">
        <v>1168</v>
      </c>
      <c r="I3979" s="2" t="s">
        <v>32</v>
      </c>
      <c r="J3979" s="3">
        <v>44330</v>
      </c>
      <c r="K3979" s="2">
        <v>40</v>
      </c>
      <c r="L3979" s="2" t="s">
        <v>39</v>
      </c>
    </row>
    <row r="3980" spans="1:12" x14ac:dyDescent="0.3">
      <c r="A3980" s="2">
        <v>3969</v>
      </c>
      <c r="B3980" s="2" t="s">
        <v>9016</v>
      </c>
      <c r="C3980" s="2" t="s">
        <v>1635</v>
      </c>
      <c r="D3980" s="2" t="s">
        <v>15</v>
      </c>
      <c r="E3980" s="2" t="s">
        <v>16</v>
      </c>
      <c r="F3980" s="2">
        <v>90</v>
      </c>
      <c r="G3980" s="2" t="s">
        <v>9017</v>
      </c>
      <c r="H3980" s="2" t="s">
        <v>4825</v>
      </c>
      <c r="I3980" s="2" t="s">
        <v>32</v>
      </c>
      <c r="J3980" s="3">
        <v>44656</v>
      </c>
      <c r="K3980" s="2">
        <v>81</v>
      </c>
      <c r="L3980" s="2" t="s">
        <v>20</v>
      </c>
    </row>
    <row r="3981" spans="1:12" x14ac:dyDescent="0.3">
      <c r="A3981" s="2">
        <v>3970</v>
      </c>
      <c r="B3981" s="2" t="s">
        <v>9018</v>
      </c>
      <c r="C3981" s="2" t="s">
        <v>321</v>
      </c>
      <c r="D3981" s="2" t="s">
        <v>51</v>
      </c>
      <c r="E3981" s="2" t="s">
        <v>16</v>
      </c>
      <c r="F3981" s="2">
        <v>90</v>
      </c>
      <c r="G3981" s="2" t="s">
        <v>9019</v>
      </c>
      <c r="H3981" s="2" t="s">
        <v>724</v>
      </c>
      <c r="I3981" s="2" t="s">
        <v>240</v>
      </c>
      <c r="J3981" s="3">
        <v>44585</v>
      </c>
      <c r="K3981" s="2">
        <v>46</v>
      </c>
      <c r="L3981" s="2" t="s">
        <v>70</v>
      </c>
    </row>
    <row r="3982" spans="1:12" x14ac:dyDescent="0.3">
      <c r="A3982" s="2">
        <v>3971</v>
      </c>
      <c r="B3982" s="2" t="s">
        <v>9020</v>
      </c>
      <c r="C3982" s="2" t="s">
        <v>6203</v>
      </c>
      <c r="D3982" s="2" t="s">
        <v>15</v>
      </c>
      <c r="E3982" s="2" t="s">
        <v>16</v>
      </c>
      <c r="F3982" s="2">
        <v>90</v>
      </c>
      <c r="G3982" s="2" t="s">
        <v>9021</v>
      </c>
      <c r="H3982" s="2" t="s">
        <v>9022</v>
      </c>
      <c r="I3982" s="2" t="s">
        <v>187</v>
      </c>
      <c r="J3982" s="3">
        <v>44277</v>
      </c>
      <c r="K3982" s="2">
        <v>26</v>
      </c>
      <c r="L3982" s="2" t="s">
        <v>80</v>
      </c>
    </row>
    <row r="3983" spans="1:12" x14ac:dyDescent="0.3">
      <c r="A3983" s="2">
        <v>3972</v>
      </c>
      <c r="B3983" s="2" t="s">
        <v>5257</v>
      </c>
      <c r="C3983" s="2" t="s">
        <v>3345</v>
      </c>
      <c r="D3983" s="2" t="s">
        <v>51</v>
      </c>
      <c r="E3983" s="2" t="s">
        <v>16</v>
      </c>
      <c r="F3983" s="2">
        <v>90</v>
      </c>
      <c r="G3983" s="2" t="s">
        <v>9023</v>
      </c>
      <c r="H3983" s="2" t="s">
        <v>8110</v>
      </c>
      <c r="I3983" s="2" t="s">
        <v>173</v>
      </c>
      <c r="J3983" s="3">
        <v>44606</v>
      </c>
      <c r="K3983" s="2">
        <v>5</v>
      </c>
      <c r="L3983" s="2" t="s">
        <v>101</v>
      </c>
    </row>
    <row r="3984" spans="1:12" x14ac:dyDescent="0.3">
      <c r="A3984" s="2">
        <v>3973</v>
      </c>
      <c r="B3984" s="2" t="s">
        <v>9024</v>
      </c>
      <c r="C3984" s="2" t="s">
        <v>135</v>
      </c>
      <c r="D3984" s="2" t="s">
        <v>28</v>
      </c>
      <c r="E3984" s="2" t="s">
        <v>29</v>
      </c>
      <c r="F3984" s="2">
        <v>90</v>
      </c>
      <c r="G3984" s="2" t="s">
        <v>9025</v>
      </c>
      <c r="H3984" s="2" t="s">
        <v>641</v>
      </c>
      <c r="I3984" s="2" t="s">
        <v>294</v>
      </c>
      <c r="J3984" s="3">
        <v>44372</v>
      </c>
      <c r="K3984" s="2">
        <v>42</v>
      </c>
      <c r="L3984" s="2" t="s">
        <v>159</v>
      </c>
    </row>
    <row r="3985" spans="1:12" x14ac:dyDescent="0.3">
      <c r="A3985" s="2">
        <v>3974</v>
      </c>
      <c r="B3985" s="2" t="s">
        <v>1699</v>
      </c>
      <c r="C3985" s="2" t="s">
        <v>4324</v>
      </c>
      <c r="D3985" s="2" t="s">
        <v>28</v>
      </c>
      <c r="E3985" s="2" t="s">
        <v>29</v>
      </c>
      <c r="F3985" s="2">
        <v>90</v>
      </c>
      <c r="G3985" s="2" t="s">
        <v>9026</v>
      </c>
      <c r="H3985" s="2" t="s">
        <v>1601</v>
      </c>
      <c r="I3985" s="2" t="s">
        <v>32</v>
      </c>
      <c r="J3985" s="3">
        <v>44631</v>
      </c>
      <c r="K3985" s="2">
        <v>67</v>
      </c>
      <c r="L3985" s="2" t="s">
        <v>45</v>
      </c>
    </row>
    <row r="3986" spans="1:12" x14ac:dyDescent="0.3">
      <c r="A3986" s="2">
        <v>3975</v>
      </c>
      <c r="B3986" s="2" t="s">
        <v>96</v>
      </c>
      <c r="C3986" s="2" t="s">
        <v>5164</v>
      </c>
      <c r="D3986" s="2" t="s">
        <v>28</v>
      </c>
      <c r="E3986" s="2" t="s">
        <v>29</v>
      </c>
      <c r="F3986" s="2">
        <v>30</v>
      </c>
      <c r="G3986" s="2" t="s">
        <v>9027</v>
      </c>
      <c r="H3986" s="2" t="s">
        <v>326</v>
      </c>
      <c r="I3986" s="2" t="s">
        <v>25</v>
      </c>
      <c r="J3986" s="3">
        <v>43895</v>
      </c>
      <c r="K3986" s="2">
        <v>41</v>
      </c>
      <c r="L3986" s="2" t="s">
        <v>33</v>
      </c>
    </row>
    <row r="3987" spans="1:12" x14ac:dyDescent="0.3">
      <c r="A3987" s="2">
        <v>3976</v>
      </c>
      <c r="B3987" s="2" t="s">
        <v>588</v>
      </c>
      <c r="C3987" s="2" t="s">
        <v>9028</v>
      </c>
      <c r="D3987" s="2" t="s">
        <v>51</v>
      </c>
      <c r="E3987" s="2" t="s">
        <v>16</v>
      </c>
      <c r="F3987" s="2">
        <v>90</v>
      </c>
      <c r="G3987" s="2" t="s">
        <v>9029</v>
      </c>
      <c r="H3987" s="2" t="s">
        <v>4607</v>
      </c>
      <c r="I3987" s="2" t="s">
        <v>25</v>
      </c>
      <c r="J3987" s="3">
        <v>43982</v>
      </c>
      <c r="K3987" s="2">
        <v>85</v>
      </c>
      <c r="L3987" s="2" t="s">
        <v>159</v>
      </c>
    </row>
    <row r="3988" spans="1:12" x14ac:dyDescent="0.3">
      <c r="A3988" s="2">
        <v>3977</v>
      </c>
      <c r="B3988" s="2" t="s">
        <v>9030</v>
      </c>
      <c r="C3988" s="2" t="s">
        <v>2561</v>
      </c>
      <c r="D3988" s="2" t="s">
        <v>51</v>
      </c>
      <c r="E3988" s="2" t="s">
        <v>16</v>
      </c>
      <c r="F3988" s="2">
        <v>90</v>
      </c>
      <c r="G3988" s="2" t="s">
        <v>9031</v>
      </c>
      <c r="H3988" s="2" t="s">
        <v>806</v>
      </c>
      <c r="I3988" s="2" t="s">
        <v>178</v>
      </c>
      <c r="J3988" s="3">
        <v>44016</v>
      </c>
      <c r="K3988" s="2">
        <v>42</v>
      </c>
      <c r="L3988" s="2" t="s">
        <v>70</v>
      </c>
    </row>
    <row r="3989" spans="1:12" x14ac:dyDescent="0.3">
      <c r="A3989" s="2">
        <v>3978</v>
      </c>
      <c r="B3989" s="2" t="s">
        <v>4452</v>
      </c>
      <c r="C3989" s="2" t="s">
        <v>2650</v>
      </c>
      <c r="D3989" s="2" t="s">
        <v>92</v>
      </c>
      <c r="E3989" s="2" t="s">
        <v>29</v>
      </c>
      <c r="F3989" s="2">
        <v>60</v>
      </c>
      <c r="G3989" s="2" t="s">
        <v>9032</v>
      </c>
      <c r="H3989" s="2" t="s">
        <v>1039</v>
      </c>
      <c r="I3989" s="2" t="s">
        <v>25</v>
      </c>
      <c r="J3989" s="3">
        <v>44587</v>
      </c>
      <c r="K3989" s="2">
        <v>100</v>
      </c>
      <c r="L3989" s="2" t="s">
        <v>54</v>
      </c>
    </row>
    <row r="3990" spans="1:12" x14ac:dyDescent="0.3">
      <c r="A3990" s="2">
        <v>3979</v>
      </c>
      <c r="B3990" s="2" t="s">
        <v>6559</v>
      </c>
      <c r="C3990" s="2" t="s">
        <v>3803</v>
      </c>
      <c r="D3990" s="2" t="s">
        <v>15</v>
      </c>
      <c r="E3990" s="2" t="s">
        <v>16</v>
      </c>
      <c r="F3990" s="2">
        <v>90</v>
      </c>
      <c r="G3990" s="2" t="s">
        <v>9033</v>
      </c>
      <c r="H3990" s="2" t="s">
        <v>957</v>
      </c>
      <c r="I3990" s="2" t="s">
        <v>95</v>
      </c>
      <c r="J3990" s="3">
        <v>44824</v>
      </c>
      <c r="K3990" s="2">
        <v>103</v>
      </c>
      <c r="L3990" s="2" t="s">
        <v>101</v>
      </c>
    </row>
    <row r="3991" spans="1:12" x14ac:dyDescent="0.3">
      <c r="A3991" s="2">
        <v>3980</v>
      </c>
      <c r="B3991" s="2" t="s">
        <v>1108</v>
      </c>
      <c r="C3991" s="2" t="s">
        <v>3941</v>
      </c>
      <c r="D3991" s="2" t="s">
        <v>28</v>
      </c>
      <c r="E3991" s="2" t="s">
        <v>29</v>
      </c>
      <c r="F3991" s="2">
        <v>30</v>
      </c>
      <c r="G3991" s="2" t="s">
        <v>9034</v>
      </c>
      <c r="H3991" s="2" t="s">
        <v>455</v>
      </c>
      <c r="I3991" s="2" t="s">
        <v>187</v>
      </c>
      <c r="J3991" s="3">
        <v>44382</v>
      </c>
      <c r="K3991" s="2">
        <v>5</v>
      </c>
      <c r="L3991" s="2" t="s">
        <v>159</v>
      </c>
    </row>
    <row r="3992" spans="1:12" x14ac:dyDescent="0.3">
      <c r="A3992" s="2">
        <v>3981</v>
      </c>
      <c r="B3992" s="2" t="s">
        <v>2009</v>
      </c>
      <c r="C3992" s="2" t="s">
        <v>3009</v>
      </c>
      <c r="D3992" s="2" t="s">
        <v>28</v>
      </c>
      <c r="E3992" s="2" t="s">
        <v>29</v>
      </c>
      <c r="F3992" s="2">
        <v>60</v>
      </c>
      <c r="G3992" s="2" t="s">
        <v>9035</v>
      </c>
      <c r="H3992" s="2" t="s">
        <v>2737</v>
      </c>
      <c r="I3992" s="2" t="s">
        <v>32</v>
      </c>
      <c r="J3992" s="3">
        <v>43872</v>
      </c>
      <c r="K3992" s="2">
        <v>39</v>
      </c>
      <c r="L3992" s="2" t="s">
        <v>64</v>
      </c>
    </row>
    <row r="3993" spans="1:12" x14ac:dyDescent="0.3">
      <c r="A3993" s="2">
        <v>3982</v>
      </c>
      <c r="B3993" s="2" t="s">
        <v>9036</v>
      </c>
      <c r="C3993" s="2" t="s">
        <v>1109</v>
      </c>
      <c r="D3993" s="2" t="s">
        <v>15</v>
      </c>
      <c r="E3993" s="2" t="s">
        <v>16</v>
      </c>
      <c r="F3993" s="2">
        <v>30</v>
      </c>
      <c r="G3993" s="2" t="s">
        <v>9037</v>
      </c>
      <c r="H3993" s="2" t="s">
        <v>3682</v>
      </c>
      <c r="I3993" s="2" t="s">
        <v>178</v>
      </c>
      <c r="J3993" s="3">
        <v>44572</v>
      </c>
      <c r="K3993" s="2">
        <v>10</v>
      </c>
      <c r="L3993" s="2" t="s">
        <v>33</v>
      </c>
    </row>
    <row r="3994" spans="1:12" x14ac:dyDescent="0.3">
      <c r="A3994" s="2">
        <v>3983</v>
      </c>
      <c r="B3994" s="2" t="s">
        <v>9038</v>
      </c>
      <c r="C3994" s="2" t="s">
        <v>8794</v>
      </c>
      <c r="D3994" s="2" t="s">
        <v>15</v>
      </c>
      <c r="E3994" s="2" t="s">
        <v>16</v>
      </c>
      <c r="F3994" s="2">
        <v>30</v>
      </c>
      <c r="G3994" s="2" t="s">
        <v>9039</v>
      </c>
      <c r="H3994" s="2" t="s">
        <v>2418</v>
      </c>
      <c r="I3994" s="2" t="s">
        <v>32</v>
      </c>
      <c r="J3994" s="3">
        <v>44459</v>
      </c>
      <c r="K3994" s="2">
        <v>59</v>
      </c>
      <c r="L3994" s="2" t="s">
        <v>45</v>
      </c>
    </row>
    <row r="3995" spans="1:12" x14ac:dyDescent="0.3">
      <c r="A3995" s="2">
        <v>3984</v>
      </c>
      <c r="B3995" s="2" t="s">
        <v>46</v>
      </c>
      <c r="C3995" s="2" t="s">
        <v>375</v>
      </c>
      <c r="D3995" s="2" t="s">
        <v>28</v>
      </c>
      <c r="E3995" s="2" t="s">
        <v>29</v>
      </c>
      <c r="F3995" s="2">
        <v>60</v>
      </c>
      <c r="G3995" s="2" t="s">
        <v>9040</v>
      </c>
      <c r="H3995" s="2" t="s">
        <v>3157</v>
      </c>
      <c r="I3995" s="2" t="s">
        <v>32</v>
      </c>
      <c r="J3995" s="3">
        <v>44794</v>
      </c>
      <c r="K3995" s="2">
        <v>38</v>
      </c>
      <c r="L3995" s="2" t="s">
        <v>20</v>
      </c>
    </row>
    <row r="3996" spans="1:12" x14ac:dyDescent="0.3">
      <c r="A3996" s="2">
        <v>3985</v>
      </c>
      <c r="B3996" s="2" t="s">
        <v>9041</v>
      </c>
      <c r="C3996" s="2" t="s">
        <v>3422</v>
      </c>
      <c r="D3996" s="2" t="s">
        <v>117</v>
      </c>
      <c r="E3996" s="2" t="s">
        <v>16</v>
      </c>
      <c r="F3996" s="2">
        <v>90</v>
      </c>
      <c r="G3996" s="2" t="s">
        <v>9042</v>
      </c>
      <c r="H3996" s="2" t="s">
        <v>898</v>
      </c>
      <c r="I3996" s="2" t="s">
        <v>32</v>
      </c>
      <c r="J3996" s="3">
        <v>44425</v>
      </c>
      <c r="K3996" s="2">
        <v>78</v>
      </c>
      <c r="L3996" s="2" t="s">
        <v>45</v>
      </c>
    </row>
    <row r="3997" spans="1:12" x14ac:dyDescent="0.3">
      <c r="A3997" s="2">
        <v>3986</v>
      </c>
      <c r="B3997" s="2" t="s">
        <v>5950</v>
      </c>
      <c r="C3997" s="2" t="s">
        <v>5113</v>
      </c>
      <c r="D3997" s="2" t="s">
        <v>51</v>
      </c>
      <c r="E3997" s="2" t="s">
        <v>16</v>
      </c>
      <c r="F3997" s="2">
        <v>60</v>
      </c>
      <c r="G3997" s="2" t="s">
        <v>9043</v>
      </c>
      <c r="H3997" s="2" t="s">
        <v>84</v>
      </c>
      <c r="I3997" s="2" t="s">
        <v>32</v>
      </c>
      <c r="J3997" s="3">
        <v>43859</v>
      </c>
      <c r="K3997" s="2">
        <v>60</v>
      </c>
      <c r="L3997" s="2" t="s">
        <v>54</v>
      </c>
    </row>
    <row r="3998" spans="1:12" x14ac:dyDescent="0.3">
      <c r="A3998" s="2">
        <v>3987</v>
      </c>
      <c r="B3998" s="2" t="s">
        <v>986</v>
      </c>
      <c r="C3998" s="2" t="s">
        <v>1101</v>
      </c>
      <c r="D3998" s="2" t="s">
        <v>28</v>
      </c>
      <c r="E3998" s="2" t="s">
        <v>29</v>
      </c>
      <c r="F3998" s="2">
        <v>60</v>
      </c>
      <c r="G3998" s="2" t="s">
        <v>9044</v>
      </c>
      <c r="H3998" s="2" t="s">
        <v>7343</v>
      </c>
      <c r="I3998" s="2" t="s">
        <v>1126</v>
      </c>
      <c r="J3998" s="3">
        <v>44609</v>
      </c>
      <c r="K3998" s="2">
        <v>105</v>
      </c>
      <c r="L3998" s="2" t="s">
        <v>20</v>
      </c>
    </row>
    <row r="3999" spans="1:12" x14ac:dyDescent="0.3">
      <c r="A3999" s="2">
        <v>3988</v>
      </c>
      <c r="B3999" s="2" t="s">
        <v>7034</v>
      </c>
      <c r="C3999" s="2" t="s">
        <v>3917</v>
      </c>
      <c r="D3999" s="2" t="s">
        <v>28</v>
      </c>
      <c r="E3999" s="2" t="s">
        <v>29</v>
      </c>
      <c r="F3999" s="2">
        <v>60</v>
      </c>
      <c r="G3999" s="2" t="s">
        <v>9045</v>
      </c>
      <c r="H3999" s="2" t="s">
        <v>462</v>
      </c>
      <c r="I3999" s="2" t="s">
        <v>32</v>
      </c>
      <c r="J3999" s="3">
        <v>44629</v>
      </c>
      <c r="K3999" s="2">
        <v>32</v>
      </c>
      <c r="L3999" s="2" t="s">
        <v>159</v>
      </c>
    </row>
    <row r="4000" spans="1:12" x14ac:dyDescent="0.3">
      <c r="A4000" s="2">
        <v>3989</v>
      </c>
      <c r="B4000" s="2" t="s">
        <v>9046</v>
      </c>
      <c r="C4000" s="2" t="s">
        <v>1475</v>
      </c>
      <c r="D4000" s="2" t="s">
        <v>28</v>
      </c>
      <c r="E4000" s="2" t="s">
        <v>29</v>
      </c>
      <c r="F4000" s="2">
        <v>60</v>
      </c>
      <c r="G4000" s="2" t="s">
        <v>9047</v>
      </c>
      <c r="H4000" s="2" t="s">
        <v>5751</v>
      </c>
      <c r="I4000" s="2" t="s">
        <v>178</v>
      </c>
      <c r="J4000" s="3">
        <v>44802</v>
      </c>
      <c r="K4000" s="2">
        <v>56</v>
      </c>
      <c r="L4000" s="2" t="s">
        <v>101</v>
      </c>
    </row>
    <row r="4001" spans="1:12" x14ac:dyDescent="0.3">
      <c r="A4001" s="2">
        <v>3990</v>
      </c>
      <c r="B4001" s="2" t="s">
        <v>7561</v>
      </c>
      <c r="C4001" s="2" t="s">
        <v>3095</v>
      </c>
      <c r="D4001" s="2" t="s">
        <v>28</v>
      </c>
      <c r="E4001" s="2" t="s">
        <v>29</v>
      </c>
      <c r="F4001" s="2">
        <v>30</v>
      </c>
      <c r="G4001" s="2" t="s">
        <v>9048</v>
      </c>
      <c r="H4001" s="2" t="s">
        <v>8121</v>
      </c>
      <c r="I4001" s="2" t="s">
        <v>44</v>
      </c>
      <c r="J4001" s="3">
        <v>44035</v>
      </c>
      <c r="K4001" s="2">
        <v>42</v>
      </c>
      <c r="L4001" s="2" t="s">
        <v>45</v>
      </c>
    </row>
    <row r="4002" spans="1:12" x14ac:dyDescent="0.3">
      <c r="A4002" s="2">
        <v>3991</v>
      </c>
      <c r="B4002" s="2" t="s">
        <v>811</v>
      </c>
      <c r="C4002" s="2" t="s">
        <v>1928</v>
      </c>
      <c r="D4002" s="2" t="s">
        <v>28</v>
      </c>
      <c r="E4002" s="2" t="s">
        <v>29</v>
      </c>
      <c r="F4002" s="2">
        <v>30</v>
      </c>
      <c r="G4002" s="2" t="s">
        <v>9049</v>
      </c>
      <c r="H4002" s="2" t="s">
        <v>9050</v>
      </c>
      <c r="I4002" s="2" t="s">
        <v>32</v>
      </c>
      <c r="J4002" s="3">
        <v>44587</v>
      </c>
      <c r="K4002" s="2">
        <v>64</v>
      </c>
      <c r="L4002" s="2" t="s">
        <v>45</v>
      </c>
    </row>
    <row r="4003" spans="1:12" x14ac:dyDescent="0.3">
      <c r="A4003" s="2">
        <v>3992</v>
      </c>
      <c r="B4003" s="2" t="s">
        <v>9051</v>
      </c>
      <c r="C4003" s="2" t="s">
        <v>7556</v>
      </c>
      <c r="D4003" s="2" t="s">
        <v>15</v>
      </c>
      <c r="E4003" s="2" t="s">
        <v>16</v>
      </c>
      <c r="F4003" s="2">
        <v>60</v>
      </c>
      <c r="G4003" s="2" t="s">
        <v>9052</v>
      </c>
      <c r="H4003" s="2" t="s">
        <v>3194</v>
      </c>
      <c r="I4003" s="2" t="s">
        <v>819</v>
      </c>
      <c r="J4003" s="3">
        <v>44491</v>
      </c>
      <c r="K4003" s="2">
        <v>54</v>
      </c>
      <c r="L4003" s="2" t="s">
        <v>45</v>
      </c>
    </row>
    <row r="4004" spans="1:12" x14ac:dyDescent="0.3">
      <c r="A4004" s="2">
        <v>3993</v>
      </c>
      <c r="B4004" s="2" t="s">
        <v>6942</v>
      </c>
      <c r="C4004" s="2" t="s">
        <v>1010</v>
      </c>
      <c r="D4004" s="2" t="s">
        <v>28</v>
      </c>
      <c r="E4004" s="2" t="s">
        <v>29</v>
      </c>
      <c r="F4004" s="2">
        <v>30</v>
      </c>
      <c r="G4004" s="2" t="s">
        <v>9053</v>
      </c>
      <c r="H4004" s="2" t="s">
        <v>2834</v>
      </c>
      <c r="I4004" s="2" t="s">
        <v>19</v>
      </c>
      <c r="J4004" s="3">
        <v>43849</v>
      </c>
      <c r="K4004" s="2">
        <v>28</v>
      </c>
      <c r="L4004" s="2" t="s">
        <v>33</v>
      </c>
    </row>
    <row r="4005" spans="1:12" x14ac:dyDescent="0.3">
      <c r="A4005" s="2">
        <v>3994</v>
      </c>
      <c r="B4005" s="2" t="s">
        <v>9054</v>
      </c>
      <c r="C4005" s="2" t="s">
        <v>9055</v>
      </c>
      <c r="D4005" s="2" t="s">
        <v>15</v>
      </c>
      <c r="E4005" s="2" t="s">
        <v>16</v>
      </c>
      <c r="F4005" s="2">
        <v>60</v>
      </c>
      <c r="G4005" s="2" t="s">
        <v>9056</v>
      </c>
      <c r="H4005" s="2" t="s">
        <v>2506</v>
      </c>
      <c r="I4005" s="2" t="s">
        <v>32</v>
      </c>
      <c r="J4005" s="3">
        <v>43881</v>
      </c>
      <c r="K4005" s="2">
        <v>55</v>
      </c>
      <c r="L4005" s="2" t="s">
        <v>33</v>
      </c>
    </row>
    <row r="4006" spans="1:12" x14ac:dyDescent="0.3">
      <c r="A4006" s="2">
        <v>3995</v>
      </c>
      <c r="B4006" s="2" t="s">
        <v>5088</v>
      </c>
      <c r="C4006" s="2" t="s">
        <v>5174</v>
      </c>
      <c r="D4006" s="2" t="s">
        <v>28</v>
      </c>
      <c r="E4006" s="2" t="s">
        <v>29</v>
      </c>
      <c r="F4006" s="2">
        <v>60</v>
      </c>
      <c r="G4006" s="2" t="s">
        <v>9057</v>
      </c>
      <c r="H4006" s="2" t="s">
        <v>5962</v>
      </c>
      <c r="I4006" s="2" t="s">
        <v>32</v>
      </c>
      <c r="J4006" s="3">
        <v>44778</v>
      </c>
      <c r="K4006" s="2">
        <v>94</v>
      </c>
      <c r="L4006" s="2" t="s">
        <v>39</v>
      </c>
    </row>
    <row r="4007" spans="1:12" x14ac:dyDescent="0.3">
      <c r="A4007" s="2">
        <v>3996</v>
      </c>
      <c r="B4007" s="2" t="s">
        <v>9058</v>
      </c>
      <c r="C4007" s="2" t="s">
        <v>4173</v>
      </c>
      <c r="D4007" s="2" t="s">
        <v>15</v>
      </c>
      <c r="E4007" s="2" t="s">
        <v>16</v>
      </c>
      <c r="F4007" s="2">
        <v>60</v>
      </c>
      <c r="G4007" s="2" t="s">
        <v>9059</v>
      </c>
      <c r="H4007" s="2" t="s">
        <v>6036</v>
      </c>
      <c r="I4007" s="2" t="s">
        <v>32</v>
      </c>
      <c r="J4007" s="3">
        <v>44101</v>
      </c>
      <c r="K4007" s="2">
        <v>68</v>
      </c>
      <c r="L4007" s="2" t="s">
        <v>20</v>
      </c>
    </row>
    <row r="4008" spans="1:12" x14ac:dyDescent="0.3">
      <c r="A4008" s="2">
        <v>3997</v>
      </c>
      <c r="B4008" s="2" t="s">
        <v>9060</v>
      </c>
      <c r="C4008" s="2" t="s">
        <v>3237</v>
      </c>
      <c r="D4008" s="2" t="s">
        <v>51</v>
      </c>
      <c r="E4008" s="2" t="s">
        <v>16</v>
      </c>
      <c r="F4008" s="2">
        <v>30</v>
      </c>
      <c r="G4008" s="2" t="s">
        <v>9061</v>
      </c>
      <c r="H4008" s="2" t="s">
        <v>105</v>
      </c>
      <c r="I4008" s="2" t="s">
        <v>32</v>
      </c>
      <c r="J4008" s="3">
        <v>44327</v>
      </c>
      <c r="K4008" s="2">
        <v>53</v>
      </c>
      <c r="L4008" s="2" t="s">
        <v>80</v>
      </c>
    </row>
    <row r="4009" spans="1:12" x14ac:dyDescent="0.3">
      <c r="A4009" s="2">
        <v>3998</v>
      </c>
      <c r="B4009" s="2" t="s">
        <v>9062</v>
      </c>
      <c r="C4009" s="2" t="s">
        <v>3588</v>
      </c>
      <c r="D4009" s="2" t="s">
        <v>51</v>
      </c>
      <c r="E4009" s="2" t="s">
        <v>16</v>
      </c>
      <c r="F4009" s="2">
        <v>30</v>
      </c>
      <c r="G4009" s="2" t="s">
        <v>9063</v>
      </c>
      <c r="H4009" s="2" t="s">
        <v>6772</v>
      </c>
      <c r="I4009" s="2" t="s">
        <v>32</v>
      </c>
      <c r="J4009" s="3">
        <v>44155</v>
      </c>
      <c r="K4009" s="2">
        <v>55</v>
      </c>
      <c r="L4009" s="2" t="s">
        <v>64</v>
      </c>
    </row>
    <row r="4010" spans="1:12" x14ac:dyDescent="0.3">
      <c r="A4010" s="2">
        <v>3999</v>
      </c>
      <c r="B4010" s="2" t="s">
        <v>9064</v>
      </c>
      <c r="C4010" s="2" t="s">
        <v>2286</v>
      </c>
      <c r="D4010" s="2" t="s">
        <v>28</v>
      </c>
      <c r="E4010" s="2" t="s">
        <v>29</v>
      </c>
      <c r="F4010" s="2">
        <v>60</v>
      </c>
      <c r="G4010" s="2" t="s">
        <v>9065</v>
      </c>
      <c r="H4010" s="2" t="s">
        <v>4675</v>
      </c>
      <c r="I4010" s="2" t="s">
        <v>178</v>
      </c>
      <c r="J4010" s="3">
        <v>44886</v>
      </c>
      <c r="K4010" s="2">
        <v>68</v>
      </c>
      <c r="L4010" s="2" t="s">
        <v>64</v>
      </c>
    </row>
    <row r="4011" spans="1:12" x14ac:dyDescent="0.3">
      <c r="A4011" s="2">
        <v>4000</v>
      </c>
      <c r="B4011" s="2" t="s">
        <v>184</v>
      </c>
      <c r="C4011" s="2" t="s">
        <v>9066</v>
      </c>
      <c r="D4011" s="2" t="s">
        <v>28</v>
      </c>
      <c r="E4011" s="2" t="s">
        <v>29</v>
      </c>
      <c r="F4011" s="2">
        <v>30</v>
      </c>
      <c r="G4011" s="2" t="s">
        <v>9067</v>
      </c>
      <c r="H4011" s="2" t="s">
        <v>574</v>
      </c>
      <c r="I4011" s="2" t="s">
        <v>575</v>
      </c>
      <c r="J4011" s="3">
        <v>44759</v>
      </c>
      <c r="K4011" s="2">
        <v>103</v>
      </c>
      <c r="L4011" s="2" t="s">
        <v>70</v>
      </c>
    </row>
    <row r="4012" spans="1:12" x14ac:dyDescent="0.3">
      <c r="A4012" s="2">
        <v>4001</v>
      </c>
      <c r="B4012" s="2" t="s">
        <v>2426</v>
      </c>
      <c r="C4012" s="2" t="s">
        <v>237</v>
      </c>
      <c r="D4012" s="2" t="s">
        <v>28</v>
      </c>
      <c r="E4012" s="2" t="s">
        <v>29</v>
      </c>
      <c r="F4012" s="2">
        <v>60</v>
      </c>
      <c r="G4012" s="2" t="s">
        <v>9068</v>
      </c>
      <c r="H4012" s="2" t="s">
        <v>5316</v>
      </c>
      <c r="I4012" s="2" t="s">
        <v>25</v>
      </c>
      <c r="J4012" s="3">
        <v>44716</v>
      </c>
      <c r="K4012" s="2">
        <v>4</v>
      </c>
      <c r="L4012" s="2" t="s">
        <v>20</v>
      </c>
    </row>
    <row r="4013" spans="1:12" x14ac:dyDescent="0.3">
      <c r="A4013" s="2">
        <v>4002</v>
      </c>
      <c r="B4013" s="2" t="s">
        <v>3073</v>
      </c>
      <c r="C4013" s="2" t="s">
        <v>7774</v>
      </c>
      <c r="D4013" s="2" t="s">
        <v>28</v>
      </c>
      <c r="E4013" s="2" t="s">
        <v>29</v>
      </c>
      <c r="F4013" s="2">
        <v>60</v>
      </c>
      <c r="G4013" s="2" t="s">
        <v>9069</v>
      </c>
      <c r="H4013" s="2" t="s">
        <v>1629</v>
      </c>
      <c r="I4013" s="2" t="s">
        <v>32</v>
      </c>
      <c r="J4013" s="3">
        <v>44434</v>
      </c>
      <c r="K4013" s="2">
        <v>66</v>
      </c>
      <c r="L4013" s="2" t="s">
        <v>64</v>
      </c>
    </row>
    <row r="4014" spans="1:12" x14ac:dyDescent="0.3">
      <c r="A4014" s="2">
        <v>4003</v>
      </c>
      <c r="B4014" s="2" t="s">
        <v>5128</v>
      </c>
      <c r="C4014" s="2" t="s">
        <v>2945</v>
      </c>
      <c r="D4014" s="2" t="s">
        <v>28</v>
      </c>
      <c r="E4014" s="2" t="s">
        <v>29</v>
      </c>
      <c r="F4014" s="2">
        <v>30</v>
      </c>
      <c r="G4014" s="2" t="s">
        <v>10453</v>
      </c>
      <c r="H4014" s="2" t="s">
        <v>6249</v>
      </c>
      <c r="I4014" s="2" t="s">
        <v>38</v>
      </c>
      <c r="J4014" s="3">
        <v>44290</v>
      </c>
      <c r="K4014" s="2">
        <v>16</v>
      </c>
      <c r="L4014" s="2" t="s">
        <v>20</v>
      </c>
    </row>
    <row r="4015" spans="1:12" x14ac:dyDescent="0.3">
      <c r="A4015" s="2">
        <v>4004</v>
      </c>
      <c r="B4015" s="2" t="s">
        <v>504</v>
      </c>
      <c r="C4015" s="2" t="s">
        <v>6454</v>
      </c>
      <c r="D4015" s="2" t="s">
        <v>28</v>
      </c>
      <c r="E4015" s="2" t="s">
        <v>29</v>
      </c>
      <c r="F4015" s="2">
        <v>30</v>
      </c>
      <c r="G4015" s="2" t="s">
        <v>9071</v>
      </c>
      <c r="H4015" s="2" t="s">
        <v>2172</v>
      </c>
      <c r="I4015" s="2" t="s">
        <v>32</v>
      </c>
      <c r="J4015" s="3">
        <v>44861</v>
      </c>
      <c r="K4015" s="2">
        <v>54</v>
      </c>
      <c r="L4015" s="2" t="s">
        <v>33</v>
      </c>
    </row>
    <row r="4016" spans="1:12" x14ac:dyDescent="0.3">
      <c r="A4016" s="2">
        <v>4005</v>
      </c>
      <c r="B4016" s="2" t="s">
        <v>9072</v>
      </c>
      <c r="C4016" s="2" t="s">
        <v>2566</v>
      </c>
      <c r="D4016" s="2" t="s">
        <v>28</v>
      </c>
      <c r="E4016" s="2" t="s">
        <v>29</v>
      </c>
      <c r="F4016" s="2">
        <v>60</v>
      </c>
      <c r="G4016" s="2" t="s">
        <v>9073</v>
      </c>
      <c r="H4016" s="2" t="s">
        <v>3991</v>
      </c>
      <c r="I4016" s="2" t="s">
        <v>32</v>
      </c>
      <c r="J4016" s="3">
        <v>44389</v>
      </c>
      <c r="K4016" s="2">
        <v>25</v>
      </c>
      <c r="L4016" s="2" t="s">
        <v>101</v>
      </c>
    </row>
    <row r="4017" spans="1:12" x14ac:dyDescent="0.3">
      <c r="A4017" s="2">
        <v>4006</v>
      </c>
      <c r="B4017" s="2" t="s">
        <v>9074</v>
      </c>
      <c r="C4017" s="2" t="s">
        <v>1798</v>
      </c>
      <c r="D4017" s="2" t="s">
        <v>15</v>
      </c>
      <c r="E4017" s="2" t="s">
        <v>16</v>
      </c>
      <c r="F4017" s="2">
        <v>30</v>
      </c>
      <c r="G4017" s="2" t="s">
        <v>9075</v>
      </c>
      <c r="H4017" s="2" t="s">
        <v>4451</v>
      </c>
      <c r="I4017" s="2" t="s">
        <v>32</v>
      </c>
      <c r="J4017" s="3">
        <v>44822</v>
      </c>
      <c r="K4017" s="2">
        <v>84</v>
      </c>
      <c r="L4017" s="2" t="s">
        <v>80</v>
      </c>
    </row>
    <row r="4018" spans="1:12" x14ac:dyDescent="0.3">
      <c r="A4018" s="2">
        <v>4007</v>
      </c>
      <c r="B4018" s="2" t="s">
        <v>2562</v>
      </c>
      <c r="C4018" s="2" t="s">
        <v>2505</v>
      </c>
      <c r="D4018" s="2" t="s">
        <v>28</v>
      </c>
      <c r="E4018" s="2" t="s">
        <v>29</v>
      </c>
      <c r="F4018" s="2">
        <v>60</v>
      </c>
      <c r="G4018" s="2" t="s">
        <v>9076</v>
      </c>
      <c r="H4018" s="2" t="s">
        <v>2026</v>
      </c>
      <c r="I4018" s="2" t="s">
        <v>1078</v>
      </c>
      <c r="J4018" s="3">
        <v>44274</v>
      </c>
      <c r="K4018" s="2">
        <v>64</v>
      </c>
      <c r="L4018" s="2" t="s">
        <v>80</v>
      </c>
    </row>
    <row r="4019" spans="1:12" x14ac:dyDescent="0.3">
      <c r="A4019" s="2">
        <v>4008</v>
      </c>
      <c r="B4019" s="2" t="s">
        <v>9077</v>
      </c>
      <c r="C4019" s="2" t="s">
        <v>5910</v>
      </c>
      <c r="D4019" s="2" t="s">
        <v>15</v>
      </c>
      <c r="E4019" s="2" t="s">
        <v>16</v>
      </c>
      <c r="F4019" s="2">
        <v>30</v>
      </c>
      <c r="G4019" s="2" t="s">
        <v>9078</v>
      </c>
      <c r="H4019" s="2" t="s">
        <v>4567</v>
      </c>
      <c r="I4019" s="2" t="s">
        <v>38</v>
      </c>
      <c r="J4019" s="3">
        <v>43935</v>
      </c>
      <c r="K4019" s="2">
        <v>33</v>
      </c>
      <c r="L4019" s="2" t="s">
        <v>39</v>
      </c>
    </row>
    <row r="4020" spans="1:12" x14ac:dyDescent="0.3">
      <c r="A4020" s="2">
        <v>4009</v>
      </c>
      <c r="B4020" s="2" t="s">
        <v>705</v>
      </c>
      <c r="C4020" s="2" t="s">
        <v>6425</v>
      </c>
      <c r="D4020" s="2" t="s">
        <v>28</v>
      </c>
      <c r="E4020" s="2" t="s">
        <v>29</v>
      </c>
      <c r="F4020" s="2">
        <v>60</v>
      </c>
      <c r="G4020" s="2" t="s">
        <v>9079</v>
      </c>
      <c r="H4020" s="2" t="s">
        <v>1173</v>
      </c>
      <c r="I4020" s="2" t="s">
        <v>32</v>
      </c>
      <c r="J4020" s="3">
        <v>44059</v>
      </c>
      <c r="K4020" s="2">
        <v>12</v>
      </c>
      <c r="L4020" s="2" t="s">
        <v>39</v>
      </c>
    </row>
    <row r="4021" spans="1:12" x14ac:dyDescent="0.3">
      <c r="A4021" s="2">
        <v>4010</v>
      </c>
      <c r="B4021" s="2" t="s">
        <v>2868</v>
      </c>
      <c r="C4021" s="2" t="s">
        <v>7379</v>
      </c>
      <c r="D4021" s="2" t="s">
        <v>51</v>
      </c>
      <c r="E4021" s="2" t="s">
        <v>16</v>
      </c>
      <c r="F4021" s="2">
        <v>60</v>
      </c>
      <c r="G4021" s="2" t="s">
        <v>9080</v>
      </c>
      <c r="H4021" s="2" t="s">
        <v>6442</v>
      </c>
      <c r="I4021" s="2" t="s">
        <v>294</v>
      </c>
      <c r="J4021" s="3">
        <v>44708</v>
      </c>
      <c r="K4021" s="2">
        <v>83</v>
      </c>
      <c r="L4021" s="2" t="s">
        <v>80</v>
      </c>
    </row>
    <row r="4022" spans="1:12" x14ac:dyDescent="0.3">
      <c r="A4022" s="2">
        <v>4011</v>
      </c>
      <c r="B4022" s="2" t="s">
        <v>9081</v>
      </c>
      <c r="C4022" s="2" t="s">
        <v>2773</v>
      </c>
      <c r="D4022" s="2" t="s">
        <v>28</v>
      </c>
      <c r="E4022" s="2" t="s">
        <v>29</v>
      </c>
      <c r="F4022" s="2">
        <v>60</v>
      </c>
      <c r="G4022" s="2" t="s">
        <v>9082</v>
      </c>
      <c r="H4022" s="2" t="s">
        <v>2645</v>
      </c>
      <c r="I4022" s="2" t="s">
        <v>32</v>
      </c>
      <c r="J4022" s="3">
        <v>44892</v>
      </c>
      <c r="K4022" s="2">
        <v>76</v>
      </c>
      <c r="L4022" s="2" t="s">
        <v>54</v>
      </c>
    </row>
    <row r="4023" spans="1:12" x14ac:dyDescent="0.3">
      <c r="A4023" s="2">
        <v>4012</v>
      </c>
      <c r="B4023" s="2" t="s">
        <v>4750</v>
      </c>
      <c r="C4023" s="2" t="s">
        <v>106</v>
      </c>
      <c r="D4023" s="2" t="s">
        <v>28</v>
      </c>
      <c r="E4023" s="2" t="s">
        <v>29</v>
      </c>
      <c r="F4023" s="2">
        <v>30</v>
      </c>
      <c r="G4023" s="2" t="s">
        <v>9083</v>
      </c>
      <c r="H4023" s="2" t="s">
        <v>3724</v>
      </c>
      <c r="I4023" s="2" t="s">
        <v>1078</v>
      </c>
      <c r="J4023" s="3">
        <v>43866</v>
      </c>
      <c r="K4023" s="2">
        <v>59</v>
      </c>
      <c r="L4023" s="2" t="s">
        <v>70</v>
      </c>
    </row>
    <row r="4024" spans="1:12" x14ac:dyDescent="0.3">
      <c r="A4024" s="2">
        <v>4013</v>
      </c>
      <c r="B4024" s="2" t="s">
        <v>6790</v>
      </c>
      <c r="C4024" s="2" t="s">
        <v>6741</v>
      </c>
      <c r="D4024" s="2" t="s">
        <v>28</v>
      </c>
      <c r="E4024" s="2" t="s">
        <v>29</v>
      </c>
      <c r="F4024" s="2">
        <v>90</v>
      </c>
      <c r="G4024" s="2" t="s">
        <v>9084</v>
      </c>
      <c r="H4024" s="2" t="s">
        <v>2965</v>
      </c>
      <c r="I4024" s="2" t="s">
        <v>25</v>
      </c>
      <c r="J4024" s="3">
        <v>43933</v>
      </c>
      <c r="K4024" s="2">
        <v>62</v>
      </c>
      <c r="L4024" s="2" t="s">
        <v>64</v>
      </c>
    </row>
    <row r="4025" spans="1:12" x14ac:dyDescent="0.3">
      <c r="A4025" s="2">
        <v>4014</v>
      </c>
      <c r="B4025" s="2" t="s">
        <v>9085</v>
      </c>
      <c r="C4025" s="2" t="s">
        <v>3848</v>
      </c>
      <c r="D4025" s="2" t="s">
        <v>15</v>
      </c>
      <c r="E4025" s="2" t="s">
        <v>16</v>
      </c>
      <c r="F4025" s="2">
        <v>30</v>
      </c>
      <c r="G4025" s="2" t="s">
        <v>9086</v>
      </c>
      <c r="H4025" s="2" t="s">
        <v>3399</v>
      </c>
      <c r="I4025" s="2" t="s">
        <v>124</v>
      </c>
      <c r="J4025" s="3">
        <v>43937</v>
      </c>
      <c r="K4025" s="2">
        <v>61</v>
      </c>
      <c r="L4025" s="2" t="s">
        <v>45</v>
      </c>
    </row>
    <row r="4026" spans="1:12" x14ac:dyDescent="0.3">
      <c r="A4026" s="2">
        <v>4015</v>
      </c>
      <c r="B4026" s="2" t="s">
        <v>9087</v>
      </c>
      <c r="C4026" s="2" t="s">
        <v>2349</v>
      </c>
      <c r="D4026" s="2" t="s">
        <v>15</v>
      </c>
      <c r="E4026" s="2" t="s">
        <v>16</v>
      </c>
      <c r="F4026" s="2">
        <v>30</v>
      </c>
      <c r="G4026" s="2" t="s">
        <v>9088</v>
      </c>
      <c r="H4026" s="2" t="s">
        <v>710</v>
      </c>
      <c r="I4026" s="2" t="s">
        <v>187</v>
      </c>
      <c r="J4026" s="3">
        <v>44413</v>
      </c>
      <c r="K4026" s="2">
        <v>55</v>
      </c>
      <c r="L4026" s="2" t="s">
        <v>54</v>
      </c>
    </row>
    <row r="4027" spans="1:12" x14ac:dyDescent="0.3">
      <c r="A4027" s="2">
        <v>4016</v>
      </c>
      <c r="B4027" s="2" t="s">
        <v>1424</v>
      </c>
      <c r="C4027" s="2" t="s">
        <v>1259</v>
      </c>
      <c r="D4027" s="2" t="s">
        <v>28</v>
      </c>
      <c r="E4027" s="2" t="s">
        <v>29</v>
      </c>
      <c r="F4027" s="2">
        <v>30</v>
      </c>
      <c r="G4027" s="2" t="s">
        <v>9089</v>
      </c>
      <c r="H4027" s="2" t="s">
        <v>3783</v>
      </c>
      <c r="I4027" s="2" t="s">
        <v>124</v>
      </c>
      <c r="J4027" s="3">
        <v>44289</v>
      </c>
      <c r="K4027" s="2">
        <v>39</v>
      </c>
      <c r="L4027" s="2" t="s">
        <v>80</v>
      </c>
    </row>
    <row r="4028" spans="1:12" x14ac:dyDescent="0.3">
      <c r="A4028" s="2">
        <v>4017</v>
      </c>
      <c r="B4028" s="2" t="s">
        <v>1755</v>
      </c>
      <c r="C4028" s="2" t="s">
        <v>7443</v>
      </c>
      <c r="D4028" s="2" t="s">
        <v>28</v>
      </c>
      <c r="E4028" s="2" t="s">
        <v>29</v>
      </c>
      <c r="F4028" s="2">
        <v>30</v>
      </c>
      <c r="G4028" s="2" t="s">
        <v>9090</v>
      </c>
      <c r="H4028" s="2" t="s">
        <v>3814</v>
      </c>
      <c r="I4028" s="2" t="s">
        <v>32</v>
      </c>
      <c r="J4028" s="3">
        <v>44599</v>
      </c>
      <c r="K4028" s="2">
        <v>92</v>
      </c>
      <c r="L4028" s="2" t="s">
        <v>159</v>
      </c>
    </row>
    <row r="4029" spans="1:12" x14ac:dyDescent="0.3">
      <c r="A4029" s="2">
        <v>4018</v>
      </c>
      <c r="B4029" s="2" t="s">
        <v>1379</v>
      </c>
      <c r="C4029" s="2" t="s">
        <v>3542</v>
      </c>
      <c r="D4029" s="2" t="s">
        <v>117</v>
      </c>
      <c r="E4029" s="2" t="s">
        <v>29</v>
      </c>
      <c r="F4029" s="2">
        <v>60</v>
      </c>
      <c r="G4029" s="2" t="s">
        <v>9091</v>
      </c>
      <c r="H4029" s="2" t="s">
        <v>781</v>
      </c>
      <c r="I4029" s="2" t="s">
        <v>294</v>
      </c>
      <c r="J4029" s="3">
        <v>44806</v>
      </c>
      <c r="K4029" s="2">
        <v>63</v>
      </c>
      <c r="L4029" s="2" t="s">
        <v>80</v>
      </c>
    </row>
    <row r="4030" spans="1:12" x14ac:dyDescent="0.3">
      <c r="A4030" s="2">
        <v>4019</v>
      </c>
      <c r="B4030" s="2" t="s">
        <v>828</v>
      </c>
      <c r="C4030" s="2" t="s">
        <v>1424</v>
      </c>
      <c r="D4030" s="2" t="s">
        <v>28</v>
      </c>
      <c r="E4030" s="2" t="s">
        <v>29</v>
      </c>
      <c r="F4030" s="2">
        <v>30</v>
      </c>
      <c r="G4030" s="2" t="s">
        <v>9092</v>
      </c>
      <c r="H4030" s="2" t="s">
        <v>5803</v>
      </c>
      <c r="I4030" s="2" t="s">
        <v>294</v>
      </c>
      <c r="J4030" s="3">
        <v>44635</v>
      </c>
      <c r="K4030" s="2">
        <v>78</v>
      </c>
      <c r="L4030" s="2" t="s">
        <v>70</v>
      </c>
    </row>
    <row r="4031" spans="1:12" x14ac:dyDescent="0.3">
      <c r="A4031" s="2">
        <v>4020</v>
      </c>
      <c r="B4031" s="2" t="s">
        <v>9093</v>
      </c>
      <c r="C4031" s="2" t="s">
        <v>2557</v>
      </c>
      <c r="D4031" s="2" t="s">
        <v>15</v>
      </c>
      <c r="E4031" s="2" t="s">
        <v>16</v>
      </c>
      <c r="F4031" s="2">
        <v>90</v>
      </c>
      <c r="G4031" s="2" t="s">
        <v>9094</v>
      </c>
      <c r="H4031" s="2" t="s">
        <v>9095</v>
      </c>
      <c r="I4031" s="2" t="s">
        <v>32</v>
      </c>
      <c r="J4031" s="3">
        <v>44740</v>
      </c>
      <c r="K4031" s="2">
        <v>33</v>
      </c>
      <c r="L4031" s="2" t="s">
        <v>45</v>
      </c>
    </row>
    <row r="4032" spans="1:12" x14ac:dyDescent="0.3">
      <c r="A4032" s="2">
        <v>4021</v>
      </c>
      <c r="B4032" s="2" t="s">
        <v>9096</v>
      </c>
      <c r="C4032" s="2" t="s">
        <v>1243</v>
      </c>
      <c r="D4032" s="2" t="s">
        <v>15</v>
      </c>
      <c r="E4032" s="2" t="s">
        <v>16</v>
      </c>
      <c r="F4032" s="2">
        <v>30</v>
      </c>
      <c r="G4032" s="2" t="s">
        <v>9097</v>
      </c>
      <c r="H4032" s="2" t="s">
        <v>9098</v>
      </c>
      <c r="I4032" s="2" t="s">
        <v>38</v>
      </c>
      <c r="J4032" s="3">
        <v>44675</v>
      </c>
      <c r="K4032" s="2">
        <v>29</v>
      </c>
      <c r="L4032" s="2" t="s">
        <v>33</v>
      </c>
    </row>
    <row r="4033" spans="1:12" x14ac:dyDescent="0.3">
      <c r="A4033" s="2">
        <v>4022</v>
      </c>
      <c r="B4033" s="2" t="s">
        <v>6603</v>
      </c>
      <c r="C4033" s="2" t="s">
        <v>9099</v>
      </c>
      <c r="D4033" s="2" t="s">
        <v>51</v>
      </c>
      <c r="E4033" s="2" t="s">
        <v>16</v>
      </c>
      <c r="F4033" s="2">
        <v>90</v>
      </c>
      <c r="G4033" s="2" t="s">
        <v>9100</v>
      </c>
      <c r="H4033" s="2" t="s">
        <v>1667</v>
      </c>
      <c r="I4033" s="2" t="s">
        <v>32</v>
      </c>
      <c r="J4033" s="3">
        <v>44090</v>
      </c>
      <c r="K4033" s="2">
        <v>32</v>
      </c>
      <c r="L4033" s="2" t="s">
        <v>70</v>
      </c>
    </row>
    <row r="4034" spans="1:12" x14ac:dyDescent="0.3">
      <c r="A4034" s="2">
        <v>4023</v>
      </c>
      <c r="B4034" s="2" t="s">
        <v>1792</v>
      </c>
      <c r="C4034" s="2" t="s">
        <v>4858</v>
      </c>
      <c r="D4034" s="2" t="s">
        <v>28</v>
      </c>
      <c r="E4034" s="2" t="s">
        <v>29</v>
      </c>
      <c r="F4034" s="2">
        <v>90</v>
      </c>
      <c r="G4034" s="2" t="s">
        <v>9101</v>
      </c>
      <c r="H4034" s="2" t="s">
        <v>3506</v>
      </c>
      <c r="I4034" s="2" t="s">
        <v>124</v>
      </c>
      <c r="J4034" s="3">
        <v>43938</v>
      </c>
      <c r="K4034" s="2">
        <v>48</v>
      </c>
      <c r="L4034" s="2" t="s">
        <v>70</v>
      </c>
    </row>
    <row r="4035" spans="1:12" x14ac:dyDescent="0.3">
      <c r="A4035" s="2">
        <v>4024</v>
      </c>
      <c r="B4035" s="2" t="s">
        <v>9102</v>
      </c>
      <c r="C4035" s="2" t="s">
        <v>6708</v>
      </c>
      <c r="D4035" s="2" t="s">
        <v>28</v>
      </c>
      <c r="E4035" s="2" t="s">
        <v>29</v>
      </c>
      <c r="F4035" s="2">
        <v>30</v>
      </c>
      <c r="G4035" s="2" t="s">
        <v>9103</v>
      </c>
      <c r="H4035" s="2" t="s">
        <v>2199</v>
      </c>
      <c r="I4035" s="2" t="s">
        <v>32</v>
      </c>
      <c r="J4035" s="3">
        <v>43876</v>
      </c>
      <c r="K4035" s="2">
        <v>69</v>
      </c>
      <c r="L4035" s="2" t="s">
        <v>70</v>
      </c>
    </row>
    <row r="4036" spans="1:12" x14ac:dyDescent="0.3">
      <c r="A4036" s="2">
        <v>4025</v>
      </c>
      <c r="B4036" s="2" t="s">
        <v>9104</v>
      </c>
      <c r="C4036" s="2" t="s">
        <v>7433</v>
      </c>
      <c r="D4036" s="2" t="s">
        <v>15</v>
      </c>
      <c r="E4036" s="2" t="s">
        <v>16</v>
      </c>
      <c r="F4036" s="2">
        <v>30</v>
      </c>
      <c r="G4036" s="2" t="s">
        <v>9105</v>
      </c>
      <c r="H4036" s="2" t="s">
        <v>2066</v>
      </c>
      <c r="I4036" s="2" t="s">
        <v>294</v>
      </c>
      <c r="J4036" s="3">
        <v>44867</v>
      </c>
      <c r="K4036" s="2">
        <v>98</v>
      </c>
      <c r="L4036" s="2" t="s">
        <v>45</v>
      </c>
    </row>
    <row r="4037" spans="1:12" x14ac:dyDescent="0.3">
      <c r="A4037" s="2">
        <v>4026</v>
      </c>
      <c r="B4037" s="2" t="s">
        <v>5125</v>
      </c>
      <c r="C4037" s="2" t="s">
        <v>460</v>
      </c>
      <c r="D4037" s="2" t="s">
        <v>28</v>
      </c>
      <c r="E4037" s="2" t="s">
        <v>29</v>
      </c>
      <c r="F4037" s="2">
        <v>30</v>
      </c>
      <c r="G4037" s="2" t="s">
        <v>9105</v>
      </c>
      <c r="H4037" s="2" t="s">
        <v>2230</v>
      </c>
      <c r="I4037" s="2" t="s">
        <v>32</v>
      </c>
      <c r="J4037" s="3">
        <v>43993</v>
      </c>
      <c r="K4037" s="2">
        <v>39</v>
      </c>
      <c r="L4037" s="2" t="s">
        <v>54</v>
      </c>
    </row>
    <row r="4038" spans="1:12" x14ac:dyDescent="0.3">
      <c r="A4038" s="2">
        <v>4027</v>
      </c>
      <c r="B4038" s="2" t="s">
        <v>5567</v>
      </c>
      <c r="C4038" s="2" t="s">
        <v>121</v>
      </c>
      <c r="D4038" s="2" t="s">
        <v>28</v>
      </c>
      <c r="E4038" s="2" t="s">
        <v>29</v>
      </c>
      <c r="F4038" s="2">
        <v>90</v>
      </c>
      <c r="G4038" s="2" t="s">
        <v>9106</v>
      </c>
      <c r="H4038" s="2" t="s">
        <v>5122</v>
      </c>
      <c r="I4038" s="2" t="s">
        <v>25</v>
      </c>
      <c r="J4038" s="3">
        <v>44082</v>
      </c>
      <c r="K4038" s="2">
        <v>82</v>
      </c>
      <c r="L4038" s="2" t="s">
        <v>39</v>
      </c>
    </row>
    <row r="4039" spans="1:12" x14ac:dyDescent="0.3">
      <c r="A4039" s="2">
        <v>4028</v>
      </c>
      <c r="B4039" s="2" t="s">
        <v>9107</v>
      </c>
      <c r="C4039" s="2" t="s">
        <v>2402</v>
      </c>
      <c r="D4039" s="2" t="s">
        <v>15</v>
      </c>
      <c r="E4039" s="2" t="s">
        <v>16</v>
      </c>
      <c r="F4039" s="2">
        <v>90</v>
      </c>
      <c r="G4039" s="2" t="s">
        <v>9106</v>
      </c>
      <c r="H4039" s="2" t="s">
        <v>2724</v>
      </c>
      <c r="I4039" s="2" t="s">
        <v>32</v>
      </c>
      <c r="J4039" s="3">
        <v>44304</v>
      </c>
      <c r="K4039" s="2">
        <v>48</v>
      </c>
      <c r="L4039" s="2" t="s">
        <v>159</v>
      </c>
    </row>
    <row r="4040" spans="1:12" x14ac:dyDescent="0.3">
      <c r="A4040" s="2">
        <v>4029</v>
      </c>
      <c r="B4040" s="2" t="s">
        <v>6522</v>
      </c>
      <c r="C4040" s="2" t="s">
        <v>2995</v>
      </c>
      <c r="D4040" s="2" t="s">
        <v>28</v>
      </c>
      <c r="E4040" s="2" t="s">
        <v>29</v>
      </c>
      <c r="F4040" s="2">
        <v>60</v>
      </c>
      <c r="G4040" s="2" t="s">
        <v>9108</v>
      </c>
      <c r="H4040" s="2" t="s">
        <v>2329</v>
      </c>
      <c r="I4040" s="2" t="s">
        <v>2330</v>
      </c>
      <c r="J4040" s="3">
        <v>44003</v>
      </c>
      <c r="K4040" s="2">
        <v>52</v>
      </c>
      <c r="L4040" s="2" t="s">
        <v>159</v>
      </c>
    </row>
    <row r="4041" spans="1:12" x14ac:dyDescent="0.3">
      <c r="A4041" s="2">
        <v>4030</v>
      </c>
      <c r="B4041" s="2" t="s">
        <v>9109</v>
      </c>
      <c r="C4041" s="2" t="s">
        <v>9110</v>
      </c>
      <c r="D4041" s="2" t="s">
        <v>51</v>
      </c>
      <c r="E4041" s="2" t="s">
        <v>16</v>
      </c>
      <c r="F4041" s="2">
        <v>60</v>
      </c>
      <c r="G4041" s="2" t="s">
        <v>9111</v>
      </c>
      <c r="H4041" s="2" t="s">
        <v>302</v>
      </c>
      <c r="I4041" s="2" t="s">
        <v>303</v>
      </c>
      <c r="J4041" s="3">
        <v>43881</v>
      </c>
      <c r="K4041" s="2">
        <v>68</v>
      </c>
      <c r="L4041" s="2" t="s">
        <v>70</v>
      </c>
    </row>
    <row r="4042" spans="1:12" x14ac:dyDescent="0.3">
      <c r="A4042" s="2">
        <v>4031</v>
      </c>
      <c r="B4042" s="2" t="s">
        <v>6773</v>
      </c>
      <c r="C4042" s="2" t="s">
        <v>6363</v>
      </c>
      <c r="D4042" s="2" t="s">
        <v>51</v>
      </c>
      <c r="E4042" s="2" t="s">
        <v>16</v>
      </c>
      <c r="F4042" s="2">
        <v>90</v>
      </c>
      <c r="G4042" s="2" t="s">
        <v>9112</v>
      </c>
      <c r="H4042" s="2" t="s">
        <v>4770</v>
      </c>
      <c r="I4042" s="2" t="s">
        <v>294</v>
      </c>
      <c r="J4042" s="3">
        <v>44383</v>
      </c>
      <c r="K4042" s="2">
        <v>24</v>
      </c>
      <c r="L4042" s="2" t="s">
        <v>20</v>
      </c>
    </row>
    <row r="4043" spans="1:12" x14ac:dyDescent="0.3">
      <c r="A4043" s="2">
        <v>4032</v>
      </c>
      <c r="B4043" s="2" t="s">
        <v>9113</v>
      </c>
      <c r="C4043" s="2" t="s">
        <v>5174</v>
      </c>
      <c r="D4043" s="2" t="s">
        <v>51</v>
      </c>
      <c r="E4043" s="2" t="s">
        <v>16</v>
      </c>
      <c r="F4043" s="2">
        <v>60</v>
      </c>
      <c r="G4043" s="2" t="s">
        <v>9112</v>
      </c>
      <c r="H4043" s="2" t="s">
        <v>9114</v>
      </c>
      <c r="I4043" s="2" t="s">
        <v>294</v>
      </c>
      <c r="J4043" s="3">
        <v>44520</v>
      </c>
      <c r="K4043" s="2">
        <v>47</v>
      </c>
      <c r="L4043" s="2" t="s">
        <v>70</v>
      </c>
    </row>
    <row r="4044" spans="1:12" x14ac:dyDescent="0.3">
      <c r="A4044" s="2">
        <v>4033</v>
      </c>
      <c r="B4044" s="2" t="s">
        <v>2656</v>
      </c>
      <c r="C4044" s="2" t="s">
        <v>7728</v>
      </c>
      <c r="D4044" s="2" t="s">
        <v>51</v>
      </c>
      <c r="E4044" s="2" t="s">
        <v>16</v>
      </c>
      <c r="F4044" s="2">
        <v>90</v>
      </c>
      <c r="G4044" s="2" t="s">
        <v>9115</v>
      </c>
      <c r="H4044" s="2" t="s">
        <v>1265</v>
      </c>
      <c r="I4044" s="2" t="s">
        <v>32</v>
      </c>
      <c r="J4044" s="3">
        <v>44437</v>
      </c>
      <c r="K4044" s="2">
        <v>80</v>
      </c>
      <c r="L4044" s="2" t="s">
        <v>64</v>
      </c>
    </row>
    <row r="4045" spans="1:12" x14ac:dyDescent="0.3">
      <c r="A4045" s="2">
        <v>4034</v>
      </c>
      <c r="B4045" s="2" t="s">
        <v>9116</v>
      </c>
      <c r="C4045" s="2" t="s">
        <v>7721</v>
      </c>
      <c r="D4045" s="2" t="s">
        <v>51</v>
      </c>
      <c r="E4045" s="2" t="s">
        <v>16</v>
      </c>
      <c r="F4045" s="2">
        <v>60</v>
      </c>
      <c r="G4045" s="2" t="s">
        <v>9117</v>
      </c>
      <c r="H4045" s="2" t="s">
        <v>5647</v>
      </c>
      <c r="I4045" s="2" t="s">
        <v>38</v>
      </c>
      <c r="J4045" s="3">
        <v>44753</v>
      </c>
      <c r="K4045" s="2">
        <v>45</v>
      </c>
      <c r="L4045" s="2" t="s">
        <v>45</v>
      </c>
    </row>
    <row r="4046" spans="1:12" x14ac:dyDescent="0.3">
      <c r="A4046" s="2">
        <v>4035</v>
      </c>
      <c r="B4046" s="2" t="s">
        <v>6085</v>
      </c>
      <c r="C4046" s="2" t="s">
        <v>1117</v>
      </c>
      <c r="D4046" s="2" t="s">
        <v>28</v>
      </c>
      <c r="E4046" s="2" t="s">
        <v>29</v>
      </c>
      <c r="F4046" s="2">
        <v>30</v>
      </c>
      <c r="G4046" s="2" t="s">
        <v>9118</v>
      </c>
      <c r="H4046" s="2" t="s">
        <v>2696</v>
      </c>
      <c r="I4046" s="2" t="s">
        <v>95</v>
      </c>
      <c r="J4046" s="3">
        <v>44628</v>
      </c>
      <c r="K4046" s="2">
        <v>46</v>
      </c>
      <c r="L4046" s="2" t="s">
        <v>45</v>
      </c>
    </row>
    <row r="4047" spans="1:12" x14ac:dyDescent="0.3">
      <c r="A4047" s="2">
        <v>4036</v>
      </c>
      <c r="B4047" s="2" t="s">
        <v>9119</v>
      </c>
      <c r="C4047" s="2" t="s">
        <v>5452</v>
      </c>
      <c r="D4047" s="2" t="s">
        <v>15</v>
      </c>
      <c r="E4047" s="2" t="s">
        <v>16</v>
      </c>
      <c r="F4047" s="2">
        <v>60</v>
      </c>
      <c r="G4047" s="2" t="s">
        <v>9120</v>
      </c>
      <c r="H4047" s="2" t="s">
        <v>1482</v>
      </c>
      <c r="I4047" s="2" t="s">
        <v>1483</v>
      </c>
      <c r="J4047" s="3">
        <v>44539</v>
      </c>
      <c r="K4047" s="2">
        <v>12</v>
      </c>
      <c r="L4047" s="2" t="s">
        <v>45</v>
      </c>
    </row>
    <row r="4048" spans="1:12" x14ac:dyDescent="0.3">
      <c r="A4048" s="2">
        <v>4037</v>
      </c>
      <c r="B4048" s="2" t="s">
        <v>9121</v>
      </c>
      <c r="C4048" s="2" t="s">
        <v>3493</v>
      </c>
      <c r="D4048" s="2" t="s">
        <v>51</v>
      </c>
      <c r="E4048" s="2" t="s">
        <v>16</v>
      </c>
      <c r="F4048" s="2">
        <v>30</v>
      </c>
      <c r="G4048" s="2" t="s">
        <v>9122</v>
      </c>
      <c r="H4048" s="2" t="s">
        <v>4870</v>
      </c>
      <c r="I4048" s="2" t="s">
        <v>146</v>
      </c>
      <c r="J4048" s="3">
        <v>43834</v>
      </c>
      <c r="K4048" s="2">
        <v>49</v>
      </c>
      <c r="L4048" s="2" t="s">
        <v>64</v>
      </c>
    </row>
    <row r="4049" spans="1:12" x14ac:dyDescent="0.3">
      <c r="A4049" s="2">
        <v>4038</v>
      </c>
      <c r="B4049" s="2" t="s">
        <v>735</v>
      </c>
      <c r="C4049" s="2" t="s">
        <v>3222</v>
      </c>
      <c r="D4049" s="2" t="s">
        <v>28</v>
      </c>
      <c r="E4049" s="2" t="s">
        <v>29</v>
      </c>
      <c r="F4049" s="2">
        <v>60</v>
      </c>
      <c r="G4049" s="2" t="s">
        <v>9123</v>
      </c>
      <c r="H4049" s="2" t="s">
        <v>5974</v>
      </c>
      <c r="I4049" s="2" t="s">
        <v>19</v>
      </c>
      <c r="J4049" s="3">
        <v>44350</v>
      </c>
      <c r="K4049" s="2">
        <v>26</v>
      </c>
      <c r="L4049" s="2" t="s">
        <v>64</v>
      </c>
    </row>
    <row r="4050" spans="1:12" x14ac:dyDescent="0.3">
      <c r="A4050" s="2">
        <v>4039</v>
      </c>
      <c r="B4050" s="2" t="s">
        <v>6858</v>
      </c>
      <c r="C4050" s="2" t="s">
        <v>5214</v>
      </c>
      <c r="D4050" s="2" t="s">
        <v>28</v>
      </c>
      <c r="E4050" s="2" t="s">
        <v>29</v>
      </c>
      <c r="F4050" s="2">
        <v>90</v>
      </c>
      <c r="G4050" s="2" t="s">
        <v>10569</v>
      </c>
      <c r="H4050" s="2" t="s">
        <v>3894</v>
      </c>
      <c r="I4050" s="2" t="s">
        <v>110</v>
      </c>
      <c r="J4050" s="3">
        <v>44785</v>
      </c>
      <c r="K4050" s="2">
        <v>51</v>
      </c>
      <c r="L4050" s="2" t="s">
        <v>45</v>
      </c>
    </row>
    <row r="4051" spans="1:12" x14ac:dyDescent="0.3">
      <c r="A4051" s="2">
        <v>4040</v>
      </c>
      <c r="B4051" s="2" t="s">
        <v>4579</v>
      </c>
      <c r="C4051" s="2" t="s">
        <v>2747</v>
      </c>
      <c r="D4051" s="2" t="s">
        <v>15</v>
      </c>
      <c r="E4051" s="2" t="s">
        <v>16</v>
      </c>
      <c r="F4051" s="2">
        <v>30</v>
      </c>
      <c r="G4051" s="2" t="s">
        <v>10569</v>
      </c>
      <c r="H4051" s="2" t="s">
        <v>2509</v>
      </c>
      <c r="I4051" s="2" t="s">
        <v>32</v>
      </c>
      <c r="J4051" s="3">
        <v>44093</v>
      </c>
      <c r="K4051" s="2">
        <v>7</v>
      </c>
      <c r="L4051" s="2" t="s">
        <v>39</v>
      </c>
    </row>
    <row r="4052" spans="1:12" x14ac:dyDescent="0.3">
      <c r="A4052" s="2">
        <v>4041</v>
      </c>
      <c r="B4052" s="2" t="s">
        <v>9125</v>
      </c>
      <c r="C4052" s="2" t="s">
        <v>4014</v>
      </c>
      <c r="D4052" s="2" t="s">
        <v>51</v>
      </c>
      <c r="E4052" s="2" t="s">
        <v>16</v>
      </c>
      <c r="F4052" s="2">
        <v>60</v>
      </c>
      <c r="G4052" s="2" t="s">
        <v>9126</v>
      </c>
      <c r="H4052" s="2" t="s">
        <v>217</v>
      </c>
      <c r="I4052" s="2" t="s">
        <v>124</v>
      </c>
      <c r="J4052" s="3">
        <v>44206</v>
      </c>
      <c r="K4052" s="2">
        <v>47</v>
      </c>
      <c r="L4052" s="2" t="s">
        <v>20</v>
      </c>
    </row>
    <row r="4053" spans="1:12" x14ac:dyDescent="0.3">
      <c r="A4053" s="2">
        <v>4042</v>
      </c>
      <c r="B4053" s="2" t="s">
        <v>6310</v>
      </c>
      <c r="C4053" s="2" t="s">
        <v>7180</v>
      </c>
      <c r="D4053" s="2" t="s">
        <v>28</v>
      </c>
      <c r="E4053" s="2" t="s">
        <v>29</v>
      </c>
      <c r="F4053" s="2">
        <v>30</v>
      </c>
      <c r="G4053" s="2" t="s">
        <v>9127</v>
      </c>
      <c r="H4053" s="2" t="s">
        <v>1224</v>
      </c>
      <c r="I4053" s="2" t="s">
        <v>25</v>
      </c>
      <c r="J4053" s="3">
        <v>43950</v>
      </c>
      <c r="K4053" s="2">
        <v>73</v>
      </c>
      <c r="L4053" s="2" t="s">
        <v>159</v>
      </c>
    </row>
    <row r="4054" spans="1:12" x14ac:dyDescent="0.3">
      <c r="A4054" s="2">
        <v>4043</v>
      </c>
      <c r="B4054" s="2" t="s">
        <v>9128</v>
      </c>
      <c r="C4054" s="2" t="s">
        <v>8913</v>
      </c>
      <c r="D4054" s="2" t="s">
        <v>15</v>
      </c>
      <c r="E4054" s="2" t="s">
        <v>16</v>
      </c>
      <c r="F4054" s="2">
        <v>30</v>
      </c>
      <c r="G4054" s="2" t="s">
        <v>10570</v>
      </c>
      <c r="H4054" s="2" t="s">
        <v>462</v>
      </c>
      <c r="I4054" s="2" t="s">
        <v>32</v>
      </c>
      <c r="J4054" s="3">
        <v>44522</v>
      </c>
      <c r="K4054" s="2">
        <v>84</v>
      </c>
      <c r="L4054" s="2" t="s">
        <v>54</v>
      </c>
    </row>
    <row r="4055" spans="1:12" x14ac:dyDescent="0.3">
      <c r="A4055" s="2">
        <v>4044</v>
      </c>
      <c r="B4055" s="2" t="s">
        <v>2994</v>
      </c>
      <c r="C4055" s="2" t="s">
        <v>1746</v>
      </c>
      <c r="D4055" s="2" t="s">
        <v>28</v>
      </c>
      <c r="E4055" s="2" t="s">
        <v>29</v>
      </c>
      <c r="F4055" s="2">
        <v>30</v>
      </c>
      <c r="G4055" s="2" t="s">
        <v>9130</v>
      </c>
      <c r="H4055" s="2" t="s">
        <v>2105</v>
      </c>
      <c r="I4055" s="2" t="s">
        <v>110</v>
      </c>
      <c r="J4055" s="3">
        <v>44478</v>
      </c>
      <c r="K4055" s="2">
        <v>31</v>
      </c>
      <c r="L4055" s="2" t="s">
        <v>33</v>
      </c>
    </row>
    <row r="4056" spans="1:12" x14ac:dyDescent="0.3">
      <c r="A4056" s="2">
        <v>4045</v>
      </c>
      <c r="B4056" s="2" t="s">
        <v>9131</v>
      </c>
      <c r="C4056" s="2" t="s">
        <v>9132</v>
      </c>
      <c r="D4056" s="2" t="s">
        <v>51</v>
      </c>
      <c r="E4056" s="2" t="s">
        <v>16</v>
      </c>
      <c r="F4056" s="2">
        <v>90</v>
      </c>
      <c r="G4056" s="2" t="s">
        <v>9133</v>
      </c>
      <c r="H4056" s="2" t="s">
        <v>2194</v>
      </c>
      <c r="I4056" s="2" t="s">
        <v>32</v>
      </c>
      <c r="J4056" s="3">
        <v>44369</v>
      </c>
      <c r="K4056" s="2">
        <v>43</v>
      </c>
      <c r="L4056" s="2" t="s">
        <v>101</v>
      </c>
    </row>
    <row r="4057" spans="1:12" x14ac:dyDescent="0.3">
      <c r="A4057" s="2">
        <v>4046</v>
      </c>
      <c r="B4057" s="2" t="s">
        <v>3611</v>
      </c>
      <c r="C4057" s="2" t="s">
        <v>9134</v>
      </c>
      <c r="D4057" s="2" t="s">
        <v>28</v>
      </c>
      <c r="E4057" s="2" t="s">
        <v>29</v>
      </c>
      <c r="F4057" s="2">
        <v>30</v>
      </c>
      <c r="G4057" s="2" t="s">
        <v>9135</v>
      </c>
      <c r="H4057" s="2" t="s">
        <v>258</v>
      </c>
      <c r="I4057" s="2" t="s">
        <v>32</v>
      </c>
      <c r="J4057" s="3">
        <v>44226</v>
      </c>
      <c r="K4057" s="2">
        <v>40</v>
      </c>
      <c r="L4057" s="2" t="s">
        <v>80</v>
      </c>
    </row>
    <row r="4058" spans="1:12" x14ac:dyDescent="0.3">
      <c r="A4058" s="2">
        <v>4047</v>
      </c>
      <c r="B4058" s="2" t="s">
        <v>9136</v>
      </c>
      <c r="C4058" s="2" t="s">
        <v>9137</v>
      </c>
      <c r="D4058" s="2" t="s">
        <v>15</v>
      </c>
      <c r="E4058" s="2" t="s">
        <v>16</v>
      </c>
      <c r="F4058" s="2">
        <v>60</v>
      </c>
      <c r="G4058" s="2" t="s">
        <v>9138</v>
      </c>
      <c r="H4058" s="2" t="s">
        <v>4543</v>
      </c>
      <c r="I4058" s="2" t="s">
        <v>173</v>
      </c>
      <c r="J4058" s="3">
        <v>44244</v>
      </c>
      <c r="K4058" s="2">
        <v>75</v>
      </c>
      <c r="L4058" s="2" t="s">
        <v>20</v>
      </c>
    </row>
    <row r="4059" spans="1:12" x14ac:dyDescent="0.3">
      <c r="A4059" s="2">
        <v>4048</v>
      </c>
      <c r="B4059" s="2" t="s">
        <v>7660</v>
      </c>
      <c r="C4059" s="2" t="s">
        <v>2980</v>
      </c>
      <c r="D4059" s="2" t="s">
        <v>117</v>
      </c>
      <c r="E4059" s="2" t="s">
        <v>16</v>
      </c>
      <c r="F4059" s="2">
        <v>60</v>
      </c>
      <c r="G4059" s="2" t="s">
        <v>9139</v>
      </c>
      <c r="H4059" s="2" t="s">
        <v>5232</v>
      </c>
      <c r="I4059" s="2" t="s">
        <v>146</v>
      </c>
      <c r="J4059" s="3">
        <v>44211</v>
      </c>
      <c r="K4059" s="2">
        <v>76</v>
      </c>
      <c r="L4059" s="2" t="s">
        <v>45</v>
      </c>
    </row>
    <row r="4060" spans="1:12" x14ac:dyDescent="0.3">
      <c r="A4060" s="2">
        <v>4049</v>
      </c>
      <c r="B4060" s="2" t="s">
        <v>4599</v>
      </c>
      <c r="C4060" s="2" t="s">
        <v>1766</v>
      </c>
      <c r="D4060" s="2" t="s">
        <v>28</v>
      </c>
      <c r="E4060" s="2" t="s">
        <v>29</v>
      </c>
      <c r="F4060" s="2">
        <v>60</v>
      </c>
      <c r="G4060" s="2" t="s">
        <v>9140</v>
      </c>
      <c r="H4060" s="2" t="s">
        <v>8979</v>
      </c>
      <c r="I4060" s="2" t="s">
        <v>32</v>
      </c>
      <c r="J4060" s="3">
        <v>44469</v>
      </c>
      <c r="K4060" s="2">
        <v>47</v>
      </c>
      <c r="L4060" s="2" t="s">
        <v>54</v>
      </c>
    </row>
    <row r="4061" spans="1:12" x14ac:dyDescent="0.3">
      <c r="A4061" s="2">
        <v>4050</v>
      </c>
      <c r="B4061" s="2" t="s">
        <v>9141</v>
      </c>
      <c r="C4061" s="2" t="s">
        <v>3243</v>
      </c>
      <c r="D4061" s="2" t="s">
        <v>51</v>
      </c>
      <c r="E4061" s="2" t="s">
        <v>16</v>
      </c>
      <c r="F4061" s="2">
        <v>30</v>
      </c>
      <c r="G4061" s="2" t="s">
        <v>9142</v>
      </c>
      <c r="H4061" s="2" t="s">
        <v>659</v>
      </c>
      <c r="I4061" s="2" t="s">
        <v>32</v>
      </c>
      <c r="J4061" s="3">
        <v>44920</v>
      </c>
      <c r="K4061" s="2">
        <v>81</v>
      </c>
      <c r="L4061" s="2" t="s">
        <v>39</v>
      </c>
    </row>
    <row r="4062" spans="1:12" x14ac:dyDescent="0.3">
      <c r="A4062" s="2">
        <v>4051</v>
      </c>
      <c r="B4062" s="2" t="s">
        <v>9143</v>
      </c>
      <c r="C4062" s="2" t="s">
        <v>2398</v>
      </c>
      <c r="D4062" s="2" t="s">
        <v>51</v>
      </c>
      <c r="E4062" s="2" t="s">
        <v>16</v>
      </c>
      <c r="F4062" s="2">
        <v>60</v>
      </c>
      <c r="G4062" s="2" t="s">
        <v>9144</v>
      </c>
      <c r="H4062" s="2" t="s">
        <v>3041</v>
      </c>
      <c r="I4062" s="2" t="s">
        <v>124</v>
      </c>
      <c r="J4062" s="3">
        <v>44472</v>
      </c>
      <c r="K4062" s="2">
        <v>64</v>
      </c>
      <c r="L4062" s="2" t="s">
        <v>80</v>
      </c>
    </row>
    <row r="4063" spans="1:12" x14ac:dyDescent="0.3">
      <c r="A4063" s="2">
        <v>4052</v>
      </c>
      <c r="B4063" s="2" t="s">
        <v>9145</v>
      </c>
      <c r="C4063" s="2" t="s">
        <v>4836</v>
      </c>
      <c r="D4063" s="2" t="s">
        <v>15</v>
      </c>
      <c r="E4063" s="2" t="s">
        <v>16</v>
      </c>
      <c r="F4063" s="2">
        <v>60</v>
      </c>
      <c r="G4063" s="2" t="s">
        <v>9146</v>
      </c>
      <c r="H4063" s="2" t="s">
        <v>2305</v>
      </c>
      <c r="I4063" s="2" t="s">
        <v>25</v>
      </c>
      <c r="J4063" s="3">
        <v>44480</v>
      </c>
      <c r="K4063" s="2">
        <v>67</v>
      </c>
      <c r="L4063" s="2" t="s">
        <v>70</v>
      </c>
    </row>
    <row r="4064" spans="1:12" x14ac:dyDescent="0.3">
      <c r="A4064" s="2">
        <v>4053</v>
      </c>
      <c r="B4064" s="2" t="s">
        <v>9147</v>
      </c>
      <c r="C4064" s="2" t="s">
        <v>2606</v>
      </c>
      <c r="D4064" s="2" t="s">
        <v>51</v>
      </c>
      <c r="E4064" s="2" t="s">
        <v>16</v>
      </c>
      <c r="F4064" s="2">
        <v>90</v>
      </c>
      <c r="G4064" s="2" t="s">
        <v>9148</v>
      </c>
      <c r="H4064" s="2" t="s">
        <v>1206</v>
      </c>
      <c r="I4064" s="2" t="s">
        <v>294</v>
      </c>
      <c r="J4064" s="3">
        <v>44818</v>
      </c>
      <c r="K4064" s="2">
        <v>34</v>
      </c>
      <c r="L4064" s="2" t="s">
        <v>64</v>
      </c>
    </row>
    <row r="4065" spans="1:12" x14ac:dyDescent="0.3">
      <c r="A4065" s="2">
        <v>4054</v>
      </c>
      <c r="B4065" s="2" t="s">
        <v>9149</v>
      </c>
      <c r="C4065" s="2" t="s">
        <v>5575</v>
      </c>
      <c r="D4065" s="2" t="s">
        <v>51</v>
      </c>
      <c r="E4065" s="2" t="s">
        <v>16</v>
      </c>
      <c r="F4065" s="2">
        <v>30</v>
      </c>
      <c r="G4065" s="2" t="s">
        <v>9150</v>
      </c>
      <c r="H4065" s="2" t="s">
        <v>4760</v>
      </c>
      <c r="I4065" s="2" t="s">
        <v>32</v>
      </c>
      <c r="J4065" s="3">
        <v>44818</v>
      </c>
      <c r="K4065" s="2">
        <v>74</v>
      </c>
      <c r="L4065" s="2" t="s">
        <v>159</v>
      </c>
    </row>
    <row r="4066" spans="1:12" x14ac:dyDescent="0.3">
      <c r="A4066" s="2">
        <v>4055</v>
      </c>
      <c r="B4066" s="2" t="s">
        <v>6158</v>
      </c>
      <c r="C4066" s="2" t="s">
        <v>2395</v>
      </c>
      <c r="D4066" s="2" t="s">
        <v>51</v>
      </c>
      <c r="E4066" s="2" t="s">
        <v>16</v>
      </c>
      <c r="F4066" s="2">
        <v>30</v>
      </c>
      <c r="G4066" s="2" t="s">
        <v>9151</v>
      </c>
      <c r="H4066" s="2" t="s">
        <v>3215</v>
      </c>
      <c r="I4066" s="2" t="s">
        <v>32</v>
      </c>
      <c r="J4066" s="3">
        <v>44138</v>
      </c>
      <c r="K4066" s="2">
        <v>11</v>
      </c>
      <c r="L4066" s="2" t="s">
        <v>80</v>
      </c>
    </row>
    <row r="4067" spans="1:12" x14ac:dyDescent="0.3">
      <c r="A4067" s="2">
        <v>4056</v>
      </c>
      <c r="B4067" s="2" t="s">
        <v>6764</v>
      </c>
      <c r="C4067" s="2" t="s">
        <v>9152</v>
      </c>
      <c r="D4067" s="2" t="s">
        <v>28</v>
      </c>
      <c r="E4067" s="2" t="s">
        <v>29</v>
      </c>
      <c r="F4067" s="2">
        <v>90</v>
      </c>
      <c r="G4067" s="2" t="s">
        <v>9153</v>
      </c>
      <c r="H4067" s="2" t="s">
        <v>917</v>
      </c>
      <c r="I4067" s="2" t="s">
        <v>32</v>
      </c>
      <c r="J4067" s="3">
        <v>43919</v>
      </c>
      <c r="K4067" s="2">
        <v>82</v>
      </c>
      <c r="L4067" s="2" t="s">
        <v>20</v>
      </c>
    </row>
    <row r="4068" spans="1:12" x14ac:dyDescent="0.3">
      <c r="A4068" s="2">
        <v>4057</v>
      </c>
      <c r="B4068" s="2" t="s">
        <v>9154</v>
      </c>
      <c r="C4068" s="2" t="s">
        <v>6237</v>
      </c>
      <c r="D4068" s="2" t="s">
        <v>51</v>
      </c>
      <c r="E4068" s="2" t="s">
        <v>16</v>
      </c>
      <c r="F4068" s="2">
        <v>60</v>
      </c>
      <c r="G4068" s="2" t="s">
        <v>9155</v>
      </c>
      <c r="H4068" s="2" t="s">
        <v>4669</v>
      </c>
      <c r="I4068" s="2" t="s">
        <v>187</v>
      </c>
      <c r="J4068" s="3">
        <v>44038</v>
      </c>
      <c r="K4068" s="2">
        <v>41</v>
      </c>
      <c r="L4068" s="2" t="s">
        <v>33</v>
      </c>
    </row>
    <row r="4069" spans="1:12" x14ac:dyDescent="0.3">
      <c r="A4069" s="2">
        <v>4058</v>
      </c>
      <c r="B4069" s="2" t="s">
        <v>125</v>
      </c>
      <c r="C4069" s="2" t="s">
        <v>3824</v>
      </c>
      <c r="D4069" s="2" t="s">
        <v>51</v>
      </c>
      <c r="E4069" s="2" t="s">
        <v>16</v>
      </c>
      <c r="F4069" s="2">
        <v>60</v>
      </c>
      <c r="G4069" s="2" t="s">
        <v>9156</v>
      </c>
      <c r="H4069" s="2" t="s">
        <v>583</v>
      </c>
      <c r="I4069" s="2" t="s">
        <v>32</v>
      </c>
      <c r="J4069" s="3">
        <v>44706</v>
      </c>
      <c r="K4069" s="2">
        <v>77</v>
      </c>
      <c r="L4069" s="2" t="s">
        <v>33</v>
      </c>
    </row>
    <row r="4070" spans="1:12" x14ac:dyDescent="0.3">
      <c r="A4070" s="2">
        <v>4059</v>
      </c>
      <c r="B4070" s="2" t="s">
        <v>4977</v>
      </c>
      <c r="C4070" s="2" t="s">
        <v>1727</v>
      </c>
      <c r="D4070" s="2" t="s">
        <v>41</v>
      </c>
      <c r="E4070" s="2" t="s">
        <v>16</v>
      </c>
      <c r="F4070" s="2">
        <v>60</v>
      </c>
      <c r="G4070" s="2" t="s">
        <v>9157</v>
      </c>
      <c r="H4070" s="2" t="s">
        <v>4386</v>
      </c>
      <c r="I4070" s="2" t="s">
        <v>32</v>
      </c>
      <c r="J4070" s="3">
        <v>43968</v>
      </c>
      <c r="K4070" s="2">
        <v>55</v>
      </c>
      <c r="L4070" s="2" t="s">
        <v>70</v>
      </c>
    </row>
    <row r="4071" spans="1:12" x14ac:dyDescent="0.3">
      <c r="A4071" s="2">
        <v>4060</v>
      </c>
      <c r="B4071" s="2" t="s">
        <v>2115</v>
      </c>
      <c r="C4071" s="2" t="s">
        <v>2041</v>
      </c>
      <c r="D4071" s="2" t="s">
        <v>28</v>
      </c>
      <c r="E4071" s="2" t="s">
        <v>29</v>
      </c>
      <c r="F4071" s="2">
        <v>30</v>
      </c>
      <c r="G4071" s="2" t="s">
        <v>9158</v>
      </c>
      <c r="H4071" s="2" t="s">
        <v>389</v>
      </c>
      <c r="I4071" s="2" t="s">
        <v>32</v>
      </c>
      <c r="J4071" s="3">
        <v>44267</v>
      </c>
      <c r="K4071" s="2">
        <v>11</v>
      </c>
      <c r="L4071" s="2" t="s">
        <v>39</v>
      </c>
    </row>
    <row r="4072" spans="1:12" x14ac:dyDescent="0.3">
      <c r="A4072" s="2">
        <v>4061</v>
      </c>
      <c r="B4072" s="2" t="s">
        <v>1120</v>
      </c>
      <c r="C4072" s="2" t="s">
        <v>8852</v>
      </c>
      <c r="D4072" s="2" t="s">
        <v>28</v>
      </c>
      <c r="E4072" s="2" t="s">
        <v>29</v>
      </c>
      <c r="F4072" s="2">
        <v>30</v>
      </c>
      <c r="G4072" s="2" t="s">
        <v>9159</v>
      </c>
      <c r="H4072" s="2" t="s">
        <v>2834</v>
      </c>
      <c r="I4072" s="2" t="s">
        <v>19</v>
      </c>
      <c r="J4072" s="3">
        <v>44803</v>
      </c>
      <c r="K4072" s="2">
        <v>11</v>
      </c>
      <c r="L4072" s="2" t="s">
        <v>64</v>
      </c>
    </row>
    <row r="4073" spans="1:12" x14ac:dyDescent="0.3">
      <c r="A4073" s="2">
        <v>4062</v>
      </c>
      <c r="B4073" s="2" t="s">
        <v>1016</v>
      </c>
      <c r="C4073" s="2" t="s">
        <v>5081</v>
      </c>
      <c r="D4073" s="2" t="s">
        <v>51</v>
      </c>
      <c r="E4073" s="2" t="s">
        <v>16</v>
      </c>
      <c r="F4073" s="2">
        <v>90</v>
      </c>
      <c r="G4073" s="2" t="s">
        <v>9160</v>
      </c>
      <c r="H4073" s="2" t="s">
        <v>346</v>
      </c>
      <c r="I4073" s="2" t="s">
        <v>32</v>
      </c>
      <c r="J4073" s="3">
        <v>44067</v>
      </c>
      <c r="K4073" s="2">
        <v>7</v>
      </c>
      <c r="L4073" s="2" t="s">
        <v>70</v>
      </c>
    </row>
    <row r="4074" spans="1:12" x14ac:dyDescent="0.3">
      <c r="A4074" s="2">
        <v>4063</v>
      </c>
      <c r="B4074" s="2" t="s">
        <v>7795</v>
      </c>
      <c r="C4074" s="2" t="s">
        <v>9161</v>
      </c>
      <c r="D4074" s="2" t="s">
        <v>28</v>
      </c>
      <c r="E4074" s="2" t="s">
        <v>29</v>
      </c>
      <c r="F4074" s="2">
        <v>30</v>
      </c>
      <c r="G4074" s="2" t="s">
        <v>9162</v>
      </c>
      <c r="H4074" s="2" t="s">
        <v>4293</v>
      </c>
      <c r="I4074" s="2" t="s">
        <v>38</v>
      </c>
      <c r="J4074" s="3">
        <v>44466</v>
      </c>
      <c r="K4074" s="2">
        <v>59</v>
      </c>
      <c r="L4074" s="2" t="s">
        <v>70</v>
      </c>
    </row>
    <row r="4075" spans="1:12" x14ac:dyDescent="0.3">
      <c r="A4075" s="2">
        <v>4064</v>
      </c>
      <c r="B4075" s="2" t="s">
        <v>8492</v>
      </c>
      <c r="C4075" s="2" t="s">
        <v>2991</v>
      </c>
      <c r="D4075" s="2" t="s">
        <v>51</v>
      </c>
      <c r="E4075" s="2" t="s">
        <v>16</v>
      </c>
      <c r="F4075" s="2">
        <v>90</v>
      </c>
      <c r="G4075" s="2" t="s">
        <v>9163</v>
      </c>
      <c r="H4075" s="2" t="s">
        <v>4145</v>
      </c>
      <c r="I4075" s="2" t="s">
        <v>32</v>
      </c>
      <c r="J4075" s="3">
        <v>44825</v>
      </c>
      <c r="K4075" s="2">
        <v>94</v>
      </c>
      <c r="L4075" s="2" t="s">
        <v>54</v>
      </c>
    </row>
    <row r="4076" spans="1:12" x14ac:dyDescent="0.3">
      <c r="A4076" s="2">
        <v>4065</v>
      </c>
      <c r="B4076" s="2" t="s">
        <v>8998</v>
      </c>
      <c r="C4076" s="2" t="s">
        <v>3137</v>
      </c>
      <c r="D4076" s="2" t="s">
        <v>51</v>
      </c>
      <c r="E4076" s="2" t="s">
        <v>16</v>
      </c>
      <c r="F4076" s="2">
        <v>60</v>
      </c>
      <c r="G4076" s="2" t="s">
        <v>9164</v>
      </c>
      <c r="H4076" s="2" t="s">
        <v>3303</v>
      </c>
      <c r="I4076" s="2" t="s">
        <v>294</v>
      </c>
      <c r="J4076" s="3">
        <v>44285</v>
      </c>
      <c r="K4076" s="2">
        <v>89</v>
      </c>
      <c r="L4076" s="2" t="s">
        <v>159</v>
      </c>
    </row>
    <row r="4077" spans="1:12" x14ac:dyDescent="0.3">
      <c r="A4077" s="2">
        <v>4066</v>
      </c>
      <c r="B4077" s="2" t="s">
        <v>7351</v>
      </c>
      <c r="C4077" s="2" t="s">
        <v>3016</v>
      </c>
      <c r="D4077" s="2" t="s">
        <v>51</v>
      </c>
      <c r="E4077" s="2" t="s">
        <v>16</v>
      </c>
      <c r="F4077" s="2">
        <v>60</v>
      </c>
      <c r="G4077" s="2" t="s">
        <v>9164</v>
      </c>
      <c r="H4077" s="2" t="s">
        <v>9166</v>
      </c>
      <c r="I4077" s="2" t="s">
        <v>32</v>
      </c>
      <c r="J4077" s="3">
        <v>44397</v>
      </c>
      <c r="K4077" s="2">
        <v>5</v>
      </c>
      <c r="L4077" s="2" t="s">
        <v>101</v>
      </c>
    </row>
    <row r="4078" spans="1:12" x14ac:dyDescent="0.3">
      <c r="A4078" s="2">
        <v>4067</v>
      </c>
      <c r="B4078" s="2" t="s">
        <v>4278</v>
      </c>
      <c r="C4078" s="2" t="s">
        <v>1554</v>
      </c>
      <c r="D4078" s="2" t="s">
        <v>28</v>
      </c>
      <c r="E4078" s="2" t="s">
        <v>29</v>
      </c>
      <c r="F4078" s="2">
        <v>90</v>
      </c>
      <c r="G4078" s="2" t="s">
        <v>9167</v>
      </c>
      <c r="H4078" s="2" t="s">
        <v>2321</v>
      </c>
      <c r="I4078" s="2" t="s">
        <v>129</v>
      </c>
      <c r="J4078" s="3">
        <v>44790</v>
      </c>
      <c r="K4078" s="2">
        <v>91</v>
      </c>
      <c r="L4078" s="2" t="s">
        <v>101</v>
      </c>
    </row>
    <row r="4079" spans="1:12" x14ac:dyDescent="0.3">
      <c r="A4079" s="2">
        <v>4068</v>
      </c>
      <c r="B4079" s="2" t="s">
        <v>1675</v>
      </c>
      <c r="C4079" s="2" t="s">
        <v>3111</v>
      </c>
      <c r="D4079" s="2" t="s">
        <v>51</v>
      </c>
      <c r="E4079" s="2" t="s">
        <v>16</v>
      </c>
      <c r="F4079" s="2">
        <v>90</v>
      </c>
      <c r="G4079" s="2" t="s">
        <v>9168</v>
      </c>
      <c r="H4079" s="2" t="s">
        <v>6224</v>
      </c>
      <c r="I4079" s="2" t="s">
        <v>294</v>
      </c>
      <c r="J4079" s="3">
        <v>44443</v>
      </c>
      <c r="K4079" s="2">
        <v>34</v>
      </c>
      <c r="L4079" s="2" t="s">
        <v>64</v>
      </c>
    </row>
    <row r="4080" spans="1:12" x14ac:dyDescent="0.3">
      <c r="A4080" s="2">
        <v>4069</v>
      </c>
      <c r="B4080" s="2" t="s">
        <v>3946</v>
      </c>
      <c r="C4080" s="2" t="s">
        <v>2368</v>
      </c>
      <c r="D4080" s="2" t="s">
        <v>28</v>
      </c>
      <c r="E4080" s="2" t="s">
        <v>29</v>
      </c>
      <c r="F4080" s="2">
        <v>90</v>
      </c>
      <c r="G4080" s="2" t="s">
        <v>9169</v>
      </c>
      <c r="H4080" s="2" t="s">
        <v>2624</v>
      </c>
      <c r="I4080" s="2" t="s">
        <v>32</v>
      </c>
      <c r="J4080" s="3">
        <v>44753</v>
      </c>
      <c r="K4080" s="2">
        <v>87</v>
      </c>
      <c r="L4080" s="2" t="s">
        <v>64</v>
      </c>
    </row>
    <row r="4081" spans="1:12" x14ac:dyDescent="0.3">
      <c r="A4081" s="2">
        <v>4070</v>
      </c>
      <c r="B4081" s="2" t="s">
        <v>3938</v>
      </c>
      <c r="C4081" s="2" t="s">
        <v>9170</v>
      </c>
      <c r="D4081" s="2" t="s">
        <v>51</v>
      </c>
      <c r="E4081" s="2" t="s">
        <v>16</v>
      </c>
      <c r="F4081" s="2">
        <v>60</v>
      </c>
      <c r="G4081" s="2" t="s">
        <v>9171</v>
      </c>
      <c r="H4081" s="2" t="s">
        <v>244</v>
      </c>
      <c r="I4081" s="2" t="s">
        <v>240</v>
      </c>
      <c r="J4081" s="3">
        <v>44183</v>
      </c>
      <c r="K4081" s="2">
        <v>58</v>
      </c>
      <c r="L4081" s="2" t="s">
        <v>39</v>
      </c>
    </row>
    <row r="4082" spans="1:12" x14ac:dyDescent="0.3">
      <c r="A4082" s="2">
        <v>4071</v>
      </c>
      <c r="B4082" s="2" t="s">
        <v>964</v>
      </c>
      <c r="C4082" s="2" t="s">
        <v>9172</v>
      </c>
      <c r="D4082" s="2" t="s">
        <v>28</v>
      </c>
      <c r="E4082" s="2" t="s">
        <v>29</v>
      </c>
      <c r="F4082" s="2">
        <v>90</v>
      </c>
      <c r="G4082" s="2" t="s">
        <v>9173</v>
      </c>
      <c r="H4082" s="2" t="s">
        <v>2341</v>
      </c>
      <c r="I4082" s="2" t="s">
        <v>2342</v>
      </c>
      <c r="J4082" s="3">
        <v>44368</v>
      </c>
      <c r="K4082" s="2">
        <v>93</v>
      </c>
      <c r="L4082" s="2" t="s">
        <v>101</v>
      </c>
    </row>
    <row r="4083" spans="1:12" x14ac:dyDescent="0.3">
      <c r="A4083" s="2">
        <v>4072</v>
      </c>
      <c r="B4083" s="2" t="s">
        <v>9174</v>
      </c>
      <c r="C4083" s="2" t="s">
        <v>4495</v>
      </c>
      <c r="D4083" s="2" t="s">
        <v>51</v>
      </c>
      <c r="E4083" s="2" t="s">
        <v>16</v>
      </c>
      <c r="F4083" s="2">
        <v>60</v>
      </c>
      <c r="G4083" s="2" t="s">
        <v>9175</v>
      </c>
      <c r="H4083" s="2" t="s">
        <v>7383</v>
      </c>
      <c r="I4083" s="2" t="s">
        <v>110</v>
      </c>
      <c r="J4083" s="3">
        <v>44315</v>
      </c>
      <c r="K4083" s="2">
        <v>84</v>
      </c>
      <c r="L4083" s="2" t="s">
        <v>80</v>
      </c>
    </row>
    <row r="4084" spans="1:12" x14ac:dyDescent="0.3">
      <c r="A4084" s="2">
        <v>4073</v>
      </c>
      <c r="B4084" s="2" t="s">
        <v>9176</v>
      </c>
      <c r="C4084" s="2" t="s">
        <v>5067</v>
      </c>
      <c r="D4084" s="2" t="s">
        <v>15</v>
      </c>
      <c r="E4084" s="2" t="s">
        <v>16</v>
      </c>
      <c r="F4084" s="2">
        <v>90</v>
      </c>
      <c r="G4084" s="2" t="s">
        <v>9177</v>
      </c>
      <c r="H4084" s="2" t="s">
        <v>8777</v>
      </c>
      <c r="I4084" s="2" t="s">
        <v>294</v>
      </c>
      <c r="J4084" s="3">
        <v>44208</v>
      </c>
      <c r="K4084" s="2">
        <v>8</v>
      </c>
      <c r="L4084" s="2" t="s">
        <v>64</v>
      </c>
    </row>
    <row r="4085" spans="1:12" x14ac:dyDescent="0.3">
      <c r="A4085" s="2">
        <v>4074</v>
      </c>
      <c r="B4085" s="2" t="s">
        <v>3471</v>
      </c>
      <c r="C4085" s="2" t="s">
        <v>7423</v>
      </c>
      <c r="D4085" s="2" t="s">
        <v>15</v>
      </c>
      <c r="E4085" s="2" t="s">
        <v>16</v>
      </c>
      <c r="F4085" s="2">
        <v>60</v>
      </c>
      <c r="G4085" s="2" t="s">
        <v>9178</v>
      </c>
      <c r="H4085" s="2" t="s">
        <v>4955</v>
      </c>
      <c r="I4085" s="2" t="s">
        <v>645</v>
      </c>
      <c r="J4085" s="3">
        <v>44434</v>
      </c>
      <c r="K4085" s="2">
        <v>80</v>
      </c>
      <c r="L4085" s="2" t="s">
        <v>101</v>
      </c>
    </row>
    <row r="4086" spans="1:12" x14ac:dyDescent="0.3">
      <c r="A4086" s="2">
        <v>4075</v>
      </c>
      <c r="B4086" s="2" t="s">
        <v>4905</v>
      </c>
      <c r="C4086" s="2" t="s">
        <v>4173</v>
      </c>
      <c r="D4086" s="2" t="s">
        <v>28</v>
      </c>
      <c r="E4086" s="2" t="s">
        <v>29</v>
      </c>
      <c r="F4086" s="2">
        <v>60</v>
      </c>
      <c r="G4086" s="2" t="s">
        <v>9179</v>
      </c>
      <c r="H4086" s="2" t="s">
        <v>875</v>
      </c>
      <c r="I4086" s="2" t="s">
        <v>187</v>
      </c>
      <c r="J4086" s="3">
        <v>43863</v>
      </c>
      <c r="K4086" s="2">
        <v>11</v>
      </c>
      <c r="L4086" s="2" t="s">
        <v>70</v>
      </c>
    </row>
    <row r="4087" spans="1:12" x14ac:dyDescent="0.3">
      <c r="A4087" s="2">
        <v>4076</v>
      </c>
      <c r="B4087" s="2" t="s">
        <v>4828</v>
      </c>
      <c r="C4087" s="2" t="s">
        <v>3357</v>
      </c>
      <c r="D4087" s="2" t="s">
        <v>41</v>
      </c>
      <c r="E4087" s="2" t="s">
        <v>16</v>
      </c>
      <c r="F4087" s="2">
        <v>30</v>
      </c>
      <c r="G4087" s="2" t="s">
        <v>9180</v>
      </c>
      <c r="H4087" s="2" t="s">
        <v>730</v>
      </c>
      <c r="I4087" s="2" t="s">
        <v>187</v>
      </c>
      <c r="J4087" s="3">
        <v>44005</v>
      </c>
      <c r="K4087" s="2">
        <v>25</v>
      </c>
      <c r="L4087" s="2" t="s">
        <v>39</v>
      </c>
    </row>
    <row r="4088" spans="1:12" x14ac:dyDescent="0.3">
      <c r="A4088" s="2">
        <v>4077</v>
      </c>
      <c r="B4088" s="2" t="s">
        <v>335</v>
      </c>
      <c r="C4088" s="2" t="s">
        <v>3989</v>
      </c>
      <c r="D4088" s="2" t="s">
        <v>28</v>
      </c>
      <c r="E4088" s="2" t="s">
        <v>29</v>
      </c>
      <c r="F4088" s="2">
        <v>30</v>
      </c>
      <c r="G4088" s="2" t="s">
        <v>9181</v>
      </c>
      <c r="H4088" s="2" t="s">
        <v>591</v>
      </c>
      <c r="I4088" s="2" t="s">
        <v>32</v>
      </c>
      <c r="J4088" s="3">
        <v>44767</v>
      </c>
      <c r="K4088" s="2">
        <v>51</v>
      </c>
      <c r="L4088" s="2" t="s">
        <v>20</v>
      </c>
    </row>
    <row r="4089" spans="1:12" x14ac:dyDescent="0.3">
      <c r="A4089" s="2">
        <v>4078</v>
      </c>
      <c r="B4089" s="2" t="s">
        <v>1120</v>
      </c>
      <c r="C4089" s="2" t="s">
        <v>6169</v>
      </c>
      <c r="D4089" s="2" t="s">
        <v>28</v>
      </c>
      <c r="E4089" s="2" t="s">
        <v>29</v>
      </c>
      <c r="F4089" s="2">
        <v>60</v>
      </c>
      <c r="G4089" s="2" t="s">
        <v>9182</v>
      </c>
      <c r="H4089" s="2" t="s">
        <v>7768</v>
      </c>
      <c r="I4089" s="2" t="s">
        <v>19</v>
      </c>
      <c r="J4089" s="3">
        <v>44367</v>
      </c>
      <c r="K4089" s="2">
        <v>31</v>
      </c>
      <c r="L4089" s="2" t="s">
        <v>33</v>
      </c>
    </row>
    <row r="4090" spans="1:12" x14ac:dyDescent="0.3">
      <c r="A4090" s="2">
        <v>4079</v>
      </c>
      <c r="B4090" s="2" t="s">
        <v>9183</v>
      </c>
      <c r="C4090" s="2" t="s">
        <v>5043</v>
      </c>
      <c r="D4090" s="2" t="s">
        <v>51</v>
      </c>
      <c r="E4090" s="2" t="s">
        <v>16</v>
      </c>
      <c r="F4090" s="2">
        <v>90</v>
      </c>
      <c r="G4090" s="2" t="s">
        <v>9184</v>
      </c>
      <c r="H4090" s="2" t="s">
        <v>754</v>
      </c>
      <c r="I4090" s="2" t="s">
        <v>25</v>
      </c>
      <c r="J4090" s="3">
        <v>43988</v>
      </c>
      <c r="K4090" s="2">
        <v>33</v>
      </c>
      <c r="L4090" s="2" t="s">
        <v>54</v>
      </c>
    </row>
    <row r="4091" spans="1:12" x14ac:dyDescent="0.3">
      <c r="A4091" s="2">
        <v>4080</v>
      </c>
      <c r="B4091" s="2" t="s">
        <v>2731</v>
      </c>
      <c r="C4091" s="2" t="s">
        <v>406</v>
      </c>
      <c r="D4091" s="2" t="s">
        <v>51</v>
      </c>
      <c r="E4091" s="2" t="s">
        <v>16</v>
      </c>
      <c r="F4091" s="2">
        <v>30</v>
      </c>
      <c r="G4091" s="2" t="s">
        <v>9185</v>
      </c>
      <c r="H4091" s="2" t="s">
        <v>1690</v>
      </c>
      <c r="I4091" s="2" t="s">
        <v>208</v>
      </c>
      <c r="J4091" s="3">
        <v>44374</v>
      </c>
      <c r="K4091" s="2">
        <v>35</v>
      </c>
      <c r="L4091" s="2" t="s">
        <v>45</v>
      </c>
    </row>
    <row r="4092" spans="1:12" x14ac:dyDescent="0.3">
      <c r="A4092" s="2">
        <v>4081</v>
      </c>
      <c r="B4092" s="2" t="s">
        <v>259</v>
      </c>
      <c r="C4092" s="2" t="s">
        <v>3767</v>
      </c>
      <c r="D4092" s="2" t="s">
        <v>92</v>
      </c>
      <c r="E4092" s="2" t="s">
        <v>29</v>
      </c>
      <c r="F4092" s="2">
        <v>30</v>
      </c>
      <c r="G4092" s="2" t="s">
        <v>9186</v>
      </c>
      <c r="H4092" s="2" t="s">
        <v>838</v>
      </c>
      <c r="I4092" s="2" t="s">
        <v>839</v>
      </c>
      <c r="J4092" s="3">
        <v>44310</v>
      </c>
      <c r="K4092" s="2">
        <v>48</v>
      </c>
      <c r="L4092" s="2" t="s">
        <v>64</v>
      </c>
    </row>
    <row r="4093" spans="1:12" x14ac:dyDescent="0.3">
      <c r="A4093" s="2">
        <v>4082</v>
      </c>
      <c r="B4093" s="2" t="s">
        <v>9187</v>
      </c>
      <c r="C4093" s="2" t="s">
        <v>4842</v>
      </c>
      <c r="D4093" s="2" t="s">
        <v>51</v>
      </c>
      <c r="E4093" s="2" t="s">
        <v>16</v>
      </c>
      <c r="F4093" s="2">
        <v>60</v>
      </c>
      <c r="G4093" s="2" t="s">
        <v>9188</v>
      </c>
      <c r="H4093" s="2" t="s">
        <v>6516</v>
      </c>
      <c r="I4093" s="2" t="s">
        <v>32</v>
      </c>
      <c r="J4093" s="3">
        <v>44569</v>
      </c>
      <c r="K4093" s="2">
        <v>74</v>
      </c>
      <c r="L4093" s="2" t="s">
        <v>101</v>
      </c>
    </row>
    <row r="4094" spans="1:12" x14ac:dyDescent="0.3">
      <c r="A4094" s="2">
        <v>4083</v>
      </c>
      <c r="B4094" s="2" t="s">
        <v>9189</v>
      </c>
      <c r="C4094" s="2" t="s">
        <v>6541</v>
      </c>
      <c r="D4094" s="2" t="s">
        <v>92</v>
      </c>
      <c r="E4094" s="2" t="s">
        <v>29</v>
      </c>
      <c r="F4094" s="2">
        <v>90</v>
      </c>
      <c r="G4094" s="2" t="s">
        <v>9188</v>
      </c>
      <c r="H4094" s="2" t="s">
        <v>3554</v>
      </c>
      <c r="I4094" s="2" t="s">
        <v>32</v>
      </c>
      <c r="J4094" s="3">
        <v>44556</v>
      </c>
      <c r="K4094" s="2">
        <v>7</v>
      </c>
      <c r="L4094" s="2" t="s">
        <v>33</v>
      </c>
    </row>
    <row r="4095" spans="1:12" x14ac:dyDescent="0.3">
      <c r="A4095" s="2">
        <v>4084</v>
      </c>
      <c r="B4095" s="2" t="s">
        <v>5454</v>
      </c>
      <c r="C4095" s="2" t="s">
        <v>9190</v>
      </c>
      <c r="D4095" s="2" t="s">
        <v>51</v>
      </c>
      <c r="E4095" s="2" t="s">
        <v>16</v>
      </c>
      <c r="F4095" s="2">
        <v>30</v>
      </c>
      <c r="G4095" s="2" t="s">
        <v>9191</v>
      </c>
      <c r="H4095" s="2" t="s">
        <v>2997</v>
      </c>
      <c r="I4095" s="2" t="s">
        <v>32</v>
      </c>
      <c r="J4095" s="3">
        <v>44226</v>
      </c>
      <c r="K4095" s="2">
        <v>23</v>
      </c>
      <c r="L4095" s="2" t="s">
        <v>20</v>
      </c>
    </row>
    <row r="4096" spans="1:12" x14ac:dyDescent="0.3">
      <c r="A4096" s="2">
        <v>4085</v>
      </c>
      <c r="B4096" s="2" t="s">
        <v>4016</v>
      </c>
      <c r="C4096" s="2" t="s">
        <v>7070</v>
      </c>
      <c r="D4096" s="2" t="s">
        <v>28</v>
      </c>
      <c r="E4096" s="2" t="s">
        <v>29</v>
      </c>
      <c r="F4096" s="2">
        <v>30</v>
      </c>
      <c r="G4096" s="2" t="s">
        <v>9192</v>
      </c>
      <c r="H4096" s="2" t="s">
        <v>172</v>
      </c>
      <c r="I4096" s="2" t="s">
        <v>173</v>
      </c>
      <c r="J4096" s="3">
        <v>44866</v>
      </c>
      <c r="K4096" s="2">
        <v>31</v>
      </c>
      <c r="L4096" s="2" t="s">
        <v>20</v>
      </c>
    </row>
    <row r="4097" spans="1:12" x14ac:dyDescent="0.3">
      <c r="A4097" s="2">
        <v>4086</v>
      </c>
      <c r="B4097" s="2" t="s">
        <v>9193</v>
      </c>
      <c r="C4097" s="2" t="s">
        <v>3226</v>
      </c>
      <c r="D4097" s="2" t="s">
        <v>28</v>
      </c>
      <c r="E4097" s="2" t="s">
        <v>29</v>
      </c>
      <c r="F4097" s="2">
        <v>60</v>
      </c>
      <c r="G4097" s="2" t="s">
        <v>9194</v>
      </c>
      <c r="H4097" s="2" t="s">
        <v>3951</v>
      </c>
      <c r="I4097" s="2" t="s">
        <v>1576</v>
      </c>
      <c r="J4097" s="3">
        <v>44316</v>
      </c>
      <c r="K4097" s="2">
        <v>47</v>
      </c>
      <c r="L4097" s="2" t="s">
        <v>64</v>
      </c>
    </row>
    <row r="4098" spans="1:12" x14ac:dyDescent="0.3">
      <c r="A4098" s="2">
        <v>4087</v>
      </c>
      <c r="B4098" s="2" t="s">
        <v>9195</v>
      </c>
      <c r="C4098" s="2" t="s">
        <v>3839</v>
      </c>
      <c r="D4098" s="2" t="s">
        <v>51</v>
      </c>
      <c r="E4098" s="2" t="s">
        <v>16</v>
      </c>
      <c r="F4098" s="2">
        <v>60</v>
      </c>
      <c r="G4098" s="2" t="s">
        <v>9197</v>
      </c>
      <c r="H4098" s="2" t="s">
        <v>2498</v>
      </c>
      <c r="I4098" s="2" t="s">
        <v>913</v>
      </c>
      <c r="J4098" s="3">
        <v>44068</v>
      </c>
      <c r="K4098" s="2">
        <v>29</v>
      </c>
      <c r="L4098" s="2" t="s">
        <v>70</v>
      </c>
    </row>
    <row r="4099" spans="1:12" x14ac:dyDescent="0.3">
      <c r="A4099" s="2">
        <v>4088</v>
      </c>
      <c r="B4099" s="2" t="s">
        <v>7587</v>
      </c>
      <c r="C4099" s="2" t="s">
        <v>3591</v>
      </c>
      <c r="D4099" s="2" t="s">
        <v>51</v>
      </c>
      <c r="E4099" s="2" t="s">
        <v>16</v>
      </c>
      <c r="F4099" s="2">
        <v>60</v>
      </c>
      <c r="G4099" s="2" t="s">
        <v>9197</v>
      </c>
      <c r="H4099" s="2" t="s">
        <v>2069</v>
      </c>
      <c r="I4099" s="2" t="s">
        <v>1035</v>
      </c>
      <c r="J4099" s="3">
        <v>43917</v>
      </c>
      <c r="K4099" s="2">
        <v>29</v>
      </c>
      <c r="L4099" s="2" t="s">
        <v>159</v>
      </c>
    </row>
    <row r="4100" spans="1:12" x14ac:dyDescent="0.3">
      <c r="A4100" s="2">
        <v>4089</v>
      </c>
      <c r="B4100" s="2" t="s">
        <v>9198</v>
      </c>
      <c r="C4100" s="2" t="s">
        <v>152</v>
      </c>
      <c r="D4100" s="2" t="s">
        <v>51</v>
      </c>
      <c r="E4100" s="2" t="s">
        <v>16</v>
      </c>
      <c r="F4100" s="2">
        <v>90</v>
      </c>
      <c r="G4100" s="2" t="s">
        <v>9199</v>
      </c>
      <c r="H4100" s="2" t="s">
        <v>4409</v>
      </c>
      <c r="I4100" s="2" t="s">
        <v>294</v>
      </c>
      <c r="J4100" s="3">
        <v>44725</v>
      </c>
      <c r="K4100" s="2">
        <v>28</v>
      </c>
      <c r="L4100" s="2" t="s">
        <v>101</v>
      </c>
    </row>
    <row r="4101" spans="1:12" x14ac:dyDescent="0.3">
      <c r="A4101" s="2">
        <v>4090</v>
      </c>
      <c r="B4101" s="2" t="s">
        <v>3583</v>
      </c>
      <c r="C4101" s="2" t="s">
        <v>6003</v>
      </c>
      <c r="D4101" s="2" t="s">
        <v>28</v>
      </c>
      <c r="E4101" s="2" t="s">
        <v>29</v>
      </c>
      <c r="F4101" s="2">
        <v>60</v>
      </c>
      <c r="G4101" s="2" t="s">
        <v>9200</v>
      </c>
      <c r="H4101" s="2" t="s">
        <v>1242</v>
      </c>
      <c r="I4101" s="2" t="s">
        <v>38</v>
      </c>
      <c r="J4101" s="3">
        <v>44579</v>
      </c>
      <c r="K4101" s="2">
        <v>39</v>
      </c>
      <c r="L4101" s="2" t="s">
        <v>80</v>
      </c>
    </row>
    <row r="4102" spans="1:12" x14ac:dyDescent="0.3">
      <c r="A4102" s="2">
        <v>4091</v>
      </c>
      <c r="B4102" s="2" t="s">
        <v>5457</v>
      </c>
      <c r="C4102" s="2" t="s">
        <v>175</v>
      </c>
      <c r="D4102" s="2" t="s">
        <v>51</v>
      </c>
      <c r="E4102" s="2" t="s">
        <v>16</v>
      </c>
      <c r="F4102" s="2">
        <v>30</v>
      </c>
      <c r="G4102" s="2" t="s">
        <v>9201</v>
      </c>
      <c r="H4102" s="2" t="s">
        <v>655</v>
      </c>
      <c r="I4102" s="2" t="s">
        <v>32</v>
      </c>
      <c r="J4102" s="3">
        <v>43917</v>
      </c>
      <c r="K4102" s="2">
        <v>19</v>
      </c>
      <c r="L4102" s="2" t="s">
        <v>159</v>
      </c>
    </row>
    <row r="4103" spans="1:12" x14ac:dyDescent="0.3">
      <c r="A4103" s="2">
        <v>4092</v>
      </c>
      <c r="B4103" s="2" t="s">
        <v>785</v>
      </c>
      <c r="C4103" s="2" t="s">
        <v>1546</v>
      </c>
      <c r="D4103" s="2" t="s">
        <v>28</v>
      </c>
      <c r="E4103" s="2" t="s">
        <v>29</v>
      </c>
      <c r="F4103" s="2">
        <v>90</v>
      </c>
      <c r="G4103" s="2" t="s">
        <v>9202</v>
      </c>
      <c r="H4103" s="2" t="s">
        <v>6430</v>
      </c>
      <c r="I4103" s="2" t="s">
        <v>32</v>
      </c>
      <c r="J4103" s="3">
        <v>43908</v>
      </c>
      <c r="K4103" s="2">
        <v>32</v>
      </c>
      <c r="L4103" s="2" t="s">
        <v>39</v>
      </c>
    </row>
    <row r="4104" spans="1:12" x14ac:dyDescent="0.3">
      <c r="A4104" s="2">
        <v>4093</v>
      </c>
      <c r="B4104" s="2" t="s">
        <v>4780</v>
      </c>
      <c r="C4104" s="2" t="s">
        <v>4989</v>
      </c>
      <c r="D4104" s="2" t="s">
        <v>117</v>
      </c>
      <c r="E4104" s="2" t="s">
        <v>29</v>
      </c>
      <c r="F4104" s="2">
        <v>30</v>
      </c>
      <c r="G4104" s="2" t="s">
        <v>9203</v>
      </c>
      <c r="H4104" s="2" t="s">
        <v>4675</v>
      </c>
      <c r="I4104" s="2" t="s">
        <v>178</v>
      </c>
      <c r="J4104" s="3">
        <v>44410</v>
      </c>
      <c r="K4104" s="2">
        <v>2</v>
      </c>
      <c r="L4104" s="2" t="s">
        <v>70</v>
      </c>
    </row>
    <row r="4105" spans="1:12" x14ac:dyDescent="0.3">
      <c r="A4105" s="2">
        <v>4094</v>
      </c>
      <c r="B4105" s="2" t="s">
        <v>4004</v>
      </c>
      <c r="C4105" s="2" t="s">
        <v>2398</v>
      </c>
      <c r="D4105" s="2" t="s">
        <v>28</v>
      </c>
      <c r="E4105" s="2" t="s">
        <v>29</v>
      </c>
      <c r="F4105" s="2">
        <v>60</v>
      </c>
      <c r="G4105" s="2" t="s">
        <v>9204</v>
      </c>
      <c r="H4105" s="2" t="s">
        <v>1739</v>
      </c>
      <c r="I4105" s="2" t="s">
        <v>32</v>
      </c>
      <c r="J4105" s="3">
        <v>44180</v>
      </c>
      <c r="K4105" s="2">
        <v>34</v>
      </c>
      <c r="L4105" s="2" t="s">
        <v>45</v>
      </c>
    </row>
    <row r="4106" spans="1:12" x14ac:dyDescent="0.3">
      <c r="A4106" s="2">
        <v>4095</v>
      </c>
      <c r="B4106" s="2" t="s">
        <v>9205</v>
      </c>
      <c r="C4106" s="2" t="s">
        <v>2686</v>
      </c>
      <c r="D4106" s="2" t="s">
        <v>15</v>
      </c>
      <c r="E4106" s="2" t="s">
        <v>16</v>
      </c>
      <c r="F4106" s="2">
        <v>60</v>
      </c>
      <c r="G4106" s="2" t="s">
        <v>9206</v>
      </c>
      <c r="H4106" s="2" t="s">
        <v>3915</v>
      </c>
      <c r="I4106" s="2" t="s">
        <v>173</v>
      </c>
      <c r="J4106" s="3">
        <v>43889</v>
      </c>
      <c r="K4106" s="2">
        <v>3</v>
      </c>
      <c r="L4106" s="2" t="s">
        <v>159</v>
      </c>
    </row>
    <row r="4107" spans="1:12" x14ac:dyDescent="0.3">
      <c r="A4107" s="2">
        <v>4096</v>
      </c>
      <c r="B4107" s="2" t="s">
        <v>4318</v>
      </c>
      <c r="C4107" s="2" t="s">
        <v>8126</v>
      </c>
      <c r="D4107" s="2" t="s">
        <v>28</v>
      </c>
      <c r="E4107" s="2" t="s">
        <v>29</v>
      </c>
      <c r="F4107" s="2">
        <v>60</v>
      </c>
      <c r="G4107" s="2" t="s">
        <v>9207</v>
      </c>
      <c r="H4107" s="2" t="s">
        <v>3228</v>
      </c>
      <c r="I4107" s="2" t="s">
        <v>294</v>
      </c>
      <c r="J4107" s="3">
        <v>43869</v>
      </c>
      <c r="K4107" s="2">
        <v>21</v>
      </c>
      <c r="L4107" s="2" t="s">
        <v>33</v>
      </c>
    </row>
    <row r="4108" spans="1:12" x14ac:dyDescent="0.3">
      <c r="A4108" s="2">
        <v>4097</v>
      </c>
      <c r="B4108" s="2" t="s">
        <v>909</v>
      </c>
      <c r="C4108" s="2" t="s">
        <v>6730</v>
      </c>
      <c r="D4108" s="2" t="s">
        <v>15</v>
      </c>
      <c r="E4108" s="2" t="s">
        <v>16</v>
      </c>
      <c r="F4108" s="2">
        <v>30</v>
      </c>
      <c r="G4108" s="2" t="s">
        <v>9208</v>
      </c>
      <c r="H4108" s="2" t="s">
        <v>3175</v>
      </c>
      <c r="I4108" s="2" t="s">
        <v>1233</v>
      </c>
      <c r="J4108" s="3">
        <v>44303</v>
      </c>
      <c r="K4108" s="2">
        <v>85</v>
      </c>
      <c r="L4108" s="2" t="s">
        <v>45</v>
      </c>
    </row>
    <row r="4109" spans="1:12" x14ac:dyDescent="0.3">
      <c r="A4109" s="2">
        <v>4098</v>
      </c>
      <c r="B4109" s="2" t="s">
        <v>375</v>
      </c>
      <c r="C4109" s="2" t="s">
        <v>4561</v>
      </c>
      <c r="D4109" s="2" t="s">
        <v>28</v>
      </c>
      <c r="E4109" s="2" t="s">
        <v>29</v>
      </c>
      <c r="F4109" s="2">
        <v>60</v>
      </c>
      <c r="G4109" s="2" t="s">
        <v>9208</v>
      </c>
      <c r="H4109" s="2" t="s">
        <v>9209</v>
      </c>
      <c r="I4109" s="2" t="s">
        <v>32</v>
      </c>
      <c r="J4109" s="3">
        <v>44761</v>
      </c>
      <c r="K4109" s="2">
        <v>15</v>
      </c>
      <c r="L4109" s="2" t="s">
        <v>20</v>
      </c>
    </row>
    <row r="4110" spans="1:12" x14ac:dyDescent="0.3">
      <c r="A4110" s="2">
        <v>4099</v>
      </c>
      <c r="B4110" s="2" t="s">
        <v>3159</v>
      </c>
      <c r="C4110" s="2" t="s">
        <v>1979</v>
      </c>
      <c r="D4110" s="2" t="s">
        <v>28</v>
      </c>
      <c r="E4110" s="2" t="s">
        <v>29</v>
      </c>
      <c r="F4110" s="2">
        <v>60</v>
      </c>
      <c r="G4110" s="2" t="s">
        <v>9210</v>
      </c>
      <c r="H4110" s="2" t="s">
        <v>2408</v>
      </c>
      <c r="I4110" s="2" t="s">
        <v>187</v>
      </c>
      <c r="J4110" s="3">
        <v>44294</v>
      </c>
      <c r="K4110" s="2">
        <v>89</v>
      </c>
      <c r="L4110" s="2" t="s">
        <v>159</v>
      </c>
    </row>
    <row r="4111" spans="1:12" x14ac:dyDescent="0.3">
      <c r="A4111" s="2">
        <v>4100</v>
      </c>
      <c r="B4111" s="2" t="s">
        <v>3340</v>
      </c>
      <c r="C4111" s="2" t="s">
        <v>2279</v>
      </c>
      <c r="D4111" s="2" t="s">
        <v>28</v>
      </c>
      <c r="E4111" s="2" t="s">
        <v>29</v>
      </c>
      <c r="F4111" s="2">
        <v>90</v>
      </c>
      <c r="G4111" s="2" t="s">
        <v>9210</v>
      </c>
      <c r="H4111" s="2" t="s">
        <v>1800</v>
      </c>
      <c r="I4111" s="2" t="s">
        <v>32</v>
      </c>
      <c r="J4111" s="3">
        <v>44462</v>
      </c>
      <c r="K4111" s="2">
        <v>77</v>
      </c>
      <c r="L4111" s="2" t="s">
        <v>101</v>
      </c>
    </row>
    <row r="4112" spans="1:12" x14ac:dyDescent="0.3">
      <c r="A4112" s="2">
        <v>4101</v>
      </c>
      <c r="B4112" s="2" t="s">
        <v>3532</v>
      </c>
      <c r="C4112" s="2" t="s">
        <v>1840</v>
      </c>
      <c r="D4112" s="2" t="s">
        <v>28</v>
      </c>
      <c r="E4112" s="2" t="s">
        <v>29</v>
      </c>
      <c r="F4112" s="2">
        <v>30</v>
      </c>
      <c r="G4112" s="2" t="s">
        <v>9211</v>
      </c>
      <c r="H4112" s="2" t="s">
        <v>1160</v>
      </c>
      <c r="I4112" s="2" t="s">
        <v>25</v>
      </c>
      <c r="J4112" s="3">
        <v>44442</v>
      </c>
      <c r="K4112" s="2">
        <v>44</v>
      </c>
      <c r="L4112" s="2" t="s">
        <v>54</v>
      </c>
    </row>
    <row r="4113" spans="1:12" x14ac:dyDescent="0.3">
      <c r="A4113" s="2">
        <v>4102</v>
      </c>
      <c r="B4113" s="2" t="s">
        <v>8790</v>
      </c>
      <c r="C4113" s="2" t="s">
        <v>3630</v>
      </c>
      <c r="D4113" s="2" t="s">
        <v>41</v>
      </c>
      <c r="E4113" s="2" t="s">
        <v>16</v>
      </c>
      <c r="F4113" s="2">
        <v>30</v>
      </c>
      <c r="G4113" s="2" t="s">
        <v>9212</v>
      </c>
      <c r="H4113" s="2" t="s">
        <v>754</v>
      </c>
      <c r="I4113" s="2" t="s">
        <v>25</v>
      </c>
      <c r="J4113" s="3">
        <v>44754</v>
      </c>
      <c r="K4113" s="2">
        <v>98</v>
      </c>
      <c r="L4113" s="2" t="s">
        <v>70</v>
      </c>
    </row>
    <row r="4114" spans="1:12" x14ac:dyDescent="0.3">
      <c r="A4114" s="2">
        <v>4103</v>
      </c>
      <c r="B4114" s="2" t="s">
        <v>9213</v>
      </c>
      <c r="C4114" s="2" t="s">
        <v>2977</v>
      </c>
      <c r="D4114" s="2" t="s">
        <v>51</v>
      </c>
      <c r="E4114" s="2" t="s">
        <v>16</v>
      </c>
      <c r="F4114" s="2">
        <v>30</v>
      </c>
      <c r="G4114" s="2" t="s">
        <v>9212</v>
      </c>
      <c r="H4114" s="2" t="s">
        <v>1202</v>
      </c>
      <c r="I4114" s="2" t="s">
        <v>32</v>
      </c>
      <c r="J4114" s="3">
        <v>44016</v>
      </c>
      <c r="K4114" s="2">
        <v>61</v>
      </c>
      <c r="L4114" s="2" t="s">
        <v>54</v>
      </c>
    </row>
    <row r="4115" spans="1:12" x14ac:dyDescent="0.3">
      <c r="A4115" s="2">
        <v>4104</v>
      </c>
      <c r="B4115" s="2" t="s">
        <v>9214</v>
      </c>
      <c r="C4115" s="2" t="s">
        <v>1561</v>
      </c>
      <c r="D4115" s="2" t="s">
        <v>28</v>
      </c>
      <c r="E4115" s="2" t="s">
        <v>29</v>
      </c>
      <c r="F4115" s="2">
        <v>30</v>
      </c>
      <c r="G4115" s="2" t="s">
        <v>9215</v>
      </c>
      <c r="H4115" s="2" t="s">
        <v>483</v>
      </c>
      <c r="I4115" s="2" t="s">
        <v>32</v>
      </c>
      <c r="J4115" s="3">
        <v>44269</v>
      </c>
      <c r="K4115" s="2">
        <v>82</v>
      </c>
      <c r="L4115" s="2" t="s">
        <v>64</v>
      </c>
    </row>
    <row r="4116" spans="1:12" x14ac:dyDescent="0.3">
      <c r="A4116" s="2">
        <v>4105</v>
      </c>
      <c r="B4116" s="2" t="s">
        <v>7529</v>
      </c>
      <c r="C4116" s="2" t="s">
        <v>7369</v>
      </c>
      <c r="D4116" s="2" t="s">
        <v>51</v>
      </c>
      <c r="E4116" s="2" t="s">
        <v>16</v>
      </c>
      <c r="F4116" s="2">
        <v>30</v>
      </c>
      <c r="G4116" s="2" t="s">
        <v>9216</v>
      </c>
      <c r="H4116" s="2" t="s">
        <v>526</v>
      </c>
      <c r="I4116" s="2" t="s">
        <v>32</v>
      </c>
      <c r="J4116" s="3">
        <v>43851</v>
      </c>
      <c r="K4116" s="2">
        <v>40</v>
      </c>
      <c r="L4116" s="2" t="s">
        <v>45</v>
      </c>
    </row>
    <row r="4117" spans="1:12" x14ac:dyDescent="0.3">
      <c r="A4117" s="2">
        <v>4106</v>
      </c>
      <c r="B4117" s="2" t="s">
        <v>5497</v>
      </c>
      <c r="C4117" s="2" t="s">
        <v>1539</v>
      </c>
      <c r="D4117" s="2" t="s">
        <v>28</v>
      </c>
      <c r="E4117" s="2" t="s">
        <v>29</v>
      </c>
      <c r="F4117" s="2">
        <v>90</v>
      </c>
      <c r="G4117" s="2" t="s">
        <v>9217</v>
      </c>
      <c r="H4117" s="2" t="s">
        <v>3511</v>
      </c>
      <c r="I4117" s="2" t="s">
        <v>32</v>
      </c>
      <c r="J4117" s="3">
        <v>44535</v>
      </c>
      <c r="K4117" s="2">
        <v>80</v>
      </c>
      <c r="L4117" s="2" t="s">
        <v>80</v>
      </c>
    </row>
    <row r="4118" spans="1:12" x14ac:dyDescent="0.3">
      <c r="A4118" s="2">
        <v>4107</v>
      </c>
      <c r="B4118" s="2" t="s">
        <v>1752</v>
      </c>
      <c r="C4118" s="2" t="s">
        <v>9218</v>
      </c>
      <c r="D4118" s="2" t="s">
        <v>28</v>
      </c>
      <c r="E4118" s="2" t="s">
        <v>29</v>
      </c>
      <c r="F4118" s="2">
        <v>30</v>
      </c>
      <c r="G4118" s="2" t="s">
        <v>9219</v>
      </c>
      <c r="H4118" s="2" t="s">
        <v>2579</v>
      </c>
      <c r="I4118" s="2" t="s">
        <v>425</v>
      </c>
      <c r="J4118" s="3">
        <v>44396</v>
      </c>
      <c r="K4118" s="2">
        <v>52</v>
      </c>
      <c r="L4118" s="2" t="s">
        <v>33</v>
      </c>
    </row>
    <row r="4119" spans="1:12" x14ac:dyDescent="0.3">
      <c r="A4119" s="2">
        <v>4108</v>
      </c>
      <c r="B4119" s="2" t="s">
        <v>8400</v>
      </c>
      <c r="C4119" s="2" t="s">
        <v>8496</v>
      </c>
      <c r="D4119" s="2" t="s">
        <v>28</v>
      </c>
      <c r="E4119" s="2" t="s">
        <v>29</v>
      </c>
      <c r="F4119" s="2">
        <v>60</v>
      </c>
      <c r="G4119" s="2" t="s">
        <v>9220</v>
      </c>
      <c r="H4119" s="2" t="s">
        <v>2072</v>
      </c>
      <c r="I4119" s="2" t="s">
        <v>32</v>
      </c>
      <c r="J4119" s="3">
        <v>44610</v>
      </c>
      <c r="K4119" s="2">
        <v>65</v>
      </c>
      <c r="L4119" s="2" t="s">
        <v>70</v>
      </c>
    </row>
    <row r="4120" spans="1:12" x14ac:dyDescent="0.3">
      <c r="A4120" s="2">
        <v>4109</v>
      </c>
      <c r="B4120" s="2" t="s">
        <v>5028</v>
      </c>
      <c r="C4120" s="2" t="s">
        <v>2985</v>
      </c>
      <c r="D4120" s="2" t="s">
        <v>28</v>
      </c>
      <c r="E4120" s="2" t="s">
        <v>29</v>
      </c>
      <c r="F4120" s="2">
        <v>30</v>
      </c>
      <c r="G4120" s="2" t="s">
        <v>9221</v>
      </c>
      <c r="H4120" s="2" t="s">
        <v>5207</v>
      </c>
      <c r="I4120" s="2" t="s">
        <v>38</v>
      </c>
      <c r="J4120" s="3">
        <v>44120</v>
      </c>
      <c r="K4120" s="2">
        <v>33</v>
      </c>
      <c r="L4120" s="2" t="s">
        <v>54</v>
      </c>
    </row>
    <row r="4121" spans="1:12" x14ac:dyDescent="0.3">
      <c r="A4121" s="2">
        <v>4110</v>
      </c>
      <c r="B4121" s="2" t="s">
        <v>5433</v>
      </c>
      <c r="C4121" s="2" t="s">
        <v>9222</v>
      </c>
      <c r="D4121" s="2" t="s">
        <v>92</v>
      </c>
      <c r="E4121" s="2" t="s">
        <v>29</v>
      </c>
      <c r="F4121" s="2">
        <v>30</v>
      </c>
      <c r="G4121" s="2" t="s">
        <v>9223</v>
      </c>
      <c r="H4121" s="2" t="s">
        <v>3756</v>
      </c>
      <c r="I4121" s="2" t="s">
        <v>178</v>
      </c>
      <c r="J4121" s="3">
        <v>44078</v>
      </c>
      <c r="K4121" s="2">
        <v>84</v>
      </c>
      <c r="L4121" s="2" t="s">
        <v>45</v>
      </c>
    </row>
    <row r="4122" spans="1:12" x14ac:dyDescent="0.3">
      <c r="A4122" s="2">
        <v>4111</v>
      </c>
      <c r="B4122" s="2" t="s">
        <v>8003</v>
      </c>
      <c r="C4122" s="2" t="s">
        <v>3965</v>
      </c>
      <c r="D4122" s="2" t="s">
        <v>28</v>
      </c>
      <c r="E4122" s="2" t="s">
        <v>29</v>
      </c>
      <c r="F4122" s="2">
        <v>90</v>
      </c>
      <c r="G4122" s="2" t="s">
        <v>9224</v>
      </c>
      <c r="H4122" s="2" t="s">
        <v>3245</v>
      </c>
      <c r="I4122" s="2" t="s">
        <v>32</v>
      </c>
      <c r="J4122" s="3">
        <v>44211</v>
      </c>
      <c r="K4122" s="2">
        <v>67</v>
      </c>
      <c r="L4122" s="2" t="s">
        <v>54</v>
      </c>
    </row>
    <row r="4123" spans="1:12" x14ac:dyDescent="0.3">
      <c r="A4123" s="2">
        <v>4112</v>
      </c>
      <c r="B4123" s="2" t="s">
        <v>9225</v>
      </c>
      <c r="C4123" s="2" t="s">
        <v>2563</v>
      </c>
      <c r="D4123" s="2" t="s">
        <v>51</v>
      </c>
      <c r="E4123" s="2" t="s">
        <v>16</v>
      </c>
      <c r="F4123" s="2">
        <v>60</v>
      </c>
      <c r="G4123" s="2" t="s">
        <v>9226</v>
      </c>
      <c r="H4123" s="2" t="s">
        <v>3511</v>
      </c>
      <c r="I4123" s="2" t="s">
        <v>32</v>
      </c>
      <c r="J4123" s="3">
        <v>44099</v>
      </c>
      <c r="K4123" s="2">
        <v>30</v>
      </c>
      <c r="L4123" s="2" t="s">
        <v>159</v>
      </c>
    </row>
    <row r="4124" spans="1:12" x14ac:dyDescent="0.3">
      <c r="A4124" s="2">
        <v>4113</v>
      </c>
      <c r="B4124" s="2" t="s">
        <v>9227</v>
      </c>
      <c r="C4124" s="2" t="s">
        <v>2365</v>
      </c>
      <c r="D4124" s="2" t="s">
        <v>117</v>
      </c>
      <c r="E4124" s="2" t="s">
        <v>16</v>
      </c>
      <c r="F4124" s="2">
        <v>60</v>
      </c>
      <c r="G4124" s="2" t="s">
        <v>9228</v>
      </c>
      <c r="H4124" s="2" t="s">
        <v>2530</v>
      </c>
      <c r="I4124" s="2" t="s">
        <v>32</v>
      </c>
      <c r="J4124" s="3">
        <v>44721</v>
      </c>
      <c r="K4124" s="2">
        <v>19</v>
      </c>
      <c r="L4124" s="2" t="s">
        <v>45</v>
      </c>
    </row>
    <row r="4125" spans="1:12" x14ac:dyDescent="0.3">
      <c r="A4125" s="2">
        <v>4114</v>
      </c>
      <c r="B4125" s="2" t="s">
        <v>2531</v>
      </c>
      <c r="C4125" s="2" t="s">
        <v>3467</v>
      </c>
      <c r="D4125" s="2" t="s">
        <v>15</v>
      </c>
      <c r="E4125" s="2" t="s">
        <v>16</v>
      </c>
      <c r="F4125" s="2">
        <v>90</v>
      </c>
      <c r="G4125" s="2" t="s">
        <v>9229</v>
      </c>
      <c r="H4125" s="2" t="s">
        <v>2877</v>
      </c>
      <c r="I4125" s="2" t="s">
        <v>2878</v>
      </c>
      <c r="J4125" s="3">
        <v>43832</v>
      </c>
      <c r="K4125" s="2">
        <v>71</v>
      </c>
      <c r="L4125" s="2" t="s">
        <v>33</v>
      </c>
    </row>
    <row r="4126" spans="1:12" x14ac:dyDescent="0.3">
      <c r="A4126" s="2">
        <v>4115</v>
      </c>
      <c r="B4126" s="2" t="s">
        <v>1049</v>
      </c>
      <c r="C4126" s="2" t="s">
        <v>931</v>
      </c>
      <c r="D4126" s="2" t="s">
        <v>28</v>
      </c>
      <c r="E4126" s="2" t="s">
        <v>29</v>
      </c>
      <c r="F4126" s="2">
        <v>60</v>
      </c>
      <c r="G4126" s="2" t="s">
        <v>9229</v>
      </c>
      <c r="H4126" s="2" t="s">
        <v>1629</v>
      </c>
      <c r="I4126" s="2" t="s">
        <v>32</v>
      </c>
      <c r="J4126" s="3">
        <v>44179</v>
      </c>
      <c r="K4126" s="2">
        <v>9</v>
      </c>
      <c r="L4126" s="2" t="s">
        <v>39</v>
      </c>
    </row>
    <row r="4127" spans="1:12" x14ac:dyDescent="0.3">
      <c r="A4127" s="2">
        <v>4116</v>
      </c>
      <c r="B4127" s="2" t="s">
        <v>5746</v>
      </c>
      <c r="C4127" s="2" t="s">
        <v>4927</v>
      </c>
      <c r="D4127" s="2" t="s">
        <v>51</v>
      </c>
      <c r="E4127" s="2" t="s">
        <v>16</v>
      </c>
      <c r="F4127" s="2">
        <v>90</v>
      </c>
      <c r="G4127" s="2" t="s">
        <v>9230</v>
      </c>
      <c r="H4127" s="2" t="s">
        <v>5895</v>
      </c>
      <c r="I4127" s="2" t="s">
        <v>32</v>
      </c>
      <c r="J4127" s="3">
        <v>44822</v>
      </c>
      <c r="K4127" s="2">
        <v>68</v>
      </c>
      <c r="L4127" s="2" t="s">
        <v>39</v>
      </c>
    </row>
    <row r="4128" spans="1:12" x14ac:dyDescent="0.3">
      <c r="A4128" s="2">
        <v>4117</v>
      </c>
      <c r="B4128" s="2" t="s">
        <v>6194</v>
      </c>
      <c r="C4128" s="2" t="s">
        <v>1364</v>
      </c>
      <c r="D4128" s="2" t="s">
        <v>51</v>
      </c>
      <c r="E4128" s="2" t="s">
        <v>16</v>
      </c>
      <c r="F4128" s="2">
        <v>30</v>
      </c>
      <c r="G4128" s="2" t="s">
        <v>9231</v>
      </c>
      <c r="H4128" s="2" t="s">
        <v>6772</v>
      </c>
      <c r="I4128" s="2" t="s">
        <v>32</v>
      </c>
      <c r="J4128" s="3">
        <v>44161</v>
      </c>
      <c r="K4128" s="2">
        <v>73</v>
      </c>
      <c r="L4128" s="2" t="s">
        <v>159</v>
      </c>
    </row>
    <row r="4129" spans="1:12" x14ac:dyDescent="0.3">
      <c r="A4129" s="2">
        <v>4118</v>
      </c>
      <c r="B4129" s="2" t="s">
        <v>1229</v>
      </c>
      <c r="C4129" s="2" t="s">
        <v>7582</v>
      </c>
      <c r="D4129" s="2" t="s">
        <v>28</v>
      </c>
      <c r="E4129" s="2" t="s">
        <v>29</v>
      </c>
      <c r="F4129" s="2">
        <v>90</v>
      </c>
      <c r="G4129" s="2" t="s">
        <v>9232</v>
      </c>
      <c r="H4129" s="2" t="s">
        <v>9233</v>
      </c>
      <c r="I4129" s="2" t="s">
        <v>32</v>
      </c>
      <c r="J4129" s="3">
        <v>44126</v>
      </c>
      <c r="K4129" s="2">
        <v>64</v>
      </c>
      <c r="L4129" s="2" t="s">
        <v>54</v>
      </c>
    </row>
    <row r="4130" spans="1:12" x14ac:dyDescent="0.3">
      <c r="A4130" s="2">
        <v>4119</v>
      </c>
      <c r="B4130" s="2" t="s">
        <v>6242</v>
      </c>
      <c r="C4130" s="2" t="s">
        <v>258</v>
      </c>
      <c r="D4130" s="2" t="s">
        <v>51</v>
      </c>
      <c r="E4130" s="2" t="s">
        <v>16</v>
      </c>
      <c r="F4130" s="2">
        <v>30</v>
      </c>
      <c r="G4130" s="2" t="s">
        <v>9234</v>
      </c>
      <c r="H4130" s="2" t="s">
        <v>5823</v>
      </c>
      <c r="I4130" s="2" t="s">
        <v>110</v>
      </c>
      <c r="J4130" s="3">
        <v>44641</v>
      </c>
      <c r="K4130" s="2">
        <v>9</v>
      </c>
      <c r="L4130" s="2" t="s">
        <v>101</v>
      </c>
    </row>
    <row r="4131" spans="1:12" x14ac:dyDescent="0.3">
      <c r="A4131" s="2">
        <v>4120</v>
      </c>
      <c r="B4131" s="2" t="s">
        <v>3469</v>
      </c>
      <c r="C4131" s="2" t="s">
        <v>2191</v>
      </c>
      <c r="D4131" s="2" t="s">
        <v>28</v>
      </c>
      <c r="E4131" s="2" t="s">
        <v>29</v>
      </c>
      <c r="F4131" s="2">
        <v>30</v>
      </c>
      <c r="G4131" s="2" t="s">
        <v>9234</v>
      </c>
      <c r="H4131" s="2" t="s">
        <v>3790</v>
      </c>
      <c r="I4131" s="2" t="s">
        <v>32</v>
      </c>
      <c r="J4131" s="3">
        <v>44682</v>
      </c>
      <c r="K4131" s="2">
        <v>69</v>
      </c>
      <c r="L4131" s="2" t="s">
        <v>159</v>
      </c>
    </row>
    <row r="4132" spans="1:12" x14ac:dyDescent="0.3">
      <c r="A4132" s="2">
        <v>4121</v>
      </c>
      <c r="B4132" s="2" t="s">
        <v>2947</v>
      </c>
      <c r="C4132" s="2" t="s">
        <v>1700</v>
      </c>
      <c r="D4132" s="2" t="s">
        <v>28</v>
      </c>
      <c r="E4132" s="2" t="s">
        <v>29</v>
      </c>
      <c r="F4132" s="2">
        <v>60</v>
      </c>
      <c r="G4132" s="2" t="s">
        <v>9235</v>
      </c>
      <c r="H4132" s="2" t="s">
        <v>1168</v>
      </c>
      <c r="I4132" s="2" t="s">
        <v>32</v>
      </c>
      <c r="J4132" s="3">
        <v>44020</v>
      </c>
      <c r="K4132" s="2">
        <v>64</v>
      </c>
      <c r="L4132" s="2" t="s">
        <v>64</v>
      </c>
    </row>
    <row r="4133" spans="1:12" x14ac:dyDescent="0.3">
      <c r="A4133" s="2">
        <v>4122</v>
      </c>
      <c r="B4133" s="2" t="s">
        <v>267</v>
      </c>
      <c r="C4133" s="2" t="s">
        <v>2030</v>
      </c>
      <c r="D4133" s="2" t="s">
        <v>28</v>
      </c>
      <c r="E4133" s="2" t="s">
        <v>29</v>
      </c>
      <c r="F4133" s="2">
        <v>90</v>
      </c>
      <c r="G4133" s="2" t="s">
        <v>9236</v>
      </c>
      <c r="H4133" s="2" t="s">
        <v>8547</v>
      </c>
      <c r="I4133" s="2" t="s">
        <v>32</v>
      </c>
      <c r="J4133" s="3">
        <v>44722</v>
      </c>
      <c r="K4133" s="2">
        <v>27</v>
      </c>
      <c r="L4133" s="2" t="s">
        <v>33</v>
      </c>
    </row>
    <row r="4134" spans="1:12" x14ac:dyDescent="0.3">
      <c r="A4134" s="2">
        <v>4123</v>
      </c>
      <c r="B4134" s="2" t="s">
        <v>9237</v>
      </c>
      <c r="C4134" s="2" t="s">
        <v>5413</v>
      </c>
      <c r="D4134" s="2" t="s">
        <v>51</v>
      </c>
      <c r="E4134" s="2" t="s">
        <v>16</v>
      </c>
      <c r="F4134" s="2">
        <v>30</v>
      </c>
      <c r="G4134" s="2" t="s">
        <v>9238</v>
      </c>
      <c r="H4134" s="2" t="s">
        <v>3670</v>
      </c>
      <c r="I4134" s="2" t="s">
        <v>3671</v>
      </c>
      <c r="J4134" s="3">
        <v>44562</v>
      </c>
      <c r="K4134" s="2">
        <v>17</v>
      </c>
      <c r="L4134" s="2" t="s">
        <v>159</v>
      </c>
    </row>
    <row r="4135" spans="1:12" x14ac:dyDescent="0.3">
      <c r="A4135" s="2">
        <v>4124</v>
      </c>
      <c r="B4135" s="2" t="s">
        <v>6912</v>
      </c>
      <c r="C4135" s="2" t="s">
        <v>6055</v>
      </c>
      <c r="D4135" s="2" t="s">
        <v>15</v>
      </c>
      <c r="E4135" s="2" t="s">
        <v>16</v>
      </c>
      <c r="F4135" s="2">
        <v>30</v>
      </c>
      <c r="G4135" s="2" t="s">
        <v>10571</v>
      </c>
      <c r="H4135" s="2" t="s">
        <v>2713</v>
      </c>
      <c r="I4135" s="2" t="s">
        <v>38</v>
      </c>
      <c r="J4135" s="3">
        <v>44605</v>
      </c>
      <c r="K4135" s="2">
        <v>5</v>
      </c>
      <c r="L4135" s="2" t="s">
        <v>45</v>
      </c>
    </row>
    <row r="4136" spans="1:12" x14ac:dyDescent="0.3">
      <c r="A4136" s="2">
        <v>4125</v>
      </c>
      <c r="B4136" s="2" t="s">
        <v>9240</v>
      </c>
      <c r="C4136" s="2" t="s">
        <v>7774</v>
      </c>
      <c r="D4136" s="2" t="s">
        <v>41</v>
      </c>
      <c r="E4136" s="2" t="s">
        <v>16</v>
      </c>
      <c r="F4136" s="2">
        <v>30</v>
      </c>
      <c r="G4136" s="2" t="s">
        <v>9241</v>
      </c>
      <c r="H4136" s="2" t="s">
        <v>4874</v>
      </c>
      <c r="I4136" s="2" t="s">
        <v>32</v>
      </c>
      <c r="J4136" s="3">
        <v>44215</v>
      </c>
      <c r="K4136" s="2">
        <v>92</v>
      </c>
      <c r="L4136" s="2" t="s">
        <v>45</v>
      </c>
    </row>
    <row r="4137" spans="1:12" x14ac:dyDescent="0.3">
      <c r="A4137" s="2">
        <v>4126</v>
      </c>
      <c r="B4137" s="2" t="s">
        <v>5444</v>
      </c>
      <c r="C4137" s="2" t="s">
        <v>1861</v>
      </c>
      <c r="D4137" s="2" t="s">
        <v>51</v>
      </c>
      <c r="E4137" s="2" t="s">
        <v>16</v>
      </c>
      <c r="F4137" s="2">
        <v>30</v>
      </c>
      <c r="G4137" s="2" t="s">
        <v>9242</v>
      </c>
      <c r="H4137" s="2" t="s">
        <v>6283</v>
      </c>
      <c r="I4137" s="2" t="s">
        <v>32</v>
      </c>
      <c r="J4137" s="3">
        <v>44186</v>
      </c>
      <c r="K4137" s="2">
        <v>82</v>
      </c>
      <c r="L4137" s="2" t="s">
        <v>20</v>
      </c>
    </row>
    <row r="4138" spans="1:12" x14ac:dyDescent="0.3">
      <c r="A4138" s="2">
        <v>4127</v>
      </c>
      <c r="B4138" s="2" t="s">
        <v>2040</v>
      </c>
      <c r="C4138" s="2" t="s">
        <v>9243</v>
      </c>
      <c r="D4138" s="2" t="s">
        <v>15</v>
      </c>
      <c r="E4138" s="2" t="s">
        <v>16</v>
      </c>
      <c r="F4138" s="2">
        <v>90</v>
      </c>
      <c r="G4138" s="2" t="s">
        <v>9244</v>
      </c>
      <c r="H4138" s="2" t="s">
        <v>5025</v>
      </c>
      <c r="I4138" s="2" t="s">
        <v>32</v>
      </c>
      <c r="J4138" s="3">
        <v>44325</v>
      </c>
      <c r="K4138" s="2">
        <v>9</v>
      </c>
      <c r="L4138" s="2" t="s">
        <v>70</v>
      </c>
    </row>
    <row r="4139" spans="1:12" x14ac:dyDescent="0.3">
      <c r="A4139" s="2">
        <v>4128</v>
      </c>
      <c r="B4139" s="2" t="s">
        <v>2398</v>
      </c>
      <c r="C4139" s="2" t="s">
        <v>1950</v>
      </c>
      <c r="D4139" s="2" t="s">
        <v>28</v>
      </c>
      <c r="E4139" s="2" t="s">
        <v>29</v>
      </c>
      <c r="F4139" s="2">
        <v>30</v>
      </c>
      <c r="G4139" s="2" t="s">
        <v>9245</v>
      </c>
      <c r="H4139" s="2" t="s">
        <v>4794</v>
      </c>
      <c r="I4139" s="2" t="s">
        <v>32</v>
      </c>
      <c r="J4139" s="3">
        <v>44456</v>
      </c>
      <c r="K4139" s="2">
        <v>70</v>
      </c>
      <c r="L4139" s="2" t="s">
        <v>45</v>
      </c>
    </row>
    <row r="4140" spans="1:12" x14ac:dyDescent="0.3">
      <c r="A4140" s="2">
        <v>4129</v>
      </c>
      <c r="B4140" s="2" t="s">
        <v>2731</v>
      </c>
      <c r="C4140" s="2" t="s">
        <v>2431</v>
      </c>
      <c r="D4140" s="2" t="s">
        <v>28</v>
      </c>
      <c r="E4140" s="2" t="s">
        <v>29</v>
      </c>
      <c r="F4140" s="2">
        <v>60</v>
      </c>
      <c r="G4140" s="2" t="s">
        <v>9246</v>
      </c>
      <c r="H4140" s="2" t="s">
        <v>8205</v>
      </c>
      <c r="I4140" s="2" t="s">
        <v>25</v>
      </c>
      <c r="J4140" s="3">
        <v>44299</v>
      </c>
      <c r="K4140" s="2">
        <v>31</v>
      </c>
      <c r="L4140" s="2" t="s">
        <v>64</v>
      </c>
    </row>
    <row r="4141" spans="1:12" x14ac:dyDescent="0.3">
      <c r="A4141" s="2">
        <v>4130</v>
      </c>
      <c r="B4141" s="2" t="s">
        <v>4139</v>
      </c>
      <c r="C4141" s="2" t="s">
        <v>2448</v>
      </c>
      <c r="D4141" s="2" t="s">
        <v>51</v>
      </c>
      <c r="E4141" s="2" t="s">
        <v>16</v>
      </c>
      <c r="F4141" s="2">
        <v>60</v>
      </c>
      <c r="G4141" s="2" t="s">
        <v>9247</v>
      </c>
      <c r="H4141" s="2" t="s">
        <v>1973</v>
      </c>
      <c r="I4141" s="2" t="s">
        <v>110</v>
      </c>
      <c r="J4141" s="3">
        <v>44023</v>
      </c>
      <c r="K4141" s="2">
        <v>45</v>
      </c>
      <c r="L4141" s="2" t="s">
        <v>159</v>
      </c>
    </row>
    <row r="4142" spans="1:12" x14ac:dyDescent="0.3">
      <c r="A4142" s="2">
        <v>4131</v>
      </c>
      <c r="B4142" s="2" t="s">
        <v>616</v>
      </c>
      <c r="C4142" s="2" t="s">
        <v>4933</v>
      </c>
      <c r="D4142" s="2" t="s">
        <v>28</v>
      </c>
      <c r="E4142" s="2" t="s">
        <v>29</v>
      </c>
      <c r="F4142" s="2">
        <v>60</v>
      </c>
      <c r="G4142" s="2" t="s">
        <v>10572</v>
      </c>
      <c r="H4142" s="2" t="s">
        <v>1218</v>
      </c>
      <c r="I4142" s="2" t="s">
        <v>294</v>
      </c>
      <c r="J4142" s="3">
        <v>44051</v>
      </c>
      <c r="K4142" s="2">
        <v>56</v>
      </c>
      <c r="L4142" s="2" t="s">
        <v>70</v>
      </c>
    </row>
    <row r="4143" spans="1:12" x14ac:dyDescent="0.3">
      <c r="A4143" s="2">
        <v>4132</v>
      </c>
      <c r="B4143" s="2" t="s">
        <v>4419</v>
      </c>
      <c r="C4143" s="2" t="s">
        <v>516</v>
      </c>
      <c r="D4143" s="2" t="s">
        <v>28</v>
      </c>
      <c r="E4143" s="2" t="s">
        <v>29</v>
      </c>
      <c r="F4143" s="2">
        <v>30</v>
      </c>
      <c r="G4143" s="2" t="s">
        <v>9249</v>
      </c>
      <c r="H4143" s="2" t="s">
        <v>3033</v>
      </c>
      <c r="I4143" s="2" t="s">
        <v>32</v>
      </c>
      <c r="J4143" s="3">
        <v>44438</v>
      </c>
      <c r="K4143" s="2">
        <v>26</v>
      </c>
      <c r="L4143" s="2" t="s">
        <v>101</v>
      </c>
    </row>
    <row r="4144" spans="1:12" x14ac:dyDescent="0.3">
      <c r="A4144" s="2">
        <v>4133</v>
      </c>
      <c r="B4144" s="2" t="s">
        <v>4099</v>
      </c>
      <c r="C4144" s="2" t="s">
        <v>1341</v>
      </c>
      <c r="D4144" s="2" t="s">
        <v>28</v>
      </c>
      <c r="E4144" s="2" t="s">
        <v>29</v>
      </c>
      <c r="F4144" s="2">
        <v>90</v>
      </c>
      <c r="G4144" s="2" t="s">
        <v>9250</v>
      </c>
      <c r="H4144" s="2" t="s">
        <v>1190</v>
      </c>
      <c r="I4144" s="2" t="s">
        <v>173</v>
      </c>
      <c r="J4144" s="3">
        <v>44495</v>
      </c>
      <c r="K4144" s="2">
        <v>15</v>
      </c>
      <c r="L4144" s="2" t="s">
        <v>45</v>
      </c>
    </row>
    <row r="4145" spans="1:12" x14ac:dyDescent="0.3">
      <c r="A4145" s="2">
        <v>4134</v>
      </c>
      <c r="B4145" s="2" t="s">
        <v>1225</v>
      </c>
      <c r="C4145" s="2" t="s">
        <v>1843</v>
      </c>
      <c r="D4145" s="2" t="s">
        <v>28</v>
      </c>
      <c r="E4145" s="2" t="s">
        <v>29</v>
      </c>
      <c r="F4145" s="2">
        <v>60</v>
      </c>
      <c r="G4145" s="2" t="s">
        <v>9251</v>
      </c>
      <c r="H4145" s="2" t="s">
        <v>5637</v>
      </c>
      <c r="I4145" s="2" t="s">
        <v>32</v>
      </c>
      <c r="J4145" s="3">
        <v>44042</v>
      </c>
      <c r="K4145" s="2">
        <v>50</v>
      </c>
      <c r="L4145" s="2" t="s">
        <v>45</v>
      </c>
    </row>
    <row r="4146" spans="1:12" x14ac:dyDescent="0.3">
      <c r="A4146" s="2">
        <v>4135</v>
      </c>
      <c r="B4146" s="2" t="s">
        <v>9252</v>
      </c>
      <c r="C4146" s="2" t="s">
        <v>9253</v>
      </c>
      <c r="D4146" s="2" t="s">
        <v>41</v>
      </c>
      <c r="E4146" s="2" t="s">
        <v>16</v>
      </c>
      <c r="F4146" s="2">
        <v>90</v>
      </c>
      <c r="G4146" s="2" t="s">
        <v>9254</v>
      </c>
      <c r="H4146" s="2" t="s">
        <v>2706</v>
      </c>
      <c r="I4146" s="2" t="s">
        <v>294</v>
      </c>
      <c r="J4146" s="3">
        <v>43987</v>
      </c>
      <c r="K4146" s="2">
        <v>48</v>
      </c>
      <c r="L4146" s="2" t="s">
        <v>101</v>
      </c>
    </row>
    <row r="4147" spans="1:12" x14ac:dyDescent="0.3">
      <c r="A4147" s="2">
        <v>4136</v>
      </c>
      <c r="B4147" s="2" t="s">
        <v>9255</v>
      </c>
      <c r="C4147" s="2" t="s">
        <v>1573</v>
      </c>
      <c r="D4147" s="2" t="s">
        <v>15</v>
      </c>
      <c r="E4147" s="2" t="s">
        <v>16</v>
      </c>
      <c r="F4147" s="2">
        <v>90</v>
      </c>
      <c r="G4147" s="2" t="s">
        <v>9256</v>
      </c>
      <c r="H4147" s="2" t="s">
        <v>4882</v>
      </c>
      <c r="I4147" s="2" t="s">
        <v>146</v>
      </c>
      <c r="J4147" s="3">
        <v>44340</v>
      </c>
      <c r="K4147" s="2">
        <v>43</v>
      </c>
      <c r="L4147" s="2" t="s">
        <v>70</v>
      </c>
    </row>
    <row r="4148" spans="1:12" x14ac:dyDescent="0.3">
      <c r="A4148" s="2">
        <v>4137</v>
      </c>
      <c r="B4148" s="2" t="s">
        <v>2743</v>
      </c>
      <c r="C4148" s="2" t="s">
        <v>2413</v>
      </c>
      <c r="D4148" s="2" t="s">
        <v>28</v>
      </c>
      <c r="E4148" s="2" t="s">
        <v>29</v>
      </c>
      <c r="F4148" s="2">
        <v>60</v>
      </c>
      <c r="G4148" s="2" t="s">
        <v>9257</v>
      </c>
      <c r="H4148" s="2" t="s">
        <v>1519</v>
      </c>
      <c r="I4148" s="2" t="s">
        <v>32</v>
      </c>
      <c r="J4148" s="3">
        <v>44039</v>
      </c>
      <c r="K4148" s="2">
        <v>48</v>
      </c>
      <c r="L4148" s="2" t="s">
        <v>70</v>
      </c>
    </row>
    <row r="4149" spans="1:12" x14ac:dyDescent="0.3">
      <c r="A4149" s="2">
        <v>4138</v>
      </c>
      <c r="B4149" s="2" t="s">
        <v>9258</v>
      </c>
      <c r="C4149" s="2" t="s">
        <v>1762</v>
      </c>
      <c r="D4149" s="2" t="s">
        <v>15</v>
      </c>
      <c r="E4149" s="2" t="s">
        <v>16</v>
      </c>
      <c r="F4149" s="2">
        <v>30</v>
      </c>
      <c r="G4149" s="2" t="s">
        <v>9259</v>
      </c>
      <c r="H4149" s="2" t="s">
        <v>7936</v>
      </c>
      <c r="I4149" s="2" t="s">
        <v>32</v>
      </c>
      <c r="J4149" s="3">
        <v>43971</v>
      </c>
      <c r="K4149" s="2">
        <v>77</v>
      </c>
      <c r="L4149" s="2" t="s">
        <v>80</v>
      </c>
    </row>
    <row r="4150" spans="1:12" x14ac:dyDescent="0.3">
      <c r="A4150" s="2">
        <v>4139</v>
      </c>
      <c r="B4150" s="2" t="s">
        <v>9260</v>
      </c>
      <c r="C4150" s="2" t="s">
        <v>4237</v>
      </c>
      <c r="D4150" s="2" t="s">
        <v>15</v>
      </c>
      <c r="E4150" s="2" t="s">
        <v>16</v>
      </c>
      <c r="F4150" s="2">
        <v>30</v>
      </c>
      <c r="G4150" s="2" t="s">
        <v>9261</v>
      </c>
      <c r="H4150" s="2" t="s">
        <v>2896</v>
      </c>
      <c r="I4150" s="2" t="s">
        <v>110</v>
      </c>
      <c r="J4150" s="3">
        <v>44793</v>
      </c>
      <c r="K4150" s="2">
        <v>62</v>
      </c>
      <c r="L4150" s="2" t="s">
        <v>80</v>
      </c>
    </row>
    <row r="4151" spans="1:12" x14ac:dyDescent="0.3">
      <c r="A4151" s="2">
        <v>4140</v>
      </c>
      <c r="B4151" s="2" t="s">
        <v>504</v>
      </c>
      <c r="C4151" s="2" t="s">
        <v>9137</v>
      </c>
      <c r="D4151" s="2" t="s">
        <v>28</v>
      </c>
      <c r="E4151" s="2" t="s">
        <v>29</v>
      </c>
      <c r="F4151" s="2">
        <v>30</v>
      </c>
      <c r="G4151" s="2" t="s">
        <v>9262</v>
      </c>
      <c r="H4151" s="2" t="s">
        <v>1723</v>
      </c>
      <c r="I4151" s="2" t="s">
        <v>173</v>
      </c>
      <c r="J4151" s="3">
        <v>44639</v>
      </c>
      <c r="K4151" s="2">
        <v>11</v>
      </c>
      <c r="L4151" s="2" t="s">
        <v>101</v>
      </c>
    </row>
    <row r="4152" spans="1:12" x14ac:dyDescent="0.3">
      <c r="A4152" s="2">
        <v>4141</v>
      </c>
      <c r="B4152" s="2" t="s">
        <v>9263</v>
      </c>
      <c r="C4152" s="2" t="s">
        <v>6890</v>
      </c>
      <c r="D4152" s="2" t="s">
        <v>15</v>
      </c>
      <c r="E4152" s="2" t="s">
        <v>16</v>
      </c>
      <c r="F4152" s="2">
        <v>90</v>
      </c>
      <c r="G4152" s="2" t="s">
        <v>9264</v>
      </c>
      <c r="H4152" s="2" t="s">
        <v>901</v>
      </c>
      <c r="I4152" s="2" t="s">
        <v>146</v>
      </c>
      <c r="J4152" s="3">
        <v>44435</v>
      </c>
      <c r="K4152" s="2">
        <v>54</v>
      </c>
      <c r="L4152" s="2" t="s">
        <v>159</v>
      </c>
    </row>
    <row r="4153" spans="1:12" x14ac:dyDescent="0.3">
      <c r="A4153" s="2">
        <v>4142</v>
      </c>
      <c r="B4153" s="2" t="s">
        <v>2131</v>
      </c>
      <c r="C4153" s="2" t="s">
        <v>2905</v>
      </c>
      <c r="D4153" s="2" t="s">
        <v>51</v>
      </c>
      <c r="E4153" s="2" t="s">
        <v>16</v>
      </c>
      <c r="F4153" s="2">
        <v>30</v>
      </c>
      <c r="G4153" s="2" t="s">
        <v>9265</v>
      </c>
      <c r="H4153" s="2" t="s">
        <v>6059</v>
      </c>
      <c r="I4153" s="2" t="s">
        <v>32</v>
      </c>
      <c r="J4153" s="3">
        <v>44262</v>
      </c>
      <c r="K4153" s="2">
        <v>9</v>
      </c>
      <c r="L4153" s="2" t="s">
        <v>33</v>
      </c>
    </row>
    <row r="4154" spans="1:12" x14ac:dyDescent="0.3">
      <c r="A4154" s="2">
        <v>4143</v>
      </c>
      <c r="B4154" s="2" t="s">
        <v>9266</v>
      </c>
      <c r="C4154" s="2" t="s">
        <v>2154</v>
      </c>
      <c r="D4154" s="2" t="s">
        <v>51</v>
      </c>
      <c r="E4154" s="2" t="s">
        <v>16</v>
      </c>
      <c r="F4154" s="2">
        <v>60</v>
      </c>
      <c r="G4154" s="2" t="s">
        <v>9267</v>
      </c>
      <c r="H4154" s="2" t="s">
        <v>1164</v>
      </c>
      <c r="I4154" s="2" t="s">
        <v>89</v>
      </c>
      <c r="J4154" s="3">
        <v>44881</v>
      </c>
      <c r="K4154" s="2">
        <v>71</v>
      </c>
      <c r="L4154" s="2" t="s">
        <v>39</v>
      </c>
    </row>
    <row r="4155" spans="1:12" x14ac:dyDescent="0.3">
      <c r="A4155" s="2">
        <v>4144</v>
      </c>
      <c r="B4155" s="2" t="s">
        <v>9268</v>
      </c>
      <c r="C4155" s="2" t="s">
        <v>879</v>
      </c>
      <c r="D4155" s="2" t="s">
        <v>15</v>
      </c>
      <c r="E4155" s="2" t="s">
        <v>16</v>
      </c>
      <c r="F4155" s="2">
        <v>30</v>
      </c>
      <c r="G4155" s="2" t="s">
        <v>9269</v>
      </c>
      <c r="H4155" s="2" t="s">
        <v>9209</v>
      </c>
      <c r="I4155" s="2" t="s">
        <v>32</v>
      </c>
      <c r="J4155" s="3">
        <v>44100</v>
      </c>
      <c r="K4155" s="2">
        <v>23</v>
      </c>
      <c r="L4155" s="2" t="s">
        <v>80</v>
      </c>
    </row>
    <row r="4156" spans="1:12" x14ac:dyDescent="0.3">
      <c r="A4156" s="2">
        <v>4145</v>
      </c>
      <c r="B4156" s="2" t="s">
        <v>9270</v>
      </c>
      <c r="C4156" s="2" t="s">
        <v>4018</v>
      </c>
      <c r="D4156" s="2" t="s">
        <v>15</v>
      </c>
      <c r="E4156" s="2" t="s">
        <v>16</v>
      </c>
      <c r="F4156" s="2">
        <v>30</v>
      </c>
      <c r="G4156" s="2" t="s">
        <v>9271</v>
      </c>
      <c r="H4156" s="2" t="s">
        <v>1723</v>
      </c>
      <c r="I4156" s="2" t="s">
        <v>173</v>
      </c>
      <c r="J4156" s="3">
        <v>43946</v>
      </c>
      <c r="K4156" s="2">
        <v>66</v>
      </c>
      <c r="L4156" s="2" t="s">
        <v>54</v>
      </c>
    </row>
    <row r="4157" spans="1:12" x14ac:dyDescent="0.3">
      <c r="A4157" s="2">
        <v>4146</v>
      </c>
      <c r="B4157" s="2" t="s">
        <v>8669</v>
      </c>
      <c r="C4157" s="2" t="s">
        <v>4615</v>
      </c>
      <c r="D4157" s="2" t="s">
        <v>15</v>
      </c>
      <c r="E4157" s="2" t="s">
        <v>16</v>
      </c>
      <c r="F4157" s="2">
        <v>30</v>
      </c>
      <c r="G4157" s="2" t="s">
        <v>9272</v>
      </c>
      <c r="H4157" s="2" t="s">
        <v>1864</v>
      </c>
      <c r="I4157" s="2" t="s">
        <v>294</v>
      </c>
      <c r="J4157" s="3">
        <v>44851</v>
      </c>
      <c r="K4157" s="2">
        <v>7</v>
      </c>
      <c r="L4157" s="2" t="s">
        <v>45</v>
      </c>
    </row>
    <row r="4158" spans="1:12" x14ac:dyDescent="0.3">
      <c r="A4158" s="2">
        <v>4147</v>
      </c>
      <c r="B4158" s="2" t="s">
        <v>9273</v>
      </c>
      <c r="C4158" s="2" t="s">
        <v>7099</v>
      </c>
      <c r="D4158" s="2" t="s">
        <v>51</v>
      </c>
      <c r="E4158" s="2" t="s">
        <v>16</v>
      </c>
      <c r="F4158" s="2">
        <v>30</v>
      </c>
      <c r="G4158" s="2" t="s">
        <v>9274</v>
      </c>
      <c r="H4158" s="2" t="s">
        <v>235</v>
      </c>
      <c r="I4158" s="2" t="s">
        <v>146</v>
      </c>
      <c r="J4158" s="3">
        <v>44088</v>
      </c>
      <c r="K4158" s="2">
        <v>28</v>
      </c>
      <c r="L4158" s="2" t="s">
        <v>20</v>
      </c>
    </row>
    <row r="4159" spans="1:12" x14ac:dyDescent="0.3">
      <c r="A4159" s="2">
        <v>4148</v>
      </c>
      <c r="B4159" s="2" t="s">
        <v>6915</v>
      </c>
      <c r="C4159" s="2" t="s">
        <v>1585</v>
      </c>
      <c r="D4159" s="2" t="s">
        <v>621</v>
      </c>
      <c r="E4159" s="2" t="s">
        <v>29</v>
      </c>
      <c r="F4159" s="2">
        <v>90</v>
      </c>
      <c r="G4159" s="2" t="s">
        <v>9274</v>
      </c>
      <c r="H4159" s="2" t="s">
        <v>2536</v>
      </c>
      <c r="I4159" s="2" t="s">
        <v>124</v>
      </c>
      <c r="J4159" s="3">
        <v>44922</v>
      </c>
      <c r="K4159" s="2">
        <v>35</v>
      </c>
      <c r="L4159" s="2" t="s">
        <v>80</v>
      </c>
    </row>
    <row r="4160" spans="1:12" x14ac:dyDescent="0.3">
      <c r="A4160" s="2">
        <v>4149</v>
      </c>
      <c r="B4160" s="2" t="s">
        <v>9275</v>
      </c>
      <c r="C4160" s="2" t="s">
        <v>5727</v>
      </c>
      <c r="D4160" s="2" t="s">
        <v>41</v>
      </c>
      <c r="E4160" s="2" t="s">
        <v>16</v>
      </c>
      <c r="F4160" s="2">
        <v>60</v>
      </c>
      <c r="G4160" s="2" t="s">
        <v>9276</v>
      </c>
      <c r="H4160" s="2" t="s">
        <v>985</v>
      </c>
      <c r="I4160" s="2" t="s">
        <v>38</v>
      </c>
      <c r="J4160" s="3">
        <v>44015</v>
      </c>
      <c r="K4160" s="2">
        <v>74</v>
      </c>
      <c r="L4160" s="2" t="s">
        <v>70</v>
      </c>
    </row>
    <row r="4161" spans="1:12" x14ac:dyDescent="0.3">
      <c r="A4161" s="2">
        <v>4150</v>
      </c>
      <c r="B4161" s="2" t="s">
        <v>9277</v>
      </c>
      <c r="C4161" s="2" t="s">
        <v>9278</v>
      </c>
      <c r="D4161" s="2" t="s">
        <v>15</v>
      </c>
      <c r="E4161" s="2" t="s">
        <v>16</v>
      </c>
      <c r="F4161" s="2">
        <v>30</v>
      </c>
      <c r="G4161" s="2" t="s">
        <v>9276</v>
      </c>
      <c r="H4161" s="2" t="s">
        <v>9279</v>
      </c>
      <c r="I4161" s="2" t="s">
        <v>32</v>
      </c>
      <c r="J4161" s="3">
        <v>44332</v>
      </c>
      <c r="K4161" s="2">
        <v>60</v>
      </c>
      <c r="L4161" s="2" t="s">
        <v>45</v>
      </c>
    </row>
    <row r="4162" spans="1:12" x14ac:dyDescent="0.3">
      <c r="A4162" s="2">
        <v>4151</v>
      </c>
      <c r="B4162" s="2" t="s">
        <v>3714</v>
      </c>
      <c r="C4162" s="2" t="s">
        <v>9280</v>
      </c>
      <c r="D4162" s="2" t="s">
        <v>28</v>
      </c>
      <c r="E4162" s="2" t="s">
        <v>29</v>
      </c>
      <c r="F4162" s="2">
        <v>60</v>
      </c>
      <c r="G4162" s="2" t="s">
        <v>9281</v>
      </c>
      <c r="H4162" s="2" t="s">
        <v>4334</v>
      </c>
      <c r="I4162" s="2" t="s">
        <v>1199</v>
      </c>
      <c r="J4162" s="3">
        <v>44260</v>
      </c>
      <c r="K4162" s="2">
        <v>65</v>
      </c>
      <c r="L4162" s="2" t="s">
        <v>159</v>
      </c>
    </row>
    <row r="4163" spans="1:12" x14ac:dyDescent="0.3">
      <c r="A4163" s="2">
        <v>4152</v>
      </c>
      <c r="B4163" s="2" t="s">
        <v>3532</v>
      </c>
      <c r="C4163" s="2" t="s">
        <v>2985</v>
      </c>
      <c r="D4163" s="2" t="s">
        <v>28</v>
      </c>
      <c r="E4163" s="2" t="s">
        <v>29</v>
      </c>
      <c r="F4163" s="2">
        <v>30</v>
      </c>
      <c r="G4163" s="2" t="s">
        <v>9285</v>
      </c>
      <c r="H4163" s="2" t="s">
        <v>9286</v>
      </c>
      <c r="I4163" s="2" t="s">
        <v>178</v>
      </c>
      <c r="J4163" s="3">
        <v>44390</v>
      </c>
      <c r="K4163" s="2">
        <v>38</v>
      </c>
      <c r="L4163" s="2" t="s">
        <v>64</v>
      </c>
    </row>
    <row r="4164" spans="1:12" x14ac:dyDescent="0.3">
      <c r="A4164" s="2">
        <v>4153</v>
      </c>
      <c r="B4164" s="2" t="s">
        <v>2358</v>
      </c>
      <c r="C4164" s="2" t="s">
        <v>5534</v>
      </c>
      <c r="D4164" s="2" t="s">
        <v>28</v>
      </c>
      <c r="E4164" s="2" t="s">
        <v>29</v>
      </c>
      <c r="F4164" s="2">
        <v>90</v>
      </c>
      <c r="G4164" s="2" t="s">
        <v>10573</v>
      </c>
      <c r="H4164" s="2" t="s">
        <v>659</v>
      </c>
      <c r="I4164" s="2" t="s">
        <v>32</v>
      </c>
      <c r="J4164" s="3">
        <v>43861</v>
      </c>
      <c r="K4164" s="2">
        <v>70</v>
      </c>
      <c r="L4164" s="2" t="s">
        <v>54</v>
      </c>
    </row>
    <row r="4165" spans="1:12" x14ac:dyDescent="0.3">
      <c r="A4165" s="2">
        <v>4154</v>
      </c>
      <c r="B4165" s="2" t="s">
        <v>237</v>
      </c>
      <c r="C4165" s="2" t="s">
        <v>642</v>
      </c>
      <c r="D4165" s="2" t="s">
        <v>15</v>
      </c>
      <c r="E4165" s="2" t="s">
        <v>16</v>
      </c>
      <c r="F4165" s="2">
        <v>60</v>
      </c>
      <c r="G4165" s="2" t="s">
        <v>9288</v>
      </c>
      <c r="H4165" s="2" t="s">
        <v>1276</v>
      </c>
      <c r="I4165" s="2" t="s">
        <v>32</v>
      </c>
      <c r="J4165" s="3">
        <v>44532</v>
      </c>
      <c r="K4165" s="2">
        <v>72</v>
      </c>
      <c r="L4165" s="2" t="s">
        <v>80</v>
      </c>
    </row>
    <row r="4166" spans="1:12" x14ac:dyDescent="0.3">
      <c r="A4166" s="2">
        <v>4155</v>
      </c>
      <c r="B4166" s="2" t="s">
        <v>620</v>
      </c>
      <c r="C4166" s="2" t="s">
        <v>3098</v>
      </c>
      <c r="D4166" s="2" t="s">
        <v>28</v>
      </c>
      <c r="E4166" s="2" t="s">
        <v>29</v>
      </c>
      <c r="F4166" s="2">
        <v>30</v>
      </c>
      <c r="G4166" s="2" t="s">
        <v>9289</v>
      </c>
      <c r="H4166" s="2" t="s">
        <v>3284</v>
      </c>
      <c r="I4166" s="2" t="s">
        <v>32</v>
      </c>
      <c r="J4166" s="3">
        <v>44648</v>
      </c>
      <c r="K4166" s="2">
        <v>63</v>
      </c>
      <c r="L4166" s="2" t="s">
        <v>101</v>
      </c>
    </row>
    <row r="4167" spans="1:12" x14ac:dyDescent="0.3">
      <c r="A4167" s="2">
        <v>4156</v>
      </c>
      <c r="B4167" s="2" t="s">
        <v>7422</v>
      </c>
      <c r="C4167" s="2" t="s">
        <v>1121</v>
      </c>
      <c r="D4167" s="2" t="s">
        <v>28</v>
      </c>
      <c r="E4167" s="2" t="s">
        <v>29</v>
      </c>
      <c r="F4167" s="2">
        <v>30</v>
      </c>
      <c r="G4167" s="2" t="s">
        <v>9290</v>
      </c>
      <c r="H4167" s="2" t="s">
        <v>2530</v>
      </c>
      <c r="I4167" s="2" t="s">
        <v>32</v>
      </c>
      <c r="J4167" s="3">
        <v>44902</v>
      </c>
      <c r="K4167" s="2">
        <v>46</v>
      </c>
      <c r="L4167" s="2" t="s">
        <v>54</v>
      </c>
    </row>
    <row r="4168" spans="1:12" x14ac:dyDescent="0.3">
      <c r="A4168" s="2">
        <v>4157</v>
      </c>
      <c r="B4168" s="2" t="s">
        <v>2887</v>
      </c>
      <c r="C4168" s="2" t="s">
        <v>808</v>
      </c>
      <c r="D4168" s="2" t="s">
        <v>28</v>
      </c>
      <c r="E4168" s="2" t="s">
        <v>29</v>
      </c>
      <c r="F4168" s="2">
        <v>60</v>
      </c>
      <c r="G4168" s="2" t="s">
        <v>9291</v>
      </c>
      <c r="H4168" s="2" t="s">
        <v>5047</v>
      </c>
      <c r="I4168" s="2" t="s">
        <v>178</v>
      </c>
      <c r="J4168" s="3">
        <v>44310</v>
      </c>
      <c r="K4168" s="2">
        <v>6</v>
      </c>
      <c r="L4168" s="2" t="s">
        <v>45</v>
      </c>
    </row>
    <row r="4169" spans="1:12" x14ac:dyDescent="0.3">
      <c r="A4169" s="2">
        <v>4158</v>
      </c>
      <c r="B4169" s="2" t="s">
        <v>563</v>
      </c>
      <c r="C4169" s="2" t="s">
        <v>3712</v>
      </c>
      <c r="D4169" s="2" t="s">
        <v>28</v>
      </c>
      <c r="E4169" s="2" t="s">
        <v>29</v>
      </c>
      <c r="F4169" s="2">
        <v>60</v>
      </c>
      <c r="G4169" s="2" t="s">
        <v>9292</v>
      </c>
      <c r="H4169" s="2" t="s">
        <v>591</v>
      </c>
      <c r="I4169" s="2" t="s">
        <v>32</v>
      </c>
      <c r="J4169" s="3">
        <v>44583</v>
      </c>
      <c r="K4169" s="2">
        <v>53</v>
      </c>
      <c r="L4169" s="2" t="s">
        <v>45</v>
      </c>
    </row>
    <row r="4170" spans="1:12" x14ac:dyDescent="0.3">
      <c r="A4170" s="2">
        <v>4159</v>
      </c>
      <c r="B4170" s="2" t="s">
        <v>9293</v>
      </c>
      <c r="C4170" s="2" t="s">
        <v>2955</v>
      </c>
      <c r="D4170" s="2" t="s">
        <v>15</v>
      </c>
      <c r="E4170" s="2" t="s">
        <v>16</v>
      </c>
      <c r="F4170" s="2">
        <v>30</v>
      </c>
      <c r="G4170" s="2" t="s">
        <v>9294</v>
      </c>
      <c r="H4170" s="2" t="s">
        <v>2583</v>
      </c>
      <c r="I4170" s="2" t="s">
        <v>32</v>
      </c>
      <c r="J4170" s="3">
        <v>44179</v>
      </c>
      <c r="K4170" s="2">
        <v>9</v>
      </c>
      <c r="L4170" s="2" t="s">
        <v>159</v>
      </c>
    </row>
    <row r="4171" spans="1:12" x14ac:dyDescent="0.3">
      <c r="A4171" s="2">
        <v>4160</v>
      </c>
      <c r="B4171" s="2" t="s">
        <v>774</v>
      </c>
      <c r="C4171" s="2" t="s">
        <v>4420</v>
      </c>
      <c r="D4171" s="2" t="s">
        <v>15</v>
      </c>
      <c r="E4171" s="2" t="s">
        <v>16</v>
      </c>
      <c r="F4171" s="2">
        <v>30</v>
      </c>
      <c r="G4171" s="2" t="s">
        <v>9295</v>
      </c>
      <c r="H4171" s="2" t="s">
        <v>2720</v>
      </c>
      <c r="I4171" s="2" t="s">
        <v>32</v>
      </c>
      <c r="J4171" s="3">
        <v>44281</v>
      </c>
      <c r="K4171" s="2">
        <v>94</v>
      </c>
      <c r="L4171" s="2" t="s">
        <v>45</v>
      </c>
    </row>
    <row r="4172" spans="1:12" x14ac:dyDescent="0.3">
      <c r="A4172" s="2">
        <v>4161</v>
      </c>
      <c r="B4172" s="2" t="s">
        <v>5797</v>
      </c>
      <c r="C4172" s="2" t="s">
        <v>6247</v>
      </c>
      <c r="D4172" s="2" t="s">
        <v>28</v>
      </c>
      <c r="E4172" s="2" t="s">
        <v>29</v>
      </c>
      <c r="F4172" s="2">
        <v>60</v>
      </c>
      <c r="G4172" s="2" t="s">
        <v>9296</v>
      </c>
      <c r="H4172" s="2" t="s">
        <v>3551</v>
      </c>
      <c r="I4172" s="2" t="s">
        <v>32</v>
      </c>
      <c r="J4172" s="3">
        <v>44589</v>
      </c>
      <c r="K4172" s="2">
        <v>6</v>
      </c>
      <c r="L4172" s="2" t="s">
        <v>20</v>
      </c>
    </row>
    <row r="4173" spans="1:12" x14ac:dyDescent="0.3">
      <c r="A4173" s="2">
        <v>4162</v>
      </c>
      <c r="B4173" s="2" t="s">
        <v>9297</v>
      </c>
      <c r="C4173" s="2" t="s">
        <v>5702</v>
      </c>
      <c r="D4173" s="2" t="s">
        <v>28</v>
      </c>
      <c r="E4173" s="2" t="s">
        <v>29</v>
      </c>
      <c r="F4173" s="2">
        <v>60</v>
      </c>
      <c r="G4173" s="2" t="s">
        <v>9298</v>
      </c>
      <c r="H4173" s="2" t="s">
        <v>7378</v>
      </c>
      <c r="I4173" s="2" t="s">
        <v>178</v>
      </c>
      <c r="J4173" s="3">
        <v>44089</v>
      </c>
      <c r="K4173" s="2">
        <v>73</v>
      </c>
      <c r="L4173" s="2" t="s">
        <v>70</v>
      </c>
    </row>
    <row r="4174" spans="1:12" x14ac:dyDescent="0.3">
      <c r="A4174" s="2">
        <v>4163</v>
      </c>
      <c r="B4174" s="2" t="s">
        <v>2835</v>
      </c>
      <c r="C4174" s="2" t="s">
        <v>9299</v>
      </c>
      <c r="D4174" s="2" t="s">
        <v>28</v>
      </c>
      <c r="E4174" s="2" t="s">
        <v>29</v>
      </c>
      <c r="F4174" s="2">
        <v>60</v>
      </c>
      <c r="G4174" s="2" t="s">
        <v>10574</v>
      </c>
      <c r="H4174" s="2" t="s">
        <v>363</v>
      </c>
      <c r="I4174" s="2" t="s">
        <v>110</v>
      </c>
      <c r="J4174" s="3">
        <v>44374</v>
      </c>
      <c r="K4174" s="2">
        <v>23</v>
      </c>
      <c r="L4174" s="2" t="s">
        <v>20</v>
      </c>
    </row>
    <row r="4175" spans="1:12" x14ac:dyDescent="0.3">
      <c r="A4175" s="2">
        <v>4164</v>
      </c>
      <c r="B4175" s="2" t="s">
        <v>3940</v>
      </c>
      <c r="C4175" s="2" t="s">
        <v>6814</v>
      </c>
      <c r="D4175" s="2" t="s">
        <v>28</v>
      </c>
      <c r="E4175" s="2" t="s">
        <v>29</v>
      </c>
      <c r="F4175" s="2">
        <v>30</v>
      </c>
      <c r="G4175" s="2" t="s">
        <v>9301</v>
      </c>
      <c r="H4175" s="2" t="s">
        <v>2608</v>
      </c>
      <c r="I4175" s="2" t="s">
        <v>38</v>
      </c>
      <c r="J4175" s="3">
        <v>44097</v>
      </c>
      <c r="K4175" s="2">
        <v>65</v>
      </c>
      <c r="L4175" s="2" t="s">
        <v>159</v>
      </c>
    </row>
    <row r="4176" spans="1:12" x14ac:dyDescent="0.3">
      <c r="A4176" s="2">
        <v>4165</v>
      </c>
      <c r="B4176" s="2" t="s">
        <v>5918</v>
      </c>
      <c r="C4176" s="2" t="s">
        <v>6025</v>
      </c>
      <c r="D4176" s="2" t="s">
        <v>117</v>
      </c>
      <c r="E4176" s="2" t="s">
        <v>29</v>
      </c>
      <c r="F4176" s="2">
        <v>60</v>
      </c>
      <c r="G4176" s="2" t="s">
        <v>9302</v>
      </c>
      <c r="H4176" s="2" t="s">
        <v>4631</v>
      </c>
      <c r="I4176" s="2" t="s">
        <v>187</v>
      </c>
      <c r="J4176" s="3">
        <v>44263</v>
      </c>
      <c r="K4176" s="2">
        <v>26</v>
      </c>
      <c r="L4176" s="2" t="s">
        <v>101</v>
      </c>
    </row>
    <row r="4177" spans="1:12" x14ac:dyDescent="0.3">
      <c r="A4177" s="2">
        <v>4166</v>
      </c>
      <c r="B4177" s="2" t="s">
        <v>1682</v>
      </c>
      <c r="C4177" s="2" t="s">
        <v>4632</v>
      </c>
      <c r="D4177" s="2" t="s">
        <v>28</v>
      </c>
      <c r="E4177" s="2" t="s">
        <v>29</v>
      </c>
      <c r="F4177" s="2">
        <v>30</v>
      </c>
      <c r="G4177" s="2" t="s">
        <v>9303</v>
      </c>
      <c r="H4177" s="2" t="s">
        <v>1590</v>
      </c>
      <c r="I4177" s="2" t="s">
        <v>32</v>
      </c>
      <c r="J4177" s="3">
        <v>44224</v>
      </c>
      <c r="K4177" s="2">
        <v>12</v>
      </c>
      <c r="L4177" s="2" t="s">
        <v>64</v>
      </c>
    </row>
    <row r="4178" spans="1:12" x14ac:dyDescent="0.3">
      <c r="A4178" s="2">
        <v>4167</v>
      </c>
      <c r="B4178" s="2" t="s">
        <v>9304</v>
      </c>
      <c r="C4178" s="2" t="s">
        <v>4322</v>
      </c>
      <c r="D4178" s="2" t="s">
        <v>15</v>
      </c>
      <c r="E4178" s="2" t="s">
        <v>16</v>
      </c>
      <c r="F4178" s="2">
        <v>30</v>
      </c>
      <c r="G4178" s="2" t="s">
        <v>9305</v>
      </c>
      <c r="H4178" s="2" t="s">
        <v>412</v>
      </c>
      <c r="I4178" s="2" t="s">
        <v>187</v>
      </c>
      <c r="J4178" s="3">
        <v>44729</v>
      </c>
      <c r="K4178" s="2">
        <v>32</v>
      </c>
      <c r="L4178" s="2" t="s">
        <v>54</v>
      </c>
    </row>
    <row r="4179" spans="1:12" x14ac:dyDescent="0.3">
      <c r="A4179" s="2">
        <v>4168</v>
      </c>
      <c r="B4179" s="2" t="s">
        <v>9306</v>
      </c>
      <c r="C4179" s="2" t="s">
        <v>2402</v>
      </c>
      <c r="D4179" s="2" t="s">
        <v>51</v>
      </c>
      <c r="E4179" s="2" t="s">
        <v>16</v>
      </c>
      <c r="F4179" s="2">
        <v>90</v>
      </c>
      <c r="G4179" s="2" t="s">
        <v>9307</v>
      </c>
      <c r="H4179" s="2" t="s">
        <v>7330</v>
      </c>
      <c r="I4179" s="2" t="s">
        <v>5820</v>
      </c>
      <c r="J4179" s="3">
        <v>44487</v>
      </c>
      <c r="K4179" s="2">
        <v>40</v>
      </c>
      <c r="L4179" s="2" t="s">
        <v>54</v>
      </c>
    </row>
    <row r="4180" spans="1:12" x14ac:dyDescent="0.3">
      <c r="A4180" s="2">
        <v>4169</v>
      </c>
      <c r="B4180" s="2" t="s">
        <v>8732</v>
      </c>
      <c r="C4180" s="2" t="s">
        <v>2263</v>
      </c>
      <c r="D4180" s="2" t="s">
        <v>28</v>
      </c>
      <c r="E4180" s="2" t="s">
        <v>29</v>
      </c>
      <c r="F4180" s="2">
        <v>60</v>
      </c>
      <c r="G4180" s="2" t="s">
        <v>9308</v>
      </c>
      <c r="H4180" s="2" t="s">
        <v>814</v>
      </c>
      <c r="I4180" s="2" t="s">
        <v>124</v>
      </c>
      <c r="J4180" s="3">
        <v>44529</v>
      </c>
      <c r="K4180" s="2">
        <v>19</v>
      </c>
      <c r="L4180" s="2" t="s">
        <v>33</v>
      </c>
    </row>
    <row r="4181" spans="1:12" x14ac:dyDescent="0.3">
      <c r="A4181" s="2">
        <v>4170</v>
      </c>
      <c r="B4181" s="2" t="s">
        <v>1793</v>
      </c>
      <c r="C4181" s="2" t="s">
        <v>3808</v>
      </c>
      <c r="D4181" s="2" t="s">
        <v>28</v>
      </c>
      <c r="E4181" s="2" t="s">
        <v>29</v>
      </c>
      <c r="F4181" s="2">
        <v>90</v>
      </c>
      <c r="G4181" s="2" t="s">
        <v>9309</v>
      </c>
      <c r="H4181" s="2" t="s">
        <v>1218</v>
      </c>
      <c r="I4181" s="2" t="s">
        <v>294</v>
      </c>
      <c r="J4181" s="3">
        <v>44925</v>
      </c>
      <c r="K4181" s="2">
        <v>27</v>
      </c>
      <c r="L4181" s="2" t="s">
        <v>33</v>
      </c>
    </row>
    <row r="4182" spans="1:12" x14ac:dyDescent="0.3">
      <c r="A4182" s="2">
        <v>4171</v>
      </c>
      <c r="B4182" s="2" t="s">
        <v>3805</v>
      </c>
      <c r="C4182" s="2" t="s">
        <v>1044</v>
      </c>
      <c r="D4182" s="2" t="s">
        <v>28</v>
      </c>
      <c r="E4182" s="2" t="s">
        <v>29</v>
      </c>
      <c r="F4182" s="2">
        <v>90</v>
      </c>
      <c r="G4182" s="2" t="s">
        <v>9310</v>
      </c>
      <c r="H4182" s="2" t="s">
        <v>1350</v>
      </c>
      <c r="I4182" s="2" t="s">
        <v>32</v>
      </c>
      <c r="J4182" s="3">
        <v>44180</v>
      </c>
      <c r="K4182" s="2">
        <v>64</v>
      </c>
      <c r="L4182" s="2" t="s">
        <v>39</v>
      </c>
    </row>
    <row r="4183" spans="1:12" x14ac:dyDescent="0.3">
      <c r="A4183" s="2">
        <v>4172</v>
      </c>
      <c r="B4183" s="2" t="s">
        <v>6009</v>
      </c>
      <c r="C4183" s="2" t="s">
        <v>9170</v>
      </c>
      <c r="D4183" s="2" t="s">
        <v>92</v>
      </c>
      <c r="E4183" s="2" t="s">
        <v>16</v>
      </c>
      <c r="F4183" s="2">
        <v>90</v>
      </c>
      <c r="G4183" s="2" t="s">
        <v>9311</v>
      </c>
      <c r="H4183" s="2" t="s">
        <v>1747</v>
      </c>
      <c r="I4183" s="2" t="s">
        <v>294</v>
      </c>
      <c r="J4183" s="3">
        <v>44914</v>
      </c>
      <c r="K4183" s="2">
        <v>51</v>
      </c>
      <c r="L4183" s="2" t="s">
        <v>80</v>
      </c>
    </row>
    <row r="4184" spans="1:12" x14ac:dyDescent="0.3">
      <c r="A4184" s="2">
        <v>4173</v>
      </c>
      <c r="B4184" s="2" t="s">
        <v>751</v>
      </c>
      <c r="C4184" s="2" t="s">
        <v>5391</v>
      </c>
      <c r="D4184" s="2" t="s">
        <v>28</v>
      </c>
      <c r="E4184" s="2" t="s">
        <v>29</v>
      </c>
      <c r="F4184" s="2">
        <v>90</v>
      </c>
      <c r="G4184" s="2" t="s">
        <v>9311</v>
      </c>
      <c r="H4184" s="2" t="s">
        <v>7752</v>
      </c>
      <c r="I4184" s="2" t="s">
        <v>32</v>
      </c>
      <c r="J4184" s="3">
        <v>44304</v>
      </c>
      <c r="K4184" s="2">
        <v>12</v>
      </c>
      <c r="L4184" s="2" t="s">
        <v>80</v>
      </c>
    </row>
    <row r="4185" spans="1:12" x14ac:dyDescent="0.3">
      <c r="A4185" s="2">
        <v>4174</v>
      </c>
      <c r="B4185" s="2" t="s">
        <v>2433</v>
      </c>
      <c r="C4185" s="2" t="s">
        <v>9312</v>
      </c>
      <c r="D4185" s="2" t="s">
        <v>51</v>
      </c>
      <c r="E4185" s="2" t="s">
        <v>16</v>
      </c>
      <c r="F4185" s="2">
        <v>60</v>
      </c>
      <c r="G4185" s="2" t="s">
        <v>9313</v>
      </c>
      <c r="H4185" s="2" t="s">
        <v>3007</v>
      </c>
      <c r="I4185" s="2" t="s">
        <v>554</v>
      </c>
      <c r="J4185" s="3">
        <v>44653</v>
      </c>
      <c r="K4185" s="2">
        <v>53</v>
      </c>
      <c r="L4185" s="2" t="s">
        <v>64</v>
      </c>
    </row>
    <row r="4186" spans="1:12" x14ac:dyDescent="0.3">
      <c r="A4186" s="2">
        <v>4175</v>
      </c>
      <c r="B4186" s="2" t="s">
        <v>2278</v>
      </c>
      <c r="C4186" s="2" t="s">
        <v>5408</v>
      </c>
      <c r="D4186" s="2" t="s">
        <v>28</v>
      </c>
      <c r="E4186" s="2" t="s">
        <v>29</v>
      </c>
      <c r="F4186" s="2">
        <v>60</v>
      </c>
      <c r="G4186" s="2" t="s">
        <v>9314</v>
      </c>
      <c r="H4186" s="2" t="s">
        <v>266</v>
      </c>
      <c r="I4186" s="2" t="s">
        <v>32</v>
      </c>
      <c r="J4186" s="3">
        <v>43947</v>
      </c>
      <c r="K4186" s="2">
        <v>34</v>
      </c>
      <c r="L4186" s="2" t="s">
        <v>70</v>
      </c>
    </row>
    <row r="4187" spans="1:12" x14ac:dyDescent="0.3">
      <c r="A4187" s="2">
        <v>4176</v>
      </c>
      <c r="B4187" s="2" t="s">
        <v>9315</v>
      </c>
      <c r="C4187" s="2" t="s">
        <v>1671</v>
      </c>
      <c r="D4187" s="2" t="s">
        <v>15</v>
      </c>
      <c r="E4187" s="2" t="s">
        <v>16</v>
      </c>
      <c r="F4187" s="2">
        <v>90</v>
      </c>
      <c r="G4187" s="2" t="s">
        <v>9316</v>
      </c>
      <c r="H4187" s="2" t="s">
        <v>3228</v>
      </c>
      <c r="I4187" s="2" t="s">
        <v>294</v>
      </c>
      <c r="J4187" s="3">
        <v>44790</v>
      </c>
      <c r="K4187" s="2">
        <v>21</v>
      </c>
      <c r="L4187" s="2" t="s">
        <v>101</v>
      </c>
    </row>
    <row r="4188" spans="1:12" x14ac:dyDescent="0.3">
      <c r="A4188" s="2">
        <v>4177</v>
      </c>
      <c r="B4188" s="2" t="s">
        <v>364</v>
      </c>
      <c r="C4188" s="2" t="s">
        <v>2054</v>
      </c>
      <c r="D4188" s="2" t="s">
        <v>15</v>
      </c>
      <c r="E4188" s="2" t="s">
        <v>16</v>
      </c>
      <c r="F4188" s="2">
        <v>30</v>
      </c>
      <c r="G4188" s="2" t="s">
        <v>9317</v>
      </c>
      <c r="H4188" s="2" t="s">
        <v>9286</v>
      </c>
      <c r="I4188" s="2" t="s">
        <v>178</v>
      </c>
      <c r="J4188" s="3">
        <v>44066</v>
      </c>
      <c r="K4188" s="2">
        <v>78</v>
      </c>
      <c r="L4188" s="2" t="s">
        <v>54</v>
      </c>
    </row>
    <row r="4189" spans="1:12" x14ac:dyDescent="0.3">
      <c r="A4189" s="2">
        <v>4178</v>
      </c>
      <c r="B4189" s="2" t="s">
        <v>7470</v>
      </c>
      <c r="C4189" s="2" t="s">
        <v>7801</v>
      </c>
      <c r="D4189" s="2" t="s">
        <v>51</v>
      </c>
      <c r="E4189" s="2" t="s">
        <v>16</v>
      </c>
      <c r="F4189" s="2">
        <v>60</v>
      </c>
      <c r="G4189" s="2" t="s">
        <v>9318</v>
      </c>
      <c r="H4189" s="2" t="s">
        <v>1261</v>
      </c>
      <c r="I4189" s="2" t="s">
        <v>32</v>
      </c>
      <c r="J4189" s="3">
        <v>43903</v>
      </c>
      <c r="K4189" s="2">
        <v>71</v>
      </c>
      <c r="L4189" s="2" t="s">
        <v>20</v>
      </c>
    </row>
    <row r="4190" spans="1:12" x14ac:dyDescent="0.3">
      <c r="A4190" s="2">
        <v>4179</v>
      </c>
      <c r="B4190" s="2" t="s">
        <v>8539</v>
      </c>
      <c r="C4190" s="2" t="s">
        <v>2757</v>
      </c>
      <c r="D4190" s="2" t="s">
        <v>51</v>
      </c>
      <c r="E4190" s="2" t="s">
        <v>16</v>
      </c>
      <c r="F4190" s="2">
        <v>90</v>
      </c>
      <c r="G4190" s="2" t="s">
        <v>9319</v>
      </c>
      <c r="H4190" s="2" t="s">
        <v>4915</v>
      </c>
      <c r="I4190" s="2" t="s">
        <v>32</v>
      </c>
      <c r="J4190" s="3">
        <v>44427</v>
      </c>
      <c r="K4190" s="2">
        <v>54</v>
      </c>
      <c r="L4190" s="2" t="s">
        <v>101</v>
      </c>
    </row>
    <row r="4191" spans="1:12" x14ac:dyDescent="0.3">
      <c r="A4191" s="2">
        <v>4180</v>
      </c>
      <c r="B4191" s="2" t="s">
        <v>8759</v>
      </c>
      <c r="C4191" s="2" t="s">
        <v>9320</v>
      </c>
      <c r="D4191" s="2" t="s">
        <v>28</v>
      </c>
      <c r="E4191" s="2" t="s">
        <v>29</v>
      </c>
      <c r="F4191" s="2">
        <v>90</v>
      </c>
      <c r="G4191" s="2" t="s">
        <v>9321</v>
      </c>
      <c r="H4191" s="2" t="s">
        <v>2655</v>
      </c>
      <c r="I4191" s="2" t="s">
        <v>1083</v>
      </c>
      <c r="J4191" s="3">
        <v>44754</v>
      </c>
      <c r="K4191" s="2">
        <v>49</v>
      </c>
      <c r="L4191" s="2" t="s">
        <v>20</v>
      </c>
    </row>
    <row r="4192" spans="1:12" x14ac:dyDescent="0.3">
      <c r="A4192" s="2">
        <v>4181</v>
      </c>
      <c r="B4192" s="2" t="s">
        <v>9322</v>
      </c>
      <c r="C4192" s="2" t="s">
        <v>7206</v>
      </c>
      <c r="D4192" s="2" t="s">
        <v>15</v>
      </c>
      <c r="E4192" s="2" t="s">
        <v>16</v>
      </c>
      <c r="F4192" s="2">
        <v>90</v>
      </c>
      <c r="G4192" s="2" t="s">
        <v>9323</v>
      </c>
      <c r="H4192" s="2" t="s">
        <v>1754</v>
      </c>
      <c r="I4192" s="2" t="s">
        <v>25</v>
      </c>
      <c r="J4192" s="3">
        <v>43996</v>
      </c>
      <c r="K4192" s="2">
        <v>8</v>
      </c>
      <c r="L4192" s="2" t="s">
        <v>45</v>
      </c>
    </row>
    <row r="4193" spans="1:12" x14ac:dyDescent="0.3">
      <c r="A4193" s="2">
        <v>4182</v>
      </c>
      <c r="B4193" s="2" t="s">
        <v>6764</v>
      </c>
      <c r="C4193" s="2" t="s">
        <v>6828</v>
      </c>
      <c r="D4193" s="2" t="s">
        <v>621</v>
      </c>
      <c r="E4193" s="2" t="s">
        <v>29</v>
      </c>
      <c r="F4193" s="2">
        <v>30</v>
      </c>
      <c r="G4193" s="2" t="s">
        <v>9324</v>
      </c>
      <c r="H4193" s="2" t="s">
        <v>938</v>
      </c>
      <c r="I4193" s="2" t="s">
        <v>25</v>
      </c>
      <c r="J4193" s="3">
        <v>44175</v>
      </c>
      <c r="K4193" s="2">
        <v>26</v>
      </c>
      <c r="L4193" s="2" t="s">
        <v>33</v>
      </c>
    </row>
    <row r="4194" spans="1:12" x14ac:dyDescent="0.3">
      <c r="A4194" s="2">
        <v>4183</v>
      </c>
      <c r="B4194" s="2" t="s">
        <v>8689</v>
      </c>
      <c r="C4194" s="2" t="s">
        <v>5998</v>
      </c>
      <c r="D4194" s="2" t="s">
        <v>51</v>
      </c>
      <c r="E4194" s="2" t="s">
        <v>16</v>
      </c>
      <c r="F4194" s="2">
        <v>30</v>
      </c>
      <c r="G4194" s="2" t="s">
        <v>9325</v>
      </c>
      <c r="H4194" s="2" t="s">
        <v>7378</v>
      </c>
      <c r="I4194" s="2" t="s">
        <v>178</v>
      </c>
      <c r="J4194" s="3">
        <v>44600</v>
      </c>
      <c r="K4194" s="2">
        <v>58</v>
      </c>
      <c r="L4194" s="2" t="s">
        <v>33</v>
      </c>
    </row>
    <row r="4195" spans="1:12" x14ac:dyDescent="0.3">
      <c r="A4195" s="2">
        <v>4184</v>
      </c>
      <c r="B4195" s="2" t="s">
        <v>527</v>
      </c>
      <c r="C4195" s="2" t="s">
        <v>2385</v>
      </c>
      <c r="D4195" s="2" t="s">
        <v>28</v>
      </c>
      <c r="E4195" s="2" t="s">
        <v>29</v>
      </c>
      <c r="F4195" s="2">
        <v>90</v>
      </c>
      <c r="G4195" s="2" t="s">
        <v>9325</v>
      </c>
      <c r="H4195" s="2" t="s">
        <v>2772</v>
      </c>
      <c r="I4195" s="2" t="s">
        <v>32</v>
      </c>
      <c r="J4195" s="3">
        <v>44696</v>
      </c>
      <c r="K4195" s="2">
        <v>83</v>
      </c>
      <c r="L4195" s="2" t="s">
        <v>64</v>
      </c>
    </row>
    <row r="4196" spans="1:12" x14ac:dyDescent="0.3">
      <c r="A4196" s="2">
        <v>4185</v>
      </c>
      <c r="B4196" s="2" t="s">
        <v>7114</v>
      </c>
      <c r="C4196" s="2" t="s">
        <v>9326</v>
      </c>
      <c r="D4196" s="2" t="s">
        <v>28</v>
      </c>
      <c r="E4196" s="2" t="s">
        <v>29</v>
      </c>
      <c r="F4196" s="2">
        <v>30</v>
      </c>
      <c r="G4196" s="2" t="s">
        <v>9327</v>
      </c>
      <c r="H4196" s="2" t="s">
        <v>5596</v>
      </c>
      <c r="I4196" s="2" t="s">
        <v>32</v>
      </c>
      <c r="J4196" s="3">
        <v>44571</v>
      </c>
      <c r="K4196" s="2">
        <v>58</v>
      </c>
      <c r="L4196" s="2" t="s">
        <v>64</v>
      </c>
    </row>
    <row r="4197" spans="1:12" x14ac:dyDescent="0.3">
      <c r="A4197" s="2">
        <v>4186</v>
      </c>
      <c r="B4197" s="2" t="s">
        <v>9328</v>
      </c>
      <c r="C4197" s="2" t="s">
        <v>2866</v>
      </c>
      <c r="D4197" s="2" t="s">
        <v>15</v>
      </c>
      <c r="E4197" s="2" t="s">
        <v>16</v>
      </c>
      <c r="F4197" s="2">
        <v>30</v>
      </c>
      <c r="G4197" s="2" t="s">
        <v>9329</v>
      </c>
      <c r="H4197" s="2" t="s">
        <v>3756</v>
      </c>
      <c r="I4197" s="2" t="s">
        <v>178</v>
      </c>
      <c r="J4197" s="3">
        <v>44334</v>
      </c>
      <c r="K4197" s="2">
        <v>44</v>
      </c>
      <c r="L4197" s="2" t="s">
        <v>20</v>
      </c>
    </row>
    <row r="4198" spans="1:12" x14ac:dyDescent="0.3">
      <c r="A4198" s="2">
        <v>4187</v>
      </c>
      <c r="B4198" s="2" t="s">
        <v>4564</v>
      </c>
      <c r="C4198" s="2" t="s">
        <v>3738</v>
      </c>
      <c r="D4198" s="2" t="s">
        <v>51</v>
      </c>
      <c r="E4198" s="2" t="s">
        <v>16</v>
      </c>
      <c r="F4198" s="2">
        <v>30</v>
      </c>
      <c r="G4198" s="2" t="s">
        <v>9330</v>
      </c>
      <c r="H4198" s="2" t="s">
        <v>6690</v>
      </c>
      <c r="I4198" s="2" t="s">
        <v>294</v>
      </c>
      <c r="J4198" s="3">
        <v>44676</v>
      </c>
      <c r="K4198" s="2">
        <v>34</v>
      </c>
      <c r="L4198" s="2" t="s">
        <v>101</v>
      </c>
    </row>
    <row r="4199" spans="1:12" x14ac:dyDescent="0.3">
      <c r="A4199" s="2">
        <v>4188</v>
      </c>
      <c r="B4199" s="2" t="s">
        <v>7187</v>
      </c>
      <c r="C4199" s="2" t="s">
        <v>210</v>
      </c>
      <c r="D4199" s="2" t="s">
        <v>28</v>
      </c>
      <c r="E4199" s="2" t="s">
        <v>29</v>
      </c>
      <c r="F4199" s="2">
        <v>30</v>
      </c>
      <c r="G4199" s="2" t="s">
        <v>9331</v>
      </c>
      <c r="H4199" s="2" t="s">
        <v>88</v>
      </c>
      <c r="I4199" s="2" t="s">
        <v>89</v>
      </c>
      <c r="J4199" s="3">
        <v>44848</v>
      </c>
      <c r="K4199" s="2">
        <v>19</v>
      </c>
      <c r="L4199" s="2" t="s">
        <v>33</v>
      </c>
    </row>
    <row r="4200" spans="1:12" x14ac:dyDescent="0.3">
      <c r="A4200" s="2">
        <v>4189</v>
      </c>
      <c r="B4200" s="2" t="s">
        <v>9332</v>
      </c>
      <c r="C4200" s="2" t="s">
        <v>5138</v>
      </c>
      <c r="D4200" s="2" t="s">
        <v>28</v>
      </c>
      <c r="E4200" s="2" t="s">
        <v>29</v>
      </c>
      <c r="F4200" s="2">
        <v>90</v>
      </c>
      <c r="G4200" s="2" t="s">
        <v>2376</v>
      </c>
      <c r="H4200" s="2" t="s">
        <v>927</v>
      </c>
      <c r="I4200" s="2" t="s">
        <v>129</v>
      </c>
      <c r="J4200" s="3">
        <v>44082</v>
      </c>
      <c r="K4200" s="2">
        <v>44</v>
      </c>
      <c r="L4200" s="2" t="s">
        <v>70</v>
      </c>
    </row>
    <row r="4201" spans="1:12" x14ac:dyDescent="0.3">
      <c r="A4201" s="2">
        <v>4190</v>
      </c>
      <c r="B4201" s="2" t="s">
        <v>6882</v>
      </c>
      <c r="C4201" s="2" t="s">
        <v>1737</v>
      </c>
      <c r="D4201" s="2" t="s">
        <v>28</v>
      </c>
      <c r="E4201" s="2" t="s">
        <v>29</v>
      </c>
      <c r="F4201" s="2">
        <v>90</v>
      </c>
      <c r="G4201" s="2" t="s">
        <v>9333</v>
      </c>
      <c r="H4201" s="2" t="s">
        <v>114</v>
      </c>
      <c r="I4201" s="2" t="s">
        <v>38</v>
      </c>
      <c r="J4201" s="3">
        <v>44532</v>
      </c>
      <c r="K4201" s="2">
        <v>22</v>
      </c>
      <c r="L4201" s="2" t="s">
        <v>101</v>
      </c>
    </row>
    <row r="4202" spans="1:12" x14ac:dyDescent="0.3">
      <c r="A4202" s="2">
        <v>4191</v>
      </c>
      <c r="B4202" s="2" t="s">
        <v>8211</v>
      </c>
      <c r="C4202" s="2" t="s">
        <v>840</v>
      </c>
      <c r="D4202" s="2" t="s">
        <v>28</v>
      </c>
      <c r="E4202" s="2" t="s">
        <v>29</v>
      </c>
      <c r="F4202" s="2">
        <v>30</v>
      </c>
      <c r="G4202" s="2" t="s">
        <v>9334</v>
      </c>
      <c r="H4202" s="2" t="s">
        <v>1625</v>
      </c>
      <c r="I4202" s="2" t="s">
        <v>32</v>
      </c>
      <c r="J4202" s="3">
        <v>44319</v>
      </c>
      <c r="K4202" s="2">
        <v>69</v>
      </c>
      <c r="L4202" s="2" t="s">
        <v>39</v>
      </c>
    </row>
    <row r="4203" spans="1:12" x14ac:dyDescent="0.3">
      <c r="A4203" s="2">
        <v>4192</v>
      </c>
      <c r="B4203" s="2" t="s">
        <v>9335</v>
      </c>
      <c r="C4203" s="2" t="s">
        <v>2113</v>
      </c>
      <c r="D4203" s="2" t="s">
        <v>15</v>
      </c>
      <c r="E4203" s="2" t="s">
        <v>16</v>
      </c>
      <c r="F4203" s="2">
        <v>60</v>
      </c>
      <c r="G4203" s="2" t="s">
        <v>9336</v>
      </c>
      <c r="H4203" s="2" t="s">
        <v>920</v>
      </c>
      <c r="I4203" s="2" t="s">
        <v>178</v>
      </c>
      <c r="J4203" s="3">
        <v>44322</v>
      </c>
      <c r="K4203" s="2">
        <v>16</v>
      </c>
      <c r="L4203" s="2" t="s">
        <v>54</v>
      </c>
    </row>
    <row r="4204" spans="1:12" x14ac:dyDescent="0.3">
      <c r="A4204" s="2">
        <v>4193</v>
      </c>
      <c r="B4204" s="2" t="s">
        <v>5086</v>
      </c>
      <c r="C4204" s="2" t="s">
        <v>9055</v>
      </c>
      <c r="D4204" s="2" t="s">
        <v>28</v>
      </c>
      <c r="E4204" s="2" t="s">
        <v>29</v>
      </c>
      <c r="F4204" s="2">
        <v>30</v>
      </c>
      <c r="G4204" s="2" t="s">
        <v>9336</v>
      </c>
      <c r="H4204" s="2" t="s">
        <v>4901</v>
      </c>
      <c r="I4204" s="2" t="s">
        <v>32</v>
      </c>
      <c r="J4204" s="3">
        <v>44503</v>
      </c>
      <c r="K4204" s="2">
        <v>63</v>
      </c>
      <c r="L4204" s="2" t="s">
        <v>101</v>
      </c>
    </row>
    <row r="4205" spans="1:12" x14ac:dyDescent="0.3">
      <c r="A4205" s="2">
        <v>4194</v>
      </c>
      <c r="B4205" s="2" t="s">
        <v>2138</v>
      </c>
      <c r="C4205" s="2" t="s">
        <v>406</v>
      </c>
      <c r="D4205" s="2" t="s">
        <v>28</v>
      </c>
      <c r="E4205" s="2" t="s">
        <v>29</v>
      </c>
      <c r="F4205" s="2">
        <v>60</v>
      </c>
      <c r="G4205" s="2" t="s">
        <v>9337</v>
      </c>
      <c r="H4205" s="2" t="s">
        <v>7297</v>
      </c>
      <c r="I4205" s="2" t="s">
        <v>178</v>
      </c>
      <c r="J4205" s="3">
        <v>44132</v>
      </c>
      <c r="K4205" s="2">
        <v>69</v>
      </c>
      <c r="L4205" s="2" t="s">
        <v>45</v>
      </c>
    </row>
    <row r="4206" spans="1:12" x14ac:dyDescent="0.3">
      <c r="A4206" s="2">
        <v>4195</v>
      </c>
      <c r="B4206" s="2" t="s">
        <v>9338</v>
      </c>
      <c r="C4206" s="2" t="s">
        <v>1756</v>
      </c>
      <c r="D4206" s="2" t="s">
        <v>41</v>
      </c>
      <c r="E4206" s="2" t="s">
        <v>16</v>
      </c>
      <c r="F4206" s="2">
        <v>90</v>
      </c>
      <c r="G4206" s="2" t="s">
        <v>9339</v>
      </c>
      <c r="H4206" s="2" t="s">
        <v>1039</v>
      </c>
      <c r="I4206" s="2" t="s">
        <v>25</v>
      </c>
      <c r="J4206" s="3">
        <v>44270</v>
      </c>
      <c r="K4206" s="2">
        <v>30</v>
      </c>
      <c r="L4206" s="2" t="s">
        <v>159</v>
      </c>
    </row>
    <row r="4207" spans="1:12" x14ac:dyDescent="0.3">
      <c r="A4207" s="2">
        <v>4196</v>
      </c>
      <c r="B4207" s="2" t="s">
        <v>8407</v>
      </c>
      <c r="C4207" s="2" t="s">
        <v>9028</v>
      </c>
      <c r="D4207" s="2" t="s">
        <v>28</v>
      </c>
      <c r="E4207" s="2" t="s">
        <v>29</v>
      </c>
      <c r="F4207" s="2">
        <v>60</v>
      </c>
      <c r="G4207" s="2" t="s">
        <v>9340</v>
      </c>
      <c r="H4207" s="2" t="s">
        <v>356</v>
      </c>
      <c r="I4207" s="2" t="s">
        <v>178</v>
      </c>
      <c r="J4207" s="3">
        <v>44480</v>
      </c>
      <c r="K4207" s="2">
        <v>31</v>
      </c>
      <c r="L4207" s="2" t="s">
        <v>54</v>
      </c>
    </row>
    <row r="4208" spans="1:12" x14ac:dyDescent="0.3">
      <c r="A4208" s="2">
        <v>4197</v>
      </c>
      <c r="B4208" s="2" t="s">
        <v>2150</v>
      </c>
      <c r="C4208" s="2" t="s">
        <v>6004</v>
      </c>
      <c r="D4208" s="2" t="s">
        <v>51</v>
      </c>
      <c r="E4208" s="2" t="s">
        <v>16</v>
      </c>
      <c r="F4208" s="2">
        <v>30</v>
      </c>
      <c r="G4208" s="2" t="s">
        <v>9341</v>
      </c>
      <c r="H4208" s="2" t="s">
        <v>6101</v>
      </c>
      <c r="I4208" s="2" t="s">
        <v>32</v>
      </c>
      <c r="J4208" s="3">
        <v>44592</v>
      </c>
      <c r="K4208" s="2">
        <v>85</v>
      </c>
      <c r="L4208" s="2" t="s">
        <v>20</v>
      </c>
    </row>
    <row r="4209" spans="1:12" x14ac:dyDescent="0.3">
      <c r="A4209" s="2">
        <v>4198</v>
      </c>
      <c r="B4209" s="2" t="s">
        <v>9342</v>
      </c>
      <c r="C4209" s="2" t="s">
        <v>4946</v>
      </c>
      <c r="D4209" s="2" t="s">
        <v>51</v>
      </c>
      <c r="E4209" s="2" t="s">
        <v>16</v>
      </c>
      <c r="F4209" s="2">
        <v>90</v>
      </c>
      <c r="G4209" s="2" t="s">
        <v>9343</v>
      </c>
      <c r="H4209" s="2" t="s">
        <v>2436</v>
      </c>
      <c r="I4209" s="2" t="s">
        <v>294</v>
      </c>
      <c r="J4209" s="3">
        <v>44234</v>
      </c>
      <c r="K4209" s="2">
        <v>74</v>
      </c>
      <c r="L4209" s="2" t="s">
        <v>39</v>
      </c>
    </row>
    <row r="4210" spans="1:12" x14ac:dyDescent="0.3">
      <c r="A4210" s="2">
        <v>4199</v>
      </c>
      <c r="B4210" s="2" t="s">
        <v>8317</v>
      </c>
      <c r="C4210" s="2" t="s">
        <v>6420</v>
      </c>
      <c r="D4210" s="2" t="s">
        <v>28</v>
      </c>
      <c r="E4210" s="2" t="s">
        <v>29</v>
      </c>
      <c r="F4210" s="2">
        <v>90</v>
      </c>
      <c r="G4210" s="2" t="s">
        <v>9344</v>
      </c>
      <c r="H4210" s="2" t="s">
        <v>1261</v>
      </c>
      <c r="I4210" s="2" t="s">
        <v>32</v>
      </c>
      <c r="J4210" s="3">
        <v>44412</v>
      </c>
      <c r="K4210" s="2">
        <v>53</v>
      </c>
      <c r="L4210" s="2" t="s">
        <v>20</v>
      </c>
    </row>
    <row r="4211" spans="1:12" x14ac:dyDescent="0.3">
      <c r="A4211" s="2">
        <v>4200</v>
      </c>
      <c r="B4211" s="2" t="s">
        <v>2409</v>
      </c>
      <c r="C4211" s="2" t="s">
        <v>2692</v>
      </c>
      <c r="D4211" s="2" t="s">
        <v>28</v>
      </c>
      <c r="E4211" s="2" t="s">
        <v>29</v>
      </c>
      <c r="F4211" s="2">
        <v>30</v>
      </c>
      <c r="G4211" s="2" t="s">
        <v>9345</v>
      </c>
      <c r="H4211" s="2" t="s">
        <v>4713</v>
      </c>
      <c r="I4211" s="2" t="s">
        <v>294</v>
      </c>
      <c r="J4211" s="3">
        <v>44282</v>
      </c>
      <c r="K4211" s="2">
        <v>15</v>
      </c>
      <c r="L4211" s="2" t="s">
        <v>64</v>
      </c>
    </row>
    <row r="4212" spans="1:12" x14ac:dyDescent="0.3">
      <c r="A4212" s="2">
        <v>4201</v>
      </c>
      <c r="B4212" s="2" t="s">
        <v>5171</v>
      </c>
      <c r="C4212" s="2" t="s">
        <v>3605</v>
      </c>
      <c r="D4212" s="2" t="s">
        <v>15</v>
      </c>
      <c r="E4212" s="2" t="s">
        <v>16</v>
      </c>
      <c r="F4212" s="2">
        <v>90</v>
      </c>
      <c r="G4212" s="2" t="s">
        <v>9346</v>
      </c>
      <c r="H4212" s="2" t="s">
        <v>924</v>
      </c>
      <c r="I4212" s="2" t="s">
        <v>32</v>
      </c>
      <c r="J4212" s="3">
        <v>44852</v>
      </c>
      <c r="K4212" s="2">
        <v>7</v>
      </c>
      <c r="L4212" s="2" t="s">
        <v>54</v>
      </c>
    </row>
    <row r="4213" spans="1:12" x14ac:dyDescent="0.3">
      <c r="A4213" s="2">
        <v>4202</v>
      </c>
      <c r="B4213" s="2" t="s">
        <v>714</v>
      </c>
      <c r="C4213" s="2" t="s">
        <v>2158</v>
      </c>
      <c r="D4213" s="2" t="s">
        <v>28</v>
      </c>
      <c r="E4213" s="2" t="s">
        <v>29</v>
      </c>
      <c r="F4213" s="2">
        <v>90</v>
      </c>
      <c r="G4213" s="2" t="s">
        <v>9347</v>
      </c>
      <c r="H4213" s="2" t="s">
        <v>5667</v>
      </c>
      <c r="I4213" s="2" t="s">
        <v>32</v>
      </c>
      <c r="J4213" s="3">
        <v>44470</v>
      </c>
      <c r="K4213" s="2">
        <v>2</v>
      </c>
      <c r="L4213" s="2" t="s">
        <v>64</v>
      </c>
    </row>
    <row r="4214" spans="1:12" x14ac:dyDescent="0.3">
      <c r="A4214" s="2">
        <v>4203</v>
      </c>
      <c r="B4214" s="2" t="s">
        <v>134</v>
      </c>
      <c r="C4214" s="2" t="s">
        <v>1361</v>
      </c>
      <c r="D4214" s="2" t="s">
        <v>28</v>
      </c>
      <c r="E4214" s="2" t="s">
        <v>29</v>
      </c>
      <c r="F4214" s="2">
        <v>30</v>
      </c>
      <c r="G4214" s="2" t="s">
        <v>9348</v>
      </c>
      <c r="H4214" s="2" t="s">
        <v>6168</v>
      </c>
      <c r="I4214" s="2" t="s">
        <v>294</v>
      </c>
      <c r="J4214" s="3">
        <v>44326</v>
      </c>
      <c r="K4214" s="2">
        <v>5</v>
      </c>
      <c r="L4214" s="2" t="s">
        <v>45</v>
      </c>
    </row>
    <row r="4215" spans="1:12" x14ac:dyDescent="0.3">
      <c r="A4215" s="2">
        <v>4204</v>
      </c>
      <c r="B4215" s="2" t="s">
        <v>9349</v>
      </c>
      <c r="C4215" s="2" t="s">
        <v>9326</v>
      </c>
      <c r="D4215" s="2" t="s">
        <v>28</v>
      </c>
      <c r="E4215" s="2" t="s">
        <v>29</v>
      </c>
      <c r="F4215" s="2">
        <v>90</v>
      </c>
      <c r="G4215" s="2" t="s">
        <v>9350</v>
      </c>
      <c r="H4215" s="2" t="s">
        <v>5379</v>
      </c>
      <c r="I4215" s="2" t="s">
        <v>1199</v>
      </c>
      <c r="J4215" s="3">
        <v>44827</v>
      </c>
      <c r="K4215" s="2">
        <v>45</v>
      </c>
      <c r="L4215" s="2" t="s">
        <v>159</v>
      </c>
    </row>
    <row r="4216" spans="1:12" x14ac:dyDescent="0.3">
      <c r="A4216" s="2">
        <v>4205</v>
      </c>
      <c r="B4216" s="2" t="s">
        <v>3537</v>
      </c>
      <c r="C4216" s="2" t="s">
        <v>9351</v>
      </c>
      <c r="D4216" s="2" t="s">
        <v>28</v>
      </c>
      <c r="E4216" s="2" t="s">
        <v>29</v>
      </c>
      <c r="F4216" s="2">
        <v>90</v>
      </c>
      <c r="G4216" s="2" t="s">
        <v>9352</v>
      </c>
      <c r="H4216" s="2" t="s">
        <v>1039</v>
      </c>
      <c r="I4216" s="2" t="s">
        <v>25</v>
      </c>
      <c r="J4216" s="3">
        <v>44381</v>
      </c>
      <c r="K4216" s="2">
        <v>32</v>
      </c>
      <c r="L4216" s="2" t="s">
        <v>64</v>
      </c>
    </row>
    <row r="4217" spans="1:12" x14ac:dyDescent="0.3">
      <c r="A4217" s="2">
        <v>4206</v>
      </c>
      <c r="B4217" s="2" t="s">
        <v>9353</v>
      </c>
      <c r="C4217" s="2" t="s">
        <v>1532</v>
      </c>
      <c r="D4217" s="2" t="s">
        <v>51</v>
      </c>
      <c r="E4217" s="2" t="s">
        <v>16</v>
      </c>
      <c r="F4217" s="2">
        <v>30</v>
      </c>
      <c r="G4217" s="2" t="s">
        <v>9354</v>
      </c>
      <c r="H4217" s="2" t="s">
        <v>1198</v>
      </c>
      <c r="I4217" s="2" t="s">
        <v>1199</v>
      </c>
      <c r="J4217" s="3">
        <v>44108</v>
      </c>
      <c r="K4217" s="2">
        <v>70</v>
      </c>
      <c r="L4217" s="2" t="s">
        <v>33</v>
      </c>
    </row>
    <row r="4218" spans="1:12" x14ac:dyDescent="0.3">
      <c r="A4218" s="2">
        <v>4207</v>
      </c>
      <c r="B4218" s="2" t="s">
        <v>2231</v>
      </c>
      <c r="C4218" s="2" t="s">
        <v>4318</v>
      </c>
      <c r="D4218" s="2" t="s">
        <v>28</v>
      </c>
      <c r="E4218" s="2" t="s">
        <v>29</v>
      </c>
      <c r="F4218" s="2">
        <v>90</v>
      </c>
      <c r="G4218" s="2" t="s">
        <v>9355</v>
      </c>
      <c r="H4218" s="2" t="s">
        <v>3316</v>
      </c>
      <c r="I4218" s="2" t="s">
        <v>32</v>
      </c>
      <c r="J4218" s="3">
        <v>44429</v>
      </c>
      <c r="K4218" s="2">
        <v>26</v>
      </c>
      <c r="L4218" s="2" t="s">
        <v>39</v>
      </c>
    </row>
    <row r="4219" spans="1:12" x14ac:dyDescent="0.3">
      <c r="A4219" s="2">
        <v>4208</v>
      </c>
      <c r="B4219" s="2" t="s">
        <v>9356</v>
      </c>
      <c r="C4219" s="2" t="s">
        <v>3913</v>
      </c>
      <c r="D4219" s="2" t="s">
        <v>15</v>
      </c>
      <c r="E4219" s="2" t="s">
        <v>16</v>
      </c>
      <c r="F4219" s="2">
        <v>60</v>
      </c>
      <c r="G4219" s="2" t="s">
        <v>9357</v>
      </c>
      <c r="H4219" s="2" t="s">
        <v>7763</v>
      </c>
      <c r="I4219" s="2" t="s">
        <v>129</v>
      </c>
      <c r="J4219" s="3">
        <v>44391</v>
      </c>
      <c r="K4219" s="2">
        <v>88</v>
      </c>
      <c r="L4219" s="2" t="s">
        <v>45</v>
      </c>
    </row>
    <row r="4220" spans="1:12" x14ac:dyDescent="0.3">
      <c r="A4220" s="2">
        <v>4209</v>
      </c>
      <c r="B4220" s="2" t="s">
        <v>7371</v>
      </c>
      <c r="C4220" s="2" t="s">
        <v>4376</v>
      </c>
      <c r="D4220" s="2" t="s">
        <v>15</v>
      </c>
      <c r="E4220" s="2" t="s">
        <v>16</v>
      </c>
      <c r="F4220" s="2">
        <v>30</v>
      </c>
      <c r="G4220" s="2" t="s">
        <v>9358</v>
      </c>
      <c r="H4220" s="2" t="s">
        <v>3169</v>
      </c>
      <c r="I4220" s="2" t="s">
        <v>110</v>
      </c>
      <c r="J4220" s="3">
        <v>44717</v>
      </c>
      <c r="K4220" s="2">
        <v>75</v>
      </c>
      <c r="L4220" s="2" t="s">
        <v>70</v>
      </c>
    </row>
    <row r="4221" spans="1:12" x14ac:dyDescent="0.3">
      <c r="A4221" s="2">
        <v>4210</v>
      </c>
      <c r="B4221" s="2" t="s">
        <v>3345</v>
      </c>
      <c r="C4221" s="2" t="s">
        <v>2228</v>
      </c>
      <c r="D4221" s="2" t="s">
        <v>28</v>
      </c>
      <c r="E4221" s="2" t="s">
        <v>29</v>
      </c>
      <c r="F4221" s="2">
        <v>60</v>
      </c>
      <c r="G4221" s="2" t="s">
        <v>9359</v>
      </c>
      <c r="H4221" s="2" t="s">
        <v>4337</v>
      </c>
      <c r="I4221" s="2" t="s">
        <v>25</v>
      </c>
      <c r="J4221" s="3">
        <v>44254</v>
      </c>
      <c r="K4221" s="2">
        <v>82</v>
      </c>
      <c r="L4221" s="2" t="s">
        <v>80</v>
      </c>
    </row>
    <row r="4222" spans="1:12" x14ac:dyDescent="0.3">
      <c r="A4222" s="2">
        <v>4211</v>
      </c>
      <c r="B4222" s="2" t="s">
        <v>7683</v>
      </c>
      <c r="C4222" s="2" t="s">
        <v>82</v>
      </c>
      <c r="D4222" s="2" t="s">
        <v>28</v>
      </c>
      <c r="E4222" s="2" t="s">
        <v>29</v>
      </c>
      <c r="F4222" s="2">
        <v>30</v>
      </c>
      <c r="G4222" s="2" t="s">
        <v>9360</v>
      </c>
      <c r="H4222" s="2" t="s">
        <v>838</v>
      </c>
      <c r="I4222" s="2" t="s">
        <v>839</v>
      </c>
      <c r="J4222" s="3">
        <v>44717</v>
      </c>
      <c r="K4222" s="2">
        <v>43</v>
      </c>
      <c r="L4222" s="2" t="s">
        <v>159</v>
      </c>
    </row>
    <row r="4223" spans="1:12" x14ac:dyDescent="0.3">
      <c r="A4223" s="2">
        <v>4212</v>
      </c>
      <c r="B4223" s="2" t="s">
        <v>4614</v>
      </c>
      <c r="C4223" s="2" t="s">
        <v>5598</v>
      </c>
      <c r="D4223" s="2" t="s">
        <v>51</v>
      </c>
      <c r="E4223" s="2" t="s">
        <v>16</v>
      </c>
      <c r="F4223" s="2">
        <v>60</v>
      </c>
      <c r="G4223" s="2" t="s">
        <v>9361</v>
      </c>
      <c r="H4223" s="2" t="s">
        <v>641</v>
      </c>
      <c r="I4223" s="2" t="s">
        <v>294</v>
      </c>
      <c r="J4223" s="3">
        <v>44334</v>
      </c>
      <c r="K4223" s="2">
        <v>45</v>
      </c>
      <c r="L4223" s="2" t="s">
        <v>20</v>
      </c>
    </row>
    <row r="4224" spans="1:12" x14ac:dyDescent="0.3">
      <c r="A4224" s="2">
        <v>4213</v>
      </c>
      <c r="B4224" s="2" t="s">
        <v>6003</v>
      </c>
      <c r="C4224" s="2" t="s">
        <v>3362</v>
      </c>
      <c r="D4224" s="2" t="s">
        <v>28</v>
      </c>
      <c r="E4224" s="2" t="s">
        <v>29</v>
      </c>
      <c r="F4224" s="2">
        <v>60</v>
      </c>
      <c r="G4224" s="2" t="s">
        <v>9362</v>
      </c>
      <c r="H4224" s="2" t="s">
        <v>8110</v>
      </c>
      <c r="I4224" s="2" t="s">
        <v>173</v>
      </c>
      <c r="J4224" s="3">
        <v>43959</v>
      </c>
      <c r="K4224" s="2">
        <v>82</v>
      </c>
      <c r="L4224" s="2" t="s">
        <v>159</v>
      </c>
    </row>
    <row r="4225" spans="1:12" x14ac:dyDescent="0.3">
      <c r="A4225" s="2">
        <v>4214</v>
      </c>
      <c r="B4225" s="2" t="s">
        <v>245</v>
      </c>
      <c r="C4225" s="2" t="s">
        <v>4205</v>
      </c>
      <c r="D4225" s="2" t="s">
        <v>28</v>
      </c>
      <c r="E4225" s="2" t="s">
        <v>29</v>
      </c>
      <c r="F4225" s="2">
        <v>90</v>
      </c>
      <c r="G4225" s="2" t="s">
        <v>9363</v>
      </c>
      <c r="H4225" s="2" t="s">
        <v>1265</v>
      </c>
      <c r="I4225" s="2" t="s">
        <v>32</v>
      </c>
      <c r="J4225" s="3">
        <v>44448</v>
      </c>
      <c r="K4225" s="2">
        <v>62</v>
      </c>
      <c r="L4225" s="2" t="s">
        <v>70</v>
      </c>
    </row>
    <row r="4226" spans="1:12" x14ac:dyDescent="0.3">
      <c r="A4226" s="2">
        <v>4215</v>
      </c>
      <c r="B4226" s="2" t="s">
        <v>183</v>
      </c>
      <c r="C4226" s="2" t="s">
        <v>352</v>
      </c>
      <c r="D4226" s="2" t="s">
        <v>28</v>
      </c>
      <c r="E4226" s="2" t="s">
        <v>29</v>
      </c>
      <c r="F4226" s="2">
        <v>90</v>
      </c>
      <c r="G4226" s="2" t="s">
        <v>9364</v>
      </c>
      <c r="H4226" s="2" t="s">
        <v>1261</v>
      </c>
      <c r="I4226" s="2" t="s">
        <v>32</v>
      </c>
      <c r="J4226" s="3">
        <v>44089</v>
      </c>
      <c r="K4226" s="2">
        <v>6</v>
      </c>
      <c r="L4226" s="2" t="s">
        <v>64</v>
      </c>
    </row>
    <row r="4227" spans="1:12" x14ac:dyDescent="0.3">
      <c r="A4227" s="2">
        <v>4216</v>
      </c>
      <c r="B4227" s="2" t="s">
        <v>692</v>
      </c>
      <c r="C4227" s="2" t="s">
        <v>3845</v>
      </c>
      <c r="D4227" s="2" t="s">
        <v>28</v>
      </c>
      <c r="E4227" s="2" t="s">
        <v>29</v>
      </c>
      <c r="F4227" s="2">
        <v>90</v>
      </c>
      <c r="G4227" s="2" t="s">
        <v>9365</v>
      </c>
      <c r="H4227" s="2" t="s">
        <v>3619</v>
      </c>
      <c r="I4227" s="2" t="s">
        <v>575</v>
      </c>
      <c r="J4227" s="3">
        <v>44112</v>
      </c>
      <c r="K4227" s="2">
        <v>72</v>
      </c>
      <c r="L4227" s="2" t="s">
        <v>54</v>
      </c>
    </row>
    <row r="4228" spans="1:12" x14ac:dyDescent="0.3">
      <c r="A4228" s="2">
        <v>4217</v>
      </c>
      <c r="B4228" s="2" t="s">
        <v>9366</v>
      </c>
      <c r="C4228" s="2" t="s">
        <v>6062</v>
      </c>
      <c r="D4228" s="2" t="s">
        <v>15</v>
      </c>
      <c r="E4228" s="2" t="s">
        <v>16</v>
      </c>
      <c r="F4228" s="2">
        <v>90</v>
      </c>
      <c r="G4228" s="2" t="s">
        <v>9367</v>
      </c>
      <c r="H4228" s="2" t="s">
        <v>7752</v>
      </c>
      <c r="I4228" s="2" t="s">
        <v>32</v>
      </c>
      <c r="J4228" s="3">
        <v>43936</v>
      </c>
      <c r="K4228" s="2">
        <v>75</v>
      </c>
      <c r="L4228" s="2" t="s">
        <v>159</v>
      </c>
    </row>
    <row r="4229" spans="1:12" x14ac:dyDescent="0.3">
      <c r="A4229" s="2">
        <v>4218</v>
      </c>
      <c r="B4229" s="2" t="s">
        <v>6003</v>
      </c>
      <c r="C4229" s="2" t="s">
        <v>335</v>
      </c>
      <c r="D4229" s="2" t="s">
        <v>41</v>
      </c>
      <c r="E4229" s="2" t="s">
        <v>16</v>
      </c>
      <c r="F4229" s="2">
        <v>90</v>
      </c>
      <c r="G4229" s="2" t="s">
        <v>9368</v>
      </c>
      <c r="H4229" s="2" t="s">
        <v>6319</v>
      </c>
      <c r="I4229" s="2" t="s">
        <v>32</v>
      </c>
      <c r="J4229" s="3">
        <v>44127</v>
      </c>
      <c r="K4229" s="2">
        <v>9</v>
      </c>
      <c r="L4229" s="2" t="s">
        <v>45</v>
      </c>
    </row>
    <row r="4230" spans="1:12" x14ac:dyDescent="0.3">
      <c r="A4230" s="2">
        <v>4219</v>
      </c>
      <c r="B4230" s="2" t="s">
        <v>2231</v>
      </c>
      <c r="C4230" s="2" t="s">
        <v>5383</v>
      </c>
      <c r="D4230" s="2" t="s">
        <v>28</v>
      </c>
      <c r="E4230" s="2" t="s">
        <v>29</v>
      </c>
      <c r="F4230" s="2">
        <v>60</v>
      </c>
      <c r="G4230" s="2" t="s">
        <v>9369</v>
      </c>
      <c r="H4230" s="2" t="s">
        <v>1590</v>
      </c>
      <c r="I4230" s="2" t="s">
        <v>32</v>
      </c>
      <c r="J4230" s="3">
        <v>44655</v>
      </c>
      <c r="K4230" s="2">
        <v>99</v>
      </c>
      <c r="L4230" s="2" t="s">
        <v>39</v>
      </c>
    </row>
    <row r="4231" spans="1:12" x14ac:dyDescent="0.3">
      <c r="A4231" s="2">
        <v>4220</v>
      </c>
      <c r="B4231" s="2" t="s">
        <v>9370</v>
      </c>
      <c r="C4231" s="2" t="s">
        <v>4528</v>
      </c>
      <c r="D4231" s="2" t="s">
        <v>15</v>
      </c>
      <c r="E4231" s="2" t="s">
        <v>16</v>
      </c>
      <c r="F4231" s="2">
        <v>60</v>
      </c>
      <c r="G4231" s="2" t="s">
        <v>9371</v>
      </c>
      <c r="H4231" s="2" t="s">
        <v>3500</v>
      </c>
      <c r="I4231" s="2" t="s">
        <v>25</v>
      </c>
      <c r="J4231" s="3">
        <v>44103</v>
      </c>
      <c r="K4231" s="2">
        <v>3</v>
      </c>
      <c r="L4231" s="2" t="s">
        <v>45</v>
      </c>
    </row>
    <row r="4232" spans="1:12" x14ac:dyDescent="0.3">
      <c r="A4232" s="2">
        <v>4221</v>
      </c>
      <c r="B4232" s="2" t="s">
        <v>5001</v>
      </c>
      <c r="C4232" s="2" t="s">
        <v>8514</v>
      </c>
      <c r="D4232" s="2" t="s">
        <v>51</v>
      </c>
      <c r="E4232" s="2" t="s">
        <v>16</v>
      </c>
      <c r="F4232" s="2">
        <v>90</v>
      </c>
      <c r="G4232" s="2" t="s">
        <v>9373</v>
      </c>
      <c r="H4232" s="2" t="s">
        <v>1384</v>
      </c>
      <c r="I4232" s="2" t="s">
        <v>32</v>
      </c>
      <c r="J4232" s="3">
        <v>44206</v>
      </c>
      <c r="K4232" s="2">
        <v>17</v>
      </c>
      <c r="L4232" s="2" t="s">
        <v>101</v>
      </c>
    </row>
    <row r="4233" spans="1:12" x14ac:dyDescent="0.3">
      <c r="A4233" s="2">
        <v>4222</v>
      </c>
      <c r="B4233" s="2" t="s">
        <v>9374</v>
      </c>
      <c r="C4233" s="2" t="s">
        <v>8563</v>
      </c>
      <c r="D4233" s="2" t="s">
        <v>15</v>
      </c>
      <c r="E4233" s="2" t="s">
        <v>16</v>
      </c>
      <c r="F4233" s="2">
        <v>30</v>
      </c>
      <c r="G4233" s="2" t="s">
        <v>9375</v>
      </c>
      <c r="H4233" s="2" t="s">
        <v>4567</v>
      </c>
      <c r="I4233" s="2" t="s">
        <v>38</v>
      </c>
      <c r="J4233" s="3">
        <v>43870</v>
      </c>
      <c r="K4233" s="2">
        <v>53</v>
      </c>
      <c r="L4233" s="2" t="s">
        <v>101</v>
      </c>
    </row>
    <row r="4234" spans="1:12" x14ac:dyDescent="0.3">
      <c r="A4234" s="2">
        <v>4223</v>
      </c>
      <c r="B4234" s="2" t="s">
        <v>9376</v>
      </c>
      <c r="C4234" s="2" t="s">
        <v>9377</v>
      </c>
      <c r="D4234" s="2" t="s">
        <v>51</v>
      </c>
      <c r="E4234" s="2" t="s">
        <v>16</v>
      </c>
      <c r="F4234" s="2">
        <v>60</v>
      </c>
      <c r="G4234" s="2" t="s">
        <v>9378</v>
      </c>
      <c r="H4234" s="2" t="s">
        <v>4541</v>
      </c>
      <c r="I4234" s="2" t="s">
        <v>89</v>
      </c>
      <c r="J4234" s="3">
        <v>44383</v>
      </c>
      <c r="K4234" s="2">
        <v>32</v>
      </c>
      <c r="L4234" s="2" t="s">
        <v>45</v>
      </c>
    </row>
    <row r="4235" spans="1:12" x14ac:dyDescent="0.3">
      <c r="A4235" s="2">
        <v>4224</v>
      </c>
      <c r="B4235" s="2" t="s">
        <v>9379</v>
      </c>
      <c r="C4235" s="2" t="s">
        <v>5258</v>
      </c>
      <c r="D4235" s="2" t="s">
        <v>92</v>
      </c>
      <c r="E4235" s="2" t="s">
        <v>16</v>
      </c>
      <c r="F4235" s="2">
        <v>90</v>
      </c>
      <c r="G4235" s="2" t="s">
        <v>9380</v>
      </c>
      <c r="H4235" s="2" t="s">
        <v>1896</v>
      </c>
      <c r="I4235" s="2" t="s">
        <v>294</v>
      </c>
      <c r="J4235" s="3">
        <v>44180</v>
      </c>
      <c r="K4235" s="2">
        <v>41</v>
      </c>
      <c r="L4235" s="2" t="s">
        <v>101</v>
      </c>
    </row>
    <row r="4236" spans="1:12" x14ac:dyDescent="0.3">
      <c r="A4236" s="2">
        <v>4225</v>
      </c>
      <c r="B4236" s="2" t="s">
        <v>2556</v>
      </c>
      <c r="C4236" s="2" t="s">
        <v>1727</v>
      </c>
      <c r="D4236" s="2" t="s">
        <v>28</v>
      </c>
      <c r="E4236" s="2" t="s">
        <v>29</v>
      </c>
      <c r="F4236" s="2">
        <v>90</v>
      </c>
      <c r="G4236" s="2" t="s">
        <v>9381</v>
      </c>
      <c r="H4236" s="2" t="s">
        <v>1751</v>
      </c>
      <c r="I4236" s="2" t="s">
        <v>32</v>
      </c>
      <c r="J4236" s="3">
        <v>44655</v>
      </c>
      <c r="K4236" s="2">
        <v>37</v>
      </c>
      <c r="L4236" s="2" t="s">
        <v>33</v>
      </c>
    </row>
    <row r="4237" spans="1:12" x14ac:dyDescent="0.3">
      <c r="A4237" s="2">
        <v>4226</v>
      </c>
      <c r="B4237" s="2" t="s">
        <v>9382</v>
      </c>
      <c r="C4237" s="2" t="s">
        <v>2422</v>
      </c>
      <c r="D4237" s="2" t="s">
        <v>51</v>
      </c>
      <c r="E4237" s="2" t="s">
        <v>16</v>
      </c>
      <c r="F4237" s="2">
        <v>90</v>
      </c>
      <c r="G4237" s="2" t="s">
        <v>10575</v>
      </c>
      <c r="H4237" s="2" t="s">
        <v>3466</v>
      </c>
      <c r="I4237" s="2" t="s">
        <v>32</v>
      </c>
      <c r="J4237" s="3">
        <v>44297</v>
      </c>
      <c r="K4237" s="2">
        <v>13</v>
      </c>
      <c r="L4237" s="2" t="s">
        <v>45</v>
      </c>
    </row>
    <row r="4238" spans="1:12" x14ac:dyDescent="0.3">
      <c r="A4238" s="2">
        <v>4227</v>
      </c>
      <c r="B4238" s="2" t="s">
        <v>8598</v>
      </c>
      <c r="C4238" s="2" t="s">
        <v>3829</v>
      </c>
      <c r="D4238" s="2" t="s">
        <v>92</v>
      </c>
      <c r="E4238" s="2" t="s">
        <v>29</v>
      </c>
      <c r="F4238" s="2">
        <v>60</v>
      </c>
      <c r="G4238" s="2" t="s">
        <v>9384</v>
      </c>
      <c r="H4238" s="2" t="s">
        <v>3409</v>
      </c>
      <c r="I4238" s="2" t="s">
        <v>95</v>
      </c>
      <c r="J4238" s="3">
        <v>43889</v>
      </c>
      <c r="K4238" s="2">
        <v>42</v>
      </c>
      <c r="L4238" s="2" t="s">
        <v>159</v>
      </c>
    </row>
    <row r="4239" spans="1:12" x14ac:dyDescent="0.3">
      <c r="A4239" s="2">
        <v>4228</v>
      </c>
      <c r="B4239" s="2" t="s">
        <v>4430</v>
      </c>
      <c r="C4239" s="2" t="s">
        <v>1596</v>
      </c>
      <c r="D4239" s="2" t="s">
        <v>28</v>
      </c>
      <c r="E4239" s="2" t="s">
        <v>29</v>
      </c>
      <c r="F4239" s="2">
        <v>90</v>
      </c>
      <c r="G4239" s="2" t="s">
        <v>9385</v>
      </c>
      <c r="H4239" s="2" t="s">
        <v>772</v>
      </c>
      <c r="I4239" s="2" t="s">
        <v>32</v>
      </c>
      <c r="J4239" s="3">
        <v>44234</v>
      </c>
      <c r="K4239" s="2">
        <v>73</v>
      </c>
      <c r="L4239" s="2" t="s">
        <v>45</v>
      </c>
    </row>
    <row r="4240" spans="1:12" x14ac:dyDescent="0.3">
      <c r="A4240" s="2">
        <v>4229</v>
      </c>
      <c r="B4240" s="2" t="s">
        <v>4647</v>
      </c>
      <c r="C4240" s="2" t="s">
        <v>5659</v>
      </c>
      <c r="D4240" s="2" t="s">
        <v>28</v>
      </c>
      <c r="E4240" s="2" t="s">
        <v>29</v>
      </c>
      <c r="F4240" s="2">
        <v>30</v>
      </c>
      <c r="G4240" s="2" t="s">
        <v>9386</v>
      </c>
      <c r="H4240" s="2" t="s">
        <v>570</v>
      </c>
      <c r="I4240" s="2" t="s">
        <v>187</v>
      </c>
      <c r="J4240" s="3">
        <v>44389</v>
      </c>
      <c r="K4240" s="2">
        <v>19</v>
      </c>
      <c r="L4240" s="2" t="s">
        <v>45</v>
      </c>
    </row>
    <row r="4241" spans="1:12" x14ac:dyDescent="0.3">
      <c r="A4241" s="2">
        <v>4230</v>
      </c>
      <c r="B4241" s="2" t="s">
        <v>2919</v>
      </c>
      <c r="C4241" s="2" t="s">
        <v>7177</v>
      </c>
      <c r="D4241" s="2" t="s">
        <v>28</v>
      </c>
      <c r="E4241" s="2" t="s">
        <v>29</v>
      </c>
      <c r="F4241" s="2">
        <v>90</v>
      </c>
      <c r="G4241" s="2" t="s">
        <v>9387</v>
      </c>
      <c r="H4241" s="2" t="s">
        <v>172</v>
      </c>
      <c r="I4241" s="2" t="s">
        <v>173</v>
      </c>
      <c r="J4241" s="3">
        <v>44542</v>
      </c>
      <c r="K4241" s="2">
        <v>7</v>
      </c>
      <c r="L4241" s="2" t="s">
        <v>20</v>
      </c>
    </row>
    <row r="4242" spans="1:12" x14ac:dyDescent="0.3">
      <c r="A4242" s="2">
        <v>4231</v>
      </c>
      <c r="B4242" s="2" t="s">
        <v>5350</v>
      </c>
      <c r="C4242" s="2" t="s">
        <v>7144</v>
      </c>
      <c r="D4242" s="2" t="s">
        <v>15</v>
      </c>
      <c r="E4242" s="2" t="s">
        <v>16</v>
      </c>
      <c r="F4242" s="2">
        <v>30</v>
      </c>
      <c r="G4242" s="2" t="s">
        <v>9388</v>
      </c>
      <c r="H4242" s="2" t="s">
        <v>9389</v>
      </c>
      <c r="I4242" s="2" t="s">
        <v>32</v>
      </c>
      <c r="J4242" s="3">
        <v>44427</v>
      </c>
      <c r="K4242" s="2">
        <v>6</v>
      </c>
      <c r="L4242" s="2" t="s">
        <v>20</v>
      </c>
    </row>
    <row r="4243" spans="1:12" x14ac:dyDescent="0.3">
      <c r="A4243" s="2">
        <v>4232</v>
      </c>
      <c r="B4243" s="2" t="s">
        <v>9390</v>
      </c>
      <c r="C4243" s="2" t="s">
        <v>1821</v>
      </c>
      <c r="D4243" s="2" t="s">
        <v>51</v>
      </c>
      <c r="E4243" s="2" t="s">
        <v>16</v>
      </c>
      <c r="F4243" s="2">
        <v>90</v>
      </c>
      <c r="G4243" s="2" t="s">
        <v>10576</v>
      </c>
      <c r="H4243" s="2" t="s">
        <v>3754</v>
      </c>
      <c r="I4243" s="2" t="s">
        <v>124</v>
      </c>
      <c r="J4243" s="3">
        <v>44489</v>
      </c>
      <c r="K4243" s="2">
        <v>71</v>
      </c>
      <c r="L4243" s="2" t="s">
        <v>45</v>
      </c>
    </row>
    <row r="4244" spans="1:12" x14ac:dyDescent="0.3">
      <c r="A4244" s="2">
        <v>4233</v>
      </c>
      <c r="B4244" s="2" t="s">
        <v>1312</v>
      </c>
      <c r="C4244" s="2" t="s">
        <v>8128</v>
      </c>
      <c r="D4244" s="2" t="s">
        <v>28</v>
      </c>
      <c r="E4244" s="2" t="s">
        <v>29</v>
      </c>
      <c r="F4244" s="2">
        <v>90</v>
      </c>
      <c r="G4244" s="2" t="s">
        <v>10577</v>
      </c>
      <c r="H4244" s="2" t="s">
        <v>5611</v>
      </c>
      <c r="I4244" s="2" t="s">
        <v>32</v>
      </c>
      <c r="J4244" s="3">
        <v>44521</v>
      </c>
      <c r="K4244" s="2">
        <v>88</v>
      </c>
      <c r="L4244" s="2" t="s">
        <v>101</v>
      </c>
    </row>
    <row r="4245" spans="1:12" x14ac:dyDescent="0.3">
      <c r="A4245" s="2">
        <v>4234</v>
      </c>
      <c r="B4245" s="2" t="s">
        <v>1065</v>
      </c>
      <c r="C4245" s="2" t="s">
        <v>2113</v>
      </c>
      <c r="D4245" s="2" t="s">
        <v>28</v>
      </c>
      <c r="E4245" s="2" t="s">
        <v>29</v>
      </c>
      <c r="F4245" s="2">
        <v>30</v>
      </c>
      <c r="G4245" s="2" t="s">
        <v>9393</v>
      </c>
      <c r="H4245" s="2" t="s">
        <v>5189</v>
      </c>
      <c r="I4245" s="2" t="s">
        <v>32</v>
      </c>
      <c r="J4245" s="3">
        <v>44174</v>
      </c>
      <c r="K4245" s="2">
        <v>72</v>
      </c>
      <c r="L4245" s="2" t="s">
        <v>70</v>
      </c>
    </row>
    <row r="4246" spans="1:12" x14ac:dyDescent="0.3">
      <c r="A4246" s="2">
        <v>4235</v>
      </c>
      <c r="B4246" s="2" t="s">
        <v>9394</v>
      </c>
      <c r="C4246" s="2" t="s">
        <v>928</v>
      </c>
      <c r="D4246" s="2" t="s">
        <v>28</v>
      </c>
      <c r="E4246" s="2" t="s">
        <v>29</v>
      </c>
      <c r="F4246" s="2">
        <v>90</v>
      </c>
      <c r="G4246" s="2" t="s">
        <v>9395</v>
      </c>
      <c r="H4246" s="2" t="s">
        <v>5647</v>
      </c>
      <c r="I4246" s="2" t="s">
        <v>38</v>
      </c>
      <c r="J4246" s="3">
        <v>44436</v>
      </c>
      <c r="K4246" s="2">
        <v>74</v>
      </c>
      <c r="L4246" s="2" t="s">
        <v>39</v>
      </c>
    </row>
    <row r="4247" spans="1:12" x14ac:dyDescent="0.3">
      <c r="A4247" s="2">
        <v>4236</v>
      </c>
      <c r="B4247" s="2" t="s">
        <v>1602</v>
      </c>
      <c r="C4247" s="2" t="s">
        <v>9396</v>
      </c>
      <c r="D4247" s="2" t="s">
        <v>28</v>
      </c>
      <c r="E4247" s="2" t="s">
        <v>29</v>
      </c>
      <c r="F4247" s="2">
        <v>30</v>
      </c>
      <c r="G4247" s="2" t="s">
        <v>9395</v>
      </c>
      <c r="H4247" s="2" t="s">
        <v>7752</v>
      </c>
      <c r="I4247" s="2" t="s">
        <v>32</v>
      </c>
      <c r="J4247" s="3">
        <v>44157</v>
      </c>
      <c r="K4247" s="2">
        <v>78</v>
      </c>
      <c r="L4247" s="2" t="s">
        <v>45</v>
      </c>
    </row>
    <row r="4248" spans="1:12" x14ac:dyDescent="0.3">
      <c r="A4248" s="2">
        <v>4237</v>
      </c>
      <c r="B4248" s="2" t="s">
        <v>5662</v>
      </c>
      <c r="C4248" s="2" t="s">
        <v>1230</v>
      </c>
      <c r="D4248" s="2" t="s">
        <v>28</v>
      </c>
      <c r="E4248" s="2" t="s">
        <v>29</v>
      </c>
      <c r="F4248" s="2">
        <v>30</v>
      </c>
      <c r="G4248" s="2" t="s">
        <v>9397</v>
      </c>
      <c r="H4248" s="2" t="s">
        <v>754</v>
      </c>
      <c r="I4248" s="2" t="s">
        <v>25</v>
      </c>
      <c r="J4248" s="3">
        <v>44175</v>
      </c>
      <c r="K4248" s="2">
        <v>73</v>
      </c>
      <c r="L4248" s="2" t="s">
        <v>70</v>
      </c>
    </row>
    <row r="4249" spans="1:12" x14ac:dyDescent="0.3">
      <c r="A4249" s="2">
        <v>4238</v>
      </c>
      <c r="B4249" s="2" t="s">
        <v>9398</v>
      </c>
      <c r="C4249" s="2" t="s">
        <v>7398</v>
      </c>
      <c r="D4249" s="2" t="s">
        <v>28</v>
      </c>
      <c r="E4249" s="2" t="s">
        <v>29</v>
      </c>
      <c r="F4249" s="2">
        <v>90</v>
      </c>
      <c r="G4249" s="2" t="s">
        <v>9399</v>
      </c>
      <c r="H4249" s="2" t="s">
        <v>2950</v>
      </c>
      <c r="I4249" s="2" t="s">
        <v>38</v>
      </c>
      <c r="J4249" s="3">
        <v>44823</v>
      </c>
      <c r="K4249" s="2">
        <v>21</v>
      </c>
      <c r="L4249" s="2" t="s">
        <v>64</v>
      </c>
    </row>
    <row r="4250" spans="1:12" x14ac:dyDescent="0.3">
      <c r="A4250" s="2">
        <v>4239</v>
      </c>
      <c r="B4250" s="2" t="s">
        <v>4740</v>
      </c>
      <c r="C4250" s="2" t="s">
        <v>3712</v>
      </c>
      <c r="D4250" s="2" t="s">
        <v>15</v>
      </c>
      <c r="E4250" s="2" t="s">
        <v>16</v>
      </c>
      <c r="F4250" s="2">
        <v>30</v>
      </c>
      <c r="G4250" s="2" t="s">
        <v>9400</v>
      </c>
      <c r="H4250" s="2" t="s">
        <v>217</v>
      </c>
      <c r="I4250" s="2" t="s">
        <v>124</v>
      </c>
      <c r="J4250" s="3">
        <v>44436</v>
      </c>
      <c r="K4250" s="2">
        <v>34</v>
      </c>
      <c r="L4250" s="2" t="s">
        <v>45</v>
      </c>
    </row>
    <row r="4251" spans="1:12" x14ac:dyDescent="0.3">
      <c r="A4251" s="2">
        <v>4240</v>
      </c>
      <c r="B4251" s="2" t="s">
        <v>2263</v>
      </c>
      <c r="C4251" s="2" t="s">
        <v>1386</v>
      </c>
      <c r="D4251" s="2" t="s">
        <v>621</v>
      </c>
      <c r="E4251" s="2" t="s">
        <v>29</v>
      </c>
      <c r="F4251" s="2">
        <v>90</v>
      </c>
      <c r="G4251" s="2" t="s">
        <v>9401</v>
      </c>
      <c r="H4251" s="2" t="s">
        <v>408</v>
      </c>
      <c r="I4251" s="2" t="s">
        <v>25</v>
      </c>
      <c r="J4251" s="3">
        <v>43982</v>
      </c>
      <c r="K4251" s="2">
        <v>30</v>
      </c>
      <c r="L4251" s="2" t="s">
        <v>39</v>
      </c>
    </row>
    <row r="4252" spans="1:12" x14ac:dyDescent="0.3">
      <c r="A4252" s="2">
        <v>4241</v>
      </c>
      <c r="B4252" s="2" t="s">
        <v>3623</v>
      </c>
      <c r="C4252" s="2" t="s">
        <v>4531</v>
      </c>
      <c r="D4252" s="2" t="s">
        <v>28</v>
      </c>
      <c r="E4252" s="2" t="s">
        <v>29</v>
      </c>
      <c r="F4252" s="2">
        <v>30</v>
      </c>
      <c r="G4252" s="2" t="s">
        <v>9402</v>
      </c>
      <c r="H4252" s="2" t="s">
        <v>978</v>
      </c>
      <c r="I4252" s="2" t="s">
        <v>294</v>
      </c>
      <c r="J4252" s="3">
        <v>44729</v>
      </c>
      <c r="K4252" s="2">
        <v>95</v>
      </c>
      <c r="L4252" s="2" t="s">
        <v>159</v>
      </c>
    </row>
    <row r="4253" spans="1:12" x14ac:dyDescent="0.3">
      <c r="A4253" s="2">
        <v>4242</v>
      </c>
      <c r="B4253" s="2" t="s">
        <v>9403</v>
      </c>
      <c r="C4253" s="2" t="s">
        <v>5215</v>
      </c>
      <c r="D4253" s="2" t="s">
        <v>15</v>
      </c>
      <c r="E4253" s="2" t="s">
        <v>16</v>
      </c>
      <c r="F4253" s="2">
        <v>60</v>
      </c>
      <c r="G4253" s="2" t="s">
        <v>9404</v>
      </c>
      <c r="H4253" s="2" t="s">
        <v>4133</v>
      </c>
      <c r="I4253" s="2" t="s">
        <v>32</v>
      </c>
      <c r="J4253" s="3">
        <v>43856</v>
      </c>
      <c r="K4253" s="2">
        <v>47</v>
      </c>
      <c r="L4253" s="2" t="s">
        <v>45</v>
      </c>
    </row>
    <row r="4254" spans="1:12" x14ac:dyDescent="0.3">
      <c r="A4254" s="2">
        <v>4243</v>
      </c>
      <c r="B4254" s="2" t="s">
        <v>5479</v>
      </c>
      <c r="C4254" s="2" t="s">
        <v>1706</v>
      </c>
      <c r="D4254" s="2" t="s">
        <v>28</v>
      </c>
      <c r="E4254" s="2" t="s">
        <v>29</v>
      </c>
      <c r="F4254" s="2">
        <v>30</v>
      </c>
      <c r="G4254" s="2" t="s">
        <v>9405</v>
      </c>
      <c r="H4254" s="2" t="s">
        <v>4587</v>
      </c>
      <c r="I4254" s="2" t="s">
        <v>32</v>
      </c>
      <c r="J4254" s="3">
        <v>44642</v>
      </c>
      <c r="K4254" s="2">
        <v>100</v>
      </c>
      <c r="L4254" s="2" t="s">
        <v>64</v>
      </c>
    </row>
    <row r="4255" spans="1:12" x14ac:dyDescent="0.3">
      <c r="A4255" s="2">
        <v>4244</v>
      </c>
      <c r="B4255" s="2" t="s">
        <v>3429</v>
      </c>
      <c r="C4255" s="2" t="s">
        <v>344</v>
      </c>
      <c r="D4255" s="2" t="s">
        <v>28</v>
      </c>
      <c r="E4255" s="2" t="s">
        <v>29</v>
      </c>
      <c r="F4255" s="2">
        <v>30</v>
      </c>
      <c r="G4255" s="2" t="s">
        <v>9406</v>
      </c>
      <c r="H4255" s="2" t="s">
        <v>641</v>
      </c>
      <c r="I4255" s="2" t="s">
        <v>294</v>
      </c>
      <c r="J4255" s="3">
        <v>43897</v>
      </c>
      <c r="K4255" s="2">
        <v>55</v>
      </c>
      <c r="L4255" s="2" t="s">
        <v>39</v>
      </c>
    </row>
    <row r="4256" spans="1:12" x14ac:dyDescent="0.3">
      <c r="A4256" s="2">
        <v>4245</v>
      </c>
      <c r="B4256" s="2" t="s">
        <v>9407</v>
      </c>
      <c r="C4256" s="2" t="s">
        <v>6547</v>
      </c>
      <c r="D4256" s="2" t="s">
        <v>51</v>
      </c>
      <c r="E4256" s="2" t="s">
        <v>16</v>
      </c>
      <c r="F4256" s="2">
        <v>30</v>
      </c>
      <c r="G4256" s="2" t="s">
        <v>9408</v>
      </c>
      <c r="H4256" s="2" t="s">
        <v>1052</v>
      </c>
      <c r="I4256" s="2" t="s">
        <v>32</v>
      </c>
      <c r="J4256" s="3">
        <v>44718</v>
      </c>
      <c r="K4256" s="2">
        <v>3</v>
      </c>
      <c r="L4256" s="2" t="s">
        <v>101</v>
      </c>
    </row>
    <row r="4257" spans="1:12" x14ac:dyDescent="0.3">
      <c r="A4257" s="2">
        <v>4246</v>
      </c>
      <c r="B4257" s="2" t="s">
        <v>9409</v>
      </c>
      <c r="C4257" s="2" t="s">
        <v>2167</v>
      </c>
      <c r="D4257" s="2" t="s">
        <v>51</v>
      </c>
      <c r="E4257" s="2" t="s">
        <v>16</v>
      </c>
      <c r="F4257" s="2">
        <v>90</v>
      </c>
      <c r="G4257" s="2" t="s">
        <v>10578</v>
      </c>
      <c r="H4257" s="2" t="s">
        <v>1741</v>
      </c>
      <c r="I4257" s="2" t="s">
        <v>173</v>
      </c>
      <c r="J4257" s="3">
        <v>44008</v>
      </c>
      <c r="K4257" s="2">
        <v>80</v>
      </c>
      <c r="L4257" s="2" t="s">
        <v>33</v>
      </c>
    </row>
    <row r="4258" spans="1:12" x14ac:dyDescent="0.3">
      <c r="A4258" s="2">
        <v>4247</v>
      </c>
      <c r="B4258" s="2" t="s">
        <v>5161</v>
      </c>
      <c r="C4258" s="2" t="s">
        <v>6420</v>
      </c>
      <c r="D4258" s="2" t="s">
        <v>117</v>
      </c>
      <c r="E4258" s="2" t="s">
        <v>29</v>
      </c>
      <c r="F4258" s="2">
        <v>60</v>
      </c>
      <c r="G4258" s="2" t="s">
        <v>9411</v>
      </c>
      <c r="H4258" s="2" t="s">
        <v>3399</v>
      </c>
      <c r="I4258" s="2" t="s">
        <v>124</v>
      </c>
      <c r="J4258" s="3">
        <v>44786</v>
      </c>
      <c r="K4258" s="2">
        <v>33</v>
      </c>
      <c r="L4258" s="2" t="s">
        <v>80</v>
      </c>
    </row>
    <row r="4259" spans="1:12" x14ac:dyDescent="0.3">
      <c r="A4259" s="2">
        <v>4248</v>
      </c>
      <c r="B4259" s="2" t="s">
        <v>5062</v>
      </c>
      <c r="C4259" s="2" t="s">
        <v>332</v>
      </c>
      <c r="D4259" s="2" t="s">
        <v>28</v>
      </c>
      <c r="E4259" s="2" t="s">
        <v>29</v>
      </c>
      <c r="F4259" s="2">
        <v>90</v>
      </c>
      <c r="G4259" s="2" t="s">
        <v>9412</v>
      </c>
      <c r="H4259" s="2" t="s">
        <v>3122</v>
      </c>
      <c r="I4259" s="2" t="s">
        <v>1035</v>
      </c>
      <c r="J4259" s="3">
        <v>44367</v>
      </c>
      <c r="K4259" s="2">
        <v>34</v>
      </c>
      <c r="L4259" s="2" t="s">
        <v>54</v>
      </c>
    </row>
    <row r="4260" spans="1:12" x14ac:dyDescent="0.3">
      <c r="A4260" s="2">
        <v>4249</v>
      </c>
      <c r="B4260" s="2" t="s">
        <v>9413</v>
      </c>
      <c r="C4260" s="2" t="s">
        <v>5295</v>
      </c>
      <c r="D4260" s="2" t="s">
        <v>51</v>
      </c>
      <c r="E4260" s="2" t="s">
        <v>16</v>
      </c>
      <c r="F4260" s="2">
        <v>30</v>
      </c>
      <c r="G4260" s="2" t="s">
        <v>9414</v>
      </c>
      <c r="H4260" s="2" t="s">
        <v>9415</v>
      </c>
      <c r="I4260" s="2" t="s">
        <v>32</v>
      </c>
      <c r="J4260" s="3">
        <v>44529</v>
      </c>
      <c r="K4260" s="2">
        <v>77</v>
      </c>
      <c r="L4260" s="2" t="s">
        <v>64</v>
      </c>
    </row>
    <row r="4261" spans="1:12" x14ac:dyDescent="0.3">
      <c r="A4261" s="2">
        <v>4250</v>
      </c>
      <c r="B4261" s="2" t="s">
        <v>6912</v>
      </c>
      <c r="C4261" s="2" t="s">
        <v>268</v>
      </c>
      <c r="D4261" s="2" t="s">
        <v>15</v>
      </c>
      <c r="E4261" s="2" t="s">
        <v>16</v>
      </c>
      <c r="F4261" s="2">
        <v>60</v>
      </c>
      <c r="G4261" s="2" t="s">
        <v>9414</v>
      </c>
      <c r="H4261" s="2" t="s">
        <v>5686</v>
      </c>
      <c r="I4261" s="2" t="s">
        <v>32</v>
      </c>
      <c r="J4261" s="3">
        <v>44821</v>
      </c>
      <c r="K4261" s="2">
        <v>32</v>
      </c>
      <c r="L4261" s="2" t="s">
        <v>54</v>
      </c>
    </row>
    <row r="4262" spans="1:12" x14ac:dyDescent="0.3">
      <c r="A4262" s="2">
        <v>4251</v>
      </c>
      <c r="B4262" s="2" t="s">
        <v>6711</v>
      </c>
      <c r="C4262" s="2" t="s">
        <v>139</v>
      </c>
      <c r="D4262" s="2" t="s">
        <v>51</v>
      </c>
      <c r="E4262" s="2" t="s">
        <v>16</v>
      </c>
      <c r="F4262" s="2">
        <v>60</v>
      </c>
      <c r="G4262" s="2" t="s">
        <v>9416</v>
      </c>
      <c r="H4262" s="2" t="s">
        <v>3746</v>
      </c>
      <c r="I4262" s="2" t="s">
        <v>32</v>
      </c>
      <c r="J4262" s="3">
        <v>44062</v>
      </c>
      <c r="K4262" s="2">
        <v>52</v>
      </c>
      <c r="L4262" s="2" t="s">
        <v>54</v>
      </c>
    </row>
    <row r="4263" spans="1:12" x14ac:dyDescent="0.3">
      <c r="A4263" s="2">
        <v>4252</v>
      </c>
      <c r="B4263" s="2" t="s">
        <v>6665</v>
      </c>
      <c r="C4263" s="2" t="s">
        <v>2448</v>
      </c>
      <c r="D4263" s="2" t="s">
        <v>51</v>
      </c>
      <c r="E4263" s="2" t="s">
        <v>16</v>
      </c>
      <c r="F4263" s="2">
        <v>30</v>
      </c>
      <c r="G4263" s="2" t="s">
        <v>9417</v>
      </c>
      <c r="H4263" s="2" t="s">
        <v>9418</v>
      </c>
      <c r="I4263" s="2" t="s">
        <v>1889</v>
      </c>
      <c r="J4263" s="3">
        <v>44296</v>
      </c>
      <c r="K4263" s="2">
        <v>86</v>
      </c>
      <c r="L4263" s="2" t="s">
        <v>45</v>
      </c>
    </row>
    <row r="4264" spans="1:12" x14ac:dyDescent="0.3">
      <c r="A4264" s="2">
        <v>4253</v>
      </c>
      <c r="B4264" s="2" t="s">
        <v>209</v>
      </c>
      <c r="C4264" s="2" t="s">
        <v>953</v>
      </c>
      <c r="D4264" s="2" t="s">
        <v>28</v>
      </c>
      <c r="E4264" s="2" t="s">
        <v>29</v>
      </c>
      <c r="F4264" s="2">
        <v>90</v>
      </c>
      <c r="G4264" s="2" t="s">
        <v>9419</v>
      </c>
      <c r="H4264" s="2" t="s">
        <v>1969</v>
      </c>
      <c r="I4264" s="2" t="s">
        <v>32</v>
      </c>
      <c r="J4264" s="3">
        <v>44806</v>
      </c>
      <c r="K4264" s="2">
        <v>34</v>
      </c>
      <c r="L4264" s="2" t="s">
        <v>70</v>
      </c>
    </row>
    <row r="4265" spans="1:12" x14ac:dyDescent="0.3">
      <c r="A4265" s="2">
        <v>4254</v>
      </c>
      <c r="B4265" s="2" t="s">
        <v>9420</v>
      </c>
      <c r="C4265" s="2" t="s">
        <v>6055</v>
      </c>
      <c r="D4265" s="2" t="s">
        <v>15</v>
      </c>
      <c r="E4265" s="2" t="s">
        <v>16</v>
      </c>
      <c r="F4265" s="2">
        <v>90</v>
      </c>
      <c r="G4265" s="2" t="s">
        <v>9421</v>
      </c>
      <c r="H4265" s="2" t="s">
        <v>7118</v>
      </c>
      <c r="I4265" s="2" t="s">
        <v>2022</v>
      </c>
      <c r="J4265" s="3">
        <v>44552</v>
      </c>
      <c r="K4265" s="2">
        <v>11</v>
      </c>
      <c r="L4265" s="2" t="s">
        <v>54</v>
      </c>
    </row>
    <row r="4266" spans="1:12" x14ac:dyDescent="0.3">
      <c r="A4266" s="2">
        <v>4255</v>
      </c>
      <c r="B4266" s="2" t="s">
        <v>9422</v>
      </c>
      <c r="C4266" s="2" t="s">
        <v>8064</v>
      </c>
      <c r="D4266" s="2" t="s">
        <v>15</v>
      </c>
      <c r="E4266" s="2" t="s">
        <v>16</v>
      </c>
      <c r="F4266" s="2">
        <v>90</v>
      </c>
      <c r="G4266" s="2" t="s">
        <v>9423</v>
      </c>
      <c r="H4266" s="2" t="s">
        <v>4662</v>
      </c>
      <c r="I4266" s="2" t="s">
        <v>32</v>
      </c>
      <c r="J4266" s="3">
        <v>44266</v>
      </c>
      <c r="K4266" s="2">
        <v>40</v>
      </c>
      <c r="L4266" s="2" t="s">
        <v>33</v>
      </c>
    </row>
    <row r="4267" spans="1:12" x14ac:dyDescent="0.3">
      <c r="A4267" s="2">
        <v>4256</v>
      </c>
      <c r="B4267" s="2" t="s">
        <v>40</v>
      </c>
      <c r="C4267" s="2" t="s">
        <v>9424</v>
      </c>
      <c r="D4267" s="2" t="s">
        <v>51</v>
      </c>
      <c r="E4267" s="2" t="s">
        <v>16</v>
      </c>
      <c r="F4267" s="2">
        <v>90</v>
      </c>
      <c r="G4267" s="2" t="s">
        <v>9425</v>
      </c>
      <c r="H4267" s="2" t="s">
        <v>7269</v>
      </c>
      <c r="I4267" s="2" t="s">
        <v>187</v>
      </c>
      <c r="J4267" s="3">
        <v>44744</v>
      </c>
      <c r="K4267" s="2">
        <v>35</v>
      </c>
      <c r="L4267" s="2" t="s">
        <v>70</v>
      </c>
    </row>
    <row r="4268" spans="1:12" x14ac:dyDescent="0.3">
      <c r="A4268" s="2">
        <v>4257</v>
      </c>
      <c r="B4268" s="2" t="s">
        <v>2430</v>
      </c>
      <c r="C4268" s="2" t="s">
        <v>9170</v>
      </c>
      <c r="D4268" s="2" t="s">
        <v>28</v>
      </c>
      <c r="E4268" s="2" t="s">
        <v>29</v>
      </c>
      <c r="F4268" s="2">
        <v>30</v>
      </c>
      <c r="G4268" s="2" t="s">
        <v>9426</v>
      </c>
      <c r="H4268" s="2" t="s">
        <v>2084</v>
      </c>
      <c r="I4268" s="2" t="s">
        <v>294</v>
      </c>
      <c r="J4268" s="3">
        <v>43988</v>
      </c>
      <c r="K4268" s="2">
        <v>59</v>
      </c>
      <c r="L4268" s="2" t="s">
        <v>159</v>
      </c>
    </row>
    <row r="4269" spans="1:12" x14ac:dyDescent="0.3">
      <c r="A4269" s="2">
        <v>4258</v>
      </c>
      <c r="B4269" s="2" t="s">
        <v>2289</v>
      </c>
      <c r="C4269" s="2" t="s">
        <v>4113</v>
      </c>
      <c r="D4269" s="2" t="s">
        <v>15</v>
      </c>
      <c r="E4269" s="2" t="s">
        <v>16</v>
      </c>
      <c r="F4269" s="2">
        <v>90</v>
      </c>
      <c r="G4269" s="2" t="s">
        <v>9427</v>
      </c>
      <c r="H4269" s="2" t="s">
        <v>203</v>
      </c>
      <c r="I4269" s="2" t="s">
        <v>32</v>
      </c>
      <c r="J4269" s="3">
        <v>44480</v>
      </c>
      <c r="K4269" s="2">
        <v>23</v>
      </c>
      <c r="L4269" s="2" t="s">
        <v>33</v>
      </c>
    </row>
    <row r="4270" spans="1:12" x14ac:dyDescent="0.3">
      <c r="A4270" s="2">
        <v>4259</v>
      </c>
      <c r="B4270" s="2" t="s">
        <v>9428</v>
      </c>
      <c r="C4270" s="2" t="s">
        <v>9429</v>
      </c>
      <c r="D4270" s="2" t="s">
        <v>15</v>
      </c>
      <c r="E4270" s="2" t="s">
        <v>16</v>
      </c>
      <c r="F4270" s="2">
        <v>60</v>
      </c>
      <c r="G4270" s="2" t="s">
        <v>9430</v>
      </c>
      <c r="H4270" s="2" t="s">
        <v>7175</v>
      </c>
      <c r="I4270" s="2" t="s">
        <v>32</v>
      </c>
      <c r="J4270" s="3">
        <v>44244</v>
      </c>
      <c r="K4270" s="2">
        <v>68</v>
      </c>
      <c r="L4270" s="2" t="s">
        <v>20</v>
      </c>
    </row>
    <row r="4271" spans="1:12" x14ac:dyDescent="0.3">
      <c r="A4271" s="2">
        <v>4260</v>
      </c>
      <c r="B4271" s="2" t="s">
        <v>480</v>
      </c>
      <c r="C4271" s="2" t="s">
        <v>9170</v>
      </c>
      <c r="D4271" s="2" t="s">
        <v>51</v>
      </c>
      <c r="E4271" s="2" t="s">
        <v>16</v>
      </c>
      <c r="F4271" s="2">
        <v>90</v>
      </c>
      <c r="G4271" s="2" t="s">
        <v>9431</v>
      </c>
      <c r="H4271" s="2" t="s">
        <v>655</v>
      </c>
      <c r="I4271" s="2" t="s">
        <v>32</v>
      </c>
      <c r="J4271" s="3">
        <v>44341</v>
      </c>
      <c r="K4271" s="2">
        <v>89</v>
      </c>
      <c r="L4271" s="2" t="s">
        <v>45</v>
      </c>
    </row>
    <row r="4272" spans="1:12" x14ac:dyDescent="0.3">
      <c r="A4272" s="2">
        <v>4261</v>
      </c>
      <c r="B4272" s="2" t="s">
        <v>9432</v>
      </c>
      <c r="C4272" s="2" t="s">
        <v>6204</v>
      </c>
      <c r="D4272" s="2" t="s">
        <v>51</v>
      </c>
      <c r="E4272" s="2" t="s">
        <v>16</v>
      </c>
      <c r="F4272" s="2">
        <v>30</v>
      </c>
      <c r="G4272" s="2" t="s">
        <v>9433</v>
      </c>
      <c r="H4272" s="2" t="s">
        <v>1945</v>
      </c>
      <c r="I4272" s="2" t="s">
        <v>32</v>
      </c>
      <c r="J4272" s="3">
        <v>44393</v>
      </c>
      <c r="K4272" s="2">
        <v>64</v>
      </c>
      <c r="L4272" s="2" t="s">
        <v>33</v>
      </c>
    </row>
    <row r="4273" spans="1:12" x14ac:dyDescent="0.3">
      <c r="A4273" s="2">
        <v>4262</v>
      </c>
      <c r="B4273" s="2" t="s">
        <v>8647</v>
      </c>
      <c r="C4273" s="2" t="s">
        <v>5306</v>
      </c>
      <c r="D4273" s="2" t="s">
        <v>51</v>
      </c>
      <c r="E4273" s="2" t="s">
        <v>16</v>
      </c>
      <c r="F4273" s="2">
        <v>30</v>
      </c>
      <c r="G4273" s="2" t="s">
        <v>9434</v>
      </c>
      <c r="H4273" s="2" t="s">
        <v>3695</v>
      </c>
      <c r="I4273" s="2" t="s">
        <v>173</v>
      </c>
      <c r="J4273" s="3">
        <v>44410</v>
      </c>
      <c r="K4273" s="2">
        <v>75</v>
      </c>
      <c r="L4273" s="2" t="s">
        <v>101</v>
      </c>
    </row>
    <row r="4274" spans="1:12" x14ac:dyDescent="0.3">
      <c r="A4274" s="2">
        <v>4263</v>
      </c>
      <c r="B4274" s="2" t="s">
        <v>9435</v>
      </c>
      <c r="C4274" s="2" t="s">
        <v>2941</v>
      </c>
      <c r="D4274" s="2" t="s">
        <v>15</v>
      </c>
      <c r="E4274" s="2" t="s">
        <v>16</v>
      </c>
      <c r="F4274" s="2">
        <v>60</v>
      </c>
      <c r="G4274" s="2" t="s">
        <v>9436</v>
      </c>
      <c r="H4274" s="2" t="s">
        <v>1605</v>
      </c>
      <c r="I4274" s="2" t="s">
        <v>32</v>
      </c>
      <c r="J4274" s="3">
        <v>44235</v>
      </c>
      <c r="K4274" s="2">
        <v>61</v>
      </c>
      <c r="L4274" s="2" t="s">
        <v>54</v>
      </c>
    </row>
    <row r="4275" spans="1:12" x14ac:dyDescent="0.3">
      <c r="A4275" s="2">
        <v>4264</v>
      </c>
      <c r="B4275" s="2" t="s">
        <v>9437</v>
      </c>
      <c r="C4275" s="2" t="s">
        <v>6798</v>
      </c>
      <c r="D4275" s="2" t="s">
        <v>28</v>
      </c>
      <c r="E4275" s="2" t="s">
        <v>29</v>
      </c>
      <c r="F4275" s="2">
        <v>30</v>
      </c>
      <c r="G4275" s="2" t="s">
        <v>9438</v>
      </c>
      <c r="H4275" s="2" t="s">
        <v>1052</v>
      </c>
      <c r="I4275" s="2" t="s">
        <v>32</v>
      </c>
      <c r="J4275" s="3">
        <v>44014</v>
      </c>
      <c r="K4275" s="2">
        <v>57</v>
      </c>
      <c r="L4275" s="2" t="s">
        <v>39</v>
      </c>
    </row>
    <row r="4276" spans="1:12" x14ac:dyDescent="0.3">
      <c r="A4276" s="2">
        <v>4265</v>
      </c>
      <c r="B4276" s="2" t="s">
        <v>4251</v>
      </c>
      <c r="C4276" s="2" t="s">
        <v>1721</v>
      </c>
      <c r="D4276" s="2" t="s">
        <v>28</v>
      </c>
      <c r="E4276" s="2" t="s">
        <v>29</v>
      </c>
      <c r="F4276" s="2">
        <v>30</v>
      </c>
      <c r="G4276" s="2" t="s">
        <v>10454</v>
      </c>
      <c r="H4276" s="2" t="s">
        <v>1804</v>
      </c>
      <c r="I4276" s="2" t="s">
        <v>32</v>
      </c>
      <c r="J4276" s="3">
        <v>44468</v>
      </c>
      <c r="K4276" s="2">
        <v>41</v>
      </c>
      <c r="L4276" s="2" t="s">
        <v>101</v>
      </c>
    </row>
    <row r="4277" spans="1:12" x14ac:dyDescent="0.3">
      <c r="A4277" s="2">
        <v>4266</v>
      </c>
      <c r="B4277" s="2" t="s">
        <v>1187</v>
      </c>
      <c r="C4277" s="2" t="s">
        <v>5142</v>
      </c>
      <c r="D4277" s="2" t="s">
        <v>28</v>
      </c>
      <c r="E4277" s="2" t="s">
        <v>29</v>
      </c>
      <c r="F4277" s="2">
        <v>60</v>
      </c>
      <c r="G4277" s="2" t="s">
        <v>9440</v>
      </c>
      <c r="H4277" s="2" t="s">
        <v>5473</v>
      </c>
      <c r="I4277" s="2" t="s">
        <v>240</v>
      </c>
      <c r="J4277" s="3">
        <v>44750</v>
      </c>
      <c r="K4277" s="2">
        <v>55</v>
      </c>
      <c r="L4277" s="2" t="s">
        <v>80</v>
      </c>
    </row>
    <row r="4278" spans="1:12" x14ac:dyDescent="0.3">
      <c r="A4278" s="2">
        <v>4267</v>
      </c>
      <c r="B4278" s="2" t="s">
        <v>9441</v>
      </c>
      <c r="C4278" s="2" t="s">
        <v>7016</v>
      </c>
      <c r="D4278" s="2" t="s">
        <v>15</v>
      </c>
      <c r="E4278" s="2" t="s">
        <v>16</v>
      </c>
      <c r="F4278" s="2">
        <v>90</v>
      </c>
      <c r="G4278" s="2" t="s">
        <v>9442</v>
      </c>
      <c r="H4278" s="2" t="s">
        <v>6249</v>
      </c>
      <c r="I4278" s="2" t="s">
        <v>38</v>
      </c>
      <c r="J4278" s="3">
        <v>44375</v>
      </c>
      <c r="K4278" s="2">
        <v>78</v>
      </c>
      <c r="L4278" s="2" t="s">
        <v>20</v>
      </c>
    </row>
    <row r="4279" spans="1:12" x14ac:dyDescent="0.3">
      <c r="A4279" s="2">
        <v>4268</v>
      </c>
      <c r="B4279" s="2" t="s">
        <v>2852</v>
      </c>
      <c r="C4279" s="2" t="s">
        <v>672</v>
      </c>
      <c r="D4279" s="2" t="s">
        <v>15</v>
      </c>
      <c r="E4279" s="2" t="s">
        <v>16</v>
      </c>
      <c r="F4279" s="2">
        <v>90</v>
      </c>
      <c r="G4279" s="2" t="s">
        <v>10579</v>
      </c>
      <c r="H4279" s="2" t="s">
        <v>9444</v>
      </c>
      <c r="I4279" s="2" t="s">
        <v>1454</v>
      </c>
      <c r="J4279" s="3">
        <v>43832</v>
      </c>
      <c r="K4279" s="2">
        <v>21</v>
      </c>
      <c r="L4279" s="2" t="s">
        <v>101</v>
      </c>
    </row>
    <row r="4280" spans="1:12" x14ac:dyDescent="0.3">
      <c r="A4280" s="2">
        <v>4269</v>
      </c>
      <c r="B4280" s="2" t="s">
        <v>9445</v>
      </c>
      <c r="C4280" s="2" t="s">
        <v>295</v>
      </c>
      <c r="D4280" s="2" t="s">
        <v>15</v>
      </c>
      <c r="E4280" s="2" t="s">
        <v>16</v>
      </c>
      <c r="F4280" s="2">
        <v>30</v>
      </c>
      <c r="G4280" s="2" t="s">
        <v>9446</v>
      </c>
      <c r="H4280" s="2" t="s">
        <v>2401</v>
      </c>
      <c r="I4280" s="2" t="s">
        <v>178</v>
      </c>
      <c r="J4280" s="3">
        <v>44343</v>
      </c>
      <c r="K4280" s="2">
        <v>55</v>
      </c>
      <c r="L4280" s="2" t="s">
        <v>45</v>
      </c>
    </row>
    <row r="4281" spans="1:12" x14ac:dyDescent="0.3">
      <c r="A4281" s="2">
        <v>4270</v>
      </c>
      <c r="B4281" s="2" t="s">
        <v>9447</v>
      </c>
      <c r="C4281" s="2" t="s">
        <v>7016</v>
      </c>
      <c r="D4281" s="2" t="s">
        <v>51</v>
      </c>
      <c r="E4281" s="2" t="s">
        <v>16</v>
      </c>
      <c r="F4281" s="2">
        <v>30</v>
      </c>
      <c r="G4281" s="2" t="s">
        <v>9448</v>
      </c>
      <c r="H4281" s="2" t="s">
        <v>1463</v>
      </c>
      <c r="I4281" s="2" t="s">
        <v>19</v>
      </c>
      <c r="J4281" s="3">
        <v>44262</v>
      </c>
      <c r="K4281" s="2">
        <v>28</v>
      </c>
      <c r="L4281" s="2" t="s">
        <v>39</v>
      </c>
    </row>
    <row r="4282" spans="1:12" x14ac:dyDescent="0.3">
      <c r="A4282" s="2">
        <v>4271</v>
      </c>
      <c r="B4282" s="2" t="s">
        <v>9449</v>
      </c>
      <c r="C4282" s="2" t="s">
        <v>1573</v>
      </c>
      <c r="D4282" s="2" t="s">
        <v>51</v>
      </c>
      <c r="E4282" s="2" t="s">
        <v>16</v>
      </c>
      <c r="F4282" s="2">
        <v>60</v>
      </c>
      <c r="G4282" s="2" t="s">
        <v>9450</v>
      </c>
      <c r="H4282" s="2" t="s">
        <v>1276</v>
      </c>
      <c r="I4282" s="2" t="s">
        <v>32</v>
      </c>
      <c r="J4282" s="3">
        <v>43991</v>
      </c>
      <c r="K4282" s="2">
        <v>40</v>
      </c>
      <c r="L4282" s="2" t="s">
        <v>80</v>
      </c>
    </row>
    <row r="4283" spans="1:12" x14ac:dyDescent="0.3">
      <c r="A4283" s="2">
        <v>4272</v>
      </c>
      <c r="B4283" s="2" t="s">
        <v>4588</v>
      </c>
      <c r="C4283" s="2" t="s">
        <v>1274</v>
      </c>
      <c r="D4283" s="2" t="s">
        <v>51</v>
      </c>
      <c r="E4283" s="2" t="s">
        <v>16</v>
      </c>
      <c r="F4283" s="2">
        <v>60</v>
      </c>
      <c r="G4283" s="2" t="s">
        <v>9451</v>
      </c>
      <c r="H4283" s="2" t="s">
        <v>8076</v>
      </c>
      <c r="I4283" s="2" t="s">
        <v>178</v>
      </c>
      <c r="J4283" s="3">
        <v>44714</v>
      </c>
      <c r="K4283" s="2">
        <v>14</v>
      </c>
      <c r="L4283" s="2" t="s">
        <v>20</v>
      </c>
    </row>
    <row r="4284" spans="1:12" x14ac:dyDescent="0.3">
      <c r="A4284" s="2">
        <v>4273</v>
      </c>
      <c r="B4284" s="2" t="s">
        <v>5479</v>
      </c>
      <c r="C4284" s="2" t="s">
        <v>6469</v>
      </c>
      <c r="D4284" s="2" t="s">
        <v>28</v>
      </c>
      <c r="E4284" s="2" t="s">
        <v>29</v>
      </c>
      <c r="F4284" s="2">
        <v>60</v>
      </c>
      <c r="G4284" s="2" t="s">
        <v>9452</v>
      </c>
      <c r="H4284" s="2" t="s">
        <v>6820</v>
      </c>
      <c r="I4284" s="2" t="s">
        <v>294</v>
      </c>
      <c r="J4284" s="3">
        <v>44586</v>
      </c>
      <c r="K4284" s="2">
        <v>49</v>
      </c>
      <c r="L4284" s="2" t="s">
        <v>64</v>
      </c>
    </row>
    <row r="4285" spans="1:12" x14ac:dyDescent="0.3">
      <c r="A4285" s="2">
        <v>4274</v>
      </c>
      <c r="B4285" s="2" t="s">
        <v>252</v>
      </c>
      <c r="C4285" s="2" t="s">
        <v>9453</v>
      </c>
      <c r="D4285" s="2" t="s">
        <v>15</v>
      </c>
      <c r="E4285" s="2" t="s">
        <v>16</v>
      </c>
      <c r="F4285" s="2">
        <v>30</v>
      </c>
      <c r="G4285" s="2" t="s">
        <v>9454</v>
      </c>
      <c r="H4285" s="2" t="s">
        <v>4552</v>
      </c>
      <c r="I4285" s="2" t="s">
        <v>38</v>
      </c>
      <c r="J4285" s="3">
        <v>44921</v>
      </c>
      <c r="K4285" s="2">
        <v>68</v>
      </c>
      <c r="L4285" s="2" t="s">
        <v>64</v>
      </c>
    </row>
    <row r="4286" spans="1:12" x14ac:dyDescent="0.3">
      <c r="A4286" s="2">
        <v>4275</v>
      </c>
      <c r="B4286" s="2" t="s">
        <v>5205</v>
      </c>
      <c r="C4286" s="2" t="s">
        <v>1308</v>
      </c>
      <c r="D4286" s="2" t="s">
        <v>51</v>
      </c>
      <c r="E4286" s="2" t="s">
        <v>16</v>
      </c>
      <c r="F4286" s="2">
        <v>60</v>
      </c>
      <c r="G4286" s="2" t="s">
        <v>9454</v>
      </c>
      <c r="H4286" s="2" t="s">
        <v>3482</v>
      </c>
      <c r="I4286" s="2" t="s">
        <v>25</v>
      </c>
      <c r="J4286" s="3">
        <v>44893</v>
      </c>
      <c r="K4286" s="2">
        <v>28</v>
      </c>
      <c r="L4286" s="2" t="s">
        <v>20</v>
      </c>
    </row>
    <row r="4287" spans="1:12" x14ac:dyDescent="0.3">
      <c r="A4287" s="2">
        <v>4276</v>
      </c>
      <c r="B4287" s="2" t="s">
        <v>9455</v>
      </c>
      <c r="C4287" s="2" t="s">
        <v>568</v>
      </c>
      <c r="D4287" s="2" t="s">
        <v>51</v>
      </c>
      <c r="E4287" s="2" t="s">
        <v>16</v>
      </c>
      <c r="F4287" s="2">
        <v>90</v>
      </c>
      <c r="G4287" s="2" t="s">
        <v>9456</v>
      </c>
      <c r="H4287" s="2" t="s">
        <v>2357</v>
      </c>
      <c r="I4287" s="2" t="s">
        <v>32</v>
      </c>
      <c r="J4287" s="3">
        <v>44477</v>
      </c>
      <c r="K4287" s="2">
        <v>75</v>
      </c>
      <c r="L4287" s="2" t="s">
        <v>101</v>
      </c>
    </row>
    <row r="4288" spans="1:12" x14ac:dyDescent="0.3">
      <c r="A4288" s="2">
        <v>4277</v>
      </c>
      <c r="B4288" s="2" t="s">
        <v>9458</v>
      </c>
      <c r="C4288" s="2" t="s">
        <v>3173</v>
      </c>
      <c r="D4288" s="2" t="s">
        <v>15</v>
      </c>
      <c r="E4288" s="2" t="s">
        <v>16</v>
      </c>
      <c r="F4288" s="2">
        <v>90</v>
      </c>
      <c r="G4288" s="2" t="s">
        <v>9459</v>
      </c>
      <c r="H4288" s="2" t="s">
        <v>4886</v>
      </c>
      <c r="I4288" s="2" t="s">
        <v>32</v>
      </c>
      <c r="J4288" s="3">
        <v>44234</v>
      </c>
      <c r="K4288" s="2">
        <v>33</v>
      </c>
      <c r="L4288" s="2" t="s">
        <v>39</v>
      </c>
    </row>
    <row r="4289" spans="1:12" x14ac:dyDescent="0.3">
      <c r="A4289" s="2">
        <v>4278</v>
      </c>
      <c r="B4289" s="2" t="s">
        <v>8591</v>
      </c>
      <c r="C4289" s="2" t="s">
        <v>9460</v>
      </c>
      <c r="D4289" s="2" t="s">
        <v>41</v>
      </c>
      <c r="E4289" s="2" t="s">
        <v>16</v>
      </c>
      <c r="F4289" s="2">
        <v>90</v>
      </c>
      <c r="G4289" s="2" t="s">
        <v>9461</v>
      </c>
      <c r="H4289" s="2" t="s">
        <v>868</v>
      </c>
      <c r="I4289" s="2" t="s">
        <v>32</v>
      </c>
      <c r="J4289" s="3">
        <v>44140</v>
      </c>
      <c r="K4289" s="2">
        <v>57</v>
      </c>
      <c r="L4289" s="2" t="s">
        <v>39</v>
      </c>
    </row>
    <row r="4290" spans="1:12" x14ac:dyDescent="0.3">
      <c r="A4290" s="2">
        <v>4279</v>
      </c>
      <c r="B4290" s="2" t="s">
        <v>2394</v>
      </c>
      <c r="C4290" s="2" t="s">
        <v>9462</v>
      </c>
      <c r="D4290" s="2" t="s">
        <v>41</v>
      </c>
      <c r="E4290" s="2" t="s">
        <v>16</v>
      </c>
      <c r="F4290" s="2">
        <v>90</v>
      </c>
      <c r="G4290" s="2" t="s">
        <v>9463</v>
      </c>
      <c r="H4290" s="2" t="s">
        <v>7806</v>
      </c>
      <c r="I4290" s="2" t="s">
        <v>294</v>
      </c>
      <c r="J4290" s="3">
        <v>44854</v>
      </c>
      <c r="K4290" s="2">
        <v>32</v>
      </c>
      <c r="L4290" s="2" t="s">
        <v>159</v>
      </c>
    </row>
    <row r="4291" spans="1:12" x14ac:dyDescent="0.3">
      <c r="A4291" s="2">
        <v>4280</v>
      </c>
      <c r="B4291" s="2" t="s">
        <v>138</v>
      </c>
      <c r="C4291" s="2" t="s">
        <v>72</v>
      </c>
      <c r="D4291" s="2" t="s">
        <v>28</v>
      </c>
      <c r="E4291" s="2" t="s">
        <v>29</v>
      </c>
      <c r="F4291" s="2">
        <v>30</v>
      </c>
      <c r="G4291" s="2" t="s">
        <v>9463</v>
      </c>
      <c r="H4291" s="2" t="s">
        <v>5686</v>
      </c>
      <c r="I4291" s="2" t="s">
        <v>32</v>
      </c>
      <c r="J4291" s="3">
        <v>44493</v>
      </c>
      <c r="K4291" s="2">
        <v>81</v>
      </c>
      <c r="L4291" s="2" t="s">
        <v>33</v>
      </c>
    </row>
    <row r="4292" spans="1:12" x14ac:dyDescent="0.3">
      <c r="A4292" s="2">
        <v>4281</v>
      </c>
      <c r="B4292" s="2" t="s">
        <v>9464</v>
      </c>
      <c r="C4292" s="2" t="s">
        <v>1172</v>
      </c>
      <c r="D4292" s="2" t="s">
        <v>15</v>
      </c>
      <c r="E4292" s="2" t="s">
        <v>16</v>
      </c>
      <c r="F4292" s="2">
        <v>60</v>
      </c>
      <c r="G4292" s="2" t="s">
        <v>9465</v>
      </c>
      <c r="H4292" s="2" t="s">
        <v>3200</v>
      </c>
      <c r="I4292" s="2" t="s">
        <v>32</v>
      </c>
      <c r="J4292" s="3">
        <v>44250</v>
      </c>
      <c r="K4292" s="2">
        <v>81</v>
      </c>
      <c r="L4292" s="2" t="s">
        <v>33</v>
      </c>
    </row>
    <row r="4293" spans="1:12" x14ac:dyDescent="0.3">
      <c r="A4293" s="2">
        <v>4282</v>
      </c>
      <c r="B4293" s="2" t="s">
        <v>9466</v>
      </c>
      <c r="C4293" s="2" t="s">
        <v>2154</v>
      </c>
      <c r="D4293" s="2" t="s">
        <v>15</v>
      </c>
      <c r="E4293" s="2" t="s">
        <v>16</v>
      </c>
      <c r="F4293" s="2">
        <v>30</v>
      </c>
      <c r="G4293" s="2" t="s">
        <v>9465</v>
      </c>
      <c r="H4293" s="2" t="s">
        <v>4874</v>
      </c>
      <c r="I4293" s="2" t="s">
        <v>32</v>
      </c>
      <c r="J4293" s="3">
        <v>44291</v>
      </c>
      <c r="K4293" s="2">
        <v>41</v>
      </c>
      <c r="L4293" s="2" t="s">
        <v>45</v>
      </c>
    </row>
    <row r="4294" spans="1:12" x14ac:dyDescent="0.3">
      <c r="A4294" s="2">
        <v>4283</v>
      </c>
      <c r="B4294" s="2" t="s">
        <v>9467</v>
      </c>
      <c r="C4294" s="2" t="s">
        <v>5939</v>
      </c>
      <c r="D4294" s="2" t="s">
        <v>15</v>
      </c>
      <c r="E4294" s="2" t="s">
        <v>16</v>
      </c>
      <c r="F4294" s="2">
        <v>60</v>
      </c>
      <c r="G4294" s="2" t="s">
        <v>9468</v>
      </c>
      <c r="H4294" s="2" t="s">
        <v>6659</v>
      </c>
      <c r="I4294" s="2" t="s">
        <v>208</v>
      </c>
      <c r="J4294" s="3">
        <v>44853</v>
      </c>
      <c r="K4294" s="2">
        <v>40</v>
      </c>
      <c r="L4294" s="2" t="s">
        <v>54</v>
      </c>
    </row>
    <row r="4295" spans="1:12" x14ac:dyDescent="0.3">
      <c r="A4295" s="2">
        <v>4284</v>
      </c>
      <c r="B4295" s="2" t="s">
        <v>9469</v>
      </c>
      <c r="C4295" s="2" t="s">
        <v>9470</v>
      </c>
      <c r="D4295" s="2" t="s">
        <v>51</v>
      </c>
      <c r="E4295" s="2" t="s">
        <v>16</v>
      </c>
      <c r="F4295" s="2">
        <v>90</v>
      </c>
      <c r="G4295" s="2" t="s">
        <v>9471</v>
      </c>
      <c r="H4295" s="2" t="s">
        <v>3399</v>
      </c>
      <c r="I4295" s="2" t="s">
        <v>124</v>
      </c>
      <c r="J4295" s="3">
        <v>44310</v>
      </c>
      <c r="K4295" s="2">
        <v>5</v>
      </c>
      <c r="L4295" s="2" t="s">
        <v>159</v>
      </c>
    </row>
    <row r="4296" spans="1:12" x14ac:dyDescent="0.3">
      <c r="A4296" s="2">
        <v>4285</v>
      </c>
      <c r="B4296" s="2" t="s">
        <v>2887</v>
      </c>
      <c r="C4296" s="2" t="s">
        <v>4626</v>
      </c>
      <c r="D4296" s="2" t="s">
        <v>28</v>
      </c>
      <c r="E4296" s="2" t="s">
        <v>29</v>
      </c>
      <c r="F4296" s="2">
        <v>90</v>
      </c>
      <c r="G4296" s="2" t="s">
        <v>9472</v>
      </c>
      <c r="H4296" s="2" t="s">
        <v>1526</v>
      </c>
      <c r="I4296" s="2" t="s">
        <v>173</v>
      </c>
      <c r="J4296" s="3">
        <v>44128</v>
      </c>
      <c r="K4296" s="2">
        <v>79</v>
      </c>
      <c r="L4296" s="2" t="s">
        <v>159</v>
      </c>
    </row>
    <row r="4297" spans="1:12" x14ac:dyDescent="0.3">
      <c r="A4297" s="2">
        <v>4286</v>
      </c>
      <c r="B4297" s="2" t="s">
        <v>5163</v>
      </c>
      <c r="C4297" s="2" t="s">
        <v>9473</v>
      </c>
      <c r="D4297" s="2" t="s">
        <v>28</v>
      </c>
      <c r="E4297" s="2" t="s">
        <v>29</v>
      </c>
      <c r="F4297" s="2">
        <v>60</v>
      </c>
      <c r="G4297" s="2" t="s">
        <v>9474</v>
      </c>
      <c r="H4297" s="2" t="s">
        <v>3033</v>
      </c>
      <c r="I4297" s="2" t="s">
        <v>32</v>
      </c>
      <c r="J4297" s="3">
        <v>44517</v>
      </c>
      <c r="K4297" s="2">
        <v>67</v>
      </c>
      <c r="L4297" s="2" t="s">
        <v>101</v>
      </c>
    </row>
    <row r="4298" spans="1:12" x14ac:dyDescent="0.3">
      <c r="A4298" s="2">
        <v>4287</v>
      </c>
      <c r="B4298" s="2" t="s">
        <v>8418</v>
      </c>
      <c r="C4298" s="2" t="s">
        <v>9475</v>
      </c>
      <c r="D4298" s="2" t="s">
        <v>28</v>
      </c>
      <c r="E4298" s="2" t="s">
        <v>29</v>
      </c>
      <c r="F4298" s="2">
        <v>90</v>
      </c>
      <c r="G4298" s="2" t="s">
        <v>9476</v>
      </c>
      <c r="H4298" s="2" t="s">
        <v>2284</v>
      </c>
      <c r="I4298" s="2" t="s">
        <v>32</v>
      </c>
      <c r="J4298" s="3">
        <v>43899</v>
      </c>
      <c r="K4298" s="2">
        <v>43</v>
      </c>
      <c r="L4298" s="2" t="s">
        <v>64</v>
      </c>
    </row>
    <row r="4299" spans="1:12" x14ac:dyDescent="0.3">
      <c r="A4299" s="2">
        <v>4288</v>
      </c>
      <c r="B4299" s="2" t="s">
        <v>7418</v>
      </c>
      <c r="C4299" s="2" t="s">
        <v>3357</v>
      </c>
      <c r="D4299" s="2" t="s">
        <v>28</v>
      </c>
      <c r="E4299" s="2" t="s">
        <v>29</v>
      </c>
      <c r="F4299" s="2">
        <v>60</v>
      </c>
      <c r="G4299" s="2" t="s">
        <v>9477</v>
      </c>
      <c r="H4299" s="2" t="s">
        <v>2220</v>
      </c>
      <c r="I4299" s="2" t="s">
        <v>1889</v>
      </c>
      <c r="J4299" s="3">
        <v>44721</v>
      </c>
      <c r="K4299" s="2">
        <v>66</v>
      </c>
      <c r="L4299" s="2" t="s">
        <v>33</v>
      </c>
    </row>
    <row r="4300" spans="1:12" x14ac:dyDescent="0.3">
      <c r="A4300" s="2">
        <v>4289</v>
      </c>
      <c r="B4300" s="2" t="s">
        <v>4167</v>
      </c>
      <c r="C4300" s="2" t="s">
        <v>3892</v>
      </c>
      <c r="D4300" s="2" t="s">
        <v>28</v>
      </c>
      <c r="E4300" s="2" t="s">
        <v>29</v>
      </c>
      <c r="F4300" s="2">
        <v>30</v>
      </c>
      <c r="G4300" s="2" t="s">
        <v>9478</v>
      </c>
      <c r="H4300" s="2" t="s">
        <v>9233</v>
      </c>
      <c r="I4300" s="2" t="s">
        <v>32</v>
      </c>
      <c r="J4300" s="3">
        <v>44573</v>
      </c>
      <c r="K4300" s="2">
        <v>6</v>
      </c>
      <c r="L4300" s="2" t="s">
        <v>20</v>
      </c>
    </row>
    <row r="4301" spans="1:12" x14ac:dyDescent="0.3">
      <c r="A4301" s="2">
        <v>4290</v>
      </c>
      <c r="B4301" s="2" t="s">
        <v>5764</v>
      </c>
      <c r="C4301" s="2" t="s">
        <v>5037</v>
      </c>
      <c r="D4301" s="2" t="s">
        <v>28</v>
      </c>
      <c r="E4301" s="2" t="s">
        <v>29</v>
      </c>
      <c r="F4301" s="2">
        <v>90</v>
      </c>
      <c r="G4301" s="2" t="s">
        <v>9479</v>
      </c>
      <c r="H4301" s="2" t="s">
        <v>7654</v>
      </c>
      <c r="I4301" s="2" t="s">
        <v>32</v>
      </c>
      <c r="J4301" s="3">
        <v>44412</v>
      </c>
      <c r="K4301" s="2">
        <v>39</v>
      </c>
      <c r="L4301" s="2" t="s">
        <v>70</v>
      </c>
    </row>
    <row r="4302" spans="1:12" x14ac:dyDescent="0.3">
      <c r="A4302" s="2">
        <v>4291</v>
      </c>
      <c r="B4302" s="2" t="s">
        <v>641</v>
      </c>
      <c r="C4302" s="2" t="s">
        <v>4439</v>
      </c>
      <c r="D4302" s="2" t="s">
        <v>28</v>
      </c>
      <c r="E4302" s="2" t="s">
        <v>29</v>
      </c>
      <c r="F4302" s="2">
        <v>60</v>
      </c>
      <c r="G4302" s="2" t="s">
        <v>9480</v>
      </c>
      <c r="H4302" s="2" t="s">
        <v>326</v>
      </c>
      <c r="I4302" s="2" t="s">
        <v>25</v>
      </c>
      <c r="J4302" s="3">
        <v>44860</v>
      </c>
      <c r="K4302" s="2">
        <v>73</v>
      </c>
      <c r="L4302" s="2" t="s">
        <v>80</v>
      </c>
    </row>
    <row r="4303" spans="1:12" x14ac:dyDescent="0.3">
      <c r="A4303" s="2">
        <v>4292</v>
      </c>
      <c r="B4303" s="2" t="s">
        <v>8584</v>
      </c>
      <c r="C4303" s="2" t="s">
        <v>6982</v>
      </c>
      <c r="D4303" s="2" t="s">
        <v>15</v>
      </c>
      <c r="E4303" s="2" t="s">
        <v>16</v>
      </c>
      <c r="F4303" s="2">
        <v>90</v>
      </c>
      <c r="G4303" s="2" t="s">
        <v>9481</v>
      </c>
      <c r="H4303" s="2" t="s">
        <v>2753</v>
      </c>
      <c r="I4303" s="2" t="s">
        <v>124</v>
      </c>
      <c r="J4303" s="3">
        <v>44628</v>
      </c>
      <c r="K4303" s="2">
        <v>22</v>
      </c>
      <c r="L4303" s="2" t="s">
        <v>70</v>
      </c>
    </row>
    <row r="4304" spans="1:12" x14ac:dyDescent="0.3">
      <c r="A4304" s="2">
        <v>4293</v>
      </c>
      <c r="B4304" s="2" t="s">
        <v>4363</v>
      </c>
      <c r="C4304" s="2" t="s">
        <v>9482</v>
      </c>
      <c r="D4304" s="2" t="s">
        <v>28</v>
      </c>
      <c r="E4304" s="2" t="s">
        <v>29</v>
      </c>
      <c r="F4304" s="2">
        <v>90</v>
      </c>
      <c r="G4304" s="2" t="s">
        <v>9481</v>
      </c>
      <c r="H4304" s="2" t="s">
        <v>5167</v>
      </c>
      <c r="I4304" s="2" t="s">
        <v>32</v>
      </c>
      <c r="J4304" s="3">
        <v>44640</v>
      </c>
      <c r="K4304" s="2">
        <v>30</v>
      </c>
      <c r="L4304" s="2" t="s">
        <v>20</v>
      </c>
    </row>
    <row r="4305" spans="1:12" x14ac:dyDescent="0.3">
      <c r="A4305" s="2">
        <v>4294</v>
      </c>
      <c r="B4305" s="2" t="s">
        <v>705</v>
      </c>
      <c r="C4305" s="2" t="s">
        <v>6447</v>
      </c>
      <c r="D4305" s="2" t="s">
        <v>28</v>
      </c>
      <c r="E4305" s="2" t="s">
        <v>29</v>
      </c>
      <c r="F4305" s="2">
        <v>90</v>
      </c>
      <c r="G4305" s="2" t="s">
        <v>9483</v>
      </c>
      <c r="H4305" s="2" t="s">
        <v>2325</v>
      </c>
      <c r="I4305" s="2" t="s">
        <v>173</v>
      </c>
      <c r="J4305" s="3">
        <v>44261</v>
      </c>
      <c r="K4305" s="2">
        <v>56</v>
      </c>
      <c r="L4305" s="2" t="s">
        <v>70</v>
      </c>
    </row>
    <row r="4306" spans="1:12" x14ac:dyDescent="0.3">
      <c r="A4306" s="2">
        <v>4295</v>
      </c>
      <c r="B4306" s="2" t="s">
        <v>496</v>
      </c>
      <c r="C4306" s="2" t="s">
        <v>2991</v>
      </c>
      <c r="D4306" s="2" t="s">
        <v>28</v>
      </c>
      <c r="E4306" s="2" t="s">
        <v>29</v>
      </c>
      <c r="F4306" s="2">
        <v>30</v>
      </c>
      <c r="G4306" s="2" t="s">
        <v>9484</v>
      </c>
      <c r="H4306" s="2" t="s">
        <v>5718</v>
      </c>
      <c r="I4306" s="2" t="s">
        <v>294</v>
      </c>
      <c r="J4306" s="3">
        <v>44115</v>
      </c>
      <c r="K4306" s="2">
        <v>80</v>
      </c>
      <c r="L4306" s="2" t="s">
        <v>64</v>
      </c>
    </row>
    <row r="4307" spans="1:12" x14ac:dyDescent="0.3">
      <c r="A4307" s="2">
        <v>4296</v>
      </c>
      <c r="B4307" s="2" t="s">
        <v>4064</v>
      </c>
      <c r="C4307" s="2" t="s">
        <v>4998</v>
      </c>
      <c r="D4307" s="2" t="s">
        <v>51</v>
      </c>
      <c r="E4307" s="2" t="s">
        <v>16</v>
      </c>
      <c r="F4307" s="2">
        <v>30</v>
      </c>
      <c r="G4307" s="2" t="s">
        <v>9485</v>
      </c>
      <c r="H4307" s="2" t="s">
        <v>1945</v>
      </c>
      <c r="I4307" s="2" t="s">
        <v>32</v>
      </c>
      <c r="J4307" s="3">
        <v>44067</v>
      </c>
      <c r="K4307" s="2">
        <v>18</v>
      </c>
      <c r="L4307" s="2" t="s">
        <v>39</v>
      </c>
    </row>
    <row r="4308" spans="1:12" x14ac:dyDescent="0.3">
      <c r="A4308" s="2">
        <v>4297</v>
      </c>
      <c r="B4308" s="2" t="s">
        <v>9486</v>
      </c>
      <c r="C4308" s="2" t="s">
        <v>2367</v>
      </c>
      <c r="D4308" s="2" t="s">
        <v>51</v>
      </c>
      <c r="E4308" s="2" t="s">
        <v>16</v>
      </c>
      <c r="F4308" s="2">
        <v>60</v>
      </c>
      <c r="G4308" s="2" t="s">
        <v>9487</v>
      </c>
      <c r="H4308" s="2" t="s">
        <v>1977</v>
      </c>
      <c r="I4308" s="2" t="s">
        <v>124</v>
      </c>
      <c r="J4308" s="3">
        <v>44682</v>
      </c>
      <c r="K4308" s="2">
        <v>58</v>
      </c>
      <c r="L4308" s="2" t="s">
        <v>80</v>
      </c>
    </row>
    <row r="4309" spans="1:12" x14ac:dyDescent="0.3">
      <c r="A4309" s="2">
        <v>4298</v>
      </c>
      <c r="B4309" s="2" t="s">
        <v>854</v>
      </c>
      <c r="C4309" s="2" t="s">
        <v>9488</v>
      </c>
      <c r="D4309" s="2" t="s">
        <v>15</v>
      </c>
      <c r="E4309" s="2" t="s">
        <v>16</v>
      </c>
      <c r="F4309" s="2">
        <v>60</v>
      </c>
      <c r="G4309" s="2" t="s">
        <v>9489</v>
      </c>
      <c r="H4309" s="2" t="s">
        <v>5449</v>
      </c>
      <c r="I4309" s="2" t="s">
        <v>32</v>
      </c>
      <c r="J4309" s="3">
        <v>44072</v>
      </c>
      <c r="K4309" s="2">
        <v>54</v>
      </c>
      <c r="L4309" s="2" t="s">
        <v>101</v>
      </c>
    </row>
    <row r="4310" spans="1:12" x14ac:dyDescent="0.3">
      <c r="A4310" s="2">
        <v>4299</v>
      </c>
      <c r="B4310" s="2" t="s">
        <v>7195</v>
      </c>
      <c r="C4310" s="2" t="s">
        <v>1204</v>
      </c>
      <c r="D4310" s="2" t="s">
        <v>28</v>
      </c>
      <c r="E4310" s="2" t="s">
        <v>29</v>
      </c>
      <c r="F4310" s="2">
        <v>60</v>
      </c>
      <c r="G4310" s="2" t="s">
        <v>9490</v>
      </c>
      <c r="H4310" s="2" t="s">
        <v>9491</v>
      </c>
      <c r="I4310" s="2" t="s">
        <v>32</v>
      </c>
      <c r="J4310" s="3">
        <v>44423</v>
      </c>
      <c r="K4310" s="2">
        <v>78</v>
      </c>
      <c r="L4310" s="2" t="s">
        <v>64</v>
      </c>
    </row>
    <row r="4311" spans="1:12" x14ac:dyDescent="0.3">
      <c r="A4311" s="2">
        <v>4300</v>
      </c>
      <c r="B4311" s="2" t="s">
        <v>3742</v>
      </c>
      <c r="C4311" s="2" t="s">
        <v>1566</v>
      </c>
      <c r="D4311" s="2" t="s">
        <v>28</v>
      </c>
      <c r="E4311" s="2" t="s">
        <v>29</v>
      </c>
      <c r="F4311" s="2">
        <v>90</v>
      </c>
      <c r="G4311" s="2" t="s">
        <v>9492</v>
      </c>
      <c r="H4311" s="2" t="s">
        <v>1575</v>
      </c>
      <c r="I4311" s="2" t="s">
        <v>1576</v>
      </c>
      <c r="J4311" s="3">
        <v>44821</v>
      </c>
      <c r="K4311" s="2">
        <v>21</v>
      </c>
      <c r="L4311" s="2" t="s">
        <v>33</v>
      </c>
    </row>
    <row r="4312" spans="1:12" x14ac:dyDescent="0.3">
      <c r="A4312" s="2">
        <v>4301</v>
      </c>
      <c r="B4312" s="2" t="s">
        <v>55</v>
      </c>
      <c r="C4312" s="2" t="s">
        <v>6355</v>
      </c>
      <c r="D4312" s="2" t="s">
        <v>28</v>
      </c>
      <c r="E4312" s="2" t="s">
        <v>29</v>
      </c>
      <c r="F4312" s="2">
        <v>90</v>
      </c>
      <c r="G4312" s="2" t="s">
        <v>9493</v>
      </c>
      <c r="H4312" s="2" t="s">
        <v>6546</v>
      </c>
      <c r="I4312" s="2" t="s">
        <v>2543</v>
      </c>
      <c r="J4312" s="3">
        <v>44396</v>
      </c>
      <c r="K4312" s="2">
        <v>60</v>
      </c>
      <c r="L4312" s="2" t="s">
        <v>64</v>
      </c>
    </row>
    <row r="4313" spans="1:12" x14ac:dyDescent="0.3">
      <c r="A4313" s="2">
        <v>4302</v>
      </c>
      <c r="B4313" s="2" t="s">
        <v>9422</v>
      </c>
      <c r="C4313" s="2" t="s">
        <v>8575</v>
      </c>
      <c r="D4313" s="2" t="s">
        <v>51</v>
      </c>
      <c r="E4313" s="2" t="s">
        <v>16</v>
      </c>
      <c r="F4313" s="2">
        <v>30</v>
      </c>
      <c r="G4313" s="2" t="s">
        <v>9493</v>
      </c>
      <c r="H4313" s="2" t="s">
        <v>4409</v>
      </c>
      <c r="I4313" s="2" t="s">
        <v>294</v>
      </c>
      <c r="J4313" s="3">
        <v>44259</v>
      </c>
      <c r="K4313" s="2">
        <v>77</v>
      </c>
      <c r="L4313" s="2" t="s">
        <v>39</v>
      </c>
    </row>
    <row r="4314" spans="1:12" x14ac:dyDescent="0.3">
      <c r="A4314" s="2">
        <v>4303</v>
      </c>
      <c r="B4314" s="2" t="s">
        <v>9494</v>
      </c>
      <c r="C4314" s="2" t="s">
        <v>7398</v>
      </c>
      <c r="D4314" s="2" t="s">
        <v>51</v>
      </c>
      <c r="E4314" s="2" t="s">
        <v>16</v>
      </c>
      <c r="F4314" s="2">
        <v>90</v>
      </c>
      <c r="G4314" s="2" t="s">
        <v>9495</v>
      </c>
      <c r="H4314" s="2" t="s">
        <v>3449</v>
      </c>
      <c r="I4314" s="2" t="s">
        <v>187</v>
      </c>
      <c r="J4314" s="3">
        <v>44550</v>
      </c>
      <c r="K4314" s="2">
        <v>24</v>
      </c>
      <c r="L4314" s="2" t="s">
        <v>33</v>
      </c>
    </row>
    <row r="4315" spans="1:12" x14ac:dyDescent="0.3">
      <c r="A4315" s="2">
        <v>4304</v>
      </c>
      <c r="B4315" s="2" t="s">
        <v>9496</v>
      </c>
      <c r="C4315" s="2" t="s">
        <v>6562</v>
      </c>
      <c r="D4315" s="2" t="s">
        <v>28</v>
      </c>
      <c r="E4315" s="2" t="s">
        <v>29</v>
      </c>
      <c r="F4315" s="2">
        <v>60</v>
      </c>
      <c r="G4315" s="2" t="s">
        <v>9497</v>
      </c>
      <c r="H4315" s="2" t="s">
        <v>4404</v>
      </c>
      <c r="I4315" s="2" t="s">
        <v>32</v>
      </c>
      <c r="J4315" s="3">
        <v>44672</v>
      </c>
      <c r="K4315" s="2">
        <v>46</v>
      </c>
      <c r="L4315" s="2" t="s">
        <v>159</v>
      </c>
    </row>
    <row r="4316" spans="1:12" x14ac:dyDescent="0.3">
      <c r="A4316" s="2">
        <v>4305</v>
      </c>
      <c r="B4316" s="2" t="s">
        <v>9500</v>
      </c>
      <c r="C4316" s="2" t="s">
        <v>1585</v>
      </c>
      <c r="D4316" s="2" t="s">
        <v>41</v>
      </c>
      <c r="E4316" s="2" t="s">
        <v>16</v>
      </c>
      <c r="F4316" s="2">
        <v>60</v>
      </c>
      <c r="G4316" s="2" t="s">
        <v>9501</v>
      </c>
      <c r="H4316" s="2" t="s">
        <v>412</v>
      </c>
      <c r="I4316" s="2" t="s">
        <v>187</v>
      </c>
      <c r="J4316" s="3">
        <v>44572</v>
      </c>
      <c r="K4316" s="2">
        <v>6</v>
      </c>
      <c r="L4316" s="2" t="s">
        <v>39</v>
      </c>
    </row>
    <row r="4317" spans="1:12" x14ac:dyDescent="0.3">
      <c r="A4317" s="2">
        <v>4306</v>
      </c>
      <c r="B4317" s="2" t="s">
        <v>9502</v>
      </c>
      <c r="C4317" s="2" t="s">
        <v>1145</v>
      </c>
      <c r="D4317" s="2" t="s">
        <v>15</v>
      </c>
      <c r="E4317" s="2" t="s">
        <v>16</v>
      </c>
      <c r="F4317" s="2">
        <v>30</v>
      </c>
      <c r="G4317" s="2" t="s">
        <v>9503</v>
      </c>
      <c r="H4317" s="2" t="s">
        <v>694</v>
      </c>
      <c r="I4317" s="2" t="s">
        <v>32</v>
      </c>
      <c r="J4317" s="3">
        <v>44790</v>
      </c>
      <c r="K4317" s="2">
        <v>30</v>
      </c>
      <c r="L4317" s="2" t="s">
        <v>54</v>
      </c>
    </row>
    <row r="4318" spans="1:12" x14ac:dyDescent="0.3">
      <c r="A4318" s="2">
        <v>4307</v>
      </c>
      <c r="B4318" s="2" t="s">
        <v>9504</v>
      </c>
      <c r="C4318" s="2" t="s">
        <v>406</v>
      </c>
      <c r="D4318" s="2" t="s">
        <v>15</v>
      </c>
      <c r="E4318" s="2" t="s">
        <v>16</v>
      </c>
      <c r="F4318" s="2">
        <v>30</v>
      </c>
      <c r="G4318" s="2" t="s">
        <v>9505</v>
      </c>
      <c r="H4318" s="2" t="s">
        <v>898</v>
      </c>
      <c r="I4318" s="2" t="s">
        <v>32</v>
      </c>
      <c r="J4318" s="3">
        <v>44404</v>
      </c>
      <c r="K4318" s="2">
        <v>6</v>
      </c>
      <c r="L4318" s="2" t="s">
        <v>70</v>
      </c>
    </row>
    <row r="4319" spans="1:12" x14ac:dyDescent="0.3">
      <c r="A4319" s="2">
        <v>4308</v>
      </c>
      <c r="B4319" s="2" t="s">
        <v>9506</v>
      </c>
      <c r="C4319" s="2" t="s">
        <v>3071</v>
      </c>
      <c r="D4319" s="2" t="s">
        <v>51</v>
      </c>
      <c r="E4319" s="2" t="s">
        <v>16</v>
      </c>
      <c r="F4319" s="2">
        <v>90</v>
      </c>
      <c r="G4319" s="2" t="s">
        <v>9507</v>
      </c>
      <c r="H4319" s="2" t="s">
        <v>7642</v>
      </c>
      <c r="I4319" s="2" t="s">
        <v>32</v>
      </c>
      <c r="J4319" s="3">
        <v>44558</v>
      </c>
      <c r="K4319" s="2">
        <v>88</v>
      </c>
      <c r="L4319" s="2" t="s">
        <v>159</v>
      </c>
    </row>
    <row r="4320" spans="1:12" x14ac:dyDescent="0.3">
      <c r="A4320" s="2">
        <v>4309</v>
      </c>
      <c r="B4320" s="2" t="s">
        <v>9508</v>
      </c>
      <c r="C4320" s="2" t="s">
        <v>5032</v>
      </c>
      <c r="D4320" s="2" t="s">
        <v>15</v>
      </c>
      <c r="E4320" s="2" t="s">
        <v>16</v>
      </c>
      <c r="F4320" s="2">
        <v>60</v>
      </c>
      <c r="G4320" s="2" t="s">
        <v>9509</v>
      </c>
      <c r="H4320" s="2" t="s">
        <v>1764</v>
      </c>
      <c r="I4320" s="2" t="s">
        <v>124</v>
      </c>
      <c r="J4320" s="3">
        <v>44907</v>
      </c>
      <c r="K4320" s="2">
        <v>33</v>
      </c>
      <c r="L4320" s="2" t="s">
        <v>101</v>
      </c>
    </row>
    <row r="4321" spans="1:12" x14ac:dyDescent="0.3">
      <c r="A4321" s="2">
        <v>4310</v>
      </c>
      <c r="B4321" s="2" t="s">
        <v>2994</v>
      </c>
      <c r="C4321" s="2" t="s">
        <v>653</v>
      </c>
      <c r="D4321" s="2" t="s">
        <v>28</v>
      </c>
      <c r="E4321" s="2" t="s">
        <v>29</v>
      </c>
      <c r="F4321" s="2">
        <v>30</v>
      </c>
      <c r="G4321" s="2" t="s">
        <v>9510</v>
      </c>
      <c r="H4321" s="2" t="s">
        <v>772</v>
      </c>
      <c r="I4321" s="2" t="s">
        <v>32</v>
      </c>
      <c r="J4321" s="3">
        <v>44604</v>
      </c>
      <c r="K4321" s="2">
        <v>26</v>
      </c>
      <c r="L4321" s="2" t="s">
        <v>39</v>
      </c>
    </row>
    <row r="4322" spans="1:12" x14ac:dyDescent="0.3">
      <c r="A4322" s="2">
        <v>4311</v>
      </c>
      <c r="B4322" s="2" t="s">
        <v>9511</v>
      </c>
      <c r="C4322" s="2" t="s">
        <v>4803</v>
      </c>
      <c r="D4322" s="2" t="s">
        <v>15</v>
      </c>
      <c r="E4322" s="2" t="s">
        <v>16</v>
      </c>
      <c r="F4322" s="2">
        <v>90</v>
      </c>
      <c r="G4322" s="2" t="s">
        <v>9512</v>
      </c>
      <c r="H4322" s="2" t="s">
        <v>7546</v>
      </c>
      <c r="I4322" s="2" t="s">
        <v>187</v>
      </c>
      <c r="J4322" s="3">
        <v>44448</v>
      </c>
      <c r="K4322" s="2">
        <v>61</v>
      </c>
      <c r="L4322" s="2" t="s">
        <v>45</v>
      </c>
    </row>
    <row r="4323" spans="1:12" x14ac:dyDescent="0.3">
      <c r="A4323" s="2">
        <v>4312</v>
      </c>
      <c r="B4323" s="2" t="s">
        <v>4815</v>
      </c>
      <c r="C4323" s="2" t="s">
        <v>6730</v>
      </c>
      <c r="D4323" s="2" t="s">
        <v>28</v>
      </c>
      <c r="E4323" s="2" t="s">
        <v>29</v>
      </c>
      <c r="F4323" s="2">
        <v>90</v>
      </c>
      <c r="G4323" s="2" t="s">
        <v>9512</v>
      </c>
      <c r="H4323" s="2" t="s">
        <v>1168</v>
      </c>
      <c r="I4323" s="2" t="s">
        <v>32</v>
      </c>
      <c r="J4323" s="3">
        <v>44282</v>
      </c>
      <c r="K4323" s="2">
        <v>42</v>
      </c>
      <c r="L4323" s="2" t="s">
        <v>70</v>
      </c>
    </row>
    <row r="4324" spans="1:12" x14ac:dyDescent="0.3">
      <c r="A4324" s="2">
        <v>4313</v>
      </c>
      <c r="B4324" s="2" t="s">
        <v>5730</v>
      </c>
      <c r="C4324" s="2" t="s">
        <v>8490</v>
      </c>
      <c r="D4324" s="2" t="s">
        <v>51</v>
      </c>
      <c r="E4324" s="2" t="s">
        <v>16</v>
      </c>
      <c r="F4324" s="2">
        <v>30</v>
      </c>
      <c r="G4324" s="2" t="s">
        <v>9513</v>
      </c>
      <c r="H4324" s="2" t="s">
        <v>2536</v>
      </c>
      <c r="I4324" s="2" t="s">
        <v>124</v>
      </c>
      <c r="J4324" s="3">
        <v>44706</v>
      </c>
      <c r="K4324" s="2">
        <v>15</v>
      </c>
      <c r="L4324" s="2" t="s">
        <v>80</v>
      </c>
    </row>
    <row r="4325" spans="1:12" x14ac:dyDescent="0.3">
      <c r="A4325" s="2">
        <v>4314</v>
      </c>
      <c r="B4325" s="2" t="s">
        <v>9514</v>
      </c>
      <c r="C4325" s="2" t="s">
        <v>7889</v>
      </c>
      <c r="D4325" s="2" t="s">
        <v>51</v>
      </c>
      <c r="E4325" s="2" t="s">
        <v>16</v>
      </c>
      <c r="F4325" s="2">
        <v>30</v>
      </c>
      <c r="G4325" s="2" t="s">
        <v>9515</v>
      </c>
      <c r="H4325" s="2" t="s">
        <v>5521</v>
      </c>
      <c r="I4325" s="2" t="s">
        <v>25</v>
      </c>
      <c r="J4325" s="3">
        <v>44481</v>
      </c>
      <c r="K4325" s="2">
        <v>13</v>
      </c>
      <c r="L4325" s="2" t="s">
        <v>20</v>
      </c>
    </row>
    <row r="4326" spans="1:12" x14ac:dyDescent="0.3">
      <c r="A4326" s="2">
        <v>4315</v>
      </c>
      <c r="B4326" s="2" t="s">
        <v>9516</v>
      </c>
      <c r="C4326" s="2" t="s">
        <v>2920</v>
      </c>
      <c r="D4326" s="2" t="s">
        <v>28</v>
      </c>
      <c r="E4326" s="2" t="s">
        <v>29</v>
      </c>
      <c r="F4326" s="2">
        <v>30</v>
      </c>
      <c r="G4326" s="2" t="s">
        <v>9517</v>
      </c>
      <c r="H4326" s="2" t="s">
        <v>5271</v>
      </c>
      <c r="I4326" s="2" t="s">
        <v>187</v>
      </c>
      <c r="J4326" s="3">
        <v>44783</v>
      </c>
      <c r="K4326" s="2">
        <v>54</v>
      </c>
      <c r="L4326" s="2" t="s">
        <v>20</v>
      </c>
    </row>
    <row r="4327" spans="1:12" x14ac:dyDescent="0.3">
      <c r="A4327" s="2">
        <v>4316</v>
      </c>
      <c r="B4327" s="2" t="s">
        <v>9518</v>
      </c>
      <c r="C4327" s="2" t="s">
        <v>4366</v>
      </c>
      <c r="D4327" s="2" t="s">
        <v>51</v>
      </c>
      <c r="E4327" s="2" t="s">
        <v>16</v>
      </c>
      <c r="F4327" s="2">
        <v>60</v>
      </c>
      <c r="G4327" s="2" t="s">
        <v>9519</v>
      </c>
      <c r="H4327" s="2" t="s">
        <v>4283</v>
      </c>
      <c r="I4327" s="2" t="s">
        <v>178</v>
      </c>
      <c r="J4327" s="3">
        <v>44452</v>
      </c>
      <c r="K4327" s="2">
        <v>7</v>
      </c>
      <c r="L4327" s="2" t="s">
        <v>20</v>
      </c>
    </row>
    <row r="4328" spans="1:12" x14ac:dyDescent="0.3">
      <c r="A4328" s="2">
        <v>4317</v>
      </c>
      <c r="B4328" s="2" t="s">
        <v>6198</v>
      </c>
      <c r="C4328" s="2" t="s">
        <v>3732</v>
      </c>
      <c r="D4328" s="2" t="s">
        <v>28</v>
      </c>
      <c r="E4328" s="2" t="s">
        <v>29</v>
      </c>
      <c r="F4328" s="2">
        <v>30</v>
      </c>
      <c r="G4328" s="2" t="s">
        <v>9520</v>
      </c>
      <c r="H4328" s="2" t="s">
        <v>99</v>
      </c>
      <c r="I4328" s="2" t="s">
        <v>100</v>
      </c>
      <c r="J4328" s="3">
        <v>44432</v>
      </c>
      <c r="K4328" s="2">
        <v>15</v>
      </c>
      <c r="L4328" s="2" t="s">
        <v>54</v>
      </c>
    </row>
    <row r="4329" spans="1:12" x14ac:dyDescent="0.3">
      <c r="A4329" s="2">
        <v>4318</v>
      </c>
      <c r="B4329" s="2" t="s">
        <v>7686</v>
      </c>
      <c r="C4329" s="2" t="s">
        <v>256</v>
      </c>
      <c r="D4329" s="2" t="s">
        <v>15</v>
      </c>
      <c r="E4329" s="2" t="s">
        <v>16</v>
      </c>
      <c r="F4329" s="2">
        <v>60</v>
      </c>
      <c r="G4329" s="2" t="s">
        <v>9521</v>
      </c>
      <c r="H4329" s="2" t="s">
        <v>455</v>
      </c>
      <c r="I4329" s="2" t="s">
        <v>187</v>
      </c>
      <c r="J4329" s="3">
        <v>44067</v>
      </c>
      <c r="K4329" s="2">
        <v>56</v>
      </c>
      <c r="L4329" s="2" t="s">
        <v>54</v>
      </c>
    </row>
    <row r="4330" spans="1:12" x14ac:dyDescent="0.3">
      <c r="A4330" s="2">
        <v>4319</v>
      </c>
      <c r="B4330" s="2" t="s">
        <v>9522</v>
      </c>
      <c r="C4330" s="2" t="s">
        <v>4032</v>
      </c>
      <c r="D4330" s="2" t="s">
        <v>51</v>
      </c>
      <c r="E4330" s="2" t="s">
        <v>16</v>
      </c>
      <c r="F4330" s="2">
        <v>60</v>
      </c>
      <c r="G4330" s="2" t="s">
        <v>9523</v>
      </c>
      <c r="H4330" s="2" t="s">
        <v>5631</v>
      </c>
      <c r="I4330" s="2" t="s">
        <v>129</v>
      </c>
      <c r="J4330" s="3">
        <v>44884</v>
      </c>
      <c r="K4330" s="2">
        <v>103</v>
      </c>
      <c r="L4330" s="2" t="s">
        <v>101</v>
      </c>
    </row>
    <row r="4331" spans="1:12" x14ac:dyDescent="0.3">
      <c r="A4331" s="2">
        <v>4320</v>
      </c>
      <c r="B4331" s="2" t="s">
        <v>2510</v>
      </c>
      <c r="C4331" s="2" t="s">
        <v>3314</v>
      </c>
      <c r="D4331" s="2" t="s">
        <v>51</v>
      </c>
      <c r="E4331" s="2" t="s">
        <v>16</v>
      </c>
      <c r="F4331" s="2">
        <v>30</v>
      </c>
      <c r="G4331" s="2" t="s">
        <v>9524</v>
      </c>
      <c r="H4331" s="2" t="s">
        <v>5915</v>
      </c>
      <c r="I4331" s="2" t="s">
        <v>32</v>
      </c>
      <c r="J4331" s="3">
        <v>44746</v>
      </c>
      <c r="K4331" s="2">
        <v>19</v>
      </c>
      <c r="L4331" s="2" t="s">
        <v>159</v>
      </c>
    </row>
    <row r="4332" spans="1:12" x14ac:dyDescent="0.3">
      <c r="A4332" s="2">
        <v>4321</v>
      </c>
      <c r="B4332" s="2" t="s">
        <v>9525</v>
      </c>
      <c r="C4332" s="2" t="s">
        <v>268</v>
      </c>
      <c r="D4332" s="2" t="s">
        <v>15</v>
      </c>
      <c r="E4332" s="2" t="s">
        <v>16</v>
      </c>
      <c r="F4332" s="2">
        <v>60</v>
      </c>
      <c r="G4332" s="2" t="s">
        <v>9526</v>
      </c>
      <c r="H4332" s="2" t="s">
        <v>4085</v>
      </c>
      <c r="I4332" s="2" t="s">
        <v>240</v>
      </c>
      <c r="J4332" s="3">
        <v>43958</v>
      </c>
      <c r="K4332" s="2">
        <v>62</v>
      </c>
      <c r="L4332" s="2" t="s">
        <v>33</v>
      </c>
    </row>
    <row r="4333" spans="1:12" x14ac:dyDescent="0.3">
      <c r="A4333" s="2">
        <v>4322</v>
      </c>
      <c r="B4333" s="2" t="s">
        <v>4817</v>
      </c>
      <c r="C4333" s="2" t="s">
        <v>2995</v>
      </c>
      <c r="D4333" s="2" t="s">
        <v>41</v>
      </c>
      <c r="E4333" s="2" t="s">
        <v>16</v>
      </c>
      <c r="F4333" s="2">
        <v>30</v>
      </c>
      <c r="G4333" s="2" t="s">
        <v>10455</v>
      </c>
      <c r="H4333" s="2" t="s">
        <v>400</v>
      </c>
      <c r="I4333" s="2" t="s">
        <v>401</v>
      </c>
      <c r="J4333" s="3">
        <v>44013</v>
      </c>
      <c r="K4333" s="2">
        <v>38</v>
      </c>
      <c r="L4333" s="2" t="s">
        <v>80</v>
      </c>
    </row>
    <row r="4334" spans="1:12" x14ac:dyDescent="0.3">
      <c r="A4334" s="2">
        <v>4323</v>
      </c>
      <c r="B4334" s="2" t="s">
        <v>9528</v>
      </c>
      <c r="C4334" s="2" t="s">
        <v>832</v>
      </c>
      <c r="D4334" s="2" t="s">
        <v>51</v>
      </c>
      <c r="E4334" s="2" t="s">
        <v>16</v>
      </c>
      <c r="F4334" s="2">
        <v>60</v>
      </c>
      <c r="G4334" s="2" t="s">
        <v>9529</v>
      </c>
      <c r="H4334" s="2" t="s">
        <v>1347</v>
      </c>
      <c r="I4334" s="2" t="s">
        <v>32</v>
      </c>
      <c r="J4334" s="3">
        <v>44468</v>
      </c>
      <c r="K4334" s="2">
        <v>90</v>
      </c>
      <c r="L4334" s="2" t="s">
        <v>54</v>
      </c>
    </row>
    <row r="4335" spans="1:12" x14ac:dyDescent="0.3">
      <c r="A4335" s="2">
        <v>4324</v>
      </c>
      <c r="B4335" s="2" t="s">
        <v>8407</v>
      </c>
      <c r="C4335" s="2" t="s">
        <v>3812</v>
      </c>
      <c r="D4335" s="2" t="s">
        <v>28</v>
      </c>
      <c r="E4335" s="2" t="s">
        <v>29</v>
      </c>
      <c r="F4335" s="2">
        <v>60</v>
      </c>
      <c r="G4335" s="2" t="s">
        <v>9530</v>
      </c>
      <c r="H4335" s="2" t="s">
        <v>18</v>
      </c>
      <c r="I4335" s="2" t="s">
        <v>19</v>
      </c>
      <c r="J4335" s="3">
        <v>44693</v>
      </c>
      <c r="K4335" s="2">
        <v>17</v>
      </c>
      <c r="L4335" s="2" t="s">
        <v>64</v>
      </c>
    </row>
    <row r="4336" spans="1:12" x14ac:dyDescent="0.3">
      <c r="A4336" s="2">
        <v>4325</v>
      </c>
      <c r="B4336" s="2" t="s">
        <v>9531</v>
      </c>
      <c r="C4336" s="2" t="s">
        <v>2785</v>
      </c>
      <c r="D4336" s="2" t="s">
        <v>15</v>
      </c>
      <c r="E4336" s="2" t="s">
        <v>16</v>
      </c>
      <c r="F4336" s="2">
        <v>90</v>
      </c>
      <c r="G4336" s="2" t="s">
        <v>9532</v>
      </c>
      <c r="H4336" s="2" t="s">
        <v>1249</v>
      </c>
      <c r="I4336" s="2" t="s">
        <v>146</v>
      </c>
      <c r="J4336" s="3">
        <v>44408</v>
      </c>
      <c r="K4336" s="2">
        <v>8</v>
      </c>
      <c r="L4336" s="2" t="s">
        <v>54</v>
      </c>
    </row>
    <row r="4337" spans="1:12" x14ac:dyDescent="0.3">
      <c r="A4337" s="2">
        <v>4326</v>
      </c>
      <c r="B4337" s="2" t="s">
        <v>2259</v>
      </c>
      <c r="C4337" s="2" t="s">
        <v>492</v>
      </c>
      <c r="D4337" s="2" t="s">
        <v>28</v>
      </c>
      <c r="E4337" s="2" t="s">
        <v>29</v>
      </c>
      <c r="F4337" s="2">
        <v>30</v>
      </c>
      <c r="G4337" s="2" t="s">
        <v>9533</v>
      </c>
      <c r="H4337" s="2" t="s">
        <v>1590</v>
      </c>
      <c r="I4337" s="2" t="s">
        <v>32</v>
      </c>
      <c r="J4337" s="3">
        <v>44707</v>
      </c>
      <c r="K4337" s="2">
        <v>25</v>
      </c>
      <c r="L4337" s="2" t="s">
        <v>101</v>
      </c>
    </row>
    <row r="4338" spans="1:12" x14ac:dyDescent="0.3">
      <c r="A4338" s="2">
        <v>4327</v>
      </c>
      <c r="B4338" s="2" t="s">
        <v>3191</v>
      </c>
      <c r="C4338" s="2" t="s">
        <v>9534</v>
      </c>
      <c r="D4338" s="2" t="s">
        <v>15</v>
      </c>
      <c r="E4338" s="2" t="s">
        <v>16</v>
      </c>
      <c r="F4338" s="2">
        <v>60</v>
      </c>
      <c r="G4338" s="2" t="s">
        <v>9535</v>
      </c>
      <c r="H4338" s="2" t="s">
        <v>9536</v>
      </c>
      <c r="I4338" s="2" t="s">
        <v>32</v>
      </c>
      <c r="J4338" s="3">
        <v>43905</v>
      </c>
      <c r="K4338" s="2">
        <v>34</v>
      </c>
      <c r="L4338" s="2" t="s">
        <v>64</v>
      </c>
    </row>
    <row r="4339" spans="1:12" x14ac:dyDescent="0.3">
      <c r="A4339" s="2">
        <v>4328</v>
      </c>
      <c r="B4339" s="2" t="s">
        <v>9537</v>
      </c>
      <c r="C4339" s="2" t="s">
        <v>3226</v>
      </c>
      <c r="D4339" s="2" t="s">
        <v>51</v>
      </c>
      <c r="E4339" s="2" t="s">
        <v>16</v>
      </c>
      <c r="F4339" s="2">
        <v>60</v>
      </c>
      <c r="G4339" s="2" t="s">
        <v>9538</v>
      </c>
      <c r="H4339" s="2" t="s">
        <v>1018</v>
      </c>
      <c r="I4339" s="2" t="s">
        <v>294</v>
      </c>
      <c r="J4339" s="3">
        <v>44588</v>
      </c>
      <c r="K4339" s="2">
        <v>43</v>
      </c>
      <c r="L4339" s="2" t="s">
        <v>39</v>
      </c>
    </row>
    <row r="4340" spans="1:12" x14ac:dyDescent="0.3">
      <c r="A4340" s="2">
        <v>4329</v>
      </c>
      <c r="B4340" s="2" t="s">
        <v>4805</v>
      </c>
      <c r="C4340" s="2" t="s">
        <v>1196</v>
      </c>
      <c r="D4340" s="2" t="s">
        <v>15</v>
      </c>
      <c r="E4340" s="2" t="s">
        <v>16</v>
      </c>
      <c r="F4340" s="2">
        <v>30</v>
      </c>
      <c r="G4340" s="2" t="s">
        <v>9538</v>
      </c>
      <c r="H4340" s="2" t="s">
        <v>382</v>
      </c>
      <c r="I4340" s="2" t="s">
        <v>32</v>
      </c>
      <c r="J4340" s="3">
        <v>43992</v>
      </c>
      <c r="K4340" s="2">
        <v>67</v>
      </c>
      <c r="L4340" s="2" t="s">
        <v>70</v>
      </c>
    </row>
    <row r="4341" spans="1:12" x14ac:dyDescent="0.3">
      <c r="A4341" s="2">
        <v>4330</v>
      </c>
      <c r="B4341" s="2" t="s">
        <v>2388</v>
      </c>
      <c r="C4341" s="2" t="s">
        <v>1783</v>
      </c>
      <c r="D4341" s="2" t="s">
        <v>28</v>
      </c>
      <c r="E4341" s="2" t="s">
        <v>29</v>
      </c>
      <c r="F4341" s="2">
        <v>60</v>
      </c>
      <c r="G4341" s="2" t="s">
        <v>9539</v>
      </c>
      <c r="H4341" s="2" t="s">
        <v>2476</v>
      </c>
      <c r="I4341" s="2" t="s">
        <v>38</v>
      </c>
      <c r="J4341" s="3">
        <v>44733</v>
      </c>
      <c r="K4341" s="2">
        <v>105</v>
      </c>
      <c r="L4341" s="2" t="s">
        <v>20</v>
      </c>
    </row>
    <row r="4342" spans="1:12" x14ac:dyDescent="0.3">
      <c r="A4342" s="2">
        <v>4331</v>
      </c>
      <c r="B4342" s="2" t="s">
        <v>9540</v>
      </c>
      <c r="C4342" s="2" t="s">
        <v>1861</v>
      </c>
      <c r="D4342" s="2" t="s">
        <v>51</v>
      </c>
      <c r="E4342" s="2" t="s">
        <v>16</v>
      </c>
      <c r="F4342" s="2">
        <v>90</v>
      </c>
      <c r="G4342" s="2" t="s">
        <v>9541</v>
      </c>
      <c r="H4342" s="2" t="s">
        <v>1444</v>
      </c>
      <c r="I4342" s="2" t="s">
        <v>1199</v>
      </c>
      <c r="J4342" s="3">
        <v>44010</v>
      </c>
      <c r="K4342" s="2">
        <v>78</v>
      </c>
      <c r="L4342" s="2" t="s">
        <v>101</v>
      </c>
    </row>
    <row r="4343" spans="1:12" x14ac:dyDescent="0.3">
      <c r="A4343" s="2">
        <v>4332</v>
      </c>
      <c r="B4343" s="2" t="s">
        <v>9542</v>
      </c>
      <c r="C4343" s="2" t="s">
        <v>2409</v>
      </c>
      <c r="D4343" s="2" t="s">
        <v>15</v>
      </c>
      <c r="E4343" s="2" t="s">
        <v>16</v>
      </c>
      <c r="F4343" s="2">
        <v>90</v>
      </c>
      <c r="G4343" s="2" t="s">
        <v>9543</v>
      </c>
      <c r="H4343" s="2" t="s">
        <v>6319</v>
      </c>
      <c r="I4343" s="2" t="s">
        <v>32</v>
      </c>
      <c r="J4343" s="3">
        <v>44711</v>
      </c>
      <c r="K4343" s="2">
        <v>69</v>
      </c>
      <c r="L4343" s="2" t="s">
        <v>39</v>
      </c>
    </row>
    <row r="4344" spans="1:12" x14ac:dyDescent="0.3">
      <c r="A4344" s="2">
        <v>4333</v>
      </c>
      <c r="B4344" s="2" t="s">
        <v>4392</v>
      </c>
      <c r="C4344" s="2" t="s">
        <v>1172</v>
      </c>
      <c r="D4344" s="2" t="s">
        <v>28</v>
      </c>
      <c r="E4344" s="2" t="s">
        <v>29</v>
      </c>
      <c r="F4344" s="2">
        <v>30</v>
      </c>
      <c r="G4344" s="2" t="s">
        <v>9544</v>
      </c>
      <c r="H4344" s="2" t="s">
        <v>315</v>
      </c>
      <c r="I4344" s="2" t="s">
        <v>32</v>
      </c>
      <c r="J4344" s="3">
        <v>44434</v>
      </c>
      <c r="K4344" s="2">
        <v>11</v>
      </c>
      <c r="L4344" s="2" t="s">
        <v>20</v>
      </c>
    </row>
    <row r="4345" spans="1:12" x14ac:dyDescent="0.3">
      <c r="A4345" s="2">
        <v>4334</v>
      </c>
      <c r="B4345" s="2" t="s">
        <v>6637</v>
      </c>
      <c r="C4345" s="2" t="s">
        <v>653</v>
      </c>
      <c r="D4345" s="2" t="s">
        <v>51</v>
      </c>
      <c r="E4345" s="2" t="s">
        <v>16</v>
      </c>
      <c r="F4345" s="2">
        <v>60</v>
      </c>
      <c r="G4345" s="2" t="s">
        <v>9545</v>
      </c>
      <c r="H4345" s="2" t="s">
        <v>3324</v>
      </c>
      <c r="I4345" s="2" t="s">
        <v>32</v>
      </c>
      <c r="J4345" s="3">
        <v>43942</v>
      </c>
      <c r="K4345" s="2">
        <v>65</v>
      </c>
      <c r="L4345" s="2" t="s">
        <v>33</v>
      </c>
    </row>
    <row r="4346" spans="1:12" x14ac:dyDescent="0.3">
      <c r="A4346" s="2">
        <v>4335</v>
      </c>
      <c r="B4346" s="2" t="s">
        <v>9511</v>
      </c>
      <c r="C4346" s="2" t="s">
        <v>2282</v>
      </c>
      <c r="D4346" s="2" t="s">
        <v>51</v>
      </c>
      <c r="E4346" s="2" t="s">
        <v>16</v>
      </c>
      <c r="F4346" s="2">
        <v>60</v>
      </c>
      <c r="G4346" s="2" t="s">
        <v>9546</v>
      </c>
      <c r="H4346" s="2" t="s">
        <v>6343</v>
      </c>
      <c r="I4346" s="2" t="s">
        <v>32</v>
      </c>
      <c r="J4346" s="3">
        <v>44115</v>
      </c>
      <c r="K4346" s="2">
        <v>16</v>
      </c>
      <c r="L4346" s="2" t="s">
        <v>54</v>
      </c>
    </row>
    <row r="4347" spans="1:12" x14ac:dyDescent="0.3">
      <c r="A4347" s="2">
        <v>4336</v>
      </c>
      <c r="B4347" s="2" t="s">
        <v>8187</v>
      </c>
      <c r="C4347" s="2" t="s">
        <v>3956</v>
      </c>
      <c r="D4347" s="2" t="s">
        <v>28</v>
      </c>
      <c r="E4347" s="2" t="s">
        <v>29</v>
      </c>
      <c r="F4347" s="2">
        <v>60</v>
      </c>
      <c r="G4347" s="2" t="s">
        <v>9547</v>
      </c>
      <c r="H4347" s="2" t="s">
        <v>1754</v>
      </c>
      <c r="I4347" s="2" t="s">
        <v>25</v>
      </c>
      <c r="J4347" s="3">
        <v>44622</v>
      </c>
      <c r="K4347" s="2">
        <v>4</v>
      </c>
      <c r="L4347" s="2" t="s">
        <v>101</v>
      </c>
    </row>
    <row r="4348" spans="1:12" x14ac:dyDescent="0.3">
      <c r="A4348" s="2">
        <v>4337</v>
      </c>
      <c r="B4348" s="2" t="s">
        <v>1748</v>
      </c>
      <c r="C4348" s="2" t="s">
        <v>928</v>
      </c>
      <c r="D4348" s="2" t="s">
        <v>28</v>
      </c>
      <c r="E4348" s="2" t="s">
        <v>29</v>
      </c>
      <c r="F4348" s="2">
        <v>30</v>
      </c>
      <c r="G4348" s="2" t="s">
        <v>9548</v>
      </c>
      <c r="H4348" s="2" t="s">
        <v>1408</v>
      </c>
      <c r="I4348" s="2" t="s">
        <v>1083</v>
      </c>
      <c r="J4348" s="3">
        <v>43975</v>
      </c>
      <c r="K4348" s="2">
        <v>54</v>
      </c>
      <c r="L4348" s="2" t="s">
        <v>64</v>
      </c>
    </row>
    <row r="4349" spans="1:12" x14ac:dyDescent="0.3">
      <c r="A4349" s="2">
        <v>4338</v>
      </c>
      <c r="B4349" s="2" t="s">
        <v>3410</v>
      </c>
      <c r="C4349" s="2" t="s">
        <v>5346</v>
      </c>
      <c r="D4349" s="2" t="s">
        <v>28</v>
      </c>
      <c r="E4349" s="2" t="s">
        <v>29</v>
      </c>
      <c r="F4349" s="2">
        <v>60</v>
      </c>
      <c r="G4349" s="2" t="s">
        <v>9549</v>
      </c>
      <c r="H4349" s="2" t="s">
        <v>2183</v>
      </c>
      <c r="I4349" s="2" t="s">
        <v>124</v>
      </c>
      <c r="J4349" s="3">
        <v>44626</v>
      </c>
      <c r="K4349" s="2">
        <v>23</v>
      </c>
      <c r="L4349" s="2" t="s">
        <v>39</v>
      </c>
    </row>
    <row r="4350" spans="1:12" x14ac:dyDescent="0.3">
      <c r="A4350" s="2">
        <v>4339</v>
      </c>
      <c r="B4350" s="2" t="s">
        <v>2527</v>
      </c>
      <c r="C4350" s="2" t="s">
        <v>7266</v>
      </c>
      <c r="D4350" s="2" t="s">
        <v>28</v>
      </c>
      <c r="E4350" s="2" t="s">
        <v>29</v>
      </c>
      <c r="F4350" s="2">
        <v>60</v>
      </c>
      <c r="G4350" s="2" t="s">
        <v>2512</v>
      </c>
      <c r="H4350" s="2" t="s">
        <v>338</v>
      </c>
      <c r="I4350" s="2" t="s">
        <v>173</v>
      </c>
      <c r="J4350" s="3">
        <v>44356</v>
      </c>
      <c r="K4350" s="2">
        <v>89</v>
      </c>
      <c r="L4350" s="2" t="s">
        <v>54</v>
      </c>
    </row>
    <row r="4351" spans="1:12" x14ac:dyDescent="0.3">
      <c r="A4351" s="2">
        <v>4340</v>
      </c>
      <c r="B4351" s="2" t="s">
        <v>9550</v>
      </c>
      <c r="C4351" s="2" t="s">
        <v>1517</v>
      </c>
      <c r="D4351" s="2" t="s">
        <v>15</v>
      </c>
      <c r="E4351" s="2" t="s">
        <v>16</v>
      </c>
      <c r="F4351" s="2">
        <v>60</v>
      </c>
      <c r="G4351" s="2" t="s">
        <v>9551</v>
      </c>
      <c r="H4351" s="2" t="s">
        <v>1937</v>
      </c>
      <c r="I4351" s="2" t="s">
        <v>25</v>
      </c>
      <c r="J4351" s="3">
        <v>44873</v>
      </c>
      <c r="K4351" s="2">
        <v>41</v>
      </c>
      <c r="L4351" s="2" t="s">
        <v>101</v>
      </c>
    </row>
    <row r="4352" spans="1:12" x14ac:dyDescent="0.3">
      <c r="A4352" s="2">
        <v>4341</v>
      </c>
      <c r="B4352" s="2" t="s">
        <v>9552</v>
      </c>
      <c r="C4352" s="2" t="s">
        <v>82</v>
      </c>
      <c r="D4352" s="2" t="s">
        <v>28</v>
      </c>
      <c r="E4352" s="2" t="s">
        <v>29</v>
      </c>
      <c r="F4352" s="2">
        <v>90</v>
      </c>
      <c r="G4352" s="2" t="s">
        <v>9553</v>
      </c>
      <c r="H4352" s="2" t="s">
        <v>1823</v>
      </c>
      <c r="I4352" s="2" t="s">
        <v>1824</v>
      </c>
      <c r="J4352" s="3">
        <v>44893</v>
      </c>
      <c r="K4352" s="2">
        <v>26</v>
      </c>
      <c r="L4352" s="2" t="s">
        <v>64</v>
      </c>
    </row>
    <row r="4353" spans="1:12" x14ac:dyDescent="0.3">
      <c r="A4353" s="2">
        <v>4342</v>
      </c>
      <c r="B4353" s="2" t="s">
        <v>9554</v>
      </c>
      <c r="C4353" s="2" t="s">
        <v>1866</v>
      </c>
      <c r="D4353" s="2" t="s">
        <v>15</v>
      </c>
      <c r="E4353" s="2" t="s">
        <v>16</v>
      </c>
      <c r="F4353" s="2">
        <v>30</v>
      </c>
      <c r="G4353" s="2" t="s">
        <v>9555</v>
      </c>
      <c r="H4353" s="2" t="s">
        <v>1186</v>
      </c>
      <c r="I4353" s="2" t="s">
        <v>32</v>
      </c>
      <c r="J4353" s="3">
        <v>43968</v>
      </c>
      <c r="K4353" s="2">
        <v>68</v>
      </c>
      <c r="L4353" s="2" t="s">
        <v>80</v>
      </c>
    </row>
    <row r="4354" spans="1:12" x14ac:dyDescent="0.3">
      <c r="A4354" s="2">
        <v>4343</v>
      </c>
      <c r="B4354" s="2" t="s">
        <v>7349</v>
      </c>
      <c r="C4354" s="2" t="s">
        <v>3352</v>
      </c>
      <c r="D4354" s="2" t="s">
        <v>28</v>
      </c>
      <c r="E4354" s="2" t="s">
        <v>29</v>
      </c>
      <c r="F4354" s="2">
        <v>30</v>
      </c>
      <c r="G4354" s="2" t="s">
        <v>9556</v>
      </c>
      <c r="H4354" s="2" t="s">
        <v>6154</v>
      </c>
      <c r="I4354" s="2" t="s">
        <v>38</v>
      </c>
      <c r="J4354" s="3">
        <v>43889</v>
      </c>
      <c r="K4354" s="2">
        <v>16</v>
      </c>
      <c r="L4354" s="2" t="s">
        <v>64</v>
      </c>
    </row>
    <row r="4355" spans="1:12" x14ac:dyDescent="0.3">
      <c r="A4355" s="2">
        <v>4344</v>
      </c>
      <c r="B4355" s="2" t="s">
        <v>2300</v>
      </c>
      <c r="C4355" s="2" t="s">
        <v>7448</v>
      </c>
      <c r="D4355" s="2" t="s">
        <v>28</v>
      </c>
      <c r="E4355" s="2" t="s">
        <v>29</v>
      </c>
      <c r="F4355" s="2">
        <v>90</v>
      </c>
      <c r="G4355" s="2" t="s">
        <v>9557</v>
      </c>
      <c r="H4355" s="2" t="s">
        <v>8865</v>
      </c>
      <c r="I4355" s="2" t="s">
        <v>32</v>
      </c>
      <c r="J4355" s="3">
        <v>44652</v>
      </c>
      <c r="K4355" s="2">
        <v>84</v>
      </c>
      <c r="L4355" s="2" t="s">
        <v>33</v>
      </c>
    </row>
    <row r="4356" spans="1:12" x14ac:dyDescent="0.3">
      <c r="A4356" s="2">
        <v>4345</v>
      </c>
      <c r="B4356" s="2" t="s">
        <v>7802</v>
      </c>
      <c r="C4356" s="2" t="s">
        <v>1789</v>
      </c>
      <c r="D4356" s="2" t="s">
        <v>15</v>
      </c>
      <c r="E4356" s="2" t="s">
        <v>16</v>
      </c>
      <c r="F4356" s="2">
        <v>30</v>
      </c>
      <c r="G4356" s="2" t="s">
        <v>9558</v>
      </c>
      <c r="H4356" s="2" t="s">
        <v>933</v>
      </c>
      <c r="I4356" s="2" t="s">
        <v>934</v>
      </c>
      <c r="J4356" s="3">
        <v>44910</v>
      </c>
      <c r="K4356" s="2">
        <v>78</v>
      </c>
      <c r="L4356" s="2" t="s">
        <v>80</v>
      </c>
    </row>
    <row r="4357" spans="1:12" x14ac:dyDescent="0.3">
      <c r="A4357" s="2">
        <v>4346</v>
      </c>
      <c r="B4357" s="2" t="s">
        <v>7595</v>
      </c>
      <c r="C4357" s="2" t="s">
        <v>9110</v>
      </c>
      <c r="D4357" s="2" t="s">
        <v>28</v>
      </c>
      <c r="E4357" s="2" t="s">
        <v>29</v>
      </c>
      <c r="F4357" s="2">
        <v>90</v>
      </c>
      <c r="G4357" s="2" t="s">
        <v>9559</v>
      </c>
      <c r="H4357" s="2" t="s">
        <v>655</v>
      </c>
      <c r="I4357" s="2" t="s">
        <v>32</v>
      </c>
      <c r="J4357" s="3">
        <v>44557</v>
      </c>
      <c r="K4357" s="2">
        <v>26</v>
      </c>
      <c r="L4357" s="2" t="s">
        <v>70</v>
      </c>
    </row>
    <row r="4358" spans="1:12" x14ac:dyDescent="0.3">
      <c r="A4358" s="2">
        <v>4347</v>
      </c>
      <c r="B4358" s="2" t="s">
        <v>4430</v>
      </c>
      <c r="C4358" s="2" t="s">
        <v>5541</v>
      </c>
      <c r="D4358" s="2" t="s">
        <v>28</v>
      </c>
      <c r="E4358" s="2" t="s">
        <v>29</v>
      </c>
      <c r="F4358" s="2">
        <v>90</v>
      </c>
      <c r="G4358" s="2" t="s">
        <v>9560</v>
      </c>
      <c r="H4358" s="2" t="s">
        <v>9561</v>
      </c>
      <c r="I4358" s="2" t="s">
        <v>913</v>
      </c>
      <c r="J4358" s="3">
        <v>44892</v>
      </c>
      <c r="K4358" s="2">
        <v>42</v>
      </c>
      <c r="L4358" s="2" t="s">
        <v>159</v>
      </c>
    </row>
    <row r="4359" spans="1:12" x14ac:dyDescent="0.3">
      <c r="A4359" s="2">
        <v>4348</v>
      </c>
      <c r="B4359" s="2" t="s">
        <v>1027</v>
      </c>
      <c r="C4359" s="2" t="s">
        <v>2349</v>
      </c>
      <c r="D4359" s="2" t="s">
        <v>28</v>
      </c>
      <c r="E4359" s="2" t="s">
        <v>29</v>
      </c>
      <c r="F4359" s="2">
        <v>90</v>
      </c>
      <c r="G4359" s="2" t="s">
        <v>9562</v>
      </c>
      <c r="H4359" s="2" t="s">
        <v>3387</v>
      </c>
      <c r="I4359" s="2" t="s">
        <v>2878</v>
      </c>
      <c r="J4359" s="3">
        <v>44247</v>
      </c>
      <c r="K4359" s="2">
        <v>87</v>
      </c>
      <c r="L4359" s="2" t="s">
        <v>54</v>
      </c>
    </row>
    <row r="4360" spans="1:12" x14ac:dyDescent="0.3">
      <c r="A4360" s="2">
        <v>4349</v>
      </c>
      <c r="B4360" s="2" t="s">
        <v>9563</v>
      </c>
      <c r="C4360" s="2" t="s">
        <v>5199</v>
      </c>
      <c r="D4360" s="2" t="s">
        <v>15</v>
      </c>
      <c r="E4360" s="2" t="s">
        <v>16</v>
      </c>
      <c r="F4360" s="2">
        <v>90</v>
      </c>
      <c r="G4360" s="2" t="s">
        <v>9564</v>
      </c>
      <c r="H4360" s="2" t="s">
        <v>4853</v>
      </c>
      <c r="I4360" s="2" t="s">
        <v>178</v>
      </c>
      <c r="J4360" s="3">
        <v>43989</v>
      </c>
      <c r="K4360" s="2">
        <v>62</v>
      </c>
      <c r="L4360" s="2" t="s">
        <v>45</v>
      </c>
    </row>
    <row r="4361" spans="1:12" x14ac:dyDescent="0.3">
      <c r="A4361" s="2">
        <v>4350</v>
      </c>
      <c r="B4361" s="2" t="s">
        <v>9565</v>
      </c>
      <c r="C4361" s="2" t="s">
        <v>1101</v>
      </c>
      <c r="D4361" s="2" t="s">
        <v>28</v>
      </c>
      <c r="E4361" s="2" t="s">
        <v>29</v>
      </c>
      <c r="F4361" s="2">
        <v>30</v>
      </c>
      <c r="G4361" s="2" t="s">
        <v>9566</v>
      </c>
      <c r="H4361" s="2" t="s">
        <v>1299</v>
      </c>
      <c r="I4361" s="2" t="s">
        <v>1199</v>
      </c>
      <c r="J4361" s="3">
        <v>44424</v>
      </c>
      <c r="K4361" s="2">
        <v>13</v>
      </c>
      <c r="L4361" s="2" t="s">
        <v>39</v>
      </c>
    </row>
    <row r="4362" spans="1:12" x14ac:dyDescent="0.3">
      <c r="A4362" s="2">
        <v>4351</v>
      </c>
      <c r="B4362" s="2" t="s">
        <v>6190</v>
      </c>
      <c r="C4362" s="2" t="s">
        <v>1286</v>
      </c>
      <c r="D4362" s="2" t="s">
        <v>28</v>
      </c>
      <c r="E4362" s="2" t="s">
        <v>29</v>
      </c>
      <c r="F4362" s="2">
        <v>90</v>
      </c>
      <c r="G4362" s="2" t="s">
        <v>9567</v>
      </c>
      <c r="H4362" s="2" t="s">
        <v>3822</v>
      </c>
      <c r="I4362" s="2" t="s">
        <v>1454</v>
      </c>
      <c r="J4362" s="3">
        <v>44041</v>
      </c>
      <c r="K4362" s="2">
        <v>18</v>
      </c>
      <c r="L4362" s="2" t="s">
        <v>70</v>
      </c>
    </row>
    <row r="4363" spans="1:12" x14ac:dyDescent="0.3">
      <c r="A4363" s="2">
        <v>4352</v>
      </c>
      <c r="B4363" s="2" t="s">
        <v>1748</v>
      </c>
      <c r="C4363" s="2" t="s">
        <v>1762</v>
      </c>
      <c r="D4363" s="2" t="s">
        <v>28</v>
      </c>
      <c r="E4363" s="2" t="s">
        <v>29</v>
      </c>
      <c r="F4363" s="2">
        <v>60</v>
      </c>
      <c r="G4363" s="2" t="s">
        <v>9568</v>
      </c>
      <c r="H4363" s="2" t="s">
        <v>1417</v>
      </c>
      <c r="I4363" s="2" t="s">
        <v>32</v>
      </c>
      <c r="J4363" s="3">
        <v>44842</v>
      </c>
      <c r="K4363" s="2">
        <v>70</v>
      </c>
      <c r="L4363" s="2" t="s">
        <v>20</v>
      </c>
    </row>
    <row r="4364" spans="1:12" x14ac:dyDescent="0.3">
      <c r="A4364" s="2">
        <v>4353</v>
      </c>
      <c r="B4364" s="2" t="s">
        <v>9569</v>
      </c>
      <c r="C4364" s="2" t="s">
        <v>8136</v>
      </c>
      <c r="D4364" s="2" t="s">
        <v>51</v>
      </c>
      <c r="E4364" s="2" t="s">
        <v>16</v>
      </c>
      <c r="F4364" s="2">
        <v>30</v>
      </c>
      <c r="G4364" s="2" t="s">
        <v>9570</v>
      </c>
      <c r="H4364" s="2" t="s">
        <v>3876</v>
      </c>
      <c r="I4364" s="2" t="s">
        <v>32</v>
      </c>
      <c r="J4364" s="3">
        <v>44893</v>
      </c>
      <c r="K4364" s="2">
        <v>88</v>
      </c>
      <c r="L4364" s="2" t="s">
        <v>70</v>
      </c>
    </row>
    <row r="4365" spans="1:12" x14ac:dyDescent="0.3">
      <c r="A4365" s="2">
        <v>4354</v>
      </c>
      <c r="B4365" s="2" t="s">
        <v>6547</v>
      </c>
      <c r="C4365" s="2" t="s">
        <v>9571</v>
      </c>
      <c r="D4365" s="2" t="s">
        <v>28</v>
      </c>
      <c r="E4365" s="2" t="s">
        <v>29</v>
      </c>
      <c r="F4365" s="2">
        <v>60</v>
      </c>
      <c r="G4365" s="2" t="s">
        <v>9572</v>
      </c>
      <c r="H4365" s="2" t="s">
        <v>128</v>
      </c>
      <c r="I4365" s="2" t="s">
        <v>129</v>
      </c>
      <c r="J4365" s="3">
        <v>44347</v>
      </c>
      <c r="K4365" s="2">
        <v>79</v>
      </c>
      <c r="L4365" s="2" t="s">
        <v>70</v>
      </c>
    </row>
    <row r="4366" spans="1:12" x14ac:dyDescent="0.3">
      <c r="A4366" s="2">
        <v>4355</v>
      </c>
      <c r="B4366" s="2" t="s">
        <v>9573</v>
      </c>
      <c r="C4366" s="2" t="s">
        <v>9170</v>
      </c>
      <c r="D4366" s="2" t="s">
        <v>51</v>
      </c>
      <c r="E4366" s="2" t="s">
        <v>16</v>
      </c>
      <c r="F4366" s="2">
        <v>90</v>
      </c>
      <c r="G4366" s="2" t="s">
        <v>9574</v>
      </c>
      <c r="H4366" s="2" t="s">
        <v>1761</v>
      </c>
      <c r="I4366" s="2" t="s">
        <v>38</v>
      </c>
      <c r="J4366" s="3">
        <v>44703</v>
      </c>
      <c r="K4366" s="2">
        <v>72</v>
      </c>
      <c r="L4366" s="2" t="s">
        <v>39</v>
      </c>
    </row>
    <row r="4367" spans="1:12" x14ac:dyDescent="0.3">
      <c r="A4367" s="2">
        <v>4356</v>
      </c>
      <c r="B4367" s="2" t="s">
        <v>237</v>
      </c>
      <c r="C4367" s="2" t="s">
        <v>708</v>
      </c>
      <c r="D4367" s="2" t="s">
        <v>28</v>
      </c>
      <c r="E4367" s="2" t="s">
        <v>29</v>
      </c>
      <c r="F4367" s="2">
        <v>60</v>
      </c>
      <c r="G4367" s="2" t="s">
        <v>9575</v>
      </c>
      <c r="H4367" s="2" t="s">
        <v>1785</v>
      </c>
      <c r="I4367" s="2" t="s">
        <v>32</v>
      </c>
      <c r="J4367" s="3">
        <v>44264</v>
      </c>
      <c r="K4367" s="2">
        <v>40</v>
      </c>
      <c r="L4367" s="2" t="s">
        <v>64</v>
      </c>
    </row>
    <row r="4368" spans="1:12" x14ac:dyDescent="0.3">
      <c r="A4368" s="2">
        <v>4357</v>
      </c>
      <c r="B4368" s="2" t="s">
        <v>6338</v>
      </c>
      <c r="C4368" s="2" t="s">
        <v>1047</v>
      </c>
      <c r="D4368" s="2" t="s">
        <v>51</v>
      </c>
      <c r="E4368" s="2" t="s">
        <v>16</v>
      </c>
      <c r="F4368" s="2">
        <v>30</v>
      </c>
      <c r="G4368" s="2" t="s">
        <v>9575</v>
      </c>
      <c r="H4368" s="2" t="s">
        <v>389</v>
      </c>
      <c r="I4368" s="2" t="s">
        <v>32</v>
      </c>
      <c r="J4368" s="3">
        <v>44873</v>
      </c>
      <c r="K4368" s="2">
        <v>25</v>
      </c>
      <c r="L4368" s="2" t="s">
        <v>33</v>
      </c>
    </row>
    <row r="4369" spans="1:12" x14ac:dyDescent="0.3">
      <c r="A4369" s="2">
        <v>4358</v>
      </c>
      <c r="B4369" s="2" t="s">
        <v>9576</v>
      </c>
      <c r="C4369" s="2" t="s">
        <v>6562</v>
      </c>
      <c r="D4369" s="2" t="s">
        <v>41</v>
      </c>
      <c r="E4369" s="2" t="s">
        <v>16</v>
      </c>
      <c r="F4369" s="2">
        <v>90</v>
      </c>
      <c r="G4369" s="2" t="s">
        <v>9577</v>
      </c>
      <c r="H4369" s="2" t="s">
        <v>3915</v>
      </c>
      <c r="I4369" s="2" t="s">
        <v>173</v>
      </c>
      <c r="J4369" s="3">
        <v>44850</v>
      </c>
      <c r="K4369" s="2">
        <v>67</v>
      </c>
      <c r="L4369" s="2" t="s">
        <v>39</v>
      </c>
    </row>
    <row r="4370" spans="1:12" x14ac:dyDescent="0.3">
      <c r="A4370" s="2">
        <v>4359</v>
      </c>
      <c r="B4370" s="2" t="s">
        <v>433</v>
      </c>
      <c r="C4370" s="2" t="s">
        <v>568</v>
      </c>
      <c r="D4370" s="2" t="s">
        <v>28</v>
      </c>
      <c r="E4370" s="2" t="s">
        <v>29</v>
      </c>
      <c r="F4370" s="2">
        <v>90</v>
      </c>
      <c r="G4370" s="2" t="s">
        <v>9578</v>
      </c>
      <c r="H4370" s="2" t="s">
        <v>3148</v>
      </c>
      <c r="I4370" s="2" t="s">
        <v>146</v>
      </c>
      <c r="J4370" s="3">
        <v>44510</v>
      </c>
      <c r="K4370" s="2">
        <v>81</v>
      </c>
      <c r="L4370" s="2" t="s">
        <v>20</v>
      </c>
    </row>
    <row r="4371" spans="1:12" x14ac:dyDescent="0.3">
      <c r="A4371" s="2">
        <v>4360</v>
      </c>
      <c r="B4371" s="2" t="s">
        <v>9579</v>
      </c>
      <c r="C4371" s="2" t="s">
        <v>4924</v>
      </c>
      <c r="D4371" s="2" t="s">
        <v>28</v>
      </c>
      <c r="E4371" s="2" t="s">
        <v>29</v>
      </c>
      <c r="F4371" s="2">
        <v>90</v>
      </c>
      <c r="G4371" s="2" t="s">
        <v>9580</v>
      </c>
      <c r="H4371" s="2" t="s">
        <v>7004</v>
      </c>
      <c r="I4371" s="2" t="s">
        <v>208</v>
      </c>
      <c r="J4371" s="3">
        <v>44287</v>
      </c>
      <c r="K4371" s="2">
        <v>91</v>
      </c>
      <c r="L4371" s="2" t="s">
        <v>70</v>
      </c>
    </row>
    <row r="4372" spans="1:12" x14ac:dyDescent="0.3">
      <c r="A4372" s="2">
        <v>4361</v>
      </c>
      <c r="B4372" s="2" t="s">
        <v>5887</v>
      </c>
      <c r="C4372" s="2" t="s">
        <v>9055</v>
      </c>
      <c r="D4372" s="2" t="s">
        <v>28</v>
      </c>
      <c r="E4372" s="2" t="s">
        <v>29</v>
      </c>
      <c r="F4372" s="2">
        <v>30</v>
      </c>
      <c r="G4372" s="2" t="s">
        <v>10648</v>
      </c>
      <c r="H4372" s="2" t="s">
        <v>1541</v>
      </c>
      <c r="I4372" s="2" t="s">
        <v>32</v>
      </c>
      <c r="J4372" s="3">
        <v>44409</v>
      </c>
      <c r="K4372" s="2">
        <v>38</v>
      </c>
      <c r="L4372" s="2" t="s">
        <v>159</v>
      </c>
    </row>
    <row r="4373" spans="1:12" x14ac:dyDescent="0.3">
      <c r="A4373" s="2">
        <v>4362</v>
      </c>
      <c r="B4373" s="2" t="s">
        <v>7218</v>
      </c>
      <c r="C4373" s="2" t="s">
        <v>4287</v>
      </c>
      <c r="D4373" s="2" t="s">
        <v>28</v>
      </c>
      <c r="E4373" s="2" t="s">
        <v>29</v>
      </c>
      <c r="F4373" s="2">
        <v>90</v>
      </c>
      <c r="G4373" s="2" t="s">
        <v>9582</v>
      </c>
      <c r="H4373" s="2" t="s">
        <v>4594</v>
      </c>
      <c r="I4373" s="2" t="s">
        <v>38</v>
      </c>
      <c r="J4373" s="3">
        <v>44175</v>
      </c>
      <c r="K4373" s="2">
        <v>47</v>
      </c>
      <c r="L4373" s="2" t="s">
        <v>33</v>
      </c>
    </row>
    <row r="4374" spans="1:12" x14ac:dyDescent="0.3">
      <c r="A4374" s="2">
        <v>4363</v>
      </c>
      <c r="B4374" s="2" t="s">
        <v>2256</v>
      </c>
      <c r="C4374" s="2" t="s">
        <v>3413</v>
      </c>
      <c r="D4374" s="2" t="s">
        <v>28</v>
      </c>
      <c r="E4374" s="2" t="s">
        <v>29</v>
      </c>
      <c r="F4374" s="2">
        <v>30</v>
      </c>
      <c r="G4374" s="2" t="s">
        <v>9583</v>
      </c>
      <c r="H4374" s="2" t="s">
        <v>2049</v>
      </c>
      <c r="I4374" s="2" t="s">
        <v>32</v>
      </c>
      <c r="J4374" s="3">
        <v>44068</v>
      </c>
      <c r="K4374" s="2">
        <v>63</v>
      </c>
      <c r="L4374" s="2" t="s">
        <v>39</v>
      </c>
    </row>
    <row r="4375" spans="1:12" x14ac:dyDescent="0.3">
      <c r="A4375" s="2">
        <v>4364</v>
      </c>
      <c r="B4375" s="2" t="s">
        <v>6272</v>
      </c>
      <c r="C4375" s="2" t="s">
        <v>3527</v>
      </c>
      <c r="D4375" s="2" t="s">
        <v>15</v>
      </c>
      <c r="E4375" s="2" t="s">
        <v>16</v>
      </c>
      <c r="F4375" s="2">
        <v>90</v>
      </c>
      <c r="G4375" s="2" t="s">
        <v>9584</v>
      </c>
      <c r="H4375" s="2" t="s">
        <v>3866</v>
      </c>
      <c r="I4375" s="2" t="s">
        <v>32</v>
      </c>
      <c r="J4375" s="3">
        <v>44230</v>
      </c>
      <c r="K4375" s="2">
        <v>61</v>
      </c>
      <c r="L4375" s="2" t="s">
        <v>159</v>
      </c>
    </row>
    <row r="4376" spans="1:12" x14ac:dyDescent="0.3">
      <c r="A4376" s="2">
        <v>4365</v>
      </c>
      <c r="B4376" s="2" t="s">
        <v>9227</v>
      </c>
      <c r="C4376" s="2" t="s">
        <v>3210</v>
      </c>
      <c r="D4376" s="2" t="s">
        <v>15</v>
      </c>
      <c r="E4376" s="2" t="s">
        <v>16</v>
      </c>
      <c r="F4376" s="2">
        <v>30</v>
      </c>
      <c r="G4376" s="2" t="s">
        <v>10649</v>
      </c>
      <c r="H4376" s="2" t="s">
        <v>1761</v>
      </c>
      <c r="I4376" s="2" t="s">
        <v>38</v>
      </c>
      <c r="J4376" s="3">
        <v>43866</v>
      </c>
      <c r="K4376" s="2">
        <v>44</v>
      </c>
      <c r="L4376" s="2" t="s">
        <v>159</v>
      </c>
    </row>
    <row r="4377" spans="1:12" x14ac:dyDescent="0.3">
      <c r="A4377" s="2">
        <v>4366</v>
      </c>
      <c r="B4377" s="2" t="s">
        <v>9586</v>
      </c>
      <c r="C4377" s="2" t="s">
        <v>7482</v>
      </c>
      <c r="D4377" s="2" t="s">
        <v>15</v>
      </c>
      <c r="E4377" s="2" t="s">
        <v>16</v>
      </c>
      <c r="F4377" s="2">
        <v>30</v>
      </c>
      <c r="G4377" s="2" t="s">
        <v>9587</v>
      </c>
      <c r="H4377" s="2" t="s">
        <v>4484</v>
      </c>
      <c r="I4377" s="2" t="s">
        <v>32</v>
      </c>
      <c r="J4377" s="3">
        <v>44878</v>
      </c>
      <c r="K4377" s="2">
        <v>57</v>
      </c>
      <c r="L4377" s="2" t="s">
        <v>64</v>
      </c>
    </row>
    <row r="4378" spans="1:12" x14ac:dyDescent="0.3">
      <c r="A4378" s="2">
        <v>4367</v>
      </c>
      <c r="B4378" s="2" t="s">
        <v>2527</v>
      </c>
      <c r="C4378" s="2" t="s">
        <v>808</v>
      </c>
      <c r="D4378" s="2" t="s">
        <v>28</v>
      </c>
      <c r="E4378" s="2" t="s">
        <v>29</v>
      </c>
      <c r="F4378" s="2">
        <v>30</v>
      </c>
      <c r="G4378" s="2" t="s">
        <v>9588</v>
      </c>
      <c r="H4378" s="2" t="s">
        <v>1135</v>
      </c>
      <c r="I4378" s="2" t="s">
        <v>38</v>
      </c>
      <c r="J4378" s="3">
        <v>44514</v>
      </c>
      <c r="K4378" s="2">
        <v>57</v>
      </c>
      <c r="L4378" s="2" t="s">
        <v>33</v>
      </c>
    </row>
    <row r="4379" spans="1:12" x14ac:dyDescent="0.3">
      <c r="A4379" s="2">
        <v>4368</v>
      </c>
      <c r="B4379" s="2" t="s">
        <v>2707</v>
      </c>
      <c r="C4379" s="2" t="s">
        <v>1528</v>
      </c>
      <c r="D4379" s="2" t="s">
        <v>41</v>
      </c>
      <c r="E4379" s="2" t="s">
        <v>16</v>
      </c>
      <c r="F4379" s="2">
        <v>90</v>
      </c>
      <c r="G4379" s="2" t="s">
        <v>9589</v>
      </c>
      <c r="H4379" s="2" t="s">
        <v>768</v>
      </c>
      <c r="I4379" s="2" t="s">
        <v>124</v>
      </c>
      <c r="J4379" s="3">
        <v>43949</v>
      </c>
      <c r="K4379" s="2">
        <v>68</v>
      </c>
      <c r="L4379" s="2" t="s">
        <v>101</v>
      </c>
    </row>
    <row r="4380" spans="1:12" x14ac:dyDescent="0.3">
      <c r="A4380" s="2">
        <v>4369</v>
      </c>
      <c r="B4380" s="2" t="s">
        <v>9590</v>
      </c>
      <c r="C4380" s="2" t="s">
        <v>2485</v>
      </c>
      <c r="D4380" s="2" t="s">
        <v>51</v>
      </c>
      <c r="E4380" s="2" t="s">
        <v>16</v>
      </c>
      <c r="F4380" s="2">
        <v>90</v>
      </c>
      <c r="G4380" s="2" t="s">
        <v>9591</v>
      </c>
      <c r="H4380" s="2" t="s">
        <v>5466</v>
      </c>
      <c r="I4380" s="2" t="s">
        <v>95</v>
      </c>
      <c r="J4380" s="3">
        <v>44603</v>
      </c>
      <c r="K4380" s="2">
        <v>12</v>
      </c>
      <c r="L4380" s="2" t="s">
        <v>64</v>
      </c>
    </row>
    <row r="4381" spans="1:12" x14ac:dyDescent="0.3">
      <c r="A4381" s="2">
        <v>4370</v>
      </c>
      <c r="B4381" s="2" t="s">
        <v>4218</v>
      </c>
      <c r="C4381" s="2" t="s">
        <v>1075</v>
      </c>
      <c r="D4381" s="2" t="s">
        <v>28</v>
      </c>
      <c r="E4381" s="2" t="s">
        <v>29</v>
      </c>
      <c r="F4381" s="2">
        <v>90</v>
      </c>
      <c r="G4381" s="2" t="s">
        <v>9592</v>
      </c>
      <c r="H4381" s="2" t="s">
        <v>1757</v>
      </c>
      <c r="I4381" s="2" t="s">
        <v>294</v>
      </c>
      <c r="J4381" s="3">
        <v>44411</v>
      </c>
      <c r="K4381" s="2">
        <v>56</v>
      </c>
      <c r="L4381" s="2" t="s">
        <v>54</v>
      </c>
    </row>
    <row r="4382" spans="1:12" x14ac:dyDescent="0.3">
      <c r="A4382" s="2">
        <v>4371</v>
      </c>
      <c r="B4382" s="2" t="s">
        <v>964</v>
      </c>
      <c r="C4382" s="2" t="s">
        <v>2824</v>
      </c>
      <c r="D4382" s="2" t="s">
        <v>28</v>
      </c>
      <c r="E4382" s="2" t="s">
        <v>29</v>
      </c>
      <c r="F4382" s="2">
        <v>60</v>
      </c>
      <c r="G4382" s="2" t="s">
        <v>9593</v>
      </c>
      <c r="H4382" s="2" t="s">
        <v>534</v>
      </c>
      <c r="I4382" s="2" t="s">
        <v>32</v>
      </c>
      <c r="J4382" s="3">
        <v>44640</v>
      </c>
      <c r="K4382" s="2">
        <v>56</v>
      </c>
      <c r="L4382" s="2" t="s">
        <v>64</v>
      </c>
    </row>
    <row r="4383" spans="1:12" x14ac:dyDescent="0.3">
      <c r="A4383" s="2">
        <v>4372</v>
      </c>
      <c r="B4383" s="2" t="s">
        <v>9594</v>
      </c>
      <c r="C4383" s="2" t="s">
        <v>4307</v>
      </c>
      <c r="D4383" s="2" t="s">
        <v>28</v>
      </c>
      <c r="E4383" s="2" t="s">
        <v>29</v>
      </c>
      <c r="F4383" s="2">
        <v>90</v>
      </c>
      <c r="G4383" s="2" t="s">
        <v>9595</v>
      </c>
      <c r="H4383" s="2" t="s">
        <v>714</v>
      </c>
      <c r="I4383" s="2" t="s">
        <v>38</v>
      </c>
      <c r="J4383" s="3">
        <v>44879</v>
      </c>
      <c r="K4383" s="2">
        <v>97</v>
      </c>
      <c r="L4383" s="2" t="s">
        <v>159</v>
      </c>
    </row>
    <row r="4384" spans="1:12" x14ac:dyDescent="0.3">
      <c r="A4384" s="2">
        <v>4373</v>
      </c>
      <c r="B4384" s="2" t="s">
        <v>8044</v>
      </c>
      <c r="C4384" s="2" t="s">
        <v>5381</v>
      </c>
      <c r="D4384" s="2" t="s">
        <v>41</v>
      </c>
      <c r="E4384" s="2" t="s">
        <v>16</v>
      </c>
      <c r="F4384" s="2">
        <v>60</v>
      </c>
      <c r="G4384" s="2" t="s">
        <v>9596</v>
      </c>
      <c r="H4384" s="2" t="s">
        <v>644</v>
      </c>
      <c r="I4384" s="2" t="s">
        <v>645</v>
      </c>
      <c r="J4384" s="3">
        <v>44245</v>
      </c>
      <c r="K4384" s="2">
        <v>86</v>
      </c>
      <c r="L4384" s="2" t="s">
        <v>33</v>
      </c>
    </row>
    <row r="4385" spans="1:12" x14ac:dyDescent="0.3">
      <c r="A4385" s="2">
        <v>4374</v>
      </c>
      <c r="B4385" s="2" t="s">
        <v>1229</v>
      </c>
      <c r="C4385" s="2" t="s">
        <v>983</v>
      </c>
      <c r="D4385" s="2" t="s">
        <v>28</v>
      </c>
      <c r="E4385" s="2" t="s">
        <v>29</v>
      </c>
      <c r="F4385" s="2">
        <v>90</v>
      </c>
      <c r="G4385" s="2" t="s">
        <v>9599</v>
      </c>
      <c r="H4385" s="2" t="s">
        <v>6551</v>
      </c>
      <c r="I4385" s="2" t="s">
        <v>178</v>
      </c>
      <c r="J4385" s="3">
        <v>44006</v>
      </c>
      <c r="K4385" s="2">
        <v>50</v>
      </c>
      <c r="L4385" s="2" t="s">
        <v>64</v>
      </c>
    </row>
    <row r="4386" spans="1:12" x14ac:dyDescent="0.3">
      <c r="A4386" s="2">
        <v>4375</v>
      </c>
      <c r="B4386" s="2" t="s">
        <v>5179</v>
      </c>
      <c r="C4386" s="2" t="s">
        <v>9600</v>
      </c>
      <c r="D4386" s="2" t="s">
        <v>15</v>
      </c>
      <c r="E4386" s="2" t="s">
        <v>16</v>
      </c>
      <c r="F4386" s="2">
        <v>30</v>
      </c>
      <c r="G4386" s="2" t="s">
        <v>9601</v>
      </c>
      <c r="H4386" s="2" t="s">
        <v>3870</v>
      </c>
      <c r="I4386" s="2" t="s">
        <v>124</v>
      </c>
      <c r="J4386" s="3">
        <v>43857</v>
      </c>
      <c r="K4386" s="2">
        <v>18</v>
      </c>
      <c r="L4386" s="2" t="s">
        <v>20</v>
      </c>
    </row>
    <row r="4387" spans="1:12" x14ac:dyDescent="0.3">
      <c r="A4387" s="2">
        <v>4376</v>
      </c>
      <c r="B4387" s="2" t="s">
        <v>3953</v>
      </c>
      <c r="C4387" s="2" t="s">
        <v>4037</v>
      </c>
      <c r="D4387" s="2" t="s">
        <v>28</v>
      </c>
      <c r="E4387" s="2" t="s">
        <v>29</v>
      </c>
      <c r="F4387" s="2">
        <v>60</v>
      </c>
      <c r="G4387" s="2" t="s">
        <v>9602</v>
      </c>
      <c r="H4387" s="2" t="s">
        <v>9603</v>
      </c>
      <c r="I4387" s="2" t="s">
        <v>32</v>
      </c>
      <c r="J4387" s="3">
        <v>44690</v>
      </c>
      <c r="K4387" s="2">
        <v>63</v>
      </c>
      <c r="L4387" s="2" t="s">
        <v>39</v>
      </c>
    </row>
    <row r="4388" spans="1:12" x14ac:dyDescent="0.3">
      <c r="A4388" s="2">
        <v>4377</v>
      </c>
      <c r="B4388" s="2" t="s">
        <v>9604</v>
      </c>
      <c r="C4388" s="2" t="s">
        <v>617</v>
      </c>
      <c r="D4388" s="2" t="s">
        <v>15</v>
      </c>
      <c r="E4388" s="2" t="s">
        <v>16</v>
      </c>
      <c r="F4388" s="2">
        <v>90</v>
      </c>
      <c r="G4388" s="2" t="s">
        <v>9605</v>
      </c>
      <c r="H4388" s="2" t="s">
        <v>1884</v>
      </c>
      <c r="I4388" s="2" t="s">
        <v>1885</v>
      </c>
      <c r="J4388" s="3">
        <v>44073</v>
      </c>
      <c r="K4388" s="2">
        <v>23</v>
      </c>
      <c r="L4388" s="2" t="s">
        <v>20</v>
      </c>
    </row>
    <row r="4389" spans="1:12" x14ac:dyDescent="0.3">
      <c r="A4389" s="2">
        <v>4378</v>
      </c>
      <c r="B4389" s="2" t="s">
        <v>280</v>
      </c>
      <c r="C4389" s="2" t="s">
        <v>4102</v>
      </c>
      <c r="D4389" s="2" t="s">
        <v>41</v>
      </c>
      <c r="E4389" s="2" t="s">
        <v>16</v>
      </c>
      <c r="F4389" s="2">
        <v>90</v>
      </c>
      <c r="G4389" s="2" t="s">
        <v>10582</v>
      </c>
      <c r="H4389" s="2" t="s">
        <v>356</v>
      </c>
      <c r="I4389" s="2" t="s">
        <v>178</v>
      </c>
      <c r="J4389" s="3">
        <v>44236</v>
      </c>
      <c r="K4389" s="2">
        <v>27</v>
      </c>
      <c r="L4389" s="2" t="s">
        <v>39</v>
      </c>
    </row>
    <row r="4390" spans="1:12" x14ac:dyDescent="0.3">
      <c r="A4390" s="2">
        <v>4379</v>
      </c>
      <c r="B4390" s="2" t="s">
        <v>375</v>
      </c>
      <c r="C4390" s="2" t="s">
        <v>540</v>
      </c>
      <c r="D4390" s="2" t="s">
        <v>28</v>
      </c>
      <c r="E4390" s="2" t="s">
        <v>29</v>
      </c>
      <c r="F4390" s="2">
        <v>30</v>
      </c>
      <c r="G4390" s="2" t="s">
        <v>9607</v>
      </c>
      <c r="H4390" s="2" t="s">
        <v>2667</v>
      </c>
      <c r="I4390" s="2" t="s">
        <v>187</v>
      </c>
      <c r="J4390" s="3">
        <v>44238</v>
      </c>
      <c r="K4390" s="2">
        <v>38</v>
      </c>
      <c r="L4390" s="2" t="s">
        <v>80</v>
      </c>
    </row>
    <row r="4391" spans="1:12" x14ac:dyDescent="0.3">
      <c r="A4391" s="2">
        <v>4380</v>
      </c>
      <c r="B4391" s="2" t="s">
        <v>4004</v>
      </c>
      <c r="C4391" s="2" t="s">
        <v>1159</v>
      </c>
      <c r="D4391" s="2" t="s">
        <v>28</v>
      </c>
      <c r="E4391" s="2" t="s">
        <v>29</v>
      </c>
      <c r="F4391" s="2">
        <v>90</v>
      </c>
      <c r="G4391" s="2" t="s">
        <v>9608</v>
      </c>
      <c r="H4391" s="2" t="s">
        <v>9609</v>
      </c>
      <c r="I4391" s="2" t="s">
        <v>19</v>
      </c>
      <c r="J4391" s="3">
        <v>44140</v>
      </c>
      <c r="K4391" s="2">
        <v>21</v>
      </c>
      <c r="L4391" s="2" t="s">
        <v>20</v>
      </c>
    </row>
    <row r="4392" spans="1:12" x14ac:dyDescent="0.3">
      <c r="A4392" s="2">
        <v>4381</v>
      </c>
      <c r="B4392" s="2" t="s">
        <v>6915</v>
      </c>
      <c r="C4392" s="2" t="s">
        <v>1786</v>
      </c>
      <c r="D4392" s="2" t="s">
        <v>28</v>
      </c>
      <c r="E4392" s="2" t="s">
        <v>29</v>
      </c>
      <c r="F4392" s="2">
        <v>60</v>
      </c>
      <c r="G4392" s="2" t="s">
        <v>9610</v>
      </c>
      <c r="H4392" s="2" t="s">
        <v>8824</v>
      </c>
      <c r="I4392" s="2" t="s">
        <v>3898</v>
      </c>
      <c r="J4392" s="3">
        <v>44241</v>
      </c>
      <c r="K4392" s="2">
        <v>2</v>
      </c>
      <c r="L4392" s="2" t="s">
        <v>80</v>
      </c>
    </row>
    <row r="4393" spans="1:12" x14ac:dyDescent="0.3">
      <c r="A4393" s="2">
        <v>4382</v>
      </c>
      <c r="B4393" s="2" t="s">
        <v>9611</v>
      </c>
      <c r="C4393" s="2" t="s">
        <v>896</v>
      </c>
      <c r="D4393" s="2" t="s">
        <v>15</v>
      </c>
      <c r="E4393" s="2" t="s">
        <v>16</v>
      </c>
      <c r="F4393" s="2">
        <v>90</v>
      </c>
      <c r="G4393" s="2" t="s">
        <v>9612</v>
      </c>
      <c r="H4393" s="2" t="s">
        <v>3208</v>
      </c>
      <c r="I4393" s="2" t="s">
        <v>32</v>
      </c>
      <c r="J4393" s="3">
        <v>44448</v>
      </c>
      <c r="K4393" s="2">
        <v>52</v>
      </c>
      <c r="L4393" s="2" t="s">
        <v>101</v>
      </c>
    </row>
    <row r="4394" spans="1:12" x14ac:dyDescent="0.3">
      <c r="A4394" s="2">
        <v>4383</v>
      </c>
      <c r="B4394" s="2" t="s">
        <v>2951</v>
      </c>
      <c r="C4394" s="2" t="s">
        <v>8565</v>
      </c>
      <c r="D4394" s="2" t="s">
        <v>28</v>
      </c>
      <c r="E4394" s="2" t="s">
        <v>29</v>
      </c>
      <c r="F4394" s="2">
        <v>60</v>
      </c>
      <c r="G4394" s="2" t="s">
        <v>9613</v>
      </c>
      <c r="H4394" s="2" t="s">
        <v>9614</v>
      </c>
      <c r="I4394" s="2" t="s">
        <v>294</v>
      </c>
      <c r="J4394" s="3">
        <v>44733</v>
      </c>
      <c r="K4394" s="2">
        <v>33</v>
      </c>
      <c r="L4394" s="2" t="s">
        <v>54</v>
      </c>
    </row>
    <row r="4395" spans="1:12" x14ac:dyDescent="0.3">
      <c r="A4395" s="2">
        <v>4384</v>
      </c>
      <c r="B4395" s="2" t="s">
        <v>3515</v>
      </c>
      <c r="C4395" s="2" t="s">
        <v>6465</v>
      </c>
      <c r="D4395" s="2" t="s">
        <v>15</v>
      </c>
      <c r="E4395" s="2" t="s">
        <v>16</v>
      </c>
      <c r="F4395" s="2">
        <v>30</v>
      </c>
      <c r="G4395" s="2" t="s">
        <v>9615</v>
      </c>
      <c r="H4395" s="2" t="s">
        <v>2688</v>
      </c>
      <c r="I4395" s="2" t="s">
        <v>1199</v>
      </c>
      <c r="J4395" s="3">
        <v>44907</v>
      </c>
      <c r="K4395" s="2">
        <v>11</v>
      </c>
      <c r="L4395" s="2" t="s">
        <v>101</v>
      </c>
    </row>
    <row r="4396" spans="1:12" x14ac:dyDescent="0.3">
      <c r="A4396" s="2">
        <v>4385</v>
      </c>
      <c r="B4396" s="2" t="s">
        <v>7218</v>
      </c>
      <c r="C4396" s="2" t="s">
        <v>3496</v>
      </c>
      <c r="D4396" s="2" t="s">
        <v>28</v>
      </c>
      <c r="E4396" s="2" t="s">
        <v>29</v>
      </c>
      <c r="F4396" s="2">
        <v>30</v>
      </c>
      <c r="G4396" s="2" t="s">
        <v>9616</v>
      </c>
      <c r="H4396" s="2" t="s">
        <v>1430</v>
      </c>
      <c r="I4396" s="2" t="s">
        <v>32</v>
      </c>
      <c r="J4396" s="3">
        <v>44535</v>
      </c>
      <c r="K4396" s="2">
        <v>13</v>
      </c>
      <c r="L4396" s="2" t="s">
        <v>45</v>
      </c>
    </row>
    <row r="4397" spans="1:12" x14ac:dyDescent="0.3">
      <c r="A4397" s="2">
        <v>4386</v>
      </c>
      <c r="B4397" s="2" t="s">
        <v>2246</v>
      </c>
      <c r="C4397" s="2" t="s">
        <v>722</v>
      </c>
      <c r="D4397" s="2" t="s">
        <v>28</v>
      </c>
      <c r="E4397" s="2" t="s">
        <v>29</v>
      </c>
      <c r="F4397" s="2">
        <v>60</v>
      </c>
      <c r="G4397" s="2" t="s">
        <v>9617</v>
      </c>
      <c r="H4397" s="2" t="s">
        <v>4541</v>
      </c>
      <c r="I4397" s="2" t="s">
        <v>89</v>
      </c>
      <c r="J4397" s="3">
        <v>44757</v>
      </c>
      <c r="K4397" s="2">
        <v>43</v>
      </c>
      <c r="L4397" s="2" t="s">
        <v>101</v>
      </c>
    </row>
    <row r="4398" spans="1:12" x14ac:dyDescent="0.3">
      <c r="A4398" s="2">
        <v>4387</v>
      </c>
      <c r="B4398" s="2" t="s">
        <v>1765</v>
      </c>
      <c r="C4398" s="2" t="s">
        <v>340</v>
      </c>
      <c r="D4398" s="2" t="s">
        <v>28</v>
      </c>
      <c r="E4398" s="2" t="s">
        <v>29</v>
      </c>
      <c r="F4398" s="2">
        <v>90</v>
      </c>
      <c r="G4398" s="2" t="s">
        <v>9618</v>
      </c>
      <c r="H4398" s="2" t="s">
        <v>207</v>
      </c>
      <c r="I4398" s="2" t="s">
        <v>208</v>
      </c>
      <c r="J4398" s="3">
        <v>44070</v>
      </c>
      <c r="K4398" s="2">
        <v>46</v>
      </c>
      <c r="L4398" s="2" t="s">
        <v>70</v>
      </c>
    </row>
    <row r="4399" spans="1:12" x14ac:dyDescent="0.3">
      <c r="A4399" s="2">
        <v>4388</v>
      </c>
      <c r="B4399" s="2" t="s">
        <v>4052</v>
      </c>
      <c r="C4399" s="2" t="s">
        <v>9619</v>
      </c>
      <c r="D4399" s="2" t="s">
        <v>28</v>
      </c>
      <c r="E4399" s="2" t="s">
        <v>29</v>
      </c>
      <c r="F4399" s="2">
        <v>30</v>
      </c>
      <c r="G4399" s="2" t="s">
        <v>9620</v>
      </c>
      <c r="H4399" s="2" t="s">
        <v>3799</v>
      </c>
      <c r="I4399" s="2" t="s">
        <v>32</v>
      </c>
      <c r="J4399" s="3">
        <v>44779</v>
      </c>
      <c r="K4399" s="2">
        <v>80</v>
      </c>
      <c r="L4399" s="2" t="s">
        <v>64</v>
      </c>
    </row>
    <row r="4400" spans="1:12" x14ac:dyDescent="0.3">
      <c r="A4400" s="2">
        <v>4389</v>
      </c>
      <c r="B4400" s="2" t="s">
        <v>9621</v>
      </c>
      <c r="C4400" s="2" t="s">
        <v>8632</v>
      </c>
      <c r="D4400" s="2" t="s">
        <v>15</v>
      </c>
      <c r="E4400" s="2" t="s">
        <v>16</v>
      </c>
      <c r="F4400" s="2">
        <v>60</v>
      </c>
      <c r="G4400" s="2" t="s">
        <v>9622</v>
      </c>
      <c r="H4400" s="2" t="s">
        <v>2141</v>
      </c>
      <c r="I4400" s="2" t="s">
        <v>1078</v>
      </c>
      <c r="J4400" s="3">
        <v>44268</v>
      </c>
      <c r="K4400" s="2">
        <v>58</v>
      </c>
      <c r="L4400" s="2" t="s">
        <v>20</v>
      </c>
    </row>
    <row r="4401" spans="1:12" x14ac:dyDescent="0.3">
      <c r="A4401" s="2">
        <v>4390</v>
      </c>
      <c r="B4401" s="2" t="s">
        <v>9623</v>
      </c>
      <c r="C4401" s="2" t="s">
        <v>9624</v>
      </c>
      <c r="D4401" s="2" t="s">
        <v>15</v>
      </c>
      <c r="E4401" s="2" t="s">
        <v>16</v>
      </c>
      <c r="F4401" s="2">
        <v>90</v>
      </c>
      <c r="G4401" s="2" t="s">
        <v>9622</v>
      </c>
      <c r="H4401" s="2" t="s">
        <v>109</v>
      </c>
      <c r="I4401" s="2" t="s">
        <v>110</v>
      </c>
      <c r="J4401" s="3">
        <v>44476</v>
      </c>
      <c r="K4401" s="2">
        <v>48</v>
      </c>
      <c r="L4401" s="2" t="s">
        <v>64</v>
      </c>
    </row>
    <row r="4402" spans="1:12" x14ac:dyDescent="0.3">
      <c r="A4402" s="2">
        <v>4391</v>
      </c>
      <c r="B4402" s="2" t="s">
        <v>2206</v>
      </c>
      <c r="C4402" s="2" t="s">
        <v>4732</v>
      </c>
      <c r="D4402" s="2" t="s">
        <v>28</v>
      </c>
      <c r="E4402" s="2" t="s">
        <v>29</v>
      </c>
      <c r="F4402" s="2">
        <v>90</v>
      </c>
      <c r="G4402" s="2" t="s">
        <v>9625</v>
      </c>
      <c r="H4402" s="2" t="s">
        <v>2401</v>
      </c>
      <c r="I4402" s="2" t="s">
        <v>178</v>
      </c>
      <c r="J4402" s="3">
        <v>44272</v>
      </c>
      <c r="K4402" s="2">
        <v>57</v>
      </c>
      <c r="L4402" s="2" t="s">
        <v>39</v>
      </c>
    </row>
    <row r="4403" spans="1:12" x14ac:dyDescent="0.3">
      <c r="A4403" s="2">
        <v>4392</v>
      </c>
      <c r="B4403" s="2" t="s">
        <v>9626</v>
      </c>
      <c r="C4403" s="2" t="s">
        <v>7973</v>
      </c>
      <c r="D4403" s="2" t="s">
        <v>51</v>
      </c>
      <c r="E4403" s="2" t="s">
        <v>16</v>
      </c>
      <c r="F4403" s="2">
        <v>30</v>
      </c>
      <c r="G4403" s="2" t="s">
        <v>9627</v>
      </c>
      <c r="H4403" s="2" t="s">
        <v>726</v>
      </c>
      <c r="I4403" s="2" t="s">
        <v>32</v>
      </c>
      <c r="J4403" s="3">
        <v>44187</v>
      </c>
      <c r="K4403" s="2">
        <v>7</v>
      </c>
      <c r="L4403" s="2" t="s">
        <v>54</v>
      </c>
    </row>
    <row r="4404" spans="1:12" x14ac:dyDescent="0.3">
      <c r="A4404" s="2">
        <v>4393</v>
      </c>
      <c r="B4404" s="2" t="s">
        <v>8149</v>
      </c>
      <c r="C4404" s="2" t="s">
        <v>6704</v>
      </c>
      <c r="D4404" s="2" t="s">
        <v>92</v>
      </c>
      <c r="E4404" s="2" t="s">
        <v>29</v>
      </c>
      <c r="F4404" s="2">
        <v>90</v>
      </c>
      <c r="G4404" s="2" t="s">
        <v>9628</v>
      </c>
      <c r="H4404" s="2" t="s">
        <v>768</v>
      </c>
      <c r="I4404" s="2" t="s">
        <v>124</v>
      </c>
      <c r="J4404" s="3">
        <v>44859</v>
      </c>
      <c r="K4404" s="2">
        <v>21</v>
      </c>
      <c r="L4404" s="2" t="s">
        <v>101</v>
      </c>
    </row>
    <row r="4405" spans="1:12" x14ac:dyDescent="0.3">
      <c r="A4405" s="2">
        <v>4394</v>
      </c>
      <c r="B4405" s="2" t="s">
        <v>6358</v>
      </c>
      <c r="C4405" s="2" t="s">
        <v>949</v>
      </c>
      <c r="D4405" s="2" t="s">
        <v>28</v>
      </c>
      <c r="E4405" s="2" t="s">
        <v>29</v>
      </c>
      <c r="F4405" s="2">
        <v>60</v>
      </c>
      <c r="G4405" s="2" t="s">
        <v>9629</v>
      </c>
      <c r="H4405" s="2" t="s">
        <v>412</v>
      </c>
      <c r="I4405" s="2" t="s">
        <v>187</v>
      </c>
      <c r="J4405" s="3">
        <v>44284</v>
      </c>
      <c r="K4405" s="2">
        <v>95</v>
      </c>
      <c r="L4405" s="2" t="s">
        <v>54</v>
      </c>
    </row>
    <row r="4406" spans="1:12" x14ac:dyDescent="0.3">
      <c r="A4406" s="2">
        <v>4395</v>
      </c>
      <c r="B4406" s="2" t="s">
        <v>8664</v>
      </c>
      <c r="C4406" s="2" t="s">
        <v>6255</v>
      </c>
      <c r="D4406" s="2" t="s">
        <v>51</v>
      </c>
      <c r="E4406" s="2" t="s">
        <v>16</v>
      </c>
      <c r="F4406" s="2">
        <v>30</v>
      </c>
      <c r="G4406" s="2" t="s">
        <v>9630</v>
      </c>
      <c r="H4406" s="2" t="s">
        <v>1099</v>
      </c>
      <c r="I4406" s="2" t="s">
        <v>25</v>
      </c>
      <c r="J4406" s="3">
        <v>44691</v>
      </c>
      <c r="K4406" s="2">
        <v>74</v>
      </c>
      <c r="L4406" s="2" t="s">
        <v>159</v>
      </c>
    </row>
    <row r="4407" spans="1:12" x14ac:dyDescent="0.3">
      <c r="A4407" s="2">
        <v>4396</v>
      </c>
      <c r="B4407" s="2" t="s">
        <v>5421</v>
      </c>
      <c r="C4407" s="2" t="s">
        <v>3529</v>
      </c>
      <c r="D4407" s="2" t="s">
        <v>28</v>
      </c>
      <c r="E4407" s="2" t="s">
        <v>29</v>
      </c>
      <c r="F4407" s="2">
        <v>60</v>
      </c>
      <c r="G4407" s="2" t="s">
        <v>9631</v>
      </c>
      <c r="H4407" s="2" t="s">
        <v>1601</v>
      </c>
      <c r="I4407" s="2" t="s">
        <v>32</v>
      </c>
      <c r="J4407" s="3">
        <v>44169</v>
      </c>
      <c r="K4407" s="2">
        <v>5</v>
      </c>
      <c r="L4407" s="2" t="s">
        <v>80</v>
      </c>
    </row>
    <row r="4408" spans="1:12" x14ac:dyDescent="0.3">
      <c r="A4408" s="2">
        <v>4397</v>
      </c>
      <c r="B4408" s="2" t="s">
        <v>2829</v>
      </c>
      <c r="C4408" s="2" t="s">
        <v>1188</v>
      </c>
      <c r="D4408" s="2" t="s">
        <v>28</v>
      </c>
      <c r="E4408" s="2" t="s">
        <v>29</v>
      </c>
      <c r="F4408" s="2">
        <v>60</v>
      </c>
      <c r="G4408" s="2" t="s">
        <v>9632</v>
      </c>
      <c r="H4408" s="2" t="s">
        <v>1005</v>
      </c>
      <c r="I4408" s="2" t="s">
        <v>178</v>
      </c>
      <c r="J4408" s="3">
        <v>44913</v>
      </c>
      <c r="K4408" s="2">
        <v>33</v>
      </c>
      <c r="L4408" s="2" t="s">
        <v>33</v>
      </c>
    </row>
    <row r="4409" spans="1:12" x14ac:dyDescent="0.3">
      <c r="A4409" s="2">
        <v>4398</v>
      </c>
      <c r="B4409" s="2" t="s">
        <v>504</v>
      </c>
      <c r="C4409" s="2" t="s">
        <v>609</v>
      </c>
      <c r="D4409" s="2" t="s">
        <v>51</v>
      </c>
      <c r="E4409" s="2" t="s">
        <v>16</v>
      </c>
      <c r="F4409" s="2">
        <v>90</v>
      </c>
      <c r="G4409" s="2" t="s">
        <v>9633</v>
      </c>
      <c r="H4409" s="2" t="s">
        <v>2720</v>
      </c>
      <c r="I4409" s="2" t="s">
        <v>32</v>
      </c>
      <c r="J4409" s="3">
        <v>43931</v>
      </c>
      <c r="K4409" s="2">
        <v>45</v>
      </c>
      <c r="L4409" s="2" t="s">
        <v>159</v>
      </c>
    </row>
    <row r="4410" spans="1:12" x14ac:dyDescent="0.3">
      <c r="A4410" s="2">
        <v>4399</v>
      </c>
      <c r="B4410" s="2" t="s">
        <v>8151</v>
      </c>
      <c r="C4410" s="2" t="s">
        <v>2853</v>
      </c>
      <c r="D4410" s="2" t="s">
        <v>28</v>
      </c>
      <c r="E4410" s="2" t="s">
        <v>29</v>
      </c>
      <c r="F4410" s="2">
        <v>60</v>
      </c>
      <c r="G4410" s="2" t="s">
        <v>9634</v>
      </c>
      <c r="H4410" s="2" t="s">
        <v>1306</v>
      </c>
      <c r="I4410" s="2" t="s">
        <v>32</v>
      </c>
      <c r="J4410" s="3">
        <v>44560</v>
      </c>
      <c r="K4410" s="2">
        <v>61</v>
      </c>
      <c r="L4410" s="2" t="s">
        <v>39</v>
      </c>
    </row>
    <row r="4411" spans="1:12" x14ac:dyDescent="0.3">
      <c r="A4411" s="2">
        <v>4400</v>
      </c>
      <c r="B4411" s="2" t="s">
        <v>3496</v>
      </c>
      <c r="C4411" s="2" t="s">
        <v>9635</v>
      </c>
      <c r="D4411" s="2" t="s">
        <v>28</v>
      </c>
      <c r="E4411" s="2" t="s">
        <v>29</v>
      </c>
      <c r="F4411" s="2">
        <v>90</v>
      </c>
      <c r="G4411" s="2" t="s">
        <v>9636</v>
      </c>
      <c r="H4411" s="2" t="s">
        <v>1253</v>
      </c>
      <c r="I4411" s="2" t="s">
        <v>32</v>
      </c>
      <c r="J4411" s="3">
        <v>44430</v>
      </c>
      <c r="K4411" s="2">
        <v>5</v>
      </c>
      <c r="L4411" s="2" t="s">
        <v>33</v>
      </c>
    </row>
    <row r="4412" spans="1:12" x14ac:dyDescent="0.3">
      <c r="A4412" s="2">
        <v>4401</v>
      </c>
      <c r="B4412" s="2" t="s">
        <v>9637</v>
      </c>
      <c r="C4412" s="2" t="s">
        <v>3913</v>
      </c>
      <c r="D4412" s="2" t="s">
        <v>15</v>
      </c>
      <c r="E4412" s="2" t="s">
        <v>16</v>
      </c>
      <c r="F4412" s="2">
        <v>90</v>
      </c>
      <c r="G4412" s="2" t="s">
        <v>9638</v>
      </c>
      <c r="H4412" s="2" t="s">
        <v>1138</v>
      </c>
      <c r="I4412" s="2" t="s">
        <v>124</v>
      </c>
      <c r="J4412" s="3">
        <v>44040</v>
      </c>
      <c r="K4412" s="2">
        <v>50</v>
      </c>
      <c r="L4412" s="2" t="s">
        <v>20</v>
      </c>
    </row>
    <row r="4413" spans="1:12" x14ac:dyDescent="0.3">
      <c r="A4413" s="2">
        <v>4402</v>
      </c>
      <c r="B4413" s="2" t="s">
        <v>2962</v>
      </c>
      <c r="C4413" s="2" t="s">
        <v>3454</v>
      </c>
      <c r="D4413" s="2" t="s">
        <v>28</v>
      </c>
      <c r="E4413" s="2" t="s">
        <v>29</v>
      </c>
      <c r="F4413" s="2">
        <v>60</v>
      </c>
      <c r="G4413" s="2" t="s">
        <v>9639</v>
      </c>
      <c r="H4413" s="2" t="s">
        <v>827</v>
      </c>
      <c r="I4413" s="2" t="s">
        <v>124</v>
      </c>
      <c r="J4413" s="3">
        <v>44324</v>
      </c>
      <c r="K4413" s="2">
        <v>47</v>
      </c>
      <c r="L4413" s="2" t="s">
        <v>39</v>
      </c>
    </row>
    <row r="4414" spans="1:12" x14ac:dyDescent="0.3">
      <c r="A4414" s="2">
        <v>4403</v>
      </c>
      <c r="B4414" s="2" t="s">
        <v>1464</v>
      </c>
      <c r="C4414" s="2" t="s">
        <v>5853</v>
      </c>
      <c r="D4414" s="2" t="s">
        <v>28</v>
      </c>
      <c r="E4414" s="2" t="s">
        <v>29</v>
      </c>
      <c r="F4414" s="2">
        <v>30</v>
      </c>
      <c r="G4414" s="2" t="s">
        <v>9640</v>
      </c>
      <c r="H4414" s="2" t="s">
        <v>3596</v>
      </c>
      <c r="I4414" s="2" t="s">
        <v>32</v>
      </c>
      <c r="J4414" s="3">
        <v>43985</v>
      </c>
      <c r="K4414" s="2">
        <v>34</v>
      </c>
      <c r="L4414" s="2" t="s">
        <v>45</v>
      </c>
    </row>
    <row r="4415" spans="1:12" x14ac:dyDescent="0.3">
      <c r="A4415" s="2">
        <v>4404</v>
      </c>
      <c r="B4415" s="2" t="s">
        <v>7782</v>
      </c>
      <c r="C4415" s="2" t="s">
        <v>3341</v>
      </c>
      <c r="D4415" s="2" t="s">
        <v>51</v>
      </c>
      <c r="E4415" s="2" t="s">
        <v>16</v>
      </c>
      <c r="F4415" s="2">
        <v>30</v>
      </c>
      <c r="G4415" s="2" t="s">
        <v>9641</v>
      </c>
      <c r="H4415" s="2" t="s">
        <v>1343</v>
      </c>
      <c r="I4415" s="2" t="s">
        <v>294</v>
      </c>
      <c r="J4415" s="3">
        <v>44636</v>
      </c>
      <c r="K4415" s="2">
        <v>76</v>
      </c>
      <c r="L4415" s="2" t="s">
        <v>80</v>
      </c>
    </row>
    <row r="4416" spans="1:12" x14ac:dyDescent="0.3">
      <c r="A4416" s="2">
        <v>4405</v>
      </c>
      <c r="B4416" s="2" t="s">
        <v>2915</v>
      </c>
      <c r="C4416" s="2" t="s">
        <v>5113</v>
      </c>
      <c r="D4416" s="2" t="s">
        <v>28</v>
      </c>
      <c r="E4416" s="2" t="s">
        <v>29</v>
      </c>
      <c r="F4416" s="2">
        <v>90</v>
      </c>
      <c r="G4416" s="2" t="s">
        <v>9642</v>
      </c>
      <c r="H4416" s="2" t="s">
        <v>6754</v>
      </c>
      <c r="I4416" s="2" t="s">
        <v>32</v>
      </c>
      <c r="J4416" s="3">
        <v>44850</v>
      </c>
      <c r="K4416" s="2">
        <v>43</v>
      </c>
      <c r="L4416" s="2" t="s">
        <v>80</v>
      </c>
    </row>
    <row r="4417" spans="1:12" x14ac:dyDescent="0.3">
      <c r="A4417" s="2">
        <v>4406</v>
      </c>
      <c r="B4417" s="2" t="s">
        <v>9643</v>
      </c>
      <c r="C4417" s="2" t="s">
        <v>3118</v>
      </c>
      <c r="D4417" s="2" t="s">
        <v>117</v>
      </c>
      <c r="E4417" s="2" t="s">
        <v>16</v>
      </c>
      <c r="F4417" s="2">
        <v>60</v>
      </c>
      <c r="G4417" s="2" t="s">
        <v>9644</v>
      </c>
      <c r="H4417" s="2" t="s">
        <v>877</v>
      </c>
      <c r="I4417" s="2" t="s">
        <v>32</v>
      </c>
      <c r="J4417" s="3">
        <v>44223</v>
      </c>
      <c r="K4417" s="2">
        <v>88</v>
      </c>
      <c r="L4417" s="2" t="s">
        <v>64</v>
      </c>
    </row>
    <row r="4418" spans="1:12" x14ac:dyDescent="0.3">
      <c r="A4418" s="2">
        <v>4407</v>
      </c>
      <c r="B4418" s="2" t="s">
        <v>7239</v>
      </c>
      <c r="C4418" s="2" t="s">
        <v>9645</v>
      </c>
      <c r="D4418" s="2" t="s">
        <v>28</v>
      </c>
      <c r="E4418" s="2" t="s">
        <v>29</v>
      </c>
      <c r="F4418" s="2">
        <v>30</v>
      </c>
      <c r="G4418" s="2" t="s">
        <v>9646</v>
      </c>
      <c r="H4418" s="2" t="s">
        <v>3713</v>
      </c>
      <c r="I4418" s="2" t="s">
        <v>32</v>
      </c>
      <c r="J4418" s="3">
        <v>44907</v>
      </c>
      <c r="K4418" s="2">
        <v>52</v>
      </c>
      <c r="L4418" s="2" t="s">
        <v>101</v>
      </c>
    </row>
    <row r="4419" spans="1:12" x14ac:dyDescent="0.3">
      <c r="A4419" s="2">
        <v>4408</v>
      </c>
      <c r="B4419" s="2" t="s">
        <v>9647</v>
      </c>
      <c r="C4419" s="2" t="s">
        <v>3750</v>
      </c>
      <c r="D4419" s="2" t="s">
        <v>15</v>
      </c>
      <c r="E4419" s="2" t="s">
        <v>16</v>
      </c>
      <c r="F4419" s="2">
        <v>90</v>
      </c>
      <c r="G4419" s="2" t="s">
        <v>9648</v>
      </c>
      <c r="H4419" s="2" t="s">
        <v>894</v>
      </c>
      <c r="I4419" s="2" t="s">
        <v>38</v>
      </c>
      <c r="J4419" s="3">
        <v>44399</v>
      </c>
      <c r="K4419" s="2">
        <v>79</v>
      </c>
      <c r="L4419" s="2" t="s">
        <v>159</v>
      </c>
    </row>
    <row r="4420" spans="1:12" x14ac:dyDescent="0.3">
      <c r="A4420" s="2">
        <v>4409</v>
      </c>
      <c r="B4420" s="2" t="s">
        <v>9649</v>
      </c>
      <c r="C4420" s="2" t="s">
        <v>580</v>
      </c>
      <c r="D4420" s="2" t="s">
        <v>28</v>
      </c>
      <c r="E4420" s="2" t="s">
        <v>29</v>
      </c>
      <c r="F4420" s="2">
        <v>90</v>
      </c>
      <c r="G4420" s="2" t="s">
        <v>9650</v>
      </c>
      <c r="H4420" s="2" t="s">
        <v>4631</v>
      </c>
      <c r="I4420" s="2" t="s">
        <v>187</v>
      </c>
      <c r="J4420" s="3">
        <v>43906</v>
      </c>
      <c r="K4420" s="2">
        <v>73</v>
      </c>
      <c r="L4420" s="2" t="s">
        <v>39</v>
      </c>
    </row>
    <row r="4421" spans="1:12" x14ac:dyDescent="0.3">
      <c r="A4421" s="2">
        <v>4410</v>
      </c>
      <c r="B4421" s="2" t="s">
        <v>6322</v>
      </c>
      <c r="C4421" s="2" t="s">
        <v>3286</v>
      </c>
      <c r="D4421" s="2" t="s">
        <v>28</v>
      </c>
      <c r="E4421" s="2" t="s">
        <v>29</v>
      </c>
      <c r="F4421" s="2">
        <v>90</v>
      </c>
      <c r="G4421" s="2" t="s">
        <v>9651</v>
      </c>
      <c r="H4421" s="2" t="s">
        <v>3399</v>
      </c>
      <c r="I4421" s="2" t="s">
        <v>124</v>
      </c>
      <c r="J4421" s="3">
        <v>44609</v>
      </c>
      <c r="K4421" s="2">
        <v>96</v>
      </c>
      <c r="L4421" s="2" t="s">
        <v>39</v>
      </c>
    </row>
    <row r="4422" spans="1:12" x14ac:dyDescent="0.3">
      <c r="A4422" s="2">
        <v>4411</v>
      </c>
      <c r="B4422" s="2" t="s">
        <v>2823</v>
      </c>
      <c r="C4422" s="2" t="s">
        <v>6355</v>
      </c>
      <c r="D4422" s="2" t="s">
        <v>28</v>
      </c>
      <c r="E4422" s="2" t="s">
        <v>29</v>
      </c>
      <c r="F4422" s="2">
        <v>90</v>
      </c>
      <c r="G4422" s="2" t="s">
        <v>9652</v>
      </c>
      <c r="H4422" s="2" t="s">
        <v>4699</v>
      </c>
      <c r="I4422" s="2" t="s">
        <v>32</v>
      </c>
      <c r="J4422" s="3">
        <v>44855</v>
      </c>
      <c r="K4422" s="2">
        <v>56</v>
      </c>
      <c r="L4422" s="2" t="s">
        <v>80</v>
      </c>
    </row>
    <row r="4423" spans="1:12" x14ac:dyDescent="0.3">
      <c r="A4423" s="2">
        <v>4412</v>
      </c>
      <c r="B4423" s="2" t="s">
        <v>2805</v>
      </c>
      <c r="C4423" s="2" t="s">
        <v>1517</v>
      </c>
      <c r="D4423" s="2" t="s">
        <v>28</v>
      </c>
      <c r="E4423" s="2" t="s">
        <v>29</v>
      </c>
      <c r="F4423" s="2">
        <v>30</v>
      </c>
      <c r="G4423" s="2" t="s">
        <v>9653</v>
      </c>
      <c r="H4423" s="2" t="s">
        <v>1505</v>
      </c>
      <c r="I4423" s="2" t="s">
        <v>32</v>
      </c>
      <c r="J4423" s="3">
        <v>44289</v>
      </c>
      <c r="K4423" s="2">
        <v>93</v>
      </c>
      <c r="L4423" s="2" t="s">
        <v>33</v>
      </c>
    </row>
    <row r="4424" spans="1:12" x14ac:dyDescent="0.3">
      <c r="A4424" s="2">
        <v>4413</v>
      </c>
      <c r="B4424" s="2" t="s">
        <v>9654</v>
      </c>
      <c r="C4424" s="2" t="s">
        <v>5824</v>
      </c>
      <c r="D4424" s="2" t="s">
        <v>51</v>
      </c>
      <c r="E4424" s="2" t="s">
        <v>16</v>
      </c>
      <c r="F4424" s="2">
        <v>90</v>
      </c>
      <c r="G4424" s="2" t="s">
        <v>9655</v>
      </c>
      <c r="H4424" s="2" t="s">
        <v>1333</v>
      </c>
      <c r="I4424" s="2" t="s">
        <v>294</v>
      </c>
      <c r="J4424" s="3">
        <v>43971</v>
      </c>
      <c r="K4424" s="2">
        <v>72</v>
      </c>
      <c r="L4424" s="2" t="s">
        <v>39</v>
      </c>
    </row>
    <row r="4425" spans="1:12" x14ac:dyDescent="0.3">
      <c r="A4425" s="2">
        <v>4414</v>
      </c>
      <c r="B4425" s="2" t="s">
        <v>9656</v>
      </c>
      <c r="C4425" s="2" t="s">
        <v>6131</v>
      </c>
      <c r="D4425" s="2" t="s">
        <v>41</v>
      </c>
      <c r="E4425" s="2" t="s">
        <v>16</v>
      </c>
      <c r="F4425" s="2">
        <v>60</v>
      </c>
      <c r="G4425" s="2" t="s">
        <v>9657</v>
      </c>
      <c r="H4425" s="2" t="s">
        <v>420</v>
      </c>
      <c r="I4425" s="2" t="s">
        <v>32</v>
      </c>
      <c r="J4425" s="3">
        <v>44033</v>
      </c>
      <c r="K4425" s="2">
        <v>9</v>
      </c>
      <c r="L4425" s="2" t="s">
        <v>80</v>
      </c>
    </row>
    <row r="4426" spans="1:12" x14ac:dyDescent="0.3">
      <c r="A4426" s="2">
        <v>4415</v>
      </c>
      <c r="B4426" s="2" t="s">
        <v>7846</v>
      </c>
      <c r="C4426" s="2" t="s">
        <v>1148</v>
      </c>
      <c r="D4426" s="2" t="s">
        <v>51</v>
      </c>
      <c r="E4426" s="2" t="s">
        <v>16</v>
      </c>
      <c r="F4426" s="2">
        <v>90</v>
      </c>
      <c r="G4426" s="2" t="s">
        <v>9659</v>
      </c>
      <c r="H4426" s="2" t="s">
        <v>4517</v>
      </c>
      <c r="I4426" s="2" t="s">
        <v>173</v>
      </c>
      <c r="J4426" s="3">
        <v>43912</v>
      </c>
      <c r="K4426" s="2">
        <v>46</v>
      </c>
      <c r="L4426" s="2" t="s">
        <v>101</v>
      </c>
    </row>
    <row r="4427" spans="1:12" x14ac:dyDescent="0.3">
      <c r="A4427" s="2">
        <v>4416</v>
      </c>
      <c r="B4427" s="2" t="s">
        <v>3065</v>
      </c>
      <c r="C4427" s="2" t="s">
        <v>1192</v>
      </c>
      <c r="D4427" s="2" t="s">
        <v>28</v>
      </c>
      <c r="E4427" s="2" t="s">
        <v>29</v>
      </c>
      <c r="F4427" s="2">
        <v>90</v>
      </c>
      <c r="G4427" s="2" t="s">
        <v>9659</v>
      </c>
      <c r="H4427" s="2" t="s">
        <v>2795</v>
      </c>
      <c r="I4427" s="2" t="s">
        <v>38</v>
      </c>
      <c r="J4427" s="3">
        <v>44881</v>
      </c>
      <c r="K4427" s="2">
        <v>72</v>
      </c>
      <c r="L4427" s="2" t="s">
        <v>45</v>
      </c>
    </row>
    <row r="4428" spans="1:12" x14ac:dyDescent="0.3">
      <c r="A4428" s="2">
        <v>4417</v>
      </c>
      <c r="B4428" s="2" t="s">
        <v>9660</v>
      </c>
      <c r="C4428" s="2" t="s">
        <v>260</v>
      </c>
      <c r="D4428" s="2" t="s">
        <v>15</v>
      </c>
      <c r="E4428" s="2" t="s">
        <v>16</v>
      </c>
      <c r="F4428" s="2">
        <v>60</v>
      </c>
      <c r="G4428" s="2" t="s">
        <v>9661</v>
      </c>
      <c r="H4428" s="2" t="s">
        <v>3870</v>
      </c>
      <c r="I4428" s="2" t="s">
        <v>124</v>
      </c>
      <c r="J4428" s="3">
        <v>44731</v>
      </c>
      <c r="K4428" s="2">
        <v>84</v>
      </c>
      <c r="L4428" s="2" t="s">
        <v>39</v>
      </c>
    </row>
    <row r="4429" spans="1:12" x14ac:dyDescent="0.3">
      <c r="A4429" s="2">
        <v>4418</v>
      </c>
      <c r="B4429" s="2" t="s">
        <v>9662</v>
      </c>
      <c r="C4429" s="2" t="s">
        <v>7251</v>
      </c>
      <c r="D4429" s="2" t="s">
        <v>15</v>
      </c>
      <c r="E4429" s="2" t="s">
        <v>16</v>
      </c>
      <c r="F4429" s="2">
        <v>60</v>
      </c>
      <c r="G4429" s="2" t="s">
        <v>9663</v>
      </c>
      <c r="H4429" s="2" t="s">
        <v>595</v>
      </c>
      <c r="I4429" s="2" t="s">
        <v>124</v>
      </c>
      <c r="J4429" s="3">
        <v>44904</v>
      </c>
      <c r="K4429" s="2">
        <v>3</v>
      </c>
      <c r="L4429" s="2" t="s">
        <v>64</v>
      </c>
    </row>
    <row r="4430" spans="1:12" x14ac:dyDescent="0.3">
      <c r="A4430" s="2">
        <v>4419</v>
      </c>
      <c r="B4430" s="2" t="s">
        <v>3065</v>
      </c>
      <c r="C4430" s="2" t="s">
        <v>9664</v>
      </c>
      <c r="D4430" s="2" t="s">
        <v>28</v>
      </c>
      <c r="E4430" s="2" t="s">
        <v>29</v>
      </c>
      <c r="F4430" s="2">
        <v>60</v>
      </c>
      <c r="G4430" s="2" t="s">
        <v>9665</v>
      </c>
      <c r="H4430" s="2" t="s">
        <v>3790</v>
      </c>
      <c r="I4430" s="2" t="s">
        <v>32</v>
      </c>
      <c r="J4430" s="3">
        <v>43929</v>
      </c>
      <c r="K4430" s="2">
        <v>14</v>
      </c>
      <c r="L4430" s="2" t="s">
        <v>64</v>
      </c>
    </row>
    <row r="4431" spans="1:12" x14ac:dyDescent="0.3">
      <c r="A4431" s="2">
        <v>4420</v>
      </c>
      <c r="B4431" s="2" t="s">
        <v>1637</v>
      </c>
      <c r="C4431" s="2" t="s">
        <v>1671</v>
      </c>
      <c r="D4431" s="2" t="s">
        <v>28</v>
      </c>
      <c r="E4431" s="2" t="s">
        <v>29</v>
      </c>
      <c r="F4431" s="2">
        <v>60</v>
      </c>
      <c r="G4431" s="2" t="s">
        <v>9666</v>
      </c>
      <c r="H4431" s="2" t="s">
        <v>3169</v>
      </c>
      <c r="I4431" s="2" t="s">
        <v>110</v>
      </c>
      <c r="J4431" s="3">
        <v>43881</v>
      </c>
      <c r="K4431" s="2">
        <v>36</v>
      </c>
      <c r="L4431" s="2" t="s">
        <v>39</v>
      </c>
    </row>
    <row r="4432" spans="1:12" x14ac:dyDescent="0.3">
      <c r="A4432" s="2">
        <v>4421</v>
      </c>
      <c r="B4432" s="2" t="s">
        <v>3644</v>
      </c>
      <c r="C4432" s="2" t="s">
        <v>340</v>
      </c>
      <c r="D4432" s="2" t="s">
        <v>28</v>
      </c>
      <c r="E4432" s="2" t="s">
        <v>29</v>
      </c>
      <c r="F4432" s="2">
        <v>90</v>
      </c>
      <c r="G4432" s="2" t="s">
        <v>9667</v>
      </c>
      <c r="H4432" s="2" t="s">
        <v>9668</v>
      </c>
      <c r="I4432" s="2" t="s">
        <v>178</v>
      </c>
      <c r="J4432" s="3">
        <v>44048</v>
      </c>
      <c r="K4432" s="2">
        <v>78</v>
      </c>
      <c r="L4432" s="2" t="s">
        <v>159</v>
      </c>
    </row>
    <row r="4433" spans="1:12" x14ac:dyDescent="0.3">
      <c r="A4433" s="2">
        <v>4422</v>
      </c>
      <c r="B4433" s="2" t="s">
        <v>3949</v>
      </c>
      <c r="C4433" s="2" t="s">
        <v>5727</v>
      </c>
      <c r="D4433" s="2" t="s">
        <v>51</v>
      </c>
      <c r="E4433" s="2" t="s">
        <v>16</v>
      </c>
      <c r="F4433" s="2">
        <v>90</v>
      </c>
      <c r="G4433" s="2" t="s">
        <v>9669</v>
      </c>
      <c r="H4433" s="2" t="s">
        <v>2190</v>
      </c>
      <c r="I4433" s="2" t="s">
        <v>32</v>
      </c>
      <c r="J4433" s="3">
        <v>44834</v>
      </c>
      <c r="K4433" s="2">
        <v>9</v>
      </c>
      <c r="L4433" s="2" t="s">
        <v>80</v>
      </c>
    </row>
    <row r="4434" spans="1:12" x14ac:dyDescent="0.3">
      <c r="A4434" s="2">
        <v>4423</v>
      </c>
      <c r="B4434" s="2" t="s">
        <v>9670</v>
      </c>
      <c r="C4434" s="2" t="s">
        <v>5970</v>
      </c>
      <c r="D4434" s="2" t="s">
        <v>51</v>
      </c>
      <c r="E4434" s="2" t="s">
        <v>16</v>
      </c>
      <c r="F4434" s="2">
        <v>30</v>
      </c>
      <c r="G4434" s="2" t="s">
        <v>10583</v>
      </c>
      <c r="H4434" s="2" t="s">
        <v>4203</v>
      </c>
      <c r="I4434" s="2" t="s">
        <v>208</v>
      </c>
      <c r="J4434" s="3">
        <v>44269</v>
      </c>
      <c r="K4434" s="2">
        <v>50</v>
      </c>
      <c r="L4434" s="2" t="s">
        <v>33</v>
      </c>
    </row>
    <row r="4435" spans="1:12" x14ac:dyDescent="0.3">
      <c r="A4435" s="2">
        <v>4424</v>
      </c>
      <c r="B4435" s="2" t="s">
        <v>9672</v>
      </c>
      <c r="C4435" s="2" t="s">
        <v>2862</v>
      </c>
      <c r="D4435" s="2" t="s">
        <v>28</v>
      </c>
      <c r="E4435" s="2" t="s">
        <v>29</v>
      </c>
      <c r="F4435" s="2">
        <v>30</v>
      </c>
      <c r="G4435" s="2" t="s">
        <v>9673</v>
      </c>
      <c r="H4435" s="2" t="s">
        <v>2753</v>
      </c>
      <c r="I4435" s="2" t="s">
        <v>124</v>
      </c>
      <c r="J4435" s="3">
        <v>44377</v>
      </c>
      <c r="K4435" s="2">
        <v>55</v>
      </c>
      <c r="L4435" s="2" t="s">
        <v>54</v>
      </c>
    </row>
    <row r="4436" spans="1:12" x14ac:dyDescent="0.3">
      <c r="A4436" s="2">
        <v>4425</v>
      </c>
      <c r="B4436" s="2" t="s">
        <v>2947</v>
      </c>
      <c r="C4436" s="2" t="s">
        <v>2101</v>
      </c>
      <c r="D4436" s="2" t="s">
        <v>28</v>
      </c>
      <c r="E4436" s="2" t="s">
        <v>29</v>
      </c>
      <c r="F4436" s="2">
        <v>30</v>
      </c>
      <c r="G4436" s="2" t="s">
        <v>9674</v>
      </c>
      <c r="H4436" s="2" t="s">
        <v>6</v>
      </c>
      <c r="I4436" s="2" t="s">
        <v>32</v>
      </c>
      <c r="J4436" s="3">
        <v>44060</v>
      </c>
      <c r="K4436" s="2">
        <v>33</v>
      </c>
      <c r="L4436" s="2" t="s">
        <v>45</v>
      </c>
    </row>
    <row r="4437" spans="1:12" x14ac:dyDescent="0.3">
      <c r="A4437" s="2">
        <v>4426</v>
      </c>
      <c r="B4437" s="2" t="s">
        <v>9675</v>
      </c>
      <c r="C4437" s="2" t="s">
        <v>6345</v>
      </c>
      <c r="D4437" s="2" t="s">
        <v>51</v>
      </c>
      <c r="E4437" s="2" t="s">
        <v>16</v>
      </c>
      <c r="F4437" s="2">
        <v>30</v>
      </c>
      <c r="G4437" s="2" t="s">
        <v>9676</v>
      </c>
      <c r="H4437" s="2" t="s">
        <v>4979</v>
      </c>
      <c r="I4437" s="2" t="s">
        <v>294</v>
      </c>
      <c r="J4437" s="3">
        <v>44058</v>
      </c>
      <c r="K4437" s="2">
        <v>18</v>
      </c>
      <c r="L4437" s="2" t="s">
        <v>33</v>
      </c>
    </row>
    <row r="4438" spans="1:12" x14ac:dyDescent="0.3">
      <c r="A4438" s="2">
        <v>4427</v>
      </c>
      <c r="B4438" s="2" t="s">
        <v>9677</v>
      </c>
      <c r="C4438" s="2" t="s">
        <v>324</v>
      </c>
      <c r="D4438" s="2" t="s">
        <v>51</v>
      </c>
      <c r="E4438" s="2" t="s">
        <v>16</v>
      </c>
      <c r="F4438" s="2">
        <v>60</v>
      </c>
      <c r="G4438" s="2" t="s">
        <v>9678</v>
      </c>
      <c r="H4438" s="2" t="s">
        <v>1173</v>
      </c>
      <c r="I4438" s="2" t="s">
        <v>32</v>
      </c>
      <c r="J4438" s="3">
        <v>44290</v>
      </c>
      <c r="K4438" s="2">
        <v>83</v>
      </c>
      <c r="L4438" s="2" t="s">
        <v>54</v>
      </c>
    </row>
    <row r="4439" spans="1:12" x14ac:dyDescent="0.3">
      <c r="A4439" s="2">
        <v>4428</v>
      </c>
      <c r="B4439" s="2" t="s">
        <v>9679</v>
      </c>
      <c r="C4439" s="2" t="s">
        <v>1348</v>
      </c>
      <c r="D4439" s="2" t="s">
        <v>15</v>
      </c>
      <c r="E4439" s="2" t="s">
        <v>16</v>
      </c>
      <c r="F4439" s="2">
        <v>60</v>
      </c>
      <c r="G4439" s="2" t="s">
        <v>9680</v>
      </c>
      <c r="H4439" s="2" t="s">
        <v>4074</v>
      </c>
      <c r="I4439" s="2" t="s">
        <v>19</v>
      </c>
      <c r="J4439" s="3">
        <v>43891</v>
      </c>
      <c r="K4439" s="2">
        <v>66</v>
      </c>
      <c r="L4439" s="2" t="s">
        <v>39</v>
      </c>
    </row>
    <row r="4440" spans="1:12" x14ac:dyDescent="0.3">
      <c r="A4440" s="2">
        <v>4429</v>
      </c>
      <c r="B4440" s="2" t="s">
        <v>9681</v>
      </c>
      <c r="C4440" s="2" t="s">
        <v>5325</v>
      </c>
      <c r="D4440" s="2" t="s">
        <v>41</v>
      </c>
      <c r="E4440" s="2" t="s">
        <v>16</v>
      </c>
      <c r="F4440" s="2">
        <v>30</v>
      </c>
      <c r="G4440" s="2" t="s">
        <v>9682</v>
      </c>
      <c r="H4440" s="2" t="s">
        <v>3987</v>
      </c>
      <c r="I4440" s="2" t="s">
        <v>554</v>
      </c>
      <c r="J4440" s="3">
        <v>44379</v>
      </c>
      <c r="K4440" s="2">
        <v>8</v>
      </c>
      <c r="L4440" s="2" t="s">
        <v>101</v>
      </c>
    </row>
    <row r="4441" spans="1:12" x14ac:dyDescent="0.3">
      <c r="A4441" s="2">
        <v>4430</v>
      </c>
      <c r="B4441" s="2" t="s">
        <v>9683</v>
      </c>
      <c r="C4441" s="2" t="s">
        <v>6594</v>
      </c>
      <c r="D4441" s="2" t="s">
        <v>51</v>
      </c>
      <c r="E4441" s="2" t="s">
        <v>16</v>
      </c>
      <c r="F4441" s="2">
        <v>90</v>
      </c>
      <c r="G4441" s="2" t="s">
        <v>9684</v>
      </c>
      <c r="H4441" s="2" t="s">
        <v>5399</v>
      </c>
      <c r="I4441" s="2" t="s">
        <v>32</v>
      </c>
      <c r="J4441" s="3">
        <v>44354</v>
      </c>
      <c r="K4441" s="2">
        <v>30</v>
      </c>
      <c r="L4441" s="2" t="s">
        <v>80</v>
      </c>
    </row>
    <row r="4442" spans="1:12" x14ac:dyDescent="0.3">
      <c r="A4442" s="2">
        <v>4431</v>
      </c>
      <c r="B4442" s="2" t="s">
        <v>9685</v>
      </c>
      <c r="C4442" s="2" t="s">
        <v>1866</v>
      </c>
      <c r="D4442" s="2" t="s">
        <v>15</v>
      </c>
      <c r="E4442" s="2" t="s">
        <v>16</v>
      </c>
      <c r="F4442" s="2">
        <v>60</v>
      </c>
      <c r="G4442" s="2" t="s">
        <v>9686</v>
      </c>
      <c r="H4442" s="2" t="s">
        <v>119</v>
      </c>
      <c r="I4442" s="2" t="s">
        <v>32</v>
      </c>
      <c r="J4442" s="3">
        <v>43900</v>
      </c>
      <c r="K4442" s="2">
        <v>38</v>
      </c>
      <c r="L4442" s="2" t="s">
        <v>54</v>
      </c>
    </row>
    <row r="4443" spans="1:12" x14ac:dyDescent="0.3">
      <c r="A4443" s="2">
        <v>4432</v>
      </c>
      <c r="B4443" s="2" t="s">
        <v>8322</v>
      </c>
      <c r="C4443" s="2" t="s">
        <v>9687</v>
      </c>
      <c r="D4443" s="2" t="s">
        <v>15</v>
      </c>
      <c r="E4443" s="2" t="s">
        <v>16</v>
      </c>
      <c r="F4443" s="2">
        <v>30</v>
      </c>
      <c r="G4443" s="2" t="s">
        <v>9688</v>
      </c>
      <c r="H4443" s="2" t="s">
        <v>8886</v>
      </c>
      <c r="I4443" s="2" t="s">
        <v>1311</v>
      </c>
      <c r="J4443" s="3">
        <v>44552</v>
      </c>
      <c r="K4443" s="2">
        <v>13</v>
      </c>
      <c r="L4443" s="2" t="s">
        <v>64</v>
      </c>
    </row>
    <row r="4444" spans="1:12" x14ac:dyDescent="0.3">
      <c r="A4444" s="2">
        <v>4433</v>
      </c>
      <c r="B4444" s="2" t="s">
        <v>9689</v>
      </c>
      <c r="C4444" s="2" t="s">
        <v>858</v>
      </c>
      <c r="D4444" s="2" t="s">
        <v>51</v>
      </c>
      <c r="E4444" s="2" t="s">
        <v>16</v>
      </c>
      <c r="F4444" s="2">
        <v>90</v>
      </c>
      <c r="G4444" s="2" t="s">
        <v>9690</v>
      </c>
      <c r="H4444" s="2" t="s">
        <v>9691</v>
      </c>
      <c r="I4444" s="2" t="s">
        <v>32</v>
      </c>
      <c r="J4444" s="3">
        <v>44459</v>
      </c>
      <c r="K4444" s="2">
        <v>50</v>
      </c>
      <c r="L4444" s="2" t="s">
        <v>33</v>
      </c>
    </row>
    <row r="4445" spans="1:12" x14ac:dyDescent="0.3">
      <c r="A4445" s="2">
        <v>4434</v>
      </c>
      <c r="B4445" s="2" t="s">
        <v>4652</v>
      </c>
      <c r="C4445" s="2" t="s">
        <v>2051</v>
      </c>
      <c r="D4445" s="2" t="s">
        <v>28</v>
      </c>
      <c r="E4445" s="2" t="s">
        <v>29</v>
      </c>
      <c r="F4445" s="2">
        <v>60</v>
      </c>
      <c r="G4445" s="2" t="s">
        <v>9692</v>
      </c>
      <c r="H4445" s="2" t="s">
        <v>1457</v>
      </c>
      <c r="I4445" s="2" t="s">
        <v>187</v>
      </c>
      <c r="J4445" s="3">
        <v>44516</v>
      </c>
      <c r="K4445" s="2">
        <v>5</v>
      </c>
      <c r="L4445" s="2" t="s">
        <v>70</v>
      </c>
    </row>
    <row r="4446" spans="1:12" x14ac:dyDescent="0.3">
      <c r="A4446" s="2">
        <v>4435</v>
      </c>
      <c r="B4446" s="2" t="s">
        <v>9693</v>
      </c>
      <c r="C4446" s="2" t="s">
        <v>6146</v>
      </c>
      <c r="D4446" s="2" t="s">
        <v>15</v>
      </c>
      <c r="E4446" s="2" t="s">
        <v>16</v>
      </c>
      <c r="F4446" s="2">
        <v>30</v>
      </c>
      <c r="G4446" s="2" t="s">
        <v>9694</v>
      </c>
      <c r="H4446" s="2" t="s">
        <v>901</v>
      </c>
      <c r="I4446" s="2" t="s">
        <v>146</v>
      </c>
      <c r="J4446" s="3">
        <v>44259</v>
      </c>
      <c r="K4446" s="2">
        <v>39</v>
      </c>
      <c r="L4446" s="2" t="s">
        <v>20</v>
      </c>
    </row>
    <row r="4447" spans="1:12" x14ac:dyDescent="0.3">
      <c r="A4447" s="2">
        <v>4436</v>
      </c>
      <c r="B4447" s="2" t="s">
        <v>691</v>
      </c>
      <c r="C4447" s="2" t="s">
        <v>9695</v>
      </c>
      <c r="D4447" s="2" t="s">
        <v>28</v>
      </c>
      <c r="E4447" s="2" t="s">
        <v>29</v>
      </c>
      <c r="F4447" s="2">
        <v>90</v>
      </c>
      <c r="G4447" s="2" t="s">
        <v>9696</v>
      </c>
      <c r="H4447" s="2" t="s">
        <v>1893</v>
      </c>
      <c r="I4447" s="2" t="s">
        <v>294</v>
      </c>
      <c r="J4447" s="3">
        <v>44454</v>
      </c>
      <c r="K4447" s="2">
        <v>76</v>
      </c>
      <c r="L4447" s="2" t="s">
        <v>54</v>
      </c>
    </row>
    <row r="4448" spans="1:12" x14ac:dyDescent="0.3">
      <c r="A4448" s="2">
        <v>4437</v>
      </c>
      <c r="B4448" s="2" t="s">
        <v>869</v>
      </c>
      <c r="C4448" s="2" t="s">
        <v>2509</v>
      </c>
      <c r="D4448" s="2" t="s">
        <v>28</v>
      </c>
      <c r="E4448" s="2" t="s">
        <v>29</v>
      </c>
      <c r="F4448" s="2">
        <v>90</v>
      </c>
      <c r="G4448" s="2" t="s">
        <v>9697</v>
      </c>
      <c r="H4448" s="2" t="s">
        <v>3365</v>
      </c>
      <c r="I4448" s="2" t="s">
        <v>146</v>
      </c>
      <c r="J4448" s="3">
        <v>44567</v>
      </c>
      <c r="K4448" s="2">
        <v>95</v>
      </c>
      <c r="L4448" s="2" t="s">
        <v>39</v>
      </c>
    </row>
    <row r="4449" spans="1:12" x14ac:dyDescent="0.3">
      <c r="A4449" s="2">
        <v>4438</v>
      </c>
      <c r="B4449" s="2" t="s">
        <v>9565</v>
      </c>
      <c r="C4449" s="2" t="s">
        <v>6547</v>
      </c>
      <c r="D4449" s="2" t="s">
        <v>28</v>
      </c>
      <c r="E4449" s="2" t="s">
        <v>29</v>
      </c>
      <c r="F4449" s="2">
        <v>60</v>
      </c>
      <c r="G4449" s="2" t="s">
        <v>9698</v>
      </c>
      <c r="H4449" s="2" t="s">
        <v>3343</v>
      </c>
      <c r="I4449" s="2" t="s">
        <v>1199</v>
      </c>
      <c r="J4449" s="3">
        <v>44695</v>
      </c>
      <c r="K4449" s="2">
        <v>33</v>
      </c>
      <c r="L4449" s="2" t="s">
        <v>54</v>
      </c>
    </row>
    <row r="4450" spans="1:12" x14ac:dyDescent="0.3">
      <c r="A4450" s="2">
        <v>4439</v>
      </c>
      <c r="B4450" s="2" t="s">
        <v>259</v>
      </c>
      <c r="C4450" s="2" t="s">
        <v>5217</v>
      </c>
      <c r="D4450" s="2" t="s">
        <v>28</v>
      </c>
      <c r="E4450" s="2" t="s">
        <v>29</v>
      </c>
      <c r="F4450" s="2">
        <v>90</v>
      </c>
      <c r="G4450" s="2" t="s">
        <v>9699</v>
      </c>
      <c r="H4450" s="2" t="s">
        <v>1001</v>
      </c>
      <c r="I4450" s="2" t="s">
        <v>32</v>
      </c>
      <c r="J4450" s="3">
        <v>44205</v>
      </c>
      <c r="K4450" s="2">
        <v>61</v>
      </c>
      <c r="L4450" s="2" t="s">
        <v>39</v>
      </c>
    </row>
    <row r="4451" spans="1:12" x14ac:dyDescent="0.3">
      <c r="A4451" s="2">
        <v>4440</v>
      </c>
      <c r="B4451" s="2" t="s">
        <v>9700</v>
      </c>
      <c r="C4451" s="2" t="s">
        <v>1492</v>
      </c>
      <c r="D4451" s="2" t="s">
        <v>51</v>
      </c>
      <c r="E4451" s="2" t="s">
        <v>16</v>
      </c>
      <c r="F4451" s="2">
        <v>90</v>
      </c>
      <c r="G4451" s="2" t="s">
        <v>9701</v>
      </c>
      <c r="H4451" s="2" t="s">
        <v>1660</v>
      </c>
      <c r="I4451" s="2" t="s">
        <v>32</v>
      </c>
      <c r="J4451" s="3">
        <v>44648</v>
      </c>
      <c r="K4451" s="2">
        <v>87</v>
      </c>
      <c r="L4451" s="2" t="s">
        <v>159</v>
      </c>
    </row>
    <row r="4452" spans="1:12" x14ac:dyDescent="0.3">
      <c r="A4452" s="2">
        <v>4441</v>
      </c>
      <c r="B4452" s="2" t="s">
        <v>5485</v>
      </c>
      <c r="C4452" s="2" t="s">
        <v>4324</v>
      </c>
      <c r="D4452" s="2" t="s">
        <v>28</v>
      </c>
      <c r="E4452" s="2" t="s">
        <v>29</v>
      </c>
      <c r="F4452" s="2">
        <v>30</v>
      </c>
      <c r="G4452" s="2" t="s">
        <v>9702</v>
      </c>
      <c r="H4452" s="2" t="s">
        <v>1556</v>
      </c>
      <c r="I4452" s="2" t="s">
        <v>1311</v>
      </c>
      <c r="J4452" s="3">
        <v>43899</v>
      </c>
      <c r="K4452" s="2">
        <v>24</v>
      </c>
      <c r="L4452" s="2" t="s">
        <v>20</v>
      </c>
    </row>
    <row r="4453" spans="1:12" x14ac:dyDescent="0.3">
      <c r="A4453" s="2">
        <v>4442</v>
      </c>
      <c r="B4453" s="2" t="s">
        <v>496</v>
      </c>
      <c r="C4453" s="2" t="s">
        <v>1967</v>
      </c>
      <c r="D4453" s="2" t="s">
        <v>28</v>
      </c>
      <c r="E4453" s="2" t="s">
        <v>29</v>
      </c>
      <c r="F4453" s="2">
        <v>60</v>
      </c>
      <c r="G4453" s="2" t="s">
        <v>9703</v>
      </c>
      <c r="H4453" s="2" t="s">
        <v>1022</v>
      </c>
      <c r="I4453" s="2" t="s">
        <v>164</v>
      </c>
      <c r="J4453" s="3">
        <v>43831</v>
      </c>
      <c r="K4453" s="2">
        <v>16</v>
      </c>
      <c r="L4453" s="2" t="s">
        <v>33</v>
      </c>
    </row>
    <row r="4454" spans="1:12" x14ac:dyDescent="0.3">
      <c r="A4454" s="2">
        <v>4443</v>
      </c>
      <c r="B4454" s="2" t="s">
        <v>5772</v>
      </c>
      <c r="C4454" s="2" t="s">
        <v>536</v>
      </c>
      <c r="D4454" s="2" t="s">
        <v>28</v>
      </c>
      <c r="E4454" s="2" t="s">
        <v>29</v>
      </c>
      <c r="F4454" s="2">
        <v>30</v>
      </c>
      <c r="G4454" s="2" t="s">
        <v>9704</v>
      </c>
      <c r="H4454" s="2" t="s">
        <v>920</v>
      </c>
      <c r="I4454" s="2" t="s">
        <v>178</v>
      </c>
      <c r="J4454" s="3">
        <v>44924</v>
      </c>
      <c r="K4454" s="2">
        <v>93</v>
      </c>
      <c r="L4454" s="2" t="s">
        <v>159</v>
      </c>
    </row>
    <row r="4455" spans="1:12" x14ac:dyDescent="0.3">
      <c r="A4455" s="2">
        <v>4444</v>
      </c>
      <c r="B4455" s="2" t="s">
        <v>2263</v>
      </c>
      <c r="C4455" s="2" t="s">
        <v>9705</v>
      </c>
      <c r="D4455" s="2" t="s">
        <v>15</v>
      </c>
      <c r="E4455" s="2" t="s">
        <v>16</v>
      </c>
      <c r="F4455" s="2">
        <v>90</v>
      </c>
      <c r="G4455" s="2" t="s">
        <v>9706</v>
      </c>
      <c r="H4455" s="2" t="s">
        <v>2447</v>
      </c>
      <c r="I4455" s="2" t="s">
        <v>1869</v>
      </c>
      <c r="J4455" s="3">
        <v>44821</v>
      </c>
      <c r="K4455" s="2">
        <v>98</v>
      </c>
      <c r="L4455" s="2" t="s">
        <v>101</v>
      </c>
    </row>
    <row r="4456" spans="1:12" x14ac:dyDescent="0.3">
      <c r="A4456" s="2">
        <v>4445</v>
      </c>
      <c r="B4456" s="2" t="s">
        <v>7245</v>
      </c>
      <c r="C4456" s="2" t="s">
        <v>609</v>
      </c>
      <c r="D4456" s="2" t="s">
        <v>15</v>
      </c>
      <c r="E4456" s="2" t="s">
        <v>16</v>
      </c>
      <c r="F4456" s="2">
        <v>30</v>
      </c>
      <c r="G4456" s="2" t="s">
        <v>9707</v>
      </c>
      <c r="H4456" s="2" t="s">
        <v>2069</v>
      </c>
      <c r="I4456" s="2" t="s">
        <v>1035</v>
      </c>
      <c r="J4456" s="3">
        <v>44551</v>
      </c>
      <c r="K4456" s="2">
        <v>11</v>
      </c>
      <c r="L4456" s="2" t="s">
        <v>54</v>
      </c>
    </row>
    <row r="4457" spans="1:12" x14ac:dyDescent="0.3">
      <c r="A4457" s="2">
        <v>4446</v>
      </c>
      <c r="B4457" s="2" t="s">
        <v>5695</v>
      </c>
      <c r="C4457" s="2" t="s">
        <v>6635</v>
      </c>
      <c r="D4457" s="2" t="s">
        <v>28</v>
      </c>
      <c r="E4457" s="2" t="s">
        <v>29</v>
      </c>
      <c r="F4457" s="2">
        <v>90</v>
      </c>
      <c r="G4457" s="2" t="s">
        <v>9708</v>
      </c>
      <c r="H4457" s="2" t="s">
        <v>7175</v>
      </c>
      <c r="I4457" s="2" t="s">
        <v>32</v>
      </c>
      <c r="J4457" s="3">
        <v>44030</v>
      </c>
      <c r="K4457" s="2">
        <v>43</v>
      </c>
      <c r="L4457" s="2" t="s">
        <v>39</v>
      </c>
    </row>
    <row r="4458" spans="1:12" x14ac:dyDescent="0.3">
      <c r="A4458" s="2">
        <v>4447</v>
      </c>
      <c r="B4458" s="2" t="s">
        <v>2050</v>
      </c>
      <c r="C4458" s="2" t="s">
        <v>7629</v>
      </c>
      <c r="D4458" s="2" t="s">
        <v>28</v>
      </c>
      <c r="E4458" s="2" t="s">
        <v>29</v>
      </c>
      <c r="F4458" s="2">
        <v>30</v>
      </c>
      <c r="G4458" s="2" t="s">
        <v>9708</v>
      </c>
      <c r="H4458" s="2" t="s">
        <v>255</v>
      </c>
      <c r="I4458" s="2" t="s">
        <v>32</v>
      </c>
      <c r="J4458" s="3">
        <v>44056</v>
      </c>
      <c r="K4458" s="2">
        <v>66</v>
      </c>
      <c r="L4458" s="2" t="s">
        <v>45</v>
      </c>
    </row>
    <row r="4459" spans="1:12" x14ac:dyDescent="0.3">
      <c r="A4459" s="2">
        <v>4448</v>
      </c>
      <c r="B4459" s="2" t="s">
        <v>1225</v>
      </c>
      <c r="C4459" s="2" t="s">
        <v>380</v>
      </c>
      <c r="D4459" s="2" t="s">
        <v>28</v>
      </c>
      <c r="E4459" s="2" t="s">
        <v>29</v>
      </c>
      <c r="F4459" s="2">
        <v>30</v>
      </c>
      <c r="G4459" s="2" t="s">
        <v>9709</v>
      </c>
      <c r="H4459" s="2" t="s">
        <v>6507</v>
      </c>
      <c r="I4459" s="2" t="s">
        <v>187</v>
      </c>
      <c r="J4459" s="3">
        <v>44727</v>
      </c>
      <c r="K4459" s="2">
        <v>74</v>
      </c>
      <c r="L4459" s="2" t="s">
        <v>20</v>
      </c>
    </row>
    <row r="4460" spans="1:12" x14ac:dyDescent="0.3">
      <c r="A4460" s="2">
        <v>4449</v>
      </c>
      <c r="B4460" s="2" t="s">
        <v>9710</v>
      </c>
      <c r="C4460" s="2" t="s">
        <v>5575</v>
      </c>
      <c r="D4460" s="2" t="s">
        <v>51</v>
      </c>
      <c r="E4460" s="2" t="s">
        <v>16</v>
      </c>
      <c r="F4460" s="2">
        <v>30</v>
      </c>
      <c r="G4460" s="2" t="s">
        <v>9711</v>
      </c>
      <c r="H4460" s="2" t="s">
        <v>2183</v>
      </c>
      <c r="I4460" s="2" t="s">
        <v>124</v>
      </c>
      <c r="J4460" s="3">
        <v>44554</v>
      </c>
      <c r="K4460" s="2">
        <v>22</v>
      </c>
      <c r="L4460" s="2" t="s">
        <v>54</v>
      </c>
    </row>
    <row r="4461" spans="1:12" x14ac:dyDescent="0.3">
      <c r="A4461" s="2">
        <v>4450</v>
      </c>
      <c r="B4461" s="2" t="s">
        <v>9712</v>
      </c>
      <c r="C4461" s="2" t="s">
        <v>3210</v>
      </c>
      <c r="D4461" s="2" t="s">
        <v>15</v>
      </c>
      <c r="E4461" s="2" t="s">
        <v>16</v>
      </c>
      <c r="F4461" s="2">
        <v>30</v>
      </c>
      <c r="G4461" s="2" t="s">
        <v>9713</v>
      </c>
      <c r="H4461" s="2" t="s">
        <v>764</v>
      </c>
      <c r="I4461" s="2" t="s">
        <v>32</v>
      </c>
      <c r="J4461" s="3">
        <v>44614</v>
      </c>
      <c r="K4461" s="2">
        <v>25</v>
      </c>
      <c r="L4461" s="2" t="s">
        <v>54</v>
      </c>
    </row>
    <row r="4462" spans="1:12" x14ac:dyDescent="0.3">
      <c r="A4462" s="2">
        <v>4451</v>
      </c>
      <c r="B4462" s="2" t="s">
        <v>8003</v>
      </c>
      <c r="C4462" s="2" t="s">
        <v>3253</v>
      </c>
      <c r="D4462" s="2" t="s">
        <v>28</v>
      </c>
      <c r="E4462" s="2" t="s">
        <v>29</v>
      </c>
      <c r="F4462" s="2">
        <v>30</v>
      </c>
      <c r="G4462" s="2" t="s">
        <v>9714</v>
      </c>
      <c r="H4462" s="2" t="s">
        <v>7844</v>
      </c>
      <c r="I4462" s="2" t="s">
        <v>124</v>
      </c>
      <c r="J4462" s="3">
        <v>44398</v>
      </c>
      <c r="K4462" s="2">
        <v>72</v>
      </c>
      <c r="L4462" s="2" t="s">
        <v>39</v>
      </c>
    </row>
    <row r="4463" spans="1:12" x14ac:dyDescent="0.3">
      <c r="A4463" s="2">
        <v>4452</v>
      </c>
      <c r="B4463" s="2" t="s">
        <v>4368</v>
      </c>
      <c r="C4463" s="2" t="s">
        <v>3552</v>
      </c>
      <c r="D4463" s="2" t="s">
        <v>28</v>
      </c>
      <c r="E4463" s="2" t="s">
        <v>29</v>
      </c>
      <c r="F4463" s="2">
        <v>60</v>
      </c>
      <c r="G4463" s="2" t="s">
        <v>9714</v>
      </c>
      <c r="H4463" s="2" t="s">
        <v>1214</v>
      </c>
      <c r="I4463" s="2" t="s">
        <v>32</v>
      </c>
      <c r="J4463" s="3">
        <v>43956</v>
      </c>
      <c r="K4463" s="2">
        <v>70</v>
      </c>
      <c r="L4463" s="2" t="s">
        <v>70</v>
      </c>
    </row>
    <row r="4464" spans="1:12" x14ac:dyDescent="0.3">
      <c r="A4464" s="2">
        <v>4453</v>
      </c>
      <c r="B4464" s="2" t="s">
        <v>2101</v>
      </c>
      <c r="C4464" s="2" t="s">
        <v>9715</v>
      </c>
      <c r="D4464" s="2" t="s">
        <v>28</v>
      </c>
      <c r="E4464" s="2" t="s">
        <v>29</v>
      </c>
      <c r="F4464" s="2">
        <v>30</v>
      </c>
      <c r="G4464" s="2" t="s">
        <v>9716</v>
      </c>
      <c r="H4464" s="2" t="s">
        <v>186</v>
      </c>
      <c r="I4464" s="2" t="s">
        <v>187</v>
      </c>
      <c r="J4464" s="3">
        <v>44160</v>
      </c>
      <c r="K4464" s="2">
        <v>57</v>
      </c>
      <c r="L4464" s="2" t="s">
        <v>54</v>
      </c>
    </row>
    <row r="4465" spans="1:12" x14ac:dyDescent="0.3">
      <c r="A4465" s="2">
        <v>4454</v>
      </c>
      <c r="B4465" s="2" t="s">
        <v>3532</v>
      </c>
      <c r="C4465" s="2" t="s">
        <v>1214</v>
      </c>
      <c r="D4465" s="2" t="s">
        <v>28</v>
      </c>
      <c r="E4465" s="2" t="s">
        <v>29</v>
      </c>
      <c r="F4465" s="2">
        <v>30</v>
      </c>
      <c r="G4465" s="2" t="s">
        <v>9717</v>
      </c>
      <c r="H4465" s="2" t="s">
        <v>3834</v>
      </c>
      <c r="I4465" s="2" t="s">
        <v>32</v>
      </c>
      <c r="J4465" s="3">
        <v>44583</v>
      </c>
      <c r="K4465" s="2">
        <v>26</v>
      </c>
      <c r="L4465" s="2" t="s">
        <v>39</v>
      </c>
    </row>
    <row r="4466" spans="1:12" x14ac:dyDescent="0.3">
      <c r="A4466" s="2">
        <v>4455</v>
      </c>
      <c r="B4466" s="2" t="s">
        <v>2883</v>
      </c>
      <c r="C4466" s="2" t="s">
        <v>9718</v>
      </c>
      <c r="D4466" s="2" t="s">
        <v>51</v>
      </c>
      <c r="E4466" s="2" t="s">
        <v>16</v>
      </c>
      <c r="F4466" s="2">
        <v>90</v>
      </c>
      <c r="G4466" s="2" t="s">
        <v>9719</v>
      </c>
      <c r="H4466" s="2" t="s">
        <v>1039</v>
      </c>
      <c r="I4466" s="2" t="s">
        <v>25</v>
      </c>
      <c r="J4466" s="3">
        <v>44021</v>
      </c>
      <c r="K4466" s="2">
        <v>79</v>
      </c>
      <c r="L4466" s="2" t="s">
        <v>33</v>
      </c>
    </row>
    <row r="4467" spans="1:12" x14ac:dyDescent="0.3">
      <c r="A4467" s="2">
        <v>4456</v>
      </c>
      <c r="B4467" s="2" t="s">
        <v>9720</v>
      </c>
      <c r="C4467" s="2" t="s">
        <v>4766</v>
      </c>
      <c r="D4467" s="2" t="s">
        <v>51</v>
      </c>
      <c r="E4467" s="2" t="s">
        <v>16</v>
      </c>
      <c r="F4467" s="2">
        <v>30</v>
      </c>
      <c r="G4467" s="2" t="s">
        <v>9721</v>
      </c>
      <c r="H4467" s="2" t="s">
        <v>363</v>
      </c>
      <c r="I4467" s="2" t="s">
        <v>110</v>
      </c>
      <c r="J4467" s="3">
        <v>44608</v>
      </c>
      <c r="K4467" s="2">
        <v>74</v>
      </c>
      <c r="L4467" s="2" t="s">
        <v>20</v>
      </c>
    </row>
    <row r="4468" spans="1:12" x14ac:dyDescent="0.3">
      <c r="A4468" s="2">
        <v>4457</v>
      </c>
      <c r="B4468" s="2" t="s">
        <v>9722</v>
      </c>
      <c r="C4468" s="2" t="s">
        <v>9723</v>
      </c>
      <c r="D4468" s="2" t="s">
        <v>15</v>
      </c>
      <c r="E4468" s="2" t="s">
        <v>16</v>
      </c>
      <c r="F4468" s="2">
        <v>60</v>
      </c>
      <c r="G4468" s="2" t="s">
        <v>9724</v>
      </c>
      <c r="H4468" s="2" t="s">
        <v>6000</v>
      </c>
      <c r="I4468" s="2" t="s">
        <v>178</v>
      </c>
      <c r="J4468" s="3">
        <v>43864</v>
      </c>
      <c r="K4468" s="2">
        <v>44</v>
      </c>
      <c r="L4468" s="2" t="s">
        <v>70</v>
      </c>
    </row>
    <row r="4469" spans="1:12" x14ac:dyDescent="0.3">
      <c r="A4469" s="2">
        <v>4458</v>
      </c>
      <c r="B4469" s="2" t="s">
        <v>6203</v>
      </c>
      <c r="C4469" s="2" t="s">
        <v>1749</v>
      </c>
      <c r="D4469" s="2" t="s">
        <v>28</v>
      </c>
      <c r="E4469" s="2" t="s">
        <v>29</v>
      </c>
      <c r="F4469" s="2">
        <v>30</v>
      </c>
      <c r="G4469" s="2" t="s">
        <v>9724</v>
      </c>
      <c r="H4469" s="2" t="s">
        <v>4662</v>
      </c>
      <c r="I4469" s="2" t="s">
        <v>32</v>
      </c>
      <c r="J4469" s="3">
        <v>44712</v>
      </c>
      <c r="K4469" s="2">
        <v>76</v>
      </c>
      <c r="L4469" s="2" t="s">
        <v>80</v>
      </c>
    </row>
    <row r="4470" spans="1:12" x14ac:dyDescent="0.3">
      <c r="A4470" s="2">
        <v>4459</v>
      </c>
      <c r="B4470" s="2" t="s">
        <v>5960</v>
      </c>
      <c r="C4470" s="2" t="s">
        <v>135</v>
      </c>
      <c r="D4470" s="2" t="s">
        <v>28</v>
      </c>
      <c r="E4470" s="2" t="s">
        <v>29</v>
      </c>
      <c r="F4470" s="2">
        <v>60</v>
      </c>
      <c r="G4470" s="2" t="s">
        <v>9725</v>
      </c>
      <c r="H4470" s="2" t="s">
        <v>6820</v>
      </c>
      <c r="I4470" s="2" t="s">
        <v>294</v>
      </c>
      <c r="J4470" s="3">
        <v>43972</v>
      </c>
      <c r="K4470" s="2">
        <v>49</v>
      </c>
      <c r="L4470" s="2" t="s">
        <v>45</v>
      </c>
    </row>
    <row r="4471" spans="1:12" x14ac:dyDescent="0.3">
      <c r="A4471" s="2">
        <v>4460</v>
      </c>
      <c r="B4471" s="2" t="s">
        <v>7886</v>
      </c>
      <c r="C4471" s="2" t="s">
        <v>556</v>
      </c>
      <c r="D4471" s="2" t="s">
        <v>28</v>
      </c>
      <c r="E4471" s="2" t="s">
        <v>29</v>
      </c>
      <c r="F4471" s="2">
        <v>30</v>
      </c>
      <c r="G4471" s="2" t="s">
        <v>9726</v>
      </c>
      <c r="H4471" s="2" t="s">
        <v>9727</v>
      </c>
      <c r="I4471" s="2" t="s">
        <v>32</v>
      </c>
      <c r="J4471" s="3">
        <v>44268</v>
      </c>
      <c r="K4471" s="2">
        <v>81</v>
      </c>
      <c r="L4471" s="2" t="s">
        <v>64</v>
      </c>
    </row>
    <row r="4472" spans="1:12" x14ac:dyDescent="0.3">
      <c r="A4472" s="2">
        <v>4461</v>
      </c>
      <c r="B4472" s="2" t="s">
        <v>5171</v>
      </c>
      <c r="C4472" s="2" t="s">
        <v>5832</v>
      </c>
      <c r="D4472" s="2" t="s">
        <v>51</v>
      </c>
      <c r="E4472" s="2" t="s">
        <v>16</v>
      </c>
      <c r="F4472" s="2">
        <v>30</v>
      </c>
      <c r="G4472" s="2" t="s">
        <v>9728</v>
      </c>
      <c r="H4472" s="2" t="s">
        <v>5132</v>
      </c>
      <c r="I4472" s="2" t="s">
        <v>32</v>
      </c>
      <c r="J4472" s="3">
        <v>44575</v>
      </c>
      <c r="K4472" s="2">
        <v>69</v>
      </c>
      <c r="L4472" s="2" t="s">
        <v>33</v>
      </c>
    </row>
    <row r="4473" spans="1:12" x14ac:dyDescent="0.3">
      <c r="A4473" s="2">
        <v>4462</v>
      </c>
      <c r="B4473" s="2" t="s">
        <v>2010</v>
      </c>
      <c r="C4473" s="2" t="s">
        <v>873</v>
      </c>
      <c r="D4473" s="2" t="s">
        <v>28</v>
      </c>
      <c r="E4473" s="2" t="s">
        <v>29</v>
      </c>
      <c r="F4473" s="2">
        <v>30</v>
      </c>
      <c r="G4473" s="2" t="s">
        <v>9729</v>
      </c>
      <c r="H4473" s="2" t="s">
        <v>1315</v>
      </c>
      <c r="I4473" s="2" t="s">
        <v>32</v>
      </c>
      <c r="J4473" s="3">
        <v>44086</v>
      </c>
      <c r="K4473" s="2">
        <v>74</v>
      </c>
      <c r="L4473" s="2" t="s">
        <v>159</v>
      </c>
    </row>
    <row r="4474" spans="1:12" x14ac:dyDescent="0.3">
      <c r="A4474" s="2">
        <v>4463</v>
      </c>
      <c r="B4474" s="2" t="s">
        <v>7920</v>
      </c>
      <c r="C4474" s="2" t="s">
        <v>76</v>
      </c>
      <c r="D4474" s="2" t="s">
        <v>15</v>
      </c>
      <c r="E4474" s="2" t="s">
        <v>16</v>
      </c>
      <c r="F4474" s="2">
        <v>60</v>
      </c>
      <c r="G4474" s="2" t="s">
        <v>9730</v>
      </c>
      <c r="H4474" s="2" t="s">
        <v>904</v>
      </c>
      <c r="I4474" s="2" t="s">
        <v>32</v>
      </c>
      <c r="J4474" s="3">
        <v>44013</v>
      </c>
      <c r="K4474" s="2">
        <v>36</v>
      </c>
      <c r="L4474" s="2" t="s">
        <v>39</v>
      </c>
    </row>
    <row r="4475" spans="1:12" x14ac:dyDescent="0.3">
      <c r="A4475" s="2">
        <v>4464</v>
      </c>
      <c r="B4475" s="2" t="s">
        <v>9398</v>
      </c>
      <c r="C4475" s="2" t="s">
        <v>2266</v>
      </c>
      <c r="D4475" s="2" t="s">
        <v>28</v>
      </c>
      <c r="E4475" s="2" t="s">
        <v>29</v>
      </c>
      <c r="F4475" s="2">
        <v>60</v>
      </c>
      <c r="G4475" s="2" t="s">
        <v>9731</v>
      </c>
      <c r="H4475" s="2" t="s">
        <v>3482</v>
      </c>
      <c r="I4475" s="2" t="s">
        <v>25</v>
      </c>
      <c r="J4475" s="3">
        <v>44133</v>
      </c>
      <c r="K4475" s="2">
        <v>47</v>
      </c>
      <c r="L4475" s="2" t="s">
        <v>39</v>
      </c>
    </row>
    <row r="4476" spans="1:12" x14ac:dyDescent="0.3">
      <c r="A4476" s="2">
        <v>4465</v>
      </c>
      <c r="B4476" s="2" t="s">
        <v>9732</v>
      </c>
      <c r="C4476" s="2" t="s">
        <v>3542</v>
      </c>
      <c r="D4476" s="2" t="s">
        <v>51</v>
      </c>
      <c r="E4476" s="2" t="s">
        <v>16</v>
      </c>
      <c r="F4476" s="2">
        <v>60</v>
      </c>
      <c r="G4476" s="2" t="s">
        <v>9733</v>
      </c>
      <c r="H4476" s="2" t="s">
        <v>1401</v>
      </c>
      <c r="I4476" s="2" t="s">
        <v>1402</v>
      </c>
      <c r="J4476" s="3">
        <v>44553</v>
      </c>
      <c r="K4476" s="2">
        <v>43</v>
      </c>
      <c r="L4476" s="2" t="s">
        <v>20</v>
      </c>
    </row>
    <row r="4477" spans="1:12" x14ac:dyDescent="0.3">
      <c r="A4477" s="2">
        <v>4466</v>
      </c>
      <c r="B4477" s="2" t="s">
        <v>4475</v>
      </c>
      <c r="C4477" s="2" t="s">
        <v>9734</v>
      </c>
      <c r="D4477" s="2" t="s">
        <v>51</v>
      </c>
      <c r="E4477" s="2" t="s">
        <v>16</v>
      </c>
      <c r="F4477" s="2">
        <v>60</v>
      </c>
      <c r="G4477" s="2" t="s">
        <v>9735</v>
      </c>
      <c r="H4477" s="2" t="s">
        <v>849</v>
      </c>
      <c r="I4477" s="2" t="s">
        <v>124</v>
      </c>
      <c r="J4477" s="3">
        <v>43853</v>
      </c>
      <c r="K4477" s="2">
        <v>23</v>
      </c>
      <c r="L4477" s="2" t="s">
        <v>20</v>
      </c>
    </row>
    <row r="4478" spans="1:12" x14ac:dyDescent="0.3">
      <c r="A4478" s="2">
        <v>4467</v>
      </c>
      <c r="B4478" s="2" t="s">
        <v>7412</v>
      </c>
      <c r="C4478" s="2" t="s">
        <v>5604</v>
      </c>
      <c r="D4478" s="2" t="s">
        <v>51</v>
      </c>
      <c r="E4478" s="2" t="s">
        <v>16</v>
      </c>
      <c r="F4478" s="2">
        <v>30</v>
      </c>
      <c r="G4478" s="2" t="s">
        <v>9736</v>
      </c>
      <c r="H4478" s="2" t="s">
        <v>1548</v>
      </c>
      <c r="I4478" s="2" t="s">
        <v>1549</v>
      </c>
      <c r="J4478" s="3">
        <v>43846</v>
      </c>
      <c r="K4478" s="2">
        <v>63</v>
      </c>
      <c r="L4478" s="2" t="s">
        <v>159</v>
      </c>
    </row>
    <row r="4479" spans="1:12" x14ac:dyDescent="0.3">
      <c r="A4479" s="2">
        <v>4468</v>
      </c>
      <c r="B4479" s="2" t="s">
        <v>8369</v>
      </c>
      <c r="C4479" s="2" t="s">
        <v>9737</v>
      </c>
      <c r="D4479" s="2" t="s">
        <v>51</v>
      </c>
      <c r="E4479" s="2" t="s">
        <v>16</v>
      </c>
      <c r="F4479" s="2">
        <v>60</v>
      </c>
      <c r="G4479" s="2" t="s">
        <v>9738</v>
      </c>
      <c r="H4479" s="2" t="s">
        <v>48</v>
      </c>
      <c r="I4479" s="2" t="s">
        <v>25</v>
      </c>
      <c r="J4479" s="3">
        <v>44339</v>
      </c>
      <c r="K4479" s="2">
        <v>33</v>
      </c>
      <c r="L4479" s="2" t="s">
        <v>64</v>
      </c>
    </row>
    <row r="4480" spans="1:12" x14ac:dyDescent="0.3">
      <c r="A4480" s="2">
        <v>4469</v>
      </c>
      <c r="B4480" s="2" t="s">
        <v>1234</v>
      </c>
      <c r="C4480" s="2" t="s">
        <v>1340</v>
      </c>
      <c r="D4480" s="2" t="s">
        <v>15</v>
      </c>
      <c r="E4480" s="2" t="s">
        <v>16</v>
      </c>
      <c r="F4480" s="2">
        <v>60</v>
      </c>
      <c r="G4480" s="2" t="s">
        <v>9739</v>
      </c>
      <c r="H4480" s="2" t="s">
        <v>2950</v>
      </c>
      <c r="I4480" s="2" t="s">
        <v>38</v>
      </c>
      <c r="J4480" s="3">
        <v>44796</v>
      </c>
      <c r="K4480" s="2">
        <v>24</v>
      </c>
      <c r="L4480" s="2" t="s">
        <v>33</v>
      </c>
    </row>
    <row r="4481" spans="1:12" x14ac:dyDescent="0.3">
      <c r="A4481" s="2">
        <v>4470</v>
      </c>
      <c r="B4481" s="2" t="s">
        <v>1403</v>
      </c>
      <c r="C4481" s="2" t="s">
        <v>3907</v>
      </c>
      <c r="D4481" s="2" t="s">
        <v>28</v>
      </c>
      <c r="E4481" s="2" t="s">
        <v>29</v>
      </c>
      <c r="F4481" s="2">
        <v>90</v>
      </c>
      <c r="G4481" s="2" t="s">
        <v>9740</v>
      </c>
      <c r="H4481" s="2" t="s">
        <v>2536</v>
      </c>
      <c r="I4481" s="2" t="s">
        <v>124</v>
      </c>
      <c r="J4481" s="3">
        <v>44420</v>
      </c>
      <c r="K4481" s="2">
        <v>67</v>
      </c>
      <c r="L4481" s="2" t="s">
        <v>80</v>
      </c>
    </row>
    <row r="4482" spans="1:12" x14ac:dyDescent="0.3">
      <c r="A4482" s="2">
        <v>4471</v>
      </c>
      <c r="B4482" s="2" t="s">
        <v>9741</v>
      </c>
      <c r="C4482" s="2" t="s">
        <v>4777</v>
      </c>
      <c r="D4482" s="2" t="s">
        <v>51</v>
      </c>
      <c r="E4482" s="2" t="s">
        <v>16</v>
      </c>
      <c r="F4482" s="2">
        <v>30</v>
      </c>
      <c r="G4482" s="2" t="s">
        <v>9742</v>
      </c>
      <c r="H4482" s="2" t="s">
        <v>3922</v>
      </c>
      <c r="I4482" s="2" t="s">
        <v>32</v>
      </c>
      <c r="J4482" s="3">
        <v>44130</v>
      </c>
      <c r="K4482" s="2">
        <v>61</v>
      </c>
      <c r="L4482" s="2" t="s">
        <v>33</v>
      </c>
    </row>
    <row r="4483" spans="1:12" x14ac:dyDescent="0.3">
      <c r="A4483" s="2">
        <v>4472</v>
      </c>
      <c r="B4483" s="2" t="s">
        <v>516</v>
      </c>
      <c r="C4483" s="2" t="s">
        <v>2606</v>
      </c>
      <c r="D4483" s="2" t="s">
        <v>28</v>
      </c>
      <c r="E4483" s="2" t="s">
        <v>29</v>
      </c>
      <c r="F4483" s="2">
        <v>30</v>
      </c>
      <c r="G4483" s="2" t="s">
        <v>9743</v>
      </c>
      <c r="H4483" s="2" t="s">
        <v>9744</v>
      </c>
      <c r="I4483" s="2" t="s">
        <v>187</v>
      </c>
      <c r="J4483" s="3">
        <v>44209</v>
      </c>
      <c r="K4483" s="2">
        <v>78</v>
      </c>
      <c r="L4483" s="2" t="s">
        <v>54</v>
      </c>
    </row>
    <row r="4484" spans="1:12" x14ac:dyDescent="0.3">
      <c r="A4484" s="2">
        <v>4473</v>
      </c>
      <c r="B4484" s="2" t="s">
        <v>9745</v>
      </c>
      <c r="C4484" s="2" t="s">
        <v>344</v>
      </c>
      <c r="D4484" s="2" t="s">
        <v>28</v>
      </c>
      <c r="E4484" s="2" t="s">
        <v>29</v>
      </c>
      <c r="F4484" s="2">
        <v>30</v>
      </c>
      <c r="G4484" s="2" t="s">
        <v>9746</v>
      </c>
      <c r="H4484" s="2" t="s">
        <v>1099</v>
      </c>
      <c r="I4484" s="2" t="s">
        <v>25</v>
      </c>
      <c r="J4484" s="3">
        <v>43998</v>
      </c>
      <c r="K4484" s="2">
        <v>85</v>
      </c>
      <c r="L4484" s="2" t="s">
        <v>54</v>
      </c>
    </row>
    <row r="4485" spans="1:12" x14ac:dyDescent="0.3">
      <c r="A4485" s="2">
        <v>4474</v>
      </c>
      <c r="B4485" s="2" t="s">
        <v>6752</v>
      </c>
      <c r="C4485" s="2" t="s">
        <v>3171</v>
      </c>
      <c r="D4485" s="2" t="s">
        <v>28</v>
      </c>
      <c r="E4485" s="2" t="s">
        <v>29</v>
      </c>
      <c r="F4485" s="2">
        <v>90</v>
      </c>
      <c r="G4485" s="2" t="s">
        <v>9747</v>
      </c>
      <c r="H4485" s="2" t="s">
        <v>6687</v>
      </c>
      <c r="I4485" s="2" t="s">
        <v>32</v>
      </c>
      <c r="J4485" s="3">
        <v>44594</v>
      </c>
      <c r="K4485" s="2">
        <v>59</v>
      </c>
      <c r="L4485" s="2" t="s">
        <v>45</v>
      </c>
    </row>
    <row r="4486" spans="1:12" x14ac:dyDescent="0.3">
      <c r="A4486" s="2">
        <v>4475</v>
      </c>
      <c r="B4486" s="2" t="s">
        <v>2335</v>
      </c>
      <c r="C4486" s="2" t="s">
        <v>2014</v>
      </c>
      <c r="D4486" s="2" t="s">
        <v>28</v>
      </c>
      <c r="E4486" s="2" t="s">
        <v>29</v>
      </c>
      <c r="F4486" s="2">
        <v>60</v>
      </c>
      <c r="G4486" s="2" t="s">
        <v>9748</v>
      </c>
      <c r="H4486" s="2" t="s">
        <v>9749</v>
      </c>
      <c r="I4486" s="2" t="s">
        <v>38</v>
      </c>
      <c r="J4486" s="3">
        <v>43897</v>
      </c>
      <c r="K4486" s="2">
        <v>10</v>
      </c>
      <c r="L4486" s="2" t="s">
        <v>45</v>
      </c>
    </row>
    <row r="4487" spans="1:12" x14ac:dyDescent="0.3">
      <c r="A4487" s="2">
        <v>4476</v>
      </c>
      <c r="B4487" s="2" t="s">
        <v>555</v>
      </c>
      <c r="C4487" s="2" t="s">
        <v>9488</v>
      </c>
      <c r="D4487" s="2" t="s">
        <v>28</v>
      </c>
      <c r="E4487" s="2" t="s">
        <v>29</v>
      </c>
      <c r="F4487" s="2">
        <v>30</v>
      </c>
      <c r="G4487" s="2" t="s">
        <v>9750</v>
      </c>
      <c r="H4487" s="2" t="s">
        <v>1261</v>
      </c>
      <c r="I4487" s="2" t="s">
        <v>32</v>
      </c>
      <c r="J4487" s="3">
        <v>43988</v>
      </c>
      <c r="K4487" s="2">
        <v>42</v>
      </c>
      <c r="L4487" s="2" t="s">
        <v>20</v>
      </c>
    </row>
    <row r="4488" spans="1:12" x14ac:dyDescent="0.3">
      <c r="A4488" s="2">
        <v>4477</v>
      </c>
      <c r="B4488" s="2" t="s">
        <v>7772</v>
      </c>
      <c r="C4488" s="2" t="s">
        <v>625</v>
      </c>
      <c r="D4488" s="2" t="s">
        <v>92</v>
      </c>
      <c r="E4488" s="2" t="s">
        <v>16</v>
      </c>
      <c r="F4488" s="2">
        <v>60</v>
      </c>
      <c r="G4488" s="2" t="s">
        <v>9751</v>
      </c>
      <c r="H4488" s="2" t="s">
        <v>1948</v>
      </c>
      <c r="I4488" s="2" t="s">
        <v>25</v>
      </c>
      <c r="J4488" s="3">
        <v>44657</v>
      </c>
      <c r="K4488" s="2">
        <v>33</v>
      </c>
      <c r="L4488" s="2" t="s">
        <v>45</v>
      </c>
    </row>
    <row r="4489" spans="1:12" x14ac:dyDescent="0.3">
      <c r="A4489" s="2">
        <v>4478</v>
      </c>
      <c r="B4489" s="2" t="s">
        <v>8124</v>
      </c>
      <c r="C4489" s="2" t="s">
        <v>1617</v>
      </c>
      <c r="D4489" s="2" t="s">
        <v>28</v>
      </c>
      <c r="E4489" s="2" t="s">
        <v>29</v>
      </c>
      <c r="F4489" s="2">
        <v>90</v>
      </c>
      <c r="G4489" s="2" t="s">
        <v>9751</v>
      </c>
      <c r="H4489" s="2" t="s">
        <v>2745</v>
      </c>
      <c r="I4489" s="2" t="s">
        <v>32</v>
      </c>
      <c r="J4489" s="3">
        <v>44574</v>
      </c>
      <c r="K4489" s="2">
        <v>16</v>
      </c>
      <c r="L4489" s="2" t="s">
        <v>39</v>
      </c>
    </row>
    <row r="4490" spans="1:12" x14ac:dyDescent="0.3">
      <c r="A4490" s="2">
        <v>4479</v>
      </c>
      <c r="B4490" s="2" t="s">
        <v>5060</v>
      </c>
      <c r="C4490" s="2" t="s">
        <v>9752</v>
      </c>
      <c r="D4490" s="2" t="s">
        <v>28</v>
      </c>
      <c r="E4490" s="2" t="s">
        <v>29</v>
      </c>
      <c r="F4490" s="2">
        <v>90</v>
      </c>
      <c r="G4490" s="2" t="s">
        <v>9753</v>
      </c>
      <c r="H4490" s="2" t="s">
        <v>6293</v>
      </c>
      <c r="I4490" s="2" t="s">
        <v>32</v>
      </c>
      <c r="J4490" s="3">
        <v>43908</v>
      </c>
      <c r="K4490" s="2">
        <v>65</v>
      </c>
      <c r="L4490" s="2" t="s">
        <v>80</v>
      </c>
    </row>
    <row r="4491" spans="1:12" x14ac:dyDescent="0.3">
      <c r="A4491" s="2">
        <v>4480</v>
      </c>
      <c r="B4491" s="2" t="s">
        <v>5262</v>
      </c>
      <c r="C4491" s="2" t="s">
        <v>1641</v>
      </c>
      <c r="D4491" s="2" t="s">
        <v>28</v>
      </c>
      <c r="E4491" s="2" t="s">
        <v>29</v>
      </c>
      <c r="F4491" s="2">
        <v>60</v>
      </c>
      <c r="G4491" s="2" t="s">
        <v>9754</v>
      </c>
      <c r="H4491" s="2" t="s">
        <v>3635</v>
      </c>
      <c r="I4491" s="2" t="s">
        <v>1157</v>
      </c>
      <c r="J4491" s="3">
        <v>43999</v>
      </c>
      <c r="K4491" s="2">
        <v>13</v>
      </c>
      <c r="L4491" s="2" t="s">
        <v>54</v>
      </c>
    </row>
    <row r="4492" spans="1:12" x14ac:dyDescent="0.3">
      <c r="A4492" s="2">
        <v>4481</v>
      </c>
      <c r="B4492" s="2" t="s">
        <v>2088</v>
      </c>
      <c r="C4492" s="2" t="s">
        <v>4464</v>
      </c>
      <c r="D4492" s="2" t="s">
        <v>28</v>
      </c>
      <c r="E4492" s="2" t="s">
        <v>29</v>
      </c>
      <c r="F4492" s="2">
        <v>60</v>
      </c>
      <c r="G4492" s="2" t="s">
        <v>9755</v>
      </c>
      <c r="H4492" s="2" t="s">
        <v>3826</v>
      </c>
      <c r="I4492" s="2" t="s">
        <v>20</v>
      </c>
      <c r="J4492" s="3">
        <v>44300</v>
      </c>
      <c r="K4492" s="2">
        <v>69</v>
      </c>
      <c r="L4492" s="2" t="s">
        <v>39</v>
      </c>
    </row>
    <row r="4493" spans="1:12" x14ac:dyDescent="0.3">
      <c r="A4493" s="2">
        <v>4482</v>
      </c>
      <c r="B4493" s="2" t="s">
        <v>9756</v>
      </c>
      <c r="C4493" s="2" t="s">
        <v>5541</v>
      </c>
      <c r="D4493" s="2" t="s">
        <v>15</v>
      </c>
      <c r="E4493" s="2" t="s">
        <v>16</v>
      </c>
      <c r="F4493" s="2">
        <v>60</v>
      </c>
      <c r="G4493" s="2" t="s">
        <v>9755</v>
      </c>
      <c r="H4493" s="2" t="s">
        <v>3446</v>
      </c>
      <c r="I4493" s="2" t="s">
        <v>32</v>
      </c>
      <c r="J4493" s="3">
        <v>44315</v>
      </c>
      <c r="K4493" s="2">
        <v>45</v>
      </c>
      <c r="L4493" s="2" t="s">
        <v>70</v>
      </c>
    </row>
    <row r="4494" spans="1:12" x14ac:dyDescent="0.3">
      <c r="A4494" s="2">
        <v>4483</v>
      </c>
      <c r="B4494" s="2" t="s">
        <v>9757</v>
      </c>
      <c r="C4494" s="2" t="s">
        <v>3074</v>
      </c>
      <c r="D4494" s="2" t="s">
        <v>15</v>
      </c>
      <c r="E4494" s="2" t="s">
        <v>16</v>
      </c>
      <c r="F4494" s="2">
        <v>90</v>
      </c>
      <c r="G4494" s="2" t="s">
        <v>9758</v>
      </c>
      <c r="H4494" s="2" t="s">
        <v>603</v>
      </c>
      <c r="I4494" s="2" t="s">
        <v>187</v>
      </c>
      <c r="J4494" s="3">
        <v>44764</v>
      </c>
      <c r="K4494" s="2">
        <v>66</v>
      </c>
      <c r="L4494" s="2" t="s">
        <v>80</v>
      </c>
    </row>
    <row r="4495" spans="1:12" x14ac:dyDescent="0.3">
      <c r="A4495" s="2">
        <v>4484</v>
      </c>
      <c r="B4495" s="2" t="s">
        <v>2584</v>
      </c>
      <c r="C4495" s="2" t="s">
        <v>6783</v>
      </c>
      <c r="D4495" s="2" t="s">
        <v>28</v>
      </c>
      <c r="E4495" s="2" t="s">
        <v>29</v>
      </c>
      <c r="F4495" s="2">
        <v>60</v>
      </c>
      <c r="G4495" s="2" t="s">
        <v>9759</v>
      </c>
      <c r="H4495" s="2" t="s">
        <v>4739</v>
      </c>
      <c r="I4495" s="2" t="s">
        <v>59</v>
      </c>
      <c r="J4495" s="3">
        <v>44579</v>
      </c>
      <c r="K4495" s="2">
        <v>55</v>
      </c>
      <c r="L4495" s="2" t="s">
        <v>39</v>
      </c>
    </row>
    <row r="4496" spans="1:12" x14ac:dyDescent="0.3">
      <c r="A4496" s="2">
        <v>4485</v>
      </c>
      <c r="B4496" s="2" t="s">
        <v>9760</v>
      </c>
      <c r="C4496" s="2" t="s">
        <v>7801</v>
      </c>
      <c r="D4496" s="2" t="s">
        <v>51</v>
      </c>
      <c r="E4496" s="2" t="s">
        <v>16</v>
      </c>
      <c r="F4496" s="2">
        <v>60</v>
      </c>
      <c r="G4496" s="2" t="s">
        <v>9761</v>
      </c>
      <c r="H4496" s="2" t="s">
        <v>2418</v>
      </c>
      <c r="I4496" s="2" t="s">
        <v>32</v>
      </c>
      <c r="J4496" s="3">
        <v>44257</v>
      </c>
      <c r="K4496" s="2">
        <v>45</v>
      </c>
      <c r="L4496" s="2" t="s">
        <v>70</v>
      </c>
    </row>
    <row r="4497" spans="1:12" x14ac:dyDescent="0.3">
      <c r="A4497" s="2">
        <v>4486</v>
      </c>
      <c r="B4497" s="2" t="s">
        <v>3835</v>
      </c>
      <c r="C4497" s="2" t="s">
        <v>4828</v>
      </c>
      <c r="D4497" s="2" t="s">
        <v>28</v>
      </c>
      <c r="E4497" s="2" t="s">
        <v>29</v>
      </c>
      <c r="F4497" s="2">
        <v>90</v>
      </c>
      <c r="G4497" s="2" t="s">
        <v>9762</v>
      </c>
      <c r="H4497" s="2" t="s">
        <v>3433</v>
      </c>
      <c r="I4497" s="2" t="s">
        <v>1199</v>
      </c>
      <c r="J4497" s="3">
        <v>44843</v>
      </c>
      <c r="K4497" s="2">
        <v>92</v>
      </c>
      <c r="L4497" s="2" t="s">
        <v>33</v>
      </c>
    </row>
    <row r="4498" spans="1:12" x14ac:dyDescent="0.3">
      <c r="A4498" s="2">
        <v>4487</v>
      </c>
      <c r="B4498" s="2" t="s">
        <v>1281</v>
      </c>
      <c r="C4498" s="2" t="s">
        <v>4681</v>
      </c>
      <c r="D4498" s="2" t="s">
        <v>28</v>
      </c>
      <c r="E4498" s="2" t="s">
        <v>29</v>
      </c>
      <c r="F4498" s="2">
        <v>60</v>
      </c>
      <c r="G4498" s="2" t="s">
        <v>9763</v>
      </c>
      <c r="H4498" s="2" t="s">
        <v>1292</v>
      </c>
      <c r="I4498" s="2" t="s">
        <v>32</v>
      </c>
      <c r="J4498" s="3">
        <v>44195</v>
      </c>
      <c r="K4498" s="2">
        <v>68</v>
      </c>
      <c r="L4498" s="2" t="s">
        <v>80</v>
      </c>
    </row>
    <row r="4499" spans="1:12" x14ac:dyDescent="0.3">
      <c r="A4499" s="2">
        <v>4488</v>
      </c>
      <c r="B4499" s="2" t="s">
        <v>8142</v>
      </c>
      <c r="C4499" s="2" t="s">
        <v>6865</v>
      </c>
      <c r="D4499" s="2" t="s">
        <v>15</v>
      </c>
      <c r="E4499" s="2" t="s">
        <v>16</v>
      </c>
      <c r="F4499" s="2">
        <v>30</v>
      </c>
      <c r="G4499" s="2" t="s">
        <v>9764</v>
      </c>
      <c r="H4499" s="2" t="s">
        <v>1537</v>
      </c>
      <c r="I4499" s="2" t="s">
        <v>294</v>
      </c>
      <c r="J4499" s="3">
        <v>44243</v>
      </c>
      <c r="K4499" s="2">
        <v>28</v>
      </c>
      <c r="L4499" s="2" t="s">
        <v>45</v>
      </c>
    </row>
    <row r="4500" spans="1:12" x14ac:dyDescent="0.3">
      <c r="A4500" s="2">
        <v>4489</v>
      </c>
      <c r="B4500" s="2" t="s">
        <v>4591</v>
      </c>
      <c r="C4500" s="2" t="s">
        <v>3700</v>
      </c>
      <c r="D4500" s="2" t="s">
        <v>621</v>
      </c>
      <c r="E4500" s="2" t="s">
        <v>29</v>
      </c>
      <c r="F4500" s="2">
        <v>60</v>
      </c>
      <c r="G4500" s="2" t="s">
        <v>9765</v>
      </c>
      <c r="H4500" s="2" t="s">
        <v>4517</v>
      </c>
      <c r="I4500" s="2" t="s">
        <v>173</v>
      </c>
      <c r="J4500" s="3">
        <v>43916</v>
      </c>
      <c r="K4500" s="2">
        <v>12</v>
      </c>
      <c r="L4500" s="2" t="s">
        <v>39</v>
      </c>
    </row>
    <row r="4501" spans="1:12" x14ac:dyDescent="0.3">
      <c r="A4501" s="2">
        <v>4490</v>
      </c>
      <c r="B4501" s="2" t="s">
        <v>6151</v>
      </c>
      <c r="C4501" s="2" t="s">
        <v>968</v>
      </c>
      <c r="D4501" s="2" t="s">
        <v>92</v>
      </c>
      <c r="E4501" s="2" t="s">
        <v>29</v>
      </c>
      <c r="F4501" s="2">
        <v>90</v>
      </c>
      <c r="G4501" s="2" t="s">
        <v>9766</v>
      </c>
      <c r="H4501" s="2" t="s">
        <v>4090</v>
      </c>
      <c r="I4501" s="2" t="s">
        <v>32</v>
      </c>
      <c r="J4501" s="3">
        <v>43880</v>
      </c>
      <c r="K4501" s="2">
        <v>47</v>
      </c>
      <c r="L4501" s="2" t="s">
        <v>45</v>
      </c>
    </row>
    <row r="4502" spans="1:12" x14ac:dyDescent="0.3">
      <c r="A4502" s="2">
        <v>4491</v>
      </c>
      <c r="B4502" s="2" t="s">
        <v>5755</v>
      </c>
      <c r="C4502" s="2" t="s">
        <v>135</v>
      </c>
      <c r="D4502" s="2" t="s">
        <v>28</v>
      </c>
      <c r="E4502" s="2" t="s">
        <v>29</v>
      </c>
      <c r="F4502" s="2">
        <v>30</v>
      </c>
      <c r="G4502" s="2" t="s">
        <v>9767</v>
      </c>
      <c r="H4502" s="2" t="s">
        <v>4947</v>
      </c>
      <c r="I4502" s="2" t="s">
        <v>32</v>
      </c>
      <c r="J4502" s="3">
        <v>44079</v>
      </c>
      <c r="K4502" s="2">
        <v>4</v>
      </c>
      <c r="L4502" s="2" t="s">
        <v>80</v>
      </c>
    </row>
    <row r="4503" spans="1:12" x14ac:dyDescent="0.3">
      <c r="A4503" s="2">
        <v>4492</v>
      </c>
      <c r="B4503" s="2" t="s">
        <v>9768</v>
      </c>
      <c r="C4503" s="2" t="s">
        <v>9769</v>
      </c>
      <c r="D4503" s="2" t="s">
        <v>15</v>
      </c>
      <c r="E4503" s="2" t="s">
        <v>16</v>
      </c>
      <c r="F4503" s="2">
        <v>30</v>
      </c>
      <c r="G4503" s="2" t="s">
        <v>9770</v>
      </c>
      <c r="H4503" s="2" t="s">
        <v>266</v>
      </c>
      <c r="I4503" s="2" t="s">
        <v>32</v>
      </c>
      <c r="J4503" s="3">
        <v>43995</v>
      </c>
      <c r="K4503" s="2">
        <v>23</v>
      </c>
      <c r="L4503" s="2" t="s">
        <v>70</v>
      </c>
    </row>
    <row r="4504" spans="1:12" x14ac:dyDescent="0.3">
      <c r="A4504" s="2">
        <v>4493</v>
      </c>
      <c r="B4504" s="2" t="s">
        <v>1243</v>
      </c>
      <c r="C4504" s="2" t="s">
        <v>9771</v>
      </c>
      <c r="D4504" s="2" t="s">
        <v>28</v>
      </c>
      <c r="E4504" s="2" t="s">
        <v>29</v>
      </c>
      <c r="F4504" s="2">
        <v>90</v>
      </c>
      <c r="G4504" s="2" t="s">
        <v>9772</v>
      </c>
      <c r="H4504" s="2" t="s">
        <v>1973</v>
      </c>
      <c r="I4504" s="2" t="s">
        <v>110</v>
      </c>
      <c r="J4504" s="3">
        <v>44657</v>
      </c>
      <c r="K4504" s="2">
        <v>32</v>
      </c>
      <c r="L4504" s="2" t="s">
        <v>54</v>
      </c>
    </row>
    <row r="4505" spans="1:12" x14ac:dyDescent="0.3">
      <c r="A4505" s="2">
        <v>4494</v>
      </c>
      <c r="B4505" s="2" t="s">
        <v>9773</v>
      </c>
      <c r="C4505" s="2" t="s">
        <v>1428</v>
      </c>
      <c r="D4505" s="2" t="s">
        <v>41</v>
      </c>
      <c r="E4505" s="2" t="s">
        <v>16</v>
      </c>
      <c r="F4505" s="2">
        <v>60</v>
      </c>
      <c r="G4505" s="2" t="s">
        <v>9774</v>
      </c>
      <c r="H4505" s="2" t="s">
        <v>1490</v>
      </c>
      <c r="I4505" s="2" t="s">
        <v>294</v>
      </c>
      <c r="J4505" s="3">
        <v>44667</v>
      </c>
      <c r="K4505" s="2">
        <v>48</v>
      </c>
      <c r="L4505" s="2" t="s">
        <v>159</v>
      </c>
    </row>
    <row r="4506" spans="1:12" x14ac:dyDescent="0.3">
      <c r="A4506" s="2">
        <v>4495</v>
      </c>
      <c r="B4506" s="2" t="s">
        <v>9775</v>
      </c>
      <c r="C4506" s="2" t="s">
        <v>855</v>
      </c>
      <c r="D4506" s="2" t="s">
        <v>28</v>
      </c>
      <c r="E4506" s="2" t="s">
        <v>29</v>
      </c>
      <c r="F4506" s="2">
        <v>90</v>
      </c>
      <c r="G4506" s="2" t="s">
        <v>9776</v>
      </c>
      <c r="H4506" s="2" t="s">
        <v>2516</v>
      </c>
      <c r="I4506" s="2" t="s">
        <v>32</v>
      </c>
      <c r="J4506" s="3">
        <v>44107</v>
      </c>
      <c r="K4506" s="2">
        <v>22</v>
      </c>
      <c r="L4506" s="2" t="s">
        <v>39</v>
      </c>
    </row>
    <row r="4507" spans="1:12" x14ac:dyDescent="0.3">
      <c r="A4507" s="2">
        <v>4496</v>
      </c>
      <c r="B4507" s="2" t="s">
        <v>7239</v>
      </c>
      <c r="C4507" s="2" t="s">
        <v>3884</v>
      </c>
      <c r="D4507" s="2" t="s">
        <v>28</v>
      </c>
      <c r="E4507" s="2" t="s">
        <v>29</v>
      </c>
      <c r="F4507" s="2">
        <v>90</v>
      </c>
      <c r="G4507" s="2" t="s">
        <v>9776</v>
      </c>
      <c r="H4507" s="2" t="s">
        <v>1880</v>
      </c>
      <c r="I4507" s="2" t="s">
        <v>32</v>
      </c>
      <c r="J4507" s="3">
        <v>44092</v>
      </c>
      <c r="K4507" s="2">
        <v>43</v>
      </c>
      <c r="L4507" s="2" t="s">
        <v>64</v>
      </c>
    </row>
    <row r="4508" spans="1:12" x14ac:dyDescent="0.3">
      <c r="A4508" s="2">
        <v>4497</v>
      </c>
      <c r="B4508" s="2" t="s">
        <v>9777</v>
      </c>
      <c r="C4508" s="2" t="s">
        <v>5807</v>
      </c>
      <c r="D4508" s="2" t="s">
        <v>28</v>
      </c>
      <c r="E4508" s="2" t="s">
        <v>29</v>
      </c>
      <c r="F4508" s="2">
        <v>30</v>
      </c>
      <c r="G4508" s="2" t="s">
        <v>9778</v>
      </c>
      <c r="H4508" s="2" t="s">
        <v>5751</v>
      </c>
      <c r="I4508" s="2" t="s">
        <v>178</v>
      </c>
      <c r="J4508" s="3">
        <v>44306</v>
      </c>
      <c r="K4508" s="2">
        <v>71</v>
      </c>
      <c r="L4508" s="2" t="s">
        <v>33</v>
      </c>
    </row>
    <row r="4509" spans="1:12" x14ac:dyDescent="0.3">
      <c r="A4509" s="2">
        <v>4498</v>
      </c>
      <c r="B4509" s="2" t="s">
        <v>1049</v>
      </c>
      <c r="C4509" s="2" t="s">
        <v>9779</v>
      </c>
      <c r="D4509" s="2" t="s">
        <v>28</v>
      </c>
      <c r="E4509" s="2" t="s">
        <v>29</v>
      </c>
      <c r="F4509" s="2">
        <v>90</v>
      </c>
      <c r="G4509" s="2" t="s">
        <v>9780</v>
      </c>
      <c r="H4509" s="2" t="s">
        <v>1388</v>
      </c>
      <c r="I4509" s="2" t="s">
        <v>32</v>
      </c>
      <c r="J4509" s="3">
        <v>44170</v>
      </c>
      <c r="K4509" s="2">
        <v>21</v>
      </c>
      <c r="L4509" s="2" t="s">
        <v>39</v>
      </c>
    </row>
    <row r="4510" spans="1:12" x14ac:dyDescent="0.3">
      <c r="A4510" s="2">
        <v>4499</v>
      </c>
      <c r="B4510" s="2" t="s">
        <v>9781</v>
      </c>
      <c r="C4510" s="2" t="s">
        <v>1954</v>
      </c>
      <c r="D4510" s="2" t="s">
        <v>15</v>
      </c>
      <c r="E4510" s="2" t="s">
        <v>16</v>
      </c>
      <c r="F4510" s="2">
        <v>60</v>
      </c>
      <c r="G4510" s="2" t="s">
        <v>9782</v>
      </c>
      <c r="H4510" s="2" t="s">
        <v>6710</v>
      </c>
      <c r="I4510" s="2" t="s">
        <v>32</v>
      </c>
      <c r="J4510" s="3">
        <v>44038</v>
      </c>
      <c r="K4510" s="2">
        <v>62</v>
      </c>
      <c r="L4510" s="2" t="s">
        <v>64</v>
      </c>
    </row>
    <row r="4511" spans="1:12" x14ac:dyDescent="0.3">
      <c r="A4511" s="2">
        <v>4500</v>
      </c>
      <c r="B4511" s="2" t="s">
        <v>3503</v>
      </c>
      <c r="C4511" s="2" t="s">
        <v>1340</v>
      </c>
      <c r="D4511" s="2" t="s">
        <v>15</v>
      </c>
      <c r="E4511" s="2" t="s">
        <v>16</v>
      </c>
      <c r="F4511" s="2">
        <v>60</v>
      </c>
      <c r="G4511" s="2" t="s">
        <v>9783</v>
      </c>
      <c r="H4511" s="2" t="s">
        <v>7555</v>
      </c>
      <c r="I4511" s="2" t="s">
        <v>129</v>
      </c>
      <c r="J4511" s="3">
        <v>44307</v>
      </c>
      <c r="K4511" s="2">
        <v>18</v>
      </c>
      <c r="L4511" s="2" t="s">
        <v>64</v>
      </c>
    </row>
    <row r="4512" spans="1:12" x14ac:dyDescent="0.3">
      <c r="A4512" s="2">
        <v>4501</v>
      </c>
      <c r="B4512" s="2" t="s">
        <v>4418</v>
      </c>
      <c r="C4512" s="2" t="s">
        <v>632</v>
      </c>
      <c r="D4512" s="2" t="s">
        <v>51</v>
      </c>
      <c r="E4512" s="2" t="s">
        <v>16</v>
      </c>
      <c r="F4512" s="2">
        <v>90</v>
      </c>
      <c r="G4512" s="2" t="s">
        <v>9784</v>
      </c>
      <c r="H4512" s="2" t="s">
        <v>7140</v>
      </c>
      <c r="I4512" s="2" t="s">
        <v>294</v>
      </c>
      <c r="J4512" s="3">
        <v>44334</v>
      </c>
      <c r="K4512" s="2">
        <v>73</v>
      </c>
      <c r="L4512" s="2" t="s">
        <v>159</v>
      </c>
    </row>
    <row r="4513" spans="1:12" x14ac:dyDescent="0.3">
      <c r="A4513" s="2">
        <v>4502</v>
      </c>
      <c r="B4513" s="2" t="s">
        <v>9785</v>
      </c>
      <c r="C4513" s="2" t="s">
        <v>2024</v>
      </c>
      <c r="D4513" s="2" t="s">
        <v>92</v>
      </c>
      <c r="E4513" s="2" t="s">
        <v>16</v>
      </c>
      <c r="F4513" s="2">
        <v>30</v>
      </c>
      <c r="G4513" s="2" t="s">
        <v>9786</v>
      </c>
      <c r="H4513" s="2" t="s">
        <v>8060</v>
      </c>
      <c r="I4513" s="2" t="s">
        <v>32</v>
      </c>
      <c r="J4513" s="3">
        <v>44351</v>
      </c>
      <c r="K4513" s="2">
        <v>60</v>
      </c>
      <c r="L4513" s="2" t="s">
        <v>39</v>
      </c>
    </row>
    <row r="4514" spans="1:12" x14ac:dyDescent="0.3">
      <c r="A4514" s="2">
        <v>4503</v>
      </c>
      <c r="B4514" s="2" t="s">
        <v>9787</v>
      </c>
      <c r="C4514" s="2" t="s">
        <v>1891</v>
      </c>
      <c r="D4514" s="2" t="s">
        <v>15</v>
      </c>
      <c r="E4514" s="2" t="s">
        <v>16</v>
      </c>
      <c r="F4514" s="2">
        <v>90</v>
      </c>
      <c r="G4514" s="2" t="s">
        <v>9788</v>
      </c>
      <c r="H4514" s="2" t="s">
        <v>4046</v>
      </c>
      <c r="I4514" s="2" t="s">
        <v>173</v>
      </c>
      <c r="J4514" s="3">
        <v>44285</v>
      </c>
      <c r="K4514" s="2">
        <v>62</v>
      </c>
      <c r="L4514" s="2" t="s">
        <v>20</v>
      </c>
    </row>
    <row r="4515" spans="1:12" x14ac:dyDescent="0.3">
      <c r="A4515" s="2">
        <v>4504</v>
      </c>
      <c r="B4515" s="2" t="s">
        <v>4564</v>
      </c>
      <c r="C4515" s="2" t="s">
        <v>449</v>
      </c>
      <c r="D4515" s="2" t="s">
        <v>15</v>
      </c>
      <c r="E4515" s="2" t="s">
        <v>16</v>
      </c>
      <c r="F4515" s="2">
        <v>60</v>
      </c>
      <c r="G4515" s="2" t="s">
        <v>10584</v>
      </c>
      <c r="H4515" s="2" t="s">
        <v>5134</v>
      </c>
      <c r="I4515" s="2" t="s">
        <v>32</v>
      </c>
      <c r="J4515" s="3">
        <v>44038</v>
      </c>
      <c r="K4515" s="2">
        <v>47</v>
      </c>
      <c r="L4515" s="2" t="s">
        <v>33</v>
      </c>
    </row>
    <row r="4516" spans="1:12" x14ac:dyDescent="0.3">
      <c r="A4516" s="2">
        <v>4505</v>
      </c>
      <c r="B4516" s="2" t="s">
        <v>9790</v>
      </c>
      <c r="C4516" s="2" t="s">
        <v>1746</v>
      </c>
      <c r="D4516" s="2" t="s">
        <v>15</v>
      </c>
      <c r="E4516" s="2" t="s">
        <v>16</v>
      </c>
      <c r="F4516" s="2">
        <v>30</v>
      </c>
      <c r="G4516" s="2" t="s">
        <v>9791</v>
      </c>
      <c r="H4516" s="2" t="s">
        <v>1754</v>
      </c>
      <c r="I4516" s="2" t="s">
        <v>25</v>
      </c>
      <c r="J4516" s="3">
        <v>43893</v>
      </c>
      <c r="K4516" s="2">
        <v>14</v>
      </c>
      <c r="L4516" s="2" t="s">
        <v>64</v>
      </c>
    </row>
    <row r="4517" spans="1:12" x14ac:dyDescent="0.3">
      <c r="A4517" s="2">
        <v>4506</v>
      </c>
      <c r="B4517" s="2" t="s">
        <v>9792</v>
      </c>
      <c r="C4517" s="2" t="s">
        <v>9793</v>
      </c>
      <c r="D4517" s="2" t="s">
        <v>51</v>
      </c>
      <c r="E4517" s="2" t="s">
        <v>16</v>
      </c>
      <c r="F4517" s="2">
        <v>90</v>
      </c>
      <c r="G4517" s="2" t="s">
        <v>9794</v>
      </c>
      <c r="H4517" s="2" t="s">
        <v>3303</v>
      </c>
      <c r="I4517" s="2" t="s">
        <v>294</v>
      </c>
      <c r="J4517" s="3">
        <v>44483</v>
      </c>
      <c r="K4517" s="2">
        <v>81</v>
      </c>
      <c r="L4517" s="2" t="s">
        <v>39</v>
      </c>
    </row>
    <row r="4518" spans="1:12" x14ac:dyDescent="0.3">
      <c r="A4518" s="2">
        <v>4507</v>
      </c>
      <c r="B4518" s="2" t="s">
        <v>214</v>
      </c>
      <c r="C4518" s="2" t="s">
        <v>1714</v>
      </c>
      <c r="D4518" s="2" t="s">
        <v>28</v>
      </c>
      <c r="E4518" s="2" t="s">
        <v>29</v>
      </c>
      <c r="F4518" s="2">
        <v>90</v>
      </c>
      <c r="G4518" s="2" t="s">
        <v>9795</v>
      </c>
      <c r="H4518" s="2" t="s">
        <v>1764</v>
      </c>
      <c r="I4518" s="2" t="s">
        <v>124</v>
      </c>
      <c r="J4518" s="3">
        <v>44403</v>
      </c>
      <c r="K4518" s="2">
        <v>42</v>
      </c>
      <c r="L4518" s="2" t="s">
        <v>70</v>
      </c>
    </row>
    <row r="4519" spans="1:12" x14ac:dyDescent="0.3">
      <c r="A4519" s="2">
        <v>4508</v>
      </c>
      <c r="B4519" s="2" t="s">
        <v>4864</v>
      </c>
      <c r="C4519" s="2" t="s">
        <v>7144</v>
      </c>
      <c r="D4519" s="2" t="s">
        <v>51</v>
      </c>
      <c r="E4519" s="2" t="s">
        <v>16</v>
      </c>
      <c r="F4519" s="2">
        <v>60</v>
      </c>
      <c r="G4519" s="2" t="s">
        <v>9796</v>
      </c>
      <c r="H4519" s="2" t="s">
        <v>1224</v>
      </c>
      <c r="I4519" s="2" t="s">
        <v>25</v>
      </c>
      <c r="J4519" s="3">
        <v>44626</v>
      </c>
      <c r="K4519" s="2">
        <v>69</v>
      </c>
      <c r="L4519" s="2" t="s">
        <v>64</v>
      </c>
    </row>
    <row r="4520" spans="1:12" x14ac:dyDescent="0.3">
      <c r="A4520" s="2">
        <v>4509</v>
      </c>
      <c r="B4520" s="2" t="s">
        <v>4390</v>
      </c>
      <c r="C4520" s="2" t="s">
        <v>2909</v>
      </c>
      <c r="D4520" s="2" t="s">
        <v>28</v>
      </c>
      <c r="E4520" s="2" t="s">
        <v>29</v>
      </c>
      <c r="F4520" s="2">
        <v>90</v>
      </c>
      <c r="G4520" s="2" t="s">
        <v>9797</v>
      </c>
      <c r="H4520" s="2" t="s">
        <v>7689</v>
      </c>
      <c r="I4520" s="2" t="s">
        <v>38</v>
      </c>
      <c r="J4520" s="3">
        <v>44338</v>
      </c>
      <c r="K4520" s="2">
        <v>38</v>
      </c>
      <c r="L4520" s="2" t="s">
        <v>80</v>
      </c>
    </row>
    <row r="4521" spans="1:12" x14ac:dyDescent="0.3">
      <c r="A4521" s="2">
        <v>4510</v>
      </c>
      <c r="B4521" s="2" t="s">
        <v>6484</v>
      </c>
      <c r="C4521" s="2" t="s">
        <v>3301</v>
      </c>
      <c r="D4521" s="2" t="s">
        <v>28</v>
      </c>
      <c r="E4521" s="2" t="s">
        <v>29</v>
      </c>
      <c r="F4521" s="2">
        <v>90</v>
      </c>
      <c r="G4521" s="2" t="s">
        <v>9798</v>
      </c>
      <c r="H4521" s="2" t="s">
        <v>1249</v>
      </c>
      <c r="I4521" s="2" t="s">
        <v>146</v>
      </c>
      <c r="J4521" s="3">
        <v>44744</v>
      </c>
      <c r="K4521" s="2">
        <v>38</v>
      </c>
      <c r="L4521" s="2" t="s">
        <v>70</v>
      </c>
    </row>
    <row r="4522" spans="1:12" x14ac:dyDescent="0.3">
      <c r="A4522" s="2">
        <v>4511</v>
      </c>
      <c r="B4522" s="2" t="s">
        <v>7325</v>
      </c>
      <c r="C4522" s="2" t="s">
        <v>1870</v>
      </c>
      <c r="D4522" s="2" t="s">
        <v>51</v>
      </c>
      <c r="E4522" s="2" t="s">
        <v>16</v>
      </c>
      <c r="F4522" s="2">
        <v>30</v>
      </c>
      <c r="G4522" s="2" t="s">
        <v>9799</v>
      </c>
      <c r="H4522" s="2" t="s">
        <v>2218</v>
      </c>
      <c r="I4522" s="2" t="s">
        <v>173</v>
      </c>
      <c r="J4522" s="3">
        <v>44007</v>
      </c>
      <c r="K4522" s="2">
        <v>76</v>
      </c>
      <c r="L4522" s="2" t="s">
        <v>54</v>
      </c>
    </row>
    <row r="4523" spans="1:12" x14ac:dyDescent="0.3">
      <c r="A4523" s="2">
        <v>4512</v>
      </c>
      <c r="B4523" s="2" t="s">
        <v>2634</v>
      </c>
      <c r="C4523" s="2" t="s">
        <v>2856</v>
      </c>
      <c r="D4523" s="2" t="s">
        <v>51</v>
      </c>
      <c r="E4523" s="2" t="s">
        <v>16</v>
      </c>
      <c r="F4523" s="2">
        <v>30</v>
      </c>
      <c r="G4523" s="2" t="s">
        <v>9800</v>
      </c>
      <c r="H4523" s="2" t="s">
        <v>2633</v>
      </c>
      <c r="I4523" s="2" t="s">
        <v>32</v>
      </c>
      <c r="J4523" s="3">
        <v>44069</v>
      </c>
      <c r="K4523" s="2">
        <v>60</v>
      </c>
      <c r="L4523" s="2" t="s">
        <v>80</v>
      </c>
    </row>
    <row r="4524" spans="1:12" x14ac:dyDescent="0.3">
      <c r="A4524" s="2">
        <v>4513</v>
      </c>
      <c r="B4524" s="2" t="s">
        <v>9801</v>
      </c>
      <c r="C4524" s="2" t="s">
        <v>547</v>
      </c>
      <c r="D4524" s="2" t="s">
        <v>51</v>
      </c>
      <c r="E4524" s="2" t="s">
        <v>16</v>
      </c>
      <c r="F4524" s="2">
        <v>30</v>
      </c>
      <c r="G4524" s="2" t="s">
        <v>9802</v>
      </c>
      <c r="H4524" s="2" t="s">
        <v>6023</v>
      </c>
      <c r="I4524" s="2" t="s">
        <v>32</v>
      </c>
      <c r="J4524" s="3">
        <v>44639</v>
      </c>
      <c r="K4524" s="2">
        <v>79</v>
      </c>
      <c r="L4524" s="2" t="s">
        <v>45</v>
      </c>
    </row>
    <row r="4525" spans="1:12" x14ac:dyDescent="0.3">
      <c r="A4525" s="2">
        <v>4514</v>
      </c>
      <c r="B4525" s="2" t="s">
        <v>9803</v>
      </c>
      <c r="C4525" s="2" t="s">
        <v>3488</v>
      </c>
      <c r="D4525" s="2" t="s">
        <v>51</v>
      </c>
      <c r="E4525" s="2" t="s">
        <v>16</v>
      </c>
      <c r="F4525" s="2">
        <v>30</v>
      </c>
      <c r="G4525" s="2" t="s">
        <v>9804</v>
      </c>
      <c r="H4525" s="2" t="s">
        <v>7154</v>
      </c>
      <c r="I4525" s="2" t="s">
        <v>32</v>
      </c>
      <c r="J4525" s="3">
        <v>44452</v>
      </c>
      <c r="K4525" s="2">
        <v>8</v>
      </c>
      <c r="L4525" s="2" t="s">
        <v>33</v>
      </c>
    </row>
    <row r="4526" spans="1:12" x14ac:dyDescent="0.3">
      <c r="A4526" s="2">
        <v>4515</v>
      </c>
      <c r="B4526" s="2" t="s">
        <v>7537</v>
      </c>
      <c r="C4526" s="2" t="s">
        <v>4237</v>
      </c>
      <c r="D4526" s="2" t="s">
        <v>28</v>
      </c>
      <c r="E4526" s="2" t="s">
        <v>29</v>
      </c>
      <c r="F4526" s="2">
        <v>90</v>
      </c>
      <c r="G4526" s="2" t="s">
        <v>9805</v>
      </c>
      <c r="H4526" s="2" t="s">
        <v>8022</v>
      </c>
      <c r="I4526" s="2" t="s">
        <v>294</v>
      </c>
      <c r="J4526" s="3">
        <v>44221</v>
      </c>
      <c r="K4526" s="2">
        <v>68</v>
      </c>
      <c r="L4526" s="2" t="s">
        <v>101</v>
      </c>
    </row>
    <row r="4527" spans="1:12" x14ac:dyDescent="0.3">
      <c r="A4527" s="2">
        <v>4516</v>
      </c>
      <c r="B4527" s="2" t="s">
        <v>4649</v>
      </c>
      <c r="C4527" s="2" t="s">
        <v>6420</v>
      </c>
      <c r="D4527" s="2" t="s">
        <v>28</v>
      </c>
      <c r="E4527" s="2" t="s">
        <v>29</v>
      </c>
      <c r="F4527" s="2">
        <v>90</v>
      </c>
      <c r="G4527" s="2" t="s">
        <v>9806</v>
      </c>
      <c r="H4527" s="2" t="s">
        <v>2045</v>
      </c>
      <c r="I4527" s="2" t="s">
        <v>38</v>
      </c>
      <c r="J4527" s="3">
        <v>44379</v>
      </c>
      <c r="K4527" s="2">
        <v>37</v>
      </c>
      <c r="L4527" s="2" t="s">
        <v>54</v>
      </c>
    </row>
    <row r="4528" spans="1:12" x14ac:dyDescent="0.3">
      <c r="A4528" s="2">
        <v>4517</v>
      </c>
      <c r="B4528" s="2" t="s">
        <v>9807</v>
      </c>
      <c r="C4528" s="2" t="s">
        <v>4619</v>
      </c>
      <c r="D4528" s="2" t="s">
        <v>51</v>
      </c>
      <c r="E4528" s="2" t="s">
        <v>16</v>
      </c>
      <c r="F4528" s="2">
        <v>90</v>
      </c>
      <c r="G4528" s="2" t="s">
        <v>9808</v>
      </c>
      <c r="H4528" s="2" t="s">
        <v>4587</v>
      </c>
      <c r="I4528" s="2" t="s">
        <v>32</v>
      </c>
      <c r="J4528" s="3">
        <v>44252</v>
      </c>
      <c r="K4528" s="2">
        <v>68</v>
      </c>
      <c r="L4528" s="2" t="s">
        <v>39</v>
      </c>
    </row>
    <row r="4529" spans="1:12" x14ac:dyDescent="0.3">
      <c r="A4529" s="2">
        <v>4518</v>
      </c>
      <c r="B4529" s="2" t="s">
        <v>5797</v>
      </c>
      <c r="C4529" s="2" t="s">
        <v>7779</v>
      </c>
      <c r="D4529" s="2" t="s">
        <v>28</v>
      </c>
      <c r="E4529" s="2" t="s">
        <v>29</v>
      </c>
      <c r="F4529" s="2">
        <v>30</v>
      </c>
      <c r="G4529" s="2" t="s">
        <v>9809</v>
      </c>
      <c r="H4529" s="2" t="s">
        <v>5748</v>
      </c>
      <c r="I4529" s="2" t="s">
        <v>124</v>
      </c>
      <c r="J4529" s="3">
        <v>44818</v>
      </c>
      <c r="K4529" s="2">
        <v>55</v>
      </c>
      <c r="L4529" s="2" t="s">
        <v>64</v>
      </c>
    </row>
    <row r="4530" spans="1:12" x14ac:dyDescent="0.3">
      <c r="A4530" s="2">
        <v>4519</v>
      </c>
      <c r="B4530" s="2" t="s">
        <v>2966</v>
      </c>
      <c r="C4530" s="2" t="s">
        <v>1044</v>
      </c>
      <c r="D4530" s="2" t="s">
        <v>15</v>
      </c>
      <c r="E4530" s="2" t="s">
        <v>16</v>
      </c>
      <c r="F4530" s="2">
        <v>30</v>
      </c>
      <c r="G4530" s="2" t="s">
        <v>9809</v>
      </c>
      <c r="H4530" s="2" t="s">
        <v>2633</v>
      </c>
      <c r="I4530" s="2" t="s">
        <v>32</v>
      </c>
      <c r="J4530" s="3">
        <v>44750</v>
      </c>
      <c r="K4530" s="2">
        <v>13</v>
      </c>
      <c r="L4530" s="2" t="s">
        <v>70</v>
      </c>
    </row>
    <row r="4531" spans="1:12" x14ac:dyDescent="0.3">
      <c r="A4531" s="2">
        <v>4520</v>
      </c>
      <c r="B4531" s="2" t="s">
        <v>9810</v>
      </c>
      <c r="C4531" s="2" t="s">
        <v>940</v>
      </c>
      <c r="D4531" s="2" t="s">
        <v>51</v>
      </c>
      <c r="E4531" s="2" t="s">
        <v>16</v>
      </c>
      <c r="F4531" s="2">
        <v>60</v>
      </c>
      <c r="G4531" s="2" t="s">
        <v>9811</v>
      </c>
      <c r="H4531" s="2" t="s">
        <v>2599</v>
      </c>
      <c r="I4531" s="2" t="s">
        <v>25</v>
      </c>
      <c r="J4531" s="3">
        <v>44669</v>
      </c>
      <c r="K4531" s="2">
        <v>67</v>
      </c>
      <c r="L4531" s="2" t="s">
        <v>33</v>
      </c>
    </row>
    <row r="4532" spans="1:12" x14ac:dyDescent="0.3">
      <c r="A4532" s="2">
        <v>4521</v>
      </c>
      <c r="B4532" s="2" t="s">
        <v>9812</v>
      </c>
      <c r="C4532" s="2" t="s">
        <v>3066</v>
      </c>
      <c r="D4532" s="2" t="s">
        <v>15</v>
      </c>
      <c r="E4532" s="2" t="s">
        <v>16</v>
      </c>
      <c r="F4532" s="2">
        <v>90</v>
      </c>
      <c r="G4532" s="2" t="s">
        <v>9813</v>
      </c>
      <c r="H4532" s="2" t="s">
        <v>2227</v>
      </c>
      <c r="I4532" s="2" t="s">
        <v>38</v>
      </c>
      <c r="J4532" s="3">
        <v>43857</v>
      </c>
      <c r="K4532" s="2">
        <v>51</v>
      </c>
      <c r="L4532" s="2" t="s">
        <v>101</v>
      </c>
    </row>
    <row r="4533" spans="1:12" x14ac:dyDescent="0.3">
      <c r="A4533" s="2">
        <v>4522</v>
      </c>
      <c r="B4533" s="2" t="s">
        <v>8151</v>
      </c>
      <c r="C4533" s="2" t="s">
        <v>2942</v>
      </c>
      <c r="D4533" s="2" t="s">
        <v>15</v>
      </c>
      <c r="E4533" s="2" t="s">
        <v>16</v>
      </c>
      <c r="F4533" s="2">
        <v>90</v>
      </c>
      <c r="G4533" s="2" t="s">
        <v>9814</v>
      </c>
      <c r="H4533" s="2" t="s">
        <v>3673</v>
      </c>
      <c r="I4533" s="2" t="s">
        <v>777</v>
      </c>
      <c r="J4533" s="3">
        <v>44879</v>
      </c>
      <c r="K4533" s="2">
        <v>4</v>
      </c>
      <c r="L4533" s="2" t="s">
        <v>159</v>
      </c>
    </row>
    <row r="4534" spans="1:12" x14ac:dyDescent="0.3">
      <c r="A4534" s="2">
        <v>4523</v>
      </c>
      <c r="B4534" s="2" t="s">
        <v>9815</v>
      </c>
      <c r="C4534" s="2" t="s">
        <v>7177</v>
      </c>
      <c r="D4534" s="2" t="s">
        <v>51</v>
      </c>
      <c r="E4534" s="2" t="s">
        <v>16</v>
      </c>
      <c r="F4534" s="2">
        <v>60</v>
      </c>
      <c r="G4534" s="2" t="s">
        <v>9816</v>
      </c>
      <c r="H4534" s="2" t="s">
        <v>2351</v>
      </c>
      <c r="I4534" s="2" t="s">
        <v>32</v>
      </c>
      <c r="J4534" s="3">
        <v>44089</v>
      </c>
      <c r="K4534" s="2">
        <v>19</v>
      </c>
      <c r="L4534" s="2" t="s">
        <v>33</v>
      </c>
    </row>
    <row r="4535" spans="1:12" x14ac:dyDescent="0.3">
      <c r="A4535" s="2">
        <v>4524</v>
      </c>
      <c r="B4535" s="2" t="s">
        <v>9817</v>
      </c>
      <c r="C4535" s="2" t="s">
        <v>1851</v>
      </c>
      <c r="D4535" s="2" t="s">
        <v>51</v>
      </c>
      <c r="E4535" s="2" t="s">
        <v>16</v>
      </c>
      <c r="F4535" s="2">
        <v>30</v>
      </c>
      <c r="G4535" s="2" t="s">
        <v>9816</v>
      </c>
      <c r="H4535" s="2" t="s">
        <v>2893</v>
      </c>
      <c r="I4535" s="2" t="s">
        <v>32</v>
      </c>
      <c r="J4535" s="3">
        <v>44477</v>
      </c>
      <c r="K4535" s="2">
        <v>48</v>
      </c>
      <c r="L4535" s="2" t="s">
        <v>80</v>
      </c>
    </row>
    <row r="4536" spans="1:12" x14ac:dyDescent="0.3">
      <c r="A4536" s="2">
        <v>4525</v>
      </c>
      <c r="B4536" s="2" t="s">
        <v>9818</v>
      </c>
      <c r="C4536" s="2" t="s">
        <v>1468</v>
      </c>
      <c r="D4536" s="2" t="s">
        <v>15</v>
      </c>
      <c r="E4536" s="2" t="s">
        <v>16</v>
      </c>
      <c r="F4536" s="2">
        <v>60</v>
      </c>
      <c r="G4536" s="2" t="s">
        <v>9819</v>
      </c>
      <c r="H4536" s="2" t="s">
        <v>3446</v>
      </c>
      <c r="I4536" s="2" t="s">
        <v>32</v>
      </c>
      <c r="J4536" s="3">
        <v>44499</v>
      </c>
      <c r="K4536" s="2">
        <v>69</v>
      </c>
      <c r="L4536" s="2" t="s">
        <v>39</v>
      </c>
    </row>
    <row r="4537" spans="1:12" x14ac:dyDescent="0.3">
      <c r="A4537" s="2">
        <v>4526</v>
      </c>
      <c r="B4537" s="2" t="s">
        <v>8479</v>
      </c>
      <c r="C4537" s="2" t="s">
        <v>233</v>
      </c>
      <c r="D4537" s="2" t="s">
        <v>92</v>
      </c>
      <c r="E4537" s="2" t="s">
        <v>16</v>
      </c>
      <c r="F4537" s="2">
        <v>90</v>
      </c>
      <c r="G4537" s="2" t="s">
        <v>9820</v>
      </c>
      <c r="H4537" s="2" t="s">
        <v>655</v>
      </c>
      <c r="I4537" s="2" t="s">
        <v>32</v>
      </c>
      <c r="J4537" s="3">
        <v>43842</v>
      </c>
      <c r="K4537" s="2">
        <v>57</v>
      </c>
      <c r="L4537" s="2" t="s">
        <v>159</v>
      </c>
    </row>
    <row r="4538" spans="1:12" x14ac:dyDescent="0.3">
      <c r="A4538" s="2">
        <v>4527</v>
      </c>
      <c r="B4538" s="2" t="s">
        <v>4768</v>
      </c>
      <c r="C4538" s="2" t="s">
        <v>2188</v>
      </c>
      <c r="D4538" s="2" t="s">
        <v>28</v>
      </c>
      <c r="E4538" s="2" t="s">
        <v>29</v>
      </c>
      <c r="F4538" s="2">
        <v>90</v>
      </c>
      <c r="G4538" s="2" t="s">
        <v>9821</v>
      </c>
      <c r="H4538" s="2" t="s">
        <v>1796</v>
      </c>
      <c r="I4538" s="2" t="s">
        <v>178</v>
      </c>
      <c r="J4538" s="3">
        <v>44808</v>
      </c>
      <c r="K4538" s="2">
        <v>35</v>
      </c>
      <c r="L4538" s="2" t="s">
        <v>39</v>
      </c>
    </row>
    <row r="4539" spans="1:12" x14ac:dyDescent="0.3">
      <c r="A4539" s="2">
        <v>4528</v>
      </c>
      <c r="B4539" s="2" t="s">
        <v>8187</v>
      </c>
      <c r="C4539" s="2" t="s">
        <v>9715</v>
      </c>
      <c r="D4539" s="2" t="s">
        <v>28</v>
      </c>
      <c r="E4539" s="2" t="s">
        <v>29</v>
      </c>
      <c r="F4539" s="2">
        <v>30</v>
      </c>
      <c r="G4539" s="2" t="s">
        <v>9822</v>
      </c>
      <c r="H4539" s="2" t="s">
        <v>3402</v>
      </c>
      <c r="I4539" s="2" t="s">
        <v>32</v>
      </c>
      <c r="J4539" s="3">
        <v>44539</v>
      </c>
      <c r="K4539" s="2">
        <v>77</v>
      </c>
      <c r="L4539" s="2" t="s">
        <v>54</v>
      </c>
    </row>
    <row r="4540" spans="1:12" x14ac:dyDescent="0.3">
      <c r="A4540" s="2">
        <v>4529</v>
      </c>
      <c r="B4540" s="2" t="s">
        <v>3089</v>
      </c>
      <c r="C4540" s="2" t="s">
        <v>6322</v>
      </c>
      <c r="D4540" s="2" t="s">
        <v>28</v>
      </c>
      <c r="E4540" s="2" t="s">
        <v>29</v>
      </c>
      <c r="F4540" s="2">
        <v>90</v>
      </c>
      <c r="G4540" s="2" t="s">
        <v>9823</v>
      </c>
      <c r="H4540" s="2" t="s">
        <v>5643</v>
      </c>
      <c r="I4540" s="2" t="s">
        <v>886</v>
      </c>
      <c r="J4540" s="3">
        <v>44068</v>
      </c>
      <c r="K4540" s="2">
        <v>74</v>
      </c>
      <c r="L4540" s="2" t="s">
        <v>33</v>
      </c>
    </row>
    <row r="4541" spans="1:12" x14ac:dyDescent="0.3">
      <c r="A4541" s="2">
        <v>4530</v>
      </c>
      <c r="B4541" s="2" t="s">
        <v>8187</v>
      </c>
      <c r="C4541" s="2" t="s">
        <v>1813</v>
      </c>
      <c r="D4541" s="2" t="s">
        <v>28</v>
      </c>
      <c r="E4541" s="2" t="s">
        <v>29</v>
      </c>
      <c r="F4541" s="2">
        <v>60</v>
      </c>
      <c r="G4541" s="2" t="s">
        <v>9823</v>
      </c>
      <c r="H4541" s="2" t="s">
        <v>1382</v>
      </c>
      <c r="I4541" s="2" t="s">
        <v>32</v>
      </c>
      <c r="J4541" s="3">
        <v>43930</v>
      </c>
      <c r="K4541" s="2">
        <v>43</v>
      </c>
      <c r="L4541" s="2" t="s">
        <v>80</v>
      </c>
    </row>
    <row r="4542" spans="1:12" x14ac:dyDescent="0.3">
      <c r="A4542" s="2">
        <v>4531</v>
      </c>
      <c r="B4542" s="2" t="s">
        <v>7121</v>
      </c>
      <c r="C4542" s="2" t="s">
        <v>3369</v>
      </c>
      <c r="D4542" s="2" t="s">
        <v>28</v>
      </c>
      <c r="E4542" s="2" t="s">
        <v>29</v>
      </c>
      <c r="F4542" s="2">
        <v>60</v>
      </c>
      <c r="G4542" s="2" t="s">
        <v>9824</v>
      </c>
      <c r="H4542" s="2" t="s">
        <v>3862</v>
      </c>
      <c r="I4542" s="2" t="s">
        <v>2543</v>
      </c>
      <c r="J4542" s="3">
        <v>43873</v>
      </c>
      <c r="K4542" s="2">
        <v>32</v>
      </c>
      <c r="L4542" s="2" t="s">
        <v>80</v>
      </c>
    </row>
    <row r="4543" spans="1:12" x14ac:dyDescent="0.3">
      <c r="A4543" s="2">
        <v>4532</v>
      </c>
      <c r="B4543" s="2" t="s">
        <v>922</v>
      </c>
      <c r="C4543" s="2" t="s">
        <v>6307</v>
      </c>
      <c r="D4543" s="2" t="s">
        <v>28</v>
      </c>
      <c r="E4543" s="2" t="s">
        <v>29</v>
      </c>
      <c r="F4543" s="2">
        <v>60</v>
      </c>
      <c r="G4543" s="2" t="s">
        <v>9825</v>
      </c>
      <c r="H4543" s="2" t="s">
        <v>2671</v>
      </c>
      <c r="I4543" s="2" t="s">
        <v>1157</v>
      </c>
      <c r="J4543" s="3">
        <v>43836</v>
      </c>
      <c r="K4543" s="2">
        <v>29</v>
      </c>
      <c r="L4543" s="2" t="s">
        <v>39</v>
      </c>
    </row>
    <row r="4544" spans="1:12" x14ac:dyDescent="0.3">
      <c r="A4544" s="2">
        <v>4533</v>
      </c>
      <c r="B4544" s="2" t="s">
        <v>1031</v>
      </c>
      <c r="C4544" s="2" t="s">
        <v>6890</v>
      </c>
      <c r="D4544" s="2" t="s">
        <v>28</v>
      </c>
      <c r="E4544" s="2" t="s">
        <v>29</v>
      </c>
      <c r="F4544" s="2">
        <v>30</v>
      </c>
      <c r="G4544" s="2" t="s">
        <v>9826</v>
      </c>
      <c r="H4544" s="2" t="s">
        <v>4066</v>
      </c>
      <c r="I4544" s="2" t="s">
        <v>4067</v>
      </c>
      <c r="J4544" s="3">
        <v>44708</v>
      </c>
      <c r="K4544" s="2">
        <v>92</v>
      </c>
      <c r="L4544" s="2" t="s">
        <v>64</v>
      </c>
    </row>
    <row r="4545" spans="1:12" x14ac:dyDescent="0.3">
      <c r="A4545" s="2">
        <v>4534</v>
      </c>
      <c r="B4545" s="2" t="s">
        <v>6699</v>
      </c>
      <c r="C4545" s="2" t="s">
        <v>3549</v>
      </c>
      <c r="D4545" s="2" t="s">
        <v>28</v>
      </c>
      <c r="E4545" s="2" t="s">
        <v>29</v>
      </c>
      <c r="F4545" s="2">
        <v>60</v>
      </c>
      <c r="G4545" s="2" t="s">
        <v>9827</v>
      </c>
      <c r="H4545" s="2" t="s">
        <v>3793</v>
      </c>
      <c r="I4545" s="2" t="s">
        <v>173</v>
      </c>
      <c r="J4545" s="3">
        <v>44548</v>
      </c>
      <c r="K4545" s="2">
        <v>93</v>
      </c>
      <c r="L4545" s="2" t="s">
        <v>80</v>
      </c>
    </row>
    <row r="4546" spans="1:12" x14ac:dyDescent="0.3">
      <c r="A4546" s="2">
        <v>4535</v>
      </c>
      <c r="B4546" s="2" t="s">
        <v>990</v>
      </c>
      <c r="C4546" s="2" t="s">
        <v>8563</v>
      </c>
      <c r="D4546" s="2" t="s">
        <v>28</v>
      </c>
      <c r="E4546" s="2" t="s">
        <v>29</v>
      </c>
      <c r="F4546" s="2">
        <v>60</v>
      </c>
      <c r="G4546" s="2" t="s">
        <v>9828</v>
      </c>
      <c r="H4546" s="2" t="s">
        <v>7330</v>
      </c>
      <c r="I4546" s="2" t="s">
        <v>5820</v>
      </c>
      <c r="J4546" s="3">
        <v>44719</v>
      </c>
      <c r="K4546" s="2">
        <v>56</v>
      </c>
      <c r="L4546" s="2" t="s">
        <v>20</v>
      </c>
    </row>
    <row r="4547" spans="1:12" x14ac:dyDescent="0.3">
      <c r="A4547" s="2">
        <v>4536</v>
      </c>
      <c r="B4547" s="2" t="s">
        <v>9193</v>
      </c>
      <c r="C4547" s="2" t="s">
        <v>987</v>
      </c>
      <c r="D4547" s="2" t="s">
        <v>621</v>
      </c>
      <c r="E4547" s="2" t="s">
        <v>29</v>
      </c>
      <c r="F4547" s="2">
        <v>30</v>
      </c>
      <c r="G4547" s="2" t="s">
        <v>9829</v>
      </c>
      <c r="H4547" s="2" t="s">
        <v>3409</v>
      </c>
      <c r="I4547" s="2" t="s">
        <v>95</v>
      </c>
      <c r="J4547" s="3">
        <v>43975</v>
      </c>
      <c r="K4547" s="2">
        <v>13</v>
      </c>
      <c r="L4547" s="2" t="s">
        <v>159</v>
      </c>
    </row>
    <row r="4548" spans="1:12" x14ac:dyDescent="0.3">
      <c r="A4548" s="2">
        <v>4537</v>
      </c>
      <c r="B4548" s="2" t="s">
        <v>2381</v>
      </c>
      <c r="C4548" s="2" t="s">
        <v>1307</v>
      </c>
      <c r="D4548" s="2" t="s">
        <v>28</v>
      </c>
      <c r="E4548" s="2" t="s">
        <v>29</v>
      </c>
      <c r="F4548" s="2">
        <v>30</v>
      </c>
      <c r="G4548" s="2" t="s">
        <v>9830</v>
      </c>
      <c r="H4548" s="2" t="s">
        <v>3100</v>
      </c>
      <c r="I4548" s="2" t="s">
        <v>32</v>
      </c>
      <c r="J4548" s="3">
        <v>44320</v>
      </c>
      <c r="K4548" s="2">
        <v>46</v>
      </c>
      <c r="L4548" s="2" t="s">
        <v>20</v>
      </c>
    </row>
    <row r="4549" spans="1:12" x14ac:dyDescent="0.3">
      <c r="A4549" s="2">
        <v>4538</v>
      </c>
      <c r="B4549" s="2" t="s">
        <v>9831</v>
      </c>
      <c r="C4549" s="2" t="s">
        <v>3382</v>
      </c>
      <c r="D4549" s="2" t="s">
        <v>15</v>
      </c>
      <c r="E4549" s="2" t="s">
        <v>16</v>
      </c>
      <c r="F4549" s="2">
        <v>30</v>
      </c>
      <c r="G4549" s="2" t="s">
        <v>9832</v>
      </c>
      <c r="H4549" s="2" t="s">
        <v>2753</v>
      </c>
      <c r="I4549" s="2" t="s">
        <v>124</v>
      </c>
      <c r="J4549" s="3">
        <v>44850</v>
      </c>
      <c r="K4549" s="2">
        <v>13</v>
      </c>
      <c r="L4549" s="2" t="s">
        <v>80</v>
      </c>
    </row>
    <row r="4550" spans="1:12" x14ac:dyDescent="0.3">
      <c r="A4550" s="2">
        <v>4539</v>
      </c>
      <c r="B4550" s="2" t="s">
        <v>6316</v>
      </c>
      <c r="C4550" s="2" t="s">
        <v>9833</v>
      </c>
      <c r="D4550" s="2" t="s">
        <v>15</v>
      </c>
      <c r="E4550" s="2" t="s">
        <v>16</v>
      </c>
      <c r="F4550" s="2">
        <v>30</v>
      </c>
      <c r="G4550" s="2" t="s">
        <v>9834</v>
      </c>
      <c r="H4550" s="2" t="s">
        <v>1791</v>
      </c>
      <c r="I4550" s="2" t="s">
        <v>32</v>
      </c>
      <c r="J4550" s="3">
        <v>43937</v>
      </c>
      <c r="K4550" s="2">
        <v>63</v>
      </c>
      <c r="L4550" s="2" t="s">
        <v>80</v>
      </c>
    </row>
    <row r="4551" spans="1:12" x14ac:dyDescent="0.3">
      <c r="A4551" s="2">
        <v>4540</v>
      </c>
      <c r="B4551" s="2" t="s">
        <v>6894</v>
      </c>
      <c r="C4551" s="2" t="s">
        <v>2344</v>
      </c>
      <c r="D4551" s="2" t="s">
        <v>15</v>
      </c>
      <c r="E4551" s="2" t="s">
        <v>16</v>
      </c>
      <c r="F4551" s="2">
        <v>90</v>
      </c>
      <c r="G4551" s="2" t="s">
        <v>9835</v>
      </c>
      <c r="H4551" s="2" t="s">
        <v>5047</v>
      </c>
      <c r="I4551" s="2" t="s">
        <v>178</v>
      </c>
      <c r="J4551" s="3">
        <v>44510</v>
      </c>
      <c r="K4551" s="2">
        <v>32</v>
      </c>
      <c r="L4551" s="2" t="s">
        <v>39</v>
      </c>
    </row>
    <row r="4552" spans="1:12" x14ac:dyDescent="0.3">
      <c r="A4552" s="2">
        <v>4541</v>
      </c>
      <c r="B4552" s="2" t="s">
        <v>507</v>
      </c>
      <c r="C4552" s="2" t="s">
        <v>8811</v>
      </c>
      <c r="D4552" s="2" t="s">
        <v>28</v>
      </c>
      <c r="E4552" s="2" t="s">
        <v>29</v>
      </c>
      <c r="F4552" s="2">
        <v>60</v>
      </c>
      <c r="G4552" s="2" t="s">
        <v>9836</v>
      </c>
      <c r="H4552" s="2" t="s">
        <v>360</v>
      </c>
      <c r="I4552" s="2" t="s">
        <v>25</v>
      </c>
      <c r="J4552" s="3">
        <v>44573</v>
      </c>
      <c r="K4552" s="2">
        <v>60</v>
      </c>
      <c r="L4552" s="2" t="s">
        <v>39</v>
      </c>
    </row>
    <row r="4553" spans="1:12" x14ac:dyDescent="0.3">
      <c r="A4553" s="2">
        <v>4542</v>
      </c>
      <c r="B4553" s="2" t="s">
        <v>6668</v>
      </c>
      <c r="C4553" s="2" t="s">
        <v>3141</v>
      </c>
      <c r="D4553" s="2" t="s">
        <v>28</v>
      </c>
      <c r="E4553" s="2" t="s">
        <v>29</v>
      </c>
      <c r="F4553" s="2">
        <v>30</v>
      </c>
      <c r="G4553" s="2" t="s">
        <v>9837</v>
      </c>
      <c r="H4553" s="2" t="s">
        <v>7151</v>
      </c>
      <c r="I4553" s="2" t="s">
        <v>38</v>
      </c>
      <c r="J4553" s="3">
        <v>44234</v>
      </c>
      <c r="K4553" s="2">
        <v>33</v>
      </c>
      <c r="L4553" s="2" t="s">
        <v>45</v>
      </c>
    </row>
    <row r="4554" spans="1:12" x14ac:dyDescent="0.3">
      <c r="A4554" s="2">
        <v>4543</v>
      </c>
      <c r="B4554" s="2" t="s">
        <v>807</v>
      </c>
      <c r="C4554" s="2" t="s">
        <v>829</v>
      </c>
      <c r="D4554" s="2" t="s">
        <v>28</v>
      </c>
      <c r="E4554" s="2" t="s">
        <v>29</v>
      </c>
      <c r="F4554" s="2">
        <v>90</v>
      </c>
      <c r="G4554" s="2" t="s">
        <v>9838</v>
      </c>
      <c r="H4554" s="2" t="s">
        <v>2629</v>
      </c>
      <c r="I4554" s="2" t="s">
        <v>95</v>
      </c>
      <c r="J4554" s="3">
        <v>44316</v>
      </c>
      <c r="K4554" s="2">
        <v>31</v>
      </c>
      <c r="L4554" s="2" t="s">
        <v>64</v>
      </c>
    </row>
    <row r="4555" spans="1:12" x14ac:dyDescent="0.3">
      <c r="A4555" s="2">
        <v>4544</v>
      </c>
      <c r="B4555" s="2" t="s">
        <v>9839</v>
      </c>
      <c r="C4555" s="2" t="s">
        <v>2113</v>
      </c>
      <c r="D4555" s="2" t="s">
        <v>15</v>
      </c>
      <c r="E4555" s="2" t="s">
        <v>16</v>
      </c>
      <c r="F4555" s="2">
        <v>60</v>
      </c>
      <c r="G4555" s="2" t="s">
        <v>9840</v>
      </c>
      <c r="H4555" s="2" t="s">
        <v>3092</v>
      </c>
      <c r="I4555" s="2" t="s">
        <v>886</v>
      </c>
      <c r="J4555" s="3">
        <v>44906</v>
      </c>
      <c r="K4555" s="2">
        <v>35</v>
      </c>
      <c r="L4555" s="2" t="s">
        <v>45</v>
      </c>
    </row>
    <row r="4556" spans="1:12" x14ac:dyDescent="0.3">
      <c r="A4556" s="2">
        <v>4545</v>
      </c>
      <c r="B4556" s="2" t="s">
        <v>9841</v>
      </c>
      <c r="C4556" s="2" t="s">
        <v>1439</v>
      </c>
      <c r="D4556" s="2" t="s">
        <v>15</v>
      </c>
      <c r="E4556" s="2" t="s">
        <v>16</v>
      </c>
      <c r="F4556" s="2">
        <v>60</v>
      </c>
      <c r="G4556" s="2" t="s">
        <v>9842</v>
      </c>
      <c r="H4556" s="2" t="s">
        <v>2479</v>
      </c>
      <c r="I4556" s="2" t="s">
        <v>1233</v>
      </c>
      <c r="J4556" s="3">
        <v>44324</v>
      </c>
      <c r="K4556" s="2">
        <v>89</v>
      </c>
      <c r="L4556" s="2" t="s">
        <v>33</v>
      </c>
    </row>
    <row r="4557" spans="1:12" x14ac:dyDescent="0.3">
      <c r="A4557" s="2">
        <v>4546</v>
      </c>
      <c r="B4557" s="2" t="s">
        <v>9843</v>
      </c>
      <c r="C4557" s="2" t="s">
        <v>9844</v>
      </c>
      <c r="D4557" s="2" t="s">
        <v>15</v>
      </c>
      <c r="E4557" s="2" t="s">
        <v>16</v>
      </c>
      <c r="F4557" s="2">
        <v>90</v>
      </c>
      <c r="G4557" s="2" t="s">
        <v>9845</v>
      </c>
      <c r="H4557" s="2" t="s">
        <v>5682</v>
      </c>
      <c r="I4557" s="2" t="s">
        <v>173</v>
      </c>
      <c r="J4557" s="3">
        <v>44638</v>
      </c>
      <c r="K4557" s="2">
        <v>22</v>
      </c>
      <c r="L4557" s="2" t="s">
        <v>45</v>
      </c>
    </row>
    <row r="4558" spans="1:12" x14ac:dyDescent="0.3">
      <c r="A4558" s="2">
        <v>4547</v>
      </c>
      <c r="B4558" s="2" t="s">
        <v>6039</v>
      </c>
      <c r="C4558" s="2" t="s">
        <v>6004</v>
      </c>
      <c r="D4558" s="2" t="s">
        <v>51</v>
      </c>
      <c r="E4558" s="2" t="s">
        <v>16</v>
      </c>
      <c r="F4558" s="2">
        <v>60</v>
      </c>
      <c r="G4558" s="2" t="s">
        <v>9846</v>
      </c>
      <c r="H4558" s="2" t="s">
        <v>1138</v>
      </c>
      <c r="I4558" s="2" t="s">
        <v>124</v>
      </c>
      <c r="J4558" s="3">
        <v>44671</v>
      </c>
      <c r="K4558" s="2">
        <v>15</v>
      </c>
      <c r="L4558" s="2" t="s">
        <v>45</v>
      </c>
    </row>
    <row r="4559" spans="1:12" x14ac:dyDescent="0.3">
      <c r="A4559" s="2">
        <v>4548</v>
      </c>
      <c r="B4559" s="2" t="s">
        <v>2523</v>
      </c>
      <c r="C4559" s="2" t="s">
        <v>6363</v>
      </c>
      <c r="D4559" s="2" t="s">
        <v>28</v>
      </c>
      <c r="E4559" s="2" t="s">
        <v>29</v>
      </c>
      <c r="F4559" s="2">
        <v>90</v>
      </c>
      <c r="G4559" s="2" t="s">
        <v>9847</v>
      </c>
      <c r="H4559" s="2" t="s">
        <v>1680</v>
      </c>
      <c r="I4559" s="2" t="s">
        <v>19</v>
      </c>
      <c r="J4559" s="3">
        <v>44908</v>
      </c>
      <c r="K4559" s="2">
        <v>102</v>
      </c>
      <c r="L4559" s="2" t="s">
        <v>33</v>
      </c>
    </row>
    <row r="4560" spans="1:12" x14ac:dyDescent="0.3">
      <c r="A4560" s="2">
        <v>4549</v>
      </c>
      <c r="B4560" s="2" t="s">
        <v>9848</v>
      </c>
      <c r="C4560" s="2" t="s">
        <v>6454</v>
      </c>
      <c r="D4560" s="2" t="s">
        <v>15</v>
      </c>
      <c r="E4560" s="2" t="s">
        <v>16</v>
      </c>
      <c r="F4560" s="2">
        <v>90</v>
      </c>
      <c r="G4560" s="2" t="s">
        <v>9849</v>
      </c>
      <c r="H4560" s="2" t="s">
        <v>1781</v>
      </c>
      <c r="I4560" s="2" t="s">
        <v>32</v>
      </c>
      <c r="J4560" s="3">
        <v>43886</v>
      </c>
      <c r="K4560" s="2">
        <v>63</v>
      </c>
      <c r="L4560" s="2" t="s">
        <v>101</v>
      </c>
    </row>
    <row r="4561" spans="1:12" x14ac:dyDescent="0.3">
      <c r="A4561" s="2">
        <v>4550</v>
      </c>
      <c r="B4561" s="2" t="s">
        <v>9850</v>
      </c>
      <c r="C4561" s="2" t="s">
        <v>2143</v>
      </c>
      <c r="D4561" s="2" t="s">
        <v>51</v>
      </c>
      <c r="E4561" s="2" t="s">
        <v>16</v>
      </c>
      <c r="F4561" s="2">
        <v>60</v>
      </c>
      <c r="G4561" s="2" t="s">
        <v>9851</v>
      </c>
      <c r="H4561" s="2" t="s">
        <v>378</v>
      </c>
      <c r="I4561" s="2" t="s">
        <v>146</v>
      </c>
      <c r="J4561" s="3">
        <v>44321</v>
      </c>
      <c r="K4561" s="2">
        <v>90</v>
      </c>
      <c r="L4561" s="2" t="s">
        <v>70</v>
      </c>
    </row>
    <row r="4562" spans="1:12" x14ac:dyDescent="0.3">
      <c r="A4562" s="2">
        <v>4551</v>
      </c>
      <c r="B4562" s="2" t="s">
        <v>5309</v>
      </c>
      <c r="C4562" s="2" t="s">
        <v>184</v>
      </c>
      <c r="D4562" s="2" t="s">
        <v>51</v>
      </c>
      <c r="E4562" s="2" t="s">
        <v>16</v>
      </c>
      <c r="F4562" s="2">
        <v>90</v>
      </c>
      <c r="G4562" s="2" t="s">
        <v>9852</v>
      </c>
      <c r="H4562" s="2" t="s">
        <v>3122</v>
      </c>
      <c r="I4562" s="2" t="s">
        <v>1035</v>
      </c>
      <c r="J4562" s="3">
        <v>44157</v>
      </c>
      <c r="K4562" s="2">
        <v>85</v>
      </c>
      <c r="L4562" s="2" t="s">
        <v>39</v>
      </c>
    </row>
    <row r="4563" spans="1:12" x14ac:dyDescent="0.3">
      <c r="A4563" s="2">
        <v>4552</v>
      </c>
      <c r="B4563" s="2" t="s">
        <v>3604</v>
      </c>
      <c r="C4563" s="2" t="s">
        <v>9853</v>
      </c>
      <c r="D4563" s="2" t="s">
        <v>28</v>
      </c>
      <c r="E4563" s="2" t="s">
        <v>29</v>
      </c>
      <c r="F4563" s="2">
        <v>60</v>
      </c>
      <c r="G4563" s="2" t="s">
        <v>9854</v>
      </c>
      <c r="H4563" s="2" t="s">
        <v>483</v>
      </c>
      <c r="I4563" s="2" t="s">
        <v>32</v>
      </c>
      <c r="J4563" s="3">
        <v>44546</v>
      </c>
      <c r="K4563" s="2">
        <v>57</v>
      </c>
      <c r="L4563" s="2" t="s">
        <v>33</v>
      </c>
    </row>
    <row r="4564" spans="1:12" x14ac:dyDescent="0.3">
      <c r="A4564" s="2">
        <v>4553</v>
      </c>
      <c r="B4564" s="2" t="s">
        <v>5537</v>
      </c>
      <c r="C4564" s="2" t="s">
        <v>2257</v>
      </c>
      <c r="D4564" s="2" t="s">
        <v>41</v>
      </c>
      <c r="E4564" s="2" t="s">
        <v>16</v>
      </c>
      <c r="F4564" s="2">
        <v>30</v>
      </c>
      <c r="G4564" s="2" t="s">
        <v>9855</v>
      </c>
      <c r="H4564" s="2" t="s">
        <v>6693</v>
      </c>
      <c r="I4564" s="2" t="s">
        <v>25</v>
      </c>
      <c r="J4564" s="3">
        <v>44009</v>
      </c>
      <c r="K4564" s="2">
        <v>53</v>
      </c>
      <c r="L4564" s="2" t="s">
        <v>101</v>
      </c>
    </row>
    <row r="4565" spans="1:12" x14ac:dyDescent="0.3">
      <c r="A4565" s="2">
        <v>4554</v>
      </c>
      <c r="B4565" s="2" t="s">
        <v>3079</v>
      </c>
      <c r="C4565" s="2" t="s">
        <v>1721</v>
      </c>
      <c r="D4565" s="2" t="s">
        <v>28</v>
      </c>
      <c r="E4565" s="2" t="s">
        <v>29</v>
      </c>
      <c r="F4565" s="2">
        <v>60</v>
      </c>
      <c r="G4565" s="2" t="s">
        <v>9856</v>
      </c>
      <c r="H4565" s="2" t="s">
        <v>4133</v>
      </c>
      <c r="I4565" s="2" t="s">
        <v>32</v>
      </c>
      <c r="J4565" s="3">
        <v>44309</v>
      </c>
      <c r="K4565" s="2">
        <v>67</v>
      </c>
      <c r="L4565" s="2" t="s">
        <v>20</v>
      </c>
    </row>
    <row r="4566" spans="1:12" x14ac:dyDescent="0.3">
      <c r="A4566" s="2">
        <v>4555</v>
      </c>
      <c r="B4566" s="2" t="s">
        <v>9857</v>
      </c>
      <c r="C4566" s="2" t="s">
        <v>7403</v>
      </c>
      <c r="D4566" s="2" t="s">
        <v>51</v>
      </c>
      <c r="E4566" s="2" t="s">
        <v>16</v>
      </c>
      <c r="F4566" s="2">
        <v>90</v>
      </c>
      <c r="G4566" s="2" t="s">
        <v>9858</v>
      </c>
      <c r="H4566" s="2" t="s">
        <v>806</v>
      </c>
      <c r="I4566" s="2" t="s">
        <v>178</v>
      </c>
      <c r="J4566" s="3">
        <v>44440</v>
      </c>
      <c r="K4566" s="2">
        <v>28</v>
      </c>
      <c r="L4566" s="2" t="s">
        <v>39</v>
      </c>
    </row>
    <row r="4567" spans="1:12" x14ac:dyDescent="0.3">
      <c r="A4567" s="2">
        <v>4556</v>
      </c>
      <c r="B4567" s="2" t="s">
        <v>1758</v>
      </c>
      <c r="C4567" s="2" t="s">
        <v>4242</v>
      </c>
      <c r="D4567" s="2" t="s">
        <v>28</v>
      </c>
      <c r="E4567" s="2" t="s">
        <v>29</v>
      </c>
      <c r="F4567" s="2">
        <v>60</v>
      </c>
      <c r="G4567" s="2" t="s">
        <v>9859</v>
      </c>
      <c r="H4567" s="2" t="s">
        <v>9860</v>
      </c>
      <c r="I4567" s="2" t="s">
        <v>38</v>
      </c>
      <c r="J4567" s="3">
        <v>44123</v>
      </c>
      <c r="K4567" s="2">
        <v>45</v>
      </c>
      <c r="L4567" s="2" t="s">
        <v>64</v>
      </c>
    </row>
    <row r="4568" spans="1:12" x14ac:dyDescent="0.3">
      <c r="A4568" s="2">
        <v>4557</v>
      </c>
      <c r="B4568" s="2" t="s">
        <v>9861</v>
      </c>
      <c r="C4568" s="2" t="s">
        <v>6237</v>
      </c>
      <c r="D4568" s="2" t="s">
        <v>15</v>
      </c>
      <c r="E4568" s="2" t="s">
        <v>16</v>
      </c>
      <c r="F4568" s="2">
        <v>60</v>
      </c>
      <c r="G4568" s="2" t="s">
        <v>9862</v>
      </c>
      <c r="H4568" s="2" t="s">
        <v>1601</v>
      </c>
      <c r="I4568" s="2" t="s">
        <v>32</v>
      </c>
      <c r="J4568" s="3">
        <v>44361</v>
      </c>
      <c r="K4568" s="2">
        <v>12</v>
      </c>
      <c r="L4568" s="2" t="s">
        <v>70</v>
      </c>
    </row>
    <row r="4569" spans="1:12" x14ac:dyDescent="0.3">
      <c r="A4569" s="2">
        <v>4558</v>
      </c>
      <c r="B4569" s="2" t="s">
        <v>975</v>
      </c>
      <c r="C4569" s="2" t="s">
        <v>4522</v>
      </c>
      <c r="D4569" s="2" t="s">
        <v>28</v>
      </c>
      <c r="E4569" s="2" t="s">
        <v>29</v>
      </c>
      <c r="F4569" s="2">
        <v>90</v>
      </c>
      <c r="G4569" s="2" t="s">
        <v>9863</v>
      </c>
      <c r="H4569" s="2" t="s">
        <v>3303</v>
      </c>
      <c r="I4569" s="2" t="s">
        <v>294</v>
      </c>
      <c r="J4569" s="3">
        <v>44055</v>
      </c>
      <c r="K4569" s="2">
        <v>49</v>
      </c>
      <c r="L4569" s="2" t="s">
        <v>159</v>
      </c>
    </row>
    <row r="4570" spans="1:12" x14ac:dyDescent="0.3">
      <c r="A4570" s="2">
        <v>4559</v>
      </c>
      <c r="B4570" s="2" t="s">
        <v>9843</v>
      </c>
      <c r="C4570" s="2" t="s">
        <v>4994</v>
      </c>
      <c r="D4570" s="2" t="s">
        <v>15</v>
      </c>
      <c r="E4570" s="2" t="s">
        <v>16</v>
      </c>
      <c r="F4570" s="2">
        <v>90</v>
      </c>
      <c r="G4570" s="2" t="s">
        <v>9864</v>
      </c>
      <c r="H4570" s="2" t="s">
        <v>619</v>
      </c>
      <c r="I4570" s="2" t="s">
        <v>187</v>
      </c>
      <c r="J4570" s="3">
        <v>43832</v>
      </c>
      <c r="K4570" s="2">
        <v>32</v>
      </c>
      <c r="L4570" s="2" t="s">
        <v>101</v>
      </c>
    </row>
    <row r="4571" spans="1:12" x14ac:dyDescent="0.3">
      <c r="A4571" s="2">
        <v>4560</v>
      </c>
      <c r="B4571" s="2" t="s">
        <v>9865</v>
      </c>
      <c r="C4571" s="2" t="s">
        <v>4205</v>
      </c>
      <c r="D4571" s="2" t="s">
        <v>51</v>
      </c>
      <c r="E4571" s="2" t="s">
        <v>16</v>
      </c>
      <c r="F4571" s="2">
        <v>30</v>
      </c>
      <c r="G4571" s="2" t="s">
        <v>9866</v>
      </c>
      <c r="H4571" s="2" t="s">
        <v>3991</v>
      </c>
      <c r="I4571" s="2" t="s">
        <v>32</v>
      </c>
      <c r="J4571" s="3">
        <v>44847</v>
      </c>
      <c r="K4571" s="2">
        <v>93</v>
      </c>
      <c r="L4571" s="2" t="s">
        <v>54</v>
      </c>
    </row>
    <row r="4572" spans="1:12" x14ac:dyDescent="0.3">
      <c r="A4572" s="2">
        <v>4561</v>
      </c>
      <c r="B4572" s="2" t="s">
        <v>9867</v>
      </c>
      <c r="C4572" s="2" t="s">
        <v>7443</v>
      </c>
      <c r="D4572" s="2" t="s">
        <v>51</v>
      </c>
      <c r="E4572" s="2" t="s">
        <v>16</v>
      </c>
      <c r="F4572" s="2">
        <v>90</v>
      </c>
      <c r="G4572" s="2" t="s">
        <v>9868</v>
      </c>
      <c r="H4572" s="2" t="s">
        <v>4678</v>
      </c>
      <c r="I4572" s="2" t="s">
        <v>886</v>
      </c>
      <c r="J4572" s="3">
        <v>44423</v>
      </c>
      <c r="K4572" s="2">
        <v>36</v>
      </c>
      <c r="L4572" s="2" t="s">
        <v>70</v>
      </c>
    </row>
    <row r="4573" spans="1:12" x14ac:dyDescent="0.3">
      <c r="A4573" s="2">
        <v>4562</v>
      </c>
      <c r="B4573" s="2" t="s">
        <v>5141</v>
      </c>
      <c r="C4573" s="2" t="s">
        <v>9871</v>
      </c>
      <c r="D4573" s="2" t="s">
        <v>28</v>
      </c>
      <c r="E4573" s="2" t="s">
        <v>29</v>
      </c>
      <c r="F4573" s="2">
        <v>30</v>
      </c>
      <c r="G4573" s="2" t="s">
        <v>9872</v>
      </c>
      <c r="H4573" s="2" t="s">
        <v>3695</v>
      </c>
      <c r="I4573" s="2" t="s">
        <v>173</v>
      </c>
      <c r="J4573" s="3">
        <v>44349</v>
      </c>
      <c r="K4573" s="2">
        <v>25</v>
      </c>
      <c r="L4573" s="2" t="s">
        <v>20</v>
      </c>
    </row>
    <row r="4574" spans="1:12" x14ac:dyDescent="0.3">
      <c r="A4574" s="2">
        <v>4563</v>
      </c>
      <c r="B4574" s="2" t="s">
        <v>9873</v>
      </c>
      <c r="C4574" s="2" t="s">
        <v>2113</v>
      </c>
      <c r="D4574" s="2" t="s">
        <v>51</v>
      </c>
      <c r="E4574" s="2" t="s">
        <v>16</v>
      </c>
      <c r="F4574" s="2">
        <v>30</v>
      </c>
      <c r="G4574" s="2" t="s">
        <v>9872</v>
      </c>
      <c r="H4574" s="2" t="s">
        <v>3161</v>
      </c>
      <c r="I4574" s="2" t="s">
        <v>32</v>
      </c>
      <c r="J4574" s="3">
        <v>44073</v>
      </c>
      <c r="K4574" s="2">
        <v>7</v>
      </c>
      <c r="L4574" s="2" t="s">
        <v>20</v>
      </c>
    </row>
    <row r="4575" spans="1:12" x14ac:dyDescent="0.3">
      <c r="A4575" s="2">
        <v>4564</v>
      </c>
      <c r="B4575" s="2" t="s">
        <v>7034</v>
      </c>
      <c r="C4575" s="2" t="s">
        <v>4234</v>
      </c>
      <c r="D4575" s="2" t="s">
        <v>28</v>
      </c>
      <c r="E4575" s="2" t="s">
        <v>29</v>
      </c>
      <c r="F4575" s="2">
        <v>90</v>
      </c>
      <c r="G4575" s="2" t="s">
        <v>9874</v>
      </c>
      <c r="H4575" s="2" t="s">
        <v>7151</v>
      </c>
      <c r="I4575" s="2" t="s">
        <v>38</v>
      </c>
      <c r="J4575" s="3">
        <v>44679</v>
      </c>
      <c r="K4575" s="2">
        <v>4</v>
      </c>
      <c r="L4575" s="2" t="s">
        <v>64</v>
      </c>
    </row>
    <row r="4576" spans="1:12" x14ac:dyDescent="0.3">
      <c r="A4576" s="2">
        <v>4565</v>
      </c>
      <c r="B4576" s="2" t="s">
        <v>2828</v>
      </c>
      <c r="C4576" s="2" t="s">
        <v>5180</v>
      </c>
      <c r="D4576" s="2" t="s">
        <v>28</v>
      </c>
      <c r="E4576" s="2" t="s">
        <v>29</v>
      </c>
      <c r="F4576" s="2">
        <v>90</v>
      </c>
      <c r="G4576" s="2" t="s">
        <v>9875</v>
      </c>
      <c r="H4576" s="2" t="s">
        <v>6607</v>
      </c>
      <c r="I4576" s="2" t="s">
        <v>32</v>
      </c>
      <c r="J4576" s="3">
        <v>44834</v>
      </c>
      <c r="K4576" s="2">
        <v>3</v>
      </c>
      <c r="L4576" s="2" t="s">
        <v>33</v>
      </c>
    </row>
    <row r="4577" spans="1:12" x14ac:dyDescent="0.3">
      <c r="A4577" s="2">
        <v>4566</v>
      </c>
      <c r="B4577" s="2" t="s">
        <v>6476</v>
      </c>
      <c r="C4577" s="2" t="s">
        <v>1208</v>
      </c>
      <c r="D4577" s="2" t="s">
        <v>28</v>
      </c>
      <c r="E4577" s="2" t="s">
        <v>29</v>
      </c>
      <c r="F4577" s="2">
        <v>60</v>
      </c>
      <c r="G4577" s="2" t="s">
        <v>9876</v>
      </c>
      <c r="H4577" s="2" t="s">
        <v>6951</v>
      </c>
      <c r="I4577" s="2" t="s">
        <v>38</v>
      </c>
      <c r="J4577" s="3">
        <v>43995</v>
      </c>
      <c r="K4577" s="2">
        <v>9</v>
      </c>
      <c r="L4577" s="2" t="s">
        <v>39</v>
      </c>
    </row>
    <row r="4578" spans="1:12" x14ac:dyDescent="0.3">
      <c r="A4578" s="2">
        <v>4567</v>
      </c>
      <c r="B4578" s="2" t="s">
        <v>8273</v>
      </c>
      <c r="C4578" s="2" t="s">
        <v>7627</v>
      </c>
      <c r="D4578" s="2" t="s">
        <v>51</v>
      </c>
      <c r="E4578" s="2" t="s">
        <v>16</v>
      </c>
      <c r="F4578" s="2">
        <v>60</v>
      </c>
      <c r="G4578" s="2" t="s">
        <v>9876</v>
      </c>
      <c r="H4578" s="2" t="s">
        <v>9877</v>
      </c>
      <c r="I4578" s="2" t="s">
        <v>32</v>
      </c>
      <c r="J4578" s="3">
        <v>44412</v>
      </c>
      <c r="K4578" s="2">
        <v>31</v>
      </c>
      <c r="L4578" s="2" t="s">
        <v>64</v>
      </c>
    </row>
    <row r="4579" spans="1:12" x14ac:dyDescent="0.3">
      <c r="A4579" s="2">
        <v>4568</v>
      </c>
      <c r="B4579" s="2" t="s">
        <v>9878</v>
      </c>
      <c r="C4579" s="2" t="s">
        <v>5939</v>
      </c>
      <c r="D4579" s="2" t="s">
        <v>51</v>
      </c>
      <c r="E4579" s="2" t="s">
        <v>16</v>
      </c>
      <c r="F4579" s="2">
        <v>30</v>
      </c>
      <c r="G4579" s="2" t="s">
        <v>9879</v>
      </c>
      <c r="H4579" s="2" t="s">
        <v>875</v>
      </c>
      <c r="I4579" s="2" t="s">
        <v>187</v>
      </c>
      <c r="J4579" s="3">
        <v>44580</v>
      </c>
      <c r="K4579" s="2">
        <v>99</v>
      </c>
      <c r="L4579" s="2" t="s">
        <v>54</v>
      </c>
    </row>
    <row r="4580" spans="1:12" x14ac:dyDescent="0.3">
      <c r="A4580" s="2">
        <v>4569</v>
      </c>
      <c r="B4580" s="2" t="s">
        <v>9880</v>
      </c>
      <c r="C4580" s="2" t="s">
        <v>9881</v>
      </c>
      <c r="D4580" s="2" t="s">
        <v>41</v>
      </c>
      <c r="E4580" s="2" t="s">
        <v>16</v>
      </c>
      <c r="F4580" s="2">
        <v>60</v>
      </c>
      <c r="G4580" s="2" t="s">
        <v>9882</v>
      </c>
      <c r="H4580" s="2" t="s">
        <v>1764</v>
      </c>
      <c r="I4580" s="2" t="s">
        <v>124</v>
      </c>
      <c r="J4580" s="3">
        <v>44919</v>
      </c>
      <c r="K4580" s="2">
        <v>39</v>
      </c>
      <c r="L4580" s="2" t="s">
        <v>54</v>
      </c>
    </row>
    <row r="4581" spans="1:12" x14ac:dyDescent="0.3">
      <c r="A4581" s="2">
        <v>4570</v>
      </c>
      <c r="B4581" s="2" t="s">
        <v>8796</v>
      </c>
      <c r="C4581" s="2" t="s">
        <v>7588</v>
      </c>
      <c r="D4581" s="2" t="s">
        <v>15</v>
      </c>
      <c r="E4581" s="2" t="s">
        <v>16</v>
      </c>
      <c r="F4581" s="2">
        <v>90</v>
      </c>
      <c r="G4581" s="2" t="s">
        <v>9883</v>
      </c>
      <c r="H4581" s="2" t="s">
        <v>8758</v>
      </c>
      <c r="I4581" s="2" t="s">
        <v>178</v>
      </c>
      <c r="J4581" s="3">
        <v>44285</v>
      </c>
      <c r="K4581" s="2">
        <v>39</v>
      </c>
      <c r="L4581" s="2" t="s">
        <v>70</v>
      </c>
    </row>
    <row r="4582" spans="1:12" x14ac:dyDescent="0.3">
      <c r="A4582" s="2">
        <v>4571</v>
      </c>
      <c r="B4582" s="2" t="s">
        <v>9884</v>
      </c>
      <c r="C4582" s="2" t="s">
        <v>1273</v>
      </c>
      <c r="D4582" s="2" t="s">
        <v>41</v>
      </c>
      <c r="E4582" s="2" t="s">
        <v>16</v>
      </c>
      <c r="F4582" s="2">
        <v>60</v>
      </c>
      <c r="G4582" s="2" t="s">
        <v>9885</v>
      </c>
      <c r="H4582" s="2" t="s">
        <v>2681</v>
      </c>
      <c r="I4582" s="2" t="s">
        <v>686</v>
      </c>
      <c r="J4582" s="3">
        <v>44890</v>
      </c>
      <c r="K4582" s="2">
        <v>19</v>
      </c>
      <c r="L4582" s="2" t="s">
        <v>70</v>
      </c>
    </row>
    <row r="4583" spans="1:12" x14ac:dyDescent="0.3">
      <c r="A4583" s="2">
        <v>4572</v>
      </c>
      <c r="B4583" s="2" t="s">
        <v>6328</v>
      </c>
      <c r="C4583" s="2" t="s">
        <v>7527</v>
      </c>
      <c r="D4583" s="2" t="s">
        <v>28</v>
      </c>
      <c r="E4583" s="2" t="s">
        <v>29</v>
      </c>
      <c r="F4583" s="2">
        <v>30</v>
      </c>
      <c r="G4583" s="2" t="s">
        <v>9886</v>
      </c>
      <c r="H4583" s="2" t="s">
        <v>2633</v>
      </c>
      <c r="I4583" s="2" t="s">
        <v>32</v>
      </c>
      <c r="J4583" s="3">
        <v>43914</v>
      </c>
      <c r="K4583" s="2">
        <v>17</v>
      </c>
      <c r="L4583" s="2" t="s">
        <v>54</v>
      </c>
    </row>
    <row r="4584" spans="1:12" x14ac:dyDescent="0.3">
      <c r="A4584" s="2">
        <v>4573</v>
      </c>
      <c r="B4584" s="2" t="s">
        <v>3345</v>
      </c>
      <c r="C4584" s="2" t="s">
        <v>2920</v>
      </c>
      <c r="D4584" s="2" t="s">
        <v>28</v>
      </c>
      <c r="E4584" s="2" t="s">
        <v>29</v>
      </c>
      <c r="F4584" s="2">
        <v>60</v>
      </c>
      <c r="G4584" s="2" t="s">
        <v>9887</v>
      </c>
      <c r="H4584" s="2" t="s">
        <v>3774</v>
      </c>
      <c r="I4584" s="2" t="s">
        <v>187</v>
      </c>
      <c r="J4584" s="3">
        <v>43898</v>
      </c>
      <c r="K4584" s="2">
        <v>7</v>
      </c>
      <c r="L4584" s="2" t="s">
        <v>33</v>
      </c>
    </row>
    <row r="4585" spans="1:12" x14ac:dyDescent="0.3">
      <c r="A4585" s="2">
        <v>4574</v>
      </c>
      <c r="B4585" s="2" t="s">
        <v>1293</v>
      </c>
      <c r="C4585" s="2" t="s">
        <v>4258</v>
      </c>
      <c r="D4585" s="2" t="s">
        <v>51</v>
      </c>
      <c r="E4585" s="2" t="s">
        <v>16</v>
      </c>
      <c r="F4585" s="2">
        <v>30</v>
      </c>
      <c r="G4585" s="2" t="s">
        <v>9890</v>
      </c>
      <c r="H4585" s="2" t="s">
        <v>9891</v>
      </c>
      <c r="I4585" s="2" t="s">
        <v>32</v>
      </c>
      <c r="J4585" s="3">
        <v>44227</v>
      </c>
      <c r="K4585" s="2">
        <v>4</v>
      </c>
      <c r="L4585" s="2" t="s">
        <v>70</v>
      </c>
    </row>
    <row r="4586" spans="1:12" x14ac:dyDescent="0.3">
      <c r="A4586" s="2">
        <v>4575</v>
      </c>
      <c r="B4586" s="2" t="s">
        <v>1379</v>
      </c>
      <c r="C4586" s="2" t="s">
        <v>5862</v>
      </c>
      <c r="D4586" s="2" t="s">
        <v>28</v>
      </c>
      <c r="E4586" s="2" t="s">
        <v>29</v>
      </c>
      <c r="F4586" s="2">
        <v>90</v>
      </c>
      <c r="G4586" s="2" t="s">
        <v>9892</v>
      </c>
      <c r="H4586" s="2" t="s">
        <v>2218</v>
      </c>
      <c r="I4586" s="2" t="s">
        <v>173</v>
      </c>
      <c r="J4586" s="3">
        <v>43832</v>
      </c>
      <c r="K4586" s="2">
        <v>41</v>
      </c>
      <c r="L4586" s="2" t="s">
        <v>70</v>
      </c>
    </row>
    <row r="4587" spans="1:12" x14ac:dyDescent="0.3">
      <c r="A4587" s="2">
        <v>4576</v>
      </c>
      <c r="B4587" s="2" t="s">
        <v>1207</v>
      </c>
      <c r="C4587" s="2" t="s">
        <v>5359</v>
      </c>
      <c r="D4587" s="2" t="s">
        <v>28</v>
      </c>
      <c r="E4587" s="2" t="s">
        <v>29</v>
      </c>
      <c r="F4587" s="2">
        <v>30</v>
      </c>
      <c r="G4587" s="2" t="s">
        <v>9893</v>
      </c>
      <c r="H4587" s="2" t="s">
        <v>7829</v>
      </c>
      <c r="I4587" s="2" t="s">
        <v>934</v>
      </c>
      <c r="J4587" s="3">
        <v>43844</v>
      </c>
      <c r="K4587" s="2">
        <v>26</v>
      </c>
      <c r="L4587" s="2" t="s">
        <v>20</v>
      </c>
    </row>
    <row r="4588" spans="1:12" x14ac:dyDescent="0.3">
      <c r="A4588" s="2">
        <v>4577</v>
      </c>
      <c r="B4588" s="2" t="s">
        <v>4647</v>
      </c>
      <c r="C4588" s="2" t="s">
        <v>5483</v>
      </c>
      <c r="D4588" s="2" t="s">
        <v>28</v>
      </c>
      <c r="E4588" s="2" t="s">
        <v>29</v>
      </c>
      <c r="F4588" s="2">
        <v>90</v>
      </c>
      <c r="G4588" s="2" t="s">
        <v>9894</v>
      </c>
      <c r="H4588" s="2" t="s">
        <v>4049</v>
      </c>
      <c r="I4588" s="2" t="s">
        <v>32</v>
      </c>
      <c r="J4588" s="3">
        <v>44305</v>
      </c>
      <c r="K4588" s="2">
        <v>92</v>
      </c>
      <c r="L4588" s="2" t="s">
        <v>20</v>
      </c>
    </row>
    <row r="4589" spans="1:12" x14ac:dyDescent="0.3">
      <c r="A4589" s="2">
        <v>4578</v>
      </c>
      <c r="B4589" s="2" t="s">
        <v>8407</v>
      </c>
      <c r="C4589" s="2" t="s">
        <v>9895</v>
      </c>
      <c r="D4589" s="2" t="s">
        <v>28</v>
      </c>
      <c r="E4589" s="2" t="s">
        <v>29</v>
      </c>
      <c r="F4589" s="2">
        <v>60</v>
      </c>
      <c r="G4589" s="2" t="s">
        <v>9896</v>
      </c>
      <c r="H4589" s="2" t="s">
        <v>1764</v>
      </c>
      <c r="I4589" s="2" t="s">
        <v>124</v>
      </c>
      <c r="J4589" s="3">
        <v>44626</v>
      </c>
      <c r="K4589" s="2">
        <v>76</v>
      </c>
      <c r="L4589" s="2" t="s">
        <v>70</v>
      </c>
    </row>
    <row r="4590" spans="1:12" x14ac:dyDescent="0.3">
      <c r="A4590" s="2">
        <v>4579</v>
      </c>
      <c r="B4590" s="2" t="s">
        <v>2891</v>
      </c>
      <c r="C4590" s="2" t="s">
        <v>8046</v>
      </c>
      <c r="D4590" s="2" t="s">
        <v>28</v>
      </c>
      <c r="E4590" s="2" t="s">
        <v>29</v>
      </c>
      <c r="F4590" s="2">
        <v>90</v>
      </c>
      <c r="G4590" s="2" t="s">
        <v>9897</v>
      </c>
      <c r="H4590" s="2" t="s">
        <v>2183</v>
      </c>
      <c r="I4590" s="2" t="s">
        <v>124</v>
      </c>
      <c r="J4590" s="3">
        <v>43978</v>
      </c>
      <c r="K4590" s="2">
        <v>65</v>
      </c>
      <c r="L4590" s="2" t="s">
        <v>39</v>
      </c>
    </row>
    <row r="4591" spans="1:12" x14ac:dyDescent="0.3">
      <c r="A4591" s="2">
        <v>4580</v>
      </c>
      <c r="B4591" s="2" t="s">
        <v>7143</v>
      </c>
      <c r="C4591" s="2" t="s">
        <v>277</v>
      </c>
      <c r="D4591" s="2" t="s">
        <v>15</v>
      </c>
      <c r="E4591" s="2" t="s">
        <v>16</v>
      </c>
      <c r="F4591" s="2">
        <v>30</v>
      </c>
      <c r="G4591" s="2" t="s">
        <v>9898</v>
      </c>
      <c r="H4591" s="2" t="s">
        <v>4180</v>
      </c>
      <c r="I4591" s="2" t="s">
        <v>187</v>
      </c>
      <c r="J4591" s="3">
        <v>44177</v>
      </c>
      <c r="K4591" s="2">
        <v>22</v>
      </c>
      <c r="L4591" s="2" t="s">
        <v>33</v>
      </c>
    </row>
    <row r="4592" spans="1:12" x14ac:dyDescent="0.3">
      <c r="A4592" s="2">
        <v>4581</v>
      </c>
      <c r="B4592" s="2" t="s">
        <v>1467</v>
      </c>
      <c r="C4592" s="2" t="s">
        <v>1317</v>
      </c>
      <c r="D4592" s="2" t="s">
        <v>28</v>
      </c>
      <c r="E4592" s="2" t="s">
        <v>29</v>
      </c>
      <c r="F4592" s="2">
        <v>60</v>
      </c>
      <c r="G4592" s="2" t="s">
        <v>9899</v>
      </c>
      <c r="H4592" s="2" t="s">
        <v>2975</v>
      </c>
      <c r="I4592" s="2" t="s">
        <v>146</v>
      </c>
      <c r="J4592" s="3">
        <v>44164</v>
      </c>
      <c r="K4592" s="2">
        <v>53</v>
      </c>
      <c r="L4592" s="2" t="s">
        <v>80</v>
      </c>
    </row>
    <row r="4593" spans="1:12" x14ac:dyDescent="0.3">
      <c r="A4593" s="2">
        <v>4582</v>
      </c>
      <c r="B4593" s="2" t="s">
        <v>2740</v>
      </c>
      <c r="C4593" s="2" t="s">
        <v>34</v>
      </c>
      <c r="D4593" s="2" t="s">
        <v>28</v>
      </c>
      <c r="E4593" s="2" t="s">
        <v>29</v>
      </c>
      <c r="F4593" s="2">
        <v>30</v>
      </c>
      <c r="G4593" s="2" t="s">
        <v>9900</v>
      </c>
      <c r="H4593" s="2" t="s">
        <v>7584</v>
      </c>
      <c r="I4593" s="2" t="s">
        <v>32</v>
      </c>
      <c r="J4593" s="3">
        <v>44505</v>
      </c>
      <c r="K4593" s="2">
        <v>16</v>
      </c>
      <c r="L4593" s="2" t="s">
        <v>159</v>
      </c>
    </row>
    <row r="4594" spans="1:12" x14ac:dyDescent="0.3">
      <c r="A4594" s="2">
        <v>4583</v>
      </c>
      <c r="B4594" s="2" t="s">
        <v>6549</v>
      </c>
      <c r="C4594" s="2" t="s">
        <v>3664</v>
      </c>
      <c r="D4594" s="2" t="s">
        <v>15</v>
      </c>
      <c r="E4594" s="2" t="s">
        <v>16</v>
      </c>
      <c r="F4594" s="2">
        <v>30</v>
      </c>
      <c r="G4594" s="2" t="s">
        <v>9901</v>
      </c>
      <c r="H4594" s="2" t="s">
        <v>455</v>
      </c>
      <c r="I4594" s="2" t="s">
        <v>187</v>
      </c>
      <c r="J4594" s="3">
        <v>44887</v>
      </c>
      <c r="K4594" s="2">
        <v>4</v>
      </c>
      <c r="L4594" s="2" t="s">
        <v>20</v>
      </c>
    </row>
    <row r="4595" spans="1:12" x14ac:dyDescent="0.3">
      <c r="A4595" s="2">
        <v>4584</v>
      </c>
      <c r="B4595" s="2" t="s">
        <v>9902</v>
      </c>
      <c r="C4595" s="2" t="s">
        <v>6997</v>
      </c>
      <c r="D4595" s="2" t="s">
        <v>51</v>
      </c>
      <c r="E4595" s="2" t="s">
        <v>16</v>
      </c>
      <c r="F4595" s="2">
        <v>30</v>
      </c>
      <c r="G4595" s="2" t="s">
        <v>9903</v>
      </c>
      <c r="H4595" s="2" t="s">
        <v>9904</v>
      </c>
      <c r="I4595" s="2" t="s">
        <v>25</v>
      </c>
      <c r="J4595" s="3">
        <v>43950</v>
      </c>
      <c r="K4595" s="2">
        <v>43</v>
      </c>
      <c r="L4595" s="2" t="s">
        <v>101</v>
      </c>
    </row>
    <row r="4596" spans="1:12" x14ac:dyDescent="0.3">
      <c r="A4596" s="2">
        <v>4585</v>
      </c>
      <c r="B4596" s="2" t="s">
        <v>9398</v>
      </c>
      <c r="C4596" s="2" t="s">
        <v>3111</v>
      </c>
      <c r="D4596" s="2" t="s">
        <v>28</v>
      </c>
      <c r="E4596" s="2" t="s">
        <v>29</v>
      </c>
      <c r="F4596" s="2">
        <v>30</v>
      </c>
      <c r="G4596" s="2" t="s">
        <v>9905</v>
      </c>
      <c r="H4596" s="2" t="s">
        <v>224</v>
      </c>
      <c r="I4596" s="2" t="s">
        <v>124</v>
      </c>
      <c r="J4596" s="3">
        <v>44370</v>
      </c>
      <c r="K4596" s="2">
        <v>86</v>
      </c>
      <c r="L4596" s="2" t="s">
        <v>45</v>
      </c>
    </row>
    <row r="4597" spans="1:12" x14ac:dyDescent="0.3">
      <c r="A4597" s="2">
        <v>4586</v>
      </c>
      <c r="B4597" s="2" t="s">
        <v>986</v>
      </c>
      <c r="C4597" s="2" t="s">
        <v>7869</v>
      </c>
      <c r="D4597" s="2" t="s">
        <v>28</v>
      </c>
      <c r="E4597" s="2" t="s">
        <v>29</v>
      </c>
      <c r="F4597" s="2">
        <v>60</v>
      </c>
      <c r="G4597" s="2" t="s">
        <v>9906</v>
      </c>
      <c r="H4597" s="2" t="s">
        <v>4266</v>
      </c>
      <c r="I4597" s="2" t="s">
        <v>25</v>
      </c>
      <c r="J4597" s="3">
        <v>44810</v>
      </c>
      <c r="K4597" s="2">
        <v>70</v>
      </c>
      <c r="L4597" s="2" t="s">
        <v>80</v>
      </c>
    </row>
    <row r="4598" spans="1:12" x14ac:dyDescent="0.3">
      <c r="A4598" s="2">
        <v>4587</v>
      </c>
      <c r="B4598" s="2" t="s">
        <v>7211</v>
      </c>
      <c r="C4598" s="2" t="s">
        <v>641</v>
      </c>
      <c r="D4598" s="2" t="s">
        <v>28</v>
      </c>
      <c r="E4598" s="2" t="s">
        <v>29</v>
      </c>
      <c r="F4598" s="2">
        <v>90</v>
      </c>
      <c r="G4598" s="2" t="s">
        <v>9907</v>
      </c>
      <c r="H4598" s="2" t="s">
        <v>802</v>
      </c>
      <c r="I4598" s="2" t="s">
        <v>294</v>
      </c>
      <c r="J4598" s="3">
        <v>44883</v>
      </c>
      <c r="K4598" s="2">
        <v>91</v>
      </c>
      <c r="L4598" s="2" t="s">
        <v>64</v>
      </c>
    </row>
    <row r="4599" spans="1:12" x14ac:dyDescent="0.3">
      <c r="A4599" s="2">
        <v>4588</v>
      </c>
      <c r="B4599" s="2" t="s">
        <v>7187</v>
      </c>
      <c r="C4599" s="2" t="s">
        <v>121</v>
      </c>
      <c r="D4599" s="2" t="s">
        <v>117</v>
      </c>
      <c r="E4599" s="2" t="s">
        <v>29</v>
      </c>
      <c r="F4599" s="2">
        <v>60</v>
      </c>
      <c r="G4599" s="2" t="s">
        <v>9908</v>
      </c>
      <c r="H4599" s="2" t="s">
        <v>8547</v>
      </c>
      <c r="I4599" s="2" t="s">
        <v>32</v>
      </c>
      <c r="J4599" s="3">
        <v>44560</v>
      </c>
      <c r="K4599" s="2">
        <v>49</v>
      </c>
      <c r="L4599" s="2" t="s">
        <v>101</v>
      </c>
    </row>
    <row r="4600" spans="1:12" x14ac:dyDescent="0.3">
      <c r="A4600" s="2">
        <v>4589</v>
      </c>
      <c r="B4600" s="2" t="s">
        <v>9516</v>
      </c>
      <c r="C4600" s="2" t="s">
        <v>242</v>
      </c>
      <c r="D4600" s="2" t="s">
        <v>92</v>
      </c>
      <c r="E4600" s="2" t="s">
        <v>29</v>
      </c>
      <c r="F4600" s="2">
        <v>60</v>
      </c>
      <c r="G4600" s="2" t="s">
        <v>9909</v>
      </c>
      <c r="H4600" s="2" t="s">
        <v>1366</v>
      </c>
      <c r="I4600" s="2" t="s">
        <v>1367</v>
      </c>
      <c r="J4600" s="3">
        <v>44805</v>
      </c>
      <c r="K4600" s="2">
        <v>2</v>
      </c>
      <c r="L4600" s="2" t="s">
        <v>101</v>
      </c>
    </row>
    <row r="4601" spans="1:12" x14ac:dyDescent="0.3">
      <c r="A4601" s="2">
        <v>4590</v>
      </c>
      <c r="B4601" s="2" t="s">
        <v>9910</v>
      </c>
      <c r="C4601" s="2" t="s">
        <v>6261</v>
      </c>
      <c r="D4601" s="2" t="s">
        <v>28</v>
      </c>
      <c r="E4601" s="2" t="s">
        <v>29</v>
      </c>
      <c r="F4601" s="2">
        <v>90</v>
      </c>
      <c r="G4601" s="2" t="s">
        <v>9909</v>
      </c>
      <c r="H4601" s="2" t="s">
        <v>1394</v>
      </c>
      <c r="I4601" s="2" t="s">
        <v>1199</v>
      </c>
      <c r="J4601" s="3">
        <v>44806</v>
      </c>
      <c r="K4601" s="2">
        <v>14</v>
      </c>
      <c r="L4601" s="2" t="s">
        <v>101</v>
      </c>
    </row>
    <row r="4602" spans="1:12" x14ac:dyDescent="0.3">
      <c r="A4602" s="2">
        <v>4591</v>
      </c>
      <c r="B4602" s="2" t="s">
        <v>371</v>
      </c>
      <c r="C4602" s="2" t="s">
        <v>6425</v>
      </c>
      <c r="D4602" s="2" t="s">
        <v>28</v>
      </c>
      <c r="E4602" s="2" t="s">
        <v>29</v>
      </c>
      <c r="F4602" s="2">
        <v>60</v>
      </c>
      <c r="G4602" s="2" t="s">
        <v>9911</v>
      </c>
      <c r="H4602" s="2" t="s">
        <v>2717</v>
      </c>
      <c r="I4602" s="2" t="s">
        <v>1889</v>
      </c>
      <c r="J4602" s="3">
        <v>44504</v>
      </c>
      <c r="K4602" s="2">
        <v>83</v>
      </c>
      <c r="L4602" s="2" t="s">
        <v>101</v>
      </c>
    </row>
    <row r="4603" spans="1:12" x14ac:dyDescent="0.3">
      <c r="A4603" s="2">
        <v>4592</v>
      </c>
      <c r="B4603" s="2" t="s">
        <v>9912</v>
      </c>
      <c r="C4603" s="2" t="s">
        <v>6261</v>
      </c>
      <c r="D4603" s="2" t="s">
        <v>15</v>
      </c>
      <c r="E4603" s="2" t="s">
        <v>16</v>
      </c>
      <c r="F4603" s="2">
        <v>30</v>
      </c>
      <c r="G4603" s="2" t="s">
        <v>9913</v>
      </c>
      <c r="H4603" s="2" t="s">
        <v>2236</v>
      </c>
      <c r="I4603" s="2" t="s">
        <v>2237</v>
      </c>
      <c r="J4603" s="3">
        <v>44510</v>
      </c>
      <c r="K4603" s="2">
        <v>92</v>
      </c>
      <c r="L4603" s="2" t="s">
        <v>54</v>
      </c>
    </row>
    <row r="4604" spans="1:12" x14ac:dyDescent="0.3">
      <c r="A4604" s="2">
        <v>4593</v>
      </c>
      <c r="B4604" s="2" t="s">
        <v>9914</v>
      </c>
      <c r="C4604" s="2" t="s">
        <v>5862</v>
      </c>
      <c r="D4604" s="2" t="s">
        <v>41</v>
      </c>
      <c r="E4604" s="2" t="s">
        <v>16</v>
      </c>
      <c r="F4604" s="2">
        <v>90</v>
      </c>
      <c r="G4604" s="2" t="s">
        <v>9915</v>
      </c>
      <c r="H4604" s="2" t="s">
        <v>374</v>
      </c>
      <c r="I4604" s="2" t="s">
        <v>25</v>
      </c>
      <c r="J4604" s="3">
        <v>44654</v>
      </c>
      <c r="K4604" s="2">
        <v>9</v>
      </c>
      <c r="L4604" s="2" t="s">
        <v>45</v>
      </c>
    </row>
    <row r="4605" spans="1:12" x14ac:dyDescent="0.3">
      <c r="A4605" s="2">
        <v>4594</v>
      </c>
      <c r="B4605" s="2" t="s">
        <v>9916</v>
      </c>
      <c r="C4605" s="2" t="s">
        <v>9917</v>
      </c>
      <c r="D4605" s="2" t="s">
        <v>41</v>
      </c>
      <c r="E4605" s="2" t="s">
        <v>16</v>
      </c>
      <c r="F4605" s="2">
        <v>60</v>
      </c>
      <c r="G4605" s="2" t="s">
        <v>9918</v>
      </c>
      <c r="H4605" s="2" t="s">
        <v>6778</v>
      </c>
      <c r="I4605" s="2" t="s">
        <v>38</v>
      </c>
      <c r="J4605" s="3">
        <v>44299</v>
      </c>
      <c r="K4605" s="2">
        <v>87</v>
      </c>
      <c r="L4605" s="2" t="s">
        <v>101</v>
      </c>
    </row>
    <row r="4606" spans="1:12" x14ac:dyDescent="0.3">
      <c r="A4606" s="2">
        <v>4595</v>
      </c>
      <c r="B4606" s="2" t="s">
        <v>9919</v>
      </c>
      <c r="C4606" s="2" t="s">
        <v>798</v>
      </c>
      <c r="D4606" s="2" t="s">
        <v>51</v>
      </c>
      <c r="E4606" s="2" t="s">
        <v>16</v>
      </c>
      <c r="F4606" s="2">
        <v>90</v>
      </c>
      <c r="G4606" s="2" t="s">
        <v>9920</v>
      </c>
      <c r="H4606" s="2" t="s">
        <v>182</v>
      </c>
      <c r="I4606" s="2" t="s">
        <v>32</v>
      </c>
      <c r="J4606" s="3">
        <v>44235</v>
      </c>
      <c r="K4606" s="2">
        <v>83</v>
      </c>
      <c r="L4606" s="2" t="s">
        <v>39</v>
      </c>
    </row>
    <row r="4607" spans="1:12" x14ac:dyDescent="0.3">
      <c r="A4607" s="2">
        <v>4596</v>
      </c>
      <c r="B4607" s="2" t="s">
        <v>6190</v>
      </c>
      <c r="C4607" s="2" t="s">
        <v>3014</v>
      </c>
      <c r="D4607" s="2" t="s">
        <v>92</v>
      </c>
      <c r="E4607" s="2" t="s">
        <v>16</v>
      </c>
      <c r="F4607" s="2">
        <v>60</v>
      </c>
      <c r="G4607" s="2" t="s">
        <v>9920</v>
      </c>
      <c r="H4607" s="2" t="s">
        <v>141</v>
      </c>
      <c r="I4607" s="2" t="s">
        <v>32</v>
      </c>
      <c r="J4607" s="3">
        <v>44263</v>
      </c>
      <c r="K4607" s="2">
        <v>25</v>
      </c>
      <c r="L4607" s="2" t="s">
        <v>101</v>
      </c>
    </row>
    <row r="4608" spans="1:12" x14ac:dyDescent="0.3">
      <c r="A4608" s="2">
        <v>4597</v>
      </c>
      <c r="B4608" s="2" t="s">
        <v>4094</v>
      </c>
      <c r="C4608" s="2" t="s">
        <v>9134</v>
      </c>
      <c r="D4608" s="2" t="s">
        <v>28</v>
      </c>
      <c r="E4608" s="2" t="s">
        <v>29</v>
      </c>
      <c r="F4608" s="2">
        <v>30</v>
      </c>
      <c r="G4608" s="2" t="s">
        <v>9921</v>
      </c>
      <c r="H4608" s="2" t="s">
        <v>2130</v>
      </c>
      <c r="I4608" s="2" t="s">
        <v>32</v>
      </c>
      <c r="J4608" s="3">
        <v>43835</v>
      </c>
      <c r="K4608" s="2">
        <v>29</v>
      </c>
      <c r="L4608" s="2" t="s">
        <v>33</v>
      </c>
    </row>
    <row r="4609" spans="1:12" x14ac:dyDescent="0.3">
      <c r="A4609" s="2">
        <v>4598</v>
      </c>
      <c r="B4609" s="2" t="s">
        <v>4029</v>
      </c>
      <c r="C4609" s="2" t="s">
        <v>4018</v>
      </c>
      <c r="D4609" s="2" t="s">
        <v>28</v>
      </c>
      <c r="E4609" s="2" t="s">
        <v>29</v>
      </c>
      <c r="F4609" s="2">
        <v>30</v>
      </c>
      <c r="G4609" s="2" t="s">
        <v>9922</v>
      </c>
      <c r="H4609" s="2" t="s">
        <v>3942</v>
      </c>
      <c r="I4609" s="2" t="s">
        <v>294</v>
      </c>
      <c r="J4609" s="3">
        <v>44780</v>
      </c>
      <c r="K4609" s="2">
        <v>17</v>
      </c>
      <c r="L4609" s="2" t="s">
        <v>33</v>
      </c>
    </row>
    <row r="4610" spans="1:12" x14ac:dyDescent="0.3">
      <c r="A4610" s="2">
        <v>4599</v>
      </c>
      <c r="B4610" s="2" t="s">
        <v>9923</v>
      </c>
      <c r="C4610" s="2" t="s">
        <v>7248</v>
      </c>
      <c r="D4610" s="2" t="s">
        <v>15</v>
      </c>
      <c r="E4610" s="2" t="s">
        <v>16</v>
      </c>
      <c r="F4610" s="2">
        <v>30</v>
      </c>
      <c r="G4610" s="2" t="s">
        <v>9924</v>
      </c>
      <c r="H4610" s="2" t="s">
        <v>6080</v>
      </c>
      <c r="I4610" s="2" t="s">
        <v>32</v>
      </c>
      <c r="J4610" s="3">
        <v>44288</v>
      </c>
      <c r="K4610" s="2">
        <v>35</v>
      </c>
      <c r="L4610" s="2" t="s">
        <v>159</v>
      </c>
    </row>
    <row r="4611" spans="1:12" x14ac:dyDescent="0.3">
      <c r="A4611" s="2">
        <v>4600</v>
      </c>
      <c r="B4611" s="2" t="s">
        <v>9925</v>
      </c>
      <c r="C4611" s="2" t="s">
        <v>7674</v>
      </c>
      <c r="D4611" s="2" t="s">
        <v>51</v>
      </c>
      <c r="E4611" s="2" t="s">
        <v>16</v>
      </c>
      <c r="F4611" s="2">
        <v>90</v>
      </c>
      <c r="G4611" s="2" t="s">
        <v>9926</v>
      </c>
      <c r="H4611" s="2" t="s">
        <v>6782</v>
      </c>
      <c r="I4611" s="2" t="s">
        <v>32</v>
      </c>
      <c r="J4611" s="3">
        <v>43991</v>
      </c>
      <c r="K4611" s="2">
        <v>61</v>
      </c>
      <c r="L4611" s="2" t="s">
        <v>64</v>
      </c>
    </row>
    <row r="4612" spans="1:12" x14ac:dyDescent="0.3">
      <c r="A4612" s="2">
        <v>4601</v>
      </c>
      <c r="B4612" s="2" t="s">
        <v>85</v>
      </c>
      <c r="C4612" s="2" t="s">
        <v>9927</v>
      </c>
      <c r="D4612" s="2" t="s">
        <v>117</v>
      </c>
      <c r="E4612" s="2" t="s">
        <v>29</v>
      </c>
      <c r="F4612" s="2">
        <v>60</v>
      </c>
      <c r="G4612" s="2" t="s">
        <v>9928</v>
      </c>
      <c r="H4612" s="2" t="s">
        <v>746</v>
      </c>
      <c r="I4612" s="2" t="s">
        <v>32</v>
      </c>
      <c r="J4612" s="3">
        <v>43900</v>
      </c>
      <c r="K4612" s="2">
        <v>24</v>
      </c>
      <c r="L4612" s="2" t="s">
        <v>64</v>
      </c>
    </row>
    <row r="4613" spans="1:12" x14ac:dyDescent="0.3">
      <c r="A4613" s="2">
        <v>4602</v>
      </c>
      <c r="B4613" s="2" t="s">
        <v>1554</v>
      </c>
      <c r="C4613" s="2" t="s">
        <v>1117</v>
      </c>
      <c r="D4613" s="2" t="s">
        <v>28</v>
      </c>
      <c r="E4613" s="2" t="s">
        <v>29</v>
      </c>
      <c r="F4613" s="2">
        <v>30</v>
      </c>
      <c r="G4613" s="2" t="s">
        <v>9929</v>
      </c>
      <c r="H4613" s="2" t="s">
        <v>6675</v>
      </c>
      <c r="I4613" s="2" t="s">
        <v>32</v>
      </c>
      <c r="J4613" s="3">
        <v>44512</v>
      </c>
      <c r="K4613" s="2">
        <v>72</v>
      </c>
      <c r="L4613" s="2" t="s">
        <v>45</v>
      </c>
    </row>
    <row r="4614" spans="1:12" x14ac:dyDescent="0.3">
      <c r="A4614" s="2">
        <v>4603</v>
      </c>
      <c r="B4614" s="2" t="s">
        <v>4115</v>
      </c>
      <c r="C4614" s="2" t="s">
        <v>1635</v>
      </c>
      <c r="D4614" s="2" t="s">
        <v>28</v>
      </c>
      <c r="E4614" s="2" t="s">
        <v>29</v>
      </c>
      <c r="F4614" s="2">
        <v>30</v>
      </c>
      <c r="G4614" s="2" t="s">
        <v>9930</v>
      </c>
      <c r="H4614" s="2" t="s">
        <v>1119</v>
      </c>
      <c r="I4614" s="2" t="s">
        <v>240</v>
      </c>
      <c r="J4614" s="3">
        <v>44571</v>
      </c>
      <c r="K4614" s="2">
        <v>22</v>
      </c>
      <c r="L4614" s="2" t="s">
        <v>33</v>
      </c>
    </row>
    <row r="4615" spans="1:12" x14ac:dyDescent="0.3">
      <c r="A4615" s="2">
        <v>4604</v>
      </c>
      <c r="B4615" s="2" t="s">
        <v>504</v>
      </c>
      <c r="C4615" s="2" t="s">
        <v>6065</v>
      </c>
      <c r="D4615" s="2" t="s">
        <v>28</v>
      </c>
      <c r="E4615" s="2" t="s">
        <v>29</v>
      </c>
      <c r="F4615" s="2">
        <v>60</v>
      </c>
      <c r="G4615" s="2" t="s">
        <v>9931</v>
      </c>
      <c r="H4615" s="2" t="s">
        <v>5643</v>
      </c>
      <c r="I4615" s="2" t="s">
        <v>886</v>
      </c>
      <c r="J4615" s="3">
        <v>44003</v>
      </c>
      <c r="K4615" s="2">
        <v>41</v>
      </c>
      <c r="L4615" s="2" t="s">
        <v>39</v>
      </c>
    </row>
    <row r="4616" spans="1:12" x14ac:dyDescent="0.3">
      <c r="A4616" s="2">
        <v>4605</v>
      </c>
      <c r="B4616" s="2" t="s">
        <v>9932</v>
      </c>
      <c r="C4616" s="2" t="s">
        <v>4706</v>
      </c>
      <c r="D4616" s="2" t="s">
        <v>41</v>
      </c>
      <c r="E4616" s="2" t="s">
        <v>16</v>
      </c>
      <c r="F4616" s="2">
        <v>90</v>
      </c>
      <c r="G4616" s="2" t="s">
        <v>9933</v>
      </c>
      <c r="H4616" s="2" t="s">
        <v>2141</v>
      </c>
      <c r="I4616" s="2" t="s">
        <v>1078</v>
      </c>
      <c r="J4616" s="3">
        <v>44607</v>
      </c>
      <c r="K4616" s="2">
        <v>14</v>
      </c>
      <c r="L4616" s="2" t="s">
        <v>20</v>
      </c>
    </row>
    <row r="4617" spans="1:12" x14ac:dyDescent="0.3">
      <c r="A4617" s="2">
        <v>4606</v>
      </c>
      <c r="B4617" s="2" t="s">
        <v>9934</v>
      </c>
      <c r="C4617" s="2" t="s">
        <v>1442</v>
      </c>
      <c r="D4617" s="2" t="s">
        <v>51</v>
      </c>
      <c r="E4617" s="2" t="s">
        <v>16</v>
      </c>
      <c r="F4617" s="2">
        <v>90</v>
      </c>
      <c r="G4617" s="2" t="s">
        <v>9935</v>
      </c>
      <c r="H4617" s="2" t="s">
        <v>1761</v>
      </c>
      <c r="I4617" s="2" t="s">
        <v>38</v>
      </c>
      <c r="J4617" s="3">
        <v>44571</v>
      </c>
      <c r="K4617" s="2">
        <v>94</v>
      </c>
      <c r="L4617" s="2" t="s">
        <v>64</v>
      </c>
    </row>
    <row r="4618" spans="1:12" x14ac:dyDescent="0.3">
      <c r="A4618" s="2">
        <v>4607</v>
      </c>
      <c r="B4618" s="2" t="s">
        <v>433</v>
      </c>
      <c r="C4618" s="2" t="s">
        <v>5756</v>
      </c>
      <c r="D4618" s="2" t="s">
        <v>15</v>
      </c>
      <c r="E4618" s="2" t="s">
        <v>16</v>
      </c>
      <c r="F4618" s="2">
        <v>30</v>
      </c>
      <c r="G4618" s="2" t="s">
        <v>9936</v>
      </c>
      <c r="H4618" s="2" t="s">
        <v>4409</v>
      </c>
      <c r="I4618" s="2" t="s">
        <v>294</v>
      </c>
      <c r="J4618" s="3">
        <v>44023</v>
      </c>
      <c r="K4618" s="2">
        <v>51</v>
      </c>
      <c r="L4618" s="2" t="s">
        <v>70</v>
      </c>
    </row>
    <row r="4619" spans="1:12" x14ac:dyDescent="0.3">
      <c r="A4619" s="2">
        <v>4608</v>
      </c>
      <c r="B4619" s="2" t="s">
        <v>9937</v>
      </c>
      <c r="C4619" s="2" t="s">
        <v>3588</v>
      </c>
      <c r="D4619" s="2" t="s">
        <v>15</v>
      </c>
      <c r="E4619" s="2" t="s">
        <v>16</v>
      </c>
      <c r="F4619" s="2">
        <v>60</v>
      </c>
      <c r="G4619" s="2" t="s">
        <v>9938</v>
      </c>
      <c r="H4619" s="2" t="s">
        <v>8534</v>
      </c>
      <c r="I4619" s="2" t="s">
        <v>294</v>
      </c>
      <c r="J4619" s="3">
        <v>43876</v>
      </c>
      <c r="K4619" s="2">
        <v>24</v>
      </c>
      <c r="L4619" s="2" t="s">
        <v>33</v>
      </c>
    </row>
    <row r="4620" spans="1:12" x14ac:dyDescent="0.3">
      <c r="A4620" s="2">
        <v>4609</v>
      </c>
      <c r="B4620" s="2" t="s">
        <v>9939</v>
      </c>
      <c r="C4620" s="2" t="s">
        <v>4181</v>
      </c>
      <c r="D4620" s="2" t="s">
        <v>28</v>
      </c>
      <c r="E4620" s="2" t="s">
        <v>29</v>
      </c>
      <c r="F4620" s="2">
        <v>90</v>
      </c>
      <c r="G4620" s="2" t="s">
        <v>9940</v>
      </c>
      <c r="H4620" s="2" t="s">
        <v>3498</v>
      </c>
      <c r="I4620" s="2" t="s">
        <v>32</v>
      </c>
      <c r="J4620" s="3">
        <v>44108</v>
      </c>
      <c r="K4620" s="2">
        <v>76</v>
      </c>
      <c r="L4620" s="2" t="s">
        <v>39</v>
      </c>
    </row>
    <row r="4621" spans="1:12" x14ac:dyDescent="0.3">
      <c r="A4621" s="2">
        <v>4610</v>
      </c>
      <c r="B4621" s="2" t="s">
        <v>9941</v>
      </c>
      <c r="C4621" s="2" t="s">
        <v>8723</v>
      </c>
      <c r="D4621" s="2" t="s">
        <v>41</v>
      </c>
      <c r="E4621" s="2" t="s">
        <v>16</v>
      </c>
      <c r="F4621" s="2">
        <v>90</v>
      </c>
      <c r="G4621" s="2" t="s">
        <v>9942</v>
      </c>
      <c r="H4621" s="2" t="s">
        <v>386</v>
      </c>
      <c r="I4621" s="2" t="s">
        <v>294</v>
      </c>
      <c r="J4621" s="3">
        <v>44131</v>
      </c>
      <c r="K4621" s="2">
        <v>20</v>
      </c>
      <c r="L4621" s="2" t="s">
        <v>20</v>
      </c>
    </row>
    <row r="4622" spans="1:12" x14ac:dyDescent="0.3">
      <c r="A4622" s="2">
        <v>4611</v>
      </c>
      <c r="B4622" s="2" t="s">
        <v>9943</v>
      </c>
      <c r="C4622" s="2" t="s">
        <v>5928</v>
      </c>
      <c r="D4622" s="2" t="s">
        <v>15</v>
      </c>
      <c r="E4622" s="2" t="s">
        <v>16</v>
      </c>
      <c r="F4622" s="2">
        <v>90</v>
      </c>
      <c r="G4622" s="2" t="s">
        <v>9944</v>
      </c>
      <c r="H4622" s="2" t="s">
        <v>4889</v>
      </c>
      <c r="I4622" s="2" t="s">
        <v>110</v>
      </c>
      <c r="J4622" s="3">
        <v>44642</v>
      </c>
      <c r="K4622" s="2">
        <v>28</v>
      </c>
      <c r="L4622" s="2" t="s">
        <v>64</v>
      </c>
    </row>
    <row r="4623" spans="1:12" x14ac:dyDescent="0.3">
      <c r="A4623" s="2">
        <v>4612</v>
      </c>
      <c r="B4623" s="2" t="s">
        <v>2750</v>
      </c>
      <c r="C4623" s="2" t="s">
        <v>5626</v>
      </c>
      <c r="D4623" s="2" t="s">
        <v>28</v>
      </c>
      <c r="E4623" s="2" t="s">
        <v>29</v>
      </c>
      <c r="F4623" s="2">
        <v>60</v>
      </c>
      <c r="G4623" s="2" t="s">
        <v>9945</v>
      </c>
      <c r="H4623" s="2" t="s">
        <v>6343</v>
      </c>
      <c r="I4623" s="2" t="s">
        <v>32</v>
      </c>
      <c r="J4623" s="3">
        <v>44200</v>
      </c>
      <c r="K4623" s="2">
        <v>44</v>
      </c>
      <c r="L4623" s="2" t="s">
        <v>39</v>
      </c>
    </row>
    <row r="4624" spans="1:12" x14ac:dyDescent="0.3">
      <c r="A4624" s="2">
        <v>4613</v>
      </c>
      <c r="B4624" s="2" t="s">
        <v>5942</v>
      </c>
      <c r="C4624" s="2" t="s">
        <v>9946</v>
      </c>
      <c r="D4624" s="2" t="s">
        <v>28</v>
      </c>
      <c r="E4624" s="2" t="s">
        <v>29</v>
      </c>
      <c r="F4624" s="2">
        <v>60</v>
      </c>
      <c r="G4624" s="2" t="s">
        <v>9947</v>
      </c>
      <c r="H4624" s="2" t="s">
        <v>1001</v>
      </c>
      <c r="I4624" s="2" t="s">
        <v>32</v>
      </c>
      <c r="J4624" s="3">
        <v>44762</v>
      </c>
      <c r="K4624" s="2">
        <v>62</v>
      </c>
      <c r="L4624" s="2" t="s">
        <v>70</v>
      </c>
    </row>
    <row r="4625" spans="1:12" x14ac:dyDescent="0.3">
      <c r="A4625" s="2">
        <v>4614</v>
      </c>
      <c r="B4625" s="2" t="s">
        <v>7811</v>
      </c>
      <c r="C4625" s="2" t="s">
        <v>991</v>
      </c>
      <c r="D4625" s="2" t="s">
        <v>15</v>
      </c>
      <c r="E4625" s="2" t="s">
        <v>16</v>
      </c>
      <c r="F4625" s="2">
        <v>90</v>
      </c>
      <c r="G4625" s="2" t="s">
        <v>9948</v>
      </c>
      <c r="H4625" s="2" t="s">
        <v>3495</v>
      </c>
      <c r="I4625" s="2" t="s">
        <v>1083</v>
      </c>
      <c r="J4625" s="3">
        <v>44640</v>
      </c>
      <c r="K4625" s="2">
        <v>10</v>
      </c>
      <c r="L4625" s="2" t="s">
        <v>70</v>
      </c>
    </row>
    <row r="4626" spans="1:12" x14ac:dyDescent="0.3">
      <c r="A4626" s="2">
        <v>4615</v>
      </c>
      <c r="B4626" s="2" t="s">
        <v>4318</v>
      </c>
      <c r="C4626" s="2" t="s">
        <v>9949</v>
      </c>
      <c r="D4626" s="2" t="s">
        <v>28</v>
      </c>
      <c r="E4626" s="2" t="s">
        <v>29</v>
      </c>
      <c r="F4626" s="2">
        <v>90</v>
      </c>
      <c r="G4626" s="2" t="s">
        <v>9950</v>
      </c>
      <c r="H4626" s="2" t="s">
        <v>938</v>
      </c>
      <c r="I4626" s="2" t="s">
        <v>25</v>
      </c>
      <c r="J4626" s="3">
        <v>44344</v>
      </c>
      <c r="K4626" s="2">
        <v>94</v>
      </c>
      <c r="L4626" s="2" t="s">
        <v>64</v>
      </c>
    </row>
    <row r="4627" spans="1:12" x14ac:dyDescent="0.3">
      <c r="A4627" s="2">
        <v>4616</v>
      </c>
      <c r="B4627" s="2" t="s">
        <v>9951</v>
      </c>
      <c r="C4627" s="2" t="s">
        <v>6513</v>
      </c>
      <c r="D4627" s="2" t="s">
        <v>15</v>
      </c>
      <c r="E4627" s="2" t="s">
        <v>16</v>
      </c>
      <c r="F4627" s="2">
        <v>90</v>
      </c>
      <c r="G4627" s="2" t="s">
        <v>9952</v>
      </c>
      <c r="H4627" s="2" t="s">
        <v>3175</v>
      </c>
      <c r="I4627" s="2" t="s">
        <v>1233</v>
      </c>
      <c r="J4627" s="3">
        <v>44837</v>
      </c>
      <c r="K4627" s="2">
        <v>11</v>
      </c>
      <c r="L4627" s="2" t="s">
        <v>45</v>
      </c>
    </row>
    <row r="4628" spans="1:12" x14ac:dyDescent="0.3">
      <c r="A4628" s="2">
        <v>4617</v>
      </c>
      <c r="B4628" s="2" t="s">
        <v>4771</v>
      </c>
      <c r="C4628" s="2" t="s">
        <v>9953</v>
      </c>
      <c r="D4628" s="2" t="s">
        <v>28</v>
      </c>
      <c r="E4628" s="2" t="s">
        <v>29</v>
      </c>
      <c r="F4628" s="2">
        <v>90</v>
      </c>
      <c r="G4628" s="2" t="s">
        <v>9954</v>
      </c>
      <c r="H4628" s="2" t="s">
        <v>4543</v>
      </c>
      <c r="I4628" s="2" t="s">
        <v>173</v>
      </c>
      <c r="J4628" s="3">
        <v>44522</v>
      </c>
      <c r="K4628" s="2">
        <v>73</v>
      </c>
      <c r="L4628" s="2" t="s">
        <v>159</v>
      </c>
    </row>
    <row r="4629" spans="1:12" x14ac:dyDescent="0.3">
      <c r="A4629" s="2">
        <v>4618</v>
      </c>
      <c r="B4629" s="2" t="s">
        <v>9957</v>
      </c>
      <c r="C4629" s="2" t="s">
        <v>5671</v>
      </c>
      <c r="D4629" s="2" t="s">
        <v>15</v>
      </c>
      <c r="E4629" s="2" t="s">
        <v>16</v>
      </c>
      <c r="F4629" s="2">
        <v>90</v>
      </c>
      <c r="G4629" s="2" t="s">
        <v>9958</v>
      </c>
      <c r="H4629" s="2" t="s">
        <v>5207</v>
      </c>
      <c r="I4629" s="2" t="s">
        <v>38</v>
      </c>
      <c r="J4629" s="3">
        <v>43994</v>
      </c>
      <c r="K4629" s="2">
        <v>7</v>
      </c>
      <c r="L4629" s="2" t="s">
        <v>101</v>
      </c>
    </row>
    <row r="4630" spans="1:12" x14ac:dyDescent="0.3">
      <c r="A4630" s="2">
        <v>4619</v>
      </c>
      <c r="B4630" s="2" t="s">
        <v>3599</v>
      </c>
      <c r="C4630" s="2" t="s">
        <v>2113</v>
      </c>
      <c r="D4630" s="2" t="s">
        <v>28</v>
      </c>
      <c r="E4630" s="2" t="s">
        <v>29</v>
      </c>
      <c r="F4630" s="2">
        <v>30</v>
      </c>
      <c r="G4630" s="2" t="s">
        <v>9959</v>
      </c>
      <c r="H4630" s="2" t="s">
        <v>5069</v>
      </c>
      <c r="I4630" s="2" t="s">
        <v>32</v>
      </c>
      <c r="J4630" s="3">
        <v>44926</v>
      </c>
      <c r="K4630" s="2">
        <v>104</v>
      </c>
      <c r="L4630" s="2" t="s">
        <v>33</v>
      </c>
    </row>
    <row r="4631" spans="1:12" x14ac:dyDescent="0.3">
      <c r="A4631" s="2">
        <v>4620</v>
      </c>
      <c r="B4631" s="2" t="s">
        <v>9009</v>
      </c>
      <c r="C4631" s="2" t="s">
        <v>2174</v>
      </c>
      <c r="D4631" s="2" t="s">
        <v>51</v>
      </c>
      <c r="E4631" s="2" t="s">
        <v>16</v>
      </c>
      <c r="F4631" s="2">
        <v>90</v>
      </c>
      <c r="G4631" s="2" t="s">
        <v>9960</v>
      </c>
      <c r="H4631" s="2" t="s">
        <v>2661</v>
      </c>
      <c r="I4631" s="2" t="s">
        <v>187</v>
      </c>
      <c r="J4631" s="3">
        <v>44205</v>
      </c>
      <c r="K4631" s="2">
        <v>38</v>
      </c>
      <c r="L4631" s="2" t="s">
        <v>101</v>
      </c>
    </row>
    <row r="4632" spans="1:12" x14ac:dyDescent="0.3">
      <c r="A4632" s="2">
        <v>4621</v>
      </c>
      <c r="B4632" s="2" t="s">
        <v>9961</v>
      </c>
      <c r="C4632" s="2" t="s">
        <v>1963</v>
      </c>
      <c r="D4632" s="2" t="s">
        <v>15</v>
      </c>
      <c r="E4632" s="2" t="s">
        <v>16</v>
      </c>
      <c r="F4632" s="2">
        <v>90</v>
      </c>
      <c r="G4632" s="2" t="s">
        <v>9962</v>
      </c>
      <c r="H4632" s="2" t="s">
        <v>5781</v>
      </c>
      <c r="I4632" s="2" t="s">
        <v>32</v>
      </c>
      <c r="J4632" s="3">
        <v>44890</v>
      </c>
      <c r="K4632" s="2">
        <v>55</v>
      </c>
      <c r="L4632" s="2" t="s">
        <v>159</v>
      </c>
    </row>
    <row r="4633" spans="1:12" x14ac:dyDescent="0.3">
      <c r="A4633" s="2">
        <v>4622</v>
      </c>
      <c r="B4633" s="2" t="s">
        <v>4296</v>
      </c>
      <c r="C4633" s="2" t="s">
        <v>7251</v>
      </c>
      <c r="D4633" s="2" t="s">
        <v>92</v>
      </c>
      <c r="E4633" s="2" t="s">
        <v>29</v>
      </c>
      <c r="F4633" s="2">
        <v>30</v>
      </c>
      <c r="G4633" s="2" t="s">
        <v>9963</v>
      </c>
      <c r="H4633" s="2" t="s">
        <v>3316</v>
      </c>
      <c r="I4633" s="2" t="s">
        <v>32</v>
      </c>
      <c r="J4633" s="3">
        <v>44634</v>
      </c>
      <c r="K4633" s="2">
        <v>81</v>
      </c>
      <c r="L4633" s="2" t="s">
        <v>45</v>
      </c>
    </row>
    <row r="4634" spans="1:12" x14ac:dyDescent="0.3">
      <c r="A4634" s="2">
        <v>4623</v>
      </c>
      <c r="B4634" s="2" t="s">
        <v>9964</v>
      </c>
      <c r="C4634" s="2" t="s">
        <v>936</v>
      </c>
      <c r="D4634" s="2" t="s">
        <v>41</v>
      </c>
      <c r="E4634" s="2" t="s">
        <v>16</v>
      </c>
      <c r="F4634" s="2">
        <v>30</v>
      </c>
      <c r="G4634" s="2" t="s">
        <v>9965</v>
      </c>
      <c r="H4634" s="2" t="s">
        <v>1605</v>
      </c>
      <c r="I4634" s="2" t="s">
        <v>32</v>
      </c>
      <c r="J4634" s="3">
        <v>44583</v>
      </c>
      <c r="K4634" s="2">
        <v>37</v>
      </c>
      <c r="L4634" s="2" t="s">
        <v>54</v>
      </c>
    </row>
    <row r="4635" spans="1:12" x14ac:dyDescent="0.3">
      <c r="A4635" s="2">
        <v>4624</v>
      </c>
      <c r="B4635" s="2" t="s">
        <v>7643</v>
      </c>
      <c r="C4635" s="2" t="s">
        <v>3416</v>
      </c>
      <c r="D4635" s="2" t="s">
        <v>28</v>
      </c>
      <c r="E4635" s="2" t="s">
        <v>29</v>
      </c>
      <c r="F4635" s="2">
        <v>30</v>
      </c>
      <c r="G4635" s="2" t="s">
        <v>9966</v>
      </c>
      <c r="H4635" s="2" t="s">
        <v>7818</v>
      </c>
      <c r="I4635" s="2" t="s">
        <v>1311</v>
      </c>
      <c r="J4635" s="3">
        <v>44915</v>
      </c>
      <c r="K4635" s="2">
        <v>26</v>
      </c>
      <c r="L4635" s="2" t="s">
        <v>39</v>
      </c>
    </row>
    <row r="4636" spans="1:12" x14ac:dyDescent="0.3">
      <c r="A4636" s="2">
        <v>4625</v>
      </c>
      <c r="B4636" s="2" t="s">
        <v>1831</v>
      </c>
      <c r="C4636" s="2" t="s">
        <v>9967</v>
      </c>
      <c r="D4636" s="2" t="s">
        <v>28</v>
      </c>
      <c r="E4636" s="2" t="s">
        <v>29</v>
      </c>
      <c r="F4636" s="2">
        <v>90</v>
      </c>
      <c r="G4636" s="2" t="s">
        <v>9968</v>
      </c>
      <c r="H4636" s="2" t="s">
        <v>5406</v>
      </c>
      <c r="I4636" s="2" t="s">
        <v>32</v>
      </c>
      <c r="J4636" s="3">
        <v>44425</v>
      </c>
      <c r="K4636" s="2">
        <v>49</v>
      </c>
      <c r="L4636" s="2" t="s">
        <v>39</v>
      </c>
    </row>
    <row r="4637" spans="1:12" x14ac:dyDescent="0.3">
      <c r="A4637" s="2">
        <v>4626</v>
      </c>
      <c r="B4637" s="2" t="s">
        <v>471</v>
      </c>
      <c r="C4637" s="2" t="s">
        <v>8687</v>
      </c>
      <c r="D4637" s="2" t="s">
        <v>28</v>
      </c>
      <c r="E4637" s="2" t="s">
        <v>29</v>
      </c>
      <c r="F4637" s="2">
        <v>90</v>
      </c>
      <c r="G4637" s="2" t="s">
        <v>9969</v>
      </c>
      <c r="H4637" s="2" t="s">
        <v>3459</v>
      </c>
      <c r="I4637" s="2" t="s">
        <v>178</v>
      </c>
      <c r="J4637" s="3">
        <v>44262</v>
      </c>
      <c r="K4637" s="2">
        <v>18</v>
      </c>
      <c r="L4637" s="2" t="s">
        <v>64</v>
      </c>
    </row>
    <row r="4638" spans="1:12" x14ac:dyDescent="0.3">
      <c r="A4638" s="2">
        <v>4627</v>
      </c>
      <c r="B4638" s="2" t="s">
        <v>8875</v>
      </c>
      <c r="C4638" s="2" t="s">
        <v>2398</v>
      </c>
      <c r="D4638" s="2" t="s">
        <v>28</v>
      </c>
      <c r="E4638" s="2" t="s">
        <v>29</v>
      </c>
      <c r="F4638" s="2">
        <v>90</v>
      </c>
      <c r="G4638" s="2" t="s">
        <v>9970</v>
      </c>
      <c r="H4638" s="2" t="s">
        <v>5406</v>
      </c>
      <c r="I4638" s="2" t="s">
        <v>32</v>
      </c>
      <c r="J4638" s="3">
        <v>44423</v>
      </c>
      <c r="K4638" s="2">
        <v>50</v>
      </c>
      <c r="L4638" s="2" t="s">
        <v>20</v>
      </c>
    </row>
    <row r="4639" spans="1:12" x14ac:dyDescent="0.3">
      <c r="A4639" s="2">
        <v>4628</v>
      </c>
      <c r="B4639" s="2" t="s">
        <v>9971</v>
      </c>
      <c r="C4639" s="2" t="s">
        <v>295</v>
      </c>
      <c r="D4639" s="2" t="s">
        <v>92</v>
      </c>
      <c r="E4639" s="2" t="s">
        <v>16</v>
      </c>
      <c r="F4639" s="2">
        <v>90</v>
      </c>
      <c r="G4639" s="2" t="s">
        <v>9972</v>
      </c>
      <c r="H4639" s="2" t="s">
        <v>1005</v>
      </c>
      <c r="I4639" s="2" t="s">
        <v>178</v>
      </c>
      <c r="J4639" s="3">
        <v>44670</v>
      </c>
      <c r="K4639" s="2">
        <v>54</v>
      </c>
      <c r="L4639" s="2" t="s">
        <v>20</v>
      </c>
    </row>
    <row r="4640" spans="1:12" x14ac:dyDescent="0.3">
      <c r="A4640" s="2">
        <v>4629</v>
      </c>
      <c r="B4640" s="2" t="s">
        <v>9973</v>
      </c>
      <c r="C4640" s="2" t="s">
        <v>1204</v>
      </c>
      <c r="D4640" s="2" t="s">
        <v>51</v>
      </c>
      <c r="E4640" s="2" t="s">
        <v>16</v>
      </c>
      <c r="F4640" s="2">
        <v>90</v>
      </c>
      <c r="G4640" s="2" t="s">
        <v>9974</v>
      </c>
      <c r="H4640" s="2" t="s">
        <v>2194</v>
      </c>
      <c r="I4640" s="2" t="s">
        <v>32</v>
      </c>
      <c r="J4640" s="3">
        <v>44471</v>
      </c>
      <c r="K4640" s="2">
        <v>73</v>
      </c>
      <c r="L4640" s="2" t="s">
        <v>159</v>
      </c>
    </row>
    <row r="4641" spans="1:12" x14ac:dyDescent="0.3">
      <c r="A4641" s="2">
        <v>4630</v>
      </c>
      <c r="B4641" s="2" t="s">
        <v>4370</v>
      </c>
      <c r="C4641" s="2" t="s">
        <v>8869</v>
      </c>
      <c r="D4641" s="2" t="s">
        <v>51</v>
      </c>
      <c r="E4641" s="2" t="s">
        <v>16</v>
      </c>
      <c r="F4641" s="2">
        <v>60</v>
      </c>
      <c r="G4641" s="2" t="s">
        <v>9975</v>
      </c>
      <c r="H4641" s="2" t="s">
        <v>4098</v>
      </c>
      <c r="I4641" s="2" t="s">
        <v>1889</v>
      </c>
      <c r="J4641" s="3">
        <v>44404</v>
      </c>
      <c r="K4641" s="2">
        <v>46</v>
      </c>
      <c r="L4641" s="2" t="s">
        <v>54</v>
      </c>
    </row>
    <row r="4642" spans="1:12" x14ac:dyDescent="0.3">
      <c r="A4642" s="2">
        <v>4631</v>
      </c>
      <c r="B4642" s="2" t="s">
        <v>357</v>
      </c>
      <c r="C4642" s="2" t="s">
        <v>2496</v>
      </c>
      <c r="D4642" s="2" t="s">
        <v>28</v>
      </c>
      <c r="E4642" s="2" t="s">
        <v>29</v>
      </c>
      <c r="F4642" s="2">
        <v>30</v>
      </c>
      <c r="G4642" s="2" t="s">
        <v>9976</v>
      </c>
      <c r="H4642" s="2" t="s">
        <v>1194</v>
      </c>
      <c r="I4642" s="2" t="s">
        <v>38</v>
      </c>
      <c r="J4642" s="3">
        <v>44133</v>
      </c>
      <c r="K4642" s="2">
        <v>4</v>
      </c>
      <c r="L4642" s="2" t="s">
        <v>54</v>
      </c>
    </row>
    <row r="4643" spans="1:12" x14ac:dyDescent="0.3">
      <c r="A4643" s="2">
        <v>4632</v>
      </c>
      <c r="B4643" s="2" t="s">
        <v>4061</v>
      </c>
      <c r="C4643" s="2" t="s">
        <v>9977</v>
      </c>
      <c r="D4643" s="2" t="s">
        <v>15</v>
      </c>
      <c r="E4643" s="2" t="s">
        <v>16</v>
      </c>
      <c r="F4643" s="2">
        <v>60</v>
      </c>
      <c r="G4643" s="2" t="s">
        <v>9978</v>
      </c>
      <c r="H4643" s="2" t="s">
        <v>1060</v>
      </c>
      <c r="I4643" s="2" t="s">
        <v>38</v>
      </c>
      <c r="J4643" s="3">
        <v>43877</v>
      </c>
      <c r="K4643" s="2">
        <v>82</v>
      </c>
      <c r="L4643" s="2" t="s">
        <v>45</v>
      </c>
    </row>
    <row r="4644" spans="1:12" x14ac:dyDescent="0.3">
      <c r="A4644" s="2">
        <v>4633</v>
      </c>
      <c r="B4644" s="2" t="s">
        <v>699</v>
      </c>
      <c r="C4644" s="2" t="s">
        <v>5792</v>
      </c>
      <c r="D4644" s="2" t="s">
        <v>92</v>
      </c>
      <c r="E4644" s="2" t="s">
        <v>29</v>
      </c>
      <c r="F4644" s="2">
        <v>90</v>
      </c>
      <c r="G4644" s="2" t="s">
        <v>9979</v>
      </c>
      <c r="H4644" s="2" t="s">
        <v>4424</v>
      </c>
      <c r="I4644" s="2" t="s">
        <v>25</v>
      </c>
      <c r="J4644" s="3">
        <v>44565</v>
      </c>
      <c r="K4644" s="2">
        <v>80</v>
      </c>
      <c r="L4644" s="2" t="s">
        <v>70</v>
      </c>
    </row>
    <row r="4645" spans="1:12" x14ac:dyDescent="0.3">
      <c r="A4645" s="2">
        <v>4634</v>
      </c>
      <c r="B4645" s="2" t="s">
        <v>1027</v>
      </c>
      <c r="C4645" s="2" t="s">
        <v>2561</v>
      </c>
      <c r="D4645" s="2" t="s">
        <v>28</v>
      </c>
      <c r="E4645" s="2" t="s">
        <v>29</v>
      </c>
      <c r="F4645" s="2">
        <v>90</v>
      </c>
      <c r="G4645" s="2" t="s">
        <v>9980</v>
      </c>
      <c r="H4645" s="2" t="s">
        <v>5611</v>
      </c>
      <c r="I4645" s="2" t="s">
        <v>32</v>
      </c>
      <c r="J4645" s="3">
        <v>44096</v>
      </c>
      <c r="K4645" s="2">
        <v>64</v>
      </c>
      <c r="L4645" s="2" t="s">
        <v>101</v>
      </c>
    </row>
    <row r="4646" spans="1:12" x14ac:dyDescent="0.3">
      <c r="A4646" s="2">
        <v>4635</v>
      </c>
      <c r="B4646" s="2" t="s">
        <v>4023</v>
      </c>
      <c r="C4646" s="2" t="s">
        <v>3806</v>
      </c>
      <c r="D4646" s="2" t="s">
        <v>92</v>
      </c>
      <c r="E4646" s="2" t="s">
        <v>29</v>
      </c>
      <c r="F4646" s="2">
        <v>90</v>
      </c>
      <c r="G4646" s="2" t="s">
        <v>9981</v>
      </c>
      <c r="H4646" s="2" t="s">
        <v>6319</v>
      </c>
      <c r="I4646" s="2" t="s">
        <v>32</v>
      </c>
      <c r="J4646" s="3">
        <v>43924</v>
      </c>
      <c r="K4646" s="2">
        <v>82</v>
      </c>
      <c r="L4646" s="2" t="s">
        <v>54</v>
      </c>
    </row>
    <row r="4647" spans="1:12" x14ac:dyDescent="0.3">
      <c r="A4647" s="2">
        <v>4636</v>
      </c>
      <c r="B4647" s="2" t="s">
        <v>6792</v>
      </c>
      <c r="C4647" s="2" t="s">
        <v>4600</v>
      </c>
      <c r="D4647" s="2" t="s">
        <v>15</v>
      </c>
      <c r="E4647" s="2" t="s">
        <v>16</v>
      </c>
      <c r="F4647" s="2">
        <v>30</v>
      </c>
      <c r="G4647" s="2" t="s">
        <v>9982</v>
      </c>
      <c r="H4647" s="2" t="s">
        <v>2834</v>
      </c>
      <c r="I4647" s="2" t="s">
        <v>19</v>
      </c>
      <c r="J4647" s="3">
        <v>44794</v>
      </c>
      <c r="K4647" s="2">
        <v>42</v>
      </c>
      <c r="L4647" s="2" t="s">
        <v>20</v>
      </c>
    </row>
    <row r="4648" spans="1:12" x14ac:dyDescent="0.3">
      <c r="A4648" s="2">
        <v>4637</v>
      </c>
      <c r="B4648" s="2" t="s">
        <v>7804</v>
      </c>
      <c r="C4648" s="2" t="s">
        <v>6401</v>
      </c>
      <c r="D4648" s="2" t="s">
        <v>28</v>
      </c>
      <c r="E4648" s="2" t="s">
        <v>29</v>
      </c>
      <c r="F4648" s="2">
        <v>90</v>
      </c>
      <c r="G4648" s="2" t="s">
        <v>9983</v>
      </c>
      <c r="H4648" s="2" t="s">
        <v>4870</v>
      </c>
      <c r="I4648" s="2" t="s">
        <v>146</v>
      </c>
      <c r="J4648" s="3">
        <v>44735</v>
      </c>
      <c r="K4648" s="2">
        <v>29</v>
      </c>
      <c r="L4648" s="2" t="s">
        <v>33</v>
      </c>
    </row>
    <row r="4649" spans="1:12" x14ac:dyDescent="0.3">
      <c r="A4649" s="2">
        <v>4638</v>
      </c>
      <c r="B4649" s="2" t="s">
        <v>4008</v>
      </c>
      <c r="C4649" s="2" t="s">
        <v>4324</v>
      </c>
      <c r="D4649" s="2" t="s">
        <v>28</v>
      </c>
      <c r="E4649" s="2" t="s">
        <v>29</v>
      </c>
      <c r="F4649" s="2">
        <v>60</v>
      </c>
      <c r="G4649" s="2" t="s">
        <v>9984</v>
      </c>
      <c r="H4649" s="2" t="s">
        <v>1131</v>
      </c>
      <c r="I4649" s="2" t="s">
        <v>32</v>
      </c>
      <c r="J4649" s="3">
        <v>44446</v>
      </c>
      <c r="K4649" s="2">
        <v>15</v>
      </c>
      <c r="L4649" s="2" t="s">
        <v>54</v>
      </c>
    </row>
    <row r="4650" spans="1:12" x14ac:dyDescent="0.3">
      <c r="A4650" s="2">
        <v>4639</v>
      </c>
      <c r="B4650" s="2" t="s">
        <v>6401</v>
      </c>
      <c r="C4650" s="2" t="s">
        <v>7253</v>
      </c>
      <c r="D4650" s="2" t="s">
        <v>28</v>
      </c>
      <c r="E4650" s="2" t="s">
        <v>29</v>
      </c>
      <c r="F4650" s="2">
        <v>60</v>
      </c>
      <c r="G4650" s="2" t="s">
        <v>9985</v>
      </c>
      <c r="H4650" s="2" t="s">
        <v>138</v>
      </c>
      <c r="I4650" s="2" t="s">
        <v>294</v>
      </c>
      <c r="J4650" s="3">
        <v>44292</v>
      </c>
      <c r="K4650" s="2">
        <v>63</v>
      </c>
      <c r="L4650" s="2" t="s">
        <v>39</v>
      </c>
    </row>
    <row r="4651" spans="1:12" x14ac:dyDescent="0.3">
      <c r="A4651" s="2">
        <v>4640</v>
      </c>
      <c r="B4651" s="2" t="s">
        <v>3699</v>
      </c>
      <c r="C4651" s="2" t="s">
        <v>9488</v>
      </c>
      <c r="D4651" s="2" t="s">
        <v>28</v>
      </c>
      <c r="E4651" s="2" t="s">
        <v>29</v>
      </c>
      <c r="F4651" s="2">
        <v>60</v>
      </c>
      <c r="G4651" s="2" t="s">
        <v>9986</v>
      </c>
      <c r="H4651" s="2" t="s">
        <v>9987</v>
      </c>
      <c r="I4651" s="2" t="s">
        <v>294</v>
      </c>
      <c r="J4651" s="3">
        <v>44362</v>
      </c>
      <c r="K4651" s="2">
        <v>18</v>
      </c>
      <c r="L4651" s="2" t="s">
        <v>70</v>
      </c>
    </row>
    <row r="4652" spans="1:12" x14ac:dyDescent="0.3">
      <c r="A4652" s="2">
        <v>4641</v>
      </c>
      <c r="B4652" s="2" t="s">
        <v>5410</v>
      </c>
      <c r="C4652" s="2" t="s">
        <v>5546</v>
      </c>
      <c r="D4652" s="2" t="s">
        <v>51</v>
      </c>
      <c r="E4652" s="2" t="s">
        <v>16</v>
      </c>
      <c r="F4652" s="2">
        <v>60</v>
      </c>
      <c r="G4652" s="2" t="s">
        <v>9988</v>
      </c>
      <c r="H4652" s="2" t="s">
        <v>7318</v>
      </c>
      <c r="I4652" s="2" t="s">
        <v>32</v>
      </c>
      <c r="J4652" s="3">
        <v>43936</v>
      </c>
      <c r="K4652" s="2">
        <v>48</v>
      </c>
      <c r="L4652" s="2" t="s">
        <v>70</v>
      </c>
    </row>
    <row r="4653" spans="1:12" x14ac:dyDescent="0.3">
      <c r="A4653" s="2">
        <v>4642</v>
      </c>
      <c r="B4653" s="2" t="s">
        <v>5497</v>
      </c>
      <c r="C4653" s="2" t="s">
        <v>5037</v>
      </c>
      <c r="D4653" s="2" t="s">
        <v>28</v>
      </c>
      <c r="E4653" s="2" t="s">
        <v>29</v>
      </c>
      <c r="F4653" s="2">
        <v>60</v>
      </c>
      <c r="G4653" s="2" t="s">
        <v>9989</v>
      </c>
      <c r="H4653" s="2" t="s">
        <v>1931</v>
      </c>
      <c r="I4653" s="2" t="s">
        <v>32</v>
      </c>
      <c r="J4653" s="3">
        <v>44438</v>
      </c>
      <c r="K4653" s="2">
        <v>25</v>
      </c>
      <c r="L4653" s="2" t="s">
        <v>20</v>
      </c>
    </row>
    <row r="4654" spans="1:12" x14ac:dyDescent="0.3">
      <c r="A4654" s="2">
        <v>4643</v>
      </c>
      <c r="B4654" s="2" t="s">
        <v>9990</v>
      </c>
      <c r="C4654" s="2" t="s">
        <v>9991</v>
      </c>
      <c r="D4654" s="2" t="s">
        <v>51</v>
      </c>
      <c r="E4654" s="2" t="s">
        <v>16</v>
      </c>
      <c r="F4654" s="2">
        <v>90</v>
      </c>
      <c r="G4654" s="2" t="s">
        <v>6607</v>
      </c>
      <c r="H4654" s="2" t="s">
        <v>133</v>
      </c>
      <c r="I4654" s="2" t="s">
        <v>124</v>
      </c>
      <c r="J4654" s="3">
        <v>44840</v>
      </c>
      <c r="K4654" s="2">
        <v>51</v>
      </c>
      <c r="L4654" s="2" t="s">
        <v>101</v>
      </c>
    </row>
    <row r="4655" spans="1:12" x14ac:dyDescent="0.3">
      <c r="A4655" s="2">
        <v>4644</v>
      </c>
      <c r="B4655" s="2" t="s">
        <v>9992</v>
      </c>
      <c r="C4655" s="2" t="s">
        <v>7687</v>
      </c>
      <c r="D4655" s="2" t="s">
        <v>28</v>
      </c>
      <c r="E4655" s="2" t="s">
        <v>29</v>
      </c>
      <c r="F4655" s="2">
        <v>60</v>
      </c>
      <c r="G4655" s="2" t="s">
        <v>9993</v>
      </c>
      <c r="H4655" s="2" t="s">
        <v>207</v>
      </c>
      <c r="I4655" s="2" t="s">
        <v>208</v>
      </c>
      <c r="J4655" s="3">
        <v>44449</v>
      </c>
      <c r="K4655" s="2">
        <v>44</v>
      </c>
      <c r="L4655" s="2" t="s">
        <v>80</v>
      </c>
    </row>
    <row r="4656" spans="1:12" x14ac:dyDescent="0.3">
      <c r="A4656" s="2">
        <v>4645</v>
      </c>
      <c r="B4656" s="2" t="s">
        <v>3463</v>
      </c>
      <c r="C4656" s="2" t="s">
        <v>7520</v>
      </c>
      <c r="D4656" s="2" t="s">
        <v>28</v>
      </c>
      <c r="E4656" s="2" t="s">
        <v>29</v>
      </c>
      <c r="F4656" s="2">
        <v>30</v>
      </c>
      <c r="G4656" s="2" t="s">
        <v>9994</v>
      </c>
      <c r="H4656" s="2" t="s">
        <v>4870</v>
      </c>
      <c r="I4656" s="2" t="s">
        <v>146</v>
      </c>
      <c r="J4656" s="3">
        <v>43898</v>
      </c>
      <c r="K4656" s="2">
        <v>9</v>
      </c>
      <c r="L4656" s="2" t="s">
        <v>39</v>
      </c>
    </row>
    <row r="4657" spans="1:12" x14ac:dyDescent="0.3">
      <c r="A4657" s="2">
        <v>4646</v>
      </c>
      <c r="B4657" s="2" t="s">
        <v>4185</v>
      </c>
      <c r="C4657" s="2" t="s">
        <v>9995</v>
      </c>
      <c r="D4657" s="2" t="s">
        <v>28</v>
      </c>
      <c r="E4657" s="2" t="s">
        <v>29</v>
      </c>
      <c r="F4657" s="2">
        <v>60</v>
      </c>
      <c r="G4657" s="2" t="s">
        <v>9996</v>
      </c>
      <c r="H4657" s="2" t="s">
        <v>6293</v>
      </c>
      <c r="I4657" s="2" t="s">
        <v>32</v>
      </c>
      <c r="J4657" s="3">
        <v>44465</v>
      </c>
      <c r="K4657" s="2">
        <v>68</v>
      </c>
      <c r="L4657" s="2" t="s">
        <v>33</v>
      </c>
    </row>
    <row r="4658" spans="1:12" x14ac:dyDescent="0.3">
      <c r="A4658" s="2">
        <v>4647</v>
      </c>
      <c r="B4658" s="2" t="s">
        <v>9997</v>
      </c>
      <c r="C4658" s="2" t="s">
        <v>4858</v>
      </c>
      <c r="D4658" s="2" t="s">
        <v>51</v>
      </c>
      <c r="E4658" s="2" t="s">
        <v>16</v>
      </c>
      <c r="F4658" s="2">
        <v>60</v>
      </c>
      <c r="G4658" s="2" t="s">
        <v>9998</v>
      </c>
      <c r="H4658" s="2" t="s">
        <v>7140</v>
      </c>
      <c r="I4658" s="2" t="s">
        <v>294</v>
      </c>
      <c r="J4658" s="3">
        <v>44526</v>
      </c>
      <c r="K4658" s="2">
        <v>80</v>
      </c>
      <c r="L4658" s="2" t="s">
        <v>33</v>
      </c>
    </row>
    <row r="4659" spans="1:12" x14ac:dyDescent="0.3">
      <c r="A4659" s="2">
        <v>4648</v>
      </c>
      <c r="B4659" s="2" t="s">
        <v>9999</v>
      </c>
      <c r="C4659" s="2" t="s">
        <v>6798</v>
      </c>
      <c r="D4659" s="2" t="s">
        <v>28</v>
      </c>
      <c r="E4659" s="2" t="s">
        <v>29</v>
      </c>
      <c r="F4659" s="2">
        <v>60</v>
      </c>
      <c r="G4659" s="2" t="s">
        <v>10000</v>
      </c>
      <c r="H4659" s="2" t="s">
        <v>1077</v>
      </c>
      <c r="I4659" s="2" t="s">
        <v>1078</v>
      </c>
      <c r="J4659" s="3">
        <v>44064</v>
      </c>
      <c r="K4659" s="2">
        <v>47</v>
      </c>
      <c r="L4659" s="2" t="s">
        <v>70</v>
      </c>
    </row>
    <row r="4660" spans="1:12" x14ac:dyDescent="0.3">
      <c r="A4660" s="2">
        <v>4649</v>
      </c>
      <c r="B4660" s="2" t="s">
        <v>10001</v>
      </c>
      <c r="C4660" s="2" t="s">
        <v>9225</v>
      </c>
      <c r="D4660" s="2" t="s">
        <v>41</v>
      </c>
      <c r="E4660" s="2" t="s">
        <v>16</v>
      </c>
      <c r="F4660" s="2">
        <v>30</v>
      </c>
      <c r="G4660" s="2" t="s">
        <v>10002</v>
      </c>
      <c r="H4660" s="2" t="s">
        <v>3284</v>
      </c>
      <c r="I4660" s="2" t="s">
        <v>32</v>
      </c>
      <c r="J4660" s="3">
        <v>44560</v>
      </c>
      <c r="K4660" s="2">
        <v>8</v>
      </c>
      <c r="L4660" s="2" t="s">
        <v>64</v>
      </c>
    </row>
    <row r="4661" spans="1:12" x14ac:dyDescent="0.3">
      <c r="A4661" s="2">
        <v>4650</v>
      </c>
      <c r="B4661" s="2" t="s">
        <v>3021</v>
      </c>
      <c r="C4661" s="2" t="s">
        <v>7231</v>
      </c>
      <c r="D4661" s="2" t="s">
        <v>28</v>
      </c>
      <c r="E4661" s="2" t="s">
        <v>29</v>
      </c>
      <c r="F4661" s="2">
        <v>30</v>
      </c>
      <c r="G4661" s="2" t="s">
        <v>10003</v>
      </c>
      <c r="H4661" s="2" t="s">
        <v>5399</v>
      </c>
      <c r="I4661" s="2" t="s">
        <v>32</v>
      </c>
      <c r="J4661" s="3">
        <v>44548</v>
      </c>
      <c r="K4661" s="2">
        <v>95</v>
      </c>
      <c r="L4661" s="2" t="s">
        <v>80</v>
      </c>
    </row>
    <row r="4662" spans="1:12" x14ac:dyDescent="0.3">
      <c r="A4662" s="2">
        <v>4651</v>
      </c>
      <c r="B4662" s="2" t="s">
        <v>380</v>
      </c>
      <c r="C4662" s="2" t="s">
        <v>1075</v>
      </c>
      <c r="D4662" s="2" t="s">
        <v>28</v>
      </c>
      <c r="E4662" s="2" t="s">
        <v>29</v>
      </c>
      <c r="F4662" s="2">
        <v>60</v>
      </c>
      <c r="G4662" s="2" t="s">
        <v>10004</v>
      </c>
      <c r="H4662" s="2" t="s">
        <v>1526</v>
      </c>
      <c r="I4662" s="2" t="s">
        <v>173</v>
      </c>
      <c r="J4662" s="3">
        <v>44180</v>
      </c>
      <c r="K4662" s="2">
        <v>3</v>
      </c>
      <c r="L4662" s="2" t="s">
        <v>80</v>
      </c>
    </row>
    <row r="4663" spans="1:12" x14ac:dyDescent="0.3">
      <c r="A4663" s="2">
        <v>4652</v>
      </c>
      <c r="B4663" s="2" t="s">
        <v>10005</v>
      </c>
      <c r="C4663" s="2" t="s">
        <v>3600</v>
      </c>
      <c r="D4663" s="2" t="s">
        <v>51</v>
      </c>
      <c r="E4663" s="2" t="s">
        <v>16</v>
      </c>
      <c r="F4663" s="2">
        <v>30</v>
      </c>
      <c r="G4663" s="2" t="s">
        <v>10006</v>
      </c>
      <c r="H4663" s="2" t="s">
        <v>412</v>
      </c>
      <c r="I4663" s="2" t="s">
        <v>187</v>
      </c>
      <c r="J4663" s="3">
        <v>44558</v>
      </c>
      <c r="K4663" s="2">
        <v>86</v>
      </c>
      <c r="L4663" s="2" t="s">
        <v>33</v>
      </c>
    </row>
    <row r="4664" spans="1:12" x14ac:dyDescent="0.3">
      <c r="A4664" s="2">
        <v>4653</v>
      </c>
      <c r="B4664" s="2" t="s">
        <v>10007</v>
      </c>
      <c r="C4664" s="2" t="s">
        <v>1749</v>
      </c>
      <c r="D4664" s="2" t="s">
        <v>51</v>
      </c>
      <c r="E4664" s="2" t="s">
        <v>16</v>
      </c>
      <c r="F4664" s="2">
        <v>90</v>
      </c>
      <c r="G4664" s="2" t="s">
        <v>10008</v>
      </c>
      <c r="H4664" s="2" t="s">
        <v>6377</v>
      </c>
      <c r="I4664" s="2" t="s">
        <v>164</v>
      </c>
      <c r="J4664" s="3">
        <v>44342</v>
      </c>
      <c r="K4664" s="2">
        <v>46</v>
      </c>
      <c r="L4664" s="2" t="s">
        <v>70</v>
      </c>
    </row>
    <row r="4665" spans="1:12" x14ac:dyDescent="0.3">
      <c r="A4665" s="2">
        <v>4654</v>
      </c>
      <c r="B4665" s="2" t="s">
        <v>10009</v>
      </c>
      <c r="C4665" s="2" t="s">
        <v>3173</v>
      </c>
      <c r="D4665" s="2" t="s">
        <v>15</v>
      </c>
      <c r="E4665" s="2" t="s">
        <v>16</v>
      </c>
      <c r="F4665" s="2">
        <v>30</v>
      </c>
      <c r="G4665" s="2" t="s">
        <v>10010</v>
      </c>
      <c r="H4665" s="2" t="s">
        <v>4299</v>
      </c>
      <c r="I4665" s="2" t="s">
        <v>32</v>
      </c>
      <c r="J4665" s="3">
        <v>44324</v>
      </c>
      <c r="K4665" s="2">
        <v>94</v>
      </c>
      <c r="L4665" s="2" t="s">
        <v>20</v>
      </c>
    </row>
    <row r="4666" spans="1:12" x14ac:dyDescent="0.3">
      <c r="A4666" s="2">
        <v>4655</v>
      </c>
      <c r="B4666" s="2" t="s">
        <v>222</v>
      </c>
      <c r="C4666" s="2" t="s">
        <v>3824</v>
      </c>
      <c r="D4666" s="2" t="s">
        <v>28</v>
      </c>
      <c r="E4666" s="2" t="s">
        <v>29</v>
      </c>
      <c r="F4666" s="2">
        <v>30</v>
      </c>
      <c r="G4666" s="2" t="s">
        <v>10012</v>
      </c>
      <c r="H4666" s="2" t="s">
        <v>48</v>
      </c>
      <c r="I4666" s="2" t="s">
        <v>25</v>
      </c>
      <c r="J4666" s="3">
        <v>44861</v>
      </c>
      <c r="K4666" s="2">
        <v>51</v>
      </c>
      <c r="L4666" s="2" t="s">
        <v>159</v>
      </c>
    </row>
    <row r="4667" spans="1:12" x14ac:dyDescent="0.3">
      <c r="A4667" s="2">
        <v>4656</v>
      </c>
      <c r="B4667" s="2" t="s">
        <v>2782</v>
      </c>
      <c r="C4667" s="2" t="s">
        <v>2195</v>
      </c>
      <c r="D4667" s="2" t="s">
        <v>51</v>
      </c>
      <c r="E4667" s="2" t="s">
        <v>16</v>
      </c>
      <c r="F4667" s="2">
        <v>60</v>
      </c>
      <c r="G4667" s="2" t="s">
        <v>10013</v>
      </c>
      <c r="H4667" s="2" t="s">
        <v>4085</v>
      </c>
      <c r="I4667" s="2" t="s">
        <v>240</v>
      </c>
      <c r="J4667" s="3">
        <v>44889</v>
      </c>
      <c r="K4667" s="2">
        <v>79</v>
      </c>
      <c r="L4667" s="2" t="s">
        <v>54</v>
      </c>
    </row>
    <row r="4668" spans="1:12" x14ac:dyDescent="0.3">
      <c r="A4668" s="2">
        <v>4657</v>
      </c>
      <c r="B4668" s="2" t="s">
        <v>9445</v>
      </c>
      <c r="C4668" s="2" t="s">
        <v>72</v>
      </c>
      <c r="D4668" s="2" t="s">
        <v>15</v>
      </c>
      <c r="E4668" s="2" t="s">
        <v>16</v>
      </c>
      <c r="F4668" s="2">
        <v>30</v>
      </c>
      <c r="G4668" s="2" t="s">
        <v>10014</v>
      </c>
      <c r="H4668" s="2" t="s">
        <v>5581</v>
      </c>
      <c r="I4668" s="2" t="s">
        <v>187</v>
      </c>
      <c r="J4668" s="3">
        <v>44152</v>
      </c>
      <c r="K4668" s="2">
        <v>4</v>
      </c>
      <c r="L4668" s="2" t="s">
        <v>45</v>
      </c>
    </row>
    <row r="4669" spans="1:12" x14ac:dyDescent="0.3">
      <c r="A4669" s="2">
        <v>4658</v>
      </c>
      <c r="B4669" s="2" t="s">
        <v>2699</v>
      </c>
      <c r="C4669" s="2" t="s">
        <v>4495</v>
      </c>
      <c r="D4669" s="2" t="s">
        <v>28</v>
      </c>
      <c r="E4669" s="2" t="s">
        <v>29</v>
      </c>
      <c r="F4669" s="2">
        <v>60</v>
      </c>
      <c r="G4669" s="2" t="s">
        <v>10015</v>
      </c>
      <c r="H4669" s="2" t="s">
        <v>1927</v>
      </c>
      <c r="I4669" s="2" t="s">
        <v>100</v>
      </c>
      <c r="J4669" s="3">
        <v>44801</v>
      </c>
      <c r="K4669" s="2">
        <v>26</v>
      </c>
      <c r="L4669" s="2" t="s">
        <v>80</v>
      </c>
    </row>
    <row r="4670" spans="1:12" x14ac:dyDescent="0.3">
      <c r="A4670" s="2">
        <v>4659</v>
      </c>
      <c r="B4670" s="2" t="s">
        <v>1644</v>
      </c>
      <c r="C4670" s="2" t="s">
        <v>418</v>
      </c>
      <c r="D4670" s="2" t="s">
        <v>15</v>
      </c>
      <c r="E4670" s="2" t="s">
        <v>16</v>
      </c>
      <c r="F4670" s="2">
        <v>90</v>
      </c>
      <c r="G4670" s="2" t="s">
        <v>10016</v>
      </c>
      <c r="H4670" s="2" t="s">
        <v>4028</v>
      </c>
      <c r="I4670" s="2" t="s">
        <v>32</v>
      </c>
      <c r="J4670" s="3">
        <v>44097</v>
      </c>
      <c r="K4670" s="2">
        <v>65</v>
      </c>
      <c r="L4670" s="2" t="s">
        <v>101</v>
      </c>
    </row>
    <row r="4671" spans="1:12" x14ac:dyDescent="0.3">
      <c r="A4671" s="2">
        <v>4660</v>
      </c>
      <c r="B4671" s="2" t="s">
        <v>10017</v>
      </c>
      <c r="C4671" s="2" t="s">
        <v>3612</v>
      </c>
      <c r="D4671" s="2" t="s">
        <v>41</v>
      </c>
      <c r="E4671" s="2" t="s">
        <v>16</v>
      </c>
      <c r="F4671" s="2">
        <v>90</v>
      </c>
      <c r="G4671" s="2" t="s">
        <v>10018</v>
      </c>
      <c r="H4671" s="2" t="s">
        <v>4678</v>
      </c>
      <c r="I4671" s="2" t="s">
        <v>886</v>
      </c>
      <c r="J4671" s="3">
        <v>44613</v>
      </c>
      <c r="K4671" s="2">
        <v>22</v>
      </c>
      <c r="L4671" s="2" t="s">
        <v>101</v>
      </c>
    </row>
    <row r="4672" spans="1:12" x14ac:dyDescent="0.3">
      <c r="A4672" s="2">
        <v>4661</v>
      </c>
      <c r="B4672" s="2" t="s">
        <v>2295</v>
      </c>
      <c r="C4672" s="2" t="s">
        <v>4722</v>
      </c>
      <c r="D4672" s="2" t="s">
        <v>15</v>
      </c>
      <c r="E4672" s="2" t="s">
        <v>16</v>
      </c>
      <c r="F4672" s="2">
        <v>90</v>
      </c>
      <c r="G4672" s="2" t="s">
        <v>10019</v>
      </c>
      <c r="H4672" s="2" t="s">
        <v>7777</v>
      </c>
      <c r="I4672" s="2" t="s">
        <v>32</v>
      </c>
      <c r="J4672" s="3">
        <v>44199</v>
      </c>
      <c r="K4672" s="2">
        <v>63</v>
      </c>
      <c r="L4672" s="2" t="s">
        <v>70</v>
      </c>
    </row>
    <row r="4673" spans="1:12" x14ac:dyDescent="0.3">
      <c r="A4673" s="2">
        <v>4662</v>
      </c>
      <c r="B4673" s="2" t="s">
        <v>4802</v>
      </c>
      <c r="C4673" s="2" t="s">
        <v>2389</v>
      </c>
      <c r="D4673" s="2" t="s">
        <v>15</v>
      </c>
      <c r="E4673" s="2" t="s">
        <v>16</v>
      </c>
      <c r="F4673" s="2">
        <v>30</v>
      </c>
      <c r="G4673" s="2" t="s">
        <v>10020</v>
      </c>
      <c r="H4673" s="2" t="s">
        <v>5167</v>
      </c>
      <c r="I4673" s="2" t="s">
        <v>32</v>
      </c>
      <c r="J4673" s="3">
        <v>44403</v>
      </c>
      <c r="K4673" s="2">
        <v>66</v>
      </c>
      <c r="L4673" s="2" t="s">
        <v>39</v>
      </c>
    </row>
    <row r="4674" spans="1:12" x14ac:dyDescent="0.3">
      <c r="A4674" s="2">
        <v>4663</v>
      </c>
      <c r="B4674" s="2" t="s">
        <v>10021</v>
      </c>
      <c r="C4674" s="2" t="s">
        <v>2941</v>
      </c>
      <c r="D4674" s="2" t="s">
        <v>51</v>
      </c>
      <c r="E4674" s="2" t="s">
        <v>16</v>
      </c>
      <c r="F4674" s="2">
        <v>90</v>
      </c>
      <c r="G4674" s="2" t="s">
        <v>10022</v>
      </c>
      <c r="H4674" s="2" t="s">
        <v>655</v>
      </c>
      <c r="I4674" s="2" t="s">
        <v>32</v>
      </c>
      <c r="J4674" s="3">
        <v>43878</v>
      </c>
      <c r="K4674" s="2">
        <v>52</v>
      </c>
      <c r="L4674" s="2" t="s">
        <v>45</v>
      </c>
    </row>
    <row r="4675" spans="1:12" x14ac:dyDescent="0.3">
      <c r="A4675" s="2">
        <v>4664</v>
      </c>
      <c r="B4675" s="2" t="s">
        <v>10023</v>
      </c>
      <c r="C4675" s="2" t="s">
        <v>705</v>
      </c>
      <c r="D4675" s="2" t="s">
        <v>15</v>
      </c>
      <c r="E4675" s="2" t="s">
        <v>16</v>
      </c>
      <c r="F4675" s="2">
        <v>90</v>
      </c>
      <c r="G4675" s="2" t="s">
        <v>10024</v>
      </c>
      <c r="H4675" s="2" t="s">
        <v>3996</v>
      </c>
      <c r="I4675" s="2" t="s">
        <v>294</v>
      </c>
      <c r="J4675" s="3">
        <v>44150</v>
      </c>
      <c r="K4675" s="2">
        <v>63</v>
      </c>
      <c r="L4675" s="2" t="s">
        <v>33</v>
      </c>
    </row>
    <row r="4676" spans="1:12" x14ac:dyDescent="0.3">
      <c r="A4676" s="2">
        <v>4665</v>
      </c>
      <c r="B4676" s="2" t="s">
        <v>10025</v>
      </c>
      <c r="C4676" s="2" t="s">
        <v>354</v>
      </c>
      <c r="D4676" s="2" t="s">
        <v>41</v>
      </c>
      <c r="E4676" s="2" t="s">
        <v>16</v>
      </c>
      <c r="F4676" s="2">
        <v>90</v>
      </c>
      <c r="G4676" s="2" t="s">
        <v>10026</v>
      </c>
      <c r="H4676" s="2" t="s">
        <v>3242</v>
      </c>
      <c r="I4676" s="2" t="s">
        <v>32</v>
      </c>
      <c r="J4676" s="3">
        <v>44282</v>
      </c>
      <c r="K4676" s="2">
        <v>90</v>
      </c>
      <c r="L4676" s="2" t="s">
        <v>39</v>
      </c>
    </row>
    <row r="4677" spans="1:12" x14ac:dyDescent="0.3">
      <c r="A4677" s="2">
        <v>4666</v>
      </c>
      <c r="B4677" s="2" t="s">
        <v>2743</v>
      </c>
      <c r="C4677" s="2" t="s">
        <v>5258</v>
      </c>
      <c r="D4677" s="2" t="s">
        <v>28</v>
      </c>
      <c r="E4677" s="2" t="s">
        <v>29</v>
      </c>
      <c r="F4677" s="2">
        <v>90</v>
      </c>
      <c r="G4677" s="2" t="s">
        <v>10027</v>
      </c>
      <c r="H4677" s="2" t="s">
        <v>5316</v>
      </c>
      <c r="I4677" s="2" t="s">
        <v>25</v>
      </c>
      <c r="J4677" s="3">
        <v>44522</v>
      </c>
      <c r="K4677" s="2">
        <v>33</v>
      </c>
      <c r="L4677" s="2" t="s">
        <v>20</v>
      </c>
    </row>
    <row r="4678" spans="1:12" x14ac:dyDescent="0.3">
      <c r="A4678" s="2">
        <v>4667</v>
      </c>
      <c r="B4678" s="2" t="s">
        <v>6316</v>
      </c>
      <c r="C4678" s="2" t="s">
        <v>5674</v>
      </c>
      <c r="D4678" s="2" t="s">
        <v>51</v>
      </c>
      <c r="E4678" s="2" t="s">
        <v>16</v>
      </c>
      <c r="F4678" s="2">
        <v>60</v>
      </c>
      <c r="G4678" s="2" t="s">
        <v>10028</v>
      </c>
      <c r="H4678" s="2" t="s">
        <v>1905</v>
      </c>
      <c r="I4678" s="2" t="s">
        <v>187</v>
      </c>
      <c r="J4678" s="3">
        <v>44115</v>
      </c>
      <c r="K4678" s="2">
        <v>23</v>
      </c>
      <c r="L4678" s="2" t="s">
        <v>159</v>
      </c>
    </row>
    <row r="4679" spans="1:12" x14ac:dyDescent="0.3">
      <c r="A4679" s="2">
        <v>4668</v>
      </c>
      <c r="B4679" s="2" t="s">
        <v>8548</v>
      </c>
      <c r="C4679" s="2" t="s">
        <v>2014</v>
      </c>
      <c r="D4679" s="2" t="s">
        <v>28</v>
      </c>
      <c r="E4679" s="2" t="s">
        <v>29</v>
      </c>
      <c r="F4679" s="2">
        <v>60</v>
      </c>
      <c r="G4679" s="2" t="s">
        <v>10029</v>
      </c>
      <c r="H4679" s="2" t="s">
        <v>9389</v>
      </c>
      <c r="I4679" s="2" t="s">
        <v>32</v>
      </c>
      <c r="J4679" s="3">
        <v>44337</v>
      </c>
      <c r="K4679" s="2">
        <v>88</v>
      </c>
      <c r="L4679" s="2" t="s">
        <v>64</v>
      </c>
    </row>
    <row r="4680" spans="1:12" x14ac:dyDescent="0.3">
      <c r="A4680" s="2">
        <v>4669</v>
      </c>
      <c r="B4680" s="2" t="s">
        <v>10030</v>
      </c>
      <c r="C4680" s="2" t="s">
        <v>5225</v>
      </c>
      <c r="D4680" s="2" t="s">
        <v>15</v>
      </c>
      <c r="E4680" s="2" t="s">
        <v>16</v>
      </c>
      <c r="F4680" s="2">
        <v>90</v>
      </c>
      <c r="G4680" s="2" t="s">
        <v>10031</v>
      </c>
      <c r="H4680" s="2" t="s">
        <v>4432</v>
      </c>
      <c r="I4680" s="2" t="s">
        <v>32</v>
      </c>
      <c r="J4680" s="3">
        <v>44021</v>
      </c>
      <c r="K4680" s="2">
        <v>4</v>
      </c>
      <c r="L4680" s="2" t="s">
        <v>54</v>
      </c>
    </row>
    <row r="4681" spans="1:12" x14ac:dyDescent="0.3">
      <c r="A4681" s="2">
        <v>4670</v>
      </c>
      <c r="B4681" s="2" t="s">
        <v>869</v>
      </c>
      <c r="C4681" s="2" t="s">
        <v>696</v>
      </c>
      <c r="D4681" s="2" t="s">
        <v>28</v>
      </c>
      <c r="E4681" s="2" t="s">
        <v>29</v>
      </c>
      <c r="F4681" s="2">
        <v>90</v>
      </c>
      <c r="G4681" s="2" t="s">
        <v>10032</v>
      </c>
      <c r="H4681" s="2" t="s">
        <v>1523</v>
      </c>
      <c r="I4681" s="2" t="s">
        <v>32</v>
      </c>
      <c r="J4681" s="3">
        <v>44254</v>
      </c>
      <c r="K4681" s="2">
        <v>21</v>
      </c>
      <c r="L4681" s="2" t="s">
        <v>45</v>
      </c>
    </row>
    <row r="4682" spans="1:12" x14ac:dyDescent="0.3">
      <c r="A4682" s="2">
        <v>4671</v>
      </c>
      <c r="B4682" s="2" t="s">
        <v>9085</v>
      </c>
      <c r="C4682" s="2" t="s">
        <v>4018</v>
      </c>
      <c r="D4682" s="2" t="s">
        <v>51</v>
      </c>
      <c r="E4682" s="2" t="s">
        <v>16</v>
      </c>
      <c r="F4682" s="2">
        <v>60</v>
      </c>
      <c r="G4682" s="2" t="s">
        <v>10033</v>
      </c>
      <c r="H4682" s="2" t="s">
        <v>5301</v>
      </c>
      <c r="I4682" s="2" t="s">
        <v>173</v>
      </c>
      <c r="J4682" s="3">
        <v>43852</v>
      </c>
      <c r="K4682" s="2">
        <v>42</v>
      </c>
      <c r="L4682" s="2" t="s">
        <v>33</v>
      </c>
    </row>
    <row r="4683" spans="1:12" x14ac:dyDescent="0.3">
      <c r="A4683" s="2">
        <v>4672</v>
      </c>
      <c r="B4683" s="2" t="s">
        <v>1788</v>
      </c>
      <c r="C4683" s="2" t="s">
        <v>9225</v>
      </c>
      <c r="D4683" s="2" t="s">
        <v>28</v>
      </c>
      <c r="E4683" s="2" t="s">
        <v>29</v>
      </c>
      <c r="F4683" s="2">
        <v>90</v>
      </c>
      <c r="G4683" s="2" t="s">
        <v>10034</v>
      </c>
      <c r="H4683" s="2" t="s">
        <v>2354</v>
      </c>
      <c r="I4683" s="2" t="s">
        <v>178</v>
      </c>
      <c r="J4683" s="3">
        <v>44203</v>
      </c>
      <c r="K4683" s="2">
        <v>12</v>
      </c>
      <c r="L4683" s="2" t="s">
        <v>39</v>
      </c>
    </row>
    <row r="4684" spans="1:12" x14ac:dyDescent="0.3">
      <c r="A4684" s="2">
        <v>4673</v>
      </c>
      <c r="B4684" s="2" t="s">
        <v>765</v>
      </c>
      <c r="C4684" s="2" t="s">
        <v>2434</v>
      </c>
      <c r="D4684" s="2" t="s">
        <v>28</v>
      </c>
      <c r="E4684" s="2" t="s">
        <v>29</v>
      </c>
      <c r="F4684" s="2">
        <v>60</v>
      </c>
      <c r="G4684" s="2" t="s">
        <v>10035</v>
      </c>
      <c r="H4684" s="2" t="s">
        <v>315</v>
      </c>
      <c r="I4684" s="2" t="s">
        <v>32</v>
      </c>
      <c r="J4684" s="3">
        <v>44667</v>
      </c>
      <c r="K4684" s="2">
        <v>88</v>
      </c>
      <c r="L4684" s="2" t="s">
        <v>54</v>
      </c>
    </row>
    <row r="4685" spans="1:12" x14ac:dyDescent="0.3">
      <c r="A4685" s="2">
        <v>4674</v>
      </c>
      <c r="B4685" s="2" t="s">
        <v>10036</v>
      </c>
      <c r="C4685" s="2" t="s">
        <v>774</v>
      </c>
      <c r="D4685" s="2" t="s">
        <v>28</v>
      </c>
      <c r="E4685" s="2" t="s">
        <v>29</v>
      </c>
      <c r="F4685" s="2">
        <v>60</v>
      </c>
      <c r="G4685" s="2" t="s">
        <v>10037</v>
      </c>
      <c r="H4685" s="2" t="s">
        <v>1712</v>
      </c>
      <c r="I4685" s="2" t="s">
        <v>187</v>
      </c>
      <c r="J4685" s="3">
        <v>44486</v>
      </c>
      <c r="K4685" s="2">
        <v>50</v>
      </c>
      <c r="L4685" s="2" t="s">
        <v>80</v>
      </c>
    </row>
    <row r="4686" spans="1:12" x14ac:dyDescent="0.3">
      <c r="A4686" s="2">
        <v>4675</v>
      </c>
      <c r="B4686" s="2" t="s">
        <v>10038</v>
      </c>
      <c r="C4686" s="2" t="s">
        <v>10039</v>
      </c>
      <c r="D4686" s="2" t="s">
        <v>15</v>
      </c>
      <c r="E4686" s="2" t="s">
        <v>16</v>
      </c>
      <c r="F4686" s="2">
        <v>60</v>
      </c>
      <c r="G4686" s="2" t="s">
        <v>10040</v>
      </c>
      <c r="H4686" s="2" t="s">
        <v>139</v>
      </c>
      <c r="I4686" s="2" t="s">
        <v>2593</v>
      </c>
      <c r="J4686" s="3">
        <v>44905</v>
      </c>
      <c r="K4686" s="2">
        <v>45</v>
      </c>
      <c r="L4686" s="2" t="s">
        <v>39</v>
      </c>
    </row>
    <row r="4687" spans="1:12" x14ac:dyDescent="0.3">
      <c r="A4687" s="2">
        <v>4676</v>
      </c>
      <c r="B4687" s="2" t="s">
        <v>5644</v>
      </c>
      <c r="C4687" s="2" t="s">
        <v>5807</v>
      </c>
      <c r="D4687" s="2" t="s">
        <v>28</v>
      </c>
      <c r="E4687" s="2" t="s">
        <v>29</v>
      </c>
      <c r="F4687" s="2">
        <v>60</v>
      </c>
      <c r="G4687" s="2" t="s">
        <v>10041</v>
      </c>
      <c r="H4687" s="2" t="s">
        <v>3702</v>
      </c>
      <c r="I4687" s="2" t="s">
        <v>25</v>
      </c>
      <c r="J4687" s="3">
        <v>44857</v>
      </c>
      <c r="K4687" s="2">
        <v>14</v>
      </c>
      <c r="L4687" s="2" t="s">
        <v>159</v>
      </c>
    </row>
    <row r="4688" spans="1:12" x14ac:dyDescent="0.3">
      <c r="A4688" s="2">
        <v>4677</v>
      </c>
      <c r="B4688" s="2" t="s">
        <v>4130</v>
      </c>
      <c r="C4688" s="2" t="s">
        <v>9134</v>
      </c>
      <c r="D4688" s="2" t="s">
        <v>15</v>
      </c>
      <c r="E4688" s="2" t="s">
        <v>16</v>
      </c>
      <c r="F4688" s="2">
        <v>60</v>
      </c>
      <c r="G4688" s="2" t="s">
        <v>10042</v>
      </c>
      <c r="H4688" s="2" t="s">
        <v>1834</v>
      </c>
      <c r="I4688" s="2" t="s">
        <v>32</v>
      </c>
      <c r="J4688" s="3">
        <v>44300</v>
      </c>
      <c r="K4688" s="2">
        <v>16</v>
      </c>
      <c r="L4688" s="2" t="s">
        <v>80</v>
      </c>
    </row>
    <row r="4689" spans="1:12" x14ac:dyDescent="0.3">
      <c r="A4689" s="2">
        <v>4678</v>
      </c>
      <c r="B4689" s="2" t="s">
        <v>3425</v>
      </c>
      <c r="C4689" s="2" t="s">
        <v>1645</v>
      </c>
      <c r="D4689" s="2" t="s">
        <v>15</v>
      </c>
      <c r="E4689" s="2" t="s">
        <v>16</v>
      </c>
      <c r="F4689" s="2">
        <v>30</v>
      </c>
      <c r="G4689" s="2" t="s">
        <v>10043</v>
      </c>
      <c r="H4689" s="2" t="s">
        <v>5758</v>
      </c>
      <c r="I4689" s="2" t="s">
        <v>32</v>
      </c>
      <c r="J4689" s="3">
        <v>44353</v>
      </c>
      <c r="K4689" s="2">
        <v>20</v>
      </c>
      <c r="L4689" s="2" t="s">
        <v>20</v>
      </c>
    </row>
    <row r="4690" spans="1:12" x14ac:dyDescent="0.3">
      <c r="A4690" s="2">
        <v>4679</v>
      </c>
      <c r="B4690" s="2" t="s">
        <v>6699</v>
      </c>
      <c r="C4690" s="2" t="s">
        <v>5645</v>
      </c>
      <c r="D4690" s="2" t="s">
        <v>28</v>
      </c>
      <c r="E4690" s="2" t="s">
        <v>29</v>
      </c>
      <c r="F4690" s="2">
        <v>90</v>
      </c>
      <c r="G4690" s="2" t="s">
        <v>10044</v>
      </c>
      <c r="H4690" s="2" t="s">
        <v>4409</v>
      </c>
      <c r="I4690" s="2" t="s">
        <v>294</v>
      </c>
      <c r="J4690" s="3">
        <v>44829</v>
      </c>
      <c r="K4690" s="2">
        <v>60</v>
      </c>
      <c r="L4690" s="2" t="s">
        <v>159</v>
      </c>
    </row>
    <row r="4691" spans="1:12" x14ac:dyDescent="0.3">
      <c r="A4691" s="2">
        <v>4680</v>
      </c>
      <c r="B4691" s="2" t="s">
        <v>390</v>
      </c>
      <c r="C4691" s="2" t="s">
        <v>3019</v>
      </c>
      <c r="D4691" s="2" t="s">
        <v>28</v>
      </c>
      <c r="E4691" s="2" t="s">
        <v>29</v>
      </c>
      <c r="F4691" s="2">
        <v>30</v>
      </c>
      <c r="G4691" s="2" t="s">
        <v>10045</v>
      </c>
      <c r="H4691" s="2" t="s">
        <v>1099</v>
      </c>
      <c r="I4691" s="2" t="s">
        <v>25</v>
      </c>
      <c r="J4691" s="3">
        <v>44887</v>
      </c>
      <c r="K4691" s="2">
        <v>2</v>
      </c>
      <c r="L4691" s="2" t="s">
        <v>70</v>
      </c>
    </row>
    <row r="4692" spans="1:12" x14ac:dyDescent="0.3">
      <c r="A4692" s="2">
        <v>4681</v>
      </c>
      <c r="B4692" s="2" t="s">
        <v>5772</v>
      </c>
      <c r="C4692" s="2" t="s">
        <v>4994</v>
      </c>
      <c r="D4692" s="2" t="s">
        <v>28</v>
      </c>
      <c r="E4692" s="2" t="s">
        <v>29</v>
      </c>
      <c r="F4692" s="2">
        <v>60</v>
      </c>
      <c r="G4692" s="2" t="s">
        <v>10046</v>
      </c>
      <c r="H4692" s="2" t="s">
        <v>3793</v>
      </c>
      <c r="I4692" s="2" t="s">
        <v>173</v>
      </c>
      <c r="J4692" s="3">
        <v>44596</v>
      </c>
      <c r="K4692" s="2">
        <v>23</v>
      </c>
      <c r="L4692" s="2" t="s">
        <v>33</v>
      </c>
    </row>
    <row r="4693" spans="1:12" x14ac:dyDescent="0.3">
      <c r="A4693" s="2">
        <v>4682</v>
      </c>
      <c r="B4693" s="2" t="s">
        <v>196</v>
      </c>
      <c r="C4693" s="2" t="s">
        <v>7073</v>
      </c>
      <c r="D4693" s="2" t="s">
        <v>28</v>
      </c>
      <c r="E4693" s="2" t="s">
        <v>29</v>
      </c>
      <c r="F4693" s="2">
        <v>90</v>
      </c>
      <c r="G4693" s="2" t="s">
        <v>10046</v>
      </c>
      <c r="H4693" s="2" t="s">
        <v>4479</v>
      </c>
      <c r="I4693" s="2" t="s">
        <v>32</v>
      </c>
      <c r="J4693" s="3">
        <v>44793</v>
      </c>
      <c r="K4693" s="2">
        <v>4</v>
      </c>
      <c r="L4693" s="2" t="s">
        <v>80</v>
      </c>
    </row>
    <row r="4694" spans="1:12" x14ac:dyDescent="0.3">
      <c r="A4694" s="2">
        <v>4683</v>
      </c>
      <c r="B4694" s="2" t="s">
        <v>10047</v>
      </c>
      <c r="C4694" s="2" t="s">
        <v>4439</v>
      </c>
      <c r="D4694" s="2" t="s">
        <v>51</v>
      </c>
      <c r="E4694" s="2" t="s">
        <v>16</v>
      </c>
      <c r="F4694" s="2">
        <v>90</v>
      </c>
      <c r="G4694" s="2" t="s">
        <v>10048</v>
      </c>
      <c r="H4694" s="2" t="s">
        <v>1660</v>
      </c>
      <c r="I4694" s="2" t="s">
        <v>32</v>
      </c>
      <c r="J4694" s="3">
        <v>44612</v>
      </c>
      <c r="K4694" s="2">
        <v>5</v>
      </c>
      <c r="L4694" s="2" t="s">
        <v>39</v>
      </c>
    </row>
    <row r="4695" spans="1:12" x14ac:dyDescent="0.3">
      <c r="A4695" s="2">
        <v>4684</v>
      </c>
      <c r="B4695" s="2" t="s">
        <v>6378</v>
      </c>
      <c r="C4695" s="2" t="s">
        <v>3564</v>
      </c>
      <c r="D4695" s="2" t="s">
        <v>28</v>
      </c>
      <c r="E4695" s="2" t="s">
        <v>29</v>
      </c>
      <c r="F4695" s="2">
        <v>60</v>
      </c>
      <c r="G4695" s="2" t="s">
        <v>10049</v>
      </c>
      <c r="H4695" s="2" t="s">
        <v>1064</v>
      </c>
      <c r="I4695" s="2" t="s">
        <v>886</v>
      </c>
      <c r="J4695" s="3">
        <v>44335</v>
      </c>
      <c r="K4695" s="2">
        <v>29</v>
      </c>
      <c r="L4695" s="2" t="s">
        <v>45</v>
      </c>
    </row>
    <row r="4696" spans="1:12" x14ac:dyDescent="0.3">
      <c r="A4696" s="2">
        <v>4685</v>
      </c>
      <c r="B4696" s="2" t="s">
        <v>7960</v>
      </c>
      <c r="C4696" s="2" t="s">
        <v>1923</v>
      </c>
      <c r="D4696" s="2" t="s">
        <v>51</v>
      </c>
      <c r="E4696" s="2" t="s">
        <v>16</v>
      </c>
      <c r="F4696" s="2">
        <v>30</v>
      </c>
      <c r="G4696" s="2" t="s">
        <v>10050</v>
      </c>
      <c r="H4696" s="2" t="s">
        <v>7008</v>
      </c>
      <c r="I4696" s="2" t="s">
        <v>25</v>
      </c>
      <c r="J4696" s="3">
        <v>44694</v>
      </c>
      <c r="K4696" s="2">
        <v>61</v>
      </c>
      <c r="L4696" s="2" t="s">
        <v>64</v>
      </c>
    </row>
    <row r="4697" spans="1:12" x14ac:dyDescent="0.3">
      <c r="A4697" s="2">
        <v>4686</v>
      </c>
      <c r="B4697" s="2" t="s">
        <v>4897</v>
      </c>
      <c r="C4697" s="2" t="s">
        <v>10051</v>
      </c>
      <c r="D4697" s="2" t="s">
        <v>28</v>
      </c>
      <c r="E4697" s="2" t="s">
        <v>29</v>
      </c>
      <c r="F4697" s="2">
        <v>90</v>
      </c>
      <c r="G4697" s="2" t="s">
        <v>10052</v>
      </c>
      <c r="H4697" s="2" t="s">
        <v>487</v>
      </c>
      <c r="I4697" s="2" t="s">
        <v>32</v>
      </c>
      <c r="J4697" s="3">
        <v>44174</v>
      </c>
      <c r="K4697" s="2">
        <v>4</v>
      </c>
      <c r="L4697" s="2" t="s">
        <v>64</v>
      </c>
    </row>
    <row r="4698" spans="1:12" x14ac:dyDescent="0.3">
      <c r="A4698" s="2">
        <v>4687</v>
      </c>
      <c r="B4698" s="2" t="s">
        <v>10053</v>
      </c>
      <c r="C4698" s="2" t="s">
        <v>410</v>
      </c>
      <c r="D4698" s="2" t="s">
        <v>15</v>
      </c>
      <c r="E4698" s="2" t="s">
        <v>16</v>
      </c>
      <c r="F4698" s="2">
        <v>60</v>
      </c>
      <c r="G4698" s="2" t="s">
        <v>10054</v>
      </c>
      <c r="H4698" s="2" t="s">
        <v>1011</v>
      </c>
      <c r="I4698" s="2" t="s">
        <v>32</v>
      </c>
      <c r="J4698" s="3">
        <v>44182</v>
      </c>
      <c r="K4698" s="2">
        <v>69</v>
      </c>
      <c r="L4698" s="2" t="s">
        <v>20</v>
      </c>
    </row>
    <row r="4699" spans="1:12" x14ac:dyDescent="0.3">
      <c r="A4699" s="2">
        <v>4688</v>
      </c>
      <c r="B4699" s="2" t="s">
        <v>3310</v>
      </c>
      <c r="C4699" s="2" t="s">
        <v>1380</v>
      </c>
      <c r="D4699" s="2" t="s">
        <v>28</v>
      </c>
      <c r="E4699" s="2" t="s">
        <v>29</v>
      </c>
      <c r="F4699" s="2">
        <v>60</v>
      </c>
      <c r="G4699" s="2" t="s">
        <v>10055</v>
      </c>
      <c r="H4699" s="2" t="s">
        <v>738</v>
      </c>
      <c r="I4699" s="2" t="s">
        <v>38</v>
      </c>
      <c r="J4699" s="3">
        <v>44755</v>
      </c>
      <c r="K4699" s="2">
        <v>88</v>
      </c>
      <c r="L4699" s="2" t="s">
        <v>64</v>
      </c>
    </row>
    <row r="4700" spans="1:12" x14ac:dyDescent="0.3">
      <c r="A4700" s="2">
        <v>4689</v>
      </c>
      <c r="B4700" s="2" t="s">
        <v>10056</v>
      </c>
      <c r="C4700" s="2" t="s">
        <v>126</v>
      </c>
      <c r="D4700" s="2" t="s">
        <v>28</v>
      </c>
      <c r="E4700" s="2" t="s">
        <v>29</v>
      </c>
      <c r="F4700" s="2">
        <v>60</v>
      </c>
      <c r="G4700" s="2" t="s">
        <v>10585</v>
      </c>
      <c r="H4700" s="2" t="s">
        <v>408</v>
      </c>
      <c r="I4700" s="2" t="s">
        <v>25</v>
      </c>
      <c r="J4700" s="3">
        <v>43856</v>
      </c>
      <c r="K4700" s="2">
        <v>35</v>
      </c>
      <c r="L4700" s="2" t="s">
        <v>101</v>
      </c>
    </row>
    <row r="4701" spans="1:12" x14ac:dyDescent="0.3">
      <c r="A4701" s="2">
        <v>4690</v>
      </c>
      <c r="B4701" s="2" t="s">
        <v>2358</v>
      </c>
      <c r="C4701" s="2" t="s">
        <v>972</v>
      </c>
      <c r="D4701" s="2" t="s">
        <v>51</v>
      </c>
      <c r="E4701" s="2" t="s">
        <v>16</v>
      </c>
      <c r="F4701" s="2">
        <v>30</v>
      </c>
      <c r="G4701" s="2" t="s">
        <v>10059</v>
      </c>
      <c r="H4701" s="2" t="s">
        <v>2509</v>
      </c>
      <c r="I4701" s="2" t="s">
        <v>32</v>
      </c>
      <c r="J4701" s="3">
        <v>44052</v>
      </c>
      <c r="K4701" s="2">
        <v>15</v>
      </c>
      <c r="L4701" s="2" t="s">
        <v>159</v>
      </c>
    </row>
    <row r="4702" spans="1:12" x14ac:dyDescent="0.3">
      <c r="A4702" s="2">
        <v>4691</v>
      </c>
      <c r="B4702" s="2" t="s">
        <v>4953</v>
      </c>
      <c r="C4702" s="2" t="s">
        <v>7489</v>
      </c>
      <c r="D4702" s="2" t="s">
        <v>51</v>
      </c>
      <c r="E4702" s="2" t="s">
        <v>16</v>
      </c>
      <c r="F4702" s="2">
        <v>90</v>
      </c>
      <c r="G4702" s="2" t="s">
        <v>10060</v>
      </c>
      <c r="H4702" s="2" t="s">
        <v>4739</v>
      </c>
      <c r="I4702" s="2" t="s">
        <v>59</v>
      </c>
      <c r="J4702" s="3">
        <v>44487</v>
      </c>
      <c r="K4702" s="2">
        <v>49</v>
      </c>
      <c r="L4702" s="2" t="s">
        <v>64</v>
      </c>
    </row>
    <row r="4703" spans="1:12" x14ac:dyDescent="0.3">
      <c r="A4703" s="2">
        <v>4692</v>
      </c>
      <c r="B4703" s="2" t="s">
        <v>6176</v>
      </c>
      <c r="C4703" s="2" t="s">
        <v>3447</v>
      </c>
      <c r="D4703" s="2" t="s">
        <v>28</v>
      </c>
      <c r="E4703" s="2" t="s">
        <v>29</v>
      </c>
      <c r="F4703" s="2">
        <v>60</v>
      </c>
      <c r="G4703" s="2" t="s">
        <v>10061</v>
      </c>
      <c r="H4703" s="2" t="s">
        <v>1482</v>
      </c>
      <c r="I4703" s="2" t="s">
        <v>1483</v>
      </c>
      <c r="J4703" s="3">
        <v>44352</v>
      </c>
      <c r="K4703" s="2">
        <v>37</v>
      </c>
      <c r="L4703" s="2" t="s">
        <v>54</v>
      </c>
    </row>
    <row r="4704" spans="1:12" x14ac:dyDescent="0.3">
      <c r="A4704" s="2">
        <v>4693</v>
      </c>
      <c r="B4704" s="2" t="s">
        <v>10062</v>
      </c>
      <c r="C4704" s="2" t="s">
        <v>639</v>
      </c>
      <c r="D4704" s="2" t="s">
        <v>15</v>
      </c>
      <c r="E4704" s="2" t="s">
        <v>16</v>
      </c>
      <c r="F4704" s="2">
        <v>30</v>
      </c>
      <c r="G4704" s="2" t="s">
        <v>10063</v>
      </c>
      <c r="H4704" s="2" t="s">
        <v>3303</v>
      </c>
      <c r="I4704" s="2" t="s">
        <v>294</v>
      </c>
      <c r="J4704" s="3">
        <v>44714</v>
      </c>
      <c r="K4704" s="2">
        <v>36</v>
      </c>
      <c r="L4704" s="2" t="s">
        <v>39</v>
      </c>
    </row>
    <row r="4705" spans="1:12" x14ac:dyDescent="0.3">
      <c r="A4705" s="2">
        <v>4694</v>
      </c>
      <c r="B4705" s="2" t="s">
        <v>2073</v>
      </c>
      <c r="C4705" s="2" t="s">
        <v>3927</v>
      </c>
      <c r="D4705" s="2" t="s">
        <v>28</v>
      </c>
      <c r="E4705" s="2" t="s">
        <v>29</v>
      </c>
      <c r="F4705" s="2">
        <v>30</v>
      </c>
      <c r="G4705" s="2" t="s">
        <v>10064</v>
      </c>
      <c r="H4705" s="2" t="s">
        <v>2441</v>
      </c>
      <c r="I4705" s="2" t="s">
        <v>1199</v>
      </c>
      <c r="J4705" s="3">
        <v>44231</v>
      </c>
      <c r="K4705" s="2">
        <v>55</v>
      </c>
      <c r="L4705" s="2" t="s">
        <v>39</v>
      </c>
    </row>
    <row r="4706" spans="1:12" x14ac:dyDescent="0.3">
      <c r="A4706" s="2">
        <v>4695</v>
      </c>
      <c r="B4706" s="2" t="s">
        <v>10065</v>
      </c>
      <c r="C4706" s="2" t="s">
        <v>4422</v>
      </c>
      <c r="D4706" s="2" t="s">
        <v>28</v>
      </c>
      <c r="E4706" s="2" t="s">
        <v>29</v>
      </c>
      <c r="F4706" s="2">
        <v>90</v>
      </c>
      <c r="G4706" s="2" t="s">
        <v>10066</v>
      </c>
      <c r="H4706" s="2" t="s">
        <v>3351</v>
      </c>
      <c r="I4706" s="2" t="s">
        <v>32</v>
      </c>
      <c r="J4706" s="3">
        <v>44783</v>
      </c>
      <c r="K4706" s="2">
        <v>46</v>
      </c>
      <c r="L4706" s="2" t="s">
        <v>80</v>
      </c>
    </row>
    <row r="4707" spans="1:12" x14ac:dyDescent="0.3">
      <c r="A4707" s="2">
        <v>4696</v>
      </c>
      <c r="B4707" s="2" t="s">
        <v>2625</v>
      </c>
      <c r="C4707" s="2" t="s">
        <v>7825</v>
      </c>
      <c r="D4707" s="2" t="s">
        <v>28</v>
      </c>
      <c r="E4707" s="2" t="s">
        <v>29</v>
      </c>
      <c r="F4707" s="2">
        <v>90</v>
      </c>
      <c r="G4707" s="2" t="s">
        <v>10067</v>
      </c>
      <c r="H4707" s="2" t="s">
        <v>4541</v>
      </c>
      <c r="I4707" s="2" t="s">
        <v>89</v>
      </c>
      <c r="J4707" s="3">
        <v>44882</v>
      </c>
      <c r="K4707" s="2">
        <v>11</v>
      </c>
      <c r="L4707" s="2" t="s">
        <v>159</v>
      </c>
    </row>
    <row r="4708" spans="1:12" x14ac:dyDescent="0.3">
      <c r="A4708" s="2">
        <v>4697</v>
      </c>
      <c r="B4708" s="2" t="s">
        <v>3910</v>
      </c>
      <c r="C4708" s="2" t="s">
        <v>2365</v>
      </c>
      <c r="D4708" s="2" t="s">
        <v>28</v>
      </c>
      <c r="E4708" s="2" t="s">
        <v>29</v>
      </c>
      <c r="F4708" s="2">
        <v>90</v>
      </c>
      <c r="G4708" s="2" t="s">
        <v>10068</v>
      </c>
      <c r="H4708" s="2" t="s">
        <v>10069</v>
      </c>
      <c r="I4708" s="2" t="s">
        <v>32</v>
      </c>
      <c r="J4708" s="3">
        <v>44752</v>
      </c>
      <c r="K4708" s="2">
        <v>79</v>
      </c>
      <c r="L4708" s="2" t="s">
        <v>80</v>
      </c>
    </row>
    <row r="4709" spans="1:12" x14ac:dyDescent="0.3">
      <c r="A4709" s="2">
        <v>4698</v>
      </c>
      <c r="B4709" s="2" t="s">
        <v>7838</v>
      </c>
      <c r="C4709" s="2" t="s">
        <v>2095</v>
      </c>
      <c r="D4709" s="2" t="s">
        <v>28</v>
      </c>
      <c r="E4709" s="2" t="s">
        <v>29</v>
      </c>
      <c r="F4709" s="2">
        <v>90</v>
      </c>
      <c r="G4709" s="2" t="s">
        <v>10070</v>
      </c>
      <c r="H4709" s="2" t="s">
        <v>9561</v>
      </c>
      <c r="I4709" s="2" t="s">
        <v>913</v>
      </c>
      <c r="J4709" s="3">
        <v>44543</v>
      </c>
      <c r="K4709" s="2">
        <v>77</v>
      </c>
      <c r="L4709" s="2" t="s">
        <v>80</v>
      </c>
    </row>
    <row r="4710" spans="1:12" x14ac:dyDescent="0.3">
      <c r="A4710" s="2">
        <v>4699</v>
      </c>
      <c r="B4710" s="2" t="s">
        <v>10071</v>
      </c>
      <c r="C4710" s="2" t="s">
        <v>6447</v>
      </c>
      <c r="D4710" s="2" t="s">
        <v>51</v>
      </c>
      <c r="E4710" s="2" t="s">
        <v>16</v>
      </c>
      <c r="F4710" s="2">
        <v>90</v>
      </c>
      <c r="G4710" s="2" t="s">
        <v>10072</v>
      </c>
      <c r="H4710" s="2" t="s">
        <v>510</v>
      </c>
      <c r="I4710" s="2" t="s">
        <v>32</v>
      </c>
      <c r="J4710" s="3">
        <v>44808</v>
      </c>
      <c r="K4710" s="2">
        <v>24</v>
      </c>
      <c r="L4710" s="2" t="s">
        <v>45</v>
      </c>
    </row>
    <row r="4711" spans="1:12" x14ac:dyDescent="0.3">
      <c r="A4711" s="2">
        <v>4700</v>
      </c>
      <c r="B4711" s="2" t="s">
        <v>6975</v>
      </c>
      <c r="C4711" s="2" t="s">
        <v>210</v>
      </c>
      <c r="D4711" s="2" t="s">
        <v>15</v>
      </c>
      <c r="E4711" s="2" t="s">
        <v>16</v>
      </c>
      <c r="F4711" s="2">
        <v>90</v>
      </c>
      <c r="G4711" s="2" t="s">
        <v>10073</v>
      </c>
      <c r="H4711" s="2" t="s">
        <v>1258</v>
      </c>
      <c r="I4711" s="2" t="s">
        <v>32</v>
      </c>
      <c r="J4711" s="3">
        <v>44832</v>
      </c>
      <c r="K4711" s="2">
        <v>33</v>
      </c>
      <c r="L4711" s="2" t="s">
        <v>64</v>
      </c>
    </row>
    <row r="4712" spans="1:12" x14ac:dyDescent="0.3">
      <c r="A4712" s="2">
        <v>4701</v>
      </c>
      <c r="B4712" s="2" t="s">
        <v>1363</v>
      </c>
      <c r="C4712" s="2" t="s">
        <v>3439</v>
      </c>
      <c r="D4712" s="2" t="s">
        <v>621</v>
      </c>
      <c r="E4712" s="2" t="s">
        <v>29</v>
      </c>
      <c r="F4712" s="2">
        <v>90</v>
      </c>
      <c r="G4712" s="2" t="s">
        <v>10074</v>
      </c>
      <c r="H4712" s="2" t="s">
        <v>708</v>
      </c>
      <c r="I4712" s="2" t="s">
        <v>294</v>
      </c>
      <c r="J4712" s="3">
        <v>44056</v>
      </c>
      <c r="K4712" s="2">
        <v>59</v>
      </c>
      <c r="L4712" s="2" t="s">
        <v>39</v>
      </c>
    </row>
    <row r="4713" spans="1:12" x14ac:dyDescent="0.3">
      <c r="A4713" s="2">
        <v>4702</v>
      </c>
      <c r="B4713" s="2" t="s">
        <v>10075</v>
      </c>
      <c r="C4713" s="2" t="s">
        <v>2438</v>
      </c>
      <c r="D4713" s="2" t="s">
        <v>41</v>
      </c>
      <c r="E4713" s="2" t="s">
        <v>16</v>
      </c>
      <c r="F4713" s="2">
        <v>30</v>
      </c>
      <c r="G4713" s="2" t="s">
        <v>10076</v>
      </c>
      <c r="H4713" s="2" t="s">
        <v>641</v>
      </c>
      <c r="I4713" s="2" t="s">
        <v>294</v>
      </c>
      <c r="J4713" s="3">
        <v>44574</v>
      </c>
      <c r="K4713" s="2">
        <v>7</v>
      </c>
      <c r="L4713" s="2" t="s">
        <v>54</v>
      </c>
    </row>
    <row r="4714" spans="1:12" x14ac:dyDescent="0.3">
      <c r="A4714" s="2">
        <v>4703</v>
      </c>
      <c r="B4714" s="2" t="s">
        <v>10077</v>
      </c>
      <c r="C4714" s="2" t="s">
        <v>1072</v>
      </c>
      <c r="D4714" s="2" t="s">
        <v>51</v>
      </c>
      <c r="E4714" s="2" t="s">
        <v>16</v>
      </c>
      <c r="F4714" s="2">
        <v>60</v>
      </c>
      <c r="G4714" s="2" t="s">
        <v>10078</v>
      </c>
      <c r="H4714" s="2" t="s">
        <v>5399</v>
      </c>
      <c r="I4714" s="2" t="s">
        <v>32</v>
      </c>
      <c r="J4714" s="3">
        <v>44291</v>
      </c>
      <c r="K4714" s="2">
        <v>75</v>
      </c>
      <c r="L4714" s="2" t="s">
        <v>45</v>
      </c>
    </row>
    <row r="4715" spans="1:12" x14ac:dyDescent="0.3">
      <c r="A4715" s="2">
        <v>4704</v>
      </c>
      <c r="B4715" s="2" t="s">
        <v>10079</v>
      </c>
      <c r="C4715" s="2" t="s">
        <v>5590</v>
      </c>
      <c r="D4715" s="2" t="s">
        <v>51</v>
      </c>
      <c r="E4715" s="2" t="s">
        <v>16</v>
      </c>
      <c r="F4715" s="2">
        <v>90</v>
      </c>
      <c r="G4715" s="2" t="s">
        <v>10080</v>
      </c>
      <c r="H4715" s="2" t="s">
        <v>2877</v>
      </c>
      <c r="I4715" s="2" t="s">
        <v>2878</v>
      </c>
      <c r="J4715" s="3">
        <v>44622</v>
      </c>
      <c r="K4715" s="2">
        <v>54</v>
      </c>
      <c r="L4715" s="2" t="s">
        <v>159</v>
      </c>
    </row>
    <row r="4716" spans="1:12" x14ac:dyDescent="0.3">
      <c r="A4716" s="2">
        <v>4705</v>
      </c>
      <c r="B4716" s="2" t="s">
        <v>5702</v>
      </c>
      <c r="C4716" s="2" t="s">
        <v>1783</v>
      </c>
      <c r="D4716" s="2" t="s">
        <v>28</v>
      </c>
      <c r="E4716" s="2" t="s">
        <v>29</v>
      </c>
      <c r="F4716" s="2">
        <v>90</v>
      </c>
      <c r="G4716" s="2" t="s">
        <v>10081</v>
      </c>
      <c r="H4716" s="2" t="s">
        <v>710</v>
      </c>
      <c r="I4716" s="2" t="s">
        <v>187</v>
      </c>
      <c r="J4716" s="3">
        <v>44703</v>
      </c>
      <c r="K4716" s="2">
        <v>78</v>
      </c>
      <c r="L4716" s="2" t="s">
        <v>80</v>
      </c>
    </row>
    <row r="4717" spans="1:12" x14ac:dyDescent="0.3">
      <c r="A4717" s="2">
        <v>4706</v>
      </c>
      <c r="B4717" s="2" t="s">
        <v>6598</v>
      </c>
      <c r="C4717" s="2" t="s">
        <v>1835</v>
      </c>
      <c r="D4717" s="2" t="s">
        <v>15</v>
      </c>
      <c r="E4717" s="2" t="s">
        <v>16</v>
      </c>
      <c r="F4717" s="2">
        <v>90</v>
      </c>
      <c r="G4717" s="2" t="s">
        <v>10082</v>
      </c>
      <c r="H4717" s="2" t="s">
        <v>7946</v>
      </c>
      <c r="I4717" s="2" t="s">
        <v>32</v>
      </c>
      <c r="J4717" s="3">
        <v>44581</v>
      </c>
      <c r="K4717" s="2">
        <v>46</v>
      </c>
      <c r="L4717" s="2" t="s">
        <v>101</v>
      </c>
    </row>
    <row r="4718" spans="1:12" x14ac:dyDescent="0.3">
      <c r="A4718" s="2">
        <v>4707</v>
      </c>
      <c r="B4718" s="2" t="s">
        <v>5972</v>
      </c>
      <c r="C4718" s="2" t="s">
        <v>3496</v>
      </c>
      <c r="D4718" s="2" t="s">
        <v>92</v>
      </c>
      <c r="E4718" s="2" t="s">
        <v>29</v>
      </c>
      <c r="F4718" s="2">
        <v>90</v>
      </c>
      <c r="G4718" s="2" t="s">
        <v>10083</v>
      </c>
      <c r="H4718" s="2" t="s">
        <v>3215</v>
      </c>
      <c r="I4718" s="2" t="s">
        <v>32</v>
      </c>
      <c r="J4718" s="3">
        <v>44354</v>
      </c>
      <c r="K4718" s="2">
        <v>6</v>
      </c>
      <c r="L4718" s="2" t="s">
        <v>64</v>
      </c>
    </row>
    <row r="4719" spans="1:12" x14ac:dyDescent="0.3">
      <c r="A4719" s="2">
        <v>4708</v>
      </c>
      <c r="B4719" s="2" t="s">
        <v>3910</v>
      </c>
      <c r="C4719" s="2" t="s">
        <v>840</v>
      </c>
      <c r="D4719" s="2" t="s">
        <v>28</v>
      </c>
      <c r="E4719" s="2" t="s">
        <v>29</v>
      </c>
      <c r="F4719" s="2">
        <v>90</v>
      </c>
      <c r="G4719" s="2" t="s">
        <v>10084</v>
      </c>
      <c r="H4719" s="2" t="s">
        <v>1095</v>
      </c>
      <c r="I4719" s="2" t="s">
        <v>178</v>
      </c>
      <c r="J4719" s="3">
        <v>44384</v>
      </c>
      <c r="K4719" s="2">
        <v>53</v>
      </c>
      <c r="L4719" s="2" t="s">
        <v>33</v>
      </c>
    </row>
    <row r="4720" spans="1:12" x14ac:dyDescent="0.3">
      <c r="A4720" s="2">
        <v>4709</v>
      </c>
      <c r="B4720" s="2" t="s">
        <v>1030</v>
      </c>
      <c r="C4720" s="2" t="s">
        <v>8721</v>
      </c>
      <c r="D4720" s="2" t="s">
        <v>28</v>
      </c>
      <c r="E4720" s="2" t="s">
        <v>29</v>
      </c>
      <c r="F4720" s="2">
        <v>60</v>
      </c>
      <c r="G4720" s="2" t="s">
        <v>10085</v>
      </c>
      <c r="H4720" s="2" t="s">
        <v>9418</v>
      </c>
      <c r="I4720" s="2" t="s">
        <v>1889</v>
      </c>
      <c r="J4720" s="3">
        <v>44830</v>
      </c>
      <c r="K4720" s="2">
        <v>50</v>
      </c>
      <c r="L4720" s="2" t="s">
        <v>80</v>
      </c>
    </row>
    <row r="4721" spans="1:12" x14ac:dyDescent="0.3">
      <c r="A4721" s="2">
        <v>4710</v>
      </c>
      <c r="B4721" s="2" t="s">
        <v>1375</v>
      </c>
      <c r="C4721" s="2" t="s">
        <v>3026</v>
      </c>
      <c r="D4721" s="2" t="s">
        <v>28</v>
      </c>
      <c r="E4721" s="2" t="s">
        <v>29</v>
      </c>
      <c r="F4721" s="2">
        <v>90</v>
      </c>
      <c r="G4721" s="2" t="s">
        <v>10086</v>
      </c>
      <c r="H4721" s="2" t="s">
        <v>1206</v>
      </c>
      <c r="I4721" s="2" t="s">
        <v>294</v>
      </c>
      <c r="J4721" s="3">
        <v>43918</v>
      </c>
      <c r="K4721" s="2">
        <v>19</v>
      </c>
      <c r="L4721" s="2" t="s">
        <v>80</v>
      </c>
    </row>
    <row r="4722" spans="1:12" x14ac:dyDescent="0.3">
      <c r="A4722" s="2">
        <v>4711</v>
      </c>
      <c r="B4722" s="2" t="s">
        <v>5960</v>
      </c>
      <c r="C4722" s="2" t="s">
        <v>560</v>
      </c>
      <c r="D4722" s="2" t="s">
        <v>28</v>
      </c>
      <c r="E4722" s="2" t="s">
        <v>29</v>
      </c>
      <c r="F4722" s="2">
        <v>90</v>
      </c>
      <c r="G4722" s="2" t="s">
        <v>10087</v>
      </c>
      <c r="H4722" s="2" t="s">
        <v>1660</v>
      </c>
      <c r="I4722" s="2" t="s">
        <v>32</v>
      </c>
      <c r="J4722" s="3">
        <v>44123</v>
      </c>
      <c r="K4722" s="2">
        <v>70</v>
      </c>
      <c r="L4722" s="2" t="s">
        <v>39</v>
      </c>
    </row>
    <row r="4723" spans="1:12" x14ac:dyDescent="0.3">
      <c r="A4723" s="2">
        <v>4712</v>
      </c>
      <c r="B4723" s="2" t="s">
        <v>10088</v>
      </c>
      <c r="C4723" s="2" t="s">
        <v>8026</v>
      </c>
      <c r="D4723" s="2" t="s">
        <v>92</v>
      </c>
      <c r="E4723" s="2" t="s">
        <v>16</v>
      </c>
      <c r="F4723" s="2">
        <v>60</v>
      </c>
      <c r="G4723" s="2" t="s">
        <v>10089</v>
      </c>
      <c r="H4723" s="2" t="s">
        <v>5781</v>
      </c>
      <c r="I4723" s="2" t="s">
        <v>32</v>
      </c>
      <c r="J4723" s="3">
        <v>44274</v>
      </c>
      <c r="K4723" s="2">
        <v>2</v>
      </c>
      <c r="L4723" s="2" t="s">
        <v>20</v>
      </c>
    </row>
    <row r="4724" spans="1:12" x14ac:dyDescent="0.3">
      <c r="A4724" s="2">
        <v>4713</v>
      </c>
      <c r="B4724" s="2" t="s">
        <v>10090</v>
      </c>
      <c r="C4724" s="2" t="s">
        <v>10091</v>
      </c>
      <c r="D4724" s="2" t="s">
        <v>15</v>
      </c>
      <c r="E4724" s="2" t="s">
        <v>16</v>
      </c>
      <c r="F4724" s="2">
        <v>90</v>
      </c>
      <c r="G4724" s="2" t="s">
        <v>10092</v>
      </c>
      <c r="H4724" s="2" t="s">
        <v>4441</v>
      </c>
      <c r="I4724" s="2" t="s">
        <v>146</v>
      </c>
      <c r="J4724" s="3">
        <v>44231</v>
      </c>
      <c r="K4724" s="2">
        <v>7</v>
      </c>
      <c r="L4724" s="2" t="s">
        <v>159</v>
      </c>
    </row>
    <row r="4725" spans="1:12" x14ac:dyDescent="0.3">
      <c r="A4725" s="2">
        <v>4714</v>
      </c>
      <c r="B4725" s="2" t="s">
        <v>6858</v>
      </c>
      <c r="C4725" s="2" t="s">
        <v>2033</v>
      </c>
      <c r="D4725" s="2" t="s">
        <v>28</v>
      </c>
      <c r="E4725" s="2" t="s">
        <v>29</v>
      </c>
      <c r="F4725" s="2">
        <v>90</v>
      </c>
      <c r="G4725" s="2" t="s">
        <v>10093</v>
      </c>
      <c r="H4725" s="2" t="s">
        <v>2436</v>
      </c>
      <c r="I4725" s="2" t="s">
        <v>294</v>
      </c>
      <c r="J4725" s="3">
        <v>44072</v>
      </c>
      <c r="K4725" s="2">
        <v>57</v>
      </c>
      <c r="L4725" s="2" t="s">
        <v>39</v>
      </c>
    </row>
    <row r="4726" spans="1:12" x14ac:dyDescent="0.3">
      <c r="A4726" s="2">
        <v>4715</v>
      </c>
      <c r="B4726" s="2" t="s">
        <v>127</v>
      </c>
      <c r="C4726" s="2" t="s">
        <v>361</v>
      </c>
      <c r="D4726" s="2" t="s">
        <v>28</v>
      </c>
      <c r="E4726" s="2" t="s">
        <v>29</v>
      </c>
      <c r="F4726" s="2">
        <v>90</v>
      </c>
      <c r="G4726" s="2" t="s">
        <v>10094</v>
      </c>
      <c r="H4726" s="2" t="s">
        <v>4158</v>
      </c>
      <c r="I4726" s="2" t="s">
        <v>32</v>
      </c>
      <c r="J4726" s="3">
        <v>44787</v>
      </c>
      <c r="K4726" s="2">
        <v>90</v>
      </c>
      <c r="L4726" s="2" t="s">
        <v>33</v>
      </c>
    </row>
    <row r="4727" spans="1:12" x14ac:dyDescent="0.3">
      <c r="A4727" s="2">
        <v>4716</v>
      </c>
      <c r="B4727" s="2" t="s">
        <v>10095</v>
      </c>
      <c r="C4727" s="2" t="s">
        <v>5699</v>
      </c>
      <c r="D4727" s="2" t="s">
        <v>15</v>
      </c>
      <c r="E4727" s="2" t="s">
        <v>16</v>
      </c>
      <c r="F4727" s="2">
        <v>90</v>
      </c>
      <c r="G4727" s="2" t="s">
        <v>10096</v>
      </c>
      <c r="H4727" s="2" t="s">
        <v>4655</v>
      </c>
      <c r="I4727" s="2" t="s">
        <v>32</v>
      </c>
      <c r="J4727" s="3">
        <v>44254</v>
      </c>
      <c r="K4727" s="2">
        <v>46</v>
      </c>
      <c r="L4727" s="2" t="s">
        <v>101</v>
      </c>
    </row>
    <row r="4728" spans="1:12" x14ac:dyDescent="0.3">
      <c r="A4728" s="2">
        <v>4717</v>
      </c>
      <c r="B4728" s="2" t="s">
        <v>10097</v>
      </c>
      <c r="C4728" s="2" t="s">
        <v>5837</v>
      </c>
      <c r="D4728" s="2" t="s">
        <v>15</v>
      </c>
      <c r="E4728" s="2" t="s">
        <v>16</v>
      </c>
      <c r="F4728" s="2">
        <v>90</v>
      </c>
      <c r="G4728" s="2" t="s">
        <v>10096</v>
      </c>
      <c r="H4728" s="2" t="s">
        <v>2555</v>
      </c>
      <c r="I4728" s="2" t="s">
        <v>32</v>
      </c>
      <c r="J4728" s="3">
        <v>43840</v>
      </c>
      <c r="K4728" s="2">
        <v>79</v>
      </c>
      <c r="L4728" s="2" t="s">
        <v>70</v>
      </c>
    </row>
    <row r="4729" spans="1:12" x14ac:dyDescent="0.3">
      <c r="A4729" s="2">
        <v>4718</v>
      </c>
      <c r="B4729" s="2" t="s">
        <v>10098</v>
      </c>
      <c r="C4729" s="2" t="s">
        <v>836</v>
      </c>
      <c r="D4729" s="2" t="s">
        <v>15</v>
      </c>
      <c r="E4729" s="2" t="s">
        <v>16</v>
      </c>
      <c r="F4729" s="2">
        <v>60</v>
      </c>
      <c r="G4729" s="2" t="s">
        <v>10099</v>
      </c>
      <c r="H4729" s="2" t="s">
        <v>1605</v>
      </c>
      <c r="I4729" s="2" t="s">
        <v>32</v>
      </c>
      <c r="J4729" s="3">
        <v>43965</v>
      </c>
      <c r="K4729" s="2">
        <v>73</v>
      </c>
      <c r="L4729" s="2" t="s">
        <v>64</v>
      </c>
    </row>
    <row r="4730" spans="1:12" x14ac:dyDescent="0.3">
      <c r="A4730" s="2">
        <v>4719</v>
      </c>
      <c r="B4730" s="2" t="s">
        <v>1104</v>
      </c>
      <c r="C4730" s="2" t="s">
        <v>3439</v>
      </c>
      <c r="D4730" s="2" t="s">
        <v>28</v>
      </c>
      <c r="E4730" s="2" t="s">
        <v>29</v>
      </c>
      <c r="F4730" s="2">
        <v>60</v>
      </c>
      <c r="G4730" s="2" t="s">
        <v>10100</v>
      </c>
      <c r="H4730" s="2" t="s">
        <v>2169</v>
      </c>
      <c r="I4730" s="2" t="s">
        <v>32</v>
      </c>
      <c r="J4730" s="3">
        <v>44081</v>
      </c>
      <c r="K4730" s="2">
        <v>81</v>
      </c>
      <c r="L4730" s="2" t="s">
        <v>70</v>
      </c>
    </row>
    <row r="4731" spans="1:12" x14ac:dyDescent="0.3">
      <c r="A4731" s="2">
        <v>4720</v>
      </c>
      <c r="B4731" s="2" t="s">
        <v>1399</v>
      </c>
      <c r="C4731" s="2" t="s">
        <v>8113</v>
      </c>
      <c r="D4731" s="2" t="s">
        <v>28</v>
      </c>
      <c r="E4731" s="2" t="s">
        <v>29</v>
      </c>
      <c r="F4731" s="2">
        <v>60</v>
      </c>
      <c r="G4731" s="2" t="s">
        <v>10101</v>
      </c>
      <c r="H4731" s="2" t="s">
        <v>207</v>
      </c>
      <c r="I4731" s="2" t="s">
        <v>208</v>
      </c>
      <c r="J4731" s="3">
        <v>44270</v>
      </c>
      <c r="K4731" s="2">
        <v>43</v>
      </c>
      <c r="L4731" s="2" t="s">
        <v>54</v>
      </c>
    </row>
    <row r="4732" spans="1:12" x14ac:dyDescent="0.3">
      <c r="A4732" s="2">
        <v>4721</v>
      </c>
      <c r="B4732" s="2" t="s">
        <v>4642</v>
      </c>
      <c r="C4732" s="2" t="s">
        <v>1243</v>
      </c>
      <c r="D4732" s="2" t="s">
        <v>41</v>
      </c>
      <c r="E4732" s="2" t="s">
        <v>16</v>
      </c>
      <c r="F4732" s="2">
        <v>30</v>
      </c>
      <c r="G4732" s="2" t="s">
        <v>10102</v>
      </c>
      <c r="H4732" s="2" t="s">
        <v>1333</v>
      </c>
      <c r="I4732" s="2" t="s">
        <v>294</v>
      </c>
      <c r="J4732" s="3">
        <v>44786</v>
      </c>
      <c r="K4732" s="2">
        <v>93</v>
      </c>
      <c r="L4732" s="2" t="s">
        <v>54</v>
      </c>
    </row>
    <row r="4733" spans="1:12" x14ac:dyDescent="0.3">
      <c r="A4733" s="2">
        <v>4722</v>
      </c>
      <c r="B4733" s="2" t="s">
        <v>1985</v>
      </c>
      <c r="C4733" s="2" t="s">
        <v>7035</v>
      </c>
      <c r="D4733" s="2" t="s">
        <v>28</v>
      </c>
      <c r="E4733" s="2" t="s">
        <v>29</v>
      </c>
      <c r="F4733" s="2">
        <v>30</v>
      </c>
      <c r="G4733" s="2" t="s">
        <v>10103</v>
      </c>
      <c r="H4733" s="2" t="s">
        <v>3387</v>
      </c>
      <c r="I4733" s="2" t="s">
        <v>2878</v>
      </c>
      <c r="J4733" s="3">
        <v>43973</v>
      </c>
      <c r="K4733" s="2">
        <v>46</v>
      </c>
      <c r="L4733" s="2" t="s">
        <v>70</v>
      </c>
    </row>
    <row r="4734" spans="1:12" x14ac:dyDescent="0.3">
      <c r="A4734" s="2">
        <v>4723</v>
      </c>
      <c r="B4734" s="2" t="s">
        <v>10104</v>
      </c>
      <c r="C4734" s="2" t="s">
        <v>7962</v>
      </c>
      <c r="D4734" s="2" t="s">
        <v>51</v>
      </c>
      <c r="E4734" s="2" t="s">
        <v>16</v>
      </c>
      <c r="F4734" s="2">
        <v>90</v>
      </c>
      <c r="G4734" s="2" t="s">
        <v>10105</v>
      </c>
      <c r="H4734" s="2" t="s">
        <v>3356</v>
      </c>
      <c r="I4734" s="2" t="s">
        <v>32</v>
      </c>
      <c r="J4734" s="3">
        <v>44745</v>
      </c>
      <c r="K4734" s="2">
        <v>7</v>
      </c>
      <c r="L4734" s="2" t="s">
        <v>20</v>
      </c>
    </row>
    <row r="4735" spans="1:12" x14ac:dyDescent="0.3">
      <c r="A4735" s="2">
        <v>4724</v>
      </c>
      <c r="B4735" s="2" t="s">
        <v>10106</v>
      </c>
      <c r="C4735" s="2" t="s">
        <v>680</v>
      </c>
      <c r="D4735" s="2" t="s">
        <v>15</v>
      </c>
      <c r="E4735" s="2" t="s">
        <v>16</v>
      </c>
      <c r="F4735" s="2">
        <v>30</v>
      </c>
      <c r="G4735" s="2" t="s">
        <v>10107</v>
      </c>
      <c r="H4735" s="2" t="s">
        <v>1332</v>
      </c>
      <c r="I4735" s="2" t="s">
        <v>32</v>
      </c>
      <c r="J4735" s="3">
        <v>44360</v>
      </c>
      <c r="K4735" s="2">
        <v>91</v>
      </c>
      <c r="L4735" s="2" t="s">
        <v>80</v>
      </c>
    </row>
    <row r="4736" spans="1:12" x14ac:dyDescent="0.3">
      <c r="A4736" s="2">
        <v>4725</v>
      </c>
      <c r="B4736" s="2" t="s">
        <v>10108</v>
      </c>
      <c r="C4736" s="2" t="s">
        <v>5653</v>
      </c>
      <c r="D4736" s="2" t="s">
        <v>15</v>
      </c>
      <c r="E4736" s="2" t="s">
        <v>16</v>
      </c>
      <c r="F4736" s="2">
        <v>90</v>
      </c>
      <c r="G4736" s="2" t="s">
        <v>136</v>
      </c>
      <c r="H4736" s="2" t="s">
        <v>3462</v>
      </c>
      <c r="I4736" s="2" t="s">
        <v>32</v>
      </c>
      <c r="J4736" s="3">
        <v>43861</v>
      </c>
      <c r="K4736" s="2">
        <v>2</v>
      </c>
      <c r="L4736" s="2" t="s">
        <v>33</v>
      </c>
    </row>
    <row r="4737" spans="1:12" x14ac:dyDescent="0.3">
      <c r="A4737" s="2">
        <v>4726</v>
      </c>
      <c r="B4737" s="2" t="s">
        <v>2268</v>
      </c>
      <c r="C4737" s="2" t="s">
        <v>5972</v>
      </c>
      <c r="D4737" s="2" t="s">
        <v>15</v>
      </c>
      <c r="E4737" s="2" t="s">
        <v>16</v>
      </c>
      <c r="F4737" s="2">
        <v>90</v>
      </c>
      <c r="G4737" s="2" t="s">
        <v>10109</v>
      </c>
      <c r="H4737" s="2" t="s">
        <v>3161</v>
      </c>
      <c r="I4737" s="2" t="s">
        <v>32</v>
      </c>
      <c r="J4737" s="3">
        <v>44662</v>
      </c>
      <c r="K4737" s="2">
        <v>25</v>
      </c>
      <c r="L4737" s="2" t="s">
        <v>20</v>
      </c>
    </row>
    <row r="4738" spans="1:12" x14ac:dyDescent="0.3">
      <c r="A4738" s="2">
        <v>4727</v>
      </c>
      <c r="B4738" s="2" t="s">
        <v>1116</v>
      </c>
      <c r="C4738" s="2" t="s">
        <v>2618</v>
      </c>
      <c r="D4738" s="2" t="s">
        <v>28</v>
      </c>
      <c r="E4738" s="2" t="s">
        <v>29</v>
      </c>
      <c r="F4738" s="2">
        <v>30</v>
      </c>
      <c r="G4738" s="2" t="s">
        <v>10110</v>
      </c>
      <c r="H4738" s="2" t="s">
        <v>655</v>
      </c>
      <c r="I4738" s="2" t="s">
        <v>32</v>
      </c>
      <c r="J4738" s="3">
        <v>44524</v>
      </c>
      <c r="K4738" s="2">
        <v>58</v>
      </c>
      <c r="L4738" s="2" t="s">
        <v>159</v>
      </c>
    </row>
    <row r="4739" spans="1:12" x14ac:dyDescent="0.3">
      <c r="A4739" s="2">
        <v>4728</v>
      </c>
      <c r="B4739" s="2" t="s">
        <v>10111</v>
      </c>
      <c r="C4739" s="2" t="s">
        <v>10112</v>
      </c>
      <c r="D4739" s="2" t="s">
        <v>51</v>
      </c>
      <c r="E4739" s="2" t="s">
        <v>16</v>
      </c>
      <c r="F4739" s="2">
        <v>30</v>
      </c>
      <c r="G4739" s="2" t="s">
        <v>10113</v>
      </c>
      <c r="H4739" s="2" t="s">
        <v>3271</v>
      </c>
      <c r="I4739" s="2" t="s">
        <v>173</v>
      </c>
      <c r="J4739" s="3">
        <v>44180</v>
      </c>
      <c r="K4739" s="2">
        <v>66</v>
      </c>
      <c r="L4739" s="2" t="s">
        <v>101</v>
      </c>
    </row>
    <row r="4740" spans="1:12" x14ac:dyDescent="0.3">
      <c r="A4740" s="2">
        <v>4729</v>
      </c>
      <c r="B4740" s="2" t="s">
        <v>5662</v>
      </c>
      <c r="C4740" s="2" t="s">
        <v>5423</v>
      </c>
      <c r="D4740" s="2" t="s">
        <v>28</v>
      </c>
      <c r="E4740" s="2" t="s">
        <v>29</v>
      </c>
      <c r="F4740" s="2">
        <v>30</v>
      </c>
      <c r="G4740" s="2" t="s">
        <v>10114</v>
      </c>
      <c r="H4740" s="2" t="s">
        <v>3754</v>
      </c>
      <c r="I4740" s="2" t="s">
        <v>124</v>
      </c>
      <c r="J4740" s="3">
        <v>44799</v>
      </c>
      <c r="K4740" s="2">
        <v>97</v>
      </c>
      <c r="L4740" s="2" t="s">
        <v>159</v>
      </c>
    </row>
    <row r="4741" spans="1:12" x14ac:dyDescent="0.3">
      <c r="A4741" s="2">
        <v>4730</v>
      </c>
      <c r="B4741" s="2" t="s">
        <v>10115</v>
      </c>
      <c r="C4741" s="2" t="s">
        <v>189</v>
      </c>
      <c r="D4741" s="2" t="s">
        <v>51</v>
      </c>
      <c r="E4741" s="2" t="s">
        <v>16</v>
      </c>
      <c r="F4741" s="2">
        <v>60</v>
      </c>
      <c r="G4741" s="2" t="s">
        <v>10116</v>
      </c>
      <c r="H4741" s="2" t="s">
        <v>3466</v>
      </c>
      <c r="I4741" s="2" t="s">
        <v>32</v>
      </c>
      <c r="J4741" s="3">
        <v>44032</v>
      </c>
      <c r="K4741" s="2">
        <v>81</v>
      </c>
      <c r="L4741" s="2" t="s">
        <v>54</v>
      </c>
    </row>
    <row r="4742" spans="1:12" x14ac:dyDescent="0.3">
      <c r="A4742" s="2">
        <v>4731</v>
      </c>
      <c r="B4742" s="2" t="s">
        <v>10117</v>
      </c>
      <c r="C4742" s="2" t="s">
        <v>3535</v>
      </c>
      <c r="D4742" s="2" t="s">
        <v>15</v>
      </c>
      <c r="E4742" s="2" t="s">
        <v>16</v>
      </c>
      <c r="F4742" s="2">
        <v>90</v>
      </c>
      <c r="G4742" s="2" t="s">
        <v>10118</v>
      </c>
      <c r="H4742" s="2" t="s">
        <v>764</v>
      </c>
      <c r="I4742" s="2" t="s">
        <v>32</v>
      </c>
      <c r="J4742" s="3">
        <v>44373</v>
      </c>
      <c r="K4742" s="2">
        <v>6</v>
      </c>
      <c r="L4742" s="2" t="s">
        <v>80</v>
      </c>
    </row>
    <row r="4743" spans="1:12" x14ac:dyDescent="0.3">
      <c r="A4743" s="2">
        <v>4732</v>
      </c>
      <c r="B4743" s="2" t="s">
        <v>5088</v>
      </c>
      <c r="C4743" s="2" t="s">
        <v>3265</v>
      </c>
      <c r="D4743" s="2" t="s">
        <v>28</v>
      </c>
      <c r="E4743" s="2" t="s">
        <v>29</v>
      </c>
      <c r="F4743" s="2">
        <v>90</v>
      </c>
      <c r="G4743" s="2" t="s">
        <v>10119</v>
      </c>
      <c r="H4743" s="2" t="s">
        <v>2913</v>
      </c>
      <c r="I4743" s="2" t="s">
        <v>1035</v>
      </c>
      <c r="J4743" s="3">
        <v>44170</v>
      </c>
      <c r="K4743" s="2">
        <v>23</v>
      </c>
      <c r="L4743" s="2" t="s">
        <v>33</v>
      </c>
    </row>
    <row r="4744" spans="1:12" x14ac:dyDescent="0.3">
      <c r="A4744" s="2">
        <v>4733</v>
      </c>
      <c r="B4744" s="2" t="s">
        <v>10120</v>
      </c>
      <c r="C4744" s="2" t="s">
        <v>2663</v>
      </c>
      <c r="D4744" s="2" t="s">
        <v>51</v>
      </c>
      <c r="E4744" s="2" t="s">
        <v>16</v>
      </c>
      <c r="F4744" s="2">
        <v>60</v>
      </c>
      <c r="G4744" s="2" t="s">
        <v>10121</v>
      </c>
      <c r="H4744" s="2" t="s">
        <v>6305</v>
      </c>
      <c r="I4744" s="2" t="s">
        <v>32</v>
      </c>
      <c r="J4744" s="3">
        <v>44392</v>
      </c>
      <c r="K4744" s="2">
        <v>52</v>
      </c>
      <c r="L4744" s="2" t="s">
        <v>20</v>
      </c>
    </row>
    <row r="4745" spans="1:12" x14ac:dyDescent="0.3">
      <c r="A4745" s="2">
        <v>4734</v>
      </c>
      <c r="B4745" s="2" t="s">
        <v>6190</v>
      </c>
      <c r="C4745" s="2" t="s">
        <v>3515</v>
      </c>
      <c r="D4745" s="2" t="s">
        <v>15</v>
      </c>
      <c r="E4745" s="2" t="s">
        <v>16</v>
      </c>
      <c r="F4745" s="2">
        <v>60</v>
      </c>
      <c r="G4745" s="2" t="s">
        <v>10122</v>
      </c>
      <c r="H4745" s="2" t="s">
        <v>8483</v>
      </c>
      <c r="I4745" s="2" t="s">
        <v>32</v>
      </c>
      <c r="J4745" s="3">
        <v>44303</v>
      </c>
      <c r="K4745" s="2">
        <v>21</v>
      </c>
      <c r="L4745" s="2" t="s">
        <v>39</v>
      </c>
    </row>
    <row r="4746" spans="1:12" x14ac:dyDescent="0.3">
      <c r="A4746" s="2">
        <v>4735</v>
      </c>
      <c r="B4746" s="2" t="s">
        <v>10123</v>
      </c>
      <c r="C4746" s="2" t="s">
        <v>7345</v>
      </c>
      <c r="D4746" s="2" t="s">
        <v>28</v>
      </c>
      <c r="E4746" s="2" t="s">
        <v>29</v>
      </c>
      <c r="F4746" s="2">
        <v>90</v>
      </c>
      <c r="G4746" s="2" t="s">
        <v>10124</v>
      </c>
      <c r="H4746" s="2" t="s">
        <v>2194</v>
      </c>
      <c r="I4746" s="2" t="s">
        <v>32</v>
      </c>
      <c r="J4746" s="3">
        <v>43961</v>
      </c>
      <c r="K4746" s="2">
        <v>27</v>
      </c>
      <c r="L4746" s="2" t="s">
        <v>33</v>
      </c>
    </row>
    <row r="4747" spans="1:12" x14ac:dyDescent="0.3">
      <c r="A4747" s="2">
        <v>4736</v>
      </c>
      <c r="B4747" s="2" t="s">
        <v>6729</v>
      </c>
      <c r="C4747" s="2" t="s">
        <v>3621</v>
      </c>
      <c r="D4747" s="2" t="s">
        <v>51</v>
      </c>
      <c r="E4747" s="2" t="s">
        <v>16</v>
      </c>
      <c r="F4747" s="2">
        <v>60</v>
      </c>
      <c r="G4747" s="2" t="s">
        <v>10125</v>
      </c>
      <c r="H4747" s="2" t="s">
        <v>396</v>
      </c>
      <c r="I4747" s="2" t="s">
        <v>32</v>
      </c>
      <c r="J4747" s="3">
        <v>44461</v>
      </c>
      <c r="K4747" s="2">
        <v>84</v>
      </c>
      <c r="L4747" s="2" t="s">
        <v>39</v>
      </c>
    </row>
    <row r="4748" spans="1:12" x14ac:dyDescent="0.3">
      <c r="A4748" s="2">
        <v>4737</v>
      </c>
      <c r="B4748" s="2" t="s">
        <v>6428</v>
      </c>
      <c r="C4748" s="2" t="s">
        <v>5423</v>
      </c>
      <c r="D4748" s="2" t="s">
        <v>51</v>
      </c>
      <c r="E4748" s="2" t="s">
        <v>16</v>
      </c>
      <c r="F4748" s="2">
        <v>90</v>
      </c>
      <c r="G4748" s="2" t="s">
        <v>10126</v>
      </c>
      <c r="H4748" s="2" t="s">
        <v>946</v>
      </c>
      <c r="I4748" s="2" t="s">
        <v>947</v>
      </c>
      <c r="J4748" s="3">
        <v>44853</v>
      </c>
      <c r="K4748" s="2">
        <v>95</v>
      </c>
      <c r="L4748" s="2" t="s">
        <v>101</v>
      </c>
    </row>
    <row r="4749" spans="1:12" x14ac:dyDescent="0.3">
      <c r="A4749" s="2">
        <v>4738</v>
      </c>
      <c r="B4749" s="2" t="s">
        <v>1019</v>
      </c>
      <c r="C4749" s="2" t="s">
        <v>9953</v>
      </c>
      <c r="D4749" s="2" t="s">
        <v>117</v>
      </c>
      <c r="E4749" s="2" t="s">
        <v>29</v>
      </c>
      <c r="F4749" s="2">
        <v>30</v>
      </c>
      <c r="G4749" s="2" t="s">
        <v>1247</v>
      </c>
      <c r="H4749" s="2" t="s">
        <v>4996</v>
      </c>
      <c r="I4749" s="2" t="s">
        <v>32</v>
      </c>
      <c r="J4749" s="3">
        <v>44859</v>
      </c>
      <c r="K4749" s="2">
        <v>22</v>
      </c>
      <c r="L4749" s="2" t="s">
        <v>39</v>
      </c>
    </row>
    <row r="4750" spans="1:12" x14ac:dyDescent="0.3">
      <c r="A4750" s="2">
        <v>4739</v>
      </c>
      <c r="B4750" s="2" t="s">
        <v>1726</v>
      </c>
      <c r="C4750" s="2" t="s">
        <v>6134</v>
      </c>
      <c r="D4750" s="2" t="s">
        <v>51</v>
      </c>
      <c r="E4750" s="2" t="s">
        <v>16</v>
      </c>
      <c r="F4750" s="2">
        <v>30</v>
      </c>
      <c r="G4750" s="2" t="s">
        <v>10127</v>
      </c>
      <c r="H4750" s="2" t="s">
        <v>4404</v>
      </c>
      <c r="I4750" s="2" t="s">
        <v>32</v>
      </c>
      <c r="J4750" s="3">
        <v>44695</v>
      </c>
      <c r="K4750" s="2">
        <v>33</v>
      </c>
      <c r="L4750" s="2" t="s">
        <v>33</v>
      </c>
    </row>
    <row r="4751" spans="1:12" x14ac:dyDescent="0.3">
      <c r="A4751" s="2">
        <v>4740</v>
      </c>
      <c r="B4751" s="2" t="s">
        <v>10128</v>
      </c>
      <c r="C4751" s="2" t="s">
        <v>4903</v>
      </c>
      <c r="D4751" s="2" t="s">
        <v>15</v>
      </c>
      <c r="E4751" s="2" t="s">
        <v>16</v>
      </c>
      <c r="F4751" s="2">
        <v>60</v>
      </c>
      <c r="G4751" s="2" t="s">
        <v>10129</v>
      </c>
      <c r="H4751" s="2" t="s">
        <v>7353</v>
      </c>
      <c r="I4751" s="2" t="s">
        <v>19</v>
      </c>
      <c r="J4751" s="3">
        <v>43980</v>
      </c>
      <c r="K4751" s="2">
        <v>53</v>
      </c>
      <c r="L4751" s="2" t="s">
        <v>80</v>
      </c>
    </row>
    <row r="4752" spans="1:12" x14ac:dyDescent="0.3">
      <c r="A4752" s="2">
        <v>4741</v>
      </c>
      <c r="B4752" s="2" t="s">
        <v>9145</v>
      </c>
      <c r="C4752" s="2" t="s">
        <v>5225</v>
      </c>
      <c r="D4752" s="2" t="s">
        <v>15</v>
      </c>
      <c r="E4752" s="2" t="s">
        <v>16</v>
      </c>
      <c r="F4752" s="2">
        <v>30</v>
      </c>
      <c r="G4752" s="2" t="s">
        <v>10130</v>
      </c>
      <c r="H4752" s="2" t="s">
        <v>1855</v>
      </c>
      <c r="I4752" s="2" t="s">
        <v>25</v>
      </c>
      <c r="J4752" s="3">
        <v>44374</v>
      </c>
      <c r="K4752" s="2">
        <v>72</v>
      </c>
      <c r="L4752" s="2" t="s">
        <v>101</v>
      </c>
    </row>
    <row r="4753" spans="1:12" x14ac:dyDescent="0.3">
      <c r="A4753" s="2">
        <v>4742</v>
      </c>
      <c r="B4753" s="2" t="s">
        <v>4052</v>
      </c>
      <c r="C4753" s="2" t="s">
        <v>3330</v>
      </c>
      <c r="D4753" s="2" t="s">
        <v>28</v>
      </c>
      <c r="E4753" s="2" t="s">
        <v>29</v>
      </c>
      <c r="F4753" s="2">
        <v>60</v>
      </c>
      <c r="G4753" s="2" t="s">
        <v>10131</v>
      </c>
      <c r="H4753" s="2" t="s">
        <v>10132</v>
      </c>
      <c r="I4753" s="2" t="s">
        <v>294</v>
      </c>
      <c r="J4753" s="3">
        <v>44239</v>
      </c>
      <c r="K4753" s="2">
        <v>78</v>
      </c>
      <c r="L4753" s="2" t="s">
        <v>64</v>
      </c>
    </row>
    <row r="4754" spans="1:12" x14ac:dyDescent="0.3">
      <c r="A4754" s="2">
        <v>4743</v>
      </c>
      <c r="B4754" s="2" t="s">
        <v>8911</v>
      </c>
      <c r="C4754" s="2" t="s">
        <v>7716</v>
      </c>
      <c r="D4754" s="2" t="s">
        <v>28</v>
      </c>
      <c r="E4754" s="2" t="s">
        <v>29</v>
      </c>
      <c r="F4754" s="2">
        <v>90</v>
      </c>
      <c r="G4754" s="2" t="s">
        <v>10133</v>
      </c>
      <c r="H4754" s="2" t="s">
        <v>1590</v>
      </c>
      <c r="I4754" s="2" t="s">
        <v>32</v>
      </c>
      <c r="J4754" s="3">
        <v>44347</v>
      </c>
      <c r="K4754" s="2">
        <v>2</v>
      </c>
      <c r="L4754" s="2" t="s">
        <v>39</v>
      </c>
    </row>
    <row r="4755" spans="1:12" x14ac:dyDescent="0.3">
      <c r="A4755" s="2">
        <v>4744</v>
      </c>
      <c r="B4755" s="2" t="s">
        <v>1229</v>
      </c>
      <c r="C4755" s="2" t="s">
        <v>4476</v>
      </c>
      <c r="D4755" s="2" t="s">
        <v>28</v>
      </c>
      <c r="E4755" s="2" t="s">
        <v>29</v>
      </c>
      <c r="F4755" s="2">
        <v>30</v>
      </c>
      <c r="G4755" s="2" t="s">
        <v>10134</v>
      </c>
      <c r="H4755" s="2" t="s">
        <v>6038</v>
      </c>
      <c r="I4755" s="2" t="s">
        <v>19</v>
      </c>
      <c r="J4755" s="3">
        <v>44442</v>
      </c>
      <c r="K4755" s="2">
        <v>25</v>
      </c>
      <c r="L4755" s="2" t="s">
        <v>101</v>
      </c>
    </row>
    <row r="4756" spans="1:12" x14ac:dyDescent="0.3">
      <c r="A4756" s="2">
        <v>4745</v>
      </c>
      <c r="B4756" s="2" t="s">
        <v>7303</v>
      </c>
      <c r="C4756" s="2" t="s">
        <v>4461</v>
      </c>
      <c r="D4756" s="2" t="s">
        <v>28</v>
      </c>
      <c r="E4756" s="2" t="s">
        <v>29</v>
      </c>
      <c r="F4756" s="2">
        <v>60</v>
      </c>
      <c r="G4756" s="2" t="s">
        <v>10135</v>
      </c>
      <c r="H4756" s="2" t="s">
        <v>8205</v>
      </c>
      <c r="I4756" s="2" t="s">
        <v>25</v>
      </c>
      <c r="J4756" s="3">
        <v>44325</v>
      </c>
      <c r="K4756" s="2">
        <v>6</v>
      </c>
      <c r="L4756" s="2" t="s">
        <v>39</v>
      </c>
    </row>
    <row r="4757" spans="1:12" x14ac:dyDescent="0.3">
      <c r="A4757" s="2">
        <v>4746</v>
      </c>
      <c r="B4757" s="2" t="s">
        <v>10136</v>
      </c>
      <c r="C4757" s="2" t="s">
        <v>4242</v>
      </c>
      <c r="D4757" s="2" t="s">
        <v>15</v>
      </c>
      <c r="E4757" s="2" t="s">
        <v>16</v>
      </c>
      <c r="F4757" s="2">
        <v>30</v>
      </c>
      <c r="G4757" s="2" t="s">
        <v>10137</v>
      </c>
      <c r="H4757" s="2" t="s">
        <v>1690</v>
      </c>
      <c r="I4757" s="2" t="s">
        <v>208</v>
      </c>
      <c r="J4757" s="3">
        <v>44150</v>
      </c>
      <c r="K4757" s="2">
        <v>72</v>
      </c>
      <c r="L4757" s="2" t="s">
        <v>54</v>
      </c>
    </row>
    <row r="4758" spans="1:12" x14ac:dyDescent="0.3">
      <c r="A4758" s="2">
        <v>4747</v>
      </c>
      <c r="B4758" s="2" t="s">
        <v>10138</v>
      </c>
      <c r="C4758" s="2" t="s">
        <v>5106</v>
      </c>
      <c r="D4758" s="2" t="s">
        <v>28</v>
      </c>
      <c r="E4758" s="2" t="s">
        <v>29</v>
      </c>
      <c r="F4758" s="2">
        <v>60</v>
      </c>
      <c r="G4758" s="2" t="s">
        <v>10139</v>
      </c>
      <c r="H4758" s="2" t="s">
        <v>912</v>
      </c>
      <c r="I4758" s="2" t="s">
        <v>913</v>
      </c>
      <c r="J4758" s="3">
        <v>43844</v>
      </c>
      <c r="K4758" s="2">
        <v>30</v>
      </c>
      <c r="L4758" s="2" t="s">
        <v>54</v>
      </c>
    </row>
    <row r="4759" spans="1:12" x14ac:dyDescent="0.3">
      <c r="A4759" s="2">
        <v>4748</v>
      </c>
      <c r="B4759" s="2" t="s">
        <v>8492</v>
      </c>
      <c r="C4759" s="2" t="s">
        <v>10140</v>
      </c>
      <c r="D4759" s="2" t="s">
        <v>41</v>
      </c>
      <c r="E4759" s="2" t="s">
        <v>16</v>
      </c>
      <c r="F4759" s="2">
        <v>30</v>
      </c>
      <c r="G4759" s="2" t="s">
        <v>10141</v>
      </c>
      <c r="H4759" s="2" t="s">
        <v>4899</v>
      </c>
      <c r="I4759" s="2" t="s">
        <v>100</v>
      </c>
      <c r="J4759" s="3">
        <v>44101</v>
      </c>
      <c r="K4759" s="2">
        <v>62</v>
      </c>
      <c r="L4759" s="2" t="s">
        <v>64</v>
      </c>
    </row>
    <row r="4760" spans="1:12" x14ac:dyDescent="0.3">
      <c r="A4760" s="2">
        <v>4749</v>
      </c>
      <c r="B4760" s="2" t="s">
        <v>10142</v>
      </c>
      <c r="C4760" s="2" t="s">
        <v>7482</v>
      </c>
      <c r="D4760" s="2" t="s">
        <v>51</v>
      </c>
      <c r="E4760" s="2" t="s">
        <v>16</v>
      </c>
      <c r="F4760" s="2">
        <v>90</v>
      </c>
      <c r="G4760" s="2" t="s">
        <v>10141</v>
      </c>
      <c r="H4760" s="2" t="s">
        <v>5036</v>
      </c>
      <c r="I4760" s="2" t="s">
        <v>32</v>
      </c>
      <c r="J4760" s="3">
        <v>44196</v>
      </c>
      <c r="K4760" s="2">
        <v>82</v>
      </c>
      <c r="L4760" s="2" t="s">
        <v>20</v>
      </c>
    </row>
    <row r="4761" spans="1:12" x14ac:dyDescent="0.3">
      <c r="A4761" s="2">
        <v>4750</v>
      </c>
      <c r="B4761" s="2" t="s">
        <v>4858</v>
      </c>
      <c r="C4761" s="2" t="s">
        <v>1985</v>
      </c>
      <c r="D4761" s="2" t="s">
        <v>28</v>
      </c>
      <c r="E4761" s="2" t="s">
        <v>29</v>
      </c>
      <c r="F4761" s="2">
        <v>30</v>
      </c>
      <c r="G4761" s="2" t="s">
        <v>10143</v>
      </c>
      <c r="H4761" s="2" t="s">
        <v>109</v>
      </c>
      <c r="I4761" s="2" t="s">
        <v>110</v>
      </c>
      <c r="J4761" s="3">
        <v>44608</v>
      </c>
      <c r="K4761" s="2">
        <v>82</v>
      </c>
      <c r="L4761" s="2" t="s">
        <v>54</v>
      </c>
    </row>
    <row r="4762" spans="1:12" x14ac:dyDescent="0.3">
      <c r="A4762" s="2">
        <v>4751</v>
      </c>
      <c r="B4762" s="2" t="s">
        <v>10144</v>
      </c>
      <c r="C4762" s="2" t="s">
        <v>9222</v>
      </c>
      <c r="D4762" s="2" t="s">
        <v>51</v>
      </c>
      <c r="E4762" s="2" t="s">
        <v>16</v>
      </c>
      <c r="F4762" s="2">
        <v>30</v>
      </c>
      <c r="G4762" s="2" t="s">
        <v>10145</v>
      </c>
      <c r="H4762" s="2" t="s">
        <v>2179</v>
      </c>
      <c r="I4762" s="2" t="s">
        <v>294</v>
      </c>
      <c r="J4762" s="3">
        <v>44889</v>
      </c>
      <c r="K4762" s="2">
        <v>99</v>
      </c>
      <c r="L4762" s="2" t="s">
        <v>70</v>
      </c>
    </row>
    <row r="4763" spans="1:12" x14ac:dyDescent="0.3">
      <c r="A4763" s="2">
        <v>4752</v>
      </c>
      <c r="B4763" s="2" t="s">
        <v>2402</v>
      </c>
      <c r="C4763" s="2" t="s">
        <v>1219</v>
      </c>
      <c r="D4763" s="2" t="s">
        <v>28</v>
      </c>
      <c r="E4763" s="2" t="s">
        <v>29</v>
      </c>
      <c r="F4763" s="2">
        <v>30</v>
      </c>
      <c r="G4763" s="2" t="s">
        <v>10146</v>
      </c>
      <c r="H4763" s="2" t="s">
        <v>5647</v>
      </c>
      <c r="I4763" s="2" t="s">
        <v>38</v>
      </c>
      <c r="J4763" s="3">
        <v>43868</v>
      </c>
      <c r="K4763" s="2">
        <v>2</v>
      </c>
      <c r="L4763" s="2" t="s">
        <v>20</v>
      </c>
    </row>
    <row r="4764" spans="1:12" x14ac:dyDescent="0.3">
      <c r="A4764" s="2">
        <v>4753</v>
      </c>
      <c r="B4764" s="2" t="s">
        <v>4329</v>
      </c>
      <c r="C4764" s="2" t="s">
        <v>3556</v>
      </c>
      <c r="D4764" s="2" t="s">
        <v>28</v>
      </c>
      <c r="E4764" s="2" t="s">
        <v>29</v>
      </c>
      <c r="F4764" s="2">
        <v>90</v>
      </c>
      <c r="G4764" s="2" t="s">
        <v>10147</v>
      </c>
      <c r="H4764" s="2" t="s">
        <v>2533</v>
      </c>
      <c r="I4764" s="2" t="s">
        <v>2534</v>
      </c>
      <c r="J4764" s="3">
        <v>43928</v>
      </c>
      <c r="K4764" s="2">
        <v>45</v>
      </c>
      <c r="L4764" s="2" t="s">
        <v>33</v>
      </c>
    </row>
    <row r="4765" spans="1:12" x14ac:dyDescent="0.3">
      <c r="A4765" s="2">
        <v>4754</v>
      </c>
      <c r="B4765" s="2" t="s">
        <v>8481</v>
      </c>
      <c r="C4765" s="2" t="s">
        <v>1891</v>
      </c>
      <c r="D4765" s="2" t="s">
        <v>51</v>
      </c>
      <c r="E4765" s="2" t="s">
        <v>16</v>
      </c>
      <c r="F4765" s="2">
        <v>30</v>
      </c>
      <c r="G4765" s="2" t="s">
        <v>10148</v>
      </c>
      <c r="H4765" s="2" t="s">
        <v>5957</v>
      </c>
      <c r="I4765" s="2" t="s">
        <v>187</v>
      </c>
      <c r="J4765" s="3">
        <v>44432</v>
      </c>
      <c r="K4765" s="2">
        <v>14</v>
      </c>
      <c r="L4765" s="2" t="s">
        <v>54</v>
      </c>
    </row>
    <row r="4766" spans="1:12" x14ac:dyDescent="0.3">
      <c r="A4766" s="2">
        <v>4755</v>
      </c>
      <c r="B4766" s="2" t="s">
        <v>4875</v>
      </c>
      <c r="C4766" s="2" t="s">
        <v>1700</v>
      </c>
      <c r="D4766" s="2" t="s">
        <v>28</v>
      </c>
      <c r="E4766" s="2" t="s">
        <v>29</v>
      </c>
      <c r="F4766" s="2">
        <v>60</v>
      </c>
      <c r="G4766" s="2" t="s">
        <v>10148</v>
      </c>
      <c r="H4766" s="2" t="s">
        <v>570</v>
      </c>
      <c r="I4766" s="2" t="s">
        <v>187</v>
      </c>
      <c r="J4766" s="3">
        <v>43935</v>
      </c>
      <c r="K4766" s="2">
        <v>38</v>
      </c>
      <c r="L4766" s="2" t="s">
        <v>45</v>
      </c>
    </row>
    <row r="4767" spans="1:12" x14ac:dyDescent="0.3">
      <c r="A4767" s="2">
        <v>4756</v>
      </c>
      <c r="B4767" s="2" t="s">
        <v>4091</v>
      </c>
      <c r="C4767" s="2" t="s">
        <v>3066</v>
      </c>
      <c r="D4767" s="2" t="s">
        <v>28</v>
      </c>
      <c r="E4767" s="2" t="s">
        <v>29</v>
      </c>
      <c r="F4767" s="2">
        <v>30</v>
      </c>
      <c r="G4767" s="2" t="s">
        <v>10149</v>
      </c>
      <c r="H4767" s="2" t="s">
        <v>764</v>
      </c>
      <c r="I4767" s="2" t="s">
        <v>32</v>
      </c>
      <c r="J4767" s="3">
        <v>43897</v>
      </c>
      <c r="K4767" s="2">
        <v>67</v>
      </c>
      <c r="L4767" s="2" t="s">
        <v>64</v>
      </c>
    </row>
    <row r="4768" spans="1:12" x14ac:dyDescent="0.3">
      <c r="A4768" s="2">
        <v>4757</v>
      </c>
      <c r="B4768" s="2" t="s">
        <v>10150</v>
      </c>
      <c r="C4768" s="2" t="s">
        <v>10039</v>
      </c>
      <c r="D4768" s="2" t="s">
        <v>15</v>
      </c>
      <c r="E4768" s="2" t="s">
        <v>16</v>
      </c>
      <c r="F4768" s="2">
        <v>90</v>
      </c>
      <c r="G4768" s="2" t="s">
        <v>10151</v>
      </c>
      <c r="H4768" s="2" t="s">
        <v>2351</v>
      </c>
      <c r="I4768" s="2" t="s">
        <v>32</v>
      </c>
      <c r="J4768" s="3">
        <v>44612</v>
      </c>
      <c r="K4768" s="2">
        <v>102</v>
      </c>
      <c r="L4768" s="2" t="s">
        <v>39</v>
      </c>
    </row>
    <row r="4769" spans="1:12" x14ac:dyDescent="0.3">
      <c r="A4769" s="2">
        <v>4758</v>
      </c>
      <c r="B4769" s="2" t="s">
        <v>1445</v>
      </c>
      <c r="C4769" s="2" t="s">
        <v>999</v>
      </c>
      <c r="D4769" s="2" t="s">
        <v>28</v>
      </c>
      <c r="E4769" s="2" t="s">
        <v>29</v>
      </c>
      <c r="F4769" s="2">
        <v>90</v>
      </c>
      <c r="G4769" s="2" t="s">
        <v>10586</v>
      </c>
      <c r="H4769" s="2" t="s">
        <v>2093</v>
      </c>
      <c r="I4769" s="2" t="s">
        <v>32</v>
      </c>
      <c r="J4769" s="3">
        <v>44640</v>
      </c>
      <c r="K4769" s="2">
        <v>32</v>
      </c>
      <c r="L4769" s="2" t="s">
        <v>20</v>
      </c>
    </row>
    <row r="4770" spans="1:12" x14ac:dyDescent="0.3">
      <c r="A4770" s="2">
        <v>4759</v>
      </c>
      <c r="B4770" s="2" t="s">
        <v>1240</v>
      </c>
      <c r="C4770" s="2" t="s">
        <v>6922</v>
      </c>
      <c r="D4770" s="2" t="s">
        <v>28</v>
      </c>
      <c r="E4770" s="2" t="s">
        <v>29</v>
      </c>
      <c r="F4770" s="2">
        <v>30</v>
      </c>
      <c r="G4770" s="2" t="s">
        <v>10153</v>
      </c>
      <c r="H4770" s="2" t="s">
        <v>6249</v>
      </c>
      <c r="I4770" s="2" t="s">
        <v>38</v>
      </c>
      <c r="J4770" s="3">
        <v>44687</v>
      </c>
      <c r="K4770" s="2">
        <v>103</v>
      </c>
      <c r="L4770" s="2" t="s">
        <v>70</v>
      </c>
    </row>
    <row r="4771" spans="1:12" x14ac:dyDescent="0.3">
      <c r="A4771" s="2">
        <v>4760</v>
      </c>
      <c r="B4771" s="2" t="s">
        <v>921</v>
      </c>
      <c r="C4771" s="2" t="s">
        <v>2410</v>
      </c>
      <c r="D4771" s="2" t="s">
        <v>28</v>
      </c>
      <c r="E4771" s="2" t="s">
        <v>29</v>
      </c>
      <c r="F4771" s="2">
        <v>90</v>
      </c>
      <c r="G4771" s="2" t="s">
        <v>10154</v>
      </c>
      <c r="H4771" s="2" t="s">
        <v>1651</v>
      </c>
      <c r="I4771" s="2" t="s">
        <v>1652</v>
      </c>
      <c r="J4771" s="3">
        <v>44806</v>
      </c>
      <c r="K4771" s="2">
        <v>105</v>
      </c>
      <c r="L4771" s="2" t="s">
        <v>70</v>
      </c>
    </row>
    <row r="4772" spans="1:12" x14ac:dyDescent="0.3">
      <c r="A4772" s="2">
        <v>4761</v>
      </c>
      <c r="B4772" s="2" t="s">
        <v>10155</v>
      </c>
      <c r="C4772" s="2" t="s">
        <v>4037</v>
      </c>
      <c r="D4772" s="2" t="s">
        <v>51</v>
      </c>
      <c r="E4772" s="2" t="s">
        <v>16</v>
      </c>
      <c r="F4772" s="2">
        <v>90</v>
      </c>
      <c r="G4772" s="2" t="s">
        <v>10156</v>
      </c>
      <c r="H4772" s="2" t="s">
        <v>315</v>
      </c>
      <c r="I4772" s="2" t="s">
        <v>32</v>
      </c>
      <c r="J4772" s="3">
        <v>44308</v>
      </c>
      <c r="K4772" s="2">
        <v>17</v>
      </c>
      <c r="L4772" s="2" t="s">
        <v>45</v>
      </c>
    </row>
    <row r="4773" spans="1:12" x14ac:dyDescent="0.3">
      <c r="A4773" s="2">
        <v>4762</v>
      </c>
      <c r="B4773" s="2" t="s">
        <v>10157</v>
      </c>
      <c r="C4773" s="2" t="s">
        <v>9475</v>
      </c>
      <c r="D4773" s="2" t="s">
        <v>15</v>
      </c>
      <c r="E4773" s="2" t="s">
        <v>16</v>
      </c>
      <c r="F4773" s="2">
        <v>90</v>
      </c>
      <c r="G4773" s="2" t="s">
        <v>10158</v>
      </c>
      <c r="H4773" s="2" t="s">
        <v>4214</v>
      </c>
      <c r="I4773" s="2" t="s">
        <v>187</v>
      </c>
      <c r="J4773" s="3">
        <v>43837</v>
      </c>
      <c r="K4773" s="2">
        <v>58</v>
      </c>
      <c r="L4773" s="2" t="s">
        <v>159</v>
      </c>
    </row>
    <row r="4774" spans="1:12" x14ac:dyDescent="0.3">
      <c r="A4774" s="2">
        <v>4763</v>
      </c>
      <c r="B4774" s="2" t="s">
        <v>10159</v>
      </c>
      <c r="C4774" s="2" t="s">
        <v>10160</v>
      </c>
      <c r="D4774" s="2" t="s">
        <v>51</v>
      </c>
      <c r="E4774" s="2" t="s">
        <v>16</v>
      </c>
      <c r="F4774" s="2">
        <v>90</v>
      </c>
      <c r="G4774" s="2" t="s">
        <v>10161</v>
      </c>
      <c r="H4774" s="2" t="s">
        <v>2325</v>
      </c>
      <c r="I4774" s="2" t="s">
        <v>173</v>
      </c>
      <c r="J4774" s="3">
        <v>43915</v>
      </c>
      <c r="K4774" s="2">
        <v>20</v>
      </c>
      <c r="L4774" s="2" t="s">
        <v>45</v>
      </c>
    </row>
    <row r="4775" spans="1:12" x14ac:dyDescent="0.3">
      <c r="A4775" s="2">
        <v>4764</v>
      </c>
      <c r="B4775" s="2" t="s">
        <v>4740</v>
      </c>
      <c r="C4775" s="2" t="s">
        <v>116</v>
      </c>
      <c r="D4775" s="2" t="s">
        <v>15</v>
      </c>
      <c r="E4775" s="2" t="s">
        <v>16</v>
      </c>
      <c r="F4775" s="2">
        <v>30</v>
      </c>
      <c r="G4775" s="2" t="s">
        <v>10162</v>
      </c>
      <c r="H4775" s="2" t="s">
        <v>5619</v>
      </c>
      <c r="I4775" s="2" t="s">
        <v>32</v>
      </c>
      <c r="J4775" s="3">
        <v>44204</v>
      </c>
      <c r="K4775" s="2">
        <v>23</v>
      </c>
      <c r="L4775" s="2" t="s">
        <v>70</v>
      </c>
    </row>
    <row r="4776" spans="1:12" x14ac:dyDescent="0.3">
      <c r="A4776" s="2">
        <v>4765</v>
      </c>
      <c r="B4776" s="2" t="s">
        <v>7121</v>
      </c>
      <c r="C4776" s="2" t="s">
        <v>804</v>
      </c>
      <c r="D4776" s="2" t="s">
        <v>28</v>
      </c>
      <c r="E4776" s="2" t="s">
        <v>29</v>
      </c>
      <c r="F4776" s="2">
        <v>90</v>
      </c>
      <c r="G4776" s="2" t="s">
        <v>10163</v>
      </c>
      <c r="H4776" s="2" t="s">
        <v>275</v>
      </c>
      <c r="I4776" s="2" t="s">
        <v>32</v>
      </c>
      <c r="J4776" s="3">
        <v>44770</v>
      </c>
      <c r="K4776" s="2">
        <v>11</v>
      </c>
      <c r="L4776" s="2" t="s">
        <v>101</v>
      </c>
    </row>
    <row r="4777" spans="1:12" x14ac:dyDescent="0.3">
      <c r="A4777" s="2">
        <v>4766</v>
      </c>
      <c r="B4777" s="2" t="s">
        <v>10164</v>
      </c>
      <c r="C4777" s="2" t="s">
        <v>5084</v>
      </c>
      <c r="D4777" s="2" t="s">
        <v>15</v>
      </c>
      <c r="E4777" s="2" t="s">
        <v>16</v>
      </c>
      <c r="F4777" s="2">
        <v>30</v>
      </c>
      <c r="G4777" s="2" t="s">
        <v>10165</v>
      </c>
      <c r="H4777" s="2" t="s">
        <v>8028</v>
      </c>
      <c r="I4777" s="2" t="s">
        <v>294</v>
      </c>
      <c r="J4777" s="3">
        <v>44370</v>
      </c>
      <c r="K4777" s="2">
        <v>89</v>
      </c>
      <c r="L4777" s="2" t="s">
        <v>45</v>
      </c>
    </row>
    <row r="4778" spans="1:12" x14ac:dyDescent="0.3">
      <c r="A4778" s="2">
        <v>4767</v>
      </c>
      <c r="B4778" s="2" t="s">
        <v>5421</v>
      </c>
      <c r="C4778" s="2" t="s">
        <v>2735</v>
      </c>
      <c r="D4778" s="2" t="s">
        <v>28</v>
      </c>
      <c r="E4778" s="2" t="s">
        <v>29</v>
      </c>
      <c r="F4778" s="2">
        <v>90</v>
      </c>
      <c r="G4778" s="2" t="s">
        <v>10166</v>
      </c>
      <c r="H4778" s="2" t="s">
        <v>1884</v>
      </c>
      <c r="I4778" s="2" t="s">
        <v>1885</v>
      </c>
      <c r="J4778" s="3">
        <v>44421</v>
      </c>
      <c r="K4778" s="2">
        <v>58</v>
      </c>
      <c r="L4778" s="2" t="s">
        <v>159</v>
      </c>
    </row>
    <row r="4779" spans="1:12" x14ac:dyDescent="0.3">
      <c r="A4779" s="2">
        <v>4768</v>
      </c>
      <c r="B4779" s="2" t="s">
        <v>3158</v>
      </c>
      <c r="C4779" s="2" t="s">
        <v>10167</v>
      </c>
      <c r="D4779" s="2" t="s">
        <v>28</v>
      </c>
      <c r="E4779" s="2" t="s">
        <v>29</v>
      </c>
      <c r="F4779" s="2">
        <v>90</v>
      </c>
      <c r="G4779" s="2" t="s">
        <v>10166</v>
      </c>
      <c r="H4779" s="2" t="s">
        <v>2053</v>
      </c>
      <c r="I4779" s="2" t="s">
        <v>187</v>
      </c>
      <c r="J4779" s="3">
        <v>44589</v>
      </c>
      <c r="K4779" s="2">
        <v>50</v>
      </c>
      <c r="L4779" s="2" t="s">
        <v>45</v>
      </c>
    </row>
    <row r="4780" spans="1:12" x14ac:dyDescent="0.3">
      <c r="A4780" s="2">
        <v>4769</v>
      </c>
      <c r="B4780" s="2" t="s">
        <v>774</v>
      </c>
      <c r="C4780" s="2" t="s">
        <v>8046</v>
      </c>
      <c r="D4780" s="2" t="s">
        <v>51</v>
      </c>
      <c r="E4780" s="2" t="s">
        <v>16</v>
      </c>
      <c r="F4780" s="2">
        <v>60</v>
      </c>
      <c r="G4780" s="2" t="s">
        <v>10168</v>
      </c>
      <c r="H4780" s="2" t="s">
        <v>3987</v>
      </c>
      <c r="I4780" s="2" t="s">
        <v>554</v>
      </c>
      <c r="J4780" s="3">
        <v>44143</v>
      </c>
      <c r="K4780" s="2">
        <v>43</v>
      </c>
      <c r="L4780" s="2" t="s">
        <v>54</v>
      </c>
    </row>
    <row r="4781" spans="1:12" x14ac:dyDescent="0.3">
      <c r="A4781" s="2">
        <v>4770</v>
      </c>
      <c r="B4781" s="2" t="s">
        <v>960</v>
      </c>
      <c r="C4781" s="2" t="s">
        <v>1564</v>
      </c>
      <c r="D4781" s="2" t="s">
        <v>28</v>
      </c>
      <c r="E4781" s="2" t="s">
        <v>29</v>
      </c>
      <c r="F4781" s="2">
        <v>60</v>
      </c>
      <c r="G4781" s="2" t="s">
        <v>10169</v>
      </c>
      <c r="H4781" s="2" t="s">
        <v>4203</v>
      </c>
      <c r="I4781" s="2" t="s">
        <v>208</v>
      </c>
      <c r="J4781" s="3">
        <v>44575</v>
      </c>
      <c r="K4781" s="2">
        <v>50</v>
      </c>
      <c r="L4781" s="2" t="s">
        <v>70</v>
      </c>
    </row>
    <row r="4782" spans="1:12" x14ac:dyDescent="0.3">
      <c r="A4782" s="2">
        <v>4771</v>
      </c>
      <c r="B4782" s="2" t="s">
        <v>10170</v>
      </c>
      <c r="C4782" s="2" t="s">
        <v>4828</v>
      </c>
      <c r="D4782" s="2" t="s">
        <v>117</v>
      </c>
      <c r="E4782" s="2" t="s">
        <v>16</v>
      </c>
      <c r="F4782" s="2">
        <v>30</v>
      </c>
      <c r="G4782" s="2" t="s">
        <v>10171</v>
      </c>
      <c r="H4782" s="2" t="s">
        <v>284</v>
      </c>
      <c r="I4782" s="2" t="s">
        <v>146</v>
      </c>
      <c r="J4782" s="3">
        <v>44346</v>
      </c>
      <c r="K4782" s="2">
        <v>93</v>
      </c>
      <c r="L4782" s="2" t="s">
        <v>45</v>
      </c>
    </row>
    <row r="4783" spans="1:12" x14ac:dyDescent="0.3">
      <c r="A4783" s="2">
        <v>4772</v>
      </c>
      <c r="B4783" s="2" t="s">
        <v>82</v>
      </c>
      <c r="C4783" s="2" t="s">
        <v>305</v>
      </c>
      <c r="D4783" s="2" t="s">
        <v>28</v>
      </c>
      <c r="E4783" s="2" t="s">
        <v>29</v>
      </c>
      <c r="F4783" s="2">
        <v>30</v>
      </c>
      <c r="G4783" s="2" t="s">
        <v>10172</v>
      </c>
      <c r="H4783" s="2" t="s">
        <v>4424</v>
      </c>
      <c r="I4783" s="2" t="s">
        <v>25</v>
      </c>
      <c r="J4783" s="3">
        <v>44241</v>
      </c>
      <c r="K4783" s="2">
        <v>52</v>
      </c>
      <c r="L4783" s="2" t="s">
        <v>70</v>
      </c>
    </row>
    <row r="4784" spans="1:12" x14ac:dyDescent="0.3">
      <c r="A4784" s="2">
        <v>4773</v>
      </c>
      <c r="B4784" s="2" t="s">
        <v>10173</v>
      </c>
      <c r="C4784" s="2" t="s">
        <v>7270</v>
      </c>
      <c r="D4784" s="2" t="s">
        <v>51</v>
      </c>
      <c r="E4784" s="2" t="s">
        <v>16</v>
      </c>
      <c r="F4784" s="2">
        <v>60</v>
      </c>
      <c r="G4784" s="2" t="s">
        <v>10174</v>
      </c>
      <c r="H4784" s="2" t="s">
        <v>4678</v>
      </c>
      <c r="I4784" s="2" t="s">
        <v>886</v>
      </c>
      <c r="J4784" s="3">
        <v>44070</v>
      </c>
      <c r="K4784" s="2">
        <v>79</v>
      </c>
      <c r="L4784" s="2" t="s">
        <v>45</v>
      </c>
    </row>
    <row r="4785" spans="1:12" x14ac:dyDescent="0.3">
      <c r="A4785" s="2">
        <v>4774</v>
      </c>
      <c r="B4785" s="2" t="s">
        <v>7134</v>
      </c>
      <c r="C4785" s="2" t="s">
        <v>5928</v>
      </c>
      <c r="D4785" s="2" t="s">
        <v>41</v>
      </c>
      <c r="E4785" s="2" t="s">
        <v>16</v>
      </c>
      <c r="F4785" s="2">
        <v>30</v>
      </c>
      <c r="G4785" s="2" t="s">
        <v>10175</v>
      </c>
      <c r="H4785" s="2" t="s">
        <v>2329</v>
      </c>
      <c r="I4785" s="2" t="s">
        <v>2330</v>
      </c>
      <c r="J4785" s="3">
        <v>44841</v>
      </c>
      <c r="K4785" s="2">
        <v>94</v>
      </c>
      <c r="L4785" s="2" t="s">
        <v>39</v>
      </c>
    </row>
    <row r="4786" spans="1:12" x14ac:dyDescent="0.3">
      <c r="A4786" s="2">
        <v>4775</v>
      </c>
      <c r="B4786" s="2" t="s">
        <v>1036</v>
      </c>
      <c r="C4786" s="2" t="s">
        <v>1710</v>
      </c>
      <c r="D4786" s="2" t="s">
        <v>28</v>
      </c>
      <c r="E4786" s="2" t="s">
        <v>29</v>
      </c>
      <c r="F4786" s="2">
        <v>30</v>
      </c>
      <c r="G4786" s="2" t="s">
        <v>10176</v>
      </c>
      <c r="H4786" s="2" t="s">
        <v>1519</v>
      </c>
      <c r="I4786" s="2" t="s">
        <v>32</v>
      </c>
      <c r="J4786" s="3">
        <v>44442</v>
      </c>
      <c r="K4786" s="2">
        <v>10</v>
      </c>
      <c r="L4786" s="2" t="s">
        <v>39</v>
      </c>
    </row>
    <row r="4787" spans="1:12" x14ac:dyDescent="0.3">
      <c r="A4787" s="2">
        <v>4776</v>
      </c>
      <c r="B4787" s="2" t="s">
        <v>10177</v>
      </c>
      <c r="C4787" s="2" t="s">
        <v>5546</v>
      </c>
      <c r="D4787" s="2" t="s">
        <v>28</v>
      </c>
      <c r="E4787" s="2" t="s">
        <v>29</v>
      </c>
      <c r="F4787" s="2">
        <v>30</v>
      </c>
      <c r="G4787" s="2" t="s">
        <v>10178</v>
      </c>
      <c r="H4787" s="2" t="s">
        <v>109</v>
      </c>
      <c r="I4787" s="2" t="s">
        <v>110</v>
      </c>
      <c r="J4787" s="3">
        <v>44421</v>
      </c>
      <c r="K4787" s="2">
        <v>18</v>
      </c>
      <c r="L4787" s="2" t="s">
        <v>54</v>
      </c>
    </row>
    <row r="4788" spans="1:12" x14ac:dyDescent="0.3">
      <c r="A4788" s="2">
        <v>4777</v>
      </c>
      <c r="B4788" s="2" t="s">
        <v>10179</v>
      </c>
      <c r="C4788" s="2" t="s">
        <v>215</v>
      </c>
      <c r="D4788" s="2" t="s">
        <v>92</v>
      </c>
      <c r="E4788" s="2" t="s">
        <v>16</v>
      </c>
      <c r="F4788" s="2">
        <v>60</v>
      </c>
      <c r="G4788" s="2" t="s">
        <v>10180</v>
      </c>
      <c r="H4788" s="2" t="s">
        <v>4860</v>
      </c>
      <c r="I4788" s="2" t="s">
        <v>32</v>
      </c>
      <c r="J4788" s="3">
        <v>44786</v>
      </c>
      <c r="K4788" s="2">
        <v>91</v>
      </c>
      <c r="L4788" s="2" t="s">
        <v>80</v>
      </c>
    </row>
    <row r="4789" spans="1:12" x14ac:dyDescent="0.3">
      <c r="A4789" s="2">
        <v>4778</v>
      </c>
      <c r="B4789" s="2" t="s">
        <v>5083</v>
      </c>
      <c r="C4789" s="2" t="s">
        <v>4913</v>
      </c>
      <c r="D4789" s="2" t="s">
        <v>92</v>
      </c>
      <c r="E4789" s="2" t="s">
        <v>29</v>
      </c>
      <c r="F4789" s="2">
        <v>90</v>
      </c>
      <c r="G4789" s="2" t="s">
        <v>10587</v>
      </c>
      <c r="H4789" s="2" t="s">
        <v>6343</v>
      </c>
      <c r="I4789" s="2" t="s">
        <v>32</v>
      </c>
      <c r="J4789" s="3">
        <v>43984</v>
      </c>
      <c r="K4789" s="2">
        <v>24</v>
      </c>
      <c r="L4789" s="2" t="s">
        <v>39</v>
      </c>
    </row>
    <row r="4790" spans="1:12" x14ac:dyDescent="0.3">
      <c r="A4790" s="2">
        <v>4779</v>
      </c>
      <c r="B4790" s="2" t="s">
        <v>9466</v>
      </c>
      <c r="C4790" s="2" t="s">
        <v>1211</v>
      </c>
      <c r="D4790" s="2" t="s">
        <v>15</v>
      </c>
      <c r="E4790" s="2" t="s">
        <v>16</v>
      </c>
      <c r="F4790" s="2">
        <v>90</v>
      </c>
      <c r="G4790" s="2" t="s">
        <v>10182</v>
      </c>
      <c r="H4790" s="2" t="s">
        <v>68</v>
      </c>
      <c r="I4790" s="2" t="s">
        <v>69</v>
      </c>
      <c r="J4790" s="3">
        <v>44281</v>
      </c>
      <c r="K4790" s="2">
        <v>78</v>
      </c>
      <c r="L4790" s="2" t="s">
        <v>33</v>
      </c>
    </row>
    <row r="4791" spans="1:12" x14ac:dyDescent="0.3">
      <c r="A4791" s="2">
        <v>4780</v>
      </c>
      <c r="B4791" s="2" t="s">
        <v>3709</v>
      </c>
      <c r="C4791" s="2" t="s">
        <v>309</v>
      </c>
      <c r="D4791" s="2" t="s">
        <v>51</v>
      </c>
      <c r="E4791" s="2" t="s">
        <v>16</v>
      </c>
      <c r="F4791" s="2">
        <v>60</v>
      </c>
      <c r="G4791" s="2" t="s">
        <v>10183</v>
      </c>
      <c r="H4791" s="2" t="s">
        <v>1893</v>
      </c>
      <c r="I4791" s="2" t="s">
        <v>294</v>
      </c>
      <c r="J4791" s="3">
        <v>44220</v>
      </c>
      <c r="K4791" s="2">
        <v>20</v>
      </c>
      <c r="L4791" s="2" t="s">
        <v>33</v>
      </c>
    </row>
    <row r="4792" spans="1:12" x14ac:dyDescent="0.3">
      <c r="A4792" s="2">
        <v>4781</v>
      </c>
      <c r="B4792" s="2" t="s">
        <v>8365</v>
      </c>
      <c r="C4792" s="2" t="s">
        <v>1994</v>
      </c>
      <c r="D4792" s="2" t="s">
        <v>51</v>
      </c>
      <c r="E4792" s="2" t="s">
        <v>16</v>
      </c>
      <c r="F4792" s="2">
        <v>90</v>
      </c>
      <c r="G4792" s="2" t="s">
        <v>10184</v>
      </c>
      <c r="H4792" s="2" t="s">
        <v>6122</v>
      </c>
      <c r="I4792" s="2" t="s">
        <v>25</v>
      </c>
      <c r="J4792" s="3">
        <v>44689</v>
      </c>
      <c r="K4792" s="2">
        <v>11</v>
      </c>
      <c r="L4792" s="2" t="s">
        <v>20</v>
      </c>
    </row>
    <row r="4793" spans="1:12" x14ac:dyDescent="0.3">
      <c r="A4793" s="2">
        <v>4782</v>
      </c>
      <c r="B4793" s="2" t="s">
        <v>1778</v>
      </c>
      <c r="C4793" s="2" t="s">
        <v>3546</v>
      </c>
      <c r="D4793" s="2" t="s">
        <v>51</v>
      </c>
      <c r="E4793" s="2" t="s">
        <v>16</v>
      </c>
      <c r="F4793" s="2">
        <v>60</v>
      </c>
      <c r="G4793" s="2" t="s">
        <v>10184</v>
      </c>
      <c r="H4793" s="2" t="s">
        <v>4404</v>
      </c>
      <c r="I4793" s="2" t="s">
        <v>32</v>
      </c>
      <c r="J4793" s="3">
        <v>44327</v>
      </c>
      <c r="K4793" s="2">
        <v>9</v>
      </c>
      <c r="L4793" s="2" t="s">
        <v>39</v>
      </c>
    </row>
    <row r="4794" spans="1:12" x14ac:dyDescent="0.3">
      <c r="A4794" s="2">
        <v>4783</v>
      </c>
      <c r="B4794" s="2" t="s">
        <v>6715</v>
      </c>
      <c r="C4794" s="2" t="s">
        <v>5323</v>
      </c>
      <c r="D4794" s="2" t="s">
        <v>28</v>
      </c>
      <c r="E4794" s="2" t="s">
        <v>29</v>
      </c>
      <c r="F4794" s="2">
        <v>60</v>
      </c>
      <c r="G4794" s="2" t="s">
        <v>10185</v>
      </c>
      <c r="H4794" s="2" t="s">
        <v>802</v>
      </c>
      <c r="I4794" s="2" t="s">
        <v>294</v>
      </c>
      <c r="J4794" s="3">
        <v>44016</v>
      </c>
      <c r="K4794" s="2">
        <v>63</v>
      </c>
      <c r="L4794" s="2" t="s">
        <v>33</v>
      </c>
    </row>
    <row r="4795" spans="1:12" x14ac:dyDescent="0.3">
      <c r="A4795" s="2">
        <v>4784</v>
      </c>
      <c r="B4795" s="2" t="s">
        <v>1900</v>
      </c>
      <c r="C4795" s="2" t="s">
        <v>481</v>
      </c>
      <c r="D4795" s="2" t="s">
        <v>51</v>
      </c>
      <c r="E4795" s="2" t="s">
        <v>16</v>
      </c>
      <c r="F4795" s="2">
        <v>30</v>
      </c>
      <c r="G4795" s="2" t="s">
        <v>10186</v>
      </c>
      <c r="H4795" s="2" t="s">
        <v>4133</v>
      </c>
      <c r="I4795" s="2" t="s">
        <v>32</v>
      </c>
      <c r="J4795" s="3">
        <v>44609</v>
      </c>
      <c r="K4795" s="2">
        <v>85</v>
      </c>
      <c r="L4795" s="2" t="s">
        <v>101</v>
      </c>
    </row>
    <row r="4796" spans="1:12" x14ac:dyDescent="0.3">
      <c r="A4796" s="2">
        <v>4785</v>
      </c>
      <c r="B4796" s="2" t="s">
        <v>10187</v>
      </c>
      <c r="C4796" s="2" t="s">
        <v>1821</v>
      </c>
      <c r="D4796" s="2" t="s">
        <v>41</v>
      </c>
      <c r="E4796" s="2" t="s">
        <v>16</v>
      </c>
      <c r="F4796" s="2">
        <v>60</v>
      </c>
      <c r="G4796" s="2" t="s">
        <v>10188</v>
      </c>
      <c r="H4796" s="2" t="s">
        <v>195</v>
      </c>
      <c r="I4796" s="2" t="s">
        <v>187</v>
      </c>
      <c r="J4796" s="3">
        <v>44778</v>
      </c>
      <c r="K4796" s="2">
        <v>104</v>
      </c>
      <c r="L4796" s="2" t="s">
        <v>64</v>
      </c>
    </row>
    <row r="4797" spans="1:12" x14ac:dyDescent="0.3">
      <c r="A4797" s="2">
        <v>4786</v>
      </c>
      <c r="B4797" s="2" t="s">
        <v>10189</v>
      </c>
      <c r="C4797" s="2" t="s">
        <v>696</v>
      </c>
      <c r="D4797" s="2" t="s">
        <v>15</v>
      </c>
      <c r="E4797" s="2" t="s">
        <v>16</v>
      </c>
      <c r="F4797" s="2">
        <v>90</v>
      </c>
      <c r="G4797" s="2" t="s">
        <v>10190</v>
      </c>
      <c r="H4797" s="2" t="s">
        <v>641</v>
      </c>
      <c r="I4797" s="2" t="s">
        <v>294</v>
      </c>
      <c r="J4797" s="3">
        <v>44197</v>
      </c>
      <c r="K4797" s="2">
        <v>13</v>
      </c>
      <c r="L4797" s="2" t="s">
        <v>33</v>
      </c>
    </row>
    <row r="4798" spans="1:12" x14ac:dyDescent="0.3">
      <c r="A4798" s="2">
        <v>4787</v>
      </c>
      <c r="B4798" s="2" t="s">
        <v>10191</v>
      </c>
      <c r="C4798" s="2" t="s">
        <v>10192</v>
      </c>
      <c r="D4798" s="2" t="s">
        <v>51</v>
      </c>
      <c r="E4798" s="2" t="s">
        <v>16</v>
      </c>
      <c r="F4798" s="2">
        <v>60</v>
      </c>
      <c r="G4798" s="2" t="s">
        <v>10193</v>
      </c>
      <c r="H4798" s="2" t="s">
        <v>659</v>
      </c>
      <c r="I4798" s="2" t="s">
        <v>32</v>
      </c>
      <c r="J4798" s="3">
        <v>44547</v>
      </c>
      <c r="K4798" s="2">
        <v>7</v>
      </c>
      <c r="L4798" s="2" t="s">
        <v>101</v>
      </c>
    </row>
    <row r="4799" spans="1:12" x14ac:dyDescent="0.3">
      <c r="A4799" s="2">
        <v>4788</v>
      </c>
      <c r="B4799" s="2" t="s">
        <v>10194</v>
      </c>
      <c r="C4799" s="2" t="s">
        <v>4679</v>
      </c>
      <c r="D4799" s="2" t="s">
        <v>51</v>
      </c>
      <c r="E4799" s="2" t="s">
        <v>16</v>
      </c>
      <c r="F4799" s="2">
        <v>60</v>
      </c>
      <c r="G4799" s="2" t="s">
        <v>10195</v>
      </c>
      <c r="H4799" s="2" t="s">
        <v>6430</v>
      </c>
      <c r="I4799" s="2" t="s">
        <v>32</v>
      </c>
      <c r="J4799" s="3">
        <v>44452</v>
      </c>
      <c r="K4799" s="2">
        <v>38</v>
      </c>
      <c r="L4799" s="2" t="s">
        <v>45</v>
      </c>
    </row>
    <row r="4800" spans="1:12" x14ac:dyDescent="0.3">
      <c r="A4800" s="2">
        <v>4789</v>
      </c>
      <c r="B4800" s="2" t="s">
        <v>9550</v>
      </c>
      <c r="C4800" s="2" t="s">
        <v>5677</v>
      </c>
      <c r="D4800" s="2" t="s">
        <v>15</v>
      </c>
      <c r="E4800" s="2" t="s">
        <v>16</v>
      </c>
      <c r="F4800" s="2">
        <v>90</v>
      </c>
      <c r="G4800" s="2" t="s">
        <v>10196</v>
      </c>
      <c r="H4800" s="2" t="s">
        <v>455</v>
      </c>
      <c r="I4800" s="2" t="s">
        <v>187</v>
      </c>
      <c r="J4800" s="3">
        <v>43872</v>
      </c>
      <c r="K4800" s="2">
        <v>8</v>
      </c>
      <c r="L4800" s="2" t="s">
        <v>45</v>
      </c>
    </row>
    <row r="4801" spans="1:12" x14ac:dyDescent="0.3">
      <c r="A4801" s="2">
        <v>4790</v>
      </c>
      <c r="B4801" s="2" t="s">
        <v>882</v>
      </c>
      <c r="C4801" s="2" t="s">
        <v>4635</v>
      </c>
      <c r="D4801" s="2" t="s">
        <v>28</v>
      </c>
      <c r="E4801" s="2" t="s">
        <v>29</v>
      </c>
      <c r="F4801" s="2">
        <v>90</v>
      </c>
      <c r="G4801" s="2" t="s">
        <v>10196</v>
      </c>
      <c r="H4801" s="2" t="s">
        <v>970</v>
      </c>
      <c r="I4801" s="2" t="s">
        <v>187</v>
      </c>
      <c r="J4801" s="3">
        <v>44832</v>
      </c>
      <c r="K4801" s="2">
        <v>88</v>
      </c>
      <c r="L4801" s="2" t="s">
        <v>70</v>
      </c>
    </row>
    <row r="4802" spans="1:12" x14ac:dyDescent="0.3">
      <c r="A4802" s="2">
        <v>4791</v>
      </c>
      <c r="B4802" s="2" t="s">
        <v>10197</v>
      </c>
      <c r="C4802" s="2" t="s">
        <v>4790</v>
      </c>
      <c r="D4802" s="2" t="s">
        <v>15</v>
      </c>
      <c r="E4802" s="2" t="s">
        <v>16</v>
      </c>
      <c r="F4802" s="2">
        <v>60</v>
      </c>
      <c r="G4802" s="2" t="s">
        <v>10198</v>
      </c>
      <c r="H4802" s="2" t="s">
        <v>1568</v>
      </c>
      <c r="I4802" s="2" t="s">
        <v>32</v>
      </c>
      <c r="J4802" s="3">
        <v>44015</v>
      </c>
      <c r="K4802" s="2">
        <v>22</v>
      </c>
      <c r="L4802" s="2" t="s">
        <v>33</v>
      </c>
    </row>
    <row r="4803" spans="1:12" x14ac:dyDescent="0.3">
      <c r="A4803" s="2">
        <v>4792</v>
      </c>
      <c r="B4803" s="2" t="s">
        <v>4936</v>
      </c>
      <c r="C4803" s="2" t="s">
        <v>1528</v>
      </c>
      <c r="D4803" s="2" t="s">
        <v>28</v>
      </c>
      <c r="E4803" s="2" t="s">
        <v>29</v>
      </c>
      <c r="F4803" s="2">
        <v>60</v>
      </c>
      <c r="G4803" s="2" t="s">
        <v>10199</v>
      </c>
      <c r="H4803" s="2" t="s">
        <v>9098</v>
      </c>
      <c r="I4803" s="2" t="s">
        <v>38</v>
      </c>
      <c r="J4803" s="3">
        <v>44118</v>
      </c>
      <c r="K4803" s="2">
        <v>81</v>
      </c>
      <c r="L4803" s="2" t="s">
        <v>45</v>
      </c>
    </row>
    <row r="4804" spans="1:12" x14ac:dyDescent="0.3">
      <c r="A4804" s="2">
        <v>4793</v>
      </c>
      <c r="B4804" s="2" t="s">
        <v>2840</v>
      </c>
      <c r="C4804" s="2" t="s">
        <v>4218</v>
      </c>
      <c r="D4804" s="2" t="s">
        <v>28</v>
      </c>
      <c r="E4804" s="2" t="s">
        <v>29</v>
      </c>
      <c r="F4804" s="2">
        <v>60</v>
      </c>
      <c r="G4804" s="2" t="s">
        <v>10200</v>
      </c>
      <c r="H4804" s="2" t="s">
        <v>128</v>
      </c>
      <c r="I4804" s="2" t="s">
        <v>129</v>
      </c>
      <c r="J4804" s="3">
        <v>44480</v>
      </c>
      <c r="K4804" s="2">
        <v>69</v>
      </c>
      <c r="L4804" s="2" t="s">
        <v>45</v>
      </c>
    </row>
    <row r="4805" spans="1:12" x14ac:dyDescent="0.3">
      <c r="A4805" s="2">
        <v>4794</v>
      </c>
      <c r="B4805" s="2" t="s">
        <v>1079</v>
      </c>
      <c r="C4805" s="2" t="s">
        <v>4366</v>
      </c>
      <c r="D4805" s="2" t="s">
        <v>51</v>
      </c>
      <c r="E4805" s="2" t="s">
        <v>16</v>
      </c>
      <c r="F4805" s="2">
        <v>30</v>
      </c>
      <c r="G4805" s="2" t="s">
        <v>10456</v>
      </c>
      <c r="H4805" s="2" t="s">
        <v>7261</v>
      </c>
      <c r="I4805" s="2" t="s">
        <v>32</v>
      </c>
      <c r="J4805" s="3">
        <v>44711</v>
      </c>
      <c r="K4805" s="2">
        <v>88</v>
      </c>
      <c r="L4805" s="2" t="s">
        <v>70</v>
      </c>
    </row>
    <row r="4806" spans="1:12" x14ac:dyDescent="0.3">
      <c r="A4806" s="2">
        <v>4795</v>
      </c>
      <c r="B4806" s="2" t="s">
        <v>10202</v>
      </c>
      <c r="C4806" s="2" t="s">
        <v>7187</v>
      </c>
      <c r="D4806" s="2" t="s">
        <v>15</v>
      </c>
      <c r="E4806" s="2" t="s">
        <v>16</v>
      </c>
      <c r="F4806" s="2">
        <v>90</v>
      </c>
      <c r="G4806" s="2" t="s">
        <v>10203</v>
      </c>
      <c r="H4806" s="2" t="s">
        <v>8331</v>
      </c>
      <c r="I4806" s="2" t="s">
        <v>32</v>
      </c>
      <c r="J4806" s="3">
        <v>44717</v>
      </c>
      <c r="K4806" s="2">
        <v>79</v>
      </c>
      <c r="L4806" s="2" t="s">
        <v>64</v>
      </c>
    </row>
    <row r="4807" spans="1:12" x14ac:dyDescent="0.3">
      <c r="A4807" s="2">
        <v>4796</v>
      </c>
      <c r="B4807" s="2" t="s">
        <v>10204</v>
      </c>
      <c r="C4807" s="2" t="s">
        <v>4671</v>
      </c>
      <c r="D4807" s="2" t="s">
        <v>15</v>
      </c>
      <c r="E4807" s="2" t="s">
        <v>16</v>
      </c>
      <c r="F4807" s="2">
        <v>30</v>
      </c>
      <c r="G4807" s="2" t="s">
        <v>10205</v>
      </c>
      <c r="H4807" s="2" t="s">
        <v>4915</v>
      </c>
      <c r="I4807" s="2" t="s">
        <v>32</v>
      </c>
      <c r="J4807" s="3">
        <v>44743</v>
      </c>
      <c r="K4807" s="2">
        <v>100</v>
      </c>
      <c r="L4807" s="2" t="s">
        <v>159</v>
      </c>
    </row>
    <row r="4808" spans="1:12" x14ac:dyDescent="0.3">
      <c r="A4808" s="2">
        <v>4797</v>
      </c>
      <c r="B4808" s="2" t="s">
        <v>9096</v>
      </c>
      <c r="C4808" s="2" t="s">
        <v>6971</v>
      </c>
      <c r="D4808" s="2" t="s">
        <v>41</v>
      </c>
      <c r="E4808" s="2" t="s">
        <v>16</v>
      </c>
      <c r="F4808" s="2">
        <v>60</v>
      </c>
      <c r="G4808" s="2" t="s">
        <v>10206</v>
      </c>
      <c r="H4808" s="2" t="s">
        <v>2799</v>
      </c>
      <c r="I4808" s="2" t="s">
        <v>32</v>
      </c>
      <c r="J4808" s="3">
        <v>44835</v>
      </c>
      <c r="K4808" s="2">
        <v>94</v>
      </c>
      <c r="L4808" s="2" t="s">
        <v>159</v>
      </c>
    </row>
    <row r="4809" spans="1:12" x14ac:dyDescent="0.3">
      <c r="A4809" s="2">
        <v>4798</v>
      </c>
      <c r="B4809" s="2" t="s">
        <v>8091</v>
      </c>
      <c r="C4809" s="2" t="s">
        <v>5323</v>
      </c>
      <c r="D4809" s="2" t="s">
        <v>15</v>
      </c>
      <c r="E4809" s="2" t="s">
        <v>16</v>
      </c>
      <c r="F4809" s="2">
        <v>30</v>
      </c>
      <c r="G4809" s="2" t="s">
        <v>10207</v>
      </c>
      <c r="H4809" s="2" t="s">
        <v>5108</v>
      </c>
      <c r="I4809" s="2" t="s">
        <v>38</v>
      </c>
      <c r="J4809" s="3">
        <v>43832</v>
      </c>
      <c r="K4809" s="2">
        <v>13</v>
      </c>
      <c r="L4809" s="2" t="s">
        <v>70</v>
      </c>
    </row>
    <row r="4810" spans="1:12" x14ac:dyDescent="0.3">
      <c r="A4810" s="2">
        <v>4799</v>
      </c>
      <c r="B4810" s="2" t="s">
        <v>10208</v>
      </c>
      <c r="C4810" s="2" t="s">
        <v>61</v>
      </c>
      <c r="D4810" s="2" t="s">
        <v>15</v>
      </c>
      <c r="E4810" s="2" t="s">
        <v>16</v>
      </c>
      <c r="F4810" s="2">
        <v>90</v>
      </c>
      <c r="G4810" s="2" t="s">
        <v>10209</v>
      </c>
      <c r="H4810" s="2" t="s">
        <v>5714</v>
      </c>
      <c r="I4810" s="2" t="s">
        <v>187</v>
      </c>
      <c r="J4810" s="3">
        <v>44629</v>
      </c>
      <c r="K4810" s="2">
        <v>59</v>
      </c>
      <c r="L4810" s="2" t="s">
        <v>159</v>
      </c>
    </row>
    <row r="4811" spans="1:12" x14ac:dyDescent="0.3">
      <c r="A4811" s="2">
        <v>4800</v>
      </c>
      <c r="B4811" s="2" t="s">
        <v>6251</v>
      </c>
      <c r="C4811" s="2" t="s">
        <v>2611</v>
      </c>
      <c r="D4811" s="2" t="s">
        <v>15</v>
      </c>
      <c r="E4811" s="2" t="s">
        <v>16</v>
      </c>
      <c r="F4811" s="2">
        <v>30</v>
      </c>
      <c r="G4811" s="2" t="s">
        <v>10210</v>
      </c>
      <c r="H4811" s="2" t="s">
        <v>498</v>
      </c>
      <c r="I4811" s="2" t="s">
        <v>32</v>
      </c>
      <c r="J4811" s="3">
        <v>43859</v>
      </c>
      <c r="K4811" s="2">
        <v>78</v>
      </c>
      <c r="L4811" s="2" t="s">
        <v>80</v>
      </c>
    </row>
    <row r="4812" spans="1:12" x14ac:dyDescent="0.3">
      <c r="A4812" s="2">
        <v>4801</v>
      </c>
      <c r="B4812" s="2" t="s">
        <v>2580</v>
      </c>
      <c r="C4812" s="2" t="s">
        <v>3454</v>
      </c>
      <c r="D4812" s="2" t="s">
        <v>15</v>
      </c>
      <c r="E4812" s="2" t="s">
        <v>16</v>
      </c>
      <c r="F4812" s="2">
        <v>60</v>
      </c>
      <c r="G4812" s="2" t="s">
        <v>10211</v>
      </c>
      <c r="H4812" s="2" t="s">
        <v>6621</v>
      </c>
      <c r="I4812" s="2" t="s">
        <v>38</v>
      </c>
      <c r="J4812" s="3">
        <v>44572</v>
      </c>
      <c r="K4812" s="2">
        <v>19</v>
      </c>
      <c r="L4812" s="2" t="s">
        <v>64</v>
      </c>
    </row>
    <row r="4813" spans="1:12" x14ac:dyDescent="0.3">
      <c r="A4813" s="2">
        <v>4802</v>
      </c>
      <c r="B4813" s="2" t="s">
        <v>4159</v>
      </c>
      <c r="C4813" s="2" t="s">
        <v>3301</v>
      </c>
      <c r="D4813" s="2" t="s">
        <v>15</v>
      </c>
      <c r="E4813" s="2" t="s">
        <v>16</v>
      </c>
      <c r="F4813" s="2">
        <v>30</v>
      </c>
      <c r="G4813" s="2" t="s">
        <v>10212</v>
      </c>
      <c r="H4813" s="2" t="s">
        <v>1119</v>
      </c>
      <c r="I4813" s="2" t="s">
        <v>240</v>
      </c>
      <c r="J4813" s="3">
        <v>43853</v>
      </c>
      <c r="K4813" s="2">
        <v>75</v>
      </c>
      <c r="L4813" s="2" t="s">
        <v>45</v>
      </c>
    </row>
    <row r="4814" spans="1:12" x14ac:dyDescent="0.3">
      <c r="A4814" s="2">
        <v>4803</v>
      </c>
      <c r="B4814" s="2" t="s">
        <v>10213</v>
      </c>
      <c r="C4814" s="2" t="s">
        <v>107</v>
      </c>
      <c r="D4814" s="2" t="s">
        <v>51</v>
      </c>
      <c r="E4814" s="2" t="s">
        <v>16</v>
      </c>
      <c r="F4814" s="2">
        <v>60</v>
      </c>
      <c r="G4814" s="2" t="s">
        <v>10214</v>
      </c>
      <c r="H4814" s="2" t="s">
        <v>730</v>
      </c>
      <c r="I4814" s="2" t="s">
        <v>187</v>
      </c>
      <c r="J4814" s="3">
        <v>44620</v>
      </c>
      <c r="K4814" s="2">
        <v>58</v>
      </c>
      <c r="L4814" s="2" t="s">
        <v>101</v>
      </c>
    </row>
    <row r="4815" spans="1:12" x14ac:dyDescent="0.3">
      <c r="A4815" s="2">
        <v>4804</v>
      </c>
      <c r="B4815" s="2" t="s">
        <v>2300</v>
      </c>
      <c r="C4815" s="2" t="s">
        <v>10215</v>
      </c>
      <c r="D4815" s="2" t="s">
        <v>51</v>
      </c>
      <c r="E4815" s="2" t="s">
        <v>16</v>
      </c>
      <c r="F4815" s="2">
        <v>60</v>
      </c>
      <c r="G4815" s="2" t="s">
        <v>10216</v>
      </c>
      <c r="H4815" s="2" t="s">
        <v>2587</v>
      </c>
      <c r="I4815" s="2" t="s">
        <v>124</v>
      </c>
      <c r="J4815" s="3">
        <v>44828</v>
      </c>
      <c r="K4815" s="2">
        <v>87</v>
      </c>
      <c r="L4815" s="2" t="s">
        <v>20</v>
      </c>
    </row>
    <row r="4816" spans="1:12" x14ac:dyDescent="0.3">
      <c r="A4816" s="2">
        <v>4805</v>
      </c>
      <c r="B4816" s="2" t="s">
        <v>3117</v>
      </c>
      <c r="C4816" s="2" t="s">
        <v>5084</v>
      </c>
      <c r="D4816" s="2" t="s">
        <v>28</v>
      </c>
      <c r="E4816" s="2" t="s">
        <v>29</v>
      </c>
      <c r="F4816" s="2">
        <v>90</v>
      </c>
      <c r="G4816" s="2" t="s">
        <v>10217</v>
      </c>
      <c r="H4816" s="2" t="s">
        <v>750</v>
      </c>
      <c r="I4816" s="2" t="s">
        <v>25</v>
      </c>
      <c r="J4816" s="3">
        <v>44623</v>
      </c>
      <c r="K4816" s="2">
        <v>18</v>
      </c>
      <c r="L4816" s="2" t="s">
        <v>101</v>
      </c>
    </row>
    <row r="4817" spans="1:12" x14ac:dyDescent="0.3">
      <c r="A4817" s="2">
        <v>4806</v>
      </c>
      <c r="B4817" s="2" t="s">
        <v>1849</v>
      </c>
      <c r="C4817" s="2" t="s">
        <v>3965</v>
      </c>
      <c r="D4817" s="2" t="s">
        <v>51</v>
      </c>
      <c r="E4817" s="2" t="s">
        <v>16</v>
      </c>
      <c r="F4817" s="2">
        <v>90</v>
      </c>
      <c r="G4817" s="2" t="s">
        <v>10218</v>
      </c>
      <c r="H4817" s="2" t="s">
        <v>2123</v>
      </c>
      <c r="I4817" s="2" t="s">
        <v>187</v>
      </c>
      <c r="J4817" s="3">
        <v>44621</v>
      </c>
      <c r="K4817" s="2">
        <v>104</v>
      </c>
      <c r="L4817" s="2" t="s">
        <v>39</v>
      </c>
    </row>
    <row r="4818" spans="1:12" x14ac:dyDescent="0.3">
      <c r="A4818" s="2">
        <v>4807</v>
      </c>
      <c r="B4818" s="2" t="s">
        <v>2197</v>
      </c>
      <c r="C4818" s="2" t="s">
        <v>2449</v>
      </c>
      <c r="D4818" s="2" t="s">
        <v>28</v>
      </c>
      <c r="E4818" s="2" t="s">
        <v>29</v>
      </c>
      <c r="F4818" s="2">
        <v>60</v>
      </c>
      <c r="G4818" s="2" t="s">
        <v>10219</v>
      </c>
      <c r="H4818" s="2" t="s">
        <v>6687</v>
      </c>
      <c r="I4818" s="2" t="s">
        <v>32</v>
      </c>
      <c r="J4818" s="3">
        <v>44386</v>
      </c>
      <c r="K4818" s="2">
        <v>79</v>
      </c>
      <c r="L4818" s="2" t="s">
        <v>80</v>
      </c>
    </row>
    <row r="4819" spans="1:12" x14ac:dyDescent="0.3">
      <c r="A4819" s="2">
        <v>4808</v>
      </c>
      <c r="B4819" s="2" t="s">
        <v>10220</v>
      </c>
      <c r="C4819" s="2" t="s">
        <v>348</v>
      </c>
      <c r="D4819" s="2" t="s">
        <v>15</v>
      </c>
      <c r="E4819" s="2" t="s">
        <v>16</v>
      </c>
      <c r="F4819" s="2">
        <v>30</v>
      </c>
      <c r="G4819" s="2" t="s">
        <v>10221</v>
      </c>
      <c r="H4819" s="2" t="s">
        <v>3157</v>
      </c>
      <c r="I4819" s="2" t="s">
        <v>32</v>
      </c>
      <c r="J4819" s="3">
        <v>44395</v>
      </c>
      <c r="K4819" s="2">
        <v>40</v>
      </c>
      <c r="L4819" s="2" t="s">
        <v>159</v>
      </c>
    </row>
    <row r="4820" spans="1:12" x14ac:dyDescent="0.3">
      <c r="A4820" s="2">
        <v>4809</v>
      </c>
      <c r="B4820" s="2" t="s">
        <v>9030</v>
      </c>
      <c r="C4820" s="2" t="s">
        <v>672</v>
      </c>
      <c r="D4820" s="2" t="s">
        <v>51</v>
      </c>
      <c r="E4820" s="2" t="s">
        <v>16</v>
      </c>
      <c r="F4820" s="2">
        <v>90</v>
      </c>
      <c r="G4820" s="2" t="s">
        <v>10222</v>
      </c>
      <c r="H4820" s="2" t="s">
        <v>3365</v>
      </c>
      <c r="I4820" s="2" t="s">
        <v>146</v>
      </c>
      <c r="J4820" s="3">
        <v>44290</v>
      </c>
      <c r="K4820" s="2">
        <v>52</v>
      </c>
      <c r="L4820" s="2" t="s">
        <v>39</v>
      </c>
    </row>
    <row r="4821" spans="1:12" x14ac:dyDescent="0.3">
      <c r="A4821" s="2">
        <v>4810</v>
      </c>
      <c r="B4821" s="2" t="s">
        <v>10223</v>
      </c>
      <c r="C4821" s="2" t="s">
        <v>10224</v>
      </c>
      <c r="D4821" s="2" t="s">
        <v>51</v>
      </c>
      <c r="E4821" s="2" t="s">
        <v>16</v>
      </c>
      <c r="F4821" s="2">
        <v>30</v>
      </c>
      <c r="G4821" s="2" t="s">
        <v>10225</v>
      </c>
      <c r="H4821" s="2" t="s">
        <v>2084</v>
      </c>
      <c r="I4821" s="2" t="s">
        <v>294</v>
      </c>
      <c r="J4821" s="3">
        <v>44743</v>
      </c>
      <c r="K4821" s="2">
        <v>98</v>
      </c>
      <c r="L4821" s="2" t="s">
        <v>45</v>
      </c>
    </row>
    <row r="4822" spans="1:12" x14ac:dyDescent="0.3">
      <c r="A4822" s="2">
        <v>4811</v>
      </c>
      <c r="B4822" s="2" t="s">
        <v>463</v>
      </c>
      <c r="C4822" s="2" t="s">
        <v>7684</v>
      </c>
      <c r="D4822" s="2" t="s">
        <v>41</v>
      </c>
      <c r="E4822" s="2" t="s">
        <v>16</v>
      </c>
      <c r="F4822" s="2">
        <v>90</v>
      </c>
      <c r="G4822" s="2" t="s">
        <v>10588</v>
      </c>
      <c r="H4822" s="2" t="s">
        <v>2066</v>
      </c>
      <c r="I4822" s="2" t="s">
        <v>294</v>
      </c>
      <c r="J4822" s="3">
        <v>44277</v>
      </c>
      <c r="K4822" s="2">
        <v>75</v>
      </c>
      <c r="L4822" s="2" t="s">
        <v>159</v>
      </c>
    </row>
    <row r="4823" spans="1:12" x14ac:dyDescent="0.3">
      <c r="A4823" s="2">
        <v>4812</v>
      </c>
      <c r="B4823" s="2" t="s">
        <v>10227</v>
      </c>
      <c r="C4823" s="2" t="s">
        <v>2813</v>
      </c>
      <c r="D4823" s="2" t="s">
        <v>51</v>
      </c>
      <c r="E4823" s="2" t="s">
        <v>16</v>
      </c>
      <c r="F4823" s="2">
        <v>30</v>
      </c>
      <c r="G4823" s="2" t="s">
        <v>10228</v>
      </c>
      <c r="H4823" s="2" t="s">
        <v>3579</v>
      </c>
      <c r="I4823" s="2" t="s">
        <v>1576</v>
      </c>
      <c r="J4823" s="3">
        <v>43868</v>
      </c>
      <c r="K4823" s="2">
        <v>51</v>
      </c>
      <c r="L4823" s="2" t="s">
        <v>101</v>
      </c>
    </row>
    <row r="4824" spans="1:12" x14ac:dyDescent="0.3">
      <c r="A4824" s="2">
        <v>4813</v>
      </c>
      <c r="B4824" s="2" t="s">
        <v>7821</v>
      </c>
      <c r="C4824" s="2" t="s">
        <v>4635</v>
      </c>
      <c r="D4824" s="2" t="s">
        <v>15</v>
      </c>
      <c r="E4824" s="2" t="s">
        <v>16</v>
      </c>
      <c r="F4824" s="2">
        <v>60</v>
      </c>
      <c r="G4824" s="2" t="s">
        <v>10229</v>
      </c>
      <c r="H4824" s="2" t="s">
        <v>3724</v>
      </c>
      <c r="I4824" s="2" t="s">
        <v>1078</v>
      </c>
      <c r="J4824" s="3">
        <v>44744</v>
      </c>
      <c r="K4824" s="2">
        <v>40</v>
      </c>
      <c r="L4824" s="2" t="s">
        <v>20</v>
      </c>
    </row>
    <row r="4825" spans="1:12" x14ac:dyDescent="0.3">
      <c r="A4825" s="2">
        <v>4814</v>
      </c>
      <c r="B4825" s="2" t="s">
        <v>1877</v>
      </c>
      <c r="C4825" s="2" t="s">
        <v>9715</v>
      </c>
      <c r="D4825" s="2" t="s">
        <v>28</v>
      </c>
      <c r="E4825" s="2" t="s">
        <v>29</v>
      </c>
      <c r="F4825" s="2">
        <v>30</v>
      </c>
      <c r="G4825" s="2" t="s">
        <v>10230</v>
      </c>
      <c r="H4825" s="2" t="s">
        <v>9286</v>
      </c>
      <c r="I4825" s="2" t="s">
        <v>178</v>
      </c>
      <c r="J4825" s="3">
        <v>44203</v>
      </c>
      <c r="K4825" s="2">
        <v>63</v>
      </c>
      <c r="L4825" s="2" t="s">
        <v>101</v>
      </c>
    </row>
    <row r="4826" spans="1:12" x14ac:dyDescent="0.3">
      <c r="A4826" s="2">
        <v>4815</v>
      </c>
      <c r="B4826" s="2" t="s">
        <v>10231</v>
      </c>
      <c r="C4826" s="2" t="s">
        <v>1410</v>
      </c>
      <c r="D4826" s="2" t="s">
        <v>41</v>
      </c>
      <c r="E4826" s="2" t="s">
        <v>16</v>
      </c>
      <c r="F4826" s="2">
        <v>90</v>
      </c>
      <c r="G4826" s="2" t="s">
        <v>10232</v>
      </c>
      <c r="H4826" s="2" t="s">
        <v>350</v>
      </c>
      <c r="I4826" s="2" t="s">
        <v>25</v>
      </c>
      <c r="J4826" s="3">
        <v>43947</v>
      </c>
      <c r="K4826" s="2">
        <v>4</v>
      </c>
      <c r="L4826" s="2" t="s">
        <v>33</v>
      </c>
    </row>
    <row r="4827" spans="1:12" x14ac:dyDescent="0.3">
      <c r="A4827" s="2">
        <v>4816</v>
      </c>
      <c r="B4827" s="2" t="s">
        <v>10233</v>
      </c>
      <c r="C4827" s="2" t="s">
        <v>816</v>
      </c>
      <c r="D4827" s="2" t="s">
        <v>28</v>
      </c>
      <c r="E4827" s="2" t="s">
        <v>29</v>
      </c>
      <c r="F4827" s="2">
        <v>60</v>
      </c>
      <c r="G4827" s="2" t="s">
        <v>10234</v>
      </c>
      <c r="H4827" s="2" t="s">
        <v>6312</v>
      </c>
      <c r="I4827" s="2" t="s">
        <v>173</v>
      </c>
      <c r="J4827" s="3">
        <v>43946</v>
      </c>
      <c r="K4827" s="2">
        <v>36</v>
      </c>
      <c r="L4827" s="2" t="s">
        <v>70</v>
      </c>
    </row>
    <row r="4828" spans="1:12" x14ac:dyDescent="0.3">
      <c r="A4828" s="2">
        <v>4817</v>
      </c>
      <c r="B4828" s="2" t="s">
        <v>8785</v>
      </c>
      <c r="C4828" s="2" t="s">
        <v>795</v>
      </c>
      <c r="D4828" s="2" t="s">
        <v>51</v>
      </c>
      <c r="E4828" s="2" t="s">
        <v>16</v>
      </c>
      <c r="F4828" s="2">
        <v>90</v>
      </c>
      <c r="G4828" s="2" t="s">
        <v>10235</v>
      </c>
      <c r="H4828" s="2" t="s">
        <v>2311</v>
      </c>
      <c r="I4828" s="2" t="s">
        <v>32</v>
      </c>
      <c r="J4828" s="3">
        <v>43924</v>
      </c>
      <c r="K4828" s="2">
        <v>80</v>
      </c>
      <c r="L4828" s="2" t="s">
        <v>20</v>
      </c>
    </row>
    <row r="4829" spans="1:12" x14ac:dyDescent="0.3">
      <c r="A4829" s="2">
        <v>4818</v>
      </c>
      <c r="B4829" s="2" t="s">
        <v>10236</v>
      </c>
      <c r="C4829" s="2" t="s">
        <v>1654</v>
      </c>
      <c r="D4829" s="2" t="s">
        <v>51</v>
      </c>
      <c r="E4829" s="2" t="s">
        <v>16</v>
      </c>
      <c r="F4829" s="2">
        <v>90</v>
      </c>
      <c r="G4829" s="2" t="s">
        <v>10237</v>
      </c>
      <c r="H4829" s="2" t="s">
        <v>1168</v>
      </c>
      <c r="I4829" s="2" t="s">
        <v>32</v>
      </c>
      <c r="J4829" s="3">
        <v>43888</v>
      </c>
      <c r="K4829" s="2">
        <v>61</v>
      </c>
      <c r="L4829" s="2" t="s">
        <v>64</v>
      </c>
    </row>
    <row r="4830" spans="1:12" x14ac:dyDescent="0.3">
      <c r="A4830" s="2">
        <v>4819</v>
      </c>
      <c r="B4830" s="2" t="s">
        <v>10238</v>
      </c>
      <c r="C4830" s="2" t="s">
        <v>3251</v>
      </c>
      <c r="D4830" s="2" t="s">
        <v>28</v>
      </c>
      <c r="E4830" s="2" t="s">
        <v>29</v>
      </c>
      <c r="F4830" s="2">
        <v>60</v>
      </c>
      <c r="G4830" s="2" t="s">
        <v>10239</v>
      </c>
      <c r="H4830" s="2" t="s">
        <v>5170</v>
      </c>
      <c r="I4830" s="2" t="s">
        <v>294</v>
      </c>
      <c r="J4830" s="3">
        <v>44004</v>
      </c>
      <c r="K4830" s="2">
        <v>6</v>
      </c>
      <c r="L4830" s="2" t="s">
        <v>70</v>
      </c>
    </row>
    <row r="4831" spans="1:12" x14ac:dyDescent="0.3">
      <c r="A4831" s="2">
        <v>4820</v>
      </c>
      <c r="B4831" s="2" t="s">
        <v>5695</v>
      </c>
      <c r="C4831" s="2" t="s">
        <v>7398</v>
      </c>
      <c r="D4831" s="2" t="s">
        <v>28</v>
      </c>
      <c r="E4831" s="2" t="s">
        <v>29</v>
      </c>
      <c r="F4831" s="2">
        <v>90</v>
      </c>
      <c r="G4831" s="2" t="s">
        <v>10242</v>
      </c>
      <c r="H4831" s="2" t="s">
        <v>5867</v>
      </c>
      <c r="I4831" s="2" t="s">
        <v>32</v>
      </c>
      <c r="J4831" s="3">
        <v>44508</v>
      </c>
      <c r="K4831" s="2">
        <v>17</v>
      </c>
      <c r="L4831" s="2" t="s">
        <v>45</v>
      </c>
    </row>
    <row r="4832" spans="1:12" x14ac:dyDescent="0.3">
      <c r="A4832" s="2">
        <v>4821</v>
      </c>
      <c r="B4832" s="2" t="s">
        <v>5571</v>
      </c>
      <c r="C4832" s="2" t="s">
        <v>6776</v>
      </c>
      <c r="D4832" s="2" t="s">
        <v>15</v>
      </c>
      <c r="E4832" s="2" t="s">
        <v>16</v>
      </c>
      <c r="F4832" s="2">
        <v>90</v>
      </c>
      <c r="G4832" s="2" t="s">
        <v>10243</v>
      </c>
      <c r="H4832" s="2" t="s">
        <v>1601</v>
      </c>
      <c r="I4832" s="2" t="s">
        <v>32</v>
      </c>
      <c r="J4832" s="3">
        <v>44741</v>
      </c>
      <c r="K4832" s="2">
        <v>43</v>
      </c>
      <c r="L4832" s="2" t="s">
        <v>70</v>
      </c>
    </row>
    <row r="4833" spans="1:12" x14ac:dyDescent="0.3">
      <c r="A4833" s="2">
        <v>4822</v>
      </c>
      <c r="B4833" s="2" t="s">
        <v>10244</v>
      </c>
      <c r="C4833" s="2" t="s">
        <v>348</v>
      </c>
      <c r="D4833" s="2" t="s">
        <v>92</v>
      </c>
      <c r="E4833" s="2" t="s">
        <v>16</v>
      </c>
      <c r="F4833" s="2">
        <v>60</v>
      </c>
      <c r="G4833" s="2" t="s">
        <v>10245</v>
      </c>
      <c r="H4833" s="2" t="s">
        <v>5711</v>
      </c>
      <c r="I4833" s="2" t="s">
        <v>25</v>
      </c>
      <c r="J4833" s="3">
        <v>44133</v>
      </c>
      <c r="K4833" s="2">
        <v>61</v>
      </c>
      <c r="L4833" s="2" t="s">
        <v>159</v>
      </c>
    </row>
    <row r="4834" spans="1:12" x14ac:dyDescent="0.3">
      <c r="A4834" s="2">
        <v>4823</v>
      </c>
      <c r="B4834" s="2" t="s">
        <v>4509</v>
      </c>
      <c r="C4834" s="2" t="s">
        <v>86</v>
      </c>
      <c r="D4834" s="2" t="s">
        <v>28</v>
      </c>
      <c r="E4834" s="2" t="s">
        <v>29</v>
      </c>
      <c r="F4834" s="2">
        <v>90</v>
      </c>
      <c r="G4834" s="2" t="s">
        <v>10246</v>
      </c>
      <c r="H4834" s="2" t="s">
        <v>5007</v>
      </c>
      <c r="I4834" s="2" t="s">
        <v>89</v>
      </c>
      <c r="J4834" s="3">
        <v>44662</v>
      </c>
      <c r="K4834" s="2">
        <v>104</v>
      </c>
      <c r="L4834" s="2" t="s">
        <v>45</v>
      </c>
    </row>
    <row r="4835" spans="1:12" x14ac:dyDescent="0.3">
      <c r="A4835" s="2">
        <v>4824</v>
      </c>
      <c r="B4835" s="2" t="s">
        <v>7340</v>
      </c>
      <c r="C4835" s="2" t="s">
        <v>6845</v>
      </c>
      <c r="D4835" s="2" t="s">
        <v>28</v>
      </c>
      <c r="E4835" s="2" t="s">
        <v>29</v>
      </c>
      <c r="F4835" s="2">
        <v>30</v>
      </c>
      <c r="G4835" s="2" t="s">
        <v>10247</v>
      </c>
      <c r="H4835" s="2" t="s">
        <v>9022</v>
      </c>
      <c r="I4835" s="2" t="s">
        <v>187</v>
      </c>
      <c r="J4835" s="3">
        <v>44646</v>
      </c>
      <c r="K4835" s="2">
        <v>91</v>
      </c>
      <c r="L4835" s="2" t="s">
        <v>54</v>
      </c>
    </row>
    <row r="4836" spans="1:12" x14ac:dyDescent="0.3">
      <c r="A4836" s="2">
        <v>4825</v>
      </c>
      <c r="B4836" s="2" t="s">
        <v>1058</v>
      </c>
      <c r="C4836" s="2" t="s">
        <v>1307</v>
      </c>
      <c r="D4836" s="2" t="s">
        <v>28</v>
      </c>
      <c r="E4836" s="2" t="s">
        <v>29</v>
      </c>
      <c r="F4836" s="2">
        <v>90</v>
      </c>
      <c r="G4836" s="2" t="s">
        <v>10589</v>
      </c>
      <c r="H4836" s="2" t="s">
        <v>1103</v>
      </c>
      <c r="I4836" s="2" t="s">
        <v>25</v>
      </c>
      <c r="J4836" s="3">
        <v>44912</v>
      </c>
      <c r="K4836" s="2">
        <v>69</v>
      </c>
      <c r="L4836" s="2" t="s">
        <v>39</v>
      </c>
    </row>
    <row r="4837" spans="1:12" x14ac:dyDescent="0.3">
      <c r="A4837" s="2">
        <v>4826</v>
      </c>
      <c r="B4837" s="2" t="s">
        <v>10249</v>
      </c>
      <c r="C4837" s="2" t="s">
        <v>2505</v>
      </c>
      <c r="D4837" s="2" t="s">
        <v>51</v>
      </c>
      <c r="E4837" s="2" t="s">
        <v>16</v>
      </c>
      <c r="F4837" s="2">
        <v>60</v>
      </c>
      <c r="G4837" s="2" t="s">
        <v>10589</v>
      </c>
      <c r="H4837" s="2" t="s">
        <v>924</v>
      </c>
      <c r="I4837" s="2" t="s">
        <v>32</v>
      </c>
      <c r="J4837" s="3">
        <v>43926</v>
      </c>
      <c r="K4837" s="2">
        <v>54</v>
      </c>
      <c r="L4837" s="2" t="s">
        <v>64</v>
      </c>
    </row>
    <row r="4838" spans="1:12" x14ac:dyDescent="0.3">
      <c r="A4838" s="2">
        <v>4827</v>
      </c>
      <c r="B4838" s="2" t="s">
        <v>10250</v>
      </c>
      <c r="C4838" s="2" t="s">
        <v>2980</v>
      </c>
      <c r="D4838" s="2" t="s">
        <v>51</v>
      </c>
      <c r="E4838" s="2" t="s">
        <v>16</v>
      </c>
      <c r="F4838" s="2">
        <v>60</v>
      </c>
      <c r="G4838" s="2" t="s">
        <v>10251</v>
      </c>
      <c r="H4838" s="2" t="s">
        <v>1477</v>
      </c>
      <c r="I4838" s="2" t="s">
        <v>1478</v>
      </c>
      <c r="J4838" s="3">
        <v>44067</v>
      </c>
      <c r="K4838" s="2">
        <v>58</v>
      </c>
      <c r="L4838" s="2" t="s">
        <v>54</v>
      </c>
    </row>
    <row r="4839" spans="1:12" x14ac:dyDescent="0.3">
      <c r="A4839" s="2">
        <v>4828</v>
      </c>
      <c r="B4839" s="2" t="s">
        <v>7418</v>
      </c>
      <c r="C4839" s="2" t="s">
        <v>3265</v>
      </c>
      <c r="D4839" s="2" t="s">
        <v>28</v>
      </c>
      <c r="E4839" s="2" t="s">
        <v>29</v>
      </c>
      <c r="F4839" s="2">
        <v>30</v>
      </c>
      <c r="G4839" s="2" t="s">
        <v>10252</v>
      </c>
      <c r="H4839" s="2" t="s">
        <v>4330</v>
      </c>
      <c r="I4839" s="2" t="s">
        <v>187</v>
      </c>
      <c r="J4839" s="3">
        <v>43958</v>
      </c>
      <c r="K4839" s="2">
        <v>2</v>
      </c>
      <c r="L4839" s="2" t="s">
        <v>33</v>
      </c>
    </row>
    <row r="4840" spans="1:12" x14ac:dyDescent="0.3">
      <c r="A4840" s="2">
        <v>4829</v>
      </c>
      <c r="B4840" s="2" t="s">
        <v>2866</v>
      </c>
      <c r="C4840" s="2" t="s">
        <v>1581</v>
      </c>
      <c r="D4840" s="2" t="s">
        <v>28</v>
      </c>
      <c r="E4840" s="2" t="s">
        <v>29</v>
      </c>
      <c r="F4840" s="2">
        <v>90</v>
      </c>
      <c r="G4840" s="2" t="s">
        <v>10253</v>
      </c>
      <c r="H4840" s="2" t="s">
        <v>74</v>
      </c>
      <c r="I4840" s="2" t="s">
        <v>32</v>
      </c>
      <c r="J4840" s="3">
        <v>44340</v>
      </c>
      <c r="K4840" s="2">
        <v>13</v>
      </c>
      <c r="L4840" s="2" t="s">
        <v>54</v>
      </c>
    </row>
    <row r="4841" spans="1:12" x14ac:dyDescent="0.3">
      <c r="A4841" s="2">
        <v>4830</v>
      </c>
      <c r="B4841" s="2" t="s">
        <v>10254</v>
      </c>
      <c r="C4841" s="2" t="s">
        <v>1853</v>
      </c>
      <c r="D4841" s="2" t="s">
        <v>15</v>
      </c>
      <c r="E4841" s="2" t="s">
        <v>16</v>
      </c>
      <c r="F4841" s="2">
        <v>60</v>
      </c>
      <c r="G4841" s="2" t="s">
        <v>10255</v>
      </c>
      <c r="H4841" s="2" t="s">
        <v>8155</v>
      </c>
      <c r="I4841" s="2" t="s">
        <v>32</v>
      </c>
      <c r="J4841" s="3">
        <v>44610</v>
      </c>
      <c r="K4841" s="2">
        <v>10</v>
      </c>
      <c r="L4841" s="2" t="s">
        <v>101</v>
      </c>
    </row>
    <row r="4842" spans="1:12" x14ac:dyDescent="0.3">
      <c r="A4842" s="2">
        <v>4831</v>
      </c>
      <c r="B4842" s="2" t="s">
        <v>5380</v>
      </c>
      <c r="C4842" s="2" t="s">
        <v>9600</v>
      </c>
      <c r="D4842" s="2" t="s">
        <v>51</v>
      </c>
      <c r="E4842" s="2" t="s">
        <v>16</v>
      </c>
      <c r="F4842" s="2">
        <v>90</v>
      </c>
      <c r="G4842" s="2" t="s">
        <v>10256</v>
      </c>
      <c r="H4842" s="2" t="s">
        <v>1977</v>
      </c>
      <c r="I4842" s="2" t="s">
        <v>124</v>
      </c>
      <c r="J4842" s="3">
        <v>44779</v>
      </c>
      <c r="K4842" s="2">
        <v>29</v>
      </c>
      <c r="L4842" s="2" t="s">
        <v>64</v>
      </c>
    </row>
    <row r="4843" spans="1:12" x14ac:dyDescent="0.3">
      <c r="A4843" s="2">
        <v>4832</v>
      </c>
      <c r="B4843" s="2" t="s">
        <v>683</v>
      </c>
      <c r="C4843" s="2" t="s">
        <v>5037</v>
      </c>
      <c r="D4843" s="2" t="s">
        <v>28</v>
      </c>
      <c r="E4843" s="2" t="s">
        <v>29</v>
      </c>
      <c r="F4843" s="2">
        <v>90</v>
      </c>
      <c r="G4843" s="2" t="s">
        <v>10257</v>
      </c>
      <c r="H4843" s="2" t="s">
        <v>1896</v>
      </c>
      <c r="I4843" s="2" t="s">
        <v>294</v>
      </c>
      <c r="J4843" s="3">
        <v>44539</v>
      </c>
      <c r="K4843" s="2">
        <v>61</v>
      </c>
      <c r="L4843" s="2" t="s">
        <v>64</v>
      </c>
    </row>
    <row r="4844" spans="1:12" x14ac:dyDescent="0.3">
      <c r="A4844" s="2">
        <v>4833</v>
      </c>
      <c r="B4844" s="2" t="s">
        <v>10258</v>
      </c>
      <c r="C4844" s="2" t="s">
        <v>2095</v>
      </c>
      <c r="D4844" s="2" t="s">
        <v>51</v>
      </c>
      <c r="E4844" s="2" t="s">
        <v>16</v>
      </c>
      <c r="F4844" s="2">
        <v>30</v>
      </c>
      <c r="G4844" s="2" t="s">
        <v>10259</v>
      </c>
      <c r="H4844" s="2" t="s">
        <v>1332</v>
      </c>
      <c r="I4844" s="2" t="s">
        <v>32</v>
      </c>
      <c r="J4844" s="3">
        <v>44836</v>
      </c>
      <c r="K4844" s="2">
        <v>51</v>
      </c>
      <c r="L4844" s="2" t="s">
        <v>54</v>
      </c>
    </row>
    <row r="4845" spans="1:12" x14ac:dyDescent="0.3">
      <c r="A4845" s="2">
        <v>4834</v>
      </c>
      <c r="B4845" s="2" t="s">
        <v>10260</v>
      </c>
      <c r="C4845" s="2" t="s">
        <v>1468</v>
      </c>
      <c r="D4845" s="2" t="s">
        <v>28</v>
      </c>
      <c r="E4845" s="2" t="s">
        <v>29</v>
      </c>
      <c r="F4845" s="2">
        <v>30</v>
      </c>
      <c r="G4845" s="2" t="s">
        <v>10261</v>
      </c>
      <c r="H4845" s="2" t="s">
        <v>2766</v>
      </c>
      <c r="I4845" s="2" t="s">
        <v>294</v>
      </c>
      <c r="J4845" s="3">
        <v>44001</v>
      </c>
      <c r="K4845" s="2">
        <v>47</v>
      </c>
      <c r="L4845" s="2" t="s">
        <v>20</v>
      </c>
    </row>
    <row r="4846" spans="1:12" x14ac:dyDescent="0.3">
      <c r="A4846" s="2">
        <v>4835</v>
      </c>
      <c r="B4846" s="2" t="s">
        <v>8288</v>
      </c>
      <c r="C4846" s="2" t="s">
        <v>6040</v>
      </c>
      <c r="D4846" s="2" t="s">
        <v>28</v>
      </c>
      <c r="E4846" s="2" t="s">
        <v>29</v>
      </c>
      <c r="F4846" s="2">
        <v>30</v>
      </c>
      <c r="G4846" s="2" t="s">
        <v>10262</v>
      </c>
      <c r="H4846" s="2" t="s">
        <v>7383</v>
      </c>
      <c r="I4846" s="2" t="s">
        <v>110</v>
      </c>
      <c r="J4846" s="3">
        <v>44314</v>
      </c>
      <c r="K4846" s="2">
        <v>2</v>
      </c>
      <c r="L4846" s="2" t="s">
        <v>39</v>
      </c>
    </row>
    <row r="4847" spans="1:12" x14ac:dyDescent="0.3">
      <c r="A4847" s="2">
        <v>4836</v>
      </c>
      <c r="B4847" s="2" t="s">
        <v>3483</v>
      </c>
      <c r="C4847" s="2" t="s">
        <v>6291</v>
      </c>
      <c r="D4847" s="2" t="s">
        <v>28</v>
      </c>
      <c r="E4847" s="2" t="s">
        <v>29</v>
      </c>
      <c r="F4847" s="2">
        <v>60</v>
      </c>
      <c r="G4847" s="2" t="s">
        <v>10262</v>
      </c>
      <c r="H4847" s="2" t="s">
        <v>2931</v>
      </c>
      <c r="I4847" s="2" t="s">
        <v>32</v>
      </c>
      <c r="J4847" s="3">
        <v>44816</v>
      </c>
      <c r="K4847" s="2">
        <v>100</v>
      </c>
      <c r="L4847" s="2" t="s">
        <v>159</v>
      </c>
    </row>
    <row r="4848" spans="1:12" x14ac:dyDescent="0.3">
      <c r="A4848" s="2">
        <v>4837</v>
      </c>
      <c r="B4848" s="2" t="s">
        <v>3073</v>
      </c>
      <c r="C4848" s="2" t="s">
        <v>6062</v>
      </c>
      <c r="D4848" s="2" t="s">
        <v>28</v>
      </c>
      <c r="E4848" s="2" t="s">
        <v>29</v>
      </c>
      <c r="F4848" s="2">
        <v>30</v>
      </c>
      <c r="G4848" s="2" t="s">
        <v>10263</v>
      </c>
      <c r="H4848" s="2" t="s">
        <v>1077</v>
      </c>
      <c r="I4848" s="2" t="s">
        <v>1078</v>
      </c>
      <c r="J4848" s="3">
        <v>44070</v>
      </c>
      <c r="K4848" s="2">
        <v>34</v>
      </c>
      <c r="L4848" s="2" t="s">
        <v>39</v>
      </c>
    </row>
    <row r="4849" spans="1:12" x14ac:dyDescent="0.3">
      <c r="A4849" s="2">
        <v>4838</v>
      </c>
      <c r="B4849" s="2" t="s">
        <v>6804</v>
      </c>
      <c r="C4849" s="2" t="s">
        <v>6044</v>
      </c>
      <c r="D4849" s="2" t="s">
        <v>28</v>
      </c>
      <c r="E4849" s="2" t="s">
        <v>29</v>
      </c>
      <c r="F4849" s="2">
        <v>60</v>
      </c>
      <c r="G4849" s="2" t="s">
        <v>10264</v>
      </c>
      <c r="H4849" s="2" t="s">
        <v>558</v>
      </c>
      <c r="I4849" s="2" t="s">
        <v>32</v>
      </c>
      <c r="J4849" s="3">
        <v>44678</v>
      </c>
      <c r="K4849" s="2">
        <v>23</v>
      </c>
      <c r="L4849" s="2" t="s">
        <v>45</v>
      </c>
    </row>
    <row r="4850" spans="1:12" x14ac:dyDescent="0.3">
      <c r="A4850" s="2">
        <v>4839</v>
      </c>
      <c r="B4850" s="2" t="s">
        <v>10265</v>
      </c>
      <c r="C4850" s="2" t="s">
        <v>906</v>
      </c>
      <c r="D4850" s="2" t="s">
        <v>15</v>
      </c>
      <c r="E4850" s="2" t="s">
        <v>16</v>
      </c>
      <c r="F4850" s="2">
        <v>30</v>
      </c>
      <c r="G4850" s="2" t="s">
        <v>10266</v>
      </c>
      <c r="H4850" s="2" t="s">
        <v>7056</v>
      </c>
      <c r="I4850" s="2" t="s">
        <v>95</v>
      </c>
      <c r="J4850" s="3">
        <v>43957</v>
      </c>
      <c r="K4850" s="2">
        <v>37</v>
      </c>
      <c r="L4850" s="2" t="s">
        <v>54</v>
      </c>
    </row>
    <row r="4851" spans="1:12" x14ac:dyDescent="0.3">
      <c r="A4851" s="2">
        <v>4840</v>
      </c>
      <c r="B4851" s="2" t="s">
        <v>3397</v>
      </c>
      <c r="C4851" s="2" t="s">
        <v>1783</v>
      </c>
      <c r="D4851" s="2" t="s">
        <v>28</v>
      </c>
      <c r="E4851" s="2" t="s">
        <v>29</v>
      </c>
      <c r="F4851" s="2">
        <v>60</v>
      </c>
      <c r="G4851" s="2" t="s">
        <v>10267</v>
      </c>
      <c r="H4851" s="2" t="s">
        <v>2583</v>
      </c>
      <c r="I4851" s="2" t="s">
        <v>32</v>
      </c>
      <c r="J4851" s="3">
        <v>44647</v>
      </c>
      <c r="K4851" s="2">
        <v>95</v>
      </c>
      <c r="L4851" s="2" t="s">
        <v>45</v>
      </c>
    </row>
    <row r="4852" spans="1:12" x14ac:dyDescent="0.3">
      <c r="A4852" s="2">
        <v>4841</v>
      </c>
      <c r="B4852" s="2" t="s">
        <v>10268</v>
      </c>
      <c r="C4852" s="2" t="s">
        <v>3262</v>
      </c>
      <c r="D4852" s="2" t="s">
        <v>51</v>
      </c>
      <c r="E4852" s="2" t="s">
        <v>16</v>
      </c>
      <c r="F4852" s="2">
        <v>60</v>
      </c>
      <c r="G4852" s="2" t="s">
        <v>10269</v>
      </c>
      <c r="H4852" s="2" t="s">
        <v>1519</v>
      </c>
      <c r="I4852" s="2" t="s">
        <v>32</v>
      </c>
      <c r="J4852" s="3">
        <v>44166</v>
      </c>
      <c r="K4852" s="2">
        <v>44</v>
      </c>
      <c r="L4852" s="2" t="s">
        <v>101</v>
      </c>
    </row>
    <row r="4853" spans="1:12" x14ac:dyDescent="0.3">
      <c r="A4853" s="2">
        <v>4842</v>
      </c>
      <c r="B4853" s="2" t="s">
        <v>10270</v>
      </c>
      <c r="C4853" s="2" t="s">
        <v>1044</v>
      </c>
      <c r="D4853" s="2" t="s">
        <v>51</v>
      </c>
      <c r="E4853" s="2" t="s">
        <v>16</v>
      </c>
      <c r="F4853" s="2">
        <v>30</v>
      </c>
      <c r="G4853" s="2" t="s">
        <v>10271</v>
      </c>
      <c r="H4853" s="2" t="s">
        <v>7777</v>
      </c>
      <c r="I4853" s="2" t="s">
        <v>32</v>
      </c>
      <c r="J4853" s="3">
        <v>44092</v>
      </c>
      <c r="K4853" s="2">
        <v>43</v>
      </c>
      <c r="L4853" s="2" t="s">
        <v>33</v>
      </c>
    </row>
    <row r="4854" spans="1:12" x14ac:dyDescent="0.3">
      <c r="A4854" s="2">
        <v>4843</v>
      </c>
      <c r="B4854" s="2" t="s">
        <v>10272</v>
      </c>
      <c r="C4854" s="2" t="s">
        <v>1774</v>
      </c>
      <c r="D4854" s="2" t="s">
        <v>621</v>
      </c>
      <c r="E4854" s="2" t="s">
        <v>29</v>
      </c>
      <c r="F4854" s="2">
        <v>90</v>
      </c>
      <c r="G4854" s="2" t="s">
        <v>10273</v>
      </c>
      <c r="H4854" s="2" t="s">
        <v>63</v>
      </c>
      <c r="I4854" s="2" t="s">
        <v>32</v>
      </c>
      <c r="J4854" s="3">
        <v>44042</v>
      </c>
      <c r="K4854" s="2">
        <v>8</v>
      </c>
      <c r="L4854" s="2" t="s">
        <v>20</v>
      </c>
    </row>
    <row r="4855" spans="1:12" x14ac:dyDescent="0.3">
      <c r="A4855" s="2">
        <v>4844</v>
      </c>
      <c r="B4855" s="2" t="s">
        <v>10274</v>
      </c>
      <c r="C4855" s="2" t="s">
        <v>453</v>
      </c>
      <c r="D4855" s="2" t="s">
        <v>15</v>
      </c>
      <c r="E4855" s="2" t="s">
        <v>16</v>
      </c>
      <c r="F4855" s="2">
        <v>90</v>
      </c>
      <c r="G4855" s="2" t="s">
        <v>10275</v>
      </c>
      <c r="H4855" s="2" t="s">
        <v>2105</v>
      </c>
      <c r="I4855" s="2" t="s">
        <v>110</v>
      </c>
      <c r="J4855" s="3">
        <v>44404</v>
      </c>
      <c r="K4855" s="2">
        <v>80</v>
      </c>
      <c r="L4855" s="2" t="s">
        <v>20</v>
      </c>
    </row>
    <row r="4856" spans="1:12" x14ac:dyDescent="0.3">
      <c r="A4856" s="2">
        <v>4845</v>
      </c>
      <c r="B4856" s="2" t="s">
        <v>1158</v>
      </c>
      <c r="C4856" s="2" t="s">
        <v>6812</v>
      </c>
      <c r="D4856" s="2" t="s">
        <v>28</v>
      </c>
      <c r="E4856" s="2" t="s">
        <v>29</v>
      </c>
      <c r="F4856" s="2">
        <v>30</v>
      </c>
      <c r="G4856" s="2" t="s">
        <v>10590</v>
      </c>
      <c r="H4856" s="2" t="s">
        <v>989</v>
      </c>
      <c r="I4856" s="2" t="s">
        <v>124</v>
      </c>
      <c r="J4856" s="3">
        <v>43940</v>
      </c>
      <c r="K4856" s="2">
        <v>70</v>
      </c>
      <c r="L4856" s="2" t="s">
        <v>70</v>
      </c>
    </row>
    <row r="4857" spans="1:12" x14ac:dyDescent="0.3">
      <c r="A4857" s="2">
        <v>4846</v>
      </c>
      <c r="B4857" s="2" t="s">
        <v>9683</v>
      </c>
      <c r="C4857" s="2" t="s">
        <v>10277</v>
      </c>
      <c r="D4857" s="2" t="s">
        <v>51</v>
      </c>
      <c r="E4857" s="2" t="s">
        <v>16</v>
      </c>
      <c r="F4857" s="2">
        <v>30</v>
      </c>
      <c r="G4857" s="2" t="s">
        <v>10278</v>
      </c>
      <c r="H4857" s="2" t="s">
        <v>818</v>
      </c>
      <c r="I4857" s="2" t="s">
        <v>819</v>
      </c>
      <c r="J4857" s="3">
        <v>44087</v>
      </c>
      <c r="K4857" s="2">
        <v>66</v>
      </c>
      <c r="L4857" s="2" t="s">
        <v>54</v>
      </c>
    </row>
    <row r="4858" spans="1:12" x14ac:dyDescent="0.3">
      <c r="A4858" s="2">
        <v>4847</v>
      </c>
      <c r="B4858" s="2" t="s">
        <v>10279</v>
      </c>
      <c r="C4858" s="2" t="s">
        <v>5583</v>
      </c>
      <c r="D4858" s="2" t="s">
        <v>51</v>
      </c>
      <c r="E4858" s="2" t="s">
        <v>16</v>
      </c>
      <c r="F4858" s="2">
        <v>60</v>
      </c>
      <c r="G4858" s="2" t="s">
        <v>10278</v>
      </c>
      <c r="H4858" s="2" t="s">
        <v>8534</v>
      </c>
      <c r="I4858" s="2" t="s">
        <v>294</v>
      </c>
      <c r="J4858" s="3">
        <v>44612</v>
      </c>
      <c r="K4858" s="2">
        <v>92</v>
      </c>
      <c r="L4858" s="2" t="s">
        <v>64</v>
      </c>
    </row>
    <row r="4859" spans="1:12" x14ac:dyDescent="0.3">
      <c r="A4859" s="2">
        <v>4848</v>
      </c>
      <c r="B4859" s="2" t="s">
        <v>10280</v>
      </c>
      <c r="C4859" s="2" t="s">
        <v>161</v>
      </c>
      <c r="D4859" s="2" t="s">
        <v>51</v>
      </c>
      <c r="E4859" s="2" t="s">
        <v>16</v>
      </c>
      <c r="F4859" s="2">
        <v>30</v>
      </c>
      <c r="G4859" s="2" t="s">
        <v>10281</v>
      </c>
      <c r="H4859" s="2" t="s">
        <v>724</v>
      </c>
      <c r="I4859" s="2" t="s">
        <v>240</v>
      </c>
      <c r="J4859" s="3">
        <v>44365</v>
      </c>
      <c r="K4859" s="2">
        <v>73</v>
      </c>
      <c r="L4859" s="2" t="s">
        <v>80</v>
      </c>
    </row>
    <row r="4860" spans="1:12" x14ac:dyDescent="0.3">
      <c r="A4860" s="2">
        <v>4849</v>
      </c>
      <c r="B4860" s="2" t="s">
        <v>831</v>
      </c>
      <c r="C4860" s="2" t="s">
        <v>4732</v>
      </c>
      <c r="D4860" s="2" t="s">
        <v>92</v>
      </c>
      <c r="E4860" s="2" t="s">
        <v>29</v>
      </c>
      <c r="F4860" s="2">
        <v>60</v>
      </c>
      <c r="G4860" s="2" t="s">
        <v>10282</v>
      </c>
      <c r="H4860" s="2" t="s">
        <v>1018</v>
      </c>
      <c r="I4860" s="2" t="s">
        <v>294</v>
      </c>
      <c r="J4860" s="3">
        <v>44574</v>
      </c>
      <c r="K4860" s="2">
        <v>12</v>
      </c>
      <c r="L4860" s="2" t="s">
        <v>39</v>
      </c>
    </row>
    <row r="4861" spans="1:12" x14ac:dyDescent="0.3">
      <c r="A4861" s="2">
        <v>4850</v>
      </c>
      <c r="B4861" s="2" t="s">
        <v>1752</v>
      </c>
      <c r="C4861" s="2" t="s">
        <v>481</v>
      </c>
      <c r="D4861" s="2" t="s">
        <v>28</v>
      </c>
      <c r="E4861" s="2" t="s">
        <v>29</v>
      </c>
      <c r="F4861" s="2">
        <v>90</v>
      </c>
      <c r="G4861" s="2" t="s">
        <v>10283</v>
      </c>
      <c r="H4861" s="2" t="s">
        <v>1228</v>
      </c>
      <c r="I4861" s="2" t="s">
        <v>25</v>
      </c>
      <c r="J4861" s="3">
        <v>44306</v>
      </c>
      <c r="K4861" s="2">
        <v>27</v>
      </c>
      <c r="L4861" s="2" t="s">
        <v>80</v>
      </c>
    </row>
    <row r="4862" spans="1:12" x14ac:dyDescent="0.3">
      <c r="A4862" s="2">
        <v>4851</v>
      </c>
      <c r="B4862" s="2" t="s">
        <v>9128</v>
      </c>
      <c r="C4862" s="2" t="s">
        <v>10284</v>
      </c>
      <c r="D4862" s="2" t="s">
        <v>51</v>
      </c>
      <c r="E4862" s="2" t="s">
        <v>16</v>
      </c>
      <c r="F4862" s="2">
        <v>90</v>
      </c>
      <c r="G4862" s="2" t="s">
        <v>10285</v>
      </c>
      <c r="H4862" s="2" t="s">
        <v>1269</v>
      </c>
      <c r="I4862" s="2" t="s">
        <v>187</v>
      </c>
      <c r="J4862" s="3">
        <v>43911</v>
      </c>
      <c r="K4862" s="2">
        <v>14</v>
      </c>
      <c r="L4862" s="2" t="s">
        <v>101</v>
      </c>
    </row>
    <row r="4863" spans="1:12" x14ac:dyDescent="0.3">
      <c r="A4863" s="2">
        <v>4852</v>
      </c>
      <c r="B4863" s="2" t="s">
        <v>10286</v>
      </c>
      <c r="C4863" s="2" t="s">
        <v>1765</v>
      </c>
      <c r="D4863" s="2" t="s">
        <v>51</v>
      </c>
      <c r="E4863" s="2" t="s">
        <v>16</v>
      </c>
      <c r="F4863" s="2">
        <v>60</v>
      </c>
      <c r="G4863" s="2" t="s">
        <v>10287</v>
      </c>
      <c r="H4863" s="2" t="s">
        <v>4849</v>
      </c>
      <c r="I4863" s="2" t="s">
        <v>294</v>
      </c>
      <c r="J4863" s="3">
        <v>43904</v>
      </c>
      <c r="K4863" s="2">
        <v>17</v>
      </c>
      <c r="L4863" s="2" t="s">
        <v>45</v>
      </c>
    </row>
    <row r="4864" spans="1:12" x14ac:dyDescent="0.3">
      <c r="A4864" s="2">
        <v>4853</v>
      </c>
      <c r="B4864" s="2" t="s">
        <v>10288</v>
      </c>
      <c r="C4864" s="2" t="s">
        <v>7078</v>
      </c>
      <c r="D4864" s="2" t="s">
        <v>51</v>
      </c>
      <c r="E4864" s="2" t="s">
        <v>16</v>
      </c>
      <c r="F4864" s="2">
        <v>90</v>
      </c>
      <c r="G4864" s="2" t="s">
        <v>10289</v>
      </c>
      <c r="H4864" s="2" t="s">
        <v>6105</v>
      </c>
      <c r="I4864" s="2" t="s">
        <v>32</v>
      </c>
      <c r="J4864" s="3">
        <v>44742</v>
      </c>
      <c r="K4864" s="2">
        <v>46</v>
      </c>
      <c r="L4864" s="2" t="s">
        <v>70</v>
      </c>
    </row>
    <row r="4865" spans="1:12" x14ac:dyDescent="0.3">
      <c r="A4865" s="2">
        <v>4854</v>
      </c>
      <c r="B4865" s="2" t="s">
        <v>10290</v>
      </c>
      <c r="C4865" s="2" t="s">
        <v>2195</v>
      </c>
      <c r="D4865" s="2" t="s">
        <v>28</v>
      </c>
      <c r="E4865" s="2" t="s">
        <v>29</v>
      </c>
      <c r="F4865" s="2">
        <v>60</v>
      </c>
      <c r="G4865" s="2" t="s">
        <v>10291</v>
      </c>
      <c r="H4865" s="2" t="s">
        <v>1568</v>
      </c>
      <c r="I4865" s="2" t="s">
        <v>32</v>
      </c>
      <c r="J4865" s="3">
        <v>44161</v>
      </c>
      <c r="K4865" s="2">
        <v>60</v>
      </c>
      <c r="L4865" s="2" t="s">
        <v>80</v>
      </c>
    </row>
    <row r="4866" spans="1:12" x14ac:dyDescent="0.3">
      <c r="A4866" s="2">
        <v>4855</v>
      </c>
      <c r="B4866" s="2" t="s">
        <v>492</v>
      </c>
      <c r="C4866" s="2" t="s">
        <v>4254</v>
      </c>
      <c r="D4866" s="2" t="s">
        <v>28</v>
      </c>
      <c r="E4866" s="2" t="s">
        <v>29</v>
      </c>
      <c r="F4866" s="2">
        <v>60</v>
      </c>
      <c r="G4866" s="2" t="s">
        <v>10292</v>
      </c>
      <c r="H4866" s="2" t="s">
        <v>5643</v>
      </c>
      <c r="I4866" s="2" t="s">
        <v>886</v>
      </c>
      <c r="J4866" s="3">
        <v>44417</v>
      </c>
      <c r="K4866" s="2">
        <v>56</v>
      </c>
      <c r="L4866" s="2" t="s">
        <v>33</v>
      </c>
    </row>
    <row r="4867" spans="1:12" x14ac:dyDescent="0.3">
      <c r="A4867" s="2">
        <v>4856</v>
      </c>
      <c r="B4867" s="2" t="s">
        <v>6359</v>
      </c>
      <c r="C4867" s="2" t="s">
        <v>2977</v>
      </c>
      <c r="D4867" s="2" t="s">
        <v>41</v>
      </c>
      <c r="E4867" s="2" t="s">
        <v>16</v>
      </c>
      <c r="F4867" s="2">
        <v>60</v>
      </c>
      <c r="G4867" s="2" t="s">
        <v>10293</v>
      </c>
      <c r="H4867" s="2" t="s">
        <v>3551</v>
      </c>
      <c r="I4867" s="2" t="s">
        <v>32</v>
      </c>
      <c r="J4867" s="3">
        <v>44473</v>
      </c>
      <c r="K4867" s="2">
        <v>53</v>
      </c>
      <c r="L4867" s="2" t="s">
        <v>159</v>
      </c>
    </row>
    <row r="4868" spans="1:12" x14ac:dyDescent="0.3">
      <c r="A4868" s="2">
        <v>4857</v>
      </c>
      <c r="B4868" s="2" t="s">
        <v>6540</v>
      </c>
      <c r="C4868" s="2" t="s">
        <v>5072</v>
      </c>
      <c r="D4868" s="2" t="s">
        <v>28</v>
      </c>
      <c r="E4868" s="2" t="s">
        <v>29</v>
      </c>
      <c r="F4868" s="2">
        <v>90</v>
      </c>
      <c r="G4868" s="2" t="s">
        <v>10294</v>
      </c>
      <c r="H4868" s="2" t="s">
        <v>5714</v>
      </c>
      <c r="I4868" s="2" t="s">
        <v>187</v>
      </c>
      <c r="J4868" s="3">
        <v>44230</v>
      </c>
      <c r="K4868" s="2">
        <v>47</v>
      </c>
      <c r="L4868" s="2" t="s">
        <v>70</v>
      </c>
    </row>
    <row r="4869" spans="1:12" x14ac:dyDescent="0.3">
      <c r="A4869" s="2">
        <v>4858</v>
      </c>
      <c r="B4869" s="2" t="s">
        <v>10295</v>
      </c>
      <c r="C4869" s="2" t="s">
        <v>4845</v>
      </c>
      <c r="D4869" s="2" t="s">
        <v>51</v>
      </c>
      <c r="E4869" s="2" t="s">
        <v>16</v>
      </c>
      <c r="F4869" s="2">
        <v>90</v>
      </c>
      <c r="G4869" s="2" t="s">
        <v>10294</v>
      </c>
      <c r="H4869" s="2" t="s">
        <v>2156</v>
      </c>
      <c r="I4869" s="2" t="s">
        <v>32</v>
      </c>
      <c r="J4869" s="3">
        <v>44118</v>
      </c>
      <c r="K4869" s="2">
        <v>34</v>
      </c>
      <c r="L4869" s="2" t="s">
        <v>64</v>
      </c>
    </row>
    <row r="4870" spans="1:12" x14ac:dyDescent="0.3">
      <c r="A4870" s="2">
        <v>4859</v>
      </c>
      <c r="B4870" s="2" t="s">
        <v>6413</v>
      </c>
      <c r="C4870" s="2" t="s">
        <v>3330</v>
      </c>
      <c r="D4870" s="2" t="s">
        <v>28</v>
      </c>
      <c r="E4870" s="2" t="s">
        <v>29</v>
      </c>
      <c r="F4870" s="2">
        <v>90</v>
      </c>
      <c r="G4870" s="2" t="s">
        <v>10296</v>
      </c>
      <c r="H4870" s="2" t="s">
        <v>1168</v>
      </c>
      <c r="I4870" s="2" t="s">
        <v>32</v>
      </c>
      <c r="J4870" s="3">
        <v>44488</v>
      </c>
      <c r="K4870" s="2">
        <v>19</v>
      </c>
      <c r="L4870" s="2" t="s">
        <v>20</v>
      </c>
    </row>
    <row r="4871" spans="1:12" x14ac:dyDescent="0.3">
      <c r="A4871" s="2">
        <v>4860</v>
      </c>
      <c r="B4871" s="2" t="s">
        <v>8660</v>
      </c>
      <c r="C4871" s="2" t="s">
        <v>3379</v>
      </c>
      <c r="D4871" s="2" t="s">
        <v>51</v>
      </c>
      <c r="E4871" s="2" t="s">
        <v>16</v>
      </c>
      <c r="F4871" s="2">
        <v>30</v>
      </c>
      <c r="G4871" s="2" t="s">
        <v>10296</v>
      </c>
      <c r="H4871" s="2" t="s">
        <v>2703</v>
      </c>
      <c r="I4871" s="2" t="s">
        <v>32</v>
      </c>
      <c r="J4871" s="3">
        <v>44472</v>
      </c>
      <c r="K4871" s="2">
        <v>83</v>
      </c>
      <c r="L4871" s="2" t="s">
        <v>54</v>
      </c>
    </row>
    <row r="4872" spans="1:12" x14ac:dyDescent="0.3">
      <c r="A4872" s="2">
        <v>4861</v>
      </c>
      <c r="B4872" s="2" t="s">
        <v>312</v>
      </c>
      <c r="C4872" s="2" t="s">
        <v>10297</v>
      </c>
      <c r="D4872" s="2" t="s">
        <v>41</v>
      </c>
      <c r="E4872" s="2" t="s">
        <v>16</v>
      </c>
      <c r="F4872" s="2">
        <v>30</v>
      </c>
      <c r="G4872" s="2" t="s">
        <v>10298</v>
      </c>
      <c r="H4872" s="2" t="s">
        <v>2671</v>
      </c>
      <c r="I4872" s="2" t="s">
        <v>1157</v>
      </c>
      <c r="J4872" s="3">
        <v>44727</v>
      </c>
      <c r="K4872" s="2">
        <v>62</v>
      </c>
      <c r="L4872" s="2" t="s">
        <v>33</v>
      </c>
    </row>
    <row r="4873" spans="1:12" x14ac:dyDescent="0.3">
      <c r="A4873" s="2">
        <v>4862</v>
      </c>
      <c r="B4873" s="2" t="s">
        <v>4327</v>
      </c>
      <c r="C4873" s="2" t="s">
        <v>3322</v>
      </c>
      <c r="D4873" s="2" t="s">
        <v>51</v>
      </c>
      <c r="E4873" s="2" t="s">
        <v>16</v>
      </c>
      <c r="F4873" s="2">
        <v>30</v>
      </c>
      <c r="G4873" s="2" t="s">
        <v>10299</v>
      </c>
      <c r="H4873" s="2" t="s">
        <v>5631</v>
      </c>
      <c r="I4873" s="2" t="s">
        <v>129</v>
      </c>
      <c r="J4873" s="3">
        <v>43998</v>
      </c>
      <c r="K4873" s="2">
        <v>60</v>
      </c>
      <c r="L4873" s="2" t="s">
        <v>33</v>
      </c>
    </row>
    <row r="4874" spans="1:12" x14ac:dyDescent="0.3">
      <c r="A4874" s="2">
        <v>4863</v>
      </c>
      <c r="B4874" s="2" t="s">
        <v>3216</v>
      </c>
      <c r="C4874" s="2" t="s">
        <v>9473</v>
      </c>
      <c r="D4874" s="2" t="s">
        <v>92</v>
      </c>
      <c r="E4874" s="2" t="s">
        <v>29</v>
      </c>
      <c r="F4874" s="2">
        <v>90</v>
      </c>
      <c r="G4874" s="2" t="s">
        <v>10300</v>
      </c>
      <c r="H4874" s="2" t="s">
        <v>3175</v>
      </c>
      <c r="I4874" s="2" t="s">
        <v>1233</v>
      </c>
      <c r="J4874" s="3">
        <v>43894</v>
      </c>
      <c r="K4874" s="2">
        <v>33</v>
      </c>
      <c r="L4874" s="2" t="s">
        <v>80</v>
      </c>
    </row>
    <row r="4875" spans="1:12" x14ac:dyDescent="0.3">
      <c r="A4875" s="2">
        <v>4864</v>
      </c>
      <c r="B4875" s="2" t="s">
        <v>1207</v>
      </c>
      <c r="C4875" s="2" t="s">
        <v>5797</v>
      </c>
      <c r="D4875" s="2" t="s">
        <v>28</v>
      </c>
      <c r="E4875" s="2" t="s">
        <v>29</v>
      </c>
      <c r="F4875" s="2">
        <v>60</v>
      </c>
      <c r="G4875" s="2" t="s">
        <v>10301</v>
      </c>
      <c r="H4875" s="2" t="s">
        <v>2875</v>
      </c>
      <c r="I4875" s="2" t="s">
        <v>32</v>
      </c>
      <c r="J4875" s="3">
        <v>44805</v>
      </c>
      <c r="K4875" s="2">
        <v>81</v>
      </c>
      <c r="L4875" s="2" t="s">
        <v>39</v>
      </c>
    </row>
    <row r="4876" spans="1:12" x14ac:dyDescent="0.3">
      <c r="A4876" s="2">
        <v>4865</v>
      </c>
      <c r="B4876" s="2" t="s">
        <v>3985</v>
      </c>
      <c r="C4876" s="2" t="s">
        <v>8377</v>
      </c>
      <c r="D4876" s="2" t="s">
        <v>51</v>
      </c>
      <c r="E4876" s="2" t="s">
        <v>16</v>
      </c>
      <c r="F4876" s="2">
        <v>30</v>
      </c>
      <c r="G4876" s="2" t="s">
        <v>10302</v>
      </c>
      <c r="H4876" s="2" t="s">
        <v>558</v>
      </c>
      <c r="I4876" s="2" t="s">
        <v>32</v>
      </c>
      <c r="J4876" s="3">
        <v>44894</v>
      </c>
      <c r="K4876" s="2">
        <v>30</v>
      </c>
      <c r="L4876" s="2" t="s">
        <v>101</v>
      </c>
    </row>
    <row r="4877" spans="1:12" x14ac:dyDescent="0.3">
      <c r="A4877" s="2">
        <v>4866</v>
      </c>
      <c r="B4877" s="2" t="s">
        <v>1644</v>
      </c>
      <c r="C4877" s="2" t="s">
        <v>1002</v>
      </c>
      <c r="D4877" s="2" t="s">
        <v>51</v>
      </c>
      <c r="E4877" s="2" t="s">
        <v>16</v>
      </c>
      <c r="F4877" s="2">
        <v>60</v>
      </c>
      <c r="G4877" s="2" t="s">
        <v>10303</v>
      </c>
      <c r="H4877" s="2" t="s">
        <v>7154</v>
      </c>
      <c r="I4877" s="2" t="s">
        <v>32</v>
      </c>
      <c r="J4877" s="3">
        <v>44758</v>
      </c>
      <c r="K4877" s="2">
        <v>4</v>
      </c>
      <c r="L4877" s="2" t="s">
        <v>70</v>
      </c>
    </row>
    <row r="4878" spans="1:12" x14ac:dyDescent="0.3">
      <c r="A4878" s="2">
        <v>4867</v>
      </c>
      <c r="B4878" s="2" t="s">
        <v>5772</v>
      </c>
      <c r="C4878" s="2" t="s">
        <v>2815</v>
      </c>
      <c r="D4878" s="2" t="s">
        <v>28</v>
      </c>
      <c r="E4878" s="2" t="s">
        <v>29</v>
      </c>
      <c r="F4878" s="2">
        <v>60</v>
      </c>
      <c r="G4878" s="2" t="s">
        <v>10304</v>
      </c>
      <c r="H4878" s="2" t="s">
        <v>5957</v>
      </c>
      <c r="I4878" s="2" t="s">
        <v>187</v>
      </c>
      <c r="J4878" s="3">
        <v>44219</v>
      </c>
      <c r="K4878" s="2">
        <v>30</v>
      </c>
      <c r="L4878" s="2" t="s">
        <v>45</v>
      </c>
    </row>
    <row r="4879" spans="1:12" x14ac:dyDescent="0.3">
      <c r="A4879" s="2">
        <v>4868</v>
      </c>
      <c r="B4879" s="2" t="s">
        <v>10305</v>
      </c>
      <c r="C4879" s="2" t="s">
        <v>10091</v>
      </c>
      <c r="D4879" s="2" t="s">
        <v>41</v>
      </c>
      <c r="E4879" s="2" t="s">
        <v>16</v>
      </c>
      <c r="F4879" s="2">
        <v>90</v>
      </c>
      <c r="G4879" s="2" t="s">
        <v>10306</v>
      </c>
      <c r="H4879" s="2" t="s">
        <v>466</v>
      </c>
      <c r="I4879" s="2" t="s">
        <v>187</v>
      </c>
      <c r="J4879" s="3">
        <v>44585</v>
      </c>
      <c r="K4879" s="2">
        <v>21</v>
      </c>
      <c r="L4879" s="2" t="s">
        <v>64</v>
      </c>
    </row>
    <row r="4880" spans="1:12" x14ac:dyDescent="0.3">
      <c r="A4880" s="2">
        <v>4869</v>
      </c>
      <c r="B4880" s="2" t="s">
        <v>7463</v>
      </c>
      <c r="C4880" s="2" t="s">
        <v>5764</v>
      </c>
      <c r="D4880" s="2" t="s">
        <v>28</v>
      </c>
      <c r="E4880" s="2" t="s">
        <v>29</v>
      </c>
      <c r="F4880" s="2">
        <v>90</v>
      </c>
      <c r="G4880" s="2" t="s">
        <v>10307</v>
      </c>
      <c r="H4880" s="2" t="s">
        <v>4979</v>
      </c>
      <c r="I4880" s="2" t="s">
        <v>294</v>
      </c>
      <c r="J4880" s="3">
        <v>44041</v>
      </c>
      <c r="K4880" s="2">
        <v>26</v>
      </c>
      <c r="L4880" s="2" t="s">
        <v>45</v>
      </c>
    </row>
    <row r="4881" spans="1:12" x14ac:dyDescent="0.3">
      <c r="A4881" s="2">
        <v>4870</v>
      </c>
      <c r="B4881" s="2" t="s">
        <v>592</v>
      </c>
      <c r="C4881" s="2" t="s">
        <v>2832</v>
      </c>
      <c r="D4881" s="2" t="s">
        <v>28</v>
      </c>
      <c r="E4881" s="2" t="s">
        <v>29</v>
      </c>
      <c r="F4881" s="2">
        <v>30</v>
      </c>
      <c r="G4881" s="2" t="s">
        <v>10308</v>
      </c>
      <c r="H4881" s="2" t="s">
        <v>1325</v>
      </c>
      <c r="I4881" s="2" t="s">
        <v>187</v>
      </c>
      <c r="J4881" s="3">
        <v>44627</v>
      </c>
      <c r="K4881" s="2">
        <v>55</v>
      </c>
      <c r="L4881" s="2" t="s">
        <v>39</v>
      </c>
    </row>
    <row r="4882" spans="1:12" x14ac:dyDescent="0.3">
      <c r="A4882" s="2">
        <v>4871</v>
      </c>
      <c r="B4882" s="2" t="s">
        <v>1805</v>
      </c>
      <c r="C4882" s="2" t="s">
        <v>9351</v>
      </c>
      <c r="D4882" s="2" t="s">
        <v>28</v>
      </c>
      <c r="E4882" s="2" t="s">
        <v>29</v>
      </c>
      <c r="F4882" s="2">
        <v>90</v>
      </c>
      <c r="G4882" s="2" t="s">
        <v>10309</v>
      </c>
      <c r="H4882" s="2" t="s">
        <v>738</v>
      </c>
      <c r="I4882" s="2" t="s">
        <v>38</v>
      </c>
      <c r="J4882" s="3">
        <v>43957</v>
      </c>
      <c r="K4882" s="2">
        <v>29</v>
      </c>
      <c r="L4882" s="2" t="s">
        <v>101</v>
      </c>
    </row>
    <row r="4883" spans="1:12" x14ac:dyDescent="0.3">
      <c r="A4883" s="2">
        <v>4872</v>
      </c>
      <c r="B4883" s="2" t="s">
        <v>10310</v>
      </c>
      <c r="C4883" s="2" t="s">
        <v>10311</v>
      </c>
      <c r="D4883" s="2" t="s">
        <v>15</v>
      </c>
      <c r="E4883" s="2" t="s">
        <v>16</v>
      </c>
      <c r="F4883" s="2">
        <v>30</v>
      </c>
      <c r="G4883" s="2" t="s">
        <v>10312</v>
      </c>
      <c r="H4883" s="2" t="s">
        <v>10313</v>
      </c>
      <c r="I4883" s="2" t="s">
        <v>124</v>
      </c>
      <c r="J4883" s="3">
        <v>44828</v>
      </c>
      <c r="K4883" s="2">
        <v>28</v>
      </c>
      <c r="L4883" s="2" t="s">
        <v>33</v>
      </c>
    </row>
    <row r="4884" spans="1:12" x14ac:dyDescent="0.3">
      <c r="A4884" s="2">
        <v>4873</v>
      </c>
      <c r="B4884" s="2" t="s">
        <v>3616</v>
      </c>
      <c r="C4884" s="2" t="s">
        <v>5370</v>
      </c>
      <c r="D4884" s="2" t="s">
        <v>51</v>
      </c>
      <c r="E4884" s="2" t="s">
        <v>16</v>
      </c>
      <c r="F4884" s="2">
        <v>60</v>
      </c>
      <c r="G4884" s="2" t="s">
        <v>10314</v>
      </c>
      <c r="H4884" s="2" t="s">
        <v>163</v>
      </c>
      <c r="I4884" s="2" t="s">
        <v>164</v>
      </c>
      <c r="J4884" s="3">
        <v>44256</v>
      </c>
      <c r="K4884" s="2">
        <v>94</v>
      </c>
      <c r="L4884" s="2" t="s">
        <v>45</v>
      </c>
    </row>
    <row r="4885" spans="1:12" x14ac:dyDescent="0.3">
      <c r="A4885" s="2">
        <v>4874</v>
      </c>
      <c r="B4885" s="2" t="s">
        <v>1139</v>
      </c>
      <c r="C4885" s="2" t="s">
        <v>4664</v>
      </c>
      <c r="D4885" s="2" t="s">
        <v>51</v>
      </c>
      <c r="E4885" s="2" t="s">
        <v>16</v>
      </c>
      <c r="F4885" s="2">
        <v>60</v>
      </c>
      <c r="G4885" s="2" t="s">
        <v>10315</v>
      </c>
      <c r="H4885" s="2" t="s">
        <v>522</v>
      </c>
      <c r="I4885" s="2" t="s">
        <v>32</v>
      </c>
      <c r="J4885" s="3">
        <v>43850</v>
      </c>
      <c r="K4885" s="2">
        <v>40</v>
      </c>
      <c r="L4885" s="2" t="s">
        <v>159</v>
      </c>
    </row>
    <row r="4886" spans="1:12" x14ac:dyDescent="0.3">
      <c r="A4886" s="2">
        <v>4875</v>
      </c>
      <c r="B4886" s="2" t="s">
        <v>3946</v>
      </c>
      <c r="C4886" s="2" t="s">
        <v>309</v>
      </c>
      <c r="D4886" s="2" t="s">
        <v>28</v>
      </c>
      <c r="E4886" s="2" t="s">
        <v>29</v>
      </c>
      <c r="F4886" s="2">
        <v>90</v>
      </c>
      <c r="G4886" s="2" t="s">
        <v>10316</v>
      </c>
      <c r="H4886" s="2" t="s">
        <v>6101</v>
      </c>
      <c r="I4886" s="2" t="s">
        <v>32</v>
      </c>
      <c r="J4886" s="3">
        <v>43960</v>
      </c>
      <c r="K4886" s="2">
        <v>55</v>
      </c>
      <c r="L4886" s="2" t="s">
        <v>39</v>
      </c>
    </row>
    <row r="4887" spans="1:12" x14ac:dyDescent="0.3">
      <c r="A4887" s="2">
        <v>4876</v>
      </c>
      <c r="B4887" s="2" t="s">
        <v>10317</v>
      </c>
      <c r="C4887" s="2" t="s">
        <v>2089</v>
      </c>
      <c r="D4887" s="2" t="s">
        <v>51</v>
      </c>
      <c r="E4887" s="2" t="s">
        <v>16</v>
      </c>
      <c r="F4887" s="2">
        <v>30</v>
      </c>
      <c r="G4887" s="2" t="s">
        <v>10318</v>
      </c>
      <c r="H4887" s="2" t="s">
        <v>10319</v>
      </c>
      <c r="I4887" s="2" t="s">
        <v>2022</v>
      </c>
      <c r="J4887" s="3">
        <v>44036</v>
      </c>
      <c r="K4887" s="2">
        <v>45</v>
      </c>
      <c r="L4887" s="2" t="s">
        <v>70</v>
      </c>
    </row>
    <row r="4888" spans="1:12" x14ac:dyDescent="0.3">
      <c r="A4888" s="2">
        <v>4877</v>
      </c>
      <c r="B4888" s="2" t="s">
        <v>9700</v>
      </c>
      <c r="C4888" s="2" t="s">
        <v>4795</v>
      </c>
      <c r="D4888" s="2" t="s">
        <v>15</v>
      </c>
      <c r="E4888" s="2" t="s">
        <v>16</v>
      </c>
      <c r="F4888" s="2">
        <v>30</v>
      </c>
      <c r="G4888" s="2" t="s">
        <v>10318</v>
      </c>
      <c r="H4888" s="2" t="s">
        <v>2066</v>
      </c>
      <c r="I4888" s="2" t="s">
        <v>294</v>
      </c>
      <c r="J4888" s="3">
        <v>44423</v>
      </c>
      <c r="K4888" s="2">
        <v>24</v>
      </c>
      <c r="L4888" s="2" t="s">
        <v>54</v>
      </c>
    </row>
    <row r="4889" spans="1:12" x14ac:dyDescent="0.3">
      <c r="A4889" s="2">
        <v>4878</v>
      </c>
      <c r="B4889" s="2" t="s">
        <v>2191</v>
      </c>
      <c r="C4889" s="2" t="s">
        <v>6452</v>
      </c>
      <c r="D4889" s="2" t="s">
        <v>28</v>
      </c>
      <c r="E4889" s="2" t="s">
        <v>29</v>
      </c>
      <c r="F4889" s="2">
        <v>30</v>
      </c>
      <c r="G4889" s="2" t="s">
        <v>10320</v>
      </c>
      <c r="H4889" s="2" t="s">
        <v>993</v>
      </c>
      <c r="I4889" s="2" t="s">
        <v>32</v>
      </c>
      <c r="J4889" s="3">
        <v>44554</v>
      </c>
      <c r="K4889" s="2">
        <v>40</v>
      </c>
      <c r="L4889" s="2" t="s">
        <v>80</v>
      </c>
    </row>
    <row r="4890" spans="1:12" x14ac:dyDescent="0.3">
      <c r="A4890" s="2">
        <v>4879</v>
      </c>
      <c r="B4890" s="2" t="s">
        <v>10321</v>
      </c>
      <c r="C4890" s="2" t="s">
        <v>1923</v>
      </c>
      <c r="D4890" s="2" t="s">
        <v>15</v>
      </c>
      <c r="E4890" s="2" t="s">
        <v>16</v>
      </c>
      <c r="F4890" s="2">
        <v>30</v>
      </c>
      <c r="G4890" s="2" t="s">
        <v>10591</v>
      </c>
      <c r="H4890" s="2" t="s">
        <v>4729</v>
      </c>
      <c r="I4890" s="2" t="s">
        <v>32</v>
      </c>
      <c r="J4890" s="3">
        <v>44906</v>
      </c>
      <c r="K4890" s="2">
        <v>30</v>
      </c>
      <c r="L4890" s="2" t="s">
        <v>45</v>
      </c>
    </row>
    <row r="4891" spans="1:12" x14ac:dyDescent="0.3">
      <c r="A4891" s="2">
        <v>4880</v>
      </c>
      <c r="B4891" s="2" t="s">
        <v>4218</v>
      </c>
      <c r="C4891" s="2" t="s">
        <v>1133</v>
      </c>
      <c r="D4891" s="2" t="s">
        <v>28</v>
      </c>
      <c r="E4891" s="2" t="s">
        <v>29</v>
      </c>
      <c r="F4891" s="2">
        <v>90</v>
      </c>
      <c r="G4891" s="2" t="s">
        <v>10323</v>
      </c>
      <c r="H4891" s="2" t="s">
        <v>4028</v>
      </c>
      <c r="I4891" s="2" t="s">
        <v>32</v>
      </c>
      <c r="J4891" s="3">
        <v>44029</v>
      </c>
      <c r="K4891" s="2">
        <v>2</v>
      </c>
      <c r="L4891" s="2" t="s">
        <v>39</v>
      </c>
    </row>
    <row r="4892" spans="1:12" x14ac:dyDescent="0.3">
      <c r="A4892" s="2">
        <v>4881</v>
      </c>
      <c r="B4892" s="2" t="s">
        <v>8238</v>
      </c>
      <c r="C4892" s="2" t="s">
        <v>3141</v>
      </c>
      <c r="D4892" s="2" t="s">
        <v>28</v>
      </c>
      <c r="E4892" s="2" t="s">
        <v>29</v>
      </c>
      <c r="F4892" s="2">
        <v>90</v>
      </c>
      <c r="G4892" s="2" t="s">
        <v>10323</v>
      </c>
      <c r="H4892" s="2" t="s">
        <v>1629</v>
      </c>
      <c r="I4892" s="2" t="s">
        <v>32</v>
      </c>
      <c r="J4892" s="3">
        <v>44322</v>
      </c>
      <c r="K4892" s="2">
        <v>7</v>
      </c>
      <c r="L4892" s="2" t="s">
        <v>33</v>
      </c>
    </row>
    <row r="4893" spans="1:12" x14ac:dyDescent="0.3">
      <c r="A4893" s="2">
        <v>4882</v>
      </c>
      <c r="B4893" s="2" t="s">
        <v>2322</v>
      </c>
      <c r="C4893" s="2" t="s">
        <v>2451</v>
      </c>
      <c r="D4893" s="2" t="s">
        <v>51</v>
      </c>
      <c r="E4893" s="2" t="s">
        <v>16</v>
      </c>
      <c r="F4893" s="2">
        <v>90</v>
      </c>
      <c r="G4893" s="2" t="s">
        <v>10324</v>
      </c>
      <c r="H4893" s="2" t="s">
        <v>10069</v>
      </c>
      <c r="I4893" s="2" t="s">
        <v>32</v>
      </c>
      <c r="J4893" s="3">
        <v>44762</v>
      </c>
      <c r="K4893" s="2">
        <v>60</v>
      </c>
      <c r="L4893" s="2" t="s">
        <v>101</v>
      </c>
    </row>
    <row r="4894" spans="1:12" x14ac:dyDescent="0.3">
      <c r="A4894" s="2">
        <v>4883</v>
      </c>
      <c r="B4894" s="2" t="s">
        <v>4029</v>
      </c>
      <c r="C4894" s="2" t="s">
        <v>4113</v>
      </c>
      <c r="D4894" s="2" t="s">
        <v>28</v>
      </c>
      <c r="E4894" s="2" t="s">
        <v>29</v>
      </c>
      <c r="F4894" s="2">
        <v>60</v>
      </c>
      <c r="G4894" s="2" t="s">
        <v>10324</v>
      </c>
      <c r="H4894" s="2" t="s">
        <v>2902</v>
      </c>
      <c r="I4894" s="2" t="s">
        <v>32</v>
      </c>
      <c r="J4894" s="3">
        <v>44166</v>
      </c>
      <c r="K4894" s="2">
        <v>81</v>
      </c>
      <c r="L4894" s="2" t="s">
        <v>159</v>
      </c>
    </row>
    <row r="4895" spans="1:12" x14ac:dyDescent="0.3">
      <c r="A4895" s="2">
        <v>4884</v>
      </c>
      <c r="B4895" s="2" t="s">
        <v>9720</v>
      </c>
      <c r="C4895" s="2" t="s">
        <v>10325</v>
      </c>
      <c r="D4895" s="2" t="s">
        <v>15</v>
      </c>
      <c r="E4895" s="2" t="s">
        <v>16</v>
      </c>
      <c r="F4895" s="2">
        <v>30</v>
      </c>
      <c r="G4895" s="2" t="s">
        <v>10326</v>
      </c>
      <c r="H4895" s="2" t="s">
        <v>5376</v>
      </c>
      <c r="I4895" s="2" t="s">
        <v>32</v>
      </c>
      <c r="J4895" s="3">
        <v>43963</v>
      </c>
      <c r="K4895" s="2">
        <v>36</v>
      </c>
      <c r="L4895" s="2" t="s">
        <v>33</v>
      </c>
    </row>
    <row r="4896" spans="1:12" x14ac:dyDescent="0.3">
      <c r="A4896" s="2">
        <v>4885</v>
      </c>
      <c r="B4896" s="2" t="s">
        <v>1572</v>
      </c>
      <c r="C4896" s="2" t="s">
        <v>2101</v>
      </c>
      <c r="D4896" s="2" t="s">
        <v>28</v>
      </c>
      <c r="E4896" s="2" t="s">
        <v>29</v>
      </c>
      <c r="F4896" s="2">
        <v>60</v>
      </c>
      <c r="G4896" s="2" t="s">
        <v>10327</v>
      </c>
      <c r="H4896" s="2" t="s">
        <v>2622</v>
      </c>
      <c r="I4896" s="2" t="s">
        <v>294</v>
      </c>
      <c r="J4896" s="3">
        <v>44342</v>
      </c>
      <c r="K4896" s="2">
        <v>65</v>
      </c>
      <c r="L4896" s="2" t="s">
        <v>101</v>
      </c>
    </row>
    <row r="4897" spans="1:12" x14ac:dyDescent="0.3">
      <c r="A4897" s="2">
        <v>4886</v>
      </c>
      <c r="B4897" s="2" t="s">
        <v>10328</v>
      </c>
      <c r="C4897" s="2" t="s">
        <v>2690</v>
      </c>
      <c r="D4897" s="2" t="s">
        <v>15</v>
      </c>
      <c r="E4897" s="2" t="s">
        <v>16</v>
      </c>
      <c r="F4897" s="2">
        <v>90</v>
      </c>
      <c r="G4897" s="2" t="s">
        <v>10329</v>
      </c>
      <c r="H4897" s="2" t="s">
        <v>68</v>
      </c>
      <c r="I4897" s="2" t="s">
        <v>69</v>
      </c>
      <c r="J4897" s="3">
        <v>44471</v>
      </c>
      <c r="K4897" s="2">
        <v>62</v>
      </c>
      <c r="L4897" s="2" t="s">
        <v>54</v>
      </c>
    </row>
    <row r="4898" spans="1:12" x14ac:dyDescent="0.3">
      <c r="A4898" s="2">
        <v>4887</v>
      </c>
      <c r="B4898" s="2" t="s">
        <v>55</v>
      </c>
      <c r="C4898" s="2" t="s">
        <v>9110</v>
      </c>
      <c r="D4898" s="2" t="s">
        <v>28</v>
      </c>
      <c r="E4898" s="2" t="s">
        <v>29</v>
      </c>
      <c r="F4898" s="2">
        <v>60</v>
      </c>
      <c r="G4898" s="2" t="s">
        <v>10330</v>
      </c>
      <c r="H4898" s="2" t="s">
        <v>5718</v>
      </c>
      <c r="I4898" s="2" t="s">
        <v>294</v>
      </c>
      <c r="J4898" s="3">
        <v>44073</v>
      </c>
      <c r="K4898" s="2">
        <v>36</v>
      </c>
      <c r="L4898" s="2" t="s">
        <v>80</v>
      </c>
    </row>
    <row r="4899" spans="1:12" x14ac:dyDescent="0.3">
      <c r="A4899" s="2">
        <v>4888</v>
      </c>
      <c r="B4899" s="2" t="s">
        <v>7195</v>
      </c>
      <c r="C4899" s="2" t="s">
        <v>2293</v>
      </c>
      <c r="D4899" s="2" t="s">
        <v>117</v>
      </c>
      <c r="E4899" s="2" t="s">
        <v>16</v>
      </c>
      <c r="F4899" s="2">
        <v>90</v>
      </c>
      <c r="G4899" s="2" t="s">
        <v>10331</v>
      </c>
      <c r="H4899" s="2" t="s">
        <v>912</v>
      </c>
      <c r="I4899" s="2" t="s">
        <v>913</v>
      </c>
      <c r="J4899" s="3">
        <v>44109</v>
      </c>
      <c r="K4899" s="2">
        <v>34</v>
      </c>
      <c r="L4899" s="2" t="s">
        <v>54</v>
      </c>
    </row>
    <row r="4900" spans="1:12" x14ac:dyDescent="0.3">
      <c r="A4900" s="2">
        <v>4889</v>
      </c>
      <c r="B4900" s="2" t="s">
        <v>7200</v>
      </c>
      <c r="C4900" s="2" t="s">
        <v>6272</v>
      </c>
      <c r="D4900" s="2" t="s">
        <v>28</v>
      </c>
      <c r="E4900" s="2" t="s">
        <v>29</v>
      </c>
      <c r="F4900" s="2">
        <v>60</v>
      </c>
      <c r="G4900" s="2" t="s">
        <v>10332</v>
      </c>
      <c r="H4900" s="2" t="s">
        <v>3996</v>
      </c>
      <c r="I4900" s="2" t="s">
        <v>294</v>
      </c>
      <c r="J4900" s="3">
        <v>44341</v>
      </c>
      <c r="K4900" s="2">
        <v>78</v>
      </c>
      <c r="L4900" s="2" t="s">
        <v>45</v>
      </c>
    </row>
    <row r="4901" spans="1:12" x14ac:dyDescent="0.3">
      <c r="A4901" s="2">
        <v>4890</v>
      </c>
      <c r="B4901" s="2" t="s">
        <v>339</v>
      </c>
      <c r="C4901" s="2" t="s">
        <v>629</v>
      </c>
      <c r="D4901" s="2" t="s">
        <v>51</v>
      </c>
      <c r="E4901" s="2" t="s">
        <v>16</v>
      </c>
      <c r="F4901" s="2">
        <v>30</v>
      </c>
      <c r="G4901" s="2" t="s">
        <v>10333</v>
      </c>
      <c r="H4901" s="2" t="s">
        <v>2341</v>
      </c>
      <c r="I4901" s="2" t="s">
        <v>2342</v>
      </c>
      <c r="J4901" s="3">
        <v>44657</v>
      </c>
      <c r="K4901" s="2">
        <v>42</v>
      </c>
      <c r="L4901" s="2" t="s">
        <v>54</v>
      </c>
    </row>
    <row r="4902" spans="1:12" x14ac:dyDescent="0.3">
      <c r="A4902" s="2">
        <v>4891</v>
      </c>
      <c r="B4902" s="2" t="s">
        <v>2906</v>
      </c>
      <c r="C4902" s="2" t="s">
        <v>2647</v>
      </c>
      <c r="D4902" s="2" t="s">
        <v>28</v>
      </c>
      <c r="E4902" s="2" t="s">
        <v>29</v>
      </c>
      <c r="F4902" s="2">
        <v>30</v>
      </c>
      <c r="G4902" s="2" t="s">
        <v>10334</v>
      </c>
      <c r="H4902" s="2" t="s">
        <v>270</v>
      </c>
      <c r="I4902" s="2" t="s">
        <v>187</v>
      </c>
      <c r="J4902" s="3">
        <v>44328</v>
      </c>
      <c r="K4902" s="2">
        <v>13</v>
      </c>
      <c r="L4902" s="2" t="s">
        <v>159</v>
      </c>
    </row>
    <row r="4903" spans="1:12" x14ac:dyDescent="0.3">
      <c r="A4903" s="2">
        <v>4892</v>
      </c>
      <c r="B4903" s="2" t="s">
        <v>10335</v>
      </c>
      <c r="C4903" s="2" t="s">
        <v>3589</v>
      </c>
      <c r="D4903" s="2" t="s">
        <v>15</v>
      </c>
      <c r="E4903" s="2" t="s">
        <v>16</v>
      </c>
      <c r="F4903" s="2">
        <v>90</v>
      </c>
      <c r="G4903" s="2" t="s">
        <v>10336</v>
      </c>
      <c r="H4903" s="2" t="s">
        <v>583</v>
      </c>
      <c r="I4903" s="2" t="s">
        <v>32</v>
      </c>
      <c r="J4903" s="3">
        <v>44413</v>
      </c>
      <c r="K4903" s="2">
        <v>80</v>
      </c>
      <c r="L4903" s="2" t="s">
        <v>80</v>
      </c>
    </row>
    <row r="4904" spans="1:12" x14ac:dyDescent="0.3">
      <c r="A4904" s="2">
        <v>4893</v>
      </c>
      <c r="B4904" s="2" t="s">
        <v>259</v>
      </c>
      <c r="C4904" s="2" t="s">
        <v>5354</v>
      </c>
      <c r="D4904" s="2" t="s">
        <v>15</v>
      </c>
      <c r="E4904" s="2" t="s">
        <v>16</v>
      </c>
      <c r="F4904" s="2">
        <v>30</v>
      </c>
      <c r="G4904" s="2" t="s">
        <v>10337</v>
      </c>
      <c r="H4904" s="2" t="s">
        <v>1864</v>
      </c>
      <c r="I4904" s="2" t="s">
        <v>294</v>
      </c>
      <c r="J4904" s="3">
        <v>44770</v>
      </c>
      <c r="K4904" s="2">
        <v>105</v>
      </c>
      <c r="L4904" s="2" t="s">
        <v>20</v>
      </c>
    </row>
    <row r="4905" spans="1:12" x14ac:dyDescent="0.3">
      <c r="A4905" s="2">
        <v>4894</v>
      </c>
      <c r="B4905" s="2" t="s">
        <v>657</v>
      </c>
      <c r="C4905" s="2" t="s">
        <v>4379</v>
      </c>
      <c r="D4905" s="2" t="s">
        <v>28</v>
      </c>
      <c r="E4905" s="2" t="s">
        <v>29</v>
      </c>
      <c r="F4905" s="2">
        <v>30</v>
      </c>
      <c r="G4905" s="2" t="s">
        <v>10338</v>
      </c>
      <c r="H4905" s="2" t="s">
        <v>5823</v>
      </c>
      <c r="I4905" s="2" t="s">
        <v>110</v>
      </c>
      <c r="J4905" s="3">
        <v>44348</v>
      </c>
      <c r="K4905" s="2">
        <v>53</v>
      </c>
      <c r="L4905" s="2" t="s">
        <v>101</v>
      </c>
    </row>
    <row r="4906" spans="1:12" x14ac:dyDescent="0.3">
      <c r="A4906" s="2">
        <v>4895</v>
      </c>
      <c r="B4906" s="2" t="s">
        <v>5785</v>
      </c>
      <c r="C4906" s="2" t="s">
        <v>9172</v>
      </c>
      <c r="D4906" s="2" t="s">
        <v>15</v>
      </c>
      <c r="E4906" s="2" t="s">
        <v>16</v>
      </c>
      <c r="F4906" s="2">
        <v>90</v>
      </c>
      <c r="G4906" s="2" t="s">
        <v>10339</v>
      </c>
      <c r="H4906" s="2" t="s">
        <v>6544</v>
      </c>
      <c r="I4906" s="2" t="s">
        <v>32</v>
      </c>
      <c r="J4906" s="3">
        <v>44539</v>
      </c>
      <c r="K4906" s="2">
        <v>91</v>
      </c>
      <c r="L4906" s="2" t="s">
        <v>80</v>
      </c>
    </row>
    <row r="4907" spans="1:12" x14ac:dyDescent="0.3">
      <c r="A4907" s="2">
        <v>4896</v>
      </c>
      <c r="B4907" s="2" t="s">
        <v>305</v>
      </c>
      <c r="C4907" s="2" t="s">
        <v>5891</v>
      </c>
      <c r="D4907" s="2" t="s">
        <v>28</v>
      </c>
      <c r="E4907" s="2" t="s">
        <v>29</v>
      </c>
      <c r="F4907" s="2">
        <v>60</v>
      </c>
      <c r="G4907" s="2" t="s">
        <v>10340</v>
      </c>
      <c r="H4907" s="2" t="s">
        <v>4683</v>
      </c>
      <c r="I4907" s="2" t="s">
        <v>178</v>
      </c>
      <c r="J4907" s="3">
        <v>44545</v>
      </c>
      <c r="K4907" s="2">
        <v>83</v>
      </c>
      <c r="L4907" s="2" t="s">
        <v>70</v>
      </c>
    </row>
    <row r="4908" spans="1:12" x14ac:dyDescent="0.3">
      <c r="A4908" s="2">
        <v>4897</v>
      </c>
      <c r="B4908" s="2" t="s">
        <v>6267</v>
      </c>
      <c r="C4908" s="2" t="s">
        <v>1471</v>
      </c>
      <c r="D4908" s="2" t="s">
        <v>28</v>
      </c>
      <c r="E4908" s="2" t="s">
        <v>29</v>
      </c>
      <c r="F4908" s="2">
        <v>90</v>
      </c>
      <c r="G4908" s="2" t="s">
        <v>10341</v>
      </c>
      <c r="H4908" s="2" t="s">
        <v>396</v>
      </c>
      <c r="I4908" s="2" t="s">
        <v>32</v>
      </c>
      <c r="J4908" s="3">
        <v>43849</v>
      </c>
      <c r="K4908" s="2">
        <v>83</v>
      </c>
      <c r="L4908" s="2" t="s">
        <v>159</v>
      </c>
    </row>
    <row r="4909" spans="1:12" x14ac:dyDescent="0.3">
      <c r="A4909" s="2">
        <v>4898</v>
      </c>
      <c r="B4909" s="2" t="s">
        <v>10065</v>
      </c>
      <c r="C4909" s="2" t="s">
        <v>1554</v>
      </c>
      <c r="D4909" s="2" t="s">
        <v>15</v>
      </c>
      <c r="E4909" s="2" t="s">
        <v>16</v>
      </c>
      <c r="F4909" s="2">
        <v>60</v>
      </c>
      <c r="G4909" s="2" t="s">
        <v>10342</v>
      </c>
      <c r="H4909" s="2" t="s">
        <v>8946</v>
      </c>
      <c r="I4909" s="2" t="s">
        <v>95</v>
      </c>
      <c r="J4909" s="3">
        <v>43944</v>
      </c>
      <c r="K4909" s="2">
        <v>72</v>
      </c>
      <c r="L4909" s="2" t="s">
        <v>33</v>
      </c>
    </row>
    <row r="4910" spans="1:12" x14ac:dyDescent="0.3">
      <c r="A4910" s="2">
        <v>4899</v>
      </c>
      <c r="B4910" s="2" t="s">
        <v>10343</v>
      </c>
      <c r="C4910" s="2" t="s">
        <v>2427</v>
      </c>
      <c r="D4910" s="2" t="s">
        <v>28</v>
      </c>
      <c r="E4910" s="2" t="s">
        <v>29</v>
      </c>
      <c r="F4910" s="2">
        <v>30</v>
      </c>
      <c r="G4910" s="2" t="s">
        <v>10592</v>
      </c>
      <c r="H4910" s="2" t="s">
        <v>574</v>
      </c>
      <c r="I4910" s="2" t="s">
        <v>575</v>
      </c>
      <c r="J4910" s="3">
        <v>44469</v>
      </c>
      <c r="K4910" s="2">
        <v>66</v>
      </c>
      <c r="L4910" s="2" t="s">
        <v>45</v>
      </c>
    </row>
    <row r="4911" spans="1:12" x14ac:dyDescent="0.3">
      <c r="A4911" s="2">
        <v>4900</v>
      </c>
      <c r="B4911" s="2" t="s">
        <v>2819</v>
      </c>
      <c r="C4911" s="2" t="s">
        <v>111</v>
      </c>
      <c r="D4911" s="2" t="s">
        <v>28</v>
      </c>
      <c r="E4911" s="2" t="s">
        <v>29</v>
      </c>
      <c r="F4911" s="2">
        <v>90</v>
      </c>
      <c r="G4911" s="2" t="s">
        <v>10345</v>
      </c>
      <c r="H4911" s="2" t="s">
        <v>374</v>
      </c>
      <c r="I4911" s="2" t="s">
        <v>25</v>
      </c>
      <c r="J4911" s="3">
        <v>44261</v>
      </c>
      <c r="K4911" s="2">
        <v>47</v>
      </c>
      <c r="L4911" s="2" t="s">
        <v>45</v>
      </c>
    </row>
    <row r="4912" spans="1:12" x14ac:dyDescent="0.3">
      <c r="A4912" s="2">
        <v>4901</v>
      </c>
      <c r="B4912" s="2" t="s">
        <v>9508</v>
      </c>
      <c r="C4912" s="2" t="s">
        <v>8144</v>
      </c>
      <c r="D4912" s="2" t="s">
        <v>51</v>
      </c>
      <c r="E4912" s="2" t="s">
        <v>16</v>
      </c>
      <c r="F4912" s="2">
        <v>30</v>
      </c>
      <c r="G4912" s="2" t="s">
        <v>10346</v>
      </c>
      <c r="H4912" s="2" t="s">
        <v>3271</v>
      </c>
      <c r="I4912" s="2" t="s">
        <v>173</v>
      </c>
      <c r="J4912" s="3">
        <v>44513</v>
      </c>
      <c r="K4912" s="2">
        <v>8</v>
      </c>
      <c r="L4912" s="2" t="s">
        <v>54</v>
      </c>
    </row>
    <row r="4913" spans="1:12" x14ac:dyDescent="0.3">
      <c r="A4913" s="2">
        <v>4902</v>
      </c>
      <c r="B4913" s="2" t="s">
        <v>7104</v>
      </c>
      <c r="C4913" s="2" t="s">
        <v>4222</v>
      </c>
      <c r="D4913" s="2" t="s">
        <v>28</v>
      </c>
      <c r="E4913" s="2" t="s">
        <v>29</v>
      </c>
      <c r="F4913" s="2">
        <v>60</v>
      </c>
      <c r="G4913" s="2" t="s">
        <v>10347</v>
      </c>
      <c r="H4913" s="2" t="s">
        <v>1880</v>
      </c>
      <c r="I4913" s="2" t="s">
        <v>32</v>
      </c>
      <c r="J4913" s="3">
        <v>44143</v>
      </c>
      <c r="K4913" s="2">
        <v>20</v>
      </c>
      <c r="L4913" s="2" t="s">
        <v>101</v>
      </c>
    </row>
    <row r="4914" spans="1:12" x14ac:dyDescent="0.3">
      <c r="A4914" s="2">
        <v>4903</v>
      </c>
      <c r="B4914" s="2" t="s">
        <v>10348</v>
      </c>
      <c r="C4914" s="2" t="s">
        <v>1741</v>
      </c>
      <c r="D4914" s="2" t="s">
        <v>15</v>
      </c>
      <c r="E4914" s="2" t="s">
        <v>16</v>
      </c>
      <c r="F4914" s="2">
        <v>30</v>
      </c>
      <c r="G4914" s="2" t="s">
        <v>10349</v>
      </c>
      <c r="H4914" s="2" t="s">
        <v>1310</v>
      </c>
      <c r="I4914" s="2" t="s">
        <v>1311</v>
      </c>
      <c r="J4914" s="3">
        <v>43885</v>
      </c>
      <c r="K4914" s="2">
        <v>36</v>
      </c>
      <c r="L4914" s="2" t="s">
        <v>159</v>
      </c>
    </row>
    <row r="4915" spans="1:12" x14ac:dyDescent="0.3">
      <c r="A4915" s="2">
        <v>4904</v>
      </c>
      <c r="B4915" s="2" t="s">
        <v>4946</v>
      </c>
      <c r="C4915" s="2" t="s">
        <v>9475</v>
      </c>
      <c r="D4915" s="2" t="s">
        <v>28</v>
      </c>
      <c r="E4915" s="2" t="s">
        <v>29</v>
      </c>
      <c r="F4915" s="2">
        <v>90</v>
      </c>
      <c r="G4915" s="2" t="s">
        <v>10350</v>
      </c>
      <c r="H4915" s="2" t="s">
        <v>6778</v>
      </c>
      <c r="I4915" s="2" t="s">
        <v>38</v>
      </c>
      <c r="J4915" s="3">
        <v>44860</v>
      </c>
      <c r="K4915" s="2">
        <v>50</v>
      </c>
      <c r="L4915" s="2" t="s">
        <v>70</v>
      </c>
    </row>
    <row r="4916" spans="1:12" x14ac:dyDescent="0.3">
      <c r="A4916" s="2">
        <v>4905</v>
      </c>
      <c r="B4916" s="2" t="s">
        <v>10351</v>
      </c>
      <c r="C4916" s="2" t="s">
        <v>1832</v>
      </c>
      <c r="D4916" s="2" t="s">
        <v>92</v>
      </c>
      <c r="E4916" s="2" t="s">
        <v>16</v>
      </c>
      <c r="F4916" s="2">
        <v>60</v>
      </c>
      <c r="G4916" s="2" t="s">
        <v>10352</v>
      </c>
      <c r="H4916" s="2" t="s">
        <v>974</v>
      </c>
      <c r="I4916" s="2" t="s">
        <v>32</v>
      </c>
      <c r="J4916" s="3">
        <v>44562</v>
      </c>
      <c r="K4916" s="2">
        <v>28</v>
      </c>
      <c r="L4916" s="2" t="s">
        <v>64</v>
      </c>
    </row>
    <row r="4917" spans="1:12" x14ac:dyDescent="0.3">
      <c r="A4917" s="2">
        <v>4906</v>
      </c>
      <c r="B4917" s="2" t="s">
        <v>10353</v>
      </c>
      <c r="C4917" s="2" t="s">
        <v>5926</v>
      </c>
      <c r="D4917" s="2" t="s">
        <v>51</v>
      </c>
      <c r="E4917" s="2" t="s">
        <v>16</v>
      </c>
      <c r="F4917" s="2">
        <v>60</v>
      </c>
      <c r="G4917" s="2" t="s">
        <v>10354</v>
      </c>
      <c r="H4917" s="2" t="s">
        <v>7151</v>
      </c>
      <c r="I4917" s="2" t="s">
        <v>38</v>
      </c>
      <c r="J4917" s="3">
        <v>44219</v>
      </c>
      <c r="K4917" s="2">
        <v>75</v>
      </c>
      <c r="L4917" s="2" t="s">
        <v>70</v>
      </c>
    </row>
    <row r="4918" spans="1:12" x14ac:dyDescent="0.3">
      <c r="A4918" s="2">
        <v>4907</v>
      </c>
      <c r="B4918" s="2" t="s">
        <v>824</v>
      </c>
      <c r="C4918" s="2" t="s">
        <v>3301</v>
      </c>
      <c r="D4918" s="2" t="s">
        <v>28</v>
      </c>
      <c r="E4918" s="2" t="s">
        <v>29</v>
      </c>
      <c r="F4918" s="2">
        <v>30</v>
      </c>
      <c r="G4918" s="2" t="s">
        <v>10355</v>
      </c>
      <c r="H4918" s="2" t="s">
        <v>2799</v>
      </c>
      <c r="I4918" s="2" t="s">
        <v>32</v>
      </c>
      <c r="J4918" s="3">
        <v>44615</v>
      </c>
      <c r="K4918" s="2">
        <v>12</v>
      </c>
      <c r="L4918" s="2" t="s">
        <v>70</v>
      </c>
    </row>
    <row r="4919" spans="1:12" x14ac:dyDescent="0.3">
      <c r="A4919" s="2">
        <v>4908</v>
      </c>
      <c r="B4919" s="2" t="s">
        <v>2027</v>
      </c>
      <c r="C4919" s="2" t="s">
        <v>10356</v>
      </c>
      <c r="D4919" s="2" t="s">
        <v>51</v>
      </c>
      <c r="E4919" s="2" t="s">
        <v>16</v>
      </c>
      <c r="F4919" s="2">
        <v>90</v>
      </c>
      <c r="G4919" s="2" t="s">
        <v>10357</v>
      </c>
      <c r="H4919" s="2" t="s">
        <v>2021</v>
      </c>
      <c r="I4919" s="2" t="s">
        <v>2022</v>
      </c>
      <c r="J4919" s="3">
        <v>44223</v>
      </c>
      <c r="K4919" s="2">
        <v>74</v>
      </c>
      <c r="L4919" s="2" t="s">
        <v>33</v>
      </c>
    </row>
    <row r="4920" spans="1:12" x14ac:dyDescent="0.3">
      <c r="A4920" s="2">
        <v>4909</v>
      </c>
      <c r="B4920" s="2" t="s">
        <v>196</v>
      </c>
      <c r="C4920" s="2" t="s">
        <v>4504</v>
      </c>
      <c r="D4920" s="2" t="s">
        <v>28</v>
      </c>
      <c r="E4920" s="2" t="s">
        <v>29</v>
      </c>
      <c r="F4920" s="2">
        <v>60</v>
      </c>
      <c r="G4920" s="2" t="s">
        <v>10358</v>
      </c>
      <c r="H4920" s="2" t="s">
        <v>2376</v>
      </c>
      <c r="I4920" s="2" t="s">
        <v>32</v>
      </c>
      <c r="J4920" s="3">
        <v>44166</v>
      </c>
      <c r="K4920" s="2">
        <v>55</v>
      </c>
      <c r="L4920" s="2" t="s">
        <v>33</v>
      </c>
    </row>
    <row r="4921" spans="1:12" x14ac:dyDescent="0.3">
      <c r="A4921" s="2">
        <v>4910</v>
      </c>
      <c r="B4921" s="2" t="s">
        <v>10359</v>
      </c>
      <c r="C4921" s="2" t="s">
        <v>2841</v>
      </c>
      <c r="D4921" s="2" t="s">
        <v>15</v>
      </c>
      <c r="E4921" s="2" t="s">
        <v>16</v>
      </c>
      <c r="F4921" s="2">
        <v>90</v>
      </c>
      <c r="G4921" s="2" t="s">
        <v>10360</v>
      </c>
      <c r="H4921" s="2" t="s">
        <v>3764</v>
      </c>
      <c r="I4921" s="2" t="s">
        <v>32</v>
      </c>
      <c r="J4921" s="3">
        <v>44656</v>
      </c>
      <c r="K4921" s="2">
        <v>8</v>
      </c>
      <c r="L4921" s="2" t="s">
        <v>45</v>
      </c>
    </row>
    <row r="4922" spans="1:12" x14ac:dyDescent="0.3">
      <c r="A4922" s="2">
        <v>4911</v>
      </c>
      <c r="B4922" s="2" t="s">
        <v>10361</v>
      </c>
      <c r="C4922" s="2" t="s">
        <v>9953</v>
      </c>
      <c r="D4922" s="2" t="s">
        <v>41</v>
      </c>
      <c r="E4922" s="2" t="s">
        <v>16</v>
      </c>
      <c r="F4922" s="2">
        <v>60</v>
      </c>
      <c r="G4922" s="2" t="s">
        <v>10593</v>
      </c>
      <c r="H4922" s="2" t="s">
        <v>7768</v>
      </c>
      <c r="I4922" s="2" t="s">
        <v>19</v>
      </c>
      <c r="J4922" s="3">
        <v>43960</v>
      </c>
      <c r="K4922" s="2">
        <v>36</v>
      </c>
      <c r="L4922" s="2" t="s">
        <v>20</v>
      </c>
    </row>
    <row r="4923" spans="1:12" x14ac:dyDescent="0.3">
      <c r="A4923" s="2">
        <v>4912</v>
      </c>
      <c r="B4923" s="2" t="s">
        <v>10363</v>
      </c>
      <c r="C4923" s="2" t="s">
        <v>1439</v>
      </c>
      <c r="D4923" s="2" t="s">
        <v>15</v>
      </c>
      <c r="E4923" s="2" t="s">
        <v>16</v>
      </c>
      <c r="F4923" s="2">
        <v>30</v>
      </c>
      <c r="G4923" s="2" t="s">
        <v>10364</v>
      </c>
      <c r="H4923" s="2" t="s">
        <v>6479</v>
      </c>
      <c r="I4923" s="2" t="s">
        <v>187</v>
      </c>
      <c r="J4923" s="3">
        <v>44606</v>
      </c>
      <c r="K4923" s="2">
        <v>22</v>
      </c>
      <c r="L4923" s="2" t="s">
        <v>39</v>
      </c>
    </row>
    <row r="4924" spans="1:12" x14ac:dyDescent="0.3">
      <c r="A4924" s="2">
        <v>4913</v>
      </c>
      <c r="B4924" s="2" t="s">
        <v>4372</v>
      </c>
      <c r="C4924" s="2" t="s">
        <v>2402</v>
      </c>
      <c r="D4924" s="2" t="s">
        <v>28</v>
      </c>
      <c r="E4924" s="2" t="s">
        <v>29</v>
      </c>
      <c r="F4924" s="2">
        <v>90</v>
      </c>
      <c r="G4924" s="2" t="s">
        <v>10365</v>
      </c>
      <c r="H4924" s="2" t="s">
        <v>4285</v>
      </c>
      <c r="I4924" s="2" t="s">
        <v>124</v>
      </c>
      <c r="J4924" s="3">
        <v>43898</v>
      </c>
      <c r="K4924" s="2">
        <v>58</v>
      </c>
      <c r="L4924" s="2" t="s">
        <v>20</v>
      </c>
    </row>
    <row r="4925" spans="1:12" x14ac:dyDescent="0.3">
      <c r="A4925" s="2">
        <v>4914</v>
      </c>
      <c r="B4925" s="2" t="s">
        <v>1229</v>
      </c>
      <c r="C4925" s="2" t="s">
        <v>589</v>
      </c>
      <c r="D4925" s="2" t="s">
        <v>28</v>
      </c>
      <c r="E4925" s="2" t="s">
        <v>29</v>
      </c>
      <c r="F4925" s="2">
        <v>30</v>
      </c>
      <c r="G4925" s="2" t="s">
        <v>10365</v>
      </c>
      <c r="H4925" s="2" t="s">
        <v>3678</v>
      </c>
      <c r="I4925" s="2" t="s">
        <v>32</v>
      </c>
      <c r="J4925" s="3">
        <v>44618</v>
      </c>
      <c r="K4925" s="2">
        <v>50</v>
      </c>
      <c r="L4925" s="2" t="s">
        <v>70</v>
      </c>
    </row>
    <row r="4926" spans="1:12" x14ac:dyDescent="0.3">
      <c r="A4926" s="2">
        <v>4915</v>
      </c>
      <c r="B4926" s="2" t="s">
        <v>2398</v>
      </c>
      <c r="C4926" s="2" t="s">
        <v>2653</v>
      </c>
      <c r="D4926" s="2" t="s">
        <v>15</v>
      </c>
      <c r="E4926" s="2" t="s">
        <v>16</v>
      </c>
      <c r="F4926" s="2">
        <v>60</v>
      </c>
      <c r="G4926" s="2" t="s">
        <v>10366</v>
      </c>
      <c r="H4926" s="2" t="s">
        <v>137</v>
      </c>
      <c r="I4926" s="2" t="s">
        <v>32</v>
      </c>
      <c r="J4926" s="3">
        <v>44452</v>
      </c>
      <c r="K4926" s="2">
        <v>63</v>
      </c>
      <c r="L4926" s="2" t="s">
        <v>39</v>
      </c>
    </row>
    <row r="4927" spans="1:12" x14ac:dyDescent="0.3">
      <c r="A4927" s="2">
        <v>4916</v>
      </c>
      <c r="B4927" s="2" t="s">
        <v>10367</v>
      </c>
      <c r="C4927" s="2" t="s">
        <v>143</v>
      </c>
      <c r="D4927" s="2" t="s">
        <v>15</v>
      </c>
      <c r="E4927" s="2" t="s">
        <v>16</v>
      </c>
      <c r="F4927" s="2">
        <v>30</v>
      </c>
      <c r="G4927" s="2" t="s">
        <v>10368</v>
      </c>
      <c r="H4927" s="2" t="s">
        <v>5634</v>
      </c>
      <c r="I4927" s="2" t="s">
        <v>32</v>
      </c>
      <c r="J4927" s="3">
        <v>44228</v>
      </c>
      <c r="K4927" s="2">
        <v>20</v>
      </c>
      <c r="L4927" s="2" t="s">
        <v>64</v>
      </c>
    </row>
    <row r="4928" spans="1:12" x14ac:dyDescent="0.3">
      <c r="A4928" s="2">
        <v>4917</v>
      </c>
      <c r="B4928" s="2" t="s">
        <v>7678</v>
      </c>
      <c r="C4928" s="2" t="s">
        <v>1851</v>
      </c>
      <c r="D4928" s="2" t="s">
        <v>28</v>
      </c>
      <c r="E4928" s="2" t="s">
        <v>29</v>
      </c>
      <c r="F4928" s="2">
        <v>60</v>
      </c>
      <c r="G4928" s="2" t="s">
        <v>10369</v>
      </c>
      <c r="H4928" s="2" t="s">
        <v>2673</v>
      </c>
      <c r="I4928" s="2" t="s">
        <v>19</v>
      </c>
      <c r="J4928" s="3">
        <v>44456</v>
      </c>
      <c r="K4928" s="2">
        <v>51</v>
      </c>
      <c r="L4928" s="2" t="s">
        <v>39</v>
      </c>
    </row>
    <row r="4929" spans="1:12" x14ac:dyDescent="0.3">
      <c r="A4929" s="2">
        <v>4918</v>
      </c>
      <c r="B4929" s="2" t="s">
        <v>10370</v>
      </c>
      <c r="C4929" s="2" t="s">
        <v>1638</v>
      </c>
      <c r="D4929" s="2" t="s">
        <v>28</v>
      </c>
      <c r="E4929" s="2" t="s">
        <v>29</v>
      </c>
      <c r="F4929" s="2">
        <v>60</v>
      </c>
      <c r="G4929" s="2" t="s">
        <v>10594</v>
      </c>
      <c r="H4929" s="2" t="s">
        <v>1674</v>
      </c>
      <c r="I4929" s="2" t="s">
        <v>25</v>
      </c>
      <c r="J4929" s="3">
        <v>44532</v>
      </c>
      <c r="K4929" s="2">
        <v>86</v>
      </c>
      <c r="L4929" s="2" t="s">
        <v>70</v>
      </c>
    </row>
    <row r="4930" spans="1:12" x14ac:dyDescent="0.3">
      <c r="A4930" s="2">
        <v>4919</v>
      </c>
      <c r="B4930" s="2" t="s">
        <v>2690</v>
      </c>
      <c r="C4930" s="2" t="s">
        <v>7062</v>
      </c>
      <c r="D4930" s="2" t="s">
        <v>28</v>
      </c>
      <c r="E4930" s="2" t="s">
        <v>29</v>
      </c>
      <c r="F4930" s="2">
        <v>90</v>
      </c>
      <c r="G4930" s="2" t="s">
        <v>10372</v>
      </c>
      <c r="H4930" s="2" t="s">
        <v>4451</v>
      </c>
      <c r="I4930" s="2" t="s">
        <v>32</v>
      </c>
      <c r="J4930" s="3">
        <v>44787</v>
      </c>
      <c r="K4930" s="2">
        <v>39</v>
      </c>
      <c r="L4930" s="2" t="s">
        <v>20</v>
      </c>
    </row>
    <row r="4931" spans="1:12" x14ac:dyDescent="0.3">
      <c r="A4931" s="2">
        <v>4920</v>
      </c>
      <c r="B4931" s="2" t="s">
        <v>6874</v>
      </c>
      <c r="C4931" s="2" t="s">
        <v>4121</v>
      </c>
      <c r="D4931" s="2" t="s">
        <v>51</v>
      </c>
      <c r="E4931" s="2" t="s">
        <v>16</v>
      </c>
      <c r="F4931" s="2">
        <v>90</v>
      </c>
      <c r="G4931" s="2" t="s">
        <v>10373</v>
      </c>
      <c r="H4931" s="2" t="s">
        <v>1334</v>
      </c>
      <c r="I4931" s="2" t="s">
        <v>38</v>
      </c>
      <c r="J4931" s="3">
        <v>44352</v>
      </c>
      <c r="K4931" s="2">
        <v>86</v>
      </c>
      <c r="L4931" s="2" t="s">
        <v>70</v>
      </c>
    </row>
    <row r="4932" spans="1:12" x14ac:dyDescent="0.3">
      <c r="A4932" s="2">
        <v>4921</v>
      </c>
      <c r="B4932" s="2" t="s">
        <v>10374</v>
      </c>
      <c r="C4932" s="2" t="s">
        <v>4596</v>
      </c>
      <c r="D4932" s="2" t="s">
        <v>51</v>
      </c>
      <c r="E4932" s="2" t="s">
        <v>16</v>
      </c>
      <c r="F4932" s="2">
        <v>30</v>
      </c>
      <c r="G4932" s="2" t="s">
        <v>10373</v>
      </c>
      <c r="H4932" s="2" t="s">
        <v>389</v>
      </c>
      <c r="I4932" s="2" t="s">
        <v>32</v>
      </c>
      <c r="J4932" s="3">
        <v>44756</v>
      </c>
      <c r="K4932" s="2">
        <v>52</v>
      </c>
      <c r="L4932" s="2" t="s">
        <v>64</v>
      </c>
    </row>
    <row r="4933" spans="1:12" x14ac:dyDescent="0.3">
      <c r="A4933" s="2">
        <v>4922</v>
      </c>
      <c r="B4933" s="2" t="s">
        <v>1602</v>
      </c>
      <c r="C4933" s="2" t="s">
        <v>4681</v>
      </c>
      <c r="D4933" s="2" t="s">
        <v>28</v>
      </c>
      <c r="E4933" s="2" t="s">
        <v>29</v>
      </c>
      <c r="F4933" s="2">
        <v>90</v>
      </c>
      <c r="G4933" s="2" t="s">
        <v>10375</v>
      </c>
      <c r="H4933" s="2" t="s">
        <v>694</v>
      </c>
      <c r="I4933" s="2" t="s">
        <v>32</v>
      </c>
      <c r="J4933" s="3">
        <v>44051</v>
      </c>
      <c r="K4933" s="2">
        <v>39</v>
      </c>
      <c r="L4933" s="2" t="s">
        <v>64</v>
      </c>
    </row>
    <row r="4934" spans="1:12" x14ac:dyDescent="0.3">
      <c r="A4934" s="2">
        <v>4923</v>
      </c>
      <c r="B4934" s="2" t="s">
        <v>4977</v>
      </c>
      <c r="C4934" s="2" t="s">
        <v>6226</v>
      </c>
      <c r="D4934" s="2" t="s">
        <v>51</v>
      </c>
      <c r="E4934" s="2" t="s">
        <v>16</v>
      </c>
      <c r="F4934" s="2">
        <v>90</v>
      </c>
      <c r="G4934" s="2" t="s">
        <v>10376</v>
      </c>
      <c r="H4934" s="2" t="s">
        <v>9609</v>
      </c>
      <c r="I4934" s="2" t="s">
        <v>19</v>
      </c>
      <c r="J4934" s="3">
        <v>44344</v>
      </c>
      <c r="K4934" s="2">
        <v>95</v>
      </c>
      <c r="L4934" s="2" t="s">
        <v>39</v>
      </c>
    </row>
    <row r="4935" spans="1:12" x14ac:dyDescent="0.3">
      <c r="A4935" s="2">
        <v>4924</v>
      </c>
      <c r="B4935" s="2" t="s">
        <v>3225</v>
      </c>
      <c r="C4935" s="2" t="s">
        <v>10377</v>
      </c>
      <c r="D4935" s="2" t="s">
        <v>51</v>
      </c>
      <c r="E4935" s="2" t="s">
        <v>16</v>
      </c>
      <c r="F4935" s="2">
        <v>30</v>
      </c>
      <c r="G4935" s="2" t="s">
        <v>10378</v>
      </c>
      <c r="H4935" s="2" t="s">
        <v>8019</v>
      </c>
      <c r="I4935" s="2" t="s">
        <v>32</v>
      </c>
      <c r="J4935" s="3">
        <v>44628</v>
      </c>
      <c r="K4935" s="2">
        <v>81</v>
      </c>
      <c r="L4935" s="2" t="s">
        <v>159</v>
      </c>
    </row>
    <row r="4936" spans="1:12" x14ac:dyDescent="0.3">
      <c r="A4936" s="2">
        <v>4925</v>
      </c>
      <c r="B4936" s="2" t="s">
        <v>1509</v>
      </c>
      <c r="C4936" s="2" t="s">
        <v>6922</v>
      </c>
      <c r="D4936" s="2" t="s">
        <v>28</v>
      </c>
      <c r="E4936" s="2" t="s">
        <v>29</v>
      </c>
      <c r="F4936" s="2">
        <v>60</v>
      </c>
      <c r="G4936" s="2" t="s">
        <v>10379</v>
      </c>
      <c r="H4936" s="2" t="s">
        <v>5974</v>
      </c>
      <c r="I4936" s="2" t="s">
        <v>19</v>
      </c>
      <c r="J4936" s="3">
        <v>44101</v>
      </c>
      <c r="K4936" s="2">
        <v>64</v>
      </c>
      <c r="L4936" s="2" t="s">
        <v>39</v>
      </c>
    </row>
    <row r="4937" spans="1:12" x14ac:dyDescent="0.3">
      <c r="A4937" s="2">
        <v>4926</v>
      </c>
      <c r="B4937" s="2" t="s">
        <v>2206</v>
      </c>
      <c r="C4937" s="2" t="s">
        <v>1672</v>
      </c>
      <c r="D4937" s="2" t="s">
        <v>28</v>
      </c>
      <c r="E4937" s="2" t="s">
        <v>29</v>
      </c>
      <c r="F4937" s="2">
        <v>90</v>
      </c>
      <c r="G4937" s="2" t="s">
        <v>10380</v>
      </c>
      <c r="H4937" s="2" t="s">
        <v>7598</v>
      </c>
      <c r="I4937" s="2" t="s">
        <v>187</v>
      </c>
      <c r="J4937" s="3">
        <v>44705</v>
      </c>
      <c r="K4937" s="2">
        <v>42</v>
      </c>
      <c r="L4937" s="2" t="s">
        <v>39</v>
      </c>
    </row>
    <row r="4938" spans="1:12" x14ac:dyDescent="0.3">
      <c r="A4938" s="2">
        <v>4927</v>
      </c>
      <c r="B4938" s="2" t="s">
        <v>10381</v>
      </c>
      <c r="C4938" s="2" t="s">
        <v>7253</v>
      </c>
      <c r="D4938" s="2" t="s">
        <v>15</v>
      </c>
      <c r="E4938" s="2" t="s">
        <v>16</v>
      </c>
      <c r="F4938" s="2">
        <v>30</v>
      </c>
      <c r="G4938" s="2" t="s">
        <v>10382</v>
      </c>
      <c r="H4938" s="2" t="s">
        <v>5248</v>
      </c>
      <c r="I4938" s="2" t="s">
        <v>32</v>
      </c>
      <c r="J4938" s="3">
        <v>44153</v>
      </c>
      <c r="K4938" s="2">
        <v>20</v>
      </c>
      <c r="L4938" s="2" t="s">
        <v>45</v>
      </c>
    </row>
    <row r="4939" spans="1:12" x14ac:dyDescent="0.3">
      <c r="A4939" s="2">
        <v>4928</v>
      </c>
      <c r="B4939" s="2" t="s">
        <v>1703</v>
      </c>
      <c r="C4939" s="2" t="s">
        <v>3439</v>
      </c>
      <c r="D4939" s="2" t="s">
        <v>28</v>
      </c>
      <c r="E4939" s="2" t="s">
        <v>29</v>
      </c>
      <c r="F4939" s="2">
        <v>30</v>
      </c>
      <c r="G4939" s="2" t="s">
        <v>10384</v>
      </c>
      <c r="H4939" s="2" t="s">
        <v>6312</v>
      </c>
      <c r="I4939" s="2" t="s">
        <v>173</v>
      </c>
      <c r="J4939" s="3">
        <v>43872</v>
      </c>
      <c r="K4939" s="2">
        <v>39</v>
      </c>
      <c r="L4939" s="2" t="s">
        <v>64</v>
      </c>
    </row>
    <row r="4940" spans="1:12" x14ac:dyDescent="0.3">
      <c r="A4940" s="2">
        <v>4929</v>
      </c>
      <c r="B4940" s="2" t="s">
        <v>9394</v>
      </c>
      <c r="C4940" s="2" t="s">
        <v>5084</v>
      </c>
      <c r="D4940" s="2" t="s">
        <v>117</v>
      </c>
      <c r="E4940" s="2" t="s">
        <v>29</v>
      </c>
      <c r="F4940" s="2">
        <v>90</v>
      </c>
      <c r="G4940" s="2" t="s">
        <v>10384</v>
      </c>
      <c r="H4940" s="2" t="s">
        <v>2152</v>
      </c>
      <c r="I4940" s="2" t="s">
        <v>32</v>
      </c>
      <c r="J4940" s="3">
        <v>44425</v>
      </c>
      <c r="K4940" s="2">
        <v>88</v>
      </c>
      <c r="L4940" s="2" t="s">
        <v>64</v>
      </c>
    </row>
    <row r="4941" spans="1:12" x14ac:dyDescent="0.3">
      <c r="A4941" s="2">
        <v>4930</v>
      </c>
      <c r="B4941" s="2" t="s">
        <v>10385</v>
      </c>
      <c r="C4941" s="2" t="s">
        <v>4026</v>
      </c>
      <c r="D4941" s="2" t="s">
        <v>41</v>
      </c>
      <c r="E4941" s="2" t="s">
        <v>16</v>
      </c>
      <c r="F4941" s="2">
        <v>30</v>
      </c>
      <c r="G4941" s="2" t="s">
        <v>10386</v>
      </c>
      <c r="H4941" s="2" t="s">
        <v>137</v>
      </c>
      <c r="I4941" s="2" t="s">
        <v>32</v>
      </c>
      <c r="J4941" s="3">
        <v>44016</v>
      </c>
      <c r="K4941" s="2">
        <v>15</v>
      </c>
      <c r="L4941" s="2" t="s">
        <v>80</v>
      </c>
    </row>
    <row r="4942" spans="1:12" x14ac:dyDescent="0.3">
      <c r="A4942" s="2">
        <v>4931</v>
      </c>
      <c r="B4942" s="2" t="s">
        <v>10387</v>
      </c>
      <c r="C4942" s="2" t="s">
        <v>3352</v>
      </c>
      <c r="D4942" s="2" t="s">
        <v>15</v>
      </c>
      <c r="E4942" s="2" t="s">
        <v>16</v>
      </c>
      <c r="F4942" s="2">
        <v>90</v>
      </c>
      <c r="G4942" s="2" t="s">
        <v>10388</v>
      </c>
      <c r="H4942" s="2" t="s">
        <v>4056</v>
      </c>
      <c r="I4942" s="2" t="s">
        <v>124</v>
      </c>
      <c r="J4942" s="3">
        <v>44714</v>
      </c>
      <c r="K4942" s="2">
        <v>98</v>
      </c>
      <c r="L4942" s="2" t="s">
        <v>54</v>
      </c>
    </row>
    <row r="4943" spans="1:12" x14ac:dyDescent="0.3">
      <c r="A4943" s="2">
        <v>4932</v>
      </c>
      <c r="B4943" s="2" t="s">
        <v>2731</v>
      </c>
      <c r="C4943" s="2" t="s">
        <v>3922</v>
      </c>
      <c r="D4943" s="2" t="s">
        <v>28</v>
      </c>
      <c r="E4943" s="2" t="s">
        <v>29</v>
      </c>
      <c r="F4943" s="2">
        <v>90</v>
      </c>
      <c r="G4943" s="2" t="s">
        <v>10389</v>
      </c>
      <c r="H4943" s="2" t="s">
        <v>2436</v>
      </c>
      <c r="I4943" s="2" t="s">
        <v>294</v>
      </c>
      <c r="J4943" s="3">
        <v>44191</v>
      </c>
      <c r="K4943" s="2">
        <v>44</v>
      </c>
      <c r="L4943" s="2" t="s">
        <v>101</v>
      </c>
    </row>
    <row r="4944" spans="1:12" x14ac:dyDescent="0.3">
      <c r="A4944" s="2">
        <v>4933</v>
      </c>
      <c r="B4944" s="2" t="s">
        <v>10390</v>
      </c>
      <c r="C4944" s="2" t="s">
        <v>4173</v>
      </c>
      <c r="D4944" s="2" t="s">
        <v>51</v>
      </c>
      <c r="E4944" s="2" t="s">
        <v>16</v>
      </c>
      <c r="F4944" s="2">
        <v>60</v>
      </c>
      <c r="G4944" s="2" t="s">
        <v>10391</v>
      </c>
      <c r="H4944" s="2" t="s">
        <v>298</v>
      </c>
      <c r="I4944" s="2" t="s">
        <v>25</v>
      </c>
      <c r="J4944" s="3">
        <v>44679</v>
      </c>
      <c r="K4944" s="2">
        <v>87</v>
      </c>
      <c r="L4944" s="2" t="s">
        <v>39</v>
      </c>
    </row>
    <row r="4945" spans="1:12" x14ac:dyDescent="0.3">
      <c r="A4945" s="2">
        <v>4934</v>
      </c>
      <c r="B4945" s="2" t="s">
        <v>10392</v>
      </c>
      <c r="C4945" s="2" t="s">
        <v>3911</v>
      </c>
      <c r="D4945" s="2" t="s">
        <v>51</v>
      </c>
      <c r="E4945" s="2" t="s">
        <v>16</v>
      </c>
      <c r="F4945" s="2">
        <v>90</v>
      </c>
      <c r="G4945" s="2" t="s">
        <v>10393</v>
      </c>
      <c r="H4945" s="2" t="s">
        <v>522</v>
      </c>
      <c r="I4945" s="2" t="s">
        <v>32</v>
      </c>
      <c r="J4945" s="3">
        <v>43887</v>
      </c>
      <c r="K4945" s="2">
        <v>76</v>
      </c>
      <c r="L4945" s="2" t="s">
        <v>101</v>
      </c>
    </row>
    <row r="4946" spans="1:12" x14ac:dyDescent="0.3">
      <c r="A4946" s="2">
        <v>4935</v>
      </c>
      <c r="B4946" s="2" t="s">
        <v>4307</v>
      </c>
      <c r="C4946" s="2" t="s">
        <v>6638</v>
      </c>
      <c r="D4946" s="2" t="s">
        <v>51</v>
      </c>
      <c r="E4946" s="2" t="s">
        <v>16</v>
      </c>
      <c r="F4946" s="2">
        <v>60</v>
      </c>
      <c r="G4946" s="2" t="s">
        <v>10394</v>
      </c>
      <c r="H4946" s="2" t="s">
        <v>150</v>
      </c>
      <c r="I4946" s="2" t="s">
        <v>110</v>
      </c>
      <c r="J4946" s="3">
        <v>44403</v>
      </c>
      <c r="K4946" s="2">
        <v>50</v>
      </c>
      <c r="L4946" s="2" t="s">
        <v>20</v>
      </c>
    </row>
    <row r="4947" spans="1:12" x14ac:dyDescent="0.3">
      <c r="A4947" s="2">
        <v>4936</v>
      </c>
      <c r="B4947" s="2" t="s">
        <v>5088</v>
      </c>
      <c r="C4947" s="2" t="s">
        <v>7953</v>
      </c>
      <c r="D4947" s="2" t="s">
        <v>28</v>
      </c>
      <c r="E4947" s="2" t="s">
        <v>29</v>
      </c>
      <c r="F4947" s="2">
        <v>90</v>
      </c>
      <c r="G4947" s="2" t="s">
        <v>10394</v>
      </c>
      <c r="H4947" s="2" t="s">
        <v>1791</v>
      </c>
      <c r="I4947" s="2" t="s">
        <v>32</v>
      </c>
      <c r="J4947" s="3">
        <v>44431</v>
      </c>
      <c r="K4947" s="2">
        <v>87</v>
      </c>
      <c r="L4947" s="2" t="s">
        <v>45</v>
      </c>
    </row>
    <row r="4948" spans="1:12" x14ac:dyDescent="0.3">
      <c r="A4948" s="2">
        <v>4937</v>
      </c>
      <c r="B4948" s="2" t="s">
        <v>3588</v>
      </c>
      <c r="C4948" s="2" t="s">
        <v>10395</v>
      </c>
      <c r="D4948" s="2" t="s">
        <v>28</v>
      </c>
      <c r="E4948" s="2" t="s">
        <v>29</v>
      </c>
      <c r="F4948" s="2">
        <v>30</v>
      </c>
      <c r="G4948" s="2" t="s">
        <v>10396</v>
      </c>
      <c r="H4948" s="2" t="s">
        <v>3882</v>
      </c>
      <c r="I4948" s="2" t="s">
        <v>38</v>
      </c>
      <c r="J4948" s="3">
        <v>43953</v>
      </c>
      <c r="K4948" s="2">
        <v>43</v>
      </c>
      <c r="L4948" s="2" t="s">
        <v>101</v>
      </c>
    </row>
    <row r="4949" spans="1:12" x14ac:dyDescent="0.3">
      <c r="A4949" s="2">
        <v>4938</v>
      </c>
      <c r="B4949" s="2" t="s">
        <v>10397</v>
      </c>
      <c r="C4949" s="2" t="s">
        <v>5649</v>
      </c>
      <c r="D4949" s="2" t="s">
        <v>28</v>
      </c>
      <c r="E4949" s="2" t="s">
        <v>29</v>
      </c>
      <c r="F4949" s="2">
        <v>60</v>
      </c>
      <c r="G4949" s="2" t="s">
        <v>10398</v>
      </c>
      <c r="H4949" s="2" t="s">
        <v>4779</v>
      </c>
      <c r="I4949" s="2" t="s">
        <v>686</v>
      </c>
      <c r="J4949" s="3">
        <v>44338</v>
      </c>
      <c r="K4949" s="2">
        <v>29</v>
      </c>
      <c r="L4949" s="2" t="s">
        <v>33</v>
      </c>
    </row>
    <row r="4950" spans="1:12" x14ac:dyDescent="0.3">
      <c r="A4950" s="2">
        <v>4939</v>
      </c>
      <c r="B4950" s="2" t="s">
        <v>2399</v>
      </c>
      <c r="C4950" s="2" t="s">
        <v>5164</v>
      </c>
      <c r="D4950" s="2" t="s">
        <v>28</v>
      </c>
      <c r="E4950" s="2" t="s">
        <v>29</v>
      </c>
      <c r="F4950" s="2">
        <v>90</v>
      </c>
      <c r="G4950" s="2" t="s">
        <v>10399</v>
      </c>
      <c r="H4950" s="2" t="s">
        <v>3194</v>
      </c>
      <c r="I4950" s="2" t="s">
        <v>819</v>
      </c>
      <c r="J4950" s="3">
        <v>44130</v>
      </c>
      <c r="K4950" s="2">
        <v>56</v>
      </c>
      <c r="L4950" s="2" t="s">
        <v>45</v>
      </c>
    </row>
    <row r="4951" spans="1:12" x14ac:dyDescent="0.3">
      <c r="A4951" s="2">
        <v>4940</v>
      </c>
      <c r="B4951" s="2" t="s">
        <v>2027</v>
      </c>
      <c r="C4951" s="2" t="s">
        <v>8347</v>
      </c>
      <c r="D4951" s="2" t="s">
        <v>28</v>
      </c>
      <c r="E4951" s="2" t="s">
        <v>29</v>
      </c>
      <c r="F4951" s="2">
        <v>30</v>
      </c>
      <c r="G4951" s="2" t="s">
        <v>10399</v>
      </c>
      <c r="H4951" s="2" t="s">
        <v>603</v>
      </c>
      <c r="I4951" s="2" t="s">
        <v>187</v>
      </c>
      <c r="J4951" s="3">
        <v>43908</v>
      </c>
      <c r="K4951" s="2">
        <v>49</v>
      </c>
      <c r="L4951" s="2" t="s">
        <v>70</v>
      </c>
    </row>
    <row r="4952" spans="1:12" x14ac:dyDescent="0.3">
      <c r="A4952" s="2">
        <v>4941</v>
      </c>
      <c r="B4952" s="2" t="s">
        <v>717</v>
      </c>
      <c r="C4952" s="2" t="s">
        <v>1829</v>
      </c>
      <c r="D4952" s="2" t="s">
        <v>51</v>
      </c>
      <c r="E4952" s="2" t="s">
        <v>16</v>
      </c>
      <c r="F4952" s="2">
        <v>60</v>
      </c>
      <c r="G4952" s="2" t="s">
        <v>10399</v>
      </c>
      <c r="H4952" s="2" t="s">
        <v>168</v>
      </c>
      <c r="I4952" s="2" t="s">
        <v>32</v>
      </c>
      <c r="J4952" s="3">
        <v>44156</v>
      </c>
      <c r="K4952" s="2">
        <v>32</v>
      </c>
      <c r="L4952" s="2" t="s">
        <v>64</v>
      </c>
    </row>
    <row r="4953" spans="1:12" x14ac:dyDescent="0.3">
      <c r="A4953" s="2">
        <v>4942</v>
      </c>
      <c r="B4953" s="2" t="s">
        <v>10400</v>
      </c>
      <c r="C4953" s="2" t="s">
        <v>5413</v>
      </c>
      <c r="D4953" s="2" t="s">
        <v>41</v>
      </c>
      <c r="E4953" s="2" t="s">
        <v>16</v>
      </c>
      <c r="F4953" s="2">
        <v>60</v>
      </c>
      <c r="G4953" s="2" t="s">
        <v>10401</v>
      </c>
      <c r="H4953" s="2" t="s">
        <v>1845</v>
      </c>
      <c r="I4953" s="2" t="s">
        <v>294</v>
      </c>
      <c r="J4953" s="3">
        <v>44786</v>
      </c>
      <c r="K4953" s="2">
        <v>88</v>
      </c>
      <c r="L4953" s="2" t="s">
        <v>80</v>
      </c>
    </row>
    <row r="4954" spans="1:12" x14ac:dyDescent="0.3">
      <c r="A4954" s="2">
        <v>4943</v>
      </c>
      <c r="B4954" s="2" t="s">
        <v>8355</v>
      </c>
      <c r="C4954" s="2" t="s">
        <v>10402</v>
      </c>
      <c r="D4954" s="2" t="s">
        <v>51</v>
      </c>
      <c r="E4954" s="2" t="s">
        <v>16</v>
      </c>
      <c r="F4954" s="2">
        <v>90</v>
      </c>
      <c r="G4954" s="2" t="s">
        <v>10403</v>
      </c>
      <c r="H4954" s="2" t="s">
        <v>2179</v>
      </c>
      <c r="I4954" s="2" t="s">
        <v>294</v>
      </c>
      <c r="J4954" s="3">
        <v>44678</v>
      </c>
      <c r="K4954" s="2">
        <v>76</v>
      </c>
      <c r="L4954" s="2" t="s">
        <v>33</v>
      </c>
    </row>
    <row r="4955" spans="1:12" x14ac:dyDescent="0.3">
      <c r="A4955" s="2">
        <v>4944</v>
      </c>
      <c r="B4955" s="2" t="s">
        <v>3113</v>
      </c>
      <c r="C4955" s="2" t="s">
        <v>336</v>
      </c>
      <c r="D4955" s="2" t="s">
        <v>15</v>
      </c>
      <c r="E4955" s="2" t="s">
        <v>16</v>
      </c>
      <c r="F4955" s="2">
        <v>30</v>
      </c>
      <c r="G4955" s="2" t="s">
        <v>10404</v>
      </c>
      <c r="H4955" s="2" t="s">
        <v>8906</v>
      </c>
      <c r="I4955" s="2" t="s">
        <v>240</v>
      </c>
      <c r="J4955" s="3">
        <v>44257</v>
      </c>
      <c r="K4955" s="2">
        <v>44</v>
      </c>
      <c r="L4955" s="2" t="s">
        <v>20</v>
      </c>
    </row>
    <row r="4956" spans="1:12" x14ac:dyDescent="0.3">
      <c r="A4956" s="2">
        <v>4945</v>
      </c>
      <c r="B4956" s="2" t="s">
        <v>1623</v>
      </c>
      <c r="C4956" s="2" t="s">
        <v>222</v>
      </c>
      <c r="D4956" s="2" t="s">
        <v>28</v>
      </c>
      <c r="E4956" s="2" t="s">
        <v>29</v>
      </c>
      <c r="F4956" s="2">
        <v>30</v>
      </c>
      <c r="G4956" s="2" t="s">
        <v>10405</v>
      </c>
      <c r="H4956" s="2" t="s">
        <v>3713</v>
      </c>
      <c r="I4956" s="2" t="s">
        <v>32</v>
      </c>
      <c r="J4956" s="3">
        <v>44599</v>
      </c>
      <c r="K4956" s="2">
        <v>58</v>
      </c>
      <c r="L4956" s="2" t="s">
        <v>101</v>
      </c>
    </row>
    <row r="4957" spans="1:12" x14ac:dyDescent="0.3">
      <c r="A4957" s="2">
        <v>4946</v>
      </c>
      <c r="B4957" s="2" t="s">
        <v>5607</v>
      </c>
      <c r="C4957" s="2" t="s">
        <v>1237</v>
      </c>
      <c r="D4957" s="2" t="s">
        <v>51</v>
      </c>
      <c r="E4957" s="2" t="s">
        <v>16</v>
      </c>
      <c r="F4957" s="2">
        <v>60</v>
      </c>
      <c r="G4957" s="2" t="s">
        <v>10406</v>
      </c>
      <c r="H4957" s="2" t="s">
        <v>2685</v>
      </c>
      <c r="I4957" s="2" t="s">
        <v>32</v>
      </c>
      <c r="J4957" s="3">
        <v>43924</v>
      </c>
      <c r="K4957" s="2">
        <v>49</v>
      </c>
      <c r="L4957" s="2" t="s">
        <v>45</v>
      </c>
    </row>
    <row r="4958" spans="1:12" x14ac:dyDescent="0.3">
      <c r="A4958" s="2">
        <v>4947</v>
      </c>
      <c r="B4958" s="2" t="s">
        <v>4233</v>
      </c>
      <c r="C4958" s="2" t="s">
        <v>6351</v>
      </c>
      <c r="D4958" s="2" t="s">
        <v>28</v>
      </c>
      <c r="E4958" s="2" t="s">
        <v>29</v>
      </c>
      <c r="F4958" s="2">
        <v>60</v>
      </c>
      <c r="G4958" s="2" t="s">
        <v>10407</v>
      </c>
      <c r="H4958" s="2" t="s">
        <v>5427</v>
      </c>
      <c r="I4958" s="2" t="s">
        <v>32</v>
      </c>
      <c r="J4958" s="3">
        <v>44718</v>
      </c>
      <c r="K4958" s="2">
        <v>34</v>
      </c>
      <c r="L4958" s="2" t="s">
        <v>101</v>
      </c>
    </row>
    <row r="4959" spans="1:12" x14ac:dyDescent="0.3">
      <c r="A4959" s="2">
        <v>4948</v>
      </c>
      <c r="B4959" s="2" t="s">
        <v>9081</v>
      </c>
      <c r="C4959" s="2" t="s">
        <v>189</v>
      </c>
      <c r="D4959" s="2" t="s">
        <v>28</v>
      </c>
      <c r="E4959" s="2" t="s">
        <v>29</v>
      </c>
      <c r="F4959" s="2">
        <v>60</v>
      </c>
      <c r="G4959" s="2" t="s">
        <v>10408</v>
      </c>
      <c r="H4959" s="2" t="s">
        <v>7965</v>
      </c>
      <c r="I4959" s="2" t="s">
        <v>38</v>
      </c>
      <c r="J4959" s="3">
        <v>44396</v>
      </c>
      <c r="K4959" s="2">
        <v>26</v>
      </c>
      <c r="L4959" s="2" t="s">
        <v>159</v>
      </c>
    </row>
    <row r="4960" spans="1:12" x14ac:dyDescent="0.3">
      <c r="A4960" s="2">
        <v>4949</v>
      </c>
      <c r="B4960" s="2" t="s">
        <v>7791</v>
      </c>
      <c r="C4960" s="2" t="s">
        <v>2127</v>
      </c>
      <c r="D4960" s="2" t="s">
        <v>28</v>
      </c>
      <c r="E4960" s="2" t="s">
        <v>29</v>
      </c>
      <c r="F4960" s="2">
        <v>90</v>
      </c>
      <c r="G4960" s="2" t="s">
        <v>10409</v>
      </c>
      <c r="H4960" s="2" t="s">
        <v>5459</v>
      </c>
      <c r="I4960" s="2" t="s">
        <v>1478</v>
      </c>
      <c r="J4960" s="3">
        <v>43887</v>
      </c>
      <c r="K4960" s="2">
        <v>42</v>
      </c>
      <c r="L4960" s="2" t="s">
        <v>33</v>
      </c>
    </row>
    <row r="4961" spans="1:12" x14ac:dyDescent="0.3">
      <c r="A4961" s="2">
        <v>4950</v>
      </c>
      <c r="B4961" s="2" t="s">
        <v>6126</v>
      </c>
      <c r="C4961" s="2" t="s">
        <v>5797</v>
      </c>
      <c r="D4961" s="2" t="s">
        <v>28</v>
      </c>
      <c r="E4961" s="2" t="s">
        <v>29</v>
      </c>
      <c r="F4961" s="2">
        <v>90</v>
      </c>
      <c r="G4961" s="2" t="s">
        <v>10410</v>
      </c>
      <c r="H4961" s="2" t="s">
        <v>562</v>
      </c>
      <c r="I4961" s="2" t="s">
        <v>187</v>
      </c>
      <c r="J4961" s="3">
        <v>43919</v>
      </c>
      <c r="K4961" s="2">
        <v>57</v>
      </c>
      <c r="L4961" s="2" t="s">
        <v>33</v>
      </c>
    </row>
    <row r="4962" spans="1:12" x14ac:dyDescent="0.3">
      <c r="A4962" s="2">
        <v>4951</v>
      </c>
      <c r="B4962" s="2" t="s">
        <v>6434</v>
      </c>
      <c r="C4962" s="2" t="s">
        <v>4880</v>
      </c>
      <c r="D4962" s="2" t="s">
        <v>15</v>
      </c>
      <c r="E4962" s="2" t="s">
        <v>16</v>
      </c>
      <c r="F4962" s="2">
        <v>90</v>
      </c>
      <c r="G4962" s="2" t="s">
        <v>10410</v>
      </c>
      <c r="H4962" s="2" t="s">
        <v>6675</v>
      </c>
      <c r="I4962" s="2" t="s">
        <v>32</v>
      </c>
      <c r="J4962" s="3">
        <v>44489</v>
      </c>
      <c r="K4962" s="2">
        <v>2</v>
      </c>
      <c r="L4962" s="2" t="s">
        <v>70</v>
      </c>
    </row>
    <row r="4963" spans="1:12" x14ac:dyDescent="0.3">
      <c r="A4963" s="2">
        <v>4952</v>
      </c>
      <c r="B4963" s="2" t="s">
        <v>4278</v>
      </c>
      <c r="C4963" s="2" t="s">
        <v>5267</v>
      </c>
      <c r="D4963" s="2" t="s">
        <v>28</v>
      </c>
      <c r="E4963" s="2" t="s">
        <v>29</v>
      </c>
      <c r="F4963" s="2">
        <v>60</v>
      </c>
      <c r="G4963" s="2" t="s">
        <v>10411</v>
      </c>
      <c r="H4963" s="2" t="s">
        <v>1992</v>
      </c>
      <c r="I4963" s="2" t="s">
        <v>32</v>
      </c>
      <c r="J4963" s="3">
        <v>44600</v>
      </c>
      <c r="K4963" s="2">
        <v>72</v>
      </c>
      <c r="L4963" s="2" t="s">
        <v>101</v>
      </c>
    </row>
  </sheetData>
  <sortState xmlns:xlrd2="http://schemas.microsoft.com/office/spreadsheetml/2017/richdata2" ref="A12:L5064">
    <sortCondition ref="A12"/>
  </sortState>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FB5EE-E005-45DA-805B-3E8B4EFA55EF}">
  <sheetPr codeName="Sheet1">
    <tabColor rgb="FFBFE0EF"/>
  </sheetPr>
  <dimension ref="A1:U5104"/>
  <sheetViews>
    <sheetView workbookViewId="0"/>
  </sheetViews>
  <sheetFormatPr defaultRowHeight="14.4" x14ac:dyDescent="0.3"/>
  <cols>
    <col min="1" max="1" width="5.109375" style="2" bestFit="1" customWidth="1"/>
    <col min="2" max="2" width="12.33203125" style="2" bestFit="1" customWidth="1"/>
    <col min="3" max="3" width="12" style="2" bestFit="1" customWidth="1"/>
    <col min="4" max="4" width="6.88671875" style="2" bestFit="1" customWidth="1"/>
    <col min="5" max="5" width="9.33203125" style="2" bestFit="1" customWidth="1"/>
    <col min="6" max="6" width="8.5546875" style="2" bestFit="1" customWidth="1"/>
    <col min="7" max="7" width="20.6640625" style="2" bestFit="1" customWidth="1"/>
    <col min="8" max="8" width="21.109375" style="2" bestFit="1" customWidth="1"/>
    <col min="9" max="9" width="15.77734375" style="2" bestFit="1" customWidth="1"/>
    <col min="10" max="10" width="15.6640625" style="2" bestFit="1" customWidth="1"/>
    <col min="11" max="11" width="10.44140625" style="2" bestFit="1" customWidth="1"/>
    <col min="12" max="12" width="9.77734375" style="2" bestFit="1" customWidth="1"/>
    <col min="13" max="13" width="15.6640625" style="2" bestFit="1" customWidth="1"/>
    <col min="14" max="14" width="8.88671875" style="2"/>
    <col min="15" max="15" width="9" style="2" bestFit="1" customWidth="1"/>
    <col min="16" max="20" width="8.88671875" style="2"/>
    <col min="21" max="21" width="9.109375" style="2" bestFit="1" customWidth="1"/>
    <col min="22" max="16384" width="8.88671875" style="2"/>
  </cols>
  <sheetData>
    <row r="1" spans="1:21" x14ac:dyDescent="0.3">
      <c r="A1" s="2" t="s">
        <v>0</v>
      </c>
      <c r="B1" s="2" t="s">
        <v>1</v>
      </c>
      <c r="C1" s="2" t="s">
        <v>2</v>
      </c>
      <c r="D1" s="2" t="s">
        <v>3</v>
      </c>
      <c r="E1" s="2" t="s">
        <v>4</v>
      </c>
      <c r="F1" s="2" t="s">
        <v>5</v>
      </c>
      <c r="G1" s="2" t="s">
        <v>6</v>
      </c>
      <c r="H1" s="2" t="s">
        <v>7</v>
      </c>
      <c r="I1" s="2" t="s">
        <v>8</v>
      </c>
      <c r="J1" s="2" t="s">
        <v>9</v>
      </c>
      <c r="K1" s="2" t="s">
        <v>10</v>
      </c>
      <c r="L1" s="2" t="s">
        <v>11</v>
      </c>
      <c r="M1" s="2" t="s">
        <v>12</v>
      </c>
    </row>
    <row r="2" spans="1:21" x14ac:dyDescent="0.3">
      <c r="A2" s="2">
        <v>1</v>
      </c>
      <c r="B2" s="2" t="s">
        <v>13</v>
      </c>
      <c r="C2" s="2" t="s">
        <v>14</v>
      </c>
      <c r="D2" s="2" t="s">
        <v>15</v>
      </c>
      <c r="E2" s="2" t="s">
        <v>16</v>
      </c>
      <c r="F2" s="2">
        <v>30</v>
      </c>
      <c r="G2" s="2" t="s">
        <v>17</v>
      </c>
      <c r="H2" s="2" t="s">
        <v>18</v>
      </c>
      <c r="I2" s="2" t="s">
        <v>19</v>
      </c>
      <c r="J2" s="3">
        <v>44754</v>
      </c>
      <c r="K2" s="2">
        <v>73</v>
      </c>
      <c r="L2" s="2" t="s">
        <v>20</v>
      </c>
      <c r="M2" s="3">
        <v>44273</v>
      </c>
      <c r="O2" s="1"/>
      <c r="U2" s="4">
        <f>COUNTIF(OriginalData[],"")</f>
        <v>5155</v>
      </c>
    </row>
    <row r="3" spans="1:21" x14ac:dyDescent="0.3">
      <c r="A3" s="2">
        <v>2</v>
      </c>
      <c r="B3" s="2" t="s">
        <v>21</v>
      </c>
      <c r="C3" s="2" t="s">
        <v>22</v>
      </c>
      <c r="D3" s="2" t="s">
        <v>15</v>
      </c>
      <c r="E3" s="2" t="s">
        <v>16</v>
      </c>
      <c r="F3" s="2">
        <v>60</v>
      </c>
      <c r="G3" s="2" t="s">
        <v>23</v>
      </c>
      <c r="H3" s="2" t="s">
        <v>24</v>
      </c>
      <c r="I3" s="2" t="s">
        <v>25</v>
      </c>
      <c r="J3" s="3">
        <v>44865</v>
      </c>
      <c r="K3" s="2">
        <v>13</v>
      </c>
      <c r="L3" s="2" t="s">
        <v>20</v>
      </c>
      <c r="M3" s="3"/>
    </row>
    <row r="4" spans="1:21" x14ac:dyDescent="0.3">
      <c r="A4" s="2">
        <v>3</v>
      </c>
      <c r="B4" s="2" t="s">
        <v>26</v>
      </c>
      <c r="C4" s="2" t="s">
        <v>27</v>
      </c>
      <c r="D4" s="2" t="s">
        <v>28</v>
      </c>
      <c r="E4" s="2" t="s">
        <v>29</v>
      </c>
      <c r="F4" s="2">
        <v>90</v>
      </c>
      <c r="G4" s="2" t="s">
        <v>30</v>
      </c>
      <c r="H4" s="2" t="s">
        <v>31</v>
      </c>
      <c r="I4" s="2" t="s">
        <v>32</v>
      </c>
      <c r="J4" s="3">
        <v>44348</v>
      </c>
      <c r="K4" s="2">
        <v>75</v>
      </c>
      <c r="L4" s="2" t="s">
        <v>33</v>
      </c>
      <c r="M4" s="3"/>
    </row>
    <row r="5" spans="1:21" x14ac:dyDescent="0.3">
      <c r="A5" s="2">
        <v>4</v>
      </c>
      <c r="B5" s="2" t="s">
        <v>34</v>
      </c>
      <c r="C5" s="2" t="s">
        <v>35</v>
      </c>
      <c r="D5" s="2" t="s">
        <v>28</v>
      </c>
      <c r="E5" s="2" t="s">
        <v>29</v>
      </c>
      <c r="F5" s="2">
        <v>60</v>
      </c>
      <c r="G5" s="2" t="s">
        <v>36</v>
      </c>
      <c r="H5" s="2" t="s">
        <v>37</v>
      </c>
      <c r="I5" s="2" t="s">
        <v>38</v>
      </c>
      <c r="J5" s="3">
        <v>44796</v>
      </c>
      <c r="K5" s="2">
        <v>91</v>
      </c>
      <c r="L5" s="2" t="s">
        <v>39</v>
      </c>
      <c r="M5" s="3"/>
    </row>
    <row r="6" spans="1:21" x14ac:dyDescent="0.3">
      <c r="A6" s="2">
        <v>5</v>
      </c>
      <c r="B6" s="2" t="s">
        <v>40</v>
      </c>
      <c r="D6" s="2" t="s">
        <v>41</v>
      </c>
      <c r="E6" s="2" t="s">
        <v>16</v>
      </c>
      <c r="F6" s="2">
        <v>30</v>
      </c>
      <c r="G6" s="2" t="s">
        <v>42</v>
      </c>
      <c r="H6" s="2" t="s">
        <v>43</v>
      </c>
      <c r="I6" s="2" t="s">
        <v>44</v>
      </c>
      <c r="J6" s="3">
        <v>44424</v>
      </c>
      <c r="K6" s="2">
        <v>3</v>
      </c>
      <c r="L6" s="2" t="s">
        <v>45</v>
      </c>
      <c r="M6" s="3"/>
    </row>
    <row r="7" spans="1:21" x14ac:dyDescent="0.3">
      <c r="A7" s="2">
        <v>6</v>
      </c>
      <c r="B7" s="2" t="s">
        <v>46</v>
      </c>
      <c r="D7" s="2" t="s">
        <v>28</v>
      </c>
      <c r="E7" s="2" t="s">
        <v>29</v>
      </c>
      <c r="F7" s="2">
        <v>90</v>
      </c>
      <c r="G7" s="2" t="s">
        <v>47</v>
      </c>
      <c r="H7" s="2" t="s">
        <v>48</v>
      </c>
      <c r="I7" s="2" t="s">
        <v>25</v>
      </c>
      <c r="J7" s="3">
        <v>43966</v>
      </c>
      <c r="K7" s="2">
        <v>12</v>
      </c>
      <c r="L7" s="2" t="s">
        <v>45</v>
      </c>
      <c r="M7" s="3"/>
    </row>
    <row r="8" spans="1:21" x14ac:dyDescent="0.3">
      <c r="A8" s="2">
        <v>7</v>
      </c>
      <c r="B8" s="2" t="s">
        <v>49</v>
      </c>
      <c r="C8" s="2" t="s">
        <v>50</v>
      </c>
      <c r="D8" s="2" t="s">
        <v>51</v>
      </c>
      <c r="E8" s="2" t="s">
        <v>16</v>
      </c>
      <c r="F8" s="2">
        <v>30</v>
      </c>
      <c r="G8" s="2" t="s">
        <v>52</v>
      </c>
      <c r="H8" s="2" t="s">
        <v>53</v>
      </c>
      <c r="I8" s="2" t="s">
        <v>32</v>
      </c>
      <c r="J8" s="3">
        <v>44681</v>
      </c>
      <c r="K8" s="2">
        <v>104</v>
      </c>
      <c r="L8" s="2" t="s">
        <v>54</v>
      </c>
      <c r="M8" s="3"/>
    </row>
    <row r="9" spans="1:21" x14ac:dyDescent="0.3">
      <c r="A9" s="2">
        <v>8</v>
      </c>
      <c r="B9" s="2" t="s">
        <v>55</v>
      </c>
      <c r="C9" s="2" t="s">
        <v>56</v>
      </c>
      <c r="D9" s="2" t="s">
        <v>28</v>
      </c>
      <c r="E9" s="2" t="s">
        <v>29</v>
      </c>
      <c r="F9" s="2">
        <v>60</v>
      </c>
      <c r="G9" s="2" t="s">
        <v>57</v>
      </c>
      <c r="H9" s="2" t="s">
        <v>58</v>
      </c>
      <c r="I9" s="2" t="s">
        <v>59</v>
      </c>
      <c r="J9" s="3">
        <v>44651</v>
      </c>
      <c r="K9" s="2">
        <v>79</v>
      </c>
      <c r="L9" s="2" t="s">
        <v>45</v>
      </c>
      <c r="M9" s="3"/>
    </row>
    <row r="10" spans="1:21" x14ac:dyDescent="0.3">
      <c r="A10" s="2">
        <v>9</v>
      </c>
      <c r="B10" s="2" t="s">
        <v>60</v>
      </c>
      <c r="C10" s="2" t="s">
        <v>61</v>
      </c>
      <c r="D10" s="2" t="s">
        <v>15</v>
      </c>
      <c r="E10" s="2" t="s">
        <v>16</v>
      </c>
      <c r="F10" s="2">
        <v>90</v>
      </c>
      <c r="G10" s="2" t="s">
        <v>62</v>
      </c>
      <c r="H10" s="2" t="s">
        <v>63</v>
      </c>
      <c r="I10" s="2" t="s">
        <v>32</v>
      </c>
      <c r="J10" s="3">
        <v>44417</v>
      </c>
      <c r="K10" s="2">
        <v>86</v>
      </c>
      <c r="L10" s="2" t="s">
        <v>64</v>
      </c>
      <c r="M10" s="3"/>
    </row>
    <row r="11" spans="1:21" x14ac:dyDescent="0.3">
      <c r="A11" s="2">
        <v>10</v>
      </c>
      <c r="B11" s="2" t="s">
        <v>65</v>
      </c>
      <c r="C11" s="2" t="s">
        <v>66</v>
      </c>
      <c r="D11" s="2" t="s">
        <v>41</v>
      </c>
      <c r="E11" s="2" t="s">
        <v>16</v>
      </c>
      <c r="F11" s="2">
        <v>90</v>
      </c>
      <c r="G11" s="2" t="s">
        <v>67</v>
      </c>
      <c r="H11" s="2" t="s">
        <v>68</v>
      </c>
      <c r="I11" s="2" t="s">
        <v>69</v>
      </c>
      <c r="J11" s="3">
        <v>43854</v>
      </c>
      <c r="K11" s="2">
        <v>66</v>
      </c>
      <c r="L11" s="2" t="s">
        <v>70</v>
      </c>
      <c r="M11" s="3"/>
    </row>
    <row r="12" spans="1:21" x14ac:dyDescent="0.3">
      <c r="A12" s="2">
        <v>11</v>
      </c>
      <c r="B12" s="2" t="s">
        <v>71</v>
      </c>
      <c r="C12" s="2" t="s">
        <v>72</v>
      </c>
      <c r="D12" s="2" t="s">
        <v>51</v>
      </c>
      <c r="E12" s="2" t="s">
        <v>16</v>
      </c>
      <c r="F12" s="2">
        <v>90</v>
      </c>
      <c r="G12" s="2" t="s">
        <v>73</v>
      </c>
      <c r="H12" s="2" t="s">
        <v>74</v>
      </c>
      <c r="I12" s="2" t="s">
        <v>32</v>
      </c>
      <c r="J12" s="3">
        <v>44030</v>
      </c>
      <c r="K12" s="2">
        <v>18</v>
      </c>
      <c r="L12" s="2" t="s">
        <v>54</v>
      </c>
      <c r="M12" s="3"/>
    </row>
    <row r="13" spans="1:21" x14ac:dyDescent="0.3">
      <c r="A13" s="2">
        <v>12</v>
      </c>
      <c r="B13" s="2" t="s">
        <v>75</v>
      </c>
      <c r="C13" s="2" t="s">
        <v>76</v>
      </c>
      <c r="D13" s="2" t="s">
        <v>28</v>
      </c>
      <c r="E13" s="2" t="s">
        <v>29</v>
      </c>
      <c r="F13" s="2">
        <v>30</v>
      </c>
      <c r="G13" s="2" t="s">
        <v>77</v>
      </c>
      <c r="H13" s="2" t="s">
        <v>78</v>
      </c>
      <c r="I13" s="2" t="s">
        <v>79</v>
      </c>
      <c r="J13" s="3">
        <v>44512</v>
      </c>
      <c r="K13" s="2">
        <v>77</v>
      </c>
      <c r="L13" s="2" t="s">
        <v>80</v>
      </c>
      <c r="M13" s="3"/>
    </row>
    <row r="14" spans="1:21" x14ac:dyDescent="0.3">
      <c r="A14" s="2">
        <v>13</v>
      </c>
      <c r="B14" s="2" t="s">
        <v>81</v>
      </c>
      <c r="C14" s="2" t="s">
        <v>82</v>
      </c>
      <c r="D14" s="2" t="s">
        <v>15</v>
      </c>
      <c r="E14" s="2" t="s">
        <v>16</v>
      </c>
      <c r="F14" s="2">
        <v>30</v>
      </c>
      <c r="G14" s="2" t="s">
        <v>83</v>
      </c>
      <c r="H14" s="2" t="s">
        <v>84</v>
      </c>
      <c r="I14" s="2" t="s">
        <v>32</v>
      </c>
      <c r="J14" s="3">
        <v>44025</v>
      </c>
      <c r="K14" s="2">
        <v>5</v>
      </c>
      <c r="L14" s="2" t="s">
        <v>45</v>
      </c>
      <c r="M14" s="3"/>
    </row>
    <row r="15" spans="1:21" x14ac:dyDescent="0.3">
      <c r="A15" s="2">
        <v>14</v>
      </c>
      <c r="B15" s="2" t="s">
        <v>85</v>
      </c>
      <c r="C15" s="2" t="s">
        <v>86</v>
      </c>
      <c r="D15" s="2" t="s">
        <v>28</v>
      </c>
      <c r="E15" s="2" t="s">
        <v>29</v>
      </c>
      <c r="F15" s="2">
        <v>60</v>
      </c>
      <c r="G15" s="2" t="s">
        <v>87</v>
      </c>
      <c r="H15" s="2" t="s">
        <v>88</v>
      </c>
      <c r="I15" s="2" t="s">
        <v>89</v>
      </c>
      <c r="J15" s="3">
        <v>44282</v>
      </c>
      <c r="K15" s="2">
        <v>50</v>
      </c>
      <c r="L15" s="2" t="s">
        <v>54</v>
      </c>
      <c r="M15" s="3"/>
    </row>
    <row r="16" spans="1:21" x14ac:dyDescent="0.3">
      <c r="A16" s="2">
        <v>15</v>
      </c>
      <c r="B16" s="2" t="s">
        <v>90</v>
      </c>
      <c r="C16" s="2" t="s">
        <v>91</v>
      </c>
      <c r="D16" s="2" t="s">
        <v>92</v>
      </c>
      <c r="E16" s="2" t="s">
        <v>29</v>
      </c>
      <c r="F16" s="2">
        <v>60</v>
      </c>
      <c r="G16" s="2" t="s">
        <v>93</v>
      </c>
      <c r="H16" s="2" t="s">
        <v>94</v>
      </c>
      <c r="I16" s="2" t="s">
        <v>95</v>
      </c>
      <c r="J16" s="3">
        <v>44773</v>
      </c>
      <c r="K16" s="2">
        <v>16</v>
      </c>
      <c r="L16" s="2" t="s">
        <v>20</v>
      </c>
      <c r="M16" s="3"/>
    </row>
    <row r="17" spans="1:13" x14ac:dyDescent="0.3">
      <c r="A17" s="2">
        <v>16</v>
      </c>
      <c r="B17" s="2" t="s">
        <v>96</v>
      </c>
      <c r="C17" s="2" t="s">
        <v>97</v>
      </c>
      <c r="D17" s="2" t="s">
        <v>28</v>
      </c>
      <c r="E17" s="2" t="s">
        <v>29</v>
      </c>
      <c r="F17" s="2">
        <v>30</v>
      </c>
      <c r="G17" s="2" t="s">
        <v>98</v>
      </c>
      <c r="H17" s="2" t="s">
        <v>99</v>
      </c>
      <c r="I17" s="2" t="s">
        <v>100</v>
      </c>
      <c r="J17" s="3">
        <v>44548</v>
      </c>
      <c r="K17" s="2">
        <v>49</v>
      </c>
      <c r="L17" s="2" t="s">
        <v>101</v>
      </c>
      <c r="M17" s="3"/>
    </row>
    <row r="18" spans="1:13" x14ac:dyDescent="0.3">
      <c r="A18" s="2">
        <v>17</v>
      </c>
      <c r="B18" s="2" t="s">
        <v>102</v>
      </c>
      <c r="C18" s="2" t="s">
        <v>103</v>
      </c>
      <c r="D18" s="2" t="s">
        <v>28</v>
      </c>
      <c r="E18" s="2" t="s">
        <v>29</v>
      </c>
      <c r="F18" s="2">
        <v>90</v>
      </c>
      <c r="G18" s="2" t="s">
        <v>104</v>
      </c>
      <c r="H18" s="2" t="s">
        <v>105</v>
      </c>
      <c r="I18" s="2" t="s">
        <v>32</v>
      </c>
      <c r="J18" s="3">
        <v>44160</v>
      </c>
      <c r="K18" s="2">
        <v>83</v>
      </c>
      <c r="L18" s="2" t="s">
        <v>101</v>
      </c>
      <c r="M18" s="3"/>
    </row>
    <row r="19" spans="1:13" x14ac:dyDescent="0.3">
      <c r="A19" s="2">
        <v>18</v>
      </c>
      <c r="B19" s="2" t="s">
        <v>106</v>
      </c>
      <c r="C19" s="2" t="s">
        <v>107</v>
      </c>
      <c r="D19" s="2" t="s">
        <v>28</v>
      </c>
      <c r="E19" s="2" t="s">
        <v>29</v>
      </c>
      <c r="F19" s="2">
        <v>90</v>
      </c>
      <c r="G19" s="2" t="s">
        <v>108</v>
      </c>
      <c r="H19" s="2" t="s">
        <v>109</v>
      </c>
      <c r="I19" s="2" t="s">
        <v>110</v>
      </c>
      <c r="J19" s="3">
        <v>44281</v>
      </c>
      <c r="K19" s="2">
        <v>66</v>
      </c>
      <c r="L19" s="2" t="s">
        <v>45</v>
      </c>
      <c r="M19" s="3"/>
    </row>
    <row r="20" spans="1:13" x14ac:dyDescent="0.3">
      <c r="A20" s="2">
        <v>19</v>
      </c>
      <c r="B20" s="2" t="s">
        <v>111</v>
      </c>
      <c r="C20" s="2" t="s">
        <v>112</v>
      </c>
      <c r="D20" s="2" t="s">
        <v>28</v>
      </c>
      <c r="E20" s="2" t="s">
        <v>29</v>
      </c>
      <c r="F20" s="2">
        <v>90</v>
      </c>
      <c r="G20" s="2" t="s">
        <v>113</v>
      </c>
      <c r="H20" s="2" t="s">
        <v>114</v>
      </c>
      <c r="I20" s="2" t="s">
        <v>38</v>
      </c>
      <c r="J20" s="3">
        <v>44455</v>
      </c>
      <c r="K20" s="2">
        <v>85</v>
      </c>
      <c r="L20" s="2" t="s">
        <v>45</v>
      </c>
      <c r="M20" s="3"/>
    </row>
    <row r="21" spans="1:13" x14ac:dyDescent="0.3">
      <c r="A21" s="2">
        <v>20</v>
      </c>
      <c r="B21" s="2" t="s">
        <v>115</v>
      </c>
      <c r="C21" s="2" t="s">
        <v>116</v>
      </c>
      <c r="D21" s="2" t="s">
        <v>117</v>
      </c>
      <c r="E21" s="2" t="s">
        <v>29</v>
      </c>
      <c r="F21" s="2">
        <v>30</v>
      </c>
      <c r="G21" s="2" t="s">
        <v>118</v>
      </c>
      <c r="H21" s="2" t="s">
        <v>119</v>
      </c>
      <c r="I21" s="2" t="s">
        <v>32</v>
      </c>
      <c r="J21" s="3">
        <v>44272</v>
      </c>
      <c r="K21" s="2">
        <v>38</v>
      </c>
      <c r="L21" s="2" t="s">
        <v>33</v>
      </c>
      <c r="M21" s="3"/>
    </row>
    <row r="22" spans="1:13" x14ac:dyDescent="0.3">
      <c r="A22" s="2">
        <v>21</v>
      </c>
      <c r="B22" s="2" t="s">
        <v>120</v>
      </c>
      <c r="C22" s="2" t="s">
        <v>121</v>
      </c>
      <c r="D22" s="2" t="s">
        <v>15</v>
      </c>
      <c r="E22" s="2" t="s">
        <v>16</v>
      </c>
      <c r="F22" s="2">
        <v>90</v>
      </c>
      <c r="G22" s="2" t="s">
        <v>122</v>
      </c>
      <c r="H22" s="2" t="s">
        <v>123</v>
      </c>
      <c r="I22" s="2" t="s">
        <v>124</v>
      </c>
      <c r="J22" s="3">
        <v>44202</v>
      </c>
      <c r="K22" s="2">
        <v>18</v>
      </c>
      <c r="L22" s="2" t="s">
        <v>20</v>
      </c>
      <c r="M22" s="3"/>
    </row>
    <row r="23" spans="1:13" x14ac:dyDescent="0.3">
      <c r="A23" s="2">
        <v>22</v>
      </c>
      <c r="B23" s="2" t="s">
        <v>125</v>
      </c>
      <c r="C23" s="2" t="s">
        <v>126</v>
      </c>
      <c r="D23" s="2" t="s">
        <v>28</v>
      </c>
      <c r="E23" s="2" t="s">
        <v>29</v>
      </c>
      <c r="F23" s="2">
        <v>60</v>
      </c>
      <c r="G23" s="2" t="s">
        <v>127</v>
      </c>
      <c r="H23" s="2" t="s">
        <v>128</v>
      </c>
      <c r="I23" s="2" t="s">
        <v>129</v>
      </c>
      <c r="J23" s="3">
        <v>44595</v>
      </c>
      <c r="K23" s="2">
        <v>50</v>
      </c>
      <c r="L23" s="2" t="s">
        <v>33</v>
      </c>
      <c r="M23" s="3"/>
    </row>
    <row r="24" spans="1:13" x14ac:dyDescent="0.3">
      <c r="A24" s="2">
        <v>23</v>
      </c>
      <c r="B24" s="2" t="s">
        <v>130</v>
      </c>
      <c r="C24" s="2" t="s">
        <v>131</v>
      </c>
      <c r="D24" s="2" t="s">
        <v>28</v>
      </c>
      <c r="E24" s="2" t="s">
        <v>29</v>
      </c>
      <c r="F24" s="2">
        <v>60</v>
      </c>
      <c r="G24" s="2" t="s">
        <v>132</v>
      </c>
      <c r="H24" s="2" t="s">
        <v>133</v>
      </c>
      <c r="I24" s="2" t="s">
        <v>124</v>
      </c>
      <c r="J24" s="3">
        <v>43944</v>
      </c>
      <c r="K24" s="2">
        <v>75</v>
      </c>
      <c r="L24" s="2" t="s">
        <v>20</v>
      </c>
      <c r="M24" s="3"/>
    </row>
    <row r="25" spans="1:13" x14ac:dyDescent="0.3">
      <c r="A25" s="2">
        <v>24</v>
      </c>
      <c r="B25" s="2" t="s">
        <v>134</v>
      </c>
      <c r="C25" s="2" t="s">
        <v>135</v>
      </c>
      <c r="D25" s="2" t="s">
        <v>28</v>
      </c>
      <c r="E25" s="2" t="s">
        <v>29</v>
      </c>
      <c r="F25" s="2">
        <v>60</v>
      </c>
      <c r="G25" s="2" t="s">
        <v>136</v>
      </c>
      <c r="H25" s="2" t="s">
        <v>137</v>
      </c>
      <c r="I25" s="2" t="s">
        <v>32</v>
      </c>
      <c r="J25" s="3">
        <v>44818</v>
      </c>
      <c r="K25" s="2">
        <v>68</v>
      </c>
      <c r="L25" s="2" t="s">
        <v>39</v>
      </c>
      <c r="M25" s="3"/>
    </row>
    <row r="26" spans="1:13" x14ac:dyDescent="0.3">
      <c r="A26" s="2">
        <v>25</v>
      </c>
      <c r="B26" s="2" t="s">
        <v>138</v>
      </c>
      <c r="C26" s="2" t="s">
        <v>139</v>
      </c>
      <c r="D26" s="2" t="s">
        <v>28</v>
      </c>
      <c r="E26" s="2" t="s">
        <v>29</v>
      </c>
      <c r="F26" s="2">
        <v>30</v>
      </c>
      <c r="G26" s="2" t="s">
        <v>140</v>
      </c>
      <c r="H26" s="2" t="s">
        <v>141</v>
      </c>
      <c r="I26" s="2" t="s">
        <v>32</v>
      </c>
      <c r="J26" s="3">
        <v>44490</v>
      </c>
      <c r="K26" s="2">
        <v>14</v>
      </c>
      <c r="L26" s="2" t="s">
        <v>20</v>
      </c>
      <c r="M26" s="3"/>
    </row>
    <row r="27" spans="1:13" x14ac:dyDescent="0.3">
      <c r="A27" s="2">
        <v>26</v>
      </c>
      <c r="B27" s="2" t="s">
        <v>138</v>
      </c>
      <c r="C27" s="2" t="s">
        <v>139</v>
      </c>
      <c r="D27" s="2" t="s">
        <v>28</v>
      </c>
      <c r="E27" s="2" t="s">
        <v>29</v>
      </c>
      <c r="F27" s="2">
        <v>30</v>
      </c>
      <c r="G27" s="2" t="s">
        <v>140</v>
      </c>
      <c r="H27" s="2" t="s">
        <v>141</v>
      </c>
      <c r="I27" s="2" t="s">
        <v>32</v>
      </c>
      <c r="J27" s="3">
        <v>44490</v>
      </c>
      <c r="K27" s="2">
        <v>14</v>
      </c>
      <c r="L27" s="2" t="s">
        <v>20</v>
      </c>
      <c r="M27" s="3"/>
    </row>
    <row r="28" spans="1:13" x14ac:dyDescent="0.3">
      <c r="A28" s="2">
        <v>27</v>
      </c>
      <c r="B28" s="2" t="s">
        <v>142</v>
      </c>
      <c r="C28" s="2" t="s">
        <v>143</v>
      </c>
      <c r="D28" s="2" t="s">
        <v>15</v>
      </c>
      <c r="E28" s="2" t="s">
        <v>16</v>
      </c>
      <c r="F28" s="2">
        <v>90</v>
      </c>
      <c r="G28" s="2" t="s">
        <v>144</v>
      </c>
      <c r="H28" s="2" t="s">
        <v>145</v>
      </c>
      <c r="I28" s="2" t="s">
        <v>146</v>
      </c>
      <c r="J28" s="3">
        <v>44374</v>
      </c>
      <c r="K28" s="2">
        <v>75</v>
      </c>
      <c r="L28" s="2" t="s">
        <v>45</v>
      </c>
      <c r="M28" s="3"/>
    </row>
    <row r="29" spans="1:13" x14ac:dyDescent="0.3">
      <c r="A29" s="2">
        <v>28</v>
      </c>
      <c r="B29" s="2" t="s">
        <v>147</v>
      </c>
      <c r="C29" s="2" t="s">
        <v>148</v>
      </c>
      <c r="D29" s="2" t="s">
        <v>15</v>
      </c>
      <c r="E29" s="2" t="s">
        <v>16</v>
      </c>
      <c r="F29" s="2">
        <v>30</v>
      </c>
      <c r="G29" s="2" t="s">
        <v>149</v>
      </c>
      <c r="H29" s="2" t="s">
        <v>150</v>
      </c>
      <c r="I29" s="2" t="s">
        <v>110</v>
      </c>
      <c r="J29" s="3">
        <v>44466</v>
      </c>
      <c r="K29" s="2">
        <v>18</v>
      </c>
      <c r="L29" s="2" t="s">
        <v>101</v>
      </c>
      <c r="M29" s="3"/>
    </row>
    <row r="30" spans="1:13" x14ac:dyDescent="0.3">
      <c r="A30" s="2">
        <v>29</v>
      </c>
      <c r="B30" s="2" t="s">
        <v>151</v>
      </c>
      <c r="C30" s="2" t="s">
        <v>152</v>
      </c>
      <c r="D30" s="2" t="s">
        <v>51</v>
      </c>
      <c r="E30" s="2" t="s">
        <v>16</v>
      </c>
      <c r="F30" s="2">
        <v>30</v>
      </c>
      <c r="G30" s="2" t="s">
        <v>153</v>
      </c>
      <c r="H30" s="2" t="s">
        <v>154</v>
      </c>
      <c r="I30" s="2" t="s">
        <v>25</v>
      </c>
      <c r="J30" s="3">
        <v>44901</v>
      </c>
      <c r="K30" s="2">
        <v>89</v>
      </c>
      <c r="L30" s="2" t="s">
        <v>80</v>
      </c>
      <c r="M30" s="3"/>
    </row>
    <row r="31" spans="1:13" x14ac:dyDescent="0.3">
      <c r="A31" s="2">
        <v>30</v>
      </c>
      <c r="B31" s="2" t="s">
        <v>155</v>
      </c>
      <c r="C31" s="2" t="s">
        <v>156</v>
      </c>
      <c r="D31" s="2" t="s">
        <v>28</v>
      </c>
      <c r="E31" s="2" t="s">
        <v>29</v>
      </c>
      <c r="F31" s="2">
        <v>90</v>
      </c>
      <c r="G31" s="2" t="s">
        <v>157</v>
      </c>
      <c r="H31" s="2" t="s">
        <v>158</v>
      </c>
      <c r="I31" s="2" t="s">
        <v>32</v>
      </c>
      <c r="J31" s="3">
        <v>44313</v>
      </c>
      <c r="K31" s="2">
        <v>89</v>
      </c>
      <c r="L31" s="2" t="s">
        <v>159</v>
      </c>
      <c r="M31" s="3"/>
    </row>
    <row r="32" spans="1:13" x14ac:dyDescent="0.3">
      <c r="A32" s="2">
        <v>31</v>
      </c>
      <c r="B32" s="2" t="s">
        <v>160</v>
      </c>
      <c r="C32" s="2" t="s">
        <v>161</v>
      </c>
      <c r="D32" s="2" t="s">
        <v>28</v>
      </c>
      <c r="E32" s="2" t="s">
        <v>29</v>
      </c>
      <c r="F32" s="2">
        <v>60</v>
      </c>
      <c r="G32" s="2" t="s">
        <v>162</v>
      </c>
      <c r="H32" s="2" t="s">
        <v>163</v>
      </c>
      <c r="I32" s="2" t="s">
        <v>164</v>
      </c>
      <c r="J32" s="3">
        <v>44402</v>
      </c>
      <c r="K32" s="2">
        <v>43</v>
      </c>
      <c r="L32" s="2" t="s">
        <v>70</v>
      </c>
      <c r="M32" s="3"/>
    </row>
    <row r="33" spans="1:13" x14ac:dyDescent="0.3">
      <c r="A33" s="2">
        <v>32</v>
      </c>
      <c r="B33" s="2" t="s">
        <v>165</v>
      </c>
      <c r="C33" s="2" t="s">
        <v>166</v>
      </c>
      <c r="D33" s="2" t="s">
        <v>15</v>
      </c>
      <c r="E33" s="2" t="s">
        <v>16</v>
      </c>
      <c r="F33" s="2">
        <v>60</v>
      </c>
      <c r="G33" s="2" t="s">
        <v>167</v>
      </c>
      <c r="H33" s="2" t="s">
        <v>168</v>
      </c>
      <c r="I33" s="2" t="s">
        <v>32</v>
      </c>
      <c r="J33" s="3">
        <v>44266</v>
      </c>
      <c r="K33" s="2">
        <v>37</v>
      </c>
      <c r="L33" s="2" t="s">
        <v>45</v>
      </c>
      <c r="M33" s="3"/>
    </row>
    <row r="34" spans="1:13" x14ac:dyDescent="0.3">
      <c r="A34" s="2">
        <v>33</v>
      </c>
      <c r="B34" s="2" t="s">
        <v>169</v>
      </c>
      <c r="C34" s="2" t="s">
        <v>170</v>
      </c>
      <c r="D34" s="2" t="s">
        <v>15</v>
      </c>
      <c r="E34" s="2" t="s">
        <v>16</v>
      </c>
      <c r="F34" s="2">
        <v>90</v>
      </c>
      <c r="G34" s="2" t="s">
        <v>171</v>
      </c>
      <c r="H34" s="2" t="s">
        <v>172</v>
      </c>
      <c r="I34" s="2" t="s">
        <v>173</v>
      </c>
      <c r="J34" s="3">
        <v>44540</v>
      </c>
      <c r="K34" s="2">
        <v>55</v>
      </c>
      <c r="L34" s="2" t="s">
        <v>64</v>
      </c>
      <c r="M34" s="3"/>
    </row>
    <row r="35" spans="1:13" x14ac:dyDescent="0.3">
      <c r="A35" s="2">
        <v>34</v>
      </c>
      <c r="B35" s="2" t="s">
        <v>174</v>
      </c>
      <c r="C35" s="2" t="s">
        <v>175</v>
      </c>
      <c r="D35" s="2" t="s">
        <v>51</v>
      </c>
      <c r="E35" s="2" t="s">
        <v>16</v>
      </c>
      <c r="F35" s="2">
        <v>60</v>
      </c>
      <c r="G35" s="2" t="s">
        <v>176</v>
      </c>
      <c r="H35" s="2" t="s">
        <v>177</v>
      </c>
      <c r="I35" s="2" t="s">
        <v>178</v>
      </c>
      <c r="J35" s="3">
        <v>44354</v>
      </c>
      <c r="K35" s="2">
        <v>92</v>
      </c>
      <c r="L35" s="2" t="s">
        <v>64</v>
      </c>
      <c r="M35" s="3"/>
    </row>
    <row r="36" spans="1:13" x14ac:dyDescent="0.3">
      <c r="A36" s="2">
        <v>35</v>
      </c>
      <c r="B36" s="2" t="s">
        <v>179</v>
      </c>
      <c r="C36" s="2" t="s">
        <v>180</v>
      </c>
      <c r="D36" s="2" t="s">
        <v>28</v>
      </c>
      <c r="E36" s="2" t="s">
        <v>29</v>
      </c>
      <c r="F36" s="2">
        <v>60</v>
      </c>
      <c r="G36" s="2" t="s">
        <v>181</v>
      </c>
      <c r="H36" s="2" t="s">
        <v>182</v>
      </c>
      <c r="I36" s="2" t="s">
        <v>32</v>
      </c>
      <c r="J36" s="3">
        <v>44577</v>
      </c>
      <c r="K36" s="2">
        <v>105</v>
      </c>
      <c r="L36" s="2" t="s">
        <v>45</v>
      </c>
      <c r="M36" s="3"/>
    </row>
    <row r="37" spans="1:13" x14ac:dyDescent="0.3">
      <c r="A37" s="2">
        <v>36</v>
      </c>
      <c r="B37" s="2" t="s">
        <v>183</v>
      </c>
      <c r="C37" s="2" t="s">
        <v>184</v>
      </c>
      <c r="D37" s="2" t="s">
        <v>28</v>
      </c>
      <c r="E37" s="2" t="s">
        <v>29</v>
      </c>
      <c r="F37" s="2">
        <v>30</v>
      </c>
      <c r="G37" s="2" t="s">
        <v>185</v>
      </c>
      <c r="H37" s="2" t="s">
        <v>186</v>
      </c>
      <c r="I37" s="2" t="s">
        <v>187</v>
      </c>
      <c r="J37" s="3">
        <v>44036</v>
      </c>
      <c r="K37" s="2">
        <v>30</v>
      </c>
      <c r="L37" s="2" t="s">
        <v>101</v>
      </c>
      <c r="M37" s="3"/>
    </row>
    <row r="38" spans="1:13" x14ac:dyDescent="0.3">
      <c r="A38" s="2">
        <v>37</v>
      </c>
      <c r="B38" s="2" t="s">
        <v>188</v>
      </c>
      <c r="C38" s="2" t="s">
        <v>189</v>
      </c>
      <c r="D38" s="2" t="s">
        <v>28</v>
      </c>
      <c r="E38" s="2" t="s">
        <v>29</v>
      </c>
      <c r="F38" s="2">
        <v>90</v>
      </c>
      <c r="G38" s="2" t="s">
        <v>190</v>
      </c>
      <c r="H38" s="2" t="s">
        <v>191</v>
      </c>
      <c r="I38" s="2" t="s">
        <v>89</v>
      </c>
      <c r="J38" s="3">
        <v>43982</v>
      </c>
      <c r="K38" s="2">
        <v>7</v>
      </c>
      <c r="L38" s="2" t="s">
        <v>54</v>
      </c>
      <c r="M38" s="3"/>
    </row>
    <row r="39" spans="1:13" x14ac:dyDescent="0.3">
      <c r="A39" s="2">
        <v>38</v>
      </c>
      <c r="B39" s="2" t="s">
        <v>192</v>
      </c>
      <c r="C39" s="2" t="s">
        <v>193</v>
      </c>
      <c r="D39" s="2" t="s">
        <v>15</v>
      </c>
      <c r="E39" s="2" t="s">
        <v>16</v>
      </c>
      <c r="F39" s="2">
        <v>90</v>
      </c>
      <c r="G39" s="2" t="s">
        <v>194</v>
      </c>
      <c r="H39" s="2" t="s">
        <v>195</v>
      </c>
      <c r="I39" s="2" t="s">
        <v>187</v>
      </c>
      <c r="J39" s="3">
        <v>44049</v>
      </c>
      <c r="K39" s="2">
        <v>10</v>
      </c>
      <c r="L39" s="2" t="s">
        <v>159</v>
      </c>
      <c r="M39" s="3"/>
    </row>
    <row r="40" spans="1:13" x14ac:dyDescent="0.3">
      <c r="A40" s="2">
        <v>39</v>
      </c>
      <c r="B40" s="2" t="s">
        <v>196</v>
      </c>
      <c r="C40" s="2" t="s">
        <v>197</v>
      </c>
      <c r="D40" s="2" t="s">
        <v>28</v>
      </c>
      <c r="E40" s="2" t="s">
        <v>29</v>
      </c>
      <c r="F40" s="2">
        <v>30</v>
      </c>
      <c r="G40" s="2" t="s">
        <v>198</v>
      </c>
      <c r="H40" s="2" t="s">
        <v>199</v>
      </c>
      <c r="I40" s="2" t="s">
        <v>32</v>
      </c>
      <c r="J40" s="3">
        <v>44190</v>
      </c>
      <c r="K40" s="2">
        <v>14</v>
      </c>
      <c r="L40" s="2" t="s">
        <v>101</v>
      </c>
      <c r="M40" s="3"/>
    </row>
    <row r="41" spans="1:13" x14ac:dyDescent="0.3">
      <c r="A41" s="2">
        <v>40</v>
      </c>
      <c r="B41" s="2" t="s">
        <v>200</v>
      </c>
      <c r="C41" s="2" t="s">
        <v>201</v>
      </c>
      <c r="D41" s="2" t="s">
        <v>51</v>
      </c>
      <c r="E41" s="2" t="s">
        <v>16</v>
      </c>
      <c r="F41" s="2">
        <v>30</v>
      </c>
      <c r="G41" s="2" t="s">
        <v>202</v>
      </c>
      <c r="H41" s="2" t="s">
        <v>203</v>
      </c>
      <c r="I41" s="2" t="s">
        <v>32</v>
      </c>
      <c r="J41" s="3">
        <v>43853</v>
      </c>
      <c r="K41" s="2">
        <v>5</v>
      </c>
      <c r="L41" s="2" t="s">
        <v>39</v>
      </c>
      <c r="M41" s="3"/>
    </row>
    <row r="42" spans="1:13" x14ac:dyDescent="0.3">
      <c r="A42" s="2">
        <v>41</v>
      </c>
      <c r="B42" s="2" t="s">
        <v>204</v>
      </c>
      <c r="C42" s="2" t="s">
        <v>205</v>
      </c>
      <c r="D42" s="2" t="s">
        <v>28</v>
      </c>
      <c r="E42" s="2" t="s">
        <v>29</v>
      </c>
      <c r="F42" s="2">
        <v>60</v>
      </c>
      <c r="G42" s="2" t="s">
        <v>206</v>
      </c>
      <c r="H42" s="2" t="s">
        <v>207</v>
      </c>
      <c r="I42" s="2" t="s">
        <v>208</v>
      </c>
      <c r="J42" s="3">
        <v>44897</v>
      </c>
      <c r="K42" s="2">
        <v>2</v>
      </c>
      <c r="L42" s="2" t="s">
        <v>80</v>
      </c>
      <c r="M42" s="3"/>
    </row>
    <row r="43" spans="1:13" x14ac:dyDescent="0.3">
      <c r="A43" s="2">
        <v>42</v>
      </c>
      <c r="B43" s="2" t="s">
        <v>209</v>
      </c>
      <c r="C43" s="2" t="s">
        <v>210</v>
      </c>
      <c r="D43" s="2" t="s">
        <v>28</v>
      </c>
      <c r="E43" s="2" t="s">
        <v>29</v>
      </c>
      <c r="F43" s="2">
        <v>90</v>
      </c>
      <c r="G43" s="2" t="s">
        <v>211</v>
      </c>
      <c r="H43" s="2" t="s">
        <v>212</v>
      </c>
      <c r="I43" s="2" t="s">
        <v>213</v>
      </c>
      <c r="J43" s="3">
        <v>44101</v>
      </c>
      <c r="K43" s="2">
        <v>46</v>
      </c>
      <c r="L43" s="2" t="s">
        <v>39</v>
      </c>
      <c r="M43" s="3"/>
    </row>
    <row r="44" spans="1:13" x14ac:dyDescent="0.3">
      <c r="A44" s="2">
        <v>43</v>
      </c>
      <c r="B44" s="2" t="s">
        <v>214</v>
      </c>
      <c r="C44" s="2" t="s">
        <v>215</v>
      </c>
      <c r="D44" s="2" t="s">
        <v>28</v>
      </c>
      <c r="E44" s="2" t="s">
        <v>29</v>
      </c>
      <c r="F44" s="2">
        <v>90</v>
      </c>
      <c r="G44" s="2" t="s">
        <v>216</v>
      </c>
      <c r="H44" s="2" t="s">
        <v>217</v>
      </c>
      <c r="I44" s="2" t="s">
        <v>124</v>
      </c>
      <c r="J44" s="3">
        <v>44030</v>
      </c>
      <c r="K44" s="2">
        <v>18</v>
      </c>
      <c r="L44" s="2" t="s">
        <v>33</v>
      </c>
      <c r="M44" s="3"/>
    </row>
    <row r="45" spans="1:13" x14ac:dyDescent="0.3">
      <c r="A45" s="2">
        <v>44</v>
      </c>
      <c r="B45" s="2" t="s">
        <v>218</v>
      </c>
      <c r="C45" s="2" t="s">
        <v>219</v>
      </c>
      <c r="D45" s="2" t="s">
        <v>28</v>
      </c>
      <c r="E45" s="2" t="s">
        <v>29</v>
      </c>
      <c r="F45" s="2">
        <v>60</v>
      </c>
      <c r="G45" s="2" t="s">
        <v>220</v>
      </c>
      <c r="H45" s="2" t="s">
        <v>221</v>
      </c>
      <c r="I45" s="2" t="s">
        <v>32</v>
      </c>
      <c r="J45" s="3">
        <v>44346</v>
      </c>
      <c r="K45" s="2">
        <v>56</v>
      </c>
      <c r="L45" s="2" t="s">
        <v>101</v>
      </c>
      <c r="M45" s="3"/>
    </row>
    <row r="46" spans="1:13" x14ac:dyDescent="0.3">
      <c r="A46" s="2">
        <v>45</v>
      </c>
      <c r="B46" s="2" t="s">
        <v>222</v>
      </c>
      <c r="C46" s="2" t="s">
        <v>152</v>
      </c>
      <c r="D46" s="2" t="s">
        <v>28</v>
      </c>
      <c r="E46" s="2" t="s">
        <v>29</v>
      </c>
      <c r="F46" s="2">
        <v>60</v>
      </c>
      <c r="G46" s="2" t="s">
        <v>223</v>
      </c>
      <c r="H46" s="2" t="s">
        <v>224</v>
      </c>
      <c r="I46" s="2" t="s">
        <v>124</v>
      </c>
      <c r="J46" s="3">
        <v>44127</v>
      </c>
      <c r="K46" s="2">
        <v>63</v>
      </c>
      <c r="L46" s="2" t="s">
        <v>20</v>
      </c>
      <c r="M46" s="3"/>
    </row>
    <row r="47" spans="1:13" x14ac:dyDescent="0.3">
      <c r="A47" s="2">
        <v>46</v>
      </c>
      <c r="B47" s="2" t="s">
        <v>142</v>
      </c>
      <c r="C47" s="2" t="s">
        <v>225</v>
      </c>
      <c r="D47" s="2" t="s">
        <v>41</v>
      </c>
      <c r="E47" s="2" t="s">
        <v>16</v>
      </c>
      <c r="F47" s="2">
        <v>30</v>
      </c>
      <c r="G47" s="2" t="s">
        <v>226</v>
      </c>
      <c r="H47" s="2" t="s">
        <v>227</v>
      </c>
      <c r="I47" s="2" t="s">
        <v>178</v>
      </c>
      <c r="J47" s="3">
        <v>44829</v>
      </c>
      <c r="K47" s="2">
        <v>6</v>
      </c>
      <c r="L47" s="2" t="s">
        <v>20</v>
      </c>
      <c r="M47" s="3"/>
    </row>
    <row r="48" spans="1:13" x14ac:dyDescent="0.3">
      <c r="A48" s="2">
        <v>47</v>
      </c>
      <c r="B48" s="2" t="s">
        <v>228</v>
      </c>
      <c r="C48" s="2" t="s">
        <v>229</v>
      </c>
      <c r="D48" s="2" t="s">
        <v>28</v>
      </c>
      <c r="E48" s="2" t="s">
        <v>29</v>
      </c>
      <c r="F48" s="2">
        <v>30</v>
      </c>
      <c r="G48" s="2" t="s">
        <v>230</v>
      </c>
      <c r="H48" s="2" t="s">
        <v>231</v>
      </c>
      <c r="I48" s="2" t="s">
        <v>178</v>
      </c>
      <c r="J48" s="3">
        <v>44199</v>
      </c>
      <c r="K48" s="2">
        <v>31</v>
      </c>
      <c r="L48" s="2" t="s">
        <v>80</v>
      </c>
      <c r="M48" s="3"/>
    </row>
    <row r="49" spans="1:13" x14ac:dyDescent="0.3">
      <c r="A49" s="2">
        <v>48</v>
      </c>
      <c r="B49" s="2" t="s">
        <v>232</v>
      </c>
      <c r="C49" s="2" t="s">
        <v>233</v>
      </c>
      <c r="D49" s="2" t="s">
        <v>51</v>
      </c>
      <c r="E49" s="2" t="s">
        <v>16</v>
      </c>
      <c r="F49" s="2">
        <v>30</v>
      </c>
      <c r="G49" s="2" t="s">
        <v>234</v>
      </c>
      <c r="H49" s="2" t="s">
        <v>235</v>
      </c>
      <c r="I49" s="2" t="s">
        <v>146</v>
      </c>
      <c r="J49" s="3">
        <v>44706</v>
      </c>
      <c r="K49" s="2">
        <v>19</v>
      </c>
      <c r="L49" s="2" t="s">
        <v>20</v>
      </c>
      <c r="M49" s="3"/>
    </row>
    <row r="50" spans="1:13" x14ac:dyDescent="0.3">
      <c r="A50" s="2">
        <v>49</v>
      </c>
      <c r="B50" s="2" t="s">
        <v>236</v>
      </c>
      <c r="C50" s="2" t="s">
        <v>237</v>
      </c>
      <c r="D50" s="2" t="s">
        <v>51</v>
      </c>
      <c r="E50" s="2" t="s">
        <v>16</v>
      </c>
      <c r="F50" s="2">
        <v>90</v>
      </c>
      <c r="G50" s="2" t="s">
        <v>238</v>
      </c>
      <c r="H50" s="2" t="s">
        <v>239</v>
      </c>
      <c r="I50" s="2" t="s">
        <v>240</v>
      </c>
      <c r="J50" s="3">
        <v>43941</v>
      </c>
      <c r="K50" s="2">
        <v>44</v>
      </c>
      <c r="L50" s="2" t="s">
        <v>33</v>
      </c>
      <c r="M50" s="3"/>
    </row>
    <row r="51" spans="1:13" x14ac:dyDescent="0.3">
      <c r="A51" s="2">
        <v>50</v>
      </c>
      <c r="B51" s="2" t="s">
        <v>241</v>
      </c>
      <c r="C51" s="2" t="s">
        <v>242</v>
      </c>
      <c r="D51" s="2" t="s">
        <v>15</v>
      </c>
      <c r="E51" s="2" t="s">
        <v>16</v>
      </c>
      <c r="F51" s="2">
        <v>90</v>
      </c>
      <c r="G51" s="2" t="s">
        <v>243</v>
      </c>
      <c r="H51" s="2" t="s">
        <v>244</v>
      </c>
      <c r="I51" s="2" t="s">
        <v>240</v>
      </c>
      <c r="J51" s="3">
        <v>44071</v>
      </c>
      <c r="K51" s="2">
        <v>5</v>
      </c>
      <c r="L51" s="2" t="s">
        <v>45</v>
      </c>
      <c r="M51" s="3"/>
    </row>
    <row r="52" spans="1:13" x14ac:dyDescent="0.3">
      <c r="A52" s="2">
        <v>51</v>
      </c>
      <c r="B52" s="2" t="s">
        <v>245</v>
      </c>
      <c r="C52" s="2" t="s">
        <v>246</v>
      </c>
      <c r="D52" s="2" t="s">
        <v>28</v>
      </c>
      <c r="E52" s="2" t="s">
        <v>29</v>
      </c>
      <c r="F52" s="2">
        <v>30</v>
      </c>
      <c r="G52" s="2" t="s">
        <v>247</v>
      </c>
      <c r="H52" s="2" t="s">
        <v>248</v>
      </c>
      <c r="I52" s="2" t="s">
        <v>178</v>
      </c>
      <c r="J52" s="3">
        <v>44374</v>
      </c>
      <c r="K52" s="2">
        <v>24</v>
      </c>
      <c r="L52" s="2" t="s">
        <v>20</v>
      </c>
      <c r="M52" s="3"/>
    </row>
    <row r="53" spans="1:13" x14ac:dyDescent="0.3">
      <c r="A53" s="2">
        <v>52</v>
      </c>
      <c r="B53" s="2" t="s">
        <v>249</v>
      </c>
      <c r="C53" s="2" t="s">
        <v>66</v>
      </c>
      <c r="D53" s="2" t="s">
        <v>28</v>
      </c>
      <c r="E53" s="2" t="s">
        <v>29</v>
      </c>
      <c r="F53" s="2">
        <v>30</v>
      </c>
      <c r="G53" s="2" t="s">
        <v>250</v>
      </c>
      <c r="H53" s="2" t="s">
        <v>251</v>
      </c>
      <c r="I53" s="2" t="s">
        <v>146</v>
      </c>
      <c r="J53" s="3">
        <v>44084</v>
      </c>
      <c r="K53" s="2">
        <v>85</v>
      </c>
      <c r="L53" s="2" t="s">
        <v>101</v>
      </c>
      <c r="M53" s="3"/>
    </row>
    <row r="54" spans="1:13" x14ac:dyDescent="0.3">
      <c r="A54" s="2">
        <v>53</v>
      </c>
      <c r="B54" s="2" t="s">
        <v>252</v>
      </c>
      <c r="C54" s="2" t="s">
        <v>253</v>
      </c>
      <c r="D54" s="2" t="s">
        <v>15</v>
      </c>
      <c r="E54" s="2" t="s">
        <v>16</v>
      </c>
      <c r="F54" s="2">
        <v>30</v>
      </c>
      <c r="G54" s="2" t="s">
        <v>254</v>
      </c>
      <c r="H54" s="2" t="s">
        <v>255</v>
      </c>
      <c r="I54" s="2" t="s">
        <v>32</v>
      </c>
      <c r="J54" s="3">
        <v>43895</v>
      </c>
      <c r="K54" s="2">
        <v>56</v>
      </c>
      <c r="L54" s="2" t="s">
        <v>45</v>
      </c>
      <c r="M54" s="3"/>
    </row>
    <row r="55" spans="1:13" x14ac:dyDescent="0.3">
      <c r="A55" s="2">
        <v>54</v>
      </c>
      <c r="B55" s="2" t="s">
        <v>256</v>
      </c>
      <c r="C55" s="2" t="s">
        <v>257</v>
      </c>
      <c r="D55" s="2" t="s">
        <v>117</v>
      </c>
      <c r="E55" s="2" t="s">
        <v>29</v>
      </c>
      <c r="F55" s="2">
        <v>30</v>
      </c>
      <c r="G55" s="2" t="s">
        <v>254</v>
      </c>
      <c r="H55" s="2" t="s">
        <v>258</v>
      </c>
      <c r="I55" s="2" t="s">
        <v>32</v>
      </c>
      <c r="J55" s="3">
        <v>44451</v>
      </c>
      <c r="K55" s="2">
        <v>77</v>
      </c>
      <c r="L55" s="2" t="s">
        <v>80</v>
      </c>
      <c r="M55" s="3"/>
    </row>
    <row r="56" spans="1:13" x14ac:dyDescent="0.3">
      <c r="A56" s="2">
        <v>55</v>
      </c>
      <c r="B56" s="2" t="s">
        <v>259</v>
      </c>
      <c r="C56" s="2" t="s">
        <v>260</v>
      </c>
      <c r="D56" s="2" t="s">
        <v>28</v>
      </c>
      <c r="E56" s="2" t="s">
        <v>29</v>
      </c>
      <c r="F56" s="2">
        <v>60</v>
      </c>
      <c r="G56" s="2" t="s">
        <v>261</v>
      </c>
      <c r="H56" s="2" t="s">
        <v>262</v>
      </c>
      <c r="I56" s="2" t="s">
        <v>110</v>
      </c>
      <c r="J56" s="3">
        <v>44050</v>
      </c>
      <c r="K56" s="2">
        <v>39</v>
      </c>
      <c r="L56" s="2" t="s">
        <v>101</v>
      </c>
      <c r="M56" s="3"/>
    </row>
    <row r="57" spans="1:13" x14ac:dyDescent="0.3">
      <c r="A57" s="2">
        <v>56</v>
      </c>
      <c r="B57" s="2" t="s">
        <v>263</v>
      </c>
      <c r="C57" s="2" t="s">
        <v>264</v>
      </c>
      <c r="D57" s="2" t="s">
        <v>51</v>
      </c>
      <c r="E57" s="2" t="s">
        <v>16</v>
      </c>
      <c r="F57" s="2">
        <v>30</v>
      </c>
      <c r="G57" s="2" t="s">
        <v>265</v>
      </c>
      <c r="H57" s="2" t="s">
        <v>266</v>
      </c>
      <c r="I57" s="2" t="s">
        <v>32</v>
      </c>
      <c r="J57" s="3">
        <v>43908</v>
      </c>
      <c r="K57" s="2">
        <v>63</v>
      </c>
      <c r="L57" s="2" t="s">
        <v>54</v>
      </c>
      <c r="M57" s="3"/>
    </row>
    <row r="58" spans="1:13" x14ac:dyDescent="0.3">
      <c r="A58" s="2">
        <v>57</v>
      </c>
      <c r="B58" s="2" t="s">
        <v>267</v>
      </c>
      <c r="C58" s="2" t="s">
        <v>268</v>
      </c>
      <c r="D58" s="2" t="s">
        <v>28</v>
      </c>
      <c r="E58" s="2" t="s">
        <v>29</v>
      </c>
      <c r="F58" s="2">
        <v>90</v>
      </c>
      <c r="G58" s="2" t="s">
        <v>269</v>
      </c>
      <c r="H58" s="2" t="s">
        <v>270</v>
      </c>
      <c r="I58" s="2" t="s">
        <v>187</v>
      </c>
      <c r="J58" s="3">
        <v>44590</v>
      </c>
      <c r="K58" s="2">
        <v>60</v>
      </c>
      <c r="L58" s="2" t="s">
        <v>33</v>
      </c>
      <c r="M58" s="3"/>
    </row>
    <row r="59" spans="1:13" x14ac:dyDescent="0.3">
      <c r="A59" s="2">
        <v>58</v>
      </c>
      <c r="B59" s="2" t="s">
        <v>271</v>
      </c>
      <c r="C59" s="2" t="s">
        <v>272</v>
      </c>
      <c r="D59" s="2" t="s">
        <v>15</v>
      </c>
      <c r="E59" s="2" t="s">
        <v>273</v>
      </c>
      <c r="F59" s="2">
        <v>90</v>
      </c>
      <c r="G59" s="2" t="s">
        <v>274</v>
      </c>
      <c r="H59" s="2" t="s">
        <v>275</v>
      </c>
      <c r="I59" s="2" t="s">
        <v>32</v>
      </c>
      <c r="J59" s="3">
        <v>44375</v>
      </c>
      <c r="K59" s="2">
        <v>26</v>
      </c>
      <c r="L59" s="2" t="s">
        <v>70</v>
      </c>
      <c r="M59" s="3"/>
    </row>
    <row r="60" spans="1:13" x14ac:dyDescent="0.3">
      <c r="A60" s="2">
        <v>59</v>
      </c>
      <c r="B60" s="2" t="s">
        <v>276</v>
      </c>
      <c r="C60" s="2" t="s">
        <v>277</v>
      </c>
      <c r="D60" s="2" t="s">
        <v>15</v>
      </c>
      <c r="E60" s="2" t="s">
        <v>16</v>
      </c>
      <c r="F60" s="2">
        <v>30</v>
      </c>
      <c r="G60" s="2" t="s">
        <v>278</v>
      </c>
      <c r="H60" s="2" t="s">
        <v>279</v>
      </c>
      <c r="I60" s="2" t="s">
        <v>213</v>
      </c>
      <c r="J60" s="3">
        <v>44612</v>
      </c>
      <c r="K60" s="2">
        <v>31</v>
      </c>
      <c r="L60" s="2" t="s">
        <v>54</v>
      </c>
      <c r="M60" s="3"/>
    </row>
    <row r="61" spans="1:13" x14ac:dyDescent="0.3">
      <c r="A61" s="2">
        <v>60</v>
      </c>
      <c r="B61" s="2" t="s">
        <v>280</v>
      </c>
      <c r="C61" s="2" t="s">
        <v>281</v>
      </c>
      <c r="D61" s="2" t="s">
        <v>51</v>
      </c>
      <c r="E61" s="2" t="s">
        <v>282</v>
      </c>
      <c r="F61" s="2">
        <v>30</v>
      </c>
      <c r="G61" s="2" t="s">
        <v>283</v>
      </c>
      <c r="H61" s="2" t="s">
        <v>284</v>
      </c>
      <c r="I61" s="2" t="s">
        <v>146</v>
      </c>
      <c r="J61" s="3">
        <v>44645</v>
      </c>
      <c r="K61" s="2">
        <v>50</v>
      </c>
      <c r="L61" s="2" t="s">
        <v>54</v>
      </c>
      <c r="M61" s="3"/>
    </row>
    <row r="62" spans="1:13" x14ac:dyDescent="0.3">
      <c r="A62" s="2">
        <v>61</v>
      </c>
      <c r="B62" s="2" t="s">
        <v>285</v>
      </c>
      <c r="C62" s="2" t="s">
        <v>286</v>
      </c>
      <c r="E62" s="2" t="s">
        <v>16</v>
      </c>
      <c r="F62" s="2">
        <v>30</v>
      </c>
      <c r="G62" s="2" t="s">
        <v>287</v>
      </c>
      <c r="H62" s="2" t="s">
        <v>288</v>
      </c>
      <c r="I62" s="2" t="s">
        <v>32</v>
      </c>
      <c r="J62" s="3">
        <v>44211</v>
      </c>
      <c r="K62" s="2">
        <v>31</v>
      </c>
      <c r="L62" s="2" t="s">
        <v>39</v>
      </c>
      <c r="M62" s="3"/>
    </row>
    <row r="63" spans="1:13" x14ac:dyDescent="0.3">
      <c r="A63" s="2">
        <v>62</v>
      </c>
      <c r="B63" s="2" t="s">
        <v>289</v>
      </c>
      <c r="C63" s="2" t="s">
        <v>290</v>
      </c>
      <c r="D63" s="2" t="s">
        <v>51</v>
      </c>
      <c r="E63" s="2" t="s">
        <v>291</v>
      </c>
      <c r="F63" s="2">
        <v>90</v>
      </c>
      <c r="G63" s="2" t="s">
        <v>292</v>
      </c>
      <c r="H63" s="2" t="s">
        <v>293</v>
      </c>
      <c r="I63" s="2" t="s">
        <v>294</v>
      </c>
      <c r="J63" s="3">
        <v>44445</v>
      </c>
      <c r="K63" s="2">
        <v>11</v>
      </c>
      <c r="L63" s="2" t="s">
        <v>33</v>
      </c>
      <c r="M63" s="3"/>
    </row>
    <row r="64" spans="1:13" x14ac:dyDescent="0.3">
      <c r="A64" s="2">
        <v>63</v>
      </c>
      <c r="B64" s="2" t="s">
        <v>295</v>
      </c>
      <c r="C64" s="2" t="s">
        <v>296</v>
      </c>
      <c r="D64" s="2" t="s">
        <v>28</v>
      </c>
      <c r="E64" s="2" t="s">
        <v>29</v>
      </c>
      <c r="F64" s="2">
        <v>60</v>
      </c>
      <c r="G64" s="2" t="s">
        <v>297</v>
      </c>
      <c r="H64" s="2" t="s">
        <v>298</v>
      </c>
      <c r="I64" s="2" t="s">
        <v>25</v>
      </c>
      <c r="J64" s="3">
        <v>44714</v>
      </c>
      <c r="K64" s="2">
        <v>28</v>
      </c>
      <c r="L64" s="2" t="s">
        <v>159</v>
      </c>
      <c r="M64" s="3"/>
    </row>
    <row r="65" spans="1:13" x14ac:dyDescent="0.3">
      <c r="A65" s="2">
        <v>64</v>
      </c>
      <c r="B65" s="2" t="s">
        <v>299</v>
      </c>
      <c r="C65" s="2" t="s">
        <v>300</v>
      </c>
      <c r="D65" s="2" t="s">
        <v>41</v>
      </c>
      <c r="E65" s="2" t="s">
        <v>16</v>
      </c>
      <c r="F65" s="2">
        <v>60</v>
      </c>
      <c r="G65" s="2" t="s">
        <v>301</v>
      </c>
      <c r="H65" s="2" t="s">
        <v>302</v>
      </c>
      <c r="I65" s="2" t="s">
        <v>303</v>
      </c>
      <c r="J65" s="3">
        <v>43922</v>
      </c>
      <c r="K65" s="2">
        <v>49</v>
      </c>
      <c r="L65" s="2" t="s">
        <v>70</v>
      </c>
      <c r="M65" s="3"/>
    </row>
    <row r="66" spans="1:13" x14ac:dyDescent="0.3">
      <c r="A66" s="2">
        <v>65</v>
      </c>
      <c r="B66" s="2" t="s">
        <v>304</v>
      </c>
      <c r="C66" s="2" t="s">
        <v>305</v>
      </c>
      <c r="D66" s="2" t="s">
        <v>51</v>
      </c>
      <c r="E66" s="2" t="s">
        <v>16</v>
      </c>
      <c r="F66" s="2">
        <v>60</v>
      </c>
      <c r="G66" s="2" t="s">
        <v>306</v>
      </c>
      <c r="H66" s="2" t="s">
        <v>307</v>
      </c>
      <c r="I66" s="2" t="s">
        <v>32</v>
      </c>
      <c r="J66" s="3">
        <v>44792</v>
      </c>
      <c r="K66" s="2">
        <v>105</v>
      </c>
      <c r="L66" s="2" t="s">
        <v>39</v>
      </c>
      <c r="M66" s="3"/>
    </row>
    <row r="67" spans="1:13" x14ac:dyDescent="0.3">
      <c r="A67" s="2">
        <v>66</v>
      </c>
      <c r="B67" s="2" t="s">
        <v>308</v>
      </c>
      <c r="C67" s="2" t="s">
        <v>309</v>
      </c>
      <c r="D67" s="2" t="s">
        <v>51</v>
      </c>
      <c r="E67" s="2" t="s">
        <v>16</v>
      </c>
      <c r="F67" s="2">
        <v>90</v>
      </c>
      <c r="G67" s="2" t="s">
        <v>310</v>
      </c>
      <c r="H67" s="2" t="s">
        <v>311</v>
      </c>
      <c r="I67" s="2" t="s">
        <v>32</v>
      </c>
      <c r="J67" s="3">
        <v>44425</v>
      </c>
      <c r="K67" s="2">
        <v>32</v>
      </c>
      <c r="L67" s="2" t="s">
        <v>45</v>
      </c>
      <c r="M67" s="3"/>
    </row>
    <row r="68" spans="1:13" x14ac:dyDescent="0.3">
      <c r="A68" s="2">
        <v>67</v>
      </c>
      <c r="B68" s="2" t="s">
        <v>312</v>
      </c>
      <c r="C68" s="2" t="s">
        <v>313</v>
      </c>
      <c r="D68" s="2" t="s">
        <v>41</v>
      </c>
      <c r="E68" s="2" t="s">
        <v>16</v>
      </c>
      <c r="F68" s="2">
        <v>90</v>
      </c>
      <c r="G68" s="2" t="s">
        <v>314</v>
      </c>
      <c r="H68" s="2" t="s">
        <v>315</v>
      </c>
      <c r="I68" s="2" t="s">
        <v>32</v>
      </c>
      <c r="J68" s="3">
        <v>44024</v>
      </c>
      <c r="K68" s="2">
        <v>31</v>
      </c>
      <c r="L68" s="2" t="s">
        <v>33</v>
      </c>
      <c r="M68" s="3"/>
    </row>
    <row r="69" spans="1:13" x14ac:dyDescent="0.3">
      <c r="A69" s="2">
        <v>68</v>
      </c>
      <c r="B69" s="2" t="s">
        <v>316</v>
      </c>
      <c r="C69" s="2" t="s">
        <v>317</v>
      </c>
      <c r="D69" s="2" t="s">
        <v>15</v>
      </c>
      <c r="E69" s="2" t="s">
        <v>16</v>
      </c>
      <c r="F69" s="2">
        <v>30</v>
      </c>
      <c r="G69" s="2" t="s">
        <v>318</v>
      </c>
      <c r="H69" s="2" t="s">
        <v>319</v>
      </c>
      <c r="I69" s="2" t="s">
        <v>208</v>
      </c>
      <c r="J69" s="3">
        <v>44110</v>
      </c>
      <c r="K69" s="2">
        <v>23</v>
      </c>
      <c r="L69" s="2" t="s">
        <v>159</v>
      </c>
      <c r="M69" s="3"/>
    </row>
    <row r="70" spans="1:13" x14ac:dyDescent="0.3">
      <c r="A70" s="2">
        <v>69</v>
      </c>
      <c r="B70" s="2" t="s">
        <v>320</v>
      </c>
      <c r="C70" s="2" t="s">
        <v>321</v>
      </c>
      <c r="D70" s="2" t="s">
        <v>15</v>
      </c>
      <c r="E70" s="2" t="s">
        <v>16</v>
      </c>
      <c r="F70" s="2">
        <v>60</v>
      </c>
      <c r="G70" s="2" t="s">
        <v>318</v>
      </c>
      <c r="H70" s="2" t="s">
        <v>322</v>
      </c>
      <c r="I70" s="2" t="s">
        <v>32</v>
      </c>
      <c r="J70" s="3">
        <v>43845</v>
      </c>
      <c r="K70" s="2">
        <v>51</v>
      </c>
      <c r="L70" s="2" t="s">
        <v>33</v>
      </c>
      <c r="M70" s="3"/>
    </row>
    <row r="71" spans="1:13" x14ac:dyDescent="0.3">
      <c r="A71" s="2">
        <v>70</v>
      </c>
      <c r="B71" s="2" t="s">
        <v>323</v>
      </c>
      <c r="C71" s="2" t="s">
        <v>324</v>
      </c>
      <c r="D71" s="2" t="s">
        <v>28</v>
      </c>
      <c r="E71" s="2" t="s">
        <v>29</v>
      </c>
      <c r="F71" s="2">
        <v>60</v>
      </c>
      <c r="G71" s="2" t="s">
        <v>325</v>
      </c>
      <c r="H71" s="2" t="s">
        <v>326</v>
      </c>
      <c r="I71" s="2" t="s">
        <v>25</v>
      </c>
      <c r="J71" s="3">
        <v>44084</v>
      </c>
      <c r="K71" s="2">
        <v>59</v>
      </c>
      <c r="L71" s="2" t="s">
        <v>159</v>
      </c>
      <c r="M71" s="3"/>
    </row>
    <row r="72" spans="1:13" x14ac:dyDescent="0.3">
      <c r="A72" s="2">
        <v>71</v>
      </c>
      <c r="B72" s="2" t="s">
        <v>327</v>
      </c>
      <c r="C72" s="2" t="s">
        <v>328</v>
      </c>
      <c r="D72" s="2" t="s">
        <v>51</v>
      </c>
      <c r="E72" s="2" t="s">
        <v>16</v>
      </c>
      <c r="F72" s="2">
        <v>60</v>
      </c>
      <c r="G72" s="2" t="s">
        <v>329</v>
      </c>
      <c r="H72" s="2" t="s">
        <v>330</v>
      </c>
      <c r="I72" s="2" t="s">
        <v>32</v>
      </c>
      <c r="J72" s="3">
        <v>44465</v>
      </c>
      <c r="K72" s="2">
        <v>37</v>
      </c>
      <c r="L72" s="2" t="s">
        <v>45</v>
      </c>
      <c r="M72" s="3"/>
    </row>
    <row r="73" spans="1:13" x14ac:dyDescent="0.3">
      <c r="A73" s="2">
        <v>72</v>
      </c>
      <c r="B73" s="2" t="s">
        <v>331</v>
      </c>
      <c r="C73" s="2" t="s">
        <v>332</v>
      </c>
      <c r="D73" s="2" t="s">
        <v>51</v>
      </c>
      <c r="E73" s="2" t="s">
        <v>16</v>
      </c>
      <c r="F73" s="2">
        <v>90</v>
      </c>
      <c r="G73" s="2" t="s">
        <v>333</v>
      </c>
      <c r="H73" s="2" t="s">
        <v>334</v>
      </c>
      <c r="I73" s="2" t="s">
        <v>124</v>
      </c>
      <c r="J73" s="3">
        <v>43929</v>
      </c>
      <c r="K73" s="2">
        <v>29</v>
      </c>
      <c r="L73" s="2" t="s">
        <v>54</v>
      </c>
      <c r="M73" s="3"/>
    </row>
    <row r="74" spans="1:13" x14ac:dyDescent="0.3">
      <c r="A74" s="2">
        <v>73</v>
      </c>
      <c r="B74" s="2" t="s">
        <v>335</v>
      </c>
      <c r="C74" s="2" t="s">
        <v>336</v>
      </c>
      <c r="D74" s="2" t="s">
        <v>28</v>
      </c>
      <c r="E74" s="2" t="s">
        <v>29</v>
      </c>
      <c r="F74" s="2">
        <v>90</v>
      </c>
      <c r="G74" s="2" t="s">
        <v>337</v>
      </c>
      <c r="H74" s="2" t="s">
        <v>338</v>
      </c>
      <c r="I74" s="2" t="s">
        <v>173</v>
      </c>
      <c r="J74" s="3">
        <v>44347</v>
      </c>
      <c r="K74" s="2">
        <v>83</v>
      </c>
      <c r="L74" s="2" t="s">
        <v>101</v>
      </c>
      <c r="M74" s="3"/>
    </row>
    <row r="75" spans="1:13" x14ac:dyDescent="0.3">
      <c r="A75" s="2">
        <v>74</v>
      </c>
      <c r="B75" s="2" t="s">
        <v>339</v>
      </c>
      <c r="C75" s="2" t="s">
        <v>340</v>
      </c>
      <c r="D75" s="2" t="s">
        <v>28</v>
      </c>
      <c r="E75" s="2" t="s">
        <v>29</v>
      </c>
      <c r="F75" s="2">
        <v>30</v>
      </c>
      <c r="G75" s="2" t="s">
        <v>341</v>
      </c>
      <c r="H75" s="2" t="s">
        <v>342</v>
      </c>
      <c r="I75" s="2" t="s">
        <v>25</v>
      </c>
      <c r="J75" s="3">
        <v>44641</v>
      </c>
      <c r="K75" s="2">
        <v>5</v>
      </c>
      <c r="L75" s="2" t="s">
        <v>64</v>
      </c>
      <c r="M75" s="3"/>
    </row>
    <row r="76" spans="1:13" x14ac:dyDescent="0.3">
      <c r="A76" s="2">
        <v>75</v>
      </c>
      <c r="B76" s="2" t="s">
        <v>343</v>
      </c>
      <c r="C76" s="2" t="s">
        <v>344</v>
      </c>
      <c r="D76" s="2" t="s">
        <v>28</v>
      </c>
      <c r="E76" s="2" t="s">
        <v>29</v>
      </c>
      <c r="F76" s="2">
        <v>90</v>
      </c>
      <c r="G76" s="2" t="s">
        <v>345</v>
      </c>
      <c r="H76" s="2" t="s">
        <v>346</v>
      </c>
      <c r="I76" s="2" t="s">
        <v>32</v>
      </c>
      <c r="J76" s="3">
        <v>44145</v>
      </c>
      <c r="K76" s="2">
        <v>55</v>
      </c>
      <c r="L76" s="2" t="s">
        <v>54</v>
      </c>
      <c r="M76" s="3"/>
    </row>
    <row r="77" spans="1:13" x14ac:dyDescent="0.3">
      <c r="A77" s="2">
        <v>76</v>
      </c>
      <c r="B77" s="2" t="s">
        <v>347</v>
      </c>
      <c r="C77" s="2" t="s">
        <v>348</v>
      </c>
      <c r="D77" s="2" t="s">
        <v>51</v>
      </c>
      <c r="E77" s="2" t="s">
        <v>16</v>
      </c>
      <c r="F77" s="2">
        <v>30</v>
      </c>
      <c r="G77" s="2" t="s">
        <v>349</v>
      </c>
      <c r="H77" s="2" t="s">
        <v>350</v>
      </c>
      <c r="I77" s="2" t="s">
        <v>25</v>
      </c>
      <c r="J77" s="3">
        <v>44827</v>
      </c>
      <c r="K77" s="2">
        <v>88</v>
      </c>
      <c r="L77" s="2" t="s">
        <v>33</v>
      </c>
      <c r="M77" s="3"/>
    </row>
    <row r="78" spans="1:13" x14ac:dyDescent="0.3">
      <c r="A78" s="2">
        <v>77</v>
      </c>
      <c r="B78" s="2" t="s">
        <v>351</v>
      </c>
      <c r="C78" s="2" t="s">
        <v>352</v>
      </c>
      <c r="D78" s="2" t="s">
        <v>15</v>
      </c>
      <c r="E78" s="2" t="s">
        <v>16</v>
      </c>
      <c r="F78" s="2">
        <v>60</v>
      </c>
      <c r="G78" s="2" t="s">
        <v>353</v>
      </c>
      <c r="H78" s="2" t="s">
        <v>123</v>
      </c>
      <c r="I78" s="2" t="s">
        <v>124</v>
      </c>
      <c r="J78" s="3">
        <v>44035</v>
      </c>
      <c r="K78" s="2">
        <v>9</v>
      </c>
      <c r="L78" s="2" t="s">
        <v>33</v>
      </c>
      <c r="M78" s="3"/>
    </row>
    <row r="79" spans="1:13" x14ac:dyDescent="0.3">
      <c r="A79" s="2">
        <v>78</v>
      </c>
      <c r="B79" s="2" t="s">
        <v>134</v>
      </c>
      <c r="C79" s="2" t="s">
        <v>354</v>
      </c>
      <c r="D79" s="2" t="s">
        <v>28</v>
      </c>
      <c r="E79" s="2" t="s">
        <v>29</v>
      </c>
      <c r="F79" s="2">
        <v>90</v>
      </c>
      <c r="G79" s="2" t="s">
        <v>355</v>
      </c>
      <c r="H79" s="2" t="s">
        <v>356</v>
      </c>
      <c r="I79" s="2" t="s">
        <v>178</v>
      </c>
      <c r="J79" s="3">
        <v>44152</v>
      </c>
      <c r="K79" s="2">
        <v>84</v>
      </c>
      <c r="L79" s="2" t="s">
        <v>70</v>
      </c>
      <c r="M79" s="3"/>
    </row>
    <row r="80" spans="1:13" x14ac:dyDescent="0.3">
      <c r="A80" s="2">
        <v>79</v>
      </c>
      <c r="B80" s="2" t="s">
        <v>357</v>
      </c>
      <c r="C80" s="2" t="s">
        <v>358</v>
      </c>
      <c r="D80" s="2" t="s">
        <v>51</v>
      </c>
      <c r="E80" s="2" t="s">
        <v>16</v>
      </c>
      <c r="F80" s="2">
        <v>30</v>
      </c>
      <c r="G80" s="2" t="s">
        <v>359</v>
      </c>
      <c r="H80" s="2" t="s">
        <v>360</v>
      </c>
      <c r="I80" s="2" t="s">
        <v>25</v>
      </c>
      <c r="J80" s="3">
        <v>44115</v>
      </c>
      <c r="K80" s="2">
        <v>19</v>
      </c>
      <c r="L80" s="2" t="s">
        <v>54</v>
      </c>
      <c r="M80" s="3"/>
    </row>
    <row r="81" spans="1:13" x14ac:dyDescent="0.3">
      <c r="A81" s="2">
        <v>80</v>
      </c>
      <c r="B81" s="2" t="s">
        <v>34</v>
      </c>
      <c r="C81" s="2" t="s">
        <v>361</v>
      </c>
      <c r="D81" s="2" t="s">
        <v>28</v>
      </c>
      <c r="E81" s="2" t="s">
        <v>29</v>
      </c>
      <c r="F81" s="2">
        <v>90</v>
      </c>
      <c r="G81" s="2" t="s">
        <v>362</v>
      </c>
      <c r="H81" s="2" t="s">
        <v>363</v>
      </c>
      <c r="I81" s="2" t="s">
        <v>110</v>
      </c>
      <c r="J81" s="3">
        <v>44118</v>
      </c>
      <c r="K81" s="2">
        <v>13</v>
      </c>
      <c r="L81" s="2" t="s">
        <v>80</v>
      </c>
      <c r="M81" s="3"/>
    </row>
    <row r="82" spans="1:13" x14ac:dyDescent="0.3">
      <c r="A82" s="2">
        <v>81</v>
      </c>
      <c r="B82" s="2" t="s">
        <v>364</v>
      </c>
      <c r="C82" s="2" t="s">
        <v>365</v>
      </c>
      <c r="D82" s="2" t="s">
        <v>41</v>
      </c>
      <c r="E82" s="2" t="s">
        <v>16</v>
      </c>
      <c r="F82" s="2">
        <v>90</v>
      </c>
      <c r="G82" s="2" t="s">
        <v>362</v>
      </c>
      <c r="I82" s="2" t="s">
        <v>366</v>
      </c>
      <c r="J82" s="3">
        <v>44479</v>
      </c>
      <c r="K82" s="2">
        <v>4</v>
      </c>
      <c r="L82" s="2" t="s">
        <v>39</v>
      </c>
      <c r="M82" s="3"/>
    </row>
    <row r="83" spans="1:13" x14ac:dyDescent="0.3">
      <c r="A83" s="2">
        <v>82</v>
      </c>
      <c r="B83" s="2" t="s">
        <v>367</v>
      </c>
      <c r="C83" s="2" t="s">
        <v>368</v>
      </c>
      <c r="D83" s="2" t="s">
        <v>28</v>
      </c>
      <c r="E83" s="2" t="s">
        <v>29</v>
      </c>
      <c r="F83" s="2">
        <v>90</v>
      </c>
      <c r="G83" s="2" t="s">
        <v>369</v>
      </c>
      <c r="H83" s="2" t="s">
        <v>370</v>
      </c>
      <c r="I83" s="2" t="s">
        <v>32</v>
      </c>
      <c r="J83" s="3">
        <v>44202</v>
      </c>
      <c r="K83" s="2">
        <v>5</v>
      </c>
      <c r="L83" s="2" t="s">
        <v>101</v>
      </c>
      <c r="M83" s="3"/>
    </row>
    <row r="84" spans="1:13" x14ac:dyDescent="0.3">
      <c r="A84" s="2">
        <v>83</v>
      </c>
      <c r="B84" s="2" t="s">
        <v>371</v>
      </c>
      <c r="C84" s="2" t="s">
        <v>372</v>
      </c>
      <c r="D84" s="2" t="s">
        <v>28</v>
      </c>
      <c r="E84" s="2" t="s">
        <v>29</v>
      </c>
      <c r="F84" s="2">
        <v>60</v>
      </c>
      <c r="G84" s="2" t="s">
        <v>373</v>
      </c>
      <c r="H84" s="2" t="s">
        <v>374</v>
      </c>
      <c r="I84" s="2" t="s">
        <v>25</v>
      </c>
      <c r="J84" s="3">
        <v>44484</v>
      </c>
      <c r="K84" s="2">
        <v>14</v>
      </c>
      <c r="L84" s="2" t="s">
        <v>80</v>
      </c>
      <c r="M84" s="3"/>
    </row>
    <row r="85" spans="1:13" x14ac:dyDescent="0.3">
      <c r="A85" s="2">
        <v>84</v>
      </c>
      <c r="B85" s="2" t="s">
        <v>375</v>
      </c>
      <c r="C85" s="2" t="s">
        <v>376</v>
      </c>
      <c r="D85" s="2" t="s">
        <v>28</v>
      </c>
      <c r="E85" s="2" t="s">
        <v>29</v>
      </c>
      <c r="F85" s="2">
        <v>30</v>
      </c>
      <c r="G85" s="2" t="s">
        <v>377</v>
      </c>
      <c r="H85" s="2" t="s">
        <v>378</v>
      </c>
      <c r="I85" s="2" t="s">
        <v>146</v>
      </c>
      <c r="J85" s="3">
        <v>44191</v>
      </c>
      <c r="K85" s="2">
        <v>36</v>
      </c>
      <c r="L85" s="2" t="s">
        <v>70</v>
      </c>
      <c r="M85" s="3"/>
    </row>
    <row r="86" spans="1:13" x14ac:dyDescent="0.3">
      <c r="A86" s="2">
        <v>85</v>
      </c>
      <c r="B86" s="2" t="s">
        <v>379</v>
      </c>
      <c r="C86" s="2" t="s">
        <v>380</v>
      </c>
      <c r="D86" s="2" t="s">
        <v>51</v>
      </c>
      <c r="E86" s="2" t="s">
        <v>16</v>
      </c>
      <c r="F86" s="2">
        <v>30</v>
      </c>
      <c r="G86" s="2" t="s">
        <v>381</v>
      </c>
      <c r="H86" s="2" t="s">
        <v>382</v>
      </c>
      <c r="I86" s="2" t="s">
        <v>32</v>
      </c>
      <c r="J86" s="3">
        <v>43944</v>
      </c>
      <c r="K86" s="2">
        <v>79</v>
      </c>
      <c r="L86" s="2" t="s">
        <v>70</v>
      </c>
      <c r="M86" s="3"/>
    </row>
    <row r="87" spans="1:13" x14ac:dyDescent="0.3">
      <c r="A87" s="2">
        <v>86</v>
      </c>
      <c r="B87" s="2" t="s">
        <v>383</v>
      </c>
      <c r="C87" s="2" t="s">
        <v>384</v>
      </c>
      <c r="D87" s="2" t="s">
        <v>51</v>
      </c>
      <c r="E87" s="2" t="s">
        <v>16</v>
      </c>
      <c r="F87" s="2">
        <v>60</v>
      </c>
      <c r="G87" s="2" t="s">
        <v>385</v>
      </c>
      <c r="H87" s="2" t="s">
        <v>386</v>
      </c>
      <c r="I87" s="2" t="s">
        <v>294</v>
      </c>
      <c r="J87" s="3">
        <v>44141</v>
      </c>
      <c r="K87" s="2">
        <v>80</v>
      </c>
      <c r="L87" s="2" t="s">
        <v>45</v>
      </c>
      <c r="M87" s="3"/>
    </row>
    <row r="88" spans="1:13" x14ac:dyDescent="0.3">
      <c r="A88" s="2">
        <v>87</v>
      </c>
      <c r="B88" s="2" t="s">
        <v>387</v>
      </c>
      <c r="C88" s="2" t="s">
        <v>388</v>
      </c>
      <c r="D88" s="2" t="s">
        <v>92</v>
      </c>
      <c r="E88" s="2" t="s">
        <v>16</v>
      </c>
      <c r="F88" s="2">
        <v>30</v>
      </c>
      <c r="G88" s="2" t="s">
        <v>385</v>
      </c>
      <c r="H88" s="2" t="s">
        <v>389</v>
      </c>
      <c r="I88" s="2" t="s">
        <v>32</v>
      </c>
      <c r="J88" s="3">
        <v>44473</v>
      </c>
      <c r="K88" s="2">
        <v>43</v>
      </c>
      <c r="L88" s="2" t="s">
        <v>33</v>
      </c>
      <c r="M88" s="3"/>
    </row>
    <row r="89" spans="1:13" x14ac:dyDescent="0.3">
      <c r="A89" s="2">
        <v>88</v>
      </c>
      <c r="B89" s="2" t="s">
        <v>390</v>
      </c>
      <c r="C89" s="2" t="s">
        <v>391</v>
      </c>
      <c r="D89" s="2" t="s">
        <v>28</v>
      </c>
      <c r="E89" s="2" t="s">
        <v>29</v>
      </c>
      <c r="F89" s="2">
        <v>30</v>
      </c>
      <c r="G89" s="2" t="s">
        <v>392</v>
      </c>
      <c r="H89" s="2" t="s">
        <v>393</v>
      </c>
      <c r="I89" s="2" t="s">
        <v>32</v>
      </c>
      <c r="J89" s="3">
        <v>44171</v>
      </c>
      <c r="K89" s="2">
        <v>85</v>
      </c>
      <c r="L89" s="2" t="s">
        <v>45</v>
      </c>
      <c r="M89" s="3"/>
    </row>
    <row r="90" spans="1:13" x14ac:dyDescent="0.3">
      <c r="A90" s="2">
        <v>89</v>
      </c>
      <c r="B90" s="2" t="s">
        <v>106</v>
      </c>
      <c r="C90" s="2" t="s">
        <v>394</v>
      </c>
      <c r="D90" s="2" t="s">
        <v>28</v>
      </c>
      <c r="E90" s="2" t="s">
        <v>29</v>
      </c>
      <c r="F90" s="2">
        <v>30</v>
      </c>
      <c r="G90" s="2" t="s">
        <v>395</v>
      </c>
      <c r="H90" s="2" t="s">
        <v>396</v>
      </c>
      <c r="I90" s="2" t="s">
        <v>32</v>
      </c>
      <c r="J90" s="3">
        <v>43922</v>
      </c>
      <c r="K90" s="2">
        <v>71</v>
      </c>
      <c r="L90" s="2" t="s">
        <v>33</v>
      </c>
      <c r="M90" s="3"/>
    </row>
    <row r="91" spans="1:13" x14ac:dyDescent="0.3">
      <c r="A91" s="2">
        <v>90</v>
      </c>
      <c r="B91" s="2" t="s">
        <v>397</v>
      </c>
      <c r="C91" s="2" t="s">
        <v>398</v>
      </c>
      <c r="D91" s="2" t="s">
        <v>51</v>
      </c>
      <c r="E91" s="2" t="s">
        <v>16</v>
      </c>
      <c r="F91" s="2">
        <v>90</v>
      </c>
      <c r="G91" s="2" t="s">
        <v>399</v>
      </c>
      <c r="H91" s="2" t="s">
        <v>400</v>
      </c>
      <c r="I91" s="2" t="s">
        <v>401</v>
      </c>
      <c r="J91" s="3">
        <v>44084</v>
      </c>
      <c r="K91" s="2">
        <v>47</v>
      </c>
      <c r="L91" s="2" t="s">
        <v>45</v>
      </c>
      <c r="M91" s="3"/>
    </row>
    <row r="92" spans="1:13" x14ac:dyDescent="0.3">
      <c r="A92" s="2">
        <v>91</v>
      </c>
      <c r="B92" s="2" t="s">
        <v>402</v>
      </c>
      <c r="C92" s="2" t="s">
        <v>403</v>
      </c>
      <c r="D92" s="2" t="s">
        <v>15</v>
      </c>
      <c r="E92" s="2" t="s">
        <v>16</v>
      </c>
      <c r="F92" s="2">
        <v>30</v>
      </c>
      <c r="G92" s="2" t="s">
        <v>404</v>
      </c>
      <c r="H92" s="2" t="s">
        <v>405</v>
      </c>
      <c r="I92" s="2" t="s">
        <v>32</v>
      </c>
      <c r="J92" s="3">
        <v>43997</v>
      </c>
      <c r="K92" s="2">
        <v>77</v>
      </c>
      <c r="L92" s="2" t="s">
        <v>39</v>
      </c>
      <c r="M92" s="3"/>
    </row>
    <row r="93" spans="1:13" x14ac:dyDescent="0.3">
      <c r="A93" s="2">
        <v>92</v>
      </c>
      <c r="B93" s="2" t="s">
        <v>116</v>
      </c>
      <c r="C93" s="2" t="s">
        <v>406</v>
      </c>
      <c r="D93" s="2" t="s">
        <v>28</v>
      </c>
      <c r="E93" s="2" t="s">
        <v>29</v>
      </c>
      <c r="F93" s="2">
        <v>90</v>
      </c>
      <c r="G93" s="2" t="s">
        <v>407</v>
      </c>
      <c r="H93" s="2" t="s">
        <v>408</v>
      </c>
      <c r="I93" s="2" t="s">
        <v>25</v>
      </c>
      <c r="J93" s="3">
        <v>44160</v>
      </c>
      <c r="K93" s="2">
        <v>11</v>
      </c>
      <c r="L93" s="2" t="s">
        <v>54</v>
      </c>
      <c r="M93" s="3"/>
    </row>
    <row r="94" spans="1:13" x14ac:dyDescent="0.3">
      <c r="A94" s="2">
        <v>93</v>
      </c>
      <c r="B94" s="2" t="s">
        <v>409</v>
      </c>
      <c r="C94" s="2" t="s">
        <v>410</v>
      </c>
      <c r="D94" s="2" t="s">
        <v>51</v>
      </c>
      <c r="E94" s="2" t="s">
        <v>16</v>
      </c>
      <c r="F94" s="2">
        <v>30</v>
      </c>
      <c r="G94" s="2" t="s">
        <v>411</v>
      </c>
      <c r="H94" s="2" t="s">
        <v>412</v>
      </c>
      <c r="I94" s="2" t="s">
        <v>187</v>
      </c>
      <c r="J94" s="3">
        <v>44091</v>
      </c>
      <c r="K94" s="2">
        <v>61</v>
      </c>
      <c r="L94" s="2" t="s">
        <v>39</v>
      </c>
      <c r="M94" s="3"/>
    </row>
    <row r="95" spans="1:13" x14ac:dyDescent="0.3">
      <c r="A95" s="2">
        <v>94</v>
      </c>
      <c r="B95" s="2" t="s">
        <v>413</v>
      </c>
      <c r="C95" s="2" t="s">
        <v>414</v>
      </c>
      <c r="D95" s="2" t="s">
        <v>15</v>
      </c>
      <c r="E95" s="2" t="s">
        <v>16</v>
      </c>
      <c r="F95" s="2">
        <v>90</v>
      </c>
      <c r="G95" s="2" t="s">
        <v>415</v>
      </c>
      <c r="H95" s="2" t="s">
        <v>416</v>
      </c>
      <c r="I95" s="2" t="s">
        <v>32</v>
      </c>
      <c r="J95" s="3">
        <v>44707</v>
      </c>
      <c r="K95" s="2">
        <v>92</v>
      </c>
      <c r="L95" s="2" t="s">
        <v>54</v>
      </c>
      <c r="M95" s="3"/>
    </row>
    <row r="96" spans="1:13" x14ac:dyDescent="0.3">
      <c r="A96" s="2">
        <v>95</v>
      </c>
      <c r="B96" s="2" t="s">
        <v>417</v>
      </c>
      <c r="C96" s="2" t="s">
        <v>418</v>
      </c>
      <c r="D96" s="2" t="s">
        <v>51</v>
      </c>
      <c r="E96" s="2" t="s">
        <v>16</v>
      </c>
      <c r="F96" s="2">
        <v>30</v>
      </c>
      <c r="G96" s="2" t="s">
        <v>419</v>
      </c>
      <c r="H96" s="2" t="s">
        <v>420</v>
      </c>
      <c r="I96" s="2" t="s">
        <v>32</v>
      </c>
      <c r="J96" s="3">
        <v>44823</v>
      </c>
      <c r="K96" s="2">
        <v>81</v>
      </c>
      <c r="L96" s="2" t="s">
        <v>101</v>
      </c>
      <c r="M96" s="3"/>
    </row>
    <row r="97" spans="1:13" x14ac:dyDescent="0.3">
      <c r="A97" s="2">
        <v>96</v>
      </c>
      <c r="B97" s="2" t="s">
        <v>421</v>
      </c>
      <c r="C97" s="2" t="s">
        <v>422</v>
      </c>
      <c r="D97" s="2" t="s">
        <v>51</v>
      </c>
      <c r="E97" s="2" t="s">
        <v>16</v>
      </c>
      <c r="F97" s="2">
        <v>60</v>
      </c>
      <c r="G97" s="2" t="s">
        <v>423</v>
      </c>
      <c r="H97" s="2" t="s">
        <v>424</v>
      </c>
      <c r="I97" s="2" t="s">
        <v>425</v>
      </c>
      <c r="J97" s="3">
        <v>44746</v>
      </c>
      <c r="K97" s="2">
        <v>50</v>
      </c>
      <c r="L97" s="2" t="s">
        <v>159</v>
      </c>
      <c r="M97" s="3"/>
    </row>
    <row r="98" spans="1:13" x14ac:dyDescent="0.3">
      <c r="A98" s="2">
        <v>97</v>
      </c>
      <c r="B98" s="2" t="s">
        <v>426</v>
      </c>
      <c r="C98" s="2" t="s">
        <v>427</v>
      </c>
      <c r="D98" s="2" t="s">
        <v>15</v>
      </c>
      <c r="E98" s="2" t="s">
        <v>16</v>
      </c>
      <c r="F98" s="2">
        <v>30</v>
      </c>
      <c r="G98" s="2" t="s">
        <v>428</v>
      </c>
      <c r="H98" s="2" t="s">
        <v>429</v>
      </c>
      <c r="I98" s="2" t="s">
        <v>32</v>
      </c>
      <c r="J98" s="3">
        <v>44218</v>
      </c>
      <c r="K98" s="2">
        <v>38</v>
      </c>
      <c r="L98" s="2" t="s">
        <v>101</v>
      </c>
      <c r="M98" s="3"/>
    </row>
    <row r="99" spans="1:13" x14ac:dyDescent="0.3">
      <c r="A99" s="2">
        <v>98</v>
      </c>
      <c r="B99" s="2" t="s">
        <v>430</v>
      </c>
      <c r="C99" s="2" t="s">
        <v>232</v>
      </c>
      <c r="D99" s="2" t="s">
        <v>28</v>
      </c>
      <c r="E99" s="2" t="s">
        <v>29</v>
      </c>
      <c r="F99" s="2">
        <v>30</v>
      </c>
      <c r="G99" s="2" t="s">
        <v>431</v>
      </c>
      <c r="H99" s="2" t="s">
        <v>432</v>
      </c>
      <c r="I99" s="2" t="s">
        <v>32</v>
      </c>
      <c r="J99" s="3">
        <v>44616</v>
      </c>
      <c r="K99" s="2">
        <v>86</v>
      </c>
      <c r="L99" s="2" t="s">
        <v>101</v>
      </c>
      <c r="M99" s="3"/>
    </row>
    <row r="100" spans="1:13" x14ac:dyDescent="0.3">
      <c r="A100" s="2">
        <v>99</v>
      </c>
      <c r="B100" s="2" t="s">
        <v>433</v>
      </c>
      <c r="C100" s="2" t="s">
        <v>434</v>
      </c>
      <c r="D100" s="2" t="s">
        <v>28</v>
      </c>
      <c r="E100" s="2" t="s">
        <v>29</v>
      </c>
      <c r="F100" s="2">
        <v>30</v>
      </c>
      <c r="G100" s="2" t="s">
        <v>435</v>
      </c>
      <c r="H100" s="2" t="s">
        <v>436</v>
      </c>
      <c r="I100" s="2" t="s">
        <v>32</v>
      </c>
      <c r="J100" s="3">
        <v>44050</v>
      </c>
      <c r="K100" s="2">
        <v>56</v>
      </c>
      <c r="L100" s="2" t="s">
        <v>159</v>
      </c>
      <c r="M100" s="3"/>
    </row>
    <row r="101" spans="1:13" x14ac:dyDescent="0.3">
      <c r="A101" s="2">
        <v>100</v>
      </c>
      <c r="B101" s="2" t="s">
        <v>437</v>
      </c>
      <c r="C101" s="2" t="s">
        <v>438</v>
      </c>
      <c r="D101" s="2" t="s">
        <v>15</v>
      </c>
      <c r="E101" s="2" t="s">
        <v>16</v>
      </c>
      <c r="F101" s="2">
        <v>90</v>
      </c>
      <c r="G101" s="2" t="s">
        <v>439</v>
      </c>
      <c r="H101" s="2" t="s">
        <v>440</v>
      </c>
      <c r="I101" s="2" t="s">
        <v>25</v>
      </c>
      <c r="J101" s="3">
        <v>44178</v>
      </c>
      <c r="K101" s="2">
        <v>85</v>
      </c>
      <c r="L101" s="2" t="s">
        <v>64</v>
      </c>
      <c r="M101" s="3"/>
    </row>
    <row r="102" spans="1:13" x14ac:dyDescent="0.3">
      <c r="A102" s="2">
        <v>101</v>
      </c>
      <c r="B102" s="2" t="s">
        <v>68</v>
      </c>
      <c r="C102" s="2" t="s">
        <v>441</v>
      </c>
      <c r="D102" s="2" t="s">
        <v>51</v>
      </c>
      <c r="E102" s="2" t="s">
        <v>16</v>
      </c>
      <c r="F102" s="2">
        <v>30</v>
      </c>
      <c r="G102" s="2" t="s">
        <v>442</v>
      </c>
      <c r="H102" s="2" t="s">
        <v>443</v>
      </c>
      <c r="I102" s="2" t="s">
        <v>294</v>
      </c>
      <c r="J102" s="3">
        <v>44891</v>
      </c>
      <c r="K102" s="2">
        <v>9</v>
      </c>
      <c r="L102" s="2" t="s">
        <v>39</v>
      </c>
      <c r="M102" s="3"/>
    </row>
    <row r="103" spans="1:13" x14ac:dyDescent="0.3">
      <c r="A103" s="2">
        <v>102</v>
      </c>
      <c r="B103" s="2" t="s">
        <v>444</v>
      </c>
      <c r="C103" s="2" t="s">
        <v>445</v>
      </c>
      <c r="D103" s="2" t="s">
        <v>51</v>
      </c>
      <c r="E103" s="2" t="s">
        <v>16</v>
      </c>
      <c r="F103" s="2">
        <v>90</v>
      </c>
      <c r="G103" s="2" t="s">
        <v>446</v>
      </c>
      <c r="H103" s="2" t="s">
        <v>447</v>
      </c>
      <c r="I103" s="2" t="s">
        <v>32</v>
      </c>
      <c r="J103" s="3">
        <v>44703</v>
      </c>
      <c r="K103" s="2">
        <v>83</v>
      </c>
      <c r="L103" s="2" t="s">
        <v>45</v>
      </c>
      <c r="M103" s="3"/>
    </row>
    <row r="104" spans="1:13" x14ac:dyDescent="0.3">
      <c r="A104" s="2">
        <v>103</v>
      </c>
      <c r="B104" s="2" t="s">
        <v>448</v>
      </c>
      <c r="C104" s="2" t="s">
        <v>449</v>
      </c>
      <c r="D104" s="2" t="s">
        <v>15</v>
      </c>
      <c r="E104" s="2" t="s">
        <v>16</v>
      </c>
      <c r="F104" s="2">
        <v>60</v>
      </c>
      <c r="G104" s="2" t="s">
        <v>450</v>
      </c>
      <c r="H104" s="2" t="s">
        <v>451</v>
      </c>
      <c r="I104" s="2" t="s">
        <v>294</v>
      </c>
      <c r="J104" s="3">
        <v>44784</v>
      </c>
      <c r="K104" s="2">
        <v>49</v>
      </c>
      <c r="L104" s="2" t="s">
        <v>70</v>
      </c>
      <c r="M104" s="3"/>
    </row>
    <row r="105" spans="1:13" x14ac:dyDescent="0.3">
      <c r="A105" s="2">
        <v>104</v>
      </c>
      <c r="B105" s="2" t="s">
        <v>452</v>
      </c>
      <c r="C105" s="2" t="s">
        <v>453</v>
      </c>
      <c r="D105" s="2" t="s">
        <v>28</v>
      </c>
      <c r="E105" s="2" t="s">
        <v>29</v>
      </c>
      <c r="F105" s="2">
        <v>30</v>
      </c>
      <c r="G105" s="2" t="s">
        <v>454</v>
      </c>
      <c r="H105" s="2" t="s">
        <v>455</v>
      </c>
      <c r="I105" s="2" t="s">
        <v>187</v>
      </c>
      <c r="J105" s="3">
        <v>44243</v>
      </c>
      <c r="K105" s="2">
        <v>77</v>
      </c>
      <c r="L105" s="2" t="s">
        <v>33</v>
      </c>
      <c r="M105" s="3"/>
    </row>
    <row r="106" spans="1:13" x14ac:dyDescent="0.3">
      <c r="A106" s="2">
        <v>105</v>
      </c>
      <c r="B106" s="2" t="s">
        <v>456</v>
      </c>
      <c r="C106" s="2" t="s">
        <v>457</v>
      </c>
      <c r="D106" s="2" t="s">
        <v>15</v>
      </c>
      <c r="E106" s="2" t="s">
        <v>16</v>
      </c>
      <c r="F106" s="2">
        <v>90</v>
      </c>
      <c r="G106" s="2" t="s">
        <v>454</v>
      </c>
      <c r="H106" s="2" t="s">
        <v>458</v>
      </c>
      <c r="I106" s="2" t="s">
        <v>294</v>
      </c>
      <c r="J106" s="3">
        <v>44755</v>
      </c>
      <c r="K106" s="2">
        <v>29</v>
      </c>
      <c r="L106" s="2" t="s">
        <v>70</v>
      </c>
      <c r="M106" s="3"/>
    </row>
    <row r="107" spans="1:13" x14ac:dyDescent="0.3">
      <c r="A107" s="2">
        <v>106</v>
      </c>
      <c r="B107" s="2" t="s">
        <v>459</v>
      </c>
      <c r="C107" s="2" t="s">
        <v>460</v>
      </c>
      <c r="D107" s="2" t="s">
        <v>51</v>
      </c>
      <c r="E107" s="2" t="s">
        <v>16</v>
      </c>
      <c r="F107" s="2">
        <v>30</v>
      </c>
      <c r="G107" s="2" t="s">
        <v>461</v>
      </c>
      <c r="H107" s="2" t="s">
        <v>462</v>
      </c>
      <c r="I107" s="2" t="s">
        <v>32</v>
      </c>
      <c r="J107" s="3">
        <v>44636</v>
      </c>
      <c r="K107" s="2">
        <v>93</v>
      </c>
      <c r="L107" s="2" t="s">
        <v>70</v>
      </c>
      <c r="M107" s="3"/>
    </row>
    <row r="108" spans="1:13" x14ac:dyDescent="0.3">
      <c r="A108" s="2">
        <v>107</v>
      </c>
      <c r="B108" s="2" t="s">
        <v>463</v>
      </c>
      <c r="C108" s="2" t="s">
        <v>464</v>
      </c>
      <c r="D108" s="2" t="s">
        <v>15</v>
      </c>
      <c r="E108" s="2" t="s">
        <v>16</v>
      </c>
      <c r="F108" s="2">
        <v>60</v>
      </c>
      <c r="G108" s="2" t="s">
        <v>465</v>
      </c>
      <c r="H108" s="2" t="s">
        <v>466</v>
      </c>
      <c r="I108" s="2" t="s">
        <v>187</v>
      </c>
      <c r="J108" s="3">
        <v>44153</v>
      </c>
      <c r="K108" s="2">
        <v>79</v>
      </c>
      <c r="L108" s="2" t="s">
        <v>64</v>
      </c>
      <c r="M108" s="3"/>
    </row>
    <row r="109" spans="1:13" x14ac:dyDescent="0.3">
      <c r="A109" s="2">
        <v>108</v>
      </c>
      <c r="B109" s="2" t="s">
        <v>467</v>
      </c>
      <c r="C109" s="2" t="s">
        <v>468</v>
      </c>
      <c r="D109" s="2" t="s">
        <v>51</v>
      </c>
      <c r="E109" s="2" t="s">
        <v>16</v>
      </c>
      <c r="F109" s="2">
        <v>60</v>
      </c>
      <c r="G109" s="2" t="s">
        <v>469</v>
      </c>
      <c r="H109" s="2" t="s">
        <v>470</v>
      </c>
      <c r="I109" s="2" t="s">
        <v>32</v>
      </c>
      <c r="J109" s="3">
        <v>44400</v>
      </c>
      <c r="K109" s="2">
        <v>87</v>
      </c>
      <c r="L109" s="2" t="s">
        <v>45</v>
      </c>
      <c r="M109" s="3"/>
    </row>
    <row r="110" spans="1:13" x14ac:dyDescent="0.3">
      <c r="A110" s="2">
        <v>109</v>
      </c>
      <c r="B110" s="2" t="s">
        <v>471</v>
      </c>
      <c r="C110" s="2" t="s">
        <v>472</v>
      </c>
      <c r="D110" s="2" t="s">
        <v>28</v>
      </c>
      <c r="E110" s="2" t="s">
        <v>29</v>
      </c>
      <c r="F110" s="2">
        <v>30</v>
      </c>
      <c r="G110" s="2" t="s">
        <v>473</v>
      </c>
      <c r="H110" s="2" t="s">
        <v>474</v>
      </c>
      <c r="I110" s="2" t="s">
        <v>475</v>
      </c>
      <c r="J110" s="3">
        <v>44622</v>
      </c>
      <c r="K110" s="2">
        <v>67</v>
      </c>
      <c r="L110" s="2" t="s">
        <v>39</v>
      </c>
      <c r="M110" s="3"/>
    </row>
    <row r="111" spans="1:13" x14ac:dyDescent="0.3">
      <c r="A111" s="2">
        <v>110</v>
      </c>
      <c r="B111" s="2" t="s">
        <v>476</v>
      </c>
      <c r="C111" s="2" t="s">
        <v>477</v>
      </c>
      <c r="D111" s="2" t="s">
        <v>28</v>
      </c>
      <c r="E111" s="2" t="s">
        <v>29</v>
      </c>
      <c r="F111" s="2">
        <v>60</v>
      </c>
      <c r="G111" s="2" t="s">
        <v>478</v>
      </c>
      <c r="H111" s="2" t="s">
        <v>479</v>
      </c>
      <c r="I111" s="2" t="s">
        <v>303</v>
      </c>
      <c r="J111" s="3">
        <v>44274</v>
      </c>
      <c r="K111" s="2">
        <v>54</v>
      </c>
      <c r="L111" s="2" t="s">
        <v>64</v>
      </c>
      <c r="M111" s="3"/>
    </row>
    <row r="112" spans="1:13" x14ac:dyDescent="0.3">
      <c r="A112" s="2">
        <v>111</v>
      </c>
      <c r="B112" s="2" t="s">
        <v>480</v>
      </c>
      <c r="C112" s="2" t="s">
        <v>481</v>
      </c>
      <c r="D112" s="2" t="s">
        <v>51</v>
      </c>
      <c r="E112" s="2" t="s">
        <v>16</v>
      </c>
      <c r="F112" s="2">
        <v>60</v>
      </c>
      <c r="G112" s="2" t="s">
        <v>482</v>
      </c>
      <c r="H112" s="2" t="s">
        <v>483</v>
      </c>
      <c r="I112" s="2" t="s">
        <v>32</v>
      </c>
      <c r="J112" s="3">
        <v>43834</v>
      </c>
      <c r="K112" s="2">
        <v>64</v>
      </c>
      <c r="L112" s="2" t="s">
        <v>39</v>
      </c>
      <c r="M112" s="3"/>
    </row>
    <row r="113" spans="1:13" x14ac:dyDescent="0.3">
      <c r="A113" s="2">
        <v>112</v>
      </c>
      <c r="B113" s="2" t="s">
        <v>484</v>
      </c>
      <c r="C113" s="2" t="s">
        <v>485</v>
      </c>
      <c r="D113" s="2" t="s">
        <v>28</v>
      </c>
      <c r="E113" s="2" t="s">
        <v>29</v>
      </c>
      <c r="F113" s="2">
        <v>30</v>
      </c>
      <c r="G113" s="2" t="s">
        <v>486</v>
      </c>
      <c r="H113" s="2" t="s">
        <v>487</v>
      </c>
      <c r="I113" s="2" t="s">
        <v>32</v>
      </c>
      <c r="J113" s="3">
        <v>43896</v>
      </c>
      <c r="K113" s="2">
        <v>37</v>
      </c>
      <c r="L113" s="2" t="s">
        <v>101</v>
      </c>
      <c r="M113" s="3"/>
    </row>
    <row r="114" spans="1:13" x14ac:dyDescent="0.3">
      <c r="A114" s="2">
        <v>113</v>
      </c>
      <c r="B114" s="2" t="s">
        <v>484</v>
      </c>
      <c r="C114" s="2" t="s">
        <v>485</v>
      </c>
      <c r="D114" s="2" t="s">
        <v>28</v>
      </c>
      <c r="E114" s="2" t="s">
        <v>29</v>
      </c>
      <c r="F114" s="2">
        <v>30</v>
      </c>
      <c r="G114" s="2" t="s">
        <v>486</v>
      </c>
      <c r="H114" s="2" t="s">
        <v>487</v>
      </c>
      <c r="I114" s="2" t="s">
        <v>32</v>
      </c>
      <c r="J114" s="3">
        <v>43896</v>
      </c>
      <c r="K114" s="2">
        <v>37</v>
      </c>
      <c r="L114" s="2" t="s">
        <v>101</v>
      </c>
      <c r="M114" s="3"/>
    </row>
    <row r="115" spans="1:13" x14ac:dyDescent="0.3">
      <c r="A115" s="2">
        <v>114</v>
      </c>
      <c r="B115" s="2" t="s">
        <v>488</v>
      </c>
      <c r="C115" s="2" t="s">
        <v>489</v>
      </c>
      <c r="D115" s="2" t="s">
        <v>51</v>
      </c>
      <c r="E115" s="2" t="s">
        <v>16</v>
      </c>
      <c r="F115" s="2">
        <v>90</v>
      </c>
      <c r="G115" s="2" t="s">
        <v>490</v>
      </c>
      <c r="H115" s="2" t="s">
        <v>491</v>
      </c>
      <c r="I115" s="2" t="s">
        <v>32</v>
      </c>
      <c r="J115" s="3">
        <v>43944</v>
      </c>
      <c r="K115" s="2">
        <v>78</v>
      </c>
      <c r="L115" s="2" t="s">
        <v>33</v>
      </c>
      <c r="M115" s="3"/>
    </row>
    <row r="116" spans="1:13" x14ac:dyDescent="0.3">
      <c r="A116" s="2">
        <v>115</v>
      </c>
      <c r="B116" s="2" t="s">
        <v>492</v>
      </c>
      <c r="C116" s="2" t="s">
        <v>493</v>
      </c>
      <c r="D116" s="2" t="s">
        <v>51</v>
      </c>
      <c r="E116" s="2" t="s">
        <v>16</v>
      </c>
      <c r="F116" s="2">
        <v>90</v>
      </c>
      <c r="G116" s="2" t="s">
        <v>494</v>
      </c>
      <c r="H116" s="2" t="s">
        <v>495</v>
      </c>
      <c r="I116" s="2" t="s">
        <v>173</v>
      </c>
      <c r="J116" s="3">
        <v>44699</v>
      </c>
      <c r="K116" s="2">
        <v>60</v>
      </c>
      <c r="L116" s="2" t="s">
        <v>159</v>
      </c>
      <c r="M116" s="3"/>
    </row>
    <row r="117" spans="1:13" x14ac:dyDescent="0.3">
      <c r="A117" s="2">
        <v>116</v>
      </c>
      <c r="B117" s="2" t="s">
        <v>496</v>
      </c>
      <c r="C117" s="2" t="s">
        <v>290</v>
      </c>
      <c r="D117" s="2" t="s">
        <v>28</v>
      </c>
      <c r="E117" s="2" t="s">
        <v>29</v>
      </c>
      <c r="F117" s="2">
        <v>90</v>
      </c>
      <c r="G117" s="2" t="s">
        <v>497</v>
      </c>
      <c r="H117" s="2" t="s">
        <v>498</v>
      </c>
      <c r="I117" s="2" t="s">
        <v>32</v>
      </c>
      <c r="J117" s="3">
        <v>44235</v>
      </c>
      <c r="K117" s="2">
        <v>58</v>
      </c>
      <c r="L117" s="2" t="s">
        <v>54</v>
      </c>
      <c r="M117" s="3"/>
    </row>
    <row r="118" spans="1:13" x14ac:dyDescent="0.3">
      <c r="A118" s="2">
        <v>117</v>
      </c>
      <c r="B118" s="2" t="s">
        <v>499</v>
      </c>
      <c r="C118" s="2" t="s">
        <v>500</v>
      </c>
      <c r="D118" s="2" t="s">
        <v>51</v>
      </c>
      <c r="E118" s="2" t="s">
        <v>16</v>
      </c>
      <c r="F118" s="2">
        <v>90</v>
      </c>
      <c r="G118" s="2" t="s">
        <v>501</v>
      </c>
      <c r="H118" s="2" t="s">
        <v>502</v>
      </c>
      <c r="I118" s="2" t="s">
        <v>294</v>
      </c>
      <c r="J118" s="3">
        <v>44604</v>
      </c>
      <c r="K118" s="2">
        <v>10</v>
      </c>
      <c r="L118" s="2" t="s">
        <v>54</v>
      </c>
      <c r="M118" s="3"/>
    </row>
    <row r="119" spans="1:13" x14ac:dyDescent="0.3">
      <c r="A119" s="2">
        <v>118</v>
      </c>
      <c r="B119" s="2" t="s">
        <v>503</v>
      </c>
      <c r="C119" s="2" t="s">
        <v>504</v>
      </c>
      <c r="D119" s="2" t="s">
        <v>28</v>
      </c>
      <c r="E119" s="2" t="s">
        <v>29</v>
      </c>
      <c r="F119" s="2">
        <v>30</v>
      </c>
      <c r="G119" s="2" t="s">
        <v>505</v>
      </c>
      <c r="H119" s="2" t="s">
        <v>506</v>
      </c>
      <c r="I119" s="2" t="s">
        <v>32</v>
      </c>
      <c r="J119" s="3">
        <v>44494</v>
      </c>
      <c r="K119" s="2">
        <v>70</v>
      </c>
      <c r="L119" s="2" t="s">
        <v>64</v>
      </c>
      <c r="M119" s="3"/>
    </row>
    <row r="120" spans="1:13" x14ac:dyDescent="0.3">
      <c r="A120" s="2">
        <v>119</v>
      </c>
      <c r="B120" s="2" t="s">
        <v>507</v>
      </c>
      <c r="C120" s="2" t="s">
        <v>508</v>
      </c>
      <c r="D120" s="2" t="s">
        <v>28</v>
      </c>
      <c r="E120" s="2" t="s">
        <v>29</v>
      </c>
      <c r="F120" s="2">
        <v>30</v>
      </c>
      <c r="G120" s="2" t="s">
        <v>509</v>
      </c>
      <c r="H120" s="2" t="s">
        <v>510</v>
      </c>
      <c r="I120" s="2" t="s">
        <v>32</v>
      </c>
      <c r="J120" s="3">
        <v>44273</v>
      </c>
      <c r="K120" s="2">
        <v>73</v>
      </c>
      <c r="L120" s="2" t="s">
        <v>54</v>
      </c>
      <c r="M120" s="3"/>
    </row>
    <row r="121" spans="1:13" x14ac:dyDescent="0.3">
      <c r="A121" s="2">
        <v>120</v>
      </c>
      <c r="B121" s="2" t="s">
        <v>511</v>
      </c>
      <c r="C121" s="2" t="s">
        <v>512</v>
      </c>
      <c r="D121" s="2" t="s">
        <v>28</v>
      </c>
      <c r="E121" s="2" t="s">
        <v>29</v>
      </c>
      <c r="F121" s="2">
        <v>60</v>
      </c>
      <c r="G121" s="2" t="s">
        <v>513</v>
      </c>
      <c r="H121" s="2" t="s">
        <v>514</v>
      </c>
      <c r="I121" s="2" t="s">
        <v>19</v>
      </c>
      <c r="J121" s="3">
        <v>44853</v>
      </c>
      <c r="K121" s="2">
        <v>101</v>
      </c>
      <c r="L121" s="2" t="s">
        <v>54</v>
      </c>
      <c r="M121" s="3"/>
    </row>
    <row r="122" spans="1:13" x14ac:dyDescent="0.3">
      <c r="A122" s="2">
        <v>121</v>
      </c>
      <c r="B122" s="2" t="s">
        <v>515</v>
      </c>
      <c r="C122" s="2" t="s">
        <v>516</v>
      </c>
      <c r="D122" s="2" t="s">
        <v>15</v>
      </c>
      <c r="E122" s="2" t="s">
        <v>16</v>
      </c>
      <c r="F122" s="2">
        <v>60</v>
      </c>
      <c r="G122" s="2" t="s">
        <v>517</v>
      </c>
      <c r="H122" s="2" t="s">
        <v>518</v>
      </c>
      <c r="I122" s="2" t="s">
        <v>32</v>
      </c>
      <c r="J122" s="3">
        <v>43975</v>
      </c>
      <c r="K122" s="2">
        <v>38</v>
      </c>
      <c r="L122" s="2" t="s">
        <v>159</v>
      </c>
      <c r="M122" s="3"/>
    </row>
    <row r="123" spans="1:13" x14ac:dyDescent="0.3">
      <c r="A123" s="2">
        <v>122</v>
      </c>
      <c r="B123" s="2" t="s">
        <v>519</v>
      </c>
      <c r="C123" s="2" t="s">
        <v>520</v>
      </c>
      <c r="D123" s="2" t="s">
        <v>15</v>
      </c>
      <c r="E123" s="2" t="s">
        <v>16</v>
      </c>
      <c r="F123" s="2">
        <v>60</v>
      </c>
      <c r="G123" s="2" t="s">
        <v>521</v>
      </c>
      <c r="H123" s="2" t="s">
        <v>522</v>
      </c>
      <c r="I123" s="2" t="s">
        <v>32</v>
      </c>
      <c r="J123" s="3">
        <v>44912</v>
      </c>
      <c r="K123" s="2">
        <v>95</v>
      </c>
      <c r="L123" s="2" t="s">
        <v>80</v>
      </c>
      <c r="M123" s="3"/>
    </row>
    <row r="124" spans="1:13" x14ac:dyDescent="0.3">
      <c r="A124" s="2">
        <v>123</v>
      </c>
      <c r="B124" s="2" t="s">
        <v>523</v>
      </c>
      <c r="C124" s="2" t="s">
        <v>524</v>
      </c>
      <c r="D124" s="2" t="s">
        <v>15</v>
      </c>
      <c r="E124" s="2" t="s">
        <v>16</v>
      </c>
      <c r="F124" s="2">
        <v>60</v>
      </c>
      <c r="G124" s="2" t="s">
        <v>525</v>
      </c>
      <c r="H124" s="2" t="s">
        <v>526</v>
      </c>
      <c r="I124" s="2" t="s">
        <v>32</v>
      </c>
      <c r="J124" s="3">
        <v>44084</v>
      </c>
      <c r="K124" s="2">
        <v>43</v>
      </c>
      <c r="L124" s="2" t="s">
        <v>20</v>
      </c>
      <c r="M124" s="3"/>
    </row>
    <row r="125" spans="1:13" x14ac:dyDescent="0.3">
      <c r="A125" s="2">
        <v>124</v>
      </c>
      <c r="B125" s="2" t="s">
        <v>527</v>
      </c>
      <c r="C125" s="2" t="s">
        <v>528</v>
      </c>
      <c r="D125" s="2" t="s">
        <v>28</v>
      </c>
      <c r="E125" s="2" t="s">
        <v>29</v>
      </c>
      <c r="F125" s="2">
        <v>90</v>
      </c>
      <c r="G125" s="2" t="s">
        <v>529</v>
      </c>
      <c r="H125" s="2" t="s">
        <v>530</v>
      </c>
      <c r="I125" s="2" t="s">
        <v>124</v>
      </c>
      <c r="J125" s="3">
        <v>44369</v>
      </c>
      <c r="K125" s="2">
        <v>26</v>
      </c>
      <c r="L125" s="2" t="s">
        <v>80</v>
      </c>
      <c r="M125" s="3"/>
    </row>
    <row r="126" spans="1:13" x14ac:dyDescent="0.3">
      <c r="A126" s="2">
        <v>125</v>
      </c>
      <c r="B126" s="2" t="s">
        <v>531</v>
      </c>
      <c r="C126" s="2" t="s">
        <v>532</v>
      </c>
      <c r="D126" s="2" t="s">
        <v>51</v>
      </c>
      <c r="E126" s="2" t="s">
        <v>16</v>
      </c>
      <c r="F126" s="2">
        <v>90</v>
      </c>
      <c r="G126" s="2" t="s">
        <v>533</v>
      </c>
      <c r="H126" s="2" t="s">
        <v>534</v>
      </c>
      <c r="I126" s="2" t="s">
        <v>32</v>
      </c>
      <c r="J126" s="3">
        <v>43905</v>
      </c>
      <c r="K126" s="2">
        <v>26</v>
      </c>
      <c r="L126" s="2" t="s">
        <v>101</v>
      </c>
      <c r="M126" s="3"/>
    </row>
    <row r="127" spans="1:13" x14ac:dyDescent="0.3">
      <c r="A127" s="2">
        <v>126</v>
      </c>
      <c r="B127" s="2" t="s">
        <v>535</v>
      </c>
      <c r="C127" s="2" t="s">
        <v>536</v>
      </c>
      <c r="D127" s="2" t="s">
        <v>28</v>
      </c>
      <c r="E127" s="2" t="s">
        <v>29</v>
      </c>
      <c r="F127" s="2">
        <v>30</v>
      </c>
      <c r="G127" s="2" t="s">
        <v>537</v>
      </c>
      <c r="H127" s="2" t="s">
        <v>538</v>
      </c>
      <c r="I127" s="2" t="s">
        <v>32</v>
      </c>
      <c r="J127" s="3">
        <v>44199</v>
      </c>
      <c r="K127" s="2">
        <v>45</v>
      </c>
      <c r="L127" s="2" t="s">
        <v>64</v>
      </c>
      <c r="M127" s="3"/>
    </row>
    <row r="128" spans="1:13" x14ac:dyDescent="0.3">
      <c r="A128" s="2">
        <v>127</v>
      </c>
      <c r="B128" s="2" t="s">
        <v>539</v>
      </c>
      <c r="C128" s="2" t="s">
        <v>540</v>
      </c>
      <c r="D128" s="2" t="s">
        <v>15</v>
      </c>
      <c r="E128" s="2" t="s">
        <v>16</v>
      </c>
      <c r="F128" s="2">
        <v>30</v>
      </c>
      <c r="G128" s="2" t="s">
        <v>541</v>
      </c>
      <c r="H128" s="2" t="s">
        <v>31</v>
      </c>
      <c r="I128" s="2" t="s">
        <v>32</v>
      </c>
      <c r="J128" s="3">
        <v>44887</v>
      </c>
      <c r="K128" s="2">
        <v>88</v>
      </c>
      <c r="L128" s="2" t="s">
        <v>80</v>
      </c>
      <c r="M128" s="3"/>
    </row>
    <row r="129" spans="1:13" x14ac:dyDescent="0.3">
      <c r="A129" s="2">
        <v>128</v>
      </c>
      <c r="B129" s="2" t="s">
        <v>542</v>
      </c>
      <c r="C129" s="2" t="s">
        <v>543</v>
      </c>
      <c r="D129" s="2" t="s">
        <v>15</v>
      </c>
      <c r="E129" s="2" t="s">
        <v>16</v>
      </c>
      <c r="F129" s="2">
        <v>60</v>
      </c>
      <c r="G129" s="2" t="s">
        <v>544</v>
      </c>
      <c r="H129" s="2" t="s">
        <v>545</v>
      </c>
      <c r="I129" s="2" t="s">
        <v>173</v>
      </c>
      <c r="J129" s="3">
        <v>44584</v>
      </c>
      <c r="K129" s="2">
        <v>87</v>
      </c>
      <c r="L129" s="2" t="s">
        <v>80</v>
      </c>
      <c r="M129" s="3"/>
    </row>
    <row r="130" spans="1:13" x14ac:dyDescent="0.3">
      <c r="A130" s="2">
        <v>129</v>
      </c>
      <c r="B130" s="2" t="s">
        <v>546</v>
      </c>
      <c r="C130" s="2" t="s">
        <v>547</v>
      </c>
      <c r="D130" s="2" t="s">
        <v>51</v>
      </c>
      <c r="E130" s="2" t="s">
        <v>16</v>
      </c>
      <c r="F130" s="2">
        <v>30</v>
      </c>
      <c r="G130" s="2" t="s">
        <v>548</v>
      </c>
      <c r="H130" s="2" t="s">
        <v>549</v>
      </c>
      <c r="I130" s="2" t="s">
        <v>425</v>
      </c>
      <c r="J130" s="3">
        <v>44804</v>
      </c>
      <c r="K130" s="2">
        <v>19</v>
      </c>
      <c r="L130" s="2" t="s">
        <v>70</v>
      </c>
      <c r="M130" s="3"/>
    </row>
    <row r="131" spans="1:13" x14ac:dyDescent="0.3">
      <c r="A131" s="2">
        <v>130</v>
      </c>
      <c r="B131" s="2" t="s">
        <v>550</v>
      </c>
      <c r="C131" s="2" t="s">
        <v>551</v>
      </c>
      <c r="D131" s="2" t="s">
        <v>28</v>
      </c>
      <c r="E131" s="2" t="s">
        <v>29</v>
      </c>
      <c r="F131" s="2">
        <v>30</v>
      </c>
      <c r="G131" s="2" t="s">
        <v>552</v>
      </c>
      <c r="H131" s="2" t="s">
        <v>553</v>
      </c>
      <c r="I131" s="2" t="s">
        <v>554</v>
      </c>
      <c r="J131" s="3">
        <v>44813</v>
      </c>
      <c r="K131" s="2">
        <v>81</v>
      </c>
      <c r="L131" s="2" t="s">
        <v>20</v>
      </c>
      <c r="M131" s="3"/>
    </row>
    <row r="132" spans="1:13" x14ac:dyDescent="0.3">
      <c r="A132" s="2">
        <v>131</v>
      </c>
      <c r="B132" s="2" t="s">
        <v>555</v>
      </c>
      <c r="C132" s="2" t="s">
        <v>556</v>
      </c>
      <c r="D132" s="2" t="s">
        <v>28</v>
      </c>
      <c r="E132" s="2" t="s">
        <v>29</v>
      </c>
      <c r="F132" s="2">
        <v>30</v>
      </c>
      <c r="G132" s="2" t="s">
        <v>557</v>
      </c>
      <c r="H132" s="2" t="s">
        <v>558</v>
      </c>
      <c r="I132" s="2" t="s">
        <v>32</v>
      </c>
      <c r="J132" s="3">
        <v>44280</v>
      </c>
      <c r="K132" s="2">
        <v>38</v>
      </c>
      <c r="L132" s="2" t="s">
        <v>54</v>
      </c>
      <c r="M132" s="3"/>
    </row>
    <row r="133" spans="1:13" x14ac:dyDescent="0.3">
      <c r="A133" s="2">
        <v>132</v>
      </c>
      <c r="B133" s="2" t="s">
        <v>559</v>
      </c>
      <c r="C133" s="2" t="s">
        <v>560</v>
      </c>
      <c r="D133" s="2" t="s">
        <v>51</v>
      </c>
      <c r="E133" s="2" t="s">
        <v>16</v>
      </c>
      <c r="F133" s="2">
        <v>30</v>
      </c>
      <c r="G133" s="2" t="s">
        <v>561</v>
      </c>
      <c r="H133" s="2" t="s">
        <v>562</v>
      </c>
      <c r="I133" s="2" t="s">
        <v>187</v>
      </c>
      <c r="J133" s="3">
        <v>43852</v>
      </c>
      <c r="K133" s="2">
        <v>56</v>
      </c>
      <c r="L133" s="2" t="s">
        <v>54</v>
      </c>
      <c r="M133" s="3"/>
    </row>
    <row r="134" spans="1:13" x14ac:dyDescent="0.3">
      <c r="A134" s="2">
        <v>133</v>
      </c>
      <c r="B134" s="2" t="s">
        <v>563</v>
      </c>
      <c r="C134" s="2" t="s">
        <v>564</v>
      </c>
      <c r="D134" s="2" t="s">
        <v>28</v>
      </c>
      <c r="E134" s="2" t="s">
        <v>29</v>
      </c>
      <c r="F134" s="2">
        <v>60</v>
      </c>
      <c r="G134" s="2" t="s">
        <v>565</v>
      </c>
      <c r="H134" s="2" t="s">
        <v>566</v>
      </c>
      <c r="I134" s="2" t="s">
        <v>110</v>
      </c>
      <c r="J134" s="3">
        <v>43864</v>
      </c>
      <c r="K134" s="2">
        <v>52</v>
      </c>
      <c r="L134" s="2" t="s">
        <v>70</v>
      </c>
      <c r="M134" s="3"/>
    </row>
    <row r="135" spans="1:13" x14ac:dyDescent="0.3">
      <c r="A135" s="2">
        <v>134</v>
      </c>
      <c r="B135" s="2" t="s">
        <v>567</v>
      </c>
      <c r="C135" s="2" t="s">
        <v>568</v>
      </c>
      <c r="D135" s="2" t="s">
        <v>28</v>
      </c>
      <c r="E135" s="2" t="s">
        <v>29</v>
      </c>
      <c r="F135" s="2">
        <v>30</v>
      </c>
      <c r="G135" s="2" t="s">
        <v>569</v>
      </c>
      <c r="H135" s="2" t="s">
        <v>570</v>
      </c>
      <c r="I135" s="2" t="s">
        <v>187</v>
      </c>
      <c r="J135" s="3">
        <v>44748</v>
      </c>
      <c r="K135" s="2">
        <v>25</v>
      </c>
      <c r="L135" s="2" t="s">
        <v>159</v>
      </c>
      <c r="M135" s="3"/>
    </row>
    <row r="136" spans="1:13" x14ac:dyDescent="0.3">
      <c r="A136" s="2">
        <v>135</v>
      </c>
      <c r="B136" s="2" t="s">
        <v>571</v>
      </c>
      <c r="C136" s="2" t="s">
        <v>572</v>
      </c>
      <c r="D136" s="2" t="s">
        <v>15</v>
      </c>
      <c r="E136" s="2" t="s">
        <v>16</v>
      </c>
      <c r="F136" s="2">
        <v>60</v>
      </c>
      <c r="G136" s="2" t="s">
        <v>573</v>
      </c>
      <c r="H136" s="2" t="s">
        <v>574</v>
      </c>
      <c r="I136" s="2" t="s">
        <v>575</v>
      </c>
      <c r="J136" s="3">
        <v>43922</v>
      </c>
      <c r="K136" s="2">
        <v>38</v>
      </c>
      <c r="L136" s="2" t="s">
        <v>80</v>
      </c>
      <c r="M136" s="3"/>
    </row>
    <row r="137" spans="1:13" x14ac:dyDescent="0.3">
      <c r="A137" s="2">
        <v>136</v>
      </c>
      <c r="B137" s="2" t="s">
        <v>576</v>
      </c>
      <c r="C137" s="2" t="s">
        <v>577</v>
      </c>
      <c r="D137" s="2" t="s">
        <v>28</v>
      </c>
      <c r="E137" s="2" t="s">
        <v>29</v>
      </c>
      <c r="F137" s="2">
        <v>60</v>
      </c>
      <c r="G137" s="2" t="s">
        <v>578</v>
      </c>
      <c r="H137" s="2" t="s">
        <v>579</v>
      </c>
      <c r="I137" s="2" t="s">
        <v>32</v>
      </c>
      <c r="J137" s="3">
        <v>44359</v>
      </c>
      <c r="K137" s="2">
        <v>74</v>
      </c>
      <c r="L137" s="2" t="s">
        <v>64</v>
      </c>
      <c r="M137" s="3"/>
    </row>
    <row r="138" spans="1:13" x14ac:dyDescent="0.3">
      <c r="A138" s="2">
        <v>137</v>
      </c>
      <c r="B138" s="2" t="s">
        <v>580</v>
      </c>
      <c r="C138" s="2" t="s">
        <v>581</v>
      </c>
      <c r="D138" s="2" t="s">
        <v>28</v>
      </c>
      <c r="E138" s="2" t="s">
        <v>29</v>
      </c>
      <c r="F138" s="2">
        <v>60</v>
      </c>
      <c r="G138" s="2" t="s">
        <v>582</v>
      </c>
      <c r="H138" s="2" t="s">
        <v>583</v>
      </c>
      <c r="I138" s="2" t="s">
        <v>32</v>
      </c>
      <c r="J138" s="3">
        <v>44671</v>
      </c>
      <c r="K138" s="2">
        <v>97</v>
      </c>
      <c r="L138" s="2" t="s">
        <v>20</v>
      </c>
      <c r="M138" s="3"/>
    </row>
    <row r="139" spans="1:13" x14ac:dyDescent="0.3">
      <c r="A139" s="2">
        <v>138</v>
      </c>
      <c r="B139" s="2" t="s">
        <v>584</v>
      </c>
      <c r="C139" s="2" t="s">
        <v>585</v>
      </c>
      <c r="D139" s="2" t="s">
        <v>15</v>
      </c>
      <c r="E139" s="2" t="s">
        <v>16</v>
      </c>
      <c r="F139" s="2">
        <v>30</v>
      </c>
      <c r="G139" s="2" t="s">
        <v>586</v>
      </c>
      <c r="H139" s="2" t="s">
        <v>587</v>
      </c>
      <c r="I139" s="2" t="s">
        <v>25</v>
      </c>
      <c r="J139" s="3">
        <v>44581</v>
      </c>
      <c r="K139" s="2">
        <v>84</v>
      </c>
      <c r="L139" s="2" t="s">
        <v>45</v>
      </c>
      <c r="M139" s="3"/>
    </row>
    <row r="140" spans="1:13" x14ac:dyDescent="0.3">
      <c r="A140" s="2">
        <v>139</v>
      </c>
      <c r="B140" s="2" t="s">
        <v>588</v>
      </c>
      <c r="C140" s="2" t="s">
        <v>589</v>
      </c>
      <c r="D140" s="2" t="s">
        <v>28</v>
      </c>
      <c r="E140" s="2" t="s">
        <v>29</v>
      </c>
      <c r="F140" s="2">
        <v>90</v>
      </c>
      <c r="G140" s="2" t="s">
        <v>590</v>
      </c>
      <c r="H140" s="2" t="s">
        <v>591</v>
      </c>
      <c r="I140" s="2" t="s">
        <v>32</v>
      </c>
      <c r="J140" s="3">
        <v>44223</v>
      </c>
      <c r="K140" s="2">
        <v>91</v>
      </c>
      <c r="L140" s="2" t="s">
        <v>39</v>
      </c>
      <c r="M140" s="3"/>
    </row>
    <row r="141" spans="1:13" x14ac:dyDescent="0.3">
      <c r="A141" s="2">
        <v>140</v>
      </c>
      <c r="B141" s="2" t="s">
        <v>592</v>
      </c>
      <c r="C141" s="2" t="s">
        <v>593</v>
      </c>
      <c r="D141" s="2" t="s">
        <v>28</v>
      </c>
      <c r="E141" s="2" t="s">
        <v>29</v>
      </c>
      <c r="F141" s="2">
        <v>60</v>
      </c>
      <c r="G141" s="2" t="s">
        <v>594</v>
      </c>
      <c r="H141" s="2" t="s">
        <v>595</v>
      </c>
      <c r="I141" s="2" t="s">
        <v>124</v>
      </c>
      <c r="J141" s="3">
        <v>44386</v>
      </c>
      <c r="K141" s="2">
        <v>23</v>
      </c>
      <c r="L141" s="2" t="s">
        <v>159</v>
      </c>
      <c r="M141" s="3"/>
    </row>
    <row r="142" spans="1:13" x14ac:dyDescent="0.3">
      <c r="A142" s="2">
        <v>141</v>
      </c>
      <c r="B142" s="2" t="s">
        <v>596</v>
      </c>
      <c r="C142" s="2" t="s">
        <v>597</v>
      </c>
      <c r="D142" s="2" t="s">
        <v>28</v>
      </c>
      <c r="E142" s="2" t="s">
        <v>29</v>
      </c>
      <c r="F142" s="2">
        <v>90</v>
      </c>
      <c r="G142" s="2" t="s">
        <v>598</v>
      </c>
      <c r="H142" s="2" t="s">
        <v>599</v>
      </c>
      <c r="I142" s="2" t="s">
        <v>32</v>
      </c>
      <c r="J142" s="3">
        <v>43877</v>
      </c>
      <c r="K142" s="2">
        <v>81</v>
      </c>
      <c r="L142" s="2" t="s">
        <v>33</v>
      </c>
      <c r="M142" s="3"/>
    </row>
    <row r="143" spans="1:13" x14ac:dyDescent="0.3">
      <c r="A143" s="2">
        <v>142</v>
      </c>
      <c r="B143" s="2" t="s">
        <v>600</v>
      </c>
      <c r="C143" s="2" t="s">
        <v>601</v>
      </c>
      <c r="D143" s="2" t="s">
        <v>15</v>
      </c>
      <c r="E143" s="2" t="s">
        <v>16</v>
      </c>
      <c r="F143" s="2">
        <v>30</v>
      </c>
      <c r="G143" s="2" t="s">
        <v>602</v>
      </c>
      <c r="H143" s="2" t="s">
        <v>603</v>
      </c>
      <c r="I143" s="2" t="s">
        <v>187</v>
      </c>
      <c r="J143" s="3">
        <v>43949</v>
      </c>
      <c r="K143" s="2">
        <v>51</v>
      </c>
      <c r="L143" s="2" t="s">
        <v>101</v>
      </c>
      <c r="M143" s="3"/>
    </row>
    <row r="144" spans="1:13" x14ac:dyDescent="0.3">
      <c r="A144" s="2">
        <v>143</v>
      </c>
      <c r="B144" s="2" t="s">
        <v>604</v>
      </c>
      <c r="C144" s="2" t="s">
        <v>605</v>
      </c>
      <c r="D144" s="2" t="s">
        <v>51</v>
      </c>
      <c r="E144" s="2" t="s">
        <v>16</v>
      </c>
      <c r="F144" s="2">
        <v>30</v>
      </c>
      <c r="G144" s="2" t="s">
        <v>606</v>
      </c>
      <c r="H144" s="2" t="s">
        <v>607</v>
      </c>
      <c r="I144" s="2" t="s">
        <v>32</v>
      </c>
      <c r="J144" s="3">
        <v>44150</v>
      </c>
      <c r="K144" s="2">
        <v>13</v>
      </c>
      <c r="L144" s="2" t="s">
        <v>33</v>
      </c>
      <c r="M144" s="3"/>
    </row>
    <row r="145" spans="1:13" x14ac:dyDescent="0.3">
      <c r="A145" s="2">
        <v>144</v>
      </c>
      <c r="B145" s="2" t="s">
        <v>608</v>
      </c>
      <c r="C145" s="2" t="s">
        <v>609</v>
      </c>
      <c r="D145" s="2" t="s">
        <v>15</v>
      </c>
      <c r="E145" s="2" t="s">
        <v>16</v>
      </c>
      <c r="F145" s="2">
        <v>30</v>
      </c>
      <c r="G145" s="2" t="s">
        <v>610</v>
      </c>
      <c r="H145" s="2" t="s">
        <v>611</v>
      </c>
      <c r="I145" s="2" t="s">
        <v>32</v>
      </c>
      <c r="J145" s="3">
        <v>43925</v>
      </c>
      <c r="K145" s="2">
        <v>12</v>
      </c>
      <c r="L145" s="2" t="s">
        <v>54</v>
      </c>
      <c r="M145" s="3"/>
    </row>
    <row r="146" spans="1:13" x14ac:dyDescent="0.3">
      <c r="A146" s="2">
        <v>145</v>
      </c>
      <c r="B146" s="2" t="s">
        <v>612</v>
      </c>
      <c r="C146" s="2" t="s">
        <v>613</v>
      </c>
      <c r="D146" s="2" t="s">
        <v>28</v>
      </c>
      <c r="E146" s="2" t="s">
        <v>29</v>
      </c>
      <c r="F146" s="2">
        <v>30</v>
      </c>
      <c r="G146" s="2" t="s">
        <v>614</v>
      </c>
      <c r="H146" s="2" t="s">
        <v>615</v>
      </c>
      <c r="I146" s="2" t="s">
        <v>32</v>
      </c>
      <c r="J146" s="3">
        <v>44713</v>
      </c>
      <c r="K146" s="2">
        <v>101</v>
      </c>
      <c r="L146" s="2" t="s">
        <v>39</v>
      </c>
      <c r="M146" s="3"/>
    </row>
    <row r="147" spans="1:13" x14ac:dyDescent="0.3">
      <c r="A147" s="2">
        <v>146</v>
      </c>
      <c r="B147" s="2" t="s">
        <v>616</v>
      </c>
      <c r="C147" s="2" t="s">
        <v>617</v>
      </c>
      <c r="D147" s="2" t="s">
        <v>28</v>
      </c>
      <c r="E147" s="2" t="s">
        <v>29</v>
      </c>
      <c r="F147" s="2">
        <v>30</v>
      </c>
      <c r="G147" s="2" t="s">
        <v>618</v>
      </c>
      <c r="H147" s="2" t="s">
        <v>619</v>
      </c>
      <c r="I147" s="2" t="s">
        <v>187</v>
      </c>
      <c r="J147" s="3">
        <v>44725</v>
      </c>
      <c r="K147" s="2">
        <v>25</v>
      </c>
      <c r="L147" s="2" t="s">
        <v>70</v>
      </c>
      <c r="M147" s="3"/>
    </row>
    <row r="148" spans="1:13" x14ac:dyDescent="0.3">
      <c r="A148" s="2">
        <v>147</v>
      </c>
      <c r="B148" s="2" t="s">
        <v>179</v>
      </c>
      <c r="C148" s="2" t="s">
        <v>620</v>
      </c>
      <c r="D148" s="2" t="s">
        <v>621</v>
      </c>
      <c r="E148" s="2" t="s">
        <v>29</v>
      </c>
      <c r="F148" s="2">
        <v>30</v>
      </c>
      <c r="G148" s="2" t="s">
        <v>622</v>
      </c>
      <c r="H148" s="2" t="s">
        <v>623</v>
      </c>
      <c r="I148" s="2" t="s">
        <v>32</v>
      </c>
      <c r="J148" s="3">
        <v>44846</v>
      </c>
      <c r="K148" s="2">
        <v>71</v>
      </c>
      <c r="L148" s="2" t="s">
        <v>80</v>
      </c>
      <c r="M148" s="3"/>
    </row>
    <row r="149" spans="1:13" x14ac:dyDescent="0.3">
      <c r="A149" s="2">
        <v>148</v>
      </c>
      <c r="B149" s="2" t="s">
        <v>624</v>
      </c>
      <c r="C149" s="2" t="s">
        <v>625</v>
      </c>
      <c r="D149" s="2" t="s">
        <v>28</v>
      </c>
      <c r="E149" s="2" t="s">
        <v>29</v>
      </c>
      <c r="F149" s="2">
        <v>60</v>
      </c>
      <c r="G149" s="2" t="s">
        <v>626</v>
      </c>
      <c r="H149" s="2" t="s">
        <v>627</v>
      </c>
      <c r="I149" s="2" t="s">
        <v>294</v>
      </c>
      <c r="J149" s="3">
        <v>44499</v>
      </c>
      <c r="K149" s="2">
        <v>58</v>
      </c>
      <c r="L149" s="2" t="s">
        <v>45</v>
      </c>
      <c r="M149" s="3"/>
    </row>
    <row r="150" spans="1:13" x14ac:dyDescent="0.3">
      <c r="A150" s="2">
        <v>149</v>
      </c>
      <c r="B150" s="2" t="s">
        <v>628</v>
      </c>
      <c r="C150" s="2" t="s">
        <v>629</v>
      </c>
      <c r="D150" s="2" t="s">
        <v>15</v>
      </c>
      <c r="E150" s="2" t="s">
        <v>16</v>
      </c>
      <c r="F150" s="2">
        <v>60</v>
      </c>
      <c r="G150" s="2" t="s">
        <v>630</v>
      </c>
      <c r="H150" s="2" t="s">
        <v>203</v>
      </c>
      <c r="I150" s="2" t="s">
        <v>32</v>
      </c>
      <c r="J150" s="3">
        <v>43928</v>
      </c>
      <c r="K150" s="2">
        <v>75</v>
      </c>
      <c r="L150" s="2" t="s">
        <v>101</v>
      </c>
      <c r="M150" s="3"/>
    </row>
    <row r="151" spans="1:13" x14ac:dyDescent="0.3">
      <c r="A151" s="2">
        <v>150</v>
      </c>
      <c r="B151" s="2" t="s">
        <v>631</v>
      </c>
      <c r="C151" s="2" t="s">
        <v>632</v>
      </c>
      <c r="D151" s="2" t="s">
        <v>51</v>
      </c>
      <c r="E151" s="2" t="s">
        <v>16</v>
      </c>
      <c r="F151" s="2">
        <v>60</v>
      </c>
      <c r="G151" s="2" t="s">
        <v>633</v>
      </c>
      <c r="H151" s="2" t="s">
        <v>634</v>
      </c>
      <c r="I151" s="2" t="s">
        <v>32</v>
      </c>
      <c r="J151" s="3">
        <v>44167</v>
      </c>
      <c r="K151" s="2">
        <v>72</v>
      </c>
      <c r="L151" s="2" t="s">
        <v>39</v>
      </c>
      <c r="M151" s="3"/>
    </row>
    <row r="152" spans="1:13" x14ac:dyDescent="0.3">
      <c r="A152" s="2">
        <v>151</v>
      </c>
      <c r="B152" s="2" t="s">
        <v>347</v>
      </c>
      <c r="C152" s="2" t="s">
        <v>635</v>
      </c>
      <c r="D152" s="2" t="s">
        <v>15</v>
      </c>
      <c r="E152" s="2" t="s">
        <v>273</v>
      </c>
      <c r="F152" s="2">
        <v>90</v>
      </c>
      <c r="G152" s="2" t="s">
        <v>636</v>
      </c>
      <c r="H152" s="2" t="s">
        <v>637</v>
      </c>
      <c r="I152" s="2" t="s">
        <v>32</v>
      </c>
      <c r="J152" s="3">
        <v>44374</v>
      </c>
      <c r="K152" s="2">
        <v>35</v>
      </c>
      <c r="L152" s="2" t="s">
        <v>45</v>
      </c>
      <c r="M152" s="3"/>
    </row>
    <row r="153" spans="1:13" x14ac:dyDescent="0.3">
      <c r="A153" s="2">
        <v>152</v>
      </c>
      <c r="B153" s="2" t="s">
        <v>638</v>
      </c>
      <c r="C153" s="2" t="s">
        <v>639</v>
      </c>
      <c r="D153" s="2" t="s">
        <v>51</v>
      </c>
      <c r="E153" s="2" t="s">
        <v>16</v>
      </c>
      <c r="F153" s="2">
        <v>30</v>
      </c>
      <c r="G153" s="2" t="s">
        <v>640</v>
      </c>
      <c r="H153" s="2" t="s">
        <v>641</v>
      </c>
      <c r="I153" s="2" t="s">
        <v>294</v>
      </c>
      <c r="J153" s="3">
        <v>44136</v>
      </c>
      <c r="K153" s="2">
        <v>62</v>
      </c>
      <c r="L153" s="2" t="s">
        <v>45</v>
      </c>
      <c r="M153" s="3"/>
    </row>
    <row r="154" spans="1:13" x14ac:dyDescent="0.3">
      <c r="A154" s="2">
        <v>153</v>
      </c>
      <c r="B154" s="2" t="s">
        <v>642</v>
      </c>
      <c r="C154" s="2" t="s">
        <v>97</v>
      </c>
      <c r="D154" s="2" t="s">
        <v>15</v>
      </c>
      <c r="E154" s="2" t="s">
        <v>16</v>
      </c>
      <c r="F154" s="2">
        <v>90</v>
      </c>
      <c r="G154" s="2" t="s">
        <v>643</v>
      </c>
      <c r="H154" s="2" t="s">
        <v>644</v>
      </c>
      <c r="I154" s="2" t="s">
        <v>645</v>
      </c>
      <c r="J154" s="3">
        <v>44565</v>
      </c>
      <c r="K154" s="2">
        <v>95</v>
      </c>
      <c r="L154" s="2" t="s">
        <v>20</v>
      </c>
      <c r="M154" s="3"/>
    </row>
    <row r="155" spans="1:13" x14ac:dyDescent="0.3">
      <c r="A155" s="2">
        <v>154</v>
      </c>
      <c r="B155" s="2" t="s">
        <v>646</v>
      </c>
      <c r="C155" s="2" t="s">
        <v>647</v>
      </c>
      <c r="D155" s="2" t="s">
        <v>28</v>
      </c>
      <c r="E155" s="2" t="s">
        <v>29</v>
      </c>
      <c r="F155" s="2">
        <v>30</v>
      </c>
      <c r="G155" s="2" t="s">
        <v>648</v>
      </c>
      <c r="H155" s="2" t="s">
        <v>649</v>
      </c>
      <c r="I155" s="2" t="s">
        <v>240</v>
      </c>
      <c r="J155" s="3">
        <v>43902</v>
      </c>
      <c r="K155" s="2">
        <v>54</v>
      </c>
      <c r="L155" s="2" t="s">
        <v>39</v>
      </c>
      <c r="M155" s="3"/>
    </row>
    <row r="156" spans="1:13" x14ac:dyDescent="0.3">
      <c r="A156" s="2">
        <v>155</v>
      </c>
      <c r="B156" s="2" t="s">
        <v>650</v>
      </c>
      <c r="C156" s="2" t="s">
        <v>651</v>
      </c>
      <c r="D156" s="2" t="s">
        <v>15</v>
      </c>
      <c r="E156" s="2" t="s">
        <v>16</v>
      </c>
      <c r="F156" s="2">
        <v>60</v>
      </c>
      <c r="G156" s="2" t="s">
        <v>648</v>
      </c>
      <c r="H156" s="2" t="s">
        <v>652</v>
      </c>
      <c r="I156" s="2" t="s">
        <v>32</v>
      </c>
      <c r="J156" s="3">
        <v>44196</v>
      </c>
      <c r="K156" s="2">
        <v>69</v>
      </c>
      <c r="L156" s="2" t="s">
        <v>33</v>
      </c>
      <c r="M156" s="3"/>
    </row>
    <row r="157" spans="1:13" x14ac:dyDescent="0.3">
      <c r="A157" s="2">
        <v>156</v>
      </c>
      <c r="B157" s="2" t="s">
        <v>653</v>
      </c>
      <c r="C157" s="2" t="s">
        <v>585</v>
      </c>
      <c r="D157" s="2" t="s">
        <v>28</v>
      </c>
      <c r="E157" s="2" t="s">
        <v>29</v>
      </c>
      <c r="F157" s="2">
        <v>60</v>
      </c>
      <c r="G157" s="2" t="s">
        <v>654</v>
      </c>
      <c r="H157" s="2" t="s">
        <v>655</v>
      </c>
      <c r="I157" s="2" t="s">
        <v>32</v>
      </c>
      <c r="J157" s="3">
        <v>43989</v>
      </c>
      <c r="K157" s="2">
        <v>15</v>
      </c>
      <c r="L157" s="2" t="s">
        <v>45</v>
      </c>
      <c r="M157" s="3"/>
    </row>
    <row r="158" spans="1:13" x14ac:dyDescent="0.3">
      <c r="A158" s="2">
        <v>157</v>
      </c>
      <c r="B158" s="2" t="s">
        <v>656</v>
      </c>
      <c r="C158" s="2" t="s">
        <v>657</v>
      </c>
      <c r="D158" s="2" t="s">
        <v>51</v>
      </c>
      <c r="E158" s="2" t="s">
        <v>16</v>
      </c>
      <c r="F158" s="2">
        <v>90</v>
      </c>
      <c r="G158" s="2" t="s">
        <v>658</v>
      </c>
      <c r="H158" s="2" t="s">
        <v>659</v>
      </c>
      <c r="I158" s="2" t="s">
        <v>32</v>
      </c>
      <c r="J158" s="3">
        <v>44411</v>
      </c>
      <c r="K158" s="2">
        <v>65</v>
      </c>
      <c r="L158" s="2" t="s">
        <v>64</v>
      </c>
      <c r="M158" s="3"/>
    </row>
    <row r="159" spans="1:13" x14ac:dyDescent="0.3">
      <c r="A159" s="2">
        <v>158</v>
      </c>
      <c r="B159" s="2" t="s">
        <v>660</v>
      </c>
      <c r="C159" s="2" t="s">
        <v>661</v>
      </c>
      <c r="D159" s="2" t="s">
        <v>28</v>
      </c>
      <c r="E159" s="2" t="s">
        <v>29</v>
      </c>
      <c r="F159" s="2">
        <v>90</v>
      </c>
      <c r="G159" s="2" t="s">
        <v>662</v>
      </c>
      <c r="H159" s="2" t="s">
        <v>663</v>
      </c>
      <c r="I159" s="2" t="s">
        <v>32</v>
      </c>
      <c r="J159" s="3">
        <v>44090</v>
      </c>
      <c r="K159" s="2">
        <v>54</v>
      </c>
      <c r="L159" s="2" t="s">
        <v>39</v>
      </c>
      <c r="M159" s="3"/>
    </row>
    <row r="160" spans="1:13" x14ac:dyDescent="0.3">
      <c r="A160" s="2">
        <v>159</v>
      </c>
      <c r="B160" s="2" t="s">
        <v>664</v>
      </c>
      <c r="C160" s="2" t="s">
        <v>665</v>
      </c>
      <c r="D160" s="2" t="s">
        <v>51</v>
      </c>
      <c r="E160" s="2" t="s">
        <v>16</v>
      </c>
      <c r="F160" s="2">
        <v>30</v>
      </c>
      <c r="G160" s="2" t="s">
        <v>666</v>
      </c>
      <c r="H160" s="2" t="s">
        <v>667</v>
      </c>
      <c r="I160" s="2" t="s">
        <v>25</v>
      </c>
      <c r="J160" s="3">
        <v>44613</v>
      </c>
      <c r="K160" s="2">
        <v>58</v>
      </c>
      <c r="L160" s="2" t="s">
        <v>80</v>
      </c>
      <c r="M160" s="3"/>
    </row>
    <row r="161" spans="1:13" x14ac:dyDescent="0.3">
      <c r="A161" s="2">
        <v>160</v>
      </c>
      <c r="B161" s="2" t="s">
        <v>668</v>
      </c>
      <c r="C161" s="2" t="s">
        <v>669</v>
      </c>
      <c r="D161" s="2" t="s">
        <v>28</v>
      </c>
      <c r="E161" s="2" t="s">
        <v>29</v>
      </c>
      <c r="F161" s="2">
        <v>60</v>
      </c>
      <c r="G161" s="2" t="s">
        <v>670</v>
      </c>
      <c r="H161" s="2" t="s">
        <v>549</v>
      </c>
      <c r="I161" s="2" t="s">
        <v>425</v>
      </c>
      <c r="J161" s="3">
        <v>44877</v>
      </c>
      <c r="K161" s="2">
        <v>43</v>
      </c>
      <c r="L161" s="2" t="s">
        <v>20</v>
      </c>
      <c r="M161" s="3"/>
    </row>
    <row r="162" spans="1:13" x14ac:dyDescent="0.3">
      <c r="A162" s="2">
        <v>161</v>
      </c>
      <c r="B162" s="2" t="s">
        <v>671</v>
      </c>
      <c r="C162" s="2" t="s">
        <v>672</v>
      </c>
      <c r="D162" s="2" t="s">
        <v>15</v>
      </c>
      <c r="E162" s="2" t="s">
        <v>16</v>
      </c>
      <c r="F162" s="2">
        <v>30</v>
      </c>
      <c r="G162" s="2" t="s">
        <v>673</v>
      </c>
      <c r="H162" s="2" t="s">
        <v>674</v>
      </c>
      <c r="I162" s="2" t="s">
        <v>32</v>
      </c>
      <c r="J162" s="3">
        <v>44881</v>
      </c>
      <c r="K162" s="2">
        <v>67</v>
      </c>
      <c r="L162" s="2" t="s">
        <v>20</v>
      </c>
      <c r="M162" s="3"/>
    </row>
    <row r="163" spans="1:13" x14ac:dyDescent="0.3">
      <c r="A163" s="2">
        <v>162</v>
      </c>
      <c r="B163" s="2" t="s">
        <v>675</v>
      </c>
      <c r="C163" s="2" t="s">
        <v>676</v>
      </c>
      <c r="D163" s="2" t="s">
        <v>28</v>
      </c>
      <c r="E163" s="2" t="s">
        <v>29</v>
      </c>
      <c r="F163" s="2">
        <v>30</v>
      </c>
      <c r="G163" s="2" t="s">
        <v>677</v>
      </c>
      <c r="H163" s="2" t="s">
        <v>678</v>
      </c>
      <c r="I163" s="2" t="s">
        <v>32</v>
      </c>
      <c r="J163" s="3">
        <v>44494</v>
      </c>
      <c r="K163" s="2">
        <v>87</v>
      </c>
      <c r="L163" s="2" t="s">
        <v>80</v>
      </c>
      <c r="M163" s="3"/>
    </row>
    <row r="164" spans="1:13" x14ac:dyDescent="0.3">
      <c r="A164" s="2">
        <v>163</v>
      </c>
      <c r="B164" s="2" t="s">
        <v>679</v>
      </c>
      <c r="C164" s="2" t="s">
        <v>680</v>
      </c>
      <c r="D164" s="2" t="s">
        <v>28</v>
      </c>
      <c r="E164" s="2" t="s">
        <v>29</v>
      </c>
      <c r="F164" s="2">
        <v>90</v>
      </c>
      <c r="G164" s="2" t="s">
        <v>681</v>
      </c>
      <c r="H164" s="2" t="s">
        <v>682</v>
      </c>
      <c r="I164" s="2" t="s">
        <v>32</v>
      </c>
      <c r="J164" s="3">
        <v>44121</v>
      </c>
      <c r="K164" s="2">
        <v>13</v>
      </c>
      <c r="L164" s="2" t="s">
        <v>45</v>
      </c>
      <c r="M164" s="3"/>
    </row>
    <row r="165" spans="1:13" x14ac:dyDescent="0.3">
      <c r="A165" s="2">
        <v>164</v>
      </c>
      <c r="B165" s="2" t="s">
        <v>683</v>
      </c>
      <c r="C165" s="2" t="s">
        <v>445</v>
      </c>
      <c r="D165" s="2" t="s">
        <v>28</v>
      </c>
      <c r="E165" s="2" t="s">
        <v>29</v>
      </c>
      <c r="F165" s="2">
        <v>60</v>
      </c>
      <c r="G165" s="2" t="s">
        <v>684</v>
      </c>
      <c r="H165" s="2" t="s">
        <v>685</v>
      </c>
      <c r="I165" s="2" t="s">
        <v>686</v>
      </c>
      <c r="J165" s="3">
        <v>43985</v>
      </c>
      <c r="K165" s="2">
        <v>54</v>
      </c>
      <c r="L165" s="2" t="s">
        <v>70</v>
      </c>
      <c r="M165" s="3"/>
    </row>
    <row r="166" spans="1:13" x14ac:dyDescent="0.3">
      <c r="A166" s="2">
        <v>165</v>
      </c>
      <c r="B166" s="2" t="s">
        <v>687</v>
      </c>
      <c r="C166" s="2" t="s">
        <v>688</v>
      </c>
      <c r="D166" s="2" t="s">
        <v>51</v>
      </c>
      <c r="E166" s="2" t="s">
        <v>16</v>
      </c>
      <c r="F166" s="2">
        <v>60</v>
      </c>
      <c r="G166" s="2" t="s">
        <v>689</v>
      </c>
      <c r="H166" s="2" t="s">
        <v>690</v>
      </c>
      <c r="I166" s="2" t="s">
        <v>32</v>
      </c>
      <c r="J166" s="3">
        <v>44255</v>
      </c>
      <c r="K166" s="2">
        <v>39</v>
      </c>
      <c r="L166" s="2" t="s">
        <v>80</v>
      </c>
      <c r="M166" s="3"/>
    </row>
    <row r="167" spans="1:13" x14ac:dyDescent="0.3">
      <c r="A167" s="2">
        <v>166</v>
      </c>
      <c r="B167" s="2" t="s">
        <v>691</v>
      </c>
      <c r="C167" s="2" t="s">
        <v>692</v>
      </c>
      <c r="D167" s="2" t="s">
        <v>28</v>
      </c>
      <c r="E167" s="2" t="s">
        <v>29</v>
      </c>
      <c r="F167" s="2">
        <v>30</v>
      </c>
      <c r="G167" s="2" t="s">
        <v>693</v>
      </c>
      <c r="H167" s="2" t="s">
        <v>694</v>
      </c>
      <c r="I167" s="2" t="s">
        <v>32</v>
      </c>
      <c r="J167" s="3">
        <v>44019</v>
      </c>
      <c r="K167" s="2">
        <v>75</v>
      </c>
      <c r="L167" s="2" t="s">
        <v>159</v>
      </c>
      <c r="M167" s="3"/>
    </row>
    <row r="168" spans="1:13" x14ac:dyDescent="0.3">
      <c r="A168" s="2">
        <v>167</v>
      </c>
      <c r="B168" s="2" t="s">
        <v>695</v>
      </c>
      <c r="C168" s="2" t="s">
        <v>696</v>
      </c>
      <c r="D168" s="2" t="s">
        <v>51</v>
      </c>
      <c r="E168" s="2" t="s">
        <v>16</v>
      </c>
      <c r="F168" s="2">
        <v>30</v>
      </c>
      <c r="G168" s="2" t="s">
        <v>697</v>
      </c>
      <c r="H168" s="2" t="s">
        <v>698</v>
      </c>
      <c r="I168" s="2" t="s">
        <v>213</v>
      </c>
      <c r="J168" s="3">
        <v>44022</v>
      </c>
      <c r="K168" s="2">
        <v>47</v>
      </c>
      <c r="L168" s="2" t="s">
        <v>33</v>
      </c>
      <c r="M168" s="3"/>
    </row>
    <row r="169" spans="1:13" x14ac:dyDescent="0.3">
      <c r="A169" s="2">
        <v>168</v>
      </c>
      <c r="B169" s="2" t="s">
        <v>699</v>
      </c>
      <c r="C169" s="2" t="s">
        <v>700</v>
      </c>
      <c r="D169" s="2" t="s">
        <v>28</v>
      </c>
      <c r="E169" s="2" t="s">
        <v>29</v>
      </c>
      <c r="F169" s="2">
        <v>60</v>
      </c>
      <c r="G169" s="2" t="s">
        <v>701</v>
      </c>
      <c r="H169" s="2" t="s">
        <v>702</v>
      </c>
      <c r="I169" s="2" t="s">
        <v>703</v>
      </c>
      <c r="J169" s="3">
        <v>44743</v>
      </c>
      <c r="K169" s="2">
        <v>83</v>
      </c>
      <c r="L169" s="2" t="s">
        <v>80</v>
      </c>
      <c r="M169" s="3"/>
    </row>
    <row r="170" spans="1:13" x14ac:dyDescent="0.3">
      <c r="A170" s="2">
        <v>169</v>
      </c>
      <c r="B170" s="2" t="s">
        <v>704</v>
      </c>
      <c r="C170" s="2" t="s">
        <v>705</v>
      </c>
      <c r="D170" s="2" t="s">
        <v>51</v>
      </c>
      <c r="E170" s="2" t="s">
        <v>16</v>
      </c>
      <c r="F170" s="2">
        <v>60</v>
      </c>
      <c r="G170" s="2" t="s">
        <v>706</v>
      </c>
      <c r="H170" s="2" t="s">
        <v>163</v>
      </c>
      <c r="I170" s="2" t="s">
        <v>164</v>
      </c>
      <c r="J170" s="3">
        <v>44405</v>
      </c>
      <c r="K170" s="2">
        <v>64</v>
      </c>
      <c r="L170" s="2" t="s">
        <v>101</v>
      </c>
      <c r="M170" s="3"/>
    </row>
    <row r="171" spans="1:13" x14ac:dyDescent="0.3">
      <c r="A171" s="2">
        <v>170</v>
      </c>
      <c r="B171" s="2" t="s">
        <v>707</v>
      </c>
      <c r="C171" s="2" t="s">
        <v>708</v>
      </c>
      <c r="D171" s="2" t="s">
        <v>28</v>
      </c>
      <c r="E171" s="2" t="s">
        <v>29</v>
      </c>
      <c r="F171" s="2">
        <v>30</v>
      </c>
      <c r="G171" s="2" t="s">
        <v>709</v>
      </c>
      <c r="H171" s="2" t="s">
        <v>710</v>
      </c>
      <c r="I171" s="2" t="s">
        <v>187</v>
      </c>
      <c r="J171" s="3">
        <v>44495</v>
      </c>
      <c r="K171" s="2">
        <v>36</v>
      </c>
      <c r="L171" s="2" t="s">
        <v>45</v>
      </c>
      <c r="M171" s="3"/>
    </row>
    <row r="172" spans="1:13" x14ac:dyDescent="0.3">
      <c r="A172" s="2">
        <v>171</v>
      </c>
      <c r="B172" s="2" t="s">
        <v>711</v>
      </c>
      <c r="C172" s="2" t="s">
        <v>82</v>
      </c>
      <c r="D172" s="2" t="s">
        <v>28</v>
      </c>
      <c r="E172" s="2" t="s">
        <v>29</v>
      </c>
      <c r="F172" s="2">
        <v>30</v>
      </c>
      <c r="G172" s="2" t="s">
        <v>712</v>
      </c>
      <c r="H172" s="2" t="s">
        <v>713</v>
      </c>
      <c r="I172" s="2" t="s">
        <v>146</v>
      </c>
      <c r="J172" s="3">
        <v>44252</v>
      </c>
      <c r="K172" s="2">
        <v>36</v>
      </c>
      <c r="L172" s="2" t="s">
        <v>45</v>
      </c>
      <c r="M172" s="3"/>
    </row>
    <row r="173" spans="1:13" x14ac:dyDescent="0.3">
      <c r="A173" s="2">
        <v>172</v>
      </c>
      <c r="B173" s="2" t="s">
        <v>714</v>
      </c>
      <c r="C173" s="2" t="s">
        <v>715</v>
      </c>
      <c r="D173" s="2" t="s">
        <v>28</v>
      </c>
      <c r="E173" s="2" t="s">
        <v>29</v>
      </c>
      <c r="F173" s="2">
        <v>30</v>
      </c>
      <c r="G173" s="2" t="s">
        <v>712</v>
      </c>
      <c r="H173" s="2" t="s">
        <v>716</v>
      </c>
      <c r="I173" s="2" t="s">
        <v>32</v>
      </c>
      <c r="J173" s="3">
        <v>44294</v>
      </c>
      <c r="K173" s="2">
        <v>91</v>
      </c>
      <c r="L173" s="2" t="s">
        <v>80</v>
      </c>
      <c r="M173" s="3"/>
    </row>
    <row r="174" spans="1:13" x14ac:dyDescent="0.3">
      <c r="A174" s="2">
        <v>173</v>
      </c>
      <c r="B174" s="2" t="s">
        <v>717</v>
      </c>
      <c r="C174" s="2" t="s">
        <v>718</v>
      </c>
      <c r="D174" s="2" t="s">
        <v>51</v>
      </c>
      <c r="E174" s="2" t="s">
        <v>16</v>
      </c>
      <c r="F174" s="2">
        <v>60</v>
      </c>
      <c r="G174" s="2" t="s">
        <v>719</v>
      </c>
      <c r="H174" s="2" t="s">
        <v>720</v>
      </c>
      <c r="I174" s="2" t="s">
        <v>686</v>
      </c>
      <c r="J174" s="3">
        <v>44720</v>
      </c>
      <c r="K174" s="2">
        <v>73</v>
      </c>
      <c r="L174" s="2" t="s">
        <v>159</v>
      </c>
      <c r="M174" s="3"/>
    </row>
    <row r="175" spans="1:13" x14ac:dyDescent="0.3">
      <c r="A175" s="2">
        <v>174</v>
      </c>
      <c r="B175" s="2" t="s">
        <v>721</v>
      </c>
      <c r="C175" s="2" t="s">
        <v>722</v>
      </c>
      <c r="D175" s="2" t="s">
        <v>28</v>
      </c>
      <c r="E175" s="2" t="s">
        <v>29</v>
      </c>
      <c r="F175" s="2">
        <v>60</v>
      </c>
      <c r="G175" s="2" t="s">
        <v>723</v>
      </c>
      <c r="H175" s="2" t="s">
        <v>724</v>
      </c>
      <c r="I175" s="2" t="s">
        <v>240</v>
      </c>
      <c r="J175" s="3">
        <v>44849</v>
      </c>
      <c r="K175" s="2">
        <v>52</v>
      </c>
      <c r="L175" s="2" t="s">
        <v>70</v>
      </c>
      <c r="M175" s="3"/>
    </row>
    <row r="176" spans="1:13" x14ac:dyDescent="0.3">
      <c r="A176" s="2">
        <v>175</v>
      </c>
      <c r="B176" s="2" t="s">
        <v>725</v>
      </c>
      <c r="C176" s="2" t="s">
        <v>242</v>
      </c>
      <c r="D176" s="2" t="s">
        <v>28</v>
      </c>
      <c r="E176" s="2" t="s">
        <v>29</v>
      </c>
      <c r="F176" s="2">
        <v>60</v>
      </c>
      <c r="G176" s="2" t="s">
        <v>723</v>
      </c>
      <c r="H176" s="2" t="s">
        <v>726</v>
      </c>
      <c r="I176" s="2" t="s">
        <v>32</v>
      </c>
      <c r="J176" s="3">
        <v>44766</v>
      </c>
      <c r="K176" s="2">
        <v>94</v>
      </c>
      <c r="L176" s="2" t="s">
        <v>33</v>
      </c>
      <c r="M176" s="3"/>
    </row>
    <row r="177" spans="1:13" x14ac:dyDescent="0.3">
      <c r="A177" s="2">
        <v>176</v>
      </c>
      <c r="B177" s="2" t="s">
        <v>727</v>
      </c>
      <c r="C177" s="2" t="s">
        <v>728</v>
      </c>
      <c r="D177" s="2" t="s">
        <v>28</v>
      </c>
      <c r="E177" s="2" t="s">
        <v>29</v>
      </c>
      <c r="F177" s="2">
        <v>90</v>
      </c>
      <c r="G177" s="2" t="s">
        <v>729</v>
      </c>
      <c r="H177" s="2" t="s">
        <v>730</v>
      </c>
      <c r="I177" s="2" t="s">
        <v>187</v>
      </c>
      <c r="J177" s="3">
        <v>44484</v>
      </c>
      <c r="K177" s="2">
        <v>17</v>
      </c>
      <c r="L177" s="2" t="s">
        <v>64</v>
      </c>
      <c r="M177" s="3"/>
    </row>
    <row r="178" spans="1:13" x14ac:dyDescent="0.3">
      <c r="A178" s="2">
        <v>177</v>
      </c>
      <c r="B178" s="2" t="s">
        <v>731</v>
      </c>
      <c r="C178" s="2" t="s">
        <v>732</v>
      </c>
      <c r="D178" s="2" t="s">
        <v>28</v>
      </c>
      <c r="E178" s="2" t="s">
        <v>29</v>
      </c>
      <c r="F178" s="2">
        <v>60</v>
      </c>
      <c r="G178" s="2" t="s">
        <v>733</v>
      </c>
      <c r="H178" s="2" t="s">
        <v>734</v>
      </c>
      <c r="I178" s="2" t="s">
        <v>32</v>
      </c>
      <c r="J178" s="3">
        <v>43835</v>
      </c>
      <c r="K178" s="2">
        <v>40</v>
      </c>
      <c r="L178" s="2" t="s">
        <v>54</v>
      </c>
      <c r="M178" s="3"/>
    </row>
    <row r="179" spans="1:13" x14ac:dyDescent="0.3">
      <c r="A179" s="2">
        <v>178</v>
      </c>
      <c r="B179" s="2" t="s">
        <v>735</v>
      </c>
      <c r="C179" s="2" t="s">
        <v>736</v>
      </c>
      <c r="D179" s="2" t="s">
        <v>28</v>
      </c>
      <c r="E179" s="2" t="s">
        <v>29</v>
      </c>
      <c r="F179" s="2">
        <v>60</v>
      </c>
      <c r="G179" s="2" t="s">
        <v>737</v>
      </c>
      <c r="H179" s="2" t="s">
        <v>738</v>
      </c>
      <c r="I179" s="2" t="s">
        <v>38</v>
      </c>
      <c r="J179" s="3">
        <v>44222</v>
      </c>
      <c r="K179" s="2">
        <v>2</v>
      </c>
      <c r="L179" s="2" t="s">
        <v>20</v>
      </c>
      <c r="M179" s="3"/>
    </row>
    <row r="180" spans="1:13" x14ac:dyDescent="0.3">
      <c r="A180" s="2">
        <v>179</v>
      </c>
      <c r="B180" s="2" t="s">
        <v>739</v>
      </c>
      <c r="C180" s="2" t="s">
        <v>740</v>
      </c>
      <c r="D180" s="2" t="s">
        <v>51</v>
      </c>
      <c r="E180" s="2" t="s">
        <v>16</v>
      </c>
      <c r="F180" s="2">
        <v>30</v>
      </c>
      <c r="G180" s="2" t="s">
        <v>741</v>
      </c>
      <c r="H180" s="2" t="s">
        <v>742</v>
      </c>
      <c r="I180" s="2" t="s">
        <v>124</v>
      </c>
      <c r="J180" s="3">
        <v>44311</v>
      </c>
      <c r="K180" s="2">
        <v>50</v>
      </c>
      <c r="L180" s="2" t="s">
        <v>45</v>
      </c>
      <c r="M180" s="3"/>
    </row>
    <row r="181" spans="1:13" x14ac:dyDescent="0.3">
      <c r="A181" s="2">
        <v>180</v>
      </c>
      <c r="B181" s="2" t="s">
        <v>743</v>
      </c>
      <c r="C181" s="2" t="s">
        <v>744</v>
      </c>
      <c r="D181" s="2" t="s">
        <v>28</v>
      </c>
      <c r="E181" s="2" t="s">
        <v>29</v>
      </c>
      <c r="F181" s="2">
        <v>60</v>
      </c>
      <c r="G181" s="2" t="s">
        <v>745</v>
      </c>
      <c r="H181" s="2" t="s">
        <v>746</v>
      </c>
      <c r="I181" s="2" t="s">
        <v>32</v>
      </c>
      <c r="J181" s="3">
        <v>43991</v>
      </c>
      <c r="K181" s="2">
        <v>66</v>
      </c>
      <c r="L181" s="2" t="s">
        <v>54</v>
      </c>
      <c r="M181" s="3"/>
    </row>
    <row r="182" spans="1:13" x14ac:dyDescent="0.3">
      <c r="A182" s="2">
        <v>181</v>
      </c>
      <c r="B182" s="2" t="s">
        <v>747</v>
      </c>
      <c r="C182" s="2" t="s">
        <v>748</v>
      </c>
      <c r="D182" s="2" t="s">
        <v>28</v>
      </c>
      <c r="E182" s="2" t="s">
        <v>29</v>
      </c>
      <c r="F182" s="2">
        <v>90</v>
      </c>
      <c r="G182" s="2" t="s">
        <v>749</v>
      </c>
      <c r="H182" s="2" t="s">
        <v>750</v>
      </c>
      <c r="I182" s="2" t="s">
        <v>25</v>
      </c>
      <c r="J182" s="3">
        <v>44887</v>
      </c>
      <c r="K182" s="2">
        <v>50</v>
      </c>
      <c r="L182" s="2" t="s">
        <v>64</v>
      </c>
      <c r="M182" s="3"/>
    </row>
    <row r="183" spans="1:13" x14ac:dyDescent="0.3">
      <c r="A183" s="2">
        <v>182</v>
      </c>
      <c r="B183" s="2" t="s">
        <v>751</v>
      </c>
      <c r="C183" s="2" t="s">
        <v>752</v>
      </c>
      <c r="D183" s="2" t="s">
        <v>28</v>
      </c>
      <c r="E183" s="2" t="s">
        <v>29</v>
      </c>
      <c r="F183" s="2">
        <v>90</v>
      </c>
      <c r="G183" s="2" t="s">
        <v>753</v>
      </c>
      <c r="H183" s="2" t="s">
        <v>754</v>
      </c>
      <c r="I183" s="2" t="s">
        <v>25</v>
      </c>
      <c r="J183" s="3">
        <v>44872</v>
      </c>
      <c r="K183" s="2">
        <v>96</v>
      </c>
      <c r="L183" s="2" t="s">
        <v>39</v>
      </c>
      <c r="M183" s="3"/>
    </row>
    <row r="184" spans="1:13" x14ac:dyDescent="0.3">
      <c r="A184" s="2">
        <v>183</v>
      </c>
      <c r="B184" s="2" t="s">
        <v>755</v>
      </c>
      <c r="C184" s="2" t="s">
        <v>756</v>
      </c>
      <c r="D184" s="2" t="s">
        <v>28</v>
      </c>
      <c r="E184" s="2" t="s">
        <v>29</v>
      </c>
      <c r="F184" s="2">
        <v>30</v>
      </c>
      <c r="G184" s="2" t="s">
        <v>757</v>
      </c>
      <c r="H184" s="2" t="s">
        <v>462</v>
      </c>
      <c r="I184" s="2" t="s">
        <v>32</v>
      </c>
      <c r="J184" s="3">
        <v>44779</v>
      </c>
      <c r="K184" s="2">
        <v>38</v>
      </c>
      <c r="L184" s="2" t="s">
        <v>39</v>
      </c>
      <c r="M184" s="3"/>
    </row>
    <row r="185" spans="1:13" x14ac:dyDescent="0.3">
      <c r="A185" s="2">
        <v>184</v>
      </c>
      <c r="B185" s="2" t="s">
        <v>758</v>
      </c>
      <c r="C185" s="2" t="s">
        <v>759</v>
      </c>
      <c r="D185" s="2" t="s">
        <v>51</v>
      </c>
      <c r="E185" s="2" t="s">
        <v>16</v>
      </c>
      <c r="F185" s="2">
        <v>60</v>
      </c>
      <c r="G185" s="2" t="s">
        <v>760</v>
      </c>
      <c r="H185" s="2" t="s">
        <v>627</v>
      </c>
      <c r="I185" s="2" t="s">
        <v>294</v>
      </c>
      <c r="J185" s="3">
        <v>43881</v>
      </c>
      <c r="K185" s="2">
        <v>42</v>
      </c>
      <c r="L185" s="2" t="s">
        <v>70</v>
      </c>
      <c r="M185" s="3"/>
    </row>
    <row r="186" spans="1:13" x14ac:dyDescent="0.3">
      <c r="A186" s="2">
        <v>185</v>
      </c>
      <c r="B186" s="2" t="s">
        <v>761</v>
      </c>
      <c r="C186" s="2" t="s">
        <v>762</v>
      </c>
      <c r="D186" s="2" t="s">
        <v>15</v>
      </c>
      <c r="E186" s="2" t="s">
        <v>16</v>
      </c>
      <c r="F186" s="2">
        <v>60</v>
      </c>
      <c r="G186" s="2" t="s">
        <v>763</v>
      </c>
      <c r="H186" s="2" t="s">
        <v>764</v>
      </c>
      <c r="I186" s="2" t="s">
        <v>32</v>
      </c>
      <c r="J186" s="3">
        <v>44347</v>
      </c>
      <c r="K186" s="2">
        <v>31</v>
      </c>
      <c r="L186" s="2" t="s">
        <v>45</v>
      </c>
      <c r="M186" s="3"/>
    </row>
    <row r="187" spans="1:13" x14ac:dyDescent="0.3">
      <c r="A187" s="2">
        <v>186</v>
      </c>
      <c r="B187" s="2" t="s">
        <v>765</v>
      </c>
      <c r="C187" s="2" t="s">
        <v>766</v>
      </c>
      <c r="D187" s="2" t="s">
        <v>28</v>
      </c>
      <c r="E187" s="2" t="s">
        <v>29</v>
      </c>
      <c r="F187" s="2">
        <v>60</v>
      </c>
      <c r="G187" s="2" t="s">
        <v>767</v>
      </c>
      <c r="H187" s="2" t="s">
        <v>768</v>
      </c>
      <c r="I187" s="2" t="s">
        <v>124</v>
      </c>
      <c r="J187" s="3">
        <v>44198</v>
      </c>
      <c r="K187" s="2">
        <v>18</v>
      </c>
      <c r="L187" s="2" t="s">
        <v>20</v>
      </c>
      <c r="M187" s="3"/>
    </row>
    <row r="188" spans="1:13" x14ac:dyDescent="0.3">
      <c r="A188" s="2">
        <v>187</v>
      </c>
      <c r="B188" s="2" t="s">
        <v>769</v>
      </c>
      <c r="C188" s="2" t="s">
        <v>770</v>
      </c>
      <c r="D188" s="2" t="s">
        <v>51</v>
      </c>
      <c r="E188" s="2" t="s">
        <v>16</v>
      </c>
      <c r="F188" s="2">
        <v>30</v>
      </c>
      <c r="G188" s="2" t="s">
        <v>771</v>
      </c>
      <c r="H188" s="2" t="s">
        <v>772</v>
      </c>
      <c r="I188" s="2" t="s">
        <v>32</v>
      </c>
      <c r="J188" s="3">
        <v>43943</v>
      </c>
      <c r="K188" s="2">
        <v>73</v>
      </c>
      <c r="L188" s="2" t="s">
        <v>70</v>
      </c>
      <c r="M188" s="3"/>
    </row>
    <row r="189" spans="1:13" x14ac:dyDescent="0.3">
      <c r="A189" s="2">
        <v>188</v>
      </c>
      <c r="B189" s="2" t="s">
        <v>773</v>
      </c>
      <c r="C189" s="2" t="s">
        <v>774</v>
      </c>
      <c r="D189" s="2" t="s">
        <v>28</v>
      </c>
      <c r="E189" s="2" t="s">
        <v>29</v>
      </c>
      <c r="F189" s="2">
        <v>30</v>
      </c>
      <c r="G189" s="2" t="s">
        <v>775</v>
      </c>
      <c r="H189" s="2" t="s">
        <v>776</v>
      </c>
      <c r="I189" s="2" t="s">
        <v>777</v>
      </c>
      <c r="J189" s="3">
        <v>44557</v>
      </c>
      <c r="K189" s="2">
        <v>44</v>
      </c>
      <c r="L189" s="2" t="s">
        <v>33</v>
      </c>
      <c r="M189" s="3"/>
    </row>
    <row r="190" spans="1:13" x14ac:dyDescent="0.3">
      <c r="A190" s="2">
        <v>189</v>
      </c>
      <c r="B190" s="2" t="s">
        <v>778</v>
      </c>
      <c r="C190" s="2" t="s">
        <v>779</v>
      </c>
      <c r="D190" s="2" t="s">
        <v>28</v>
      </c>
      <c r="E190" s="2" t="s">
        <v>29</v>
      </c>
      <c r="F190" s="2">
        <v>60</v>
      </c>
      <c r="G190" s="2" t="s">
        <v>780</v>
      </c>
      <c r="H190" s="2" t="s">
        <v>781</v>
      </c>
      <c r="I190" s="2" t="s">
        <v>294</v>
      </c>
      <c r="J190" s="3">
        <v>44049</v>
      </c>
      <c r="K190" s="2">
        <v>21</v>
      </c>
      <c r="L190" s="2" t="s">
        <v>20</v>
      </c>
      <c r="M190" s="3"/>
    </row>
    <row r="191" spans="1:13" x14ac:dyDescent="0.3">
      <c r="A191" s="2">
        <v>190</v>
      </c>
      <c r="B191" s="2" t="s">
        <v>782</v>
      </c>
      <c r="C191" s="2" t="s">
        <v>783</v>
      </c>
      <c r="D191" s="2" t="s">
        <v>41</v>
      </c>
      <c r="E191" s="2" t="s">
        <v>16</v>
      </c>
      <c r="F191" s="2">
        <v>90</v>
      </c>
      <c r="G191" s="2" t="s">
        <v>784</v>
      </c>
      <c r="H191" s="2" t="s">
        <v>443</v>
      </c>
      <c r="I191" s="2" t="s">
        <v>294</v>
      </c>
      <c r="J191" s="3">
        <v>44054</v>
      </c>
      <c r="K191" s="2">
        <v>46</v>
      </c>
      <c r="L191" s="2" t="s">
        <v>101</v>
      </c>
      <c r="M191" s="3"/>
    </row>
    <row r="192" spans="1:13" x14ac:dyDescent="0.3">
      <c r="A192" s="2">
        <v>191</v>
      </c>
      <c r="B192" s="2" t="s">
        <v>785</v>
      </c>
      <c r="C192" s="2" t="s">
        <v>121</v>
      </c>
      <c r="D192" s="2" t="s">
        <v>28</v>
      </c>
      <c r="E192" s="2" t="s">
        <v>29</v>
      </c>
      <c r="F192" s="2">
        <v>30</v>
      </c>
      <c r="G192" s="2" t="s">
        <v>786</v>
      </c>
      <c r="H192" s="2" t="s">
        <v>538</v>
      </c>
      <c r="I192" s="2" t="s">
        <v>32</v>
      </c>
      <c r="J192" s="3">
        <v>43946</v>
      </c>
      <c r="K192" s="2">
        <v>20</v>
      </c>
      <c r="L192" s="2" t="s">
        <v>70</v>
      </c>
      <c r="M192" s="3"/>
    </row>
    <row r="193" spans="1:13" x14ac:dyDescent="0.3">
      <c r="A193" s="2">
        <v>192</v>
      </c>
      <c r="B193" s="2" t="s">
        <v>787</v>
      </c>
      <c r="C193" s="2" t="s">
        <v>788</v>
      </c>
      <c r="D193" s="2" t="s">
        <v>28</v>
      </c>
      <c r="E193" s="2" t="s">
        <v>29</v>
      </c>
      <c r="F193" s="2">
        <v>30</v>
      </c>
      <c r="G193" s="2" t="s">
        <v>789</v>
      </c>
      <c r="H193" s="2" t="s">
        <v>378</v>
      </c>
      <c r="I193" s="2" t="s">
        <v>146</v>
      </c>
      <c r="J193" s="3">
        <v>44417</v>
      </c>
      <c r="K193" s="2">
        <v>6</v>
      </c>
      <c r="L193" s="2" t="s">
        <v>45</v>
      </c>
      <c r="M193" s="3"/>
    </row>
    <row r="194" spans="1:13" x14ac:dyDescent="0.3">
      <c r="A194" s="2">
        <v>193</v>
      </c>
      <c r="B194" s="2" t="s">
        <v>790</v>
      </c>
      <c r="C194" s="2" t="s">
        <v>791</v>
      </c>
      <c r="D194" s="2" t="s">
        <v>117</v>
      </c>
      <c r="E194" s="2" t="s">
        <v>16</v>
      </c>
      <c r="F194" s="2">
        <v>90</v>
      </c>
      <c r="G194" s="2" t="s">
        <v>792</v>
      </c>
      <c r="H194" s="2" t="s">
        <v>793</v>
      </c>
      <c r="I194" s="2" t="s">
        <v>178</v>
      </c>
      <c r="J194" s="3">
        <v>44348</v>
      </c>
      <c r="K194" s="2">
        <v>38</v>
      </c>
      <c r="L194" s="2" t="s">
        <v>33</v>
      </c>
      <c r="M194" s="3"/>
    </row>
    <row r="195" spans="1:13" x14ac:dyDescent="0.3">
      <c r="A195" s="2">
        <v>194</v>
      </c>
      <c r="B195" s="2" t="s">
        <v>794</v>
      </c>
      <c r="C195" s="2" t="s">
        <v>795</v>
      </c>
      <c r="D195" s="2" t="s">
        <v>51</v>
      </c>
      <c r="E195" s="2" t="s">
        <v>16</v>
      </c>
      <c r="F195" s="2">
        <v>30</v>
      </c>
      <c r="G195" s="2" t="s">
        <v>796</v>
      </c>
      <c r="H195" s="2" t="s">
        <v>288</v>
      </c>
      <c r="I195" s="2" t="s">
        <v>32</v>
      </c>
      <c r="J195" s="3">
        <v>43965</v>
      </c>
      <c r="K195" s="2">
        <v>56</v>
      </c>
      <c r="L195" s="2" t="s">
        <v>39</v>
      </c>
      <c r="M195" s="3"/>
    </row>
    <row r="196" spans="1:13" x14ac:dyDescent="0.3">
      <c r="A196" s="2">
        <v>195</v>
      </c>
      <c r="B196" s="2" t="s">
        <v>797</v>
      </c>
      <c r="C196" s="2" t="s">
        <v>798</v>
      </c>
      <c r="D196" s="2" t="s">
        <v>15</v>
      </c>
      <c r="E196" s="2" t="s">
        <v>16</v>
      </c>
      <c r="F196" s="2">
        <v>90</v>
      </c>
      <c r="G196" s="2" t="s">
        <v>799</v>
      </c>
      <c r="H196" s="2" t="s">
        <v>781</v>
      </c>
      <c r="I196" s="2" t="s">
        <v>294</v>
      </c>
      <c r="J196" s="3">
        <v>44449</v>
      </c>
      <c r="K196" s="2">
        <v>88</v>
      </c>
      <c r="L196" s="2" t="s">
        <v>20</v>
      </c>
      <c r="M196" s="3"/>
    </row>
    <row r="197" spans="1:13" x14ac:dyDescent="0.3">
      <c r="A197" s="2">
        <v>196</v>
      </c>
      <c r="B197" s="2" t="s">
        <v>800</v>
      </c>
      <c r="C197" s="2" t="s">
        <v>317</v>
      </c>
      <c r="D197" s="2" t="s">
        <v>28</v>
      </c>
      <c r="E197" s="2" t="s">
        <v>29</v>
      </c>
      <c r="F197" s="2">
        <v>60</v>
      </c>
      <c r="G197" s="2" t="s">
        <v>801</v>
      </c>
      <c r="H197" s="2" t="s">
        <v>802</v>
      </c>
      <c r="I197" s="2" t="s">
        <v>294</v>
      </c>
      <c r="J197" s="3">
        <v>44500</v>
      </c>
      <c r="K197" s="2">
        <v>9</v>
      </c>
      <c r="L197" s="2" t="s">
        <v>70</v>
      </c>
      <c r="M197" s="3"/>
    </row>
    <row r="198" spans="1:13" x14ac:dyDescent="0.3">
      <c r="A198" s="2">
        <v>197</v>
      </c>
      <c r="B198" s="2" t="s">
        <v>803</v>
      </c>
      <c r="C198" s="2" t="s">
        <v>804</v>
      </c>
      <c r="D198" s="2" t="s">
        <v>28</v>
      </c>
      <c r="E198" s="2" t="s">
        <v>29</v>
      </c>
      <c r="F198" s="2">
        <v>90</v>
      </c>
      <c r="G198" s="2" t="s">
        <v>805</v>
      </c>
      <c r="H198" s="2" t="s">
        <v>806</v>
      </c>
      <c r="I198" s="2" t="s">
        <v>178</v>
      </c>
      <c r="J198" s="3">
        <v>44536</v>
      </c>
      <c r="K198" s="2">
        <v>38</v>
      </c>
      <c r="L198" s="2" t="s">
        <v>33</v>
      </c>
      <c r="M198" s="3"/>
    </row>
    <row r="199" spans="1:13" x14ac:dyDescent="0.3">
      <c r="A199" s="2">
        <v>198</v>
      </c>
      <c r="B199" s="2" t="s">
        <v>807</v>
      </c>
      <c r="C199" s="2" t="s">
        <v>808</v>
      </c>
      <c r="D199" s="2" t="s">
        <v>117</v>
      </c>
      <c r="E199" s="2" t="s">
        <v>29</v>
      </c>
      <c r="F199" s="2">
        <v>60</v>
      </c>
      <c r="G199" s="2" t="s">
        <v>809</v>
      </c>
      <c r="H199" s="2" t="s">
        <v>810</v>
      </c>
      <c r="I199" s="2" t="s">
        <v>32</v>
      </c>
      <c r="J199" s="3">
        <v>44565</v>
      </c>
      <c r="K199" s="2">
        <v>10</v>
      </c>
      <c r="L199" s="2" t="s">
        <v>70</v>
      </c>
      <c r="M199" s="3"/>
    </row>
    <row r="200" spans="1:13" x14ac:dyDescent="0.3">
      <c r="A200" s="2">
        <v>199</v>
      </c>
      <c r="B200" s="2" t="s">
        <v>811</v>
      </c>
      <c r="C200" s="2" t="s">
        <v>812</v>
      </c>
      <c r="D200" s="2" t="s">
        <v>28</v>
      </c>
      <c r="E200" s="2" t="s">
        <v>29</v>
      </c>
      <c r="F200" s="2">
        <v>30</v>
      </c>
      <c r="G200" s="2" t="s">
        <v>813</v>
      </c>
      <c r="H200" s="2" t="s">
        <v>814</v>
      </c>
      <c r="I200" s="2" t="s">
        <v>124</v>
      </c>
      <c r="J200" s="3">
        <v>44494</v>
      </c>
      <c r="K200" s="2">
        <v>72</v>
      </c>
      <c r="L200" s="2" t="s">
        <v>54</v>
      </c>
      <c r="M200" s="3"/>
    </row>
    <row r="201" spans="1:13" x14ac:dyDescent="0.3">
      <c r="A201" s="2">
        <v>200</v>
      </c>
      <c r="B201" s="2" t="s">
        <v>815</v>
      </c>
      <c r="C201" s="2" t="s">
        <v>816</v>
      </c>
      <c r="D201" s="2" t="s">
        <v>15</v>
      </c>
      <c r="E201" s="2" t="s">
        <v>16</v>
      </c>
      <c r="F201" s="2">
        <v>60</v>
      </c>
      <c r="G201" s="2" t="s">
        <v>817</v>
      </c>
      <c r="H201" s="2" t="s">
        <v>818</v>
      </c>
      <c r="I201" s="2" t="s">
        <v>819</v>
      </c>
      <c r="J201" s="3">
        <v>44531</v>
      </c>
      <c r="K201" s="2">
        <v>69</v>
      </c>
      <c r="L201" s="2" t="s">
        <v>159</v>
      </c>
      <c r="M201" s="3"/>
    </row>
    <row r="202" spans="1:13" x14ac:dyDescent="0.3">
      <c r="A202" s="2">
        <v>201</v>
      </c>
      <c r="B202" s="2" t="s">
        <v>820</v>
      </c>
      <c r="C202" s="2" t="s">
        <v>821</v>
      </c>
      <c r="D202" s="2" t="s">
        <v>28</v>
      </c>
      <c r="E202" s="2" t="s">
        <v>29</v>
      </c>
      <c r="F202" s="2">
        <v>90</v>
      </c>
      <c r="G202" s="2" t="s">
        <v>822</v>
      </c>
      <c r="H202" s="2" t="s">
        <v>823</v>
      </c>
      <c r="I202" s="2" t="s">
        <v>187</v>
      </c>
      <c r="J202" s="3">
        <v>44584</v>
      </c>
      <c r="K202" s="2">
        <v>80</v>
      </c>
      <c r="L202" s="2" t="s">
        <v>39</v>
      </c>
      <c r="M202" s="3"/>
    </row>
    <row r="203" spans="1:13" x14ac:dyDescent="0.3">
      <c r="A203" s="2">
        <v>202</v>
      </c>
      <c r="B203" s="2" t="s">
        <v>824</v>
      </c>
      <c r="C203" s="2" t="s">
        <v>825</v>
      </c>
      <c r="D203" s="2" t="s">
        <v>28</v>
      </c>
      <c r="E203" s="2" t="s">
        <v>29</v>
      </c>
      <c r="F203" s="2">
        <v>30</v>
      </c>
      <c r="G203" s="2" t="s">
        <v>826</v>
      </c>
      <c r="H203" s="2" t="s">
        <v>827</v>
      </c>
      <c r="I203" s="2" t="s">
        <v>124</v>
      </c>
      <c r="J203" s="3">
        <v>44352</v>
      </c>
      <c r="K203" s="2">
        <v>80</v>
      </c>
      <c r="L203" s="2" t="s">
        <v>159</v>
      </c>
      <c r="M203" s="3"/>
    </row>
    <row r="204" spans="1:13" x14ac:dyDescent="0.3">
      <c r="A204" s="2">
        <v>203</v>
      </c>
      <c r="B204" s="2" t="s">
        <v>828</v>
      </c>
      <c r="C204" s="2" t="s">
        <v>829</v>
      </c>
      <c r="D204" s="2" t="s">
        <v>28</v>
      </c>
      <c r="E204" s="2" t="s">
        <v>29</v>
      </c>
      <c r="F204" s="2">
        <v>90</v>
      </c>
      <c r="G204" s="2" t="s">
        <v>830</v>
      </c>
      <c r="I204" s="2" t="s">
        <v>366</v>
      </c>
      <c r="J204" s="3">
        <v>44916</v>
      </c>
      <c r="K204" s="2">
        <v>4</v>
      </c>
      <c r="L204" s="2" t="s">
        <v>101</v>
      </c>
      <c r="M204" s="3"/>
    </row>
    <row r="205" spans="1:13" x14ac:dyDescent="0.3">
      <c r="A205" s="2">
        <v>204</v>
      </c>
      <c r="B205" s="2" t="s">
        <v>831</v>
      </c>
      <c r="C205" s="2" t="s">
        <v>832</v>
      </c>
      <c r="D205" s="2" t="s">
        <v>28</v>
      </c>
      <c r="E205" s="2" t="s">
        <v>29</v>
      </c>
      <c r="F205" s="2">
        <v>30</v>
      </c>
      <c r="G205" s="2" t="s">
        <v>833</v>
      </c>
      <c r="H205" s="2" t="s">
        <v>834</v>
      </c>
      <c r="I205" s="2" t="s">
        <v>32</v>
      </c>
      <c r="J205" s="3">
        <v>44823</v>
      </c>
      <c r="K205" s="2">
        <v>50</v>
      </c>
      <c r="L205" s="2" t="s">
        <v>45</v>
      </c>
      <c r="M205" s="3"/>
    </row>
    <row r="206" spans="1:13" x14ac:dyDescent="0.3">
      <c r="A206" s="2">
        <v>205</v>
      </c>
      <c r="B206" s="2" t="s">
        <v>835</v>
      </c>
      <c r="C206" s="2" t="s">
        <v>836</v>
      </c>
      <c r="D206" s="2" t="s">
        <v>51</v>
      </c>
      <c r="E206" s="2" t="s">
        <v>16</v>
      </c>
      <c r="F206" s="2">
        <v>60</v>
      </c>
      <c r="G206" s="2" t="s">
        <v>837</v>
      </c>
      <c r="H206" s="2" t="s">
        <v>838</v>
      </c>
      <c r="I206" s="2" t="s">
        <v>839</v>
      </c>
      <c r="J206" s="3">
        <v>44065</v>
      </c>
      <c r="K206" s="2">
        <v>19</v>
      </c>
      <c r="L206" s="2" t="s">
        <v>20</v>
      </c>
      <c r="M206" s="3"/>
    </row>
    <row r="207" spans="1:13" x14ac:dyDescent="0.3">
      <c r="A207" s="2">
        <v>206</v>
      </c>
      <c r="B207" s="2" t="s">
        <v>840</v>
      </c>
      <c r="C207" s="2" t="s">
        <v>841</v>
      </c>
      <c r="D207" s="2" t="s">
        <v>28</v>
      </c>
      <c r="E207" s="2" t="s">
        <v>29</v>
      </c>
      <c r="F207" s="2">
        <v>30</v>
      </c>
      <c r="G207" s="2" t="s">
        <v>837</v>
      </c>
      <c r="H207" s="2" t="s">
        <v>842</v>
      </c>
      <c r="I207" s="2" t="s">
        <v>32</v>
      </c>
      <c r="J207" s="3">
        <v>44261</v>
      </c>
      <c r="K207" s="2">
        <v>46</v>
      </c>
      <c r="L207" s="2" t="s">
        <v>54</v>
      </c>
      <c r="M207" s="3"/>
    </row>
    <row r="208" spans="1:13" x14ac:dyDescent="0.3">
      <c r="A208" s="2">
        <v>207</v>
      </c>
      <c r="B208" s="2" t="s">
        <v>843</v>
      </c>
      <c r="C208" s="2" t="s">
        <v>844</v>
      </c>
      <c r="D208" s="2" t="s">
        <v>51</v>
      </c>
      <c r="E208" s="2" t="s">
        <v>16</v>
      </c>
      <c r="F208" s="2">
        <v>90</v>
      </c>
      <c r="G208" s="2" t="s">
        <v>845</v>
      </c>
      <c r="H208" s="2" t="s">
        <v>447</v>
      </c>
      <c r="I208" s="2" t="s">
        <v>32</v>
      </c>
      <c r="J208" s="3">
        <v>44524</v>
      </c>
      <c r="K208" s="2">
        <v>74</v>
      </c>
      <c r="L208" s="2" t="s">
        <v>20</v>
      </c>
      <c r="M208" s="3"/>
    </row>
    <row r="209" spans="1:13" x14ac:dyDescent="0.3">
      <c r="A209" s="2">
        <v>208</v>
      </c>
      <c r="B209" s="2" t="s">
        <v>846</v>
      </c>
      <c r="C209" s="2" t="s">
        <v>847</v>
      </c>
      <c r="D209" s="2" t="s">
        <v>28</v>
      </c>
      <c r="E209" s="2" t="s">
        <v>29</v>
      </c>
      <c r="F209" s="2">
        <v>60</v>
      </c>
      <c r="G209" s="2" t="s">
        <v>848</v>
      </c>
      <c r="H209" s="2" t="s">
        <v>849</v>
      </c>
      <c r="I209" s="2" t="s">
        <v>124</v>
      </c>
      <c r="J209" s="3">
        <v>43844</v>
      </c>
      <c r="K209" s="2">
        <v>17</v>
      </c>
      <c r="L209" s="2" t="s">
        <v>33</v>
      </c>
      <c r="M209" s="3"/>
    </row>
    <row r="210" spans="1:13" x14ac:dyDescent="0.3">
      <c r="A210" s="2">
        <v>209</v>
      </c>
      <c r="B210" s="2" t="s">
        <v>850</v>
      </c>
      <c r="C210" s="2" t="s">
        <v>851</v>
      </c>
      <c r="D210" s="2" t="s">
        <v>15</v>
      </c>
      <c r="E210" s="2" t="s">
        <v>16</v>
      </c>
      <c r="F210" s="2">
        <v>60</v>
      </c>
      <c r="G210" s="2" t="s">
        <v>852</v>
      </c>
      <c r="H210" s="2" t="s">
        <v>853</v>
      </c>
      <c r="I210" s="2" t="s">
        <v>32</v>
      </c>
      <c r="J210" s="3">
        <v>44758</v>
      </c>
      <c r="K210" s="2">
        <v>8</v>
      </c>
      <c r="L210" s="2" t="s">
        <v>33</v>
      </c>
      <c r="M210" s="3"/>
    </row>
    <row r="211" spans="1:13" x14ac:dyDescent="0.3">
      <c r="A211" s="2">
        <v>210</v>
      </c>
      <c r="B211" s="2" t="s">
        <v>854</v>
      </c>
      <c r="C211" s="2" t="s">
        <v>855</v>
      </c>
      <c r="D211" s="2" t="s">
        <v>51</v>
      </c>
      <c r="E211" s="2" t="s">
        <v>16</v>
      </c>
      <c r="F211" s="2">
        <v>60</v>
      </c>
      <c r="G211" s="2" t="s">
        <v>856</v>
      </c>
      <c r="H211" s="2" t="s">
        <v>702</v>
      </c>
      <c r="I211" s="2" t="s">
        <v>703</v>
      </c>
      <c r="J211" s="3">
        <v>44813</v>
      </c>
      <c r="K211" s="2">
        <v>4</v>
      </c>
      <c r="L211" s="2" t="s">
        <v>159</v>
      </c>
      <c r="M211" s="3"/>
    </row>
    <row r="212" spans="1:13" x14ac:dyDescent="0.3">
      <c r="A212" s="2">
        <v>211</v>
      </c>
      <c r="B212" s="2" t="s">
        <v>857</v>
      </c>
      <c r="C212" s="2" t="s">
        <v>858</v>
      </c>
      <c r="D212" s="2" t="s">
        <v>51</v>
      </c>
      <c r="E212" s="2" t="s">
        <v>16</v>
      </c>
      <c r="F212" s="2">
        <v>30</v>
      </c>
      <c r="G212" s="2" t="s">
        <v>859</v>
      </c>
      <c r="H212" s="2" t="s">
        <v>860</v>
      </c>
      <c r="I212" s="2" t="s">
        <v>861</v>
      </c>
      <c r="J212" s="3">
        <v>44397</v>
      </c>
      <c r="K212" s="2">
        <v>35</v>
      </c>
      <c r="L212" s="2" t="s">
        <v>64</v>
      </c>
      <c r="M212" s="3"/>
    </row>
    <row r="213" spans="1:13" x14ac:dyDescent="0.3">
      <c r="A213" s="2">
        <v>212</v>
      </c>
      <c r="B213" s="2" t="s">
        <v>862</v>
      </c>
      <c r="C213" s="2" t="s">
        <v>653</v>
      </c>
      <c r="D213" s="2" t="s">
        <v>15</v>
      </c>
      <c r="E213" s="2" t="s">
        <v>16</v>
      </c>
      <c r="F213" s="2">
        <v>30</v>
      </c>
      <c r="G213" s="2" t="s">
        <v>863</v>
      </c>
      <c r="H213" s="2" t="s">
        <v>864</v>
      </c>
      <c r="I213" s="2" t="s">
        <v>19</v>
      </c>
      <c r="J213" s="3">
        <v>44175</v>
      </c>
      <c r="K213" s="2">
        <v>3</v>
      </c>
      <c r="L213" s="2" t="s">
        <v>70</v>
      </c>
      <c r="M213" s="3"/>
    </row>
    <row r="214" spans="1:13" x14ac:dyDescent="0.3">
      <c r="A214" s="2">
        <v>213</v>
      </c>
      <c r="B214" s="2" t="s">
        <v>865</v>
      </c>
      <c r="C214" s="2" t="s">
        <v>866</v>
      </c>
      <c r="D214" s="2" t="s">
        <v>28</v>
      </c>
      <c r="E214" s="2" t="s">
        <v>29</v>
      </c>
      <c r="F214" s="2">
        <v>90</v>
      </c>
      <c r="G214" s="2" t="s">
        <v>867</v>
      </c>
      <c r="H214" s="2" t="s">
        <v>868</v>
      </c>
      <c r="I214" s="2" t="s">
        <v>32</v>
      </c>
      <c r="J214" s="3">
        <v>44462</v>
      </c>
      <c r="K214" s="2">
        <v>87</v>
      </c>
      <c r="L214" s="2" t="s">
        <v>20</v>
      </c>
      <c r="M214" s="3"/>
    </row>
    <row r="215" spans="1:13" x14ac:dyDescent="0.3">
      <c r="A215" s="2">
        <v>214</v>
      </c>
      <c r="B215" s="2" t="s">
        <v>869</v>
      </c>
      <c r="C215" s="2" t="s">
        <v>870</v>
      </c>
      <c r="D215" s="2" t="s">
        <v>28</v>
      </c>
      <c r="E215" s="2" t="s">
        <v>29</v>
      </c>
      <c r="F215" s="2">
        <v>60</v>
      </c>
      <c r="G215" s="2" t="s">
        <v>871</v>
      </c>
      <c r="H215" s="2" t="s">
        <v>466</v>
      </c>
      <c r="I215" s="2" t="s">
        <v>187</v>
      </c>
      <c r="J215" s="3">
        <v>44518</v>
      </c>
      <c r="K215" s="2">
        <v>42</v>
      </c>
      <c r="L215" s="2" t="s">
        <v>33</v>
      </c>
      <c r="M215" s="3"/>
    </row>
    <row r="216" spans="1:13" x14ac:dyDescent="0.3">
      <c r="A216" s="2">
        <v>215</v>
      </c>
      <c r="B216" s="2" t="s">
        <v>872</v>
      </c>
      <c r="C216" s="2" t="s">
        <v>873</v>
      </c>
      <c r="D216" s="2" t="s">
        <v>28</v>
      </c>
      <c r="E216" s="2" t="s">
        <v>29</v>
      </c>
      <c r="F216" s="2">
        <v>60</v>
      </c>
      <c r="G216" s="2" t="s">
        <v>874</v>
      </c>
      <c r="H216" s="2" t="s">
        <v>875</v>
      </c>
      <c r="I216" s="2" t="s">
        <v>187</v>
      </c>
      <c r="J216" s="3">
        <v>44819</v>
      </c>
      <c r="K216" s="2">
        <v>93</v>
      </c>
      <c r="L216" s="2" t="s">
        <v>159</v>
      </c>
      <c r="M216" s="3"/>
    </row>
    <row r="217" spans="1:13" x14ac:dyDescent="0.3">
      <c r="A217" s="2">
        <v>216</v>
      </c>
      <c r="B217" s="2" t="s">
        <v>782</v>
      </c>
      <c r="C217" s="2" t="s">
        <v>441</v>
      </c>
      <c r="D217" s="2" t="s">
        <v>51</v>
      </c>
      <c r="E217" s="2" t="s">
        <v>16</v>
      </c>
      <c r="F217" s="2">
        <v>60</v>
      </c>
      <c r="G217" s="2" t="s">
        <v>876</v>
      </c>
      <c r="H217" s="2" t="s">
        <v>877</v>
      </c>
      <c r="I217" s="2" t="s">
        <v>32</v>
      </c>
      <c r="J217" s="3">
        <v>44651</v>
      </c>
      <c r="K217" s="2">
        <v>100</v>
      </c>
      <c r="L217" s="2" t="s">
        <v>45</v>
      </c>
      <c r="M217" s="3"/>
    </row>
    <row r="218" spans="1:13" x14ac:dyDescent="0.3">
      <c r="A218" s="2">
        <v>217</v>
      </c>
      <c r="B218" s="2" t="s">
        <v>878</v>
      </c>
      <c r="C218" s="2" t="s">
        <v>879</v>
      </c>
      <c r="D218" s="2" t="s">
        <v>28</v>
      </c>
      <c r="E218" s="2" t="s">
        <v>29</v>
      </c>
      <c r="F218" s="2">
        <v>30</v>
      </c>
      <c r="G218" s="2" t="s">
        <v>880</v>
      </c>
      <c r="H218" s="2" t="s">
        <v>881</v>
      </c>
      <c r="I218" s="2" t="s">
        <v>178</v>
      </c>
      <c r="J218" s="3">
        <v>44382</v>
      </c>
      <c r="K218" s="2">
        <v>42</v>
      </c>
      <c r="L218" s="2" t="s">
        <v>39</v>
      </c>
      <c r="M218" s="3"/>
    </row>
    <row r="219" spans="1:13" x14ac:dyDescent="0.3">
      <c r="A219" s="2">
        <v>218</v>
      </c>
      <c r="B219" s="2" t="s">
        <v>882</v>
      </c>
      <c r="C219" s="2" t="s">
        <v>883</v>
      </c>
      <c r="D219" s="2" t="s">
        <v>28</v>
      </c>
      <c r="E219" s="2" t="s">
        <v>29</v>
      </c>
      <c r="F219" s="2">
        <v>90</v>
      </c>
      <c r="G219" s="2" t="s">
        <v>884</v>
      </c>
      <c r="H219" s="2" t="s">
        <v>885</v>
      </c>
      <c r="I219" s="2" t="s">
        <v>886</v>
      </c>
      <c r="J219" s="3">
        <v>44582</v>
      </c>
      <c r="K219" s="2">
        <v>92</v>
      </c>
      <c r="L219" s="2" t="s">
        <v>64</v>
      </c>
      <c r="M219" s="3"/>
    </row>
    <row r="220" spans="1:13" x14ac:dyDescent="0.3">
      <c r="A220" s="2">
        <v>219</v>
      </c>
      <c r="B220" s="2" t="s">
        <v>887</v>
      </c>
      <c r="C220" s="2" t="s">
        <v>888</v>
      </c>
      <c r="D220" s="2" t="s">
        <v>28</v>
      </c>
      <c r="E220" s="2" t="s">
        <v>29</v>
      </c>
      <c r="F220" s="2">
        <v>60</v>
      </c>
      <c r="G220" s="2" t="s">
        <v>889</v>
      </c>
      <c r="H220" s="2" t="s">
        <v>890</v>
      </c>
      <c r="I220" s="2" t="s">
        <v>178</v>
      </c>
      <c r="J220" s="3">
        <v>44653</v>
      </c>
      <c r="K220" s="2">
        <v>100</v>
      </c>
      <c r="L220" s="2" t="s">
        <v>45</v>
      </c>
      <c r="M220" s="3"/>
    </row>
    <row r="221" spans="1:13" x14ac:dyDescent="0.3">
      <c r="A221" s="2">
        <v>220</v>
      </c>
      <c r="B221" s="2" t="s">
        <v>891</v>
      </c>
      <c r="C221" s="2" t="s">
        <v>892</v>
      </c>
      <c r="D221" s="2" t="s">
        <v>28</v>
      </c>
      <c r="E221" s="2" t="s">
        <v>29</v>
      </c>
      <c r="F221" s="2">
        <v>90</v>
      </c>
      <c r="G221" s="2" t="s">
        <v>893</v>
      </c>
      <c r="H221" s="2" t="s">
        <v>894</v>
      </c>
      <c r="I221" s="2" t="s">
        <v>38</v>
      </c>
      <c r="J221" s="3">
        <v>44542</v>
      </c>
      <c r="K221" s="2">
        <v>16</v>
      </c>
      <c r="L221" s="2" t="s">
        <v>54</v>
      </c>
      <c r="M221" s="3"/>
    </row>
    <row r="222" spans="1:13" x14ac:dyDescent="0.3">
      <c r="A222" s="2">
        <v>221</v>
      </c>
      <c r="B222" s="2" t="s">
        <v>895</v>
      </c>
      <c r="C222" s="2" t="s">
        <v>896</v>
      </c>
      <c r="D222" s="2" t="s">
        <v>51</v>
      </c>
      <c r="E222" s="2" t="s">
        <v>16</v>
      </c>
      <c r="F222" s="2">
        <v>30</v>
      </c>
      <c r="G222" s="2" t="s">
        <v>897</v>
      </c>
      <c r="H222" s="2" t="s">
        <v>898</v>
      </c>
      <c r="I222" s="2" t="s">
        <v>32</v>
      </c>
      <c r="J222" s="3">
        <v>44507</v>
      </c>
      <c r="K222" s="2">
        <v>24</v>
      </c>
      <c r="L222" s="2" t="s">
        <v>101</v>
      </c>
      <c r="M222" s="3"/>
    </row>
    <row r="223" spans="1:13" x14ac:dyDescent="0.3">
      <c r="A223" s="2">
        <v>222</v>
      </c>
      <c r="B223" s="2" t="s">
        <v>899</v>
      </c>
      <c r="C223" s="2" t="s">
        <v>644</v>
      </c>
      <c r="D223" s="2" t="s">
        <v>28</v>
      </c>
      <c r="E223" s="2" t="s">
        <v>29</v>
      </c>
      <c r="F223" s="2">
        <v>30</v>
      </c>
      <c r="G223" s="2" t="s">
        <v>900</v>
      </c>
      <c r="H223" s="2" t="s">
        <v>901</v>
      </c>
      <c r="I223" s="2" t="s">
        <v>146</v>
      </c>
      <c r="J223" s="3">
        <v>44726</v>
      </c>
      <c r="K223" s="2">
        <v>25</v>
      </c>
      <c r="L223" s="2" t="s">
        <v>80</v>
      </c>
      <c r="M223" s="3"/>
    </row>
    <row r="224" spans="1:13" x14ac:dyDescent="0.3">
      <c r="A224" s="2">
        <v>223</v>
      </c>
      <c r="B224" s="2" t="s">
        <v>188</v>
      </c>
      <c r="C224" s="2" t="s">
        <v>902</v>
      </c>
      <c r="D224" s="2" t="s">
        <v>117</v>
      </c>
      <c r="E224" s="2" t="s">
        <v>29</v>
      </c>
      <c r="F224" s="2">
        <v>90</v>
      </c>
      <c r="G224" s="2" t="s">
        <v>903</v>
      </c>
      <c r="H224" s="2" t="s">
        <v>904</v>
      </c>
      <c r="I224" s="2" t="s">
        <v>32</v>
      </c>
      <c r="J224" s="3">
        <v>44517</v>
      </c>
      <c r="K224" s="2">
        <v>4</v>
      </c>
      <c r="L224" s="2" t="s">
        <v>80</v>
      </c>
      <c r="M224" s="3"/>
    </row>
    <row r="225" spans="1:13" x14ac:dyDescent="0.3">
      <c r="A225" s="2">
        <v>224</v>
      </c>
      <c r="B225" s="2" t="s">
        <v>905</v>
      </c>
      <c r="C225" s="2" t="s">
        <v>906</v>
      </c>
      <c r="D225" s="2" t="s">
        <v>28</v>
      </c>
      <c r="E225" s="2" t="s">
        <v>29</v>
      </c>
      <c r="F225" s="2">
        <v>60</v>
      </c>
      <c r="G225" s="2" t="s">
        <v>907</v>
      </c>
      <c r="H225" s="2" t="s">
        <v>908</v>
      </c>
      <c r="I225" s="2" t="s">
        <v>575</v>
      </c>
      <c r="J225" s="3">
        <v>44728</v>
      </c>
      <c r="K225" s="2">
        <v>103</v>
      </c>
      <c r="L225" s="2" t="s">
        <v>39</v>
      </c>
      <c r="M225" s="3"/>
    </row>
    <row r="226" spans="1:13" x14ac:dyDescent="0.3">
      <c r="A226" s="2">
        <v>225</v>
      </c>
      <c r="B226" s="2" t="s">
        <v>909</v>
      </c>
      <c r="C226" s="2" t="s">
        <v>910</v>
      </c>
      <c r="D226" s="2" t="s">
        <v>51</v>
      </c>
      <c r="E226" s="2" t="s">
        <v>16</v>
      </c>
      <c r="F226" s="2">
        <v>30</v>
      </c>
      <c r="G226" s="2" t="s">
        <v>911</v>
      </c>
      <c r="H226" s="2" t="s">
        <v>912</v>
      </c>
      <c r="I226" s="2" t="s">
        <v>913</v>
      </c>
      <c r="J226" s="3">
        <v>44334</v>
      </c>
      <c r="K226" s="2">
        <v>28</v>
      </c>
      <c r="L226" s="2" t="s">
        <v>39</v>
      </c>
      <c r="M226" s="3"/>
    </row>
    <row r="227" spans="1:13" x14ac:dyDescent="0.3">
      <c r="A227" s="2">
        <v>226</v>
      </c>
      <c r="B227" s="2" t="s">
        <v>914</v>
      </c>
      <c r="C227" s="2" t="s">
        <v>915</v>
      </c>
      <c r="D227" s="2" t="s">
        <v>28</v>
      </c>
      <c r="E227" s="2" t="s">
        <v>29</v>
      </c>
      <c r="F227" s="2">
        <v>30</v>
      </c>
      <c r="G227" s="2" t="s">
        <v>916</v>
      </c>
      <c r="H227" s="2" t="s">
        <v>917</v>
      </c>
      <c r="I227" s="2" t="s">
        <v>32</v>
      </c>
      <c r="J227" s="3">
        <v>44802</v>
      </c>
      <c r="K227" s="2">
        <v>14</v>
      </c>
      <c r="L227" s="2" t="s">
        <v>70</v>
      </c>
      <c r="M227" s="3"/>
    </row>
    <row r="228" spans="1:13" x14ac:dyDescent="0.3">
      <c r="A228" s="2">
        <v>227</v>
      </c>
      <c r="B228" s="2" t="s">
        <v>918</v>
      </c>
      <c r="C228" s="2" t="s">
        <v>189</v>
      </c>
      <c r="D228" s="2" t="s">
        <v>15</v>
      </c>
      <c r="E228" s="2" t="s">
        <v>16</v>
      </c>
      <c r="F228" s="2">
        <v>30</v>
      </c>
      <c r="G228" s="2" t="s">
        <v>919</v>
      </c>
      <c r="H228" s="2" t="s">
        <v>920</v>
      </c>
      <c r="I228" s="2" t="s">
        <v>178</v>
      </c>
      <c r="J228" s="3">
        <v>44544</v>
      </c>
      <c r="K228" s="2">
        <v>54</v>
      </c>
      <c r="L228" s="2" t="s">
        <v>45</v>
      </c>
      <c r="M228" s="3"/>
    </row>
    <row r="229" spans="1:13" x14ac:dyDescent="0.3">
      <c r="A229" s="2">
        <v>228</v>
      </c>
      <c r="B229" s="2" t="s">
        <v>921</v>
      </c>
      <c r="C229" s="2" t="s">
        <v>922</v>
      </c>
      <c r="D229" s="2" t="s">
        <v>28</v>
      </c>
      <c r="E229" s="2" t="s">
        <v>29</v>
      </c>
      <c r="F229" s="2">
        <v>30</v>
      </c>
      <c r="G229" s="2" t="s">
        <v>923</v>
      </c>
      <c r="H229" s="2" t="s">
        <v>924</v>
      </c>
      <c r="I229" s="2" t="s">
        <v>32</v>
      </c>
      <c r="J229" s="3">
        <v>44815</v>
      </c>
      <c r="K229" s="2">
        <v>68</v>
      </c>
      <c r="L229" s="2" t="s">
        <v>64</v>
      </c>
      <c r="M229" s="3"/>
    </row>
    <row r="230" spans="1:13" x14ac:dyDescent="0.3">
      <c r="A230" s="2">
        <v>229</v>
      </c>
      <c r="B230" s="2" t="s">
        <v>452</v>
      </c>
      <c r="C230" s="2" t="s">
        <v>925</v>
      </c>
      <c r="D230" s="2" t="s">
        <v>28</v>
      </c>
      <c r="E230" s="2" t="s">
        <v>29</v>
      </c>
      <c r="F230" s="2">
        <v>60</v>
      </c>
      <c r="G230" s="2" t="s">
        <v>926</v>
      </c>
      <c r="H230" s="2" t="s">
        <v>927</v>
      </c>
      <c r="I230" s="2" t="s">
        <v>129</v>
      </c>
      <c r="J230" s="3">
        <v>44158</v>
      </c>
      <c r="K230" s="2">
        <v>9</v>
      </c>
      <c r="L230" s="2" t="s">
        <v>101</v>
      </c>
      <c r="M230" s="3"/>
    </row>
    <row r="231" spans="1:13" x14ac:dyDescent="0.3">
      <c r="A231" s="2">
        <v>230</v>
      </c>
      <c r="B231" s="2" t="s">
        <v>928</v>
      </c>
      <c r="C231" s="2" t="s">
        <v>929</v>
      </c>
      <c r="D231" s="2" t="s">
        <v>28</v>
      </c>
      <c r="E231" s="2" t="s">
        <v>29</v>
      </c>
      <c r="F231" s="2">
        <v>30</v>
      </c>
      <c r="G231" s="2" t="s">
        <v>930</v>
      </c>
      <c r="H231" s="2" t="s">
        <v>742</v>
      </c>
      <c r="I231" s="2" t="s">
        <v>124</v>
      </c>
      <c r="J231" s="3">
        <v>44897</v>
      </c>
      <c r="K231" s="2">
        <v>46</v>
      </c>
      <c r="L231" s="2" t="s">
        <v>70</v>
      </c>
      <c r="M231" s="3"/>
    </row>
    <row r="232" spans="1:13" x14ac:dyDescent="0.3">
      <c r="A232" s="2">
        <v>231</v>
      </c>
      <c r="B232" s="2" t="s">
        <v>492</v>
      </c>
      <c r="C232" s="2" t="s">
        <v>931</v>
      </c>
      <c r="D232" s="2" t="s">
        <v>28</v>
      </c>
      <c r="E232" s="2" t="s">
        <v>29</v>
      </c>
      <c r="F232" s="2">
        <v>60</v>
      </c>
      <c r="G232" s="2" t="s">
        <v>932</v>
      </c>
      <c r="H232" s="2" t="s">
        <v>933</v>
      </c>
      <c r="I232" s="2" t="s">
        <v>934</v>
      </c>
      <c r="J232" s="3">
        <v>44214</v>
      </c>
      <c r="K232" s="2">
        <v>53</v>
      </c>
      <c r="L232" s="2" t="s">
        <v>20</v>
      </c>
      <c r="M232" s="3"/>
    </row>
    <row r="233" spans="1:13" x14ac:dyDescent="0.3">
      <c r="A233" s="2">
        <v>232</v>
      </c>
      <c r="B233" s="2" t="s">
        <v>935</v>
      </c>
      <c r="C233" s="2" t="s">
        <v>936</v>
      </c>
      <c r="D233" s="2" t="s">
        <v>28</v>
      </c>
      <c r="E233" s="2" t="s">
        <v>29</v>
      </c>
      <c r="F233" s="2">
        <v>30</v>
      </c>
      <c r="G233" s="2" t="s">
        <v>937</v>
      </c>
      <c r="H233" s="2" t="s">
        <v>938</v>
      </c>
      <c r="I233" s="2" t="s">
        <v>25</v>
      </c>
      <c r="J233" s="3">
        <v>43959</v>
      </c>
      <c r="K233" s="2">
        <v>20</v>
      </c>
      <c r="L233" s="2" t="s">
        <v>70</v>
      </c>
      <c r="M233" s="3"/>
    </row>
    <row r="234" spans="1:13" x14ac:dyDescent="0.3">
      <c r="A234" s="2">
        <v>233</v>
      </c>
      <c r="B234" s="2" t="s">
        <v>939</v>
      </c>
      <c r="C234" s="2" t="s">
        <v>940</v>
      </c>
      <c r="D234" s="2" t="s">
        <v>15</v>
      </c>
      <c r="E234" s="2" t="s">
        <v>16</v>
      </c>
      <c r="F234" s="2">
        <v>30</v>
      </c>
      <c r="G234" s="2" t="s">
        <v>941</v>
      </c>
      <c r="H234" s="2" t="s">
        <v>942</v>
      </c>
      <c r="I234" s="2" t="s">
        <v>32</v>
      </c>
      <c r="J234" s="3">
        <v>44635</v>
      </c>
      <c r="K234" s="2">
        <v>55</v>
      </c>
      <c r="L234" s="2" t="s">
        <v>64</v>
      </c>
      <c r="M234" s="3"/>
    </row>
    <row r="235" spans="1:13" x14ac:dyDescent="0.3">
      <c r="A235" s="2">
        <v>234</v>
      </c>
      <c r="B235" s="2" t="s">
        <v>943</v>
      </c>
      <c r="C235" s="2" t="s">
        <v>944</v>
      </c>
      <c r="D235" s="2" t="s">
        <v>92</v>
      </c>
      <c r="E235" s="2" t="s">
        <v>29</v>
      </c>
      <c r="F235" s="2">
        <v>30</v>
      </c>
      <c r="G235" s="2" t="s">
        <v>945</v>
      </c>
      <c r="H235" s="2" t="s">
        <v>946</v>
      </c>
      <c r="I235" s="2" t="s">
        <v>947</v>
      </c>
      <c r="J235" s="3">
        <v>44299</v>
      </c>
      <c r="K235" s="2">
        <v>86</v>
      </c>
      <c r="L235" s="2" t="s">
        <v>33</v>
      </c>
      <c r="M235" s="3"/>
    </row>
    <row r="236" spans="1:13" x14ac:dyDescent="0.3">
      <c r="A236" s="2">
        <v>235</v>
      </c>
      <c r="B236" s="2" t="s">
        <v>948</v>
      </c>
      <c r="C236" s="2" t="s">
        <v>949</v>
      </c>
      <c r="D236" s="2" t="s">
        <v>28</v>
      </c>
      <c r="E236" s="2" t="s">
        <v>29</v>
      </c>
      <c r="F236" s="2">
        <v>60</v>
      </c>
      <c r="G236" s="2" t="s">
        <v>950</v>
      </c>
      <c r="H236" s="2" t="s">
        <v>951</v>
      </c>
      <c r="I236" s="2" t="s">
        <v>95</v>
      </c>
      <c r="J236" s="3">
        <v>44219</v>
      </c>
      <c r="K236" s="2">
        <v>70</v>
      </c>
      <c r="L236" s="2" t="s">
        <v>45</v>
      </c>
      <c r="M236" s="3"/>
    </row>
    <row r="237" spans="1:13" x14ac:dyDescent="0.3">
      <c r="A237" s="2">
        <v>236</v>
      </c>
      <c r="B237" s="2" t="s">
        <v>952</v>
      </c>
      <c r="C237" s="2" t="s">
        <v>953</v>
      </c>
      <c r="D237" s="2" t="s">
        <v>15</v>
      </c>
      <c r="E237" s="2" t="s">
        <v>16</v>
      </c>
      <c r="F237" s="2">
        <v>60</v>
      </c>
      <c r="G237" s="2" t="s">
        <v>954</v>
      </c>
      <c r="H237" s="2" t="s">
        <v>908</v>
      </c>
      <c r="I237" s="2" t="s">
        <v>575</v>
      </c>
      <c r="J237" s="3">
        <v>44836</v>
      </c>
      <c r="K237" s="2">
        <v>2</v>
      </c>
      <c r="L237" s="2" t="s">
        <v>80</v>
      </c>
      <c r="M237" s="3"/>
    </row>
    <row r="238" spans="1:13" x14ac:dyDescent="0.3">
      <c r="A238" s="2">
        <v>237</v>
      </c>
      <c r="B238" s="2" t="s">
        <v>68</v>
      </c>
      <c r="C238" s="2" t="s">
        <v>955</v>
      </c>
      <c r="D238" s="2" t="s">
        <v>51</v>
      </c>
      <c r="E238" s="2" t="s">
        <v>16</v>
      </c>
      <c r="F238" s="2">
        <v>90</v>
      </c>
      <c r="G238" s="2" t="s">
        <v>956</v>
      </c>
      <c r="H238" s="2" t="s">
        <v>957</v>
      </c>
      <c r="I238" s="2" t="s">
        <v>95</v>
      </c>
      <c r="J238" s="3">
        <v>44580</v>
      </c>
      <c r="K238" s="2">
        <v>99</v>
      </c>
      <c r="L238" s="2" t="s">
        <v>20</v>
      </c>
      <c r="M238" s="3"/>
    </row>
    <row r="239" spans="1:13" x14ac:dyDescent="0.3">
      <c r="A239" s="2">
        <v>238</v>
      </c>
      <c r="B239" s="2" t="s">
        <v>958</v>
      </c>
      <c r="C239" s="2" t="s">
        <v>928</v>
      </c>
      <c r="D239" s="2" t="s">
        <v>15</v>
      </c>
      <c r="E239" s="2" t="s">
        <v>16</v>
      </c>
      <c r="F239" s="2">
        <v>90</v>
      </c>
      <c r="G239" s="2" t="s">
        <v>959</v>
      </c>
      <c r="H239" s="2" t="s">
        <v>408</v>
      </c>
      <c r="I239" s="2" t="s">
        <v>25</v>
      </c>
      <c r="J239" s="3">
        <v>44164</v>
      </c>
      <c r="K239" s="2">
        <v>30</v>
      </c>
      <c r="L239" s="2" t="s">
        <v>101</v>
      </c>
      <c r="M239" s="3"/>
    </row>
    <row r="240" spans="1:13" x14ac:dyDescent="0.3">
      <c r="A240" s="2">
        <v>239</v>
      </c>
      <c r="B240" s="2" t="s">
        <v>960</v>
      </c>
      <c r="C240" s="2" t="s">
        <v>961</v>
      </c>
      <c r="D240" s="2" t="s">
        <v>28</v>
      </c>
      <c r="E240" s="2" t="s">
        <v>29</v>
      </c>
      <c r="F240" s="2">
        <v>60</v>
      </c>
      <c r="G240" s="2" t="s">
        <v>962</v>
      </c>
      <c r="H240" s="2" t="s">
        <v>963</v>
      </c>
      <c r="I240" s="2" t="s">
        <v>25</v>
      </c>
      <c r="J240" s="3">
        <v>44416</v>
      </c>
      <c r="K240" s="2">
        <v>89</v>
      </c>
      <c r="L240" s="2" t="s">
        <v>54</v>
      </c>
      <c r="M240" s="3"/>
    </row>
    <row r="241" spans="1:13" x14ac:dyDescent="0.3">
      <c r="A241" s="2">
        <v>240</v>
      </c>
      <c r="B241" s="2" t="s">
        <v>960</v>
      </c>
      <c r="C241" s="2" t="s">
        <v>961</v>
      </c>
      <c r="D241" s="2" t="s">
        <v>28</v>
      </c>
      <c r="E241" s="2" t="s">
        <v>29</v>
      </c>
      <c r="F241" s="2">
        <v>60</v>
      </c>
      <c r="G241" s="2" t="s">
        <v>962</v>
      </c>
      <c r="H241" s="2" t="s">
        <v>963</v>
      </c>
      <c r="I241" s="2" t="s">
        <v>25</v>
      </c>
      <c r="J241" s="3">
        <v>44416</v>
      </c>
      <c r="K241" s="2">
        <v>89</v>
      </c>
      <c r="L241" s="2" t="s">
        <v>54</v>
      </c>
      <c r="M241" s="3"/>
    </row>
    <row r="242" spans="1:13" x14ac:dyDescent="0.3">
      <c r="A242" s="2">
        <v>241</v>
      </c>
      <c r="B242" s="2" t="s">
        <v>964</v>
      </c>
      <c r="C242" s="2" t="s">
        <v>335</v>
      </c>
      <c r="D242" s="2" t="s">
        <v>28</v>
      </c>
      <c r="E242" s="2" t="s">
        <v>29</v>
      </c>
      <c r="F242" s="2">
        <v>60</v>
      </c>
      <c r="G242" s="2" t="s">
        <v>965</v>
      </c>
      <c r="H242" s="2" t="s">
        <v>966</v>
      </c>
      <c r="I242" s="2" t="s">
        <v>187</v>
      </c>
      <c r="J242" s="3">
        <v>44677</v>
      </c>
      <c r="K242" s="2">
        <v>80</v>
      </c>
      <c r="L242" s="2" t="s">
        <v>70</v>
      </c>
      <c r="M242" s="3"/>
    </row>
    <row r="243" spans="1:13" x14ac:dyDescent="0.3">
      <c r="A243" s="2">
        <v>242</v>
      </c>
      <c r="B243" s="2" t="s">
        <v>967</v>
      </c>
      <c r="C243" s="2" t="s">
        <v>968</v>
      </c>
      <c r="D243" s="2" t="s">
        <v>51</v>
      </c>
      <c r="E243" s="2" t="s">
        <v>16</v>
      </c>
      <c r="F243" s="2">
        <v>30</v>
      </c>
      <c r="G243" s="2" t="s">
        <v>969</v>
      </c>
      <c r="H243" s="2" t="s">
        <v>970</v>
      </c>
      <c r="I243" s="2" t="s">
        <v>187</v>
      </c>
      <c r="J243" s="3">
        <v>44516</v>
      </c>
      <c r="K243" s="2">
        <v>42</v>
      </c>
      <c r="L243" s="2" t="s">
        <v>39</v>
      </c>
      <c r="M243" s="3"/>
    </row>
    <row r="244" spans="1:13" x14ac:dyDescent="0.3">
      <c r="A244" s="2">
        <v>243</v>
      </c>
      <c r="B244" s="2" t="s">
        <v>971</v>
      </c>
      <c r="C244" s="2" t="s">
        <v>972</v>
      </c>
      <c r="D244" s="2" t="s">
        <v>51</v>
      </c>
      <c r="E244" s="2" t="s">
        <v>16</v>
      </c>
      <c r="F244" s="2">
        <v>60</v>
      </c>
      <c r="G244" s="2" t="s">
        <v>973</v>
      </c>
      <c r="H244" s="2" t="s">
        <v>974</v>
      </c>
      <c r="I244" s="2" t="s">
        <v>32</v>
      </c>
      <c r="J244" s="3">
        <v>44063</v>
      </c>
      <c r="K244" s="2">
        <v>84</v>
      </c>
      <c r="L244" s="2" t="s">
        <v>80</v>
      </c>
      <c r="M244" s="3"/>
    </row>
    <row r="245" spans="1:13" x14ac:dyDescent="0.3">
      <c r="A245" s="2">
        <v>244</v>
      </c>
      <c r="B245" s="2" t="s">
        <v>975</v>
      </c>
      <c r="C245" s="2" t="s">
        <v>976</v>
      </c>
      <c r="D245" s="2" t="s">
        <v>28</v>
      </c>
      <c r="E245" s="2" t="s">
        <v>29</v>
      </c>
      <c r="F245" s="2">
        <v>30</v>
      </c>
      <c r="G245" s="2" t="s">
        <v>977</v>
      </c>
      <c r="H245" s="2" t="s">
        <v>978</v>
      </c>
      <c r="I245" s="2" t="s">
        <v>294</v>
      </c>
      <c r="J245" s="3">
        <v>43923</v>
      </c>
      <c r="K245" s="2">
        <v>80</v>
      </c>
      <c r="L245" s="2" t="s">
        <v>70</v>
      </c>
      <c r="M245" s="3"/>
    </row>
    <row r="246" spans="1:13" x14ac:dyDescent="0.3">
      <c r="A246" s="2">
        <v>245</v>
      </c>
      <c r="B246" s="2" t="s">
        <v>979</v>
      </c>
      <c r="C246" s="2" t="s">
        <v>940</v>
      </c>
      <c r="D246" s="2" t="s">
        <v>28</v>
      </c>
      <c r="E246" s="2" t="s">
        <v>29</v>
      </c>
      <c r="F246" s="2">
        <v>60</v>
      </c>
      <c r="G246" s="2" t="s">
        <v>980</v>
      </c>
      <c r="H246" s="2" t="s">
        <v>981</v>
      </c>
      <c r="I246" s="2" t="s">
        <v>32</v>
      </c>
      <c r="J246" s="3">
        <v>44609</v>
      </c>
      <c r="K246" s="2">
        <v>40</v>
      </c>
      <c r="L246" s="2" t="s">
        <v>39</v>
      </c>
      <c r="M246" s="3"/>
    </row>
    <row r="247" spans="1:13" x14ac:dyDescent="0.3">
      <c r="A247" s="2">
        <v>246</v>
      </c>
      <c r="B247" s="2" t="s">
        <v>982</v>
      </c>
      <c r="C247" s="2" t="s">
        <v>983</v>
      </c>
      <c r="D247" s="2" t="s">
        <v>28</v>
      </c>
      <c r="E247" s="2" t="s">
        <v>29</v>
      </c>
      <c r="F247" s="2">
        <v>90</v>
      </c>
      <c r="G247" s="2" t="s">
        <v>984</v>
      </c>
      <c r="H247" s="2" t="s">
        <v>985</v>
      </c>
      <c r="I247" s="2" t="s">
        <v>38</v>
      </c>
      <c r="J247" s="3">
        <v>44093</v>
      </c>
      <c r="K247" s="2">
        <v>7</v>
      </c>
      <c r="L247" s="2" t="s">
        <v>39</v>
      </c>
      <c r="M247" s="3"/>
    </row>
    <row r="248" spans="1:13" x14ac:dyDescent="0.3">
      <c r="A248" s="2">
        <v>247</v>
      </c>
      <c r="B248" s="2" t="s">
        <v>986</v>
      </c>
      <c r="C248" s="2" t="s">
        <v>987</v>
      </c>
      <c r="D248" s="2" t="s">
        <v>28</v>
      </c>
      <c r="E248" s="2" t="s">
        <v>29</v>
      </c>
      <c r="F248" s="2">
        <v>60</v>
      </c>
      <c r="G248" s="2" t="s">
        <v>988</v>
      </c>
      <c r="H248" s="2" t="s">
        <v>989</v>
      </c>
      <c r="I248" s="2" t="s">
        <v>124</v>
      </c>
      <c r="J248" s="3">
        <v>43846</v>
      </c>
      <c r="K248" s="2">
        <v>71</v>
      </c>
      <c r="L248" s="2" t="s">
        <v>20</v>
      </c>
      <c r="M248" s="3"/>
    </row>
    <row r="249" spans="1:13" x14ac:dyDescent="0.3">
      <c r="A249" s="2">
        <v>248</v>
      </c>
      <c r="B249" s="2" t="s">
        <v>990</v>
      </c>
      <c r="C249" s="2" t="s">
        <v>991</v>
      </c>
      <c r="D249" s="2" t="s">
        <v>28</v>
      </c>
      <c r="E249" s="2" t="s">
        <v>29</v>
      </c>
      <c r="F249" s="2">
        <v>90</v>
      </c>
      <c r="G249" s="2" t="s">
        <v>992</v>
      </c>
      <c r="H249" s="2" t="s">
        <v>993</v>
      </c>
      <c r="I249" s="2" t="s">
        <v>32</v>
      </c>
      <c r="J249" s="3">
        <v>44272</v>
      </c>
      <c r="K249" s="2">
        <v>20</v>
      </c>
      <c r="L249" s="2" t="s">
        <v>20</v>
      </c>
      <c r="M249" s="3"/>
    </row>
    <row r="250" spans="1:13" x14ac:dyDescent="0.3">
      <c r="A250" s="2">
        <v>249</v>
      </c>
      <c r="B250" s="2" t="s">
        <v>994</v>
      </c>
      <c r="C250" s="2" t="s">
        <v>995</v>
      </c>
      <c r="D250" s="2" t="s">
        <v>28</v>
      </c>
      <c r="E250" s="2" t="s">
        <v>29</v>
      </c>
      <c r="F250" s="2">
        <v>30</v>
      </c>
      <c r="G250" s="2" t="s">
        <v>996</v>
      </c>
      <c r="H250" s="2" t="s">
        <v>997</v>
      </c>
      <c r="I250" s="2" t="s">
        <v>110</v>
      </c>
      <c r="J250" s="3">
        <v>44826</v>
      </c>
      <c r="K250" s="2">
        <v>8</v>
      </c>
      <c r="L250" s="2" t="s">
        <v>20</v>
      </c>
      <c r="M250" s="3"/>
    </row>
    <row r="251" spans="1:13" x14ac:dyDescent="0.3">
      <c r="A251" s="2">
        <v>250</v>
      </c>
      <c r="B251" s="2" t="s">
        <v>998</v>
      </c>
      <c r="C251" s="2" t="s">
        <v>999</v>
      </c>
      <c r="D251" s="2" t="s">
        <v>51</v>
      </c>
      <c r="E251" s="2" t="s">
        <v>16</v>
      </c>
      <c r="F251" s="2">
        <v>30</v>
      </c>
      <c r="G251" s="2" t="s">
        <v>1000</v>
      </c>
      <c r="H251" s="2" t="s">
        <v>1001</v>
      </c>
      <c r="I251" s="2" t="s">
        <v>32</v>
      </c>
      <c r="J251" s="3">
        <v>44450</v>
      </c>
      <c r="K251" s="2">
        <v>6</v>
      </c>
      <c r="L251" s="2" t="s">
        <v>64</v>
      </c>
      <c r="M251" s="3"/>
    </row>
    <row r="252" spans="1:13" x14ac:dyDescent="0.3">
      <c r="A252" s="2">
        <v>251</v>
      </c>
      <c r="B252" s="2" t="s">
        <v>1002</v>
      </c>
      <c r="C252" s="2" t="s">
        <v>1003</v>
      </c>
      <c r="D252" s="2" t="s">
        <v>28</v>
      </c>
      <c r="E252" s="2" t="s">
        <v>29</v>
      </c>
      <c r="F252" s="2">
        <v>90</v>
      </c>
      <c r="G252" s="2" t="s">
        <v>1004</v>
      </c>
      <c r="H252" s="2" t="s">
        <v>1005</v>
      </c>
      <c r="I252" s="2" t="s">
        <v>178</v>
      </c>
      <c r="J252" s="3">
        <v>44108</v>
      </c>
      <c r="K252" s="2">
        <v>8</v>
      </c>
      <c r="L252" s="2" t="s">
        <v>54</v>
      </c>
      <c r="M252" s="3"/>
    </row>
    <row r="253" spans="1:13" x14ac:dyDescent="0.3">
      <c r="A253" s="2">
        <v>252</v>
      </c>
      <c r="B253" s="2" t="s">
        <v>1006</v>
      </c>
      <c r="C253" s="2" t="s">
        <v>955</v>
      </c>
      <c r="D253" s="2" t="s">
        <v>41</v>
      </c>
      <c r="E253" s="2" t="s">
        <v>16</v>
      </c>
      <c r="F253" s="2">
        <v>90</v>
      </c>
      <c r="G253" s="2" t="s">
        <v>1007</v>
      </c>
      <c r="H253" s="2" t="s">
        <v>1008</v>
      </c>
      <c r="I253" s="2" t="s">
        <v>32</v>
      </c>
      <c r="J253" s="3">
        <v>44308</v>
      </c>
      <c r="K253" s="2">
        <v>32</v>
      </c>
      <c r="L253" s="2" t="s">
        <v>45</v>
      </c>
      <c r="M253" s="3"/>
    </row>
    <row r="254" spans="1:13" x14ac:dyDescent="0.3">
      <c r="A254" s="2">
        <v>253</v>
      </c>
      <c r="B254" s="2" t="s">
        <v>1006</v>
      </c>
      <c r="C254" s="2" t="s">
        <v>955</v>
      </c>
      <c r="D254" s="2" t="s">
        <v>41</v>
      </c>
      <c r="E254" s="2" t="s">
        <v>16</v>
      </c>
      <c r="F254" s="2">
        <v>90</v>
      </c>
      <c r="G254" s="2" t="s">
        <v>1007</v>
      </c>
      <c r="H254" s="2" t="s">
        <v>1008</v>
      </c>
      <c r="I254" s="2" t="s">
        <v>32</v>
      </c>
      <c r="J254" s="3">
        <v>44308</v>
      </c>
      <c r="K254" s="2">
        <v>32</v>
      </c>
      <c r="L254" s="2" t="s">
        <v>45</v>
      </c>
      <c r="M254" s="3"/>
    </row>
    <row r="255" spans="1:13" x14ac:dyDescent="0.3">
      <c r="A255" s="2">
        <v>254</v>
      </c>
      <c r="B255" s="2" t="s">
        <v>1009</v>
      </c>
      <c r="C255" s="2" t="s">
        <v>1010</v>
      </c>
      <c r="D255" s="2" t="s">
        <v>28</v>
      </c>
      <c r="E255" s="2" t="s">
        <v>29</v>
      </c>
      <c r="F255" s="2">
        <v>90</v>
      </c>
      <c r="G255" s="2" t="s">
        <v>1007</v>
      </c>
      <c r="H255" s="2" t="s">
        <v>1011</v>
      </c>
      <c r="I255" s="2" t="s">
        <v>32</v>
      </c>
      <c r="J255" s="3">
        <v>44710</v>
      </c>
      <c r="K255" s="2">
        <v>85</v>
      </c>
      <c r="L255" s="2" t="s">
        <v>39</v>
      </c>
      <c r="M255" s="3"/>
    </row>
    <row r="256" spans="1:13" x14ac:dyDescent="0.3">
      <c r="A256" s="2">
        <v>255</v>
      </c>
      <c r="B256" s="2" t="s">
        <v>1012</v>
      </c>
      <c r="C256" s="2" t="s">
        <v>1013</v>
      </c>
      <c r="D256" s="2" t="s">
        <v>15</v>
      </c>
      <c r="E256" s="2" t="s">
        <v>16</v>
      </c>
      <c r="F256" s="2">
        <v>60</v>
      </c>
      <c r="G256" s="2" t="s">
        <v>1014</v>
      </c>
      <c r="H256" s="2" t="s">
        <v>641</v>
      </c>
      <c r="I256" s="2" t="s">
        <v>294</v>
      </c>
      <c r="J256" s="3">
        <v>44838</v>
      </c>
      <c r="K256" s="2">
        <v>24</v>
      </c>
      <c r="L256" s="2" t="s">
        <v>54</v>
      </c>
      <c r="M256" s="3"/>
    </row>
    <row r="257" spans="1:13" x14ac:dyDescent="0.3">
      <c r="A257" s="2">
        <v>256</v>
      </c>
      <c r="B257" s="2" t="s">
        <v>1015</v>
      </c>
      <c r="C257" s="2" t="s">
        <v>1016</v>
      </c>
      <c r="D257" s="2" t="s">
        <v>28</v>
      </c>
      <c r="E257" s="2" t="s">
        <v>29</v>
      </c>
      <c r="F257" s="2">
        <v>90</v>
      </c>
      <c r="G257" s="2" t="s">
        <v>1017</v>
      </c>
      <c r="H257" s="2" t="s">
        <v>1018</v>
      </c>
      <c r="I257" s="2" t="s">
        <v>294</v>
      </c>
      <c r="J257" s="3">
        <v>43929</v>
      </c>
      <c r="K257" s="2">
        <v>55</v>
      </c>
      <c r="L257" s="2" t="s">
        <v>80</v>
      </c>
      <c r="M257" s="3"/>
    </row>
    <row r="258" spans="1:13" x14ac:dyDescent="0.3">
      <c r="A258" s="2">
        <v>257</v>
      </c>
      <c r="B258" s="2" t="s">
        <v>1019</v>
      </c>
      <c r="C258" s="2" t="s">
        <v>1020</v>
      </c>
      <c r="D258" s="2" t="s">
        <v>28</v>
      </c>
      <c r="E258" s="2" t="s">
        <v>29</v>
      </c>
      <c r="F258" s="2">
        <v>90</v>
      </c>
      <c r="G258" s="2" t="s">
        <v>1021</v>
      </c>
      <c r="H258" s="2" t="s">
        <v>1022</v>
      </c>
      <c r="I258" s="2" t="s">
        <v>164</v>
      </c>
      <c r="J258" s="3">
        <v>44887</v>
      </c>
      <c r="K258" s="2">
        <v>95</v>
      </c>
      <c r="L258" s="2" t="s">
        <v>64</v>
      </c>
      <c r="M258" s="3"/>
    </row>
    <row r="259" spans="1:13" x14ac:dyDescent="0.3">
      <c r="A259" s="2">
        <v>258</v>
      </c>
      <c r="B259" s="2" t="s">
        <v>1023</v>
      </c>
      <c r="C259" s="2" t="s">
        <v>1024</v>
      </c>
      <c r="D259" s="2" t="s">
        <v>28</v>
      </c>
      <c r="E259" s="2" t="s">
        <v>29</v>
      </c>
      <c r="F259" s="2">
        <v>60</v>
      </c>
      <c r="G259" s="2" t="s">
        <v>1025</v>
      </c>
      <c r="H259" s="2" t="s">
        <v>1026</v>
      </c>
      <c r="I259" s="2" t="s">
        <v>32</v>
      </c>
      <c r="J259" s="3">
        <v>43856</v>
      </c>
      <c r="K259" s="2">
        <v>12</v>
      </c>
      <c r="L259" s="2" t="s">
        <v>45</v>
      </c>
      <c r="M259" s="3"/>
    </row>
    <row r="260" spans="1:13" x14ac:dyDescent="0.3">
      <c r="A260" s="2">
        <v>259</v>
      </c>
      <c r="B260" s="2" t="s">
        <v>1027</v>
      </c>
      <c r="C260" s="2" t="s">
        <v>564</v>
      </c>
      <c r="D260" s="2" t="s">
        <v>28</v>
      </c>
      <c r="E260" s="2" t="s">
        <v>29</v>
      </c>
      <c r="F260" s="2">
        <v>60</v>
      </c>
      <c r="G260" s="2" t="s">
        <v>1028</v>
      </c>
      <c r="H260" s="2" t="s">
        <v>641</v>
      </c>
      <c r="I260" s="2" t="s">
        <v>294</v>
      </c>
      <c r="J260" s="3">
        <v>43846</v>
      </c>
      <c r="K260" s="2">
        <v>79</v>
      </c>
      <c r="L260" s="2" t="s">
        <v>159</v>
      </c>
      <c r="M260" s="3"/>
    </row>
    <row r="261" spans="1:13" x14ac:dyDescent="0.3">
      <c r="A261" s="2">
        <v>260</v>
      </c>
      <c r="B261" s="2" t="s">
        <v>1029</v>
      </c>
      <c r="C261" s="2" t="s">
        <v>1030</v>
      </c>
      <c r="D261" s="2" t="s">
        <v>15</v>
      </c>
      <c r="E261" s="2" t="s">
        <v>16</v>
      </c>
      <c r="F261" s="2">
        <v>30</v>
      </c>
      <c r="G261" s="2" t="s">
        <v>1028</v>
      </c>
      <c r="H261" s="2" t="s">
        <v>393</v>
      </c>
      <c r="I261" s="2" t="s">
        <v>32</v>
      </c>
      <c r="J261" s="3">
        <v>44653</v>
      </c>
      <c r="K261" s="2">
        <v>12</v>
      </c>
      <c r="L261" s="2" t="s">
        <v>101</v>
      </c>
      <c r="M261" s="3"/>
    </row>
    <row r="262" spans="1:13" x14ac:dyDescent="0.3">
      <c r="A262" s="2">
        <v>261</v>
      </c>
      <c r="B262" s="2" t="s">
        <v>1031</v>
      </c>
      <c r="C262" s="2" t="s">
        <v>1032</v>
      </c>
      <c r="D262" s="2" t="s">
        <v>28</v>
      </c>
      <c r="E262" s="2" t="s">
        <v>29</v>
      </c>
      <c r="F262" s="2">
        <v>60</v>
      </c>
      <c r="G262" s="2" t="s">
        <v>1033</v>
      </c>
      <c r="H262" s="2" t="s">
        <v>1034</v>
      </c>
      <c r="I262" s="2" t="s">
        <v>1035</v>
      </c>
      <c r="J262" s="3">
        <v>44021</v>
      </c>
      <c r="K262" s="2">
        <v>3</v>
      </c>
      <c r="L262" s="2" t="s">
        <v>54</v>
      </c>
      <c r="M262" s="3"/>
    </row>
    <row r="263" spans="1:13" x14ac:dyDescent="0.3">
      <c r="A263" s="2">
        <v>262</v>
      </c>
      <c r="B263" s="2" t="s">
        <v>1036</v>
      </c>
      <c r="C263" s="2" t="s">
        <v>1037</v>
      </c>
      <c r="D263" s="2" t="s">
        <v>28</v>
      </c>
      <c r="E263" s="2" t="s">
        <v>29</v>
      </c>
      <c r="F263" s="2">
        <v>30</v>
      </c>
      <c r="G263" s="2" t="s">
        <v>1038</v>
      </c>
      <c r="H263" s="2" t="s">
        <v>1039</v>
      </c>
      <c r="I263" s="2" t="s">
        <v>25</v>
      </c>
      <c r="J263" s="3">
        <v>44819</v>
      </c>
      <c r="K263" s="2">
        <v>85</v>
      </c>
      <c r="L263" s="2" t="s">
        <v>159</v>
      </c>
      <c r="M263" s="3"/>
    </row>
    <row r="264" spans="1:13" x14ac:dyDescent="0.3">
      <c r="A264" s="2">
        <v>263</v>
      </c>
      <c r="B264" s="2" t="s">
        <v>1040</v>
      </c>
      <c r="C264" s="2" t="s">
        <v>1041</v>
      </c>
      <c r="D264" s="2" t="s">
        <v>15</v>
      </c>
      <c r="E264" s="2" t="s">
        <v>16</v>
      </c>
      <c r="F264" s="2">
        <v>30</v>
      </c>
      <c r="G264" s="2" t="s">
        <v>1038</v>
      </c>
      <c r="H264" s="2" t="s">
        <v>1042</v>
      </c>
      <c r="I264" s="2" t="s">
        <v>32</v>
      </c>
      <c r="J264" s="3">
        <v>44681</v>
      </c>
      <c r="K264" s="2">
        <v>46</v>
      </c>
      <c r="L264" s="2" t="s">
        <v>45</v>
      </c>
      <c r="M264" s="3"/>
    </row>
    <row r="265" spans="1:13" x14ac:dyDescent="0.3">
      <c r="A265" s="2">
        <v>264</v>
      </c>
      <c r="B265" s="2" t="s">
        <v>1043</v>
      </c>
      <c r="C265" s="2" t="s">
        <v>1044</v>
      </c>
      <c r="D265" s="2" t="s">
        <v>15</v>
      </c>
      <c r="E265" s="2" t="s">
        <v>16</v>
      </c>
      <c r="F265" s="2">
        <v>30</v>
      </c>
      <c r="G265" s="2" t="s">
        <v>1045</v>
      </c>
      <c r="H265" s="2" t="s">
        <v>378</v>
      </c>
      <c r="I265" s="2" t="s">
        <v>146</v>
      </c>
      <c r="J265" s="3">
        <v>44525</v>
      </c>
      <c r="K265" s="2">
        <v>68</v>
      </c>
      <c r="L265" s="2" t="s">
        <v>33</v>
      </c>
      <c r="M265" s="3"/>
    </row>
    <row r="266" spans="1:13" x14ac:dyDescent="0.3">
      <c r="A266" s="2">
        <v>265</v>
      </c>
      <c r="B266" s="2" t="s">
        <v>1046</v>
      </c>
      <c r="C266" s="2" t="s">
        <v>1047</v>
      </c>
      <c r="D266" s="2" t="s">
        <v>117</v>
      </c>
      <c r="E266" s="2" t="s">
        <v>16</v>
      </c>
      <c r="F266" s="2">
        <v>30</v>
      </c>
      <c r="G266" s="2" t="s">
        <v>1048</v>
      </c>
      <c r="H266" s="2" t="s">
        <v>443</v>
      </c>
      <c r="I266" s="2" t="s">
        <v>294</v>
      </c>
      <c r="J266" s="3">
        <v>44018</v>
      </c>
      <c r="K266" s="2">
        <v>31</v>
      </c>
      <c r="L266" s="2" t="s">
        <v>39</v>
      </c>
      <c r="M266" s="3"/>
    </row>
    <row r="267" spans="1:13" x14ac:dyDescent="0.3">
      <c r="A267" s="2">
        <v>266</v>
      </c>
      <c r="B267" s="2" t="s">
        <v>1049</v>
      </c>
      <c r="C267" s="2" t="s">
        <v>1050</v>
      </c>
      <c r="D267" s="2" t="s">
        <v>28</v>
      </c>
      <c r="E267" s="2" t="s">
        <v>29</v>
      </c>
      <c r="F267" s="2">
        <v>30</v>
      </c>
      <c r="G267" s="2" t="s">
        <v>1051</v>
      </c>
      <c r="H267" s="2" t="s">
        <v>1052</v>
      </c>
      <c r="I267" s="2" t="s">
        <v>32</v>
      </c>
      <c r="J267" s="3">
        <v>44453</v>
      </c>
      <c r="K267" s="2">
        <v>49</v>
      </c>
      <c r="L267" s="2" t="s">
        <v>54</v>
      </c>
      <c r="M267" s="3"/>
    </row>
    <row r="268" spans="1:13" x14ac:dyDescent="0.3">
      <c r="A268" s="2">
        <v>267</v>
      </c>
      <c r="B268" s="2" t="s">
        <v>1053</v>
      </c>
      <c r="C268" s="2" t="s">
        <v>1054</v>
      </c>
      <c r="D268" s="2" t="s">
        <v>51</v>
      </c>
      <c r="E268" s="2" t="s">
        <v>16</v>
      </c>
      <c r="F268" s="2">
        <v>60</v>
      </c>
      <c r="G268" s="2" t="s">
        <v>1055</v>
      </c>
      <c r="H268" s="2" t="s">
        <v>1056</v>
      </c>
      <c r="I268" s="2" t="s">
        <v>129</v>
      </c>
      <c r="J268" s="3">
        <v>44235</v>
      </c>
      <c r="K268" s="2">
        <v>11</v>
      </c>
      <c r="L268" s="2" t="s">
        <v>45</v>
      </c>
      <c r="M268" s="3"/>
    </row>
    <row r="269" spans="1:13" x14ac:dyDescent="0.3">
      <c r="A269" s="2">
        <v>268</v>
      </c>
      <c r="B269" s="2" t="s">
        <v>1057</v>
      </c>
      <c r="C269" s="2" t="s">
        <v>1058</v>
      </c>
      <c r="D269" s="2" t="s">
        <v>51</v>
      </c>
      <c r="E269" s="2" t="s">
        <v>16</v>
      </c>
      <c r="F269" s="2">
        <v>60</v>
      </c>
      <c r="G269" s="2" t="s">
        <v>1059</v>
      </c>
      <c r="H269" s="2" t="s">
        <v>1060</v>
      </c>
      <c r="I269" s="2" t="s">
        <v>38</v>
      </c>
      <c r="J269" s="3">
        <v>43973</v>
      </c>
      <c r="K269" s="2">
        <v>6</v>
      </c>
      <c r="L269" s="2" t="s">
        <v>80</v>
      </c>
      <c r="M269" s="3"/>
    </row>
    <row r="270" spans="1:13" x14ac:dyDescent="0.3">
      <c r="A270" s="2">
        <v>269</v>
      </c>
      <c r="B270" s="2" t="s">
        <v>1061</v>
      </c>
      <c r="C270" s="2" t="s">
        <v>1062</v>
      </c>
      <c r="D270" s="2" t="s">
        <v>15</v>
      </c>
      <c r="E270" s="2" t="s">
        <v>16</v>
      </c>
      <c r="F270" s="2">
        <v>90</v>
      </c>
      <c r="G270" s="2" t="s">
        <v>1063</v>
      </c>
      <c r="H270" s="2" t="s">
        <v>1064</v>
      </c>
      <c r="I270" s="2" t="s">
        <v>886</v>
      </c>
      <c r="J270" s="3">
        <v>44134</v>
      </c>
      <c r="K270" s="2">
        <v>14</v>
      </c>
      <c r="L270" s="2" t="s">
        <v>70</v>
      </c>
      <c r="M270" s="3"/>
    </row>
    <row r="271" spans="1:13" x14ac:dyDescent="0.3">
      <c r="A271" s="2">
        <v>270</v>
      </c>
      <c r="B271" s="2" t="s">
        <v>1065</v>
      </c>
      <c r="C271" s="2" t="s">
        <v>1066</v>
      </c>
      <c r="D271" s="2" t="s">
        <v>28</v>
      </c>
      <c r="E271" s="2" t="s">
        <v>29</v>
      </c>
      <c r="F271" s="2">
        <v>30</v>
      </c>
      <c r="G271" s="2" t="s">
        <v>1067</v>
      </c>
      <c r="H271" s="2" t="s">
        <v>293</v>
      </c>
      <c r="I271" s="2" t="s">
        <v>294</v>
      </c>
      <c r="J271" s="3">
        <v>44014</v>
      </c>
      <c r="K271" s="2">
        <v>40</v>
      </c>
      <c r="L271" s="2" t="s">
        <v>159</v>
      </c>
      <c r="M271" s="3"/>
    </row>
    <row r="272" spans="1:13" x14ac:dyDescent="0.3">
      <c r="A272" s="2">
        <v>271</v>
      </c>
      <c r="B272" s="2" t="s">
        <v>1068</v>
      </c>
      <c r="C272" s="2" t="s">
        <v>800</v>
      </c>
      <c r="D272" s="2" t="s">
        <v>15</v>
      </c>
      <c r="E272" s="2" t="s">
        <v>16</v>
      </c>
      <c r="F272" s="2">
        <v>30</v>
      </c>
      <c r="G272" s="2" t="s">
        <v>1069</v>
      </c>
      <c r="H272" s="2" t="s">
        <v>1070</v>
      </c>
      <c r="I272" s="2" t="s">
        <v>32</v>
      </c>
      <c r="J272" s="3">
        <v>43978</v>
      </c>
      <c r="K272" s="2">
        <v>21</v>
      </c>
      <c r="L272" s="2" t="s">
        <v>54</v>
      </c>
      <c r="M272" s="3"/>
    </row>
    <row r="273" spans="1:13" x14ac:dyDescent="0.3">
      <c r="A273" s="2">
        <v>272</v>
      </c>
      <c r="B273" s="2" t="s">
        <v>1071</v>
      </c>
      <c r="C273" s="2" t="s">
        <v>1072</v>
      </c>
      <c r="D273" s="2" t="s">
        <v>51</v>
      </c>
      <c r="E273" s="2" t="s">
        <v>16</v>
      </c>
      <c r="F273" s="2">
        <v>60</v>
      </c>
      <c r="G273" s="2" t="s">
        <v>1073</v>
      </c>
      <c r="H273" s="2" t="s">
        <v>981</v>
      </c>
      <c r="I273" s="2" t="s">
        <v>32</v>
      </c>
      <c r="J273" s="3">
        <v>44682</v>
      </c>
      <c r="K273" s="2">
        <v>64</v>
      </c>
      <c r="L273" s="2" t="s">
        <v>80</v>
      </c>
      <c r="M273" s="3"/>
    </row>
    <row r="274" spans="1:13" x14ac:dyDescent="0.3">
      <c r="A274" s="2">
        <v>273</v>
      </c>
      <c r="B274" s="2" t="s">
        <v>1074</v>
      </c>
      <c r="C274" s="2" t="s">
        <v>1075</v>
      </c>
      <c r="D274" s="2" t="s">
        <v>15</v>
      </c>
      <c r="E274" s="2" t="s">
        <v>16</v>
      </c>
      <c r="F274" s="2">
        <v>90</v>
      </c>
      <c r="G274" s="2" t="s">
        <v>1076</v>
      </c>
      <c r="H274" s="2" t="s">
        <v>1077</v>
      </c>
      <c r="I274" s="2" t="s">
        <v>1078</v>
      </c>
      <c r="J274" s="3">
        <v>44450</v>
      </c>
      <c r="K274" s="2">
        <v>30</v>
      </c>
      <c r="L274" s="2" t="s">
        <v>64</v>
      </c>
      <c r="M274" s="3"/>
    </row>
    <row r="275" spans="1:13" x14ac:dyDescent="0.3">
      <c r="A275" s="2">
        <v>274</v>
      </c>
      <c r="B275" s="2" t="s">
        <v>1079</v>
      </c>
      <c r="C275" s="2" t="s">
        <v>1080</v>
      </c>
      <c r="D275" s="2" t="s">
        <v>51</v>
      </c>
      <c r="E275" s="2" t="s">
        <v>16</v>
      </c>
      <c r="F275" s="2">
        <v>60</v>
      </c>
      <c r="G275" s="2" t="s">
        <v>1081</v>
      </c>
      <c r="H275" s="2" t="s">
        <v>1082</v>
      </c>
      <c r="I275" s="2" t="s">
        <v>1083</v>
      </c>
      <c r="J275" s="3">
        <v>44769</v>
      </c>
      <c r="K275" s="2">
        <v>41</v>
      </c>
      <c r="L275" s="2" t="s">
        <v>101</v>
      </c>
      <c r="M275" s="3"/>
    </row>
    <row r="276" spans="1:13" x14ac:dyDescent="0.3">
      <c r="A276" s="2">
        <v>275</v>
      </c>
      <c r="B276" s="2" t="s">
        <v>1084</v>
      </c>
      <c r="C276" s="2" t="s">
        <v>1085</v>
      </c>
      <c r="D276" s="2" t="s">
        <v>15</v>
      </c>
      <c r="E276" s="2" t="s">
        <v>16</v>
      </c>
      <c r="F276" s="2">
        <v>90</v>
      </c>
      <c r="G276" s="2" t="s">
        <v>1086</v>
      </c>
      <c r="H276" s="2" t="s">
        <v>1087</v>
      </c>
      <c r="I276" s="2" t="s">
        <v>554</v>
      </c>
      <c r="J276" s="3">
        <v>44908</v>
      </c>
      <c r="K276" s="2">
        <v>27</v>
      </c>
      <c r="L276" s="2" t="s">
        <v>64</v>
      </c>
      <c r="M276" s="3"/>
    </row>
    <row r="277" spans="1:13" x14ac:dyDescent="0.3">
      <c r="A277" s="2">
        <v>276</v>
      </c>
      <c r="B277" s="2" t="s">
        <v>1088</v>
      </c>
      <c r="C277" s="2" t="s">
        <v>1089</v>
      </c>
      <c r="D277" s="2" t="s">
        <v>51</v>
      </c>
      <c r="E277" s="2" t="s">
        <v>16</v>
      </c>
      <c r="F277" s="2">
        <v>90</v>
      </c>
      <c r="G277" s="2" t="s">
        <v>1090</v>
      </c>
      <c r="H277" s="2" t="s">
        <v>1091</v>
      </c>
      <c r="I277" s="2" t="s">
        <v>32</v>
      </c>
      <c r="J277" s="3">
        <v>44413</v>
      </c>
      <c r="K277" s="2">
        <v>58</v>
      </c>
      <c r="L277" s="2" t="s">
        <v>54</v>
      </c>
      <c r="M277" s="3"/>
    </row>
    <row r="278" spans="1:13" x14ac:dyDescent="0.3">
      <c r="A278" s="2">
        <v>277</v>
      </c>
      <c r="B278" s="2" t="s">
        <v>1092</v>
      </c>
      <c r="C278" s="2" t="s">
        <v>1093</v>
      </c>
      <c r="D278" s="2" t="s">
        <v>15</v>
      </c>
      <c r="E278" s="2" t="s">
        <v>16</v>
      </c>
      <c r="F278" s="2">
        <v>30</v>
      </c>
      <c r="G278" s="2" t="s">
        <v>1094</v>
      </c>
      <c r="H278" s="2" t="s">
        <v>1095</v>
      </c>
      <c r="I278" s="2" t="s">
        <v>178</v>
      </c>
      <c r="J278" s="3">
        <v>44480</v>
      </c>
      <c r="K278" s="2">
        <v>3</v>
      </c>
      <c r="L278" s="2" t="s">
        <v>159</v>
      </c>
      <c r="M278" s="3"/>
    </row>
    <row r="279" spans="1:13" x14ac:dyDescent="0.3">
      <c r="A279" s="2">
        <v>278</v>
      </c>
      <c r="B279" s="2" t="s">
        <v>1096</v>
      </c>
      <c r="C279" s="2" t="s">
        <v>1097</v>
      </c>
      <c r="D279" s="2" t="s">
        <v>28</v>
      </c>
      <c r="E279" s="2" t="s">
        <v>29</v>
      </c>
      <c r="F279" s="2">
        <v>30</v>
      </c>
      <c r="G279" s="2" t="s">
        <v>1098</v>
      </c>
      <c r="H279" s="2" t="s">
        <v>1099</v>
      </c>
      <c r="I279" s="2" t="s">
        <v>25</v>
      </c>
      <c r="J279" s="3">
        <v>44360</v>
      </c>
      <c r="K279" s="2">
        <v>38</v>
      </c>
      <c r="L279" s="2" t="s">
        <v>159</v>
      </c>
      <c r="M279" s="3"/>
    </row>
    <row r="280" spans="1:13" x14ac:dyDescent="0.3">
      <c r="A280" s="2">
        <v>279</v>
      </c>
      <c r="B280" s="2" t="s">
        <v>1100</v>
      </c>
      <c r="C280" s="2" t="s">
        <v>1101</v>
      </c>
      <c r="D280" s="2" t="s">
        <v>51</v>
      </c>
      <c r="E280" s="2" t="s">
        <v>16</v>
      </c>
      <c r="F280" s="2">
        <v>30</v>
      </c>
      <c r="G280" s="2" t="s">
        <v>1102</v>
      </c>
      <c r="H280" s="2" t="s">
        <v>1103</v>
      </c>
      <c r="I280" s="2" t="s">
        <v>25</v>
      </c>
      <c r="J280" s="3">
        <v>44561</v>
      </c>
      <c r="K280" s="2">
        <v>43</v>
      </c>
      <c r="L280" s="2" t="s">
        <v>101</v>
      </c>
      <c r="M280" s="3"/>
    </row>
    <row r="281" spans="1:13" x14ac:dyDescent="0.3">
      <c r="A281" s="2">
        <v>280</v>
      </c>
      <c r="B281" s="2" t="s">
        <v>1104</v>
      </c>
      <c r="C281" s="2" t="s">
        <v>1105</v>
      </c>
      <c r="D281" s="2" t="s">
        <v>28</v>
      </c>
      <c r="E281" s="2" t="s">
        <v>29</v>
      </c>
      <c r="F281" s="2">
        <v>60</v>
      </c>
      <c r="G281" s="2" t="s">
        <v>1106</v>
      </c>
      <c r="H281" s="2" t="s">
        <v>1107</v>
      </c>
      <c r="I281" s="2" t="s">
        <v>32</v>
      </c>
      <c r="J281" s="3">
        <v>44305</v>
      </c>
      <c r="K281" s="2">
        <v>36</v>
      </c>
      <c r="L281" s="2" t="s">
        <v>64</v>
      </c>
      <c r="M281" s="3"/>
    </row>
    <row r="282" spans="1:13" x14ac:dyDescent="0.3">
      <c r="A282" s="2">
        <v>281</v>
      </c>
      <c r="B282" s="2" t="s">
        <v>1108</v>
      </c>
      <c r="C282" s="2" t="s">
        <v>1109</v>
      </c>
      <c r="D282" s="2" t="s">
        <v>28</v>
      </c>
      <c r="E282" s="2" t="s">
        <v>29</v>
      </c>
      <c r="F282" s="2">
        <v>60</v>
      </c>
      <c r="G282" s="2" t="s">
        <v>1110</v>
      </c>
      <c r="H282" s="2" t="s">
        <v>1111</v>
      </c>
      <c r="I282" s="2" t="s">
        <v>32</v>
      </c>
      <c r="J282" s="3">
        <v>44204</v>
      </c>
      <c r="K282" s="2">
        <v>51</v>
      </c>
      <c r="L282" s="2" t="s">
        <v>54</v>
      </c>
      <c r="M282" s="3"/>
    </row>
    <row r="283" spans="1:13" x14ac:dyDescent="0.3">
      <c r="A283" s="2">
        <v>282</v>
      </c>
      <c r="B283" s="2" t="s">
        <v>1112</v>
      </c>
      <c r="C283" s="2" t="s">
        <v>1113</v>
      </c>
      <c r="D283" s="2" t="s">
        <v>51</v>
      </c>
      <c r="E283" s="2" t="s">
        <v>16</v>
      </c>
      <c r="F283" s="2">
        <v>60</v>
      </c>
      <c r="G283" s="2" t="s">
        <v>1114</v>
      </c>
      <c r="H283" s="2" t="s">
        <v>1115</v>
      </c>
      <c r="I283" s="2" t="s">
        <v>32</v>
      </c>
      <c r="J283" s="3">
        <v>44578</v>
      </c>
      <c r="K283" s="2">
        <v>86</v>
      </c>
      <c r="L283" s="2" t="s">
        <v>159</v>
      </c>
      <c r="M283" s="3"/>
    </row>
    <row r="284" spans="1:13" x14ac:dyDescent="0.3">
      <c r="A284" s="2">
        <v>283</v>
      </c>
      <c r="B284" s="2" t="s">
        <v>1116</v>
      </c>
      <c r="C284" s="2" t="s">
        <v>1117</v>
      </c>
      <c r="D284" s="2" t="s">
        <v>28</v>
      </c>
      <c r="E284" s="2" t="s">
        <v>29</v>
      </c>
      <c r="F284" s="2">
        <v>30</v>
      </c>
      <c r="G284" s="2" t="s">
        <v>1118</v>
      </c>
      <c r="H284" s="2" t="s">
        <v>1119</v>
      </c>
      <c r="I284" s="2" t="s">
        <v>240</v>
      </c>
      <c r="J284" s="3">
        <v>44416</v>
      </c>
      <c r="K284" s="2">
        <v>6</v>
      </c>
      <c r="L284" s="2" t="s">
        <v>80</v>
      </c>
      <c r="M284" s="3"/>
    </row>
    <row r="285" spans="1:13" x14ac:dyDescent="0.3">
      <c r="A285" s="2">
        <v>284</v>
      </c>
      <c r="B285" s="2" t="s">
        <v>1120</v>
      </c>
      <c r="C285" s="2" t="s">
        <v>1121</v>
      </c>
      <c r="D285" s="2" t="s">
        <v>28</v>
      </c>
      <c r="E285" s="2" t="s">
        <v>29</v>
      </c>
      <c r="F285" s="2">
        <v>60</v>
      </c>
      <c r="G285" s="2" t="s">
        <v>1122</v>
      </c>
      <c r="H285" s="2" t="s">
        <v>917</v>
      </c>
      <c r="I285" s="2" t="s">
        <v>32</v>
      </c>
      <c r="J285" s="3">
        <v>44372</v>
      </c>
      <c r="K285" s="2">
        <v>40</v>
      </c>
      <c r="L285" s="2" t="s">
        <v>20</v>
      </c>
      <c r="M285" s="3"/>
    </row>
    <row r="286" spans="1:13" x14ac:dyDescent="0.3">
      <c r="A286" s="2">
        <v>285</v>
      </c>
      <c r="B286" s="2" t="s">
        <v>1123</v>
      </c>
      <c r="C286" s="2" t="s">
        <v>657</v>
      </c>
      <c r="D286" s="2" t="s">
        <v>51</v>
      </c>
      <c r="E286" s="2" t="s">
        <v>16</v>
      </c>
      <c r="F286" s="2">
        <v>90</v>
      </c>
      <c r="G286" s="2" t="s">
        <v>1124</v>
      </c>
      <c r="H286" s="2" t="s">
        <v>1125</v>
      </c>
      <c r="I286" s="2" t="s">
        <v>1126</v>
      </c>
      <c r="J286" s="3">
        <v>44053</v>
      </c>
      <c r="K286" s="2">
        <v>52</v>
      </c>
      <c r="L286" s="2" t="s">
        <v>54</v>
      </c>
      <c r="M286" s="3"/>
    </row>
    <row r="287" spans="1:13" x14ac:dyDescent="0.3">
      <c r="A287" s="2">
        <v>286</v>
      </c>
      <c r="B287" s="2" t="s">
        <v>437</v>
      </c>
      <c r="C287" s="2" t="s">
        <v>770</v>
      </c>
      <c r="D287" s="2" t="s">
        <v>15</v>
      </c>
      <c r="E287" s="2" t="s">
        <v>16</v>
      </c>
      <c r="F287" s="2">
        <v>30</v>
      </c>
      <c r="G287" s="2" t="s">
        <v>1127</v>
      </c>
      <c r="H287" s="2" t="s">
        <v>1018</v>
      </c>
      <c r="I287" s="2" t="s">
        <v>294</v>
      </c>
      <c r="J287" s="3">
        <v>44261</v>
      </c>
      <c r="K287" s="2">
        <v>66</v>
      </c>
      <c r="L287" s="2" t="s">
        <v>101</v>
      </c>
      <c r="M287" s="3"/>
    </row>
    <row r="288" spans="1:13" x14ac:dyDescent="0.3">
      <c r="A288" s="2">
        <v>287</v>
      </c>
      <c r="B288" s="2" t="s">
        <v>1128</v>
      </c>
      <c r="C288" s="2" t="s">
        <v>1129</v>
      </c>
      <c r="D288" s="2" t="s">
        <v>28</v>
      </c>
      <c r="E288" s="2" t="s">
        <v>29</v>
      </c>
      <c r="F288" s="2">
        <v>60</v>
      </c>
      <c r="G288" s="2" t="s">
        <v>1130</v>
      </c>
      <c r="H288" s="2" t="s">
        <v>1131</v>
      </c>
      <c r="I288" s="2" t="s">
        <v>32</v>
      </c>
      <c r="J288" s="3">
        <v>44509</v>
      </c>
      <c r="K288" s="2">
        <v>41</v>
      </c>
      <c r="L288" s="2" t="s">
        <v>101</v>
      </c>
      <c r="M288" s="3"/>
    </row>
    <row r="289" spans="1:13" x14ac:dyDescent="0.3">
      <c r="A289" s="2">
        <v>288</v>
      </c>
      <c r="B289" s="2" t="s">
        <v>1132</v>
      </c>
      <c r="C289" s="2" t="s">
        <v>1133</v>
      </c>
      <c r="D289" s="2" t="s">
        <v>28</v>
      </c>
      <c r="E289" s="2" t="s">
        <v>29</v>
      </c>
      <c r="F289" s="2">
        <v>30</v>
      </c>
      <c r="G289" s="2" t="s">
        <v>1134</v>
      </c>
      <c r="H289" s="2" t="s">
        <v>1135</v>
      </c>
      <c r="I289" s="2" t="s">
        <v>38</v>
      </c>
      <c r="J289" s="3">
        <v>44515</v>
      </c>
      <c r="K289" s="2">
        <v>33</v>
      </c>
      <c r="L289" s="2" t="s">
        <v>80</v>
      </c>
      <c r="M289" s="3"/>
    </row>
    <row r="290" spans="1:13" x14ac:dyDescent="0.3">
      <c r="A290" s="2">
        <v>289</v>
      </c>
      <c r="B290" s="2" t="s">
        <v>1136</v>
      </c>
      <c r="C290" s="2" t="s">
        <v>1137</v>
      </c>
      <c r="D290" s="2" t="s">
        <v>51</v>
      </c>
      <c r="E290" s="2" t="s">
        <v>16</v>
      </c>
      <c r="F290" s="2">
        <v>90</v>
      </c>
      <c r="G290" s="2" t="s">
        <v>1134</v>
      </c>
      <c r="H290" s="2" t="s">
        <v>1138</v>
      </c>
      <c r="I290" s="2" t="s">
        <v>124</v>
      </c>
      <c r="J290" s="3">
        <v>44805</v>
      </c>
      <c r="K290" s="2">
        <v>29</v>
      </c>
      <c r="L290" s="2" t="s">
        <v>20</v>
      </c>
      <c r="M290" s="3"/>
    </row>
    <row r="291" spans="1:13" x14ac:dyDescent="0.3">
      <c r="A291" s="2">
        <v>290</v>
      </c>
      <c r="B291" s="2" t="s">
        <v>1139</v>
      </c>
      <c r="C291" s="2" t="s">
        <v>1140</v>
      </c>
      <c r="D291" s="2" t="s">
        <v>15</v>
      </c>
      <c r="E291" s="2" t="s">
        <v>16</v>
      </c>
      <c r="F291" s="2">
        <v>30</v>
      </c>
      <c r="G291" s="2" t="s">
        <v>1141</v>
      </c>
      <c r="H291" s="2" t="s">
        <v>1142</v>
      </c>
      <c r="I291" s="2" t="s">
        <v>38</v>
      </c>
      <c r="J291" s="3">
        <v>44862</v>
      </c>
      <c r="K291" s="2">
        <v>38</v>
      </c>
      <c r="L291" s="2" t="s">
        <v>64</v>
      </c>
      <c r="M291" s="3"/>
    </row>
    <row r="292" spans="1:13" x14ac:dyDescent="0.3">
      <c r="A292" s="2">
        <v>291</v>
      </c>
      <c r="B292" s="2" t="s">
        <v>843</v>
      </c>
      <c r="C292" s="2" t="s">
        <v>394</v>
      </c>
      <c r="D292" s="2" t="s">
        <v>15</v>
      </c>
      <c r="E292" s="2" t="s">
        <v>16</v>
      </c>
      <c r="F292" s="2">
        <v>60</v>
      </c>
      <c r="G292" s="2" t="s">
        <v>1143</v>
      </c>
      <c r="H292" s="2" t="s">
        <v>951</v>
      </c>
      <c r="I292" s="2" t="s">
        <v>95</v>
      </c>
      <c r="J292" s="3">
        <v>44622</v>
      </c>
      <c r="K292" s="2">
        <v>4</v>
      </c>
      <c r="L292" s="2" t="s">
        <v>33</v>
      </c>
      <c r="M292" s="3"/>
    </row>
    <row r="293" spans="1:13" x14ac:dyDescent="0.3">
      <c r="A293" s="2">
        <v>292</v>
      </c>
      <c r="B293" s="2" t="s">
        <v>843</v>
      </c>
      <c r="C293" s="2" t="s">
        <v>394</v>
      </c>
      <c r="D293" s="2" t="s">
        <v>15</v>
      </c>
      <c r="E293" s="2" t="s">
        <v>16</v>
      </c>
      <c r="F293" s="2">
        <v>60</v>
      </c>
      <c r="G293" s="2" t="s">
        <v>1143</v>
      </c>
      <c r="H293" s="2" t="s">
        <v>951</v>
      </c>
      <c r="I293" s="2" t="s">
        <v>95</v>
      </c>
      <c r="J293" s="3">
        <v>44622</v>
      </c>
      <c r="K293" s="2">
        <v>4</v>
      </c>
      <c r="L293" s="2" t="s">
        <v>33</v>
      </c>
      <c r="M293" s="3"/>
    </row>
    <row r="294" spans="1:13" x14ac:dyDescent="0.3">
      <c r="A294" s="2">
        <v>293</v>
      </c>
      <c r="B294" s="2" t="s">
        <v>1144</v>
      </c>
      <c r="C294" s="2" t="s">
        <v>1145</v>
      </c>
      <c r="D294" s="2" t="s">
        <v>117</v>
      </c>
      <c r="E294" s="2" t="s">
        <v>16</v>
      </c>
      <c r="F294" s="2">
        <v>60</v>
      </c>
      <c r="G294" s="2" t="s">
        <v>1146</v>
      </c>
      <c r="H294" s="2" t="s">
        <v>182</v>
      </c>
      <c r="I294" s="2" t="s">
        <v>32</v>
      </c>
      <c r="J294" s="3">
        <v>44733</v>
      </c>
      <c r="K294" s="2">
        <v>29</v>
      </c>
      <c r="L294" s="2" t="s">
        <v>80</v>
      </c>
      <c r="M294" s="3"/>
    </row>
    <row r="295" spans="1:13" x14ac:dyDescent="0.3">
      <c r="A295" s="2">
        <v>294</v>
      </c>
      <c r="B295" s="2" t="s">
        <v>1147</v>
      </c>
      <c r="C295" s="2" t="s">
        <v>1148</v>
      </c>
      <c r="D295" s="2" t="s">
        <v>28</v>
      </c>
      <c r="E295" s="2" t="s">
        <v>29</v>
      </c>
      <c r="F295" s="2">
        <v>30</v>
      </c>
      <c r="G295" s="2" t="s">
        <v>1149</v>
      </c>
      <c r="H295" s="2" t="s">
        <v>1150</v>
      </c>
      <c r="I295" s="2" t="s">
        <v>32</v>
      </c>
      <c r="J295" s="3">
        <v>44023</v>
      </c>
      <c r="K295" s="2">
        <v>48</v>
      </c>
      <c r="L295" s="2" t="s">
        <v>45</v>
      </c>
      <c r="M295" s="3"/>
    </row>
    <row r="296" spans="1:13" x14ac:dyDescent="0.3">
      <c r="A296" s="2">
        <v>295</v>
      </c>
      <c r="B296" s="2" t="s">
        <v>1151</v>
      </c>
      <c r="C296" s="2" t="s">
        <v>1152</v>
      </c>
      <c r="D296" s="2" t="s">
        <v>15</v>
      </c>
      <c r="E296" s="2" t="s">
        <v>16</v>
      </c>
      <c r="F296" s="2">
        <v>30</v>
      </c>
      <c r="G296" s="2" t="s">
        <v>1153</v>
      </c>
      <c r="H296" s="2" t="s">
        <v>917</v>
      </c>
      <c r="I296" s="2" t="s">
        <v>32</v>
      </c>
      <c r="J296" s="3">
        <v>44625</v>
      </c>
      <c r="K296" s="2">
        <v>11</v>
      </c>
      <c r="L296" s="2" t="s">
        <v>64</v>
      </c>
      <c r="M296" s="3"/>
    </row>
    <row r="297" spans="1:13" x14ac:dyDescent="0.3">
      <c r="A297" s="2">
        <v>296</v>
      </c>
      <c r="B297" s="2" t="s">
        <v>34</v>
      </c>
      <c r="C297" s="2" t="s">
        <v>1154</v>
      </c>
      <c r="D297" s="2" t="s">
        <v>28</v>
      </c>
      <c r="E297" s="2" t="s">
        <v>29</v>
      </c>
      <c r="F297" s="2">
        <v>30</v>
      </c>
      <c r="G297" s="2" t="s">
        <v>1155</v>
      </c>
      <c r="H297" s="2" t="s">
        <v>1156</v>
      </c>
      <c r="I297" s="2" t="s">
        <v>1157</v>
      </c>
      <c r="J297" s="3">
        <v>44863</v>
      </c>
      <c r="K297" s="2">
        <v>72</v>
      </c>
      <c r="L297" s="2" t="s">
        <v>70</v>
      </c>
      <c r="M297" s="3"/>
    </row>
    <row r="298" spans="1:13" x14ac:dyDescent="0.3">
      <c r="A298" s="2">
        <v>297</v>
      </c>
      <c r="B298" s="2" t="s">
        <v>1158</v>
      </c>
      <c r="C298" s="2" t="s">
        <v>1159</v>
      </c>
      <c r="D298" s="2" t="s">
        <v>28</v>
      </c>
      <c r="E298" s="2" t="s">
        <v>29</v>
      </c>
      <c r="F298" s="2">
        <v>60</v>
      </c>
      <c r="G298" s="2" t="s">
        <v>1155</v>
      </c>
      <c r="H298" s="2" t="s">
        <v>1160</v>
      </c>
      <c r="I298" s="2" t="s">
        <v>25</v>
      </c>
      <c r="J298" s="3">
        <v>44018</v>
      </c>
      <c r="K298" s="2">
        <v>14</v>
      </c>
      <c r="L298" s="2" t="s">
        <v>33</v>
      </c>
      <c r="M298" s="3"/>
    </row>
    <row r="299" spans="1:13" x14ac:dyDescent="0.3">
      <c r="A299" s="2">
        <v>298</v>
      </c>
      <c r="B299" s="2" t="s">
        <v>1161</v>
      </c>
      <c r="C299" s="2" t="s">
        <v>1162</v>
      </c>
      <c r="D299" s="2" t="s">
        <v>41</v>
      </c>
      <c r="E299" s="2" t="s">
        <v>16</v>
      </c>
      <c r="F299" s="2">
        <v>30</v>
      </c>
      <c r="G299" s="2" t="s">
        <v>1163</v>
      </c>
      <c r="H299" s="2" t="s">
        <v>1164</v>
      </c>
      <c r="I299" s="2" t="s">
        <v>89</v>
      </c>
      <c r="J299" s="3">
        <v>44701</v>
      </c>
      <c r="K299" s="2">
        <v>70</v>
      </c>
      <c r="L299" s="2" t="s">
        <v>101</v>
      </c>
      <c r="M299" s="3"/>
    </row>
    <row r="300" spans="1:13" x14ac:dyDescent="0.3">
      <c r="A300" s="2">
        <v>299</v>
      </c>
      <c r="B300" s="2" t="s">
        <v>1165</v>
      </c>
      <c r="C300" s="2" t="s">
        <v>1166</v>
      </c>
      <c r="D300" s="2" t="s">
        <v>41</v>
      </c>
      <c r="E300" s="2" t="s">
        <v>16</v>
      </c>
      <c r="F300" s="2">
        <v>30</v>
      </c>
      <c r="G300" s="2" t="s">
        <v>1167</v>
      </c>
      <c r="H300" s="2" t="s">
        <v>1168</v>
      </c>
      <c r="I300" s="2" t="s">
        <v>32</v>
      </c>
      <c r="J300" s="3">
        <v>43913</v>
      </c>
      <c r="K300" s="2">
        <v>82</v>
      </c>
      <c r="L300" s="2" t="s">
        <v>80</v>
      </c>
      <c r="M300" s="3"/>
    </row>
    <row r="301" spans="1:13" x14ac:dyDescent="0.3">
      <c r="A301" s="2">
        <v>300</v>
      </c>
      <c r="B301" s="2" t="s">
        <v>1169</v>
      </c>
      <c r="C301" s="2" t="s">
        <v>1170</v>
      </c>
      <c r="D301" s="2" t="s">
        <v>28</v>
      </c>
      <c r="E301" s="2" t="s">
        <v>29</v>
      </c>
      <c r="F301" s="2">
        <v>60</v>
      </c>
      <c r="G301" s="2" t="s">
        <v>1171</v>
      </c>
      <c r="H301" s="2" t="s">
        <v>534</v>
      </c>
      <c r="I301" s="2" t="s">
        <v>32</v>
      </c>
      <c r="J301" s="3">
        <v>44493</v>
      </c>
      <c r="K301" s="2">
        <v>44</v>
      </c>
      <c r="L301" s="2" t="s">
        <v>54</v>
      </c>
      <c r="M301" s="3"/>
    </row>
    <row r="302" spans="1:13" x14ac:dyDescent="0.3">
      <c r="A302" s="2">
        <v>301</v>
      </c>
      <c r="B302" s="2" t="s">
        <v>1169</v>
      </c>
      <c r="C302" s="2" t="s">
        <v>1170</v>
      </c>
      <c r="D302" s="2" t="s">
        <v>28</v>
      </c>
      <c r="E302" s="2" t="s">
        <v>29</v>
      </c>
      <c r="F302" s="2">
        <v>60</v>
      </c>
      <c r="G302" s="2" t="s">
        <v>1171</v>
      </c>
      <c r="H302" s="2" t="s">
        <v>534</v>
      </c>
      <c r="I302" s="2" t="s">
        <v>32</v>
      </c>
      <c r="J302" s="3">
        <v>44493</v>
      </c>
      <c r="K302" s="2">
        <v>44</v>
      </c>
      <c r="L302" s="2" t="s">
        <v>54</v>
      </c>
      <c r="M302" s="3"/>
    </row>
    <row r="303" spans="1:13" x14ac:dyDescent="0.3">
      <c r="A303" s="2">
        <v>302</v>
      </c>
      <c r="B303" s="2" t="s">
        <v>612</v>
      </c>
      <c r="C303" s="2" t="s">
        <v>1172</v>
      </c>
      <c r="D303" s="2" t="s">
        <v>28</v>
      </c>
      <c r="E303" s="2" t="s">
        <v>29</v>
      </c>
      <c r="F303" s="2">
        <v>90</v>
      </c>
      <c r="G303" s="2" t="s">
        <v>1171</v>
      </c>
      <c r="H303" s="2" t="s">
        <v>1173</v>
      </c>
      <c r="I303" s="2" t="s">
        <v>32</v>
      </c>
      <c r="J303" s="3">
        <v>44256</v>
      </c>
      <c r="K303" s="2">
        <v>18</v>
      </c>
      <c r="L303" s="2" t="s">
        <v>70</v>
      </c>
      <c r="M303" s="3"/>
    </row>
    <row r="304" spans="1:13" x14ac:dyDescent="0.3">
      <c r="A304" s="2">
        <v>303</v>
      </c>
      <c r="B304" s="2" t="s">
        <v>1174</v>
      </c>
      <c r="C304" s="2" t="s">
        <v>1175</v>
      </c>
      <c r="D304" s="2" t="s">
        <v>15</v>
      </c>
      <c r="E304" s="2" t="s">
        <v>16</v>
      </c>
      <c r="F304" s="2">
        <v>30</v>
      </c>
      <c r="G304" s="2" t="s">
        <v>1176</v>
      </c>
      <c r="H304" s="2" t="s">
        <v>1177</v>
      </c>
      <c r="I304" s="2" t="s">
        <v>32</v>
      </c>
      <c r="J304" s="3">
        <v>44160</v>
      </c>
      <c r="K304" s="2">
        <v>8</v>
      </c>
      <c r="L304" s="2" t="s">
        <v>80</v>
      </c>
      <c r="M304" s="3"/>
    </row>
    <row r="305" spans="1:13" x14ac:dyDescent="0.3">
      <c r="A305" s="2">
        <v>304</v>
      </c>
      <c r="B305" s="2" t="s">
        <v>1178</v>
      </c>
      <c r="C305" s="2" t="s">
        <v>1179</v>
      </c>
      <c r="D305" s="2" t="s">
        <v>51</v>
      </c>
      <c r="E305" s="2" t="s">
        <v>16</v>
      </c>
      <c r="F305" s="2">
        <v>90</v>
      </c>
      <c r="G305" s="2" t="s">
        <v>1180</v>
      </c>
      <c r="H305" s="2" t="s">
        <v>702</v>
      </c>
      <c r="I305" s="2" t="s">
        <v>703</v>
      </c>
      <c r="J305" s="3">
        <v>44857</v>
      </c>
      <c r="K305" s="2">
        <v>5</v>
      </c>
      <c r="L305" s="2" t="s">
        <v>39</v>
      </c>
      <c r="M305" s="3"/>
    </row>
    <row r="306" spans="1:13" x14ac:dyDescent="0.3">
      <c r="A306" s="2">
        <v>305</v>
      </c>
      <c r="B306" s="2" t="s">
        <v>1181</v>
      </c>
      <c r="C306" s="2" t="s">
        <v>1182</v>
      </c>
      <c r="D306" s="2" t="s">
        <v>15</v>
      </c>
      <c r="E306" s="2" t="s">
        <v>16</v>
      </c>
      <c r="F306" s="2">
        <v>90</v>
      </c>
      <c r="G306" s="2" t="s">
        <v>1183</v>
      </c>
      <c r="H306" s="2" t="s">
        <v>1184</v>
      </c>
      <c r="I306" s="2" t="s">
        <v>886</v>
      </c>
      <c r="J306" s="3">
        <v>44891</v>
      </c>
      <c r="K306" s="2">
        <v>36</v>
      </c>
      <c r="L306" s="2" t="s">
        <v>80</v>
      </c>
      <c r="M306" s="3"/>
    </row>
    <row r="307" spans="1:13" x14ac:dyDescent="0.3">
      <c r="A307" s="2">
        <v>306</v>
      </c>
      <c r="B307" s="2" t="s">
        <v>935</v>
      </c>
      <c r="C307" s="2" t="s">
        <v>196</v>
      </c>
      <c r="D307" s="2" t="s">
        <v>28</v>
      </c>
      <c r="E307" s="2" t="s">
        <v>29</v>
      </c>
      <c r="F307" s="2">
        <v>30</v>
      </c>
      <c r="G307" s="2" t="s">
        <v>1185</v>
      </c>
      <c r="H307" s="2" t="s">
        <v>1186</v>
      </c>
      <c r="I307" s="2" t="s">
        <v>32</v>
      </c>
      <c r="J307" s="3">
        <v>44042</v>
      </c>
      <c r="K307" s="2">
        <v>65</v>
      </c>
      <c r="L307" s="2" t="s">
        <v>54</v>
      </c>
      <c r="M307" s="3"/>
    </row>
    <row r="308" spans="1:13" x14ac:dyDescent="0.3">
      <c r="A308" s="2">
        <v>307</v>
      </c>
      <c r="B308" s="2" t="s">
        <v>1187</v>
      </c>
      <c r="C308" s="2" t="s">
        <v>1188</v>
      </c>
      <c r="D308" s="2" t="s">
        <v>28</v>
      </c>
      <c r="E308" s="2" t="s">
        <v>29</v>
      </c>
      <c r="F308" s="2">
        <v>30</v>
      </c>
      <c r="G308" s="2" t="s">
        <v>1189</v>
      </c>
      <c r="H308" s="2" t="s">
        <v>1190</v>
      </c>
      <c r="I308" s="2" t="s">
        <v>173</v>
      </c>
      <c r="J308" s="3">
        <v>44681</v>
      </c>
      <c r="K308" s="2">
        <v>3</v>
      </c>
      <c r="L308" s="2" t="s">
        <v>80</v>
      </c>
      <c r="M308" s="3"/>
    </row>
    <row r="309" spans="1:13" x14ac:dyDescent="0.3">
      <c r="A309" s="2">
        <v>308</v>
      </c>
      <c r="B309" s="2" t="s">
        <v>1191</v>
      </c>
      <c r="C309" s="2" t="s">
        <v>1192</v>
      </c>
      <c r="D309" s="2" t="s">
        <v>28</v>
      </c>
      <c r="E309" s="2" t="s">
        <v>29</v>
      </c>
      <c r="F309" s="2">
        <v>90</v>
      </c>
      <c r="G309" s="2" t="s">
        <v>1193</v>
      </c>
      <c r="H309" s="2" t="s">
        <v>1194</v>
      </c>
      <c r="I309" s="2" t="s">
        <v>38</v>
      </c>
      <c r="J309" s="3">
        <v>44556</v>
      </c>
      <c r="K309" s="2">
        <v>22</v>
      </c>
      <c r="L309" s="2" t="s">
        <v>101</v>
      </c>
      <c r="M309" s="3"/>
    </row>
    <row r="310" spans="1:13" x14ac:dyDescent="0.3">
      <c r="A310" s="2">
        <v>309</v>
      </c>
      <c r="B310" s="2" t="s">
        <v>1195</v>
      </c>
      <c r="C310" s="2" t="s">
        <v>1196</v>
      </c>
      <c r="D310" s="2" t="s">
        <v>15</v>
      </c>
      <c r="E310" s="2" t="s">
        <v>16</v>
      </c>
      <c r="F310" s="2">
        <v>90</v>
      </c>
      <c r="G310" s="2" t="s">
        <v>1197</v>
      </c>
      <c r="H310" s="2" t="s">
        <v>1198</v>
      </c>
      <c r="I310" s="2" t="s">
        <v>1199</v>
      </c>
      <c r="J310" s="3">
        <v>44298</v>
      </c>
      <c r="K310" s="2">
        <v>4</v>
      </c>
      <c r="L310" s="2" t="s">
        <v>64</v>
      </c>
      <c r="M310" s="3"/>
    </row>
    <row r="311" spans="1:13" x14ac:dyDescent="0.3">
      <c r="A311" s="2">
        <v>310</v>
      </c>
      <c r="B311" s="2" t="s">
        <v>1200</v>
      </c>
      <c r="C311" s="2" t="s">
        <v>441</v>
      </c>
      <c r="D311" s="2" t="s">
        <v>28</v>
      </c>
      <c r="E311" s="2" t="s">
        <v>29</v>
      </c>
      <c r="F311" s="2">
        <v>60</v>
      </c>
      <c r="G311" s="2" t="s">
        <v>1201</v>
      </c>
      <c r="H311" s="2" t="s">
        <v>1202</v>
      </c>
      <c r="I311" s="2" t="s">
        <v>32</v>
      </c>
      <c r="J311" s="3">
        <v>44534</v>
      </c>
      <c r="K311" s="2">
        <v>60</v>
      </c>
      <c r="L311" s="2" t="s">
        <v>54</v>
      </c>
      <c r="M311" s="3"/>
    </row>
    <row r="312" spans="1:13" x14ac:dyDescent="0.3">
      <c r="A312" s="2">
        <v>311</v>
      </c>
      <c r="B312" s="2" t="s">
        <v>1203</v>
      </c>
      <c r="C312" s="2" t="s">
        <v>1204</v>
      </c>
      <c r="D312" s="2" t="s">
        <v>51</v>
      </c>
      <c r="E312" s="2" t="s">
        <v>16</v>
      </c>
      <c r="F312" s="2">
        <v>60</v>
      </c>
      <c r="G312" s="2" t="s">
        <v>1205</v>
      </c>
      <c r="H312" s="2" t="s">
        <v>1206</v>
      </c>
      <c r="I312" s="2" t="s">
        <v>294</v>
      </c>
      <c r="J312" s="3">
        <v>44359</v>
      </c>
      <c r="K312" s="2">
        <v>4</v>
      </c>
      <c r="L312" s="2" t="s">
        <v>159</v>
      </c>
      <c r="M312" s="3"/>
    </row>
    <row r="313" spans="1:13" x14ac:dyDescent="0.3">
      <c r="A313" s="2">
        <v>312</v>
      </c>
      <c r="B313" s="2" t="s">
        <v>1207</v>
      </c>
      <c r="C313" s="2" t="s">
        <v>1208</v>
      </c>
      <c r="D313" s="2" t="s">
        <v>28</v>
      </c>
      <c r="E313" s="2" t="s">
        <v>29</v>
      </c>
      <c r="F313" s="2">
        <v>90</v>
      </c>
      <c r="G313" s="2" t="s">
        <v>1209</v>
      </c>
      <c r="H313" s="2" t="s">
        <v>1210</v>
      </c>
      <c r="I313" s="2" t="s">
        <v>294</v>
      </c>
      <c r="J313" s="3">
        <v>44920</v>
      </c>
      <c r="K313" s="2">
        <v>104</v>
      </c>
      <c r="L313" s="2" t="s">
        <v>45</v>
      </c>
      <c r="M313" s="3"/>
    </row>
    <row r="314" spans="1:13" x14ac:dyDescent="0.3">
      <c r="A314" s="2">
        <v>313</v>
      </c>
      <c r="B314" s="2" t="s">
        <v>1211</v>
      </c>
      <c r="C314" s="2" t="s">
        <v>1212</v>
      </c>
      <c r="D314" s="2" t="s">
        <v>28</v>
      </c>
      <c r="E314" s="2" t="s">
        <v>29</v>
      </c>
      <c r="F314" s="2">
        <v>30</v>
      </c>
      <c r="G314" s="2" t="s">
        <v>1213</v>
      </c>
      <c r="H314" s="2" t="s">
        <v>1214</v>
      </c>
      <c r="I314" s="2" t="s">
        <v>32</v>
      </c>
      <c r="J314" s="3">
        <v>43953</v>
      </c>
      <c r="K314" s="2">
        <v>82</v>
      </c>
      <c r="L314" s="2" t="s">
        <v>101</v>
      </c>
      <c r="M314" s="3"/>
    </row>
    <row r="315" spans="1:13" x14ac:dyDescent="0.3">
      <c r="A315" s="2">
        <v>314</v>
      </c>
      <c r="B315" s="2" t="s">
        <v>1215</v>
      </c>
      <c r="C315" s="2" t="s">
        <v>1216</v>
      </c>
      <c r="D315" s="2" t="s">
        <v>51</v>
      </c>
      <c r="E315" s="2" t="s">
        <v>16</v>
      </c>
      <c r="F315" s="2">
        <v>90</v>
      </c>
      <c r="G315" s="2" t="s">
        <v>1217</v>
      </c>
      <c r="H315" s="2" t="s">
        <v>1218</v>
      </c>
      <c r="I315" s="2" t="s">
        <v>294</v>
      </c>
      <c r="J315" s="3">
        <v>44899</v>
      </c>
      <c r="K315" s="2">
        <v>2</v>
      </c>
      <c r="L315" s="2" t="s">
        <v>101</v>
      </c>
      <c r="M315" s="3"/>
    </row>
    <row r="316" spans="1:13" x14ac:dyDescent="0.3">
      <c r="A316" s="2">
        <v>315</v>
      </c>
      <c r="B316" s="2" t="s">
        <v>1129</v>
      </c>
      <c r="C316" s="2" t="s">
        <v>1219</v>
      </c>
      <c r="D316" s="2" t="s">
        <v>28</v>
      </c>
      <c r="E316" s="2" t="s">
        <v>29</v>
      </c>
      <c r="F316" s="2">
        <v>90</v>
      </c>
      <c r="G316" s="2" t="s">
        <v>1220</v>
      </c>
      <c r="H316" s="2" t="s">
        <v>1221</v>
      </c>
      <c r="I316" s="2" t="s">
        <v>124</v>
      </c>
      <c r="J316" s="3">
        <v>44249</v>
      </c>
      <c r="K316" s="2">
        <v>71</v>
      </c>
      <c r="L316" s="2" t="s">
        <v>45</v>
      </c>
      <c r="M316" s="3"/>
    </row>
    <row r="317" spans="1:13" x14ac:dyDescent="0.3">
      <c r="A317" s="2">
        <v>316</v>
      </c>
      <c r="B317" s="2" t="s">
        <v>846</v>
      </c>
      <c r="C317" s="2" t="s">
        <v>1222</v>
      </c>
      <c r="D317" s="2" t="s">
        <v>28</v>
      </c>
      <c r="E317" s="2" t="s">
        <v>29</v>
      </c>
      <c r="F317" s="2">
        <v>90</v>
      </c>
      <c r="G317" s="2" t="s">
        <v>1223</v>
      </c>
      <c r="H317" s="2" t="s">
        <v>1224</v>
      </c>
      <c r="I317" s="2" t="s">
        <v>25</v>
      </c>
      <c r="J317" s="3">
        <v>44036</v>
      </c>
      <c r="K317" s="2">
        <v>75</v>
      </c>
      <c r="L317" s="2" t="s">
        <v>33</v>
      </c>
      <c r="M317" s="3"/>
    </row>
    <row r="318" spans="1:13" x14ac:dyDescent="0.3">
      <c r="A318" s="2">
        <v>317</v>
      </c>
      <c r="B318" s="2" t="s">
        <v>1225</v>
      </c>
      <c r="C318" s="2" t="s">
        <v>1226</v>
      </c>
      <c r="D318" s="2" t="s">
        <v>28</v>
      </c>
      <c r="E318" s="2" t="s">
        <v>29</v>
      </c>
      <c r="F318" s="2">
        <v>90</v>
      </c>
      <c r="G318" s="2" t="s">
        <v>1227</v>
      </c>
      <c r="H318" s="2" t="s">
        <v>1228</v>
      </c>
      <c r="I318" s="2" t="s">
        <v>25</v>
      </c>
      <c r="J318" s="3">
        <v>44758</v>
      </c>
      <c r="K318" s="2">
        <v>45</v>
      </c>
      <c r="L318" s="2" t="s">
        <v>54</v>
      </c>
      <c r="M318" s="3"/>
    </row>
    <row r="319" spans="1:13" x14ac:dyDescent="0.3">
      <c r="A319" s="2">
        <v>318</v>
      </c>
      <c r="B319" s="2" t="s">
        <v>1229</v>
      </c>
      <c r="C319" s="2" t="s">
        <v>1230</v>
      </c>
      <c r="D319" s="2" t="s">
        <v>28</v>
      </c>
      <c r="E319" s="2" t="s">
        <v>29</v>
      </c>
      <c r="F319" s="2">
        <v>30</v>
      </c>
      <c r="G319" s="2" t="s">
        <v>1231</v>
      </c>
      <c r="H319" s="2" t="s">
        <v>1232</v>
      </c>
      <c r="I319" s="2" t="s">
        <v>1233</v>
      </c>
      <c r="J319" s="3">
        <v>44724</v>
      </c>
      <c r="K319" s="2">
        <v>86</v>
      </c>
      <c r="L319" s="2" t="s">
        <v>39</v>
      </c>
      <c r="M319" s="3"/>
    </row>
    <row r="320" spans="1:13" x14ac:dyDescent="0.3">
      <c r="A320" s="2">
        <v>319</v>
      </c>
      <c r="B320" s="2" t="s">
        <v>1234</v>
      </c>
      <c r="C320" s="2" t="s">
        <v>500</v>
      </c>
      <c r="D320" s="2" t="s">
        <v>28</v>
      </c>
      <c r="E320" s="2" t="s">
        <v>29</v>
      </c>
      <c r="F320" s="2">
        <v>60</v>
      </c>
      <c r="G320" s="2" t="s">
        <v>1235</v>
      </c>
      <c r="H320" s="2" t="s">
        <v>99</v>
      </c>
      <c r="I320" s="2" t="s">
        <v>100</v>
      </c>
      <c r="J320" s="3">
        <v>44838</v>
      </c>
      <c r="K320" s="2">
        <v>19</v>
      </c>
      <c r="L320" s="2" t="s">
        <v>64</v>
      </c>
      <c r="M320" s="3"/>
    </row>
    <row r="321" spans="1:13" x14ac:dyDescent="0.3">
      <c r="A321" s="2">
        <v>320</v>
      </c>
      <c r="B321" s="2" t="s">
        <v>1236</v>
      </c>
      <c r="C321" s="2" t="s">
        <v>1237</v>
      </c>
      <c r="D321" s="2" t="s">
        <v>51</v>
      </c>
      <c r="E321" s="2" t="s">
        <v>16</v>
      </c>
      <c r="F321" s="2">
        <v>90</v>
      </c>
      <c r="G321" s="2" t="s">
        <v>1238</v>
      </c>
      <c r="H321" s="2" t="s">
        <v>746</v>
      </c>
      <c r="I321" s="2" t="s">
        <v>32</v>
      </c>
      <c r="J321" s="3">
        <v>44358</v>
      </c>
      <c r="K321" s="2">
        <v>85</v>
      </c>
      <c r="L321" s="2" t="s">
        <v>45</v>
      </c>
      <c r="M321" s="3"/>
    </row>
    <row r="322" spans="1:13" x14ac:dyDescent="0.3">
      <c r="A322" s="2">
        <v>321</v>
      </c>
      <c r="B322" s="2" t="s">
        <v>1239</v>
      </c>
      <c r="C322" s="2" t="s">
        <v>1240</v>
      </c>
      <c r="D322" s="2" t="s">
        <v>28</v>
      </c>
      <c r="E322" s="2" t="s">
        <v>29</v>
      </c>
      <c r="F322" s="2">
        <v>90</v>
      </c>
      <c r="G322" s="2" t="s">
        <v>1241</v>
      </c>
      <c r="H322" s="2" t="s">
        <v>1242</v>
      </c>
      <c r="I322" s="2" t="s">
        <v>38</v>
      </c>
      <c r="J322" s="3">
        <v>44625</v>
      </c>
      <c r="K322" s="2">
        <v>104</v>
      </c>
      <c r="L322" s="2" t="s">
        <v>64</v>
      </c>
      <c r="M322" s="3"/>
    </row>
    <row r="323" spans="1:13" x14ac:dyDescent="0.3">
      <c r="A323" s="2">
        <v>322</v>
      </c>
      <c r="B323" s="2" t="s">
        <v>1243</v>
      </c>
      <c r="C323" s="2" t="s">
        <v>1244</v>
      </c>
      <c r="D323" s="2" t="s">
        <v>28</v>
      </c>
      <c r="E323" s="2" t="s">
        <v>29</v>
      </c>
      <c r="F323" s="2">
        <v>30</v>
      </c>
      <c r="G323" s="2" t="s">
        <v>1245</v>
      </c>
      <c r="H323" s="2" t="s">
        <v>145</v>
      </c>
      <c r="I323" s="2" t="s">
        <v>146</v>
      </c>
      <c r="J323" s="3">
        <v>43887</v>
      </c>
      <c r="K323" s="2">
        <v>18</v>
      </c>
      <c r="L323" s="2" t="s">
        <v>70</v>
      </c>
      <c r="M323" s="3"/>
    </row>
    <row r="324" spans="1:13" x14ac:dyDescent="0.3">
      <c r="A324" s="2">
        <v>323</v>
      </c>
      <c r="B324" s="2" t="s">
        <v>1246</v>
      </c>
      <c r="C324" s="2" t="s">
        <v>1247</v>
      </c>
      <c r="D324" s="2" t="s">
        <v>28</v>
      </c>
      <c r="E324" s="2" t="s">
        <v>29</v>
      </c>
      <c r="F324" s="2">
        <v>60</v>
      </c>
      <c r="G324" s="2" t="s">
        <v>1248</v>
      </c>
      <c r="H324" s="2" t="s">
        <v>1249</v>
      </c>
      <c r="I324" s="2" t="s">
        <v>146</v>
      </c>
      <c r="J324" s="3">
        <v>44006</v>
      </c>
      <c r="K324" s="2">
        <v>67</v>
      </c>
      <c r="L324" s="2" t="s">
        <v>159</v>
      </c>
      <c r="M324" s="3"/>
    </row>
    <row r="325" spans="1:13" x14ac:dyDescent="0.3">
      <c r="A325" s="2">
        <v>324</v>
      </c>
      <c r="B325" s="2" t="s">
        <v>1250</v>
      </c>
      <c r="C325" s="2" t="s">
        <v>1251</v>
      </c>
      <c r="D325" s="2" t="s">
        <v>51</v>
      </c>
      <c r="E325" s="2" t="s">
        <v>16</v>
      </c>
      <c r="F325" s="2">
        <v>30</v>
      </c>
      <c r="G325" s="2" t="s">
        <v>1252</v>
      </c>
      <c r="H325" s="2" t="s">
        <v>1253</v>
      </c>
      <c r="I325" s="2" t="s">
        <v>32</v>
      </c>
      <c r="J325" s="3">
        <v>44573</v>
      </c>
      <c r="K325" s="2">
        <v>68</v>
      </c>
      <c r="L325" s="2" t="s">
        <v>20</v>
      </c>
      <c r="M325" s="3"/>
    </row>
    <row r="326" spans="1:13" x14ac:dyDescent="0.3">
      <c r="A326" s="2">
        <v>325</v>
      </c>
      <c r="B326" s="2" t="s">
        <v>1250</v>
      </c>
      <c r="C326" s="2" t="s">
        <v>1251</v>
      </c>
      <c r="D326" s="2" t="s">
        <v>51</v>
      </c>
      <c r="E326" s="2" t="s">
        <v>16</v>
      </c>
      <c r="F326" s="2">
        <v>30</v>
      </c>
      <c r="G326" s="2" t="s">
        <v>1252</v>
      </c>
      <c r="H326" s="2" t="s">
        <v>1253</v>
      </c>
      <c r="I326" s="2" t="s">
        <v>32</v>
      </c>
      <c r="J326" s="3">
        <v>44573</v>
      </c>
      <c r="K326" s="2">
        <v>68</v>
      </c>
      <c r="L326" s="2" t="s">
        <v>20</v>
      </c>
      <c r="M326" s="3"/>
    </row>
    <row r="327" spans="1:13" x14ac:dyDescent="0.3">
      <c r="A327" s="2">
        <v>326</v>
      </c>
      <c r="B327" s="2" t="s">
        <v>1254</v>
      </c>
      <c r="C327" s="2" t="s">
        <v>948</v>
      </c>
      <c r="D327" s="2" t="s">
        <v>15</v>
      </c>
      <c r="E327" s="2" t="s">
        <v>16</v>
      </c>
      <c r="F327" s="2">
        <v>60</v>
      </c>
      <c r="G327" s="2" t="s">
        <v>1255</v>
      </c>
      <c r="H327" s="2" t="s">
        <v>1256</v>
      </c>
      <c r="I327" s="2" t="s">
        <v>32</v>
      </c>
      <c r="J327" s="3">
        <v>44561</v>
      </c>
      <c r="K327" s="2">
        <v>54</v>
      </c>
      <c r="L327" s="2" t="s">
        <v>70</v>
      </c>
      <c r="M327" s="3"/>
    </row>
    <row r="328" spans="1:13" x14ac:dyDescent="0.3">
      <c r="A328" s="2">
        <v>327</v>
      </c>
      <c r="B328" s="2" t="s">
        <v>752</v>
      </c>
      <c r="C328" s="2" t="s">
        <v>394</v>
      </c>
      <c r="D328" s="2" t="s">
        <v>28</v>
      </c>
      <c r="E328" s="2" t="s">
        <v>29</v>
      </c>
      <c r="F328" s="2">
        <v>60</v>
      </c>
      <c r="G328" s="2" t="s">
        <v>1257</v>
      </c>
      <c r="H328" s="2" t="s">
        <v>1258</v>
      </c>
      <c r="I328" s="2" t="s">
        <v>32</v>
      </c>
      <c r="J328" s="3">
        <v>44817</v>
      </c>
      <c r="K328" s="2">
        <v>42</v>
      </c>
      <c r="L328" s="2" t="s">
        <v>20</v>
      </c>
      <c r="M328" s="3"/>
    </row>
    <row r="329" spans="1:13" x14ac:dyDescent="0.3">
      <c r="A329" s="2">
        <v>328</v>
      </c>
      <c r="B329" s="2" t="s">
        <v>351</v>
      </c>
      <c r="C329" s="2" t="s">
        <v>1259</v>
      </c>
      <c r="D329" s="2" t="s">
        <v>51</v>
      </c>
      <c r="E329" s="2" t="s">
        <v>16</v>
      </c>
      <c r="F329" s="2">
        <v>30</v>
      </c>
      <c r="G329" s="2" t="s">
        <v>1260</v>
      </c>
      <c r="H329" s="2" t="s">
        <v>1261</v>
      </c>
      <c r="I329" s="2" t="s">
        <v>32</v>
      </c>
      <c r="J329" s="3">
        <v>44820</v>
      </c>
      <c r="K329" s="2">
        <v>86</v>
      </c>
      <c r="L329" s="2" t="s">
        <v>101</v>
      </c>
      <c r="M329" s="3"/>
    </row>
    <row r="330" spans="1:13" x14ac:dyDescent="0.3">
      <c r="A330" s="2">
        <v>329</v>
      </c>
      <c r="B330" s="2" t="s">
        <v>1262</v>
      </c>
      <c r="C330" s="2" t="s">
        <v>1263</v>
      </c>
      <c r="D330" s="2" t="s">
        <v>28</v>
      </c>
      <c r="E330" s="2" t="s">
        <v>29</v>
      </c>
      <c r="F330" s="2">
        <v>60</v>
      </c>
      <c r="G330" s="2" t="s">
        <v>1264</v>
      </c>
      <c r="H330" s="2" t="s">
        <v>1265</v>
      </c>
      <c r="I330" s="2" t="s">
        <v>32</v>
      </c>
      <c r="J330" s="3">
        <v>43939</v>
      </c>
      <c r="K330" s="2">
        <v>49</v>
      </c>
      <c r="L330" s="2" t="s">
        <v>39</v>
      </c>
      <c r="M330" s="3"/>
    </row>
    <row r="331" spans="1:13" x14ac:dyDescent="0.3">
      <c r="A331" s="2">
        <v>330</v>
      </c>
      <c r="B331" s="2" t="s">
        <v>1266</v>
      </c>
      <c r="C331" s="2" t="s">
        <v>1267</v>
      </c>
      <c r="D331" s="2" t="s">
        <v>51</v>
      </c>
      <c r="E331" s="2" t="s">
        <v>16</v>
      </c>
      <c r="F331" s="2">
        <v>90</v>
      </c>
      <c r="G331" s="2" t="s">
        <v>1268</v>
      </c>
      <c r="H331" s="2" t="s">
        <v>1269</v>
      </c>
      <c r="I331" s="2" t="s">
        <v>187</v>
      </c>
      <c r="J331" s="3">
        <v>44622</v>
      </c>
      <c r="K331" s="2">
        <v>15</v>
      </c>
      <c r="L331" s="2" t="s">
        <v>159</v>
      </c>
      <c r="M331" s="3"/>
    </row>
    <row r="332" spans="1:13" x14ac:dyDescent="0.3">
      <c r="A332" s="2">
        <v>331</v>
      </c>
      <c r="B332" s="2" t="s">
        <v>559</v>
      </c>
      <c r="C332" s="2" t="s">
        <v>1270</v>
      </c>
      <c r="D332" s="2" t="s">
        <v>51</v>
      </c>
      <c r="E332" s="2" t="s">
        <v>16</v>
      </c>
      <c r="F332" s="2">
        <v>60</v>
      </c>
      <c r="G332" s="2" t="s">
        <v>1271</v>
      </c>
      <c r="H332" s="2" t="s">
        <v>1272</v>
      </c>
      <c r="I332" s="2" t="s">
        <v>59</v>
      </c>
      <c r="J332" s="3">
        <v>44413</v>
      </c>
      <c r="K332" s="2">
        <v>42</v>
      </c>
      <c r="L332" s="2" t="s">
        <v>64</v>
      </c>
      <c r="M332" s="3"/>
    </row>
    <row r="333" spans="1:13" x14ac:dyDescent="0.3">
      <c r="A333" s="2">
        <v>332</v>
      </c>
      <c r="B333" s="2" t="s">
        <v>1273</v>
      </c>
      <c r="C333" s="2" t="s">
        <v>1274</v>
      </c>
      <c r="D333" s="2" t="s">
        <v>28</v>
      </c>
      <c r="E333" s="2" t="s">
        <v>29</v>
      </c>
      <c r="F333" s="2">
        <v>60</v>
      </c>
      <c r="G333" s="2" t="s">
        <v>1275</v>
      </c>
      <c r="H333" s="2" t="s">
        <v>1276</v>
      </c>
      <c r="I333" s="2" t="s">
        <v>32</v>
      </c>
      <c r="J333" s="3">
        <v>43886</v>
      </c>
      <c r="K333" s="2">
        <v>36</v>
      </c>
      <c r="L333" s="2" t="s">
        <v>80</v>
      </c>
      <c r="M333" s="3"/>
    </row>
    <row r="334" spans="1:13" x14ac:dyDescent="0.3">
      <c r="A334" s="2">
        <v>333</v>
      </c>
      <c r="B334" s="2" t="s">
        <v>1277</v>
      </c>
      <c r="C334" s="2" t="s">
        <v>1278</v>
      </c>
      <c r="D334" s="2" t="s">
        <v>51</v>
      </c>
      <c r="E334" s="2" t="s">
        <v>16</v>
      </c>
      <c r="F334" s="2">
        <v>90</v>
      </c>
      <c r="G334" s="2" t="s">
        <v>1279</v>
      </c>
      <c r="H334" s="2" t="s">
        <v>1280</v>
      </c>
      <c r="I334" s="2" t="s">
        <v>95</v>
      </c>
      <c r="J334" s="3">
        <v>44749</v>
      </c>
      <c r="K334" s="2">
        <v>14</v>
      </c>
      <c r="L334" s="2" t="s">
        <v>64</v>
      </c>
      <c r="M334" s="3"/>
    </row>
    <row r="335" spans="1:13" x14ac:dyDescent="0.3">
      <c r="A335" s="2">
        <v>334</v>
      </c>
      <c r="B335" s="2" t="s">
        <v>1281</v>
      </c>
      <c r="C335" s="2" t="s">
        <v>1282</v>
      </c>
      <c r="D335" s="2" t="s">
        <v>28</v>
      </c>
      <c r="E335" s="2" t="s">
        <v>29</v>
      </c>
      <c r="F335" s="2">
        <v>60</v>
      </c>
      <c r="G335" s="2" t="s">
        <v>1283</v>
      </c>
      <c r="H335" s="2" t="s">
        <v>1284</v>
      </c>
      <c r="I335" s="2" t="s">
        <v>32</v>
      </c>
      <c r="J335" s="3">
        <v>43841</v>
      </c>
      <c r="K335" s="2">
        <v>73</v>
      </c>
      <c r="L335" s="2" t="s">
        <v>64</v>
      </c>
      <c r="M335" s="3"/>
    </row>
    <row r="336" spans="1:13" x14ac:dyDescent="0.3">
      <c r="A336" s="2">
        <v>335</v>
      </c>
      <c r="B336" s="2" t="s">
        <v>1285</v>
      </c>
      <c r="C336" s="2" t="s">
        <v>1286</v>
      </c>
      <c r="D336" s="2" t="s">
        <v>15</v>
      </c>
      <c r="E336" s="2" t="s">
        <v>16</v>
      </c>
      <c r="F336" s="2">
        <v>90</v>
      </c>
      <c r="G336" s="2" t="s">
        <v>1287</v>
      </c>
      <c r="H336" s="2" t="s">
        <v>1214</v>
      </c>
      <c r="I336" s="2" t="s">
        <v>32</v>
      </c>
      <c r="J336" s="3">
        <v>44318</v>
      </c>
      <c r="K336" s="2">
        <v>80</v>
      </c>
      <c r="L336" s="2" t="s">
        <v>54</v>
      </c>
      <c r="M336" s="3"/>
    </row>
    <row r="337" spans="1:13" x14ac:dyDescent="0.3">
      <c r="A337" s="2">
        <v>336</v>
      </c>
      <c r="B337" s="2" t="s">
        <v>1288</v>
      </c>
      <c r="C337" s="2" t="s">
        <v>365</v>
      </c>
      <c r="D337" s="2" t="s">
        <v>15</v>
      </c>
      <c r="E337" s="2" t="s">
        <v>16</v>
      </c>
      <c r="F337" s="2">
        <v>30</v>
      </c>
      <c r="G337" s="2" t="s">
        <v>1289</v>
      </c>
      <c r="H337" s="2" t="s">
        <v>637</v>
      </c>
      <c r="I337" s="2" t="s">
        <v>32</v>
      </c>
      <c r="J337" s="3">
        <v>43833</v>
      </c>
      <c r="K337" s="2">
        <v>60</v>
      </c>
      <c r="L337" s="2" t="s">
        <v>70</v>
      </c>
      <c r="M337" s="3"/>
    </row>
    <row r="338" spans="1:13" x14ac:dyDescent="0.3">
      <c r="A338" s="2">
        <v>337</v>
      </c>
      <c r="B338" s="2" t="s">
        <v>1290</v>
      </c>
      <c r="C338" s="2" t="s">
        <v>111</v>
      </c>
      <c r="D338" s="2" t="s">
        <v>15</v>
      </c>
      <c r="E338" s="2" t="s">
        <v>16</v>
      </c>
      <c r="F338" s="2">
        <v>60</v>
      </c>
      <c r="G338" s="2" t="s">
        <v>1291</v>
      </c>
      <c r="H338" s="2" t="s">
        <v>1292</v>
      </c>
      <c r="I338" s="2" t="s">
        <v>32</v>
      </c>
      <c r="J338" s="3">
        <v>44482</v>
      </c>
      <c r="K338" s="2">
        <v>58</v>
      </c>
      <c r="L338" s="2" t="s">
        <v>33</v>
      </c>
      <c r="M338" s="3"/>
    </row>
    <row r="339" spans="1:13" x14ac:dyDescent="0.3">
      <c r="A339" s="2">
        <v>338</v>
      </c>
      <c r="B339" s="2" t="s">
        <v>1293</v>
      </c>
      <c r="C339" s="2" t="s">
        <v>26</v>
      </c>
      <c r="D339" s="2" t="s">
        <v>51</v>
      </c>
      <c r="E339" s="2" t="s">
        <v>16</v>
      </c>
      <c r="F339" s="2">
        <v>30</v>
      </c>
      <c r="G339" s="2" t="s">
        <v>1294</v>
      </c>
      <c r="H339" s="2" t="s">
        <v>1295</v>
      </c>
      <c r="I339" s="2" t="s">
        <v>32</v>
      </c>
      <c r="J339" s="3">
        <v>44344</v>
      </c>
      <c r="K339" s="2">
        <v>70</v>
      </c>
      <c r="L339" s="2" t="s">
        <v>39</v>
      </c>
      <c r="M339" s="3"/>
    </row>
    <row r="340" spans="1:13" x14ac:dyDescent="0.3">
      <c r="A340" s="2">
        <v>339</v>
      </c>
      <c r="B340" s="2" t="s">
        <v>1296</v>
      </c>
      <c r="C340" s="2" t="s">
        <v>1297</v>
      </c>
      <c r="D340" s="2" t="s">
        <v>28</v>
      </c>
      <c r="E340" s="2" t="s">
        <v>29</v>
      </c>
      <c r="F340" s="2">
        <v>30</v>
      </c>
      <c r="G340" s="2" t="s">
        <v>1298</v>
      </c>
      <c r="H340" s="2" t="s">
        <v>1299</v>
      </c>
      <c r="I340" s="2" t="s">
        <v>1199</v>
      </c>
      <c r="J340" s="3">
        <v>44170</v>
      </c>
      <c r="K340" s="2">
        <v>55</v>
      </c>
      <c r="L340" s="2" t="s">
        <v>54</v>
      </c>
      <c r="M340" s="3"/>
    </row>
    <row r="341" spans="1:13" x14ac:dyDescent="0.3">
      <c r="A341" s="2">
        <v>340</v>
      </c>
      <c r="B341" s="2" t="s">
        <v>1300</v>
      </c>
      <c r="C341" s="2" t="s">
        <v>1301</v>
      </c>
      <c r="D341" s="2" t="s">
        <v>28</v>
      </c>
      <c r="E341" s="2" t="s">
        <v>29</v>
      </c>
      <c r="F341" s="2">
        <v>90</v>
      </c>
      <c r="G341" s="2" t="s">
        <v>1302</v>
      </c>
      <c r="H341" s="2" t="s">
        <v>1261</v>
      </c>
      <c r="I341" s="2" t="s">
        <v>32</v>
      </c>
      <c r="J341" s="3">
        <v>44383</v>
      </c>
      <c r="K341" s="2">
        <v>32</v>
      </c>
      <c r="L341" s="2" t="s">
        <v>54</v>
      </c>
      <c r="M341" s="3"/>
    </row>
    <row r="342" spans="1:13" x14ac:dyDescent="0.3">
      <c r="A342" s="2">
        <v>341</v>
      </c>
      <c r="B342" s="2" t="s">
        <v>1303</v>
      </c>
      <c r="C342" s="2" t="s">
        <v>1304</v>
      </c>
      <c r="D342" s="2" t="s">
        <v>41</v>
      </c>
      <c r="E342" s="2" t="s">
        <v>16</v>
      </c>
      <c r="F342" s="2">
        <v>30</v>
      </c>
      <c r="G342" s="2" t="s">
        <v>1305</v>
      </c>
      <c r="H342" s="2" t="s">
        <v>1306</v>
      </c>
      <c r="I342" s="2" t="s">
        <v>32</v>
      </c>
      <c r="J342" s="3">
        <v>44123</v>
      </c>
      <c r="K342" s="2">
        <v>77</v>
      </c>
      <c r="L342" s="2" t="s">
        <v>64</v>
      </c>
      <c r="M342" s="3"/>
    </row>
    <row r="343" spans="1:13" x14ac:dyDescent="0.3">
      <c r="A343" s="2">
        <v>342</v>
      </c>
      <c r="B343" s="2" t="s">
        <v>1307</v>
      </c>
      <c r="C343" s="2" t="s">
        <v>1308</v>
      </c>
      <c r="D343" s="2" t="s">
        <v>28</v>
      </c>
      <c r="E343" s="2" t="s">
        <v>29</v>
      </c>
      <c r="F343" s="2">
        <v>30</v>
      </c>
      <c r="G343" s="2" t="s">
        <v>1309</v>
      </c>
      <c r="H343" s="2" t="s">
        <v>1310</v>
      </c>
      <c r="I343" s="2" t="s">
        <v>1311</v>
      </c>
      <c r="J343" s="3">
        <v>43861</v>
      </c>
      <c r="K343" s="2">
        <v>57</v>
      </c>
      <c r="L343" s="2" t="s">
        <v>101</v>
      </c>
      <c r="M343" s="3"/>
    </row>
    <row r="344" spans="1:13" x14ac:dyDescent="0.3">
      <c r="A344" s="2">
        <v>343</v>
      </c>
      <c r="B344" s="2" t="s">
        <v>1312</v>
      </c>
      <c r="C344" s="2" t="s">
        <v>1313</v>
      </c>
      <c r="D344" s="2" t="s">
        <v>28</v>
      </c>
      <c r="E344" s="2" t="s">
        <v>29</v>
      </c>
      <c r="F344" s="2">
        <v>90</v>
      </c>
      <c r="G344" s="2" t="s">
        <v>1314</v>
      </c>
      <c r="H344" s="2" t="s">
        <v>1315</v>
      </c>
      <c r="I344" s="2" t="s">
        <v>32</v>
      </c>
      <c r="J344" s="3">
        <v>44304</v>
      </c>
      <c r="K344" s="2">
        <v>5</v>
      </c>
      <c r="L344" s="2" t="s">
        <v>64</v>
      </c>
      <c r="M344" s="3"/>
    </row>
    <row r="345" spans="1:13" x14ac:dyDescent="0.3">
      <c r="A345" s="2">
        <v>344</v>
      </c>
      <c r="B345" s="2" t="s">
        <v>1316</v>
      </c>
      <c r="C345" s="2" t="s">
        <v>1317</v>
      </c>
      <c r="D345" s="2" t="s">
        <v>28</v>
      </c>
      <c r="E345" s="2" t="s">
        <v>29</v>
      </c>
      <c r="F345" s="2">
        <v>60</v>
      </c>
      <c r="G345" s="2" t="s">
        <v>1314</v>
      </c>
      <c r="H345" s="2" t="s">
        <v>1318</v>
      </c>
      <c r="I345" s="2" t="s">
        <v>32</v>
      </c>
      <c r="J345" s="3">
        <v>44275</v>
      </c>
      <c r="K345" s="2">
        <v>10</v>
      </c>
      <c r="L345" s="2" t="s">
        <v>64</v>
      </c>
      <c r="M345" s="3"/>
    </row>
    <row r="346" spans="1:13" x14ac:dyDescent="0.3">
      <c r="A346" s="2">
        <v>345</v>
      </c>
      <c r="B346" s="2" t="s">
        <v>1319</v>
      </c>
      <c r="C346" s="2" t="s">
        <v>1320</v>
      </c>
      <c r="D346" s="2" t="s">
        <v>15</v>
      </c>
      <c r="E346" s="2" t="s">
        <v>16</v>
      </c>
      <c r="F346" s="2">
        <v>90</v>
      </c>
      <c r="G346" s="2" t="s">
        <v>1321</v>
      </c>
      <c r="H346" s="2" t="s">
        <v>978</v>
      </c>
      <c r="I346" s="2" t="s">
        <v>294</v>
      </c>
      <c r="J346" s="3">
        <v>44258</v>
      </c>
      <c r="K346" s="2">
        <v>58</v>
      </c>
      <c r="L346" s="2" t="s">
        <v>101</v>
      </c>
      <c r="M346" s="3"/>
    </row>
    <row r="347" spans="1:13" x14ac:dyDescent="0.3">
      <c r="A347" s="2">
        <v>346</v>
      </c>
      <c r="B347" s="2" t="s">
        <v>1322</v>
      </c>
      <c r="C347" s="2" t="s">
        <v>1323</v>
      </c>
      <c r="D347" s="2" t="s">
        <v>15</v>
      </c>
      <c r="E347" s="2" t="s">
        <v>16</v>
      </c>
      <c r="F347" s="2">
        <v>60</v>
      </c>
      <c r="G347" s="2" t="s">
        <v>1324</v>
      </c>
      <c r="H347" s="2" t="s">
        <v>1325</v>
      </c>
      <c r="I347" s="2" t="s">
        <v>187</v>
      </c>
      <c r="J347" s="3">
        <v>44790</v>
      </c>
      <c r="K347" s="2">
        <v>105</v>
      </c>
      <c r="L347" s="2" t="s">
        <v>54</v>
      </c>
      <c r="M347" s="3"/>
    </row>
    <row r="348" spans="1:13" x14ac:dyDescent="0.3">
      <c r="A348" s="2">
        <v>347</v>
      </c>
      <c r="B348" s="2" t="s">
        <v>1326</v>
      </c>
      <c r="C348" s="2" t="s">
        <v>1327</v>
      </c>
      <c r="D348" s="2" t="s">
        <v>28</v>
      </c>
      <c r="E348" s="2" t="s">
        <v>29</v>
      </c>
      <c r="F348" s="2">
        <v>30</v>
      </c>
      <c r="G348" s="2" t="s">
        <v>1328</v>
      </c>
      <c r="H348" s="2" t="s">
        <v>1329</v>
      </c>
      <c r="I348" s="2" t="s">
        <v>95</v>
      </c>
      <c r="J348" s="3">
        <v>43898</v>
      </c>
      <c r="K348" s="2">
        <v>84</v>
      </c>
      <c r="L348" s="2" t="s">
        <v>45</v>
      </c>
      <c r="M348" s="3"/>
    </row>
    <row r="349" spans="1:13" x14ac:dyDescent="0.3">
      <c r="A349" s="2">
        <v>348</v>
      </c>
      <c r="B349" s="2" t="s">
        <v>616</v>
      </c>
      <c r="C349" s="2" t="s">
        <v>1330</v>
      </c>
      <c r="D349" s="2" t="s">
        <v>28</v>
      </c>
      <c r="E349" s="2" t="s">
        <v>29</v>
      </c>
      <c r="F349" s="2">
        <v>60</v>
      </c>
      <c r="G349" s="2" t="s">
        <v>1331</v>
      </c>
      <c r="H349" s="2" t="s">
        <v>1332</v>
      </c>
      <c r="I349" s="2" t="s">
        <v>32</v>
      </c>
      <c r="J349" s="3">
        <v>43937</v>
      </c>
      <c r="K349" s="2">
        <v>35</v>
      </c>
      <c r="L349" s="2" t="s">
        <v>101</v>
      </c>
      <c r="M349" s="3"/>
    </row>
    <row r="350" spans="1:13" x14ac:dyDescent="0.3">
      <c r="A350" s="2">
        <v>349</v>
      </c>
      <c r="B350" s="2" t="s">
        <v>1333</v>
      </c>
      <c r="C350" s="2" t="s">
        <v>1334</v>
      </c>
      <c r="D350" s="2" t="s">
        <v>28</v>
      </c>
      <c r="E350" s="2" t="s">
        <v>29</v>
      </c>
      <c r="F350" s="2">
        <v>90</v>
      </c>
      <c r="G350" s="2" t="s">
        <v>1335</v>
      </c>
      <c r="H350" s="2" t="s">
        <v>1336</v>
      </c>
      <c r="I350" s="2" t="s">
        <v>129</v>
      </c>
      <c r="J350" s="3">
        <v>44853</v>
      </c>
      <c r="K350" s="2">
        <v>42</v>
      </c>
      <c r="L350" s="2" t="s">
        <v>101</v>
      </c>
      <c r="M350" s="3"/>
    </row>
    <row r="351" spans="1:13" x14ac:dyDescent="0.3">
      <c r="A351" s="2">
        <v>350</v>
      </c>
      <c r="B351" s="2" t="s">
        <v>1337</v>
      </c>
      <c r="C351" s="2" t="s">
        <v>1338</v>
      </c>
      <c r="D351" s="2" t="s">
        <v>28</v>
      </c>
      <c r="E351" s="2" t="s">
        <v>29</v>
      </c>
      <c r="F351" s="2">
        <v>60</v>
      </c>
      <c r="G351" s="2" t="s">
        <v>1339</v>
      </c>
      <c r="H351" s="2" t="s">
        <v>199</v>
      </c>
      <c r="I351" s="2" t="s">
        <v>32</v>
      </c>
      <c r="J351" s="3">
        <v>44900</v>
      </c>
      <c r="K351" s="2">
        <v>55</v>
      </c>
      <c r="L351" s="2" t="s">
        <v>33</v>
      </c>
      <c r="M351" s="3"/>
    </row>
    <row r="352" spans="1:13" x14ac:dyDescent="0.3">
      <c r="A352" s="2">
        <v>351</v>
      </c>
      <c r="B352" s="2" t="s">
        <v>1340</v>
      </c>
      <c r="C352" s="2" t="s">
        <v>1341</v>
      </c>
      <c r="D352" s="2" t="s">
        <v>41</v>
      </c>
      <c r="E352" s="2" t="s">
        <v>16</v>
      </c>
      <c r="F352" s="2">
        <v>30</v>
      </c>
      <c r="G352" s="2" t="s">
        <v>1342</v>
      </c>
      <c r="H352" s="2" t="s">
        <v>1343</v>
      </c>
      <c r="I352" s="2" t="s">
        <v>294</v>
      </c>
      <c r="J352" s="3">
        <v>44451</v>
      </c>
      <c r="K352" s="2">
        <v>82</v>
      </c>
      <c r="L352" s="2" t="s">
        <v>45</v>
      </c>
      <c r="M352" s="3"/>
    </row>
    <row r="353" spans="1:13" x14ac:dyDescent="0.3">
      <c r="A353" s="2">
        <v>352</v>
      </c>
      <c r="B353" s="2" t="s">
        <v>1344</v>
      </c>
      <c r="C353" s="2" t="s">
        <v>1345</v>
      </c>
      <c r="D353" s="2" t="s">
        <v>15</v>
      </c>
      <c r="E353" s="2" t="s">
        <v>16</v>
      </c>
      <c r="F353" s="2">
        <v>60</v>
      </c>
      <c r="G353" s="2" t="s">
        <v>1346</v>
      </c>
      <c r="H353" s="2" t="s">
        <v>1347</v>
      </c>
      <c r="I353" s="2" t="s">
        <v>32</v>
      </c>
      <c r="J353" s="3">
        <v>44806</v>
      </c>
      <c r="K353" s="2">
        <v>37</v>
      </c>
      <c r="L353" s="2" t="s">
        <v>70</v>
      </c>
      <c r="M353" s="3"/>
    </row>
    <row r="354" spans="1:13" x14ac:dyDescent="0.3">
      <c r="A354" s="2">
        <v>353</v>
      </c>
      <c r="B354" s="2" t="s">
        <v>800</v>
      </c>
      <c r="C354" s="2" t="s">
        <v>1348</v>
      </c>
      <c r="D354" s="2" t="s">
        <v>28</v>
      </c>
      <c r="E354" s="2" t="s">
        <v>29</v>
      </c>
      <c r="F354" s="2">
        <v>30</v>
      </c>
      <c r="G354" s="2" t="s">
        <v>1349</v>
      </c>
      <c r="H354" s="2" t="s">
        <v>1350</v>
      </c>
      <c r="I354" s="2" t="s">
        <v>32</v>
      </c>
      <c r="J354" s="3">
        <v>44189</v>
      </c>
      <c r="K354" s="2">
        <v>81</v>
      </c>
      <c r="L354" s="2" t="s">
        <v>39</v>
      </c>
      <c r="M354" s="3"/>
    </row>
    <row r="355" spans="1:13" x14ac:dyDescent="0.3">
      <c r="A355" s="2">
        <v>354</v>
      </c>
      <c r="B355" s="2" t="s">
        <v>1351</v>
      </c>
      <c r="C355" s="2" t="s">
        <v>1352</v>
      </c>
      <c r="D355" s="2" t="s">
        <v>28</v>
      </c>
      <c r="E355" s="2" t="s">
        <v>29</v>
      </c>
      <c r="F355" s="2">
        <v>60</v>
      </c>
      <c r="G355" s="2" t="s">
        <v>1353</v>
      </c>
      <c r="H355" s="2" t="s">
        <v>1354</v>
      </c>
      <c r="I355" s="2" t="s">
        <v>294</v>
      </c>
      <c r="J355" s="3">
        <v>44470</v>
      </c>
      <c r="K355" s="2">
        <v>52</v>
      </c>
      <c r="L355" s="2" t="s">
        <v>54</v>
      </c>
      <c r="M355" s="3"/>
    </row>
    <row r="356" spans="1:13" x14ac:dyDescent="0.3">
      <c r="A356" s="2">
        <v>355</v>
      </c>
      <c r="B356" s="2" t="s">
        <v>1355</v>
      </c>
      <c r="C356" s="2" t="s">
        <v>1356</v>
      </c>
      <c r="D356" s="2" t="s">
        <v>15</v>
      </c>
      <c r="E356" s="2" t="s">
        <v>16</v>
      </c>
      <c r="F356" s="2">
        <v>60</v>
      </c>
      <c r="G356" s="2" t="s">
        <v>1357</v>
      </c>
      <c r="H356" s="2" t="s">
        <v>1358</v>
      </c>
      <c r="I356" s="2" t="s">
        <v>1359</v>
      </c>
      <c r="J356" s="3">
        <v>44015</v>
      </c>
      <c r="K356" s="2">
        <v>83</v>
      </c>
      <c r="L356" s="2" t="s">
        <v>70</v>
      </c>
      <c r="M356" s="3"/>
    </row>
    <row r="357" spans="1:13" x14ac:dyDescent="0.3">
      <c r="A357" s="2">
        <v>356</v>
      </c>
      <c r="B357" s="2" t="s">
        <v>1360</v>
      </c>
      <c r="C357" s="2" t="s">
        <v>1361</v>
      </c>
      <c r="D357" s="2" t="s">
        <v>51</v>
      </c>
      <c r="E357" s="2" t="s">
        <v>16</v>
      </c>
      <c r="F357" s="2">
        <v>30</v>
      </c>
      <c r="G357" s="2" t="s">
        <v>1357</v>
      </c>
      <c r="H357" s="2" t="s">
        <v>1362</v>
      </c>
      <c r="I357" s="2" t="s">
        <v>178</v>
      </c>
      <c r="J357" s="3">
        <v>43851</v>
      </c>
      <c r="K357" s="2">
        <v>29</v>
      </c>
      <c r="L357" s="2" t="s">
        <v>101</v>
      </c>
      <c r="M357" s="3"/>
    </row>
    <row r="358" spans="1:13" x14ac:dyDescent="0.3">
      <c r="A358" s="2">
        <v>357</v>
      </c>
      <c r="B358" s="2" t="s">
        <v>1363</v>
      </c>
      <c r="C358" s="2" t="s">
        <v>1364</v>
      </c>
      <c r="D358" s="2" t="s">
        <v>28</v>
      </c>
      <c r="E358" s="2" t="s">
        <v>29</v>
      </c>
      <c r="F358" s="2">
        <v>90</v>
      </c>
      <c r="G358" s="2" t="s">
        <v>1365</v>
      </c>
      <c r="H358" s="2" t="s">
        <v>1366</v>
      </c>
      <c r="I358" s="2" t="s">
        <v>1367</v>
      </c>
      <c r="J358" s="3">
        <v>44727</v>
      </c>
      <c r="K358" s="2">
        <v>71</v>
      </c>
      <c r="L358" s="2" t="s">
        <v>45</v>
      </c>
      <c r="M358" s="3"/>
    </row>
    <row r="359" spans="1:13" x14ac:dyDescent="0.3">
      <c r="A359" s="2">
        <v>358</v>
      </c>
      <c r="B359" s="2" t="s">
        <v>1368</v>
      </c>
      <c r="C359" s="2" t="s">
        <v>367</v>
      </c>
      <c r="D359" s="2" t="s">
        <v>15</v>
      </c>
      <c r="E359" s="2" t="s">
        <v>16</v>
      </c>
      <c r="F359" s="2">
        <v>90</v>
      </c>
      <c r="G359" s="2" t="s">
        <v>1369</v>
      </c>
      <c r="H359" s="2" t="s">
        <v>1370</v>
      </c>
      <c r="I359" s="2" t="s">
        <v>32</v>
      </c>
      <c r="J359" s="3">
        <v>44926</v>
      </c>
      <c r="K359" s="2">
        <v>13</v>
      </c>
      <c r="L359" s="2" t="s">
        <v>54</v>
      </c>
      <c r="M359" s="3"/>
    </row>
    <row r="360" spans="1:13" x14ac:dyDescent="0.3">
      <c r="A360" s="2">
        <v>359</v>
      </c>
      <c r="B360" s="2" t="s">
        <v>1371</v>
      </c>
      <c r="C360" s="2" t="s">
        <v>1372</v>
      </c>
      <c r="D360" s="2" t="s">
        <v>28</v>
      </c>
      <c r="E360" s="2" t="s">
        <v>29</v>
      </c>
      <c r="F360" s="2">
        <v>90</v>
      </c>
      <c r="G360" s="2" t="s">
        <v>1373</v>
      </c>
      <c r="H360" s="2" t="s">
        <v>1374</v>
      </c>
      <c r="I360" s="2" t="s">
        <v>294</v>
      </c>
      <c r="J360" s="3">
        <v>44430</v>
      </c>
      <c r="K360" s="2">
        <v>92</v>
      </c>
      <c r="L360" s="2" t="s">
        <v>20</v>
      </c>
      <c r="M360" s="3"/>
    </row>
    <row r="361" spans="1:13" x14ac:dyDescent="0.3">
      <c r="A361" s="2">
        <v>360</v>
      </c>
      <c r="B361" s="2" t="s">
        <v>1375</v>
      </c>
      <c r="C361" s="2" t="s">
        <v>1376</v>
      </c>
      <c r="D361" s="2" t="s">
        <v>28</v>
      </c>
      <c r="E361" s="2" t="s">
        <v>29</v>
      </c>
      <c r="F361" s="2">
        <v>30</v>
      </c>
      <c r="G361" s="2" t="s">
        <v>1377</v>
      </c>
      <c r="H361" s="2" t="s">
        <v>1378</v>
      </c>
      <c r="I361" s="2" t="s">
        <v>32</v>
      </c>
      <c r="J361" s="3">
        <v>44860</v>
      </c>
      <c r="K361" s="2">
        <v>55</v>
      </c>
      <c r="L361" s="2" t="s">
        <v>101</v>
      </c>
      <c r="M361" s="3"/>
    </row>
    <row r="362" spans="1:13" x14ac:dyDescent="0.3">
      <c r="A362" s="2">
        <v>361</v>
      </c>
      <c r="B362" s="2" t="s">
        <v>1379</v>
      </c>
      <c r="C362" s="2" t="s">
        <v>1380</v>
      </c>
      <c r="D362" s="2" t="s">
        <v>28</v>
      </c>
      <c r="E362" s="2" t="s">
        <v>29</v>
      </c>
      <c r="F362" s="2">
        <v>90</v>
      </c>
      <c r="G362" s="2" t="s">
        <v>1381</v>
      </c>
      <c r="H362" s="2" t="s">
        <v>1382</v>
      </c>
      <c r="I362" s="2" t="s">
        <v>32</v>
      </c>
      <c r="J362" s="3">
        <v>43962</v>
      </c>
      <c r="K362" s="2">
        <v>39</v>
      </c>
      <c r="L362" s="2" t="s">
        <v>70</v>
      </c>
      <c r="M362" s="3"/>
    </row>
    <row r="363" spans="1:13" x14ac:dyDescent="0.3">
      <c r="A363" s="2">
        <v>362</v>
      </c>
      <c r="B363" s="2" t="s">
        <v>1383</v>
      </c>
      <c r="C363" s="2" t="s">
        <v>1384</v>
      </c>
      <c r="D363" s="2" t="s">
        <v>28</v>
      </c>
      <c r="E363" s="2" t="s">
        <v>29</v>
      </c>
      <c r="F363" s="2">
        <v>60</v>
      </c>
      <c r="G363" s="2" t="s">
        <v>1385</v>
      </c>
      <c r="H363" s="2" t="s">
        <v>957</v>
      </c>
      <c r="I363" s="2" t="s">
        <v>95</v>
      </c>
      <c r="J363" s="3">
        <v>44042</v>
      </c>
      <c r="K363" s="2">
        <v>7</v>
      </c>
      <c r="L363" s="2" t="s">
        <v>101</v>
      </c>
      <c r="M363" s="3"/>
    </row>
    <row r="364" spans="1:13" x14ac:dyDescent="0.3">
      <c r="A364" s="2">
        <v>363</v>
      </c>
      <c r="B364" s="2" t="s">
        <v>879</v>
      </c>
      <c r="C364" s="2" t="s">
        <v>1386</v>
      </c>
      <c r="D364" s="2" t="s">
        <v>621</v>
      </c>
      <c r="E364" s="2" t="s">
        <v>29</v>
      </c>
      <c r="F364" s="2">
        <v>60</v>
      </c>
      <c r="G364" s="2" t="s">
        <v>1387</v>
      </c>
      <c r="H364" s="2" t="s">
        <v>1388</v>
      </c>
      <c r="I364" s="2" t="s">
        <v>32</v>
      </c>
      <c r="J364" s="3">
        <v>44131</v>
      </c>
      <c r="K364" s="2">
        <v>50</v>
      </c>
      <c r="L364" s="2" t="s">
        <v>39</v>
      </c>
      <c r="M364" s="3"/>
    </row>
    <row r="365" spans="1:13" x14ac:dyDescent="0.3">
      <c r="A365" s="2">
        <v>364</v>
      </c>
      <c r="B365" s="2" t="s">
        <v>1389</v>
      </c>
      <c r="C365" s="2" t="s">
        <v>1390</v>
      </c>
      <c r="D365" s="2" t="s">
        <v>41</v>
      </c>
      <c r="E365" s="2" t="s">
        <v>16</v>
      </c>
      <c r="F365" s="2">
        <v>30</v>
      </c>
      <c r="G365" s="2" t="s">
        <v>1387</v>
      </c>
      <c r="H365" s="2" t="s">
        <v>1391</v>
      </c>
      <c r="I365" s="2" t="s">
        <v>32</v>
      </c>
      <c r="J365" s="3">
        <v>44105</v>
      </c>
      <c r="K365" s="2">
        <v>27</v>
      </c>
      <c r="L365" s="2" t="s">
        <v>101</v>
      </c>
      <c r="M365" s="3"/>
    </row>
    <row r="366" spans="1:13" x14ac:dyDescent="0.3">
      <c r="A366" s="2">
        <v>365</v>
      </c>
      <c r="B366" s="2" t="s">
        <v>1392</v>
      </c>
      <c r="C366" s="2" t="s">
        <v>883</v>
      </c>
      <c r="D366" s="2" t="s">
        <v>28</v>
      </c>
      <c r="E366" s="2" t="s">
        <v>29</v>
      </c>
      <c r="F366" s="2">
        <v>30</v>
      </c>
      <c r="G366" s="2" t="s">
        <v>1393</v>
      </c>
      <c r="H366" s="2" t="s">
        <v>1394</v>
      </c>
      <c r="I366" s="2" t="s">
        <v>1199</v>
      </c>
      <c r="J366" s="3">
        <v>43889</v>
      </c>
      <c r="K366" s="2">
        <v>55</v>
      </c>
      <c r="L366" s="2" t="s">
        <v>101</v>
      </c>
      <c r="M366" s="3"/>
    </row>
    <row r="367" spans="1:13" x14ac:dyDescent="0.3">
      <c r="A367" s="2">
        <v>366</v>
      </c>
      <c r="B367" s="2" t="s">
        <v>1395</v>
      </c>
      <c r="C367" s="2" t="s">
        <v>1396</v>
      </c>
      <c r="D367" s="2" t="s">
        <v>15</v>
      </c>
      <c r="E367" s="2" t="s">
        <v>16</v>
      </c>
      <c r="F367" s="2">
        <v>60</v>
      </c>
      <c r="G367" s="2" t="s">
        <v>1397</v>
      </c>
      <c r="H367" s="2" t="s">
        <v>534</v>
      </c>
      <c r="I367" s="2" t="s">
        <v>32</v>
      </c>
      <c r="J367" s="3">
        <v>44895</v>
      </c>
      <c r="K367" s="2">
        <v>80</v>
      </c>
      <c r="L367" s="2" t="s">
        <v>39</v>
      </c>
      <c r="M367" s="3"/>
    </row>
    <row r="368" spans="1:13" x14ac:dyDescent="0.3">
      <c r="A368" s="2">
        <v>367</v>
      </c>
      <c r="B368" s="2" t="s">
        <v>1398</v>
      </c>
      <c r="C368" s="2" t="s">
        <v>1399</v>
      </c>
      <c r="D368" s="2" t="s">
        <v>15</v>
      </c>
      <c r="E368" s="2" t="s">
        <v>16</v>
      </c>
      <c r="F368" s="2">
        <v>90</v>
      </c>
      <c r="G368" s="2" t="s">
        <v>1400</v>
      </c>
      <c r="H368" s="2" t="s">
        <v>1401</v>
      </c>
      <c r="I368" s="2" t="s">
        <v>1402</v>
      </c>
      <c r="J368" s="3">
        <v>44297</v>
      </c>
      <c r="K368" s="2">
        <v>34</v>
      </c>
      <c r="L368" s="2" t="s">
        <v>80</v>
      </c>
      <c r="M368" s="3"/>
    </row>
    <row r="369" spans="1:13" x14ac:dyDescent="0.3">
      <c r="A369" s="2">
        <v>368</v>
      </c>
      <c r="B369" s="2" t="s">
        <v>1403</v>
      </c>
      <c r="C369" s="2" t="s">
        <v>281</v>
      </c>
      <c r="D369" s="2" t="s">
        <v>28</v>
      </c>
      <c r="E369" s="2" t="s">
        <v>29</v>
      </c>
      <c r="F369" s="2">
        <v>60</v>
      </c>
      <c r="G369" s="2" t="s">
        <v>1404</v>
      </c>
      <c r="H369" s="2" t="s">
        <v>458</v>
      </c>
      <c r="I369" s="2" t="s">
        <v>294</v>
      </c>
      <c r="J369" s="3">
        <v>43924</v>
      </c>
      <c r="K369" s="2">
        <v>49</v>
      </c>
      <c r="L369" s="2" t="s">
        <v>101</v>
      </c>
      <c r="M369" s="3"/>
    </row>
    <row r="370" spans="1:13" x14ac:dyDescent="0.3">
      <c r="A370" s="2">
        <v>369</v>
      </c>
      <c r="B370" s="2" t="s">
        <v>1405</v>
      </c>
      <c r="C370" s="2" t="s">
        <v>1406</v>
      </c>
      <c r="D370" s="2" t="s">
        <v>28</v>
      </c>
      <c r="E370" s="2" t="s">
        <v>29</v>
      </c>
      <c r="F370" s="2">
        <v>60</v>
      </c>
      <c r="G370" s="2" t="s">
        <v>1407</v>
      </c>
      <c r="H370" s="2" t="s">
        <v>1408</v>
      </c>
      <c r="I370" s="2" t="s">
        <v>1083</v>
      </c>
      <c r="J370" s="3">
        <v>44166</v>
      </c>
      <c r="K370" s="2">
        <v>18</v>
      </c>
      <c r="L370" s="2" t="s">
        <v>45</v>
      </c>
      <c r="M370" s="3"/>
    </row>
    <row r="371" spans="1:13" x14ac:dyDescent="0.3">
      <c r="A371" s="2">
        <v>370</v>
      </c>
      <c r="B371" s="2" t="s">
        <v>1409</v>
      </c>
      <c r="C371" s="2" t="s">
        <v>1410</v>
      </c>
      <c r="D371" s="2" t="s">
        <v>28</v>
      </c>
      <c r="E371" s="2" t="s">
        <v>29</v>
      </c>
      <c r="F371" s="2">
        <v>30</v>
      </c>
      <c r="G371" s="2" t="s">
        <v>1411</v>
      </c>
      <c r="H371" s="2" t="s">
        <v>1412</v>
      </c>
      <c r="I371" s="2" t="s">
        <v>1413</v>
      </c>
      <c r="J371" s="3">
        <v>44865</v>
      </c>
      <c r="K371" s="2">
        <v>101</v>
      </c>
      <c r="L371" s="2" t="s">
        <v>20</v>
      </c>
      <c r="M371" s="3"/>
    </row>
    <row r="372" spans="1:13" x14ac:dyDescent="0.3">
      <c r="A372" s="2">
        <v>371</v>
      </c>
      <c r="B372" s="2" t="s">
        <v>1414</v>
      </c>
      <c r="C372" s="2" t="s">
        <v>1415</v>
      </c>
      <c r="D372" s="2" t="s">
        <v>28</v>
      </c>
      <c r="E372" s="2" t="s">
        <v>29</v>
      </c>
      <c r="F372" s="2">
        <v>60</v>
      </c>
      <c r="G372" s="2" t="s">
        <v>1416</v>
      </c>
      <c r="H372" s="2" t="s">
        <v>1417</v>
      </c>
      <c r="I372" s="2" t="s">
        <v>32</v>
      </c>
      <c r="J372" s="3">
        <v>44369</v>
      </c>
      <c r="K372" s="2">
        <v>72</v>
      </c>
      <c r="L372" s="2" t="s">
        <v>70</v>
      </c>
      <c r="M372" s="3"/>
    </row>
    <row r="373" spans="1:13" x14ac:dyDescent="0.3">
      <c r="A373" s="2">
        <v>372</v>
      </c>
      <c r="B373" s="2" t="s">
        <v>1234</v>
      </c>
      <c r="C373" s="2" t="s">
        <v>1418</v>
      </c>
      <c r="D373" s="2" t="s">
        <v>28</v>
      </c>
      <c r="E373" s="2" t="s">
        <v>29</v>
      </c>
      <c r="F373" s="2">
        <v>30</v>
      </c>
      <c r="G373" s="2" t="s">
        <v>1419</v>
      </c>
      <c r="H373" s="2" t="s">
        <v>105</v>
      </c>
      <c r="I373" s="2" t="s">
        <v>32</v>
      </c>
      <c r="J373" s="3">
        <v>44051</v>
      </c>
      <c r="K373" s="2">
        <v>80</v>
      </c>
      <c r="L373" s="2" t="s">
        <v>45</v>
      </c>
      <c r="M373" s="3"/>
    </row>
    <row r="374" spans="1:13" x14ac:dyDescent="0.3">
      <c r="A374" s="2">
        <v>373</v>
      </c>
      <c r="B374" s="2" t="s">
        <v>1420</v>
      </c>
      <c r="C374" s="2" t="s">
        <v>870</v>
      </c>
      <c r="D374" s="2" t="s">
        <v>15</v>
      </c>
      <c r="E374" s="2" t="s">
        <v>16</v>
      </c>
      <c r="F374" s="2">
        <v>90</v>
      </c>
      <c r="G374" s="2" t="s">
        <v>1421</v>
      </c>
      <c r="H374" s="2" t="s">
        <v>1422</v>
      </c>
      <c r="I374" s="2" t="s">
        <v>575</v>
      </c>
      <c r="J374" s="3">
        <v>44813</v>
      </c>
      <c r="K374" s="2">
        <v>27</v>
      </c>
      <c r="L374" s="2" t="s">
        <v>45</v>
      </c>
      <c r="M374" s="3"/>
    </row>
    <row r="375" spans="1:13" x14ac:dyDescent="0.3">
      <c r="A375" s="2">
        <v>374</v>
      </c>
      <c r="B375" s="2" t="s">
        <v>1423</v>
      </c>
      <c r="C375" s="2" t="s">
        <v>1424</v>
      </c>
      <c r="D375" s="2" t="s">
        <v>51</v>
      </c>
      <c r="E375" s="2" t="s">
        <v>16</v>
      </c>
      <c r="F375" s="2">
        <v>30</v>
      </c>
      <c r="G375" s="2" t="s">
        <v>1425</v>
      </c>
      <c r="H375" s="2" t="s">
        <v>1426</v>
      </c>
      <c r="I375" s="2" t="s">
        <v>32</v>
      </c>
      <c r="J375" s="3">
        <v>44920</v>
      </c>
      <c r="K375" s="2">
        <v>61</v>
      </c>
      <c r="L375" s="2" t="s">
        <v>80</v>
      </c>
      <c r="M375" s="3"/>
    </row>
    <row r="376" spans="1:13" x14ac:dyDescent="0.3">
      <c r="A376" s="2">
        <v>375</v>
      </c>
      <c r="B376" s="2" t="s">
        <v>1427</v>
      </c>
      <c r="C376" s="2" t="s">
        <v>1428</v>
      </c>
      <c r="D376" s="2" t="s">
        <v>28</v>
      </c>
      <c r="E376" s="2" t="s">
        <v>29</v>
      </c>
      <c r="F376" s="2">
        <v>90</v>
      </c>
      <c r="G376" s="2" t="s">
        <v>1429</v>
      </c>
      <c r="H376" s="2" t="s">
        <v>1430</v>
      </c>
      <c r="I376" s="2" t="s">
        <v>32</v>
      </c>
      <c r="J376" s="3">
        <v>44646</v>
      </c>
      <c r="K376" s="2">
        <v>54</v>
      </c>
      <c r="L376" s="2" t="s">
        <v>80</v>
      </c>
      <c r="M376" s="3"/>
    </row>
    <row r="377" spans="1:13" x14ac:dyDescent="0.3">
      <c r="A377" s="2">
        <v>376</v>
      </c>
      <c r="B377" s="2" t="s">
        <v>1431</v>
      </c>
      <c r="C377" s="2" t="s">
        <v>1432</v>
      </c>
      <c r="D377" s="2" t="s">
        <v>51</v>
      </c>
      <c r="E377" s="2" t="s">
        <v>16</v>
      </c>
      <c r="F377" s="2">
        <v>90</v>
      </c>
      <c r="G377" s="2" t="s">
        <v>1433</v>
      </c>
      <c r="H377" s="2" t="s">
        <v>1434</v>
      </c>
      <c r="I377" s="2" t="s">
        <v>1435</v>
      </c>
      <c r="J377" s="3">
        <v>44698</v>
      </c>
      <c r="K377" s="2">
        <v>26</v>
      </c>
      <c r="L377" s="2" t="s">
        <v>101</v>
      </c>
      <c r="M377" s="3"/>
    </row>
    <row r="378" spans="1:13" x14ac:dyDescent="0.3">
      <c r="A378" s="2">
        <v>377</v>
      </c>
      <c r="B378" s="2" t="s">
        <v>1436</v>
      </c>
      <c r="C378" s="2" t="s">
        <v>257</v>
      </c>
      <c r="D378" s="2" t="s">
        <v>28</v>
      </c>
      <c r="E378" s="2" t="s">
        <v>29</v>
      </c>
      <c r="F378" s="2">
        <v>90</v>
      </c>
      <c r="G378" s="2" t="s">
        <v>1437</v>
      </c>
      <c r="H378" s="2" t="s">
        <v>827</v>
      </c>
      <c r="I378" s="2" t="s">
        <v>124</v>
      </c>
      <c r="J378" s="3">
        <v>44617</v>
      </c>
      <c r="K378" s="2">
        <v>54</v>
      </c>
      <c r="L378" s="2" t="s">
        <v>54</v>
      </c>
      <c r="M378" s="3"/>
    </row>
    <row r="379" spans="1:13" x14ac:dyDescent="0.3">
      <c r="A379" s="2">
        <v>378</v>
      </c>
      <c r="B379" s="2" t="s">
        <v>1438</v>
      </c>
      <c r="C379" s="2" t="s">
        <v>1439</v>
      </c>
      <c r="D379" s="2" t="s">
        <v>15</v>
      </c>
      <c r="E379" s="2" t="s">
        <v>16</v>
      </c>
      <c r="G379" s="2" t="s">
        <v>1440</v>
      </c>
      <c r="H379" s="2" t="s">
        <v>88</v>
      </c>
      <c r="I379" s="2" t="s">
        <v>89</v>
      </c>
      <c r="J379" s="3">
        <v>44420</v>
      </c>
      <c r="K379" s="2">
        <v>84</v>
      </c>
      <c r="L379" s="2" t="s">
        <v>20</v>
      </c>
      <c r="M379" s="3"/>
    </row>
    <row r="380" spans="1:13" x14ac:dyDescent="0.3">
      <c r="A380" s="2">
        <v>379</v>
      </c>
      <c r="B380" s="2" t="s">
        <v>1441</v>
      </c>
      <c r="C380" s="2" t="s">
        <v>1442</v>
      </c>
      <c r="D380" s="2" t="s">
        <v>41</v>
      </c>
      <c r="E380" s="2" t="s">
        <v>16</v>
      </c>
      <c r="F380" s="2">
        <v>60</v>
      </c>
      <c r="G380" s="2" t="s">
        <v>1443</v>
      </c>
      <c r="H380" s="2" t="s">
        <v>1444</v>
      </c>
      <c r="I380" s="2" t="s">
        <v>1199</v>
      </c>
      <c r="J380" s="3">
        <v>44710</v>
      </c>
      <c r="K380" s="2">
        <v>22</v>
      </c>
      <c r="L380" s="2" t="s">
        <v>54</v>
      </c>
      <c r="M380" s="3"/>
    </row>
    <row r="381" spans="1:13" x14ac:dyDescent="0.3">
      <c r="A381" s="2">
        <v>380</v>
      </c>
      <c r="B381" s="2" t="s">
        <v>1445</v>
      </c>
      <c r="C381" s="2" t="s">
        <v>1446</v>
      </c>
      <c r="D381" s="2" t="s">
        <v>28</v>
      </c>
      <c r="E381" s="2" t="s">
        <v>29</v>
      </c>
      <c r="F381" s="2">
        <v>30</v>
      </c>
      <c r="G381" s="2" t="s">
        <v>1447</v>
      </c>
      <c r="H381" s="2" t="s">
        <v>1448</v>
      </c>
      <c r="I381" s="2" t="s">
        <v>1449</v>
      </c>
      <c r="J381" s="3">
        <v>44546</v>
      </c>
      <c r="K381" s="2">
        <v>7</v>
      </c>
      <c r="L381" s="2" t="s">
        <v>45</v>
      </c>
      <c r="M381" s="3"/>
    </row>
    <row r="382" spans="1:13" x14ac:dyDescent="0.3">
      <c r="A382" s="2">
        <v>381</v>
      </c>
      <c r="B382" s="2" t="s">
        <v>1450</v>
      </c>
      <c r="C382" s="2" t="s">
        <v>1451</v>
      </c>
      <c r="D382" s="2" t="s">
        <v>51</v>
      </c>
      <c r="E382" s="2" t="s">
        <v>16</v>
      </c>
      <c r="F382" s="2">
        <v>60</v>
      </c>
      <c r="G382" s="2" t="s">
        <v>1452</v>
      </c>
      <c r="H382" s="2" t="s">
        <v>1453</v>
      </c>
      <c r="I382" s="2" t="s">
        <v>1454</v>
      </c>
      <c r="J382" s="3">
        <v>44633</v>
      </c>
      <c r="K382" s="2">
        <v>48</v>
      </c>
      <c r="L382" s="2" t="s">
        <v>33</v>
      </c>
      <c r="M382" s="3"/>
    </row>
    <row r="383" spans="1:13" x14ac:dyDescent="0.3">
      <c r="A383" s="2">
        <v>382</v>
      </c>
      <c r="B383" s="2" t="s">
        <v>1455</v>
      </c>
      <c r="C383" s="2" t="s">
        <v>700</v>
      </c>
      <c r="D383" s="2" t="s">
        <v>51</v>
      </c>
      <c r="E383" s="2" t="s">
        <v>16</v>
      </c>
      <c r="F383" s="2">
        <v>90</v>
      </c>
      <c r="G383" s="2" t="s">
        <v>1456</v>
      </c>
      <c r="H383" s="2" t="s">
        <v>1457</v>
      </c>
      <c r="I383" s="2" t="s">
        <v>187</v>
      </c>
      <c r="J383" s="3">
        <v>43899</v>
      </c>
      <c r="K383" s="2">
        <v>57</v>
      </c>
      <c r="L383" s="2" t="s">
        <v>159</v>
      </c>
      <c r="M383" s="3"/>
    </row>
    <row r="384" spans="1:13" x14ac:dyDescent="0.3">
      <c r="A384" s="2">
        <v>383</v>
      </c>
      <c r="B384" s="2" t="s">
        <v>1458</v>
      </c>
      <c r="C384" s="2" t="s">
        <v>1459</v>
      </c>
      <c r="D384" s="2" t="s">
        <v>28</v>
      </c>
      <c r="E384" s="2" t="s">
        <v>29</v>
      </c>
      <c r="F384" s="2">
        <v>90</v>
      </c>
      <c r="G384" s="2" t="s">
        <v>1460</v>
      </c>
      <c r="H384" s="2" t="s">
        <v>663</v>
      </c>
      <c r="I384" s="2" t="s">
        <v>32</v>
      </c>
      <c r="J384" s="3">
        <v>44135</v>
      </c>
      <c r="K384" s="2">
        <v>75</v>
      </c>
      <c r="L384" s="2" t="s">
        <v>54</v>
      </c>
      <c r="M384" s="3"/>
    </row>
    <row r="385" spans="1:13" x14ac:dyDescent="0.3">
      <c r="A385" s="2">
        <v>384</v>
      </c>
      <c r="B385" s="2" t="s">
        <v>1019</v>
      </c>
      <c r="C385" s="2" t="s">
        <v>1461</v>
      </c>
      <c r="D385" s="2" t="s">
        <v>28</v>
      </c>
      <c r="E385" s="2" t="s">
        <v>29</v>
      </c>
      <c r="F385" s="2">
        <v>60</v>
      </c>
      <c r="G385" s="2" t="s">
        <v>1462</v>
      </c>
      <c r="H385" s="2" t="s">
        <v>1463</v>
      </c>
      <c r="I385" s="2" t="s">
        <v>19</v>
      </c>
      <c r="J385" s="3">
        <v>44707</v>
      </c>
      <c r="K385" s="2">
        <v>37</v>
      </c>
      <c r="L385" s="2" t="s">
        <v>101</v>
      </c>
      <c r="M385" s="3"/>
    </row>
    <row r="386" spans="1:13" x14ac:dyDescent="0.3">
      <c r="A386" s="2">
        <v>385</v>
      </c>
      <c r="B386" s="2" t="s">
        <v>1464</v>
      </c>
      <c r="C386" s="2" t="s">
        <v>1465</v>
      </c>
      <c r="D386" s="2" t="s">
        <v>28</v>
      </c>
      <c r="E386" s="2" t="s">
        <v>29</v>
      </c>
      <c r="F386" s="2">
        <v>90</v>
      </c>
      <c r="G386" s="2" t="s">
        <v>1466</v>
      </c>
      <c r="H386" s="2" t="s">
        <v>993</v>
      </c>
      <c r="I386" s="2" t="s">
        <v>32</v>
      </c>
      <c r="J386" s="3">
        <v>44644</v>
      </c>
      <c r="K386" s="2">
        <v>32</v>
      </c>
      <c r="L386" s="2" t="s">
        <v>20</v>
      </c>
      <c r="M386" s="3"/>
    </row>
    <row r="387" spans="1:13" x14ac:dyDescent="0.3">
      <c r="A387" s="2">
        <v>386</v>
      </c>
      <c r="B387" s="2" t="s">
        <v>1467</v>
      </c>
      <c r="C387" s="2" t="s">
        <v>1468</v>
      </c>
      <c r="D387" s="2" t="s">
        <v>28</v>
      </c>
      <c r="E387" s="2" t="s">
        <v>29</v>
      </c>
      <c r="F387" s="2">
        <v>90</v>
      </c>
      <c r="G387" s="2" t="s">
        <v>1469</v>
      </c>
      <c r="H387" s="2" t="s">
        <v>1378</v>
      </c>
      <c r="I387" s="2" t="s">
        <v>32</v>
      </c>
      <c r="J387" s="3">
        <v>44388</v>
      </c>
      <c r="K387" s="2">
        <v>22</v>
      </c>
      <c r="L387" s="2" t="s">
        <v>70</v>
      </c>
      <c r="M387" s="3"/>
    </row>
    <row r="388" spans="1:13" x14ac:dyDescent="0.3">
      <c r="A388" s="2">
        <v>387</v>
      </c>
      <c r="B388" s="2" t="s">
        <v>1470</v>
      </c>
      <c r="C388" s="2" t="s">
        <v>1471</v>
      </c>
      <c r="D388" s="2" t="s">
        <v>28</v>
      </c>
      <c r="E388" s="2" t="s">
        <v>29</v>
      </c>
      <c r="F388" s="2">
        <v>60</v>
      </c>
      <c r="G388" s="2" t="s">
        <v>1472</v>
      </c>
      <c r="H388" s="2" t="s">
        <v>1473</v>
      </c>
      <c r="I388" s="2" t="s">
        <v>38</v>
      </c>
      <c r="J388" s="3">
        <v>43885</v>
      </c>
      <c r="K388" s="2">
        <v>10</v>
      </c>
      <c r="L388" s="2" t="s">
        <v>39</v>
      </c>
      <c r="M388" s="3"/>
    </row>
    <row r="389" spans="1:13" x14ac:dyDescent="0.3">
      <c r="A389" s="2">
        <v>388</v>
      </c>
      <c r="B389" s="2" t="s">
        <v>1474</v>
      </c>
      <c r="C389" s="2" t="s">
        <v>1475</v>
      </c>
      <c r="D389" s="2" t="s">
        <v>15</v>
      </c>
      <c r="E389" s="2" t="s">
        <v>16</v>
      </c>
      <c r="F389" s="2">
        <v>60</v>
      </c>
      <c r="G389" s="2" t="s">
        <v>1476</v>
      </c>
      <c r="H389" s="2" t="s">
        <v>1477</v>
      </c>
      <c r="I389" s="2" t="s">
        <v>1478</v>
      </c>
      <c r="J389" s="3">
        <v>44305</v>
      </c>
      <c r="K389" s="2">
        <v>2</v>
      </c>
      <c r="L389" s="2" t="s">
        <v>33</v>
      </c>
      <c r="M389" s="3"/>
    </row>
    <row r="390" spans="1:13" x14ac:dyDescent="0.3">
      <c r="A390" s="2">
        <v>389</v>
      </c>
      <c r="B390" s="2" t="s">
        <v>1479</v>
      </c>
      <c r="C390" s="2" t="s">
        <v>1480</v>
      </c>
      <c r="D390" s="2" t="s">
        <v>15</v>
      </c>
      <c r="E390" s="2" t="s">
        <v>16</v>
      </c>
      <c r="F390" s="2">
        <v>60</v>
      </c>
      <c r="G390" s="2" t="s">
        <v>1481</v>
      </c>
      <c r="H390" s="2" t="s">
        <v>1482</v>
      </c>
      <c r="I390" s="2" t="s">
        <v>1483</v>
      </c>
      <c r="J390" s="3">
        <v>44447</v>
      </c>
      <c r="K390" s="2">
        <v>12</v>
      </c>
      <c r="L390" s="2" t="s">
        <v>70</v>
      </c>
      <c r="M390" s="3"/>
    </row>
    <row r="391" spans="1:13" x14ac:dyDescent="0.3">
      <c r="A391" s="2">
        <v>390</v>
      </c>
      <c r="B391" s="2" t="s">
        <v>1484</v>
      </c>
      <c r="C391" s="2" t="s">
        <v>1485</v>
      </c>
      <c r="D391" s="2" t="s">
        <v>15</v>
      </c>
      <c r="E391" s="2" t="s">
        <v>16</v>
      </c>
      <c r="F391" s="2">
        <v>30</v>
      </c>
      <c r="G391" s="2" t="s">
        <v>1481</v>
      </c>
      <c r="H391" s="2" t="s">
        <v>1486</v>
      </c>
      <c r="I391" s="2" t="s">
        <v>32</v>
      </c>
      <c r="J391" s="3">
        <v>44684</v>
      </c>
      <c r="K391" s="2">
        <v>42</v>
      </c>
      <c r="L391" s="2" t="s">
        <v>101</v>
      </c>
      <c r="M391" s="3"/>
    </row>
    <row r="392" spans="1:13" x14ac:dyDescent="0.3">
      <c r="A392" s="2">
        <v>391</v>
      </c>
      <c r="B392" s="2" t="s">
        <v>1487</v>
      </c>
      <c r="C392" s="2" t="s">
        <v>1488</v>
      </c>
      <c r="D392" s="2" t="s">
        <v>15</v>
      </c>
      <c r="E392" s="2" t="s">
        <v>16</v>
      </c>
      <c r="F392" s="2">
        <v>30</v>
      </c>
      <c r="G392" s="2" t="s">
        <v>1489</v>
      </c>
      <c r="H392" s="2" t="s">
        <v>1490</v>
      </c>
      <c r="I392" s="2" t="s">
        <v>294</v>
      </c>
      <c r="J392" s="3">
        <v>44701</v>
      </c>
      <c r="K392" s="2">
        <v>2</v>
      </c>
      <c r="L392" s="2" t="s">
        <v>64</v>
      </c>
      <c r="M392" s="3"/>
    </row>
    <row r="393" spans="1:13" x14ac:dyDescent="0.3">
      <c r="A393" s="2">
        <v>392</v>
      </c>
      <c r="B393" s="2" t="s">
        <v>1491</v>
      </c>
      <c r="C393" s="2" t="s">
        <v>1492</v>
      </c>
      <c r="D393" s="2" t="s">
        <v>51</v>
      </c>
      <c r="E393" s="2" t="s">
        <v>16</v>
      </c>
      <c r="F393" s="2">
        <v>90</v>
      </c>
      <c r="G393" s="2" t="s">
        <v>1493</v>
      </c>
      <c r="H393" s="2" t="s">
        <v>1494</v>
      </c>
      <c r="I393" s="2" t="s">
        <v>32</v>
      </c>
      <c r="J393" s="3">
        <v>44386</v>
      </c>
      <c r="K393" s="2">
        <v>83</v>
      </c>
      <c r="L393" s="2" t="s">
        <v>54</v>
      </c>
      <c r="M393" s="3"/>
    </row>
    <row r="394" spans="1:13" x14ac:dyDescent="0.3">
      <c r="A394" s="2">
        <v>393</v>
      </c>
      <c r="B394" s="2" t="s">
        <v>1495</v>
      </c>
      <c r="C394" s="2" t="s">
        <v>1496</v>
      </c>
      <c r="D394" s="2" t="s">
        <v>51</v>
      </c>
      <c r="E394" s="2" t="s">
        <v>16</v>
      </c>
      <c r="F394" s="2">
        <v>60</v>
      </c>
      <c r="G394" s="2" t="s">
        <v>1497</v>
      </c>
      <c r="H394" s="2" t="s">
        <v>738</v>
      </c>
      <c r="I394" s="2" t="s">
        <v>38</v>
      </c>
      <c r="J394" s="3">
        <v>44011</v>
      </c>
      <c r="K394" s="2">
        <v>36</v>
      </c>
      <c r="L394" s="2" t="s">
        <v>45</v>
      </c>
      <c r="M394" s="3"/>
    </row>
    <row r="395" spans="1:13" x14ac:dyDescent="0.3">
      <c r="A395" s="2">
        <v>394</v>
      </c>
      <c r="B395" s="2" t="s">
        <v>1498</v>
      </c>
      <c r="C395" s="2" t="s">
        <v>752</v>
      </c>
      <c r="D395" s="2" t="s">
        <v>28</v>
      </c>
      <c r="E395" s="2" t="s">
        <v>29</v>
      </c>
      <c r="F395" s="2">
        <v>90</v>
      </c>
      <c r="G395" s="2" t="s">
        <v>1499</v>
      </c>
      <c r="H395" s="2" t="s">
        <v>1242</v>
      </c>
      <c r="I395" s="2" t="s">
        <v>38</v>
      </c>
      <c r="J395" s="3">
        <v>44189</v>
      </c>
      <c r="K395" s="2">
        <v>12</v>
      </c>
      <c r="L395" s="2" t="s">
        <v>33</v>
      </c>
      <c r="M395" s="3"/>
    </row>
    <row r="396" spans="1:13" x14ac:dyDescent="0.3">
      <c r="A396" s="2">
        <v>395</v>
      </c>
      <c r="B396" s="2" t="s">
        <v>1500</v>
      </c>
      <c r="C396" s="2" t="s">
        <v>1501</v>
      </c>
      <c r="D396" s="2" t="s">
        <v>28</v>
      </c>
      <c r="E396" s="2" t="s">
        <v>29</v>
      </c>
      <c r="F396" s="2">
        <v>30</v>
      </c>
      <c r="G396" s="2" t="s">
        <v>1502</v>
      </c>
      <c r="H396" s="2" t="s">
        <v>288</v>
      </c>
      <c r="I396" s="2" t="s">
        <v>32</v>
      </c>
      <c r="J396" s="3">
        <v>44876</v>
      </c>
      <c r="K396" s="2">
        <v>98</v>
      </c>
      <c r="L396" s="2" t="s">
        <v>80</v>
      </c>
      <c r="M396" s="3"/>
    </row>
    <row r="397" spans="1:13" x14ac:dyDescent="0.3">
      <c r="A397" s="2">
        <v>396</v>
      </c>
      <c r="B397" s="2" t="s">
        <v>1503</v>
      </c>
      <c r="C397" s="2" t="s">
        <v>500</v>
      </c>
      <c r="D397" s="2" t="s">
        <v>92</v>
      </c>
      <c r="E397" s="2" t="s">
        <v>29</v>
      </c>
      <c r="F397" s="2">
        <v>60</v>
      </c>
      <c r="G397" s="2" t="s">
        <v>1504</v>
      </c>
      <c r="H397" s="2" t="s">
        <v>1505</v>
      </c>
      <c r="I397" s="2" t="s">
        <v>32</v>
      </c>
      <c r="J397" s="3">
        <v>44842</v>
      </c>
      <c r="K397" s="2">
        <v>87</v>
      </c>
      <c r="L397" s="2" t="s">
        <v>101</v>
      </c>
      <c r="M397" s="3"/>
    </row>
    <row r="398" spans="1:13" x14ac:dyDescent="0.3">
      <c r="A398" s="2">
        <v>397</v>
      </c>
      <c r="B398" s="2" t="s">
        <v>1506</v>
      </c>
      <c r="C398" s="2" t="s">
        <v>639</v>
      </c>
      <c r="D398" s="2" t="s">
        <v>51</v>
      </c>
      <c r="E398" s="2" t="s">
        <v>16</v>
      </c>
      <c r="F398" s="2">
        <v>60</v>
      </c>
      <c r="G398" s="2" t="s">
        <v>1507</v>
      </c>
      <c r="H398" s="2" t="s">
        <v>1508</v>
      </c>
      <c r="I398" s="2" t="s">
        <v>32</v>
      </c>
      <c r="J398" s="3">
        <v>43983</v>
      </c>
      <c r="K398" s="2">
        <v>36</v>
      </c>
      <c r="L398" s="2" t="s">
        <v>20</v>
      </c>
      <c r="M398" s="3"/>
    </row>
    <row r="399" spans="1:13" x14ac:dyDescent="0.3">
      <c r="A399" s="2">
        <v>398</v>
      </c>
      <c r="B399" s="2" t="s">
        <v>1509</v>
      </c>
      <c r="C399" s="2" t="s">
        <v>1510</v>
      </c>
      <c r="D399" s="2" t="s">
        <v>28</v>
      </c>
      <c r="E399" s="2" t="s">
        <v>29</v>
      </c>
      <c r="F399" s="2">
        <v>90</v>
      </c>
      <c r="G399" s="2" t="s">
        <v>1511</v>
      </c>
      <c r="H399" s="2" t="s">
        <v>1512</v>
      </c>
      <c r="I399" s="2" t="s">
        <v>25</v>
      </c>
      <c r="J399" s="3">
        <v>44537</v>
      </c>
      <c r="K399" s="2">
        <v>79</v>
      </c>
      <c r="L399" s="2" t="s">
        <v>101</v>
      </c>
      <c r="M399" s="3"/>
    </row>
    <row r="400" spans="1:13" x14ac:dyDescent="0.3">
      <c r="A400" s="2">
        <v>399</v>
      </c>
      <c r="B400" s="2" t="s">
        <v>1513</v>
      </c>
      <c r="C400" s="2" t="s">
        <v>836</v>
      </c>
      <c r="D400" s="2" t="s">
        <v>15</v>
      </c>
      <c r="E400" s="2" t="s">
        <v>16</v>
      </c>
      <c r="F400" s="2">
        <v>60</v>
      </c>
      <c r="G400" s="2" t="s">
        <v>1514</v>
      </c>
      <c r="H400" s="2" t="s">
        <v>1515</v>
      </c>
      <c r="I400" s="2" t="s">
        <v>124</v>
      </c>
      <c r="J400" s="3">
        <v>44019</v>
      </c>
      <c r="K400" s="2">
        <v>66</v>
      </c>
      <c r="L400" s="2" t="s">
        <v>101</v>
      </c>
      <c r="M400" s="3"/>
    </row>
    <row r="401" spans="1:13" x14ac:dyDescent="0.3">
      <c r="A401" s="2">
        <v>400</v>
      </c>
      <c r="B401" s="2" t="s">
        <v>1516</v>
      </c>
      <c r="C401" s="2" t="s">
        <v>1517</v>
      </c>
      <c r="D401" s="2" t="s">
        <v>51</v>
      </c>
      <c r="E401" s="2" t="s">
        <v>16</v>
      </c>
      <c r="F401" s="2">
        <v>30</v>
      </c>
      <c r="G401" s="2" t="s">
        <v>1518</v>
      </c>
      <c r="H401" s="2" t="s">
        <v>1519</v>
      </c>
      <c r="I401" s="2" t="s">
        <v>32</v>
      </c>
      <c r="J401" s="3">
        <v>44024</v>
      </c>
      <c r="K401" s="2">
        <v>44</v>
      </c>
      <c r="L401" s="2" t="s">
        <v>101</v>
      </c>
      <c r="M401" s="3"/>
    </row>
    <row r="402" spans="1:13" x14ac:dyDescent="0.3">
      <c r="A402" s="2">
        <v>401</v>
      </c>
      <c r="B402" s="2" t="s">
        <v>1520</v>
      </c>
      <c r="C402" s="2" t="s">
        <v>1521</v>
      </c>
      <c r="D402" s="2" t="s">
        <v>15</v>
      </c>
      <c r="E402" s="2" t="s">
        <v>16</v>
      </c>
      <c r="F402" s="2">
        <v>90</v>
      </c>
      <c r="G402" s="2" t="s">
        <v>1522</v>
      </c>
      <c r="H402" s="2" t="s">
        <v>1523</v>
      </c>
      <c r="I402" s="2" t="s">
        <v>32</v>
      </c>
      <c r="J402" s="3">
        <v>44540</v>
      </c>
      <c r="K402" s="2">
        <v>14</v>
      </c>
      <c r="L402" s="2" t="s">
        <v>39</v>
      </c>
      <c r="M402" s="3"/>
    </row>
    <row r="403" spans="1:13" x14ac:dyDescent="0.3">
      <c r="A403" s="2">
        <v>402</v>
      </c>
      <c r="B403" s="2" t="s">
        <v>1524</v>
      </c>
      <c r="C403" s="2" t="s">
        <v>380</v>
      </c>
      <c r="D403" s="2" t="s">
        <v>51</v>
      </c>
      <c r="E403" s="2" t="s">
        <v>16</v>
      </c>
      <c r="F403" s="2">
        <v>60</v>
      </c>
      <c r="G403" s="2" t="s">
        <v>1525</v>
      </c>
      <c r="H403" s="2" t="s">
        <v>1526</v>
      </c>
      <c r="I403" s="2" t="s">
        <v>173</v>
      </c>
      <c r="J403" s="3">
        <v>43876</v>
      </c>
      <c r="K403" s="2">
        <v>58</v>
      </c>
      <c r="L403" s="2" t="s">
        <v>54</v>
      </c>
      <c r="M403" s="3"/>
    </row>
    <row r="404" spans="1:13" x14ac:dyDescent="0.3">
      <c r="A404" s="2">
        <v>403</v>
      </c>
      <c r="B404" s="2" t="s">
        <v>1527</v>
      </c>
      <c r="C404" s="2" t="s">
        <v>1528</v>
      </c>
      <c r="D404" s="2" t="s">
        <v>41</v>
      </c>
      <c r="E404" s="2" t="s">
        <v>16</v>
      </c>
      <c r="F404" s="2">
        <v>60</v>
      </c>
      <c r="G404" s="2" t="s">
        <v>1529</v>
      </c>
      <c r="H404" s="2" t="s">
        <v>1530</v>
      </c>
      <c r="I404" s="2" t="s">
        <v>32</v>
      </c>
      <c r="J404" s="3">
        <v>44559</v>
      </c>
      <c r="K404" s="2">
        <v>42</v>
      </c>
      <c r="L404" s="2" t="s">
        <v>64</v>
      </c>
      <c r="M404" s="3"/>
    </row>
    <row r="405" spans="1:13" x14ac:dyDescent="0.3">
      <c r="A405" s="2">
        <v>404</v>
      </c>
      <c r="B405" s="2" t="s">
        <v>1531</v>
      </c>
      <c r="C405" s="2" t="s">
        <v>1532</v>
      </c>
      <c r="D405" s="2" t="s">
        <v>51</v>
      </c>
      <c r="E405" s="2" t="s">
        <v>16</v>
      </c>
      <c r="F405" s="2">
        <v>90</v>
      </c>
      <c r="G405" s="2" t="s">
        <v>1533</v>
      </c>
      <c r="H405" s="2" t="s">
        <v>1534</v>
      </c>
      <c r="I405" s="2" t="s">
        <v>32</v>
      </c>
      <c r="J405" s="3">
        <v>44774</v>
      </c>
      <c r="K405" s="2">
        <v>20</v>
      </c>
      <c r="L405" s="2" t="s">
        <v>33</v>
      </c>
      <c r="M405" s="3"/>
    </row>
    <row r="406" spans="1:13" x14ac:dyDescent="0.3">
      <c r="A406" s="2">
        <v>405</v>
      </c>
      <c r="B406" s="2" t="s">
        <v>1363</v>
      </c>
      <c r="C406" s="2" t="s">
        <v>1535</v>
      </c>
      <c r="D406" s="2" t="s">
        <v>28</v>
      </c>
      <c r="E406" s="2" t="s">
        <v>29</v>
      </c>
      <c r="F406" s="2">
        <v>60</v>
      </c>
      <c r="G406" s="2" t="s">
        <v>1536</v>
      </c>
      <c r="H406" s="2" t="s">
        <v>1537</v>
      </c>
      <c r="I406" s="2" t="s">
        <v>294</v>
      </c>
      <c r="J406" s="3">
        <v>44642</v>
      </c>
      <c r="K406" s="2">
        <v>77</v>
      </c>
      <c r="L406" s="2" t="s">
        <v>54</v>
      </c>
      <c r="M406" s="3"/>
    </row>
    <row r="407" spans="1:13" x14ac:dyDescent="0.3">
      <c r="A407" s="2">
        <v>406</v>
      </c>
      <c r="B407" s="2" t="s">
        <v>1538</v>
      </c>
      <c r="C407" s="2" t="s">
        <v>1539</v>
      </c>
      <c r="D407" s="2" t="s">
        <v>15</v>
      </c>
      <c r="E407" s="2" t="s">
        <v>16</v>
      </c>
      <c r="F407" s="2">
        <v>90</v>
      </c>
      <c r="G407" s="2" t="s">
        <v>1540</v>
      </c>
      <c r="H407" s="2" t="s">
        <v>1541</v>
      </c>
      <c r="I407" s="2" t="s">
        <v>32</v>
      </c>
      <c r="J407" s="3">
        <v>44557</v>
      </c>
      <c r="K407" s="2">
        <v>20</v>
      </c>
      <c r="L407" s="2" t="s">
        <v>159</v>
      </c>
      <c r="M407" s="3"/>
    </row>
    <row r="408" spans="1:13" x14ac:dyDescent="0.3">
      <c r="A408" s="2">
        <v>407</v>
      </c>
      <c r="B408" s="2" t="s">
        <v>1542</v>
      </c>
      <c r="C408" s="2" t="s">
        <v>1543</v>
      </c>
      <c r="D408" s="2" t="s">
        <v>41</v>
      </c>
      <c r="E408" s="2" t="s">
        <v>16</v>
      </c>
      <c r="F408" s="2">
        <v>60</v>
      </c>
      <c r="G408" s="2" t="s">
        <v>1544</v>
      </c>
      <c r="H408" s="2" t="s">
        <v>951</v>
      </c>
      <c r="I408" s="2" t="s">
        <v>95</v>
      </c>
      <c r="J408" s="3">
        <v>44369</v>
      </c>
      <c r="K408" s="2">
        <v>40</v>
      </c>
      <c r="L408" s="2" t="s">
        <v>54</v>
      </c>
      <c r="M408" s="3"/>
    </row>
    <row r="409" spans="1:13" x14ac:dyDescent="0.3">
      <c r="A409" s="2">
        <v>408</v>
      </c>
      <c r="B409" s="2" t="s">
        <v>1545</v>
      </c>
      <c r="C409" s="2" t="s">
        <v>1546</v>
      </c>
      <c r="D409" s="2" t="s">
        <v>15</v>
      </c>
      <c r="E409" s="2" t="s">
        <v>16</v>
      </c>
      <c r="F409" s="2">
        <v>90</v>
      </c>
      <c r="G409" s="2" t="s">
        <v>1547</v>
      </c>
      <c r="H409" s="2" t="s">
        <v>1548</v>
      </c>
      <c r="I409" s="2" t="s">
        <v>1549</v>
      </c>
      <c r="J409" s="3">
        <v>44467</v>
      </c>
      <c r="K409" s="2">
        <v>21</v>
      </c>
      <c r="L409" s="2" t="s">
        <v>70</v>
      </c>
      <c r="M409" s="3"/>
    </row>
    <row r="410" spans="1:13" x14ac:dyDescent="0.3">
      <c r="A410" s="2">
        <v>409</v>
      </c>
      <c r="B410" s="2" t="s">
        <v>1550</v>
      </c>
      <c r="C410" s="2" t="s">
        <v>1551</v>
      </c>
      <c r="D410" s="2" t="s">
        <v>51</v>
      </c>
      <c r="E410" s="2" t="s">
        <v>16</v>
      </c>
      <c r="F410" s="2">
        <v>60</v>
      </c>
      <c r="G410" s="2" t="s">
        <v>1552</v>
      </c>
      <c r="H410" s="2" t="s">
        <v>1064</v>
      </c>
      <c r="I410" s="2" t="s">
        <v>886</v>
      </c>
      <c r="J410" s="3">
        <v>43959</v>
      </c>
      <c r="K410" s="2">
        <v>63</v>
      </c>
      <c r="L410" s="2" t="s">
        <v>33</v>
      </c>
      <c r="M410" s="3"/>
    </row>
    <row r="411" spans="1:13" x14ac:dyDescent="0.3">
      <c r="A411" s="2">
        <v>410</v>
      </c>
      <c r="B411" s="2" t="s">
        <v>1553</v>
      </c>
      <c r="C411" s="2" t="s">
        <v>1554</v>
      </c>
      <c r="D411" s="2" t="s">
        <v>28</v>
      </c>
      <c r="E411" s="2" t="s">
        <v>29</v>
      </c>
      <c r="F411" s="2">
        <v>90</v>
      </c>
      <c r="G411" s="2" t="s">
        <v>1555</v>
      </c>
      <c r="H411" s="2" t="s">
        <v>1556</v>
      </c>
      <c r="I411" s="2" t="s">
        <v>1311</v>
      </c>
      <c r="J411" s="3">
        <v>44887</v>
      </c>
      <c r="K411" s="2">
        <v>65</v>
      </c>
      <c r="L411" s="2" t="s">
        <v>101</v>
      </c>
      <c r="M411" s="3"/>
    </row>
    <row r="412" spans="1:13" x14ac:dyDescent="0.3">
      <c r="A412" s="2">
        <v>411</v>
      </c>
      <c r="B412" s="2" t="s">
        <v>1557</v>
      </c>
      <c r="C412" s="2" t="s">
        <v>1558</v>
      </c>
      <c r="D412" s="2" t="s">
        <v>15</v>
      </c>
      <c r="E412" s="2" t="s">
        <v>16</v>
      </c>
      <c r="F412" s="2">
        <v>60</v>
      </c>
      <c r="G412" s="2" t="s">
        <v>1559</v>
      </c>
      <c r="H412" s="2" t="s">
        <v>641</v>
      </c>
      <c r="I412" s="2" t="s">
        <v>294</v>
      </c>
      <c r="J412" s="3">
        <v>44165</v>
      </c>
      <c r="K412" s="2">
        <v>71</v>
      </c>
      <c r="L412" s="2" t="s">
        <v>54</v>
      </c>
      <c r="M412" s="3"/>
    </row>
    <row r="413" spans="1:13" x14ac:dyDescent="0.3">
      <c r="A413" s="2">
        <v>412</v>
      </c>
      <c r="B413" s="2" t="s">
        <v>1560</v>
      </c>
      <c r="C413" s="2" t="s">
        <v>1561</v>
      </c>
      <c r="D413" s="2" t="s">
        <v>15</v>
      </c>
      <c r="E413" s="2" t="s">
        <v>16</v>
      </c>
      <c r="F413" s="2">
        <v>30</v>
      </c>
      <c r="G413" s="2" t="s">
        <v>1562</v>
      </c>
      <c r="H413" s="2" t="s">
        <v>641</v>
      </c>
      <c r="I413" s="2" t="s">
        <v>294</v>
      </c>
      <c r="J413" s="3">
        <v>44243</v>
      </c>
      <c r="K413" s="2">
        <v>27</v>
      </c>
      <c r="L413" s="2" t="s">
        <v>20</v>
      </c>
      <c r="M413" s="3"/>
    </row>
    <row r="414" spans="1:13" x14ac:dyDescent="0.3">
      <c r="A414" s="2">
        <v>413</v>
      </c>
      <c r="B414" s="2" t="s">
        <v>1563</v>
      </c>
      <c r="C414" s="2" t="s">
        <v>1564</v>
      </c>
      <c r="D414" s="2" t="s">
        <v>51</v>
      </c>
      <c r="E414" s="2" t="s">
        <v>16</v>
      </c>
      <c r="F414" s="2">
        <v>90</v>
      </c>
      <c r="G414" s="2" t="s">
        <v>1565</v>
      </c>
      <c r="H414" s="2" t="s">
        <v>877</v>
      </c>
      <c r="I414" s="2" t="s">
        <v>32</v>
      </c>
      <c r="J414" s="3">
        <v>44589</v>
      </c>
      <c r="K414" s="2">
        <v>19</v>
      </c>
      <c r="L414" s="2" t="s">
        <v>39</v>
      </c>
      <c r="M414" s="3"/>
    </row>
    <row r="415" spans="1:13" x14ac:dyDescent="0.3">
      <c r="A415" s="2">
        <v>414</v>
      </c>
      <c r="B415" s="2" t="s">
        <v>476</v>
      </c>
      <c r="C415" s="2" t="s">
        <v>1566</v>
      </c>
      <c r="D415" s="2" t="s">
        <v>28</v>
      </c>
      <c r="E415" s="2" t="s">
        <v>29</v>
      </c>
      <c r="F415" s="2">
        <v>90</v>
      </c>
      <c r="G415" s="2" t="s">
        <v>1567</v>
      </c>
      <c r="H415" s="2" t="s">
        <v>1568</v>
      </c>
      <c r="I415" s="2" t="s">
        <v>32</v>
      </c>
      <c r="J415" s="3">
        <v>43997</v>
      </c>
      <c r="K415" s="2">
        <v>30</v>
      </c>
      <c r="L415" s="2" t="s">
        <v>64</v>
      </c>
      <c r="M415" s="3"/>
    </row>
    <row r="416" spans="1:13" x14ac:dyDescent="0.3">
      <c r="A416" s="2">
        <v>415</v>
      </c>
      <c r="B416" s="2" t="s">
        <v>1569</v>
      </c>
      <c r="C416" s="2" t="s">
        <v>1251</v>
      </c>
      <c r="D416" s="2" t="s">
        <v>15</v>
      </c>
      <c r="E416" s="2" t="s">
        <v>16</v>
      </c>
      <c r="F416" s="2">
        <v>30</v>
      </c>
      <c r="G416" s="2" t="s">
        <v>1570</v>
      </c>
      <c r="H416" s="2" t="s">
        <v>1571</v>
      </c>
      <c r="I416" s="2" t="s">
        <v>110</v>
      </c>
      <c r="J416" s="3">
        <v>44766</v>
      </c>
      <c r="K416" s="2">
        <v>41</v>
      </c>
      <c r="L416" s="2" t="s">
        <v>45</v>
      </c>
      <c r="M416" s="3"/>
    </row>
    <row r="417" spans="1:13" x14ac:dyDescent="0.3">
      <c r="A417" s="2">
        <v>416</v>
      </c>
      <c r="B417" s="2" t="s">
        <v>1572</v>
      </c>
      <c r="C417" s="2" t="s">
        <v>1573</v>
      </c>
      <c r="D417" s="2" t="s">
        <v>28</v>
      </c>
      <c r="E417" s="2" t="s">
        <v>29</v>
      </c>
      <c r="F417" s="2">
        <v>30</v>
      </c>
      <c r="G417" s="2" t="s">
        <v>1574</v>
      </c>
      <c r="H417" s="2" t="s">
        <v>1575</v>
      </c>
      <c r="I417" s="2" t="s">
        <v>1576</v>
      </c>
      <c r="J417" s="3">
        <v>44021</v>
      </c>
      <c r="K417" s="2">
        <v>38</v>
      </c>
      <c r="L417" s="2" t="s">
        <v>159</v>
      </c>
      <c r="M417" s="3"/>
    </row>
    <row r="418" spans="1:13" x14ac:dyDescent="0.3">
      <c r="A418" s="2">
        <v>417</v>
      </c>
      <c r="B418" s="2" t="s">
        <v>1577</v>
      </c>
      <c r="C418" s="2" t="s">
        <v>1578</v>
      </c>
      <c r="D418" s="2" t="s">
        <v>15</v>
      </c>
      <c r="E418" s="2" t="s">
        <v>16</v>
      </c>
      <c r="F418" s="2">
        <v>30</v>
      </c>
      <c r="G418" s="2" t="s">
        <v>1579</v>
      </c>
      <c r="H418" s="2" t="s">
        <v>1095</v>
      </c>
      <c r="I418" s="2" t="s">
        <v>178</v>
      </c>
      <c r="J418" s="3">
        <v>44592</v>
      </c>
      <c r="K418" s="2">
        <v>31</v>
      </c>
      <c r="L418" s="2" t="s">
        <v>39</v>
      </c>
      <c r="M418" s="3"/>
    </row>
    <row r="419" spans="1:13" x14ac:dyDescent="0.3">
      <c r="A419" s="2">
        <v>418</v>
      </c>
      <c r="B419" s="2" t="s">
        <v>1580</v>
      </c>
      <c r="C419" s="2" t="s">
        <v>1581</v>
      </c>
      <c r="D419" s="2" t="s">
        <v>41</v>
      </c>
      <c r="E419" s="2" t="s">
        <v>16</v>
      </c>
      <c r="F419" s="2">
        <v>30</v>
      </c>
      <c r="G419" s="2" t="s">
        <v>1582</v>
      </c>
      <c r="H419" s="2" t="s">
        <v>1583</v>
      </c>
      <c r="I419" s="2" t="s">
        <v>178</v>
      </c>
      <c r="J419" s="3">
        <v>43950</v>
      </c>
      <c r="K419" s="2">
        <v>5</v>
      </c>
      <c r="L419" s="2" t="s">
        <v>101</v>
      </c>
      <c r="M419" s="3"/>
    </row>
    <row r="420" spans="1:13" x14ac:dyDescent="0.3">
      <c r="A420" s="2">
        <v>419</v>
      </c>
      <c r="B420" s="2" t="s">
        <v>1584</v>
      </c>
      <c r="C420" s="2" t="s">
        <v>1585</v>
      </c>
      <c r="D420" s="2" t="s">
        <v>15</v>
      </c>
      <c r="E420" s="2" t="s">
        <v>16</v>
      </c>
      <c r="F420" s="2">
        <v>30</v>
      </c>
      <c r="G420" s="2" t="s">
        <v>1586</v>
      </c>
      <c r="H420" s="2" t="s">
        <v>1587</v>
      </c>
      <c r="I420" s="2" t="s">
        <v>32</v>
      </c>
      <c r="J420" s="3">
        <v>43997</v>
      </c>
      <c r="K420" s="2">
        <v>37</v>
      </c>
      <c r="L420" s="2" t="s">
        <v>70</v>
      </c>
      <c r="M420" s="3"/>
    </row>
    <row r="421" spans="1:13" x14ac:dyDescent="0.3">
      <c r="A421" s="2">
        <v>420</v>
      </c>
      <c r="B421" s="2" t="s">
        <v>1506</v>
      </c>
      <c r="C421" s="2" t="s">
        <v>1588</v>
      </c>
      <c r="D421" s="2" t="s">
        <v>15</v>
      </c>
      <c r="E421" s="2" t="s">
        <v>16</v>
      </c>
      <c r="F421" s="2">
        <v>90</v>
      </c>
      <c r="G421" s="2" t="s">
        <v>1589</v>
      </c>
      <c r="H421" s="2" t="s">
        <v>1590</v>
      </c>
      <c r="I421" s="2" t="s">
        <v>32</v>
      </c>
      <c r="J421" s="3">
        <v>44223</v>
      </c>
      <c r="K421" s="2">
        <v>66</v>
      </c>
      <c r="L421" s="2" t="s">
        <v>20</v>
      </c>
      <c r="M421" s="3"/>
    </row>
    <row r="422" spans="1:13" x14ac:dyDescent="0.3">
      <c r="A422" s="2">
        <v>421</v>
      </c>
      <c r="B422" s="2" t="s">
        <v>1591</v>
      </c>
      <c r="C422" s="2" t="s">
        <v>1592</v>
      </c>
      <c r="D422" s="2" t="s">
        <v>15</v>
      </c>
      <c r="E422" s="2" t="s">
        <v>16</v>
      </c>
      <c r="F422" s="2">
        <v>90</v>
      </c>
      <c r="G422" s="2" t="s">
        <v>1593</v>
      </c>
      <c r="H422" s="2" t="s">
        <v>1594</v>
      </c>
      <c r="I422" s="2" t="s">
        <v>178</v>
      </c>
      <c r="J422" s="3">
        <v>44403</v>
      </c>
      <c r="K422" s="2">
        <v>32</v>
      </c>
      <c r="L422" s="2" t="s">
        <v>20</v>
      </c>
      <c r="M422" s="3"/>
    </row>
    <row r="423" spans="1:13" x14ac:dyDescent="0.3">
      <c r="A423" s="2">
        <v>422</v>
      </c>
      <c r="B423" s="2" t="s">
        <v>1595</v>
      </c>
      <c r="C423" s="2" t="s">
        <v>1596</v>
      </c>
      <c r="D423" s="2" t="s">
        <v>15</v>
      </c>
      <c r="E423" s="2" t="s">
        <v>16</v>
      </c>
      <c r="F423" s="2">
        <v>60</v>
      </c>
      <c r="G423" s="2" t="s">
        <v>1597</v>
      </c>
      <c r="H423" s="2" t="s">
        <v>1598</v>
      </c>
      <c r="I423" s="2" t="s">
        <v>32</v>
      </c>
      <c r="J423" s="3">
        <v>44450</v>
      </c>
      <c r="K423" s="2">
        <v>25</v>
      </c>
      <c r="L423" s="2" t="s">
        <v>54</v>
      </c>
      <c r="M423" s="3"/>
    </row>
    <row r="424" spans="1:13" x14ac:dyDescent="0.3">
      <c r="A424" s="2">
        <v>423</v>
      </c>
      <c r="B424" s="2" t="s">
        <v>1290</v>
      </c>
      <c r="C424" s="2" t="s">
        <v>1599</v>
      </c>
      <c r="D424" s="2" t="s">
        <v>51</v>
      </c>
      <c r="E424" s="2" t="s">
        <v>16</v>
      </c>
      <c r="F424" s="2">
        <v>30</v>
      </c>
      <c r="G424" s="2" t="s">
        <v>1600</v>
      </c>
      <c r="H424" s="2" t="s">
        <v>1601</v>
      </c>
      <c r="I424" s="2" t="s">
        <v>32</v>
      </c>
      <c r="J424" s="3">
        <v>44353</v>
      </c>
      <c r="K424" s="2">
        <v>63</v>
      </c>
      <c r="L424" s="2" t="s">
        <v>39</v>
      </c>
      <c r="M424" s="3"/>
    </row>
    <row r="425" spans="1:13" x14ac:dyDescent="0.3">
      <c r="A425" s="2">
        <v>424</v>
      </c>
      <c r="B425" s="2" t="s">
        <v>1602</v>
      </c>
      <c r="C425" s="2" t="s">
        <v>1603</v>
      </c>
      <c r="D425" s="2" t="s">
        <v>15</v>
      </c>
      <c r="E425" s="2" t="s">
        <v>16</v>
      </c>
      <c r="F425" s="2">
        <v>90</v>
      </c>
      <c r="G425" s="2" t="s">
        <v>1604</v>
      </c>
      <c r="H425" s="2" t="s">
        <v>1605</v>
      </c>
      <c r="I425" s="2" t="s">
        <v>32</v>
      </c>
      <c r="J425" s="3">
        <v>44864</v>
      </c>
      <c r="K425" s="2">
        <v>99</v>
      </c>
      <c r="L425" s="2" t="s">
        <v>45</v>
      </c>
      <c r="M425" s="3"/>
    </row>
    <row r="426" spans="1:13" x14ac:dyDescent="0.3">
      <c r="A426" s="2">
        <v>425</v>
      </c>
      <c r="B426" s="2" t="s">
        <v>1606</v>
      </c>
      <c r="C426" s="2" t="s">
        <v>1607</v>
      </c>
      <c r="D426" s="2" t="s">
        <v>28</v>
      </c>
      <c r="E426" s="2" t="s">
        <v>29</v>
      </c>
      <c r="F426" s="2">
        <v>60</v>
      </c>
      <c r="G426" s="2" t="s">
        <v>1608</v>
      </c>
      <c r="H426" s="2" t="s">
        <v>1609</v>
      </c>
      <c r="I426" s="2" t="s">
        <v>32</v>
      </c>
      <c r="J426" s="3">
        <v>44093</v>
      </c>
      <c r="K426" s="2">
        <v>62</v>
      </c>
      <c r="L426" s="2" t="s">
        <v>70</v>
      </c>
      <c r="M426" s="3"/>
    </row>
    <row r="427" spans="1:13" x14ac:dyDescent="0.3">
      <c r="A427" s="2">
        <v>426</v>
      </c>
      <c r="B427" s="2" t="s">
        <v>1610</v>
      </c>
      <c r="C427" s="2" t="s">
        <v>1030</v>
      </c>
      <c r="D427" s="2" t="s">
        <v>28</v>
      </c>
      <c r="E427" s="2" t="s">
        <v>29</v>
      </c>
      <c r="F427" s="2">
        <v>90</v>
      </c>
      <c r="G427" s="2" t="s">
        <v>1611</v>
      </c>
      <c r="H427" s="2" t="s">
        <v>1612</v>
      </c>
      <c r="I427" s="2" t="s">
        <v>240</v>
      </c>
      <c r="J427" s="3">
        <v>44236</v>
      </c>
      <c r="K427" s="2">
        <v>85</v>
      </c>
      <c r="L427" s="2" t="s">
        <v>80</v>
      </c>
      <c r="M427" s="3"/>
    </row>
    <row r="428" spans="1:13" x14ac:dyDescent="0.3">
      <c r="A428" s="2">
        <v>427</v>
      </c>
      <c r="B428" s="2" t="s">
        <v>1613</v>
      </c>
      <c r="C428" s="2" t="s">
        <v>1614</v>
      </c>
      <c r="D428" s="2" t="s">
        <v>28</v>
      </c>
      <c r="E428" s="2" t="s">
        <v>29</v>
      </c>
      <c r="F428" s="2">
        <v>60</v>
      </c>
      <c r="G428" s="2" t="s">
        <v>1611</v>
      </c>
      <c r="H428" s="2" t="s">
        <v>1615</v>
      </c>
      <c r="I428" s="2" t="s">
        <v>32</v>
      </c>
      <c r="J428" s="3">
        <v>44140</v>
      </c>
      <c r="K428" s="2">
        <v>10</v>
      </c>
      <c r="L428" s="2" t="s">
        <v>39</v>
      </c>
      <c r="M428" s="3"/>
    </row>
    <row r="429" spans="1:13" x14ac:dyDescent="0.3">
      <c r="A429" s="2">
        <v>428</v>
      </c>
      <c r="B429" s="2" t="s">
        <v>1616</v>
      </c>
      <c r="C429" s="2" t="s">
        <v>1617</v>
      </c>
      <c r="D429" s="2" t="s">
        <v>15</v>
      </c>
      <c r="E429" s="2" t="s">
        <v>16</v>
      </c>
      <c r="F429" s="2">
        <v>60</v>
      </c>
      <c r="G429" s="2" t="s">
        <v>1618</v>
      </c>
      <c r="H429" s="2" t="s">
        <v>1619</v>
      </c>
      <c r="I429" s="2" t="s">
        <v>44</v>
      </c>
      <c r="J429" s="3">
        <v>43950</v>
      </c>
      <c r="K429" s="2">
        <v>65</v>
      </c>
      <c r="L429" s="2" t="s">
        <v>20</v>
      </c>
      <c r="M429" s="3"/>
    </row>
    <row r="430" spans="1:13" x14ac:dyDescent="0.3">
      <c r="A430" s="2">
        <v>429</v>
      </c>
      <c r="B430" s="2" t="s">
        <v>371</v>
      </c>
      <c r="C430" s="2" t="s">
        <v>1296</v>
      </c>
      <c r="D430" s="2" t="s">
        <v>28</v>
      </c>
      <c r="E430" s="2" t="s">
        <v>29</v>
      </c>
      <c r="F430" s="2">
        <v>90</v>
      </c>
      <c r="G430" s="2" t="s">
        <v>1620</v>
      </c>
      <c r="H430" s="2" t="s">
        <v>1621</v>
      </c>
      <c r="I430" s="2" t="s">
        <v>146</v>
      </c>
      <c r="J430" s="3">
        <v>44535</v>
      </c>
      <c r="K430" s="2">
        <v>82</v>
      </c>
      <c r="L430" s="2" t="s">
        <v>101</v>
      </c>
      <c r="M430" s="3"/>
    </row>
    <row r="431" spans="1:13" x14ac:dyDescent="0.3">
      <c r="A431" s="2">
        <v>430</v>
      </c>
      <c r="B431" s="2" t="s">
        <v>1622</v>
      </c>
      <c r="C431" s="2" t="s">
        <v>1623</v>
      </c>
      <c r="D431" s="2" t="s">
        <v>28</v>
      </c>
      <c r="E431" s="2" t="s">
        <v>29</v>
      </c>
      <c r="F431" s="2">
        <v>60</v>
      </c>
      <c r="G431" s="2" t="s">
        <v>1624</v>
      </c>
      <c r="H431" s="2" t="s">
        <v>1625</v>
      </c>
      <c r="I431" s="2" t="s">
        <v>32</v>
      </c>
      <c r="J431" s="3">
        <v>44622</v>
      </c>
      <c r="K431" s="2">
        <v>21</v>
      </c>
      <c r="L431" s="2" t="s">
        <v>45</v>
      </c>
      <c r="M431" s="3"/>
    </row>
    <row r="432" spans="1:13" x14ac:dyDescent="0.3">
      <c r="A432" s="2">
        <v>431</v>
      </c>
      <c r="B432" s="2" t="s">
        <v>1626</v>
      </c>
      <c r="C432" s="2" t="s">
        <v>1627</v>
      </c>
      <c r="D432" s="2" t="s">
        <v>51</v>
      </c>
      <c r="E432" s="2" t="s">
        <v>16</v>
      </c>
      <c r="F432" s="2">
        <v>60</v>
      </c>
      <c r="G432" s="2" t="s">
        <v>1628</v>
      </c>
      <c r="H432" s="2" t="s">
        <v>1629</v>
      </c>
      <c r="I432" s="2" t="s">
        <v>32</v>
      </c>
      <c r="J432" s="3">
        <v>44597</v>
      </c>
      <c r="K432" s="2">
        <v>19</v>
      </c>
      <c r="L432" s="2" t="s">
        <v>20</v>
      </c>
      <c r="M432" s="3"/>
    </row>
    <row r="433" spans="1:13" x14ac:dyDescent="0.3">
      <c r="A433" s="2">
        <v>432</v>
      </c>
      <c r="B433" s="2" t="s">
        <v>1630</v>
      </c>
      <c r="C433" s="2" t="s">
        <v>708</v>
      </c>
      <c r="D433" s="2" t="s">
        <v>28</v>
      </c>
      <c r="E433" s="2" t="s">
        <v>29</v>
      </c>
      <c r="F433" s="2">
        <v>60</v>
      </c>
      <c r="G433" s="2" t="s">
        <v>1631</v>
      </c>
      <c r="H433" s="2" t="s">
        <v>1632</v>
      </c>
      <c r="I433" s="2" t="s">
        <v>32</v>
      </c>
      <c r="J433" s="3">
        <v>44694</v>
      </c>
      <c r="K433" s="2">
        <v>76</v>
      </c>
      <c r="L433" s="2" t="s">
        <v>39</v>
      </c>
      <c r="M433" s="3"/>
    </row>
    <row r="434" spans="1:13" x14ac:dyDescent="0.3">
      <c r="A434" s="2">
        <v>433</v>
      </c>
      <c r="B434" s="2" t="s">
        <v>179</v>
      </c>
      <c r="C434" s="2" t="s">
        <v>357</v>
      </c>
      <c r="D434" s="2" t="s">
        <v>28</v>
      </c>
      <c r="E434" s="2" t="s">
        <v>29</v>
      </c>
      <c r="F434" s="2">
        <v>90</v>
      </c>
      <c r="G434" s="2" t="s">
        <v>1633</v>
      </c>
      <c r="H434" s="2" t="s">
        <v>750</v>
      </c>
      <c r="I434" s="2" t="s">
        <v>25</v>
      </c>
      <c r="J434" s="3">
        <v>44461</v>
      </c>
      <c r="K434" s="2">
        <v>41</v>
      </c>
      <c r="L434" s="2" t="s">
        <v>159</v>
      </c>
      <c r="M434" s="3"/>
    </row>
    <row r="435" spans="1:13" x14ac:dyDescent="0.3">
      <c r="A435" s="2">
        <v>434</v>
      </c>
      <c r="B435" s="2" t="s">
        <v>1634</v>
      </c>
      <c r="C435" s="2" t="s">
        <v>1635</v>
      </c>
      <c r="D435" s="2" t="s">
        <v>28</v>
      </c>
      <c r="E435" s="2" t="s">
        <v>29</v>
      </c>
      <c r="F435" s="2">
        <v>60</v>
      </c>
      <c r="G435" s="2" t="s">
        <v>1636</v>
      </c>
      <c r="H435" s="2" t="s">
        <v>137</v>
      </c>
      <c r="I435" s="2" t="s">
        <v>32</v>
      </c>
      <c r="J435" s="3">
        <v>44911</v>
      </c>
      <c r="K435" s="2">
        <v>42</v>
      </c>
      <c r="L435" s="2" t="s">
        <v>80</v>
      </c>
      <c r="M435" s="3"/>
    </row>
    <row r="436" spans="1:13" x14ac:dyDescent="0.3">
      <c r="A436" s="2">
        <v>435</v>
      </c>
      <c r="B436" s="2" t="s">
        <v>1637</v>
      </c>
      <c r="C436" s="2" t="s">
        <v>1638</v>
      </c>
      <c r="D436" s="2" t="s">
        <v>28</v>
      </c>
      <c r="E436" s="2" t="s">
        <v>29</v>
      </c>
      <c r="F436" s="2">
        <v>30</v>
      </c>
      <c r="G436" s="2" t="s">
        <v>1639</v>
      </c>
      <c r="H436" s="2" t="s">
        <v>498</v>
      </c>
      <c r="I436" s="2" t="s">
        <v>32</v>
      </c>
      <c r="J436" s="3">
        <v>44645</v>
      </c>
      <c r="K436" s="2">
        <v>38</v>
      </c>
      <c r="L436" s="2" t="s">
        <v>70</v>
      </c>
      <c r="M436" s="3"/>
    </row>
    <row r="437" spans="1:13" x14ac:dyDescent="0.3">
      <c r="A437" s="2">
        <v>436</v>
      </c>
      <c r="B437" s="2" t="s">
        <v>1640</v>
      </c>
      <c r="C437" s="2" t="s">
        <v>1641</v>
      </c>
      <c r="D437" s="2" t="s">
        <v>51</v>
      </c>
      <c r="E437" s="2" t="s">
        <v>16</v>
      </c>
      <c r="F437" s="2">
        <v>30</v>
      </c>
      <c r="G437" s="2" t="s">
        <v>1642</v>
      </c>
      <c r="H437" s="2" t="s">
        <v>1643</v>
      </c>
      <c r="I437" s="2" t="s">
        <v>124</v>
      </c>
      <c r="J437" s="3">
        <v>44343</v>
      </c>
      <c r="K437" s="2">
        <v>87</v>
      </c>
      <c r="L437" s="2" t="s">
        <v>159</v>
      </c>
      <c r="M437" s="3"/>
    </row>
    <row r="438" spans="1:13" x14ac:dyDescent="0.3">
      <c r="A438" s="2">
        <v>437</v>
      </c>
      <c r="B438" s="2" t="s">
        <v>1644</v>
      </c>
      <c r="C438" s="2" t="s">
        <v>1645</v>
      </c>
      <c r="D438" s="2" t="s">
        <v>41</v>
      </c>
      <c r="E438" s="2" t="s">
        <v>16</v>
      </c>
      <c r="F438" s="2">
        <v>90</v>
      </c>
      <c r="G438" s="2" t="s">
        <v>1646</v>
      </c>
      <c r="H438" s="2" t="s">
        <v>1647</v>
      </c>
      <c r="I438" s="2" t="s">
        <v>554</v>
      </c>
      <c r="J438" s="3">
        <v>44709</v>
      </c>
      <c r="K438" s="2">
        <v>96</v>
      </c>
      <c r="L438" s="2" t="s">
        <v>159</v>
      </c>
      <c r="M438" s="3"/>
    </row>
    <row r="439" spans="1:13" x14ac:dyDescent="0.3">
      <c r="A439" s="2">
        <v>438</v>
      </c>
      <c r="B439" s="2" t="s">
        <v>1648</v>
      </c>
      <c r="C439" s="2" t="s">
        <v>1649</v>
      </c>
      <c r="D439" s="2" t="s">
        <v>41</v>
      </c>
      <c r="E439" s="2" t="s">
        <v>16</v>
      </c>
      <c r="F439" s="2">
        <v>30</v>
      </c>
      <c r="G439" s="2" t="s">
        <v>1650</v>
      </c>
      <c r="H439" s="2" t="s">
        <v>1651</v>
      </c>
      <c r="I439" s="2" t="s">
        <v>1652</v>
      </c>
      <c r="J439" s="3">
        <v>44425</v>
      </c>
      <c r="K439" s="2">
        <v>79</v>
      </c>
      <c r="L439" s="2" t="s">
        <v>101</v>
      </c>
      <c r="M439" s="3"/>
    </row>
    <row r="440" spans="1:13" x14ac:dyDescent="0.3">
      <c r="A440" s="2">
        <v>439</v>
      </c>
      <c r="B440" s="2" t="s">
        <v>1653</v>
      </c>
      <c r="C440" s="2" t="s">
        <v>1654</v>
      </c>
      <c r="D440" s="2" t="s">
        <v>92</v>
      </c>
      <c r="E440" s="2" t="s">
        <v>16</v>
      </c>
      <c r="F440" s="2">
        <v>30</v>
      </c>
      <c r="G440" s="2" t="s">
        <v>1655</v>
      </c>
      <c r="H440" s="2" t="s">
        <v>1656</v>
      </c>
      <c r="I440" s="2" t="s">
        <v>187</v>
      </c>
      <c r="J440" s="3">
        <v>44102</v>
      </c>
      <c r="K440" s="2">
        <v>78</v>
      </c>
      <c r="L440" s="2" t="s">
        <v>159</v>
      </c>
      <c r="M440" s="3"/>
    </row>
    <row r="441" spans="1:13" x14ac:dyDescent="0.3">
      <c r="A441" s="2">
        <v>440</v>
      </c>
      <c r="B441" s="2" t="s">
        <v>1657</v>
      </c>
      <c r="C441" s="2" t="s">
        <v>1658</v>
      </c>
      <c r="D441" s="2" t="s">
        <v>28</v>
      </c>
      <c r="E441" s="2" t="s">
        <v>29</v>
      </c>
      <c r="F441" s="2">
        <v>60</v>
      </c>
      <c r="G441" s="2" t="s">
        <v>1659</v>
      </c>
      <c r="H441" s="2" t="s">
        <v>1660</v>
      </c>
      <c r="I441" s="2" t="s">
        <v>32</v>
      </c>
      <c r="J441" s="3">
        <v>44760</v>
      </c>
      <c r="K441" s="2">
        <v>23</v>
      </c>
      <c r="L441" s="2" t="s">
        <v>39</v>
      </c>
      <c r="M441" s="3"/>
    </row>
    <row r="442" spans="1:13" x14ac:dyDescent="0.3">
      <c r="A442" s="2">
        <v>441</v>
      </c>
      <c r="B442" s="2" t="s">
        <v>1661</v>
      </c>
      <c r="C442" s="2" t="s">
        <v>1662</v>
      </c>
      <c r="D442" s="2" t="s">
        <v>28</v>
      </c>
      <c r="E442" s="2" t="s">
        <v>29</v>
      </c>
      <c r="F442" s="2">
        <v>60</v>
      </c>
      <c r="G442" s="2" t="s">
        <v>1663</v>
      </c>
      <c r="H442" s="2" t="s">
        <v>1477</v>
      </c>
      <c r="I442" s="2" t="s">
        <v>1478</v>
      </c>
      <c r="J442" s="3">
        <v>44340</v>
      </c>
      <c r="L442" s="2" t="s">
        <v>80</v>
      </c>
      <c r="M442" s="3"/>
    </row>
    <row r="443" spans="1:13" x14ac:dyDescent="0.3">
      <c r="A443" s="2">
        <v>442</v>
      </c>
      <c r="B443" s="2" t="s">
        <v>1664</v>
      </c>
      <c r="C443" s="2" t="s">
        <v>1665</v>
      </c>
      <c r="D443" s="2" t="s">
        <v>15</v>
      </c>
      <c r="E443" s="2" t="s">
        <v>16</v>
      </c>
      <c r="F443" s="2">
        <v>60</v>
      </c>
      <c r="G443" s="2" t="s">
        <v>1666</v>
      </c>
      <c r="H443" s="2" t="s">
        <v>1667</v>
      </c>
      <c r="I443" s="2" t="s">
        <v>32</v>
      </c>
      <c r="J443" s="3">
        <v>44288</v>
      </c>
      <c r="K443" s="2">
        <v>63</v>
      </c>
      <c r="L443" s="2" t="s">
        <v>159</v>
      </c>
      <c r="M443" s="3"/>
    </row>
    <row r="444" spans="1:13" x14ac:dyDescent="0.3">
      <c r="A444" s="2">
        <v>443</v>
      </c>
      <c r="B444" s="2" t="s">
        <v>1668</v>
      </c>
      <c r="C444" s="2" t="s">
        <v>1669</v>
      </c>
      <c r="D444" s="2" t="s">
        <v>15</v>
      </c>
      <c r="E444" s="2" t="s">
        <v>16</v>
      </c>
      <c r="F444" s="2">
        <v>30</v>
      </c>
      <c r="G444" s="2" t="s">
        <v>1670</v>
      </c>
      <c r="H444" s="2" t="s">
        <v>1022</v>
      </c>
      <c r="I444" s="2" t="s">
        <v>164</v>
      </c>
      <c r="J444" s="3">
        <v>44348</v>
      </c>
      <c r="K444" s="2">
        <v>22</v>
      </c>
      <c r="L444" s="2" t="s">
        <v>70</v>
      </c>
      <c r="M444" s="3"/>
    </row>
    <row r="445" spans="1:13" x14ac:dyDescent="0.3">
      <c r="A445" s="2">
        <v>444</v>
      </c>
      <c r="B445" s="2" t="s">
        <v>1671</v>
      </c>
      <c r="C445" s="2" t="s">
        <v>1672</v>
      </c>
      <c r="D445" s="2" t="s">
        <v>28</v>
      </c>
      <c r="E445" s="2" t="s">
        <v>29</v>
      </c>
      <c r="F445" s="2">
        <v>90</v>
      </c>
      <c r="G445" s="2" t="s">
        <v>1673</v>
      </c>
      <c r="H445" s="2" t="s">
        <v>1674</v>
      </c>
      <c r="I445" s="2" t="s">
        <v>25</v>
      </c>
      <c r="J445" s="3">
        <v>43891</v>
      </c>
      <c r="K445" s="2">
        <v>57</v>
      </c>
      <c r="L445" s="2" t="s">
        <v>54</v>
      </c>
      <c r="M445" s="3"/>
    </row>
    <row r="446" spans="1:13" x14ac:dyDescent="0.3">
      <c r="A446" s="2">
        <v>445</v>
      </c>
      <c r="B446" s="2" t="s">
        <v>1675</v>
      </c>
      <c r="C446" s="2" t="s">
        <v>722</v>
      </c>
      <c r="D446" s="2" t="s">
        <v>15</v>
      </c>
      <c r="E446" s="2" t="s">
        <v>16</v>
      </c>
      <c r="F446" s="2">
        <v>90</v>
      </c>
      <c r="G446" s="2" t="s">
        <v>1676</v>
      </c>
      <c r="H446" s="2" t="s">
        <v>655</v>
      </c>
      <c r="I446" s="2" t="s">
        <v>32</v>
      </c>
      <c r="J446" s="3">
        <v>44885</v>
      </c>
      <c r="K446" s="2">
        <v>49</v>
      </c>
      <c r="L446" s="2" t="s">
        <v>20</v>
      </c>
      <c r="M446" s="3"/>
    </row>
    <row r="447" spans="1:13" x14ac:dyDescent="0.3">
      <c r="A447" s="2">
        <v>446</v>
      </c>
      <c r="B447" s="2" t="s">
        <v>1677</v>
      </c>
      <c r="C447" s="2" t="s">
        <v>1678</v>
      </c>
      <c r="D447" s="2" t="s">
        <v>28</v>
      </c>
      <c r="E447" s="2" t="s">
        <v>29</v>
      </c>
      <c r="F447" s="2">
        <v>60</v>
      </c>
      <c r="G447" s="2" t="s">
        <v>1679</v>
      </c>
      <c r="H447" s="2" t="s">
        <v>1680</v>
      </c>
      <c r="I447" s="2" t="s">
        <v>19</v>
      </c>
      <c r="J447" s="3">
        <v>44021</v>
      </c>
      <c r="K447" s="2">
        <v>50</v>
      </c>
      <c r="L447" s="2" t="s">
        <v>159</v>
      </c>
      <c r="M447" s="3"/>
    </row>
    <row r="448" spans="1:13" x14ac:dyDescent="0.3">
      <c r="A448" s="2">
        <v>447</v>
      </c>
      <c r="B448" s="2" t="s">
        <v>1681</v>
      </c>
      <c r="C448" s="2" t="s">
        <v>1682</v>
      </c>
      <c r="D448" s="2" t="s">
        <v>51</v>
      </c>
      <c r="E448" s="2" t="s">
        <v>16</v>
      </c>
      <c r="F448" s="2">
        <v>90</v>
      </c>
      <c r="G448" s="2" t="s">
        <v>1683</v>
      </c>
      <c r="H448" s="2" t="s">
        <v>685</v>
      </c>
      <c r="I448" s="2" t="s">
        <v>686</v>
      </c>
      <c r="J448" s="3">
        <v>44150</v>
      </c>
      <c r="K448" s="2">
        <v>59</v>
      </c>
      <c r="L448" s="2" t="s">
        <v>64</v>
      </c>
      <c r="M448" s="3"/>
    </row>
    <row r="449" spans="1:13" x14ac:dyDescent="0.3">
      <c r="A449" s="2">
        <v>448</v>
      </c>
      <c r="B449" s="2" t="s">
        <v>1684</v>
      </c>
      <c r="C449" s="2" t="s">
        <v>1685</v>
      </c>
      <c r="D449" s="2" t="s">
        <v>28</v>
      </c>
      <c r="E449" s="2" t="s">
        <v>29</v>
      </c>
      <c r="F449" s="2">
        <v>60</v>
      </c>
      <c r="G449" s="2" t="s">
        <v>1686</v>
      </c>
      <c r="H449" s="2" t="s">
        <v>510</v>
      </c>
      <c r="I449" s="2" t="s">
        <v>32</v>
      </c>
      <c r="J449" s="3">
        <v>44106</v>
      </c>
      <c r="K449" s="2">
        <v>16</v>
      </c>
      <c r="L449" s="2" t="s">
        <v>39</v>
      </c>
      <c r="M449" s="3"/>
    </row>
    <row r="450" spans="1:13" x14ac:dyDescent="0.3">
      <c r="A450" s="2">
        <v>449</v>
      </c>
      <c r="B450" s="2" t="s">
        <v>1687</v>
      </c>
      <c r="C450" s="2" t="s">
        <v>1688</v>
      </c>
      <c r="D450" s="2" t="s">
        <v>117</v>
      </c>
      <c r="E450" s="2" t="s">
        <v>29</v>
      </c>
      <c r="F450" s="2">
        <v>90</v>
      </c>
      <c r="G450" s="2" t="s">
        <v>1689</v>
      </c>
      <c r="H450" s="2" t="s">
        <v>1690</v>
      </c>
      <c r="I450" s="2" t="s">
        <v>208</v>
      </c>
      <c r="J450" s="3">
        <v>43846</v>
      </c>
      <c r="K450" s="2">
        <v>74</v>
      </c>
      <c r="L450" s="2" t="s">
        <v>33</v>
      </c>
      <c r="M450" s="3"/>
    </row>
    <row r="451" spans="1:13" x14ac:dyDescent="0.3">
      <c r="A451" s="2">
        <v>450</v>
      </c>
      <c r="B451" s="2" t="s">
        <v>1691</v>
      </c>
      <c r="C451" s="2" t="s">
        <v>1692</v>
      </c>
      <c r="D451" s="2" t="s">
        <v>15</v>
      </c>
      <c r="E451" s="2" t="s">
        <v>16</v>
      </c>
      <c r="F451" s="2">
        <v>90</v>
      </c>
      <c r="G451" s="2" t="s">
        <v>1693</v>
      </c>
      <c r="H451" s="2" t="s">
        <v>1694</v>
      </c>
      <c r="I451" s="2" t="s">
        <v>32</v>
      </c>
      <c r="J451" s="3">
        <v>44630</v>
      </c>
      <c r="K451" s="2">
        <v>95</v>
      </c>
      <c r="L451" s="2" t="s">
        <v>54</v>
      </c>
      <c r="M451" s="3"/>
    </row>
    <row r="452" spans="1:13" x14ac:dyDescent="0.3">
      <c r="A452" s="2">
        <v>451</v>
      </c>
      <c r="B452" s="2" t="s">
        <v>1695</v>
      </c>
      <c r="C452" s="2" t="s">
        <v>1696</v>
      </c>
      <c r="D452" s="2" t="s">
        <v>51</v>
      </c>
      <c r="E452" s="2" t="s">
        <v>16</v>
      </c>
      <c r="F452" s="2">
        <v>60</v>
      </c>
      <c r="G452" s="2" t="s">
        <v>1697</v>
      </c>
      <c r="H452" s="2" t="s">
        <v>1556</v>
      </c>
      <c r="I452" s="2" t="s">
        <v>1311</v>
      </c>
      <c r="J452" s="3">
        <v>44524</v>
      </c>
      <c r="K452" s="2">
        <v>34</v>
      </c>
      <c r="L452" s="2" t="s">
        <v>33</v>
      </c>
      <c r="M452" s="3"/>
    </row>
    <row r="453" spans="1:13" x14ac:dyDescent="0.3">
      <c r="A453" s="2">
        <v>452</v>
      </c>
      <c r="B453" s="2" t="s">
        <v>1657</v>
      </c>
      <c r="C453" s="2" t="s">
        <v>1698</v>
      </c>
      <c r="D453" s="2" t="s">
        <v>28</v>
      </c>
      <c r="E453" s="2" t="s">
        <v>29</v>
      </c>
      <c r="F453" s="2">
        <v>30</v>
      </c>
      <c r="G453" s="2" t="s">
        <v>1697</v>
      </c>
      <c r="H453" s="2" t="s">
        <v>1473</v>
      </c>
      <c r="I453" s="2" t="s">
        <v>38</v>
      </c>
      <c r="J453" s="3">
        <v>43887</v>
      </c>
      <c r="K453" s="2">
        <v>61</v>
      </c>
      <c r="L453" s="2" t="s">
        <v>45</v>
      </c>
      <c r="M453" s="3"/>
    </row>
    <row r="454" spans="1:13" x14ac:dyDescent="0.3">
      <c r="A454" s="2">
        <v>453</v>
      </c>
      <c r="B454" s="2" t="s">
        <v>1699</v>
      </c>
      <c r="C454" s="2" t="s">
        <v>1700</v>
      </c>
      <c r="D454" s="2" t="s">
        <v>28</v>
      </c>
      <c r="E454" s="2" t="s">
        <v>29</v>
      </c>
      <c r="F454" s="2">
        <v>30</v>
      </c>
      <c r="G454" s="2" t="s">
        <v>1701</v>
      </c>
      <c r="H454" s="2" t="s">
        <v>685</v>
      </c>
      <c r="I454" s="2" t="s">
        <v>686</v>
      </c>
      <c r="J454" s="3">
        <v>44550</v>
      </c>
      <c r="K454" s="2">
        <v>36</v>
      </c>
      <c r="L454" s="2" t="s">
        <v>64</v>
      </c>
      <c r="M454" s="3"/>
    </row>
    <row r="455" spans="1:13" x14ac:dyDescent="0.3">
      <c r="A455" s="2">
        <v>454</v>
      </c>
      <c r="B455" s="2" t="s">
        <v>1702</v>
      </c>
      <c r="C455" s="2" t="s">
        <v>1703</v>
      </c>
      <c r="D455" s="2" t="s">
        <v>51</v>
      </c>
      <c r="E455" s="2" t="s">
        <v>16</v>
      </c>
      <c r="F455" s="2">
        <v>60</v>
      </c>
      <c r="G455" s="2" t="s">
        <v>1704</v>
      </c>
      <c r="H455" s="2" t="s">
        <v>1177</v>
      </c>
      <c r="I455" s="2" t="s">
        <v>32</v>
      </c>
      <c r="J455" s="3">
        <v>44239</v>
      </c>
      <c r="K455" s="2">
        <v>50</v>
      </c>
      <c r="L455" s="2" t="s">
        <v>80</v>
      </c>
      <c r="M455" s="3"/>
    </row>
    <row r="456" spans="1:13" x14ac:dyDescent="0.3">
      <c r="A456" s="2">
        <v>455</v>
      </c>
      <c r="B456" s="2" t="s">
        <v>1705</v>
      </c>
      <c r="C456" s="2" t="s">
        <v>1706</v>
      </c>
      <c r="D456" s="2" t="s">
        <v>15</v>
      </c>
      <c r="E456" s="2" t="s">
        <v>16</v>
      </c>
      <c r="F456" s="2">
        <v>30</v>
      </c>
      <c r="G456" s="2" t="s">
        <v>1707</v>
      </c>
      <c r="H456" s="2" t="s">
        <v>1708</v>
      </c>
      <c r="I456" s="2" t="s">
        <v>124</v>
      </c>
      <c r="J456" s="3">
        <v>44743</v>
      </c>
      <c r="K456" s="2">
        <v>94</v>
      </c>
      <c r="L456" s="2" t="s">
        <v>20</v>
      </c>
      <c r="M456" s="3"/>
    </row>
    <row r="457" spans="1:13" x14ac:dyDescent="0.3">
      <c r="A457" s="2">
        <v>456</v>
      </c>
      <c r="B457" s="2" t="s">
        <v>1709</v>
      </c>
      <c r="C457" s="2" t="s">
        <v>1710</v>
      </c>
      <c r="D457" s="2" t="s">
        <v>51</v>
      </c>
      <c r="E457" s="2" t="s">
        <v>16</v>
      </c>
      <c r="F457" s="2">
        <v>90</v>
      </c>
      <c r="G457" s="2" t="s">
        <v>1711</v>
      </c>
      <c r="H457" s="2" t="s">
        <v>1712</v>
      </c>
      <c r="I457" s="2" t="s">
        <v>187</v>
      </c>
      <c r="J457" s="3">
        <v>43852</v>
      </c>
      <c r="K457" s="2">
        <v>64</v>
      </c>
      <c r="L457" s="2" t="s">
        <v>33</v>
      </c>
      <c r="M457" s="3"/>
    </row>
    <row r="458" spans="1:13" x14ac:dyDescent="0.3">
      <c r="A458" s="2">
        <v>457</v>
      </c>
      <c r="B458" s="2" t="s">
        <v>1713</v>
      </c>
      <c r="C458" s="2" t="s">
        <v>1714</v>
      </c>
      <c r="D458" s="2" t="s">
        <v>15</v>
      </c>
      <c r="E458" s="2" t="s">
        <v>16</v>
      </c>
      <c r="F458" s="2">
        <v>60</v>
      </c>
      <c r="G458" s="2" t="s">
        <v>1715</v>
      </c>
      <c r="H458" s="2" t="s">
        <v>1716</v>
      </c>
      <c r="I458" s="2" t="s">
        <v>425</v>
      </c>
      <c r="J458" s="3">
        <v>44246</v>
      </c>
      <c r="K458" s="2">
        <v>84</v>
      </c>
      <c r="L458" s="2" t="s">
        <v>159</v>
      </c>
      <c r="M458" s="3"/>
    </row>
    <row r="459" spans="1:13" x14ac:dyDescent="0.3">
      <c r="A459" s="2">
        <v>458</v>
      </c>
      <c r="B459" s="2" t="s">
        <v>642</v>
      </c>
      <c r="C459" s="2" t="s">
        <v>1717</v>
      </c>
      <c r="D459" s="2" t="s">
        <v>28</v>
      </c>
      <c r="E459" s="2" t="s">
        <v>29</v>
      </c>
      <c r="F459" s="2">
        <v>90</v>
      </c>
      <c r="G459" s="2" t="s">
        <v>1718</v>
      </c>
      <c r="H459" s="2" t="s">
        <v>1719</v>
      </c>
      <c r="I459" s="2" t="s">
        <v>38</v>
      </c>
      <c r="J459" s="3">
        <v>44847</v>
      </c>
      <c r="K459" s="2">
        <v>89</v>
      </c>
      <c r="L459" s="2" t="s">
        <v>54</v>
      </c>
      <c r="M459" s="3"/>
    </row>
    <row r="460" spans="1:13" x14ac:dyDescent="0.3">
      <c r="A460" s="2">
        <v>459</v>
      </c>
      <c r="B460" s="2" t="s">
        <v>1720</v>
      </c>
      <c r="C460" s="2" t="s">
        <v>1721</v>
      </c>
      <c r="D460" s="2" t="s">
        <v>15</v>
      </c>
      <c r="E460" s="2" t="s">
        <v>16</v>
      </c>
      <c r="F460" s="2">
        <v>30</v>
      </c>
      <c r="G460" s="2" t="s">
        <v>1722</v>
      </c>
      <c r="H460" s="2" t="s">
        <v>1723</v>
      </c>
      <c r="I460" s="2" t="s">
        <v>173</v>
      </c>
      <c r="J460" s="3">
        <v>44105</v>
      </c>
      <c r="K460" s="2">
        <v>3</v>
      </c>
      <c r="L460" s="2" t="s">
        <v>45</v>
      </c>
      <c r="M460" s="3"/>
    </row>
    <row r="461" spans="1:13" x14ac:dyDescent="0.3">
      <c r="A461" s="2">
        <v>460</v>
      </c>
      <c r="B461" s="2" t="s">
        <v>1724</v>
      </c>
      <c r="C461" s="2" t="s">
        <v>629</v>
      </c>
      <c r="D461" s="2" t="s">
        <v>15</v>
      </c>
      <c r="E461" s="2" t="s">
        <v>16</v>
      </c>
      <c r="F461" s="2">
        <v>60</v>
      </c>
      <c r="G461" s="2" t="s">
        <v>1725</v>
      </c>
      <c r="H461" s="2" t="s">
        <v>105</v>
      </c>
      <c r="I461" s="2" t="s">
        <v>32</v>
      </c>
      <c r="J461" s="3">
        <v>44013</v>
      </c>
      <c r="K461" s="2">
        <v>67</v>
      </c>
      <c r="L461" s="2" t="s">
        <v>20</v>
      </c>
      <c r="M461" s="3"/>
    </row>
    <row r="462" spans="1:13" x14ac:dyDescent="0.3">
      <c r="A462" s="2">
        <v>461</v>
      </c>
      <c r="B462" s="2" t="s">
        <v>1726</v>
      </c>
      <c r="C462" s="2" t="s">
        <v>1727</v>
      </c>
      <c r="D462" s="2" t="s">
        <v>51</v>
      </c>
      <c r="E462" s="2" t="s">
        <v>16</v>
      </c>
      <c r="F462" s="2">
        <v>30</v>
      </c>
      <c r="G462" s="2" t="s">
        <v>1728</v>
      </c>
      <c r="H462" s="2" t="s">
        <v>1729</v>
      </c>
      <c r="I462" s="2" t="s">
        <v>32</v>
      </c>
      <c r="J462" s="3">
        <v>44829</v>
      </c>
      <c r="K462" s="2">
        <v>72</v>
      </c>
      <c r="L462" s="2" t="s">
        <v>159</v>
      </c>
      <c r="M462" s="3"/>
    </row>
    <row r="463" spans="1:13" x14ac:dyDescent="0.3">
      <c r="A463" s="2">
        <v>462</v>
      </c>
      <c r="B463" s="2" t="s">
        <v>188</v>
      </c>
      <c r="C463" s="2" t="s">
        <v>1730</v>
      </c>
      <c r="D463" s="2" t="s">
        <v>15</v>
      </c>
      <c r="E463" s="2" t="s">
        <v>16</v>
      </c>
      <c r="F463" s="2">
        <v>30</v>
      </c>
      <c r="G463" s="2" t="s">
        <v>1731</v>
      </c>
      <c r="H463" s="2" t="s">
        <v>1732</v>
      </c>
      <c r="I463" s="2" t="s">
        <v>1733</v>
      </c>
      <c r="J463" s="3">
        <v>44775</v>
      </c>
      <c r="K463" s="2">
        <v>4</v>
      </c>
      <c r="L463" s="2" t="s">
        <v>64</v>
      </c>
      <c r="M463" s="3"/>
    </row>
    <row r="464" spans="1:13" x14ac:dyDescent="0.3">
      <c r="A464" s="2">
        <v>463</v>
      </c>
      <c r="B464" s="2" t="s">
        <v>1734</v>
      </c>
      <c r="C464" s="2" t="s">
        <v>770</v>
      </c>
      <c r="D464" s="2" t="s">
        <v>28</v>
      </c>
      <c r="E464" s="2" t="s">
        <v>29</v>
      </c>
      <c r="F464" s="2">
        <v>30</v>
      </c>
      <c r="G464" s="2" t="s">
        <v>1735</v>
      </c>
      <c r="H464" s="2" t="s">
        <v>818</v>
      </c>
      <c r="I464" s="2" t="s">
        <v>819</v>
      </c>
      <c r="J464" s="3">
        <v>44213</v>
      </c>
      <c r="K464" s="2">
        <v>68</v>
      </c>
      <c r="L464" s="2" t="s">
        <v>80</v>
      </c>
      <c r="M464" s="3"/>
    </row>
    <row r="465" spans="1:13" x14ac:dyDescent="0.3">
      <c r="A465" s="2">
        <v>464</v>
      </c>
      <c r="B465" s="2" t="s">
        <v>1736</v>
      </c>
      <c r="C465" s="2" t="s">
        <v>1737</v>
      </c>
      <c r="D465" s="2" t="s">
        <v>15</v>
      </c>
      <c r="E465" s="2" t="s">
        <v>16</v>
      </c>
      <c r="F465" s="2">
        <v>30</v>
      </c>
      <c r="G465" s="2" t="s">
        <v>1738</v>
      </c>
      <c r="H465" s="2" t="s">
        <v>1739</v>
      </c>
      <c r="I465" s="2" t="s">
        <v>32</v>
      </c>
      <c r="J465" s="3">
        <v>43935</v>
      </c>
      <c r="K465" s="2">
        <v>52</v>
      </c>
      <c r="L465" s="2" t="s">
        <v>101</v>
      </c>
      <c r="M465" s="3"/>
    </row>
    <row r="466" spans="1:13" x14ac:dyDescent="0.3">
      <c r="A466" s="2">
        <v>465</v>
      </c>
      <c r="B466" s="2" t="s">
        <v>1740</v>
      </c>
      <c r="C466" s="2" t="s">
        <v>1741</v>
      </c>
      <c r="D466" s="2" t="s">
        <v>15</v>
      </c>
      <c r="E466" s="2" t="s">
        <v>16</v>
      </c>
      <c r="F466" s="2">
        <v>90</v>
      </c>
      <c r="G466" s="2" t="s">
        <v>1742</v>
      </c>
      <c r="H466" s="2" t="s">
        <v>1743</v>
      </c>
      <c r="I466" s="2" t="s">
        <v>1744</v>
      </c>
      <c r="J466" s="3">
        <v>44865</v>
      </c>
      <c r="K466" s="2">
        <v>64</v>
      </c>
      <c r="L466" s="2" t="s">
        <v>64</v>
      </c>
      <c r="M466" s="3"/>
    </row>
    <row r="467" spans="1:13" x14ac:dyDescent="0.3">
      <c r="A467" s="2">
        <v>466</v>
      </c>
      <c r="B467" s="2" t="s">
        <v>1745</v>
      </c>
      <c r="C467" s="2" t="s">
        <v>1746</v>
      </c>
      <c r="D467" s="2" t="s">
        <v>15</v>
      </c>
      <c r="E467" s="2" t="s">
        <v>16</v>
      </c>
      <c r="F467" s="2">
        <v>60</v>
      </c>
      <c r="G467" s="2" t="s">
        <v>1742</v>
      </c>
      <c r="H467" s="2" t="s">
        <v>1747</v>
      </c>
      <c r="I467" s="2" t="s">
        <v>294</v>
      </c>
      <c r="J467" s="3">
        <v>44562</v>
      </c>
      <c r="K467" s="2">
        <v>5</v>
      </c>
      <c r="L467" s="2" t="s">
        <v>33</v>
      </c>
      <c r="M467" s="3"/>
    </row>
    <row r="468" spans="1:13" x14ac:dyDescent="0.3">
      <c r="A468" s="2">
        <v>467</v>
      </c>
      <c r="B468" s="2" t="s">
        <v>1748</v>
      </c>
      <c r="C468" s="2" t="s">
        <v>1749</v>
      </c>
      <c r="D468" s="2" t="s">
        <v>28</v>
      </c>
      <c r="E468" s="2" t="s">
        <v>29</v>
      </c>
      <c r="F468" s="2">
        <v>30</v>
      </c>
      <c r="G468" s="2" t="s">
        <v>1750</v>
      </c>
      <c r="H468" s="2" t="s">
        <v>1751</v>
      </c>
      <c r="I468" s="2" t="s">
        <v>32</v>
      </c>
      <c r="J468" s="3">
        <v>44701</v>
      </c>
      <c r="K468" s="2">
        <v>102</v>
      </c>
      <c r="L468" s="2" t="s">
        <v>80</v>
      </c>
      <c r="M468" s="3"/>
    </row>
    <row r="469" spans="1:13" x14ac:dyDescent="0.3">
      <c r="A469" s="2">
        <v>468</v>
      </c>
      <c r="B469" s="2" t="s">
        <v>1752</v>
      </c>
      <c r="C469" s="2" t="s">
        <v>22</v>
      </c>
      <c r="D469" s="2" t="s">
        <v>15</v>
      </c>
      <c r="E469" s="2" t="s">
        <v>16</v>
      </c>
      <c r="F469" s="2">
        <v>90</v>
      </c>
      <c r="G469" s="2" t="s">
        <v>1753</v>
      </c>
      <c r="H469" s="2" t="s">
        <v>1754</v>
      </c>
      <c r="I469" s="2" t="s">
        <v>25</v>
      </c>
      <c r="J469" s="3">
        <v>44884</v>
      </c>
      <c r="K469" s="2">
        <v>50</v>
      </c>
      <c r="L469" s="2" t="s">
        <v>39</v>
      </c>
      <c r="M469" s="3"/>
    </row>
    <row r="470" spans="1:13" x14ac:dyDescent="0.3">
      <c r="A470" s="2">
        <v>469</v>
      </c>
      <c r="B470" s="2" t="s">
        <v>1755</v>
      </c>
      <c r="C470" s="2" t="s">
        <v>1756</v>
      </c>
      <c r="D470" s="2" t="s">
        <v>28</v>
      </c>
      <c r="E470" s="2" t="s">
        <v>29</v>
      </c>
      <c r="F470" s="2">
        <v>30</v>
      </c>
      <c r="G470" s="2" t="s">
        <v>1753</v>
      </c>
      <c r="H470" s="2" t="s">
        <v>1757</v>
      </c>
      <c r="I470" s="2" t="s">
        <v>294</v>
      </c>
      <c r="J470" s="3">
        <v>44857</v>
      </c>
      <c r="K470" s="2">
        <v>68</v>
      </c>
      <c r="L470" s="2" t="s">
        <v>80</v>
      </c>
      <c r="M470" s="3"/>
    </row>
    <row r="471" spans="1:13" x14ac:dyDescent="0.3">
      <c r="A471" s="2">
        <v>470</v>
      </c>
      <c r="B471" s="2" t="s">
        <v>1758</v>
      </c>
      <c r="C471" s="2" t="s">
        <v>1759</v>
      </c>
      <c r="D471" s="2" t="s">
        <v>15</v>
      </c>
      <c r="E471" s="2" t="s">
        <v>16</v>
      </c>
      <c r="F471" s="2">
        <v>60</v>
      </c>
      <c r="G471" s="2" t="s">
        <v>1760</v>
      </c>
      <c r="H471" s="2" t="s">
        <v>1761</v>
      </c>
      <c r="I471" s="2" t="s">
        <v>38</v>
      </c>
      <c r="J471" s="3">
        <v>44165</v>
      </c>
      <c r="K471" s="2">
        <v>63</v>
      </c>
      <c r="L471" s="2" t="s">
        <v>70</v>
      </c>
      <c r="M471" s="3"/>
    </row>
    <row r="472" spans="1:13" x14ac:dyDescent="0.3">
      <c r="A472" s="2">
        <v>471</v>
      </c>
      <c r="B472" s="2" t="s">
        <v>1191</v>
      </c>
      <c r="C472" s="2" t="s">
        <v>1762</v>
      </c>
      <c r="D472" s="2" t="s">
        <v>28</v>
      </c>
      <c r="E472" s="2" t="s">
        <v>29</v>
      </c>
      <c r="F472" s="2">
        <v>60</v>
      </c>
      <c r="G472" s="2" t="s">
        <v>1763</v>
      </c>
      <c r="H472" s="2" t="s">
        <v>1764</v>
      </c>
      <c r="I472" s="2" t="s">
        <v>124</v>
      </c>
      <c r="J472" s="3">
        <v>43889</v>
      </c>
      <c r="K472" s="2">
        <v>11</v>
      </c>
      <c r="L472" s="2" t="s">
        <v>159</v>
      </c>
      <c r="M472" s="3"/>
    </row>
    <row r="473" spans="1:13" x14ac:dyDescent="0.3">
      <c r="A473" s="2">
        <v>472</v>
      </c>
      <c r="B473" s="2" t="s">
        <v>1765</v>
      </c>
      <c r="C473" s="2" t="s">
        <v>1766</v>
      </c>
      <c r="D473" s="2" t="s">
        <v>28</v>
      </c>
      <c r="E473" s="2" t="s">
        <v>29</v>
      </c>
      <c r="F473" s="2">
        <v>90</v>
      </c>
      <c r="G473" s="2" t="s">
        <v>1767</v>
      </c>
      <c r="H473" s="2" t="s">
        <v>1768</v>
      </c>
      <c r="I473" s="2" t="s">
        <v>32</v>
      </c>
      <c r="J473" s="3">
        <v>44532</v>
      </c>
      <c r="K473" s="2">
        <v>11</v>
      </c>
      <c r="L473" s="2" t="s">
        <v>70</v>
      </c>
      <c r="M473" s="3"/>
    </row>
    <row r="474" spans="1:13" x14ac:dyDescent="0.3">
      <c r="A474" s="2">
        <v>473</v>
      </c>
      <c r="B474" s="2" t="s">
        <v>1769</v>
      </c>
      <c r="C474" s="2" t="s">
        <v>1770</v>
      </c>
      <c r="D474" s="2" t="s">
        <v>28</v>
      </c>
      <c r="E474" s="2" t="s">
        <v>29</v>
      </c>
      <c r="F474" s="2">
        <v>30</v>
      </c>
      <c r="G474" s="2" t="s">
        <v>1771</v>
      </c>
      <c r="H474" s="2" t="s">
        <v>1772</v>
      </c>
      <c r="I474" s="2" t="s">
        <v>178</v>
      </c>
      <c r="J474" s="3">
        <v>44055</v>
      </c>
      <c r="K474" s="2">
        <v>60</v>
      </c>
      <c r="L474" s="2" t="s">
        <v>20</v>
      </c>
      <c r="M474" s="3"/>
    </row>
    <row r="475" spans="1:13" x14ac:dyDescent="0.3">
      <c r="A475" s="2">
        <v>474</v>
      </c>
      <c r="B475" s="2" t="s">
        <v>1773</v>
      </c>
      <c r="C475" s="2" t="s">
        <v>1774</v>
      </c>
      <c r="D475" s="2" t="s">
        <v>15</v>
      </c>
      <c r="E475" s="2" t="s">
        <v>16</v>
      </c>
      <c r="F475" s="2">
        <v>30</v>
      </c>
      <c r="G475" s="2" t="s">
        <v>1775</v>
      </c>
      <c r="H475" s="2" t="s">
        <v>99</v>
      </c>
      <c r="I475" s="2" t="s">
        <v>100</v>
      </c>
      <c r="J475" s="3">
        <v>43969</v>
      </c>
      <c r="K475" s="2">
        <v>37</v>
      </c>
      <c r="L475" s="2" t="s">
        <v>101</v>
      </c>
      <c r="M475" s="3"/>
    </row>
    <row r="476" spans="1:13" x14ac:dyDescent="0.3">
      <c r="A476" s="2">
        <v>475</v>
      </c>
      <c r="B476" s="2" t="s">
        <v>1158</v>
      </c>
      <c r="C476" s="2" t="s">
        <v>1776</v>
      </c>
      <c r="D476" s="2" t="s">
        <v>28</v>
      </c>
      <c r="E476" s="2" t="s">
        <v>29</v>
      </c>
      <c r="F476" s="2">
        <v>90</v>
      </c>
      <c r="G476" s="2" t="s">
        <v>1777</v>
      </c>
      <c r="H476" s="2" t="s">
        <v>1453</v>
      </c>
      <c r="I476" s="2" t="s">
        <v>1454</v>
      </c>
      <c r="J476" s="3">
        <v>43907</v>
      </c>
      <c r="K476" s="2">
        <v>79</v>
      </c>
      <c r="L476" s="2" t="s">
        <v>45</v>
      </c>
      <c r="M476" s="3"/>
    </row>
    <row r="477" spans="1:13" x14ac:dyDescent="0.3">
      <c r="A477" s="2">
        <v>476</v>
      </c>
      <c r="B477" s="2" t="s">
        <v>1778</v>
      </c>
      <c r="C477" s="2" t="s">
        <v>1779</v>
      </c>
      <c r="D477" s="2" t="s">
        <v>15</v>
      </c>
      <c r="E477" s="2" t="s">
        <v>16</v>
      </c>
      <c r="F477" s="2">
        <v>60</v>
      </c>
      <c r="G477" s="2" t="s">
        <v>1780</v>
      </c>
      <c r="H477" s="2" t="s">
        <v>1781</v>
      </c>
      <c r="I477" s="2" t="s">
        <v>32</v>
      </c>
      <c r="J477" s="3">
        <v>44724</v>
      </c>
      <c r="K477" s="2">
        <v>3</v>
      </c>
      <c r="L477" s="2" t="s">
        <v>64</v>
      </c>
      <c r="M477" s="3"/>
    </row>
    <row r="478" spans="1:13" x14ac:dyDescent="0.3">
      <c r="A478" s="2">
        <v>477</v>
      </c>
      <c r="B478" s="2" t="s">
        <v>1782</v>
      </c>
      <c r="C478" s="2" t="s">
        <v>1783</v>
      </c>
      <c r="D478" s="2" t="s">
        <v>28</v>
      </c>
      <c r="E478" s="2" t="s">
        <v>29</v>
      </c>
      <c r="F478" s="2">
        <v>60</v>
      </c>
      <c r="G478" s="2" t="s">
        <v>1784</v>
      </c>
      <c r="H478" s="2" t="s">
        <v>1785</v>
      </c>
      <c r="I478" s="2" t="s">
        <v>32</v>
      </c>
      <c r="J478" s="3">
        <v>44817</v>
      </c>
      <c r="K478" s="2">
        <v>54</v>
      </c>
      <c r="L478" s="2" t="s">
        <v>33</v>
      </c>
      <c r="M478" s="3"/>
    </row>
    <row r="479" spans="1:13" x14ac:dyDescent="0.3">
      <c r="A479" s="2">
        <v>478</v>
      </c>
      <c r="B479" s="2" t="s">
        <v>1741</v>
      </c>
      <c r="C479" s="2" t="s">
        <v>1786</v>
      </c>
      <c r="D479" s="2" t="s">
        <v>28</v>
      </c>
      <c r="E479" s="2" t="s">
        <v>29</v>
      </c>
      <c r="F479" s="2">
        <v>60</v>
      </c>
      <c r="G479" s="2" t="s">
        <v>1787</v>
      </c>
      <c r="H479" s="2" t="s">
        <v>270</v>
      </c>
      <c r="I479" s="2" t="s">
        <v>187</v>
      </c>
      <c r="J479" s="3">
        <v>44127</v>
      </c>
      <c r="K479" s="2">
        <v>83</v>
      </c>
      <c r="L479" s="2" t="s">
        <v>101</v>
      </c>
      <c r="M479" s="3"/>
    </row>
    <row r="480" spans="1:13" x14ac:dyDescent="0.3">
      <c r="A480" s="2">
        <v>479</v>
      </c>
      <c r="B480" s="2" t="s">
        <v>1788</v>
      </c>
      <c r="C480" s="2" t="s">
        <v>1789</v>
      </c>
      <c r="D480" s="2" t="s">
        <v>28</v>
      </c>
      <c r="E480" s="2" t="s">
        <v>29</v>
      </c>
      <c r="F480" s="2">
        <v>30</v>
      </c>
      <c r="G480" s="2" t="s">
        <v>1790</v>
      </c>
      <c r="H480" s="2" t="s">
        <v>1791</v>
      </c>
      <c r="I480" s="2" t="s">
        <v>32</v>
      </c>
      <c r="J480" s="3">
        <v>44562</v>
      </c>
      <c r="K480" s="2">
        <v>21</v>
      </c>
      <c r="L480" s="2" t="s">
        <v>54</v>
      </c>
      <c r="M480" s="3"/>
    </row>
    <row r="481" spans="1:13" x14ac:dyDescent="0.3">
      <c r="A481" s="2">
        <v>480</v>
      </c>
      <c r="B481" s="2" t="s">
        <v>1792</v>
      </c>
      <c r="C481" s="2" t="s">
        <v>1793</v>
      </c>
      <c r="D481" s="2" t="s">
        <v>28</v>
      </c>
      <c r="E481" s="2" t="s">
        <v>1794</v>
      </c>
      <c r="F481" s="2">
        <v>90</v>
      </c>
      <c r="G481" s="2" t="s">
        <v>1795</v>
      </c>
      <c r="H481" s="2" t="s">
        <v>1796</v>
      </c>
      <c r="I481" s="2" t="s">
        <v>178</v>
      </c>
      <c r="J481" s="3">
        <v>44733</v>
      </c>
      <c r="K481" s="2">
        <v>52</v>
      </c>
      <c r="L481" s="2" t="s">
        <v>45</v>
      </c>
      <c r="M481" s="3"/>
    </row>
    <row r="482" spans="1:13" x14ac:dyDescent="0.3">
      <c r="A482" s="2">
        <v>481</v>
      </c>
      <c r="B482" s="2" t="s">
        <v>1797</v>
      </c>
      <c r="C482" s="2" t="s">
        <v>1798</v>
      </c>
      <c r="D482" s="2" t="s">
        <v>51</v>
      </c>
      <c r="E482" s="2" t="s">
        <v>16</v>
      </c>
      <c r="F482" s="2">
        <v>60</v>
      </c>
      <c r="G482" s="2" t="s">
        <v>1799</v>
      </c>
      <c r="H482" s="2" t="s">
        <v>1800</v>
      </c>
      <c r="I482" s="2" t="s">
        <v>32</v>
      </c>
      <c r="J482" s="3">
        <v>44477</v>
      </c>
      <c r="K482" s="2">
        <v>81</v>
      </c>
      <c r="L482" s="2" t="s">
        <v>70</v>
      </c>
      <c r="M482" s="3"/>
    </row>
    <row r="483" spans="1:13" x14ac:dyDescent="0.3">
      <c r="A483" s="2">
        <v>482</v>
      </c>
      <c r="B483" s="2" t="s">
        <v>1801</v>
      </c>
      <c r="C483" s="2" t="s">
        <v>1802</v>
      </c>
      <c r="D483" s="2" t="s">
        <v>51</v>
      </c>
      <c r="E483" s="2" t="s">
        <v>16</v>
      </c>
      <c r="F483" s="2">
        <v>90</v>
      </c>
      <c r="G483" s="2" t="s">
        <v>1803</v>
      </c>
      <c r="H483" s="2" t="s">
        <v>1804</v>
      </c>
      <c r="I483" s="2" t="s">
        <v>32</v>
      </c>
      <c r="J483" s="3">
        <v>44039</v>
      </c>
      <c r="K483" s="2">
        <v>14</v>
      </c>
      <c r="L483" s="2" t="s">
        <v>101</v>
      </c>
      <c r="M483" s="3"/>
    </row>
    <row r="484" spans="1:13" x14ac:dyDescent="0.3">
      <c r="A484" s="2">
        <v>483</v>
      </c>
      <c r="B484" s="2" t="s">
        <v>1805</v>
      </c>
      <c r="C484" s="2" t="s">
        <v>1806</v>
      </c>
      <c r="D484" s="2" t="s">
        <v>28</v>
      </c>
      <c r="E484" s="2" t="s">
        <v>29</v>
      </c>
      <c r="F484" s="2">
        <v>90</v>
      </c>
      <c r="G484" s="2" t="s">
        <v>1807</v>
      </c>
      <c r="H484" s="2" t="s">
        <v>1808</v>
      </c>
      <c r="I484" s="2" t="s">
        <v>124</v>
      </c>
      <c r="J484" s="3">
        <v>43875</v>
      </c>
      <c r="K484" s="2">
        <v>8</v>
      </c>
      <c r="L484" s="2" t="s">
        <v>33</v>
      </c>
      <c r="M484" s="3"/>
    </row>
    <row r="485" spans="1:13" x14ac:dyDescent="0.3">
      <c r="A485" s="2">
        <v>484</v>
      </c>
      <c r="B485" s="2" t="s">
        <v>1809</v>
      </c>
      <c r="C485" s="2" t="s">
        <v>1810</v>
      </c>
      <c r="D485" s="2" t="s">
        <v>28</v>
      </c>
      <c r="E485" s="2" t="s">
        <v>29</v>
      </c>
      <c r="F485" s="2">
        <v>30</v>
      </c>
      <c r="G485" s="2" t="s">
        <v>1811</v>
      </c>
      <c r="H485" s="2" t="s">
        <v>1785</v>
      </c>
      <c r="I485" s="2" t="s">
        <v>32</v>
      </c>
      <c r="J485" s="3">
        <v>44124</v>
      </c>
      <c r="K485" s="2">
        <v>16</v>
      </c>
      <c r="L485" s="2" t="s">
        <v>20</v>
      </c>
      <c r="M485" s="3"/>
    </row>
    <row r="486" spans="1:13" x14ac:dyDescent="0.3">
      <c r="A486" s="2">
        <v>485</v>
      </c>
      <c r="B486" s="2" t="s">
        <v>1812</v>
      </c>
      <c r="C486" s="2" t="s">
        <v>1813</v>
      </c>
      <c r="D486" s="2" t="s">
        <v>28</v>
      </c>
      <c r="E486" s="2" t="s">
        <v>29</v>
      </c>
      <c r="F486" s="2">
        <v>90</v>
      </c>
      <c r="G486" s="2" t="s">
        <v>1814</v>
      </c>
      <c r="H486" s="2" t="s">
        <v>1815</v>
      </c>
      <c r="I486" s="2" t="s">
        <v>32</v>
      </c>
      <c r="J486" s="3">
        <v>43955</v>
      </c>
      <c r="K486" s="2">
        <v>59</v>
      </c>
      <c r="L486" s="2" t="s">
        <v>54</v>
      </c>
      <c r="M486" s="3"/>
    </row>
    <row r="487" spans="1:13" x14ac:dyDescent="0.3">
      <c r="A487" s="2">
        <v>486</v>
      </c>
      <c r="B487" s="2" t="s">
        <v>1816</v>
      </c>
      <c r="C487" s="2" t="s">
        <v>1817</v>
      </c>
      <c r="D487" s="2" t="s">
        <v>15</v>
      </c>
      <c r="E487" s="2" t="s">
        <v>16</v>
      </c>
      <c r="F487" s="2">
        <v>60</v>
      </c>
      <c r="G487" s="2" t="s">
        <v>1818</v>
      </c>
      <c r="H487" s="2" t="s">
        <v>1819</v>
      </c>
      <c r="I487" s="2" t="s">
        <v>89</v>
      </c>
      <c r="J487" s="3">
        <v>43831</v>
      </c>
      <c r="K487" s="2">
        <v>60</v>
      </c>
      <c r="L487" s="2" t="s">
        <v>101</v>
      </c>
      <c r="M487" s="3"/>
    </row>
    <row r="488" spans="1:13" x14ac:dyDescent="0.3">
      <c r="A488" s="2">
        <v>487</v>
      </c>
      <c r="B488" s="2" t="s">
        <v>1820</v>
      </c>
      <c r="C488" s="2" t="s">
        <v>1821</v>
      </c>
      <c r="D488" s="2" t="s">
        <v>28</v>
      </c>
      <c r="E488" s="2" t="s">
        <v>29</v>
      </c>
      <c r="F488" s="2">
        <v>30</v>
      </c>
      <c r="G488" s="2" t="s">
        <v>1822</v>
      </c>
      <c r="H488" s="2" t="s">
        <v>1823</v>
      </c>
      <c r="I488" s="2" t="s">
        <v>1824</v>
      </c>
      <c r="J488" s="3">
        <v>44316</v>
      </c>
      <c r="K488" s="2">
        <v>51</v>
      </c>
      <c r="L488" s="2" t="s">
        <v>39</v>
      </c>
      <c r="M488" s="3"/>
    </row>
    <row r="489" spans="1:13" x14ac:dyDescent="0.3">
      <c r="A489" s="2">
        <v>488</v>
      </c>
      <c r="B489" s="2" t="s">
        <v>1825</v>
      </c>
      <c r="C489" s="2" t="s">
        <v>1826</v>
      </c>
      <c r="D489" s="2" t="s">
        <v>51</v>
      </c>
      <c r="E489" s="2" t="s">
        <v>16</v>
      </c>
      <c r="F489" s="2">
        <v>30</v>
      </c>
      <c r="G489" s="2" t="s">
        <v>1822</v>
      </c>
      <c r="H489" s="2" t="s">
        <v>1827</v>
      </c>
      <c r="I489" s="2" t="s">
        <v>25</v>
      </c>
      <c r="J489" s="3">
        <v>44398</v>
      </c>
      <c r="K489" s="2">
        <v>13</v>
      </c>
      <c r="L489" s="2" t="s">
        <v>33</v>
      </c>
      <c r="M489" s="3"/>
    </row>
    <row r="490" spans="1:13" x14ac:dyDescent="0.3">
      <c r="A490" s="2">
        <v>489</v>
      </c>
      <c r="B490" s="2" t="s">
        <v>1828</v>
      </c>
      <c r="C490" s="2" t="s">
        <v>1829</v>
      </c>
      <c r="D490" s="2" t="s">
        <v>28</v>
      </c>
      <c r="E490" s="2" t="s">
        <v>29</v>
      </c>
      <c r="F490" s="2">
        <v>90</v>
      </c>
      <c r="G490" s="2" t="s">
        <v>1822</v>
      </c>
      <c r="H490" s="2" t="s">
        <v>1830</v>
      </c>
      <c r="I490" s="2" t="s">
        <v>32</v>
      </c>
      <c r="J490" s="3">
        <v>44660</v>
      </c>
      <c r="K490" s="2">
        <v>13</v>
      </c>
      <c r="L490" s="2" t="s">
        <v>54</v>
      </c>
      <c r="M490" s="3"/>
    </row>
    <row r="491" spans="1:13" x14ac:dyDescent="0.3">
      <c r="A491" s="2">
        <v>490</v>
      </c>
      <c r="B491" s="2" t="s">
        <v>1831</v>
      </c>
      <c r="C491" s="2" t="s">
        <v>1832</v>
      </c>
      <c r="D491" s="2" t="s">
        <v>28</v>
      </c>
      <c r="E491" s="2" t="s">
        <v>29</v>
      </c>
      <c r="F491" s="2">
        <v>30</v>
      </c>
      <c r="G491" s="2" t="s">
        <v>1833</v>
      </c>
      <c r="H491" s="2" t="s">
        <v>1834</v>
      </c>
      <c r="I491" s="2" t="s">
        <v>32</v>
      </c>
      <c r="J491" s="3">
        <v>43889</v>
      </c>
      <c r="K491" s="2">
        <v>35</v>
      </c>
      <c r="L491" s="2" t="s">
        <v>39</v>
      </c>
      <c r="M491" s="3"/>
    </row>
    <row r="492" spans="1:13" x14ac:dyDescent="0.3">
      <c r="A492" s="2">
        <v>491</v>
      </c>
      <c r="B492" s="2" t="s">
        <v>1326</v>
      </c>
      <c r="C492" s="2" t="s">
        <v>1835</v>
      </c>
      <c r="D492" s="2" t="s">
        <v>28</v>
      </c>
      <c r="E492" s="2" t="s">
        <v>29</v>
      </c>
      <c r="F492" s="2">
        <v>90</v>
      </c>
      <c r="G492" s="2" t="s">
        <v>1836</v>
      </c>
      <c r="H492" s="2" t="s">
        <v>1837</v>
      </c>
      <c r="I492" s="2" t="s">
        <v>173</v>
      </c>
      <c r="J492" s="3">
        <v>44836</v>
      </c>
      <c r="K492" s="2">
        <v>89</v>
      </c>
      <c r="L492" s="2" t="s">
        <v>39</v>
      </c>
      <c r="M492" s="3"/>
    </row>
    <row r="493" spans="1:13" x14ac:dyDescent="0.3">
      <c r="A493" s="2">
        <v>492</v>
      </c>
      <c r="B493" s="2" t="s">
        <v>1838</v>
      </c>
      <c r="C493" s="2" t="s">
        <v>1480</v>
      </c>
      <c r="D493" s="2" t="s">
        <v>28</v>
      </c>
      <c r="E493" s="2" t="s">
        <v>29</v>
      </c>
      <c r="F493" s="2">
        <v>30</v>
      </c>
      <c r="G493" s="2" t="s">
        <v>1836</v>
      </c>
      <c r="H493" s="2" t="s">
        <v>138</v>
      </c>
      <c r="I493" s="2" t="s">
        <v>294</v>
      </c>
      <c r="J493" s="3">
        <v>44214</v>
      </c>
      <c r="K493" s="2">
        <v>91</v>
      </c>
      <c r="L493" s="2" t="s">
        <v>159</v>
      </c>
      <c r="M493" s="3"/>
    </row>
    <row r="494" spans="1:13" x14ac:dyDescent="0.3">
      <c r="A494" s="2">
        <v>493</v>
      </c>
      <c r="B494" s="2" t="s">
        <v>1839</v>
      </c>
      <c r="C494" s="2" t="s">
        <v>1840</v>
      </c>
      <c r="D494" s="2" t="s">
        <v>15</v>
      </c>
      <c r="E494" s="2" t="s">
        <v>16</v>
      </c>
      <c r="F494" s="2">
        <v>90</v>
      </c>
      <c r="G494" s="2" t="s">
        <v>1841</v>
      </c>
      <c r="H494" s="2" t="s">
        <v>1660</v>
      </c>
      <c r="I494" s="2" t="s">
        <v>32</v>
      </c>
      <c r="J494" s="3">
        <v>44799</v>
      </c>
      <c r="K494" s="2">
        <v>65</v>
      </c>
      <c r="L494" s="2" t="s">
        <v>45</v>
      </c>
      <c r="M494" s="3"/>
    </row>
    <row r="495" spans="1:13" x14ac:dyDescent="0.3">
      <c r="A495" s="2">
        <v>494</v>
      </c>
      <c r="B495" s="2" t="s">
        <v>1842</v>
      </c>
      <c r="C495" s="2" t="s">
        <v>1843</v>
      </c>
      <c r="D495" s="2" t="s">
        <v>51</v>
      </c>
      <c r="E495" s="2" t="s">
        <v>16</v>
      </c>
      <c r="F495" s="2">
        <v>30</v>
      </c>
      <c r="G495" s="2" t="s">
        <v>1844</v>
      </c>
      <c r="H495" s="2" t="s">
        <v>1845</v>
      </c>
      <c r="I495" s="2" t="s">
        <v>294</v>
      </c>
      <c r="J495" s="3">
        <v>44911</v>
      </c>
      <c r="K495" s="2">
        <v>18</v>
      </c>
      <c r="L495" s="2" t="s">
        <v>159</v>
      </c>
      <c r="M495" s="3"/>
    </row>
    <row r="496" spans="1:13" x14ac:dyDescent="0.3">
      <c r="A496" s="2">
        <v>495</v>
      </c>
      <c r="B496" s="2" t="s">
        <v>256</v>
      </c>
      <c r="C496" s="2" t="s">
        <v>1846</v>
      </c>
      <c r="D496" s="2" t="s">
        <v>28</v>
      </c>
      <c r="E496" s="2" t="s">
        <v>29</v>
      </c>
      <c r="F496" s="2">
        <v>30</v>
      </c>
      <c r="G496" s="2" t="s">
        <v>1847</v>
      </c>
      <c r="H496" s="2" t="s">
        <v>1848</v>
      </c>
      <c r="I496" s="2" t="s">
        <v>839</v>
      </c>
      <c r="J496" s="3">
        <v>44786</v>
      </c>
      <c r="K496" s="2">
        <v>19</v>
      </c>
      <c r="L496" s="2" t="s">
        <v>80</v>
      </c>
      <c r="M496" s="3"/>
    </row>
    <row r="497" spans="1:13" x14ac:dyDescent="0.3">
      <c r="A497" s="2">
        <v>496</v>
      </c>
      <c r="B497" s="2" t="s">
        <v>1849</v>
      </c>
      <c r="C497" s="2" t="s">
        <v>1637</v>
      </c>
      <c r="D497" s="2" t="s">
        <v>28</v>
      </c>
      <c r="E497" s="2" t="s">
        <v>29</v>
      </c>
      <c r="F497" s="2">
        <v>30</v>
      </c>
      <c r="G497" s="2" t="s">
        <v>1847</v>
      </c>
      <c r="H497" s="2" t="s">
        <v>1077</v>
      </c>
      <c r="I497" s="2" t="s">
        <v>1078</v>
      </c>
      <c r="J497" s="3">
        <v>44132</v>
      </c>
      <c r="K497" s="2">
        <v>57</v>
      </c>
      <c r="L497" s="2" t="s">
        <v>20</v>
      </c>
      <c r="M497" s="3"/>
    </row>
    <row r="498" spans="1:13" x14ac:dyDescent="0.3">
      <c r="A498" s="2">
        <v>497</v>
      </c>
      <c r="B498" s="2" t="s">
        <v>1850</v>
      </c>
      <c r="C498" s="2" t="s">
        <v>1851</v>
      </c>
      <c r="D498" s="2" t="s">
        <v>28</v>
      </c>
      <c r="E498" s="2" t="s">
        <v>29</v>
      </c>
      <c r="F498" s="2">
        <v>60</v>
      </c>
      <c r="G498" s="2" t="s">
        <v>1852</v>
      </c>
      <c r="H498" s="2" t="s">
        <v>545</v>
      </c>
      <c r="I498" s="2" t="s">
        <v>173</v>
      </c>
      <c r="J498" s="3">
        <v>44229</v>
      </c>
      <c r="K498" s="2">
        <v>62</v>
      </c>
      <c r="L498" s="2" t="s">
        <v>101</v>
      </c>
      <c r="M498" s="3"/>
    </row>
    <row r="499" spans="1:13" x14ac:dyDescent="0.3">
      <c r="A499" s="2">
        <v>498</v>
      </c>
      <c r="B499" s="2" t="s">
        <v>375</v>
      </c>
      <c r="C499" s="2" t="s">
        <v>1853</v>
      </c>
      <c r="D499" s="2" t="s">
        <v>28</v>
      </c>
      <c r="E499" s="2" t="s">
        <v>29</v>
      </c>
      <c r="F499" s="2">
        <v>30</v>
      </c>
      <c r="G499" s="2" t="s">
        <v>1854</v>
      </c>
      <c r="H499" s="2" t="s">
        <v>1855</v>
      </c>
      <c r="I499" s="2" t="s">
        <v>25</v>
      </c>
      <c r="J499" s="3">
        <v>44799</v>
      </c>
      <c r="K499" s="2">
        <v>59</v>
      </c>
      <c r="L499" s="2" t="s">
        <v>33</v>
      </c>
      <c r="M499" s="3"/>
    </row>
    <row r="500" spans="1:13" x14ac:dyDescent="0.3">
      <c r="A500" s="2">
        <v>499</v>
      </c>
      <c r="B500" s="2" t="s">
        <v>1856</v>
      </c>
      <c r="C500" s="2" t="s">
        <v>1857</v>
      </c>
      <c r="D500" s="2" t="s">
        <v>51</v>
      </c>
      <c r="E500" s="2" t="s">
        <v>16</v>
      </c>
      <c r="F500" s="2">
        <v>90</v>
      </c>
      <c r="G500" s="2" t="s">
        <v>1858</v>
      </c>
      <c r="H500" s="2" t="s">
        <v>1859</v>
      </c>
      <c r="I500" s="2" t="s">
        <v>89</v>
      </c>
      <c r="J500" s="3">
        <v>43944</v>
      </c>
      <c r="K500" s="2">
        <v>35</v>
      </c>
      <c r="L500" s="2" t="s">
        <v>159</v>
      </c>
      <c r="M500" s="3"/>
    </row>
    <row r="501" spans="1:13" x14ac:dyDescent="0.3">
      <c r="A501" s="2">
        <v>500</v>
      </c>
      <c r="B501" s="2" t="s">
        <v>1860</v>
      </c>
      <c r="C501" s="2" t="s">
        <v>1861</v>
      </c>
      <c r="D501" s="2" t="s">
        <v>28</v>
      </c>
      <c r="E501" s="2" t="s">
        <v>29</v>
      </c>
      <c r="F501" s="2">
        <v>60</v>
      </c>
      <c r="G501" s="2" t="s">
        <v>1858</v>
      </c>
      <c r="H501" s="2" t="s">
        <v>1862</v>
      </c>
      <c r="I501" s="2" t="s">
        <v>187</v>
      </c>
      <c r="J501" s="3">
        <v>44110</v>
      </c>
      <c r="K501" s="2">
        <v>14</v>
      </c>
      <c r="L501" s="2" t="s">
        <v>45</v>
      </c>
      <c r="M501" s="3"/>
    </row>
    <row r="502" spans="1:13" x14ac:dyDescent="0.3">
      <c r="A502" s="2">
        <v>501</v>
      </c>
      <c r="B502" s="2" t="s">
        <v>357</v>
      </c>
      <c r="C502" s="2" t="s">
        <v>1863</v>
      </c>
      <c r="D502" s="2" t="s">
        <v>28</v>
      </c>
      <c r="E502" s="2" t="s">
        <v>29</v>
      </c>
      <c r="F502" s="2">
        <v>30</v>
      </c>
      <c r="G502" s="2" t="s">
        <v>1858</v>
      </c>
      <c r="H502" s="2" t="s">
        <v>1864</v>
      </c>
      <c r="I502" s="2" t="s">
        <v>294</v>
      </c>
      <c r="J502" s="3">
        <v>43987</v>
      </c>
      <c r="K502" s="2">
        <v>46</v>
      </c>
      <c r="L502" s="2" t="s">
        <v>45</v>
      </c>
      <c r="M502" s="3"/>
    </row>
    <row r="503" spans="1:13" x14ac:dyDescent="0.3">
      <c r="A503" s="2">
        <v>502</v>
      </c>
      <c r="B503" s="2" t="s">
        <v>1865</v>
      </c>
      <c r="C503" s="2" t="s">
        <v>1866</v>
      </c>
      <c r="D503" s="2" t="s">
        <v>51</v>
      </c>
      <c r="E503" s="2" t="s">
        <v>16</v>
      </c>
      <c r="F503" s="2">
        <v>90</v>
      </c>
      <c r="G503" s="2" t="s">
        <v>1867</v>
      </c>
      <c r="H503" s="2" t="s">
        <v>1868</v>
      </c>
      <c r="I503" s="2" t="s">
        <v>1869</v>
      </c>
      <c r="J503" s="3">
        <v>44535</v>
      </c>
      <c r="K503" s="2">
        <v>34</v>
      </c>
      <c r="L503" s="2" t="s">
        <v>20</v>
      </c>
      <c r="M503" s="3"/>
    </row>
    <row r="504" spans="1:13" x14ac:dyDescent="0.3">
      <c r="A504" s="2">
        <v>503</v>
      </c>
      <c r="B504" s="2" t="s">
        <v>1389</v>
      </c>
      <c r="C504" s="2" t="s">
        <v>1870</v>
      </c>
      <c r="D504" s="2" t="s">
        <v>51</v>
      </c>
      <c r="E504" s="2" t="s">
        <v>16</v>
      </c>
      <c r="F504" s="2">
        <v>30</v>
      </c>
      <c r="G504" s="2" t="s">
        <v>1871</v>
      </c>
      <c r="H504" s="2" t="s">
        <v>1872</v>
      </c>
      <c r="I504" s="2" t="s">
        <v>124</v>
      </c>
      <c r="J504" s="3">
        <v>44705</v>
      </c>
      <c r="K504" s="2">
        <v>37</v>
      </c>
      <c r="L504" s="2" t="s">
        <v>80</v>
      </c>
      <c r="M504" s="3"/>
    </row>
    <row r="505" spans="1:13" x14ac:dyDescent="0.3">
      <c r="A505" s="2">
        <v>504</v>
      </c>
      <c r="B505" s="2" t="s">
        <v>1873</v>
      </c>
      <c r="C505" s="2" t="s">
        <v>1874</v>
      </c>
      <c r="D505" s="2" t="s">
        <v>51</v>
      </c>
      <c r="E505" s="2" t="s">
        <v>16</v>
      </c>
      <c r="F505" s="2">
        <v>60</v>
      </c>
      <c r="G505" s="2" t="s">
        <v>1875</v>
      </c>
      <c r="H505" s="2" t="s">
        <v>1876</v>
      </c>
      <c r="I505" s="2" t="s">
        <v>32</v>
      </c>
      <c r="J505" s="3">
        <v>44833</v>
      </c>
      <c r="K505" s="2">
        <v>54</v>
      </c>
      <c r="L505" s="2" t="s">
        <v>70</v>
      </c>
      <c r="M505" s="3"/>
    </row>
    <row r="506" spans="1:13" x14ac:dyDescent="0.3">
      <c r="A506" s="2">
        <v>505</v>
      </c>
      <c r="B506" s="2" t="s">
        <v>1877</v>
      </c>
      <c r="C506" s="2" t="s">
        <v>1878</v>
      </c>
      <c r="D506" s="2" t="s">
        <v>28</v>
      </c>
      <c r="E506" s="2" t="s">
        <v>29</v>
      </c>
      <c r="F506" s="2">
        <v>30</v>
      </c>
      <c r="G506" s="2" t="s">
        <v>1879</v>
      </c>
      <c r="H506" s="2" t="s">
        <v>1880</v>
      </c>
      <c r="I506" s="2" t="s">
        <v>32</v>
      </c>
      <c r="J506" s="3">
        <v>44460</v>
      </c>
      <c r="K506" s="2">
        <v>70</v>
      </c>
      <c r="L506" s="2" t="s">
        <v>80</v>
      </c>
      <c r="M506" s="3"/>
    </row>
    <row r="507" spans="1:13" x14ac:dyDescent="0.3">
      <c r="A507" s="2">
        <v>506</v>
      </c>
      <c r="B507" s="2" t="s">
        <v>1881</v>
      </c>
      <c r="C507" s="2" t="s">
        <v>1882</v>
      </c>
      <c r="D507" s="2" t="s">
        <v>28</v>
      </c>
      <c r="E507" s="2" t="s">
        <v>29</v>
      </c>
      <c r="F507" s="2">
        <v>30</v>
      </c>
      <c r="G507" s="2" t="s">
        <v>1883</v>
      </c>
      <c r="H507" s="2" t="s">
        <v>1884</v>
      </c>
      <c r="I507" s="2" t="s">
        <v>1885</v>
      </c>
      <c r="J507" s="3">
        <v>44483</v>
      </c>
      <c r="K507" s="2">
        <v>49</v>
      </c>
      <c r="L507" s="2" t="s">
        <v>101</v>
      </c>
      <c r="M507" s="3"/>
    </row>
    <row r="508" spans="1:13" x14ac:dyDescent="0.3">
      <c r="A508" s="2">
        <v>507</v>
      </c>
      <c r="B508" s="2" t="s">
        <v>1886</v>
      </c>
      <c r="C508" s="2" t="s">
        <v>928</v>
      </c>
      <c r="D508" s="2" t="s">
        <v>51</v>
      </c>
      <c r="E508" s="2" t="s">
        <v>16</v>
      </c>
      <c r="F508" s="2">
        <v>60</v>
      </c>
      <c r="G508" s="2" t="s">
        <v>1887</v>
      </c>
      <c r="H508" s="2" t="s">
        <v>1888</v>
      </c>
      <c r="I508" s="2" t="s">
        <v>1889</v>
      </c>
      <c r="J508" s="3">
        <v>44440</v>
      </c>
      <c r="K508" s="2">
        <v>54</v>
      </c>
      <c r="L508" s="2" t="s">
        <v>70</v>
      </c>
      <c r="M508" s="3"/>
    </row>
    <row r="509" spans="1:13" x14ac:dyDescent="0.3">
      <c r="A509" s="2">
        <v>508</v>
      </c>
      <c r="B509" s="2" t="s">
        <v>1890</v>
      </c>
      <c r="C509" s="2" t="s">
        <v>1891</v>
      </c>
      <c r="D509" s="2" t="s">
        <v>51</v>
      </c>
      <c r="E509" s="2" t="s">
        <v>16</v>
      </c>
      <c r="F509" s="2">
        <v>60</v>
      </c>
      <c r="G509" s="2" t="s">
        <v>1892</v>
      </c>
      <c r="H509" s="2" t="s">
        <v>1893</v>
      </c>
      <c r="I509" s="2" t="s">
        <v>294</v>
      </c>
      <c r="J509" s="3">
        <v>44572</v>
      </c>
      <c r="K509" s="2">
        <v>81</v>
      </c>
      <c r="L509" s="2" t="s">
        <v>20</v>
      </c>
      <c r="M509" s="3"/>
    </row>
    <row r="510" spans="1:13" x14ac:dyDescent="0.3">
      <c r="A510" s="2">
        <v>509</v>
      </c>
      <c r="B510" s="2" t="s">
        <v>747</v>
      </c>
      <c r="C510" s="2" t="s">
        <v>1894</v>
      </c>
      <c r="D510" s="2" t="s">
        <v>28</v>
      </c>
      <c r="E510" s="2" t="s">
        <v>29</v>
      </c>
      <c r="F510" s="2">
        <v>60</v>
      </c>
      <c r="G510" s="2" t="s">
        <v>1895</v>
      </c>
      <c r="H510" s="2" t="s">
        <v>1896</v>
      </c>
      <c r="I510" s="2" t="s">
        <v>294</v>
      </c>
      <c r="J510" s="3">
        <v>44705</v>
      </c>
      <c r="K510" s="2">
        <v>103</v>
      </c>
      <c r="L510" s="2" t="s">
        <v>80</v>
      </c>
      <c r="M510" s="3"/>
    </row>
    <row r="511" spans="1:13" x14ac:dyDescent="0.3">
      <c r="A511" s="2">
        <v>510</v>
      </c>
      <c r="B511" s="2" t="s">
        <v>1897</v>
      </c>
      <c r="C511" s="2" t="s">
        <v>1898</v>
      </c>
      <c r="D511" s="2" t="s">
        <v>51</v>
      </c>
      <c r="E511" s="2" t="s">
        <v>16</v>
      </c>
      <c r="F511" s="2">
        <v>90</v>
      </c>
      <c r="G511" s="2" t="s">
        <v>1899</v>
      </c>
      <c r="H511" s="2" t="s">
        <v>607</v>
      </c>
      <c r="I511" s="2" t="s">
        <v>32</v>
      </c>
      <c r="J511" s="3">
        <v>44344</v>
      </c>
      <c r="K511" s="2">
        <v>45</v>
      </c>
      <c r="L511" s="2" t="s">
        <v>80</v>
      </c>
      <c r="M511" s="3"/>
    </row>
    <row r="512" spans="1:13" x14ac:dyDescent="0.3">
      <c r="A512" s="2">
        <v>511</v>
      </c>
      <c r="B512" s="2" t="s">
        <v>1900</v>
      </c>
      <c r="C512" s="2" t="s">
        <v>1901</v>
      </c>
      <c r="D512" s="2" t="s">
        <v>15</v>
      </c>
      <c r="E512" s="2" t="s">
        <v>16</v>
      </c>
      <c r="F512" s="2">
        <v>90</v>
      </c>
      <c r="G512" s="2" t="s">
        <v>1902</v>
      </c>
      <c r="H512" s="2" t="s">
        <v>1382</v>
      </c>
      <c r="I512" s="2" t="s">
        <v>32</v>
      </c>
      <c r="J512" s="3">
        <v>44223</v>
      </c>
      <c r="K512" s="2">
        <v>50</v>
      </c>
      <c r="L512" s="2" t="s">
        <v>54</v>
      </c>
      <c r="M512" s="3"/>
    </row>
    <row r="513" spans="1:13" x14ac:dyDescent="0.3">
      <c r="A513" s="2">
        <v>512</v>
      </c>
      <c r="B513" s="2" t="s">
        <v>1903</v>
      </c>
      <c r="C513" s="2" t="s">
        <v>1010</v>
      </c>
      <c r="D513" s="2" t="s">
        <v>15</v>
      </c>
      <c r="E513" s="2" t="s">
        <v>16</v>
      </c>
      <c r="F513" s="2">
        <v>60</v>
      </c>
      <c r="G513" s="2" t="s">
        <v>1904</v>
      </c>
      <c r="H513" s="2" t="s">
        <v>1905</v>
      </c>
      <c r="I513" s="2" t="s">
        <v>187</v>
      </c>
      <c r="J513" s="3">
        <v>44471</v>
      </c>
      <c r="K513" s="2">
        <v>8</v>
      </c>
      <c r="L513" s="2" t="s">
        <v>159</v>
      </c>
      <c r="M513" s="3"/>
    </row>
    <row r="514" spans="1:13" x14ac:dyDescent="0.3">
      <c r="A514" s="2">
        <v>513</v>
      </c>
      <c r="B514" s="2" t="s">
        <v>1906</v>
      </c>
      <c r="C514" s="2" t="s">
        <v>1907</v>
      </c>
      <c r="D514" s="2" t="s">
        <v>51</v>
      </c>
      <c r="E514" s="2" t="s">
        <v>16</v>
      </c>
      <c r="F514" s="2">
        <v>30</v>
      </c>
      <c r="G514" s="2" t="s">
        <v>1908</v>
      </c>
      <c r="H514" s="2" t="s">
        <v>1052</v>
      </c>
      <c r="I514" s="2" t="s">
        <v>32</v>
      </c>
      <c r="J514" s="3">
        <v>44870</v>
      </c>
      <c r="K514" s="2">
        <v>73</v>
      </c>
      <c r="L514" s="2" t="s">
        <v>70</v>
      </c>
      <c r="M514" s="3"/>
    </row>
    <row r="515" spans="1:13" x14ac:dyDescent="0.3">
      <c r="A515" s="2">
        <v>514</v>
      </c>
      <c r="B515" s="2" t="s">
        <v>1909</v>
      </c>
      <c r="C515" s="2" t="s">
        <v>229</v>
      </c>
      <c r="D515" s="2" t="s">
        <v>28</v>
      </c>
      <c r="E515" s="2" t="s">
        <v>29</v>
      </c>
      <c r="F515" s="2">
        <v>60</v>
      </c>
      <c r="G515" s="2" t="s">
        <v>1910</v>
      </c>
      <c r="H515" s="2" t="s">
        <v>1911</v>
      </c>
      <c r="I515" s="2" t="s">
        <v>32</v>
      </c>
      <c r="J515" s="3">
        <v>44892</v>
      </c>
      <c r="K515" s="2">
        <v>96</v>
      </c>
      <c r="L515" s="2" t="s">
        <v>54</v>
      </c>
      <c r="M515" s="3"/>
    </row>
    <row r="516" spans="1:13" x14ac:dyDescent="0.3">
      <c r="A516" s="2">
        <v>515</v>
      </c>
      <c r="B516" s="2" t="s">
        <v>1912</v>
      </c>
      <c r="C516" s="2" t="s">
        <v>1913</v>
      </c>
      <c r="D516" s="2" t="s">
        <v>51</v>
      </c>
      <c r="E516" s="2" t="s">
        <v>16</v>
      </c>
      <c r="F516" s="2">
        <v>30</v>
      </c>
      <c r="G516" s="2" t="s">
        <v>1914</v>
      </c>
      <c r="H516" s="2" t="s">
        <v>1915</v>
      </c>
      <c r="I516" s="2" t="s">
        <v>19</v>
      </c>
      <c r="J516" s="3">
        <v>43994</v>
      </c>
      <c r="K516" s="2">
        <v>5</v>
      </c>
      <c r="L516" s="2" t="s">
        <v>64</v>
      </c>
      <c r="M516" s="3"/>
    </row>
    <row r="517" spans="1:13" x14ac:dyDescent="0.3">
      <c r="A517" s="2">
        <v>516</v>
      </c>
      <c r="B517" s="2" t="s">
        <v>375</v>
      </c>
      <c r="C517" s="2" t="s">
        <v>844</v>
      </c>
      <c r="D517" s="2" t="s">
        <v>28</v>
      </c>
      <c r="E517" s="2" t="s">
        <v>29</v>
      </c>
      <c r="F517" s="2">
        <v>90</v>
      </c>
      <c r="G517" s="2" t="s">
        <v>1916</v>
      </c>
      <c r="H517" s="2" t="s">
        <v>487</v>
      </c>
      <c r="I517" s="2" t="s">
        <v>32</v>
      </c>
      <c r="J517" s="3">
        <v>44567</v>
      </c>
      <c r="K517" s="2">
        <v>66</v>
      </c>
      <c r="L517" s="2" t="s">
        <v>159</v>
      </c>
      <c r="M517" s="3"/>
    </row>
    <row r="518" spans="1:13" x14ac:dyDescent="0.3">
      <c r="A518" s="2">
        <v>517</v>
      </c>
      <c r="B518" s="2" t="s">
        <v>1917</v>
      </c>
      <c r="C518" s="2" t="s">
        <v>1918</v>
      </c>
      <c r="D518" s="2" t="s">
        <v>15</v>
      </c>
      <c r="E518" s="2" t="s">
        <v>16</v>
      </c>
      <c r="F518" s="2">
        <v>60</v>
      </c>
      <c r="G518" s="2" t="s">
        <v>1919</v>
      </c>
      <c r="H518" s="2" t="s">
        <v>1920</v>
      </c>
      <c r="I518" s="2" t="s">
        <v>1921</v>
      </c>
      <c r="J518" s="3">
        <v>43974</v>
      </c>
      <c r="K518" s="2">
        <v>75</v>
      </c>
      <c r="L518" s="2" t="s">
        <v>20</v>
      </c>
      <c r="M518" s="3"/>
    </row>
    <row r="519" spans="1:13" x14ac:dyDescent="0.3">
      <c r="A519" s="2">
        <v>518</v>
      </c>
      <c r="B519" s="2" t="s">
        <v>1922</v>
      </c>
      <c r="C519" s="2" t="s">
        <v>1923</v>
      </c>
      <c r="D519" s="2" t="s">
        <v>15</v>
      </c>
      <c r="E519" s="2" t="s">
        <v>16</v>
      </c>
      <c r="F519" s="2">
        <v>90</v>
      </c>
      <c r="G519" s="2" t="s">
        <v>1924</v>
      </c>
      <c r="H519" s="2" t="s">
        <v>34</v>
      </c>
      <c r="I519" s="2" t="s">
        <v>1454</v>
      </c>
      <c r="J519" s="3">
        <v>44533</v>
      </c>
      <c r="K519" s="2">
        <v>45</v>
      </c>
      <c r="L519" s="2" t="s">
        <v>80</v>
      </c>
      <c r="M519" s="3"/>
    </row>
    <row r="520" spans="1:13" x14ac:dyDescent="0.3">
      <c r="A520" s="2">
        <v>519</v>
      </c>
      <c r="B520" s="2" t="s">
        <v>1925</v>
      </c>
      <c r="C520" s="2" t="s">
        <v>601</v>
      </c>
      <c r="D520" s="2" t="s">
        <v>41</v>
      </c>
      <c r="E520" s="2" t="s">
        <v>16</v>
      </c>
      <c r="F520" s="2">
        <v>60</v>
      </c>
      <c r="G520" s="2" t="s">
        <v>1926</v>
      </c>
      <c r="H520" s="2" t="s">
        <v>1927</v>
      </c>
      <c r="I520" s="2" t="s">
        <v>100</v>
      </c>
      <c r="J520" s="3">
        <v>44577</v>
      </c>
      <c r="K520" s="2">
        <v>76</v>
      </c>
      <c r="L520" s="2" t="s">
        <v>64</v>
      </c>
      <c r="M520" s="3"/>
    </row>
    <row r="521" spans="1:13" x14ac:dyDescent="0.3">
      <c r="A521" s="2">
        <v>520</v>
      </c>
      <c r="B521" s="2" t="s">
        <v>1928</v>
      </c>
      <c r="C521" s="2" t="s">
        <v>1929</v>
      </c>
      <c r="D521" s="2" t="s">
        <v>28</v>
      </c>
      <c r="E521" s="2" t="s">
        <v>29</v>
      </c>
      <c r="F521" s="2">
        <v>60</v>
      </c>
      <c r="G521" s="2" t="s">
        <v>1930</v>
      </c>
      <c r="H521" s="2" t="s">
        <v>1931</v>
      </c>
      <c r="I521" s="2" t="s">
        <v>32</v>
      </c>
      <c r="J521" s="3">
        <v>44866</v>
      </c>
      <c r="K521" s="2">
        <v>30</v>
      </c>
      <c r="L521" s="2" t="s">
        <v>80</v>
      </c>
      <c r="M521" s="3"/>
    </row>
    <row r="522" spans="1:13" x14ac:dyDescent="0.3">
      <c r="A522" s="2">
        <v>521</v>
      </c>
      <c r="B522" s="2" t="s">
        <v>531</v>
      </c>
      <c r="C522" s="2" t="s">
        <v>1932</v>
      </c>
      <c r="D522" s="2" t="s">
        <v>51</v>
      </c>
      <c r="E522" s="2" t="s">
        <v>16</v>
      </c>
      <c r="F522" s="2">
        <v>30</v>
      </c>
      <c r="G522" s="2" t="s">
        <v>1933</v>
      </c>
      <c r="H522" s="2" t="s">
        <v>416</v>
      </c>
      <c r="I522" s="2" t="s">
        <v>32</v>
      </c>
      <c r="J522" s="3">
        <v>44388</v>
      </c>
      <c r="K522" s="2">
        <v>13</v>
      </c>
      <c r="L522" s="2" t="s">
        <v>159</v>
      </c>
      <c r="M522" s="3"/>
    </row>
    <row r="523" spans="1:13" x14ac:dyDescent="0.3">
      <c r="A523" s="2">
        <v>522</v>
      </c>
      <c r="B523" s="2" t="s">
        <v>1934</v>
      </c>
      <c r="C523" s="2" t="s">
        <v>1935</v>
      </c>
      <c r="D523" s="2" t="s">
        <v>51</v>
      </c>
      <c r="E523" s="2" t="s">
        <v>16</v>
      </c>
      <c r="F523" s="2">
        <v>60</v>
      </c>
      <c r="G523" s="2" t="s">
        <v>1936</v>
      </c>
      <c r="H523" s="2" t="s">
        <v>1937</v>
      </c>
      <c r="I523" s="2" t="s">
        <v>25</v>
      </c>
      <c r="J523" s="3">
        <v>44917</v>
      </c>
      <c r="K523" s="2">
        <v>42</v>
      </c>
      <c r="L523" s="2" t="s">
        <v>45</v>
      </c>
      <c r="M523" s="3"/>
    </row>
    <row r="524" spans="1:13" x14ac:dyDescent="0.3">
      <c r="A524" s="2">
        <v>523</v>
      </c>
      <c r="B524" s="2" t="s">
        <v>1938</v>
      </c>
      <c r="C524" s="2" t="s">
        <v>468</v>
      </c>
      <c r="D524" s="2" t="s">
        <v>15</v>
      </c>
      <c r="E524" s="2" t="s">
        <v>16</v>
      </c>
      <c r="F524" s="2">
        <v>90</v>
      </c>
      <c r="G524" s="2" t="s">
        <v>1939</v>
      </c>
      <c r="H524" s="2" t="s">
        <v>1940</v>
      </c>
      <c r="I524" s="2" t="s">
        <v>294</v>
      </c>
      <c r="J524" s="3">
        <v>44306</v>
      </c>
      <c r="K524" s="2">
        <v>21</v>
      </c>
      <c r="L524" s="2" t="s">
        <v>33</v>
      </c>
      <c r="M524" s="3"/>
    </row>
    <row r="525" spans="1:13" x14ac:dyDescent="0.3">
      <c r="A525" s="2">
        <v>524</v>
      </c>
      <c r="B525" s="2" t="s">
        <v>1079</v>
      </c>
      <c r="C525" s="2" t="s">
        <v>1941</v>
      </c>
      <c r="D525" s="2" t="s">
        <v>15</v>
      </c>
      <c r="E525" s="2" t="s">
        <v>16</v>
      </c>
      <c r="F525" s="2">
        <v>60</v>
      </c>
      <c r="G525" s="2" t="s">
        <v>1942</v>
      </c>
      <c r="H525" s="2" t="s">
        <v>251</v>
      </c>
      <c r="I525" s="2" t="s">
        <v>146</v>
      </c>
      <c r="J525" s="3">
        <v>44906</v>
      </c>
      <c r="K525" s="2">
        <v>66</v>
      </c>
      <c r="L525" s="2" t="s">
        <v>70</v>
      </c>
      <c r="M525" s="3"/>
    </row>
    <row r="526" spans="1:13" x14ac:dyDescent="0.3">
      <c r="A526" s="2">
        <v>525</v>
      </c>
      <c r="B526" s="2" t="s">
        <v>1943</v>
      </c>
      <c r="C526" s="2" t="s">
        <v>286</v>
      </c>
      <c r="D526" s="2" t="s">
        <v>51</v>
      </c>
      <c r="E526" s="2" t="s">
        <v>16</v>
      </c>
      <c r="F526" s="2">
        <v>30</v>
      </c>
      <c r="G526" s="2" t="s">
        <v>1944</v>
      </c>
      <c r="H526" s="2" t="s">
        <v>1945</v>
      </c>
      <c r="I526" s="2" t="s">
        <v>32</v>
      </c>
      <c r="J526" s="3">
        <v>44295</v>
      </c>
      <c r="K526" s="2">
        <v>43</v>
      </c>
      <c r="L526" s="2" t="s">
        <v>80</v>
      </c>
      <c r="M526" s="3"/>
    </row>
    <row r="527" spans="1:13" x14ac:dyDescent="0.3">
      <c r="A527" s="2">
        <v>526</v>
      </c>
      <c r="B527" s="2" t="s">
        <v>1946</v>
      </c>
      <c r="C527" s="2" t="s">
        <v>309</v>
      </c>
      <c r="D527" s="2" t="s">
        <v>28</v>
      </c>
      <c r="E527" s="2" t="s">
        <v>29</v>
      </c>
      <c r="F527" s="2">
        <v>60</v>
      </c>
      <c r="G527" s="2" t="s">
        <v>1947</v>
      </c>
      <c r="H527" s="2" t="s">
        <v>1948</v>
      </c>
      <c r="I527" s="2" t="s">
        <v>25</v>
      </c>
      <c r="J527" s="3">
        <v>44264</v>
      </c>
      <c r="K527" s="2">
        <v>56</v>
      </c>
      <c r="L527" s="2" t="s">
        <v>54</v>
      </c>
      <c r="M527" s="3"/>
    </row>
    <row r="528" spans="1:13" x14ac:dyDescent="0.3">
      <c r="A528" s="2">
        <v>527</v>
      </c>
      <c r="B528" s="2" t="s">
        <v>1949</v>
      </c>
      <c r="C528" s="2" t="s">
        <v>1950</v>
      </c>
      <c r="D528" s="2" t="s">
        <v>51</v>
      </c>
      <c r="E528" s="2" t="s">
        <v>16</v>
      </c>
      <c r="F528" s="2">
        <v>30</v>
      </c>
      <c r="G528" s="2" t="s">
        <v>1951</v>
      </c>
      <c r="H528" s="2" t="s">
        <v>1952</v>
      </c>
      <c r="I528" s="2" t="s">
        <v>32</v>
      </c>
      <c r="J528" s="3">
        <v>44131</v>
      </c>
      <c r="K528" s="2">
        <v>48</v>
      </c>
      <c r="L528" s="2" t="s">
        <v>20</v>
      </c>
      <c r="M528" s="3"/>
    </row>
    <row r="529" spans="1:13" x14ac:dyDescent="0.3">
      <c r="A529" s="2">
        <v>528</v>
      </c>
      <c r="B529" s="2" t="s">
        <v>1953</v>
      </c>
      <c r="C529" s="2" t="s">
        <v>1954</v>
      </c>
      <c r="D529" s="2" t="s">
        <v>51</v>
      </c>
      <c r="E529" s="2" t="s">
        <v>16</v>
      </c>
      <c r="F529" s="2">
        <v>90</v>
      </c>
      <c r="G529" s="2" t="s">
        <v>1955</v>
      </c>
      <c r="H529" s="2" t="s">
        <v>1956</v>
      </c>
      <c r="I529" s="2" t="s">
        <v>32</v>
      </c>
      <c r="J529" s="3">
        <v>44657</v>
      </c>
      <c r="K529" s="2">
        <v>11</v>
      </c>
      <c r="L529" s="2" t="s">
        <v>39</v>
      </c>
      <c r="M529" s="3"/>
    </row>
    <row r="530" spans="1:13" x14ac:dyDescent="0.3">
      <c r="A530" s="2">
        <v>529</v>
      </c>
      <c r="B530" s="2" t="s">
        <v>1953</v>
      </c>
      <c r="C530" s="2" t="s">
        <v>1954</v>
      </c>
      <c r="D530" s="2" t="s">
        <v>51</v>
      </c>
      <c r="E530" s="2" t="s">
        <v>16</v>
      </c>
      <c r="F530" s="2">
        <v>90</v>
      </c>
      <c r="G530" s="2" t="s">
        <v>1955</v>
      </c>
      <c r="H530" s="2" t="s">
        <v>1956</v>
      </c>
      <c r="I530" s="2" t="s">
        <v>32</v>
      </c>
      <c r="J530" s="3">
        <v>44657</v>
      </c>
      <c r="K530" s="2">
        <v>11</v>
      </c>
      <c r="L530" s="2" t="s">
        <v>39</v>
      </c>
      <c r="M530" s="3"/>
    </row>
    <row r="531" spans="1:13" x14ac:dyDescent="0.3">
      <c r="A531" s="2">
        <v>530</v>
      </c>
      <c r="B531" s="2" t="s">
        <v>1678</v>
      </c>
      <c r="C531" s="2" t="s">
        <v>1957</v>
      </c>
      <c r="D531" s="2" t="s">
        <v>28</v>
      </c>
      <c r="E531" s="2" t="s">
        <v>29</v>
      </c>
      <c r="F531" s="2">
        <v>90</v>
      </c>
      <c r="G531" s="2" t="s">
        <v>1958</v>
      </c>
      <c r="H531" s="2" t="s">
        <v>1764</v>
      </c>
      <c r="I531" s="2" t="s">
        <v>124</v>
      </c>
      <c r="J531" s="3">
        <v>43930</v>
      </c>
      <c r="K531" s="2">
        <v>45</v>
      </c>
      <c r="L531" s="2" t="s">
        <v>101</v>
      </c>
      <c r="M531" s="3"/>
    </row>
    <row r="532" spans="1:13" x14ac:dyDescent="0.3">
      <c r="A532" s="2">
        <v>531</v>
      </c>
      <c r="B532" s="2" t="s">
        <v>1959</v>
      </c>
      <c r="C532" s="2" t="s">
        <v>1432</v>
      </c>
      <c r="D532" s="2" t="s">
        <v>15</v>
      </c>
      <c r="E532" s="2" t="s">
        <v>16</v>
      </c>
      <c r="F532" s="2">
        <v>60</v>
      </c>
      <c r="G532" s="2" t="s">
        <v>1960</v>
      </c>
      <c r="H532" s="2" t="s">
        <v>31</v>
      </c>
      <c r="I532" s="2" t="s">
        <v>32</v>
      </c>
      <c r="J532" s="3">
        <v>43916</v>
      </c>
      <c r="K532" s="2">
        <v>45</v>
      </c>
      <c r="L532" s="2" t="s">
        <v>33</v>
      </c>
      <c r="M532" s="3"/>
    </row>
    <row r="533" spans="1:13" x14ac:dyDescent="0.3">
      <c r="A533" s="2">
        <v>532</v>
      </c>
      <c r="B533" s="2" t="s">
        <v>1961</v>
      </c>
      <c r="C533" s="2" t="s">
        <v>50</v>
      </c>
      <c r="D533" s="2" t="s">
        <v>51</v>
      </c>
      <c r="E533" s="2" t="s">
        <v>16</v>
      </c>
      <c r="F533" s="2">
        <v>30</v>
      </c>
      <c r="G533" s="2" t="s">
        <v>1960</v>
      </c>
      <c r="H533" s="2" t="s">
        <v>491</v>
      </c>
      <c r="I533" s="2" t="s">
        <v>32</v>
      </c>
      <c r="J533" s="3">
        <v>44179</v>
      </c>
      <c r="K533" s="2">
        <v>54</v>
      </c>
      <c r="L533" s="2" t="s">
        <v>54</v>
      </c>
      <c r="M533" s="3"/>
    </row>
    <row r="534" spans="1:13" x14ac:dyDescent="0.3">
      <c r="A534" s="2">
        <v>533</v>
      </c>
      <c r="B534" s="2" t="s">
        <v>1962</v>
      </c>
      <c r="C534" s="2" t="s">
        <v>1963</v>
      </c>
      <c r="D534" s="2" t="s">
        <v>15</v>
      </c>
      <c r="E534" s="2" t="s">
        <v>16</v>
      </c>
      <c r="F534" s="2">
        <v>30</v>
      </c>
      <c r="G534" s="2" t="s">
        <v>1964</v>
      </c>
      <c r="H534" s="2" t="s">
        <v>1965</v>
      </c>
      <c r="I534" s="2" t="s">
        <v>32</v>
      </c>
      <c r="J534" s="3">
        <v>44445</v>
      </c>
      <c r="K534" s="2">
        <v>34</v>
      </c>
      <c r="L534" s="2" t="s">
        <v>101</v>
      </c>
      <c r="M534" s="3"/>
    </row>
    <row r="535" spans="1:13" x14ac:dyDescent="0.3">
      <c r="A535" s="2">
        <v>534</v>
      </c>
      <c r="B535" s="2" t="s">
        <v>1966</v>
      </c>
      <c r="C535" s="2" t="s">
        <v>1967</v>
      </c>
      <c r="D535" s="2" t="s">
        <v>15</v>
      </c>
      <c r="E535" s="2" t="s">
        <v>16</v>
      </c>
      <c r="F535" s="2">
        <v>90</v>
      </c>
      <c r="G535" s="2" t="s">
        <v>1968</v>
      </c>
      <c r="H535" s="2" t="s">
        <v>1969</v>
      </c>
      <c r="I535" s="2" t="s">
        <v>32</v>
      </c>
      <c r="J535" s="3">
        <v>43982</v>
      </c>
      <c r="K535" s="2">
        <v>81</v>
      </c>
      <c r="L535" s="2" t="s">
        <v>45</v>
      </c>
      <c r="M535" s="3"/>
    </row>
    <row r="536" spans="1:13" x14ac:dyDescent="0.3">
      <c r="A536" s="2">
        <v>535</v>
      </c>
      <c r="B536" s="2" t="s">
        <v>1970</v>
      </c>
      <c r="C536" s="2" t="s">
        <v>1971</v>
      </c>
      <c r="D536" s="2" t="s">
        <v>51</v>
      </c>
      <c r="E536" s="2" t="s">
        <v>16</v>
      </c>
      <c r="F536" s="2">
        <v>60</v>
      </c>
      <c r="G536" s="2" t="s">
        <v>1972</v>
      </c>
      <c r="H536" s="2" t="s">
        <v>1973</v>
      </c>
      <c r="I536" s="2" t="s">
        <v>110</v>
      </c>
      <c r="J536" s="3">
        <v>44556</v>
      </c>
      <c r="K536" s="2">
        <v>22</v>
      </c>
      <c r="L536" s="2" t="s">
        <v>70</v>
      </c>
      <c r="M536" s="3"/>
    </row>
    <row r="537" spans="1:13" x14ac:dyDescent="0.3">
      <c r="A537" s="2">
        <v>536</v>
      </c>
      <c r="B537" s="2" t="s">
        <v>1974</v>
      </c>
      <c r="C537" s="2" t="s">
        <v>368</v>
      </c>
      <c r="D537" s="2" t="s">
        <v>51</v>
      </c>
      <c r="E537" s="2" t="s">
        <v>16</v>
      </c>
      <c r="F537" s="2">
        <v>90</v>
      </c>
      <c r="G537" s="2" t="s">
        <v>1975</v>
      </c>
      <c r="H537" s="2" t="s">
        <v>1530</v>
      </c>
      <c r="I537" s="2" t="s">
        <v>32</v>
      </c>
      <c r="J537" s="3">
        <v>44860</v>
      </c>
      <c r="K537" s="2">
        <v>31</v>
      </c>
      <c r="L537" s="2" t="s">
        <v>159</v>
      </c>
      <c r="M537" s="3"/>
    </row>
    <row r="538" spans="1:13" x14ac:dyDescent="0.3">
      <c r="A538" s="2">
        <v>537</v>
      </c>
      <c r="B538" s="2" t="s">
        <v>1337</v>
      </c>
      <c r="C538" s="2" t="s">
        <v>1446</v>
      </c>
      <c r="D538" s="2" t="s">
        <v>28</v>
      </c>
      <c r="E538" s="2" t="s">
        <v>29</v>
      </c>
      <c r="F538" s="2">
        <v>90</v>
      </c>
      <c r="G538" s="2" t="s">
        <v>1976</v>
      </c>
      <c r="H538" s="2" t="s">
        <v>1977</v>
      </c>
      <c r="I538" s="2" t="s">
        <v>124</v>
      </c>
      <c r="J538" s="3">
        <v>44615</v>
      </c>
      <c r="K538" s="2">
        <v>19</v>
      </c>
      <c r="L538" s="2" t="s">
        <v>159</v>
      </c>
      <c r="M538" s="3"/>
    </row>
    <row r="539" spans="1:13" x14ac:dyDescent="0.3">
      <c r="A539" s="2">
        <v>538</v>
      </c>
      <c r="B539" s="2" t="s">
        <v>1978</v>
      </c>
      <c r="C539" s="2" t="s">
        <v>1979</v>
      </c>
      <c r="D539" s="2" t="s">
        <v>41</v>
      </c>
      <c r="E539" s="2" t="s">
        <v>16</v>
      </c>
      <c r="F539" s="2">
        <v>90</v>
      </c>
      <c r="G539" s="2" t="s">
        <v>1980</v>
      </c>
      <c r="H539" s="2" t="s">
        <v>1981</v>
      </c>
      <c r="I539" s="2" t="s">
        <v>187</v>
      </c>
      <c r="J539" s="3">
        <v>43869</v>
      </c>
      <c r="K539" s="2">
        <v>73</v>
      </c>
      <c r="L539" s="2" t="s">
        <v>20</v>
      </c>
      <c r="M539" s="3"/>
    </row>
    <row r="540" spans="1:13" x14ac:dyDescent="0.3">
      <c r="A540" s="2">
        <v>539</v>
      </c>
      <c r="B540" s="2" t="s">
        <v>1982</v>
      </c>
      <c r="C540" s="2" t="s">
        <v>361</v>
      </c>
      <c r="D540" s="2" t="s">
        <v>28</v>
      </c>
      <c r="E540" s="2" t="s">
        <v>29</v>
      </c>
      <c r="F540" s="2">
        <v>60</v>
      </c>
      <c r="G540" s="2" t="s">
        <v>1983</v>
      </c>
      <c r="H540" s="2" t="s">
        <v>1473</v>
      </c>
      <c r="I540" s="2" t="s">
        <v>38</v>
      </c>
      <c r="J540" s="3">
        <v>44292</v>
      </c>
      <c r="K540" s="2">
        <v>95</v>
      </c>
      <c r="L540" s="2" t="s">
        <v>20</v>
      </c>
      <c r="M540" s="3"/>
    </row>
    <row r="541" spans="1:13" x14ac:dyDescent="0.3">
      <c r="A541" s="2">
        <v>540</v>
      </c>
      <c r="B541" s="2" t="s">
        <v>1984</v>
      </c>
      <c r="C541" s="2" t="s">
        <v>1985</v>
      </c>
      <c r="D541" s="2" t="s">
        <v>51</v>
      </c>
      <c r="E541" s="2" t="s">
        <v>16</v>
      </c>
      <c r="F541" s="2">
        <v>30</v>
      </c>
      <c r="G541" s="2" t="s">
        <v>1986</v>
      </c>
      <c r="H541" s="2" t="s">
        <v>1987</v>
      </c>
      <c r="I541" s="2" t="s">
        <v>19</v>
      </c>
      <c r="J541" s="3">
        <v>44221</v>
      </c>
      <c r="K541" s="2">
        <v>64</v>
      </c>
      <c r="L541" s="2" t="s">
        <v>70</v>
      </c>
      <c r="M541" s="3"/>
    </row>
    <row r="542" spans="1:13" x14ac:dyDescent="0.3">
      <c r="A542" s="2">
        <v>541</v>
      </c>
      <c r="B542" s="2" t="s">
        <v>1988</v>
      </c>
      <c r="C542" s="2" t="s">
        <v>1989</v>
      </c>
      <c r="D542" s="2" t="s">
        <v>15</v>
      </c>
      <c r="E542" s="2" t="s">
        <v>16</v>
      </c>
      <c r="F542" s="2">
        <v>90</v>
      </c>
      <c r="G542" s="2" t="s">
        <v>1990</v>
      </c>
      <c r="H542" s="2" t="s">
        <v>1473</v>
      </c>
      <c r="I542" s="2" t="s">
        <v>38</v>
      </c>
      <c r="J542" s="3">
        <v>44839</v>
      </c>
      <c r="K542" s="2">
        <v>54</v>
      </c>
      <c r="L542" s="2" t="s">
        <v>33</v>
      </c>
      <c r="M542" s="3"/>
    </row>
    <row r="543" spans="1:13" x14ac:dyDescent="0.3">
      <c r="A543" s="2">
        <v>542</v>
      </c>
      <c r="B543" s="2" t="s">
        <v>1991</v>
      </c>
      <c r="C543" s="2" t="s">
        <v>1662</v>
      </c>
      <c r="D543" s="2" t="s">
        <v>28</v>
      </c>
      <c r="E543" s="2" t="s">
        <v>29</v>
      </c>
      <c r="F543" s="2">
        <v>60</v>
      </c>
      <c r="G543" s="2" t="s">
        <v>1990</v>
      </c>
      <c r="H543" s="2" t="s">
        <v>1992</v>
      </c>
      <c r="I543" s="2" t="s">
        <v>32</v>
      </c>
      <c r="J543" s="3">
        <v>43965</v>
      </c>
      <c r="K543" s="2">
        <v>4</v>
      </c>
      <c r="L543" s="2" t="s">
        <v>39</v>
      </c>
      <c r="M543" s="3"/>
    </row>
    <row r="544" spans="1:13" x14ac:dyDescent="0.3">
      <c r="A544" s="2">
        <v>543</v>
      </c>
      <c r="B544" s="2" t="s">
        <v>1993</v>
      </c>
      <c r="C544" s="2" t="s">
        <v>1994</v>
      </c>
      <c r="D544" s="2" t="s">
        <v>41</v>
      </c>
      <c r="E544" s="2" t="s">
        <v>16</v>
      </c>
      <c r="F544" s="2">
        <v>60</v>
      </c>
      <c r="G544" s="2" t="s">
        <v>1995</v>
      </c>
      <c r="H544" s="2" t="s">
        <v>1996</v>
      </c>
      <c r="I544" s="2" t="s">
        <v>208</v>
      </c>
      <c r="J544" s="3">
        <v>44913</v>
      </c>
      <c r="K544" s="2">
        <v>29</v>
      </c>
      <c r="L544" s="2" t="s">
        <v>101</v>
      </c>
      <c r="M544" s="3"/>
    </row>
    <row r="545" spans="1:13" x14ac:dyDescent="0.3">
      <c r="A545" s="2">
        <v>544</v>
      </c>
      <c r="B545" s="2" t="s">
        <v>990</v>
      </c>
      <c r="C545" s="2" t="s">
        <v>1997</v>
      </c>
      <c r="D545" s="2" t="s">
        <v>28</v>
      </c>
      <c r="E545" s="2" t="s">
        <v>29</v>
      </c>
      <c r="F545" s="2">
        <v>90</v>
      </c>
      <c r="G545" s="2" t="s">
        <v>1995</v>
      </c>
      <c r="H545" s="2" t="s">
        <v>827</v>
      </c>
      <c r="I545" s="2" t="s">
        <v>124</v>
      </c>
      <c r="J545" s="3">
        <v>44732</v>
      </c>
      <c r="K545" s="2">
        <v>80</v>
      </c>
      <c r="L545" s="2" t="s">
        <v>54</v>
      </c>
      <c r="M545" s="3"/>
    </row>
    <row r="546" spans="1:13" x14ac:dyDescent="0.3">
      <c r="A546" s="2">
        <v>545</v>
      </c>
      <c r="B546" s="2" t="s">
        <v>1998</v>
      </c>
      <c r="C546" s="2" t="s">
        <v>1999</v>
      </c>
      <c r="D546" s="2" t="s">
        <v>28</v>
      </c>
      <c r="E546" s="2" t="s">
        <v>29</v>
      </c>
      <c r="F546" s="2">
        <v>90</v>
      </c>
      <c r="G546" s="2" t="s">
        <v>2000</v>
      </c>
      <c r="H546" s="2" t="s">
        <v>288</v>
      </c>
      <c r="I546" s="2" t="s">
        <v>32</v>
      </c>
      <c r="J546" s="3">
        <v>44336</v>
      </c>
      <c r="K546" s="2">
        <v>61</v>
      </c>
      <c r="L546" s="2" t="s">
        <v>39</v>
      </c>
      <c r="M546" s="3"/>
    </row>
    <row r="547" spans="1:13" x14ac:dyDescent="0.3">
      <c r="A547" s="2">
        <v>546</v>
      </c>
      <c r="B547" s="2" t="s">
        <v>2001</v>
      </c>
      <c r="C547" s="2" t="s">
        <v>76</v>
      </c>
      <c r="D547" s="2" t="s">
        <v>28</v>
      </c>
      <c r="E547" s="2" t="s">
        <v>29</v>
      </c>
      <c r="F547" s="2">
        <v>90</v>
      </c>
      <c r="G547" s="2" t="s">
        <v>2002</v>
      </c>
      <c r="H547" s="2" t="s">
        <v>447</v>
      </c>
      <c r="I547" s="2" t="s">
        <v>32</v>
      </c>
      <c r="J547" s="3">
        <v>44500</v>
      </c>
      <c r="K547" s="2">
        <v>3</v>
      </c>
      <c r="L547" s="2" t="s">
        <v>159</v>
      </c>
      <c r="M547" s="3"/>
    </row>
    <row r="548" spans="1:13" x14ac:dyDescent="0.3">
      <c r="A548" s="2">
        <v>547</v>
      </c>
      <c r="B548" s="2" t="s">
        <v>2003</v>
      </c>
      <c r="D548" s="2" t="s">
        <v>15</v>
      </c>
      <c r="E548" s="2" t="s">
        <v>16</v>
      </c>
      <c r="F548" s="2">
        <v>90</v>
      </c>
      <c r="G548" s="2" t="s">
        <v>2004</v>
      </c>
      <c r="H548" s="2" t="s">
        <v>1719</v>
      </c>
      <c r="I548" s="2" t="s">
        <v>38</v>
      </c>
      <c r="J548" s="3">
        <v>44154</v>
      </c>
      <c r="K548" s="2">
        <v>13</v>
      </c>
      <c r="L548" s="2" t="s">
        <v>39</v>
      </c>
      <c r="M548" s="3"/>
    </row>
    <row r="549" spans="1:13" x14ac:dyDescent="0.3">
      <c r="A549" s="2">
        <v>548</v>
      </c>
      <c r="B549" s="2" t="s">
        <v>2005</v>
      </c>
      <c r="C549" s="2" t="s">
        <v>2006</v>
      </c>
      <c r="D549" s="2" t="s">
        <v>15</v>
      </c>
      <c r="E549" s="2" t="s">
        <v>16</v>
      </c>
      <c r="F549" s="2">
        <v>60</v>
      </c>
      <c r="G549" s="2" t="s">
        <v>2007</v>
      </c>
      <c r="H549" s="2" t="s">
        <v>2008</v>
      </c>
      <c r="I549" s="2" t="s">
        <v>129</v>
      </c>
      <c r="J549" s="3">
        <v>44421</v>
      </c>
      <c r="K549" s="2">
        <v>47</v>
      </c>
      <c r="L549" s="2" t="s">
        <v>20</v>
      </c>
      <c r="M549" s="3"/>
    </row>
    <row r="550" spans="1:13" x14ac:dyDescent="0.3">
      <c r="A550" s="2">
        <v>549</v>
      </c>
      <c r="B550" s="2" t="s">
        <v>2009</v>
      </c>
      <c r="C550" s="2" t="s">
        <v>2010</v>
      </c>
      <c r="D550" s="2" t="s">
        <v>28</v>
      </c>
      <c r="E550" s="2" t="s">
        <v>29</v>
      </c>
      <c r="F550" s="2">
        <v>30</v>
      </c>
      <c r="G550" s="2" t="s">
        <v>2011</v>
      </c>
      <c r="H550" s="2" t="s">
        <v>2012</v>
      </c>
      <c r="I550" s="2" t="s">
        <v>32</v>
      </c>
      <c r="J550" s="3">
        <v>44775</v>
      </c>
      <c r="K550" s="2">
        <v>44</v>
      </c>
      <c r="L550" s="2" t="s">
        <v>70</v>
      </c>
      <c r="M550" s="3"/>
    </row>
    <row r="551" spans="1:13" x14ac:dyDescent="0.3">
      <c r="A551" s="2">
        <v>550</v>
      </c>
      <c r="B551" s="2" t="s">
        <v>2013</v>
      </c>
      <c r="C551" s="2" t="s">
        <v>2014</v>
      </c>
      <c r="D551" s="2" t="s">
        <v>15</v>
      </c>
      <c r="E551" s="2" t="s">
        <v>16</v>
      </c>
      <c r="F551" s="2">
        <v>90</v>
      </c>
      <c r="G551" s="2" t="s">
        <v>2015</v>
      </c>
      <c r="H551" s="2" t="s">
        <v>881</v>
      </c>
      <c r="I551" s="2" t="s">
        <v>178</v>
      </c>
      <c r="J551" s="3">
        <v>44908</v>
      </c>
      <c r="K551" s="2">
        <v>20</v>
      </c>
      <c r="L551" s="2" t="s">
        <v>64</v>
      </c>
      <c r="M551" s="3"/>
    </row>
    <row r="552" spans="1:13" x14ac:dyDescent="0.3">
      <c r="A552" s="2">
        <v>551</v>
      </c>
      <c r="B552" s="2" t="s">
        <v>2016</v>
      </c>
      <c r="C552" s="2" t="s">
        <v>2017</v>
      </c>
      <c r="D552" s="2" t="s">
        <v>51</v>
      </c>
      <c r="E552" s="2" t="s">
        <v>16</v>
      </c>
      <c r="F552" s="2">
        <v>60</v>
      </c>
      <c r="G552" s="2" t="s">
        <v>2015</v>
      </c>
      <c r="H552" s="2" t="s">
        <v>1052</v>
      </c>
      <c r="I552" s="2" t="s">
        <v>32</v>
      </c>
      <c r="J552" s="3">
        <v>44020</v>
      </c>
      <c r="K552" s="2">
        <v>44</v>
      </c>
      <c r="L552" s="2" t="s">
        <v>64</v>
      </c>
      <c r="M552" s="3"/>
    </row>
    <row r="553" spans="1:13" x14ac:dyDescent="0.3">
      <c r="A553" s="2">
        <v>552</v>
      </c>
      <c r="B553" s="2" t="s">
        <v>2018</v>
      </c>
      <c r="C553" s="2" t="s">
        <v>2019</v>
      </c>
      <c r="D553" s="2" t="s">
        <v>28</v>
      </c>
      <c r="E553" s="2" t="s">
        <v>29</v>
      </c>
      <c r="F553" s="2">
        <v>30</v>
      </c>
      <c r="G553" s="2" t="s">
        <v>2020</v>
      </c>
      <c r="H553" s="2" t="s">
        <v>2021</v>
      </c>
      <c r="I553" s="2" t="s">
        <v>2022</v>
      </c>
      <c r="J553" s="3">
        <v>44611</v>
      </c>
      <c r="K553" s="2">
        <v>56</v>
      </c>
      <c r="L553" s="2" t="s">
        <v>101</v>
      </c>
      <c r="M553" s="3"/>
    </row>
    <row r="554" spans="1:13" x14ac:dyDescent="0.3">
      <c r="A554" s="2">
        <v>553</v>
      </c>
      <c r="B554" s="2" t="s">
        <v>2023</v>
      </c>
      <c r="C554" s="2" t="s">
        <v>2024</v>
      </c>
      <c r="D554" s="2" t="s">
        <v>15</v>
      </c>
      <c r="E554" s="2" t="s">
        <v>16</v>
      </c>
      <c r="F554" s="2">
        <v>90</v>
      </c>
      <c r="G554" s="2" t="s">
        <v>2025</v>
      </c>
      <c r="H554" s="2" t="s">
        <v>2026</v>
      </c>
      <c r="I554" s="2" t="s">
        <v>1078</v>
      </c>
      <c r="J554" s="3">
        <v>43965</v>
      </c>
      <c r="K554" s="2">
        <v>43</v>
      </c>
      <c r="L554" s="2" t="s">
        <v>64</v>
      </c>
      <c r="M554" s="3"/>
    </row>
    <row r="555" spans="1:13" x14ac:dyDescent="0.3">
      <c r="A555" s="2">
        <v>554</v>
      </c>
      <c r="B555" s="2" t="s">
        <v>2027</v>
      </c>
      <c r="C555" s="2" t="s">
        <v>2028</v>
      </c>
      <c r="D555" s="2" t="s">
        <v>28</v>
      </c>
      <c r="E555" s="2" t="s">
        <v>29</v>
      </c>
      <c r="F555" s="2">
        <v>60</v>
      </c>
      <c r="G555" s="2" t="s">
        <v>2029</v>
      </c>
      <c r="H555" s="2" t="s">
        <v>530</v>
      </c>
      <c r="I555" s="2" t="s">
        <v>124</v>
      </c>
      <c r="J555" s="3">
        <v>44864</v>
      </c>
      <c r="K555" s="2">
        <v>85</v>
      </c>
      <c r="L555" s="2" t="s">
        <v>80</v>
      </c>
      <c r="M555" s="3"/>
    </row>
    <row r="556" spans="1:13" x14ac:dyDescent="0.3">
      <c r="A556" s="2">
        <v>555</v>
      </c>
      <c r="B556" s="2" t="s">
        <v>555</v>
      </c>
      <c r="C556" s="2" t="s">
        <v>2030</v>
      </c>
      <c r="D556" s="2" t="s">
        <v>28</v>
      </c>
      <c r="E556" s="2" t="s">
        <v>29</v>
      </c>
      <c r="F556" s="2">
        <v>60</v>
      </c>
      <c r="G556" s="2" t="s">
        <v>2031</v>
      </c>
      <c r="H556" s="2" t="s">
        <v>2032</v>
      </c>
      <c r="I556" s="2" t="s">
        <v>173</v>
      </c>
      <c r="J556" s="3">
        <v>44775</v>
      </c>
      <c r="K556" s="2">
        <v>104</v>
      </c>
      <c r="L556" s="2" t="s">
        <v>80</v>
      </c>
      <c r="M556" s="3"/>
    </row>
    <row r="557" spans="1:13" x14ac:dyDescent="0.3">
      <c r="A557" s="2">
        <v>556</v>
      </c>
      <c r="B557" s="2" t="s">
        <v>1741</v>
      </c>
      <c r="C557" s="2" t="s">
        <v>2033</v>
      </c>
      <c r="D557" s="2" t="s">
        <v>28</v>
      </c>
      <c r="E557" s="2" t="s">
        <v>29</v>
      </c>
      <c r="F557" s="2">
        <v>90</v>
      </c>
      <c r="G557" s="2" t="s">
        <v>2034</v>
      </c>
      <c r="H557" s="2" t="s">
        <v>2035</v>
      </c>
      <c r="I557" s="2" t="s">
        <v>32</v>
      </c>
      <c r="J557" s="3">
        <v>44153</v>
      </c>
      <c r="K557" s="2">
        <v>10</v>
      </c>
      <c r="L557" s="2" t="s">
        <v>45</v>
      </c>
      <c r="M557" s="3"/>
    </row>
    <row r="558" spans="1:13" x14ac:dyDescent="0.3">
      <c r="A558" s="2">
        <v>557</v>
      </c>
      <c r="B558" s="2" t="s">
        <v>2036</v>
      </c>
      <c r="C558" s="2" t="s">
        <v>2037</v>
      </c>
      <c r="D558" s="2" t="s">
        <v>51</v>
      </c>
      <c r="E558" s="2" t="s">
        <v>16</v>
      </c>
      <c r="F558" s="2">
        <v>90</v>
      </c>
      <c r="G558" s="2" t="s">
        <v>2038</v>
      </c>
      <c r="H558" s="2" t="s">
        <v>2039</v>
      </c>
      <c r="I558" s="2" t="s">
        <v>1199</v>
      </c>
      <c r="J558" s="3">
        <v>44765</v>
      </c>
      <c r="K558" s="2">
        <v>56</v>
      </c>
      <c r="L558" s="2" t="s">
        <v>20</v>
      </c>
      <c r="M558" s="3"/>
    </row>
    <row r="559" spans="1:13" x14ac:dyDescent="0.3">
      <c r="A559" s="2">
        <v>558</v>
      </c>
      <c r="B559" s="2" t="s">
        <v>2036</v>
      </c>
      <c r="C559" s="2" t="s">
        <v>2037</v>
      </c>
      <c r="D559" s="2" t="s">
        <v>51</v>
      </c>
      <c r="E559" s="2" t="s">
        <v>16</v>
      </c>
      <c r="F559" s="2">
        <v>90</v>
      </c>
      <c r="G559" s="2" t="s">
        <v>2038</v>
      </c>
      <c r="H559" s="2" t="s">
        <v>2039</v>
      </c>
      <c r="I559" s="2" t="s">
        <v>1199</v>
      </c>
      <c r="J559" s="3">
        <v>44765</v>
      </c>
      <c r="K559" s="2">
        <v>56</v>
      </c>
      <c r="L559" s="2" t="s">
        <v>20</v>
      </c>
      <c r="M559" s="3"/>
    </row>
    <row r="560" spans="1:13" x14ac:dyDescent="0.3">
      <c r="A560" s="2">
        <v>559</v>
      </c>
      <c r="B560" s="2" t="s">
        <v>2040</v>
      </c>
      <c r="C560" s="2" t="s">
        <v>2041</v>
      </c>
      <c r="D560" s="2" t="s">
        <v>41</v>
      </c>
      <c r="E560" s="2" t="s">
        <v>16</v>
      </c>
      <c r="F560" s="2">
        <v>30</v>
      </c>
      <c r="G560" s="2" t="s">
        <v>2042</v>
      </c>
      <c r="H560" s="2" t="s">
        <v>1568</v>
      </c>
      <c r="I560" s="2" t="s">
        <v>32</v>
      </c>
      <c r="J560" s="3">
        <v>44843</v>
      </c>
      <c r="K560" s="2">
        <v>76</v>
      </c>
      <c r="L560" s="2" t="s">
        <v>80</v>
      </c>
      <c r="M560" s="3"/>
    </row>
    <row r="561" spans="1:13" x14ac:dyDescent="0.3">
      <c r="A561" s="2">
        <v>560</v>
      </c>
      <c r="B561" s="2" t="s">
        <v>2043</v>
      </c>
      <c r="C561" s="2" t="s">
        <v>1145</v>
      </c>
      <c r="D561" s="2" t="s">
        <v>28</v>
      </c>
      <c r="E561" s="2" t="s">
        <v>29</v>
      </c>
      <c r="F561" s="2">
        <v>60</v>
      </c>
      <c r="G561" s="2" t="s">
        <v>2044</v>
      </c>
      <c r="H561" s="2" t="s">
        <v>2045</v>
      </c>
      <c r="I561" s="2" t="s">
        <v>38</v>
      </c>
      <c r="J561" s="3">
        <v>44564</v>
      </c>
      <c r="K561" s="2">
        <v>105</v>
      </c>
      <c r="L561" s="2" t="s">
        <v>101</v>
      </c>
      <c r="M561" s="3"/>
    </row>
    <row r="562" spans="1:13" x14ac:dyDescent="0.3">
      <c r="A562" s="2">
        <v>561</v>
      </c>
      <c r="B562" s="2" t="s">
        <v>2046</v>
      </c>
      <c r="C562" s="2" t="s">
        <v>2047</v>
      </c>
      <c r="D562" s="2" t="s">
        <v>28</v>
      </c>
      <c r="E562" s="2" t="s">
        <v>29</v>
      </c>
      <c r="F562" s="2">
        <v>30</v>
      </c>
      <c r="G562" s="2" t="s">
        <v>2048</v>
      </c>
      <c r="H562" s="2" t="s">
        <v>2049</v>
      </c>
      <c r="I562" s="2" t="s">
        <v>32</v>
      </c>
      <c r="J562" s="3">
        <v>44075</v>
      </c>
      <c r="K562" s="2">
        <v>81</v>
      </c>
      <c r="L562" s="2" t="s">
        <v>20</v>
      </c>
      <c r="M562" s="3"/>
    </row>
    <row r="563" spans="1:13" x14ac:dyDescent="0.3">
      <c r="A563" s="2">
        <v>562</v>
      </c>
      <c r="B563" s="2" t="s">
        <v>2050</v>
      </c>
      <c r="C563" s="2" t="s">
        <v>2051</v>
      </c>
      <c r="D563" s="2" t="s">
        <v>28</v>
      </c>
      <c r="E563" s="2" t="s">
        <v>29</v>
      </c>
      <c r="F563" s="2">
        <v>90</v>
      </c>
      <c r="G563" s="2" t="s">
        <v>2052</v>
      </c>
      <c r="H563" s="2" t="s">
        <v>2053</v>
      </c>
      <c r="I563" s="2" t="s">
        <v>187</v>
      </c>
      <c r="J563" s="3">
        <v>44139</v>
      </c>
      <c r="K563" s="2">
        <v>27</v>
      </c>
      <c r="L563" s="2" t="s">
        <v>39</v>
      </c>
      <c r="M563" s="3"/>
    </row>
    <row r="564" spans="1:13" x14ac:dyDescent="0.3">
      <c r="A564" s="2">
        <v>563</v>
      </c>
      <c r="B564" s="2" t="s">
        <v>1383</v>
      </c>
      <c r="C564" s="2" t="s">
        <v>2054</v>
      </c>
      <c r="D564" s="2" t="s">
        <v>28</v>
      </c>
      <c r="E564" s="2" t="s">
        <v>29</v>
      </c>
      <c r="F564" s="2">
        <v>90</v>
      </c>
      <c r="G564" s="2" t="s">
        <v>2055</v>
      </c>
      <c r="H564" s="2" t="s">
        <v>2056</v>
      </c>
      <c r="I564" s="2" t="s">
        <v>32</v>
      </c>
      <c r="J564" s="3">
        <v>44104</v>
      </c>
      <c r="K564" s="2">
        <v>55</v>
      </c>
      <c r="L564" s="2" t="s">
        <v>20</v>
      </c>
      <c r="M564" s="3"/>
    </row>
    <row r="565" spans="1:13" x14ac:dyDescent="0.3">
      <c r="A565" s="2">
        <v>564</v>
      </c>
      <c r="B565" s="2" t="s">
        <v>2057</v>
      </c>
      <c r="C565" s="2" t="s">
        <v>2043</v>
      </c>
      <c r="D565" s="2" t="s">
        <v>51</v>
      </c>
      <c r="E565" s="2" t="s">
        <v>16</v>
      </c>
      <c r="F565" s="2">
        <v>60</v>
      </c>
      <c r="G565" s="2" t="s">
        <v>2058</v>
      </c>
      <c r="H565" s="2" t="s">
        <v>2059</v>
      </c>
      <c r="I565" s="2" t="s">
        <v>146</v>
      </c>
      <c r="J565" s="3">
        <v>44429</v>
      </c>
      <c r="K565" s="2">
        <v>42</v>
      </c>
      <c r="L565" s="2" t="s">
        <v>159</v>
      </c>
      <c r="M565" s="3"/>
    </row>
    <row r="566" spans="1:13" x14ac:dyDescent="0.3">
      <c r="A566" s="2">
        <v>565</v>
      </c>
      <c r="B566" s="2" t="s">
        <v>2060</v>
      </c>
      <c r="C566" s="2" t="s">
        <v>161</v>
      </c>
      <c r="D566" s="2" t="s">
        <v>15</v>
      </c>
      <c r="E566" s="2" t="s">
        <v>16</v>
      </c>
      <c r="F566" s="2">
        <v>60</v>
      </c>
      <c r="G566" s="2" t="s">
        <v>2061</v>
      </c>
      <c r="H566" s="2" t="s">
        <v>2062</v>
      </c>
      <c r="I566" s="2" t="s">
        <v>187</v>
      </c>
      <c r="J566" s="3">
        <v>44319</v>
      </c>
      <c r="K566" s="2">
        <v>20</v>
      </c>
      <c r="L566" s="2" t="s">
        <v>20</v>
      </c>
      <c r="M566" s="3"/>
    </row>
    <row r="567" spans="1:13" x14ac:dyDescent="0.3">
      <c r="A567" s="2">
        <v>566</v>
      </c>
      <c r="B567" s="2" t="s">
        <v>2063</v>
      </c>
      <c r="C567" s="2" t="s">
        <v>2064</v>
      </c>
      <c r="D567" s="2" t="s">
        <v>28</v>
      </c>
      <c r="E567" s="2" t="s">
        <v>29</v>
      </c>
      <c r="F567" s="2">
        <v>60</v>
      </c>
      <c r="G567" s="2" t="s">
        <v>2065</v>
      </c>
      <c r="H567" s="2" t="s">
        <v>2066</v>
      </c>
      <c r="I567" s="2" t="s">
        <v>294</v>
      </c>
      <c r="J567" s="3">
        <v>44301</v>
      </c>
      <c r="K567" s="2">
        <v>86</v>
      </c>
      <c r="L567" s="2" t="s">
        <v>54</v>
      </c>
      <c r="M567" s="3"/>
    </row>
    <row r="568" spans="1:13" x14ac:dyDescent="0.3">
      <c r="A568" s="2">
        <v>567</v>
      </c>
      <c r="B568" s="2" t="s">
        <v>2067</v>
      </c>
      <c r="C568" s="2" t="s">
        <v>715</v>
      </c>
      <c r="D568" s="2" t="s">
        <v>15</v>
      </c>
      <c r="E568" s="2" t="s">
        <v>16</v>
      </c>
      <c r="F568" s="2">
        <v>60</v>
      </c>
      <c r="G568" s="2" t="s">
        <v>2068</v>
      </c>
      <c r="H568" s="2" t="s">
        <v>2069</v>
      </c>
      <c r="I568" s="2" t="s">
        <v>1035</v>
      </c>
      <c r="J568" s="3">
        <v>44850</v>
      </c>
      <c r="K568" s="2">
        <v>37</v>
      </c>
      <c r="L568" s="2" t="s">
        <v>80</v>
      </c>
      <c r="M568" s="3"/>
    </row>
    <row r="569" spans="1:13" x14ac:dyDescent="0.3">
      <c r="A569" s="2">
        <v>568</v>
      </c>
      <c r="B569" s="2" t="s">
        <v>2070</v>
      </c>
      <c r="C569" s="2" t="s">
        <v>2071</v>
      </c>
      <c r="D569" s="2" t="s">
        <v>51</v>
      </c>
      <c r="E569" s="2" t="s">
        <v>16</v>
      </c>
      <c r="F569" s="2">
        <v>60</v>
      </c>
      <c r="G569" s="2" t="s">
        <v>2068</v>
      </c>
      <c r="H569" s="2" t="s">
        <v>2072</v>
      </c>
      <c r="I569" s="2" t="s">
        <v>32</v>
      </c>
      <c r="J569" s="3">
        <v>44085</v>
      </c>
      <c r="K569" s="2">
        <v>63</v>
      </c>
      <c r="L569" s="2" t="s">
        <v>101</v>
      </c>
      <c r="M569" s="3"/>
    </row>
    <row r="570" spans="1:13" x14ac:dyDescent="0.3">
      <c r="A570" s="2">
        <v>569</v>
      </c>
      <c r="B570" s="2" t="s">
        <v>2073</v>
      </c>
      <c r="C570" s="2" t="s">
        <v>2074</v>
      </c>
      <c r="D570" s="2" t="s">
        <v>28</v>
      </c>
      <c r="E570" s="2" t="s">
        <v>29</v>
      </c>
      <c r="F570" s="2">
        <v>30</v>
      </c>
      <c r="G570" s="2" t="s">
        <v>2075</v>
      </c>
      <c r="H570" s="2" t="s">
        <v>2076</v>
      </c>
      <c r="I570" s="2" t="s">
        <v>2077</v>
      </c>
      <c r="J570" s="3">
        <v>44521</v>
      </c>
      <c r="K570" s="2">
        <v>43</v>
      </c>
      <c r="L570" s="2" t="s">
        <v>70</v>
      </c>
      <c r="M570" s="3"/>
    </row>
    <row r="571" spans="1:13" x14ac:dyDescent="0.3">
      <c r="A571" s="2">
        <v>570</v>
      </c>
      <c r="B571" s="2" t="s">
        <v>2078</v>
      </c>
      <c r="C571" s="2" t="s">
        <v>1656</v>
      </c>
      <c r="D571" s="2" t="s">
        <v>28</v>
      </c>
      <c r="E571" s="2" t="s">
        <v>29</v>
      </c>
      <c r="F571" s="2">
        <v>60</v>
      </c>
      <c r="G571" s="2" t="s">
        <v>2079</v>
      </c>
      <c r="H571" s="2" t="s">
        <v>2080</v>
      </c>
      <c r="I571" s="2" t="s">
        <v>124</v>
      </c>
      <c r="J571" s="3">
        <v>44162</v>
      </c>
      <c r="K571" s="2">
        <v>57</v>
      </c>
      <c r="L571" s="2" t="s">
        <v>33</v>
      </c>
      <c r="M571" s="3"/>
    </row>
    <row r="572" spans="1:13" x14ac:dyDescent="0.3">
      <c r="A572" s="2">
        <v>571</v>
      </c>
      <c r="B572" s="2" t="s">
        <v>2081</v>
      </c>
      <c r="C572" s="2" t="s">
        <v>2082</v>
      </c>
      <c r="D572" s="2" t="s">
        <v>15</v>
      </c>
      <c r="E572" s="2" t="s">
        <v>16</v>
      </c>
      <c r="F572" s="2">
        <v>90</v>
      </c>
      <c r="G572" s="2" t="s">
        <v>2083</v>
      </c>
      <c r="H572" s="2" t="s">
        <v>2084</v>
      </c>
      <c r="I572" s="2" t="s">
        <v>294</v>
      </c>
      <c r="J572" s="3">
        <v>44621</v>
      </c>
      <c r="K572" s="2">
        <v>25</v>
      </c>
      <c r="L572" s="2" t="s">
        <v>33</v>
      </c>
      <c r="M572" s="3"/>
    </row>
    <row r="573" spans="1:13" x14ac:dyDescent="0.3">
      <c r="A573" s="2">
        <v>572</v>
      </c>
      <c r="B573" s="2" t="s">
        <v>1147</v>
      </c>
      <c r="C573" s="2" t="s">
        <v>367</v>
      </c>
      <c r="D573" s="2" t="s">
        <v>28</v>
      </c>
      <c r="E573" s="2" t="s">
        <v>29</v>
      </c>
      <c r="F573" s="2">
        <v>90</v>
      </c>
      <c r="G573" s="2" t="s">
        <v>2085</v>
      </c>
      <c r="H573" s="2" t="s">
        <v>405</v>
      </c>
      <c r="I573" s="2" t="s">
        <v>32</v>
      </c>
      <c r="J573" s="3">
        <v>44815</v>
      </c>
      <c r="K573" s="2">
        <v>59</v>
      </c>
      <c r="L573" s="2" t="s">
        <v>39</v>
      </c>
      <c r="M573" s="3"/>
    </row>
    <row r="574" spans="1:13" x14ac:dyDescent="0.3">
      <c r="A574" s="2">
        <v>573</v>
      </c>
      <c r="B574" s="2" t="s">
        <v>2086</v>
      </c>
      <c r="C574" s="2" t="s">
        <v>1554</v>
      </c>
      <c r="D574" s="2" t="s">
        <v>28</v>
      </c>
      <c r="E574" s="2" t="s">
        <v>29</v>
      </c>
      <c r="F574" s="2">
        <v>90</v>
      </c>
      <c r="G574" s="2" t="s">
        <v>2087</v>
      </c>
      <c r="H574" s="2" t="s">
        <v>579</v>
      </c>
      <c r="I574" s="2" t="s">
        <v>32</v>
      </c>
      <c r="J574" s="3">
        <v>44559</v>
      </c>
      <c r="K574" s="2">
        <v>65</v>
      </c>
      <c r="L574" s="2" t="s">
        <v>159</v>
      </c>
      <c r="M574" s="3"/>
    </row>
    <row r="575" spans="1:13" x14ac:dyDescent="0.3">
      <c r="A575" s="2">
        <v>574</v>
      </c>
      <c r="B575" s="2" t="s">
        <v>2088</v>
      </c>
      <c r="C575" s="2" t="s">
        <v>2089</v>
      </c>
      <c r="D575" s="2" t="s">
        <v>28</v>
      </c>
      <c r="E575" s="2" t="s">
        <v>29</v>
      </c>
      <c r="F575" s="2">
        <v>60</v>
      </c>
      <c r="G575" s="2" t="s">
        <v>2090</v>
      </c>
      <c r="H575" s="2" t="s">
        <v>63</v>
      </c>
      <c r="I575" s="2" t="s">
        <v>32</v>
      </c>
      <c r="J575" s="3">
        <v>44104</v>
      </c>
      <c r="K575" s="2">
        <v>84</v>
      </c>
      <c r="L575" s="2" t="s">
        <v>159</v>
      </c>
      <c r="M575" s="3"/>
    </row>
    <row r="576" spans="1:13" x14ac:dyDescent="0.3">
      <c r="A576" s="2">
        <v>575</v>
      </c>
      <c r="B576" s="2" t="s">
        <v>1296</v>
      </c>
      <c r="C576" s="2" t="s">
        <v>2091</v>
      </c>
      <c r="D576" s="2" t="s">
        <v>28</v>
      </c>
      <c r="E576" s="2" t="s">
        <v>29</v>
      </c>
      <c r="F576" s="2">
        <v>90</v>
      </c>
      <c r="G576" s="2" t="s">
        <v>2092</v>
      </c>
      <c r="H576" s="2" t="s">
        <v>2093</v>
      </c>
      <c r="I576" s="2" t="s">
        <v>32</v>
      </c>
      <c r="J576" s="3">
        <v>44150</v>
      </c>
      <c r="K576" s="2">
        <v>32</v>
      </c>
      <c r="L576" s="2" t="s">
        <v>101</v>
      </c>
      <c r="M576" s="3"/>
    </row>
    <row r="577" spans="1:13" x14ac:dyDescent="0.3">
      <c r="A577" s="2">
        <v>576</v>
      </c>
      <c r="B577" s="2" t="s">
        <v>2094</v>
      </c>
      <c r="C577" s="2" t="s">
        <v>2095</v>
      </c>
      <c r="D577" s="2" t="s">
        <v>51</v>
      </c>
      <c r="E577" s="2" t="s">
        <v>16</v>
      </c>
      <c r="F577" s="2">
        <v>30</v>
      </c>
      <c r="G577" s="2" t="s">
        <v>2096</v>
      </c>
      <c r="H577" s="2" t="s">
        <v>2097</v>
      </c>
      <c r="I577" s="2" t="s">
        <v>178</v>
      </c>
      <c r="J577" s="3">
        <v>44414</v>
      </c>
      <c r="K577" s="2">
        <v>16</v>
      </c>
      <c r="L577" s="2" t="s">
        <v>33</v>
      </c>
      <c r="M577" s="3"/>
    </row>
    <row r="578" spans="1:13" x14ac:dyDescent="0.3">
      <c r="A578" s="2">
        <v>577</v>
      </c>
      <c r="B578" s="2" t="s">
        <v>2098</v>
      </c>
      <c r="C578" s="2" t="s">
        <v>629</v>
      </c>
      <c r="D578" s="2" t="s">
        <v>28</v>
      </c>
      <c r="E578" s="2" t="s">
        <v>29</v>
      </c>
      <c r="F578" s="2">
        <v>90</v>
      </c>
      <c r="G578" s="2" t="s">
        <v>2099</v>
      </c>
      <c r="H578" s="2" t="s">
        <v>2100</v>
      </c>
      <c r="I578" s="2" t="s">
        <v>819</v>
      </c>
      <c r="J578" s="3">
        <v>44524</v>
      </c>
      <c r="K578" s="2">
        <v>33</v>
      </c>
      <c r="L578" s="2" t="s">
        <v>54</v>
      </c>
      <c r="M578" s="3"/>
    </row>
    <row r="579" spans="1:13" x14ac:dyDescent="0.3">
      <c r="A579" s="2">
        <v>578</v>
      </c>
      <c r="B579" s="2" t="s">
        <v>2101</v>
      </c>
      <c r="C579" s="2" t="s">
        <v>705</v>
      </c>
      <c r="D579" s="2" t="s">
        <v>28</v>
      </c>
      <c r="E579" s="2" t="s">
        <v>29</v>
      </c>
      <c r="F579" s="2">
        <v>90</v>
      </c>
      <c r="G579" s="2" t="s">
        <v>2102</v>
      </c>
      <c r="H579" s="2" t="s">
        <v>498</v>
      </c>
      <c r="I579" s="2" t="s">
        <v>32</v>
      </c>
      <c r="J579" s="3">
        <v>44795</v>
      </c>
      <c r="K579" s="2">
        <v>44</v>
      </c>
      <c r="L579" s="2" t="s">
        <v>101</v>
      </c>
      <c r="M579" s="3"/>
    </row>
    <row r="580" spans="1:13" x14ac:dyDescent="0.3">
      <c r="A580" s="2">
        <v>579</v>
      </c>
      <c r="B580" s="2" t="s">
        <v>2103</v>
      </c>
      <c r="C580" s="2" t="s">
        <v>589</v>
      </c>
      <c r="D580" s="2" t="s">
        <v>51</v>
      </c>
      <c r="E580" s="2" t="s">
        <v>16</v>
      </c>
      <c r="F580" s="2">
        <v>60</v>
      </c>
      <c r="G580" s="2" t="s">
        <v>2104</v>
      </c>
      <c r="H580" s="2" t="s">
        <v>2105</v>
      </c>
      <c r="I580" s="2" t="s">
        <v>110</v>
      </c>
      <c r="J580" s="3">
        <v>44320</v>
      </c>
      <c r="K580" s="2">
        <v>88</v>
      </c>
      <c r="L580" s="2" t="s">
        <v>159</v>
      </c>
      <c r="M580" s="3"/>
    </row>
    <row r="581" spans="1:13" x14ac:dyDescent="0.3">
      <c r="A581" s="2">
        <v>580</v>
      </c>
      <c r="B581" s="2" t="s">
        <v>2106</v>
      </c>
      <c r="C581" s="2" t="s">
        <v>2107</v>
      </c>
      <c r="D581" s="2" t="s">
        <v>28</v>
      </c>
      <c r="E581" s="2" t="s">
        <v>29</v>
      </c>
      <c r="F581" s="2">
        <v>60</v>
      </c>
      <c r="G581" s="2" t="s">
        <v>2108</v>
      </c>
      <c r="H581" s="2" t="s">
        <v>2109</v>
      </c>
      <c r="I581" s="2" t="s">
        <v>32</v>
      </c>
      <c r="J581" s="3">
        <v>44674</v>
      </c>
      <c r="K581" s="2">
        <v>70</v>
      </c>
      <c r="L581" s="2" t="s">
        <v>101</v>
      </c>
      <c r="M581" s="3"/>
    </row>
    <row r="582" spans="1:13" x14ac:dyDescent="0.3">
      <c r="A582" s="2">
        <v>581</v>
      </c>
      <c r="B582" s="2" t="s">
        <v>2110</v>
      </c>
      <c r="C582" s="2" t="s">
        <v>1703</v>
      </c>
      <c r="D582" s="2" t="s">
        <v>28</v>
      </c>
      <c r="E582" s="2" t="s">
        <v>29</v>
      </c>
      <c r="F582" s="2">
        <v>60</v>
      </c>
      <c r="G582" s="2" t="s">
        <v>2111</v>
      </c>
      <c r="H582" s="2" t="s">
        <v>48</v>
      </c>
      <c r="I582" s="2" t="s">
        <v>25</v>
      </c>
      <c r="J582" s="3">
        <v>44785</v>
      </c>
      <c r="K582" s="2">
        <v>42</v>
      </c>
      <c r="L582" s="2" t="s">
        <v>33</v>
      </c>
      <c r="M582" s="3"/>
    </row>
    <row r="583" spans="1:13" x14ac:dyDescent="0.3">
      <c r="A583" s="2">
        <v>582</v>
      </c>
      <c r="B583" s="2" t="s">
        <v>2112</v>
      </c>
      <c r="C583" s="2" t="s">
        <v>2113</v>
      </c>
      <c r="D583" s="2" t="s">
        <v>51</v>
      </c>
      <c r="E583" s="2" t="s">
        <v>16</v>
      </c>
      <c r="F583" s="2">
        <v>90</v>
      </c>
      <c r="G583" s="2" t="s">
        <v>2114</v>
      </c>
      <c r="H583" s="2" t="s">
        <v>105</v>
      </c>
      <c r="I583" s="2" t="s">
        <v>32</v>
      </c>
      <c r="J583" s="3">
        <v>44894</v>
      </c>
      <c r="K583" s="2">
        <v>100</v>
      </c>
      <c r="L583" s="2" t="s">
        <v>54</v>
      </c>
      <c r="M583" s="3"/>
    </row>
    <row r="584" spans="1:13" x14ac:dyDescent="0.3">
      <c r="A584" s="2">
        <v>583</v>
      </c>
      <c r="B584" s="2" t="s">
        <v>2115</v>
      </c>
      <c r="C584" s="2" t="s">
        <v>1596</v>
      </c>
      <c r="D584" s="2" t="s">
        <v>117</v>
      </c>
      <c r="E584" s="2" t="s">
        <v>29</v>
      </c>
      <c r="F584" s="2">
        <v>90</v>
      </c>
      <c r="G584" s="2" t="s">
        <v>2116</v>
      </c>
      <c r="H584" s="2" t="s">
        <v>2117</v>
      </c>
      <c r="I584" s="2" t="s">
        <v>886</v>
      </c>
      <c r="J584" s="3">
        <v>43921</v>
      </c>
      <c r="K584" s="2">
        <v>65</v>
      </c>
      <c r="L584" s="2" t="s">
        <v>80</v>
      </c>
      <c r="M584" s="3"/>
    </row>
    <row r="585" spans="1:13" x14ac:dyDescent="0.3">
      <c r="A585" s="2">
        <v>584</v>
      </c>
      <c r="B585" s="2" t="s">
        <v>2118</v>
      </c>
      <c r="C585" s="2" t="s">
        <v>2119</v>
      </c>
      <c r="D585" s="2" t="s">
        <v>28</v>
      </c>
      <c r="E585" s="2" t="s">
        <v>29</v>
      </c>
      <c r="F585" s="2">
        <v>30</v>
      </c>
      <c r="G585" s="2" t="s">
        <v>2120</v>
      </c>
      <c r="H585" s="2" t="s">
        <v>2121</v>
      </c>
      <c r="I585" s="2" t="s">
        <v>38</v>
      </c>
      <c r="J585" s="3">
        <v>44427</v>
      </c>
      <c r="K585" s="2">
        <v>7</v>
      </c>
      <c r="L585" s="2" t="s">
        <v>45</v>
      </c>
      <c r="M585" s="3"/>
    </row>
    <row r="586" spans="1:13" x14ac:dyDescent="0.3">
      <c r="A586" s="2">
        <v>585</v>
      </c>
      <c r="B586" s="2" t="s">
        <v>1423</v>
      </c>
      <c r="C586" s="2" t="s">
        <v>139</v>
      </c>
      <c r="D586" s="2" t="s">
        <v>51</v>
      </c>
      <c r="E586" s="2" t="s">
        <v>16</v>
      </c>
      <c r="F586" s="2">
        <v>90</v>
      </c>
      <c r="G586" s="2" t="s">
        <v>2122</v>
      </c>
      <c r="H586" s="2" t="s">
        <v>2123</v>
      </c>
      <c r="I586" s="2" t="s">
        <v>187</v>
      </c>
      <c r="J586" s="3">
        <v>44463</v>
      </c>
      <c r="K586" s="2">
        <v>46</v>
      </c>
      <c r="L586" s="2" t="s">
        <v>101</v>
      </c>
      <c r="M586" s="3"/>
    </row>
    <row r="587" spans="1:13" x14ac:dyDescent="0.3">
      <c r="A587" s="2">
        <v>586</v>
      </c>
      <c r="B587" s="2" t="s">
        <v>2124</v>
      </c>
      <c r="C587" s="2" t="s">
        <v>2125</v>
      </c>
      <c r="D587" s="2" t="s">
        <v>15</v>
      </c>
      <c r="E587" s="2" t="s">
        <v>16</v>
      </c>
      <c r="F587" s="2">
        <v>30</v>
      </c>
      <c r="G587" s="2" t="s">
        <v>2126</v>
      </c>
      <c r="H587" s="2" t="s">
        <v>2127</v>
      </c>
      <c r="I587" s="2" t="s">
        <v>32</v>
      </c>
      <c r="J587" s="3">
        <v>44853</v>
      </c>
      <c r="K587" s="2">
        <v>86</v>
      </c>
      <c r="L587" s="2" t="s">
        <v>64</v>
      </c>
      <c r="M587" s="3"/>
    </row>
    <row r="588" spans="1:13" x14ac:dyDescent="0.3">
      <c r="A588" s="2">
        <v>587</v>
      </c>
      <c r="B588" s="2" t="s">
        <v>2128</v>
      </c>
      <c r="C588" s="2" t="s">
        <v>1496</v>
      </c>
      <c r="D588" s="2" t="s">
        <v>28</v>
      </c>
      <c r="E588" s="2" t="s">
        <v>29</v>
      </c>
      <c r="F588" s="2">
        <v>90</v>
      </c>
      <c r="G588" s="2" t="s">
        <v>2129</v>
      </c>
      <c r="H588" s="2" t="s">
        <v>2130</v>
      </c>
      <c r="I588" s="2" t="s">
        <v>32</v>
      </c>
      <c r="J588" s="3">
        <v>44166</v>
      </c>
      <c r="K588" s="2">
        <v>45</v>
      </c>
      <c r="L588" s="2" t="s">
        <v>39</v>
      </c>
      <c r="M588" s="3"/>
    </row>
    <row r="589" spans="1:13" x14ac:dyDescent="0.3">
      <c r="A589" s="2">
        <v>588</v>
      </c>
      <c r="B589" s="2" t="s">
        <v>2131</v>
      </c>
      <c r="C589" s="2" t="s">
        <v>2132</v>
      </c>
      <c r="D589" s="2" t="s">
        <v>15</v>
      </c>
      <c r="E589" s="2" t="s">
        <v>16</v>
      </c>
      <c r="F589" s="2">
        <v>30</v>
      </c>
      <c r="G589" s="2" t="s">
        <v>2129</v>
      </c>
      <c r="H589" s="2" t="s">
        <v>2133</v>
      </c>
      <c r="I589" s="2" t="s">
        <v>32</v>
      </c>
      <c r="J589" s="3">
        <v>44762</v>
      </c>
      <c r="K589" s="2">
        <v>15</v>
      </c>
      <c r="L589" s="2" t="s">
        <v>64</v>
      </c>
      <c r="M589" s="3"/>
    </row>
    <row r="590" spans="1:13" x14ac:dyDescent="0.3">
      <c r="A590" s="2">
        <v>589</v>
      </c>
      <c r="B590" s="2" t="s">
        <v>2134</v>
      </c>
      <c r="C590" s="2" t="s">
        <v>2135</v>
      </c>
      <c r="D590" s="2" t="s">
        <v>15</v>
      </c>
      <c r="E590" s="2" t="s">
        <v>16</v>
      </c>
      <c r="F590" s="2">
        <v>30</v>
      </c>
      <c r="G590" s="2" t="s">
        <v>2136</v>
      </c>
      <c r="H590" s="2" t="s">
        <v>2137</v>
      </c>
      <c r="I590" s="2" t="s">
        <v>187</v>
      </c>
      <c r="J590" s="3">
        <v>44860</v>
      </c>
      <c r="K590" s="2">
        <v>103</v>
      </c>
      <c r="L590" s="2" t="s">
        <v>20</v>
      </c>
      <c r="M590" s="3"/>
    </row>
    <row r="591" spans="1:13" x14ac:dyDescent="0.3">
      <c r="A591" s="2">
        <v>590</v>
      </c>
      <c r="B591" s="2" t="s">
        <v>2138</v>
      </c>
      <c r="C591" s="2" t="s">
        <v>2139</v>
      </c>
      <c r="D591" s="2" t="s">
        <v>28</v>
      </c>
      <c r="E591" s="2" t="s">
        <v>29</v>
      </c>
      <c r="F591" s="2">
        <v>60</v>
      </c>
      <c r="G591" s="2" t="s">
        <v>2140</v>
      </c>
      <c r="H591" s="2" t="s">
        <v>2141</v>
      </c>
      <c r="I591" s="2" t="s">
        <v>1078</v>
      </c>
      <c r="J591" s="3">
        <v>43989</v>
      </c>
      <c r="K591" s="2">
        <v>12</v>
      </c>
      <c r="L591" s="2" t="s">
        <v>80</v>
      </c>
      <c r="M591" s="3"/>
    </row>
    <row r="592" spans="1:13" x14ac:dyDescent="0.3">
      <c r="A592" s="2">
        <v>591</v>
      </c>
      <c r="B592" s="2" t="s">
        <v>2142</v>
      </c>
      <c r="C592" s="2" t="s">
        <v>2143</v>
      </c>
      <c r="D592" s="2" t="s">
        <v>28</v>
      </c>
      <c r="E592" s="2" t="s">
        <v>29</v>
      </c>
      <c r="F592" s="2">
        <v>30</v>
      </c>
      <c r="G592" s="2" t="s">
        <v>2144</v>
      </c>
      <c r="H592" s="2" t="s">
        <v>1077</v>
      </c>
      <c r="I592" s="2" t="s">
        <v>1078</v>
      </c>
      <c r="J592" s="3">
        <v>43953</v>
      </c>
      <c r="K592" s="2">
        <v>56</v>
      </c>
      <c r="L592" s="2" t="s">
        <v>101</v>
      </c>
      <c r="M592" s="3"/>
    </row>
    <row r="593" spans="1:13" x14ac:dyDescent="0.3">
      <c r="A593" s="2">
        <v>592</v>
      </c>
      <c r="B593" s="2" t="s">
        <v>755</v>
      </c>
      <c r="C593" s="2" t="s">
        <v>2145</v>
      </c>
      <c r="D593" s="2" t="s">
        <v>28</v>
      </c>
      <c r="E593" s="2" t="s">
        <v>29</v>
      </c>
      <c r="F593" s="2">
        <v>30</v>
      </c>
      <c r="G593" s="2" t="s">
        <v>2146</v>
      </c>
      <c r="H593" s="2" t="s">
        <v>1512</v>
      </c>
      <c r="I593" s="2" t="s">
        <v>25</v>
      </c>
      <c r="J593" s="3">
        <v>44726</v>
      </c>
      <c r="K593" s="2">
        <v>31</v>
      </c>
      <c r="L593" s="2" t="s">
        <v>70</v>
      </c>
      <c r="M593" s="3"/>
    </row>
    <row r="594" spans="1:13" x14ac:dyDescent="0.3">
      <c r="A594" s="2">
        <v>593</v>
      </c>
      <c r="B594" s="2" t="s">
        <v>2147</v>
      </c>
      <c r="C594" s="2" t="s">
        <v>2148</v>
      </c>
      <c r="D594" s="2" t="s">
        <v>28</v>
      </c>
      <c r="E594" s="2" t="s">
        <v>29</v>
      </c>
      <c r="F594" s="2">
        <v>30</v>
      </c>
      <c r="G594" s="2" t="s">
        <v>2149</v>
      </c>
      <c r="H594" s="2" t="s">
        <v>1855</v>
      </c>
      <c r="I594" s="2" t="s">
        <v>25</v>
      </c>
      <c r="J594" s="3">
        <v>44620</v>
      </c>
      <c r="K594" s="2">
        <v>58</v>
      </c>
      <c r="L594" s="2" t="s">
        <v>45</v>
      </c>
      <c r="M594" s="3"/>
    </row>
    <row r="595" spans="1:13" x14ac:dyDescent="0.3">
      <c r="A595" s="2">
        <v>594</v>
      </c>
      <c r="B595" s="2" t="s">
        <v>2150</v>
      </c>
      <c r="C595" s="2" t="s">
        <v>1471</v>
      </c>
      <c r="D595" s="2" t="s">
        <v>117</v>
      </c>
      <c r="E595" s="2" t="s">
        <v>16</v>
      </c>
      <c r="F595" s="2">
        <v>30</v>
      </c>
      <c r="G595" s="2" t="s">
        <v>2151</v>
      </c>
      <c r="H595" s="2" t="s">
        <v>2152</v>
      </c>
      <c r="I595" s="2" t="s">
        <v>32</v>
      </c>
      <c r="J595" s="3">
        <v>43936</v>
      </c>
      <c r="K595" s="2">
        <v>62</v>
      </c>
      <c r="L595" s="2" t="s">
        <v>159</v>
      </c>
      <c r="M595" s="3"/>
    </row>
    <row r="596" spans="1:13" x14ac:dyDescent="0.3">
      <c r="A596" s="2">
        <v>595</v>
      </c>
      <c r="B596" s="2" t="s">
        <v>2153</v>
      </c>
      <c r="C596" s="2" t="s">
        <v>2154</v>
      </c>
      <c r="D596" s="2" t="s">
        <v>28</v>
      </c>
      <c r="E596" s="2" t="s">
        <v>29</v>
      </c>
      <c r="F596" s="2">
        <v>60</v>
      </c>
      <c r="G596" s="2" t="s">
        <v>2155</v>
      </c>
      <c r="H596" s="2" t="s">
        <v>2156</v>
      </c>
      <c r="I596" s="2" t="s">
        <v>32</v>
      </c>
      <c r="J596" s="3">
        <v>44873</v>
      </c>
      <c r="K596" s="2">
        <v>67</v>
      </c>
      <c r="L596" s="2" t="s">
        <v>101</v>
      </c>
      <c r="M596" s="3"/>
    </row>
    <row r="597" spans="1:13" x14ac:dyDescent="0.3">
      <c r="A597" s="2">
        <v>596</v>
      </c>
      <c r="B597" s="2" t="s">
        <v>2157</v>
      </c>
      <c r="C597" s="2" t="s">
        <v>2158</v>
      </c>
      <c r="D597" s="2" t="s">
        <v>15</v>
      </c>
      <c r="E597" s="2" t="s">
        <v>16</v>
      </c>
      <c r="F597" s="2">
        <v>90</v>
      </c>
      <c r="G597" s="2" t="s">
        <v>2159</v>
      </c>
      <c r="H597" s="2" t="s">
        <v>912</v>
      </c>
      <c r="I597" s="2" t="s">
        <v>913</v>
      </c>
      <c r="J597" s="3">
        <v>44242</v>
      </c>
      <c r="K597" s="2">
        <v>87</v>
      </c>
      <c r="L597" s="2" t="s">
        <v>70</v>
      </c>
      <c r="M597" s="3"/>
    </row>
    <row r="598" spans="1:13" x14ac:dyDescent="0.3">
      <c r="A598" s="2">
        <v>597</v>
      </c>
      <c r="B598" s="2" t="s">
        <v>2160</v>
      </c>
      <c r="C598" s="2" t="s">
        <v>2161</v>
      </c>
      <c r="D598" s="2" t="s">
        <v>51</v>
      </c>
      <c r="E598" s="2" t="s">
        <v>16</v>
      </c>
      <c r="F598" s="2">
        <v>30</v>
      </c>
      <c r="G598" s="2" t="s">
        <v>2162</v>
      </c>
      <c r="H598" s="2" t="s">
        <v>2163</v>
      </c>
      <c r="I598" s="2" t="s">
        <v>1824</v>
      </c>
      <c r="J598" s="3">
        <v>44223</v>
      </c>
      <c r="K598" s="2">
        <v>24</v>
      </c>
      <c r="L598" s="2" t="s">
        <v>64</v>
      </c>
      <c r="M598" s="3"/>
    </row>
    <row r="599" spans="1:13" x14ac:dyDescent="0.3">
      <c r="A599" s="2">
        <v>598</v>
      </c>
      <c r="B599" s="2" t="s">
        <v>2164</v>
      </c>
      <c r="C599" s="2" t="s">
        <v>1913</v>
      </c>
      <c r="D599" s="2" t="s">
        <v>92</v>
      </c>
      <c r="E599" s="2" t="s">
        <v>16</v>
      </c>
      <c r="F599" s="2">
        <v>30</v>
      </c>
      <c r="G599" s="2" t="s">
        <v>2165</v>
      </c>
      <c r="H599" s="2" t="s">
        <v>1969</v>
      </c>
      <c r="I599" s="2" t="s">
        <v>32</v>
      </c>
      <c r="J599" s="3">
        <v>44821</v>
      </c>
      <c r="K599" s="2">
        <v>77</v>
      </c>
      <c r="L599" s="2" t="s">
        <v>54</v>
      </c>
      <c r="M599" s="3"/>
    </row>
    <row r="600" spans="1:13" x14ac:dyDescent="0.3">
      <c r="A600" s="2">
        <v>599</v>
      </c>
      <c r="B600" s="2" t="s">
        <v>2166</v>
      </c>
      <c r="C600" s="2" t="s">
        <v>2167</v>
      </c>
      <c r="D600" s="2" t="s">
        <v>28</v>
      </c>
      <c r="E600" s="2" t="s">
        <v>29</v>
      </c>
      <c r="F600" s="2">
        <v>60</v>
      </c>
      <c r="G600" s="2" t="s">
        <v>2168</v>
      </c>
      <c r="H600" s="2" t="s">
        <v>2169</v>
      </c>
      <c r="I600" s="2" t="s">
        <v>32</v>
      </c>
      <c r="J600" s="3">
        <v>44805</v>
      </c>
      <c r="K600" s="2">
        <v>65</v>
      </c>
      <c r="L600" s="2" t="s">
        <v>33</v>
      </c>
      <c r="M600" s="3"/>
    </row>
    <row r="601" spans="1:13" x14ac:dyDescent="0.3">
      <c r="A601" s="2">
        <v>600</v>
      </c>
      <c r="B601" s="2" t="s">
        <v>2170</v>
      </c>
      <c r="C601" s="2" t="s">
        <v>653</v>
      </c>
      <c r="D601" s="2" t="s">
        <v>15</v>
      </c>
      <c r="E601" s="2" t="s">
        <v>16</v>
      </c>
      <c r="F601" s="2">
        <v>90</v>
      </c>
      <c r="G601" s="2" t="s">
        <v>2171</v>
      </c>
      <c r="H601" s="2" t="s">
        <v>2172</v>
      </c>
      <c r="I601" s="2" t="s">
        <v>32</v>
      </c>
      <c r="J601" s="3">
        <v>44304</v>
      </c>
      <c r="K601" s="2">
        <v>6</v>
      </c>
      <c r="L601" s="2" t="s">
        <v>54</v>
      </c>
      <c r="M601" s="3"/>
    </row>
    <row r="602" spans="1:13" x14ac:dyDescent="0.3">
      <c r="A602" s="2">
        <v>601</v>
      </c>
      <c r="B602" s="2" t="s">
        <v>2173</v>
      </c>
      <c r="C602" s="2" t="s">
        <v>2174</v>
      </c>
      <c r="D602" s="2" t="s">
        <v>51</v>
      </c>
      <c r="E602" s="2" t="s">
        <v>16</v>
      </c>
      <c r="F602" s="2">
        <v>90</v>
      </c>
      <c r="G602" s="2" t="s">
        <v>2175</v>
      </c>
      <c r="H602" s="2" t="s">
        <v>1768</v>
      </c>
      <c r="I602" s="2" t="s">
        <v>32</v>
      </c>
      <c r="J602" s="3">
        <v>43884</v>
      </c>
      <c r="K602" s="2">
        <v>67</v>
      </c>
      <c r="L602" s="2" t="s">
        <v>54</v>
      </c>
      <c r="M602" s="3"/>
    </row>
    <row r="603" spans="1:13" x14ac:dyDescent="0.3">
      <c r="A603" s="2">
        <v>602</v>
      </c>
      <c r="B603" s="2" t="s">
        <v>2176</v>
      </c>
      <c r="C603" s="2" t="s">
        <v>2177</v>
      </c>
      <c r="D603" s="2" t="s">
        <v>15</v>
      </c>
      <c r="E603" s="2" t="s">
        <v>16</v>
      </c>
      <c r="F603" s="2">
        <v>60</v>
      </c>
      <c r="G603" s="2" t="s">
        <v>2178</v>
      </c>
      <c r="H603" s="2" t="s">
        <v>2179</v>
      </c>
      <c r="I603" s="2" t="s">
        <v>294</v>
      </c>
      <c r="J603" s="3">
        <v>44045</v>
      </c>
      <c r="K603" s="2">
        <v>59</v>
      </c>
      <c r="L603" s="2" t="s">
        <v>33</v>
      </c>
      <c r="M603" s="3"/>
    </row>
    <row r="604" spans="1:13" x14ac:dyDescent="0.3">
      <c r="A604" s="2">
        <v>603</v>
      </c>
      <c r="B604" s="2" t="s">
        <v>2180</v>
      </c>
      <c r="C604" s="2" t="s">
        <v>2181</v>
      </c>
      <c r="D604" s="2" t="s">
        <v>51</v>
      </c>
      <c r="E604" s="2" t="s">
        <v>16</v>
      </c>
      <c r="F604" s="2">
        <v>60</v>
      </c>
      <c r="G604" s="2" t="s">
        <v>2182</v>
      </c>
      <c r="H604" s="2" t="s">
        <v>2183</v>
      </c>
      <c r="I604" s="2" t="s">
        <v>124</v>
      </c>
      <c r="J604" s="3">
        <v>44234</v>
      </c>
      <c r="K604" s="2">
        <v>35</v>
      </c>
      <c r="L604" s="2" t="s">
        <v>64</v>
      </c>
      <c r="M604" s="3"/>
    </row>
    <row r="605" spans="1:13" x14ac:dyDescent="0.3">
      <c r="A605" s="2">
        <v>604</v>
      </c>
      <c r="B605" s="2" t="s">
        <v>2184</v>
      </c>
      <c r="C605" s="2" t="s">
        <v>812</v>
      </c>
      <c r="D605" s="2" t="s">
        <v>28</v>
      </c>
      <c r="E605" s="2" t="s">
        <v>29</v>
      </c>
      <c r="F605" s="2">
        <v>90</v>
      </c>
      <c r="G605" s="2" t="s">
        <v>2185</v>
      </c>
      <c r="H605" s="2" t="s">
        <v>2186</v>
      </c>
      <c r="I605" s="2" t="s">
        <v>187</v>
      </c>
      <c r="J605" s="3">
        <v>44176</v>
      </c>
      <c r="K605" s="2">
        <v>56</v>
      </c>
      <c r="L605" s="2" t="s">
        <v>20</v>
      </c>
      <c r="M605" s="3"/>
    </row>
    <row r="606" spans="1:13" x14ac:dyDescent="0.3">
      <c r="A606" s="2">
        <v>605</v>
      </c>
      <c r="B606" s="2" t="s">
        <v>2187</v>
      </c>
      <c r="C606" s="2" t="s">
        <v>2089</v>
      </c>
      <c r="D606" s="2" t="s">
        <v>51</v>
      </c>
      <c r="E606" s="2" t="s">
        <v>16</v>
      </c>
      <c r="F606" s="2">
        <v>60</v>
      </c>
      <c r="G606" s="2" t="s">
        <v>2185</v>
      </c>
      <c r="H606" s="2" t="s">
        <v>690</v>
      </c>
      <c r="I606" s="2" t="s">
        <v>32</v>
      </c>
      <c r="J606" s="3">
        <v>44856</v>
      </c>
      <c r="K606" s="2">
        <v>104</v>
      </c>
      <c r="L606" s="2" t="s">
        <v>39</v>
      </c>
      <c r="M606" s="3"/>
    </row>
    <row r="607" spans="1:13" x14ac:dyDescent="0.3">
      <c r="A607" s="2">
        <v>606</v>
      </c>
      <c r="B607" s="2" t="s">
        <v>249</v>
      </c>
      <c r="C607" s="2" t="s">
        <v>2188</v>
      </c>
      <c r="D607" s="2" t="s">
        <v>51</v>
      </c>
      <c r="E607" s="2" t="s">
        <v>16</v>
      </c>
      <c r="F607" s="2">
        <v>90</v>
      </c>
      <c r="G607" s="2" t="s">
        <v>2189</v>
      </c>
      <c r="H607" s="2" t="s">
        <v>2121</v>
      </c>
      <c r="I607" s="2" t="s">
        <v>38</v>
      </c>
      <c r="J607" s="3">
        <v>44102</v>
      </c>
      <c r="K607" s="2">
        <v>51</v>
      </c>
      <c r="L607" s="2" t="s">
        <v>54</v>
      </c>
      <c r="M607" s="3"/>
    </row>
    <row r="608" spans="1:13" x14ac:dyDescent="0.3">
      <c r="A608" s="2">
        <v>607</v>
      </c>
      <c r="B608" s="2" t="s">
        <v>1991</v>
      </c>
      <c r="C608" s="2" t="s">
        <v>655</v>
      </c>
      <c r="D608" s="2" t="s">
        <v>28</v>
      </c>
      <c r="E608" s="2" t="s">
        <v>29</v>
      </c>
      <c r="F608" s="2">
        <v>60</v>
      </c>
      <c r="G608" s="2" t="s">
        <v>2189</v>
      </c>
      <c r="H608" s="2" t="s">
        <v>2190</v>
      </c>
      <c r="I608" s="2" t="s">
        <v>32</v>
      </c>
      <c r="J608" s="3">
        <v>44185</v>
      </c>
      <c r="K608" s="2">
        <v>64</v>
      </c>
      <c r="L608" s="2" t="s">
        <v>39</v>
      </c>
      <c r="M608" s="3"/>
    </row>
    <row r="609" spans="1:13" x14ac:dyDescent="0.3">
      <c r="A609" s="2">
        <v>608</v>
      </c>
      <c r="B609" s="2" t="s">
        <v>2191</v>
      </c>
      <c r="C609" s="2" t="s">
        <v>770</v>
      </c>
      <c r="D609" s="2" t="s">
        <v>28</v>
      </c>
      <c r="E609" s="2" t="s">
        <v>29</v>
      </c>
      <c r="F609" s="2">
        <v>30</v>
      </c>
      <c r="G609" s="2" t="s">
        <v>2192</v>
      </c>
      <c r="H609" s="2" t="s">
        <v>177</v>
      </c>
      <c r="I609" s="2" t="s">
        <v>178</v>
      </c>
      <c r="J609" s="3">
        <v>44016</v>
      </c>
      <c r="K609" s="2">
        <v>49</v>
      </c>
      <c r="L609" s="2" t="s">
        <v>159</v>
      </c>
      <c r="M609" s="3"/>
    </row>
    <row r="610" spans="1:13" x14ac:dyDescent="0.3">
      <c r="A610" s="2">
        <v>609</v>
      </c>
      <c r="B610" s="2" t="s">
        <v>650</v>
      </c>
      <c r="C610" s="2" t="s">
        <v>1773</v>
      </c>
      <c r="D610" s="2" t="s">
        <v>51</v>
      </c>
      <c r="E610" s="2" t="s">
        <v>16</v>
      </c>
      <c r="F610" s="2">
        <v>60</v>
      </c>
      <c r="G610" s="2" t="s">
        <v>2193</v>
      </c>
      <c r="H610" s="2" t="s">
        <v>2194</v>
      </c>
      <c r="I610" s="2" t="s">
        <v>32</v>
      </c>
      <c r="J610" s="3">
        <v>43881</v>
      </c>
      <c r="K610" s="2">
        <v>53</v>
      </c>
      <c r="L610" s="2" t="s">
        <v>39</v>
      </c>
      <c r="M610" s="3"/>
    </row>
    <row r="611" spans="1:13" x14ac:dyDescent="0.3">
      <c r="A611" s="2">
        <v>610</v>
      </c>
      <c r="B611" s="2" t="s">
        <v>85</v>
      </c>
      <c r="C611" s="2" t="s">
        <v>2195</v>
      </c>
      <c r="D611" s="2" t="s">
        <v>28</v>
      </c>
      <c r="E611" s="2" t="s">
        <v>29</v>
      </c>
      <c r="F611" s="2">
        <v>90</v>
      </c>
      <c r="G611" s="2" t="s">
        <v>2196</v>
      </c>
      <c r="H611" s="2" t="s">
        <v>2021</v>
      </c>
      <c r="I611" s="2" t="s">
        <v>2022</v>
      </c>
      <c r="J611" s="3">
        <v>44761</v>
      </c>
      <c r="K611" s="2">
        <v>100</v>
      </c>
      <c r="L611" s="2" t="s">
        <v>20</v>
      </c>
      <c r="M611" s="3"/>
    </row>
    <row r="612" spans="1:13" x14ac:dyDescent="0.3">
      <c r="A612" s="2">
        <v>611</v>
      </c>
      <c r="B612" s="2" t="s">
        <v>2197</v>
      </c>
      <c r="C612" s="2" t="s">
        <v>2198</v>
      </c>
      <c r="D612" s="2" t="s">
        <v>28</v>
      </c>
      <c r="E612" s="2" t="s">
        <v>29</v>
      </c>
      <c r="F612" s="2">
        <v>90</v>
      </c>
      <c r="G612" s="2" t="s">
        <v>2196</v>
      </c>
      <c r="H612" s="2" t="s">
        <v>2199</v>
      </c>
      <c r="I612" s="2" t="s">
        <v>32</v>
      </c>
      <c r="J612" s="3">
        <v>43901</v>
      </c>
      <c r="K612" s="2">
        <v>57</v>
      </c>
      <c r="L612" s="2" t="s">
        <v>64</v>
      </c>
      <c r="M612" s="3"/>
    </row>
    <row r="613" spans="1:13" x14ac:dyDescent="0.3">
      <c r="A613" s="2">
        <v>612</v>
      </c>
      <c r="B613" s="2" t="s">
        <v>2200</v>
      </c>
      <c r="C613" s="2" t="s">
        <v>457</v>
      </c>
      <c r="D613" s="2" t="s">
        <v>28</v>
      </c>
      <c r="E613" s="2" t="s">
        <v>29</v>
      </c>
      <c r="F613" s="2">
        <v>60</v>
      </c>
      <c r="G613" s="2" t="s">
        <v>2201</v>
      </c>
      <c r="H613" s="2" t="s">
        <v>545</v>
      </c>
      <c r="I613" s="2" t="s">
        <v>173</v>
      </c>
      <c r="J613" s="3">
        <v>44419</v>
      </c>
      <c r="K613" s="2">
        <v>46</v>
      </c>
      <c r="L613" s="2" t="s">
        <v>64</v>
      </c>
      <c r="M613" s="3"/>
    </row>
    <row r="614" spans="1:13" x14ac:dyDescent="0.3">
      <c r="A614" s="2">
        <v>613</v>
      </c>
      <c r="B614" s="2" t="s">
        <v>2202</v>
      </c>
      <c r="C614" s="2" t="s">
        <v>2203</v>
      </c>
      <c r="D614" s="2" t="s">
        <v>92</v>
      </c>
      <c r="E614" s="2" t="s">
        <v>16</v>
      </c>
      <c r="F614" s="2">
        <v>30</v>
      </c>
      <c r="G614" s="2" t="s">
        <v>2204</v>
      </c>
      <c r="H614" s="2" t="s">
        <v>1583</v>
      </c>
      <c r="I614" s="2" t="s">
        <v>178</v>
      </c>
      <c r="J614" s="3">
        <v>44284</v>
      </c>
      <c r="K614" s="2">
        <v>34</v>
      </c>
      <c r="L614" s="2" t="s">
        <v>54</v>
      </c>
      <c r="M614" s="3"/>
    </row>
    <row r="615" spans="1:13" x14ac:dyDescent="0.3">
      <c r="A615" s="2">
        <v>614</v>
      </c>
      <c r="B615" s="2" t="s">
        <v>2205</v>
      </c>
      <c r="C615" s="2" t="s">
        <v>2198</v>
      </c>
      <c r="D615" s="2" t="s">
        <v>51</v>
      </c>
      <c r="E615" s="2" t="s">
        <v>16</v>
      </c>
      <c r="F615" s="2">
        <v>30</v>
      </c>
      <c r="G615" s="2" t="s">
        <v>2204</v>
      </c>
      <c r="H615" s="2" t="s">
        <v>1318</v>
      </c>
      <c r="I615" s="2" t="s">
        <v>32</v>
      </c>
      <c r="J615" s="3">
        <v>43882</v>
      </c>
      <c r="K615" s="2">
        <v>75</v>
      </c>
      <c r="L615" s="2" t="s">
        <v>39</v>
      </c>
      <c r="M615" s="3"/>
    </row>
    <row r="616" spans="1:13" x14ac:dyDescent="0.3">
      <c r="A616" s="2">
        <v>615</v>
      </c>
      <c r="B616" s="2" t="s">
        <v>2206</v>
      </c>
      <c r="C616" s="2" t="s">
        <v>2207</v>
      </c>
      <c r="D616" s="2" t="s">
        <v>28</v>
      </c>
      <c r="E616" s="2" t="s">
        <v>29</v>
      </c>
      <c r="F616" s="2">
        <v>30</v>
      </c>
      <c r="G616" s="2" t="s">
        <v>2208</v>
      </c>
      <c r="H616" s="2" t="s">
        <v>720</v>
      </c>
      <c r="I616" s="2" t="s">
        <v>686</v>
      </c>
      <c r="J616" s="3">
        <v>44774</v>
      </c>
      <c r="K616" s="2">
        <v>82</v>
      </c>
      <c r="L616" s="2" t="s">
        <v>80</v>
      </c>
      <c r="M616" s="3"/>
    </row>
    <row r="617" spans="1:13" x14ac:dyDescent="0.3">
      <c r="A617" s="2">
        <v>616</v>
      </c>
      <c r="B617" s="2" t="s">
        <v>2206</v>
      </c>
      <c r="C617" s="2" t="s">
        <v>2207</v>
      </c>
      <c r="D617" s="2" t="s">
        <v>28</v>
      </c>
      <c r="E617" s="2" t="s">
        <v>29</v>
      </c>
      <c r="F617" s="2">
        <v>30</v>
      </c>
      <c r="G617" s="2" t="s">
        <v>2208</v>
      </c>
      <c r="H617" s="2" t="s">
        <v>720</v>
      </c>
      <c r="I617" s="2" t="s">
        <v>686</v>
      </c>
      <c r="J617" s="3">
        <v>44774</v>
      </c>
      <c r="K617" s="2">
        <v>82</v>
      </c>
      <c r="L617" s="2" t="s">
        <v>80</v>
      </c>
      <c r="M617" s="3"/>
    </row>
    <row r="618" spans="1:13" x14ac:dyDescent="0.3">
      <c r="A618" s="2">
        <v>617</v>
      </c>
      <c r="B618" s="2" t="s">
        <v>2209</v>
      </c>
      <c r="C618" s="2" t="s">
        <v>2210</v>
      </c>
      <c r="D618" s="2" t="s">
        <v>28</v>
      </c>
      <c r="E618" s="2" t="s">
        <v>29</v>
      </c>
      <c r="F618" s="2">
        <v>30</v>
      </c>
      <c r="G618" s="2" t="s">
        <v>2211</v>
      </c>
      <c r="H618" s="2" t="s">
        <v>2212</v>
      </c>
      <c r="I618" s="2" t="s">
        <v>32</v>
      </c>
      <c r="J618" s="3">
        <v>43875</v>
      </c>
      <c r="K618" s="2">
        <v>25</v>
      </c>
      <c r="L618" s="2" t="s">
        <v>33</v>
      </c>
      <c r="M618" s="3"/>
    </row>
    <row r="619" spans="1:13" x14ac:dyDescent="0.3">
      <c r="A619" s="2">
        <v>618</v>
      </c>
      <c r="B619" s="2" t="s">
        <v>2213</v>
      </c>
      <c r="C619" s="2" t="s">
        <v>1985</v>
      </c>
      <c r="D619" s="2" t="s">
        <v>28</v>
      </c>
      <c r="E619" s="2" t="s">
        <v>29</v>
      </c>
      <c r="F619" s="2">
        <v>90</v>
      </c>
      <c r="G619" s="2" t="s">
        <v>2214</v>
      </c>
      <c r="H619" s="2" t="s">
        <v>137</v>
      </c>
      <c r="I619" s="2" t="s">
        <v>32</v>
      </c>
      <c r="J619" s="3">
        <v>44724</v>
      </c>
      <c r="K619" s="2">
        <v>6</v>
      </c>
      <c r="L619" s="2" t="s">
        <v>33</v>
      </c>
      <c r="M619" s="3"/>
    </row>
    <row r="620" spans="1:13" x14ac:dyDescent="0.3">
      <c r="A620" s="2">
        <v>619</v>
      </c>
      <c r="B620" s="2" t="s">
        <v>496</v>
      </c>
      <c r="C620" s="2" t="s">
        <v>1950</v>
      </c>
      <c r="D620" s="2" t="s">
        <v>28</v>
      </c>
      <c r="E620" s="2" t="s">
        <v>29</v>
      </c>
      <c r="F620" s="2">
        <v>60</v>
      </c>
      <c r="G620" s="2" t="s">
        <v>2215</v>
      </c>
      <c r="H620" s="2" t="s">
        <v>1747</v>
      </c>
      <c r="I620" s="2" t="s">
        <v>294</v>
      </c>
      <c r="J620" s="3">
        <v>43875</v>
      </c>
      <c r="K620" s="2">
        <v>78</v>
      </c>
      <c r="L620" s="2" t="s">
        <v>33</v>
      </c>
      <c r="M620" s="3"/>
    </row>
    <row r="621" spans="1:13" x14ac:dyDescent="0.3">
      <c r="A621" s="2">
        <v>620</v>
      </c>
      <c r="B621" s="2" t="s">
        <v>134</v>
      </c>
      <c r="C621" s="2" t="s">
        <v>2216</v>
      </c>
      <c r="D621" s="2" t="s">
        <v>28</v>
      </c>
      <c r="E621" s="2" t="s">
        <v>29</v>
      </c>
      <c r="F621" s="2">
        <v>60</v>
      </c>
      <c r="G621" s="2" t="s">
        <v>2217</v>
      </c>
      <c r="H621" s="2" t="s">
        <v>2218</v>
      </c>
      <c r="I621" s="2" t="s">
        <v>173</v>
      </c>
      <c r="J621" s="3">
        <v>44196</v>
      </c>
      <c r="K621" s="2">
        <v>10</v>
      </c>
      <c r="L621" s="2" t="s">
        <v>39</v>
      </c>
      <c r="M621" s="3"/>
    </row>
    <row r="622" spans="1:13" x14ac:dyDescent="0.3">
      <c r="A622" s="2">
        <v>621</v>
      </c>
      <c r="B622" s="2" t="s">
        <v>2219</v>
      </c>
      <c r="C622" s="2" t="s">
        <v>2220</v>
      </c>
      <c r="D622" s="2" t="s">
        <v>15</v>
      </c>
      <c r="E622" s="2" t="s">
        <v>16</v>
      </c>
      <c r="F622" s="2">
        <v>90</v>
      </c>
      <c r="G622" s="2" t="s">
        <v>2221</v>
      </c>
      <c r="H622" s="2" t="s">
        <v>1325</v>
      </c>
      <c r="I622" s="2" t="s">
        <v>187</v>
      </c>
      <c r="J622" s="3">
        <v>44802</v>
      </c>
      <c r="K622" s="2">
        <v>46</v>
      </c>
      <c r="L622" s="2" t="s">
        <v>101</v>
      </c>
      <c r="M622" s="3"/>
    </row>
    <row r="623" spans="1:13" x14ac:dyDescent="0.3">
      <c r="A623" s="2">
        <v>622</v>
      </c>
      <c r="B623" s="2" t="s">
        <v>2222</v>
      </c>
      <c r="C623" s="2" t="s">
        <v>2223</v>
      </c>
      <c r="D623" s="2" t="s">
        <v>51</v>
      </c>
      <c r="E623" s="2" t="s">
        <v>16</v>
      </c>
      <c r="F623" s="2">
        <v>90</v>
      </c>
      <c r="G623" s="2" t="s">
        <v>2224</v>
      </c>
      <c r="H623" s="2" t="s">
        <v>641</v>
      </c>
      <c r="I623" s="2" t="s">
        <v>294</v>
      </c>
      <c r="J623" s="3">
        <v>44494</v>
      </c>
      <c r="K623" s="2">
        <v>62</v>
      </c>
      <c r="L623" s="2" t="s">
        <v>33</v>
      </c>
      <c r="M623" s="3"/>
    </row>
    <row r="624" spans="1:13" x14ac:dyDescent="0.3">
      <c r="A624" s="2">
        <v>623</v>
      </c>
      <c r="B624" s="2" t="s">
        <v>2225</v>
      </c>
      <c r="C624" s="2" t="s">
        <v>944</v>
      </c>
      <c r="D624" s="2" t="s">
        <v>15</v>
      </c>
      <c r="E624" s="2" t="s">
        <v>16</v>
      </c>
      <c r="F624" s="2">
        <v>60</v>
      </c>
      <c r="G624" s="2" t="s">
        <v>2226</v>
      </c>
      <c r="H624" s="2" t="s">
        <v>2227</v>
      </c>
      <c r="I624" s="2" t="s">
        <v>38</v>
      </c>
      <c r="J624" s="3">
        <v>44739</v>
      </c>
      <c r="K624" s="2">
        <v>16</v>
      </c>
      <c r="L624" s="2" t="s">
        <v>33</v>
      </c>
      <c r="M624" s="3"/>
    </row>
    <row r="625" spans="1:13" x14ac:dyDescent="0.3">
      <c r="A625" s="2">
        <v>624</v>
      </c>
      <c r="B625" s="2" t="s">
        <v>1074</v>
      </c>
      <c r="C625" s="2" t="s">
        <v>2228</v>
      </c>
      <c r="D625" s="2" t="s">
        <v>15</v>
      </c>
      <c r="E625" s="2" t="s">
        <v>16</v>
      </c>
      <c r="F625" s="2">
        <v>30</v>
      </c>
      <c r="G625" s="2" t="s">
        <v>2229</v>
      </c>
      <c r="H625" s="2" t="s">
        <v>2230</v>
      </c>
      <c r="I625" s="2" t="s">
        <v>32</v>
      </c>
      <c r="J625" s="3">
        <v>44676</v>
      </c>
      <c r="K625" s="2">
        <v>89</v>
      </c>
      <c r="L625" s="2" t="s">
        <v>64</v>
      </c>
      <c r="M625" s="3"/>
    </row>
    <row r="626" spans="1:13" x14ac:dyDescent="0.3">
      <c r="A626" s="2">
        <v>625</v>
      </c>
      <c r="B626" s="2" t="s">
        <v>2231</v>
      </c>
      <c r="C626" s="2" t="s">
        <v>804</v>
      </c>
      <c r="D626" s="2" t="s">
        <v>28</v>
      </c>
      <c r="E626" s="2" t="s">
        <v>29</v>
      </c>
      <c r="F626" s="2">
        <v>60</v>
      </c>
      <c r="G626" s="2" t="s">
        <v>2232</v>
      </c>
      <c r="H626" s="2" t="s">
        <v>2233</v>
      </c>
      <c r="I626" s="2" t="s">
        <v>187</v>
      </c>
      <c r="J626" s="3">
        <v>44746</v>
      </c>
      <c r="K626" s="2">
        <v>33</v>
      </c>
      <c r="L626" s="2" t="s">
        <v>45</v>
      </c>
      <c r="M626" s="3"/>
    </row>
    <row r="627" spans="1:13" x14ac:dyDescent="0.3">
      <c r="A627" s="2">
        <v>626</v>
      </c>
      <c r="B627" s="2" t="s">
        <v>2234</v>
      </c>
      <c r="C627" s="2" t="s">
        <v>1020</v>
      </c>
      <c r="D627" s="2" t="s">
        <v>15</v>
      </c>
      <c r="E627" s="2" t="s">
        <v>16</v>
      </c>
      <c r="F627" s="2">
        <v>60</v>
      </c>
      <c r="G627" s="2" t="s">
        <v>2235</v>
      </c>
      <c r="H627" s="2" t="s">
        <v>2236</v>
      </c>
      <c r="I627" s="2" t="s">
        <v>2237</v>
      </c>
      <c r="J627" s="3">
        <v>43922</v>
      </c>
      <c r="K627" s="2">
        <v>38</v>
      </c>
      <c r="L627" s="2" t="s">
        <v>20</v>
      </c>
      <c r="M627" s="3"/>
    </row>
    <row r="628" spans="1:13" x14ac:dyDescent="0.3">
      <c r="A628" s="2">
        <v>627</v>
      </c>
      <c r="B628" s="2" t="s">
        <v>2238</v>
      </c>
      <c r="C628" s="2" t="s">
        <v>410</v>
      </c>
      <c r="D628" s="2" t="s">
        <v>51</v>
      </c>
      <c r="E628" s="2" t="s">
        <v>16</v>
      </c>
      <c r="F628" s="2">
        <v>90</v>
      </c>
      <c r="G628" s="2" t="s">
        <v>2239</v>
      </c>
      <c r="H628" s="2" t="s">
        <v>2240</v>
      </c>
      <c r="I628" s="2" t="s">
        <v>32</v>
      </c>
      <c r="J628" s="3">
        <v>44216</v>
      </c>
      <c r="K628" s="2">
        <v>59</v>
      </c>
      <c r="L628" s="2" t="s">
        <v>70</v>
      </c>
      <c r="M628" s="3"/>
    </row>
    <row r="629" spans="1:13" x14ac:dyDescent="0.3">
      <c r="A629" s="2">
        <v>628</v>
      </c>
      <c r="B629" s="2" t="s">
        <v>2241</v>
      </c>
      <c r="C629" s="2" t="s">
        <v>438</v>
      </c>
      <c r="D629" s="2" t="s">
        <v>51</v>
      </c>
      <c r="E629" s="2" t="s">
        <v>16</v>
      </c>
      <c r="F629" s="2">
        <v>30</v>
      </c>
      <c r="G629" s="2" t="s">
        <v>2242</v>
      </c>
      <c r="H629" s="2" t="s">
        <v>2243</v>
      </c>
      <c r="I629" s="2" t="s">
        <v>32</v>
      </c>
      <c r="J629" s="3">
        <v>44852</v>
      </c>
      <c r="K629" s="2">
        <v>47</v>
      </c>
      <c r="L629" s="2" t="s">
        <v>54</v>
      </c>
      <c r="M629" s="3"/>
    </row>
    <row r="630" spans="1:13" x14ac:dyDescent="0.3">
      <c r="A630" s="2">
        <v>629</v>
      </c>
      <c r="B630" s="2" t="s">
        <v>2244</v>
      </c>
      <c r="C630" s="2" t="s">
        <v>1766</v>
      </c>
      <c r="D630" s="2" t="s">
        <v>28</v>
      </c>
      <c r="E630" s="2" t="s">
        <v>29</v>
      </c>
      <c r="F630" s="2">
        <v>60</v>
      </c>
      <c r="G630" s="2" t="s">
        <v>2245</v>
      </c>
      <c r="H630" s="2" t="s">
        <v>667</v>
      </c>
      <c r="I630" s="2" t="s">
        <v>25</v>
      </c>
      <c r="J630" s="3">
        <v>44339</v>
      </c>
      <c r="K630" s="2">
        <v>17</v>
      </c>
      <c r="L630" s="2" t="s">
        <v>159</v>
      </c>
      <c r="M630" s="3"/>
    </row>
    <row r="631" spans="1:13" x14ac:dyDescent="0.3">
      <c r="A631" s="2">
        <v>630</v>
      </c>
      <c r="B631" s="2" t="s">
        <v>2246</v>
      </c>
      <c r="C631" s="2" t="s">
        <v>2247</v>
      </c>
      <c r="D631" s="2" t="s">
        <v>92</v>
      </c>
      <c r="E631" s="2" t="s">
        <v>29</v>
      </c>
      <c r="F631" s="2">
        <v>60</v>
      </c>
      <c r="G631" s="2" t="s">
        <v>2248</v>
      </c>
      <c r="H631" s="2" t="s">
        <v>34</v>
      </c>
      <c r="I631" s="2" t="s">
        <v>1454</v>
      </c>
      <c r="J631" s="3">
        <v>44867</v>
      </c>
      <c r="K631" s="2">
        <v>15</v>
      </c>
      <c r="L631" s="2" t="s">
        <v>33</v>
      </c>
      <c r="M631" s="3"/>
    </row>
    <row r="632" spans="1:13" x14ac:dyDescent="0.3">
      <c r="A632" s="2">
        <v>631</v>
      </c>
      <c r="B632" s="2" t="s">
        <v>2249</v>
      </c>
      <c r="C632" s="2" t="s">
        <v>2188</v>
      </c>
      <c r="D632" s="2" t="s">
        <v>28</v>
      </c>
      <c r="E632" s="2" t="s">
        <v>29</v>
      </c>
      <c r="F632" s="2">
        <v>60</v>
      </c>
      <c r="G632" s="2" t="s">
        <v>2248</v>
      </c>
      <c r="H632" s="2" t="s">
        <v>2250</v>
      </c>
      <c r="I632" s="2" t="s">
        <v>187</v>
      </c>
      <c r="J632" s="3">
        <v>44408</v>
      </c>
      <c r="K632" s="2">
        <v>32</v>
      </c>
      <c r="L632" s="2" t="s">
        <v>33</v>
      </c>
      <c r="M632" s="3"/>
    </row>
    <row r="633" spans="1:13" x14ac:dyDescent="0.3">
      <c r="A633" s="2">
        <v>632</v>
      </c>
      <c r="B633" s="2" t="s">
        <v>2251</v>
      </c>
      <c r="C633" s="2" t="s">
        <v>2252</v>
      </c>
      <c r="D633" s="2" t="s">
        <v>28</v>
      </c>
      <c r="E633" s="2" t="s">
        <v>29</v>
      </c>
      <c r="F633" s="2">
        <v>30</v>
      </c>
      <c r="G633" s="2" t="s">
        <v>2248</v>
      </c>
      <c r="H633" s="2" t="s">
        <v>615</v>
      </c>
      <c r="I633" s="2" t="s">
        <v>32</v>
      </c>
      <c r="J633" s="3">
        <v>43854</v>
      </c>
      <c r="K633" s="2">
        <v>25</v>
      </c>
      <c r="L633" s="2" t="s">
        <v>159</v>
      </c>
      <c r="M633" s="3"/>
    </row>
    <row r="634" spans="1:13" x14ac:dyDescent="0.3">
      <c r="A634" s="2">
        <v>633</v>
      </c>
      <c r="B634" s="2" t="s">
        <v>2253</v>
      </c>
      <c r="C634" s="2" t="s">
        <v>2254</v>
      </c>
      <c r="D634" s="2" t="s">
        <v>92</v>
      </c>
      <c r="E634" s="2" t="s">
        <v>29</v>
      </c>
      <c r="F634" s="2">
        <v>30</v>
      </c>
      <c r="G634" s="2" t="s">
        <v>2255</v>
      </c>
      <c r="H634" s="2" t="s">
        <v>708</v>
      </c>
      <c r="I634" s="2" t="s">
        <v>294</v>
      </c>
      <c r="J634" s="3">
        <v>44126</v>
      </c>
      <c r="K634" s="2">
        <v>37</v>
      </c>
      <c r="L634" s="2" t="s">
        <v>70</v>
      </c>
      <c r="M634" s="3"/>
    </row>
    <row r="635" spans="1:13" x14ac:dyDescent="0.3">
      <c r="A635" s="2">
        <v>634</v>
      </c>
      <c r="B635" s="2" t="s">
        <v>2256</v>
      </c>
      <c r="C635" s="2" t="s">
        <v>2257</v>
      </c>
      <c r="D635" s="2" t="s">
        <v>28</v>
      </c>
      <c r="E635" s="2" t="s">
        <v>29</v>
      </c>
      <c r="F635" s="2">
        <v>60</v>
      </c>
      <c r="G635" s="2" t="s">
        <v>2258</v>
      </c>
      <c r="H635" s="2" t="s">
        <v>674</v>
      </c>
      <c r="I635" s="2" t="s">
        <v>32</v>
      </c>
      <c r="J635" s="3">
        <v>43916</v>
      </c>
      <c r="K635" s="2">
        <v>78</v>
      </c>
      <c r="L635" s="2" t="s">
        <v>159</v>
      </c>
      <c r="M635" s="3"/>
    </row>
    <row r="636" spans="1:13" x14ac:dyDescent="0.3">
      <c r="A636" s="2">
        <v>635</v>
      </c>
      <c r="B636" s="2" t="s">
        <v>2259</v>
      </c>
      <c r="C636" s="2" t="s">
        <v>106</v>
      </c>
      <c r="D636" s="2" t="s">
        <v>28</v>
      </c>
      <c r="E636" s="2" t="s">
        <v>29</v>
      </c>
      <c r="F636" s="2">
        <v>30</v>
      </c>
      <c r="G636" s="2" t="s">
        <v>2260</v>
      </c>
      <c r="H636" s="2" t="s">
        <v>2261</v>
      </c>
      <c r="I636" s="2" t="s">
        <v>32</v>
      </c>
      <c r="J636" s="3">
        <v>44867</v>
      </c>
      <c r="K636" s="2">
        <v>69</v>
      </c>
      <c r="L636" s="2" t="s">
        <v>70</v>
      </c>
      <c r="M636" s="3"/>
    </row>
    <row r="637" spans="1:13" x14ac:dyDescent="0.3">
      <c r="A637" s="2">
        <v>636</v>
      </c>
      <c r="B637" s="2" t="s">
        <v>2262</v>
      </c>
      <c r="C637" s="2" t="s">
        <v>2263</v>
      </c>
      <c r="D637" s="2" t="s">
        <v>15</v>
      </c>
      <c r="E637" s="2" t="s">
        <v>16</v>
      </c>
      <c r="F637" s="2">
        <v>60</v>
      </c>
      <c r="G637" s="2" t="s">
        <v>2264</v>
      </c>
      <c r="H637" s="2" t="s">
        <v>2265</v>
      </c>
      <c r="I637" s="2" t="s">
        <v>1083</v>
      </c>
      <c r="J637" s="3">
        <v>44844</v>
      </c>
      <c r="K637" s="2">
        <v>65</v>
      </c>
      <c r="L637" s="2" t="s">
        <v>45</v>
      </c>
      <c r="M637" s="3"/>
    </row>
    <row r="638" spans="1:13" x14ac:dyDescent="0.3">
      <c r="A638" s="2">
        <v>637</v>
      </c>
      <c r="B638" s="2" t="s">
        <v>2213</v>
      </c>
      <c r="C638" s="2" t="s">
        <v>2266</v>
      </c>
      <c r="D638" s="2" t="s">
        <v>28</v>
      </c>
      <c r="E638" s="2" t="s">
        <v>29</v>
      </c>
      <c r="F638" s="2">
        <v>60</v>
      </c>
      <c r="G638" s="2" t="s">
        <v>2264</v>
      </c>
      <c r="H638" s="2" t="s">
        <v>2267</v>
      </c>
      <c r="I638" s="2" t="s">
        <v>124</v>
      </c>
      <c r="J638" s="3">
        <v>43929</v>
      </c>
      <c r="K638" s="2">
        <v>12</v>
      </c>
      <c r="L638" s="2" t="s">
        <v>64</v>
      </c>
      <c r="M638" s="3"/>
    </row>
    <row r="639" spans="1:13" x14ac:dyDescent="0.3">
      <c r="A639" s="2">
        <v>638</v>
      </c>
      <c r="B639" s="2" t="s">
        <v>2268</v>
      </c>
      <c r="C639" s="2" t="s">
        <v>2269</v>
      </c>
      <c r="D639" s="2" t="s">
        <v>51</v>
      </c>
      <c r="E639" s="2" t="s">
        <v>16</v>
      </c>
      <c r="F639" s="2">
        <v>90</v>
      </c>
      <c r="G639" s="2" t="s">
        <v>2270</v>
      </c>
      <c r="H639" s="2" t="s">
        <v>2271</v>
      </c>
      <c r="I639" s="2" t="s">
        <v>208</v>
      </c>
      <c r="J639" s="3">
        <v>43879</v>
      </c>
      <c r="K639" s="2">
        <v>40</v>
      </c>
      <c r="L639" s="2" t="s">
        <v>101</v>
      </c>
      <c r="M639" s="3"/>
    </row>
    <row r="640" spans="1:13" x14ac:dyDescent="0.3">
      <c r="A640" s="2">
        <v>639</v>
      </c>
      <c r="B640" s="2" t="s">
        <v>2272</v>
      </c>
      <c r="C640" s="2" t="s">
        <v>2273</v>
      </c>
      <c r="D640" s="2" t="s">
        <v>15</v>
      </c>
      <c r="E640" s="2" t="s">
        <v>16</v>
      </c>
      <c r="F640" s="2">
        <v>90</v>
      </c>
      <c r="G640" s="2" t="s">
        <v>2274</v>
      </c>
      <c r="H640" s="2" t="s">
        <v>1956</v>
      </c>
      <c r="I640" s="2" t="s">
        <v>32</v>
      </c>
      <c r="J640" s="3">
        <v>44847</v>
      </c>
      <c r="K640" s="2">
        <v>98</v>
      </c>
      <c r="L640" s="2" t="s">
        <v>33</v>
      </c>
      <c r="M640" s="3"/>
    </row>
    <row r="641" spans="1:13" x14ac:dyDescent="0.3">
      <c r="A641" s="2">
        <v>640</v>
      </c>
      <c r="B641" s="2" t="s">
        <v>2275</v>
      </c>
      <c r="C641" s="2" t="s">
        <v>2276</v>
      </c>
      <c r="D641" s="2" t="s">
        <v>28</v>
      </c>
      <c r="E641" s="2" t="s">
        <v>29</v>
      </c>
      <c r="F641" s="2">
        <v>30</v>
      </c>
      <c r="G641" s="2" t="s">
        <v>2277</v>
      </c>
      <c r="H641" s="2" t="s">
        <v>2109</v>
      </c>
      <c r="I641" s="2" t="s">
        <v>32</v>
      </c>
      <c r="J641" s="3">
        <v>44273</v>
      </c>
      <c r="K641" s="2">
        <v>59</v>
      </c>
      <c r="L641" s="2" t="s">
        <v>33</v>
      </c>
      <c r="M641" s="3"/>
    </row>
    <row r="642" spans="1:13" x14ac:dyDescent="0.3">
      <c r="A642" s="2">
        <v>641</v>
      </c>
      <c r="B642" s="2" t="s">
        <v>2278</v>
      </c>
      <c r="C642" s="2" t="s">
        <v>2279</v>
      </c>
      <c r="D642" s="2" t="s">
        <v>28</v>
      </c>
      <c r="E642" s="2" t="s">
        <v>29</v>
      </c>
      <c r="F642" s="2">
        <v>30</v>
      </c>
      <c r="G642" s="2" t="s">
        <v>2280</v>
      </c>
      <c r="H642" s="2" t="s">
        <v>1568</v>
      </c>
      <c r="I642" s="2" t="s">
        <v>32</v>
      </c>
      <c r="J642" s="3">
        <v>44665</v>
      </c>
      <c r="K642" s="2">
        <v>73</v>
      </c>
      <c r="L642" s="2" t="s">
        <v>33</v>
      </c>
      <c r="M642" s="3"/>
    </row>
    <row r="643" spans="1:13" x14ac:dyDescent="0.3">
      <c r="A643" s="2">
        <v>642</v>
      </c>
      <c r="B643" s="2" t="s">
        <v>2281</v>
      </c>
      <c r="C643" s="2" t="s">
        <v>2282</v>
      </c>
      <c r="D643" s="2" t="s">
        <v>28</v>
      </c>
      <c r="E643" s="2" t="s">
        <v>29</v>
      </c>
      <c r="F643" s="2">
        <v>30</v>
      </c>
      <c r="G643" s="2" t="s">
        <v>2283</v>
      </c>
      <c r="H643" s="2" t="s">
        <v>2284</v>
      </c>
      <c r="I643" s="2" t="s">
        <v>32</v>
      </c>
      <c r="J643" s="3">
        <v>44428</v>
      </c>
      <c r="K643" s="2">
        <v>58</v>
      </c>
      <c r="L643" s="2" t="s">
        <v>45</v>
      </c>
      <c r="M643" s="3"/>
    </row>
    <row r="644" spans="1:13" x14ac:dyDescent="0.3">
      <c r="A644" s="2">
        <v>643</v>
      </c>
      <c r="B644" s="2" t="s">
        <v>2285</v>
      </c>
      <c r="C644" s="2" t="s">
        <v>2286</v>
      </c>
      <c r="D644" s="2" t="s">
        <v>15</v>
      </c>
      <c r="E644" s="2" t="s">
        <v>16</v>
      </c>
      <c r="F644" s="2">
        <v>30</v>
      </c>
      <c r="G644" s="2" t="s">
        <v>2287</v>
      </c>
      <c r="H644" s="2" t="s">
        <v>2288</v>
      </c>
      <c r="I644" s="2" t="s">
        <v>32</v>
      </c>
      <c r="J644" s="3">
        <v>44159</v>
      </c>
      <c r="K644" s="2">
        <v>29</v>
      </c>
      <c r="L644" s="2" t="s">
        <v>39</v>
      </c>
      <c r="M644" s="3"/>
    </row>
    <row r="645" spans="1:13" x14ac:dyDescent="0.3">
      <c r="A645" s="2">
        <v>644</v>
      </c>
      <c r="B645" s="2" t="s">
        <v>2289</v>
      </c>
      <c r="C645" s="2" t="s">
        <v>1461</v>
      </c>
      <c r="D645" s="2" t="s">
        <v>28</v>
      </c>
      <c r="E645" s="2" t="s">
        <v>29</v>
      </c>
      <c r="F645" s="2">
        <v>60</v>
      </c>
      <c r="G645" s="2" t="s">
        <v>2290</v>
      </c>
      <c r="H645" s="2" t="s">
        <v>2291</v>
      </c>
      <c r="I645" s="2" t="s">
        <v>25</v>
      </c>
      <c r="J645" s="3">
        <v>44680</v>
      </c>
      <c r="K645" s="2">
        <v>61</v>
      </c>
      <c r="L645" s="2" t="s">
        <v>101</v>
      </c>
      <c r="M645" s="3"/>
    </row>
    <row r="646" spans="1:13" x14ac:dyDescent="0.3">
      <c r="A646" s="2">
        <v>645</v>
      </c>
      <c r="B646" s="2" t="s">
        <v>2292</v>
      </c>
      <c r="C646" s="2" t="s">
        <v>2293</v>
      </c>
      <c r="D646" s="2" t="s">
        <v>28</v>
      </c>
      <c r="E646" s="2" t="s">
        <v>29</v>
      </c>
      <c r="F646" s="2">
        <v>30</v>
      </c>
      <c r="G646" s="2" t="s">
        <v>2290</v>
      </c>
      <c r="H646" s="2" t="s">
        <v>2294</v>
      </c>
      <c r="I646" s="2" t="s">
        <v>32</v>
      </c>
      <c r="J646" s="3">
        <v>44000</v>
      </c>
      <c r="K646" s="2">
        <v>68</v>
      </c>
      <c r="L646" s="2" t="s">
        <v>33</v>
      </c>
      <c r="M646" s="3"/>
    </row>
    <row r="647" spans="1:13" x14ac:dyDescent="0.3">
      <c r="A647" s="2">
        <v>646</v>
      </c>
      <c r="B647" s="2" t="s">
        <v>2295</v>
      </c>
      <c r="C647" s="2" t="s">
        <v>2296</v>
      </c>
      <c r="D647" s="2" t="s">
        <v>15</v>
      </c>
      <c r="E647" s="2" t="s">
        <v>16</v>
      </c>
      <c r="F647" s="2">
        <v>90</v>
      </c>
      <c r="G647" s="2" t="s">
        <v>2297</v>
      </c>
      <c r="H647" s="2" t="s">
        <v>1732</v>
      </c>
      <c r="I647" s="2" t="s">
        <v>1733</v>
      </c>
      <c r="J647" s="3">
        <v>44710</v>
      </c>
      <c r="K647" s="2">
        <v>67</v>
      </c>
      <c r="L647" s="2" t="s">
        <v>101</v>
      </c>
      <c r="M647" s="3"/>
    </row>
    <row r="648" spans="1:13" x14ac:dyDescent="0.3">
      <c r="A648" s="2">
        <v>647</v>
      </c>
      <c r="B648" s="2" t="s">
        <v>2298</v>
      </c>
      <c r="C648" s="2" t="s">
        <v>1581</v>
      </c>
      <c r="D648" s="2" t="s">
        <v>28</v>
      </c>
      <c r="E648" s="2" t="s">
        <v>29</v>
      </c>
      <c r="F648" s="2">
        <v>30</v>
      </c>
      <c r="G648" s="2" t="s">
        <v>2299</v>
      </c>
      <c r="H648" s="2" t="s">
        <v>1598</v>
      </c>
      <c r="I648" s="2" t="s">
        <v>32</v>
      </c>
      <c r="J648" s="3">
        <v>44715</v>
      </c>
      <c r="K648" s="2">
        <v>98</v>
      </c>
      <c r="L648" s="2" t="s">
        <v>39</v>
      </c>
      <c r="M648" s="3"/>
    </row>
    <row r="649" spans="1:13" x14ac:dyDescent="0.3">
      <c r="A649" s="2">
        <v>648</v>
      </c>
      <c r="B649" s="2" t="s">
        <v>2300</v>
      </c>
      <c r="C649" s="2" t="s">
        <v>2301</v>
      </c>
      <c r="D649" s="2" t="s">
        <v>15</v>
      </c>
      <c r="E649" s="2" t="s">
        <v>16</v>
      </c>
      <c r="F649" s="2">
        <v>30</v>
      </c>
      <c r="G649" s="2" t="s">
        <v>2302</v>
      </c>
      <c r="H649" s="2" t="s">
        <v>1785</v>
      </c>
      <c r="I649" s="2" t="s">
        <v>32</v>
      </c>
      <c r="J649" s="3">
        <v>44901</v>
      </c>
      <c r="K649" s="2">
        <v>97</v>
      </c>
      <c r="L649" s="2" t="s">
        <v>80</v>
      </c>
      <c r="M649" s="3"/>
    </row>
    <row r="650" spans="1:13" x14ac:dyDescent="0.3">
      <c r="A650" s="2">
        <v>649</v>
      </c>
      <c r="B650" s="2" t="s">
        <v>2303</v>
      </c>
      <c r="C650" s="2" t="s">
        <v>556</v>
      </c>
      <c r="D650" s="2" t="s">
        <v>28</v>
      </c>
      <c r="E650" s="2" t="s">
        <v>29</v>
      </c>
      <c r="F650" s="2">
        <v>90</v>
      </c>
      <c r="G650" s="2" t="s">
        <v>2304</v>
      </c>
      <c r="H650" s="2" t="s">
        <v>2305</v>
      </c>
      <c r="I650" s="2" t="s">
        <v>25</v>
      </c>
      <c r="J650" s="3">
        <v>43921</v>
      </c>
      <c r="K650" s="2">
        <v>23</v>
      </c>
      <c r="L650" s="2" t="s">
        <v>101</v>
      </c>
      <c r="M650" s="3"/>
    </row>
    <row r="651" spans="1:13" x14ac:dyDescent="0.3">
      <c r="A651" s="2">
        <v>650</v>
      </c>
      <c r="B651" s="2" t="s">
        <v>2234</v>
      </c>
      <c r="C651" s="2" t="s">
        <v>2306</v>
      </c>
      <c r="D651" s="2" t="s">
        <v>51</v>
      </c>
      <c r="E651" s="2" t="s">
        <v>16</v>
      </c>
      <c r="F651" s="2">
        <v>60</v>
      </c>
      <c r="G651" s="2" t="s">
        <v>2307</v>
      </c>
      <c r="H651" s="2" t="s">
        <v>928</v>
      </c>
      <c r="I651" s="2" t="s">
        <v>38</v>
      </c>
      <c r="J651" s="3">
        <v>44725</v>
      </c>
      <c r="K651" s="2">
        <v>101</v>
      </c>
      <c r="L651" s="2" t="s">
        <v>54</v>
      </c>
      <c r="M651" s="3"/>
    </row>
    <row r="652" spans="1:13" x14ac:dyDescent="0.3">
      <c r="A652" s="2">
        <v>651</v>
      </c>
      <c r="B652" s="2" t="s">
        <v>2308</v>
      </c>
      <c r="C652" s="2" t="s">
        <v>2309</v>
      </c>
      <c r="D652" s="2" t="s">
        <v>51</v>
      </c>
      <c r="E652" s="2" t="s">
        <v>16</v>
      </c>
      <c r="F652" s="2">
        <v>30</v>
      </c>
      <c r="G652" s="2" t="s">
        <v>2310</v>
      </c>
      <c r="H652" s="2" t="s">
        <v>2311</v>
      </c>
      <c r="I652" s="2" t="s">
        <v>32</v>
      </c>
      <c r="J652" s="3">
        <v>44608</v>
      </c>
      <c r="K652" s="2">
        <v>22</v>
      </c>
      <c r="L652" s="2" t="s">
        <v>70</v>
      </c>
      <c r="M652" s="3"/>
    </row>
    <row r="653" spans="1:13" x14ac:dyDescent="0.3">
      <c r="A653" s="2">
        <v>652</v>
      </c>
      <c r="B653" s="2" t="s">
        <v>2312</v>
      </c>
      <c r="C653" s="2" t="s">
        <v>1585</v>
      </c>
      <c r="D653" s="2" t="s">
        <v>28</v>
      </c>
      <c r="E653" s="2" t="s">
        <v>29</v>
      </c>
      <c r="F653" s="2">
        <v>60</v>
      </c>
      <c r="G653" s="2" t="s">
        <v>2313</v>
      </c>
      <c r="H653" s="2" t="s">
        <v>634</v>
      </c>
      <c r="I653" s="2" t="s">
        <v>32</v>
      </c>
      <c r="J653" s="3">
        <v>44772</v>
      </c>
      <c r="K653" s="2">
        <v>4</v>
      </c>
      <c r="L653" s="2" t="s">
        <v>45</v>
      </c>
      <c r="M653" s="3"/>
    </row>
    <row r="654" spans="1:13" x14ac:dyDescent="0.3">
      <c r="A654" s="2">
        <v>653</v>
      </c>
      <c r="B654" s="2" t="s">
        <v>2314</v>
      </c>
      <c r="C654" s="2" t="s">
        <v>940</v>
      </c>
      <c r="D654" s="2" t="s">
        <v>15</v>
      </c>
      <c r="E654" s="2" t="s">
        <v>16</v>
      </c>
      <c r="F654" s="2">
        <v>90</v>
      </c>
      <c r="G654" s="2" t="s">
        <v>2315</v>
      </c>
      <c r="H654" s="2" t="s">
        <v>702</v>
      </c>
      <c r="I654" s="2" t="s">
        <v>703</v>
      </c>
      <c r="J654" s="3">
        <v>44431</v>
      </c>
      <c r="K654" s="2">
        <v>59</v>
      </c>
      <c r="L654" s="2" t="s">
        <v>159</v>
      </c>
      <c r="M654" s="3"/>
    </row>
    <row r="655" spans="1:13" x14ac:dyDescent="0.3">
      <c r="A655" s="2">
        <v>654</v>
      </c>
      <c r="B655" s="2" t="s">
        <v>2316</v>
      </c>
      <c r="C655" s="2" t="s">
        <v>2317</v>
      </c>
      <c r="D655" s="2" t="s">
        <v>41</v>
      </c>
      <c r="E655" s="2" t="s">
        <v>16</v>
      </c>
      <c r="F655" s="2">
        <v>30</v>
      </c>
      <c r="G655" s="2" t="s">
        <v>2318</v>
      </c>
      <c r="H655" s="2" t="s">
        <v>1077</v>
      </c>
      <c r="I655" s="2" t="s">
        <v>1078</v>
      </c>
      <c r="J655" s="3">
        <v>44502</v>
      </c>
      <c r="K655" s="2">
        <v>74</v>
      </c>
      <c r="L655" s="2" t="s">
        <v>33</v>
      </c>
      <c r="M655" s="3"/>
    </row>
    <row r="656" spans="1:13" x14ac:dyDescent="0.3">
      <c r="A656" s="2">
        <v>655</v>
      </c>
      <c r="B656" s="2" t="s">
        <v>1470</v>
      </c>
      <c r="C656" s="2" t="s">
        <v>2319</v>
      </c>
      <c r="D656" s="2" t="s">
        <v>28</v>
      </c>
      <c r="E656" s="2" t="s">
        <v>29</v>
      </c>
      <c r="F656" s="2">
        <v>60</v>
      </c>
      <c r="G656" s="2" t="s">
        <v>2320</v>
      </c>
      <c r="H656" s="2" t="s">
        <v>2321</v>
      </c>
      <c r="I656" s="2" t="s">
        <v>129</v>
      </c>
      <c r="J656" s="3">
        <v>44667</v>
      </c>
      <c r="K656" s="2">
        <v>96</v>
      </c>
      <c r="L656" s="2" t="s">
        <v>39</v>
      </c>
      <c r="M656" s="3"/>
    </row>
    <row r="657" spans="1:13" x14ac:dyDescent="0.3">
      <c r="A657" s="2">
        <v>656</v>
      </c>
      <c r="B657" s="2" t="s">
        <v>2322</v>
      </c>
      <c r="C657" s="2" t="s">
        <v>2323</v>
      </c>
      <c r="D657" s="2" t="s">
        <v>15</v>
      </c>
      <c r="E657" s="2" t="s">
        <v>16</v>
      </c>
      <c r="F657" s="2">
        <v>60</v>
      </c>
      <c r="G657" s="2" t="s">
        <v>2324</v>
      </c>
      <c r="H657" s="2" t="s">
        <v>2325</v>
      </c>
      <c r="I657" s="2" t="s">
        <v>173</v>
      </c>
      <c r="J657" s="3">
        <v>43946</v>
      </c>
      <c r="K657" s="2">
        <v>48</v>
      </c>
      <c r="L657" s="2" t="s">
        <v>70</v>
      </c>
      <c r="M657" s="3"/>
    </row>
    <row r="658" spans="1:13" x14ac:dyDescent="0.3">
      <c r="A658" s="2">
        <v>657</v>
      </c>
      <c r="B658" s="2" t="s">
        <v>2326</v>
      </c>
      <c r="C658" s="2" t="s">
        <v>152</v>
      </c>
      <c r="D658" s="2" t="s">
        <v>15</v>
      </c>
      <c r="E658" s="2" t="s">
        <v>16</v>
      </c>
      <c r="F658" s="2">
        <v>60</v>
      </c>
      <c r="G658" s="2" t="s">
        <v>2324</v>
      </c>
      <c r="H658" s="2" t="s">
        <v>1292</v>
      </c>
      <c r="I658" s="2" t="s">
        <v>32</v>
      </c>
      <c r="J658" s="3">
        <v>43836</v>
      </c>
      <c r="K658" s="2">
        <v>13</v>
      </c>
      <c r="L658" s="2" t="s">
        <v>20</v>
      </c>
      <c r="M658" s="3"/>
    </row>
    <row r="659" spans="1:13" x14ac:dyDescent="0.3">
      <c r="A659" s="2">
        <v>658</v>
      </c>
      <c r="B659" s="2" t="s">
        <v>743</v>
      </c>
      <c r="C659" s="2" t="s">
        <v>2327</v>
      </c>
      <c r="D659" s="2" t="s">
        <v>28</v>
      </c>
      <c r="E659" s="2" t="s">
        <v>29</v>
      </c>
      <c r="F659" s="2">
        <v>60</v>
      </c>
      <c r="G659" s="2" t="s">
        <v>2328</v>
      </c>
      <c r="H659" s="2" t="s">
        <v>2329</v>
      </c>
      <c r="I659" s="2" t="s">
        <v>2330</v>
      </c>
      <c r="J659" s="3">
        <v>44473</v>
      </c>
      <c r="K659" s="2">
        <v>50</v>
      </c>
      <c r="L659" s="2" t="s">
        <v>64</v>
      </c>
      <c r="M659" s="3"/>
    </row>
    <row r="660" spans="1:13" x14ac:dyDescent="0.3">
      <c r="A660" s="2">
        <v>659</v>
      </c>
      <c r="B660" s="2" t="s">
        <v>2331</v>
      </c>
      <c r="C660" s="2" t="s">
        <v>2332</v>
      </c>
      <c r="D660" s="2" t="s">
        <v>51</v>
      </c>
      <c r="E660" s="2" t="s">
        <v>16</v>
      </c>
      <c r="F660" s="2">
        <v>30</v>
      </c>
      <c r="G660" s="2" t="s">
        <v>2333</v>
      </c>
      <c r="H660" s="2" t="s">
        <v>2334</v>
      </c>
      <c r="I660" s="2" t="s">
        <v>32</v>
      </c>
      <c r="J660" s="3">
        <v>43969</v>
      </c>
      <c r="K660" s="2">
        <v>9</v>
      </c>
      <c r="L660" s="2" t="s">
        <v>80</v>
      </c>
      <c r="M660" s="3"/>
    </row>
    <row r="661" spans="1:13" x14ac:dyDescent="0.3">
      <c r="A661" s="2">
        <v>660</v>
      </c>
      <c r="B661" s="2" t="s">
        <v>2335</v>
      </c>
      <c r="C661" s="2" t="s">
        <v>2336</v>
      </c>
      <c r="D661" s="2" t="s">
        <v>28</v>
      </c>
      <c r="E661" s="2" t="s">
        <v>29</v>
      </c>
      <c r="F661" s="2">
        <v>90</v>
      </c>
      <c r="G661" s="2" t="s">
        <v>2337</v>
      </c>
      <c r="H661" s="2" t="s">
        <v>2338</v>
      </c>
      <c r="I661" s="2" t="s">
        <v>240</v>
      </c>
      <c r="J661" s="3">
        <v>44677</v>
      </c>
      <c r="K661" s="2">
        <v>60</v>
      </c>
      <c r="L661" s="2" t="s">
        <v>70</v>
      </c>
      <c r="M661" s="3"/>
    </row>
    <row r="662" spans="1:13" x14ac:dyDescent="0.3">
      <c r="A662" s="2">
        <v>661</v>
      </c>
      <c r="B662" s="2" t="s">
        <v>642</v>
      </c>
      <c r="C662" s="2" t="s">
        <v>2339</v>
      </c>
      <c r="D662" s="2" t="s">
        <v>41</v>
      </c>
      <c r="E662" s="2" t="s">
        <v>16</v>
      </c>
      <c r="F662" s="2">
        <v>90</v>
      </c>
      <c r="G662" s="2" t="s">
        <v>2340</v>
      </c>
      <c r="H662" s="2" t="s">
        <v>2341</v>
      </c>
      <c r="I662" s="2" t="s">
        <v>2342</v>
      </c>
      <c r="J662" s="3">
        <v>44792</v>
      </c>
      <c r="K662" s="2">
        <v>57</v>
      </c>
      <c r="L662" s="2" t="s">
        <v>39</v>
      </c>
      <c r="M662" s="3"/>
    </row>
    <row r="663" spans="1:13" x14ac:dyDescent="0.3">
      <c r="A663" s="2">
        <v>662</v>
      </c>
      <c r="B663" s="2" t="s">
        <v>2343</v>
      </c>
      <c r="C663" s="2" t="s">
        <v>2344</v>
      </c>
      <c r="D663" s="2" t="s">
        <v>15</v>
      </c>
      <c r="E663" s="2" t="s">
        <v>16</v>
      </c>
      <c r="F663" s="2">
        <v>30</v>
      </c>
      <c r="G663" s="2" t="s">
        <v>2345</v>
      </c>
      <c r="H663" s="2" t="s">
        <v>389</v>
      </c>
      <c r="I663" s="2" t="s">
        <v>32</v>
      </c>
      <c r="J663" s="3">
        <v>43974</v>
      </c>
      <c r="K663" s="2">
        <v>24</v>
      </c>
      <c r="L663" s="2" t="s">
        <v>54</v>
      </c>
      <c r="M663" s="3"/>
    </row>
    <row r="664" spans="1:13" x14ac:dyDescent="0.3">
      <c r="A664" s="2">
        <v>663</v>
      </c>
      <c r="B664" s="2" t="s">
        <v>2346</v>
      </c>
      <c r="C664" s="2" t="s">
        <v>1080</v>
      </c>
      <c r="D664" s="2" t="s">
        <v>28</v>
      </c>
      <c r="E664" s="2" t="s">
        <v>29</v>
      </c>
      <c r="F664" s="2">
        <v>90</v>
      </c>
      <c r="G664" s="2" t="s">
        <v>2347</v>
      </c>
      <c r="H664" s="2" t="s">
        <v>2348</v>
      </c>
      <c r="I664" s="2" t="s">
        <v>32</v>
      </c>
      <c r="J664" s="3">
        <v>44110</v>
      </c>
      <c r="K664" s="2">
        <v>61</v>
      </c>
      <c r="L664" s="2" t="s">
        <v>33</v>
      </c>
      <c r="M664" s="3"/>
    </row>
    <row r="665" spans="1:13" x14ac:dyDescent="0.3">
      <c r="A665" s="2">
        <v>664</v>
      </c>
      <c r="B665" s="2" t="s">
        <v>276</v>
      </c>
      <c r="C665" s="2" t="s">
        <v>2349</v>
      </c>
      <c r="D665" s="2" t="s">
        <v>15</v>
      </c>
      <c r="E665" s="2" t="s">
        <v>16</v>
      </c>
      <c r="F665" s="2">
        <v>60</v>
      </c>
      <c r="G665" s="2" t="s">
        <v>2350</v>
      </c>
      <c r="H665" s="2" t="s">
        <v>2351</v>
      </c>
      <c r="I665" s="2" t="s">
        <v>32</v>
      </c>
      <c r="J665" s="3">
        <v>44060</v>
      </c>
      <c r="K665" s="2">
        <v>84</v>
      </c>
      <c r="L665" s="2" t="s">
        <v>45</v>
      </c>
      <c r="M665" s="3"/>
    </row>
    <row r="666" spans="1:13" x14ac:dyDescent="0.3">
      <c r="A666" s="2">
        <v>665</v>
      </c>
      <c r="B666" s="2" t="s">
        <v>2352</v>
      </c>
      <c r="C666" s="2" t="s">
        <v>1840</v>
      </c>
      <c r="D666" s="2" t="s">
        <v>15</v>
      </c>
      <c r="E666" s="2" t="s">
        <v>16</v>
      </c>
      <c r="F666" s="2">
        <v>30</v>
      </c>
      <c r="G666" s="2" t="s">
        <v>2353</v>
      </c>
      <c r="H666" s="2" t="s">
        <v>2354</v>
      </c>
      <c r="I666" s="2" t="s">
        <v>178</v>
      </c>
      <c r="J666" s="3">
        <v>44675</v>
      </c>
      <c r="K666" s="2">
        <v>17</v>
      </c>
      <c r="L666" s="2" t="s">
        <v>39</v>
      </c>
      <c r="M666" s="3"/>
    </row>
    <row r="667" spans="1:13" x14ac:dyDescent="0.3">
      <c r="A667" s="2">
        <v>666</v>
      </c>
      <c r="B667" s="2" t="s">
        <v>1065</v>
      </c>
      <c r="C667" s="2" t="s">
        <v>2355</v>
      </c>
      <c r="D667" s="2" t="s">
        <v>28</v>
      </c>
      <c r="E667" s="2" t="s">
        <v>29</v>
      </c>
      <c r="F667" s="2">
        <v>30</v>
      </c>
      <c r="G667" s="2" t="s">
        <v>2356</v>
      </c>
      <c r="H667" s="2" t="s">
        <v>2357</v>
      </c>
      <c r="I667" s="2" t="s">
        <v>32</v>
      </c>
      <c r="J667" s="3">
        <v>44386</v>
      </c>
      <c r="K667" s="2">
        <v>75</v>
      </c>
      <c r="L667" s="2" t="s">
        <v>33</v>
      </c>
      <c r="M667" s="3"/>
    </row>
    <row r="668" spans="1:13" x14ac:dyDescent="0.3">
      <c r="A668" s="2">
        <v>667</v>
      </c>
      <c r="B668" s="2" t="s">
        <v>2358</v>
      </c>
      <c r="C668" s="2" t="s">
        <v>2359</v>
      </c>
      <c r="D668" s="2" t="s">
        <v>28</v>
      </c>
      <c r="E668" s="2" t="s">
        <v>29</v>
      </c>
      <c r="F668" s="2">
        <v>30</v>
      </c>
      <c r="G668" s="2" t="s">
        <v>2360</v>
      </c>
      <c r="H668" s="2" t="s">
        <v>2361</v>
      </c>
      <c r="I668" s="2" t="s">
        <v>110</v>
      </c>
      <c r="J668" s="3">
        <v>44378</v>
      </c>
      <c r="K668" s="2">
        <v>66</v>
      </c>
      <c r="L668" s="2" t="s">
        <v>54</v>
      </c>
      <c r="M668" s="3"/>
    </row>
    <row r="669" spans="1:13" x14ac:dyDescent="0.3">
      <c r="A669" s="2">
        <v>668</v>
      </c>
      <c r="B669" s="2" t="s">
        <v>2335</v>
      </c>
      <c r="C669" s="2" t="s">
        <v>2362</v>
      </c>
      <c r="D669" s="2" t="s">
        <v>28</v>
      </c>
      <c r="E669" s="2" t="s">
        <v>29</v>
      </c>
      <c r="F669" s="2">
        <v>90</v>
      </c>
      <c r="G669" s="2" t="s">
        <v>2363</v>
      </c>
      <c r="H669" s="2" t="s">
        <v>1732</v>
      </c>
      <c r="I669" s="2" t="s">
        <v>1733</v>
      </c>
      <c r="J669" s="3">
        <v>44385</v>
      </c>
      <c r="K669" s="2">
        <v>17</v>
      </c>
      <c r="L669" s="2" t="s">
        <v>70</v>
      </c>
      <c r="M669" s="3"/>
    </row>
    <row r="670" spans="1:13" x14ac:dyDescent="0.3">
      <c r="A670" s="2">
        <v>669</v>
      </c>
      <c r="B670" s="2" t="s">
        <v>2364</v>
      </c>
      <c r="C670" s="2" t="s">
        <v>2365</v>
      </c>
      <c r="D670" s="2" t="s">
        <v>28</v>
      </c>
      <c r="E670" s="2" t="s">
        <v>29</v>
      </c>
      <c r="F670" s="2">
        <v>30</v>
      </c>
      <c r="G670" s="2" t="s">
        <v>2363</v>
      </c>
      <c r="H670" s="2" t="s">
        <v>2366</v>
      </c>
      <c r="I670" s="2" t="s">
        <v>1367</v>
      </c>
      <c r="J670" s="3">
        <v>44439</v>
      </c>
      <c r="K670" s="2">
        <v>37</v>
      </c>
      <c r="L670" s="2" t="s">
        <v>80</v>
      </c>
      <c r="M670" s="3"/>
    </row>
    <row r="671" spans="1:13" x14ac:dyDescent="0.3">
      <c r="A671" s="2">
        <v>670</v>
      </c>
      <c r="B671" s="2" t="s">
        <v>2367</v>
      </c>
      <c r="C671" s="2" t="s">
        <v>2368</v>
      </c>
      <c r="D671" s="2" t="s">
        <v>28</v>
      </c>
      <c r="E671" s="2" t="s">
        <v>29</v>
      </c>
      <c r="F671" s="2">
        <v>30</v>
      </c>
      <c r="G671" s="2" t="s">
        <v>2369</v>
      </c>
      <c r="H671" s="2" t="s">
        <v>951</v>
      </c>
      <c r="I671" s="2" t="s">
        <v>95</v>
      </c>
      <c r="J671" s="3">
        <v>44014</v>
      </c>
      <c r="K671" s="2">
        <v>84</v>
      </c>
      <c r="L671" s="2" t="s">
        <v>159</v>
      </c>
      <c r="M671" s="3"/>
    </row>
    <row r="672" spans="1:13" x14ac:dyDescent="0.3">
      <c r="A672" s="2">
        <v>671</v>
      </c>
      <c r="B672" s="2" t="s">
        <v>2370</v>
      </c>
      <c r="C672" s="2" t="s">
        <v>2371</v>
      </c>
      <c r="D672" s="2" t="s">
        <v>51</v>
      </c>
      <c r="E672" s="2" t="s">
        <v>16</v>
      </c>
      <c r="F672" s="2">
        <v>30</v>
      </c>
      <c r="G672" s="2" t="s">
        <v>2372</v>
      </c>
      <c r="H672" s="2" t="s">
        <v>2373</v>
      </c>
      <c r="I672" s="2" t="s">
        <v>32</v>
      </c>
      <c r="J672" s="3">
        <v>44034</v>
      </c>
      <c r="K672" s="2">
        <v>9</v>
      </c>
      <c r="L672" s="2" t="s">
        <v>80</v>
      </c>
      <c r="M672" s="3"/>
    </row>
    <row r="673" spans="1:13" x14ac:dyDescent="0.3">
      <c r="A673" s="2">
        <v>672</v>
      </c>
      <c r="B673" s="2" t="s">
        <v>2374</v>
      </c>
      <c r="C673" s="2" t="s">
        <v>1356</v>
      </c>
      <c r="D673" s="2" t="s">
        <v>51</v>
      </c>
      <c r="E673" s="2" t="s">
        <v>16</v>
      </c>
      <c r="F673" s="2">
        <v>60</v>
      </c>
      <c r="G673" s="2" t="s">
        <v>2375</v>
      </c>
      <c r="H673" s="2" t="s">
        <v>2376</v>
      </c>
      <c r="I673" s="2" t="s">
        <v>32</v>
      </c>
      <c r="J673" s="3">
        <v>43898</v>
      </c>
      <c r="K673" s="2">
        <v>10</v>
      </c>
      <c r="L673" s="2" t="s">
        <v>159</v>
      </c>
      <c r="M673" s="3"/>
    </row>
    <row r="674" spans="1:13" x14ac:dyDescent="0.3">
      <c r="A674" s="2">
        <v>673</v>
      </c>
      <c r="B674" s="2" t="s">
        <v>2377</v>
      </c>
      <c r="C674" s="2" t="s">
        <v>2378</v>
      </c>
      <c r="D674" s="2" t="s">
        <v>41</v>
      </c>
      <c r="E674" s="2" t="s">
        <v>16</v>
      </c>
      <c r="F674" s="2">
        <v>30</v>
      </c>
      <c r="G674" s="2" t="s">
        <v>2379</v>
      </c>
      <c r="H674" s="2" t="s">
        <v>2380</v>
      </c>
      <c r="I674" s="2" t="s">
        <v>173</v>
      </c>
      <c r="J674" s="3">
        <v>44074</v>
      </c>
      <c r="K674" s="2">
        <v>76</v>
      </c>
      <c r="L674" s="2" t="s">
        <v>39</v>
      </c>
      <c r="M674" s="3"/>
    </row>
    <row r="675" spans="1:13" x14ac:dyDescent="0.3">
      <c r="A675" s="2">
        <v>674</v>
      </c>
      <c r="B675" s="2" t="s">
        <v>2381</v>
      </c>
      <c r="C675" s="2" t="s">
        <v>2382</v>
      </c>
      <c r="D675" s="2" t="s">
        <v>28</v>
      </c>
      <c r="E675" s="2" t="s">
        <v>29</v>
      </c>
      <c r="F675" s="2">
        <v>30</v>
      </c>
      <c r="G675" s="2" t="s">
        <v>2383</v>
      </c>
      <c r="H675" s="2" t="s">
        <v>641</v>
      </c>
      <c r="I675" s="2" t="s">
        <v>294</v>
      </c>
      <c r="J675" s="3">
        <v>44826</v>
      </c>
      <c r="K675" s="2">
        <v>7</v>
      </c>
      <c r="L675" s="2" t="s">
        <v>45</v>
      </c>
      <c r="M675" s="3"/>
    </row>
    <row r="676" spans="1:13" x14ac:dyDescent="0.3">
      <c r="A676" s="2">
        <v>675</v>
      </c>
      <c r="B676" s="2" t="s">
        <v>2384</v>
      </c>
      <c r="C676" s="2" t="s">
        <v>2385</v>
      </c>
      <c r="D676" s="2" t="s">
        <v>28</v>
      </c>
      <c r="E676" s="2" t="s">
        <v>29</v>
      </c>
      <c r="F676" s="2">
        <v>60</v>
      </c>
      <c r="G676" s="2" t="s">
        <v>2386</v>
      </c>
      <c r="H676" s="2" t="s">
        <v>2387</v>
      </c>
      <c r="I676" s="2" t="s">
        <v>146</v>
      </c>
      <c r="J676" s="3">
        <v>44881</v>
      </c>
      <c r="K676" s="2">
        <v>101</v>
      </c>
      <c r="L676" s="2" t="s">
        <v>159</v>
      </c>
      <c r="M676" s="3"/>
    </row>
    <row r="677" spans="1:13" x14ac:dyDescent="0.3">
      <c r="A677" s="2">
        <v>676</v>
      </c>
      <c r="B677" s="2" t="s">
        <v>2388</v>
      </c>
      <c r="C677" s="2" t="s">
        <v>2389</v>
      </c>
      <c r="D677" s="2" t="s">
        <v>28</v>
      </c>
      <c r="E677" s="2" t="s">
        <v>29</v>
      </c>
      <c r="F677" s="2">
        <v>60</v>
      </c>
      <c r="G677" s="2" t="s">
        <v>2390</v>
      </c>
      <c r="H677" s="2" t="s">
        <v>1619</v>
      </c>
      <c r="I677" s="2" t="s">
        <v>44</v>
      </c>
      <c r="J677" s="3">
        <v>44290</v>
      </c>
      <c r="K677" s="2">
        <v>61</v>
      </c>
      <c r="L677" s="2" t="s">
        <v>101</v>
      </c>
      <c r="M677" s="3"/>
    </row>
    <row r="678" spans="1:13" x14ac:dyDescent="0.3">
      <c r="A678" s="2">
        <v>677</v>
      </c>
      <c r="B678" s="2" t="s">
        <v>2391</v>
      </c>
      <c r="C678" s="2" t="s">
        <v>2392</v>
      </c>
      <c r="D678" s="2" t="s">
        <v>15</v>
      </c>
      <c r="E678" s="2" t="s">
        <v>16</v>
      </c>
      <c r="F678" s="2">
        <v>30</v>
      </c>
      <c r="G678" s="2" t="s">
        <v>2390</v>
      </c>
      <c r="H678" s="2" t="s">
        <v>2393</v>
      </c>
      <c r="I678" s="2" t="s">
        <v>1449</v>
      </c>
      <c r="J678" s="3">
        <v>44457</v>
      </c>
      <c r="K678" s="2">
        <v>91</v>
      </c>
      <c r="L678" s="2" t="s">
        <v>64</v>
      </c>
      <c r="M678" s="3"/>
    </row>
    <row r="679" spans="1:13" x14ac:dyDescent="0.3">
      <c r="A679" s="2">
        <v>678</v>
      </c>
      <c r="B679" s="2" t="s">
        <v>2394</v>
      </c>
      <c r="C679" s="2" t="s">
        <v>2395</v>
      </c>
      <c r="D679" s="2" t="s">
        <v>15</v>
      </c>
      <c r="E679" s="2" t="s">
        <v>16</v>
      </c>
      <c r="F679" s="2">
        <v>30</v>
      </c>
      <c r="G679" s="2" t="s">
        <v>2396</v>
      </c>
      <c r="H679" s="2" t="s">
        <v>2397</v>
      </c>
      <c r="I679" s="2" t="s">
        <v>187</v>
      </c>
      <c r="J679" s="3">
        <v>44721</v>
      </c>
      <c r="K679" s="2">
        <v>86</v>
      </c>
      <c r="L679" s="2" t="s">
        <v>80</v>
      </c>
      <c r="M679" s="3"/>
    </row>
    <row r="680" spans="1:13" x14ac:dyDescent="0.3">
      <c r="A680" s="2">
        <v>679</v>
      </c>
      <c r="B680" s="2" t="s">
        <v>2398</v>
      </c>
      <c r="C680" s="2" t="s">
        <v>2399</v>
      </c>
      <c r="D680" s="2" t="s">
        <v>28</v>
      </c>
      <c r="E680" s="2" t="s">
        <v>29</v>
      </c>
      <c r="F680" s="2">
        <v>90</v>
      </c>
      <c r="G680" s="2" t="s">
        <v>2400</v>
      </c>
      <c r="H680" s="2" t="s">
        <v>2401</v>
      </c>
      <c r="I680" s="2" t="s">
        <v>178</v>
      </c>
      <c r="J680" s="3">
        <v>44358</v>
      </c>
      <c r="K680" s="2">
        <v>60</v>
      </c>
      <c r="L680" s="2" t="s">
        <v>54</v>
      </c>
      <c r="M680" s="3"/>
    </row>
    <row r="681" spans="1:13" x14ac:dyDescent="0.3">
      <c r="A681" s="2">
        <v>680</v>
      </c>
      <c r="B681" s="2" t="s">
        <v>2402</v>
      </c>
      <c r="C681" s="2" t="s">
        <v>1863</v>
      </c>
      <c r="D681" s="2" t="s">
        <v>28</v>
      </c>
      <c r="E681" s="2" t="s">
        <v>29</v>
      </c>
      <c r="F681" s="2">
        <v>60</v>
      </c>
      <c r="G681" s="2" t="s">
        <v>2403</v>
      </c>
      <c r="H681" s="2" t="s">
        <v>2404</v>
      </c>
      <c r="I681" s="2" t="s">
        <v>886</v>
      </c>
      <c r="J681" s="3">
        <v>44337</v>
      </c>
      <c r="K681" s="2">
        <v>68</v>
      </c>
      <c r="L681" s="2" t="s">
        <v>159</v>
      </c>
      <c r="M681" s="3"/>
    </row>
    <row r="682" spans="1:13" x14ac:dyDescent="0.3">
      <c r="A682" s="2">
        <v>681</v>
      </c>
      <c r="B682" s="2" t="s">
        <v>2405</v>
      </c>
      <c r="C682" s="2" t="s">
        <v>2406</v>
      </c>
      <c r="D682" s="2" t="s">
        <v>28</v>
      </c>
      <c r="E682" s="2" t="s">
        <v>29</v>
      </c>
      <c r="F682" s="2">
        <v>90</v>
      </c>
      <c r="G682" s="2" t="s">
        <v>2407</v>
      </c>
      <c r="H682" s="2" t="s">
        <v>2408</v>
      </c>
      <c r="I682" s="2" t="s">
        <v>187</v>
      </c>
      <c r="J682" s="3">
        <v>44463</v>
      </c>
      <c r="K682" s="2">
        <v>61</v>
      </c>
      <c r="L682" s="2" t="s">
        <v>33</v>
      </c>
      <c r="M682" s="3"/>
    </row>
    <row r="683" spans="1:13" x14ac:dyDescent="0.3">
      <c r="A683" s="2">
        <v>682</v>
      </c>
      <c r="B683" s="2" t="s">
        <v>2409</v>
      </c>
      <c r="C683" s="2" t="s">
        <v>2410</v>
      </c>
      <c r="D683" s="2" t="s">
        <v>28</v>
      </c>
      <c r="E683" s="2" t="s">
        <v>29</v>
      </c>
      <c r="F683" s="2">
        <v>90</v>
      </c>
      <c r="G683" s="2" t="s">
        <v>2407</v>
      </c>
      <c r="H683" s="2" t="s">
        <v>2411</v>
      </c>
      <c r="I683" s="2" t="s">
        <v>25</v>
      </c>
      <c r="J683" s="3">
        <v>44535</v>
      </c>
      <c r="K683" s="2">
        <v>69</v>
      </c>
      <c r="L683" s="2" t="s">
        <v>20</v>
      </c>
      <c r="M683" s="3"/>
    </row>
    <row r="684" spans="1:13" x14ac:dyDescent="0.3">
      <c r="A684" s="2">
        <v>683</v>
      </c>
      <c r="B684" s="2" t="s">
        <v>2412</v>
      </c>
      <c r="C684" s="2" t="s">
        <v>2413</v>
      </c>
      <c r="D684" s="2" t="s">
        <v>28</v>
      </c>
      <c r="E684" s="2" t="s">
        <v>29</v>
      </c>
      <c r="F684" s="2">
        <v>60</v>
      </c>
      <c r="G684" s="2" t="s">
        <v>2414</v>
      </c>
      <c r="H684" s="2" t="s">
        <v>451</v>
      </c>
      <c r="I684" s="2" t="s">
        <v>294</v>
      </c>
      <c r="J684" s="3">
        <v>44292</v>
      </c>
      <c r="K684" s="2">
        <v>27</v>
      </c>
      <c r="L684" s="2" t="s">
        <v>45</v>
      </c>
      <c r="M684" s="3"/>
    </row>
    <row r="685" spans="1:13" x14ac:dyDescent="0.3">
      <c r="A685" s="2">
        <v>684</v>
      </c>
      <c r="B685" s="2" t="s">
        <v>2415</v>
      </c>
      <c r="C685" s="2" t="s">
        <v>2416</v>
      </c>
      <c r="D685" s="2" t="s">
        <v>28</v>
      </c>
      <c r="E685" s="2" t="s">
        <v>29</v>
      </c>
      <c r="F685" s="2">
        <v>30</v>
      </c>
      <c r="G685" s="2" t="s">
        <v>2417</v>
      </c>
      <c r="H685" s="2" t="s">
        <v>2418</v>
      </c>
      <c r="I685" s="2" t="s">
        <v>32</v>
      </c>
      <c r="J685" s="3">
        <v>44379</v>
      </c>
      <c r="K685" s="2">
        <v>64</v>
      </c>
      <c r="L685" s="2" t="s">
        <v>20</v>
      </c>
      <c r="M685" s="3"/>
    </row>
    <row r="686" spans="1:13" x14ac:dyDescent="0.3">
      <c r="A686" s="2">
        <v>685</v>
      </c>
      <c r="B686" s="2" t="s">
        <v>2419</v>
      </c>
      <c r="C686" s="2" t="s">
        <v>1286</v>
      </c>
      <c r="D686" s="2" t="s">
        <v>15</v>
      </c>
      <c r="E686" s="2" t="s">
        <v>16</v>
      </c>
      <c r="F686" s="2">
        <v>90</v>
      </c>
      <c r="G686" s="2" t="s">
        <v>2420</v>
      </c>
      <c r="H686" s="2" t="s">
        <v>1977</v>
      </c>
      <c r="I686" s="2" t="s">
        <v>124</v>
      </c>
      <c r="J686" s="3">
        <v>44039</v>
      </c>
      <c r="K686" s="2">
        <v>7</v>
      </c>
      <c r="L686" s="2" t="s">
        <v>64</v>
      </c>
      <c r="M686" s="3"/>
    </row>
    <row r="687" spans="1:13" x14ac:dyDescent="0.3">
      <c r="A687" s="2">
        <v>686</v>
      </c>
      <c r="B687" s="2" t="s">
        <v>2421</v>
      </c>
      <c r="C687" s="2" t="s">
        <v>2422</v>
      </c>
      <c r="D687" s="2" t="s">
        <v>51</v>
      </c>
      <c r="E687" s="2" t="s">
        <v>16</v>
      </c>
      <c r="F687" s="2">
        <v>90</v>
      </c>
      <c r="G687" s="2" t="s">
        <v>2423</v>
      </c>
      <c r="H687" s="2" t="s">
        <v>491</v>
      </c>
      <c r="I687" s="2" t="s">
        <v>32</v>
      </c>
      <c r="J687" s="3">
        <v>44548</v>
      </c>
      <c r="K687" s="2">
        <v>70</v>
      </c>
      <c r="L687" s="2" t="s">
        <v>54</v>
      </c>
      <c r="M687" s="3"/>
    </row>
    <row r="688" spans="1:13" x14ac:dyDescent="0.3">
      <c r="A688" s="2">
        <v>687</v>
      </c>
      <c r="B688" s="2" t="s">
        <v>2424</v>
      </c>
      <c r="C688" s="2" t="s">
        <v>1669</v>
      </c>
      <c r="D688" s="2" t="s">
        <v>28</v>
      </c>
      <c r="E688" s="2" t="s">
        <v>29</v>
      </c>
      <c r="F688" s="2">
        <v>90</v>
      </c>
      <c r="G688" s="2" t="s">
        <v>2425</v>
      </c>
      <c r="H688" s="2" t="s">
        <v>776</v>
      </c>
      <c r="I688" s="2" t="s">
        <v>777</v>
      </c>
      <c r="J688" s="3">
        <v>44064</v>
      </c>
      <c r="K688" s="2">
        <v>57</v>
      </c>
      <c r="L688" s="2" t="s">
        <v>80</v>
      </c>
      <c r="M688" s="3"/>
    </row>
    <row r="689" spans="1:13" x14ac:dyDescent="0.3">
      <c r="A689" s="2">
        <v>688</v>
      </c>
      <c r="B689" s="2" t="s">
        <v>2426</v>
      </c>
      <c r="C689" s="2" t="s">
        <v>2427</v>
      </c>
      <c r="D689" s="2" t="s">
        <v>28</v>
      </c>
      <c r="E689" s="2" t="s">
        <v>29</v>
      </c>
      <c r="F689" s="2">
        <v>60</v>
      </c>
      <c r="G689" s="2" t="s">
        <v>2425</v>
      </c>
      <c r="H689" s="2" t="s">
        <v>502</v>
      </c>
      <c r="I689" s="2" t="s">
        <v>294</v>
      </c>
      <c r="J689" s="3">
        <v>44662</v>
      </c>
      <c r="K689" s="2">
        <v>42</v>
      </c>
      <c r="L689" s="2" t="s">
        <v>45</v>
      </c>
      <c r="M689" s="3"/>
    </row>
    <row r="690" spans="1:13" x14ac:dyDescent="0.3">
      <c r="A690" s="2">
        <v>689</v>
      </c>
      <c r="B690" s="2" t="s">
        <v>905</v>
      </c>
      <c r="C690" s="2" t="s">
        <v>2428</v>
      </c>
      <c r="D690" s="2" t="s">
        <v>28</v>
      </c>
      <c r="E690" s="2" t="s">
        <v>29</v>
      </c>
      <c r="F690" s="2">
        <v>60</v>
      </c>
      <c r="G690" s="2" t="s">
        <v>2429</v>
      </c>
      <c r="H690" s="2" t="s">
        <v>2341</v>
      </c>
      <c r="I690" s="2" t="s">
        <v>2342</v>
      </c>
      <c r="J690" s="3">
        <v>44320</v>
      </c>
      <c r="K690" s="2">
        <v>24</v>
      </c>
      <c r="L690" s="2" t="s">
        <v>64</v>
      </c>
      <c r="M690" s="3"/>
    </row>
    <row r="691" spans="1:13" x14ac:dyDescent="0.3">
      <c r="A691" s="2">
        <v>690</v>
      </c>
      <c r="B691" s="2" t="s">
        <v>2430</v>
      </c>
      <c r="C691" s="2" t="s">
        <v>2431</v>
      </c>
      <c r="D691" s="2" t="s">
        <v>28</v>
      </c>
      <c r="E691" s="2" t="s">
        <v>29</v>
      </c>
      <c r="F691" s="2">
        <v>30</v>
      </c>
      <c r="G691" s="2" t="s">
        <v>2432</v>
      </c>
      <c r="H691" s="2" t="s">
        <v>18</v>
      </c>
      <c r="I691" s="2" t="s">
        <v>19</v>
      </c>
      <c r="J691" s="3">
        <v>44783</v>
      </c>
      <c r="K691" s="2">
        <v>82</v>
      </c>
      <c r="L691" s="2" t="s">
        <v>45</v>
      </c>
      <c r="M691" s="3"/>
    </row>
    <row r="692" spans="1:13" x14ac:dyDescent="0.3">
      <c r="A692" s="2">
        <v>691</v>
      </c>
      <c r="B692" s="2" t="s">
        <v>2433</v>
      </c>
      <c r="C692" s="2" t="s">
        <v>2434</v>
      </c>
      <c r="D692" s="2" t="s">
        <v>51</v>
      </c>
      <c r="E692" s="2" t="s">
        <v>16</v>
      </c>
      <c r="F692" s="2">
        <v>30</v>
      </c>
      <c r="G692" s="2" t="s">
        <v>2435</v>
      </c>
      <c r="H692" s="2" t="s">
        <v>2436</v>
      </c>
      <c r="I692" s="2" t="s">
        <v>294</v>
      </c>
      <c r="J692" s="3">
        <v>44729</v>
      </c>
      <c r="K692" s="2">
        <v>34</v>
      </c>
      <c r="L692" s="2" t="s">
        <v>39</v>
      </c>
      <c r="M692" s="3"/>
    </row>
    <row r="693" spans="1:13" x14ac:dyDescent="0.3">
      <c r="A693" s="2">
        <v>692</v>
      </c>
      <c r="B693" s="2" t="s">
        <v>2437</v>
      </c>
      <c r="C693" s="2" t="s">
        <v>2438</v>
      </c>
      <c r="D693" s="2" t="s">
        <v>28</v>
      </c>
      <c r="E693" s="2" t="s">
        <v>29</v>
      </c>
      <c r="F693" s="2">
        <v>30</v>
      </c>
      <c r="G693" s="2" t="s">
        <v>2435</v>
      </c>
      <c r="H693" s="2" t="s">
        <v>311</v>
      </c>
      <c r="I693" s="2" t="s">
        <v>32</v>
      </c>
      <c r="J693" s="3">
        <v>44117</v>
      </c>
      <c r="K693" s="2">
        <v>34</v>
      </c>
      <c r="L693" s="2" t="s">
        <v>45</v>
      </c>
      <c r="M693" s="3"/>
    </row>
    <row r="694" spans="1:13" x14ac:dyDescent="0.3">
      <c r="A694" s="2">
        <v>693</v>
      </c>
      <c r="B694" s="2" t="s">
        <v>2439</v>
      </c>
      <c r="C694" s="2" t="s">
        <v>1154</v>
      </c>
      <c r="D694" s="2" t="s">
        <v>15</v>
      </c>
      <c r="E694" s="2" t="s">
        <v>16</v>
      </c>
      <c r="F694" s="2">
        <v>90</v>
      </c>
      <c r="G694" s="2" t="s">
        <v>2440</v>
      </c>
      <c r="H694" s="2" t="s">
        <v>2441</v>
      </c>
      <c r="I694" s="2" t="s">
        <v>1199</v>
      </c>
      <c r="J694" s="3">
        <v>44154</v>
      </c>
      <c r="K694" s="2">
        <v>11</v>
      </c>
      <c r="L694" s="2" t="s">
        <v>39</v>
      </c>
      <c r="M694" s="3"/>
    </row>
    <row r="695" spans="1:13" x14ac:dyDescent="0.3">
      <c r="A695" s="2">
        <v>694</v>
      </c>
      <c r="B695" s="2" t="s">
        <v>2442</v>
      </c>
      <c r="C695" s="2" t="s">
        <v>1935</v>
      </c>
      <c r="D695" s="2" t="s">
        <v>92</v>
      </c>
      <c r="E695" s="2" t="s">
        <v>16</v>
      </c>
      <c r="F695" s="2">
        <v>90</v>
      </c>
      <c r="G695" s="2" t="s">
        <v>2443</v>
      </c>
      <c r="H695" s="2" t="s">
        <v>2444</v>
      </c>
      <c r="I695" s="2" t="s">
        <v>32</v>
      </c>
      <c r="J695" s="3">
        <v>43909</v>
      </c>
      <c r="K695" s="2">
        <v>85</v>
      </c>
      <c r="L695" s="2" t="s">
        <v>39</v>
      </c>
      <c r="M695" s="3"/>
    </row>
    <row r="696" spans="1:13" x14ac:dyDescent="0.3">
      <c r="A696" s="2">
        <v>695</v>
      </c>
      <c r="B696" s="2" t="s">
        <v>2445</v>
      </c>
      <c r="C696" s="2" t="s">
        <v>1251</v>
      </c>
      <c r="D696" s="2" t="s">
        <v>28</v>
      </c>
      <c r="E696" s="2" t="s">
        <v>29</v>
      </c>
      <c r="F696" s="2">
        <v>90</v>
      </c>
      <c r="G696" s="2" t="s">
        <v>2446</v>
      </c>
      <c r="H696" s="2" t="s">
        <v>2447</v>
      </c>
      <c r="I696" s="2" t="s">
        <v>1869</v>
      </c>
      <c r="J696" s="3">
        <v>44175</v>
      </c>
      <c r="K696" s="2">
        <v>20</v>
      </c>
      <c r="L696" s="2" t="s">
        <v>20</v>
      </c>
      <c r="M696" s="3"/>
    </row>
    <row r="697" spans="1:13" x14ac:dyDescent="0.3">
      <c r="A697" s="2">
        <v>696</v>
      </c>
      <c r="B697" s="2" t="s">
        <v>2448</v>
      </c>
      <c r="C697" s="2" t="s">
        <v>2449</v>
      </c>
      <c r="D697" s="2" t="s">
        <v>28</v>
      </c>
      <c r="E697" s="2" t="s">
        <v>29</v>
      </c>
      <c r="F697" s="2">
        <v>30</v>
      </c>
      <c r="G697" s="2" t="s">
        <v>2450</v>
      </c>
      <c r="H697" s="2" t="s">
        <v>1845</v>
      </c>
      <c r="I697" s="2" t="s">
        <v>294</v>
      </c>
      <c r="J697" s="3">
        <v>44516</v>
      </c>
      <c r="K697" s="2">
        <v>31</v>
      </c>
      <c r="L697" s="2" t="s">
        <v>101</v>
      </c>
      <c r="M697" s="3"/>
    </row>
    <row r="698" spans="1:13" x14ac:dyDescent="0.3">
      <c r="A698" s="2">
        <v>697</v>
      </c>
      <c r="B698" s="2" t="s">
        <v>2206</v>
      </c>
      <c r="C698" s="2" t="s">
        <v>2451</v>
      </c>
      <c r="D698" s="2" t="s">
        <v>28</v>
      </c>
      <c r="E698" s="2" t="s">
        <v>29</v>
      </c>
      <c r="F698" s="2">
        <v>90</v>
      </c>
      <c r="G698" s="2" t="s">
        <v>2450</v>
      </c>
      <c r="H698" s="2" t="s">
        <v>275</v>
      </c>
      <c r="I698" s="2" t="s">
        <v>32</v>
      </c>
      <c r="J698" s="3">
        <v>44322</v>
      </c>
      <c r="K698" s="2">
        <v>18</v>
      </c>
      <c r="L698" s="2" t="s">
        <v>33</v>
      </c>
      <c r="M698" s="3"/>
    </row>
    <row r="699" spans="1:13" x14ac:dyDescent="0.3">
      <c r="A699" s="2">
        <v>698</v>
      </c>
      <c r="B699" s="2" t="s">
        <v>2452</v>
      </c>
      <c r="C699" s="2" t="s">
        <v>2453</v>
      </c>
      <c r="D699" s="2" t="s">
        <v>15</v>
      </c>
      <c r="E699" s="2" t="s">
        <v>16</v>
      </c>
      <c r="F699" s="2">
        <v>90</v>
      </c>
      <c r="G699" s="2" t="s">
        <v>2454</v>
      </c>
      <c r="H699" s="2" t="s">
        <v>2336</v>
      </c>
      <c r="I699" s="2" t="s">
        <v>32</v>
      </c>
      <c r="J699" s="3">
        <v>44620</v>
      </c>
      <c r="K699" s="2">
        <v>10</v>
      </c>
      <c r="L699" s="2" t="s">
        <v>54</v>
      </c>
      <c r="M699" s="3"/>
    </row>
    <row r="700" spans="1:13" x14ac:dyDescent="0.3">
      <c r="A700" s="2">
        <v>699</v>
      </c>
      <c r="B700" s="2" t="s">
        <v>2455</v>
      </c>
      <c r="C700" s="2" t="s">
        <v>1710</v>
      </c>
      <c r="D700" s="2" t="s">
        <v>51</v>
      </c>
      <c r="E700" s="2" t="s">
        <v>16</v>
      </c>
      <c r="F700" s="2">
        <v>30</v>
      </c>
      <c r="G700" s="2" t="s">
        <v>2456</v>
      </c>
      <c r="H700" s="2" t="s">
        <v>641</v>
      </c>
      <c r="I700" s="2" t="s">
        <v>294</v>
      </c>
      <c r="J700" s="3">
        <v>44925</v>
      </c>
      <c r="K700" s="2">
        <v>17</v>
      </c>
      <c r="L700" s="2" t="s">
        <v>80</v>
      </c>
      <c r="M700" s="3"/>
    </row>
    <row r="701" spans="1:13" x14ac:dyDescent="0.3">
      <c r="A701" s="2">
        <v>700</v>
      </c>
      <c r="B701" s="2" t="s">
        <v>2457</v>
      </c>
      <c r="C701" s="2" t="s">
        <v>2458</v>
      </c>
      <c r="D701" s="2" t="s">
        <v>51</v>
      </c>
      <c r="E701" s="2" t="s">
        <v>16</v>
      </c>
      <c r="F701" s="2">
        <v>30</v>
      </c>
      <c r="G701" s="2" t="s">
        <v>2459</v>
      </c>
      <c r="H701" s="2" t="s">
        <v>346</v>
      </c>
      <c r="I701" s="2" t="s">
        <v>32</v>
      </c>
      <c r="J701" s="3">
        <v>43985</v>
      </c>
      <c r="K701" s="2">
        <v>44</v>
      </c>
      <c r="L701" s="2" t="s">
        <v>70</v>
      </c>
      <c r="M701" s="3"/>
    </row>
    <row r="702" spans="1:13" x14ac:dyDescent="0.3">
      <c r="A702" s="2">
        <v>701</v>
      </c>
      <c r="B702" s="2" t="s">
        <v>2460</v>
      </c>
      <c r="C702" s="2" t="s">
        <v>2461</v>
      </c>
      <c r="D702" s="2" t="s">
        <v>51</v>
      </c>
      <c r="E702" s="2" t="s">
        <v>16</v>
      </c>
      <c r="F702" s="2">
        <v>90</v>
      </c>
      <c r="G702" s="2" t="s">
        <v>2462</v>
      </c>
      <c r="H702" s="2" t="s">
        <v>2049</v>
      </c>
      <c r="I702" s="2" t="s">
        <v>32</v>
      </c>
      <c r="J702" s="3">
        <v>44887</v>
      </c>
      <c r="K702" s="2">
        <v>53</v>
      </c>
      <c r="L702" s="2" t="s">
        <v>39</v>
      </c>
      <c r="M702" s="3"/>
    </row>
    <row r="703" spans="1:13" x14ac:dyDescent="0.3">
      <c r="A703" s="2">
        <v>702</v>
      </c>
      <c r="B703" s="2" t="s">
        <v>2463</v>
      </c>
      <c r="C703" s="2" t="s">
        <v>1573</v>
      </c>
      <c r="D703" s="2" t="s">
        <v>15</v>
      </c>
      <c r="E703" s="2" t="s">
        <v>16</v>
      </c>
      <c r="F703" s="2">
        <v>60</v>
      </c>
      <c r="G703" s="2" t="s">
        <v>2464</v>
      </c>
      <c r="H703" s="2" t="s">
        <v>1845</v>
      </c>
      <c r="I703" s="2" t="s">
        <v>294</v>
      </c>
      <c r="J703" s="3">
        <v>44775</v>
      </c>
      <c r="K703" s="2">
        <v>17</v>
      </c>
      <c r="L703" s="2" t="s">
        <v>54</v>
      </c>
      <c r="M703" s="3"/>
    </row>
    <row r="704" spans="1:13" x14ac:dyDescent="0.3">
      <c r="A704" s="2">
        <v>703</v>
      </c>
      <c r="B704" s="2" t="s">
        <v>2465</v>
      </c>
      <c r="C704" s="2" t="s">
        <v>653</v>
      </c>
      <c r="D704" s="2" t="s">
        <v>51</v>
      </c>
      <c r="E704" s="2" t="s">
        <v>16</v>
      </c>
      <c r="F704" s="2">
        <v>90</v>
      </c>
      <c r="G704" s="2" t="s">
        <v>2466</v>
      </c>
      <c r="H704" s="2" t="s">
        <v>641</v>
      </c>
      <c r="I704" s="2" t="s">
        <v>294</v>
      </c>
      <c r="J704" s="3">
        <v>43882</v>
      </c>
      <c r="K704" s="2">
        <v>70</v>
      </c>
      <c r="L704" s="2" t="s">
        <v>20</v>
      </c>
      <c r="M704" s="3"/>
    </row>
    <row r="705" spans="1:13" x14ac:dyDescent="0.3">
      <c r="A705" s="2">
        <v>704</v>
      </c>
      <c r="B705" s="2" t="s">
        <v>200</v>
      </c>
      <c r="C705" s="2" t="s">
        <v>2467</v>
      </c>
      <c r="D705" s="2" t="s">
        <v>15</v>
      </c>
      <c r="E705" s="2" t="s">
        <v>16</v>
      </c>
      <c r="F705" s="2">
        <v>30</v>
      </c>
      <c r="G705" s="2" t="s">
        <v>2468</v>
      </c>
      <c r="H705" s="2" t="s">
        <v>2469</v>
      </c>
      <c r="I705" s="2" t="s">
        <v>32</v>
      </c>
      <c r="J705" s="3">
        <v>44571</v>
      </c>
      <c r="K705" s="2">
        <v>78</v>
      </c>
      <c r="L705" s="2" t="s">
        <v>159</v>
      </c>
      <c r="M705" s="3"/>
    </row>
    <row r="706" spans="1:13" x14ac:dyDescent="0.3">
      <c r="A706" s="2">
        <v>705</v>
      </c>
      <c r="B706" s="2" t="s">
        <v>2470</v>
      </c>
      <c r="C706" s="2" t="s">
        <v>2471</v>
      </c>
      <c r="D706" s="2" t="s">
        <v>28</v>
      </c>
      <c r="E706" s="2" t="s">
        <v>29</v>
      </c>
      <c r="F706" s="2">
        <v>90</v>
      </c>
      <c r="G706" s="2" t="s">
        <v>2472</v>
      </c>
      <c r="H706" s="2" t="s">
        <v>123</v>
      </c>
      <c r="I706" s="2" t="s">
        <v>124</v>
      </c>
      <c r="J706" s="3">
        <v>44420</v>
      </c>
      <c r="K706" s="2">
        <v>47</v>
      </c>
      <c r="L706" s="2" t="s">
        <v>70</v>
      </c>
      <c r="M706" s="3"/>
    </row>
    <row r="707" spans="1:13" x14ac:dyDescent="0.3">
      <c r="A707" s="2">
        <v>706</v>
      </c>
      <c r="B707" s="2" t="s">
        <v>2473</v>
      </c>
      <c r="C707" s="2" t="s">
        <v>2474</v>
      </c>
      <c r="D707" s="2" t="s">
        <v>51</v>
      </c>
      <c r="E707" s="2" t="s">
        <v>16</v>
      </c>
      <c r="F707" s="2">
        <v>90</v>
      </c>
      <c r="G707" s="2" t="s">
        <v>2475</v>
      </c>
      <c r="H707" s="2" t="s">
        <v>2476</v>
      </c>
      <c r="I707" s="2" t="s">
        <v>38</v>
      </c>
      <c r="J707" s="3">
        <v>44673</v>
      </c>
      <c r="K707" s="2">
        <v>87</v>
      </c>
      <c r="L707" s="2" t="s">
        <v>20</v>
      </c>
      <c r="M707" s="3"/>
    </row>
    <row r="708" spans="1:13" x14ac:dyDescent="0.3">
      <c r="A708" s="2">
        <v>707</v>
      </c>
      <c r="B708" s="2" t="s">
        <v>2477</v>
      </c>
      <c r="C708" s="2" t="s">
        <v>1979</v>
      </c>
      <c r="D708" s="2" t="s">
        <v>28</v>
      </c>
      <c r="E708" s="2" t="s">
        <v>29</v>
      </c>
      <c r="F708" s="2">
        <v>90</v>
      </c>
      <c r="G708" s="2" t="s">
        <v>2478</v>
      </c>
      <c r="H708" s="2" t="s">
        <v>2479</v>
      </c>
      <c r="I708" s="2" t="s">
        <v>1233</v>
      </c>
      <c r="J708" s="3">
        <v>44439</v>
      </c>
      <c r="K708" s="2">
        <v>88</v>
      </c>
      <c r="L708" s="2" t="s">
        <v>39</v>
      </c>
      <c r="M708" s="3"/>
    </row>
    <row r="709" spans="1:13" x14ac:dyDescent="0.3">
      <c r="A709" s="2">
        <v>708</v>
      </c>
      <c r="B709" s="2" t="s">
        <v>2480</v>
      </c>
      <c r="C709" s="2" t="s">
        <v>2174</v>
      </c>
      <c r="D709" s="2" t="s">
        <v>28</v>
      </c>
      <c r="E709" s="2" t="s">
        <v>29</v>
      </c>
      <c r="F709" s="2">
        <v>90</v>
      </c>
      <c r="G709" s="2" t="s">
        <v>2478</v>
      </c>
      <c r="H709" s="2" t="s">
        <v>641</v>
      </c>
      <c r="I709" s="2" t="s">
        <v>294</v>
      </c>
      <c r="J709" s="3">
        <v>44691</v>
      </c>
      <c r="K709" s="2">
        <v>100</v>
      </c>
      <c r="L709" s="2" t="s">
        <v>54</v>
      </c>
      <c r="M709" s="3"/>
    </row>
    <row r="710" spans="1:13" x14ac:dyDescent="0.3">
      <c r="A710" s="2">
        <v>709</v>
      </c>
      <c r="B710" s="2" t="s">
        <v>2481</v>
      </c>
      <c r="C710" s="2" t="s">
        <v>580</v>
      </c>
      <c r="D710" s="2" t="s">
        <v>51</v>
      </c>
      <c r="E710" s="2" t="s">
        <v>16</v>
      </c>
      <c r="F710" s="2">
        <v>90</v>
      </c>
      <c r="G710" s="2" t="s">
        <v>2482</v>
      </c>
      <c r="H710" s="2" t="s">
        <v>2483</v>
      </c>
      <c r="I710" s="2" t="s">
        <v>1199</v>
      </c>
      <c r="J710" s="3">
        <v>44424</v>
      </c>
      <c r="K710" s="2">
        <v>35</v>
      </c>
      <c r="L710" s="2" t="s">
        <v>70</v>
      </c>
      <c r="M710" s="3"/>
    </row>
    <row r="711" spans="1:13" x14ac:dyDescent="0.3">
      <c r="A711" s="2">
        <v>710</v>
      </c>
      <c r="B711" s="2" t="s">
        <v>2484</v>
      </c>
      <c r="C711" s="2" t="s">
        <v>2485</v>
      </c>
      <c r="D711" s="2" t="s">
        <v>15</v>
      </c>
      <c r="E711" s="2" t="s">
        <v>16</v>
      </c>
      <c r="F711" s="2">
        <v>30</v>
      </c>
      <c r="G711" s="2" t="s">
        <v>2486</v>
      </c>
      <c r="H711" s="2" t="s">
        <v>1712</v>
      </c>
      <c r="I711" s="2" t="s">
        <v>187</v>
      </c>
      <c r="J711" s="3">
        <v>44336</v>
      </c>
      <c r="K711" s="2">
        <v>45</v>
      </c>
      <c r="L711" s="2" t="s">
        <v>64</v>
      </c>
      <c r="M711" s="3"/>
    </row>
    <row r="712" spans="1:13" x14ac:dyDescent="0.3">
      <c r="A712" s="2">
        <v>711</v>
      </c>
      <c r="B712" s="2" t="s">
        <v>2487</v>
      </c>
      <c r="C712" s="2" t="s">
        <v>2488</v>
      </c>
      <c r="D712" s="2" t="s">
        <v>41</v>
      </c>
      <c r="E712" s="2" t="s">
        <v>16</v>
      </c>
      <c r="F712" s="2">
        <v>60</v>
      </c>
      <c r="G712" s="2" t="s">
        <v>2489</v>
      </c>
      <c r="H712" s="2" t="s">
        <v>2490</v>
      </c>
      <c r="I712" s="2" t="s">
        <v>32</v>
      </c>
      <c r="J712" s="3">
        <v>44783</v>
      </c>
      <c r="K712" s="2">
        <v>68</v>
      </c>
      <c r="L712" s="2" t="s">
        <v>54</v>
      </c>
      <c r="M712" s="3"/>
    </row>
    <row r="713" spans="1:13" x14ac:dyDescent="0.3">
      <c r="A713" s="2">
        <v>712</v>
      </c>
      <c r="B713" s="2" t="s">
        <v>2491</v>
      </c>
      <c r="C713" s="2" t="s">
        <v>2492</v>
      </c>
      <c r="D713" s="2" t="s">
        <v>28</v>
      </c>
      <c r="E713" s="2" t="s">
        <v>29</v>
      </c>
      <c r="F713" s="2">
        <v>60</v>
      </c>
      <c r="G713" s="2" t="s">
        <v>2493</v>
      </c>
      <c r="H713" s="2" t="s">
        <v>2494</v>
      </c>
      <c r="I713" s="2" t="s">
        <v>25</v>
      </c>
      <c r="J713" s="3">
        <v>44605</v>
      </c>
      <c r="K713" s="2">
        <v>73</v>
      </c>
      <c r="L713" s="2" t="s">
        <v>80</v>
      </c>
      <c r="M713" s="3"/>
    </row>
    <row r="714" spans="1:13" x14ac:dyDescent="0.3">
      <c r="A714" s="2">
        <v>713</v>
      </c>
      <c r="B714" s="2" t="s">
        <v>2495</v>
      </c>
      <c r="C714" s="2" t="s">
        <v>2496</v>
      </c>
      <c r="D714" s="2" t="s">
        <v>28</v>
      </c>
      <c r="E714" s="2" t="s">
        <v>29</v>
      </c>
      <c r="F714" s="2">
        <v>90</v>
      </c>
      <c r="G714" s="2" t="s">
        <v>2497</v>
      </c>
      <c r="H714" s="2" t="s">
        <v>2498</v>
      </c>
      <c r="I714" s="2" t="s">
        <v>913</v>
      </c>
      <c r="J714" s="3">
        <v>44567</v>
      </c>
      <c r="K714" s="2">
        <v>12</v>
      </c>
      <c r="L714" s="2" t="s">
        <v>101</v>
      </c>
      <c r="M714" s="3"/>
    </row>
    <row r="715" spans="1:13" x14ac:dyDescent="0.3">
      <c r="A715" s="2">
        <v>714</v>
      </c>
      <c r="B715" s="2" t="s">
        <v>794</v>
      </c>
      <c r="C715" s="2" t="s">
        <v>2499</v>
      </c>
      <c r="D715" s="2" t="s">
        <v>15</v>
      </c>
      <c r="E715" s="2" t="s">
        <v>16</v>
      </c>
      <c r="F715" s="2">
        <v>30</v>
      </c>
      <c r="G715" s="2" t="s">
        <v>2500</v>
      </c>
      <c r="H715" s="2" t="s">
        <v>734</v>
      </c>
      <c r="I715" s="2" t="s">
        <v>32</v>
      </c>
      <c r="J715" s="3">
        <v>44914</v>
      </c>
      <c r="K715" s="2">
        <v>59</v>
      </c>
      <c r="L715" s="2" t="s">
        <v>159</v>
      </c>
      <c r="M715" s="3"/>
    </row>
    <row r="716" spans="1:13" x14ac:dyDescent="0.3">
      <c r="A716" s="2">
        <v>715</v>
      </c>
      <c r="B716" s="2" t="s">
        <v>2501</v>
      </c>
      <c r="C716" s="2" t="s">
        <v>2071</v>
      </c>
      <c r="D716" s="2" t="s">
        <v>28</v>
      </c>
      <c r="E716" s="2" t="s">
        <v>29</v>
      </c>
      <c r="F716" s="2">
        <v>90</v>
      </c>
      <c r="G716" s="2" t="s">
        <v>2502</v>
      </c>
      <c r="H716" s="2" t="s">
        <v>2503</v>
      </c>
      <c r="I716" s="2" t="s">
        <v>187</v>
      </c>
      <c r="J716" s="3">
        <v>44722</v>
      </c>
      <c r="K716" s="2">
        <v>10</v>
      </c>
      <c r="L716" s="2" t="s">
        <v>39</v>
      </c>
      <c r="M716" s="3"/>
    </row>
    <row r="717" spans="1:13" x14ac:dyDescent="0.3">
      <c r="A717" s="2">
        <v>716</v>
      </c>
      <c r="B717" s="2" t="s">
        <v>2504</v>
      </c>
      <c r="C717" s="2" t="s">
        <v>2505</v>
      </c>
      <c r="D717" s="2" t="s">
        <v>51</v>
      </c>
      <c r="E717" s="2" t="s">
        <v>16</v>
      </c>
      <c r="F717" s="2">
        <v>30</v>
      </c>
      <c r="G717" s="2" t="s">
        <v>2502</v>
      </c>
      <c r="H717" s="2" t="s">
        <v>2506</v>
      </c>
      <c r="I717" s="2" t="s">
        <v>32</v>
      </c>
      <c r="J717" s="3">
        <v>44860</v>
      </c>
      <c r="K717" s="2">
        <v>95</v>
      </c>
      <c r="L717" s="2" t="s">
        <v>64</v>
      </c>
      <c r="M717" s="3"/>
    </row>
    <row r="718" spans="1:13" x14ac:dyDescent="0.3">
      <c r="A718" s="2">
        <v>717</v>
      </c>
      <c r="B718" s="2" t="s">
        <v>21</v>
      </c>
      <c r="C718" s="2" t="s">
        <v>2507</v>
      </c>
      <c r="D718" s="2" t="s">
        <v>51</v>
      </c>
      <c r="E718" s="2" t="s">
        <v>291</v>
      </c>
      <c r="F718" s="2">
        <v>90</v>
      </c>
      <c r="G718" s="2" t="s">
        <v>2508</v>
      </c>
      <c r="H718" s="2" t="s">
        <v>2509</v>
      </c>
      <c r="I718" s="2" t="s">
        <v>32</v>
      </c>
      <c r="J718" s="3">
        <v>44197</v>
      </c>
      <c r="K718" s="2">
        <v>71</v>
      </c>
      <c r="L718" s="2" t="s">
        <v>45</v>
      </c>
      <c r="M718" s="3"/>
    </row>
    <row r="719" spans="1:13" x14ac:dyDescent="0.3">
      <c r="A719" s="2">
        <v>718</v>
      </c>
      <c r="B719" s="2" t="s">
        <v>2510</v>
      </c>
      <c r="C719" s="2" t="s">
        <v>1380</v>
      </c>
      <c r="D719" s="2" t="s">
        <v>92</v>
      </c>
      <c r="E719" s="2" t="s">
        <v>29</v>
      </c>
      <c r="F719" s="2">
        <v>90</v>
      </c>
      <c r="G719" s="2" t="s">
        <v>2511</v>
      </c>
      <c r="H719" s="2" t="s">
        <v>2512</v>
      </c>
      <c r="I719" s="2" t="s">
        <v>32</v>
      </c>
      <c r="J719" s="3">
        <v>44803</v>
      </c>
      <c r="K719" s="2">
        <v>54</v>
      </c>
      <c r="L719" s="2" t="s">
        <v>64</v>
      </c>
      <c r="M719" s="3"/>
    </row>
    <row r="720" spans="1:13" x14ac:dyDescent="0.3">
      <c r="A720" s="2">
        <v>719</v>
      </c>
      <c r="B720" s="2" t="s">
        <v>2513</v>
      </c>
      <c r="C720" s="2" t="s">
        <v>1662</v>
      </c>
      <c r="D720" s="2" t="s">
        <v>51</v>
      </c>
      <c r="E720" s="2" t="s">
        <v>16</v>
      </c>
      <c r="F720" s="2">
        <v>30</v>
      </c>
      <c r="G720" s="2" t="s">
        <v>2514</v>
      </c>
      <c r="H720" s="2" t="s">
        <v>698</v>
      </c>
      <c r="I720" s="2" t="s">
        <v>213</v>
      </c>
      <c r="J720" s="3">
        <v>44810</v>
      </c>
      <c r="K720" s="2">
        <v>103</v>
      </c>
      <c r="L720" s="2" t="s">
        <v>45</v>
      </c>
      <c r="M720" s="3"/>
    </row>
    <row r="721" spans="1:13" x14ac:dyDescent="0.3">
      <c r="A721" s="2">
        <v>720</v>
      </c>
      <c r="B721" s="2" t="s">
        <v>2364</v>
      </c>
      <c r="C721" s="2" t="s">
        <v>2515</v>
      </c>
      <c r="D721" s="2" t="s">
        <v>28</v>
      </c>
      <c r="E721" s="2" t="s">
        <v>29</v>
      </c>
      <c r="F721" s="2">
        <v>30</v>
      </c>
      <c r="G721" s="2" t="s">
        <v>2514</v>
      </c>
      <c r="H721" s="2" t="s">
        <v>2516</v>
      </c>
      <c r="I721" s="2" t="s">
        <v>32</v>
      </c>
      <c r="J721" s="3">
        <v>44476</v>
      </c>
      <c r="K721" s="2">
        <v>35</v>
      </c>
      <c r="L721" s="2" t="s">
        <v>39</v>
      </c>
      <c r="M721" s="3"/>
    </row>
    <row r="722" spans="1:13" x14ac:dyDescent="0.3">
      <c r="A722" s="2">
        <v>721</v>
      </c>
      <c r="B722" s="2" t="s">
        <v>2517</v>
      </c>
      <c r="C722" s="2" t="s">
        <v>2518</v>
      </c>
      <c r="D722" s="2" t="s">
        <v>15</v>
      </c>
      <c r="E722" s="2" t="s">
        <v>16</v>
      </c>
      <c r="F722" s="2">
        <v>30</v>
      </c>
      <c r="G722" s="2" t="s">
        <v>2519</v>
      </c>
      <c r="H722" s="2" t="s">
        <v>641</v>
      </c>
      <c r="I722" s="2" t="s">
        <v>294</v>
      </c>
      <c r="J722" s="3">
        <v>44887</v>
      </c>
      <c r="K722" s="2">
        <v>39</v>
      </c>
      <c r="L722" s="2" t="s">
        <v>159</v>
      </c>
      <c r="M722" s="3"/>
    </row>
    <row r="723" spans="1:13" x14ac:dyDescent="0.3">
      <c r="A723" s="2">
        <v>722</v>
      </c>
      <c r="B723" s="2" t="s">
        <v>2520</v>
      </c>
      <c r="C723" s="2" t="s">
        <v>2521</v>
      </c>
      <c r="D723" s="2" t="s">
        <v>28</v>
      </c>
      <c r="E723" s="2" t="s">
        <v>29</v>
      </c>
      <c r="F723" s="2">
        <v>90</v>
      </c>
      <c r="G723" s="2" t="s">
        <v>2522</v>
      </c>
      <c r="H723" s="2" t="s">
        <v>1119</v>
      </c>
      <c r="I723" s="2" t="s">
        <v>240</v>
      </c>
      <c r="J723" s="3">
        <v>44647</v>
      </c>
      <c r="K723" s="2">
        <v>83</v>
      </c>
      <c r="L723" s="2" t="s">
        <v>70</v>
      </c>
      <c r="M723" s="3"/>
    </row>
    <row r="724" spans="1:13" x14ac:dyDescent="0.3">
      <c r="A724" s="2">
        <v>723</v>
      </c>
      <c r="B724" s="2" t="s">
        <v>2523</v>
      </c>
      <c r="C724" s="2" t="s">
        <v>2524</v>
      </c>
      <c r="D724" s="2" t="s">
        <v>28</v>
      </c>
      <c r="E724" s="2" t="s">
        <v>29</v>
      </c>
      <c r="F724" s="2">
        <v>60</v>
      </c>
      <c r="G724" s="2" t="s">
        <v>2525</v>
      </c>
      <c r="H724" s="2" t="s">
        <v>2526</v>
      </c>
      <c r="I724" s="2" t="s">
        <v>95</v>
      </c>
      <c r="J724" s="3">
        <v>44592</v>
      </c>
      <c r="K724" s="2">
        <v>61</v>
      </c>
      <c r="L724" s="2" t="s">
        <v>64</v>
      </c>
      <c r="M724" s="3"/>
    </row>
    <row r="725" spans="1:13" x14ac:dyDescent="0.3">
      <c r="A725" s="2">
        <v>724</v>
      </c>
      <c r="B725" s="2" t="s">
        <v>2527</v>
      </c>
      <c r="C725" s="2" t="s">
        <v>2528</v>
      </c>
      <c r="D725" s="2" t="s">
        <v>28</v>
      </c>
      <c r="E725" s="2" t="s">
        <v>29</v>
      </c>
      <c r="F725" s="2">
        <v>60</v>
      </c>
      <c r="G725" s="2" t="s">
        <v>2529</v>
      </c>
      <c r="H725" s="2" t="s">
        <v>2530</v>
      </c>
      <c r="I725" s="2" t="s">
        <v>32</v>
      </c>
      <c r="J725" s="3">
        <v>44308</v>
      </c>
      <c r="K725" s="2">
        <v>53</v>
      </c>
      <c r="L725" s="2" t="s">
        <v>80</v>
      </c>
      <c r="M725" s="3"/>
    </row>
    <row r="726" spans="1:13" x14ac:dyDescent="0.3">
      <c r="A726" s="2">
        <v>725</v>
      </c>
      <c r="B726" s="2" t="s">
        <v>2531</v>
      </c>
      <c r="C726" s="2" t="s">
        <v>647</v>
      </c>
      <c r="D726" s="2" t="s">
        <v>41</v>
      </c>
      <c r="E726" s="2" t="s">
        <v>16</v>
      </c>
      <c r="F726" s="2">
        <v>60</v>
      </c>
      <c r="G726" s="2" t="s">
        <v>2532</v>
      </c>
      <c r="H726" s="2" t="s">
        <v>2533</v>
      </c>
      <c r="I726" s="2" t="s">
        <v>2534</v>
      </c>
      <c r="J726" s="3">
        <v>44361</v>
      </c>
      <c r="K726" s="2">
        <v>15</v>
      </c>
      <c r="L726" s="2" t="s">
        <v>101</v>
      </c>
      <c r="M726" s="3"/>
    </row>
    <row r="727" spans="1:13" x14ac:dyDescent="0.3">
      <c r="A727" s="2">
        <v>726</v>
      </c>
      <c r="B727" s="2" t="s">
        <v>2445</v>
      </c>
      <c r="C727" s="2" t="s">
        <v>2344</v>
      </c>
      <c r="D727" s="2" t="s">
        <v>28</v>
      </c>
      <c r="E727" s="2" t="s">
        <v>29</v>
      </c>
      <c r="F727" s="2">
        <v>60</v>
      </c>
      <c r="G727" s="2" t="s">
        <v>2535</v>
      </c>
      <c r="H727" s="2" t="s">
        <v>2536</v>
      </c>
      <c r="I727" s="2" t="s">
        <v>124</v>
      </c>
      <c r="J727" s="3">
        <v>44174</v>
      </c>
      <c r="K727" s="2">
        <v>58</v>
      </c>
      <c r="L727" s="2" t="s">
        <v>45</v>
      </c>
      <c r="M727" s="3"/>
    </row>
    <row r="728" spans="1:13" x14ac:dyDescent="0.3">
      <c r="A728" s="2">
        <v>727</v>
      </c>
      <c r="B728" s="2" t="s">
        <v>2537</v>
      </c>
      <c r="C728" s="2" t="s">
        <v>1148</v>
      </c>
      <c r="D728" s="2" t="s">
        <v>51</v>
      </c>
      <c r="E728" s="2" t="s">
        <v>16</v>
      </c>
      <c r="F728" s="2">
        <v>30</v>
      </c>
      <c r="G728" s="2" t="s">
        <v>2538</v>
      </c>
      <c r="H728" s="2" t="s">
        <v>2539</v>
      </c>
      <c r="I728" s="2" t="s">
        <v>178</v>
      </c>
      <c r="J728" s="3">
        <v>44702</v>
      </c>
      <c r="K728" s="2">
        <v>35</v>
      </c>
      <c r="L728" s="2" t="s">
        <v>101</v>
      </c>
      <c r="M728" s="3"/>
    </row>
    <row r="729" spans="1:13" x14ac:dyDescent="0.3">
      <c r="A729" s="2">
        <v>728</v>
      </c>
      <c r="B729" s="2" t="s">
        <v>237</v>
      </c>
      <c r="C729" s="2" t="s">
        <v>268</v>
      </c>
      <c r="D729" s="2" t="s">
        <v>28</v>
      </c>
      <c r="E729" s="2" t="s">
        <v>29</v>
      </c>
      <c r="F729" s="2">
        <v>30</v>
      </c>
      <c r="G729" s="2" t="s">
        <v>2538</v>
      </c>
      <c r="H729" s="2" t="s">
        <v>2183</v>
      </c>
      <c r="I729" s="2" t="s">
        <v>124</v>
      </c>
      <c r="J729" s="3">
        <v>44676</v>
      </c>
      <c r="K729" s="2">
        <v>7</v>
      </c>
      <c r="L729" s="2" t="s">
        <v>80</v>
      </c>
      <c r="M729" s="3"/>
    </row>
    <row r="730" spans="1:13" x14ac:dyDescent="0.3">
      <c r="A730" s="2">
        <v>729</v>
      </c>
      <c r="B730" s="2" t="s">
        <v>2540</v>
      </c>
      <c r="C730" s="2" t="s">
        <v>2017</v>
      </c>
      <c r="D730" s="2" t="s">
        <v>28</v>
      </c>
      <c r="E730" s="2" t="s">
        <v>29</v>
      </c>
      <c r="F730" s="2">
        <v>60</v>
      </c>
      <c r="G730" s="2" t="s">
        <v>2541</v>
      </c>
      <c r="H730" s="2" t="s">
        <v>2542</v>
      </c>
      <c r="I730" s="2" t="s">
        <v>2543</v>
      </c>
      <c r="J730" s="3">
        <v>44601</v>
      </c>
      <c r="K730" s="2">
        <v>60</v>
      </c>
      <c r="L730" s="2" t="s">
        <v>64</v>
      </c>
      <c r="M730" s="3"/>
    </row>
    <row r="731" spans="1:13" x14ac:dyDescent="0.3">
      <c r="A731" s="2">
        <v>730</v>
      </c>
      <c r="B731" s="2" t="s">
        <v>2544</v>
      </c>
      <c r="C731" s="2" t="s">
        <v>2515</v>
      </c>
      <c r="D731" s="2" t="s">
        <v>51</v>
      </c>
      <c r="E731" s="2" t="s">
        <v>16</v>
      </c>
      <c r="F731" s="2">
        <v>90</v>
      </c>
      <c r="G731" s="2" t="s">
        <v>2545</v>
      </c>
      <c r="H731" s="2" t="s">
        <v>1837</v>
      </c>
      <c r="I731" s="2" t="s">
        <v>173</v>
      </c>
      <c r="J731" s="3">
        <v>44228</v>
      </c>
      <c r="K731" s="2">
        <v>52</v>
      </c>
      <c r="L731" s="2" t="s">
        <v>70</v>
      </c>
      <c r="M731" s="3"/>
    </row>
    <row r="732" spans="1:13" x14ac:dyDescent="0.3">
      <c r="A732" s="2">
        <v>731</v>
      </c>
      <c r="B732" s="2" t="s">
        <v>2546</v>
      </c>
      <c r="C732" s="2" t="s">
        <v>2547</v>
      </c>
      <c r="D732" s="2" t="s">
        <v>15</v>
      </c>
      <c r="E732" s="2" t="s">
        <v>16</v>
      </c>
      <c r="F732" s="2">
        <v>60</v>
      </c>
      <c r="G732" s="2" t="s">
        <v>2548</v>
      </c>
      <c r="H732" s="2" t="s">
        <v>1768</v>
      </c>
      <c r="I732" s="2" t="s">
        <v>32</v>
      </c>
      <c r="J732" s="3">
        <v>44031</v>
      </c>
      <c r="K732" s="2">
        <v>73</v>
      </c>
      <c r="L732" s="2" t="s">
        <v>45</v>
      </c>
      <c r="M732" s="3"/>
    </row>
    <row r="733" spans="1:13" x14ac:dyDescent="0.3">
      <c r="A733" s="2">
        <v>732</v>
      </c>
      <c r="B733" s="2" t="s">
        <v>2549</v>
      </c>
      <c r="C733" s="2" t="s">
        <v>2550</v>
      </c>
      <c r="D733" s="2" t="s">
        <v>15</v>
      </c>
      <c r="E733" s="2" t="s">
        <v>16</v>
      </c>
      <c r="F733" s="2">
        <v>60</v>
      </c>
      <c r="G733" s="2" t="s">
        <v>2551</v>
      </c>
      <c r="H733" s="2" t="s">
        <v>2552</v>
      </c>
      <c r="I733" s="2" t="s">
        <v>32</v>
      </c>
      <c r="J733" s="3">
        <v>44842</v>
      </c>
      <c r="K733" s="2">
        <v>17</v>
      </c>
      <c r="L733" s="2" t="s">
        <v>54</v>
      </c>
      <c r="M733" s="3"/>
    </row>
    <row r="734" spans="1:13" x14ac:dyDescent="0.3">
      <c r="A734" s="2">
        <v>733</v>
      </c>
      <c r="B734" s="2" t="s">
        <v>683</v>
      </c>
      <c r="C734" s="2" t="s">
        <v>2553</v>
      </c>
      <c r="D734" s="2" t="s">
        <v>28</v>
      </c>
      <c r="E734" s="2" t="s">
        <v>29</v>
      </c>
      <c r="F734" s="2">
        <v>30</v>
      </c>
      <c r="G734" s="2" t="s">
        <v>2554</v>
      </c>
      <c r="H734" s="2" t="s">
        <v>2555</v>
      </c>
      <c r="I734" s="2" t="s">
        <v>32</v>
      </c>
      <c r="J734" s="3">
        <v>44681</v>
      </c>
      <c r="K734" s="2">
        <v>87</v>
      </c>
      <c r="L734" s="2" t="s">
        <v>20</v>
      </c>
      <c r="M734" s="3"/>
    </row>
    <row r="735" spans="1:13" x14ac:dyDescent="0.3">
      <c r="A735" s="2">
        <v>734</v>
      </c>
      <c r="B735" s="2" t="s">
        <v>2556</v>
      </c>
      <c r="C735" s="2" t="s">
        <v>2557</v>
      </c>
      <c r="D735" s="2" t="s">
        <v>28</v>
      </c>
      <c r="E735" s="2" t="s">
        <v>29</v>
      </c>
      <c r="F735" s="2">
        <v>60</v>
      </c>
      <c r="G735" s="2" t="s">
        <v>2558</v>
      </c>
      <c r="H735" s="2" t="s">
        <v>2559</v>
      </c>
      <c r="I735" s="2" t="s">
        <v>124</v>
      </c>
      <c r="J735" s="3">
        <v>44073</v>
      </c>
      <c r="K735" s="2">
        <v>60</v>
      </c>
      <c r="L735" s="2" t="s">
        <v>39</v>
      </c>
      <c r="M735" s="3"/>
    </row>
    <row r="736" spans="1:13" x14ac:dyDescent="0.3">
      <c r="A736" s="2">
        <v>735</v>
      </c>
      <c r="B736" s="2" t="s">
        <v>2560</v>
      </c>
      <c r="C736" s="2" t="s">
        <v>2561</v>
      </c>
      <c r="D736" s="2" t="s">
        <v>15</v>
      </c>
      <c r="E736" s="2" t="s">
        <v>16</v>
      </c>
      <c r="F736" s="2">
        <v>60</v>
      </c>
      <c r="G736" s="2" t="s">
        <v>2558</v>
      </c>
      <c r="H736" s="2" t="s">
        <v>1519</v>
      </c>
      <c r="I736" s="2" t="s">
        <v>32</v>
      </c>
      <c r="J736" s="3">
        <v>43920</v>
      </c>
      <c r="K736" s="2">
        <v>50</v>
      </c>
      <c r="L736" s="2" t="s">
        <v>45</v>
      </c>
      <c r="M736" s="3"/>
    </row>
    <row r="737" spans="1:13" x14ac:dyDescent="0.3">
      <c r="A737" s="2">
        <v>736</v>
      </c>
      <c r="B737" s="2" t="s">
        <v>2562</v>
      </c>
      <c r="C737" s="2" t="s">
        <v>2563</v>
      </c>
      <c r="D737" s="2" t="s">
        <v>28</v>
      </c>
      <c r="E737" s="2" t="s">
        <v>29</v>
      </c>
      <c r="F737" s="2">
        <v>90</v>
      </c>
      <c r="G737" s="2" t="s">
        <v>2564</v>
      </c>
      <c r="H737" s="2" t="s">
        <v>781</v>
      </c>
      <c r="I737" s="2" t="s">
        <v>294</v>
      </c>
      <c r="J737" s="3">
        <v>44139</v>
      </c>
      <c r="K737" s="2">
        <v>32</v>
      </c>
      <c r="L737" s="2" t="s">
        <v>101</v>
      </c>
      <c r="M737" s="3"/>
    </row>
    <row r="738" spans="1:13" x14ac:dyDescent="0.3">
      <c r="A738" s="2">
        <v>737</v>
      </c>
      <c r="B738" s="2" t="s">
        <v>2565</v>
      </c>
      <c r="C738" s="2" t="s">
        <v>2566</v>
      </c>
      <c r="D738" s="2" t="s">
        <v>28</v>
      </c>
      <c r="E738" s="2" t="s">
        <v>29</v>
      </c>
      <c r="F738" s="2">
        <v>30</v>
      </c>
      <c r="G738" s="2" t="s">
        <v>2567</v>
      </c>
      <c r="H738" s="2" t="s">
        <v>781</v>
      </c>
      <c r="I738" s="2" t="s">
        <v>294</v>
      </c>
      <c r="J738" s="3">
        <v>43998</v>
      </c>
      <c r="K738" s="2">
        <v>44</v>
      </c>
      <c r="L738" s="2" t="s">
        <v>70</v>
      </c>
      <c r="M738" s="3"/>
    </row>
    <row r="739" spans="1:13" x14ac:dyDescent="0.3">
      <c r="A739" s="2">
        <v>738</v>
      </c>
      <c r="B739" s="2" t="s">
        <v>2568</v>
      </c>
      <c r="C739" s="2" t="s">
        <v>394</v>
      </c>
      <c r="D739" s="2" t="s">
        <v>15</v>
      </c>
      <c r="E739" s="2" t="s">
        <v>16</v>
      </c>
      <c r="F739" s="2">
        <v>30</v>
      </c>
      <c r="G739" s="2" t="s">
        <v>2569</v>
      </c>
      <c r="H739" s="2" t="s">
        <v>2570</v>
      </c>
      <c r="I739" s="2" t="s">
        <v>32</v>
      </c>
      <c r="J739" s="3">
        <v>44190</v>
      </c>
      <c r="K739" s="2">
        <v>62</v>
      </c>
      <c r="L739" s="2" t="s">
        <v>33</v>
      </c>
      <c r="M739" s="3"/>
    </row>
    <row r="740" spans="1:13" x14ac:dyDescent="0.3">
      <c r="A740" s="2">
        <v>739</v>
      </c>
      <c r="B740" s="2" t="s">
        <v>2571</v>
      </c>
      <c r="C740" s="2" t="s">
        <v>2572</v>
      </c>
      <c r="D740" s="2" t="s">
        <v>15</v>
      </c>
      <c r="E740" s="2" t="s">
        <v>16</v>
      </c>
      <c r="F740" s="2">
        <v>30</v>
      </c>
      <c r="G740" s="2" t="s">
        <v>2573</v>
      </c>
      <c r="H740" s="2" t="s">
        <v>2137</v>
      </c>
      <c r="I740" s="2" t="s">
        <v>187</v>
      </c>
      <c r="J740" s="3">
        <v>44136</v>
      </c>
      <c r="K740" s="2">
        <v>7</v>
      </c>
      <c r="L740" s="2" t="s">
        <v>20</v>
      </c>
      <c r="M740" s="3"/>
    </row>
    <row r="741" spans="1:13" x14ac:dyDescent="0.3">
      <c r="A741" s="2">
        <v>740</v>
      </c>
      <c r="B741" s="2" t="s">
        <v>2574</v>
      </c>
      <c r="C741" s="2" t="s">
        <v>2575</v>
      </c>
      <c r="D741" s="2" t="s">
        <v>28</v>
      </c>
      <c r="E741" s="2" t="s">
        <v>29</v>
      </c>
      <c r="F741" s="2">
        <v>30</v>
      </c>
      <c r="G741" s="2" t="s">
        <v>2576</v>
      </c>
      <c r="H741" s="2" t="s">
        <v>2577</v>
      </c>
      <c r="I741" s="2" t="s">
        <v>645</v>
      </c>
      <c r="J741" s="3">
        <v>44612</v>
      </c>
      <c r="K741" s="2">
        <v>33</v>
      </c>
      <c r="L741" s="2" t="s">
        <v>64</v>
      </c>
      <c r="M741" s="3"/>
    </row>
    <row r="742" spans="1:13" x14ac:dyDescent="0.3">
      <c r="A742" s="2">
        <v>741</v>
      </c>
      <c r="B742" s="2" t="s">
        <v>2520</v>
      </c>
      <c r="C742" s="2" t="s">
        <v>107</v>
      </c>
      <c r="D742" s="2" t="s">
        <v>28</v>
      </c>
      <c r="E742" s="2" t="s">
        <v>29</v>
      </c>
      <c r="F742" s="2">
        <v>60</v>
      </c>
      <c r="G742" s="2" t="s">
        <v>2578</v>
      </c>
      <c r="H742" s="2" t="s">
        <v>2579</v>
      </c>
      <c r="I742" s="2" t="s">
        <v>425</v>
      </c>
      <c r="J742" s="3">
        <v>44603</v>
      </c>
      <c r="K742" s="2">
        <v>70</v>
      </c>
      <c r="L742" s="2" t="s">
        <v>54</v>
      </c>
      <c r="M742" s="3"/>
    </row>
    <row r="743" spans="1:13" x14ac:dyDescent="0.3">
      <c r="A743" s="2">
        <v>742</v>
      </c>
      <c r="B743" s="2" t="s">
        <v>2580</v>
      </c>
      <c r="C743" s="2" t="s">
        <v>2581</v>
      </c>
      <c r="D743" s="2" t="s">
        <v>51</v>
      </c>
      <c r="E743" s="2" t="s">
        <v>16</v>
      </c>
      <c r="F743" s="2">
        <v>60</v>
      </c>
      <c r="G743" s="2" t="s">
        <v>2582</v>
      </c>
      <c r="H743" s="2" t="s">
        <v>2583</v>
      </c>
      <c r="I743" s="2" t="s">
        <v>32</v>
      </c>
      <c r="J743" s="3">
        <v>44496</v>
      </c>
      <c r="K743" s="2">
        <v>58</v>
      </c>
      <c r="L743" s="2" t="s">
        <v>33</v>
      </c>
      <c r="M743" s="3"/>
    </row>
    <row r="744" spans="1:13" x14ac:dyDescent="0.3">
      <c r="A744" s="2">
        <v>743</v>
      </c>
      <c r="B744" s="2" t="s">
        <v>2584</v>
      </c>
      <c r="C744" s="2" t="s">
        <v>2585</v>
      </c>
      <c r="D744" s="2" t="s">
        <v>28</v>
      </c>
      <c r="E744" s="2" t="s">
        <v>29</v>
      </c>
      <c r="F744" s="2">
        <v>60</v>
      </c>
      <c r="G744" s="2" t="s">
        <v>2586</v>
      </c>
      <c r="H744" s="2" t="s">
        <v>2587</v>
      </c>
      <c r="I744" s="2" t="s">
        <v>124</v>
      </c>
      <c r="J744" s="3">
        <v>44747</v>
      </c>
      <c r="K744" s="2">
        <v>81</v>
      </c>
      <c r="L744" s="2" t="s">
        <v>45</v>
      </c>
      <c r="M744" s="3"/>
    </row>
    <row r="745" spans="1:13" x14ac:dyDescent="0.3">
      <c r="A745" s="2">
        <v>744</v>
      </c>
      <c r="B745" s="2" t="s">
        <v>2588</v>
      </c>
      <c r="C745" s="2" t="s">
        <v>2589</v>
      </c>
      <c r="D745" s="2" t="s">
        <v>15</v>
      </c>
      <c r="E745" s="2" t="s">
        <v>16</v>
      </c>
      <c r="F745" s="2">
        <v>90</v>
      </c>
      <c r="G745" s="2" t="s">
        <v>2590</v>
      </c>
      <c r="H745" s="2" t="s">
        <v>2591</v>
      </c>
      <c r="I745" s="2" t="s">
        <v>38</v>
      </c>
      <c r="J745" s="3">
        <v>44219</v>
      </c>
      <c r="K745" s="2">
        <v>72</v>
      </c>
      <c r="L745" s="2" t="s">
        <v>159</v>
      </c>
      <c r="M745" s="3"/>
    </row>
    <row r="746" spans="1:13" x14ac:dyDescent="0.3">
      <c r="A746" s="2">
        <v>745</v>
      </c>
      <c r="B746" s="2" t="s">
        <v>308</v>
      </c>
      <c r="C746" s="2" t="s">
        <v>2553</v>
      </c>
      <c r="D746" s="2" t="s">
        <v>15</v>
      </c>
      <c r="E746" s="2" t="s">
        <v>16</v>
      </c>
      <c r="F746" s="2">
        <v>60</v>
      </c>
      <c r="G746" s="2" t="s">
        <v>2592</v>
      </c>
      <c r="H746" s="2" t="s">
        <v>139</v>
      </c>
      <c r="I746" s="2" t="s">
        <v>2593</v>
      </c>
      <c r="J746" s="3">
        <v>44248</v>
      </c>
      <c r="K746" s="2">
        <v>26</v>
      </c>
      <c r="L746" s="2" t="s">
        <v>54</v>
      </c>
      <c r="M746" s="3"/>
    </row>
    <row r="747" spans="1:13" x14ac:dyDescent="0.3">
      <c r="A747" s="2">
        <v>746</v>
      </c>
      <c r="B747" s="2" t="s">
        <v>249</v>
      </c>
      <c r="C747" s="2" t="s">
        <v>2594</v>
      </c>
      <c r="D747" s="2" t="s">
        <v>28</v>
      </c>
      <c r="E747" s="2" t="s">
        <v>29</v>
      </c>
      <c r="F747" s="2">
        <v>60</v>
      </c>
      <c r="G747" s="2" t="s">
        <v>2595</v>
      </c>
      <c r="H747" s="2" t="s">
        <v>904</v>
      </c>
      <c r="I747" s="2" t="s">
        <v>32</v>
      </c>
      <c r="J747" s="3">
        <v>44502</v>
      </c>
      <c r="K747" s="2">
        <v>11</v>
      </c>
      <c r="L747" s="2" t="s">
        <v>70</v>
      </c>
      <c r="M747" s="3"/>
    </row>
    <row r="748" spans="1:13" x14ac:dyDescent="0.3">
      <c r="A748" s="2">
        <v>747</v>
      </c>
      <c r="B748" s="2" t="s">
        <v>2596</v>
      </c>
      <c r="C748" s="2" t="s">
        <v>2597</v>
      </c>
      <c r="D748" s="2" t="s">
        <v>51</v>
      </c>
      <c r="E748" s="2" t="s">
        <v>16</v>
      </c>
      <c r="F748" s="2">
        <v>90</v>
      </c>
      <c r="G748" s="2" t="s">
        <v>2598</v>
      </c>
      <c r="H748" s="2" t="s">
        <v>2599</v>
      </c>
      <c r="I748" s="2" t="s">
        <v>25</v>
      </c>
      <c r="J748" s="3">
        <v>44861</v>
      </c>
      <c r="K748" s="2">
        <v>9</v>
      </c>
      <c r="L748" s="2" t="s">
        <v>80</v>
      </c>
      <c r="M748" s="3"/>
    </row>
    <row r="749" spans="1:13" x14ac:dyDescent="0.3">
      <c r="A749" s="2">
        <v>748</v>
      </c>
      <c r="B749" s="2" t="s">
        <v>2600</v>
      </c>
      <c r="C749" s="2" t="s">
        <v>2601</v>
      </c>
      <c r="D749" s="2" t="s">
        <v>51</v>
      </c>
      <c r="E749" s="2" t="s">
        <v>16</v>
      </c>
      <c r="F749" s="2">
        <v>30</v>
      </c>
      <c r="G749" s="2" t="s">
        <v>2602</v>
      </c>
      <c r="H749" s="2" t="s">
        <v>2603</v>
      </c>
      <c r="I749" s="2" t="s">
        <v>2604</v>
      </c>
      <c r="J749" s="3">
        <v>44169</v>
      </c>
      <c r="K749" s="2">
        <v>74</v>
      </c>
      <c r="L749" s="2" t="s">
        <v>159</v>
      </c>
      <c r="M749" s="3"/>
    </row>
    <row r="750" spans="1:13" x14ac:dyDescent="0.3">
      <c r="A750" s="2">
        <v>749</v>
      </c>
      <c r="B750" s="2" t="s">
        <v>2605</v>
      </c>
      <c r="C750" s="2" t="s">
        <v>2606</v>
      </c>
      <c r="D750" s="2" t="s">
        <v>28</v>
      </c>
      <c r="E750" s="2" t="s">
        <v>29</v>
      </c>
      <c r="F750" s="2">
        <v>90</v>
      </c>
      <c r="G750" s="2" t="s">
        <v>2607</v>
      </c>
      <c r="H750" s="2" t="s">
        <v>2608</v>
      </c>
      <c r="I750" s="2" t="s">
        <v>38</v>
      </c>
      <c r="J750" s="3">
        <v>44812</v>
      </c>
      <c r="K750" s="2">
        <v>102</v>
      </c>
      <c r="L750" s="2" t="s">
        <v>70</v>
      </c>
      <c r="M750" s="3"/>
    </row>
    <row r="751" spans="1:13" x14ac:dyDescent="0.3">
      <c r="A751" s="2">
        <v>750</v>
      </c>
      <c r="B751" s="2" t="s">
        <v>1262</v>
      </c>
      <c r="C751" s="2" t="s">
        <v>1154</v>
      </c>
      <c r="D751" s="2" t="s">
        <v>28</v>
      </c>
      <c r="E751" s="2" t="s">
        <v>29</v>
      </c>
      <c r="F751" s="2">
        <v>90</v>
      </c>
      <c r="G751" s="2" t="s">
        <v>2609</v>
      </c>
      <c r="H751" s="2" t="s">
        <v>235</v>
      </c>
      <c r="I751" s="2" t="s">
        <v>146</v>
      </c>
      <c r="J751" s="3">
        <v>44626</v>
      </c>
      <c r="K751" s="2">
        <v>91</v>
      </c>
      <c r="L751" s="2" t="s">
        <v>70</v>
      </c>
      <c r="M751" s="3"/>
    </row>
    <row r="752" spans="1:13" x14ac:dyDescent="0.3">
      <c r="A752" s="2">
        <v>751</v>
      </c>
      <c r="B752" s="2" t="s">
        <v>2200</v>
      </c>
      <c r="C752" s="2" t="s">
        <v>76</v>
      </c>
      <c r="D752" s="2" t="s">
        <v>28</v>
      </c>
      <c r="E752" s="2" t="s">
        <v>29</v>
      </c>
      <c r="F752" s="2">
        <v>30</v>
      </c>
      <c r="G752" s="2" t="s">
        <v>2610</v>
      </c>
      <c r="H752" s="2" t="s">
        <v>530</v>
      </c>
      <c r="I752" s="2" t="s">
        <v>124</v>
      </c>
      <c r="J752" s="3">
        <v>44577</v>
      </c>
      <c r="K752" s="2">
        <v>105</v>
      </c>
      <c r="L752" s="2" t="s">
        <v>45</v>
      </c>
      <c r="M752" s="3"/>
    </row>
    <row r="753" spans="1:13" x14ac:dyDescent="0.3">
      <c r="A753" s="2">
        <v>752</v>
      </c>
      <c r="B753" s="2" t="s">
        <v>948</v>
      </c>
      <c r="C753" s="2" t="s">
        <v>2611</v>
      </c>
      <c r="D753" s="2" t="s">
        <v>28</v>
      </c>
      <c r="E753" s="2" t="s">
        <v>29</v>
      </c>
      <c r="F753" s="2">
        <v>30</v>
      </c>
      <c r="G753" s="2" t="s">
        <v>2612</v>
      </c>
      <c r="H753" s="2" t="s">
        <v>2613</v>
      </c>
      <c r="I753" s="2" t="s">
        <v>32</v>
      </c>
      <c r="J753" s="3">
        <v>44540</v>
      </c>
      <c r="K753" s="2">
        <v>92</v>
      </c>
      <c r="L753" s="2" t="s">
        <v>159</v>
      </c>
      <c r="M753" s="3"/>
    </row>
    <row r="754" spans="1:13" x14ac:dyDescent="0.3">
      <c r="A754" s="2">
        <v>753</v>
      </c>
      <c r="B754" s="2" t="s">
        <v>2614</v>
      </c>
      <c r="C754" s="2" t="s">
        <v>1861</v>
      </c>
      <c r="D754" s="2" t="s">
        <v>51</v>
      </c>
      <c r="E754" s="2" t="s">
        <v>16</v>
      </c>
      <c r="F754" s="2">
        <v>30</v>
      </c>
      <c r="G754" s="2" t="s">
        <v>2615</v>
      </c>
      <c r="H754" s="2" t="s">
        <v>2616</v>
      </c>
      <c r="I754" s="2" t="s">
        <v>886</v>
      </c>
      <c r="J754" s="3">
        <v>44923</v>
      </c>
      <c r="K754" s="2">
        <v>88</v>
      </c>
      <c r="L754" s="2" t="s">
        <v>39</v>
      </c>
      <c r="M754" s="3"/>
    </row>
    <row r="755" spans="1:13" x14ac:dyDescent="0.3">
      <c r="A755" s="2">
        <v>754</v>
      </c>
      <c r="B755" s="2" t="s">
        <v>2617</v>
      </c>
      <c r="C755" s="2" t="s">
        <v>2618</v>
      </c>
      <c r="D755" s="2" t="s">
        <v>28</v>
      </c>
      <c r="E755" s="2" t="s">
        <v>29</v>
      </c>
      <c r="F755" s="2">
        <v>90</v>
      </c>
      <c r="G755" s="2" t="s">
        <v>2619</v>
      </c>
      <c r="H755" s="2" t="s">
        <v>823</v>
      </c>
      <c r="I755" s="2" t="s">
        <v>187</v>
      </c>
      <c r="J755" s="3">
        <v>44238</v>
      </c>
      <c r="K755" s="2">
        <v>39</v>
      </c>
      <c r="L755" s="2" t="s">
        <v>70</v>
      </c>
      <c r="M755" s="3"/>
    </row>
    <row r="756" spans="1:13" x14ac:dyDescent="0.3">
      <c r="A756" s="2">
        <v>755</v>
      </c>
      <c r="B756" s="2" t="s">
        <v>1144</v>
      </c>
      <c r="C756" s="2" t="s">
        <v>61</v>
      </c>
      <c r="D756" s="2" t="s">
        <v>51</v>
      </c>
      <c r="E756" s="2" t="s">
        <v>16</v>
      </c>
      <c r="F756" s="2">
        <v>60</v>
      </c>
      <c r="G756" s="2" t="s">
        <v>2620</v>
      </c>
      <c r="H756" s="2" t="s">
        <v>942</v>
      </c>
      <c r="I756" s="2" t="s">
        <v>32</v>
      </c>
      <c r="J756" s="3">
        <v>44764</v>
      </c>
      <c r="K756" s="2">
        <v>47</v>
      </c>
      <c r="L756" s="2" t="s">
        <v>33</v>
      </c>
      <c r="M756" s="3"/>
    </row>
    <row r="757" spans="1:13" x14ac:dyDescent="0.3">
      <c r="A757" s="2">
        <v>756</v>
      </c>
      <c r="B757" s="2" t="s">
        <v>1376</v>
      </c>
      <c r="C757" s="2" t="s">
        <v>1010</v>
      </c>
      <c r="D757" s="2" t="s">
        <v>28</v>
      </c>
      <c r="E757" s="2" t="s">
        <v>29</v>
      </c>
      <c r="F757" s="2">
        <v>30</v>
      </c>
      <c r="G757" s="2" t="s">
        <v>2621</v>
      </c>
      <c r="H757" s="2" t="s">
        <v>2622</v>
      </c>
      <c r="I757" s="2" t="s">
        <v>294</v>
      </c>
      <c r="J757" s="3">
        <v>44116</v>
      </c>
      <c r="K757" s="2">
        <v>16</v>
      </c>
      <c r="L757" s="2" t="s">
        <v>54</v>
      </c>
      <c r="M757" s="3"/>
    </row>
    <row r="758" spans="1:13" x14ac:dyDescent="0.3">
      <c r="A758" s="2">
        <v>757</v>
      </c>
      <c r="B758" s="2" t="s">
        <v>2623</v>
      </c>
      <c r="C758" s="2" t="s">
        <v>2210</v>
      </c>
      <c r="D758" s="2" t="s">
        <v>51</v>
      </c>
      <c r="E758" s="2" t="s">
        <v>16</v>
      </c>
      <c r="F758" s="2">
        <v>60</v>
      </c>
      <c r="G758" s="2" t="s">
        <v>2621</v>
      </c>
      <c r="H758" s="2" t="s">
        <v>2624</v>
      </c>
      <c r="I758" s="2" t="s">
        <v>32</v>
      </c>
      <c r="J758" s="3">
        <v>44129</v>
      </c>
      <c r="K758" s="2">
        <v>32</v>
      </c>
      <c r="L758" s="2" t="s">
        <v>20</v>
      </c>
      <c r="M758" s="3"/>
    </row>
    <row r="759" spans="1:13" x14ac:dyDescent="0.3">
      <c r="A759" s="2">
        <v>758</v>
      </c>
      <c r="B759" s="2" t="s">
        <v>2625</v>
      </c>
      <c r="C759" s="2" t="s">
        <v>593</v>
      </c>
      <c r="D759" s="2" t="s">
        <v>51</v>
      </c>
      <c r="E759" s="2" t="s">
        <v>16</v>
      </c>
      <c r="F759" s="2">
        <v>60</v>
      </c>
      <c r="G759" s="2" t="s">
        <v>2626</v>
      </c>
      <c r="H759" s="2" t="s">
        <v>738</v>
      </c>
      <c r="I759" s="2" t="s">
        <v>38</v>
      </c>
      <c r="J759" s="3">
        <v>44098</v>
      </c>
      <c r="K759" s="2">
        <v>59</v>
      </c>
      <c r="L759" s="2" t="s">
        <v>33</v>
      </c>
      <c r="M759" s="3"/>
    </row>
    <row r="760" spans="1:13" x14ac:dyDescent="0.3">
      <c r="A760" s="2">
        <v>759</v>
      </c>
      <c r="B760" s="2" t="s">
        <v>2627</v>
      </c>
      <c r="C760" s="2" t="s">
        <v>1211</v>
      </c>
      <c r="D760" s="2" t="s">
        <v>15</v>
      </c>
      <c r="E760" s="2" t="s">
        <v>16</v>
      </c>
      <c r="F760" s="2">
        <v>30</v>
      </c>
      <c r="G760" s="2" t="s">
        <v>2628</v>
      </c>
      <c r="H760" s="2" t="s">
        <v>2629</v>
      </c>
      <c r="I760" s="2" t="s">
        <v>95</v>
      </c>
      <c r="J760" s="3">
        <v>43966</v>
      </c>
      <c r="K760" s="2">
        <v>20</v>
      </c>
      <c r="L760" s="2" t="s">
        <v>70</v>
      </c>
      <c r="M760" s="3"/>
    </row>
    <row r="761" spans="1:13" x14ac:dyDescent="0.3">
      <c r="A761" s="2">
        <v>760</v>
      </c>
      <c r="B761" s="2" t="s">
        <v>2630</v>
      </c>
      <c r="C761" s="2" t="s">
        <v>2631</v>
      </c>
      <c r="D761" s="2" t="s">
        <v>51</v>
      </c>
      <c r="E761" s="2" t="s">
        <v>273</v>
      </c>
      <c r="F761" s="2">
        <v>90</v>
      </c>
      <c r="G761" s="2" t="s">
        <v>2632</v>
      </c>
      <c r="H761" s="2" t="s">
        <v>2633</v>
      </c>
      <c r="I761" s="2" t="s">
        <v>32</v>
      </c>
      <c r="J761" s="3">
        <v>44631</v>
      </c>
      <c r="K761" s="2">
        <v>105</v>
      </c>
      <c r="L761" s="2" t="s">
        <v>54</v>
      </c>
      <c r="M761" s="3"/>
    </row>
    <row r="762" spans="1:13" x14ac:dyDescent="0.3">
      <c r="A762" s="2">
        <v>761</v>
      </c>
      <c r="B762" s="2" t="s">
        <v>2634</v>
      </c>
      <c r="C762" s="2" t="s">
        <v>2635</v>
      </c>
      <c r="D762" s="2" t="s">
        <v>15</v>
      </c>
      <c r="E762" s="2" t="s">
        <v>16</v>
      </c>
      <c r="F762" s="2">
        <v>90</v>
      </c>
      <c r="G762" s="2" t="s">
        <v>2636</v>
      </c>
      <c r="H762" s="2" t="s">
        <v>2156</v>
      </c>
      <c r="I762" s="2" t="s">
        <v>32</v>
      </c>
      <c r="J762" s="3">
        <v>44775</v>
      </c>
      <c r="K762" s="2">
        <v>44</v>
      </c>
      <c r="L762" s="2" t="s">
        <v>20</v>
      </c>
      <c r="M762" s="3"/>
    </row>
    <row r="763" spans="1:13" x14ac:dyDescent="0.3">
      <c r="A763" s="2">
        <v>762</v>
      </c>
      <c r="B763" s="2" t="s">
        <v>2605</v>
      </c>
      <c r="C763" s="2" t="s">
        <v>2637</v>
      </c>
      <c r="D763" s="2" t="s">
        <v>28</v>
      </c>
      <c r="E763" s="2" t="s">
        <v>29</v>
      </c>
      <c r="F763" s="2">
        <v>90</v>
      </c>
      <c r="G763" s="2" t="s">
        <v>2638</v>
      </c>
      <c r="H763" s="2" t="s">
        <v>2062</v>
      </c>
      <c r="I763" s="2" t="s">
        <v>187</v>
      </c>
      <c r="J763" s="3">
        <v>44030</v>
      </c>
      <c r="K763" s="2">
        <v>36</v>
      </c>
      <c r="L763" s="2" t="s">
        <v>80</v>
      </c>
      <c r="M763" s="3"/>
    </row>
    <row r="764" spans="1:13" x14ac:dyDescent="0.3">
      <c r="A764" s="2">
        <v>763</v>
      </c>
      <c r="B764" s="2" t="s">
        <v>2639</v>
      </c>
      <c r="C764" s="2" t="s">
        <v>2640</v>
      </c>
      <c r="D764" s="2" t="s">
        <v>28</v>
      </c>
      <c r="E764" s="2" t="s">
        <v>29</v>
      </c>
      <c r="F764" s="2">
        <v>90</v>
      </c>
      <c r="G764" s="2" t="s">
        <v>2641</v>
      </c>
      <c r="H764" s="2" t="s">
        <v>1605</v>
      </c>
      <c r="I764" s="2" t="s">
        <v>32</v>
      </c>
      <c r="J764" s="3">
        <v>44732</v>
      </c>
      <c r="K764" s="2">
        <v>18</v>
      </c>
      <c r="L764" s="2" t="s">
        <v>70</v>
      </c>
      <c r="M764" s="3"/>
    </row>
    <row r="765" spans="1:13" x14ac:dyDescent="0.3">
      <c r="A765" s="2">
        <v>764</v>
      </c>
      <c r="B765" s="2" t="s">
        <v>2642</v>
      </c>
      <c r="C765" s="2" t="s">
        <v>2643</v>
      </c>
      <c r="D765" s="2" t="s">
        <v>15</v>
      </c>
      <c r="E765" s="2" t="s">
        <v>16</v>
      </c>
      <c r="F765" s="2">
        <v>30</v>
      </c>
      <c r="G765" s="2" t="s">
        <v>2644</v>
      </c>
      <c r="H765" s="2" t="s">
        <v>2645</v>
      </c>
      <c r="I765" s="2" t="s">
        <v>32</v>
      </c>
      <c r="J765" s="3">
        <v>44410</v>
      </c>
      <c r="K765" s="2">
        <v>71</v>
      </c>
      <c r="L765" s="2" t="s">
        <v>64</v>
      </c>
      <c r="M765" s="3"/>
    </row>
    <row r="766" spans="1:13" x14ac:dyDescent="0.3">
      <c r="A766" s="2">
        <v>765</v>
      </c>
      <c r="B766" s="2" t="s">
        <v>2646</v>
      </c>
      <c r="C766" s="2" t="s">
        <v>2647</v>
      </c>
      <c r="D766" s="2" t="s">
        <v>51</v>
      </c>
      <c r="E766" s="2" t="s">
        <v>16</v>
      </c>
      <c r="F766" s="2">
        <v>60</v>
      </c>
      <c r="G766" s="2" t="s">
        <v>2648</v>
      </c>
      <c r="H766" s="2" t="s">
        <v>2649</v>
      </c>
      <c r="I766" s="2" t="s">
        <v>32</v>
      </c>
      <c r="J766" s="3">
        <v>44591</v>
      </c>
      <c r="K766" s="2">
        <v>85</v>
      </c>
      <c r="L766" s="2" t="s">
        <v>33</v>
      </c>
      <c r="M766" s="3"/>
    </row>
    <row r="767" spans="1:13" x14ac:dyDescent="0.3">
      <c r="A767" s="2">
        <v>766</v>
      </c>
      <c r="B767" s="2" t="s">
        <v>2326</v>
      </c>
      <c r="C767" s="2" t="s">
        <v>2650</v>
      </c>
      <c r="D767" s="2" t="s">
        <v>92</v>
      </c>
      <c r="E767" s="2" t="s">
        <v>16</v>
      </c>
      <c r="F767" s="2">
        <v>90</v>
      </c>
      <c r="G767" s="2" t="s">
        <v>2651</v>
      </c>
      <c r="H767" s="2" t="s">
        <v>275</v>
      </c>
      <c r="I767" s="2" t="s">
        <v>32</v>
      </c>
      <c r="J767" s="3">
        <v>44696</v>
      </c>
      <c r="K767" s="2">
        <v>66</v>
      </c>
      <c r="L767" s="2" t="s">
        <v>101</v>
      </c>
      <c r="M767" s="3"/>
    </row>
    <row r="768" spans="1:13" x14ac:dyDescent="0.3">
      <c r="A768" s="2">
        <v>767</v>
      </c>
      <c r="B768" s="2" t="s">
        <v>2652</v>
      </c>
      <c r="C768" s="2" t="s">
        <v>2653</v>
      </c>
      <c r="D768" s="2" t="s">
        <v>28</v>
      </c>
      <c r="E768" s="2" t="s">
        <v>29</v>
      </c>
      <c r="F768" s="2">
        <v>60</v>
      </c>
      <c r="G768" s="2" t="s">
        <v>2654</v>
      </c>
      <c r="H768" s="2" t="s">
        <v>2655</v>
      </c>
      <c r="I768" s="2" t="s">
        <v>1083</v>
      </c>
      <c r="J768" s="3">
        <v>43940</v>
      </c>
      <c r="K768" s="2">
        <v>15</v>
      </c>
      <c r="L768" s="2" t="s">
        <v>54</v>
      </c>
      <c r="M768" s="3"/>
    </row>
    <row r="769" spans="1:13" x14ac:dyDescent="0.3">
      <c r="A769" s="2">
        <v>768</v>
      </c>
      <c r="B769" s="2" t="s">
        <v>2656</v>
      </c>
      <c r="C769" s="2" t="s">
        <v>2207</v>
      </c>
      <c r="D769" s="2" t="s">
        <v>15</v>
      </c>
      <c r="E769" s="2" t="s">
        <v>16</v>
      </c>
      <c r="F769" s="2">
        <v>90</v>
      </c>
      <c r="G769" s="2" t="s">
        <v>2657</v>
      </c>
      <c r="H769" s="2" t="s">
        <v>2658</v>
      </c>
      <c r="I769" s="2" t="s">
        <v>173</v>
      </c>
      <c r="J769" s="3">
        <v>44839</v>
      </c>
      <c r="K769" s="2">
        <v>57</v>
      </c>
      <c r="L769" s="2" t="s">
        <v>20</v>
      </c>
      <c r="M769" s="3"/>
    </row>
    <row r="770" spans="1:13" x14ac:dyDescent="0.3">
      <c r="A770" s="2">
        <v>769</v>
      </c>
      <c r="B770" s="2" t="s">
        <v>2659</v>
      </c>
      <c r="C770" s="2" t="s">
        <v>2269</v>
      </c>
      <c r="D770" s="2" t="s">
        <v>51</v>
      </c>
      <c r="E770" s="2" t="s">
        <v>16</v>
      </c>
      <c r="F770" s="2">
        <v>30</v>
      </c>
      <c r="G770" s="2" t="s">
        <v>2660</v>
      </c>
      <c r="H770" s="2" t="s">
        <v>2661</v>
      </c>
      <c r="I770" s="2" t="s">
        <v>187</v>
      </c>
      <c r="J770" s="3">
        <v>44064</v>
      </c>
      <c r="K770" s="2">
        <v>46</v>
      </c>
      <c r="L770" s="2" t="s">
        <v>54</v>
      </c>
      <c r="M770" s="3"/>
    </row>
    <row r="771" spans="1:13" x14ac:dyDescent="0.3">
      <c r="A771" s="2">
        <v>770</v>
      </c>
      <c r="B771" s="2" t="s">
        <v>624</v>
      </c>
      <c r="C771" s="2" t="s">
        <v>593</v>
      </c>
      <c r="D771" s="2" t="s">
        <v>28</v>
      </c>
      <c r="E771" s="2" t="s">
        <v>29</v>
      </c>
      <c r="F771" s="2">
        <v>30</v>
      </c>
      <c r="G771" s="2" t="s">
        <v>2662</v>
      </c>
      <c r="H771" s="2" t="s">
        <v>534</v>
      </c>
      <c r="I771" s="2" t="s">
        <v>32</v>
      </c>
      <c r="J771" s="3">
        <v>44075</v>
      </c>
      <c r="K771" s="2">
        <v>22</v>
      </c>
      <c r="L771" s="2" t="s">
        <v>33</v>
      </c>
      <c r="M771" s="3"/>
    </row>
    <row r="772" spans="1:13" x14ac:dyDescent="0.3">
      <c r="A772" s="2">
        <v>771</v>
      </c>
      <c r="B772" s="2" t="s">
        <v>2491</v>
      </c>
      <c r="C772" s="2" t="s">
        <v>2663</v>
      </c>
      <c r="D772" s="2" t="s">
        <v>28</v>
      </c>
      <c r="E772" s="2" t="s">
        <v>29</v>
      </c>
      <c r="F772" s="2">
        <v>90</v>
      </c>
      <c r="G772" s="2" t="s">
        <v>2662</v>
      </c>
      <c r="H772" s="2" t="s">
        <v>2664</v>
      </c>
      <c r="I772" s="2" t="s">
        <v>32</v>
      </c>
      <c r="J772" s="3">
        <v>44643</v>
      </c>
      <c r="K772" s="2">
        <v>50</v>
      </c>
      <c r="L772" s="2" t="s">
        <v>54</v>
      </c>
      <c r="M772" s="3"/>
    </row>
    <row r="773" spans="1:13" x14ac:dyDescent="0.3">
      <c r="A773" s="2">
        <v>772</v>
      </c>
      <c r="B773" s="2" t="s">
        <v>2665</v>
      </c>
      <c r="C773" s="2" t="s">
        <v>2246</v>
      </c>
      <c r="D773" s="2" t="s">
        <v>28</v>
      </c>
      <c r="E773" s="2" t="s">
        <v>29</v>
      </c>
      <c r="F773" s="2">
        <v>90</v>
      </c>
      <c r="G773" s="2" t="s">
        <v>2666</v>
      </c>
      <c r="H773" s="2" t="s">
        <v>2667</v>
      </c>
      <c r="I773" s="2" t="s">
        <v>187</v>
      </c>
      <c r="J773" s="3">
        <v>44107</v>
      </c>
      <c r="K773" s="2">
        <v>53</v>
      </c>
      <c r="L773" s="2" t="s">
        <v>64</v>
      </c>
      <c r="M773" s="3"/>
    </row>
    <row r="774" spans="1:13" x14ac:dyDescent="0.3">
      <c r="A774" s="2">
        <v>773</v>
      </c>
      <c r="B774" s="2" t="s">
        <v>2668</v>
      </c>
      <c r="C774" s="2" t="s">
        <v>2669</v>
      </c>
      <c r="D774" s="2" t="s">
        <v>15</v>
      </c>
      <c r="E774" s="2" t="s">
        <v>16</v>
      </c>
      <c r="F774" s="2">
        <v>90</v>
      </c>
      <c r="G774" s="2" t="s">
        <v>2670</v>
      </c>
      <c r="H774" s="2" t="s">
        <v>2671</v>
      </c>
      <c r="I774" s="2" t="s">
        <v>1157</v>
      </c>
      <c r="J774" s="3">
        <v>44396</v>
      </c>
      <c r="K774" s="2">
        <v>61</v>
      </c>
      <c r="L774" s="2" t="s">
        <v>45</v>
      </c>
      <c r="M774" s="3"/>
    </row>
    <row r="775" spans="1:13" x14ac:dyDescent="0.3">
      <c r="A775" s="2">
        <v>774</v>
      </c>
      <c r="B775" s="2" t="s">
        <v>511</v>
      </c>
      <c r="C775" s="2" t="s">
        <v>2223</v>
      </c>
      <c r="D775" s="2" t="s">
        <v>51</v>
      </c>
      <c r="E775" s="2" t="s">
        <v>16</v>
      </c>
      <c r="F775" s="2">
        <v>90</v>
      </c>
      <c r="G775" s="2" t="s">
        <v>2672</v>
      </c>
      <c r="H775" s="2" t="s">
        <v>2673</v>
      </c>
      <c r="I775" s="2" t="s">
        <v>19</v>
      </c>
      <c r="J775" s="3">
        <v>44778</v>
      </c>
      <c r="K775" s="2">
        <v>54</v>
      </c>
      <c r="L775" s="2" t="s">
        <v>159</v>
      </c>
      <c r="M775" s="3"/>
    </row>
    <row r="776" spans="1:13" x14ac:dyDescent="0.3">
      <c r="A776" s="2">
        <v>775</v>
      </c>
      <c r="B776" s="2" t="s">
        <v>2674</v>
      </c>
      <c r="C776" s="2" t="s">
        <v>995</v>
      </c>
      <c r="D776" s="2" t="s">
        <v>15</v>
      </c>
      <c r="E776" s="2" t="s">
        <v>16</v>
      </c>
      <c r="F776" s="2">
        <v>60</v>
      </c>
      <c r="G776" s="2" t="s">
        <v>2675</v>
      </c>
      <c r="H776" s="2" t="s">
        <v>2676</v>
      </c>
      <c r="I776" s="2" t="s">
        <v>32</v>
      </c>
      <c r="J776" s="3">
        <v>44458</v>
      </c>
      <c r="K776" s="2">
        <v>3</v>
      </c>
      <c r="L776" s="2" t="s">
        <v>45</v>
      </c>
      <c r="M776" s="3"/>
    </row>
    <row r="777" spans="1:13" x14ac:dyDescent="0.3">
      <c r="A777" s="2">
        <v>776</v>
      </c>
      <c r="B777" s="2" t="s">
        <v>1239</v>
      </c>
      <c r="C777" s="2" t="s">
        <v>2677</v>
      </c>
      <c r="D777" s="2" t="s">
        <v>28</v>
      </c>
      <c r="E777" s="2" t="s">
        <v>29</v>
      </c>
      <c r="F777" s="2">
        <v>90</v>
      </c>
      <c r="G777" s="2" t="s">
        <v>2675</v>
      </c>
      <c r="H777" s="2" t="s">
        <v>2678</v>
      </c>
      <c r="I777" s="2" t="s">
        <v>32</v>
      </c>
      <c r="J777" s="3">
        <v>44014</v>
      </c>
      <c r="K777" s="2">
        <v>35</v>
      </c>
      <c r="L777" s="2" t="s">
        <v>54</v>
      </c>
      <c r="M777" s="3"/>
    </row>
    <row r="778" spans="1:13" x14ac:dyDescent="0.3">
      <c r="A778" s="2">
        <v>777</v>
      </c>
      <c r="B778" s="2" t="s">
        <v>2679</v>
      </c>
      <c r="C778" s="2" t="s">
        <v>464</v>
      </c>
      <c r="D778" s="2" t="s">
        <v>28</v>
      </c>
      <c r="E778" s="2" t="s">
        <v>29</v>
      </c>
      <c r="F778" s="2">
        <v>90</v>
      </c>
      <c r="G778" s="2" t="s">
        <v>2680</v>
      </c>
      <c r="H778" s="2" t="s">
        <v>2681</v>
      </c>
      <c r="I778" s="2" t="s">
        <v>686</v>
      </c>
      <c r="J778" s="3">
        <v>44607</v>
      </c>
      <c r="K778" s="2">
        <v>11</v>
      </c>
      <c r="L778" s="2" t="s">
        <v>64</v>
      </c>
      <c r="M778" s="3"/>
    </row>
    <row r="779" spans="1:13" x14ac:dyDescent="0.3">
      <c r="A779" s="2">
        <v>778</v>
      </c>
      <c r="B779" s="2" t="s">
        <v>2682</v>
      </c>
      <c r="C779" s="2" t="s">
        <v>2683</v>
      </c>
      <c r="D779" s="2" t="s">
        <v>28</v>
      </c>
      <c r="E779" s="2" t="s">
        <v>29</v>
      </c>
      <c r="F779" s="2">
        <v>30</v>
      </c>
      <c r="G779" s="2" t="s">
        <v>2684</v>
      </c>
      <c r="H779" s="2" t="s">
        <v>2685</v>
      </c>
      <c r="I779" s="2" t="s">
        <v>32</v>
      </c>
      <c r="J779" s="3">
        <v>44826</v>
      </c>
      <c r="K779" s="2">
        <v>93</v>
      </c>
      <c r="L779" s="2" t="s">
        <v>45</v>
      </c>
      <c r="M779" s="3"/>
    </row>
    <row r="780" spans="1:13" x14ac:dyDescent="0.3">
      <c r="A780" s="2">
        <v>779</v>
      </c>
      <c r="B780" s="2" t="s">
        <v>891</v>
      </c>
      <c r="C780" s="2" t="s">
        <v>2686</v>
      </c>
      <c r="D780" s="2" t="s">
        <v>28</v>
      </c>
      <c r="E780" s="2" t="s">
        <v>29</v>
      </c>
      <c r="F780" s="2">
        <v>90</v>
      </c>
      <c r="G780" s="2" t="s">
        <v>2687</v>
      </c>
      <c r="H780" s="2" t="s">
        <v>2688</v>
      </c>
      <c r="I780" s="2" t="s">
        <v>1199</v>
      </c>
      <c r="J780" s="3">
        <v>43934</v>
      </c>
      <c r="K780" s="2">
        <v>16</v>
      </c>
      <c r="L780" s="2" t="s">
        <v>70</v>
      </c>
      <c r="M780" s="3"/>
    </row>
    <row r="781" spans="1:13" x14ac:dyDescent="0.3">
      <c r="A781" s="2">
        <v>780</v>
      </c>
      <c r="B781" s="2" t="s">
        <v>2689</v>
      </c>
      <c r="C781" s="2" t="s">
        <v>2690</v>
      </c>
      <c r="D781" s="2" t="s">
        <v>51</v>
      </c>
      <c r="E781" s="2" t="s">
        <v>16</v>
      </c>
      <c r="F781" s="2">
        <v>60</v>
      </c>
      <c r="G781" s="2" t="s">
        <v>2691</v>
      </c>
      <c r="H781" s="2" t="s">
        <v>1347</v>
      </c>
      <c r="I781" s="2" t="s">
        <v>32</v>
      </c>
      <c r="J781" s="3">
        <v>43940</v>
      </c>
      <c r="K781" s="2">
        <v>8</v>
      </c>
      <c r="L781" s="2" t="s">
        <v>64</v>
      </c>
      <c r="M781" s="3"/>
    </row>
    <row r="782" spans="1:13" x14ac:dyDescent="0.3">
      <c r="A782" s="2">
        <v>781</v>
      </c>
      <c r="B782" s="2" t="s">
        <v>600</v>
      </c>
      <c r="C782" s="2" t="s">
        <v>2692</v>
      </c>
      <c r="D782" s="2" t="s">
        <v>15</v>
      </c>
      <c r="E782" s="2" t="s">
        <v>16</v>
      </c>
      <c r="F782" s="2">
        <v>30</v>
      </c>
      <c r="G782" s="2" t="s">
        <v>2693</v>
      </c>
      <c r="H782" s="2" t="s">
        <v>1819</v>
      </c>
      <c r="I782" s="2" t="s">
        <v>89</v>
      </c>
      <c r="J782" s="3">
        <v>44175</v>
      </c>
      <c r="K782" s="2">
        <v>17</v>
      </c>
      <c r="L782" s="2" t="s">
        <v>70</v>
      </c>
      <c r="M782" s="3"/>
    </row>
    <row r="783" spans="1:13" x14ac:dyDescent="0.3">
      <c r="A783" s="2">
        <v>782</v>
      </c>
      <c r="B783" s="2" t="s">
        <v>2694</v>
      </c>
      <c r="C783" s="2" t="s">
        <v>2695</v>
      </c>
      <c r="D783" s="2" t="s">
        <v>15</v>
      </c>
      <c r="E783" s="2" t="s">
        <v>16</v>
      </c>
      <c r="F783" s="2">
        <v>30</v>
      </c>
      <c r="G783" s="2" t="s">
        <v>2693</v>
      </c>
      <c r="H783" s="2" t="s">
        <v>2696</v>
      </c>
      <c r="I783" s="2" t="s">
        <v>95</v>
      </c>
      <c r="J783" s="3">
        <v>44841</v>
      </c>
      <c r="K783" s="2">
        <v>81</v>
      </c>
      <c r="L783" s="2" t="s">
        <v>80</v>
      </c>
      <c r="M783" s="3"/>
    </row>
    <row r="784" spans="1:13" x14ac:dyDescent="0.3">
      <c r="A784" s="2">
        <v>783</v>
      </c>
      <c r="B784" s="2" t="s">
        <v>914</v>
      </c>
      <c r="C784" s="2" t="s">
        <v>2697</v>
      </c>
      <c r="D784" s="2" t="s">
        <v>28</v>
      </c>
      <c r="E784" s="2" t="s">
        <v>29</v>
      </c>
      <c r="F784" s="2">
        <v>90</v>
      </c>
      <c r="G784" s="2" t="s">
        <v>2698</v>
      </c>
      <c r="H784" s="2" t="s">
        <v>1391</v>
      </c>
      <c r="I784" s="2" t="s">
        <v>32</v>
      </c>
      <c r="J784" s="3">
        <v>44343</v>
      </c>
      <c r="K784" s="2">
        <v>2</v>
      </c>
      <c r="L784" s="2" t="s">
        <v>45</v>
      </c>
      <c r="M784" s="3"/>
    </row>
    <row r="785" spans="1:13" x14ac:dyDescent="0.3">
      <c r="A785" s="2">
        <v>784</v>
      </c>
      <c r="B785" s="2" t="s">
        <v>2699</v>
      </c>
      <c r="C785" s="2" t="s">
        <v>795</v>
      </c>
      <c r="D785" s="2" t="s">
        <v>28</v>
      </c>
      <c r="E785" s="2" t="s">
        <v>29</v>
      </c>
      <c r="F785" s="2">
        <v>60</v>
      </c>
      <c r="G785" s="2" t="s">
        <v>2700</v>
      </c>
      <c r="H785" s="2" t="s">
        <v>1629</v>
      </c>
      <c r="I785" s="2" t="s">
        <v>32</v>
      </c>
      <c r="J785" s="3">
        <v>44571</v>
      </c>
      <c r="K785" s="2">
        <v>47</v>
      </c>
      <c r="L785" s="2" t="s">
        <v>80</v>
      </c>
      <c r="M785" s="3"/>
    </row>
    <row r="786" spans="1:13" x14ac:dyDescent="0.3">
      <c r="A786" s="2">
        <v>785</v>
      </c>
      <c r="B786" s="2" t="s">
        <v>2701</v>
      </c>
      <c r="C786" s="2" t="s">
        <v>1093</v>
      </c>
      <c r="D786" s="2" t="s">
        <v>28</v>
      </c>
      <c r="E786" s="2" t="s">
        <v>29</v>
      </c>
      <c r="F786" s="2">
        <v>90</v>
      </c>
      <c r="G786" s="2" t="s">
        <v>2702</v>
      </c>
      <c r="H786" s="2" t="s">
        <v>2703</v>
      </c>
      <c r="I786" s="2" t="s">
        <v>32</v>
      </c>
      <c r="J786" s="3">
        <v>43991</v>
      </c>
      <c r="K786" s="2">
        <v>13</v>
      </c>
      <c r="L786" s="2" t="s">
        <v>80</v>
      </c>
      <c r="M786" s="3"/>
    </row>
    <row r="787" spans="1:13" x14ac:dyDescent="0.3">
      <c r="A787" s="2">
        <v>786</v>
      </c>
      <c r="B787" s="2" t="s">
        <v>2704</v>
      </c>
      <c r="C787" s="2" t="s">
        <v>1410</v>
      </c>
      <c r="D787" s="2" t="s">
        <v>15</v>
      </c>
      <c r="E787" s="2" t="s">
        <v>16</v>
      </c>
      <c r="F787" s="2">
        <v>30</v>
      </c>
      <c r="G787" s="2" t="s">
        <v>2705</v>
      </c>
      <c r="H787" s="2" t="s">
        <v>2706</v>
      </c>
      <c r="I787" s="2" t="s">
        <v>294</v>
      </c>
      <c r="J787" s="3">
        <v>44558</v>
      </c>
      <c r="K787" s="2">
        <v>54</v>
      </c>
      <c r="L787" s="2" t="s">
        <v>45</v>
      </c>
      <c r="M787" s="3"/>
    </row>
    <row r="788" spans="1:13" x14ac:dyDescent="0.3">
      <c r="A788" s="2">
        <v>787</v>
      </c>
      <c r="B788" s="2" t="s">
        <v>2707</v>
      </c>
      <c r="C788" s="2" t="s">
        <v>2708</v>
      </c>
      <c r="D788" s="2" t="s">
        <v>15</v>
      </c>
      <c r="E788" s="2" t="s">
        <v>16</v>
      </c>
      <c r="F788" s="2">
        <v>90</v>
      </c>
      <c r="G788" s="2" t="s">
        <v>2709</v>
      </c>
      <c r="H788" s="2" t="s">
        <v>2710</v>
      </c>
      <c r="I788" s="2" t="s">
        <v>294</v>
      </c>
      <c r="J788" s="3">
        <v>44426</v>
      </c>
      <c r="K788" s="2">
        <v>11</v>
      </c>
      <c r="L788" s="2" t="s">
        <v>64</v>
      </c>
      <c r="M788" s="3"/>
    </row>
    <row r="789" spans="1:13" x14ac:dyDescent="0.3">
      <c r="A789" s="2">
        <v>788</v>
      </c>
      <c r="B789" s="2" t="s">
        <v>2711</v>
      </c>
      <c r="C789" s="2" t="s">
        <v>653</v>
      </c>
      <c r="D789" s="2" t="s">
        <v>51</v>
      </c>
      <c r="E789" s="2" t="s">
        <v>16</v>
      </c>
      <c r="F789" s="2">
        <v>60</v>
      </c>
      <c r="G789" s="2" t="s">
        <v>2712</v>
      </c>
      <c r="H789" s="2" t="s">
        <v>2713</v>
      </c>
      <c r="I789" s="2" t="s">
        <v>38</v>
      </c>
      <c r="J789" s="3">
        <v>44595</v>
      </c>
      <c r="K789" s="2">
        <v>77</v>
      </c>
      <c r="L789" s="2" t="s">
        <v>101</v>
      </c>
      <c r="M789" s="3"/>
    </row>
    <row r="790" spans="1:13" x14ac:dyDescent="0.3">
      <c r="A790" s="2">
        <v>789</v>
      </c>
      <c r="B790" s="2" t="s">
        <v>2714</v>
      </c>
      <c r="C790" s="2" t="s">
        <v>2715</v>
      </c>
      <c r="D790" s="2" t="s">
        <v>51</v>
      </c>
      <c r="E790" s="2" t="s">
        <v>16</v>
      </c>
      <c r="F790" s="2">
        <v>90</v>
      </c>
      <c r="G790" s="2" t="s">
        <v>2716</v>
      </c>
      <c r="H790" s="2" t="s">
        <v>2717</v>
      </c>
      <c r="I790" s="2" t="s">
        <v>1889</v>
      </c>
      <c r="J790" s="3">
        <v>44655</v>
      </c>
      <c r="K790" s="2">
        <v>32</v>
      </c>
      <c r="L790" s="2" t="s">
        <v>39</v>
      </c>
      <c r="M790" s="3"/>
    </row>
    <row r="791" spans="1:13" x14ac:dyDescent="0.3">
      <c r="A791" s="2">
        <v>790</v>
      </c>
      <c r="B791" s="2" t="s">
        <v>2714</v>
      </c>
      <c r="C791" s="2" t="s">
        <v>2715</v>
      </c>
      <c r="D791" s="2" t="s">
        <v>51</v>
      </c>
      <c r="E791" s="2" t="s">
        <v>16</v>
      </c>
      <c r="F791" s="2">
        <v>90</v>
      </c>
      <c r="G791" s="2" t="s">
        <v>2716</v>
      </c>
      <c r="H791" s="2" t="s">
        <v>2717</v>
      </c>
      <c r="I791" s="2" t="s">
        <v>1889</v>
      </c>
      <c r="J791" s="3">
        <v>44655</v>
      </c>
      <c r="K791" s="2">
        <v>32</v>
      </c>
      <c r="L791" s="2" t="s">
        <v>39</v>
      </c>
      <c r="M791" s="3"/>
    </row>
    <row r="792" spans="1:13" x14ac:dyDescent="0.3">
      <c r="A792" s="2">
        <v>791</v>
      </c>
      <c r="B792" s="2" t="s">
        <v>2718</v>
      </c>
      <c r="C792" s="2" t="s">
        <v>2719</v>
      </c>
      <c r="D792" s="2" t="s">
        <v>15</v>
      </c>
      <c r="E792" s="2" t="s">
        <v>16</v>
      </c>
      <c r="F792" s="2">
        <v>90</v>
      </c>
      <c r="G792" s="2" t="s">
        <v>2716</v>
      </c>
      <c r="H792" s="2" t="s">
        <v>2720</v>
      </c>
      <c r="I792" s="2" t="s">
        <v>32</v>
      </c>
      <c r="J792" s="3">
        <v>44490</v>
      </c>
      <c r="K792" s="2">
        <v>10</v>
      </c>
      <c r="L792" s="2" t="s">
        <v>64</v>
      </c>
      <c r="M792" s="3"/>
    </row>
    <row r="793" spans="1:13" x14ac:dyDescent="0.3">
      <c r="A793" s="2">
        <v>792</v>
      </c>
      <c r="B793" s="2" t="s">
        <v>2721</v>
      </c>
      <c r="C793" s="2" t="s">
        <v>2722</v>
      </c>
      <c r="D793" s="2" t="s">
        <v>28</v>
      </c>
      <c r="E793" s="2" t="s">
        <v>29</v>
      </c>
      <c r="F793" s="2">
        <v>30</v>
      </c>
      <c r="G793" s="2" t="s">
        <v>2723</v>
      </c>
      <c r="H793" s="2" t="s">
        <v>2724</v>
      </c>
      <c r="I793" s="2" t="s">
        <v>32</v>
      </c>
      <c r="J793" s="3">
        <v>44080</v>
      </c>
      <c r="K793" s="2">
        <v>30</v>
      </c>
      <c r="L793" s="2" t="s">
        <v>39</v>
      </c>
      <c r="M793" s="3"/>
    </row>
    <row r="794" spans="1:13" x14ac:dyDescent="0.3">
      <c r="A794" s="2">
        <v>793</v>
      </c>
      <c r="B794" s="2" t="s">
        <v>1531</v>
      </c>
      <c r="C794" s="2" t="s">
        <v>581</v>
      </c>
      <c r="D794" s="2" t="s">
        <v>51</v>
      </c>
      <c r="E794" s="2" t="s">
        <v>16</v>
      </c>
      <c r="F794" s="2">
        <v>60</v>
      </c>
      <c r="G794" s="2" t="s">
        <v>2725</v>
      </c>
      <c r="H794" s="2" t="s">
        <v>2494</v>
      </c>
      <c r="I794" s="2" t="s">
        <v>25</v>
      </c>
      <c r="J794" s="3">
        <v>44833</v>
      </c>
      <c r="K794" s="2">
        <v>34</v>
      </c>
      <c r="L794" s="2" t="s">
        <v>20</v>
      </c>
      <c r="M794" s="3"/>
    </row>
    <row r="795" spans="1:13" x14ac:dyDescent="0.3">
      <c r="A795" s="2">
        <v>794</v>
      </c>
      <c r="B795" s="2" t="s">
        <v>1467</v>
      </c>
      <c r="C795" s="2" t="s">
        <v>1356</v>
      </c>
      <c r="D795" s="2" t="s">
        <v>28</v>
      </c>
      <c r="E795" s="2" t="s">
        <v>29</v>
      </c>
      <c r="F795" s="2">
        <v>60</v>
      </c>
      <c r="G795" s="2" t="s">
        <v>2726</v>
      </c>
      <c r="H795" s="2" t="s">
        <v>2727</v>
      </c>
      <c r="I795" s="2" t="s">
        <v>2330</v>
      </c>
      <c r="J795" s="3">
        <v>44604</v>
      </c>
      <c r="K795" s="2">
        <v>28</v>
      </c>
      <c r="L795" s="2" t="s">
        <v>80</v>
      </c>
      <c r="M795" s="3"/>
    </row>
    <row r="796" spans="1:13" x14ac:dyDescent="0.3">
      <c r="A796" s="2">
        <v>795</v>
      </c>
      <c r="B796" s="2" t="s">
        <v>2728</v>
      </c>
      <c r="C796" s="2" t="s">
        <v>106</v>
      </c>
      <c r="D796" s="2" t="s">
        <v>28</v>
      </c>
      <c r="E796" s="2" t="s">
        <v>29</v>
      </c>
      <c r="F796" s="2">
        <v>90</v>
      </c>
      <c r="G796" s="2" t="s">
        <v>2729</v>
      </c>
      <c r="H796" s="2" t="s">
        <v>1194</v>
      </c>
      <c r="I796" s="2" t="s">
        <v>38</v>
      </c>
      <c r="J796" s="3">
        <v>44793</v>
      </c>
      <c r="K796" s="2">
        <v>58</v>
      </c>
      <c r="L796" s="2" t="s">
        <v>70</v>
      </c>
      <c r="M796" s="3"/>
    </row>
    <row r="797" spans="1:13" x14ac:dyDescent="0.3">
      <c r="A797" s="2">
        <v>796</v>
      </c>
      <c r="B797" s="2" t="s">
        <v>2730</v>
      </c>
      <c r="C797" s="2" t="s">
        <v>2731</v>
      </c>
      <c r="D797" s="2" t="s">
        <v>15</v>
      </c>
      <c r="E797" s="2" t="s">
        <v>16</v>
      </c>
      <c r="F797" s="2">
        <v>30</v>
      </c>
      <c r="G797" s="2" t="s">
        <v>2732</v>
      </c>
      <c r="H797" s="2" t="s">
        <v>2733</v>
      </c>
      <c r="I797" s="2" t="s">
        <v>25</v>
      </c>
      <c r="J797" s="3">
        <v>43855</v>
      </c>
      <c r="K797" s="2">
        <v>40</v>
      </c>
      <c r="L797" s="2" t="s">
        <v>33</v>
      </c>
      <c r="M797" s="3"/>
    </row>
    <row r="798" spans="1:13" x14ac:dyDescent="0.3">
      <c r="A798" s="2">
        <v>797</v>
      </c>
      <c r="B798" s="2" t="s">
        <v>2734</v>
      </c>
      <c r="C798" s="2" t="s">
        <v>2735</v>
      </c>
      <c r="D798" s="2" t="s">
        <v>15</v>
      </c>
      <c r="E798" s="2" t="s">
        <v>16</v>
      </c>
      <c r="F798" s="2">
        <v>90</v>
      </c>
      <c r="G798" s="2" t="s">
        <v>2736</v>
      </c>
      <c r="H798" s="2" t="s">
        <v>2737</v>
      </c>
      <c r="I798" s="2" t="s">
        <v>32</v>
      </c>
      <c r="J798" s="3">
        <v>44235</v>
      </c>
      <c r="K798" s="2">
        <v>21</v>
      </c>
      <c r="L798" s="2" t="s">
        <v>101</v>
      </c>
      <c r="M798" s="3"/>
    </row>
    <row r="799" spans="1:13" x14ac:dyDescent="0.3">
      <c r="A799" s="2">
        <v>798</v>
      </c>
      <c r="B799" s="2" t="s">
        <v>563</v>
      </c>
      <c r="C799" s="2" t="s">
        <v>2738</v>
      </c>
      <c r="D799" s="2" t="s">
        <v>28</v>
      </c>
      <c r="E799" s="2" t="s">
        <v>29</v>
      </c>
      <c r="F799" s="2">
        <v>90</v>
      </c>
      <c r="G799" s="2" t="s">
        <v>2739</v>
      </c>
      <c r="H799" s="2" t="s">
        <v>2329</v>
      </c>
      <c r="I799" s="2" t="s">
        <v>2330</v>
      </c>
      <c r="J799" s="3">
        <v>44182</v>
      </c>
      <c r="K799" s="2">
        <v>11</v>
      </c>
      <c r="L799" s="2" t="s">
        <v>159</v>
      </c>
      <c r="M799" s="3"/>
    </row>
    <row r="800" spans="1:13" x14ac:dyDescent="0.3">
      <c r="A800" s="2">
        <v>799</v>
      </c>
      <c r="B800" s="2" t="s">
        <v>2740</v>
      </c>
      <c r="C800" s="2" t="s">
        <v>175</v>
      </c>
      <c r="D800" s="2" t="s">
        <v>28</v>
      </c>
      <c r="E800" s="2" t="s">
        <v>29</v>
      </c>
      <c r="F800" s="2">
        <v>60</v>
      </c>
      <c r="G800" s="2" t="s">
        <v>2741</v>
      </c>
      <c r="H800" s="2" t="s">
        <v>2742</v>
      </c>
      <c r="I800" s="2" t="s">
        <v>124</v>
      </c>
      <c r="J800" s="3">
        <v>44478</v>
      </c>
      <c r="K800" s="2">
        <v>39</v>
      </c>
      <c r="L800" s="2" t="s">
        <v>39</v>
      </c>
      <c r="M800" s="3"/>
    </row>
    <row r="801" spans="1:13" x14ac:dyDescent="0.3">
      <c r="A801" s="2">
        <v>800</v>
      </c>
      <c r="B801" s="2" t="s">
        <v>2743</v>
      </c>
      <c r="C801" s="2" t="s">
        <v>2041</v>
      </c>
      <c r="D801" s="2" t="s">
        <v>28</v>
      </c>
      <c r="E801" s="2" t="s">
        <v>29</v>
      </c>
      <c r="F801" s="2">
        <v>30</v>
      </c>
      <c r="G801" s="2" t="s">
        <v>2744</v>
      </c>
      <c r="H801" s="2" t="s">
        <v>2745</v>
      </c>
      <c r="I801" s="2" t="s">
        <v>32</v>
      </c>
      <c r="J801" s="3">
        <v>44443</v>
      </c>
      <c r="K801" s="2">
        <v>71</v>
      </c>
      <c r="L801" s="2" t="s">
        <v>20</v>
      </c>
      <c r="M801" s="3"/>
    </row>
    <row r="802" spans="1:13" x14ac:dyDescent="0.3">
      <c r="A802" s="2">
        <v>801</v>
      </c>
      <c r="B802" s="2" t="s">
        <v>2746</v>
      </c>
      <c r="C802" s="2" t="s">
        <v>2747</v>
      </c>
      <c r="D802" s="2" t="s">
        <v>51</v>
      </c>
      <c r="E802" s="2" t="s">
        <v>16</v>
      </c>
      <c r="F802" s="2">
        <v>30</v>
      </c>
      <c r="G802" s="2" t="s">
        <v>2748</v>
      </c>
      <c r="H802" s="2" t="s">
        <v>2749</v>
      </c>
      <c r="I802" s="2" t="s">
        <v>187</v>
      </c>
      <c r="J802" s="3">
        <v>44381</v>
      </c>
      <c r="K802" s="2">
        <v>71</v>
      </c>
      <c r="L802" s="2" t="s">
        <v>20</v>
      </c>
      <c r="M802" s="3"/>
    </row>
    <row r="803" spans="1:13" x14ac:dyDescent="0.3">
      <c r="A803" s="2">
        <v>802</v>
      </c>
      <c r="B803" s="2" t="s">
        <v>2750</v>
      </c>
      <c r="C803" s="2" t="s">
        <v>2751</v>
      </c>
      <c r="D803" s="2" t="s">
        <v>28</v>
      </c>
      <c r="E803" s="2" t="s">
        <v>29</v>
      </c>
      <c r="F803" s="2">
        <v>90</v>
      </c>
      <c r="G803" s="2" t="s">
        <v>2752</v>
      </c>
      <c r="H803" s="2" t="s">
        <v>2753</v>
      </c>
      <c r="I803" s="2" t="s">
        <v>124</v>
      </c>
      <c r="J803" s="3">
        <v>43876</v>
      </c>
      <c r="K803" s="2">
        <v>81</v>
      </c>
      <c r="L803" s="2" t="s">
        <v>54</v>
      </c>
      <c r="M803" s="3"/>
    </row>
    <row r="804" spans="1:13" x14ac:dyDescent="0.3">
      <c r="A804" s="2">
        <v>803</v>
      </c>
      <c r="B804" s="2" t="s">
        <v>2754</v>
      </c>
      <c r="C804" s="2" t="s">
        <v>1641</v>
      </c>
      <c r="D804" s="2" t="s">
        <v>15</v>
      </c>
      <c r="E804" s="2" t="s">
        <v>16</v>
      </c>
      <c r="F804" s="2">
        <v>30</v>
      </c>
      <c r="G804" s="2" t="s">
        <v>2755</v>
      </c>
      <c r="H804" s="2" t="s">
        <v>1621</v>
      </c>
      <c r="I804" s="2" t="s">
        <v>146</v>
      </c>
      <c r="J804" s="3">
        <v>44617</v>
      </c>
      <c r="K804" s="2">
        <v>18</v>
      </c>
      <c r="L804" s="2" t="s">
        <v>70</v>
      </c>
      <c r="M804" s="3"/>
    </row>
    <row r="805" spans="1:13" x14ac:dyDescent="0.3">
      <c r="A805" s="2">
        <v>804</v>
      </c>
      <c r="B805" s="2" t="s">
        <v>2756</v>
      </c>
      <c r="C805" s="2" t="s">
        <v>2757</v>
      </c>
      <c r="D805" s="2" t="s">
        <v>51</v>
      </c>
      <c r="E805" s="2" t="s">
        <v>16</v>
      </c>
      <c r="F805" s="2">
        <v>30</v>
      </c>
      <c r="G805" s="2" t="s">
        <v>2758</v>
      </c>
      <c r="H805" s="2" t="s">
        <v>2759</v>
      </c>
      <c r="I805" s="2" t="s">
        <v>32</v>
      </c>
      <c r="J805" s="3">
        <v>44227</v>
      </c>
      <c r="K805" s="2">
        <v>90</v>
      </c>
      <c r="L805" s="2" t="s">
        <v>33</v>
      </c>
      <c r="M805" s="3"/>
    </row>
    <row r="806" spans="1:13" x14ac:dyDescent="0.3">
      <c r="A806" s="2">
        <v>805</v>
      </c>
      <c r="B806" s="2" t="s">
        <v>2760</v>
      </c>
      <c r="C806" s="2" t="s">
        <v>2761</v>
      </c>
      <c r="D806" s="2" t="s">
        <v>51</v>
      </c>
      <c r="E806" s="2" t="s">
        <v>16</v>
      </c>
      <c r="F806" s="2">
        <v>30</v>
      </c>
      <c r="G806" s="2" t="s">
        <v>2762</v>
      </c>
      <c r="H806" s="2" t="s">
        <v>2763</v>
      </c>
      <c r="I806" s="2" t="s">
        <v>294</v>
      </c>
      <c r="J806" s="3">
        <v>44409</v>
      </c>
      <c r="K806" s="2">
        <v>68</v>
      </c>
      <c r="L806" s="2" t="s">
        <v>33</v>
      </c>
      <c r="M806" s="3"/>
    </row>
    <row r="807" spans="1:13" x14ac:dyDescent="0.3">
      <c r="A807" s="2">
        <v>806</v>
      </c>
      <c r="B807" s="2" t="s">
        <v>2764</v>
      </c>
      <c r="C807" s="2" t="s">
        <v>783</v>
      </c>
      <c r="D807" s="2" t="s">
        <v>41</v>
      </c>
      <c r="E807" s="2" t="s">
        <v>16</v>
      </c>
      <c r="F807" s="2">
        <v>30</v>
      </c>
      <c r="G807" s="2" t="s">
        <v>2765</v>
      </c>
      <c r="H807" s="2" t="s">
        <v>2766</v>
      </c>
      <c r="I807" s="2" t="s">
        <v>294</v>
      </c>
      <c r="J807" s="3">
        <v>44252</v>
      </c>
      <c r="K807" s="2">
        <v>52</v>
      </c>
      <c r="L807" s="2" t="s">
        <v>70</v>
      </c>
      <c r="M807" s="3"/>
    </row>
    <row r="808" spans="1:13" x14ac:dyDescent="0.3">
      <c r="A808" s="2">
        <v>807</v>
      </c>
      <c r="B808" s="2" t="s">
        <v>990</v>
      </c>
      <c r="C808" s="2" t="s">
        <v>1658</v>
      </c>
      <c r="D808" s="2" t="s">
        <v>28</v>
      </c>
      <c r="E808" s="2" t="s">
        <v>29</v>
      </c>
      <c r="F808" s="2">
        <v>90</v>
      </c>
      <c r="G808" s="2" t="s">
        <v>2767</v>
      </c>
      <c r="H808" s="2" t="s">
        <v>2768</v>
      </c>
      <c r="I808" s="2" t="s">
        <v>554</v>
      </c>
      <c r="J808" s="3">
        <v>44361</v>
      </c>
      <c r="K808" s="2">
        <v>16</v>
      </c>
      <c r="L808" s="2" t="s">
        <v>39</v>
      </c>
      <c r="M808" s="3"/>
    </row>
    <row r="809" spans="1:13" x14ac:dyDescent="0.3">
      <c r="A809" s="2">
        <v>808</v>
      </c>
      <c r="B809" s="2" t="s">
        <v>2769</v>
      </c>
      <c r="C809" s="2" t="s">
        <v>2770</v>
      </c>
      <c r="D809" s="2" t="s">
        <v>15</v>
      </c>
      <c r="E809" s="2" t="s">
        <v>16</v>
      </c>
      <c r="F809" s="2">
        <v>90</v>
      </c>
      <c r="G809" s="2" t="s">
        <v>2771</v>
      </c>
      <c r="H809" s="2" t="s">
        <v>2772</v>
      </c>
      <c r="I809" s="2" t="s">
        <v>32</v>
      </c>
      <c r="J809" s="3">
        <v>44648</v>
      </c>
      <c r="K809" s="2">
        <v>6</v>
      </c>
      <c r="L809" s="2" t="s">
        <v>159</v>
      </c>
      <c r="M809" s="3"/>
    </row>
    <row r="810" spans="1:13" x14ac:dyDescent="0.3">
      <c r="A810" s="2">
        <v>809</v>
      </c>
      <c r="B810" s="2" t="s">
        <v>1978</v>
      </c>
      <c r="C810" s="2" t="s">
        <v>2773</v>
      </c>
      <c r="D810" s="2" t="s">
        <v>15</v>
      </c>
      <c r="E810" s="2" t="s">
        <v>16</v>
      </c>
      <c r="F810" s="2">
        <v>60</v>
      </c>
      <c r="G810" s="2" t="s">
        <v>2774</v>
      </c>
      <c r="H810" s="2" t="s">
        <v>667</v>
      </c>
      <c r="I810" s="2" t="s">
        <v>25</v>
      </c>
      <c r="J810" s="3">
        <v>44232</v>
      </c>
      <c r="K810" s="2">
        <v>2</v>
      </c>
      <c r="L810" s="2" t="s">
        <v>64</v>
      </c>
      <c r="M810" s="3"/>
    </row>
    <row r="811" spans="1:13" x14ac:dyDescent="0.3">
      <c r="A811" s="2">
        <v>810</v>
      </c>
      <c r="B811" s="2" t="s">
        <v>2775</v>
      </c>
      <c r="C811" s="2" t="s">
        <v>2776</v>
      </c>
      <c r="D811" s="2" t="s">
        <v>51</v>
      </c>
      <c r="E811" s="2" t="s">
        <v>16</v>
      </c>
      <c r="F811" s="2">
        <v>30</v>
      </c>
      <c r="G811" s="2" t="s">
        <v>2777</v>
      </c>
      <c r="H811" s="2" t="s">
        <v>1430</v>
      </c>
      <c r="I811" s="2" t="s">
        <v>32</v>
      </c>
      <c r="J811" s="3">
        <v>44882</v>
      </c>
      <c r="K811" s="2">
        <v>24</v>
      </c>
      <c r="L811" s="2" t="s">
        <v>20</v>
      </c>
      <c r="M811" s="3"/>
    </row>
    <row r="812" spans="1:13" x14ac:dyDescent="0.3">
      <c r="A812" s="2">
        <v>811</v>
      </c>
      <c r="B812" s="2" t="s">
        <v>824</v>
      </c>
      <c r="C812" s="2" t="s">
        <v>143</v>
      </c>
      <c r="D812" s="2" t="s">
        <v>28</v>
      </c>
      <c r="E812" s="2" t="s">
        <v>29</v>
      </c>
      <c r="F812" s="2">
        <v>30</v>
      </c>
      <c r="G812" s="2" t="s">
        <v>2778</v>
      </c>
      <c r="H812" s="2" t="s">
        <v>652</v>
      </c>
      <c r="I812" s="2" t="s">
        <v>32</v>
      </c>
      <c r="J812" s="3">
        <v>44480</v>
      </c>
      <c r="K812" s="2">
        <v>72</v>
      </c>
      <c r="L812" s="2" t="s">
        <v>64</v>
      </c>
      <c r="M812" s="3"/>
    </row>
    <row r="813" spans="1:13" x14ac:dyDescent="0.3">
      <c r="A813" s="2">
        <v>812</v>
      </c>
      <c r="B813" s="2" t="s">
        <v>2779</v>
      </c>
      <c r="C813" s="2" t="s">
        <v>481</v>
      </c>
      <c r="D813" s="2" t="s">
        <v>28</v>
      </c>
      <c r="E813" s="2" t="s">
        <v>29</v>
      </c>
      <c r="F813" s="2">
        <v>60</v>
      </c>
      <c r="G813" s="2" t="s">
        <v>2780</v>
      </c>
      <c r="H813" s="2" t="s">
        <v>2781</v>
      </c>
      <c r="I813" s="2" t="s">
        <v>129</v>
      </c>
      <c r="J813" s="3">
        <v>44061</v>
      </c>
      <c r="K813" s="2">
        <v>51</v>
      </c>
      <c r="L813" s="2" t="s">
        <v>45</v>
      </c>
      <c r="M813" s="3"/>
    </row>
    <row r="814" spans="1:13" x14ac:dyDescent="0.3">
      <c r="A814" s="2">
        <v>813</v>
      </c>
      <c r="B814" s="2" t="s">
        <v>2782</v>
      </c>
      <c r="C814" s="2" t="s">
        <v>520</v>
      </c>
      <c r="D814" s="2" t="s">
        <v>28</v>
      </c>
      <c r="E814" s="2" t="s">
        <v>29</v>
      </c>
      <c r="F814" s="2">
        <v>30</v>
      </c>
      <c r="G814" s="2" t="s">
        <v>2783</v>
      </c>
      <c r="H814" s="2" t="s">
        <v>48</v>
      </c>
      <c r="I814" s="2" t="s">
        <v>25</v>
      </c>
      <c r="J814" s="3">
        <v>44715</v>
      </c>
      <c r="K814" s="2">
        <v>70</v>
      </c>
      <c r="L814" s="2" t="s">
        <v>159</v>
      </c>
      <c r="M814" s="3"/>
    </row>
    <row r="815" spans="1:13" x14ac:dyDescent="0.3">
      <c r="A815" s="2">
        <v>814</v>
      </c>
      <c r="B815" s="2" t="s">
        <v>2784</v>
      </c>
      <c r="C815" s="2" t="s">
        <v>2785</v>
      </c>
      <c r="D815" s="2" t="s">
        <v>28</v>
      </c>
      <c r="E815" s="2" t="s">
        <v>29</v>
      </c>
      <c r="F815" s="2">
        <v>30</v>
      </c>
      <c r="G815" s="2" t="s">
        <v>2786</v>
      </c>
      <c r="H815" s="2" t="s">
        <v>2787</v>
      </c>
      <c r="I815" s="2" t="s">
        <v>32</v>
      </c>
      <c r="J815" s="3">
        <v>44679</v>
      </c>
      <c r="K815" s="2">
        <v>46</v>
      </c>
      <c r="L815" s="2" t="s">
        <v>54</v>
      </c>
      <c r="M815" s="3"/>
    </row>
    <row r="816" spans="1:13" x14ac:dyDescent="0.3">
      <c r="A816" s="2">
        <v>815</v>
      </c>
      <c r="B816" s="2" t="s">
        <v>2788</v>
      </c>
      <c r="C816" s="2" t="s">
        <v>2789</v>
      </c>
      <c r="D816" s="2" t="s">
        <v>28</v>
      </c>
      <c r="E816" s="2" t="s">
        <v>29</v>
      </c>
      <c r="F816" s="2">
        <v>60</v>
      </c>
      <c r="G816" s="2" t="s">
        <v>2790</v>
      </c>
      <c r="H816" s="2" t="s">
        <v>2791</v>
      </c>
      <c r="I816" s="2" t="s">
        <v>178</v>
      </c>
      <c r="J816" s="3">
        <v>44312</v>
      </c>
      <c r="K816" s="2">
        <v>73</v>
      </c>
      <c r="L816" s="2" t="s">
        <v>39</v>
      </c>
      <c r="M816" s="3"/>
    </row>
    <row r="817" spans="1:13" x14ac:dyDescent="0.3">
      <c r="A817" s="2">
        <v>816</v>
      </c>
      <c r="B817" s="2" t="s">
        <v>2792</v>
      </c>
      <c r="C817" s="2" t="s">
        <v>2793</v>
      </c>
      <c r="D817" s="2" t="s">
        <v>15</v>
      </c>
      <c r="E817" s="2" t="s">
        <v>16</v>
      </c>
      <c r="F817" s="2">
        <v>60</v>
      </c>
      <c r="G817" s="2" t="s">
        <v>2794</v>
      </c>
      <c r="H817" s="2" t="s">
        <v>2795</v>
      </c>
      <c r="I817" s="2" t="s">
        <v>38</v>
      </c>
      <c r="J817" s="3">
        <v>44056</v>
      </c>
      <c r="K817" s="2">
        <v>49</v>
      </c>
      <c r="L817" s="2" t="s">
        <v>33</v>
      </c>
      <c r="M817" s="3"/>
    </row>
    <row r="818" spans="1:13" x14ac:dyDescent="0.3">
      <c r="A818" s="2">
        <v>817</v>
      </c>
      <c r="B818" s="2" t="s">
        <v>2796</v>
      </c>
      <c r="C818" s="2" t="s">
        <v>2797</v>
      </c>
      <c r="D818" s="2" t="s">
        <v>28</v>
      </c>
      <c r="E818" s="2" t="s">
        <v>29</v>
      </c>
      <c r="F818" s="2">
        <v>30</v>
      </c>
      <c r="G818" s="2" t="s">
        <v>2798</v>
      </c>
      <c r="H818" s="2" t="s">
        <v>2799</v>
      </c>
      <c r="I818" s="2" t="s">
        <v>32</v>
      </c>
      <c r="J818" s="3">
        <v>44030</v>
      </c>
      <c r="K818" s="2">
        <v>26</v>
      </c>
      <c r="L818" s="2" t="s">
        <v>64</v>
      </c>
      <c r="M818" s="3"/>
    </row>
    <row r="819" spans="1:13" x14ac:dyDescent="0.3">
      <c r="A819" s="2">
        <v>818</v>
      </c>
      <c r="B819" s="2" t="s">
        <v>2800</v>
      </c>
      <c r="C819" s="2" t="s">
        <v>2203</v>
      </c>
      <c r="D819" s="2" t="s">
        <v>92</v>
      </c>
      <c r="E819" s="2" t="s">
        <v>16</v>
      </c>
      <c r="F819" s="2">
        <v>30</v>
      </c>
      <c r="G819" s="2" t="s">
        <v>2801</v>
      </c>
      <c r="H819" s="2" t="s">
        <v>1615</v>
      </c>
      <c r="I819" s="2" t="s">
        <v>32</v>
      </c>
      <c r="J819" s="3">
        <v>44736</v>
      </c>
      <c r="K819" s="2">
        <v>11</v>
      </c>
      <c r="L819" s="2" t="s">
        <v>45</v>
      </c>
      <c r="M819" s="3"/>
    </row>
    <row r="820" spans="1:13" x14ac:dyDescent="0.3">
      <c r="A820" s="2">
        <v>819</v>
      </c>
      <c r="B820" s="2" t="s">
        <v>2802</v>
      </c>
      <c r="C820" s="2" t="s">
        <v>983</v>
      </c>
      <c r="D820" s="2" t="s">
        <v>51</v>
      </c>
      <c r="E820" s="2" t="s">
        <v>16</v>
      </c>
      <c r="F820" s="2">
        <v>60</v>
      </c>
      <c r="G820" s="2" t="s">
        <v>2803</v>
      </c>
      <c r="H820" s="2" t="s">
        <v>2804</v>
      </c>
      <c r="I820" s="2" t="s">
        <v>124</v>
      </c>
      <c r="J820" s="3">
        <v>44891</v>
      </c>
      <c r="K820" s="2">
        <v>36</v>
      </c>
      <c r="L820" s="2" t="s">
        <v>20</v>
      </c>
      <c r="M820" s="3"/>
    </row>
    <row r="821" spans="1:13" x14ac:dyDescent="0.3">
      <c r="A821" s="2">
        <v>820</v>
      </c>
      <c r="B821" s="2" t="s">
        <v>2805</v>
      </c>
      <c r="C821" s="2" t="s">
        <v>2806</v>
      </c>
      <c r="D821" s="2" t="s">
        <v>28</v>
      </c>
      <c r="E821" s="2" t="s">
        <v>29</v>
      </c>
      <c r="F821" s="2">
        <v>90</v>
      </c>
      <c r="G821" s="2" t="s">
        <v>2807</v>
      </c>
      <c r="H821" s="2" t="s">
        <v>1568</v>
      </c>
      <c r="I821" s="2" t="s">
        <v>32</v>
      </c>
      <c r="J821" s="3">
        <v>44157</v>
      </c>
      <c r="K821" s="2">
        <v>72</v>
      </c>
      <c r="L821" s="2" t="s">
        <v>20</v>
      </c>
      <c r="M821" s="3"/>
    </row>
    <row r="822" spans="1:13" x14ac:dyDescent="0.3">
      <c r="A822" s="2">
        <v>821</v>
      </c>
      <c r="B822" s="2" t="s">
        <v>2808</v>
      </c>
      <c r="C822" s="2" t="s">
        <v>2809</v>
      </c>
      <c r="D822" s="2" t="s">
        <v>15</v>
      </c>
      <c r="E822" s="2" t="s">
        <v>16</v>
      </c>
      <c r="F822" s="2">
        <v>60</v>
      </c>
      <c r="G822" s="2" t="s">
        <v>2810</v>
      </c>
      <c r="H822" s="2" t="s">
        <v>2811</v>
      </c>
      <c r="I822" s="2" t="s">
        <v>32</v>
      </c>
      <c r="J822" s="3">
        <v>44734</v>
      </c>
      <c r="K822" s="2">
        <v>70</v>
      </c>
      <c r="L822" s="2" t="s">
        <v>33</v>
      </c>
      <c r="M822" s="3"/>
    </row>
    <row r="823" spans="1:13" x14ac:dyDescent="0.3">
      <c r="A823" s="2">
        <v>822</v>
      </c>
      <c r="B823" s="2" t="s">
        <v>2812</v>
      </c>
      <c r="C823" s="2" t="s">
        <v>2813</v>
      </c>
      <c r="D823" s="2" t="s">
        <v>51</v>
      </c>
      <c r="E823" s="2" t="s">
        <v>16</v>
      </c>
      <c r="F823" s="2">
        <v>60</v>
      </c>
      <c r="G823" s="2" t="s">
        <v>2814</v>
      </c>
      <c r="H823" s="2" t="s">
        <v>2667</v>
      </c>
      <c r="I823" s="2" t="s">
        <v>187</v>
      </c>
      <c r="J823" s="3">
        <v>44837</v>
      </c>
      <c r="K823" s="2">
        <v>40</v>
      </c>
      <c r="L823" s="2" t="s">
        <v>101</v>
      </c>
      <c r="M823" s="3"/>
    </row>
    <row r="824" spans="1:13" x14ac:dyDescent="0.3">
      <c r="A824" s="2">
        <v>823</v>
      </c>
      <c r="B824" s="2" t="s">
        <v>2815</v>
      </c>
      <c r="C824" s="2" t="s">
        <v>2816</v>
      </c>
      <c r="D824" s="2" t="s">
        <v>28</v>
      </c>
      <c r="E824" s="2" t="s">
        <v>29</v>
      </c>
      <c r="F824" s="2">
        <v>90</v>
      </c>
      <c r="G824" s="2" t="s">
        <v>2817</v>
      </c>
      <c r="H824" s="2" t="s">
        <v>2818</v>
      </c>
      <c r="I824" s="2" t="s">
        <v>32</v>
      </c>
      <c r="J824" s="3">
        <v>44904</v>
      </c>
      <c r="K824" s="2">
        <v>37</v>
      </c>
      <c r="L824" s="2" t="s">
        <v>54</v>
      </c>
      <c r="M824" s="3"/>
    </row>
    <row r="825" spans="1:13" x14ac:dyDescent="0.3">
      <c r="A825" s="2">
        <v>824</v>
      </c>
      <c r="B825" s="2" t="s">
        <v>2819</v>
      </c>
      <c r="C825" s="2" t="s">
        <v>2820</v>
      </c>
      <c r="D825" s="2" t="s">
        <v>28</v>
      </c>
      <c r="E825" s="2" t="s">
        <v>29</v>
      </c>
      <c r="F825" s="2">
        <v>60</v>
      </c>
      <c r="G825" s="2" t="s">
        <v>2821</v>
      </c>
      <c r="H825" s="2" t="s">
        <v>2822</v>
      </c>
      <c r="I825" s="2" t="s">
        <v>32</v>
      </c>
      <c r="J825" s="3">
        <v>44815</v>
      </c>
      <c r="K825" s="2">
        <v>96</v>
      </c>
      <c r="L825" s="2" t="s">
        <v>54</v>
      </c>
      <c r="M825" s="3"/>
    </row>
    <row r="826" spans="1:13" x14ac:dyDescent="0.3">
      <c r="A826" s="2">
        <v>825</v>
      </c>
      <c r="B826" s="2" t="s">
        <v>2823</v>
      </c>
      <c r="C826" s="2" t="s">
        <v>2824</v>
      </c>
      <c r="D826" s="2" t="s">
        <v>15</v>
      </c>
      <c r="E826" s="2" t="s">
        <v>16</v>
      </c>
      <c r="F826" s="2">
        <v>30</v>
      </c>
      <c r="G826" s="2" t="s">
        <v>2825</v>
      </c>
      <c r="H826" s="2" t="s">
        <v>1206</v>
      </c>
      <c r="I826" s="2" t="s">
        <v>294</v>
      </c>
      <c r="J826" s="3">
        <v>44300</v>
      </c>
      <c r="K826" s="2">
        <v>51</v>
      </c>
      <c r="L826" s="2" t="s">
        <v>80</v>
      </c>
      <c r="M826" s="3"/>
    </row>
    <row r="827" spans="1:13" x14ac:dyDescent="0.3">
      <c r="A827" s="2">
        <v>826</v>
      </c>
      <c r="B827" s="2" t="s">
        <v>2308</v>
      </c>
      <c r="C827" s="2" t="s">
        <v>2826</v>
      </c>
      <c r="D827" s="2" t="s">
        <v>51</v>
      </c>
      <c r="E827" s="2" t="s">
        <v>16</v>
      </c>
      <c r="F827" s="2">
        <v>30</v>
      </c>
      <c r="G827" s="2" t="s">
        <v>2827</v>
      </c>
      <c r="H827" s="2" t="s">
        <v>702</v>
      </c>
      <c r="I827" s="2" t="s">
        <v>703</v>
      </c>
      <c r="J827" s="3">
        <v>43928</v>
      </c>
      <c r="K827" s="2">
        <v>64</v>
      </c>
      <c r="L827" s="2" t="s">
        <v>101</v>
      </c>
      <c r="M827" s="3"/>
    </row>
    <row r="828" spans="1:13" x14ac:dyDescent="0.3">
      <c r="A828" s="2">
        <v>827</v>
      </c>
      <c r="B828" s="2" t="s">
        <v>2828</v>
      </c>
      <c r="C828" s="2" t="s">
        <v>2829</v>
      </c>
      <c r="D828" s="2" t="s">
        <v>28</v>
      </c>
      <c r="E828" s="2" t="s">
        <v>29</v>
      </c>
      <c r="F828" s="2">
        <v>90</v>
      </c>
      <c r="G828" s="2" t="s">
        <v>2830</v>
      </c>
      <c r="H828" s="2" t="s">
        <v>2831</v>
      </c>
      <c r="I828" s="2" t="s">
        <v>32</v>
      </c>
      <c r="J828" s="3">
        <v>44080</v>
      </c>
      <c r="K828" s="2">
        <v>6</v>
      </c>
      <c r="L828" s="2" t="s">
        <v>101</v>
      </c>
      <c r="M828" s="3"/>
    </row>
    <row r="829" spans="1:13" x14ac:dyDescent="0.3">
      <c r="A829" s="2">
        <v>828</v>
      </c>
      <c r="B829" s="2" t="s">
        <v>2682</v>
      </c>
      <c r="C829" s="2" t="s">
        <v>2832</v>
      </c>
      <c r="D829" s="2" t="s">
        <v>28</v>
      </c>
      <c r="E829" s="2" t="s">
        <v>29</v>
      </c>
      <c r="F829" s="2">
        <v>60</v>
      </c>
      <c r="G829" s="2" t="s">
        <v>2833</v>
      </c>
      <c r="H829" s="2" t="s">
        <v>2834</v>
      </c>
      <c r="I829" s="2" t="s">
        <v>19</v>
      </c>
      <c r="J829" s="3">
        <v>44577</v>
      </c>
      <c r="K829" s="2">
        <v>101</v>
      </c>
      <c r="L829" s="2" t="s">
        <v>80</v>
      </c>
      <c r="M829" s="3"/>
    </row>
    <row r="830" spans="1:13" x14ac:dyDescent="0.3">
      <c r="A830" s="2">
        <v>829</v>
      </c>
      <c r="B830" s="2" t="s">
        <v>2835</v>
      </c>
      <c r="C830" s="2" t="s">
        <v>1737</v>
      </c>
      <c r="D830" s="2" t="s">
        <v>28</v>
      </c>
      <c r="E830" s="2" t="s">
        <v>29</v>
      </c>
      <c r="F830" s="2">
        <v>90</v>
      </c>
      <c r="G830" s="2" t="s">
        <v>2836</v>
      </c>
      <c r="H830" s="2" t="s">
        <v>2250</v>
      </c>
      <c r="I830" s="2" t="s">
        <v>187</v>
      </c>
      <c r="J830" s="3">
        <v>44669</v>
      </c>
      <c r="K830" s="2">
        <v>4</v>
      </c>
      <c r="L830" s="2" t="s">
        <v>80</v>
      </c>
      <c r="M830" s="3"/>
    </row>
    <row r="831" spans="1:13" x14ac:dyDescent="0.3">
      <c r="A831" s="2">
        <v>830</v>
      </c>
      <c r="B831" s="2" t="s">
        <v>2837</v>
      </c>
      <c r="C831" s="2" t="s">
        <v>2838</v>
      </c>
      <c r="D831" s="2" t="s">
        <v>28</v>
      </c>
      <c r="E831" s="2" t="s">
        <v>29</v>
      </c>
      <c r="F831" s="2">
        <v>90</v>
      </c>
      <c r="G831" s="2" t="s">
        <v>2839</v>
      </c>
      <c r="H831" s="2" t="s">
        <v>266</v>
      </c>
      <c r="I831" s="2" t="s">
        <v>32</v>
      </c>
      <c r="J831" s="3">
        <v>44924</v>
      </c>
      <c r="K831" s="2">
        <v>6</v>
      </c>
      <c r="L831" s="2" t="s">
        <v>33</v>
      </c>
      <c r="M831" s="3"/>
    </row>
    <row r="832" spans="1:13" x14ac:dyDescent="0.3">
      <c r="A832" s="2">
        <v>831</v>
      </c>
      <c r="B832" s="2" t="s">
        <v>2840</v>
      </c>
      <c r="C832" s="2" t="s">
        <v>2841</v>
      </c>
      <c r="D832" s="2" t="s">
        <v>28</v>
      </c>
      <c r="E832" s="2" t="s">
        <v>29</v>
      </c>
      <c r="F832" s="2">
        <v>30</v>
      </c>
      <c r="G832" s="2" t="s">
        <v>2842</v>
      </c>
      <c r="H832" s="2" t="s">
        <v>1142</v>
      </c>
      <c r="I832" s="2" t="s">
        <v>38</v>
      </c>
      <c r="J832" s="3">
        <v>44444</v>
      </c>
      <c r="K832" s="2">
        <v>73</v>
      </c>
      <c r="L832" s="2" t="s">
        <v>20</v>
      </c>
      <c r="M832" s="3"/>
    </row>
    <row r="833" spans="1:13" x14ac:dyDescent="0.3">
      <c r="A833" s="2">
        <v>832</v>
      </c>
      <c r="B833" s="2" t="s">
        <v>2843</v>
      </c>
      <c r="C833" s="2" t="s">
        <v>2844</v>
      </c>
      <c r="D833" s="2" t="s">
        <v>92</v>
      </c>
      <c r="E833" s="2" t="s">
        <v>16</v>
      </c>
      <c r="F833" s="2">
        <v>90</v>
      </c>
      <c r="G833" s="2" t="s">
        <v>2845</v>
      </c>
      <c r="H833" s="2" t="s">
        <v>2846</v>
      </c>
      <c r="I833" s="2" t="s">
        <v>32</v>
      </c>
      <c r="J833" s="3">
        <v>44410</v>
      </c>
      <c r="K833" s="2">
        <v>63</v>
      </c>
      <c r="L833" s="2" t="s">
        <v>64</v>
      </c>
      <c r="M833" s="3"/>
    </row>
    <row r="834" spans="1:13" x14ac:dyDescent="0.3">
      <c r="A834" s="2">
        <v>833</v>
      </c>
      <c r="B834" s="2" t="s">
        <v>2665</v>
      </c>
      <c r="C834" s="2" t="s">
        <v>143</v>
      </c>
      <c r="D834" s="2" t="s">
        <v>28</v>
      </c>
      <c r="E834" s="2" t="s">
        <v>29</v>
      </c>
      <c r="F834" s="2">
        <v>30</v>
      </c>
      <c r="G834" s="2" t="s">
        <v>2847</v>
      </c>
      <c r="H834" s="2" t="s">
        <v>2848</v>
      </c>
      <c r="I834" s="2" t="s">
        <v>129</v>
      </c>
      <c r="J834" s="3">
        <v>43901</v>
      </c>
      <c r="K834" s="2">
        <v>17</v>
      </c>
      <c r="L834" s="2" t="s">
        <v>45</v>
      </c>
      <c r="M834" s="3"/>
    </row>
    <row r="835" spans="1:13" x14ac:dyDescent="0.3">
      <c r="A835" s="2">
        <v>834</v>
      </c>
      <c r="B835" s="2" t="s">
        <v>2849</v>
      </c>
      <c r="C835" s="2" t="s">
        <v>193</v>
      </c>
      <c r="D835" s="2" t="s">
        <v>28</v>
      </c>
      <c r="E835" s="2" t="s">
        <v>29</v>
      </c>
      <c r="F835" s="2">
        <v>60</v>
      </c>
      <c r="G835" s="2" t="s">
        <v>2850</v>
      </c>
      <c r="H835" s="2" t="s">
        <v>2851</v>
      </c>
      <c r="I835" s="2" t="s">
        <v>32</v>
      </c>
      <c r="J835" s="3">
        <v>44322</v>
      </c>
      <c r="K835" s="2">
        <v>21</v>
      </c>
      <c r="L835" s="2" t="s">
        <v>64</v>
      </c>
      <c r="M835" s="3"/>
    </row>
    <row r="836" spans="1:13" x14ac:dyDescent="0.3">
      <c r="A836" s="2">
        <v>835</v>
      </c>
      <c r="B836" s="2" t="s">
        <v>2852</v>
      </c>
      <c r="C836" s="2" t="s">
        <v>2853</v>
      </c>
      <c r="D836" s="2" t="s">
        <v>15</v>
      </c>
      <c r="E836" s="2" t="s">
        <v>16</v>
      </c>
      <c r="F836" s="2">
        <v>90</v>
      </c>
      <c r="G836" s="2" t="s">
        <v>2854</v>
      </c>
      <c r="H836" s="2" t="s">
        <v>2855</v>
      </c>
      <c r="I836" s="2" t="s">
        <v>110</v>
      </c>
      <c r="J836" s="3">
        <v>44701</v>
      </c>
      <c r="K836" s="2">
        <v>5</v>
      </c>
      <c r="L836" s="2" t="s">
        <v>101</v>
      </c>
      <c r="M836" s="3"/>
    </row>
    <row r="837" spans="1:13" x14ac:dyDescent="0.3">
      <c r="A837" s="2">
        <v>836</v>
      </c>
      <c r="B837" s="2" t="s">
        <v>1985</v>
      </c>
      <c r="C837" s="2" t="s">
        <v>2856</v>
      </c>
      <c r="D837" s="2" t="s">
        <v>28</v>
      </c>
      <c r="E837" s="2" t="s">
        <v>29</v>
      </c>
      <c r="F837" s="2">
        <v>30</v>
      </c>
      <c r="G837" s="2" t="s">
        <v>2857</v>
      </c>
      <c r="H837" s="2" t="s">
        <v>248</v>
      </c>
      <c r="I837" s="2" t="s">
        <v>178</v>
      </c>
      <c r="J837" s="3">
        <v>44002</v>
      </c>
      <c r="K837" s="2">
        <v>77</v>
      </c>
      <c r="L837" s="2" t="s">
        <v>39</v>
      </c>
      <c r="M837" s="3"/>
    </row>
    <row r="838" spans="1:13" x14ac:dyDescent="0.3">
      <c r="A838" s="2">
        <v>837</v>
      </c>
      <c r="B838" s="2" t="s">
        <v>990</v>
      </c>
      <c r="C838" s="2" t="s">
        <v>2858</v>
      </c>
      <c r="D838" s="2" t="s">
        <v>28</v>
      </c>
      <c r="E838" s="2" t="s">
        <v>29</v>
      </c>
      <c r="F838" s="2">
        <v>60</v>
      </c>
      <c r="G838" s="2" t="s">
        <v>2859</v>
      </c>
      <c r="H838" s="2" t="s">
        <v>2860</v>
      </c>
      <c r="I838" s="2" t="s">
        <v>32</v>
      </c>
      <c r="J838" s="3">
        <v>44355</v>
      </c>
      <c r="K838" s="2">
        <v>9</v>
      </c>
      <c r="L838" s="2" t="s">
        <v>33</v>
      </c>
      <c r="M838" s="3"/>
    </row>
    <row r="839" spans="1:13" x14ac:dyDescent="0.3">
      <c r="A839" s="2">
        <v>838</v>
      </c>
      <c r="B839" s="2" t="s">
        <v>2861</v>
      </c>
      <c r="C839" s="2" t="s">
        <v>2862</v>
      </c>
      <c r="D839" s="2" t="s">
        <v>51</v>
      </c>
      <c r="E839" s="2" t="s">
        <v>16</v>
      </c>
      <c r="F839" s="2">
        <v>90</v>
      </c>
      <c r="G839" s="2" t="s">
        <v>2863</v>
      </c>
      <c r="H839" s="2" t="s">
        <v>2864</v>
      </c>
      <c r="I839" s="2" t="s">
        <v>187</v>
      </c>
      <c r="J839" s="3">
        <v>44113</v>
      </c>
      <c r="K839" s="2">
        <v>18</v>
      </c>
      <c r="L839" s="2" t="s">
        <v>20</v>
      </c>
      <c r="M839" s="3"/>
    </row>
    <row r="840" spans="1:13" x14ac:dyDescent="0.3">
      <c r="A840" s="2">
        <v>839</v>
      </c>
      <c r="B840" s="2" t="s">
        <v>2865</v>
      </c>
      <c r="C840" s="2" t="s">
        <v>2866</v>
      </c>
      <c r="D840" s="2" t="s">
        <v>51</v>
      </c>
      <c r="E840" s="2" t="s">
        <v>16</v>
      </c>
      <c r="F840" s="2">
        <v>90</v>
      </c>
      <c r="G840" s="2" t="s">
        <v>2867</v>
      </c>
      <c r="H840" s="2" t="s">
        <v>1022</v>
      </c>
      <c r="I840" s="2" t="s">
        <v>164</v>
      </c>
      <c r="J840" s="3">
        <v>44108</v>
      </c>
      <c r="K840" s="2">
        <v>4</v>
      </c>
      <c r="L840" s="2" t="s">
        <v>64</v>
      </c>
      <c r="M840" s="3"/>
    </row>
    <row r="841" spans="1:13" x14ac:dyDescent="0.3">
      <c r="A841" s="2">
        <v>840</v>
      </c>
      <c r="B841" s="2" t="s">
        <v>2868</v>
      </c>
      <c r="C841" s="2" t="s">
        <v>2161</v>
      </c>
      <c r="D841" s="2" t="s">
        <v>51</v>
      </c>
      <c r="E841" s="2" t="s">
        <v>16</v>
      </c>
      <c r="F841" s="2">
        <v>30</v>
      </c>
      <c r="G841" s="2" t="s">
        <v>2869</v>
      </c>
      <c r="H841" s="2" t="s">
        <v>730</v>
      </c>
      <c r="I841" s="2" t="s">
        <v>187</v>
      </c>
      <c r="J841" s="3">
        <v>43923</v>
      </c>
      <c r="K841" s="2">
        <v>84</v>
      </c>
      <c r="L841" s="2" t="s">
        <v>70</v>
      </c>
      <c r="M841" s="3"/>
    </row>
    <row r="842" spans="1:13" x14ac:dyDescent="0.3">
      <c r="A842" s="2">
        <v>841</v>
      </c>
      <c r="B842" s="2" t="s">
        <v>2870</v>
      </c>
      <c r="C842" s="2" t="s">
        <v>2518</v>
      </c>
      <c r="D842" s="2" t="s">
        <v>51</v>
      </c>
      <c r="E842" s="2" t="s">
        <v>16</v>
      </c>
      <c r="F842" s="2">
        <v>90</v>
      </c>
      <c r="G842" s="2" t="s">
        <v>2871</v>
      </c>
      <c r="H842" s="2" t="s">
        <v>2872</v>
      </c>
      <c r="I842" s="2" t="s">
        <v>294</v>
      </c>
      <c r="J842" s="3">
        <v>44215</v>
      </c>
      <c r="K842" s="2">
        <v>23</v>
      </c>
      <c r="L842" s="2" t="s">
        <v>39</v>
      </c>
      <c r="M842" s="3"/>
    </row>
    <row r="843" spans="1:13" x14ac:dyDescent="0.3">
      <c r="A843" s="2">
        <v>842</v>
      </c>
      <c r="B843" s="2" t="s">
        <v>2873</v>
      </c>
      <c r="C843" s="2" t="s">
        <v>2874</v>
      </c>
      <c r="D843" s="2" t="s">
        <v>51</v>
      </c>
      <c r="E843" s="2" t="s">
        <v>16</v>
      </c>
      <c r="F843" s="2">
        <v>90</v>
      </c>
      <c r="G843" s="2" t="s">
        <v>2871</v>
      </c>
      <c r="H843" s="2" t="s">
        <v>2875</v>
      </c>
      <c r="I843" s="2" t="s">
        <v>32</v>
      </c>
      <c r="J843" s="3">
        <v>44507</v>
      </c>
      <c r="K843" s="2">
        <v>27</v>
      </c>
      <c r="L843" s="2" t="s">
        <v>33</v>
      </c>
      <c r="M843" s="3"/>
    </row>
    <row r="844" spans="1:13" x14ac:dyDescent="0.3">
      <c r="A844" s="2">
        <v>843</v>
      </c>
      <c r="B844" s="2" t="s">
        <v>1019</v>
      </c>
      <c r="C844" s="2" t="s">
        <v>86</v>
      </c>
      <c r="D844" s="2" t="s">
        <v>28</v>
      </c>
      <c r="E844" s="2" t="s">
        <v>29</v>
      </c>
      <c r="F844" s="2">
        <v>90</v>
      </c>
      <c r="G844" s="2" t="s">
        <v>2876</v>
      </c>
      <c r="H844" s="2" t="s">
        <v>2877</v>
      </c>
      <c r="I844" s="2" t="s">
        <v>2878</v>
      </c>
      <c r="J844" s="3">
        <v>44259</v>
      </c>
      <c r="K844" s="2">
        <v>59</v>
      </c>
      <c r="L844" s="2" t="s">
        <v>159</v>
      </c>
      <c r="M844" s="3"/>
    </row>
    <row r="845" spans="1:13" x14ac:dyDescent="0.3">
      <c r="A845" s="2">
        <v>844</v>
      </c>
      <c r="B845" s="2" t="s">
        <v>2879</v>
      </c>
      <c r="C845" s="2" t="s">
        <v>2880</v>
      </c>
      <c r="D845" s="2" t="s">
        <v>15</v>
      </c>
      <c r="E845" s="2" t="s">
        <v>16</v>
      </c>
      <c r="F845" s="2">
        <v>30</v>
      </c>
      <c r="G845" s="2" t="s">
        <v>2881</v>
      </c>
      <c r="H845" s="2" t="s">
        <v>978</v>
      </c>
      <c r="I845" s="2" t="s">
        <v>294</v>
      </c>
      <c r="J845" s="3">
        <v>44608</v>
      </c>
      <c r="K845" s="2">
        <v>99</v>
      </c>
      <c r="L845" s="2" t="s">
        <v>20</v>
      </c>
      <c r="M845" s="3"/>
    </row>
    <row r="846" spans="1:13" x14ac:dyDescent="0.3">
      <c r="A846" s="2">
        <v>845</v>
      </c>
      <c r="B846" s="2" t="s">
        <v>2882</v>
      </c>
      <c r="C846" s="2" t="s">
        <v>2883</v>
      </c>
      <c r="D846" s="2" t="s">
        <v>51</v>
      </c>
      <c r="E846" s="2" t="s">
        <v>16</v>
      </c>
      <c r="F846" s="2">
        <v>60</v>
      </c>
      <c r="G846" s="2" t="s">
        <v>2884</v>
      </c>
      <c r="H846" s="2" t="s">
        <v>405</v>
      </c>
      <c r="I846" s="2" t="s">
        <v>32</v>
      </c>
      <c r="J846" s="3">
        <v>44789</v>
      </c>
      <c r="K846" s="2">
        <v>22</v>
      </c>
      <c r="L846" s="2" t="s">
        <v>33</v>
      </c>
      <c r="M846" s="3"/>
    </row>
    <row r="847" spans="1:13" x14ac:dyDescent="0.3">
      <c r="A847" s="2">
        <v>846</v>
      </c>
      <c r="B847" s="2" t="s">
        <v>2086</v>
      </c>
      <c r="C847" s="2" t="s">
        <v>2885</v>
      </c>
      <c r="D847" s="2" t="s">
        <v>28</v>
      </c>
      <c r="E847" s="2" t="s">
        <v>29</v>
      </c>
      <c r="F847" s="2">
        <v>90</v>
      </c>
      <c r="G847" s="2" t="s">
        <v>2886</v>
      </c>
      <c r="H847" s="2" t="s">
        <v>2012</v>
      </c>
      <c r="I847" s="2" t="s">
        <v>32</v>
      </c>
      <c r="J847" s="3">
        <v>44568</v>
      </c>
      <c r="K847" s="2">
        <v>45</v>
      </c>
      <c r="L847" s="2" t="s">
        <v>70</v>
      </c>
      <c r="M847" s="3"/>
    </row>
    <row r="848" spans="1:13" x14ac:dyDescent="0.3">
      <c r="A848" s="2">
        <v>847</v>
      </c>
      <c r="B848" s="2" t="s">
        <v>2887</v>
      </c>
      <c r="C848" s="2" t="s">
        <v>2888</v>
      </c>
      <c r="D848" s="2" t="s">
        <v>28</v>
      </c>
      <c r="E848" s="2" t="s">
        <v>29</v>
      </c>
      <c r="F848" s="2">
        <v>90</v>
      </c>
      <c r="G848" s="2" t="s">
        <v>2889</v>
      </c>
      <c r="H848" s="2" t="s">
        <v>2890</v>
      </c>
      <c r="I848" s="2" t="s">
        <v>32</v>
      </c>
      <c r="J848" s="3">
        <v>44905</v>
      </c>
      <c r="K848" s="2">
        <v>25</v>
      </c>
      <c r="L848" s="2" t="s">
        <v>70</v>
      </c>
      <c r="M848" s="3"/>
    </row>
    <row r="849" spans="1:13" x14ac:dyDescent="0.3">
      <c r="A849" s="2">
        <v>848</v>
      </c>
      <c r="B849" s="2" t="s">
        <v>2891</v>
      </c>
      <c r="C849" s="2" t="s">
        <v>1304</v>
      </c>
      <c r="D849" s="2" t="s">
        <v>28</v>
      </c>
      <c r="E849" s="2" t="s">
        <v>29</v>
      </c>
      <c r="F849" s="2">
        <v>60</v>
      </c>
      <c r="G849" s="2" t="s">
        <v>2892</v>
      </c>
      <c r="H849" s="2" t="s">
        <v>2893</v>
      </c>
      <c r="I849" s="2" t="s">
        <v>32</v>
      </c>
      <c r="J849" s="3">
        <v>44343</v>
      </c>
      <c r="K849" s="2">
        <v>11</v>
      </c>
      <c r="L849" s="2" t="s">
        <v>39</v>
      </c>
      <c r="M849" s="3"/>
    </row>
    <row r="850" spans="1:13" x14ac:dyDescent="0.3">
      <c r="A850" s="2">
        <v>849</v>
      </c>
      <c r="B850" s="2" t="s">
        <v>2894</v>
      </c>
      <c r="C850" s="2" t="s">
        <v>728</v>
      </c>
      <c r="D850" s="2" t="s">
        <v>15</v>
      </c>
      <c r="E850" s="2" t="s">
        <v>16</v>
      </c>
      <c r="F850" s="2">
        <v>60</v>
      </c>
      <c r="G850" s="2" t="s">
        <v>2895</v>
      </c>
      <c r="H850" s="2" t="s">
        <v>2896</v>
      </c>
      <c r="I850" s="2" t="s">
        <v>110</v>
      </c>
      <c r="J850" s="3">
        <v>44855</v>
      </c>
      <c r="K850" s="2">
        <v>53</v>
      </c>
      <c r="L850" s="2" t="s">
        <v>64</v>
      </c>
      <c r="M850" s="3"/>
    </row>
    <row r="851" spans="1:13" x14ac:dyDescent="0.3">
      <c r="A851" s="2">
        <v>850</v>
      </c>
      <c r="B851" s="2" t="s">
        <v>2897</v>
      </c>
      <c r="C851" s="2" t="s">
        <v>2898</v>
      </c>
      <c r="D851" s="2" t="s">
        <v>51</v>
      </c>
      <c r="E851" s="2" t="s">
        <v>16</v>
      </c>
      <c r="F851" s="2">
        <v>60</v>
      </c>
      <c r="G851" s="2" t="s">
        <v>2899</v>
      </c>
      <c r="H851" s="2" t="s">
        <v>963</v>
      </c>
      <c r="I851" s="2" t="s">
        <v>25</v>
      </c>
      <c r="J851" s="3">
        <v>44511</v>
      </c>
      <c r="K851" s="2">
        <v>64</v>
      </c>
      <c r="L851" s="2" t="s">
        <v>70</v>
      </c>
      <c r="M851" s="3"/>
    </row>
    <row r="852" spans="1:13" x14ac:dyDescent="0.3">
      <c r="A852" s="2">
        <v>851</v>
      </c>
      <c r="B852" s="2" t="s">
        <v>2897</v>
      </c>
      <c r="C852" s="2" t="s">
        <v>2898</v>
      </c>
      <c r="D852" s="2" t="s">
        <v>51</v>
      </c>
      <c r="E852" s="2" t="s">
        <v>16</v>
      </c>
      <c r="F852" s="2">
        <v>60</v>
      </c>
      <c r="G852" s="2" t="s">
        <v>2899</v>
      </c>
      <c r="H852" s="2" t="s">
        <v>963</v>
      </c>
      <c r="I852" s="2" t="s">
        <v>25</v>
      </c>
      <c r="J852" s="3">
        <v>44511</v>
      </c>
      <c r="K852" s="2">
        <v>64</v>
      </c>
      <c r="L852" s="2" t="s">
        <v>70</v>
      </c>
      <c r="M852" s="3"/>
    </row>
    <row r="853" spans="1:13" x14ac:dyDescent="0.3">
      <c r="A853" s="2">
        <v>852</v>
      </c>
      <c r="B853" s="2" t="s">
        <v>2900</v>
      </c>
      <c r="C853" s="2" t="s">
        <v>620</v>
      </c>
      <c r="D853" s="2" t="s">
        <v>51</v>
      </c>
      <c r="E853" s="2" t="s">
        <v>16</v>
      </c>
      <c r="F853" s="2">
        <v>30</v>
      </c>
      <c r="G853" s="2" t="s">
        <v>2901</v>
      </c>
      <c r="H853" s="2" t="s">
        <v>2902</v>
      </c>
      <c r="I853" s="2" t="s">
        <v>32</v>
      </c>
      <c r="J853" s="3">
        <v>44710</v>
      </c>
      <c r="K853" s="2">
        <v>64</v>
      </c>
      <c r="L853" s="2" t="s">
        <v>20</v>
      </c>
      <c r="M853" s="3"/>
    </row>
    <row r="854" spans="1:13" x14ac:dyDescent="0.3">
      <c r="A854" s="2">
        <v>853</v>
      </c>
      <c r="B854" s="2" t="s">
        <v>922</v>
      </c>
      <c r="C854" s="2" t="s">
        <v>2903</v>
      </c>
      <c r="D854" s="2" t="s">
        <v>28</v>
      </c>
      <c r="E854" s="2" t="s">
        <v>29</v>
      </c>
      <c r="F854" s="2">
        <v>90</v>
      </c>
      <c r="G854" s="2" t="s">
        <v>2904</v>
      </c>
      <c r="H854" s="2" t="s">
        <v>43</v>
      </c>
      <c r="I854" s="2" t="s">
        <v>44</v>
      </c>
      <c r="J854" s="3">
        <v>44693</v>
      </c>
      <c r="K854" s="2">
        <v>97</v>
      </c>
      <c r="L854" s="2" t="s">
        <v>54</v>
      </c>
      <c r="M854" s="3"/>
    </row>
    <row r="855" spans="1:13" x14ac:dyDescent="0.3">
      <c r="A855" s="2">
        <v>854</v>
      </c>
      <c r="B855" s="2" t="s">
        <v>1262</v>
      </c>
      <c r="C855" s="2" t="s">
        <v>2905</v>
      </c>
      <c r="D855" s="2" t="s">
        <v>28</v>
      </c>
      <c r="E855" s="2" t="s">
        <v>29</v>
      </c>
      <c r="F855" s="2">
        <v>60</v>
      </c>
      <c r="G855" s="2" t="s">
        <v>2904</v>
      </c>
      <c r="H855" s="2" t="s">
        <v>1001</v>
      </c>
      <c r="I855" s="2" t="s">
        <v>32</v>
      </c>
      <c r="J855" s="3">
        <v>44180</v>
      </c>
      <c r="K855" s="2">
        <v>77</v>
      </c>
      <c r="L855" s="2" t="s">
        <v>159</v>
      </c>
      <c r="M855" s="3"/>
    </row>
    <row r="856" spans="1:13" x14ac:dyDescent="0.3">
      <c r="A856" s="2">
        <v>855</v>
      </c>
      <c r="B856" s="2" t="s">
        <v>2906</v>
      </c>
      <c r="C856" s="2" t="s">
        <v>1044</v>
      </c>
      <c r="D856" s="2" t="s">
        <v>28</v>
      </c>
      <c r="E856" s="2" t="s">
        <v>29</v>
      </c>
      <c r="F856" s="2">
        <v>60</v>
      </c>
      <c r="G856" s="2" t="s">
        <v>2907</v>
      </c>
      <c r="H856" s="2" t="s">
        <v>2908</v>
      </c>
      <c r="I856" s="2" t="s">
        <v>25</v>
      </c>
      <c r="J856" s="3">
        <v>44502</v>
      </c>
      <c r="K856" s="2">
        <v>44</v>
      </c>
      <c r="L856" s="2" t="s">
        <v>101</v>
      </c>
      <c r="M856" s="3"/>
    </row>
    <row r="857" spans="1:13" x14ac:dyDescent="0.3">
      <c r="A857" s="2">
        <v>856</v>
      </c>
      <c r="B857" s="2" t="s">
        <v>1140</v>
      </c>
      <c r="C857" s="2" t="s">
        <v>2909</v>
      </c>
      <c r="D857" s="2" t="s">
        <v>28</v>
      </c>
      <c r="E857" s="2" t="s">
        <v>29</v>
      </c>
      <c r="F857" s="2">
        <v>30</v>
      </c>
      <c r="G857" s="2" t="s">
        <v>2910</v>
      </c>
      <c r="H857" s="2" t="s">
        <v>2447</v>
      </c>
      <c r="I857" s="2" t="s">
        <v>1869</v>
      </c>
      <c r="J857" s="3">
        <v>44254</v>
      </c>
      <c r="K857" s="2">
        <v>64</v>
      </c>
      <c r="L857" s="2" t="s">
        <v>20</v>
      </c>
      <c r="M857" s="3"/>
    </row>
    <row r="858" spans="1:13" x14ac:dyDescent="0.3">
      <c r="A858" s="2">
        <v>857</v>
      </c>
      <c r="B858" s="2" t="s">
        <v>2911</v>
      </c>
      <c r="C858" s="2" t="s">
        <v>2912</v>
      </c>
      <c r="D858" s="2" t="s">
        <v>51</v>
      </c>
      <c r="E858" s="2" t="s">
        <v>16</v>
      </c>
      <c r="F858" s="2">
        <v>90</v>
      </c>
      <c r="G858" s="2" t="s">
        <v>2910</v>
      </c>
      <c r="H858" s="2" t="s">
        <v>2913</v>
      </c>
      <c r="I858" s="2" t="s">
        <v>1035</v>
      </c>
      <c r="J858" s="3">
        <v>43989</v>
      </c>
      <c r="K858" s="2">
        <v>85</v>
      </c>
      <c r="L858" s="2" t="s">
        <v>54</v>
      </c>
      <c r="M858" s="3"/>
    </row>
    <row r="859" spans="1:13" x14ac:dyDescent="0.3">
      <c r="A859" s="2">
        <v>858</v>
      </c>
      <c r="B859" s="2" t="s">
        <v>2914</v>
      </c>
      <c r="C859" s="2" t="s">
        <v>2915</v>
      </c>
      <c r="D859" s="2" t="s">
        <v>28</v>
      </c>
      <c r="E859" s="2" t="s">
        <v>29</v>
      </c>
      <c r="F859" s="2">
        <v>60</v>
      </c>
      <c r="G859" s="2" t="s">
        <v>2916</v>
      </c>
      <c r="H859" s="2" t="s">
        <v>2917</v>
      </c>
      <c r="I859" s="2" t="s">
        <v>95</v>
      </c>
      <c r="J859" s="3">
        <v>43884</v>
      </c>
      <c r="K859" s="2">
        <v>39</v>
      </c>
      <c r="L859" s="2" t="s">
        <v>33</v>
      </c>
      <c r="M859" s="3"/>
    </row>
    <row r="860" spans="1:13" x14ac:dyDescent="0.3">
      <c r="A860" s="2">
        <v>859</v>
      </c>
      <c r="B860" s="2" t="s">
        <v>1140</v>
      </c>
      <c r="C860" s="2" t="s">
        <v>139</v>
      </c>
      <c r="D860" s="2" t="s">
        <v>51</v>
      </c>
      <c r="E860" s="2" t="s">
        <v>16</v>
      </c>
      <c r="F860" s="2">
        <v>60</v>
      </c>
      <c r="G860" s="2" t="s">
        <v>2918</v>
      </c>
      <c r="H860" s="2" t="s">
        <v>1077</v>
      </c>
      <c r="I860" s="2" t="s">
        <v>1078</v>
      </c>
      <c r="J860" s="3">
        <v>44220</v>
      </c>
      <c r="K860" s="2">
        <v>90</v>
      </c>
      <c r="L860" s="2" t="s">
        <v>64</v>
      </c>
      <c r="M860" s="3"/>
    </row>
    <row r="861" spans="1:13" x14ac:dyDescent="0.3">
      <c r="A861" s="2">
        <v>860</v>
      </c>
      <c r="B861" s="2" t="s">
        <v>2919</v>
      </c>
      <c r="C861" s="2" t="s">
        <v>2920</v>
      </c>
      <c r="D861" s="2" t="s">
        <v>28</v>
      </c>
      <c r="E861" s="2" t="s">
        <v>29</v>
      </c>
      <c r="F861" s="2">
        <v>60</v>
      </c>
      <c r="G861" s="2" t="s">
        <v>2921</v>
      </c>
      <c r="H861" s="2" t="s">
        <v>698</v>
      </c>
      <c r="I861" s="2" t="s">
        <v>213</v>
      </c>
      <c r="J861" s="3">
        <v>44781</v>
      </c>
      <c r="K861" s="2">
        <v>42</v>
      </c>
      <c r="L861" s="2" t="s">
        <v>101</v>
      </c>
      <c r="M861" s="3"/>
    </row>
    <row r="862" spans="1:13" x14ac:dyDescent="0.3">
      <c r="A862" s="2">
        <v>861</v>
      </c>
      <c r="B862" s="2" t="s">
        <v>2922</v>
      </c>
      <c r="C862" s="2" t="s">
        <v>2923</v>
      </c>
      <c r="D862" s="2" t="s">
        <v>15</v>
      </c>
      <c r="E862" s="2" t="s">
        <v>16</v>
      </c>
      <c r="F862" s="2">
        <v>60</v>
      </c>
      <c r="G862" s="2" t="s">
        <v>2924</v>
      </c>
      <c r="H862" s="2" t="s">
        <v>2925</v>
      </c>
      <c r="I862" s="2" t="s">
        <v>32</v>
      </c>
      <c r="J862" s="3">
        <v>44434</v>
      </c>
      <c r="K862" s="2">
        <v>84</v>
      </c>
      <c r="L862" s="2" t="s">
        <v>64</v>
      </c>
      <c r="M862" s="3"/>
    </row>
    <row r="863" spans="1:13" x14ac:dyDescent="0.3">
      <c r="A863" s="2">
        <v>862</v>
      </c>
      <c r="B863" s="2" t="s">
        <v>2926</v>
      </c>
      <c r="C863" s="2" t="s">
        <v>1301</v>
      </c>
      <c r="D863" s="2" t="s">
        <v>15</v>
      </c>
      <c r="E863" s="2" t="s">
        <v>16</v>
      </c>
      <c r="F863" s="2">
        <v>60</v>
      </c>
      <c r="G863" s="2" t="s">
        <v>2927</v>
      </c>
      <c r="H863" s="2" t="s">
        <v>802</v>
      </c>
      <c r="I863" s="2" t="s">
        <v>294</v>
      </c>
      <c r="J863" s="3">
        <v>44345</v>
      </c>
      <c r="K863" s="2">
        <v>54</v>
      </c>
      <c r="L863" s="2" t="s">
        <v>64</v>
      </c>
      <c r="M863" s="3"/>
    </row>
    <row r="864" spans="1:13" x14ac:dyDescent="0.3">
      <c r="A864" s="2">
        <v>863</v>
      </c>
      <c r="B864" s="2" t="s">
        <v>725</v>
      </c>
      <c r="C864" s="2" t="s">
        <v>2928</v>
      </c>
      <c r="D864" s="2" t="s">
        <v>28</v>
      </c>
      <c r="E864" s="2" t="s">
        <v>29</v>
      </c>
      <c r="F864" s="2">
        <v>30</v>
      </c>
      <c r="G864" s="2" t="s">
        <v>2929</v>
      </c>
      <c r="H864" s="2" t="s">
        <v>1537</v>
      </c>
      <c r="I864" s="2" t="s">
        <v>294</v>
      </c>
      <c r="J864" s="3">
        <v>44694</v>
      </c>
      <c r="K864" s="2">
        <v>87</v>
      </c>
      <c r="L864" s="2" t="s">
        <v>101</v>
      </c>
      <c r="M864" s="3"/>
    </row>
    <row r="865" spans="1:13" x14ac:dyDescent="0.3">
      <c r="A865" s="2">
        <v>864</v>
      </c>
      <c r="B865" s="2" t="s">
        <v>441</v>
      </c>
      <c r="C865" s="2" t="s">
        <v>2467</v>
      </c>
      <c r="D865" s="2" t="s">
        <v>28</v>
      </c>
      <c r="E865" s="2" t="s">
        <v>29</v>
      </c>
      <c r="F865" s="2">
        <v>30</v>
      </c>
      <c r="G865" s="2" t="s">
        <v>2930</v>
      </c>
      <c r="H865" s="2" t="s">
        <v>2931</v>
      </c>
      <c r="I865" s="2" t="s">
        <v>32</v>
      </c>
      <c r="J865" s="3">
        <v>44267</v>
      </c>
      <c r="K865" s="2">
        <v>20</v>
      </c>
      <c r="L865" s="2" t="s">
        <v>101</v>
      </c>
      <c r="M865" s="3"/>
    </row>
    <row r="866" spans="1:13" x14ac:dyDescent="0.3">
      <c r="A866" s="2">
        <v>865</v>
      </c>
      <c r="B866" s="2" t="s">
        <v>2932</v>
      </c>
      <c r="C866" s="2" t="s">
        <v>2431</v>
      </c>
      <c r="D866" s="2" t="s">
        <v>28</v>
      </c>
      <c r="E866" s="2" t="s">
        <v>29</v>
      </c>
      <c r="F866" s="2">
        <v>90</v>
      </c>
      <c r="G866" s="2" t="s">
        <v>2933</v>
      </c>
      <c r="H866" s="2" t="s">
        <v>2934</v>
      </c>
      <c r="I866" s="2" t="s">
        <v>32</v>
      </c>
      <c r="J866" s="3">
        <v>44149</v>
      </c>
      <c r="K866" s="2">
        <v>12</v>
      </c>
      <c r="L866" s="2" t="s">
        <v>39</v>
      </c>
      <c r="M866" s="3"/>
    </row>
    <row r="867" spans="1:13" x14ac:dyDescent="0.3">
      <c r="A867" s="2">
        <v>866</v>
      </c>
      <c r="B867" s="2" t="s">
        <v>2935</v>
      </c>
      <c r="C867" s="2" t="s">
        <v>2936</v>
      </c>
      <c r="D867" s="2" t="s">
        <v>51</v>
      </c>
      <c r="E867" s="2" t="s">
        <v>16</v>
      </c>
      <c r="F867" s="2">
        <v>60</v>
      </c>
      <c r="G867" s="2" t="s">
        <v>2937</v>
      </c>
      <c r="H867" s="2" t="s">
        <v>1859</v>
      </c>
      <c r="I867" s="2" t="s">
        <v>89</v>
      </c>
      <c r="J867" s="3">
        <v>43889</v>
      </c>
      <c r="K867" s="2">
        <v>70</v>
      </c>
      <c r="L867" s="2" t="s">
        <v>33</v>
      </c>
      <c r="M867" s="3"/>
    </row>
    <row r="868" spans="1:13" x14ac:dyDescent="0.3">
      <c r="A868" s="2">
        <v>867</v>
      </c>
      <c r="B868" s="2" t="s">
        <v>2938</v>
      </c>
      <c r="C868" s="2" t="s">
        <v>2939</v>
      </c>
      <c r="D868" s="2" t="s">
        <v>51</v>
      </c>
      <c r="E868" s="2" t="s">
        <v>16</v>
      </c>
      <c r="F868" s="2">
        <v>90</v>
      </c>
      <c r="G868" s="2" t="s">
        <v>2940</v>
      </c>
      <c r="H868" s="2" t="s">
        <v>1827</v>
      </c>
      <c r="I868" s="2" t="s">
        <v>25</v>
      </c>
      <c r="J868" s="3">
        <v>44047</v>
      </c>
      <c r="K868" s="2">
        <v>79</v>
      </c>
      <c r="L868" s="2" t="s">
        <v>64</v>
      </c>
      <c r="M868" s="3"/>
    </row>
    <row r="869" spans="1:13" x14ac:dyDescent="0.3">
      <c r="A869" s="2">
        <v>868</v>
      </c>
      <c r="B869" s="2" t="s">
        <v>2941</v>
      </c>
      <c r="C869" s="2" t="s">
        <v>2942</v>
      </c>
      <c r="D869" s="2" t="s">
        <v>28</v>
      </c>
      <c r="E869" s="2" t="s">
        <v>29</v>
      </c>
      <c r="F869" s="2">
        <v>60</v>
      </c>
      <c r="G869" s="2" t="s">
        <v>2943</v>
      </c>
      <c r="H869" s="2" t="s">
        <v>912</v>
      </c>
      <c r="I869" s="2" t="s">
        <v>913</v>
      </c>
      <c r="J869" s="3">
        <v>44910</v>
      </c>
      <c r="K869" s="2">
        <v>93</v>
      </c>
      <c r="L869" s="2" t="s">
        <v>101</v>
      </c>
      <c r="M869" s="3"/>
    </row>
    <row r="870" spans="1:13" x14ac:dyDescent="0.3">
      <c r="A870" s="2">
        <v>869</v>
      </c>
      <c r="B870" s="2" t="s">
        <v>2944</v>
      </c>
      <c r="C870" s="2" t="s">
        <v>2945</v>
      </c>
      <c r="D870" s="2" t="s">
        <v>15</v>
      </c>
      <c r="E870" s="2" t="s">
        <v>16</v>
      </c>
      <c r="F870" s="2">
        <v>90</v>
      </c>
      <c r="G870" s="2" t="s">
        <v>2946</v>
      </c>
      <c r="H870" s="2" t="s">
        <v>641</v>
      </c>
      <c r="I870" s="2" t="s">
        <v>294</v>
      </c>
      <c r="J870" s="3">
        <v>44908</v>
      </c>
      <c r="K870" s="2">
        <v>48</v>
      </c>
      <c r="L870" s="2" t="s">
        <v>20</v>
      </c>
      <c r="M870" s="3"/>
    </row>
    <row r="871" spans="1:13" x14ac:dyDescent="0.3">
      <c r="A871" s="2">
        <v>870</v>
      </c>
      <c r="B871" s="2" t="s">
        <v>2947</v>
      </c>
      <c r="C871" s="2" t="s">
        <v>2948</v>
      </c>
      <c r="D871" s="2" t="s">
        <v>28</v>
      </c>
      <c r="E871" s="2" t="s">
        <v>29</v>
      </c>
      <c r="F871" s="2">
        <v>90</v>
      </c>
      <c r="G871" s="2" t="s">
        <v>2949</v>
      </c>
      <c r="H871" s="2" t="s">
        <v>2950</v>
      </c>
      <c r="I871" s="2" t="s">
        <v>38</v>
      </c>
      <c r="J871" s="3">
        <v>44777</v>
      </c>
      <c r="K871" s="2">
        <v>47</v>
      </c>
      <c r="L871" s="2" t="s">
        <v>159</v>
      </c>
      <c r="M871" s="3"/>
    </row>
    <row r="872" spans="1:13" x14ac:dyDescent="0.3">
      <c r="A872" s="2">
        <v>871</v>
      </c>
      <c r="B872" s="2" t="s">
        <v>2951</v>
      </c>
      <c r="C872" s="2" t="s">
        <v>1334</v>
      </c>
      <c r="D872" s="2" t="s">
        <v>28</v>
      </c>
      <c r="E872" s="2" t="s">
        <v>29</v>
      </c>
      <c r="F872" s="2">
        <v>30</v>
      </c>
      <c r="G872" s="2" t="s">
        <v>2952</v>
      </c>
      <c r="H872" s="2" t="s">
        <v>2953</v>
      </c>
      <c r="I872" s="2" t="s">
        <v>124</v>
      </c>
      <c r="J872" s="3">
        <v>44466</v>
      </c>
      <c r="K872" s="2">
        <v>52</v>
      </c>
      <c r="L872" s="2" t="s">
        <v>54</v>
      </c>
      <c r="M872" s="3"/>
    </row>
    <row r="873" spans="1:13" x14ac:dyDescent="0.3">
      <c r="A873" s="2">
        <v>872</v>
      </c>
      <c r="B873" s="2" t="s">
        <v>2954</v>
      </c>
      <c r="C873" s="2" t="s">
        <v>2955</v>
      </c>
      <c r="D873" s="2" t="s">
        <v>51</v>
      </c>
      <c r="E873" s="2" t="s">
        <v>16</v>
      </c>
      <c r="F873" s="2">
        <v>60</v>
      </c>
      <c r="G873" s="2" t="s">
        <v>2956</v>
      </c>
      <c r="H873" s="2" t="s">
        <v>1667</v>
      </c>
      <c r="I873" s="2" t="s">
        <v>32</v>
      </c>
      <c r="J873" s="3">
        <v>43976</v>
      </c>
      <c r="K873" s="2">
        <v>73</v>
      </c>
      <c r="L873" s="2" t="s">
        <v>39</v>
      </c>
      <c r="M873" s="3"/>
    </row>
    <row r="874" spans="1:13" x14ac:dyDescent="0.3">
      <c r="A874" s="2">
        <v>873</v>
      </c>
      <c r="B874" s="2" t="s">
        <v>2406</v>
      </c>
      <c r="C874" s="2" t="s">
        <v>816</v>
      </c>
      <c r="D874" s="2" t="s">
        <v>28</v>
      </c>
      <c r="E874" s="2" t="s">
        <v>29</v>
      </c>
      <c r="F874" s="2">
        <v>90</v>
      </c>
      <c r="G874" s="2" t="s">
        <v>2957</v>
      </c>
      <c r="H874" s="2" t="s">
        <v>1168</v>
      </c>
      <c r="I874" s="2" t="s">
        <v>32</v>
      </c>
      <c r="J874" s="3">
        <v>44117</v>
      </c>
      <c r="K874" s="2">
        <v>9</v>
      </c>
      <c r="L874" s="2" t="s">
        <v>33</v>
      </c>
      <c r="M874" s="3"/>
    </row>
    <row r="875" spans="1:13" x14ac:dyDescent="0.3">
      <c r="A875" s="2">
        <v>874</v>
      </c>
      <c r="B875" s="2" t="s">
        <v>2958</v>
      </c>
      <c r="C875" s="2" t="s">
        <v>394</v>
      </c>
      <c r="D875" s="2" t="s">
        <v>15</v>
      </c>
      <c r="E875" s="2" t="s">
        <v>16</v>
      </c>
      <c r="F875" s="2">
        <v>30</v>
      </c>
      <c r="G875" s="2" t="s">
        <v>2959</v>
      </c>
      <c r="H875" s="2" t="s">
        <v>1625</v>
      </c>
      <c r="I875" s="2" t="s">
        <v>32</v>
      </c>
      <c r="J875" s="3">
        <v>44419</v>
      </c>
      <c r="K875" s="2">
        <v>41</v>
      </c>
      <c r="L875" s="2" t="s">
        <v>159</v>
      </c>
      <c r="M875" s="3"/>
    </row>
    <row r="876" spans="1:13" x14ac:dyDescent="0.3">
      <c r="A876" s="2">
        <v>875</v>
      </c>
      <c r="B876" s="2" t="s">
        <v>2960</v>
      </c>
      <c r="C876" s="2" t="s">
        <v>2385</v>
      </c>
      <c r="D876" s="2" t="s">
        <v>28</v>
      </c>
      <c r="E876" s="2" t="s">
        <v>29</v>
      </c>
      <c r="F876" s="2">
        <v>60</v>
      </c>
      <c r="G876" s="2" t="s">
        <v>2961</v>
      </c>
      <c r="H876" s="2" t="s">
        <v>2294</v>
      </c>
      <c r="I876" s="2" t="s">
        <v>32</v>
      </c>
      <c r="J876" s="3">
        <v>44887</v>
      </c>
      <c r="K876" s="2">
        <v>21</v>
      </c>
      <c r="L876" s="2" t="s">
        <v>45</v>
      </c>
      <c r="M876" s="3"/>
    </row>
    <row r="877" spans="1:13" x14ac:dyDescent="0.3">
      <c r="A877" s="2">
        <v>876</v>
      </c>
      <c r="B877" s="2" t="s">
        <v>2962</v>
      </c>
      <c r="C877" s="2" t="s">
        <v>2963</v>
      </c>
      <c r="D877" s="2" t="s">
        <v>28</v>
      </c>
      <c r="E877" s="2" t="s">
        <v>29</v>
      </c>
      <c r="F877" s="2">
        <v>90</v>
      </c>
      <c r="G877" s="2" t="s">
        <v>2964</v>
      </c>
      <c r="H877" s="2" t="s">
        <v>2965</v>
      </c>
      <c r="I877" s="2" t="s">
        <v>25</v>
      </c>
      <c r="J877" s="3">
        <v>44334</v>
      </c>
      <c r="K877" s="2">
        <v>86</v>
      </c>
      <c r="L877" s="2" t="s">
        <v>33</v>
      </c>
      <c r="M877" s="3"/>
    </row>
    <row r="878" spans="1:13" x14ac:dyDescent="0.3">
      <c r="A878" s="2">
        <v>877</v>
      </c>
      <c r="B878" s="2" t="s">
        <v>2966</v>
      </c>
      <c r="C878" s="2" t="s">
        <v>1546</v>
      </c>
      <c r="D878" s="2" t="s">
        <v>51</v>
      </c>
      <c r="E878" s="2" t="s">
        <v>16</v>
      </c>
      <c r="F878" s="2">
        <v>30</v>
      </c>
      <c r="G878" s="2" t="s">
        <v>2967</v>
      </c>
      <c r="H878" s="2" t="s">
        <v>2076</v>
      </c>
      <c r="I878" s="2" t="s">
        <v>2077</v>
      </c>
      <c r="J878" s="3">
        <v>44019</v>
      </c>
      <c r="K878" s="2">
        <v>70</v>
      </c>
      <c r="L878" s="2" t="s">
        <v>70</v>
      </c>
      <c r="M878" s="3"/>
    </row>
    <row r="879" spans="1:13" x14ac:dyDescent="0.3">
      <c r="A879" s="2">
        <v>878</v>
      </c>
      <c r="B879" s="2" t="s">
        <v>106</v>
      </c>
      <c r="C879" s="2" t="s">
        <v>1656</v>
      </c>
      <c r="D879" s="2" t="s">
        <v>621</v>
      </c>
      <c r="E879" s="2" t="s">
        <v>29</v>
      </c>
      <c r="F879" s="2">
        <v>60</v>
      </c>
      <c r="G879" s="2" t="s">
        <v>2968</v>
      </c>
      <c r="H879" s="2" t="s">
        <v>2759</v>
      </c>
      <c r="I879" s="2" t="s">
        <v>32</v>
      </c>
      <c r="J879" s="3">
        <v>44486</v>
      </c>
      <c r="K879" s="2">
        <v>40</v>
      </c>
      <c r="L879" s="2" t="s">
        <v>64</v>
      </c>
      <c r="M879" s="3"/>
    </row>
    <row r="880" spans="1:13" x14ac:dyDescent="0.3">
      <c r="A880" s="2">
        <v>879</v>
      </c>
      <c r="B880" s="2" t="s">
        <v>2969</v>
      </c>
      <c r="C880" s="2" t="s">
        <v>2970</v>
      </c>
      <c r="D880" s="2" t="s">
        <v>51</v>
      </c>
      <c r="E880" s="2" t="s">
        <v>16</v>
      </c>
      <c r="F880" s="2">
        <v>90</v>
      </c>
      <c r="G880" s="2" t="s">
        <v>2971</v>
      </c>
      <c r="H880" s="2" t="s">
        <v>2972</v>
      </c>
      <c r="I880" s="2" t="s">
        <v>32</v>
      </c>
      <c r="J880" s="3">
        <v>44381</v>
      </c>
      <c r="K880" s="2">
        <v>74</v>
      </c>
      <c r="L880" s="2" t="s">
        <v>80</v>
      </c>
      <c r="M880" s="3"/>
    </row>
    <row r="881" spans="1:13" x14ac:dyDescent="0.3">
      <c r="A881" s="2">
        <v>880</v>
      </c>
      <c r="B881" s="2" t="s">
        <v>2973</v>
      </c>
      <c r="C881" s="2" t="s">
        <v>1392</v>
      </c>
      <c r="D881" s="2" t="s">
        <v>15</v>
      </c>
      <c r="E881" s="2" t="s">
        <v>16</v>
      </c>
      <c r="F881" s="2">
        <v>60</v>
      </c>
      <c r="G881" s="2" t="s">
        <v>2974</v>
      </c>
      <c r="H881" s="2" t="s">
        <v>2975</v>
      </c>
      <c r="I881" s="2" t="s">
        <v>146</v>
      </c>
      <c r="J881" s="3">
        <v>44538</v>
      </c>
      <c r="K881" s="2">
        <v>66</v>
      </c>
      <c r="L881" s="2" t="s">
        <v>159</v>
      </c>
      <c r="M881" s="3"/>
    </row>
    <row r="882" spans="1:13" x14ac:dyDescent="0.3">
      <c r="A882" s="2">
        <v>881</v>
      </c>
      <c r="B882" s="2" t="s">
        <v>2976</v>
      </c>
      <c r="C882" s="2" t="s">
        <v>2977</v>
      </c>
      <c r="D882" s="2" t="s">
        <v>28</v>
      </c>
      <c r="E882" s="2" t="s">
        <v>29</v>
      </c>
      <c r="F882" s="2">
        <v>60</v>
      </c>
      <c r="G882" s="2" t="s">
        <v>2978</v>
      </c>
      <c r="H882" s="2" t="s">
        <v>2341</v>
      </c>
      <c r="I882" s="2" t="s">
        <v>2342</v>
      </c>
      <c r="J882" s="3">
        <v>43925</v>
      </c>
      <c r="K882" s="2">
        <v>35</v>
      </c>
      <c r="L882" s="2" t="s">
        <v>54</v>
      </c>
      <c r="M882" s="3"/>
    </row>
    <row r="883" spans="1:13" x14ac:dyDescent="0.3">
      <c r="A883" s="2">
        <v>882</v>
      </c>
      <c r="B883" s="2" t="s">
        <v>2979</v>
      </c>
      <c r="C883" s="2" t="s">
        <v>2980</v>
      </c>
      <c r="D883" s="2" t="s">
        <v>51</v>
      </c>
      <c r="E883" s="2" t="s">
        <v>16</v>
      </c>
      <c r="F883" s="2">
        <v>30</v>
      </c>
      <c r="G883" s="2" t="s">
        <v>2981</v>
      </c>
      <c r="H883" s="2" t="s">
        <v>2982</v>
      </c>
      <c r="I883" s="2" t="s">
        <v>2983</v>
      </c>
      <c r="J883" s="3">
        <v>44633</v>
      </c>
      <c r="K883" s="2">
        <v>59</v>
      </c>
      <c r="L883" s="2" t="s">
        <v>70</v>
      </c>
      <c r="M883" s="3"/>
    </row>
    <row r="884" spans="1:13" x14ac:dyDescent="0.3">
      <c r="A884" s="2">
        <v>883</v>
      </c>
      <c r="B884" s="2" t="s">
        <v>2984</v>
      </c>
      <c r="C884" s="2" t="s">
        <v>2985</v>
      </c>
      <c r="D884" s="2" t="s">
        <v>28</v>
      </c>
      <c r="E884" s="2" t="s">
        <v>29</v>
      </c>
      <c r="F884" s="2">
        <v>30</v>
      </c>
      <c r="G884" s="2" t="s">
        <v>2986</v>
      </c>
      <c r="H884" s="2" t="s">
        <v>2987</v>
      </c>
      <c r="I884" s="2" t="s">
        <v>32</v>
      </c>
      <c r="J884" s="3">
        <v>44650</v>
      </c>
      <c r="K884" s="2">
        <v>20</v>
      </c>
      <c r="L884" s="2" t="s">
        <v>101</v>
      </c>
      <c r="M884" s="3"/>
    </row>
    <row r="885" spans="1:13" x14ac:dyDescent="0.3">
      <c r="A885" s="2">
        <v>884</v>
      </c>
      <c r="B885" s="2" t="s">
        <v>2988</v>
      </c>
      <c r="C885" s="2" t="s">
        <v>305</v>
      </c>
      <c r="D885" s="2" t="s">
        <v>51</v>
      </c>
      <c r="E885" s="2" t="s">
        <v>16</v>
      </c>
      <c r="F885" s="2">
        <v>30</v>
      </c>
      <c r="G885" s="2" t="s">
        <v>2989</v>
      </c>
      <c r="H885" s="2" t="s">
        <v>2990</v>
      </c>
      <c r="I885" s="2" t="s">
        <v>38</v>
      </c>
      <c r="J885" s="3">
        <v>44359</v>
      </c>
      <c r="K885" s="2">
        <v>42</v>
      </c>
      <c r="L885" s="2" t="s">
        <v>159</v>
      </c>
      <c r="M885" s="3"/>
    </row>
    <row r="886" spans="1:13" x14ac:dyDescent="0.3">
      <c r="A886" s="2">
        <v>885</v>
      </c>
      <c r="B886" s="2" t="s">
        <v>82</v>
      </c>
      <c r="C886" s="2" t="s">
        <v>2991</v>
      </c>
      <c r="D886" s="2" t="s">
        <v>28</v>
      </c>
      <c r="E886" s="2" t="s">
        <v>29</v>
      </c>
      <c r="F886" s="2">
        <v>30</v>
      </c>
      <c r="G886" s="2" t="s">
        <v>2992</v>
      </c>
      <c r="H886" s="2" t="s">
        <v>2993</v>
      </c>
      <c r="I886" s="2" t="s">
        <v>32</v>
      </c>
      <c r="J886" s="3">
        <v>44769</v>
      </c>
      <c r="K886" s="2">
        <v>99</v>
      </c>
      <c r="L886" s="2" t="s">
        <v>45</v>
      </c>
      <c r="M886" s="3"/>
    </row>
    <row r="887" spans="1:13" x14ac:dyDescent="0.3">
      <c r="A887" s="2">
        <v>886</v>
      </c>
      <c r="B887" s="2" t="s">
        <v>2994</v>
      </c>
      <c r="C887" s="2" t="s">
        <v>2995</v>
      </c>
      <c r="D887" s="2" t="s">
        <v>28</v>
      </c>
      <c r="E887" s="2" t="s">
        <v>29</v>
      </c>
      <c r="F887" s="2">
        <v>60</v>
      </c>
      <c r="G887" s="2" t="s">
        <v>2996</v>
      </c>
      <c r="H887" s="2" t="s">
        <v>2997</v>
      </c>
      <c r="I887" s="2" t="s">
        <v>32</v>
      </c>
      <c r="J887" s="3">
        <v>44222</v>
      </c>
      <c r="K887" s="2">
        <v>13</v>
      </c>
      <c r="L887" s="2" t="s">
        <v>20</v>
      </c>
      <c r="M887" s="3"/>
    </row>
    <row r="888" spans="1:13" x14ac:dyDescent="0.3">
      <c r="A888" s="2">
        <v>887</v>
      </c>
      <c r="B888" s="2" t="s">
        <v>2013</v>
      </c>
      <c r="C888" s="2" t="s">
        <v>2998</v>
      </c>
      <c r="D888" s="2" t="s">
        <v>51</v>
      </c>
      <c r="E888" s="2" t="s">
        <v>16</v>
      </c>
      <c r="F888" s="2">
        <v>90</v>
      </c>
      <c r="G888" s="2" t="s">
        <v>2999</v>
      </c>
      <c r="H888" s="2" t="s">
        <v>1221</v>
      </c>
      <c r="I888" s="2" t="s">
        <v>124</v>
      </c>
      <c r="J888" s="3">
        <v>44597</v>
      </c>
      <c r="K888" s="2">
        <v>76</v>
      </c>
      <c r="L888" s="2" t="s">
        <v>39</v>
      </c>
      <c r="M888" s="3"/>
    </row>
    <row r="889" spans="1:13" x14ac:dyDescent="0.3">
      <c r="A889" s="2">
        <v>888</v>
      </c>
      <c r="B889" s="2" t="s">
        <v>3000</v>
      </c>
      <c r="C889" s="2" t="s">
        <v>644</v>
      </c>
      <c r="D889" s="2" t="s">
        <v>15</v>
      </c>
      <c r="E889" s="2" t="s">
        <v>16</v>
      </c>
      <c r="F889" s="2">
        <v>30</v>
      </c>
      <c r="G889" s="2" t="s">
        <v>3001</v>
      </c>
      <c r="H889" s="2" t="s">
        <v>3002</v>
      </c>
      <c r="I889" s="2" t="s">
        <v>32</v>
      </c>
      <c r="J889" s="3">
        <v>44890</v>
      </c>
      <c r="K889" s="2">
        <v>9</v>
      </c>
      <c r="L889" s="2" t="s">
        <v>64</v>
      </c>
      <c r="M889" s="3"/>
    </row>
    <row r="890" spans="1:13" x14ac:dyDescent="0.3">
      <c r="A890" s="2">
        <v>889</v>
      </c>
      <c r="B890" s="2" t="s">
        <v>3003</v>
      </c>
      <c r="C890" s="2" t="s">
        <v>2813</v>
      </c>
      <c r="D890" s="2" t="s">
        <v>51</v>
      </c>
      <c r="E890" s="2" t="s">
        <v>16</v>
      </c>
      <c r="F890" s="2">
        <v>30</v>
      </c>
      <c r="G890" s="2" t="s">
        <v>3004</v>
      </c>
      <c r="H890" s="2" t="s">
        <v>2199</v>
      </c>
      <c r="I890" s="2" t="s">
        <v>32</v>
      </c>
      <c r="J890" s="3">
        <v>43873</v>
      </c>
      <c r="K890" s="2">
        <v>28</v>
      </c>
      <c r="L890" s="2" t="s">
        <v>80</v>
      </c>
      <c r="M890" s="3"/>
    </row>
    <row r="891" spans="1:13" x14ac:dyDescent="0.3">
      <c r="A891" s="2">
        <v>890</v>
      </c>
      <c r="B891" s="2" t="s">
        <v>3005</v>
      </c>
      <c r="C891" s="2" t="s">
        <v>1627</v>
      </c>
      <c r="D891" s="2" t="s">
        <v>28</v>
      </c>
      <c r="E891" s="2" t="s">
        <v>29</v>
      </c>
      <c r="F891" s="2">
        <v>30</v>
      </c>
      <c r="G891" s="2" t="s">
        <v>3006</v>
      </c>
      <c r="H891" s="2" t="s">
        <v>3007</v>
      </c>
      <c r="I891" s="2" t="s">
        <v>554</v>
      </c>
      <c r="J891" s="3">
        <v>44422</v>
      </c>
      <c r="K891" s="2">
        <v>72</v>
      </c>
      <c r="L891" s="2" t="s">
        <v>54</v>
      </c>
      <c r="M891" s="3"/>
    </row>
    <row r="892" spans="1:13" x14ac:dyDescent="0.3">
      <c r="A892" s="2">
        <v>891</v>
      </c>
      <c r="B892" s="2" t="s">
        <v>3008</v>
      </c>
      <c r="C892" s="2" t="s">
        <v>3009</v>
      </c>
      <c r="D892" s="2" t="s">
        <v>28</v>
      </c>
      <c r="E892" s="2" t="s">
        <v>29</v>
      </c>
      <c r="F892" s="2">
        <v>90</v>
      </c>
      <c r="G892" s="2" t="s">
        <v>3006</v>
      </c>
      <c r="H892" s="2" t="s">
        <v>3010</v>
      </c>
      <c r="I892" s="2" t="s">
        <v>187</v>
      </c>
      <c r="J892" s="3">
        <v>44603</v>
      </c>
      <c r="K892" s="2">
        <v>29</v>
      </c>
      <c r="L892" s="2" t="s">
        <v>54</v>
      </c>
      <c r="M892" s="3"/>
    </row>
    <row r="893" spans="1:13" x14ac:dyDescent="0.3">
      <c r="A893" s="2">
        <v>892</v>
      </c>
      <c r="B893" s="2" t="s">
        <v>2721</v>
      </c>
      <c r="C893" s="2" t="s">
        <v>3011</v>
      </c>
      <c r="D893" s="2" t="s">
        <v>28</v>
      </c>
      <c r="E893" s="2" t="s">
        <v>29</v>
      </c>
      <c r="F893" s="2">
        <v>90</v>
      </c>
      <c r="G893" s="2" t="s">
        <v>3012</v>
      </c>
      <c r="H893" s="2" t="s">
        <v>2512</v>
      </c>
      <c r="I893" s="2" t="s">
        <v>32</v>
      </c>
      <c r="J893" s="3">
        <v>44300</v>
      </c>
      <c r="K893" s="2">
        <v>61</v>
      </c>
      <c r="L893" s="2" t="s">
        <v>54</v>
      </c>
      <c r="M893" s="3"/>
    </row>
    <row r="894" spans="1:13" x14ac:dyDescent="0.3">
      <c r="A894" s="2">
        <v>893</v>
      </c>
      <c r="B894" s="2" t="s">
        <v>3013</v>
      </c>
      <c r="C894" s="2" t="s">
        <v>3014</v>
      </c>
      <c r="D894" s="2" t="s">
        <v>51</v>
      </c>
      <c r="E894" s="2" t="s">
        <v>16</v>
      </c>
      <c r="F894" s="2">
        <v>90</v>
      </c>
      <c r="G894" s="2" t="s">
        <v>3015</v>
      </c>
      <c r="H894" s="2" t="s">
        <v>275</v>
      </c>
      <c r="I894" s="2" t="s">
        <v>32</v>
      </c>
      <c r="J894" s="3">
        <v>44186</v>
      </c>
      <c r="K894" s="2">
        <v>16</v>
      </c>
      <c r="L894" s="2" t="s">
        <v>159</v>
      </c>
      <c r="M894" s="3"/>
    </row>
    <row r="895" spans="1:13" x14ac:dyDescent="0.3">
      <c r="A895" s="2">
        <v>894</v>
      </c>
      <c r="B895" s="2" t="s">
        <v>2426</v>
      </c>
      <c r="C895" s="2" t="s">
        <v>3016</v>
      </c>
      <c r="D895" s="2" t="s">
        <v>28</v>
      </c>
      <c r="E895" s="2" t="s">
        <v>3017</v>
      </c>
      <c r="F895" s="2">
        <v>30</v>
      </c>
      <c r="G895" s="2" t="s">
        <v>3018</v>
      </c>
      <c r="H895" s="2" t="s">
        <v>1837</v>
      </c>
      <c r="I895" s="2" t="s">
        <v>173</v>
      </c>
      <c r="J895" s="3">
        <v>44852</v>
      </c>
      <c r="K895" s="2">
        <v>53</v>
      </c>
      <c r="L895" s="2" t="s">
        <v>54</v>
      </c>
      <c r="M895" s="3"/>
    </row>
    <row r="896" spans="1:13" x14ac:dyDescent="0.3">
      <c r="A896" s="2">
        <v>895</v>
      </c>
      <c r="B896" s="2" t="s">
        <v>1745</v>
      </c>
      <c r="C896" s="2" t="s">
        <v>3019</v>
      </c>
      <c r="D896" s="2" t="s">
        <v>15</v>
      </c>
      <c r="E896" s="2" t="s">
        <v>16</v>
      </c>
      <c r="F896" s="2">
        <v>60</v>
      </c>
      <c r="G896" s="2" t="s">
        <v>3020</v>
      </c>
      <c r="H896" s="2" t="s">
        <v>1168</v>
      </c>
      <c r="I896" s="2" t="s">
        <v>32</v>
      </c>
      <c r="J896" s="3">
        <v>43940</v>
      </c>
      <c r="K896" s="2">
        <v>38</v>
      </c>
      <c r="L896" s="2" t="s">
        <v>80</v>
      </c>
      <c r="M896" s="3"/>
    </row>
    <row r="897" spans="1:13" x14ac:dyDescent="0.3">
      <c r="A897" s="2">
        <v>896</v>
      </c>
      <c r="B897" s="2" t="s">
        <v>3021</v>
      </c>
      <c r="C897" s="2" t="s">
        <v>3022</v>
      </c>
      <c r="D897" s="2" t="s">
        <v>28</v>
      </c>
      <c r="E897" s="2" t="s">
        <v>29</v>
      </c>
      <c r="F897" s="2">
        <v>90</v>
      </c>
      <c r="G897" s="2" t="s">
        <v>3023</v>
      </c>
      <c r="H897" s="2" t="s">
        <v>3024</v>
      </c>
      <c r="I897" s="2" t="s">
        <v>32</v>
      </c>
      <c r="J897" s="3">
        <v>44408</v>
      </c>
      <c r="K897" s="2">
        <v>38</v>
      </c>
      <c r="L897" s="2" t="s">
        <v>33</v>
      </c>
      <c r="M897" s="3"/>
    </row>
    <row r="898" spans="1:13" x14ac:dyDescent="0.3">
      <c r="A898" s="2">
        <v>897</v>
      </c>
      <c r="B898" s="2" t="s">
        <v>3025</v>
      </c>
      <c r="C898" s="2" t="s">
        <v>3026</v>
      </c>
      <c r="D898" s="2" t="s">
        <v>51</v>
      </c>
      <c r="E898" s="2" t="s">
        <v>16</v>
      </c>
      <c r="F898" s="2">
        <v>60</v>
      </c>
      <c r="G898" s="2" t="s">
        <v>3027</v>
      </c>
      <c r="H898" s="2" t="s">
        <v>2447</v>
      </c>
      <c r="I898" s="2" t="s">
        <v>1869</v>
      </c>
      <c r="J898" s="3">
        <v>44034</v>
      </c>
      <c r="K898" s="2">
        <v>22</v>
      </c>
      <c r="L898" s="2" t="s">
        <v>80</v>
      </c>
      <c r="M898" s="3"/>
    </row>
    <row r="899" spans="1:13" x14ac:dyDescent="0.3">
      <c r="A899" s="2">
        <v>898</v>
      </c>
      <c r="B899" s="2" t="s">
        <v>3028</v>
      </c>
      <c r="C899" s="2" t="s">
        <v>3029</v>
      </c>
      <c r="D899" s="2" t="s">
        <v>15</v>
      </c>
      <c r="E899" s="2" t="s">
        <v>16</v>
      </c>
      <c r="F899" s="2">
        <v>30</v>
      </c>
      <c r="G899" s="2" t="s">
        <v>3030</v>
      </c>
      <c r="H899" s="2" t="s">
        <v>1103</v>
      </c>
      <c r="I899" s="2" t="s">
        <v>25</v>
      </c>
      <c r="J899" s="3">
        <v>44000</v>
      </c>
      <c r="K899" s="2">
        <v>55</v>
      </c>
      <c r="L899" s="2" t="s">
        <v>54</v>
      </c>
      <c r="M899" s="3"/>
    </row>
    <row r="900" spans="1:13" x14ac:dyDescent="0.3">
      <c r="A900" s="2">
        <v>899</v>
      </c>
      <c r="B900" s="2" t="s">
        <v>3031</v>
      </c>
      <c r="C900" s="2" t="s">
        <v>1439</v>
      </c>
      <c r="D900" s="2" t="s">
        <v>51</v>
      </c>
      <c r="E900" s="2" t="s">
        <v>16</v>
      </c>
      <c r="F900" s="2">
        <v>30</v>
      </c>
      <c r="G900" s="2" t="s">
        <v>3032</v>
      </c>
      <c r="H900" s="2" t="s">
        <v>3033</v>
      </c>
      <c r="I900" s="2" t="s">
        <v>32</v>
      </c>
      <c r="J900" s="3">
        <v>44651</v>
      </c>
      <c r="K900" s="2">
        <v>63</v>
      </c>
      <c r="L900" s="2" t="s">
        <v>159</v>
      </c>
      <c r="M900" s="3"/>
    </row>
    <row r="901" spans="1:13" x14ac:dyDescent="0.3">
      <c r="A901" s="2">
        <v>900</v>
      </c>
      <c r="B901" s="2" t="s">
        <v>3034</v>
      </c>
      <c r="C901" s="2" t="s">
        <v>1748</v>
      </c>
      <c r="D901" s="2" t="s">
        <v>51</v>
      </c>
      <c r="E901" s="2" t="s">
        <v>16</v>
      </c>
      <c r="F901" s="2">
        <v>30</v>
      </c>
      <c r="G901" s="2" t="s">
        <v>3035</v>
      </c>
      <c r="H901" s="2" t="s">
        <v>3036</v>
      </c>
      <c r="I901" s="2" t="s">
        <v>32</v>
      </c>
      <c r="J901" s="3">
        <v>44499</v>
      </c>
      <c r="K901" s="2">
        <v>57</v>
      </c>
      <c r="L901" s="2" t="s">
        <v>70</v>
      </c>
      <c r="M901" s="3"/>
    </row>
    <row r="902" spans="1:13" x14ac:dyDescent="0.3">
      <c r="A902" s="2">
        <v>901</v>
      </c>
      <c r="B902" s="2" t="s">
        <v>1312</v>
      </c>
      <c r="C902" s="2" t="s">
        <v>3037</v>
      </c>
      <c r="D902" s="2" t="s">
        <v>28</v>
      </c>
      <c r="E902" s="2" t="s">
        <v>29</v>
      </c>
      <c r="F902" s="2">
        <v>90</v>
      </c>
      <c r="G902" s="2" t="s">
        <v>3038</v>
      </c>
      <c r="H902" s="2" t="s">
        <v>2163</v>
      </c>
      <c r="I902" s="2" t="s">
        <v>1824</v>
      </c>
      <c r="J902" s="3">
        <v>44558</v>
      </c>
      <c r="K902" s="2">
        <v>76</v>
      </c>
      <c r="L902" s="2" t="s">
        <v>159</v>
      </c>
      <c r="M902" s="3"/>
    </row>
    <row r="903" spans="1:13" x14ac:dyDescent="0.3">
      <c r="A903" s="2">
        <v>902</v>
      </c>
      <c r="B903" s="2" t="s">
        <v>3039</v>
      </c>
      <c r="C903" s="2" t="s">
        <v>700</v>
      </c>
      <c r="D903" s="2" t="s">
        <v>15</v>
      </c>
      <c r="E903" s="2" t="s">
        <v>16</v>
      </c>
      <c r="F903" s="2">
        <v>90</v>
      </c>
      <c r="G903" s="2" t="s">
        <v>3040</v>
      </c>
      <c r="H903" s="2" t="s">
        <v>3041</v>
      </c>
      <c r="I903" s="2" t="s">
        <v>124</v>
      </c>
      <c r="J903" s="3">
        <v>44215</v>
      </c>
      <c r="K903" s="2">
        <v>32</v>
      </c>
      <c r="L903" s="2" t="s">
        <v>101</v>
      </c>
      <c r="M903" s="3"/>
    </row>
    <row r="904" spans="1:13" x14ac:dyDescent="0.3">
      <c r="A904" s="2">
        <v>903</v>
      </c>
      <c r="B904" s="2" t="s">
        <v>3042</v>
      </c>
      <c r="C904" s="2" t="s">
        <v>2349</v>
      </c>
      <c r="D904" s="2" t="s">
        <v>15</v>
      </c>
      <c r="E904" s="2" t="s">
        <v>16</v>
      </c>
      <c r="F904" s="2">
        <v>30</v>
      </c>
      <c r="G904" s="2" t="s">
        <v>3043</v>
      </c>
      <c r="H904" s="2" t="s">
        <v>3044</v>
      </c>
      <c r="I904" s="2" t="s">
        <v>1413</v>
      </c>
      <c r="J904" s="3">
        <v>44370</v>
      </c>
      <c r="K904" s="2">
        <v>54</v>
      </c>
      <c r="L904" s="2" t="s">
        <v>80</v>
      </c>
      <c r="M904" s="3"/>
    </row>
    <row r="905" spans="1:13" x14ac:dyDescent="0.3">
      <c r="A905" s="2">
        <v>904</v>
      </c>
      <c r="B905" s="2" t="s">
        <v>3045</v>
      </c>
      <c r="C905" s="2" t="s">
        <v>3046</v>
      </c>
      <c r="D905" s="2" t="s">
        <v>51</v>
      </c>
      <c r="E905" s="2" t="s">
        <v>16</v>
      </c>
      <c r="F905" s="2">
        <v>90</v>
      </c>
      <c r="G905" s="2" t="s">
        <v>3047</v>
      </c>
      <c r="H905" s="2" t="s">
        <v>248</v>
      </c>
      <c r="I905" s="2" t="s">
        <v>178</v>
      </c>
      <c r="J905" s="3">
        <v>44697</v>
      </c>
      <c r="K905" s="2">
        <v>90</v>
      </c>
      <c r="L905" s="2" t="s">
        <v>45</v>
      </c>
      <c r="M905" s="3"/>
    </row>
    <row r="906" spans="1:13" x14ac:dyDescent="0.3">
      <c r="A906" s="2">
        <v>905</v>
      </c>
      <c r="B906" s="2" t="s">
        <v>3048</v>
      </c>
      <c r="C906" s="2" t="s">
        <v>2635</v>
      </c>
      <c r="D906" s="2" t="s">
        <v>51</v>
      </c>
      <c r="E906" s="2" t="s">
        <v>16</v>
      </c>
      <c r="F906" s="2">
        <v>60</v>
      </c>
      <c r="G906" s="2" t="s">
        <v>3049</v>
      </c>
      <c r="H906" s="2" t="s">
        <v>720</v>
      </c>
      <c r="I906" s="2" t="s">
        <v>686</v>
      </c>
      <c r="J906" s="3">
        <v>44857</v>
      </c>
      <c r="K906" s="2">
        <v>48</v>
      </c>
      <c r="L906" s="2" t="s">
        <v>39</v>
      </c>
      <c r="M906" s="3"/>
    </row>
    <row r="907" spans="1:13" x14ac:dyDescent="0.3">
      <c r="A907" s="2">
        <v>906</v>
      </c>
      <c r="B907" s="2" t="s">
        <v>3050</v>
      </c>
      <c r="C907" s="2" t="s">
        <v>3051</v>
      </c>
      <c r="D907" s="2" t="s">
        <v>28</v>
      </c>
      <c r="E907" s="2" t="s">
        <v>29</v>
      </c>
      <c r="F907" s="2">
        <v>60</v>
      </c>
      <c r="G907" s="2" t="s">
        <v>3052</v>
      </c>
      <c r="H907" s="2" t="s">
        <v>3053</v>
      </c>
      <c r="I907" s="2" t="s">
        <v>32</v>
      </c>
      <c r="J907" s="3">
        <v>44344</v>
      </c>
      <c r="K907" s="2">
        <v>18</v>
      </c>
      <c r="L907" s="2" t="s">
        <v>54</v>
      </c>
      <c r="M907" s="3"/>
    </row>
    <row r="908" spans="1:13" x14ac:dyDescent="0.3">
      <c r="A908" s="2">
        <v>907</v>
      </c>
      <c r="B908" s="2" t="s">
        <v>3054</v>
      </c>
      <c r="C908" s="2" t="s">
        <v>2434</v>
      </c>
      <c r="D908" s="2" t="s">
        <v>51</v>
      </c>
      <c r="E908" s="2" t="s">
        <v>16</v>
      </c>
      <c r="F908" s="2">
        <v>30</v>
      </c>
      <c r="G908" s="2" t="s">
        <v>3055</v>
      </c>
      <c r="H908" s="2" t="s">
        <v>3056</v>
      </c>
      <c r="I908" s="2" t="s">
        <v>187</v>
      </c>
      <c r="J908" s="3">
        <v>44146</v>
      </c>
      <c r="K908" s="2">
        <v>17</v>
      </c>
      <c r="L908" s="2" t="s">
        <v>33</v>
      </c>
      <c r="M908" s="3"/>
    </row>
    <row r="909" spans="1:13" x14ac:dyDescent="0.3">
      <c r="A909" s="2">
        <v>908</v>
      </c>
      <c r="B909" s="2" t="s">
        <v>862</v>
      </c>
      <c r="C909" s="2" t="s">
        <v>3057</v>
      </c>
      <c r="D909" s="2" t="s">
        <v>51</v>
      </c>
      <c r="E909" s="2" t="s">
        <v>16</v>
      </c>
      <c r="F909" s="2">
        <v>30</v>
      </c>
      <c r="G909" s="2" t="s">
        <v>3058</v>
      </c>
      <c r="H909" s="2" t="s">
        <v>3059</v>
      </c>
      <c r="I909" s="2" t="s">
        <v>187</v>
      </c>
      <c r="J909" s="3">
        <v>44753</v>
      </c>
      <c r="K909" s="2">
        <v>80</v>
      </c>
      <c r="L909" s="2" t="s">
        <v>64</v>
      </c>
      <c r="M909" s="3"/>
    </row>
    <row r="910" spans="1:13" x14ac:dyDescent="0.3">
      <c r="A910" s="2">
        <v>909</v>
      </c>
      <c r="B910" s="2" t="s">
        <v>862</v>
      </c>
      <c r="C910" s="2" t="s">
        <v>3057</v>
      </c>
      <c r="D910" s="2" t="s">
        <v>51</v>
      </c>
      <c r="E910" s="2" t="s">
        <v>16</v>
      </c>
      <c r="F910" s="2">
        <v>30</v>
      </c>
      <c r="G910" s="2" t="s">
        <v>3058</v>
      </c>
      <c r="H910" s="2" t="s">
        <v>3059</v>
      </c>
      <c r="I910" s="2" t="s">
        <v>187</v>
      </c>
      <c r="J910" s="3">
        <v>44753</v>
      </c>
      <c r="K910" s="2">
        <v>80</v>
      </c>
      <c r="L910" s="2" t="s">
        <v>64</v>
      </c>
      <c r="M910" s="3"/>
    </row>
    <row r="911" spans="1:13" x14ac:dyDescent="0.3">
      <c r="A911" s="2">
        <v>910</v>
      </c>
      <c r="B911" s="2" t="s">
        <v>1856</v>
      </c>
      <c r="C911" s="2" t="s">
        <v>3060</v>
      </c>
      <c r="D911" s="2" t="s">
        <v>51</v>
      </c>
      <c r="E911" s="2" t="s">
        <v>16</v>
      </c>
      <c r="F911" s="2">
        <v>30</v>
      </c>
      <c r="G911" s="2" t="s">
        <v>3061</v>
      </c>
      <c r="H911" s="2" t="s">
        <v>6</v>
      </c>
      <c r="I911" s="2" t="s">
        <v>32</v>
      </c>
      <c r="J911" s="3">
        <v>44442</v>
      </c>
      <c r="K911" s="2">
        <v>87</v>
      </c>
      <c r="L911" s="2" t="s">
        <v>80</v>
      </c>
      <c r="M911" s="3"/>
    </row>
    <row r="912" spans="1:13" x14ac:dyDescent="0.3">
      <c r="A912" s="2">
        <v>911</v>
      </c>
      <c r="B912" s="2" t="s">
        <v>3062</v>
      </c>
      <c r="C912" s="2" t="s">
        <v>1414</v>
      </c>
      <c r="D912" s="2" t="s">
        <v>28</v>
      </c>
      <c r="E912" s="2" t="s">
        <v>29</v>
      </c>
      <c r="F912" s="2">
        <v>30</v>
      </c>
      <c r="G912" s="2" t="s">
        <v>3063</v>
      </c>
      <c r="H912" s="2" t="s">
        <v>3064</v>
      </c>
      <c r="I912" s="2" t="s">
        <v>32</v>
      </c>
      <c r="J912" s="3">
        <v>44122</v>
      </c>
      <c r="K912" s="2">
        <v>20</v>
      </c>
      <c r="L912" s="2" t="s">
        <v>20</v>
      </c>
      <c r="M912" s="3"/>
    </row>
    <row r="913" spans="1:13" x14ac:dyDescent="0.3">
      <c r="A913" s="2">
        <v>912</v>
      </c>
      <c r="B913" s="2" t="s">
        <v>3065</v>
      </c>
      <c r="C913" s="2" t="s">
        <v>3066</v>
      </c>
      <c r="D913" s="2" t="s">
        <v>28</v>
      </c>
      <c r="E913" s="2" t="s">
        <v>29</v>
      </c>
      <c r="F913" s="2">
        <v>30</v>
      </c>
      <c r="G913" s="2" t="s">
        <v>3067</v>
      </c>
      <c r="H913" s="2" t="s">
        <v>1221</v>
      </c>
      <c r="I913" s="2" t="s">
        <v>124</v>
      </c>
      <c r="J913" s="3">
        <v>44672</v>
      </c>
      <c r="K913" s="2">
        <v>98</v>
      </c>
      <c r="L913" s="2" t="s">
        <v>64</v>
      </c>
      <c r="M913" s="3"/>
    </row>
    <row r="914" spans="1:13" x14ac:dyDescent="0.3">
      <c r="A914" s="2">
        <v>913</v>
      </c>
      <c r="B914" s="2" t="s">
        <v>3068</v>
      </c>
      <c r="C914" s="2" t="s">
        <v>3019</v>
      </c>
      <c r="D914" s="2" t="s">
        <v>41</v>
      </c>
      <c r="E914" s="2" t="s">
        <v>16</v>
      </c>
      <c r="F914" s="2">
        <v>60</v>
      </c>
      <c r="G914" s="2" t="s">
        <v>3069</v>
      </c>
      <c r="H914" s="2" t="s">
        <v>3070</v>
      </c>
      <c r="I914" s="2" t="s">
        <v>575</v>
      </c>
      <c r="J914" s="3">
        <v>43966</v>
      </c>
      <c r="K914" s="2">
        <v>82</v>
      </c>
      <c r="L914" s="2" t="s">
        <v>54</v>
      </c>
      <c r="M914" s="3"/>
    </row>
    <row r="915" spans="1:13" x14ac:dyDescent="0.3">
      <c r="A915" s="2">
        <v>914</v>
      </c>
      <c r="B915" s="2" t="s">
        <v>1169</v>
      </c>
      <c r="C915" s="2" t="s">
        <v>3071</v>
      </c>
      <c r="D915" s="2" t="s">
        <v>28</v>
      </c>
      <c r="E915" s="2" t="s">
        <v>29</v>
      </c>
      <c r="F915" s="2">
        <v>60</v>
      </c>
      <c r="G915" s="2" t="s">
        <v>3072</v>
      </c>
      <c r="H915" s="2" t="s">
        <v>1011</v>
      </c>
      <c r="I915" s="2" t="s">
        <v>32</v>
      </c>
      <c r="J915" s="3">
        <v>43897</v>
      </c>
      <c r="K915" s="2">
        <v>64</v>
      </c>
      <c r="L915" s="2" t="s">
        <v>101</v>
      </c>
      <c r="M915" s="3"/>
    </row>
    <row r="916" spans="1:13" x14ac:dyDescent="0.3">
      <c r="A916" s="2">
        <v>915</v>
      </c>
      <c r="B916" s="2" t="s">
        <v>3073</v>
      </c>
      <c r="C916" s="2" t="s">
        <v>3074</v>
      </c>
      <c r="D916" s="2" t="s">
        <v>28</v>
      </c>
      <c r="E916" s="2" t="s">
        <v>29</v>
      </c>
      <c r="F916" s="2">
        <v>90</v>
      </c>
      <c r="G916" s="2" t="s">
        <v>3075</v>
      </c>
      <c r="H916" s="2" t="s">
        <v>109</v>
      </c>
      <c r="I916" s="2" t="s">
        <v>110</v>
      </c>
      <c r="J916" s="3">
        <v>44063</v>
      </c>
      <c r="K916" s="2">
        <v>23</v>
      </c>
      <c r="L916" s="2" t="s">
        <v>70</v>
      </c>
      <c r="M916" s="3"/>
    </row>
    <row r="917" spans="1:13" x14ac:dyDescent="0.3">
      <c r="A917" s="2">
        <v>916</v>
      </c>
      <c r="B917" s="2" t="s">
        <v>3076</v>
      </c>
      <c r="C917" s="2" t="s">
        <v>3077</v>
      </c>
      <c r="D917" s="2" t="s">
        <v>51</v>
      </c>
      <c r="E917" s="2" t="s">
        <v>16</v>
      </c>
      <c r="F917" s="2">
        <v>90</v>
      </c>
      <c r="G917" s="2" t="s">
        <v>3078</v>
      </c>
      <c r="H917" s="2" t="s">
        <v>518</v>
      </c>
      <c r="I917" s="2" t="s">
        <v>32</v>
      </c>
      <c r="J917" s="3">
        <v>44113</v>
      </c>
      <c r="K917" s="2">
        <v>69</v>
      </c>
      <c r="L917" s="2" t="s">
        <v>101</v>
      </c>
      <c r="M917" s="3"/>
    </row>
    <row r="918" spans="1:13" x14ac:dyDescent="0.3">
      <c r="A918" s="2">
        <v>917</v>
      </c>
      <c r="B918" s="2" t="s">
        <v>3079</v>
      </c>
      <c r="C918" s="2" t="s">
        <v>783</v>
      </c>
      <c r="D918" s="2" t="s">
        <v>15</v>
      </c>
      <c r="E918" s="2" t="s">
        <v>16</v>
      </c>
      <c r="F918" s="2">
        <v>60</v>
      </c>
      <c r="G918" s="2" t="s">
        <v>3080</v>
      </c>
      <c r="H918" s="2" t="s">
        <v>350</v>
      </c>
      <c r="I918" s="2" t="s">
        <v>25</v>
      </c>
      <c r="J918" s="3">
        <v>44751</v>
      </c>
      <c r="K918" s="2">
        <v>79</v>
      </c>
      <c r="L918" s="2" t="s">
        <v>45</v>
      </c>
      <c r="M918" s="3"/>
    </row>
    <row r="919" spans="1:13" x14ac:dyDescent="0.3">
      <c r="A919" s="2">
        <v>918</v>
      </c>
      <c r="B919" s="2" t="s">
        <v>3081</v>
      </c>
      <c r="C919" s="2" t="s">
        <v>300</v>
      </c>
      <c r="D919" s="2" t="s">
        <v>15</v>
      </c>
      <c r="E919" s="2" t="s">
        <v>16</v>
      </c>
      <c r="F919" s="2">
        <v>30</v>
      </c>
      <c r="G919" s="2" t="s">
        <v>3082</v>
      </c>
      <c r="H919" s="2" t="s">
        <v>652</v>
      </c>
      <c r="I919" s="2" t="s">
        <v>32</v>
      </c>
      <c r="J919" s="3">
        <v>44807</v>
      </c>
      <c r="K919" s="2">
        <v>49</v>
      </c>
      <c r="L919" s="2" t="s">
        <v>33</v>
      </c>
      <c r="M919" s="3"/>
    </row>
    <row r="920" spans="1:13" x14ac:dyDescent="0.3">
      <c r="A920" s="2">
        <v>919</v>
      </c>
      <c r="B920" s="2" t="s">
        <v>3083</v>
      </c>
      <c r="C920" s="2" t="s">
        <v>3084</v>
      </c>
      <c r="D920" s="2" t="s">
        <v>28</v>
      </c>
      <c r="E920" s="2" t="s">
        <v>3085</v>
      </c>
      <c r="F920" s="2">
        <v>60</v>
      </c>
      <c r="G920" s="2" t="s">
        <v>3086</v>
      </c>
      <c r="H920" s="2" t="s">
        <v>1206</v>
      </c>
      <c r="I920" s="2" t="s">
        <v>294</v>
      </c>
      <c r="J920" s="3">
        <v>44519</v>
      </c>
      <c r="K920" s="2">
        <v>21</v>
      </c>
      <c r="L920" s="2" t="s">
        <v>54</v>
      </c>
      <c r="M920" s="3"/>
    </row>
    <row r="921" spans="1:13" x14ac:dyDescent="0.3">
      <c r="A921" s="2">
        <v>920</v>
      </c>
      <c r="B921" s="2" t="s">
        <v>1678</v>
      </c>
      <c r="C921" s="2" t="s">
        <v>3087</v>
      </c>
      <c r="D921" s="2" t="s">
        <v>28</v>
      </c>
      <c r="E921" s="2" t="s">
        <v>29</v>
      </c>
      <c r="F921" s="2">
        <v>30</v>
      </c>
      <c r="G921" s="2" t="s">
        <v>3088</v>
      </c>
      <c r="H921" s="2" t="s">
        <v>154</v>
      </c>
      <c r="I921" s="2" t="s">
        <v>25</v>
      </c>
      <c r="J921" s="3">
        <v>44543</v>
      </c>
      <c r="K921" s="2">
        <v>53</v>
      </c>
      <c r="L921" s="2" t="s">
        <v>101</v>
      </c>
      <c r="M921" s="3"/>
    </row>
    <row r="922" spans="1:13" x14ac:dyDescent="0.3">
      <c r="A922" s="2">
        <v>921</v>
      </c>
      <c r="B922" s="2" t="s">
        <v>3089</v>
      </c>
      <c r="C922" s="2" t="s">
        <v>3090</v>
      </c>
      <c r="D922" s="2" t="s">
        <v>28</v>
      </c>
      <c r="E922" s="2" t="s">
        <v>29</v>
      </c>
      <c r="F922" s="2">
        <v>30</v>
      </c>
      <c r="G922" s="2" t="s">
        <v>3091</v>
      </c>
      <c r="H922" s="2" t="s">
        <v>3092</v>
      </c>
      <c r="I922" s="2" t="s">
        <v>886</v>
      </c>
      <c r="J922" s="3">
        <v>44921</v>
      </c>
      <c r="K922" s="2">
        <v>40</v>
      </c>
      <c r="L922" s="2" t="s">
        <v>70</v>
      </c>
      <c r="M922" s="3"/>
    </row>
    <row r="923" spans="1:13" x14ac:dyDescent="0.3">
      <c r="A923" s="2">
        <v>922</v>
      </c>
      <c r="B923" s="2" t="s">
        <v>542</v>
      </c>
      <c r="C923" s="2" t="s">
        <v>2431</v>
      </c>
      <c r="D923" s="2" t="s">
        <v>15</v>
      </c>
      <c r="E923" s="2" t="s">
        <v>16</v>
      </c>
      <c r="F923" s="2">
        <v>90</v>
      </c>
      <c r="G923" s="2" t="s">
        <v>3093</v>
      </c>
      <c r="H923" s="2" t="s">
        <v>818</v>
      </c>
      <c r="I923" s="2" t="s">
        <v>819</v>
      </c>
      <c r="J923" s="3">
        <v>44118</v>
      </c>
      <c r="K923" s="2">
        <v>84</v>
      </c>
      <c r="L923" s="2" t="s">
        <v>39</v>
      </c>
      <c r="M923" s="3"/>
    </row>
    <row r="924" spans="1:13" x14ac:dyDescent="0.3">
      <c r="A924" s="2">
        <v>923</v>
      </c>
      <c r="B924" s="2" t="s">
        <v>3094</v>
      </c>
      <c r="C924" s="2" t="s">
        <v>3095</v>
      </c>
      <c r="D924" s="2" t="s">
        <v>51</v>
      </c>
      <c r="E924" s="2" t="s">
        <v>16</v>
      </c>
      <c r="F924" s="2">
        <v>30</v>
      </c>
      <c r="G924" s="2" t="s">
        <v>3096</v>
      </c>
      <c r="H924" s="2" t="s">
        <v>579</v>
      </c>
      <c r="I924" s="2" t="s">
        <v>32</v>
      </c>
      <c r="J924" s="3">
        <v>44646</v>
      </c>
      <c r="K924" s="2">
        <v>100</v>
      </c>
      <c r="L924" s="2" t="s">
        <v>54</v>
      </c>
      <c r="M924" s="3"/>
    </row>
    <row r="925" spans="1:13" x14ac:dyDescent="0.3">
      <c r="A925" s="2">
        <v>924</v>
      </c>
      <c r="B925" s="2" t="s">
        <v>3097</v>
      </c>
      <c r="C925" s="2" t="s">
        <v>3098</v>
      </c>
      <c r="D925" s="2" t="s">
        <v>28</v>
      </c>
      <c r="E925" s="2" t="s">
        <v>29</v>
      </c>
      <c r="F925" s="2">
        <v>60</v>
      </c>
      <c r="G925" s="2" t="s">
        <v>3099</v>
      </c>
      <c r="H925" s="2" t="s">
        <v>3100</v>
      </c>
      <c r="I925" s="2" t="s">
        <v>32</v>
      </c>
      <c r="J925" s="3">
        <v>44047</v>
      </c>
      <c r="K925" s="2">
        <v>72</v>
      </c>
      <c r="L925" s="2" t="s">
        <v>64</v>
      </c>
      <c r="M925" s="3"/>
    </row>
    <row r="926" spans="1:13" x14ac:dyDescent="0.3">
      <c r="A926" s="2">
        <v>925</v>
      </c>
      <c r="B926" s="2" t="s">
        <v>3101</v>
      </c>
      <c r="C926" s="2" t="s">
        <v>3102</v>
      </c>
      <c r="D926" s="2" t="s">
        <v>28</v>
      </c>
      <c r="E926" s="2" t="s">
        <v>29</v>
      </c>
      <c r="F926" s="2">
        <v>90</v>
      </c>
      <c r="G926" s="2" t="s">
        <v>3099</v>
      </c>
      <c r="H926" s="2" t="s">
        <v>1150</v>
      </c>
      <c r="I926" s="2" t="s">
        <v>32</v>
      </c>
      <c r="J926" s="3">
        <v>44521</v>
      </c>
      <c r="K926" s="2">
        <v>92</v>
      </c>
      <c r="L926" s="2" t="s">
        <v>54</v>
      </c>
      <c r="M926" s="3"/>
    </row>
    <row r="927" spans="1:13" x14ac:dyDescent="0.3">
      <c r="A927" s="2">
        <v>926</v>
      </c>
      <c r="B927" s="2" t="s">
        <v>3103</v>
      </c>
      <c r="C927" s="2" t="s">
        <v>878</v>
      </c>
      <c r="D927" s="2" t="s">
        <v>15</v>
      </c>
      <c r="E927" s="2" t="s">
        <v>16</v>
      </c>
      <c r="F927" s="2">
        <v>30</v>
      </c>
      <c r="G927" s="2" t="s">
        <v>3104</v>
      </c>
      <c r="H927" s="2" t="s">
        <v>191</v>
      </c>
      <c r="I927" s="2" t="s">
        <v>89</v>
      </c>
      <c r="J927" s="3">
        <v>44087</v>
      </c>
      <c r="K927" s="2">
        <v>22</v>
      </c>
      <c r="L927" s="2" t="s">
        <v>45</v>
      </c>
      <c r="M927" s="3"/>
    </row>
    <row r="928" spans="1:13" x14ac:dyDescent="0.3">
      <c r="A928" s="2">
        <v>927</v>
      </c>
      <c r="B928" s="2" t="s">
        <v>3105</v>
      </c>
      <c r="C928" s="2" t="s">
        <v>3106</v>
      </c>
      <c r="D928" s="2" t="s">
        <v>15</v>
      </c>
      <c r="E928" s="2" t="s">
        <v>16</v>
      </c>
      <c r="F928" s="2">
        <v>30</v>
      </c>
      <c r="G928" s="2" t="s">
        <v>3107</v>
      </c>
      <c r="H928" s="2" t="s">
        <v>1864</v>
      </c>
      <c r="I928" s="2" t="s">
        <v>294</v>
      </c>
      <c r="J928" s="3">
        <v>44078</v>
      </c>
      <c r="K928" s="2">
        <v>35</v>
      </c>
      <c r="L928" s="2" t="s">
        <v>64</v>
      </c>
      <c r="M928" s="3"/>
    </row>
    <row r="929" spans="1:13" x14ac:dyDescent="0.3">
      <c r="A929" s="2">
        <v>928</v>
      </c>
      <c r="B929" s="2" t="s">
        <v>3108</v>
      </c>
      <c r="C929" s="2" t="s">
        <v>3109</v>
      </c>
      <c r="D929" s="2" t="s">
        <v>15</v>
      </c>
      <c r="E929" s="2" t="s">
        <v>16</v>
      </c>
      <c r="F929" s="2">
        <v>90</v>
      </c>
      <c r="G929" s="2" t="s">
        <v>3110</v>
      </c>
      <c r="H929" s="2" t="s">
        <v>2676</v>
      </c>
      <c r="I929" s="2" t="s">
        <v>32</v>
      </c>
      <c r="J929" s="3">
        <v>44170</v>
      </c>
      <c r="K929" s="2">
        <v>51</v>
      </c>
      <c r="L929" s="2" t="s">
        <v>64</v>
      </c>
      <c r="M929" s="3"/>
    </row>
    <row r="930" spans="1:13" x14ac:dyDescent="0.3">
      <c r="A930" s="2">
        <v>929</v>
      </c>
      <c r="B930" s="2" t="s">
        <v>3111</v>
      </c>
      <c r="C930" s="2" t="s">
        <v>508</v>
      </c>
      <c r="D930" s="2" t="s">
        <v>28</v>
      </c>
      <c r="E930" s="2" t="s">
        <v>29</v>
      </c>
      <c r="F930" s="2">
        <v>60</v>
      </c>
      <c r="G930" s="2" t="s">
        <v>3112</v>
      </c>
      <c r="H930" s="2" t="s">
        <v>1519</v>
      </c>
      <c r="I930" s="2" t="s">
        <v>32</v>
      </c>
      <c r="J930" s="3">
        <v>43931</v>
      </c>
      <c r="K930" s="2">
        <v>34</v>
      </c>
      <c r="L930" s="2" t="s">
        <v>33</v>
      </c>
      <c r="M930" s="3"/>
    </row>
    <row r="931" spans="1:13" x14ac:dyDescent="0.3">
      <c r="A931" s="2">
        <v>930</v>
      </c>
      <c r="B931" s="2" t="s">
        <v>3113</v>
      </c>
      <c r="C931" s="2" t="s">
        <v>3114</v>
      </c>
      <c r="D931" s="2" t="s">
        <v>28</v>
      </c>
      <c r="E931" s="2" t="s">
        <v>29</v>
      </c>
      <c r="F931" s="2">
        <v>90</v>
      </c>
      <c r="G931" s="2" t="s">
        <v>3115</v>
      </c>
      <c r="H931" s="2" t="s">
        <v>3116</v>
      </c>
      <c r="I931" s="2" t="s">
        <v>32</v>
      </c>
      <c r="J931" s="3">
        <v>43983</v>
      </c>
      <c r="K931" s="2">
        <v>11</v>
      </c>
      <c r="L931" s="2" t="s">
        <v>159</v>
      </c>
      <c r="M931" s="3"/>
    </row>
    <row r="932" spans="1:13" x14ac:dyDescent="0.3">
      <c r="A932" s="2">
        <v>931</v>
      </c>
      <c r="B932" s="2" t="s">
        <v>3117</v>
      </c>
      <c r="C932" s="2" t="s">
        <v>3118</v>
      </c>
      <c r="D932" s="2" t="s">
        <v>28</v>
      </c>
      <c r="E932" s="2" t="s">
        <v>29</v>
      </c>
      <c r="F932" s="2">
        <v>30</v>
      </c>
      <c r="G932" s="2" t="s">
        <v>3119</v>
      </c>
      <c r="H932" s="2" t="s">
        <v>279</v>
      </c>
      <c r="I932" s="2" t="s">
        <v>213</v>
      </c>
      <c r="J932" s="3">
        <v>44751</v>
      </c>
      <c r="K932" s="2">
        <v>31</v>
      </c>
      <c r="L932" s="2" t="s">
        <v>159</v>
      </c>
      <c r="M932" s="3"/>
    </row>
    <row r="933" spans="1:13" x14ac:dyDescent="0.3">
      <c r="A933" s="2">
        <v>932</v>
      </c>
      <c r="B933" s="2" t="s">
        <v>596</v>
      </c>
      <c r="C933" s="2" t="s">
        <v>3120</v>
      </c>
      <c r="D933" s="2" t="s">
        <v>28</v>
      </c>
      <c r="E933" s="2" t="s">
        <v>29</v>
      </c>
      <c r="F933" s="2">
        <v>60</v>
      </c>
      <c r="G933" s="2" t="s">
        <v>3121</v>
      </c>
      <c r="H933" s="2" t="s">
        <v>3122</v>
      </c>
      <c r="I933" s="2" t="s">
        <v>1035</v>
      </c>
      <c r="J933" s="3">
        <v>44498</v>
      </c>
      <c r="K933" s="2">
        <v>85</v>
      </c>
      <c r="L933" s="2" t="s">
        <v>54</v>
      </c>
      <c r="M933" s="3"/>
    </row>
    <row r="934" spans="1:13" x14ac:dyDescent="0.3">
      <c r="A934" s="2">
        <v>933</v>
      </c>
      <c r="B934" s="2" t="s">
        <v>2399</v>
      </c>
      <c r="C934" s="2" t="s">
        <v>253</v>
      </c>
      <c r="D934" s="2" t="s">
        <v>28</v>
      </c>
      <c r="E934" s="2" t="s">
        <v>29</v>
      </c>
      <c r="F934" s="2">
        <v>30</v>
      </c>
      <c r="G934" s="2" t="s">
        <v>3123</v>
      </c>
      <c r="H934" s="2" t="s">
        <v>2393</v>
      </c>
      <c r="I934" s="2" t="s">
        <v>1449</v>
      </c>
      <c r="J934" s="3">
        <v>44614</v>
      </c>
      <c r="K934" s="2">
        <v>25</v>
      </c>
      <c r="L934" s="2" t="s">
        <v>39</v>
      </c>
      <c r="M934" s="3"/>
    </row>
    <row r="935" spans="1:13" x14ac:dyDescent="0.3">
      <c r="A935" s="2">
        <v>934</v>
      </c>
      <c r="B935" s="2" t="s">
        <v>3124</v>
      </c>
      <c r="C935" s="2" t="s">
        <v>3014</v>
      </c>
      <c r="D935" s="2" t="s">
        <v>28</v>
      </c>
      <c r="E935" s="2" t="s">
        <v>29</v>
      </c>
      <c r="F935" s="2">
        <v>30</v>
      </c>
      <c r="G935" s="2" t="s">
        <v>3125</v>
      </c>
      <c r="H935" s="2" t="s">
        <v>3126</v>
      </c>
      <c r="I935" s="2" t="s">
        <v>32</v>
      </c>
      <c r="J935" s="3">
        <v>44188</v>
      </c>
      <c r="K935" s="2">
        <v>10</v>
      </c>
      <c r="L935" s="2" t="s">
        <v>39</v>
      </c>
      <c r="M935" s="3"/>
    </row>
    <row r="936" spans="1:13" x14ac:dyDescent="0.3">
      <c r="A936" s="2">
        <v>935</v>
      </c>
      <c r="B936" s="2" t="s">
        <v>2142</v>
      </c>
      <c r="C936" s="2" t="s">
        <v>3127</v>
      </c>
      <c r="D936" s="2" t="s">
        <v>28</v>
      </c>
      <c r="E936" s="2" t="s">
        <v>29</v>
      </c>
      <c r="F936" s="2">
        <v>30</v>
      </c>
      <c r="G936" s="2" t="s">
        <v>3128</v>
      </c>
      <c r="H936" s="2" t="s">
        <v>1426</v>
      </c>
      <c r="I936" s="2" t="s">
        <v>32</v>
      </c>
      <c r="J936" s="3">
        <v>44356</v>
      </c>
      <c r="K936" s="2">
        <v>17</v>
      </c>
      <c r="L936" s="2" t="s">
        <v>70</v>
      </c>
      <c r="M936" s="3"/>
    </row>
    <row r="937" spans="1:13" x14ac:dyDescent="0.3">
      <c r="A937" s="2">
        <v>936</v>
      </c>
      <c r="B937" s="2" t="s">
        <v>3129</v>
      </c>
      <c r="C937" s="2" t="s">
        <v>3130</v>
      </c>
      <c r="D937" s="2" t="s">
        <v>51</v>
      </c>
      <c r="E937" s="2" t="s">
        <v>16</v>
      </c>
      <c r="F937" s="2">
        <v>30</v>
      </c>
      <c r="G937" s="2" t="s">
        <v>3131</v>
      </c>
      <c r="H937" s="2" t="s">
        <v>2348</v>
      </c>
      <c r="I937" s="2" t="s">
        <v>32</v>
      </c>
      <c r="J937" s="3">
        <v>44775</v>
      </c>
      <c r="K937" s="2">
        <v>74</v>
      </c>
      <c r="L937" s="2" t="s">
        <v>101</v>
      </c>
      <c r="M937" s="3"/>
    </row>
    <row r="938" spans="1:13" x14ac:dyDescent="0.3">
      <c r="A938" s="2">
        <v>937</v>
      </c>
      <c r="B938" s="2" t="s">
        <v>3132</v>
      </c>
      <c r="C938" s="2" t="s">
        <v>1817</v>
      </c>
      <c r="D938" s="2" t="s">
        <v>51</v>
      </c>
      <c r="E938" s="2" t="s">
        <v>16</v>
      </c>
      <c r="F938" s="2">
        <v>90</v>
      </c>
      <c r="G938" s="2" t="s">
        <v>3133</v>
      </c>
      <c r="H938" s="2" t="s">
        <v>3134</v>
      </c>
      <c r="I938" s="2" t="s">
        <v>294</v>
      </c>
      <c r="J938" s="3">
        <v>44199</v>
      </c>
      <c r="K938" s="2">
        <v>37</v>
      </c>
      <c r="L938" s="2" t="s">
        <v>54</v>
      </c>
      <c r="M938" s="3"/>
    </row>
    <row r="939" spans="1:13" x14ac:dyDescent="0.3">
      <c r="A939" s="2">
        <v>938</v>
      </c>
      <c r="B939" s="2" t="s">
        <v>1748</v>
      </c>
      <c r="C939" s="2" t="s">
        <v>1696</v>
      </c>
      <c r="D939" s="2" t="s">
        <v>28</v>
      </c>
      <c r="E939" s="2" t="s">
        <v>29</v>
      </c>
      <c r="F939" s="2">
        <v>90</v>
      </c>
      <c r="G939" s="2" t="s">
        <v>3135</v>
      </c>
      <c r="H939" s="2" t="s">
        <v>2655</v>
      </c>
      <c r="I939" s="2" t="s">
        <v>1083</v>
      </c>
      <c r="J939" s="3">
        <v>43873</v>
      </c>
      <c r="K939" s="2">
        <v>67</v>
      </c>
      <c r="L939" s="2" t="s">
        <v>70</v>
      </c>
      <c r="M939" s="3"/>
    </row>
    <row r="940" spans="1:13" x14ac:dyDescent="0.3">
      <c r="A940" s="2">
        <v>939</v>
      </c>
      <c r="B940" s="2" t="s">
        <v>3136</v>
      </c>
      <c r="C940" s="2" t="s">
        <v>3137</v>
      </c>
      <c r="D940" s="2" t="s">
        <v>15</v>
      </c>
      <c r="E940" s="2" t="s">
        <v>16</v>
      </c>
      <c r="F940" s="2">
        <v>60</v>
      </c>
      <c r="G940" s="2" t="s">
        <v>3138</v>
      </c>
      <c r="H940" s="2" t="s">
        <v>139</v>
      </c>
      <c r="I940" s="2" t="s">
        <v>2593</v>
      </c>
      <c r="J940" s="3">
        <v>44259</v>
      </c>
      <c r="K940" s="2">
        <v>9</v>
      </c>
      <c r="L940" s="2" t="s">
        <v>39</v>
      </c>
      <c r="M940" s="3"/>
    </row>
    <row r="941" spans="1:13" x14ac:dyDescent="0.3">
      <c r="A941" s="2">
        <v>940</v>
      </c>
      <c r="B941" s="2" t="s">
        <v>1312</v>
      </c>
      <c r="C941" s="2" t="s">
        <v>1989</v>
      </c>
      <c r="D941" s="2" t="s">
        <v>28</v>
      </c>
      <c r="E941" s="2" t="s">
        <v>29</v>
      </c>
      <c r="F941" s="2">
        <v>30</v>
      </c>
      <c r="G941" s="2" t="s">
        <v>3139</v>
      </c>
      <c r="H941" s="2" t="s">
        <v>2418</v>
      </c>
      <c r="I941" s="2" t="s">
        <v>32</v>
      </c>
      <c r="J941" s="3">
        <v>43984</v>
      </c>
      <c r="K941" s="2">
        <v>40</v>
      </c>
      <c r="L941" s="2" t="s">
        <v>101</v>
      </c>
      <c r="M941" s="3"/>
    </row>
    <row r="942" spans="1:13" x14ac:dyDescent="0.3">
      <c r="A942" s="2">
        <v>941</v>
      </c>
      <c r="B942" s="2" t="s">
        <v>3140</v>
      </c>
      <c r="C942" s="2" t="s">
        <v>3141</v>
      </c>
      <c r="D942" s="2" t="s">
        <v>28</v>
      </c>
      <c r="E942" s="2" t="s">
        <v>29</v>
      </c>
      <c r="F942" s="2">
        <v>30</v>
      </c>
      <c r="G942" s="2" t="s">
        <v>3142</v>
      </c>
      <c r="H942" s="2" t="s">
        <v>1848</v>
      </c>
      <c r="I942" s="2" t="s">
        <v>839</v>
      </c>
      <c r="J942" s="3">
        <v>44696</v>
      </c>
      <c r="K942" s="2">
        <v>44</v>
      </c>
      <c r="L942" s="2" t="s">
        <v>159</v>
      </c>
      <c r="M942" s="3"/>
    </row>
    <row r="943" spans="1:13" x14ac:dyDescent="0.3">
      <c r="A943" s="2">
        <v>942</v>
      </c>
      <c r="B943" s="2" t="s">
        <v>2153</v>
      </c>
      <c r="C943" s="2" t="s">
        <v>3143</v>
      </c>
      <c r="D943" s="2" t="s">
        <v>28</v>
      </c>
      <c r="E943" s="2" t="s">
        <v>29</v>
      </c>
      <c r="F943" s="2">
        <v>30</v>
      </c>
      <c r="G943" s="2" t="s">
        <v>3144</v>
      </c>
      <c r="H943" s="2" t="s">
        <v>2720</v>
      </c>
      <c r="I943" s="2" t="s">
        <v>32</v>
      </c>
      <c r="J943" s="3">
        <v>44458</v>
      </c>
      <c r="K943" s="2">
        <v>50</v>
      </c>
      <c r="L943" s="2" t="s">
        <v>159</v>
      </c>
      <c r="M943" s="3"/>
    </row>
    <row r="944" spans="1:13" x14ac:dyDescent="0.3">
      <c r="A944" s="2">
        <v>943</v>
      </c>
      <c r="B944" s="2" t="s">
        <v>3145</v>
      </c>
      <c r="C944" s="2" t="s">
        <v>3146</v>
      </c>
      <c r="D944" s="2" t="s">
        <v>15</v>
      </c>
      <c r="E944" s="2" t="s">
        <v>16</v>
      </c>
      <c r="F944" s="2">
        <v>90</v>
      </c>
      <c r="G944" s="2" t="s">
        <v>3147</v>
      </c>
      <c r="H944" s="2" t="s">
        <v>3148</v>
      </c>
      <c r="I944" s="2" t="s">
        <v>146</v>
      </c>
      <c r="J944" s="3">
        <v>43986</v>
      </c>
      <c r="K944" s="2">
        <v>19</v>
      </c>
      <c r="L944" s="2" t="s">
        <v>101</v>
      </c>
      <c r="M944" s="3"/>
    </row>
    <row r="945" spans="1:13" x14ac:dyDescent="0.3">
      <c r="A945" s="2">
        <v>944</v>
      </c>
      <c r="B945" s="2" t="s">
        <v>3149</v>
      </c>
      <c r="C945" s="2" t="s">
        <v>688</v>
      </c>
      <c r="D945" s="2" t="s">
        <v>28</v>
      </c>
      <c r="E945" s="2" t="s">
        <v>29</v>
      </c>
      <c r="F945" s="2">
        <v>90</v>
      </c>
      <c r="G945" s="2" t="s">
        <v>3150</v>
      </c>
      <c r="H945" s="2" t="s">
        <v>3151</v>
      </c>
      <c r="I945" s="2" t="s">
        <v>32</v>
      </c>
      <c r="J945" s="3">
        <v>44194</v>
      </c>
      <c r="K945" s="2">
        <v>26</v>
      </c>
      <c r="L945" s="2" t="s">
        <v>45</v>
      </c>
      <c r="M945" s="3"/>
    </row>
    <row r="946" spans="1:13" x14ac:dyDescent="0.3">
      <c r="A946" s="2">
        <v>945</v>
      </c>
      <c r="B946" s="2" t="s">
        <v>3152</v>
      </c>
      <c r="C946" s="2" t="s">
        <v>210</v>
      </c>
      <c r="D946" s="2" t="s">
        <v>51</v>
      </c>
      <c r="E946" s="2" t="s">
        <v>16</v>
      </c>
      <c r="F946" s="2">
        <v>60</v>
      </c>
      <c r="G946" s="2" t="s">
        <v>3153</v>
      </c>
      <c r="H946" s="2" t="s">
        <v>1391</v>
      </c>
      <c r="I946" s="2" t="s">
        <v>32</v>
      </c>
      <c r="J946" s="3">
        <v>44712</v>
      </c>
      <c r="K946" s="2">
        <v>13</v>
      </c>
      <c r="L946" s="2" t="s">
        <v>45</v>
      </c>
      <c r="M946" s="3"/>
    </row>
    <row r="947" spans="1:13" x14ac:dyDescent="0.3">
      <c r="A947" s="2">
        <v>946</v>
      </c>
      <c r="B947" s="2" t="s">
        <v>3154</v>
      </c>
      <c r="C947" s="2" t="s">
        <v>3155</v>
      </c>
      <c r="D947" s="2" t="s">
        <v>15</v>
      </c>
      <c r="E947" s="2" t="s">
        <v>16</v>
      </c>
      <c r="F947" s="2">
        <v>90</v>
      </c>
      <c r="G947" s="2" t="s">
        <v>3156</v>
      </c>
      <c r="H947" s="2" t="s">
        <v>3157</v>
      </c>
      <c r="I947" s="2" t="s">
        <v>32</v>
      </c>
      <c r="J947" s="3">
        <v>44174</v>
      </c>
      <c r="K947" s="2">
        <v>33</v>
      </c>
      <c r="L947" s="2" t="s">
        <v>39</v>
      </c>
      <c r="M947" s="3"/>
    </row>
    <row r="948" spans="1:13" x14ac:dyDescent="0.3">
      <c r="A948" s="2">
        <v>947</v>
      </c>
      <c r="B948" s="2" t="s">
        <v>3158</v>
      </c>
      <c r="C948" s="2" t="s">
        <v>3159</v>
      </c>
      <c r="D948" s="2" t="s">
        <v>28</v>
      </c>
      <c r="E948" s="2" t="s">
        <v>29</v>
      </c>
      <c r="F948" s="2">
        <v>90</v>
      </c>
      <c r="G948" s="2" t="s">
        <v>3160</v>
      </c>
      <c r="H948" s="2" t="s">
        <v>3161</v>
      </c>
      <c r="I948" s="2" t="s">
        <v>32</v>
      </c>
      <c r="J948" s="3">
        <v>44412</v>
      </c>
      <c r="K948" s="2">
        <v>92</v>
      </c>
      <c r="L948" s="2" t="s">
        <v>45</v>
      </c>
      <c r="M948" s="3"/>
    </row>
    <row r="949" spans="1:13" x14ac:dyDescent="0.3">
      <c r="A949" s="2">
        <v>948</v>
      </c>
      <c r="B949" s="2" t="s">
        <v>1897</v>
      </c>
      <c r="C949" s="2" t="s">
        <v>3162</v>
      </c>
      <c r="D949" s="2" t="s">
        <v>15</v>
      </c>
      <c r="E949" s="2" t="s">
        <v>16</v>
      </c>
      <c r="F949" s="2">
        <v>90</v>
      </c>
      <c r="G949" s="2" t="s">
        <v>3163</v>
      </c>
      <c r="H949" s="2" t="s">
        <v>1001</v>
      </c>
      <c r="I949" s="2" t="s">
        <v>32</v>
      </c>
      <c r="J949" s="3">
        <v>44115</v>
      </c>
      <c r="K949" s="2">
        <v>75</v>
      </c>
      <c r="L949" s="2" t="s">
        <v>39</v>
      </c>
      <c r="M949" s="3"/>
    </row>
    <row r="950" spans="1:13" x14ac:dyDescent="0.3">
      <c r="A950" s="2">
        <v>949</v>
      </c>
      <c r="B950" s="2" t="s">
        <v>1296</v>
      </c>
      <c r="C950" s="2" t="s">
        <v>3164</v>
      </c>
      <c r="D950" s="2" t="s">
        <v>15</v>
      </c>
      <c r="E950" s="2" t="s">
        <v>16</v>
      </c>
      <c r="F950" s="2">
        <v>60</v>
      </c>
      <c r="G950" s="2" t="s">
        <v>3163</v>
      </c>
      <c r="H950" s="2" t="s">
        <v>3165</v>
      </c>
      <c r="I950" s="2" t="s">
        <v>32</v>
      </c>
      <c r="J950" s="3">
        <v>44214</v>
      </c>
      <c r="K950" s="2">
        <v>75</v>
      </c>
      <c r="L950" s="2" t="s">
        <v>159</v>
      </c>
      <c r="M950" s="3"/>
    </row>
    <row r="951" spans="1:13" x14ac:dyDescent="0.3">
      <c r="A951" s="2">
        <v>950</v>
      </c>
      <c r="B951" s="2" t="s">
        <v>3166</v>
      </c>
      <c r="C951" s="2" t="s">
        <v>3167</v>
      </c>
      <c r="D951" s="2" t="s">
        <v>28</v>
      </c>
      <c r="E951" s="2" t="s">
        <v>29</v>
      </c>
      <c r="F951" s="2">
        <v>90</v>
      </c>
      <c r="G951" s="2" t="s">
        <v>3168</v>
      </c>
      <c r="H951" s="2" t="s">
        <v>3169</v>
      </c>
      <c r="I951" s="2" t="s">
        <v>110</v>
      </c>
      <c r="J951" s="3">
        <v>44708</v>
      </c>
      <c r="K951" s="2">
        <v>2</v>
      </c>
      <c r="L951" s="2" t="s">
        <v>64</v>
      </c>
      <c r="M951" s="3"/>
    </row>
    <row r="952" spans="1:13" x14ac:dyDescent="0.3">
      <c r="A952" s="2">
        <v>951</v>
      </c>
      <c r="B952" s="2" t="s">
        <v>3170</v>
      </c>
      <c r="C952" s="2" t="s">
        <v>3171</v>
      </c>
      <c r="D952" s="2" t="s">
        <v>28</v>
      </c>
      <c r="E952" s="2" t="s">
        <v>29</v>
      </c>
      <c r="F952" s="2">
        <v>60</v>
      </c>
      <c r="G952" s="2" t="s">
        <v>3172</v>
      </c>
      <c r="H952" s="2" t="s">
        <v>860</v>
      </c>
      <c r="I952" s="2" t="s">
        <v>861</v>
      </c>
      <c r="J952" s="3">
        <v>44499</v>
      </c>
      <c r="K952" s="2">
        <v>30</v>
      </c>
      <c r="L952" s="2" t="s">
        <v>64</v>
      </c>
      <c r="M952" s="3"/>
    </row>
    <row r="953" spans="1:13" x14ac:dyDescent="0.3">
      <c r="A953" s="2">
        <v>952</v>
      </c>
      <c r="B953" s="2" t="s">
        <v>1671</v>
      </c>
      <c r="C953" s="2" t="s">
        <v>3173</v>
      </c>
      <c r="D953" s="2" t="s">
        <v>28</v>
      </c>
      <c r="E953" s="2" t="s">
        <v>3085</v>
      </c>
      <c r="F953" s="2">
        <v>90</v>
      </c>
      <c r="G953" s="2" t="s">
        <v>3172</v>
      </c>
      <c r="H953" s="2" t="s">
        <v>1632</v>
      </c>
      <c r="I953" s="2" t="s">
        <v>32</v>
      </c>
      <c r="J953" s="3">
        <v>44346</v>
      </c>
      <c r="K953" s="2">
        <v>71</v>
      </c>
      <c r="L953" s="2" t="s">
        <v>64</v>
      </c>
      <c r="M953" s="3"/>
    </row>
    <row r="954" spans="1:13" x14ac:dyDescent="0.3">
      <c r="A954" s="2">
        <v>953</v>
      </c>
      <c r="B954" s="2" t="s">
        <v>857</v>
      </c>
      <c r="C954" s="2" t="s">
        <v>86</v>
      </c>
      <c r="D954" s="2" t="s">
        <v>15</v>
      </c>
      <c r="E954" s="2" t="s">
        <v>16</v>
      </c>
      <c r="F954" s="2">
        <v>60</v>
      </c>
      <c r="G954" s="2" t="s">
        <v>3174</v>
      </c>
      <c r="H954" s="2" t="s">
        <v>3175</v>
      </c>
      <c r="I954" s="2" t="s">
        <v>1233</v>
      </c>
      <c r="J954" s="3">
        <v>44737</v>
      </c>
      <c r="K954" s="2">
        <v>94</v>
      </c>
      <c r="L954" s="2" t="s">
        <v>70</v>
      </c>
      <c r="M954" s="3"/>
    </row>
    <row r="955" spans="1:13" x14ac:dyDescent="0.3">
      <c r="A955" s="2">
        <v>954</v>
      </c>
      <c r="B955" s="2" t="s">
        <v>3176</v>
      </c>
      <c r="C955" s="2" t="s">
        <v>3177</v>
      </c>
      <c r="D955" s="2" t="s">
        <v>28</v>
      </c>
      <c r="E955" s="2" t="s">
        <v>29</v>
      </c>
      <c r="F955" s="2">
        <v>60</v>
      </c>
      <c r="G955" s="2" t="s">
        <v>3178</v>
      </c>
      <c r="H955" s="2" t="s">
        <v>3179</v>
      </c>
      <c r="I955" s="2" t="s">
        <v>187</v>
      </c>
      <c r="J955" s="3">
        <v>43876</v>
      </c>
      <c r="K955" s="2">
        <v>69</v>
      </c>
      <c r="L955" s="2" t="s">
        <v>54</v>
      </c>
      <c r="M955" s="3"/>
    </row>
    <row r="956" spans="1:13" x14ac:dyDescent="0.3">
      <c r="A956" s="2">
        <v>955</v>
      </c>
      <c r="B956" s="2" t="s">
        <v>3180</v>
      </c>
      <c r="C956" s="2" t="s">
        <v>3181</v>
      </c>
      <c r="D956" s="2" t="s">
        <v>28</v>
      </c>
      <c r="E956" s="2" t="s">
        <v>29</v>
      </c>
      <c r="F956" s="2">
        <v>90</v>
      </c>
      <c r="G956" s="2" t="s">
        <v>3182</v>
      </c>
      <c r="H956" s="2" t="s">
        <v>3183</v>
      </c>
      <c r="I956" s="2" t="s">
        <v>32</v>
      </c>
      <c r="J956" s="3">
        <v>43932</v>
      </c>
      <c r="K956" s="2">
        <v>8</v>
      </c>
      <c r="L956" s="2" t="s">
        <v>101</v>
      </c>
      <c r="M956" s="3"/>
    </row>
    <row r="957" spans="1:13" x14ac:dyDescent="0.3">
      <c r="A957" s="2">
        <v>956</v>
      </c>
      <c r="B957" s="2" t="s">
        <v>165</v>
      </c>
      <c r="C957" s="2" t="s">
        <v>1338</v>
      </c>
      <c r="D957" s="2" t="s">
        <v>51</v>
      </c>
      <c r="E957" s="2" t="s">
        <v>16</v>
      </c>
      <c r="F957" s="2">
        <v>90</v>
      </c>
      <c r="G957" s="2" t="s">
        <v>3184</v>
      </c>
      <c r="H957" s="2" t="s">
        <v>412</v>
      </c>
      <c r="I957" s="2" t="s">
        <v>187</v>
      </c>
      <c r="J957" s="3">
        <v>44357</v>
      </c>
      <c r="K957" s="2">
        <v>33</v>
      </c>
      <c r="L957" s="2" t="s">
        <v>45</v>
      </c>
      <c r="M957" s="3"/>
    </row>
    <row r="958" spans="1:13" x14ac:dyDescent="0.3">
      <c r="A958" s="2">
        <v>957</v>
      </c>
      <c r="B958" s="2" t="s">
        <v>3185</v>
      </c>
      <c r="C958" s="2" t="s">
        <v>3186</v>
      </c>
      <c r="D958" s="2" t="s">
        <v>51</v>
      </c>
      <c r="E958" s="2" t="s">
        <v>16</v>
      </c>
      <c r="F958" s="2">
        <v>90</v>
      </c>
      <c r="G958" s="2" t="s">
        <v>3187</v>
      </c>
      <c r="H958" s="2" t="s">
        <v>1632</v>
      </c>
      <c r="I958" s="2" t="s">
        <v>32</v>
      </c>
      <c r="J958" s="3">
        <v>44749</v>
      </c>
      <c r="K958" s="2">
        <v>44</v>
      </c>
      <c r="L958" s="2" t="s">
        <v>45</v>
      </c>
      <c r="M958" s="3"/>
    </row>
    <row r="959" spans="1:13" x14ac:dyDescent="0.3">
      <c r="A959" s="2">
        <v>958</v>
      </c>
      <c r="B959" s="2" t="s">
        <v>3188</v>
      </c>
      <c r="C959" s="2" t="s">
        <v>3189</v>
      </c>
      <c r="D959" s="2" t="s">
        <v>15</v>
      </c>
      <c r="E959" s="2" t="s">
        <v>16</v>
      </c>
      <c r="F959" s="2">
        <v>30</v>
      </c>
      <c r="G959" s="2" t="s">
        <v>3190</v>
      </c>
      <c r="H959" s="2" t="s">
        <v>1741</v>
      </c>
      <c r="I959" s="2" t="s">
        <v>173</v>
      </c>
      <c r="J959" s="3">
        <v>44910</v>
      </c>
      <c r="K959" s="2">
        <v>2</v>
      </c>
      <c r="L959" s="2" t="s">
        <v>39</v>
      </c>
      <c r="M959" s="3"/>
    </row>
    <row r="960" spans="1:13" x14ac:dyDescent="0.3">
      <c r="A960" s="2">
        <v>959</v>
      </c>
      <c r="B960" s="2" t="s">
        <v>3191</v>
      </c>
      <c r="C960" s="2" t="s">
        <v>3192</v>
      </c>
      <c r="D960" s="2" t="s">
        <v>41</v>
      </c>
      <c r="E960" s="2" t="s">
        <v>16</v>
      </c>
      <c r="F960" s="2">
        <v>30</v>
      </c>
      <c r="G960" s="2" t="s">
        <v>3193</v>
      </c>
      <c r="H960" s="2" t="s">
        <v>3194</v>
      </c>
      <c r="I960" s="2" t="s">
        <v>819</v>
      </c>
      <c r="J960" s="3">
        <v>44417</v>
      </c>
      <c r="K960" s="2">
        <v>10</v>
      </c>
      <c r="L960" s="2" t="s">
        <v>45</v>
      </c>
      <c r="M960" s="3"/>
    </row>
    <row r="961" spans="1:13" x14ac:dyDescent="0.3">
      <c r="A961" s="2">
        <v>960</v>
      </c>
      <c r="B961" s="2" t="s">
        <v>3195</v>
      </c>
      <c r="C961" s="2" t="s">
        <v>1461</v>
      </c>
      <c r="D961" s="2" t="s">
        <v>15</v>
      </c>
      <c r="E961" s="2" t="s">
        <v>16</v>
      </c>
      <c r="F961" s="2">
        <v>30</v>
      </c>
      <c r="G961" s="2" t="s">
        <v>3196</v>
      </c>
      <c r="H961" s="2" t="s">
        <v>3197</v>
      </c>
      <c r="I961" s="2" t="s">
        <v>32</v>
      </c>
      <c r="J961" s="3">
        <v>43950</v>
      </c>
      <c r="K961" s="2">
        <v>34</v>
      </c>
      <c r="L961" s="2" t="s">
        <v>70</v>
      </c>
      <c r="M961" s="3"/>
    </row>
    <row r="962" spans="1:13" x14ac:dyDescent="0.3">
      <c r="A962" s="2">
        <v>961</v>
      </c>
      <c r="B962" s="2" t="s">
        <v>3198</v>
      </c>
      <c r="C962" s="2" t="s">
        <v>1923</v>
      </c>
      <c r="D962" s="2" t="s">
        <v>15</v>
      </c>
      <c r="E962" s="2" t="s">
        <v>16</v>
      </c>
      <c r="F962" s="2">
        <v>60</v>
      </c>
      <c r="G962" s="2" t="s">
        <v>3199</v>
      </c>
      <c r="H962" s="2" t="s">
        <v>3200</v>
      </c>
      <c r="I962" s="2" t="s">
        <v>32</v>
      </c>
      <c r="J962" s="3">
        <v>44385</v>
      </c>
      <c r="K962" s="2">
        <v>34</v>
      </c>
      <c r="L962" s="2" t="s">
        <v>33</v>
      </c>
      <c r="M962" s="3"/>
    </row>
    <row r="963" spans="1:13" x14ac:dyDescent="0.3">
      <c r="A963" s="2">
        <v>962</v>
      </c>
      <c r="B963" s="2" t="s">
        <v>1058</v>
      </c>
      <c r="C963" s="2" t="s">
        <v>3201</v>
      </c>
      <c r="D963" s="2" t="s">
        <v>28</v>
      </c>
      <c r="E963" s="2" t="s">
        <v>29</v>
      </c>
      <c r="F963" s="2">
        <v>90</v>
      </c>
      <c r="G963" s="2" t="s">
        <v>3202</v>
      </c>
      <c r="H963" s="2" t="s">
        <v>3203</v>
      </c>
      <c r="I963" s="2" t="s">
        <v>32</v>
      </c>
      <c r="J963" s="3">
        <v>44620</v>
      </c>
      <c r="K963" s="2">
        <v>75</v>
      </c>
      <c r="L963" s="2" t="s">
        <v>159</v>
      </c>
      <c r="M963" s="3"/>
    </row>
    <row r="964" spans="1:13" x14ac:dyDescent="0.3">
      <c r="A964" s="2">
        <v>963</v>
      </c>
      <c r="B964" s="2" t="s">
        <v>3204</v>
      </c>
      <c r="C964" s="2" t="s">
        <v>2064</v>
      </c>
      <c r="D964" s="2" t="s">
        <v>28</v>
      </c>
      <c r="E964" s="2" t="s">
        <v>29</v>
      </c>
      <c r="F964" s="2">
        <v>90</v>
      </c>
      <c r="G964" s="2" t="s">
        <v>3205</v>
      </c>
      <c r="H964" s="2" t="s">
        <v>3206</v>
      </c>
      <c r="I964" s="2" t="s">
        <v>1199</v>
      </c>
      <c r="J964" s="3">
        <v>44775</v>
      </c>
      <c r="K964" s="2">
        <v>73</v>
      </c>
      <c r="L964" s="2" t="s">
        <v>70</v>
      </c>
      <c r="M964" s="3"/>
    </row>
    <row r="965" spans="1:13" x14ac:dyDescent="0.3">
      <c r="A965" s="2">
        <v>964</v>
      </c>
      <c r="B965" s="2" t="s">
        <v>1909</v>
      </c>
      <c r="C965" s="2" t="s">
        <v>2866</v>
      </c>
      <c r="D965" s="2" t="s">
        <v>28</v>
      </c>
      <c r="E965" s="2" t="s">
        <v>29</v>
      </c>
      <c r="F965" s="2">
        <v>90</v>
      </c>
      <c r="G965" s="2" t="s">
        <v>3207</v>
      </c>
      <c r="H965" s="2" t="s">
        <v>3208</v>
      </c>
      <c r="I965" s="2" t="s">
        <v>32</v>
      </c>
      <c r="J965" s="3">
        <v>44907</v>
      </c>
      <c r="K965" s="2">
        <v>95</v>
      </c>
      <c r="L965" s="2" t="s">
        <v>20</v>
      </c>
      <c r="M965" s="3"/>
    </row>
    <row r="966" spans="1:13" x14ac:dyDescent="0.3">
      <c r="A966" s="2">
        <v>965</v>
      </c>
      <c r="B966" s="2" t="s">
        <v>3209</v>
      </c>
      <c r="C966" s="2" t="s">
        <v>3210</v>
      </c>
      <c r="D966" s="2" t="s">
        <v>15</v>
      </c>
      <c r="E966" s="2" t="s">
        <v>16</v>
      </c>
      <c r="F966" s="2">
        <v>60</v>
      </c>
      <c r="G966" s="2" t="s">
        <v>3211</v>
      </c>
      <c r="H966" s="2" t="s">
        <v>3212</v>
      </c>
      <c r="I966" s="2" t="s">
        <v>25</v>
      </c>
      <c r="J966" s="3">
        <v>44071</v>
      </c>
      <c r="K966" s="2">
        <v>82</v>
      </c>
      <c r="L966" s="2" t="s">
        <v>80</v>
      </c>
      <c r="M966" s="3"/>
    </row>
    <row r="967" spans="1:13" x14ac:dyDescent="0.3">
      <c r="A967" s="2">
        <v>966</v>
      </c>
      <c r="B967" s="2" t="s">
        <v>3213</v>
      </c>
      <c r="C967" s="2" t="s">
        <v>2496</v>
      </c>
      <c r="D967" s="2" t="s">
        <v>15</v>
      </c>
      <c r="E967" s="2" t="s">
        <v>16</v>
      </c>
      <c r="F967" s="2">
        <v>60</v>
      </c>
      <c r="G967" s="2" t="s">
        <v>3214</v>
      </c>
      <c r="H967" s="2" t="s">
        <v>3215</v>
      </c>
      <c r="I967" s="2" t="s">
        <v>32</v>
      </c>
      <c r="J967" s="3">
        <v>44580</v>
      </c>
      <c r="K967" s="2">
        <v>73</v>
      </c>
      <c r="L967" s="2" t="s">
        <v>39</v>
      </c>
      <c r="M967" s="3"/>
    </row>
    <row r="968" spans="1:13" x14ac:dyDescent="0.3">
      <c r="A968" s="2">
        <v>967</v>
      </c>
      <c r="B968" s="2" t="s">
        <v>3216</v>
      </c>
      <c r="C968" s="2" t="s">
        <v>3217</v>
      </c>
      <c r="D968" s="2" t="s">
        <v>28</v>
      </c>
      <c r="E968" s="2" t="s">
        <v>29</v>
      </c>
      <c r="F968" s="2">
        <v>90</v>
      </c>
      <c r="G968" s="2" t="s">
        <v>3218</v>
      </c>
      <c r="H968" s="2" t="s">
        <v>3219</v>
      </c>
      <c r="I968" s="2" t="s">
        <v>3220</v>
      </c>
      <c r="J968" s="3">
        <v>44000</v>
      </c>
      <c r="K968" s="2">
        <v>33</v>
      </c>
      <c r="L968" s="2" t="s">
        <v>39</v>
      </c>
      <c r="M968" s="3"/>
    </row>
    <row r="969" spans="1:13" x14ac:dyDescent="0.3">
      <c r="A969" s="2">
        <v>968</v>
      </c>
      <c r="B969" s="2" t="s">
        <v>3221</v>
      </c>
      <c r="C969" s="2" t="s">
        <v>3222</v>
      </c>
      <c r="D969" s="2" t="s">
        <v>15</v>
      </c>
      <c r="E969" s="2" t="s">
        <v>16</v>
      </c>
      <c r="F969" s="2">
        <v>90</v>
      </c>
      <c r="G969" s="2" t="s">
        <v>3223</v>
      </c>
      <c r="H969" s="2" t="s">
        <v>3224</v>
      </c>
      <c r="I969" s="2" t="s">
        <v>2022</v>
      </c>
      <c r="J969" s="3">
        <v>44825</v>
      </c>
      <c r="K969" s="2">
        <v>99</v>
      </c>
      <c r="L969" s="2" t="s">
        <v>39</v>
      </c>
      <c r="M969" s="3"/>
    </row>
    <row r="970" spans="1:13" x14ac:dyDescent="0.3">
      <c r="A970" s="2">
        <v>969</v>
      </c>
      <c r="B970" s="2" t="s">
        <v>3221</v>
      </c>
      <c r="C970" s="2" t="s">
        <v>3222</v>
      </c>
      <c r="D970" s="2" t="s">
        <v>15</v>
      </c>
      <c r="E970" s="2" t="s">
        <v>16</v>
      </c>
      <c r="F970" s="2">
        <v>90</v>
      </c>
      <c r="G970" s="2" t="s">
        <v>3223</v>
      </c>
      <c r="H970" s="2" t="s">
        <v>3224</v>
      </c>
      <c r="I970" s="2" t="s">
        <v>2022</v>
      </c>
      <c r="J970" s="3">
        <v>44825</v>
      </c>
      <c r="K970" s="2">
        <v>99</v>
      </c>
      <c r="L970" s="2" t="s">
        <v>39</v>
      </c>
      <c r="M970" s="3"/>
    </row>
    <row r="971" spans="1:13" x14ac:dyDescent="0.3">
      <c r="A971" s="2">
        <v>970</v>
      </c>
      <c r="B971" s="2" t="s">
        <v>3225</v>
      </c>
      <c r="C971" s="2" t="s">
        <v>3226</v>
      </c>
      <c r="D971" s="2" t="s">
        <v>15</v>
      </c>
      <c r="E971" s="2" t="s">
        <v>16</v>
      </c>
      <c r="F971" s="2">
        <v>90</v>
      </c>
      <c r="G971" s="2" t="s">
        <v>3227</v>
      </c>
      <c r="H971" s="2" t="s">
        <v>3228</v>
      </c>
      <c r="I971" s="2" t="s">
        <v>294</v>
      </c>
      <c r="J971" s="3">
        <v>44821</v>
      </c>
      <c r="K971" s="2">
        <v>94</v>
      </c>
      <c r="L971" s="2" t="s">
        <v>45</v>
      </c>
      <c r="M971" s="3"/>
    </row>
    <row r="972" spans="1:13" x14ac:dyDescent="0.3">
      <c r="A972" s="2">
        <v>971</v>
      </c>
      <c r="B972" s="2" t="s">
        <v>1140</v>
      </c>
      <c r="C972" s="2" t="s">
        <v>1219</v>
      </c>
      <c r="D972" s="2" t="s">
        <v>28</v>
      </c>
      <c r="E972" s="2" t="s">
        <v>29</v>
      </c>
      <c r="F972" s="2">
        <v>90</v>
      </c>
      <c r="G972" s="2" t="s">
        <v>3229</v>
      </c>
      <c r="H972" s="2" t="s">
        <v>510</v>
      </c>
      <c r="I972" s="2" t="s">
        <v>32</v>
      </c>
      <c r="J972" s="3">
        <v>43904</v>
      </c>
      <c r="K972" s="2">
        <v>4</v>
      </c>
      <c r="L972" s="2" t="s">
        <v>64</v>
      </c>
      <c r="M972" s="3"/>
    </row>
    <row r="973" spans="1:13" x14ac:dyDescent="0.3">
      <c r="A973" s="2">
        <v>972</v>
      </c>
      <c r="B973" s="2" t="s">
        <v>3230</v>
      </c>
      <c r="C973" s="2" t="s">
        <v>2355</v>
      </c>
      <c r="D973" s="2" t="s">
        <v>41</v>
      </c>
      <c r="E973" s="2" t="s">
        <v>16</v>
      </c>
      <c r="F973" s="2">
        <v>90</v>
      </c>
      <c r="G973" s="2" t="s">
        <v>3231</v>
      </c>
      <c r="H973" s="2" t="s">
        <v>1430</v>
      </c>
      <c r="I973" s="2" t="s">
        <v>32</v>
      </c>
      <c r="J973" s="3">
        <v>44706</v>
      </c>
      <c r="K973" s="2">
        <v>85</v>
      </c>
      <c r="L973" s="2" t="s">
        <v>39</v>
      </c>
      <c r="M973" s="3"/>
    </row>
    <row r="974" spans="1:13" x14ac:dyDescent="0.3">
      <c r="A974" s="2">
        <v>973</v>
      </c>
      <c r="B974" s="2" t="s">
        <v>3232</v>
      </c>
      <c r="C974" s="2" t="s">
        <v>1013</v>
      </c>
      <c r="D974" s="2" t="s">
        <v>28</v>
      </c>
      <c r="E974" s="2" t="s">
        <v>29</v>
      </c>
      <c r="F974" s="2">
        <v>60</v>
      </c>
      <c r="G974" s="2" t="s">
        <v>3233</v>
      </c>
      <c r="H974" s="2" t="s">
        <v>3234</v>
      </c>
      <c r="I974" s="2" t="s">
        <v>25</v>
      </c>
      <c r="J974" s="3">
        <v>44724</v>
      </c>
      <c r="K974" s="2">
        <v>26</v>
      </c>
      <c r="L974" s="2" t="s">
        <v>64</v>
      </c>
      <c r="M974" s="3"/>
    </row>
    <row r="975" spans="1:13" x14ac:dyDescent="0.3">
      <c r="A975" s="2">
        <v>974</v>
      </c>
      <c r="B975" s="2" t="s">
        <v>3235</v>
      </c>
      <c r="C975" s="2" t="s">
        <v>2815</v>
      </c>
      <c r="D975" s="2" t="s">
        <v>15</v>
      </c>
      <c r="E975" s="2" t="s">
        <v>16</v>
      </c>
      <c r="F975" s="2">
        <v>60</v>
      </c>
      <c r="G975" s="2" t="s">
        <v>3233</v>
      </c>
      <c r="H975" s="2" t="s">
        <v>3236</v>
      </c>
      <c r="I975" s="2" t="s">
        <v>32</v>
      </c>
      <c r="J975" s="3">
        <v>44074</v>
      </c>
      <c r="K975" s="2">
        <v>82</v>
      </c>
      <c r="L975" s="2" t="s">
        <v>80</v>
      </c>
      <c r="M975" s="3"/>
    </row>
    <row r="976" spans="1:13" x14ac:dyDescent="0.3">
      <c r="A976" s="2">
        <v>975</v>
      </c>
      <c r="B976" s="2" t="s">
        <v>1445</v>
      </c>
      <c r="C976" s="2" t="s">
        <v>2575</v>
      </c>
      <c r="D976" s="2" t="s">
        <v>28</v>
      </c>
      <c r="E976" s="2" t="s">
        <v>29</v>
      </c>
      <c r="F976" s="2">
        <v>90</v>
      </c>
      <c r="G976" s="2" t="s">
        <v>3237</v>
      </c>
      <c r="H976" s="2" t="s">
        <v>3238</v>
      </c>
      <c r="I976" s="2" t="s">
        <v>173</v>
      </c>
      <c r="J976" s="3">
        <v>44826</v>
      </c>
      <c r="K976" s="2">
        <v>95</v>
      </c>
      <c r="L976" s="2" t="s">
        <v>64</v>
      </c>
      <c r="M976" s="3"/>
    </row>
    <row r="977" spans="1:13" x14ac:dyDescent="0.3">
      <c r="A977" s="2">
        <v>976</v>
      </c>
      <c r="B977" s="2" t="s">
        <v>964</v>
      </c>
      <c r="C977" s="2" t="s">
        <v>438</v>
      </c>
      <c r="D977" s="2" t="s">
        <v>28</v>
      </c>
      <c r="E977" s="2" t="s">
        <v>29</v>
      </c>
      <c r="F977" s="2">
        <v>30</v>
      </c>
      <c r="G977" s="2" t="s">
        <v>3239</v>
      </c>
      <c r="H977" s="2" t="s">
        <v>3240</v>
      </c>
      <c r="I977" s="2" t="s">
        <v>187</v>
      </c>
      <c r="J977" s="3">
        <v>44210</v>
      </c>
      <c r="K977" s="2">
        <v>23</v>
      </c>
      <c r="L977" s="2" t="s">
        <v>70</v>
      </c>
      <c r="M977" s="3"/>
    </row>
    <row r="978" spans="1:13" x14ac:dyDescent="0.3">
      <c r="A978" s="2">
        <v>977</v>
      </c>
      <c r="B978" s="2" t="s">
        <v>209</v>
      </c>
      <c r="C978" s="2" t="s">
        <v>605</v>
      </c>
      <c r="D978" s="2" t="s">
        <v>28</v>
      </c>
      <c r="E978" s="2" t="s">
        <v>29</v>
      </c>
      <c r="F978" s="2">
        <v>60</v>
      </c>
      <c r="G978" s="2" t="s">
        <v>3241</v>
      </c>
      <c r="H978" s="2" t="s">
        <v>3242</v>
      </c>
      <c r="I978" s="2" t="s">
        <v>32</v>
      </c>
      <c r="J978" s="3">
        <v>44371</v>
      </c>
      <c r="K978" s="2">
        <v>32</v>
      </c>
      <c r="L978" s="2" t="s">
        <v>45</v>
      </c>
      <c r="M978" s="3"/>
    </row>
    <row r="979" spans="1:13" x14ac:dyDescent="0.3">
      <c r="A979" s="2">
        <v>978</v>
      </c>
      <c r="B979" s="2" t="s">
        <v>3243</v>
      </c>
      <c r="C979" s="2" t="s">
        <v>1685</v>
      </c>
      <c r="D979" s="2" t="s">
        <v>28</v>
      </c>
      <c r="E979" s="2" t="s">
        <v>29</v>
      </c>
      <c r="F979" s="2">
        <v>60</v>
      </c>
      <c r="G979" s="2" t="s">
        <v>3244</v>
      </c>
      <c r="H979" s="2" t="s">
        <v>3245</v>
      </c>
      <c r="I979" s="2" t="s">
        <v>32</v>
      </c>
      <c r="J979" s="3">
        <v>44501</v>
      </c>
      <c r="K979" s="2">
        <v>82</v>
      </c>
      <c r="L979" s="2" t="s">
        <v>39</v>
      </c>
      <c r="M979" s="3"/>
    </row>
    <row r="980" spans="1:13" x14ac:dyDescent="0.3">
      <c r="A980" s="2">
        <v>979</v>
      </c>
      <c r="B980" s="2" t="s">
        <v>3246</v>
      </c>
      <c r="C980" s="2" t="s">
        <v>1994</v>
      </c>
      <c r="D980" s="2" t="s">
        <v>28</v>
      </c>
      <c r="E980" s="2" t="s">
        <v>29</v>
      </c>
      <c r="F980" s="2">
        <v>30</v>
      </c>
      <c r="G980" s="2" t="s">
        <v>3247</v>
      </c>
      <c r="H980" s="2" t="s">
        <v>3248</v>
      </c>
      <c r="I980" s="2" t="s">
        <v>38</v>
      </c>
      <c r="J980" s="3">
        <v>44556</v>
      </c>
      <c r="K980" s="2">
        <v>67</v>
      </c>
      <c r="L980" s="2" t="s">
        <v>64</v>
      </c>
      <c r="M980" s="3"/>
    </row>
    <row r="981" spans="1:13" x14ac:dyDescent="0.3">
      <c r="A981" s="2">
        <v>980</v>
      </c>
      <c r="B981" s="2" t="s">
        <v>267</v>
      </c>
      <c r="C981" s="2" t="s">
        <v>1721</v>
      </c>
      <c r="D981" s="2" t="s">
        <v>28</v>
      </c>
      <c r="E981" s="2" t="s">
        <v>29</v>
      </c>
      <c r="F981" s="2">
        <v>90</v>
      </c>
      <c r="G981" s="2" t="s">
        <v>3249</v>
      </c>
      <c r="H981" s="2" t="s">
        <v>3250</v>
      </c>
      <c r="I981" s="2" t="s">
        <v>32</v>
      </c>
      <c r="J981" s="3">
        <v>44057</v>
      </c>
      <c r="K981" s="2">
        <v>38</v>
      </c>
      <c r="L981" s="2" t="s">
        <v>54</v>
      </c>
      <c r="M981" s="3"/>
    </row>
    <row r="982" spans="1:13" x14ac:dyDescent="0.3">
      <c r="A982" s="2">
        <v>981</v>
      </c>
      <c r="B982" s="2" t="s">
        <v>375</v>
      </c>
      <c r="C982" s="2" t="s">
        <v>3251</v>
      </c>
      <c r="D982" s="2" t="s">
        <v>28</v>
      </c>
      <c r="E982" s="2" t="s">
        <v>29</v>
      </c>
      <c r="F982" s="2">
        <v>90</v>
      </c>
      <c r="G982" s="2" t="s">
        <v>3252</v>
      </c>
      <c r="H982" s="2" t="s">
        <v>1751</v>
      </c>
      <c r="I982" s="2" t="s">
        <v>32</v>
      </c>
      <c r="J982" s="3">
        <v>44502</v>
      </c>
      <c r="K982" s="2">
        <v>77</v>
      </c>
      <c r="L982" s="2" t="s">
        <v>45</v>
      </c>
      <c r="M982" s="3"/>
    </row>
    <row r="983" spans="1:13" x14ac:dyDescent="0.3">
      <c r="A983" s="2">
        <v>982</v>
      </c>
      <c r="B983" s="2" t="s">
        <v>2984</v>
      </c>
      <c r="C983" s="2" t="s">
        <v>3253</v>
      </c>
      <c r="D983" s="2" t="s">
        <v>28</v>
      </c>
      <c r="E983" s="2" t="s">
        <v>29</v>
      </c>
      <c r="F983" s="2">
        <v>60</v>
      </c>
      <c r="G983" s="2" t="s">
        <v>3254</v>
      </c>
      <c r="H983" s="2" t="s">
        <v>2230</v>
      </c>
      <c r="I983" s="2" t="s">
        <v>32</v>
      </c>
      <c r="J983" s="3">
        <v>44765</v>
      </c>
      <c r="K983" s="2">
        <v>11</v>
      </c>
      <c r="L983" s="2" t="s">
        <v>70</v>
      </c>
      <c r="M983" s="3"/>
    </row>
    <row r="984" spans="1:13" x14ac:dyDescent="0.3">
      <c r="A984" s="2">
        <v>983</v>
      </c>
      <c r="B984" s="2" t="s">
        <v>507</v>
      </c>
      <c r="C984" s="2" t="s">
        <v>229</v>
      </c>
      <c r="D984" s="2" t="s">
        <v>28</v>
      </c>
      <c r="E984" s="2" t="s">
        <v>29</v>
      </c>
      <c r="F984" s="2">
        <v>60</v>
      </c>
      <c r="G984" s="2" t="s">
        <v>3255</v>
      </c>
      <c r="H984" s="2" t="s">
        <v>2804</v>
      </c>
      <c r="I984" s="2" t="s">
        <v>124</v>
      </c>
      <c r="J984" s="3">
        <v>44708</v>
      </c>
      <c r="K984" s="2">
        <v>101</v>
      </c>
      <c r="L984" s="2" t="s">
        <v>33</v>
      </c>
      <c r="M984" s="3"/>
    </row>
    <row r="985" spans="1:13" x14ac:dyDescent="0.3">
      <c r="A985" s="2">
        <v>984</v>
      </c>
      <c r="B985" s="2" t="s">
        <v>3256</v>
      </c>
      <c r="C985" s="2" t="s">
        <v>138</v>
      </c>
      <c r="D985" s="2" t="s">
        <v>28</v>
      </c>
      <c r="E985" s="2" t="s">
        <v>29</v>
      </c>
      <c r="F985" s="2">
        <v>30</v>
      </c>
      <c r="G985" s="2" t="s">
        <v>3257</v>
      </c>
      <c r="H985" s="2" t="s">
        <v>3197</v>
      </c>
      <c r="I985" s="2" t="s">
        <v>32</v>
      </c>
      <c r="J985" s="3">
        <v>44315</v>
      </c>
      <c r="K985" s="2">
        <v>26</v>
      </c>
      <c r="L985" s="2" t="s">
        <v>33</v>
      </c>
      <c r="M985" s="3"/>
    </row>
    <row r="986" spans="1:13" x14ac:dyDescent="0.3">
      <c r="A986" s="2">
        <v>985</v>
      </c>
      <c r="B986" s="2" t="s">
        <v>1200</v>
      </c>
      <c r="C986" s="2" t="s">
        <v>3258</v>
      </c>
      <c r="D986" s="2" t="s">
        <v>92</v>
      </c>
      <c r="E986" s="2" t="s">
        <v>29</v>
      </c>
      <c r="F986" s="2">
        <v>90</v>
      </c>
      <c r="G986" s="2" t="s">
        <v>3259</v>
      </c>
      <c r="H986" s="2" t="s">
        <v>137</v>
      </c>
      <c r="I986" s="2" t="s">
        <v>32</v>
      </c>
      <c r="J986" s="3">
        <v>44827</v>
      </c>
      <c r="K986" s="2">
        <v>70</v>
      </c>
      <c r="L986" s="2" t="s">
        <v>159</v>
      </c>
      <c r="M986" s="3"/>
    </row>
    <row r="987" spans="1:13" x14ac:dyDescent="0.3">
      <c r="A987" s="2">
        <v>986</v>
      </c>
      <c r="B987" s="2" t="s">
        <v>1776</v>
      </c>
      <c r="C987" s="2" t="s">
        <v>2091</v>
      </c>
      <c r="D987" s="2" t="s">
        <v>28</v>
      </c>
      <c r="E987" s="2" t="s">
        <v>29</v>
      </c>
      <c r="F987" s="2">
        <v>90</v>
      </c>
      <c r="G987" s="2" t="s">
        <v>3260</v>
      </c>
      <c r="H987" s="2" t="s">
        <v>3261</v>
      </c>
      <c r="I987" s="2" t="s">
        <v>124</v>
      </c>
      <c r="J987" s="3">
        <v>44796</v>
      </c>
      <c r="K987" s="2">
        <v>72</v>
      </c>
      <c r="L987" s="2" t="s">
        <v>54</v>
      </c>
      <c r="M987" s="3"/>
    </row>
    <row r="988" spans="1:13" x14ac:dyDescent="0.3">
      <c r="A988" s="2">
        <v>987</v>
      </c>
      <c r="B988" s="2" t="s">
        <v>3262</v>
      </c>
      <c r="C988" s="2" t="s">
        <v>858</v>
      </c>
      <c r="D988" s="2" t="s">
        <v>28</v>
      </c>
      <c r="E988" s="2" t="s">
        <v>29</v>
      </c>
      <c r="F988" s="2">
        <v>90</v>
      </c>
      <c r="G988" s="2" t="s">
        <v>3260</v>
      </c>
      <c r="H988" s="2" t="s">
        <v>3263</v>
      </c>
      <c r="I988" s="2" t="s">
        <v>32</v>
      </c>
      <c r="J988" s="3">
        <v>44613</v>
      </c>
      <c r="K988" s="2">
        <v>7</v>
      </c>
      <c r="L988" s="2" t="s">
        <v>54</v>
      </c>
      <c r="M988" s="3"/>
    </row>
    <row r="989" spans="1:13" x14ac:dyDescent="0.3">
      <c r="A989" s="2">
        <v>988</v>
      </c>
      <c r="B989" s="2" t="s">
        <v>3264</v>
      </c>
      <c r="C989" s="2" t="s">
        <v>3265</v>
      </c>
      <c r="D989" s="2" t="s">
        <v>15</v>
      </c>
      <c r="E989" s="2" t="s">
        <v>16</v>
      </c>
      <c r="F989" s="2">
        <v>90</v>
      </c>
      <c r="G989" s="2" t="s">
        <v>3266</v>
      </c>
      <c r="H989" s="2" t="s">
        <v>3267</v>
      </c>
      <c r="I989" s="2" t="s">
        <v>124</v>
      </c>
      <c r="J989" s="3">
        <v>44027</v>
      </c>
      <c r="K989" s="2">
        <v>50</v>
      </c>
      <c r="L989" s="2" t="s">
        <v>39</v>
      </c>
      <c r="M989" s="3"/>
    </row>
    <row r="990" spans="1:13" x14ac:dyDescent="0.3">
      <c r="A990" s="2">
        <v>989</v>
      </c>
      <c r="B990" s="2" t="s">
        <v>3268</v>
      </c>
      <c r="C990" s="2" t="s">
        <v>3269</v>
      </c>
      <c r="D990" s="2" t="s">
        <v>51</v>
      </c>
      <c r="E990" s="2" t="s">
        <v>16</v>
      </c>
      <c r="F990" s="2">
        <v>90</v>
      </c>
      <c r="G990" s="2" t="s">
        <v>3270</v>
      </c>
      <c r="H990" s="2" t="s">
        <v>3271</v>
      </c>
      <c r="I990" s="2" t="s">
        <v>173</v>
      </c>
      <c r="J990" s="3">
        <v>44000</v>
      </c>
      <c r="K990" s="2">
        <v>65</v>
      </c>
      <c r="L990" s="2" t="s">
        <v>80</v>
      </c>
      <c r="M990" s="3"/>
    </row>
    <row r="991" spans="1:13" x14ac:dyDescent="0.3">
      <c r="A991" s="2">
        <v>990</v>
      </c>
      <c r="B991" s="2" t="s">
        <v>3272</v>
      </c>
      <c r="C991" s="2" t="s">
        <v>3273</v>
      </c>
      <c r="D991" s="2" t="s">
        <v>51</v>
      </c>
      <c r="E991" s="2" t="s">
        <v>16</v>
      </c>
      <c r="F991" s="2">
        <v>90</v>
      </c>
      <c r="G991" s="2" t="s">
        <v>3270</v>
      </c>
      <c r="H991" s="2" t="s">
        <v>3274</v>
      </c>
      <c r="I991" s="2" t="s">
        <v>32</v>
      </c>
      <c r="J991" s="3">
        <v>44098</v>
      </c>
      <c r="K991" s="2">
        <v>10</v>
      </c>
      <c r="L991" s="2" t="s">
        <v>70</v>
      </c>
      <c r="M991" s="3"/>
    </row>
    <row r="992" spans="1:13" x14ac:dyDescent="0.3">
      <c r="A992" s="2">
        <v>991</v>
      </c>
      <c r="B992" s="2" t="s">
        <v>375</v>
      </c>
      <c r="C992" s="2" t="s">
        <v>3275</v>
      </c>
      <c r="D992" s="2" t="s">
        <v>28</v>
      </c>
      <c r="E992" s="2" t="s">
        <v>3276</v>
      </c>
      <c r="F992" s="2">
        <v>90</v>
      </c>
      <c r="G992" s="2" t="s">
        <v>3277</v>
      </c>
      <c r="H992" s="2" t="s">
        <v>2267</v>
      </c>
      <c r="I992" s="2" t="s">
        <v>124</v>
      </c>
      <c r="J992" s="3">
        <v>44712</v>
      </c>
      <c r="K992" s="2">
        <v>75</v>
      </c>
      <c r="L992" s="2" t="s">
        <v>70</v>
      </c>
      <c r="M992" s="3"/>
    </row>
    <row r="993" spans="1:13" x14ac:dyDescent="0.3">
      <c r="A993" s="2">
        <v>992</v>
      </c>
      <c r="B993" s="2" t="s">
        <v>3278</v>
      </c>
      <c r="C993" s="2" t="s">
        <v>3279</v>
      </c>
      <c r="D993" s="2" t="s">
        <v>15</v>
      </c>
      <c r="E993" s="2" t="s">
        <v>16</v>
      </c>
      <c r="F993" s="2">
        <v>60</v>
      </c>
      <c r="G993" s="2" t="s">
        <v>3280</v>
      </c>
      <c r="H993" s="2" t="s">
        <v>3197</v>
      </c>
      <c r="I993" s="2" t="s">
        <v>32</v>
      </c>
      <c r="J993" s="3">
        <v>44716</v>
      </c>
      <c r="K993" s="2">
        <v>100</v>
      </c>
      <c r="L993" s="2" t="s">
        <v>33</v>
      </c>
      <c r="M993" s="3"/>
    </row>
    <row r="994" spans="1:13" x14ac:dyDescent="0.3">
      <c r="A994" s="2">
        <v>993</v>
      </c>
      <c r="B994" s="2" t="s">
        <v>3281</v>
      </c>
      <c r="C994" s="2" t="s">
        <v>3282</v>
      </c>
      <c r="D994" s="2" t="s">
        <v>41</v>
      </c>
      <c r="E994" s="2" t="s">
        <v>16</v>
      </c>
      <c r="F994" s="2">
        <v>90</v>
      </c>
      <c r="G994" s="2" t="s">
        <v>3283</v>
      </c>
      <c r="H994" s="2" t="s">
        <v>3284</v>
      </c>
      <c r="I994" s="2" t="s">
        <v>32</v>
      </c>
      <c r="J994" s="3">
        <v>44460</v>
      </c>
      <c r="K994" s="2">
        <v>83</v>
      </c>
      <c r="L994" s="2" t="s">
        <v>54</v>
      </c>
      <c r="M994" s="3"/>
    </row>
    <row r="995" spans="1:13" x14ac:dyDescent="0.3">
      <c r="A995" s="2">
        <v>994</v>
      </c>
      <c r="B995" s="2" t="s">
        <v>3285</v>
      </c>
      <c r="C995" s="2" t="s">
        <v>3286</v>
      </c>
      <c r="D995" s="2" t="s">
        <v>51</v>
      </c>
      <c r="E995" s="2" t="s">
        <v>16</v>
      </c>
      <c r="F995" s="2">
        <v>90</v>
      </c>
      <c r="G995" s="2" t="s">
        <v>3287</v>
      </c>
      <c r="H995" s="2" t="s">
        <v>3288</v>
      </c>
      <c r="I995" s="2" t="s">
        <v>32</v>
      </c>
      <c r="J995" s="3">
        <v>44558</v>
      </c>
      <c r="K995" s="2">
        <v>22</v>
      </c>
      <c r="L995" s="2" t="s">
        <v>159</v>
      </c>
      <c r="M995" s="3"/>
    </row>
    <row r="996" spans="1:13" x14ac:dyDescent="0.3">
      <c r="A996" s="2">
        <v>995</v>
      </c>
      <c r="B996" s="2" t="s">
        <v>3289</v>
      </c>
      <c r="C996" s="2" t="s">
        <v>2795</v>
      </c>
      <c r="D996" s="2" t="s">
        <v>28</v>
      </c>
      <c r="E996" s="2" t="s">
        <v>29</v>
      </c>
      <c r="F996" s="2">
        <v>90</v>
      </c>
      <c r="G996" s="2" t="s">
        <v>3290</v>
      </c>
      <c r="H996" s="2" t="s">
        <v>3291</v>
      </c>
      <c r="I996" s="2" t="s">
        <v>124</v>
      </c>
      <c r="J996" s="3">
        <v>44119</v>
      </c>
      <c r="K996" s="2">
        <v>35</v>
      </c>
      <c r="L996" s="2" t="s">
        <v>20</v>
      </c>
      <c r="M996" s="3"/>
    </row>
    <row r="997" spans="1:13" x14ac:dyDescent="0.3">
      <c r="A997" s="2">
        <v>996</v>
      </c>
      <c r="B997" s="2" t="s">
        <v>3292</v>
      </c>
      <c r="C997" s="2" t="s">
        <v>2941</v>
      </c>
      <c r="D997" s="2" t="s">
        <v>28</v>
      </c>
      <c r="E997" s="2" t="s">
        <v>29</v>
      </c>
      <c r="F997" s="2">
        <v>30</v>
      </c>
      <c r="G997" s="2" t="s">
        <v>3293</v>
      </c>
      <c r="H997" s="2" t="s">
        <v>2401</v>
      </c>
      <c r="I997" s="2" t="s">
        <v>178</v>
      </c>
      <c r="J997" s="3">
        <v>44405</v>
      </c>
      <c r="K997" s="2">
        <v>47</v>
      </c>
      <c r="L997" s="2" t="s">
        <v>54</v>
      </c>
      <c r="M997" s="3"/>
    </row>
    <row r="998" spans="1:13" x14ac:dyDescent="0.3">
      <c r="A998" s="2">
        <v>997</v>
      </c>
      <c r="B998" s="2" t="s">
        <v>125</v>
      </c>
      <c r="C998" s="2" t="s">
        <v>3294</v>
      </c>
      <c r="D998" s="2" t="s">
        <v>28</v>
      </c>
      <c r="E998" s="2" t="s">
        <v>29</v>
      </c>
      <c r="F998" s="2">
        <v>60</v>
      </c>
      <c r="G998" s="2" t="s">
        <v>3295</v>
      </c>
      <c r="H998" s="2" t="s">
        <v>3296</v>
      </c>
      <c r="I998" s="2" t="s">
        <v>32</v>
      </c>
      <c r="J998" s="3">
        <v>44171</v>
      </c>
      <c r="K998" s="2">
        <v>76</v>
      </c>
      <c r="L998" s="2" t="s">
        <v>64</v>
      </c>
      <c r="M998" s="3"/>
    </row>
    <row r="999" spans="1:13" x14ac:dyDescent="0.3">
      <c r="A999" s="2">
        <v>998</v>
      </c>
      <c r="B999" s="2" t="s">
        <v>1027</v>
      </c>
      <c r="C999" s="2" t="s">
        <v>3297</v>
      </c>
      <c r="D999" s="2" t="s">
        <v>28</v>
      </c>
      <c r="E999" s="2" t="s">
        <v>29</v>
      </c>
      <c r="F999" s="2">
        <v>90</v>
      </c>
      <c r="G999" s="2" t="s">
        <v>3298</v>
      </c>
      <c r="H999" s="2" t="s">
        <v>3299</v>
      </c>
      <c r="I999" s="2" t="s">
        <v>32</v>
      </c>
      <c r="J999" s="3">
        <v>44783</v>
      </c>
      <c r="K999" s="2">
        <v>79</v>
      </c>
      <c r="L999" s="2" t="s">
        <v>64</v>
      </c>
      <c r="M999" s="3"/>
    </row>
    <row r="1000" spans="1:13" x14ac:dyDescent="0.3">
      <c r="A1000" s="2">
        <v>999</v>
      </c>
      <c r="B1000" s="2" t="s">
        <v>3300</v>
      </c>
      <c r="C1000" s="2" t="s">
        <v>3301</v>
      </c>
      <c r="D1000" s="2" t="s">
        <v>28</v>
      </c>
      <c r="E1000" s="2" t="s">
        <v>29</v>
      </c>
      <c r="F1000" s="2">
        <v>30</v>
      </c>
      <c r="G1000" s="2" t="s">
        <v>3302</v>
      </c>
      <c r="H1000" s="2" t="s">
        <v>3303</v>
      </c>
      <c r="I1000" s="2" t="s">
        <v>294</v>
      </c>
      <c r="J1000" s="3">
        <v>44289</v>
      </c>
      <c r="K1000" s="2">
        <v>4</v>
      </c>
      <c r="L1000" s="2" t="s">
        <v>159</v>
      </c>
      <c r="M1000" s="3"/>
    </row>
    <row r="1001" spans="1:13" x14ac:dyDescent="0.3">
      <c r="A1001" s="2">
        <v>1000</v>
      </c>
      <c r="B1001" s="2" t="s">
        <v>3304</v>
      </c>
      <c r="C1001" s="2" t="s">
        <v>86</v>
      </c>
      <c r="D1001" s="2" t="s">
        <v>15</v>
      </c>
      <c r="E1001" s="2" t="s">
        <v>16</v>
      </c>
      <c r="F1001" s="2">
        <v>60</v>
      </c>
      <c r="G1001" s="2" t="s">
        <v>3305</v>
      </c>
      <c r="H1001" s="2" t="s">
        <v>3122</v>
      </c>
      <c r="I1001" s="2" t="s">
        <v>1035</v>
      </c>
      <c r="J1001" s="3">
        <v>44101</v>
      </c>
      <c r="K1001" s="2">
        <v>69</v>
      </c>
      <c r="L1001" s="2" t="s">
        <v>80</v>
      </c>
      <c r="M1001" s="3"/>
    </row>
    <row r="1002" spans="1:13" x14ac:dyDescent="0.3">
      <c r="A1002" s="2">
        <v>1001</v>
      </c>
      <c r="B1002" s="2" t="s">
        <v>357</v>
      </c>
      <c r="C1002" s="2" t="s">
        <v>156</v>
      </c>
      <c r="D1002" s="2" t="s">
        <v>41</v>
      </c>
      <c r="E1002" s="2" t="s">
        <v>16</v>
      </c>
      <c r="F1002" s="2">
        <v>90</v>
      </c>
      <c r="G1002" s="2" t="s">
        <v>3306</v>
      </c>
      <c r="H1002" s="2" t="s">
        <v>3307</v>
      </c>
      <c r="I1002" s="2" t="s">
        <v>32</v>
      </c>
      <c r="J1002" s="3">
        <v>44551</v>
      </c>
      <c r="K1002" s="2">
        <v>92</v>
      </c>
      <c r="L1002" s="2" t="s">
        <v>101</v>
      </c>
      <c r="M1002" s="3"/>
    </row>
    <row r="1003" spans="1:13" x14ac:dyDescent="0.3">
      <c r="A1003" s="2">
        <v>1002</v>
      </c>
      <c r="B1003" s="2" t="s">
        <v>3308</v>
      </c>
      <c r="C1003" s="2" t="s">
        <v>728</v>
      </c>
      <c r="D1003" s="2" t="s">
        <v>15</v>
      </c>
      <c r="E1003" s="2" t="s">
        <v>16</v>
      </c>
      <c r="F1003" s="2">
        <v>60</v>
      </c>
      <c r="G1003" s="2" t="s">
        <v>3309</v>
      </c>
      <c r="H1003" s="2" t="s">
        <v>440</v>
      </c>
      <c r="I1003" s="2" t="s">
        <v>25</v>
      </c>
      <c r="J1003" s="3">
        <v>44137</v>
      </c>
      <c r="K1003" s="2">
        <v>31</v>
      </c>
      <c r="L1003" s="2" t="s">
        <v>80</v>
      </c>
      <c r="M1003" s="3"/>
    </row>
    <row r="1004" spans="1:13" x14ac:dyDescent="0.3">
      <c r="A1004" s="2">
        <v>1003</v>
      </c>
      <c r="B1004" s="2" t="s">
        <v>3310</v>
      </c>
      <c r="C1004" s="2" t="s">
        <v>3311</v>
      </c>
      <c r="D1004" s="2" t="s">
        <v>28</v>
      </c>
      <c r="E1004" s="2" t="s">
        <v>29</v>
      </c>
      <c r="F1004" s="2">
        <v>30</v>
      </c>
      <c r="G1004" s="2" t="s">
        <v>3312</v>
      </c>
      <c r="H1004" s="2" t="s">
        <v>255</v>
      </c>
      <c r="I1004" s="2" t="s">
        <v>32</v>
      </c>
      <c r="J1004" s="3">
        <v>44299</v>
      </c>
      <c r="K1004" s="2">
        <v>7</v>
      </c>
      <c r="L1004" s="2" t="s">
        <v>33</v>
      </c>
      <c r="M1004" s="3"/>
    </row>
    <row r="1005" spans="1:13" x14ac:dyDescent="0.3">
      <c r="A1005" s="2">
        <v>1004</v>
      </c>
      <c r="B1005" s="2" t="s">
        <v>3313</v>
      </c>
      <c r="C1005" s="2" t="s">
        <v>3314</v>
      </c>
      <c r="D1005" s="2" t="s">
        <v>28</v>
      </c>
      <c r="E1005" s="2" t="s">
        <v>29</v>
      </c>
      <c r="F1005" s="2">
        <v>90</v>
      </c>
      <c r="G1005" s="2" t="s">
        <v>3315</v>
      </c>
      <c r="H1005" s="2" t="s">
        <v>3316</v>
      </c>
      <c r="I1005" s="2" t="s">
        <v>32</v>
      </c>
      <c r="J1005" s="3">
        <v>44863</v>
      </c>
      <c r="K1005" s="2">
        <v>67</v>
      </c>
      <c r="L1005" s="2" t="s">
        <v>39</v>
      </c>
      <c r="M1005" s="3"/>
    </row>
    <row r="1006" spans="1:13" x14ac:dyDescent="0.3">
      <c r="A1006" s="2">
        <v>1005</v>
      </c>
      <c r="B1006" s="2" t="s">
        <v>668</v>
      </c>
      <c r="C1006" s="2" t="s">
        <v>641</v>
      </c>
      <c r="D1006" s="2" t="s">
        <v>28</v>
      </c>
      <c r="E1006" s="2" t="s">
        <v>29</v>
      </c>
      <c r="F1006" s="2">
        <v>30</v>
      </c>
      <c r="G1006" s="2" t="s">
        <v>3317</v>
      </c>
      <c r="H1006" s="2" t="s">
        <v>405</v>
      </c>
      <c r="I1006" s="2" t="s">
        <v>32</v>
      </c>
      <c r="J1006" s="3">
        <v>44470</v>
      </c>
      <c r="K1006" s="2">
        <v>90</v>
      </c>
      <c r="L1006" s="2" t="s">
        <v>39</v>
      </c>
      <c r="M1006" s="3"/>
    </row>
    <row r="1007" spans="1:13" x14ac:dyDescent="0.3">
      <c r="A1007" s="2">
        <v>1006</v>
      </c>
      <c r="B1007" s="2" t="s">
        <v>3318</v>
      </c>
      <c r="C1007" s="2" t="s">
        <v>870</v>
      </c>
      <c r="D1007" s="2" t="s">
        <v>51</v>
      </c>
      <c r="E1007" s="2" t="s">
        <v>16</v>
      </c>
      <c r="F1007" s="2">
        <v>60</v>
      </c>
      <c r="G1007" s="2" t="s">
        <v>3319</v>
      </c>
      <c r="H1007" s="2" t="s">
        <v>3320</v>
      </c>
      <c r="I1007" s="2" t="s">
        <v>32</v>
      </c>
      <c r="J1007" s="3">
        <v>44206</v>
      </c>
      <c r="K1007" s="2">
        <v>4</v>
      </c>
      <c r="L1007" s="2" t="s">
        <v>54</v>
      </c>
      <c r="M1007" s="3"/>
    </row>
    <row r="1008" spans="1:13" x14ac:dyDescent="0.3">
      <c r="A1008" s="2">
        <v>1007</v>
      </c>
      <c r="B1008" s="2" t="s">
        <v>3321</v>
      </c>
      <c r="C1008" s="2" t="s">
        <v>3322</v>
      </c>
      <c r="D1008" s="2" t="s">
        <v>15</v>
      </c>
      <c r="E1008" s="2" t="s">
        <v>16</v>
      </c>
      <c r="F1008" s="2">
        <v>30</v>
      </c>
      <c r="G1008" s="2" t="s">
        <v>3323</v>
      </c>
      <c r="H1008" s="2" t="s">
        <v>3324</v>
      </c>
      <c r="I1008" s="2" t="s">
        <v>32</v>
      </c>
      <c r="J1008" s="3">
        <v>44773</v>
      </c>
      <c r="K1008" s="2">
        <v>62</v>
      </c>
      <c r="L1008" s="2" t="s">
        <v>20</v>
      </c>
      <c r="M1008" s="3"/>
    </row>
    <row r="1009" spans="1:13" x14ac:dyDescent="0.3">
      <c r="A1009" s="2">
        <v>1008</v>
      </c>
      <c r="B1009" s="2" t="s">
        <v>1569</v>
      </c>
      <c r="C1009" s="2" t="s">
        <v>3325</v>
      </c>
      <c r="D1009" s="2" t="s">
        <v>15</v>
      </c>
      <c r="E1009" s="2" t="s">
        <v>16</v>
      </c>
      <c r="F1009" s="2">
        <v>60</v>
      </c>
      <c r="G1009" s="2" t="s">
        <v>3326</v>
      </c>
      <c r="H1009" s="2" t="s">
        <v>3274</v>
      </c>
      <c r="I1009" s="2" t="s">
        <v>32</v>
      </c>
      <c r="J1009" s="3">
        <v>44058</v>
      </c>
      <c r="K1009" s="2">
        <v>29</v>
      </c>
      <c r="L1009" s="2" t="s">
        <v>54</v>
      </c>
      <c r="M1009" s="3"/>
    </row>
    <row r="1010" spans="1:13" x14ac:dyDescent="0.3">
      <c r="A1010" s="2">
        <v>1009</v>
      </c>
      <c r="B1010" s="2" t="s">
        <v>3327</v>
      </c>
      <c r="C1010" s="2" t="s">
        <v>1243</v>
      </c>
      <c r="D1010" s="2" t="s">
        <v>51</v>
      </c>
      <c r="E1010" s="2" t="s">
        <v>16</v>
      </c>
      <c r="F1010" s="2">
        <v>90</v>
      </c>
      <c r="G1010" s="2" t="s">
        <v>3328</v>
      </c>
      <c r="H1010" s="2" t="s">
        <v>123</v>
      </c>
      <c r="I1010" s="2" t="s">
        <v>124</v>
      </c>
      <c r="J1010" s="3">
        <v>44067</v>
      </c>
      <c r="K1010" s="2">
        <v>58</v>
      </c>
      <c r="L1010" s="2" t="s">
        <v>33</v>
      </c>
      <c r="M1010" s="3"/>
    </row>
    <row r="1011" spans="1:13" x14ac:dyDescent="0.3">
      <c r="A1011" s="2">
        <v>1010</v>
      </c>
      <c r="B1011" s="2" t="s">
        <v>3329</v>
      </c>
      <c r="C1011" s="2" t="s">
        <v>3330</v>
      </c>
      <c r="D1011" s="2" t="s">
        <v>28</v>
      </c>
      <c r="E1011" s="2" t="s">
        <v>29</v>
      </c>
      <c r="F1011" s="2">
        <v>30</v>
      </c>
      <c r="G1011" s="2" t="s">
        <v>3331</v>
      </c>
      <c r="H1011" s="2" t="s">
        <v>1768</v>
      </c>
      <c r="I1011" s="2" t="s">
        <v>32</v>
      </c>
      <c r="J1011" s="3">
        <v>44006</v>
      </c>
      <c r="K1011" s="2">
        <v>42</v>
      </c>
      <c r="L1011" s="2" t="s">
        <v>64</v>
      </c>
      <c r="M1011" s="3"/>
    </row>
    <row r="1012" spans="1:13" x14ac:dyDescent="0.3">
      <c r="A1012" s="2">
        <v>1011</v>
      </c>
      <c r="B1012" s="2" t="s">
        <v>3332</v>
      </c>
      <c r="C1012" s="2" t="s">
        <v>2888</v>
      </c>
      <c r="D1012" s="2" t="s">
        <v>15</v>
      </c>
      <c r="E1012" s="2" t="s">
        <v>16</v>
      </c>
      <c r="F1012" s="2">
        <v>60</v>
      </c>
      <c r="G1012" s="2" t="s">
        <v>3333</v>
      </c>
      <c r="H1012" s="2" t="s">
        <v>3334</v>
      </c>
      <c r="I1012" s="2" t="s">
        <v>32</v>
      </c>
      <c r="J1012" s="3">
        <v>44718</v>
      </c>
      <c r="K1012" s="2">
        <v>21</v>
      </c>
      <c r="L1012" s="2" t="s">
        <v>20</v>
      </c>
      <c r="M1012" s="3"/>
    </row>
    <row r="1013" spans="1:13" x14ac:dyDescent="0.3">
      <c r="A1013" s="2">
        <v>1012</v>
      </c>
      <c r="B1013" s="2" t="s">
        <v>3335</v>
      </c>
      <c r="C1013" s="2" t="s">
        <v>3336</v>
      </c>
      <c r="D1013" s="2" t="s">
        <v>28</v>
      </c>
      <c r="E1013" s="2" t="s">
        <v>29</v>
      </c>
      <c r="F1013" s="2">
        <v>60</v>
      </c>
      <c r="G1013" s="2" t="s">
        <v>3337</v>
      </c>
      <c r="H1013" s="2" t="s">
        <v>2325</v>
      </c>
      <c r="I1013" s="2" t="s">
        <v>173</v>
      </c>
      <c r="J1013" s="3">
        <v>44584</v>
      </c>
      <c r="K1013" s="2">
        <v>33</v>
      </c>
      <c r="L1013" s="2" t="s">
        <v>159</v>
      </c>
      <c r="M1013" s="3"/>
    </row>
    <row r="1014" spans="1:13" x14ac:dyDescent="0.3">
      <c r="A1014" s="2">
        <v>1013</v>
      </c>
      <c r="B1014" s="2" t="s">
        <v>1027</v>
      </c>
      <c r="C1014" s="2" t="s">
        <v>3338</v>
      </c>
      <c r="D1014" s="2" t="s">
        <v>28</v>
      </c>
      <c r="E1014" s="2" t="s">
        <v>29</v>
      </c>
      <c r="F1014" s="2">
        <v>60</v>
      </c>
      <c r="G1014" s="2" t="s">
        <v>3339</v>
      </c>
      <c r="H1014" s="2" t="s">
        <v>78</v>
      </c>
      <c r="I1014" s="2" t="s">
        <v>79</v>
      </c>
      <c r="J1014" s="3">
        <v>44059</v>
      </c>
      <c r="K1014" s="2">
        <v>15</v>
      </c>
      <c r="L1014" s="2" t="s">
        <v>80</v>
      </c>
      <c r="M1014" s="3"/>
    </row>
    <row r="1015" spans="1:13" x14ac:dyDescent="0.3">
      <c r="A1015" s="2">
        <v>1014</v>
      </c>
      <c r="B1015" s="2" t="s">
        <v>3340</v>
      </c>
      <c r="C1015" s="2" t="s">
        <v>3341</v>
      </c>
      <c r="D1015" s="2" t="s">
        <v>15</v>
      </c>
      <c r="E1015" s="2" t="s">
        <v>16</v>
      </c>
      <c r="F1015" s="2">
        <v>60</v>
      </c>
      <c r="G1015" s="2" t="s">
        <v>3342</v>
      </c>
      <c r="H1015" s="2" t="s">
        <v>3343</v>
      </c>
      <c r="I1015" s="2" t="s">
        <v>1199</v>
      </c>
      <c r="J1015" s="3">
        <v>44060</v>
      </c>
      <c r="K1015" s="2">
        <v>57</v>
      </c>
      <c r="L1015" s="2" t="s">
        <v>39</v>
      </c>
      <c r="M1015" s="3"/>
    </row>
    <row r="1016" spans="1:13" x14ac:dyDescent="0.3">
      <c r="A1016" s="2">
        <v>1015</v>
      </c>
      <c r="B1016" s="2" t="s">
        <v>2919</v>
      </c>
      <c r="C1016" s="2" t="s">
        <v>2428</v>
      </c>
      <c r="D1016" s="2" t="s">
        <v>28</v>
      </c>
      <c r="E1016" s="2" t="s">
        <v>29</v>
      </c>
      <c r="F1016" s="2">
        <v>60</v>
      </c>
      <c r="G1016" s="2" t="s">
        <v>3342</v>
      </c>
      <c r="H1016" s="2" t="s">
        <v>966</v>
      </c>
      <c r="I1016" s="2" t="s">
        <v>187</v>
      </c>
      <c r="J1016" s="3">
        <v>44048</v>
      </c>
      <c r="K1016" s="2">
        <v>50</v>
      </c>
      <c r="L1016" s="2" t="s">
        <v>33</v>
      </c>
      <c r="M1016" s="3"/>
    </row>
    <row r="1017" spans="1:13" x14ac:dyDescent="0.3">
      <c r="A1017" s="2">
        <v>1016</v>
      </c>
      <c r="B1017" s="2" t="s">
        <v>2919</v>
      </c>
      <c r="C1017" s="2" t="s">
        <v>2428</v>
      </c>
      <c r="D1017" s="2" t="s">
        <v>28</v>
      </c>
      <c r="E1017" s="2" t="s">
        <v>29</v>
      </c>
      <c r="F1017" s="2">
        <v>60</v>
      </c>
      <c r="G1017" s="2" t="s">
        <v>3342</v>
      </c>
      <c r="H1017" s="2" t="s">
        <v>966</v>
      </c>
      <c r="I1017" s="2" t="s">
        <v>187</v>
      </c>
      <c r="J1017" s="3">
        <v>44048</v>
      </c>
      <c r="K1017" s="2">
        <v>50</v>
      </c>
      <c r="L1017" s="2" t="s">
        <v>33</v>
      </c>
      <c r="M1017" s="3"/>
    </row>
    <row r="1018" spans="1:13" x14ac:dyDescent="0.3">
      <c r="A1018" s="2">
        <v>1017</v>
      </c>
      <c r="B1018" s="2" t="s">
        <v>65</v>
      </c>
      <c r="C1018" s="2" t="s">
        <v>1756</v>
      </c>
      <c r="D1018" s="2" t="s">
        <v>51</v>
      </c>
      <c r="E1018" s="2" t="s">
        <v>16</v>
      </c>
      <c r="F1018" s="2">
        <v>90</v>
      </c>
      <c r="G1018" s="2" t="s">
        <v>3344</v>
      </c>
      <c r="H1018" s="2" t="s">
        <v>2012</v>
      </c>
      <c r="I1018" s="2" t="s">
        <v>32</v>
      </c>
      <c r="J1018" s="3">
        <v>43952</v>
      </c>
      <c r="K1018" s="2">
        <v>47</v>
      </c>
      <c r="L1018" s="2" t="s">
        <v>70</v>
      </c>
      <c r="M1018" s="3"/>
    </row>
    <row r="1019" spans="1:13" x14ac:dyDescent="0.3">
      <c r="A1019" s="2">
        <v>1018</v>
      </c>
      <c r="B1019" s="2" t="s">
        <v>3345</v>
      </c>
      <c r="C1019" s="2" t="s">
        <v>3346</v>
      </c>
      <c r="D1019" s="2" t="s">
        <v>28</v>
      </c>
      <c r="E1019" s="2" t="s">
        <v>29</v>
      </c>
      <c r="F1019" s="2">
        <v>30</v>
      </c>
      <c r="G1019" s="2" t="s">
        <v>3347</v>
      </c>
      <c r="H1019" s="2" t="s">
        <v>1011</v>
      </c>
      <c r="I1019" s="2" t="s">
        <v>32</v>
      </c>
      <c r="J1019" s="3">
        <v>43972</v>
      </c>
      <c r="K1019" s="2">
        <v>51</v>
      </c>
      <c r="L1019" s="2" t="s">
        <v>80</v>
      </c>
      <c r="M1019" s="3"/>
    </row>
    <row r="1020" spans="1:13" x14ac:dyDescent="0.3">
      <c r="A1020" s="2">
        <v>1019</v>
      </c>
      <c r="B1020" s="2" t="s">
        <v>2398</v>
      </c>
      <c r="C1020" s="2" t="s">
        <v>3348</v>
      </c>
      <c r="D1020" s="2" t="s">
        <v>28</v>
      </c>
      <c r="E1020" s="2" t="s">
        <v>29</v>
      </c>
      <c r="F1020" s="2">
        <v>30</v>
      </c>
      <c r="G1020" s="2" t="s">
        <v>3349</v>
      </c>
      <c r="H1020" s="2" t="s">
        <v>1512</v>
      </c>
      <c r="I1020" s="2" t="s">
        <v>25</v>
      </c>
      <c r="J1020" s="3">
        <v>44120</v>
      </c>
      <c r="K1020" s="2">
        <v>74</v>
      </c>
      <c r="L1020" s="2" t="s">
        <v>101</v>
      </c>
      <c r="M1020" s="3"/>
    </row>
    <row r="1021" spans="1:13" x14ac:dyDescent="0.3">
      <c r="A1021" s="2">
        <v>1020</v>
      </c>
      <c r="B1021" s="2" t="s">
        <v>2840</v>
      </c>
      <c r="C1021" s="2" t="s">
        <v>3350</v>
      </c>
      <c r="D1021" s="2" t="s">
        <v>28</v>
      </c>
      <c r="E1021" s="2" t="s">
        <v>29</v>
      </c>
      <c r="F1021" s="2">
        <v>90</v>
      </c>
      <c r="G1021" s="2" t="s">
        <v>3349</v>
      </c>
      <c r="H1021" s="2" t="s">
        <v>3351</v>
      </c>
      <c r="I1021" s="2" t="s">
        <v>32</v>
      </c>
      <c r="J1021" s="3">
        <v>44174</v>
      </c>
      <c r="K1021" s="2">
        <v>44</v>
      </c>
      <c r="L1021" s="2" t="s">
        <v>45</v>
      </c>
      <c r="M1021" s="3"/>
    </row>
    <row r="1022" spans="1:13" x14ac:dyDescent="0.3">
      <c r="A1022" s="2">
        <v>1021</v>
      </c>
      <c r="B1022" s="2" t="s">
        <v>1225</v>
      </c>
      <c r="C1022" s="2" t="s">
        <v>3352</v>
      </c>
      <c r="D1022" s="2" t="s">
        <v>28</v>
      </c>
      <c r="E1022" s="2" t="s">
        <v>29</v>
      </c>
      <c r="F1022" s="2">
        <v>30</v>
      </c>
      <c r="G1022" s="2" t="s">
        <v>3353</v>
      </c>
      <c r="H1022" s="2" t="s">
        <v>3161</v>
      </c>
      <c r="I1022" s="2" t="s">
        <v>32</v>
      </c>
      <c r="J1022" s="3">
        <v>44817</v>
      </c>
      <c r="K1022" s="2">
        <v>28</v>
      </c>
      <c r="L1022" s="2" t="s">
        <v>20</v>
      </c>
      <c r="M1022" s="3"/>
    </row>
    <row r="1023" spans="1:13" x14ac:dyDescent="0.3">
      <c r="A1023" s="2">
        <v>1022</v>
      </c>
      <c r="B1023" s="2" t="s">
        <v>3117</v>
      </c>
      <c r="C1023" s="2" t="s">
        <v>3354</v>
      </c>
      <c r="D1023" s="2" t="s">
        <v>28</v>
      </c>
      <c r="E1023" s="2" t="s">
        <v>29</v>
      </c>
      <c r="F1023" s="2">
        <v>90</v>
      </c>
      <c r="G1023" s="2" t="s">
        <v>3355</v>
      </c>
      <c r="H1023" s="2" t="s">
        <v>3356</v>
      </c>
      <c r="I1023" s="2" t="s">
        <v>32</v>
      </c>
      <c r="J1023" s="3">
        <v>44063</v>
      </c>
      <c r="K1023" s="2">
        <v>78</v>
      </c>
      <c r="L1023" s="2" t="s">
        <v>39</v>
      </c>
      <c r="M1023" s="3"/>
    </row>
    <row r="1024" spans="1:13" x14ac:dyDescent="0.3">
      <c r="A1024" s="2">
        <v>1023</v>
      </c>
      <c r="B1024" s="2" t="s">
        <v>2556</v>
      </c>
      <c r="C1024" s="2" t="s">
        <v>3357</v>
      </c>
      <c r="D1024" s="2" t="s">
        <v>28</v>
      </c>
      <c r="E1024" s="2" t="s">
        <v>29</v>
      </c>
      <c r="F1024" s="2">
        <v>30</v>
      </c>
      <c r="G1024" s="2" t="s">
        <v>3358</v>
      </c>
      <c r="H1024" s="2" t="s">
        <v>3024</v>
      </c>
      <c r="I1024" s="2" t="s">
        <v>32</v>
      </c>
      <c r="J1024" s="3">
        <v>44012</v>
      </c>
      <c r="K1024" s="2">
        <v>80</v>
      </c>
      <c r="L1024" s="2" t="s">
        <v>70</v>
      </c>
      <c r="M1024" s="3"/>
    </row>
    <row r="1025" spans="1:13" x14ac:dyDescent="0.3">
      <c r="A1025" s="2">
        <v>1024</v>
      </c>
      <c r="B1025" s="2" t="s">
        <v>2540</v>
      </c>
      <c r="C1025" s="2" t="s">
        <v>3359</v>
      </c>
      <c r="D1025" s="2" t="s">
        <v>28</v>
      </c>
      <c r="E1025" s="2" t="s">
        <v>29</v>
      </c>
      <c r="F1025" s="2">
        <v>90</v>
      </c>
      <c r="G1025" s="2" t="s">
        <v>3360</v>
      </c>
      <c r="H1025" s="2" t="s">
        <v>3361</v>
      </c>
      <c r="I1025" s="2" t="s">
        <v>95</v>
      </c>
      <c r="J1025" s="3">
        <v>44769</v>
      </c>
      <c r="K1025" s="2">
        <v>74</v>
      </c>
      <c r="L1025" s="2" t="s">
        <v>80</v>
      </c>
      <c r="M1025" s="3"/>
    </row>
    <row r="1026" spans="1:13" x14ac:dyDescent="0.3">
      <c r="A1026" s="2">
        <v>1025</v>
      </c>
      <c r="B1026" s="2" t="s">
        <v>3362</v>
      </c>
      <c r="C1026" s="2" t="s">
        <v>3363</v>
      </c>
      <c r="D1026" s="2" t="s">
        <v>28</v>
      </c>
      <c r="E1026" s="2" t="s">
        <v>29</v>
      </c>
      <c r="F1026" s="2">
        <v>60</v>
      </c>
      <c r="G1026" s="2" t="s">
        <v>3364</v>
      </c>
      <c r="H1026" s="2" t="s">
        <v>3365</v>
      </c>
      <c r="I1026" s="2" t="s">
        <v>146</v>
      </c>
      <c r="J1026" s="3">
        <v>44738</v>
      </c>
      <c r="K1026" s="2">
        <v>62</v>
      </c>
      <c r="L1026" s="2" t="s">
        <v>54</v>
      </c>
      <c r="M1026" s="3"/>
    </row>
    <row r="1027" spans="1:13" x14ac:dyDescent="0.3">
      <c r="A1027" s="2">
        <v>1026</v>
      </c>
      <c r="B1027" s="2" t="s">
        <v>3366</v>
      </c>
      <c r="C1027" s="2" t="s">
        <v>783</v>
      </c>
      <c r="D1027" s="2" t="s">
        <v>621</v>
      </c>
      <c r="E1027" s="2" t="s">
        <v>29</v>
      </c>
      <c r="F1027" s="2">
        <v>30</v>
      </c>
      <c r="G1027" s="2" t="s">
        <v>3367</v>
      </c>
      <c r="H1027" s="2" t="s">
        <v>139</v>
      </c>
      <c r="I1027" s="2" t="s">
        <v>2593</v>
      </c>
      <c r="J1027" s="3">
        <v>44513</v>
      </c>
      <c r="K1027" s="2">
        <v>55</v>
      </c>
      <c r="L1027" s="2" t="s">
        <v>45</v>
      </c>
      <c r="M1027" s="3"/>
    </row>
    <row r="1028" spans="1:13" x14ac:dyDescent="0.3">
      <c r="A1028" s="2">
        <v>1027</v>
      </c>
      <c r="B1028" s="2" t="s">
        <v>3368</v>
      </c>
      <c r="C1028" s="2" t="s">
        <v>3369</v>
      </c>
      <c r="D1028" s="2" t="s">
        <v>51</v>
      </c>
      <c r="E1028" s="2" t="s">
        <v>16</v>
      </c>
      <c r="F1028" s="2">
        <v>90</v>
      </c>
      <c r="G1028" s="2" t="s">
        <v>3367</v>
      </c>
      <c r="H1028" s="2" t="s">
        <v>2516</v>
      </c>
      <c r="I1028" s="2" t="s">
        <v>32</v>
      </c>
      <c r="J1028" s="3">
        <v>44526</v>
      </c>
      <c r="K1028" s="2">
        <v>20</v>
      </c>
      <c r="L1028" s="2" t="s">
        <v>80</v>
      </c>
      <c r="M1028" s="3"/>
    </row>
    <row r="1029" spans="1:13" x14ac:dyDescent="0.3">
      <c r="A1029" s="2">
        <v>1028</v>
      </c>
      <c r="B1029" s="2" t="s">
        <v>3370</v>
      </c>
      <c r="C1029" s="2" t="s">
        <v>3371</v>
      </c>
      <c r="D1029" s="2" t="s">
        <v>28</v>
      </c>
      <c r="E1029" s="2" t="s">
        <v>29</v>
      </c>
      <c r="F1029" s="2">
        <v>60</v>
      </c>
      <c r="G1029" s="2" t="s">
        <v>3372</v>
      </c>
      <c r="H1029" s="2" t="s">
        <v>3373</v>
      </c>
      <c r="I1029" s="2" t="s">
        <v>32</v>
      </c>
      <c r="J1029" s="3">
        <v>44221</v>
      </c>
      <c r="K1029" s="2">
        <v>92</v>
      </c>
      <c r="L1029" s="2" t="s">
        <v>39</v>
      </c>
      <c r="M1029" s="3"/>
    </row>
    <row r="1030" spans="1:13" x14ac:dyDescent="0.3">
      <c r="A1030" s="2">
        <v>1029</v>
      </c>
      <c r="B1030" s="2" t="s">
        <v>3374</v>
      </c>
      <c r="C1030" s="2" t="s">
        <v>3375</v>
      </c>
      <c r="D1030" s="2" t="s">
        <v>15</v>
      </c>
      <c r="E1030" s="2" t="s">
        <v>16</v>
      </c>
      <c r="F1030" s="2">
        <v>60</v>
      </c>
      <c r="G1030" s="2" t="s">
        <v>3376</v>
      </c>
      <c r="H1030" s="2" t="s">
        <v>3377</v>
      </c>
      <c r="I1030" s="2" t="s">
        <v>32</v>
      </c>
      <c r="J1030" s="3">
        <v>44703</v>
      </c>
      <c r="K1030" s="2">
        <v>58</v>
      </c>
      <c r="L1030" s="2" t="s">
        <v>45</v>
      </c>
      <c r="M1030" s="3"/>
    </row>
    <row r="1031" spans="1:13" x14ac:dyDescent="0.3">
      <c r="A1031" s="2">
        <v>1030</v>
      </c>
      <c r="B1031" s="2" t="s">
        <v>3378</v>
      </c>
      <c r="C1031" s="2" t="s">
        <v>3379</v>
      </c>
      <c r="D1031" s="2" t="s">
        <v>51</v>
      </c>
      <c r="E1031" s="2" t="s">
        <v>16</v>
      </c>
      <c r="F1031" s="2">
        <v>90</v>
      </c>
      <c r="G1031" s="2" t="s">
        <v>3380</v>
      </c>
      <c r="H1031" s="2" t="s">
        <v>1347</v>
      </c>
      <c r="I1031" s="2" t="s">
        <v>32</v>
      </c>
      <c r="J1031" s="3">
        <v>44827</v>
      </c>
      <c r="K1031" s="2">
        <v>51</v>
      </c>
      <c r="L1031" s="2" t="s">
        <v>39</v>
      </c>
      <c r="M1031" s="3"/>
    </row>
    <row r="1032" spans="1:13" x14ac:dyDescent="0.3">
      <c r="A1032" s="2">
        <v>1031</v>
      </c>
      <c r="B1032" s="2" t="s">
        <v>3381</v>
      </c>
      <c r="C1032" s="2" t="s">
        <v>3382</v>
      </c>
      <c r="D1032" s="2" t="s">
        <v>51</v>
      </c>
      <c r="E1032" s="2" t="s">
        <v>16</v>
      </c>
      <c r="F1032" s="2">
        <v>90</v>
      </c>
      <c r="G1032" s="2" t="s">
        <v>3383</v>
      </c>
      <c r="H1032" s="2" t="s">
        <v>3384</v>
      </c>
      <c r="I1032" s="2" t="s">
        <v>32</v>
      </c>
      <c r="J1032" s="3">
        <v>44549</v>
      </c>
      <c r="K1032" s="2">
        <v>31</v>
      </c>
      <c r="L1032" s="2" t="s">
        <v>20</v>
      </c>
      <c r="M1032" s="3"/>
    </row>
    <row r="1033" spans="1:13" x14ac:dyDescent="0.3">
      <c r="A1033" s="2">
        <v>1032</v>
      </c>
      <c r="B1033" s="2" t="s">
        <v>460</v>
      </c>
      <c r="C1033" s="2" t="s">
        <v>3385</v>
      </c>
      <c r="D1033" s="2" t="s">
        <v>28</v>
      </c>
      <c r="E1033" s="2" t="s">
        <v>29</v>
      </c>
      <c r="F1033" s="2">
        <v>60</v>
      </c>
      <c r="G1033" s="2" t="s">
        <v>3386</v>
      </c>
      <c r="H1033" s="2" t="s">
        <v>3387</v>
      </c>
      <c r="I1033" s="2" t="s">
        <v>2878</v>
      </c>
      <c r="J1033" s="3">
        <v>44783</v>
      </c>
      <c r="K1033" s="2">
        <v>12</v>
      </c>
      <c r="L1033" s="2" t="s">
        <v>70</v>
      </c>
      <c r="M1033" s="3"/>
    </row>
    <row r="1034" spans="1:13" x14ac:dyDescent="0.3">
      <c r="A1034" s="2">
        <v>1033</v>
      </c>
      <c r="B1034" s="2" t="s">
        <v>3388</v>
      </c>
      <c r="C1034" s="2" t="s">
        <v>3389</v>
      </c>
      <c r="D1034" s="2" t="s">
        <v>51</v>
      </c>
      <c r="E1034" s="2" t="s">
        <v>16</v>
      </c>
      <c r="F1034" s="2">
        <v>60</v>
      </c>
      <c r="G1034" s="2" t="s">
        <v>3390</v>
      </c>
      <c r="H1034" s="2" t="s">
        <v>3391</v>
      </c>
      <c r="I1034" s="2" t="s">
        <v>3392</v>
      </c>
      <c r="J1034" s="3">
        <v>44720</v>
      </c>
      <c r="K1034" s="2">
        <v>65</v>
      </c>
      <c r="L1034" s="2" t="s">
        <v>54</v>
      </c>
      <c r="M1034" s="3"/>
    </row>
    <row r="1035" spans="1:13" x14ac:dyDescent="0.3">
      <c r="A1035" s="2">
        <v>1034</v>
      </c>
      <c r="B1035" s="2" t="s">
        <v>3393</v>
      </c>
      <c r="C1035" s="2" t="s">
        <v>3394</v>
      </c>
      <c r="D1035" s="2" t="s">
        <v>51</v>
      </c>
      <c r="E1035" s="2" t="s">
        <v>16</v>
      </c>
      <c r="F1035" s="2">
        <v>30</v>
      </c>
      <c r="G1035" s="2" t="s">
        <v>3395</v>
      </c>
      <c r="H1035" s="2" t="s">
        <v>3396</v>
      </c>
      <c r="I1035" s="2" t="s">
        <v>32</v>
      </c>
      <c r="J1035" s="3">
        <v>44740</v>
      </c>
      <c r="K1035" s="2">
        <v>96</v>
      </c>
      <c r="L1035" s="2" t="s">
        <v>39</v>
      </c>
      <c r="M1035" s="3"/>
    </row>
    <row r="1036" spans="1:13" x14ac:dyDescent="0.3">
      <c r="A1036" s="2">
        <v>1035</v>
      </c>
      <c r="B1036" s="2" t="s">
        <v>3397</v>
      </c>
      <c r="C1036" s="2" t="s">
        <v>406</v>
      </c>
      <c r="D1036" s="2" t="s">
        <v>28</v>
      </c>
      <c r="E1036" s="2" t="s">
        <v>29</v>
      </c>
      <c r="F1036" s="2">
        <v>90</v>
      </c>
      <c r="G1036" s="2" t="s">
        <v>3398</v>
      </c>
      <c r="H1036" s="2" t="s">
        <v>3399</v>
      </c>
      <c r="I1036" s="2" t="s">
        <v>124</v>
      </c>
      <c r="J1036" s="3">
        <v>44304</v>
      </c>
      <c r="K1036" s="2">
        <v>32</v>
      </c>
      <c r="L1036" s="2" t="s">
        <v>33</v>
      </c>
      <c r="M1036" s="3"/>
    </row>
    <row r="1037" spans="1:13" x14ac:dyDescent="0.3">
      <c r="A1037" s="2">
        <v>1036</v>
      </c>
      <c r="B1037" s="2" t="s">
        <v>3400</v>
      </c>
      <c r="C1037" s="2" t="s">
        <v>1226</v>
      </c>
      <c r="D1037" s="2" t="s">
        <v>51</v>
      </c>
      <c r="E1037" s="2" t="s">
        <v>16</v>
      </c>
      <c r="F1037" s="2">
        <v>90</v>
      </c>
      <c r="G1037" s="2" t="s">
        <v>3401</v>
      </c>
      <c r="H1037" s="2" t="s">
        <v>3402</v>
      </c>
      <c r="I1037" s="2" t="s">
        <v>32</v>
      </c>
      <c r="J1037" s="3">
        <v>43902</v>
      </c>
      <c r="K1037" s="2">
        <v>47</v>
      </c>
      <c r="L1037" s="2" t="s">
        <v>54</v>
      </c>
      <c r="M1037" s="3"/>
    </row>
    <row r="1038" spans="1:13" x14ac:dyDescent="0.3">
      <c r="A1038" s="2">
        <v>1037</v>
      </c>
      <c r="B1038" s="2" t="s">
        <v>3403</v>
      </c>
      <c r="C1038" s="2" t="s">
        <v>3014</v>
      </c>
      <c r="D1038" s="2" t="s">
        <v>51</v>
      </c>
      <c r="E1038" s="2" t="s">
        <v>16</v>
      </c>
      <c r="F1038" s="2">
        <v>60</v>
      </c>
      <c r="G1038" s="2" t="s">
        <v>3404</v>
      </c>
      <c r="H1038" s="2" t="s">
        <v>3405</v>
      </c>
      <c r="I1038" s="2" t="s">
        <v>32</v>
      </c>
      <c r="J1038" s="3">
        <v>44221</v>
      </c>
      <c r="K1038" s="2">
        <v>59</v>
      </c>
      <c r="L1038" s="2" t="s">
        <v>20</v>
      </c>
      <c r="M1038" s="3"/>
    </row>
    <row r="1039" spans="1:13" x14ac:dyDescent="0.3">
      <c r="A1039" s="2">
        <v>1038</v>
      </c>
      <c r="B1039" s="2" t="s">
        <v>3406</v>
      </c>
      <c r="C1039" s="2" t="s">
        <v>3407</v>
      </c>
      <c r="D1039" s="2" t="s">
        <v>51</v>
      </c>
      <c r="E1039" s="2" t="s">
        <v>16</v>
      </c>
      <c r="F1039" s="2">
        <v>60</v>
      </c>
      <c r="G1039" s="2" t="s">
        <v>3408</v>
      </c>
      <c r="H1039" s="2" t="s">
        <v>3409</v>
      </c>
      <c r="I1039" s="2" t="s">
        <v>95</v>
      </c>
      <c r="J1039" s="3">
        <v>44581</v>
      </c>
      <c r="K1039" s="2">
        <v>74</v>
      </c>
      <c r="L1039" s="2" t="s">
        <v>64</v>
      </c>
      <c r="M1039" s="3"/>
    </row>
    <row r="1040" spans="1:13" x14ac:dyDescent="0.3">
      <c r="A1040" s="2">
        <v>1039</v>
      </c>
      <c r="B1040" s="2" t="s">
        <v>3410</v>
      </c>
      <c r="C1040" s="2" t="s">
        <v>2751</v>
      </c>
      <c r="D1040" s="2" t="s">
        <v>28</v>
      </c>
      <c r="E1040" s="2" t="s">
        <v>29</v>
      </c>
      <c r="F1040" s="2">
        <v>30</v>
      </c>
      <c r="G1040" s="2" t="s">
        <v>3408</v>
      </c>
      <c r="H1040" s="2" t="s">
        <v>412</v>
      </c>
      <c r="I1040" s="2" t="s">
        <v>187</v>
      </c>
      <c r="J1040" s="3">
        <v>44498</v>
      </c>
      <c r="K1040" s="2">
        <v>11</v>
      </c>
      <c r="L1040" s="2" t="s">
        <v>45</v>
      </c>
      <c r="M1040" s="3"/>
    </row>
    <row r="1041" spans="1:13" x14ac:dyDescent="0.3">
      <c r="A1041" s="2">
        <v>1040</v>
      </c>
      <c r="B1041" s="2" t="s">
        <v>2234</v>
      </c>
      <c r="C1041" s="2" t="s">
        <v>3120</v>
      </c>
      <c r="D1041" s="2" t="s">
        <v>15</v>
      </c>
      <c r="E1041" s="2" t="s">
        <v>16</v>
      </c>
      <c r="F1041" s="2">
        <v>30</v>
      </c>
      <c r="G1041" s="2" t="s">
        <v>3411</v>
      </c>
      <c r="H1041" s="2" t="s">
        <v>522</v>
      </c>
      <c r="I1041" s="2" t="s">
        <v>32</v>
      </c>
      <c r="J1041" s="3">
        <v>43996</v>
      </c>
      <c r="K1041" s="2">
        <v>26</v>
      </c>
      <c r="L1041" s="2" t="s">
        <v>80</v>
      </c>
      <c r="M1041" s="3"/>
    </row>
    <row r="1042" spans="1:13" x14ac:dyDescent="0.3">
      <c r="A1042" s="2">
        <v>1041</v>
      </c>
      <c r="B1042" s="2" t="s">
        <v>3412</v>
      </c>
      <c r="C1042" s="2" t="s">
        <v>3413</v>
      </c>
      <c r="D1042" s="2" t="s">
        <v>51</v>
      </c>
      <c r="E1042" s="2" t="s">
        <v>16</v>
      </c>
      <c r="F1042" s="2">
        <v>60</v>
      </c>
      <c r="G1042" s="2" t="s">
        <v>3414</v>
      </c>
      <c r="H1042" s="2" t="s">
        <v>458</v>
      </c>
      <c r="I1042" s="2" t="s">
        <v>294</v>
      </c>
      <c r="J1042" s="3"/>
      <c r="K1042" s="2">
        <v>58</v>
      </c>
      <c r="L1042" s="2" t="s">
        <v>20</v>
      </c>
      <c r="M1042" s="3"/>
    </row>
    <row r="1043" spans="1:13" x14ac:dyDescent="0.3">
      <c r="A1043" s="2">
        <v>1042</v>
      </c>
      <c r="B1043" s="2" t="s">
        <v>3415</v>
      </c>
      <c r="C1043" s="2" t="s">
        <v>3416</v>
      </c>
      <c r="D1043" s="2" t="s">
        <v>15</v>
      </c>
      <c r="E1043" s="2" t="s">
        <v>16</v>
      </c>
      <c r="F1043" s="2">
        <v>60</v>
      </c>
      <c r="G1043" s="2" t="s">
        <v>3417</v>
      </c>
      <c r="H1043" s="2" t="s">
        <v>3418</v>
      </c>
      <c r="I1043" s="2" t="s">
        <v>32</v>
      </c>
      <c r="J1043" s="3">
        <v>44789</v>
      </c>
      <c r="K1043" s="2">
        <v>65</v>
      </c>
      <c r="L1043" s="2" t="s">
        <v>54</v>
      </c>
      <c r="M1043" s="3"/>
    </row>
    <row r="1044" spans="1:13" x14ac:dyDescent="0.3">
      <c r="A1044" s="2">
        <v>1043</v>
      </c>
      <c r="B1044" s="2" t="s">
        <v>2424</v>
      </c>
      <c r="C1044" s="2" t="s">
        <v>3419</v>
      </c>
      <c r="D1044" s="2" t="s">
        <v>28</v>
      </c>
      <c r="E1044" s="2" t="s">
        <v>29</v>
      </c>
      <c r="F1044" s="2">
        <v>30</v>
      </c>
      <c r="G1044" s="2" t="s">
        <v>3420</v>
      </c>
      <c r="H1044" s="2" t="s">
        <v>3421</v>
      </c>
      <c r="I1044" s="2" t="s">
        <v>25</v>
      </c>
      <c r="J1044" s="3">
        <v>44835</v>
      </c>
      <c r="K1044" s="2">
        <v>78</v>
      </c>
      <c r="L1044" s="2" t="s">
        <v>20</v>
      </c>
      <c r="M1044" s="3"/>
    </row>
    <row r="1045" spans="1:13" x14ac:dyDescent="0.3">
      <c r="A1045" s="2">
        <v>1044</v>
      </c>
      <c r="B1045" s="2" t="s">
        <v>2941</v>
      </c>
      <c r="C1045" s="2" t="s">
        <v>3422</v>
      </c>
      <c r="D1045" s="2" t="s">
        <v>28</v>
      </c>
      <c r="E1045" s="2" t="s">
        <v>29</v>
      </c>
      <c r="F1045" s="2">
        <v>30</v>
      </c>
      <c r="G1045" s="2" t="s">
        <v>3423</v>
      </c>
      <c r="H1045" s="2" t="s">
        <v>3424</v>
      </c>
      <c r="I1045" s="2" t="s">
        <v>32</v>
      </c>
      <c r="J1045" s="3">
        <v>44120</v>
      </c>
      <c r="K1045" s="2">
        <v>63</v>
      </c>
      <c r="L1045" s="2" t="s">
        <v>54</v>
      </c>
      <c r="M1045" s="3"/>
    </row>
    <row r="1046" spans="1:13" x14ac:dyDescent="0.3">
      <c r="A1046" s="2">
        <v>1045</v>
      </c>
      <c r="B1046" s="2" t="s">
        <v>3425</v>
      </c>
      <c r="C1046" s="2" t="s">
        <v>3426</v>
      </c>
      <c r="D1046" s="2" t="s">
        <v>15</v>
      </c>
      <c r="E1046" s="2" t="s">
        <v>16</v>
      </c>
      <c r="F1046" s="2">
        <v>30</v>
      </c>
      <c r="G1046" s="2" t="s">
        <v>3427</v>
      </c>
      <c r="H1046" s="2" t="s">
        <v>3428</v>
      </c>
      <c r="I1046" s="2" t="s">
        <v>38</v>
      </c>
      <c r="J1046" s="3">
        <v>44784</v>
      </c>
      <c r="K1046" s="2">
        <v>100</v>
      </c>
      <c r="L1046" s="2" t="s">
        <v>39</v>
      </c>
      <c r="M1046" s="3"/>
    </row>
    <row r="1047" spans="1:13" x14ac:dyDescent="0.3">
      <c r="A1047" s="2">
        <v>1046</v>
      </c>
      <c r="B1047" s="2" t="s">
        <v>3429</v>
      </c>
      <c r="C1047" s="2" t="s">
        <v>3430</v>
      </c>
      <c r="D1047" s="2" t="s">
        <v>28</v>
      </c>
      <c r="E1047" s="2" t="s">
        <v>29</v>
      </c>
      <c r="F1047" s="2">
        <v>30</v>
      </c>
      <c r="G1047" s="2" t="s">
        <v>3431</v>
      </c>
      <c r="H1047" s="2" t="s">
        <v>2681</v>
      </c>
      <c r="I1047" s="2" t="s">
        <v>686</v>
      </c>
      <c r="J1047" s="3">
        <v>43955</v>
      </c>
      <c r="K1047" s="2">
        <v>5</v>
      </c>
      <c r="L1047" s="2" t="s">
        <v>20</v>
      </c>
      <c r="M1047" s="3"/>
    </row>
    <row r="1048" spans="1:13" x14ac:dyDescent="0.3">
      <c r="A1048" s="2">
        <v>1047</v>
      </c>
      <c r="B1048" s="2" t="s">
        <v>1677</v>
      </c>
      <c r="C1048" s="2" t="s">
        <v>1222</v>
      </c>
      <c r="D1048" s="2" t="s">
        <v>28</v>
      </c>
      <c r="E1048" s="2" t="s">
        <v>29</v>
      </c>
      <c r="F1048" s="2">
        <v>90</v>
      </c>
      <c r="G1048" s="2" t="s">
        <v>3432</v>
      </c>
      <c r="H1048" s="2" t="s">
        <v>3433</v>
      </c>
      <c r="I1048" s="2" t="s">
        <v>1199</v>
      </c>
      <c r="J1048" s="3">
        <v>44098</v>
      </c>
      <c r="K1048" s="2">
        <v>18</v>
      </c>
      <c r="L1048" s="2" t="s">
        <v>159</v>
      </c>
      <c r="M1048" s="3"/>
    </row>
    <row r="1049" spans="1:13" x14ac:dyDescent="0.3">
      <c r="A1049" s="2">
        <v>1048</v>
      </c>
      <c r="B1049" s="2" t="s">
        <v>3434</v>
      </c>
      <c r="C1049" s="2" t="s">
        <v>3435</v>
      </c>
      <c r="D1049" s="2" t="s">
        <v>51</v>
      </c>
      <c r="E1049" s="2" t="s">
        <v>16</v>
      </c>
      <c r="F1049" s="2">
        <v>60</v>
      </c>
      <c r="G1049" s="2" t="s">
        <v>3436</v>
      </c>
      <c r="H1049" s="2" t="s">
        <v>3437</v>
      </c>
      <c r="I1049" s="2" t="s">
        <v>100</v>
      </c>
      <c r="J1049" s="3">
        <v>44397</v>
      </c>
      <c r="K1049" s="2">
        <v>17</v>
      </c>
      <c r="L1049" s="2" t="s">
        <v>54</v>
      </c>
      <c r="M1049" s="3"/>
    </row>
    <row r="1050" spans="1:13" x14ac:dyDescent="0.3">
      <c r="A1050" s="2">
        <v>1049</v>
      </c>
      <c r="B1050" s="2" t="s">
        <v>3438</v>
      </c>
      <c r="C1050" s="2" t="s">
        <v>3439</v>
      </c>
      <c r="D1050" s="2" t="s">
        <v>28</v>
      </c>
      <c r="E1050" s="2" t="s">
        <v>29</v>
      </c>
      <c r="F1050" s="2">
        <v>30</v>
      </c>
      <c r="G1050" s="2" t="s">
        <v>3440</v>
      </c>
      <c r="H1050" s="2" t="s">
        <v>2629</v>
      </c>
      <c r="I1050" s="2" t="s">
        <v>95</v>
      </c>
      <c r="J1050" s="3">
        <v>44775</v>
      </c>
      <c r="K1050" s="2">
        <v>7</v>
      </c>
      <c r="L1050" s="2" t="s">
        <v>64</v>
      </c>
      <c r="M1050" s="3"/>
    </row>
    <row r="1051" spans="1:13" x14ac:dyDescent="0.3">
      <c r="A1051" s="2">
        <v>1050</v>
      </c>
      <c r="B1051" s="2" t="s">
        <v>3441</v>
      </c>
      <c r="C1051" s="2" t="s">
        <v>2174</v>
      </c>
      <c r="D1051" s="2" t="s">
        <v>28</v>
      </c>
      <c r="E1051" s="2" t="s">
        <v>29</v>
      </c>
      <c r="F1051" s="2">
        <v>30</v>
      </c>
      <c r="G1051" s="2" t="s">
        <v>3442</v>
      </c>
      <c r="H1051" s="2" t="s">
        <v>2218</v>
      </c>
      <c r="I1051" s="2" t="s">
        <v>173</v>
      </c>
      <c r="J1051" s="3">
        <v>44139</v>
      </c>
      <c r="K1051" s="2">
        <v>15</v>
      </c>
      <c r="L1051" s="2" t="s">
        <v>20</v>
      </c>
      <c r="M1051" s="3"/>
    </row>
    <row r="1052" spans="1:13" x14ac:dyDescent="0.3">
      <c r="A1052" s="2">
        <v>1051</v>
      </c>
      <c r="B1052" s="2" t="s">
        <v>3443</v>
      </c>
      <c r="C1052" s="2" t="s">
        <v>3444</v>
      </c>
      <c r="D1052" s="2" t="s">
        <v>28</v>
      </c>
      <c r="E1052" s="2" t="s">
        <v>29</v>
      </c>
      <c r="F1052" s="2">
        <v>30</v>
      </c>
      <c r="G1052" s="2" t="s">
        <v>3445</v>
      </c>
      <c r="H1052" s="2" t="s">
        <v>3446</v>
      </c>
      <c r="I1052" s="2" t="s">
        <v>32</v>
      </c>
      <c r="J1052" s="3">
        <v>44378</v>
      </c>
      <c r="K1052" s="2">
        <v>13</v>
      </c>
      <c r="L1052" s="2" t="s">
        <v>64</v>
      </c>
      <c r="M1052" s="3"/>
    </row>
    <row r="1053" spans="1:13" x14ac:dyDescent="0.3">
      <c r="A1053" s="2">
        <v>1052</v>
      </c>
      <c r="B1053" s="2" t="s">
        <v>1657</v>
      </c>
      <c r="C1053" s="2" t="s">
        <v>3447</v>
      </c>
      <c r="D1053" s="2" t="s">
        <v>28</v>
      </c>
      <c r="E1053" s="2" t="s">
        <v>29</v>
      </c>
      <c r="F1053" s="2">
        <v>90</v>
      </c>
      <c r="G1053" s="2" t="s">
        <v>3448</v>
      </c>
      <c r="H1053" s="2" t="s">
        <v>3449</v>
      </c>
      <c r="I1053" s="2" t="s">
        <v>187</v>
      </c>
      <c r="J1053" s="3">
        <v>44287</v>
      </c>
      <c r="K1053" s="2">
        <v>66</v>
      </c>
      <c r="L1053" s="2" t="s">
        <v>64</v>
      </c>
      <c r="M1053" s="3"/>
    </row>
    <row r="1054" spans="1:13" x14ac:dyDescent="0.3">
      <c r="A1054" s="2">
        <v>1053</v>
      </c>
      <c r="B1054" s="2" t="s">
        <v>3450</v>
      </c>
      <c r="C1054" s="2" t="s">
        <v>2254</v>
      </c>
      <c r="D1054" s="2" t="s">
        <v>51</v>
      </c>
      <c r="E1054" s="2" t="s">
        <v>16</v>
      </c>
      <c r="F1054" s="2">
        <v>60</v>
      </c>
      <c r="G1054" s="2" t="s">
        <v>3448</v>
      </c>
      <c r="H1054" s="2" t="s">
        <v>3134</v>
      </c>
      <c r="I1054" s="2" t="s">
        <v>294</v>
      </c>
      <c r="J1054" s="3">
        <v>44536</v>
      </c>
      <c r="K1054" s="2">
        <v>5</v>
      </c>
      <c r="L1054" s="2" t="s">
        <v>45</v>
      </c>
      <c r="M1054" s="3"/>
    </row>
    <row r="1055" spans="1:13" x14ac:dyDescent="0.3">
      <c r="A1055" s="2">
        <v>1054</v>
      </c>
      <c r="B1055" s="2" t="s">
        <v>3451</v>
      </c>
      <c r="C1055" s="2" t="s">
        <v>492</v>
      </c>
      <c r="D1055" s="2" t="s">
        <v>51</v>
      </c>
      <c r="E1055" s="2" t="s">
        <v>16</v>
      </c>
      <c r="F1055" s="2">
        <v>60</v>
      </c>
      <c r="G1055" s="2" t="s">
        <v>3452</v>
      </c>
      <c r="H1055" s="2" t="s">
        <v>579</v>
      </c>
      <c r="I1055" s="2" t="s">
        <v>32</v>
      </c>
      <c r="J1055" s="3">
        <v>44683</v>
      </c>
      <c r="K1055" s="2">
        <v>105</v>
      </c>
      <c r="L1055" s="2" t="s">
        <v>64</v>
      </c>
      <c r="M1055" s="3"/>
    </row>
    <row r="1056" spans="1:13" x14ac:dyDescent="0.3">
      <c r="A1056" s="2">
        <v>1055</v>
      </c>
      <c r="B1056" s="2" t="s">
        <v>3453</v>
      </c>
      <c r="C1056" s="2" t="s">
        <v>3454</v>
      </c>
      <c r="D1056" s="2" t="s">
        <v>15</v>
      </c>
      <c r="E1056" s="2" t="s">
        <v>16</v>
      </c>
      <c r="F1056" s="2">
        <v>90</v>
      </c>
      <c r="G1056" s="2" t="s">
        <v>3455</v>
      </c>
      <c r="H1056" s="2" t="s">
        <v>1660</v>
      </c>
      <c r="I1056" s="2" t="s">
        <v>32</v>
      </c>
      <c r="J1056" s="3">
        <v>44233</v>
      </c>
      <c r="K1056" s="2">
        <v>22</v>
      </c>
      <c r="L1056" s="2" t="s">
        <v>20</v>
      </c>
      <c r="M1056" s="3"/>
    </row>
    <row r="1057" spans="1:13" x14ac:dyDescent="0.3">
      <c r="A1057" s="2">
        <v>1056</v>
      </c>
      <c r="B1057" s="2" t="s">
        <v>3456</v>
      </c>
      <c r="C1057" s="2" t="s">
        <v>3457</v>
      </c>
      <c r="D1057" s="2" t="s">
        <v>51</v>
      </c>
      <c r="E1057" s="2" t="s">
        <v>16</v>
      </c>
      <c r="F1057" s="2">
        <v>90</v>
      </c>
      <c r="G1057" s="2" t="s">
        <v>3458</v>
      </c>
      <c r="H1057" s="2" t="s">
        <v>3459</v>
      </c>
      <c r="I1057" s="2" t="s">
        <v>178</v>
      </c>
      <c r="J1057" s="3">
        <v>43989</v>
      </c>
      <c r="K1057" s="2">
        <v>78</v>
      </c>
      <c r="L1057" s="2" t="s">
        <v>64</v>
      </c>
      <c r="M1057" s="3"/>
    </row>
    <row r="1058" spans="1:13" x14ac:dyDescent="0.3">
      <c r="A1058" s="2">
        <v>1057</v>
      </c>
      <c r="B1058" s="2" t="s">
        <v>3460</v>
      </c>
      <c r="C1058" s="2" t="s">
        <v>1685</v>
      </c>
      <c r="D1058" s="2" t="s">
        <v>28</v>
      </c>
      <c r="E1058" s="2" t="s">
        <v>29</v>
      </c>
      <c r="F1058" s="2">
        <v>30</v>
      </c>
      <c r="G1058" s="2" t="s">
        <v>3461</v>
      </c>
      <c r="H1058" s="2" t="s">
        <v>3462</v>
      </c>
      <c r="I1058" s="2" t="s">
        <v>32</v>
      </c>
      <c r="J1058" s="3">
        <v>44782</v>
      </c>
      <c r="K1058" s="2">
        <v>63</v>
      </c>
      <c r="L1058" s="2" t="s">
        <v>20</v>
      </c>
      <c r="M1058" s="3"/>
    </row>
    <row r="1059" spans="1:13" x14ac:dyDescent="0.3">
      <c r="A1059" s="2">
        <v>1058</v>
      </c>
      <c r="B1059" s="2" t="s">
        <v>3463</v>
      </c>
      <c r="C1059" s="2" t="s">
        <v>3464</v>
      </c>
      <c r="D1059" s="2" t="s">
        <v>28</v>
      </c>
      <c r="E1059" s="2" t="s">
        <v>29</v>
      </c>
      <c r="F1059" s="2">
        <v>30</v>
      </c>
      <c r="G1059" s="2" t="s">
        <v>3465</v>
      </c>
      <c r="H1059" s="2" t="s">
        <v>3466</v>
      </c>
      <c r="I1059" s="2" t="s">
        <v>32</v>
      </c>
      <c r="J1059" s="3">
        <v>44550</v>
      </c>
      <c r="K1059" s="2">
        <v>83</v>
      </c>
      <c r="L1059" s="2" t="s">
        <v>101</v>
      </c>
      <c r="M1059" s="3"/>
    </row>
    <row r="1060" spans="1:13" x14ac:dyDescent="0.3">
      <c r="A1060" s="2">
        <v>1059</v>
      </c>
      <c r="B1060" s="2" t="s">
        <v>909</v>
      </c>
      <c r="C1060" s="2" t="s">
        <v>3467</v>
      </c>
      <c r="D1060" s="2" t="s">
        <v>15</v>
      </c>
      <c r="E1060" s="2" t="s">
        <v>16</v>
      </c>
      <c r="F1060" s="2">
        <v>30</v>
      </c>
      <c r="G1060" s="2" t="s">
        <v>3468</v>
      </c>
      <c r="H1060" s="2" t="s">
        <v>2117</v>
      </c>
      <c r="I1060" s="2" t="s">
        <v>886</v>
      </c>
      <c r="J1060" s="3">
        <v>44743</v>
      </c>
      <c r="K1060" s="2">
        <v>42</v>
      </c>
      <c r="L1060" s="2" t="s">
        <v>159</v>
      </c>
      <c r="M1060" s="3"/>
    </row>
    <row r="1061" spans="1:13" x14ac:dyDescent="0.3">
      <c r="A1061" s="2">
        <v>1060</v>
      </c>
      <c r="B1061" s="2" t="s">
        <v>3469</v>
      </c>
      <c r="C1061" s="2" t="s">
        <v>1132</v>
      </c>
      <c r="D1061" s="2" t="s">
        <v>28</v>
      </c>
      <c r="E1061" s="2" t="s">
        <v>29</v>
      </c>
      <c r="F1061" s="2">
        <v>60</v>
      </c>
      <c r="G1061" s="2" t="s">
        <v>3470</v>
      </c>
      <c r="H1061" s="2" t="s">
        <v>3437</v>
      </c>
      <c r="I1061" s="2" t="s">
        <v>100</v>
      </c>
      <c r="J1061" s="3">
        <v>44248</v>
      </c>
      <c r="K1061" s="2">
        <v>35</v>
      </c>
      <c r="L1061" s="2" t="s">
        <v>54</v>
      </c>
      <c r="M1061" s="3"/>
    </row>
    <row r="1062" spans="1:13" x14ac:dyDescent="0.3">
      <c r="A1062" s="2">
        <v>1061</v>
      </c>
      <c r="B1062" s="2" t="s">
        <v>3471</v>
      </c>
      <c r="C1062" s="2" t="s">
        <v>2858</v>
      </c>
      <c r="D1062" s="2" t="s">
        <v>15</v>
      </c>
      <c r="E1062" s="2" t="s">
        <v>16</v>
      </c>
      <c r="F1062" s="2">
        <v>90</v>
      </c>
      <c r="G1062" s="2" t="s">
        <v>3472</v>
      </c>
      <c r="H1062" s="2" t="s">
        <v>3473</v>
      </c>
      <c r="I1062" s="2" t="s">
        <v>1199</v>
      </c>
      <c r="J1062" s="3">
        <v>44016</v>
      </c>
      <c r="K1062" s="2">
        <v>75</v>
      </c>
      <c r="L1062" s="2" t="s">
        <v>159</v>
      </c>
      <c r="M1062" s="3"/>
    </row>
    <row r="1063" spans="1:13" x14ac:dyDescent="0.3">
      <c r="A1063" s="2">
        <v>1062</v>
      </c>
      <c r="B1063" s="2" t="s">
        <v>1828</v>
      </c>
      <c r="C1063" s="2" t="s">
        <v>3474</v>
      </c>
      <c r="D1063" s="2" t="s">
        <v>28</v>
      </c>
      <c r="E1063" s="2" t="s">
        <v>29</v>
      </c>
      <c r="F1063" s="2">
        <v>30</v>
      </c>
      <c r="G1063" s="2" t="s">
        <v>3475</v>
      </c>
      <c r="H1063" s="2" t="s">
        <v>966</v>
      </c>
      <c r="I1063" s="2" t="s">
        <v>187</v>
      </c>
      <c r="J1063" s="3">
        <v>43977</v>
      </c>
      <c r="K1063" s="2">
        <v>83</v>
      </c>
      <c r="L1063" s="2" t="s">
        <v>80</v>
      </c>
      <c r="M1063" s="3"/>
    </row>
    <row r="1064" spans="1:13" x14ac:dyDescent="0.3">
      <c r="A1064" s="2">
        <v>1063</v>
      </c>
      <c r="B1064" s="2" t="s">
        <v>1828</v>
      </c>
      <c r="C1064" s="2" t="s">
        <v>3474</v>
      </c>
      <c r="D1064" s="2" t="s">
        <v>28</v>
      </c>
      <c r="E1064" s="2" t="s">
        <v>29</v>
      </c>
      <c r="F1064" s="2">
        <v>30</v>
      </c>
      <c r="G1064" s="2" t="s">
        <v>3475</v>
      </c>
      <c r="H1064" s="2" t="s">
        <v>966</v>
      </c>
      <c r="I1064" s="2" t="s">
        <v>187</v>
      </c>
      <c r="J1064" s="3">
        <v>43977</v>
      </c>
      <c r="K1064" s="2">
        <v>83</v>
      </c>
      <c r="L1064" s="2" t="s">
        <v>80</v>
      </c>
      <c r="M1064" s="3"/>
    </row>
    <row r="1065" spans="1:13" x14ac:dyDescent="0.3">
      <c r="A1065" s="2">
        <v>1064</v>
      </c>
      <c r="B1065" s="2" t="s">
        <v>3476</v>
      </c>
      <c r="C1065" s="2" t="s">
        <v>1714</v>
      </c>
      <c r="D1065" s="2" t="s">
        <v>51</v>
      </c>
      <c r="E1065" s="2" t="s">
        <v>16</v>
      </c>
      <c r="F1065" s="2">
        <v>90</v>
      </c>
      <c r="G1065" s="2" t="s">
        <v>3477</v>
      </c>
      <c r="H1065" s="2" t="s">
        <v>455</v>
      </c>
      <c r="I1065" s="2" t="s">
        <v>187</v>
      </c>
      <c r="J1065" s="3">
        <v>44645</v>
      </c>
      <c r="K1065" s="2">
        <v>25</v>
      </c>
      <c r="L1065" s="2" t="s">
        <v>80</v>
      </c>
      <c r="M1065" s="3"/>
    </row>
    <row r="1066" spans="1:13" x14ac:dyDescent="0.3">
      <c r="A1066" s="2">
        <v>1065</v>
      </c>
      <c r="B1066" s="2" t="s">
        <v>3478</v>
      </c>
      <c r="C1066" s="2" t="s">
        <v>3350</v>
      </c>
      <c r="D1066" s="2" t="s">
        <v>28</v>
      </c>
      <c r="E1066" s="2" t="s">
        <v>29</v>
      </c>
      <c r="F1066" s="2">
        <v>90</v>
      </c>
      <c r="G1066" s="2" t="s">
        <v>3479</v>
      </c>
      <c r="H1066" s="2" t="s">
        <v>3480</v>
      </c>
      <c r="I1066" s="2" t="s">
        <v>187</v>
      </c>
      <c r="J1066" s="3">
        <v>44159</v>
      </c>
      <c r="K1066" s="2">
        <v>68</v>
      </c>
      <c r="L1066" s="2" t="s">
        <v>54</v>
      </c>
      <c r="M1066" s="3"/>
    </row>
    <row r="1067" spans="1:13" x14ac:dyDescent="0.3">
      <c r="A1067" s="2">
        <v>1066</v>
      </c>
      <c r="B1067" s="2" t="s">
        <v>390</v>
      </c>
      <c r="C1067" s="2" t="s">
        <v>2181</v>
      </c>
      <c r="D1067" s="2" t="s">
        <v>28</v>
      </c>
      <c r="E1067" s="2" t="s">
        <v>29</v>
      </c>
      <c r="F1067" s="2">
        <v>60</v>
      </c>
      <c r="G1067" s="2" t="s">
        <v>3481</v>
      </c>
      <c r="H1067" s="2" t="s">
        <v>3482</v>
      </c>
      <c r="I1067" s="2" t="s">
        <v>25</v>
      </c>
      <c r="J1067" s="3">
        <v>44012</v>
      </c>
      <c r="K1067" s="2">
        <v>50</v>
      </c>
      <c r="L1067" s="2" t="s">
        <v>70</v>
      </c>
      <c r="M1067" s="3"/>
    </row>
    <row r="1068" spans="1:13" x14ac:dyDescent="0.3">
      <c r="A1068" s="2">
        <v>1067</v>
      </c>
      <c r="B1068" s="2" t="s">
        <v>3483</v>
      </c>
      <c r="C1068" s="2" t="s">
        <v>844</v>
      </c>
      <c r="D1068" s="2" t="s">
        <v>28</v>
      </c>
      <c r="E1068" s="2" t="s">
        <v>29</v>
      </c>
      <c r="F1068" s="2">
        <v>30</v>
      </c>
      <c r="G1068" s="2" t="s">
        <v>3484</v>
      </c>
      <c r="H1068" s="2" t="s">
        <v>2393</v>
      </c>
      <c r="I1068" s="2" t="s">
        <v>1449</v>
      </c>
      <c r="J1068" s="3">
        <v>44104</v>
      </c>
      <c r="K1068" s="2">
        <v>66</v>
      </c>
      <c r="L1068" s="2" t="s">
        <v>70</v>
      </c>
      <c r="M1068" s="3"/>
    </row>
    <row r="1069" spans="1:13" x14ac:dyDescent="0.3">
      <c r="A1069" s="2">
        <v>1068</v>
      </c>
      <c r="B1069" s="2" t="s">
        <v>3453</v>
      </c>
      <c r="C1069" s="2" t="s">
        <v>3485</v>
      </c>
      <c r="D1069" s="2" t="s">
        <v>15</v>
      </c>
      <c r="E1069" s="2" t="s">
        <v>16</v>
      </c>
      <c r="F1069" s="2">
        <v>60</v>
      </c>
      <c r="G1069" s="2" t="s">
        <v>3486</v>
      </c>
      <c r="H1069" s="2" t="s">
        <v>3487</v>
      </c>
      <c r="I1069" s="2" t="s">
        <v>294</v>
      </c>
      <c r="J1069" s="3">
        <v>44797</v>
      </c>
      <c r="K1069" s="2">
        <v>97</v>
      </c>
      <c r="L1069" s="2" t="s">
        <v>39</v>
      </c>
      <c r="M1069" s="3"/>
    </row>
    <row r="1070" spans="1:13" x14ac:dyDescent="0.3">
      <c r="A1070" s="2">
        <v>1069</v>
      </c>
      <c r="B1070" s="2" t="s">
        <v>1677</v>
      </c>
      <c r="C1070" s="2" t="s">
        <v>3488</v>
      </c>
      <c r="D1070" s="2" t="s">
        <v>28</v>
      </c>
      <c r="E1070" s="2" t="s">
        <v>29</v>
      </c>
      <c r="F1070" s="2">
        <v>60</v>
      </c>
      <c r="G1070" s="2" t="s">
        <v>3489</v>
      </c>
      <c r="H1070" s="2" t="s">
        <v>2579</v>
      </c>
      <c r="I1070" s="2" t="s">
        <v>425</v>
      </c>
      <c r="J1070" s="3">
        <v>44101</v>
      </c>
      <c r="K1070" s="2">
        <v>4</v>
      </c>
      <c r="L1070" s="2" t="s">
        <v>54</v>
      </c>
      <c r="M1070" s="3"/>
    </row>
    <row r="1071" spans="1:13" x14ac:dyDescent="0.3">
      <c r="A1071" s="2">
        <v>1070</v>
      </c>
      <c r="B1071" s="2" t="s">
        <v>3490</v>
      </c>
      <c r="C1071" s="2" t="s">
        <v>82</v>
      </c>
      <c r="D1071" s="2" t="s">
        <v>15</v>
      </c>
      <c r="E1071" s="2" t="s">
        <v>16</v>
      </c>
      <c r="F1071" s="2">
        <v>30</v>
      </c>
      <c r="G1071" s="2" t="s">
        <v>3491</v>
      </c>
      <c r="H1071" s="2" t="s">
        <v>3267</v>
      </c>
      <c r="I1071" s="2" t="s">
        <v>124</v>
      </c>
      <c r="J1071" s="3">
        <v>44435</v>
      </c>
      <c r="K1071" s="2">
        <v>81</v>
      </c>
      <c r="L1071" s="2" t="s">
        <v>54</v>
      </c>
      <c r="M1071" s="3"/>
    </row>
    <row r="1072" spans="1:13" x14ac:dyDescent="0.3">
      <c r="A1072" s="2">
        <v>1071</v>
      </c>
      <c r="B1072" s="2" t="s">
        <v>3492</v>
      </c>
      <c r="C1072" s="2" t="s">
        <v>3493</v>
      </c>
      <c r="D1072" s="2" t="s">
        <v>41</v>
      </c>
      <c r="E1072" s="2" t="s">
        <v>16</v>
      </c>
      <c r="F1072" s="2">
        <v>60</v>
      </c>
      <c r="G1072" s="2" t="s">
        <v>3494</v>
      </c>
      <c r="H1072" s="2" t="s">
        <v>3495</v>
      </c>
      <c r="I1072" s="2" t="s">
        <v>1083</v>
      </c>
      <c r="J1072" s="3">
        <v>44325</v>
      </c>
      <c r="K1072" s="2">
        <v>7</v>
      </c>
      <c r="L1072" s="2" t="s">
        <v>70</v>
      </c>
      <c r="M1072" s="3"/>
    </row>
    <row r="1073" spans="1:13" x14ac:dyDescent="0.3">
      <c r="A1073" s="2">
        <v>1072</v>
      </c>
      <c r="B1073" s="2" t="s">
        <v>2520</v>
      </c>
      <c r="C1073" s="2" t="s">
        <v>3496</v>
      </c>
      <c r="D1073" s="2" t="s">
        <v>28</v>
      </c>
      <c r="E1073" s="2" t="s">
        <v>29</v>
      </c>
      <c r="F1073" s="2">
        <v>30</v>
      </c>
      <c r="G1073" s="2" t="s">
        <v>3497</v>
      </c>
      <c r="H1073" s="2" t="s">
        <v>3498</v>
      </c>
      <c r="I1073" s="2" t="s">
        <v>32</v>
      </c>
      <c r="J1073" s="3">
        <v>44054</v>
      </c>
      <c r="K1073" s="2">
        <v>58</v>
      </c>
      <c r="L1073" s="2" t="s">
        <v>159</v>
      </c>
      <c r="M1073" s="3"/>
    </row>
    <row r="1074" spans="1:13" x14ac:dyDescent="0.3">
      <c r="A1074" s="2">
        <v>1073</v>
      </c>
      <c r="B1074" s="2" t="s">
        <v>3444</v>
      </c>
      <c r="C1074" s="2" t="s">
        <v>332</v>
      </c>
      <c r="D1074" s="2" t="s">
        <v>28</v>
      </c>
      <c r="E1074" s="2" t="s">
        <v>29</v>
      </c>
      <c r="F1074" s="2">
        <v>90</v>
      </c>
      <c r="G1074" s="2" t="s">
        <v>3499</v>
      </c>
      <c r="H1074" s="2" t="s">
        <v>3500</v>
      </c>
      <c r="I1074" s="2" t="s">
        <v>25</v>
      </c>
      <c r="J1074" s="3">
        <v>44725</v>
      </c>
      <c r="K1074" s="2">
        <v>65</v>
      </c>
      <c r="L1074" s="2" t="s">
        <v>33</v>
      </c>
      <c r="M1074" s="3"/>
    </row>
    <row r="1075" spans="1:13" x14ac:dyDescent="0.3">
      <c r="A1075" s="2">
        <v>1074</v>
      </c>
      <c r="B1075" s="2" t="s">
        <v>3501</v>
      </c>
      <c r="C1075" s="2" t="s">
        <v>3447</v>
      </c>
      <c r="D1075" s="2" t="s">
        <v>28</v>
      </c>
      <c r="E1075" s="2" t="s">
        <v>29</v>
      </c>
      <c r="F1075" s="2">
        <v>30</v>
      </c>
      <c r="G1075" s="2" t="s">
        <v>3502</v>
      </c>
      <c r="H1075" s="2" t="s">
        <v>1601</v>
      </c>
      <c r="I1075" s="2" t="s">
        <v>32</v>
      </c>
      <c r="J1075" s="3">
        <v>43906</v>
      </c>
      <c r="K1075" s="2">
        <v>73</v>
      </c>
      <c r="L1075" s="2" t="s">
        <v>64</v>
      </c>
      <c r="M1075" s="3"/>
    </row>
    <row r="1076" spans="1:13" x14ac:dyDescent="0.3">
      <c r="A1076" s="2">
        <v>1075</v>
      </c>
      <c r="B1076" s="2" t="s">
        <v>3503</v>
      </c>
      <c r="C1076" s="2" t="s">
        <v>3504</v>
      </c>
      <c r="D1076" s="2" t="s">
        <v>15</v>
      </c>
      <c r="E1076" s="2" t="s">
        <v>16</v>
      </c>
      <c r="F1076" s="2">
        <v>90</v>
      </c>
      <c r="G1076" s="2" t="s">
        <v>3505</v>
      </c>
      <c r="H1076" s="2" t="s">
        <v>3506</v>
      </c>
      <c r="I1076" s="2" t="s">
        <v>124</v>
      </c>
      <c r="J1076" s="3">
        <v>44677</v>
      </c>
      <c r="K1076" s="2">
        <v>105</v>
      </c>
      <c r="L1076" s="2" t="s">
        <v>45</v>
      </c>
      <c r="M1076" s="3"/>
    </row>
    <row r="1077" spans="1:13" x14ac:dyDescent="0.3">
      <c r="A1077" s="2">
        <v>1076</v>
      </c>
      <c r="B1077" s="2" t="s">
        <v>3507</v>
      </c>
      <c r="C1077" s="2" t="s">
        <v>281</v>
      </c>
      <c r="D1077" s="2" t="s">
        <v>15</v>
      </c>
      <c r="E1077" s="2" t="s">
        <v>16</v>
      </c>
      <c r="F1077" s="2">
        <v>90</v>
      </c>
      <c r="G1077" s="2" t="s">
        <v>3508</v>
      </c>
      <c r="H1077" s="2" t="s">
        <v>1269</v>
      </c>
      <c r="I1077" s="2" t="s">
        <v>187</v>
      </c>
      <c r="J1077" s="3">
        <v>43958</v>
      </c>
      <c r="K1077" s="2">
        <v>45</v>
      </c>
      <c r="L1077" s="2" t="s">
        <v>80</v>
      </c>
      <c r="M1077" s="3"/>
    </row>
    <row r="1078" spans="1:13" x14ac:dyDescent="0.3">
      <c r="A1078" s="2">
        <v>1077</v>
      </c>
      <c r="B1078" s="2" t="s">
        <v>1356</v>
      </c>
      <c r="C1078" s="2" t="s">
        <v>3509</v>
      </c>
      <c r="D1078" s="2" t="s">
        <v>28</v>
      </c>
      <c r="E1078" s="2" t="s">
        <v>29</v>
      </c>
      <c r="F1078" s="2">
        <v>60</v>
      </c>
      <c r="G1078" s="2" t="s">
        <v>3510</v>
      </c>
      <c r="H1078" s="2" t="s">
        <v>3511</v>
      </c>
      <c r="I1078" s="2" t="s">
        <v>32</v>
      </c>
      <c r="J1078" s="3">
        <v>44758</v>
      </c>
      <c r="K1078" s="2">
        <v>103</v>
      </c>
      <c r="L1078" s="2" t="s">
        <v>159</v>
      </c>
      <c r="M1078" s="3"/>
    </row>
    <row r="1079" spans="1:13" x14ac:dyDescent="0.3">
      <c r="A1079" s="2">
        <v>1078</v>
      </c>
      <c r="B1079" s="2" t="s">
        <v>3512</v>
      </c>
      <c r="C1079" s="2" t="s">
        <v>3513</v>
      </c>
      <c r="D1079" s="2" t="s">
        <v>51</v>
      </c>
      <c r="E1079" s="2" t="s">
        <v>16</v>
      </c>
      <c r="F1079" s="2">
        <v>90</v>
      </c>
      <c r="G1079" s="2" t="s">
        <v>3514</v>
      </c>
      <c r="H1079" s="2" t="s">
        <v>3161</v>
      </c>
      <c r="I1079" s="2" t="s">
        <v>32</v>
      </c>
      <c r="J1079" s="3">
        <v>44453</v>
      </c>
      <c r="K1079" s="2">
        <v>94</v>
      </c>
      <c r="L1079" s="2" t="s">
        <v>159</v>
      </c>
      <c r="M1079" s="3"/>
    </row>
    <row r="1080" spans="1:13" x14ac:dyDescent="0.3">
      <c r="A1080" s="2">
        <v>1079</v>
      </c>
      <c r="B1080" s="2" t="s">
        <v>3515</v>
      </c>
      <c r="C1080" s="2" t="s">
        <v>1384</v>
      </c>
      <c r="D1080" s="2" t="s">
        <v>28</v>
      </c>
      <c r="E1080" s="2" t="s">
        <v>29</v>
      </c>
      <c r="F1080" s="2">
        <v>60</v>
      </c>
      <c r="G1080" s="2" t="s">
        <v>3516</v>
      </c>
      <c r="H1080" s="2" t="s">
        <v>3517</v>
      </c>
      <c r="I1080" s="2" t="s">
        <v>2543</v>
      </c>
      <c r="J1080" s="3">
        <v>44864</v>
      </c>
      <c r="K1080" s="2">
        <v>7</v>
      </c>
      <c r="L1080" s="2" t="s">
        <v>20</v>
      </c>
      <c r="M1080" s="3"/>
    </row>
    <row r="1081" spans="1:13" x14ac:dyDescent="0.3">
      <c r="A1081" s="2">
        <v>1080</v>
      </c>
      <c r="B1081" s="2" t="s">
        <v>3518</v>
      </c>
      <c r="C1081" s="2" t="s">
        <v>3519</v>
      </c>
      <c r="D1081" s="2" t="s">
        <v>41</v>
      </c>
      <c r="E1081" s="2" t="s">
        <v>16</v>
      </c>
      <c r="F1081" s="2">
        <v>60</v>
      </c>
      <c r="G1081" s="2" t="s">
        <v>3520</v>
      </c>
      <c r="H1081" s="2" t="s">
        <v>933</v>
      </c>
      <c r="I1081" s="2" t="s">
        <v>934</v>
      </c>
      <c r="J1081" s="3">
        <v>44133</v>
      </c>
      <c r="K1081" s="2">
        <v>43</v>
      </c>
      <c r="L1081" s="2" t="s">
        <v>45</v>
      </c>
      <c r="M1081" s="3"/>
    </row>
    <row r="1082" spans="1:13" x14ac:dyDescent="0.3">
      <c r="A1082" s="2">
        <v>1081</v>
      </c>
      <c r="B1082" s="2" t="s">
        <v>3521</v>
      </c>
      <c r="C1082" s="2" t="s">
        <v>3522</v>
      </c>
      <c r="D1082" s="2" t="s">
        <v>15</v>
      </c>
      <c r="E1082" s="2" t="s">
        <v>16</v>
      </c>
      <c r="F1082" s="2">
        <v>90</v>
      </c>
      <c r="G1082" s="2" t="s">
        <v>3523</v>
      </c>
      <c r="H1082" s="2" t="s">
        <v>1969</v>
      </c>
      <c r="I1082" s="2" t="s">
        <v>32</v>
      </c>
      <c r="J1082" s="3">
        <v>44403</v>
      </c>
      <c r="K1082" s="2">
        <v>50</v>
      </c>
      <c r="L1082" s="2" t="s">
        <v>33</v>
      </c>
      <c r="M1082" s="3"/>
    </row>
    <row r="1083" spans="1:13" x14ac:dyDescent="0.3">
      <c r="A1083" s="2">
        <v>1082</v>
      </c>
      <c r="B1083" s="2" t="s">
        <v>1748</v>
      </c>
      <c r="C1083" s="2" t="s">
        <v>2770</v>
      </c>
      <c r="D1083" s="2" t="s">
        <v>28</v>
      </c>
      <c r="E1083" s="2" t="s">
        <v>29</v>
      </c>
      <c r="F1083" s="2">
        <v>60</v>
      </c>
      <c r="G1083" s="2" t="s">
        <v>3524</v>
      </c>
      <c r="H1083" s="2" t="s">
        <v>2555</v>
      </c>
      <c r="I1083" s="2" t="s">
        <v>32</v>
      </c>
      <c r="J1083" s="3">
        <v>44549</v>
      </c>
      <c r="K1083" s="2">
        <v>6</v>
      </c>
      <c r="L1083" s="2" t="s">
        <v>159</v>
      </c>
      <c r="M1083" s="3"/>
    </row>
    <row r="1084" spans="1:13" x14ac:dyDescent="0.3">
      <c r="A1084" s="2">
        <v>1083</v>
      </c>
      <c r="B1084" s="2" t="s">
        <v>3525</v>
      </c>
      <c r="C1084" s="2" t="s">
        <v>1131</v>
      </c>
      <c r="D1084" s="2" t="s">
        <v>51</v>
      </c>
      <c r="E1084" s="2" t="s">
        <v>16</v>
      </c>
      <c r="F1084" s="2">
        <v>30</v>
      </c>
      <c r="G1084" s="2" t="s">
        <v>3526</v>
      </c>
      <c r="H1084" s="2" t="s">
        <v>2848</v>
      </c>
      <c r="I1084" s="2" t="s">
        <v>129</v>
      </c>
      <c r="J1084" s="3">
        <v>43834</v>
      </c>
      <c r="K1084" s="2">
        <v>38</v>
      </c>
      <c r="L1084" s="2" t="s">
        <v>20</v>
      </c>
      <c r="M1084" s="3"/>
    </row>
    <row r="1085" spans="1:13" x14ac:dyDescent="0.3">
      <c r="A1085" s="2">
        <v>1084</v>
      </c>
      <c r="B1085" s="2" t="s">
        <v>3525</v>
      </c>
      <c r="C1085" s="2" t="s">
        <v>1131</v>
      </c>
      <c r="D1085" s="2" t="s">
        <v>51</v>
      </c>
      <c r="E1085" s="2" t="s">
        <v>16</v>
      </c>
      <c r="F1085" s="2">
        <v>30</v>
      </c>
      <c r="G1085" s="2" t="s">
        <v>3526</v>
      </c>
      <c r="H1085" s="2" t="s">
        <v>2848</v>
      </c>
      <c r="I1085" s="2" t="s">
        <v>129</v>
      </c>
      <c r="J1085" s="3">
        <v>43834</v>
      </c>
      <c r="K1085" s="2">
        <v>38</v>
      </c>
      <c r="L1085" s="2" t="s">
        <v>20</v>
      </c>
      <c r="M1085" s="3"/>
    </row>
    <row r="1086" spans="1:13" x14ac:dyDescent="0.3">
      <c r="A1086" s="2">
        <v>1085</v>
      </c>
      <c r="B1086" s="2" t="s">
        <v>2837</v>
      </c>
      <c r="C1086" s="2" t="s">
        <v>3527</v>
      </c>
      <c r="D1086" s="2" t="s">
        <v>28</v>
      </c>
      <c r="E1086" s="2" t="s">
        <v>29</v>
      </c>
      <c r="F1086" s="2">
        <v>60</v>
      </c>
      <c r="G1086" s="2" t="s">
        <v>3528</v>
      </c>
      <c r="H1086" s="2" t="s">
        <v>3506</v>
      </c>
      <c r="I1086" s="2" t="s">
        <v>124</v>
      </c>
      <c r="J1086" s="3">
        <v>43833</v>
      </c>
      <c r="K1086" s="2">
        <v>75</v>
      </c>
      <c r="L1086" s="2" t="s">
        <v>45</v>
      </c>
      <c r="M1086" s="3"/>
    </row>
    <row r="1087" spans="1:13" x14ac:dyDescent="0.3">
      <c r="A1087" s="2">
        <v>1086</v>
      </c>
      <c r="B1087" s="2" t="s">
        <v>237</v>
      </c>
      <c r="C1087" s="2" t="s">
        <v>3529</v>
      </c>
      <c r="D1087" s="2" t="s">
        <v>28</v>
      </c>
      <c r="E1087" s="2" t="s">
        <v>29</v>
      </c>
      <c r="F1087" s="2">
        <v>90</v>
      </c>
      <c r="G1087" s="2" t="s">
        <v>3530</v>
      </c>
      <c r="H1087" s="2" t="s">
        <v>3531</v>
      </c>
      <c r="I1087" s="2" t="s">
        <v>32</v>
      </c>
      <c r="J1087" s="3">
        <v>44848</v>
      </c>
      <c r="K1087" s="2">
        <v>42</v>
      </c>
      <c r="L1087" s="2" t="s">
        <v>101</v>
      </c>
      <c r="M1087" s="3"/>
    </row>
    <row r="1088" spans="1:13" x14ac:dyDescent="0.3">
      <c r="A1088" s="2">
        <v>1087</v>
      </c>
      <c r="B1088" s="2" t="s">
        <v>3532</v>
      </c>
      <c r="C1088" s="2" t="s">
        <v>2309</v>
      </c>
      <c r="D1088" s="2" t="s">
        <v>28</v>
      </c>
      <c r="E1088" s="2" t="s">
        <v>29</v>
      </c>
      <c r="F1088" s="2">
        <v>60</v>
      </c>
      <c r="G1088" s="2" t="s">
        <v>3533</v>
      </c>
      <c r="H1088" s="2" t="s">
        <v>3534</v>
      </c>
      <c r="I1088" s="2" t="s">
        <v>19</v>
      </c>
      <c r="J1088" s="3">
        <v>44275</v>
      </c>
      <c r="K1088" s="2">
        <v>54</v>
      </c>
      <c r="L1088" s="2" t="s">
        <v>54</v>
      </c>
      <c r="M1088" s="3"/>
    </row>
    <row r="1089" spans="1:13" x14ac:dyDescent="0.3">
      <c r="A1089" s="2">
        <v>1088</v>
      </c>
      <c r="B1089" s="2" t="s">
        <v>2106</v>
      </c>
      <c r="C1089" s="2" t="s">
        <v>3535</v>
      </c>
      <c r="D1089" s="2" t="s">
        <v>28</v>
      </c>
      <c r="E1089" s="2" t="s">
        <v>29</v>
      </c>
      <c r="F1089" s="2">
        <v>60</v>
      </c>
      <c r="G1089" s="2" t="s">
        <v>3536</v>
      </c>
      <c r="H1089" s="2" t="s">
        <v>2925</v>
      </c>
      <c r="I1089" s="2" t="s">
        <v>32</v>
      </c>
      <c r="J1089" s="3">
        <v>44002</v>
      </c>
      <c r="K1089" s="2">
        <v>22</v>
      </c>
      <c r="L1089" s="2" t="s">
        <v>54</v>
      </c>
      <c r="M1089" s="3"/>
    </row>
    <row r="1090" spans="1:13" x14ac:dyDescent="0.3">
      <c r="A1090" s="2">
        <v>1089</v>
      </c>
      <c r="B1090" s="2" t="s">
        <v>3537</v>
      </c>
      <c r="C1090" s="2" t="s">
        <v>3538</v>
      </c>
      <c r="D1090" s="2" t="s">
        <v>28</v>
      </c>
      <c r="E1090" s="2" t="s">
        <v>29</v>
      </c>
      <c r="F1090" s="2">
        <v>60</v>
      </c>
      <c r="G1090" s="2" t="s">
        <v>3539</v>
      </c>
      <c r="H1090" s="2" t="s">
        <v>1674</v>
      </c>
      <c r="I1090" s="2" t="s">
        <v>25</v>
      </c>
      <c r="J1090" s="3">
        <v>44684</v>
      </c>
      <c r="K1090" s="2">
        <v>74</v>
      </c>
      <c r="L1090" s="2" t="s">
        <v>33</v>
      </c>
      <c r="M1090" s="3"/>
    </row>
    <row r="1091" spans="1:13" x14ac:dyDescent="0.3">
      <c r="A1091" s="2">
        <v>1090</v>
      </c>
      <c r="B1091" s="2" t="s">
        <v>3540</v>
      </c>
      <c r="C1091" s="2" t="s">
        <v>1578</v>
      </c>
      <c r="D1091" s="2" t="s">
        <v>28</v>
      </c>
      <c r="E1091" s="2" t="s">
        <v>29</v>
      </c>
      <c r="F1091" s="2">
        <v>30</v>
      </c>
      <c r="G1091" s="2" t="s">
        <v>3539</v>
      </c>
      <c r="H1091" s="2" t="s">
        <v>3541</v>
      </c>
      <c r="I1091" s="2" t="s">
        <v>32</v>
      </c>
      <c r="J1091" s="3">
        <v>44738</v>
      </c>
      <c r="K1091" s="2">
        <v>96</v>
      </c>
      <c r="L1091" s="2" t="s">
        <v>159</v>
      </c>
      <c r="M1091" s="3"/>
    </row>
    <row r="1092" spans="1:13" x14ac:dyDescent="0.3">
      <c r="A1092" s="2">
        <v>1091</v>
      </c>
      <c r="B1092" s="2" t="s">
        <v>1383</v>
      </c>
      <c r="C1092" s="2" t="s">
        <v>3542</v>
      </c>
      <c r="D1092" s="2" t="s">
        <v>28</v>
      </c>
      <c r="E1092" s="2" t="s">
        <v>29</v>
      </c>
      <c r="F1092" s="2">
        <v>30</v>
      </c>
      <c r="G1092" s="2" t="s">
        <v>3543</v>
      </c>
      <c r="H1092" s="2" t="s">
        <v>412</v>
      </c>
      <c r="I1092" s="2" t="s">
        <v>187</v>
      </c>
      <c r="J1092" s="3">
        <v>44415</v>
      </c>
      <c r="K1092" s="2">
        <v>94</v>
      </c>
      <c r="L1092" s="2" t="s">
        <v>20</v>
      </c>
      <c r="M1092" s="3"/>
    </row>
    <row r="1093" spans="1:13" x14ac:dyDescent="0.3">
      <c r="A1093" s="2">
        <v>1092</v>
      </c>
      <c r="B1093" s="2" t="s">
        <v>3544</v>
      </c>
      <c r="C1093" s="2" t="s">
        <v>2951</v>
      </c>
      <c r="D1093" s="2" t="s">
        <v>28</v>
      </c>
      <c r="E1093" s="2" t="s">
        <v>29</v>
      </c>
      <c r="F1093" s="2">
        <v>90</v>
      </c>
      <c r="G1093" s="2" t="s">
        <v>3543</v>
      </c>
      <c r="H1093" s="2" t="s">
        <v>3545</v>
      </c>
      <c r="I1093" s="2" t="s">
        <v>32</v>
      </c>
      <c r="J1093" s="3">
        <v>44011</v>
      </c>
      <c r="K1093" s="2">
        <v>35</v>
      </c>
      <c r="L1093" s="2" t="s">
        <v>64</v>
      </c>
      <c r="M1093" s="3"/>
    </row>
    <row r="1094" spans="1:13" x14ac:dyDescent="0.3">
      <c r="A1094" s="2">
        <v>1093</v>
      </c>
      <c r="B1094" s="2" t="s">
        <v>2922</v>
      </c>
      <c r="C1094" s="2" t="s">
        <v>3546</v>
      </c>
      <c r="D1094" s="2" t="s">
        <v>51</v>
      </c>
      <c r="E1094" s="2" t="s">
        <v>16</v>
      </c>
      <c r="F1094" s="2">
        <v>90</v>
      </c>
      <c r="G1094" s="2" t="s">
        <v>3547</v>
      </c>
      <c r="H1094" s="2" t="s">
        <v>68</v>
      </c>
      <c r="I1094" s="2" t="s">
        <v>69</v>
      </c>
      <c r="J1094" s="3">
        <v>44436</v>
      </c>
      <c r="K1094" s="2">
        <v>81</v>
      </c>
      <c r="L1094" s="2" t="s">
        <v>70</v>
      </c>
      <c r="M1094" s="3"/>
    </row>
    <row r="1095" spans="1:13" x14ac:dyDescent="0.3">
      <c r="A1095" s="2">
        <v>1094</v>
      </c>
      <c r="B1095" s="2" t="s">
        <v>3548</v>
      </c>
      <c r="C1095" s="2" t="s">
        <v>3549</v>
      </c>
      <c r="D1095" s="2" t="s">
        <v>28</v>
      </c>
      <c r="E1095" s="2" t="s">
        <v>29</v>
      </c>
      <c r="F1095" s="2">
        <v>60</v>
      </c>
      <c r="G1095" s="2" t="s">
        <v>3550</v>
      </c>
      <c r="H1095" s="2" t="s">
        <v>3551</v>
      </c>
      <c r="I1095" s="2" t="s">
        <v>32</v>
      </c>
      <c r="J1095" s="3">
        <v>44917</v>
      </c>
      <c r="K1095" s="2">
        <v>66</v>
      </c>
      <c r="L1095" s="2" t="s">
        <v>54</v>
      </c>
      <c r="M1095" s="3"/>
    </row>
    <row r="1096" spans="1:13" x14ac:dyDescent="0.3">
      <c r="A1096" s="2">
        <v>1095</v>
      </c>
      <c r="B1096" s="2" t="s">
        <v>249</v>
      </c>
      <c r="C1096" s="2" t="s">
        <v>3552</v>
      </c>
      <c r="D1096" s="2" t="s">
        <v>28</v>
      </c>
      <c r="E1096" s="2" t="s">
        <v>29</v>
      </c>
      <c r="F1096" s="2">
        <v>60</v>
      </c>
      <c r="G1096" s="2" t="s">
        <v>3553</v>
      </c>
      <c r="H1096" s="2" t="s">
        <v>3554</v>
      </c>
      <c r="I1096" s="2" t="s">
        <v>32</v>
      </c>
      <c r="J1096" s="3">
        <v>44704</v>
      </c>
      <c r="K1096" s="2">
        <v>67</v>
      </c>
      <c r="L1096" s="2" t="s">
        <v>80</v>
      </c>
      <c r="M1096" s="3"/>
    </row>
    <row r="1097" spans="1:13" x14ac:dyDescent="0.3">
      <c r="A1097" s="2">
        <v>1096</v>
      </c>
      <c r="B1097" s="2" t="s">
        <v>3555</v>
      </c>
      <c r="C1097" s="2" t="s">
        <v>3556</v>
      </c>
      <c r="D1097" s="2" t="s">
        <v>51</v>
      </c>
      <c r="E1097" s="2" t="s">
        <v>16</v>
      </c>
      <c r="F1097" s="2">
        <v>30</v>
      </c>
      <c r="G1097" s="2" t="s">
        <v>3557</v>
      </c>
      <c r="H1097" s="2" t="s">
        <v>3558</v>
      </c>
      <c r="I1097" s="2" t="s">
        <v>32</v>
      </c>
      <c r="J1097" s="3">
        <v>44140</v>
      </c>
      <c r="K1097" s="2">
        <v>18</v>
      </c>
      <c r="L1097" s="2" t="s">
        <v>33</v>
      </c>
      <c r="M1097" s="3"/>
    </row>
    <row r="1098" spans="1:13" x14ac:dyDescent="0.3">
      <c r="A1098" s="2">
        <v>1097</v>
      </c>
      <c r="B1098" s="2" t="s">
        <v>3559</v>
      </c>
      <c r="C1098" s="2" t="s">
        <v>3560</v>
      </c>
      <c r="D1098" s="2" t="s">
        <v>15</v>
      </c>
      <c r="E1098" s="2" t="s">
        <v>16</v>
      </c>
      <c r="F1098" s="2">
        <v>60</v>
      </c>
      <c r="G1098" s="2" t="s">
        <v>3561</v>
      </c>
      <c r="H1098" s="2" t="s">
        <v>698</v>
      </c>
      <c r="I1098" s="2" t="s">
        <v>213</v>
      </c>
      <c r="J1098" s="3">
        <v>44607</v>
      </c>
      <c r="K1098" s="2">
        <v>63</v>
      </c>
      <c r="L1098" s="2" t="s">
        <v>39</v>
      </c>
      <c r="M1098" s="3"/>
    </row>
    <row r="1099" spans="1:13" x14ac:dyDescent="0.3">
      <c r="A1099" s="2">
        <v>1098</v>
      </c>
      <c r="B1099" s="2" t="s">
        <v>3073</v>
      </c>
      <c r="C1099" s="2" t="s">
        <v>3560</v>
      </c>
      <c r="D1099" s="2" t="s">
        <v>28</v>
      </c>
      <c r="E1099" s="2" t="s">
        <v>29</v>
      </c>
      <c r="F1099" s="2">
        <v>30</v>
      </c>
      <c r="G1099" s="2" t="s">
        <v>3562</v>
      </c>
      <c r="H1099" s="2" t="s">
        <v>2993</v>
      </c>
      <c r="I1099" s="2" t="s">
        <v>32</v>
      </c>
      <c r="J1099" s="3">
        <v>44918</v>
      </c>
      <c r="K1099" s="2">
        <v>66</v>
      </c>
      <c r="L1099" s="2" t="s">
        <v>54</v>
      </c>
      <c r="M1099" s="3"/>
    </row>
    <row r="1100" spans="1:13" x14ac:dyDescent="0.3">
      <c r="A1100" s="2">
        <v>1099</v>
      </c>
      <c r="B1100" s="2" t="s">
        <v>3563</v>
      </c>
      <c r="C1100" s="2" t="s">
        <v>3564</v>
      </c>
      <c r="D1100" s="2" t="s">
        <v>28</v>
      </c>
      <c r="E1100" s="2" t="s">
        <v>3565</v>
      </c>
      <c r="F1100" s="2">
        <v>90</v>
      </c>
      <c r="G1100" s="2" t="s">
        <v>3566</v>
      </c>
      <c r="H1100" s="2" t="s">
        <v>1605</v>
      </c>
      <c r="I1100" s="2" t="s">
        <v>32</v>
      </c>
      <c r="J1100" s="3">
        <v>44379</v>
      </c>
      <c r="K1100" s="2">
        <v>33</v>
      </c>
      <c r="L1100" s="2" t="s">
        <v>70</v>
      </c>
      <c r="M1100" s="3"/>
    </row>
    <row r="1101" spans="1:13" x14ac:dyDescent="0.3">
      <c r="A1101" s="2">
        <v>1100</v>
      </c>
      <c r="B1101" s="2" t="s">
        <v>3567</v>
      </c>
      <c r="C1101" s="2" t="s">
        <v>1113</v>
      </c>
      <c r="D1101" s="2" t="s">
        <v>92</v>
      </c>
      <c r="E1101" s="2" t="s">
        <v>29</v>
      </c>
      <c r="F1101" s="2">
        <v>30</v>
      </c>
      <c r="G1101" s="2" t="s">
        <v>3568</v>
      </c>
      <c r="H1101" s="2" t="s">
        <v>3203</v>
      </c>
      <c r="I1101" s="2" t="s">
        <v>32</v>
      </c>
      <c r="J1101" s="3">
        <v>44369</v>
      </c>
      <c r="K1101" s="2">
        <v>8</v>
      </c>
      <c r="L1101" s="2" t="s">
        <v>39</v>
      </c>
      <c r="M1101" s="3"/>
    </row>
    <row r="1102" spans="1:13" x14ac:dyDescent="0.3">
      <c r="A1102" s="2">
        <v>1101</v>
      </c>
      <c r="B1102" s="2" t="s">
        <v>2078</v>
      </c>
      <c r="C1102" s="2" t="s">
        <v>3569</v>
      </c>
      <c r="D1102" s="2" t="s">
        <v>28</v>
      </c>
      <c r="E1102" s="2" t="s">
        <v>29</v>
      </c>
      <c r="F1102" s="2">
        <v>60</v>
      </c>
      <c r="G1102" s="2" t="s">
        <v>3570</v>
      </c>
      <c r="H1102" s="2" t="s">
        <v>3571</v>
      </c>
      <c r="I1102" s="2" t="s">
        <v>32</v>
      </c>
      <c r="J1102" s="3">
        <v>44729</v>
      </c>
      <c r="K1102" s="2">
        <v>76</v>
      </c>
      <c r="L1102" s="2" t="s">
        <v>20</v>
      </c>
      <c r="M1102" s="3"/>
    </row>
    <row r="1103" spans="1:13" x14ac:dyDescent="0.3">
      <c r="A1103" s="2">
        <v>1102</v>
      </c>
      <c r="B1103" s="2" t="s">
        <v>3572</v>
      </c>
      <c r="C1103" s="2" t="s">
        <v>272</v>
      </c>
      <c r="D1103" s="2" t="s">
        <v>28</v>
      </c>
      <c r="E1103" s="2" t="s">
        <v>29</v>
      </c>
      <c r="F1103" s="2">
        <v>60</v>
      </c>
      <c r="G1103" s="2" t="s">
        <v>3573</v>
      </c>
      <c r="H1103" s="2" t="s">
        <v>3551</v>
      </c>
      <c r="I1103" s="2" t="s">
        <v>32</v>
      </c>
      <c r="J1103" s="3">
        <v>44080</v>
      </c>
      <c r="K1103" s="2">
        <v>39</v>
      </c>
      <c r="L1103" s="2" t="s">
        <v>70</v>
      </c>
      <c r="M1103" s="3"/>
    </row>
    <row r="1104" spans="1:13" x14ac:dyDescent="0.3">
      <c r="A1104" s="2">
        <v>1103</v>
      </c>
      <c r="B1104" s="2" t="s">
        <v>3574</v>
      </c>
      <c r="C1104" s="2" t="s">
        <v>3575</v>
      </c>
      <c r="D1104" s="2" t="s">
        <v>15</v>
      </c>
      <c r="E1104" s="2" t="s">
        <v>16</v>
      </c>
      <c r="F1104" s="2">
        <v>90</v>
      </c>
      <c r="G1104" s="2" t="s">
        <v>3576</v>
      </c>
      <c r="H1104" s="2" t="s">
        <v>3577</v>
      </c>
      <c r="I1104" s="2" t="s">
        <v>32</v>
      </c>
      <c r="J1104" s="3">
        <v>44589</v>
      </c>
      <c r="K1104" s="2">
        <v>46</v>
      </c>
      <c r="L1104" s="2" t="s">
        <v>54</v>
      </c>
      <c r="M1104" s="3"/>
    </row>
    <row r="1105" spans="1:13" x14ac:dyDescent="0.3">
      <c r="A1105" s="2">
        <v>1104</v>
      </c>
      <c r="B1105" s="2" t="s">
        <v>948</v>
      </c>
      <c r="C1105" s="2" t="s">
        <v>683</v>
      </c>
      <c r="D1105" s="2" t="s">
        <v>28</v>
      </c>
      <c r="E1105" s="2" t="s">
        <v>29</v>
      </c>
      <c r="F1105" s="2">
        <v>60</v>
      </c>
      <c r="G1105" s="2" t="s">
        <v>3578</v>
      </c>
      <c r="H1105" s="2" t="s">
        <v>3579</v>
      </c>
      <c r="I1105" s="2" t="s">
        <v>1576</v>
      </c>
      <c r="J1105" s="3">
        <v>44203</v>
      </c>
      <c r="K1105" s="2">
        <v>26</v>
      </c>
      <c r="L1105" s="2" t="s">
        <v>159</v>
      </c>
      <c r="M1105" s="3"/>
    </row>
    <row r="1106" spans="1:13" x14ac:dyDescent="0.3">
      <c r="A1106" s="2">
        <v>1105</v>
      </c>
      <c r="B1106" s="2" t="s">
        <v>3580</v>
      </c>
      <c r="C1106" s="2" t="s">
        <v>3581</v>
      </c>
      <c r="D1106" s="2" t="s">
        <v>51</v>
      </c>
      <c r="E1106" s="2" t="s">
        <v>16</v>
      </c>
      <c r="F1106" s="2">
        <v>60</v>
      </c>
      <c r="G1106" s="2" t="s">
        <v>3582</v>
      </c>
      <c r="H1106" s="2" t="s">
        <v>2512</v>
      </c>
      <c r="I1106" s="2" t="s">
        <v>32</v>
      </c>
      <c r="J1106" s="3">
        <v>44454</v>
      </c>
      <c r="K1106" s="2">
        <v>29</v>
      </c>
      <c r="L1106" s="2" t="s">
        <v>20</v>
      </c>
      <c r="M1106" s="3"/>
    </row>
    <row r="1107" spans="1:13" x14ac:dyDescent="0.3">
      <c r="A1107" s="2">
        <v>1106</v>
      </c>
      <c r="B1107" s="2" t="s">
        <v>3583</v>
      </c>
      <c r="C1107" s="2" t="s">
        <v>3584</v>
      </c>
      <c r="D1107" s="2" t="s">
        <v>28</v>
      </c>
      <c r="E1107" s="2" t="s">
        <v>29</v>
      </c>
      <c r="F1107" s="2">
        <v>60</v>
      </c>
      <c r="G1107" s="2" t="s">
        <v>3585</v>
      </c>
      <c r="H1107" s="2" t="s">
        <v>2329</v>
      </c>
      <c r="I1107" s="2" t="s">
        <v>2330</v>
      </c>
      <c r="J1107" s="3">
        <v>44013</v>
      </c>
      <c r="K1107" s="2">
        <v>78</v>
      </c>
      <c r="L1107" s="2" t="s">
        <v>80</v>
      </c>
      <c r="M1107" s="3"/>
    </row>
    <row r="1108" spans="1:13" x14ac:dyDescent="0.3">
      <c r="A1108" s="2">
        <v>1107</v>
      </c>
      <c r="B1108" s="2" t="s">
        <v>3586</v>
      </c>
      <c r="C1108" s="2" t="s">
        <v>1313</v>
      </c>
      <c r="D1108" s="2" t="s">
        <v>51</v>
      </c>
      <c r="E1108" s="2" t="s">
        <v>16</v>
      </c>
      <c r="F1108" s="2">
        <v>30</v>
      </c>
      <c r="G1108" s="2" t="s">
        <v>3587</v>
      </c>
      <c r="H1108" s="2" t="s">
        <v>2397</v>
      </c>
      <c r="I1108" s="2" t="s">
        <v>187</v>
      </c>
      <c r="J1108" s="3">
        <v>44299</v>
      </c>
      <c r="K1108" s="2">
        <v>95</v>
      </c>
      <c r="L1108" s="2" t="s">
        <v>33</v>
      </c>
      <c r="M1108" s="3"/>
    </row>
    <row r="1109" spans="1:13" x14ac:dyDescent="0.3">
      <c r="A1109" s="2">
        <v>1108</v>
      </c>
      <c r="B1109" s="2" t="s">
        <v>3588</v>
      </c>
      <c r="C1109" s="2" t="s">
        <v>3589</v>
      </c>
      <c r="D1109" s="2" t="s">
        <v>28</v>
      </c>
      <c r="E1109" s="2" t="s">
        <v>29</v>
      </c>
      <c r="F1109" s="2">
        <v>60</v>
      </c>
      <c r="G1109" s="2" t="s">
        <v>3590</v>
      </c>
      <c r="H1109" s="2" t="s">
        <v>1210</v>
      </c>
      <c r="I1109" s="2" t="s">
        <v>294</v>
      </c>
      <c r="J1109" s="3">
        <v>43892</v>
      </c>
      <c r="K1109" s="2">
        <v>10</v>
      </c>
      <c r="L1109" s="2" t="s">
        <v>54</v>
      </c>
      <c r="M1109" s="3"/>
    </row>
    <row r="1110" spans="1:13" x14ac:dyDescent="0.3">
      <c r="A1110" s="2">
        <v>1109</v>
      </c>
      <c r="B1110" s="2" t="s">
        <v>2837</v>
      </c>
      <c r="C1110" s="2" t="s">
        <v>3591</v>
      </c>
      <c r="D1110" s="2" t="s">
        <v>28</v>
      </c>
      <c r="E1110" s="2" t="s">
        <v>29</v>
      </c>
      <c r="F1110" s="2">
        <v>30</v>
      </c>
      <c r="G1110" s="2" t="s">
        <v>3592</v>
      </c>
      <c r="H1110" s="2" t="s">
        <v>3593</v>
      </c>
      <c r="I1110" s="2" t="s">
        <v>124</v>
      </c>
      <c r="J1110" s="3">
        <v>44004</v>
      </c>
      <c r="K1110" s="2">
        <v>35</v>
      </c>
      <c r="L1110" s="2" t="s">
        <v>45</v>
      </c>
      <c r="M1110" s="3"/>
    </row>
    <row r="1111" spans="1:13" x14ac:dyDescent="0.3">
      <c r="A1111" s="2">
        <v>1110</v>
      </c>
      <c r="B1111" s="2" t="s">
        <v>2381</v>
      </c>
      <c r="C1111" s="2" t="s">
        <v>3594</v>
      </c>
      <c r="D1111" s="2" t="s">
        <v>28</v>
      </c>
      <c r="E1111" s="2" t="s">
        <v>29</v>
      </c>
      <c r="F1111" s="2">
        <v>60</v>
      </c>
      <c r="G1111" s="2" t="s">
        <v>3595</v>
      </c>
      <c r="H1111" s="2" t="s">
        <v>3596</v>
      </c>
      <c r="I1111" s="2" t="s">
        <v>32</v>
      </c>
      <c r="J1111" s="3">
        <v>44233</v>
      </c>
      <c r="K1111" s="2">
        <v>86</v>
      </c>
      <c r="L1111" s="2" t="s">
        <v>70</v>
      </c>
      <c r="M1111" s="3"/>
    </row>
    <row r="1112" spans="1:13" x14ac:dyDescent="0.3">
      <c r="A1112" s="2">
        <v>1111</v>
      </c>
      <c r="B1112" s="2" t="s">
        <v>3597</v>
      </c>
      <c r="C1112" s="2" t="s">
        <v>1192</v>
      </c>
      <c r="D1112" s="2" t="s">
        <v>51</v>
      </c>
      <c r="E1112" s="2" t="s">
        <v>16</v>
      </c>
      <c r="F1112" s="2">
        <v>90</v>
      </c>
      <c r="G1112" s="2" t="s">
        <v>3598</v>
      </c>
      <c r="H1112" s="2" t="s">
        <v>641</v>
      </c>
      <c r="I1112" s="2" t="s">
        <v>294</v>
      </c>
      <c r="J1112" s="3">
        <v>44502</v>
      </c>
      <c r="K1112" s="2">
        <v>30</v>
      </c>
      <c r="L1112" s="2" t="s">
        <v>80</v>
      </c>
      <c r="M1112" s="3"/>
    </row>
    <row r="1113" spans="1:13" x14ac:dyDescent="0.3">
      <c r="A1113" s="2">
        <v>1112</v>
      </c>
      <c r="B1113" s="2" t="s">
        <v>3599</v>
      </c>
      <c r="C1113" s="2" t="s">
        <v>3600</v>
      </c>
      <c r="D1113" s="2" t="s">
        <v>28</v>
      </c>
      <c r="E1113" s="2" t="s">
        <v>29</v>
      </c>
      <c r="F1113" s="2">
        <v>30</v>
      </c>
      <c r="G1113" s="2" t="s">
        <v>3601</v>
      </c>
      <c r="H1113" s="2" t="s">
        <v>1905</v>
      </c>
      <c r="I1113" s="2" t="s">
        <v>187</v>
      </c>
      <c r="J1113" s="3">
        <v>43838</v>
      </c>
      <c r="K1113" s="2">
        <v>4</v>
      </c>
      <c r="L1113" s="2" t="s">
        <v>80</v>
      </c>
      <c r="M1113" s="3"/>
    </row>
    <row r="1114" spans="1:13" x14ac:dyDescent="0.3">
      <c r="A1114" s="2">
        <v>1113</v>
      </c>
      <c r="B1114" s="2" t="s">
        <v>2642</v>
      </c>
      <c r="C1114" s="2" t="s">
        <v>3602</v>
      </c>
      <c r="D1114" s="2" t="s">
        <v>28</v>
      </c>
      <c r="E1114" s="2" t="s">
        <v>29</v>
      </c>
      <c r="F1114" s="2">
        <v>30</v>
      </c>
      <c r="G1114" s="2" t="s">
        <v>3603</v>
      </c>
      <c r="H1114" s="2" t="s">
        <v>2291</v>
      </c>
      <c r="I1114" s="2" t="s">
        <v>25</v>
      </c>
      <c r="J1114" s="3">
        <v>43897</v>
      </c>
      <c r="K1114" s="2">
        <v>42</v>
      </c>
      <c r="L1114" s="2" t="s">
        <v>54</v>
      </c>
      <c r="M1114" s="3"/>
    </row>
    <row r="1115" spans="1:13" x14ac:dyDescent="0.3">
      <c r="A1115" s="2">
        <v>1114</v>
      </c>
      <c r="B1115" s="2" t="s">
        <v>3604</v>
      </c>
      <c r="C1115" s="2" t="s">
        <v>3605</v>
      </c>
      <c r="D1115" s="2" t="s">
        <v>28</v>
      </c>
      <c r="E1115" s="2" t="s">
        <v>29</v>
      </c>
      <c r="F1115" s="2">
        <v>90</v>
      </c>
      <c r="G1115" s="2" t="s">
        <v>3606</v>
      </c>
      <c r="H1115" s="2" t="s">
        <v>1940</v>
      </c>
      <c r="I1115" s="2" t="s">
        <v>294</v>
      </c>
      <c r="J1115" s="3">
        <v>44514</v>
      </c>
      <c r="K1115" s="2">
        <v>31</v>
      </c>
      <c r="L1115" s="2" t="s">
        <v>70</v>
      </c>
      <c r="M1115" s="3"/>
    </row>
    <row r="1116" spans="1:13" x14ac:dyDescent="0.3">
      <c r="A1116" s="2">
        <v>1115</v>
      </c>
      <c r="B1116" s="2" t="s">
        <v>3607</v>
      </c>
      <c r="C1116" s="2" t="s">
        <v>3608</v>
      </c>
      <c r="D1116" s="2" t="s">
        <v>28</v>
      </c>
      <c r="E1116" s="2" t="s">
        <v>29</v>
      </c>
      <c r="F1116" s="2">
        <v>90</v>
      </c>
      <c r="G1116" s="2" t="s">
        <v>3609</v>
      </c>
      <c r="H1116" s="2" t="s">
        <v>3610</v>
      </c>
      <c r="I1116" s="2" t="s">
        <v>32</v>
      </c>
      <c r="J1116" s="3">
        <v>44849</v>
      </c>
      <c r="K1116" s="2">
        <v>48</v>
      </c>
      <c r="L1116" s="2" t="s">
        <v>159</v>
      </c>
      <c r="M1116" s="3"/>
    </row>
    <row r="1117" spans="1:13" x14ac:dyDescent="0.3">
      <c r="A1117" s="2">
        <v>1116</v>
      </c>
      <c r="B1117" s="2" t="s">
        <v>3611</v>
      </c>
      <c r="C1117" s="2" t="s">
        <v>3612</v>
      </c>
      <c r="D1117" s="2" t="s">
        <v>28</v>
      </c>
      <c r="E1117" s="2" t="s">
        <v>29</v>
      </c>
      <c r="F1117" s="2">
        <v>90</v>
      </c>
      <c r="G1117" s="2" t="s">
        <v>3613</v>
      </c>
      <c r="H1117" s="2" t="s">
        <v>526</v>
      </c>
      <c r="I1117" s="2" t="s">
        <v>32</v>
      </c>
      <c r="J1117" s="3">
        <v>44877</v>
      </c>
      <c r="K1117" s="2">
        <v>62</v>
      </c>
      <c r="L1117" s="2" t="s">
        <v>70</v>
      </c>
      <c r="M1117" s="3"/>
    </row>
    <row r="1118" spans="1:13" x14ac:dyDescent="0.3">
      <c r="A1118" s="2">
        <v>1117</v>
      </c>
      <c r="B1118" s="2" t="s">
        <v>714</v>
      </c>
      <c r="C1118" s="2" t="s">
        <v>3614</v>
      </c>
      <c r="D1118" s="2" t="s">
        <v>28</v>
      </c>
      <c r="E1118" s="2" t="s">
        <v>29</v>
      </c>
      <c r="F1118" s="2">
        <v>90</v>
      </c>
      <c r="G1118" s="2" t="s">
        <v>3615</v>
      </c>
      <c r="H1118" s="2" t="s">
        <v>396</v>
      </c>
      <c r="I1118" s="2" t="s">
        <v>32</v>
      </c>
      <c r="J1118" s="3">
        <v>43925</v>
      </c>
      <c r="K1118" s="2">
        <v>17</v>
      </c>
      <c r="L1118" s="2" t="s">
        <v>101</v>
      </c>
      <c r="M1118" s="3"/>
    </row>
    <row r="1119" spans="1:13" x14ac:dyDescent="0.3">
      <c r="A1119" s="2">
        <v>1118</v>
      </c>
      <c r="B1119" s="2" t="s">
        <v>3616</v>
      </c>
      <c r="C1119" s="2" t="s">
        <v>3617</v>
      </c>
      <c r="D1119" s="2" t="s">
        <v>28</v>
      </c>
      <c r="E1119" s="2" t="s">
        <v>29</v>
      </c>
      <c r="F1119" s="2">
        <v>90</v>
      </c>
      <c r="G1119" s="2" t="s">
        <v>3618</v>
      </c>
      <c r="H1119" s="2" t="s">
        <v>3619</v>
      </c>
      <c r="I1119" s="2" t="s">
        <v>575</v>
      </c>
      <c r="J1119" s="3">
        <v>43961</v>
      </c>
      <c r="K1119" s="2">
        <v>47</v>
      </c>
      <c r="L1119" s="2" t="s">
        <v>39</v>
      </c>
      <c r="M1119" s="3"/>
    </row>
    <row r="1120" spans="1:13" x14ac:dyDescent="0.3">
      <c r="A1120" s="2">
        <v>1119</v>
      </c>
      <c r="B1120" s="2" t="s">
        <v>3620</v>
      </c>
      <c r="C1120" s="2" t="s">
        <v>3621</v>
      </c>
      <c r="D1120" s="2" t="s">
        <v>15</v>
      </c>
      <c r="E1120" s="2" t="s">
        <v>16</v>
      </c>
      <c r="F1120" s="2">
        <v>60</v>
      </c>
      <c r="G1120" s="2" t="s">
        <v>3622</v>
      </c>
      <c r="H1120" s="2" t="s">
        <v>772</v>
      </c>
      <c r="I1120" s="2" t="s">
        <v>32</v>
      </c>
      <c r="J1120" s="3">
        <v>43834</v>
      </c>
      <c r="K1120" s="2">
        <v>50</v>
      </c>
      <c r="L1120" s="2" t="s">
        <v>20</v>
      </c>
      <c r="M1120" s="3"/>
    </row>
    <row r="1121" spans="1:13" x14ac:dyDescent="0.3">
      <c r="A1121" s="2">
        <v>1120</v>
      </c>
      <c r="B1121" s="2" t="s">
        <v>3623</v>
      </c>
      <c r="C1121" s="2" t="s">
        <v>3624</v>
      </c>
      <c r="D1121" s="2" t="s">
        <v>28</v>
      </c>
      <c r="E1121" s="2" t="s">
        <v>29</v>
      </c>
      <c r="F1121" s="2">
        <v>90</v>
      </c>
      <c r="G1121" s="2" t="s">
        <v>3625</v>
      </c>
      <c r="H1121" s="2" t="s">
        <v>901</v>
      </c>
      <c r="I1121" s="2" t="s">
        <v>146</v>
      </c>
      <c r="J1121" s="3">
        <v>43850</v>
      </c>
      <c r="K1121" s="2">
        <v>34</v>
      </c>
      <c r="L1121" s="2" t="s">
        <v>80</v>
      </c>
      <c r="M1121" s="3"/>
    </row>
    <row r="1122" spans="1:13" x14ac:dyDescent="0.3">
      <c r="A1122" s="2">
        <v>1121</v>
      </c>
      <c r="B1122" s="2" t="s">
        <v>3626</v>
      </c>
      <c r="C1122" s="2" t="s">
        <v>2939</v>
      </c>
      <c r="D1122" s="2" t="s">
        <v>51</v>
      </c>
      <c r="E1122" s="2" t="s">
        <v>16</v>
      </c>
      <c r="F1122" s="2">
        <v>30</v>
      </c>
      <c r="G1122" s="2" t="s">
        <v>3627</v>
      </c>
      <c r="H1122" s="2" t="s">
        <v>3628</v>
      </c>
      <c r="I1122" s="2" t="s">
        <v>32</v>
      </c>
      <c r="J1122" s="3">
        <v>44548</v>
      </c>
      <c r="K1122" s="2">
        <v>86</v>
      </c>
      <c r="L1122" s="2" t="s">
        <v>54</v>
      </c>
      <c r="M1122" s="3"/>
    </row>
    <row r="1123" spans="1:13" x14ac:dyDescent="0.3">
      <c r="A1123" s="2">
        <v>1122</v>
      </c>
      <c r="B1123" s="2" t="s">
        <v>3629</v>
      </c>
      <c r="C1123" s="2" t="s">
        <v>3630</v>
      </c>
      <c r="D1123" s="2" t="s">
        <v>51</v>
      </c>
      <c r="E1123" s="2" t="s">
        <v>16</v>
      </c>
      <c r="F1123" s="2">
        <v>60</v>
      </c>
      <c r="G1123" s="2" t="s">
        <v>3631</v>
      </c>
      <c r="H1123" s="2" t="s">
        <v>3632</v>
      </c>
      <c r="I1123" s="2" t="s">
        <v>32</v>
      </c>
      <c r="J1123" s="3">
        <v>44814</v>
      </c>
      <c r="K1123" s="2">
        <v>60</v>
      </c>
      <c r="L1123" s="2" t="s">
        <v>20</v>
      </c>
      <c r="M1123" s="3"/>
    </row>
    <row r="1124" spans="1:13" x14ac:dyDescent="0.3">
      <c r="A1124" s="2">
        <v>1123</v>
      </c>
      <c r="B1124" s="2" t="s">
        <v>3633</v>
      </c>
      <c r="C1124" s="2" t="s">
        <v>836</v>
      </c>
      <c r="D1124" s="2" t="s">
        <v>117</v>
      </c>
      <c r="E1124" s="2" t="s">
        <v>16</v>
      </c>
      <c r="F1124" s="2">
        <v>90</v>
      </c>
      <c r="G1124" s="2" t="s">
        <v>3634</v>
      </c>
      <c r="H1124" s="2" t="s">
        <v>3635</v>
      </c>
      <c r="I1124" s="2" t="s">
        <v>1157</v>
      </c>
      <c r="J1124" s="3">
        <v>44205</v>
      </c>
      <c r="K1124" s="2">
        <v>26</v>
      </c>
      <c r="L1124" s="2" t="s">
        <v>45</v>
      </c>
      <c r="M1124" s="3"/>
    </row>
    <row r="1125" spans="1:13" x14ac:dyDescent="0.3">
      <c r="A1125" s="2">
        <v>1124</v>
      </c>
      <c r="B1125" s="2" t="s">
        <v>1427</v>
      </c>
      <c r="C1125" s="2" t="s">
        <v>2826</v>
      </c>
      <c r="D1125" s="2" t="s">
        <v>28</v>
      </c>
      <c r="E1125" s="2" t="s">
        <v>29</v>
      </c>
      <c r="F1125" s="2">
        <v>90</v>
      </c>
      <c r="G1125" s="2" t="s">
        <v>3636</v>
      </c>
      <c r="H1125" s="2" t="s">
        <v>3637</v>
      </c>
      <c r="I1125" s="2" t="s">
        <v>38</v>
      </c>
      <c r="J1125" s="3">
        <v>43934</v>
      </c>
      <c r="K1125" s="2">
        <v>70</v>
      </c>
      <c r="L1125" s="2" t="s">
        <v>45</v>
      </c>
      <c r="M1125" s="3"/>
    </row>
    <row r="1126" spans="1:13" x14ac:dyDescent="0.3">
      <c r="A1126" s="2">
        <v>1125</v>
      </c>
      <c r="B1126" s="2" t="s">
        <v>3638</v>
      </c>
      <c r="C1126" s="2" t="s">
        <v>639</v>
      </c>
      <c r="D1126" s="2" t="s">
        <v>51</v>
      </c>
      <c r="E1126" s="2" t="s">
        <v>16</v>
      </c>
      <c r="F1126" s="2">
        <v>30</v>
      </c>
      <c r="G1126" s="2" t="s">
        <v>3639</v>
      </c>
      <c r="H1126" s="2" t="s">
        <v>3640</v>
      </c>
      <c r="I1126" s="2" t="s">
        <v>187</v>
      </c>
      <c r="J1126" s="3">
        <v>44892</v>
      </c>
      <c r="K1126" s="2">
        <v>41</v>
      </c>
      <c r="L1126" s="2" t="s">
        <v>80</v>
      </c>
      <c r="M1126" s="3"/>
    </row>
    <row r="1127" spans="1:13" x14ac:dyDescent="0.3">
      <c r="A1127" s="2">
        <v>1126</v>
      </c>
      <c r="B1127" s="2" t="s">
        <v>3641</v>
      </c>
      <c r="C1127" s="2" t="s">
        <v>1471</v>
      </c>
      <c r="D1127" s="2" t="s">
        <v>15</v>
      </c>
      <c r="E1127" s="2" t="s">
        <v>16</v>
      </c>
      <c r="F1127" s="2">
        <v>90</v>
      </c>
      <c r="G1127" s="2" t="s">
        <v>3642</v>
      </c>
      <c r="H1127" s="2" t="s">
        <v>458</v>
      </c>
      <c r="I1127" s="2" t="s">
        <v>294</v>
      </c>
      <c r="J1127" s="3">
        <v>44209</v>
      </c>
      <c r="K1127" s="2">
        <v>13</v>
      </c>
      <c r="L1127" s="2" t="s">
        <v>45</v>
      </c>
      <c r="M1127" s="3"/>
    </row>
    <row r="1128" spans="1:13" x14ac:dyDescent="0.3">
      <c r="A1128" s="2">
        <v>1127</v>
      </c>
      <c r="B1128" s="2" t="s">
        <v>1010</v>
      </c>
      <c r="C1128" s="2" t="s">
        <v>821</v>
      </c>
      <c r="D1128" s="2" t="s">
        <v>28</v>
      </c>
      <c r="E1128" s="2" t="s">
        <v>29</v>
      </c>
      <c r="F1128" s="2">
        <v>60</v>
      </c>
      <c r="G1128" s="2" t="s">
        <v>3643</v>
      </c>
      <c r="H1128" s="2" t="s">
        <v>806</v>
      </c>
      <c r="I1128" s="2" t="s">
        <v>178</v>
      </c>
      <c r="J1128" s="3">
        <v>44424</v>
      </c>
      <c r="K1128" s="2">
        <v>13</v>
      </c>
      <c r="L1128" s="2" t="s">
        <v>20</v>
      </c>
      <c r="M1128" s="3"/>
    </row>
    <row r="1129" spans="1:13" x14ac:dyDescent="0.3">
      <c r="A1129" s="2">
        <v>1128</v>
      </c>
      <c r="B1129" s="2" t="s">
        <v>3644</v>
      </c>
      <c r="C1129" s="2" t="s">
        <v>2643</v>
      </c>
      <c r="D1129" s="2" t="s">
        <v>28</v>
      </c>
      <c r="E1129" s="2" t="s">
        <v>29</v>
      </c>
      <c r="F1129" s="2">
        <v>60</v>
      </c>
      <c r="G1129" s="2" t="s">
        <v>3645</v>
      </c>
      <c r="H1129" s="2" t="s">
        <v>3646</v>
      </c>
      <c r="I1129" s="2" t="s">
        <v>32</v>
      </c>
      <c r="J1129" s="3">
        <v>44444</v>
      </c>
      <c r="K1129" s="2">
        <v>23</v>
      </c>
      <c r="L1129" s="2" t="s">
        <v>70</v>
      </c>
      <c r="M1129" s="3"/>
    </row>
    <row r="1130" spans="1:13" x14ac:dyDescent="0.3">
      <c r="A1130" s="2">
        <v>1129</v>
      </c>
      <c r="B1130" s="2" t="s">
        <v>1637</v>
      </c>
      <c r="C1130" s="2" t="s">
        <v>3647</v>
      </c>
      <c r="D1130" s="2" t="s">
        <v>28</v>
      </c>
      <c r="E1130" s="2" t="s">
        <v>29</v>
      </c>
      <c r="F1130" s="2">
        <v>90</v>
      </c>
      <c r="G1130" s="2" t="s">
        <v>3648</v>
      </c>
      <c r="H1130" s="2" t="s">
        <v>416</v>
      </c>
      <c r="I1130" s="2" t="s">
        <v>32</v>
      </c>
      <c r="J1130" s="3">
        <v>43863</v>
      </c>
      <c r="K1130" s="2">
        <v>11</v>
      </c>
      <c r="L1130" s="2" t="s">
        <v>159</v>
      </c>
      <c r="M1130" s="3"/>
    </row>
    <row r="1131" spans="1:13" x14ac:dyDescent="0.3">
      <c r="A1131" s="2">
        <v>1130</v>
      </c>
      <c r="B1131" s="2" t="s">
        <v>3649</v>
      </c>
      <c r="C1131" s="2" t="s">
        <v>1278</v>
      </c>
      <c r="D1131" s="2" t="s">
        <v>15</v>
      </c>
      <c r="E1131" s="2" t="s">
        <v>16</v>
      </c>
      <c r="F1131" s="2">
        <v>30</v>
      </c>
      <c r="G1131" s="2" t="s">
        <v>3650</v>
      </c>
      <c r="H1131" s="2" t="s">
        <v>3651</v>
      </c>
      <c r="I1131" s="2" t="s">
        <v>294</v>
      </c>
      <c r="J1131" s="3">
        <v>43991</v>
      </c>
      <c r="K1131" s="2">
        <v>31</v>
      </c>
      <c r="L1131" s="2" t="s">
        <v>159</v>
      </c>
      <c r="M1131" s="3"/>
    </row>
    <row r="1132" spans="1:13" x14ac:dyDescent="0.3">
      <c r="A1132" s="2">
        <v>1131</v>
      </c>
      <c r="B1132" s="2" t="s">
        <v>831</v>
      </c>
      <c r="C1132" s="2" t="s">
        <v>3652</v>
      </c>
      <c r="D1132" s="2" t="s">
        <v>28</v>
      </c>
      <c r="E1132" s="2" t="s">
        <v>29</v>
      </c>
      <c r="F1132" s="2">
        <v>90</v>
      </c>
      <c r="G1132" s="2" t="s">
        <v>3653</v>
      </c>
      <c r="H1132" s="2" t="s">
        <v>1115</v>
      </c>
      <c r="I1132" s="2" t="s">
        <v>32</v>
      </c>
      <c r="J1132" s="3">
        <v>44389</v>
      </c>
      <c r="K1132" s="2">
        <v>70</v>
      </c>
      <c r="L1132" s="2" t="s">
        <v>70</v>
      </c>
      <c r="M1132" s="3"/>
    </row>
    <row r="1133" spans="1:13" x14ac:dyDescent="0.3">
      <c r="A1133" s="2">
        <v>1132</v>
      </c>
      <c r="B1133" s="2" t="s">
        <v>1812</v>
      </c>
      <c r="C1133" s="2" t="s">
        <v>3243</v>
      </c>
      <c r="D1133" s="2" t="s">
        <v>28</v>
      </c>
      <c r="E1133" s="2" t="s">
        <v>29</v>
      </c>
      <c r="F1133" s="2">
        <v>90</v>
      </c>
      <c r="G1133" s="2" t="s">
        <v>3654</v>
      </c>
      <c r="H1133" s="2" t="s">
        <v>3373</v>
      </c>
      <c r="I1133" s="2" t="s">
        <v>32</v>
      </c>
      <c r="J1133" s="3">
        <v>44848</v>
      </c>
      <c r="K1133" s="2">
        <v>31</v>
      </c>
      <c r="L1133" s="2" t="s">
        <v>70</v>
      </c>
      <c r="M1133" s="3"/>
    </row>
    <row r="1134" spans="1:13" x14ac:dyDescent="0.3">
      <c r="A1134" s="2">
        <v>1133</v>
      </c>
      <c r="B1134" s="2" t="s">
        <v>1812</v>
      </c>
      <c r="C1134" s="2" t="s">
        <v>3243</v>
      </c>
      <c r="D1134" s="2" t="s">
        <v>28</v>
      </c>
      <c r="E1134" s="2" t="s">
        <v>29</v>
      </c>
      <c r="F1134" s="2">
        <v>90</v>
      </c>
      <c r="G1134" s="2" t="s">
        <v>3654</v>
      </c>
      <c r="H1134" s="2" t="s">
        <v>3373</v>
      </c>
      <c r="I1134" s="2" t="s">
        <v>32</v>
      </c>
      <c r="J1134" s="3">
        <v>44848</v>
      </c>
      <c r="K1134" s="2">
        <v>31</v>
      </c>
      <c r="L1134" s="2" t="s">
        <v>70</v>
      </c>
      <c r="M1134" s="3"/>
    </row>
    <row r="1135" spans="1:13" x14ac:dyDescent="0.3">
      <c r="A1135" s="2">
        <v>1134</v>
      </c>
      <c r="B1135" s="2" t="s">
        <v>3655</v>
      </c>
      <c r="C1135" s="2" t="s">
        <v>1737</v>
      </c>
      <c r="D1135" s="2" t="s">
        <v>28</v>
      </c>
      <c r="E1135" s="2" t="s">
        <v>29</v>
      </c>
      <c r="F1135" s="2">
        <v>30</v>
      </c>
      <c r="G1135" s="2" t="s">
        <v>3656</v>
      </c>
      <c r="H1135" s="2" t="s">
        <v>3657</v>
      </c>
      <c r="I1135" s="2" t="s">
        <v>294</v>
      </c>
      <c r="J1135" s="3">
        <v>44047</v>
      </c>
      <c r="K1135" s="2">
        <v>2</v>
      </c>
      <c r="L1135" s="2" t="s">
        <v>80</v>
      </c>
      <c r="M1135" s="3"/>
    </row>
    <row r="1136" spans="1:13" x14ac:dyDescent="0.3">
      <c r="A1136" s="2">
        <v>1135</v>
      </c>
      <c r="B1136" s="2" t="s">
        <v>3441</v>
      </c>
      <c r="C1136" s="2" t="s">
        <v>1345</v>
      </c>
      <c r="D1136" s="2" t="s">
        <v>28</v>
      </c>
      <c r="E1136" s="2" t="s">
        <v>29</v>
      </c>
      <c r="F1136" s="2">
        <v>60</v>
      </c>
      <c r="G1136" s="2" t="s">
        <v>3658</v>
      </c>
      <c r="H1136" s="2" t="s">
        <v>3659</v>
      </c>
      <c r="I1136" s="2" t="s">
        <v>3660</v>
      </c>
      <c r="J1136" s="3">
        <v>44494</v>
      </c>
      <c r="K1136" s="2">
        <v>29</v>
      </c>
      <c r="L1136" s="2" t="s">
        <v>45</v>
      </c>
      <c r="M1136" s="3"/>
    </row>
    <row r="1137" spans="1:13" x14ac:dyDescent="0.3">
      <c r="A1137" s="2">
        <v>1136</v>
      </c>
      <c r="B1137" s="2" t="s">
        <v>2110</v>
      </c>
      <c r="C1137" s="2" t="s">
        <v>3159</v>
      </c>
      <c r="D1137" s="2" t="s">
        <v>28</v>
      </c>
      <c r="E1137" s="2" t="s">
        <v>29</v>
      </c>
      <c r="F1137" s="2">
        <v>90</v>
      </c>
      <c r="G1137" s="2" t="s">
        <v>3661</v>
      </c>
      <c r="H1137" s="2" t="s">
        <v>163</v>
      </c>
      <c r="I1137" s="2" t="s">
        <v>164</v>
      </c>
      <c r="J1137" s="3">
        <v>44774</v>
      </c>
      <c r="K1137" s="2">
        <v>30</v>
      </c>
      <c r="L1137" s="2" t="s">
        <v>39</v>
      </c>
      <c r="M1137" s="3"/>
    </row>
    <row r="1138" spans="1:13" x14ac:dyDescent="0.3">
      <c r="A1138" s="2">
        <v>1137</v>
      </c>
      <c r="B1138" s="2" t="s">
        <v>1569</v>
      </c>
      <c r="C1138" s="2" t="s">
        <v>3662</v>
      </c>
      <c r="D1138" s="2" t="s">
        <v>51</v>
      </c>
      <c r="E1138" s="2" t="s">
        <v>16</v>
      </c>
      <c r="F1138" s="2">
        <v>60</v>
      </c>
      <c r="G1138" s="2" t="s">
        <v>3663</v>
      </c>
      <c r="H1138" s="2" t="s">
        <v>2218</v>
      </c>
      <c r="I1138" s="2" t="s">
        <v>173</v>
      </c>
      <c r="J1138" s="3">
        <v>44801</v>
      </c>
      <c r="K1138" s="2">
        <v>32</v>
      </c>
      <c r="L1138" s="2" t="s">
        <v>45</v>
      </c>
      <c r="M1138" s="3"/>
    </row>
    <row r="1139" spans="1:13" x14ac:dyDescent="0.3">
      <c r="A1139" s="2">
        <v>1138</v>
      </c>
      <c r="B1139" s="2" t="s">
        <v>2209</v>
      </c>
      <c r="C1139" s="2" t="s">
        <v>3664</v>
      </c>
      <c r="D1139" s="2" t="s">
        <v>28</v>
      </c>
      <c r="E1139" s="2" t="s">
        <v>29</v>
      </c>
      <c r="F1139" s="2">
        <v>60</v>
      </c>
      <c r="G1139" s="2" t="s">
        <v>3665</v>
      </c>
      <c r="H1139" s="2" t="s">
        <v>3666</v>
      </c>
      <c r="I1139" s="2" t="s">
        <v>1483</v>
      </c>
      <c r="J1139" s="3">
        <v>44120</v>
      </c>
      <c r="K1139" s="2">
        <v>14</v>
      </c>
      <c r="L1139" s="2" t="s">
        <v>70</v>
      </c>
      <c r="M1139" s="3"/>
    </row>
    <row r="1140" spans="1:13" x14ac:dyDescent="0.3">
      <c r="A1140" s="2">
        <v>1139</v>
      </c>
      <c r="B1140" s="2" t="s">
        <v>3667</v>
      </c>
      <c r="C1140" s="2" t="s">
        <v>3668</v>
      </c>
      <c r="D1140" s="2" t="s">
        <v>28</v>
      </c>
      <c r="E1140" s="2" t="s">
        <v>29</v>
      </c>
      <c r="F1140" s="2">
        <v>90</v>
      </c>
      <c r="G1140" s="2" t="s">
        <v>3669</v>
      </c>
      <c r="H1140" s="2" t="s">
        <v>3670</v>
      </c>
      <c r="I1140" s="2" t="s">
        <v>3671</v>
      </c>
      <c r="J1140" s="3">
        <v>44017</v>
      </c>
      <c r="K1140" s="2">
        <v>34</v>
      </c>
      <c r="L1140" s="2" t="s">
        <v>101</v>
      </c>
      <c r="M1140" s="3"/>
    </row>
    <row r="1141" spans="1:13" x14ac:dyDescent="0.3">
      <c r="A1141" s="2">
        <v>1140</v>
      </c>
      <c r="B1141" s="2" t="s">
        <v>3672</v>
      </c>
      <c r="C1141" s="2" t="s">
        <v>2635</v>
      </c>
      <c r="D1141" s="2" t="s">
        <v>28</v>
      </c>
      <c r="E1141" s="2" t="s">
        <v>29</v>
      </c>
      <c r="F1141" s="2">
        <v>60</v>
      </c>
      <c r="G1141" s="2" t="s">
        <v>3669</v>
      </c>
      <c r="H1141" s="2" t="s">
        <v>3673</v>
      </c>
      <c r="I1141" s="2" t="s">
        <v>777</v>
      </c>
      <c r="J1141" s="3">
        <v>44461</v>
      </c>
      <c r="K1141" s="2">
        <v>43</v>
      </c>
      <c r="L1141" s="2" t="s">
        <v>33</v>
      </c>
      <c r="M1141" s="3"/>
    </row>
    <row r="1142" spans="1:13" x14ac:dyDescent="0.3">
      <c r="A1142" s="2">
        <v>1141</v>
      </c>
      <c r="B1142" s="2" t="s">
        <v>3674</v>
      </c>
      <c r="C1142" s="2" t="s">
        <v>3621</v>
      </c>
      <c r="D1142" s="2" t="s">
        <v>15</v>
      </c>
      <c r="E1142" s="2" t="s">
        <v>16</v>
      </c>
      <c r="F1142" s="2">
        <v>60</v>
      </c>
      <c r="G1142" s="2" t="s">
        <v>3675</v>
      </c>
      <c r="H1142" s="2" t="s">
        <v>2321</v>
      </c>
      <c r="I1142" s="2" t="s">
        <v>129</v>
      </c>
      <c r="J1142" s="3">
        <v>43846</v>
      </c>
      <c r="K1142" s="2">
        <v>4</v>
      </c>
      <c r="L1142" s="2" t="s">
        <v>159</v>
      </c>
      <c r="M1142" s="3"/>
    </row>
    <row r="1143" spans="1:13" x14ac:dyDescent="0.3">
      <c r="A1143" s="2">
        <v>1142</v>
      </c>
      <c r="B1143" s="2" t="s">
        <v>3518</v>
      </c>
      <c r="C1143" s="2" t="s">
        <v>3676</v>
      </c>
      <c r="D1143" s="2" t="s">
        <v>15</v>
      </c>
      <c r="E1143" s="2" t="s">
        <v>16</v>
      </c>
      <c r="F1143" s="2">
        <v>90</v>
      </c>
      <c r="G1143" s="2" t="s">
        <v>3677</v>
      </c>
      <c r="H1143" s="2" t="s">
        <v>3678</v>
      </c>
      <c r="I1143" s="2" t="s">
        <v>32</v>
      </c>
      <c r="J1143" s="3">
        <v>44514</v>
      </c>
      <c r="K1143" s="2">
        <v>5</v>
      </c>
      <c r="L1143" s="2" t="s">
        <v>159</v>
      </c>
      <c r="M1143" s="3"/>
    </row>
    <row r="1144" spans="1:13" x14ac:dyDescent="0.3">
      <c r="A1144" s="2">
        <v>1143</v>
      </c>
      <c r="B1144" s="2" t="s">
        <v>3679</v>
      </c>
      <c r="C1144" s="2" t="s">
        <v>3680</v>
      </c>
      <c r="D1144" s="2" t="s">
        <v>51</v>
      </c>
      <c r="E1144" s="2" t="s">
        <v>16</v>
      </c>
      <c r="F1144" s="2">
        <v>60</v>
      </c>
      <c r="G1144" s="2" t="s">
        <v>3681</v>
      </c>
      <c r="H1144" s="2" t="s">
        <v>3682</v>
      </c>
      <c r="I1144" s="2" t="s">
        <v>178</v>
      </c>
      <c r="J1144" s="3">
        <v>44547</v>
      </c>
      <c r="K1144" s="2">
        <v>22</v>
      </c>
      <c r="L1144" s="2" t="s">
        <v>159</v>
      </c>
      <c r="M1144" s="3"/>
    </row>
    <row r="1145" spans="1:13" x14ac:dyDescent="0.3">
      <c r="A1145" s="2">
        <v>1144</v>
      </c>
      <c r="B1145" s="2" t="s">
        <v>2223</v>
      </c>
      <c r="C1145" s="2" t="s">
        <v>2382</v>
      </c>
      <c r="D1145" s="2" t="s">
        <v>28</v>
      </c>
      <c r="E1145" s="2" t="s">
        <v>29</v>
      </c>
      <c r="F1145" s="2">
        <v>30</v>
      </c>
      <c r="G1145" s="2" t="s">
        <v>3683</v>
      </c>
      <c r="H1145" s="2" t="s">
        <v>1333</v>
      </c>
      <c r="I1145" s="2" t="s">
        <v>294</v>
      </c>
      <c r="J1145" s="3">
        <v>43887</v>
      </c>
      <c r="K1145" s="2">
        <v>80</v>
      </c>
      <c r="L1145" s="2" t="s">
        <v>64</v>
      </c>
      <c r="M1145" s="3"/>
    </row>
    <row r="1146" spans="1:13" x14ac:dyDescent="0.3">
      <c r="A1146" s="2">
        <v>1145</v>
      </c>
      <c r="B1146" s="2" t="s">
        <v>3684</v>
      </c>
      <c r="C1146" s="2" t="s">
        <v>655</v>
      </c>
      <c r="D1146" s="2" t="s">
        <v>51</v>
      </c>
      <c r="E1146" s="2" t="s">
        <v>16</v>
      </c>
      <c r="F1146" s="2">
        <v>30</v>
      </c>
      <c r="G1146" s="2" t="s">
        <v>3685</v>
      </c>
      <c r="H1146" s="2" t="s">
        <v>1741</v>
      </c>
      <c r="I1146" s="2" t="s">
        <v>173</v>
      </c>
      <c r="J1146" s="3">
        <v>44147</v>
      </c>
      <c r="K1146" s="2">
        <v>27</v>
      </c>
      <c r="L1146" s="2" t="s">
        <v>80</v>
      </c>
      <c r="M1146" s="3"/>
    </row>
    <row r="1147" spans="1:13" x14ac:dyDescent="0.3">
      <c r="A1147" s="2">
        <v>1146</v>
      </c>
      <c r="B1147" s="2" t="s">
        <v>3580</v>
      </c>
      <c r="C1147" s="2" t="s">
        <v>3686</v>
      </c>
      <c r="D1147" s="2" t="s">
        <v>51</v>
      </c>
      <c r="E1147" s="2" t="s">
        <v>16</v>
      </c>
      <c r="F1147" s="2">
        <v>90</v>
      </c>
      <c r="G1147" s="2" t="s">
        <v>3687</v>
      </c>
      <c r="H1147" s="2" t="s">
        <v>1103</v>
      </c>
      <c r="I1147" s="2" t="s">
        <v>25</v>
      </c>
      <c r="J1147" s="3">
        <v>44485</v>
      </c>
      <c r="K1147" s="2">
        <v>35</v>
      </c>
      <c r="L1147" s="2" t="s">
        <v>80</v>
      </c>
      <c r="M1147" s="3"/>
    </row>
    <row r="1148" spans="1:13" x14ac:dyDescent="0.3">
      <c r="A1148" s="2">
        <v>1147</v>
      </c>
      <c r="B1148" s="2" t="s">
        <v>3688</v>
      </c>
      <c r="C1148" s="2" t="s">
        <v>3689</v>
      </c>
      <c r="D1148" s="2" t="s">
        <v>28</v>
      </c>
      <c r="E1148" s="2" t="s">
        <v>29</v>
      </c>
      <c r="F1148" s="2">
        <v>30</v>
      </c>
      <c r="G1148" s="2" t="s">
        <v>3687</v>
      </c>
      <c r="H1148" s="2" t="s">
        <v>641</v>
      </c>
      <c r="I1148" s="2" t="s">
        <v>294</v>
      </c>
      <c r="J1148" s="3">
        <v>44374</v>
      </c>
      <c r="K1148" s="2">
        <v>37</v>
      </c>
      <c r="L1148" s="2" t="s">
        <v>33</v>
      </c>
      <c r="M1148" s="3"/>
    </row>
    <row r="1149" spans="1:13" x14ac:dyDescent="0.3">
      <c r="A1149" s="2">
        <v>1148</v>
      </c>
      <c r="B1149" s="2" t="s">
        <v>3690</v>
      </c>
      <c r="C1149" s="2" t="s">
        <v>1658</v>
      </c>
      <c r="D1149" s="2" t="s">
        <v>15</v>
      </c>
      <c r="E1149" s="2" t="s">
        <v>16</v>
      </c>
      <c r="F1149" s="2">
        <v>60</v>
      </c>
      <c r="G1149" s="2" t="s">
        <v>3691</v>
      </c>
      <c r="H1149" s="2" t="s">
        <v>708</v>
      </c>
      <c r="I1149" s="2" t="s">
        <v>294</v>
      </c>
      <c r="J1149" s="3">
        <v>44469</v>
      </c>
      <c r="K1149" s="2">
        <v>76</v>
      </c>
      <c r="L1149" s="2" t="s">
        <v>33</v>
      </c>
      <c r="M1149" s="3"/>
    </row>
    <row r="1150" spans="1:13" x14ac:dyDescent="0.3">
      <c r="A1150" s="2">
        <v>1149</v>
      </c>
      <c r="B1150" s="2" t="s">
        <v>3692</v>
      </c>
      <c r="C1150" s="2" t="s">
        <v>2939</v>
      </c>
      <c r="D1150" s="2" t="s">
        <v>41</v>
      </c>
      <c r="E1150" s="2" t="s">
        <v>16</v>
      </c>
      <c r="F1150" s="2">
        <v>90</v>
      </c>
      <c r="G1150" s="2" t="s">
        <v>3693</v>
      </c>
      <c r="H1150" s="2" t="s">
        <v>2925</v>
      </c>
      <c r="I1150" s="2" t="s">
        <v>32</v>
      </c>
      <c r="J1150" s="3">
        <v>44701</v>
      </c>
      <c r="K1150" s="2">
        <v>19</v>
      </c>
      <c r="L1150" s="2" t="s">
        <v>80</v>
      </c>
      <c r="M1150" s="3"/>
    </row>
    <row r="1151" spans="1:13" x14ac:dyDescent="0.3">
      <c r="A1151" s="2">
        <v>1150</v>
      </c>
      <c r="B1151" s="2" t="s">
        <v>1159</v>
      </c>
      <c r="C1151" s="2" t="s">
        <v>2518</v>
      </c>
      <c r="D1151" s="2" t="s">
        <v>92</v>
      </c>
      <c r="E1151" s="2" t="s">
        <v>29</v>
      </c>
      <c r="F1151" s="2">
        <v>90</v>
      </c>
      <c r="G1151" s="2" t="s">
        <v>3694</v>
      </c>
      <c r="H1151" s="2" t="s">
        <v>3695</v>
      </c>
      <c r="I1151" s="2" t="s">
        <v>173</v>
      </c>
      <c r="J1151" s="3">
        <v>44038</v>
      </c>
      <c r="K1151" s="2">
        <v>39</v>
      </c>
      <c r="L1151" s="2" t="s">
        <v>70</v>
      </c>
      <c r="M1151" s="3"/>
    </row>
    <row r="1152" spans="1:13" x14ac:dyDescent="0.3">
      <c r="A1152" s="2">
        <v>1151</v>
      </c>
      <c r="B1152" s="2" t="s">
        <v>3696</v>
      </c>
      <c r="C1152" s="2" t="s">
        <v>1424</v>
      </c>
      <c r="D1152" s="2" t="s">
        <v>15</v>
      </c>
      <c r="E1152" s="2" t="s">
        <v>16</v>
      </c>
      <c r="F1152" s="2">
        <v>90</v>
      </c>
      <c r="G1152" s="2" t="s">
        <v>3697</v>
      </c>
      <c r="H1152" s="2" t="s">
        <v>3698</v>
      </c>
      <c r="I1152" s="2" t="s">
        <v>294</v>
      </c>
      <c r="J1152" s="3">
        <v>44037</v>
      </c>
      <c r="K1152" s="2">
        <v>9</v>
      </c>
      <c r="L1152" s="2" t="s">
        <v>70</v>
      </c>
      <c r="M1152" s="3"/>
    </row>
    <row r="1153" spans="1:13" x14ac:dyDescent="0.3">
      <c r="A1153" s="2">
        <v>1152</v>
      </c>
      <c r="B1153" s="2" t="s">
        <v>3699</v>
      </c>
      <c r="C1153" s="2" t="s">
        <v>3700</v>
      </c>
      <c r="D1153" s="2" t="s">
        <v>15</v>
      </c>
      <c r="E1153" s="2" t="s">
        <v>16</v>
      </c>
      <c r="F1153" s="2">
        <v>60</v>
      </c>
      <c r="G1153" s="2" t="s">
        <v>3701</v>
      </c>
      <c r="H1153" s="2" t="s">
        <v>3702</v>
      </c>
      <c r="I1153" s="2" t="s">
        <v>25</v>
      </c>
      <c r="J1153" s="3">
        <v>44101</v>
      </c>
      <c r="K1153" s="2">
        <v>55</v>
      </c>
      <c r="L1153" s="2" t="s">
        <v>159</v>
      </c>
      <c r="M1153" s="3"/>
    </row>
    <row r="1154" spans="1:13" x14ac:dyDescent="0.3">
      <c r="A1154" s="2">
        <v>1153</v>
      </c>
      <c r="B1154" s="2" t="s">
        <v>3626</v>
      </c>
      <c r="C1154" s="2" t="s">
        <v>3029</v>
      </c>
      <c r="D1154" s="2" t="s">
        <v>51</v>
      </c>
      <c r="E1154" s="2" t="s">
        <v>16</v>
      </c>
      <c r="F1154" s="2">
        <v>90</v>
      </c>
      <c r="G1154" s="2" t="s">
        <v>3703</v>
      </c>
      <c r="H1154" s="2" t="s">
        <v>3506</v>
      </c>
      <c r="I1154" s="2" t="s">
        <v>124</v>
      </c>
      <c r="J1154" s="3">
        <v>44386</v>
      </c>
      <c r="K1154" s="2">
        <v>92</v>
      </c>
      <c r="L1154" s="2" t="s">
        <v>20</v>
      </c>
      <c r="M1154" s="3"/>
    </row>
    <row r="1155" spans="1:13" x14ac:dyDescent="0.3">
      <c r="A1155" s="2">
        <v>1154</v>
      </c>
      <c r="B1155" s="2" t="s">
        <v>3704</v>
      </c>
      <c r="C1155" s="2" t="s">
        <v>35</v>
      </c>
      <c r="D1155" s="2" t="s">
        <v>51</v>
      </c>
      <c r="E1155" s="2" t="s">
        <v>16</v>
      </c>
      <c r="F1155" s="2">
        <v>30</v>
      </c>
      <c r="G1155" s="2" t="s">
        <v>3705</v>
      </c>
      <c r="H1155" s="2" t="s">
        <v>3635</v>
      </c>
      <c r="I1155" s="2" t="s">
        <v>1157</v>
      </c>
      <c r="J1155" s="3">
        <v>44281</v>
      </c>
      <c r="K1155" s="2">
        <v>45</v>
      </c>
      <c r="L1155" s="2" t="s">
        <v>54</v>
      </c>
      <c r="M1155" s="3"/>
    </row>
    <row r="1156" spans="1:13" x14ac:dyDescent="0.3">
      <c r="A1156" s="2">
        <v>1155</v>
      </c>
      <c r="B1156" s="2" t="s">
        <v>3706</v>
      </c>
      <c r="C1156" s="2" t="s">
        <v>3707</v>
      </c>
      <c r="D1156" s="2" t="s">
        <v>28</v>
      </c>
      <c r="E1156" s="2" t="s">
        <v>29</v>
      </c>
      <c r="F1156" s="2">
        <v>60</v>
      </c>
      <c r="G1156" s="2" t="s">
        <v>3708</v>
      </c>
      <c r="H1156" s="2" t="s">
        <v>3291</v>
      </c>
      <c r="I1156" s="2" t="s">
        <v>124</v>
      </c>
      <c r="J1156" s="3">
        <v>44637</v>
      </c>
      <c r="K1156" s="2">
        <v>35</v>
      </c>
      <c r="L1156" s="2" t="s">
        <v>39</v>
      </c>
      <c r="M1156" s="3"/>
    </row>
    <row r="1157" spans="1:13" x14ac:dyDescent="0.3">
      <c r="A1157" s="2">
        <v>1156</v>
      </c>
      <c r="B1157" s="2" t="s">
        <v>3709</v>
      </c>
      <c r="C1157" s="2" t="s">
        <v>1877</v>
      </c>
      <c r="D1157" s="2" t="s">
        <v>51</v>
      </c>
      <c r="E1157" s="2" t="s">
        <v>16</v>
      </c>
      <c r="F1157" s="2">
        <v>60</v>
      </c>
      <c r="G1157" s="2" t="s">
        <v>3710</v>
      </c>
      <c r="H1157" s="2" t="s">
        <v>370</v>
      </c>
      <c r="I1157" s="2" t="s">
        <v>32</v>
      </c>
      <c r="J1157" s="3">
        <v>44792</v>
      </c>
      <c r="K1157" s="2">
        <v>34</v>
      </c>
      <c r="L1157" s="2" t="s">
        <v>101</v>
      </c>
      <c r="M1157" s="3"/>
    </row>
    <row r="1158" spans="1:13" x14ac:dyDescent="0.3">
      <c r="A1158" s="2">
        <v>1157</v>
      </c>
      <c r="B1158" s="2" t="s">
        <v>3711</v>
      </c>
      <c r="C1158" s="2" t="s">
        <v>3712</v>
      </c>
      <c r="D1158" s="2" t="s">
        <v>28</v>
      </c>
      <c r="E1158" s="2" t="s">
        <v>29</v>
      </c>
      <c r="F1158" s="2">
        <v>30</v>
      </c>
      <c r="G1158" s="2" t="s">
        <v>3710</v>
      </c>
      <c r="H1158" s="2" t="s">
        <v>3713</v>
      </c>
      <c r="I1158" s="2" t="s">
        <v>32</v>
      </c>
      <c r="J1158" s="3">
        <v>44238</v>
      </c>
      <c r="K1158" s="2">
        <v>27</v>
      </c>
      <c r="L1158" s="2" t="s">
        <v>20</v>
      </c>
      <c r="M1158" s="3"/>
    </row>
    <row r="1159" spans="1:13" x14ac:dyDescent="0.3">
      <c r="A1159" s="2">
        <v>1158</v>
      </c>
      <c r="B1159" s="2" t="s">
        <v>3714</v>
      </c>
      <c r="C1159" s="2" t="s">
        <v>2844</v>
      </c>
      <c r="D1159" s="2" t="s">
        <v>28</v>
      </c>
      <c r="E1159" s="2" t="s">
        <v>29</v>
      </c>
      <c r="F1159" s="2">
        <v>90</v>
      </c>
      <c r="G1159" s="2" t="s">
        <v>3715</v>
      </c>
      <c r="H1159" s="2" t="s">
        <v>330</v>
      </c>
      <c r="I1159" s="2" t="s">
        <v>32</v>
      </c>
      <c r="J1159" s="3">
        <v>44213</v>
      </c>
      <c r="K1159" s="2">
        <v>49</v>
      </c>
      <c r="L1159" s="2" t="s">
        <v>45</v>
      </c>
      <c r="M1159" s="3"/>
    </row>
    <row r="1160" spans="1:13" x14ac:dyDescent="0.3">
      <c r="A1160" s="2">
        <v>1159</v>
      </c>
      <c r="B1160" s="2" t="s">
        <v>3716</v>
      </c>
      <c r="C1160" s="2" t="s">
        <v>3717</v>
      </c>
      <c r="D1160" s="2" t="s">
        <v>51</v>
      </c>
      <c r="E1160" s="2" t="s">
        <v>16</v>
      </c>
      <c r="F1160" s="2">
        <v>30</v>
      </c>
      <c r="G1160" s="2" t="s">
        <v>3718</v>
      </c>
      <c r="H1160" s="2" t="s">
        <v>2629</v>
      </c>
      <c r="I1160" s="2" t="s">
        <v>95</v>
      </c>
      <c r="J1160" s="3">
        <v>44162</v>
      </c>
      <c r="K1160" s="2">
        <v>46</v>
      </c>
      <c r="L1160" s="2" t="s">
        <v>80</v>
      </c>
      <c r="M1160" s="3"/>
    </row>
    <row r="1161" spans="1:13" x14ac:dyDescent="0.3">
      <c r="A1161" s="2">
        <v>1160</v>
      </c>
      <c r="B1161" s="2" t="s">
        <v>1881</v>
      </c>
      <c r="C1161" s="2" t="s">
        <v>3719</v>
      </c>
      <c r="D1161" s="2" t="s">
        <v>28</v>
      </c>
      <c r="E1161" s="2" t="s">
        <v>29</v>
      </c>
      <c r="F1161" s="2">
        <v>30</v>
      </c>
      <c r="G1161" s="2" t="s">
        <v>3720</v>
      </c>
      <c r="H1161" s="2" t="s">
        <v>2212</v>
      </c>
      <c r="I1161" s="2" t="s">
        <v>32</v>
      </c>
      <c r="J1161" s="3">
        <v>44296</v>
      </c>
      <c r="K1161" s="2">
        <v>82</v>
      </c>
      <c r="L1161" s="2" t="s">
        <v>64</v>
      </c>
      <c r="M1161" s="3"/>
    </row>
    <row r="1162" spans="1:13" x14ac:dyDescent="0.3">
      <c r="A1162" s="2">
        <v>1161</v>
      </c>
      <c r="B1162" s="2" t="s">
        <v>3721</v>
      </c>
      <c r="C1162" s="2" t="s">
        <v>3722</v>
      </c>
      <c r="D1162" s="2" t="s">
        <v>51</v>
      </c>
      <c r="E1162" s="2" t="s">
        <v>16</v>
      </c>
      <c r="F1162" s="2">
        <v>60</v>
      </c>
      <c r="G1162" s="2" t="s">
        <v>3723</v>
      </c>
      <c r="H1162" s="2" t="s">
        <v>3724</v>
      </c>
      <c r="I1162" s="2" t="s">
        <v>1078</v>
      </c>
      <c r="J1162" s="3">
        <v>44823</v>
      </c>
      <c r="K1162" s="2">
        <v>86</v>
      </c>
      <c r="L1162" s="2" t="s">
        <v>39</v>
      </c>
      <c r="M1162" s="3"/>
    </row>
    <row r="1163" spans="1:13" x14ac:dyDescent="0.3">
      <c r="A1163" s="2">
        <v>1162</v>
      </c>
      <c r="B1163" s="2" t="s">
        <v>503</v>
      </c>
      <c r="C1163" s="2" t="s">
        <v>791</v>
      </c>
      <c r="D1163" s="2" t="s">
        <v>51</v>
      </c>
      <c r="E1163" s="2" t="s">
        <v>16</v>
      </c>
      <c r="F1163" s="2">
        <v>30</v>
      </c>
      <c r="G1163" s="2" t="s">
        <v>3725</v>
      </c>
      <c r="H1163" s="2" t="s">
        <v>2265</v>
      </c>
      <c r="I1163" s="2" t="s">
        <v>1083</v>
      </c>
      <c r="J1163" s="3">
        <v>44756</v>
      </c>
      <c r="K1163" s="2">
        <v>50</v>
      </c>
      <c r="L1163" s="2" t="s">
        <v>33</v>
      </c>
      <c r="M1163" s="3"/>
    </row>
    <row r="1164" spans="1:13" x14ac:dyDescent="0.3">
      <c r="A1164" s="2">
        <v>1163</v>
      </c>
      <c r="B1164" s="2" t="s">
        <v>3726</v>
      </c>
      <c r="C1164" s="2" t="s">
        <v>3727</v>
      </c>
      <c r="D1164" s="2" t="s">
        <v>15</v>
      </c>
      <c r="E1164" s="2" t="s">
        <v>16</v>
      </c>
      <c r="F1164" s="2">
        <v>90</v>
      </c>
      <c r="G1164" s="2" t="s">
        <v>3728</v>
      </c>
      <c r="H1164" s="2" t="s">
        <v>746</v>
      </c>
      <c r="I1164" s="2" t="s">
        <v>32</v>
      </c>
      <c r="J1164" s="3">
        <v>44609</v>
      </c>
      <c r="K1164" s="2">
        <v>29</v>
      </c>
      <c r="L1164" s="2" t="s">
        <v>20</v>
      </c>
      <c r="M1164" s="3"/>
    </row>
    <row r="1165" spans="1:13" x14ac:dyDescent="0.3">
      <c r="A1165" s="2">
        <v>1164</v>
      </c>
      <c r="B1165" s="2" t="s">
        <v>504</v>
      </c>
      <c r="C1165" s="2" t="s">
        <v>1415</v>
      </c>
      <c r="D1165" s="2" t="s">
        <v>28</v>
      </c>
      <c r="E1165" s="2" t="s">
        <v>29</v>
      </c>
      <c r="F1165" s="2">
        <v>60</v>
      </c>
      <c r="G1165" s="2" t="s">
        <v>3729</v>
      </c>
      <c r="H1165" s="2" t="s">
        <v>3730</v>
      </c>
      <c r="I1165" s="2" t="s">
        <v>32</v>
      </c>
      <c r="J1165" s="3">
        <v>44432</v>
      </c>
      <c r="K1165" s="2">
        <v>18</v>
      </c>
      <c r="L1165" s="2" t="s">
        <v>101</v>
      </c>
      <c r="M1165" s="3"/>
    </row>
    <row r="1166" spans="1:13" x14ac:dyDescent="0.3">
      <c r="A1166" s="2">
        <v>1165</v>
      </c>
      <c r="B1166" s="2" t="s">
        <v>3731</v>
      </c>
      <c r="C1166" s="2" t="s">
        <v>3732</v>
      </c>
      <c r="D1166" s="2" t="s">
        <v>28</v>
      </c>
      <c r="E1166" s="2" t="s">
        <v>29</v>
      </c>
      <c r="F1166" s="2">
        <v>60</v>
      </c>
      <c r="G1166" s="2" t="s">
        <v>3733</v>
      </c>
      <c r="H1166" s="2" t="s">
        <v>2934</v>
      </c>
      <c r="I1166" s="2" t="s">
        <v>32</v>
      </c>
      <c r="J1166" s="3">
        <v>44265</v>
      </c>
      <c r="K1166" s="2">
        <v>59</v>
      </c>
      <c r="L1166" s="2" t="s">
        <v>70</v>
      </c>
      <c r="M1166" s="3"/>
    </row>
    <row r="1167" spans="1:13" x14ac:dyDescent="0.3">
      <c r="A1167" s="2">
        <v>1166</v>
      </c>
      <c r="B1167" s="2" t="s">
        <v>994</v>
      </c>
      <c r="C1167" s="2" t="s">
        <v>2269</v>
      </c>
      <c r="D1167" s="2" t="s">
        <v>28</v>
      </c>
      <c r="E1167" s="2" t="s">
        <v>29</v>
      </c>
      <c r="F1167" s="2">
        <v>60</v>
      </c>
      <c r="G1167" s="2" t="s">
        <v>3734</v>
      </c>
      <c r="H1167" s="2" t="s">
        <v>1156</v>
      </c>
      <c r="I1167" s="2" t="s">
        <v>1157</v>
      </c>
      <c r="J1167" s="3">
        <v>44094</v>
      </c>
      <c r="K1167" s="2">
        <v>23</v>
      </c>
      <c r="L1167" s="2" t="s">
        <v>45</v>
      </c>
      <c r="M1167" s="3"/>
    </row>
    <row r="1168" spans="1:13" x14ac:dyDescent="0.3">
      <c r="A1168" s="2">
        <v>1167</v>
      </c>
      <c r="B1168" s="2" t="s">
        <v>1970</v>
      </c>
      <c r="C1168" s="2" t="s">
        <v>3735</v>
      </c>
      <c r="D1168" s="2" t="s">
        <v>51</v>
      </c>
      <c r="E1168" s="2" t="s">
        <v>16</v>
      </c>
      <c r="F1168" s="2">
        <v>30</v>
      </c>
      <c r="G1168" s="2" t="s">
        <v>3736</v>
      </c>
      <c r="H1168" s="2" t="s">
        <v>2678</v>
      </c>
      <c r="I1168" s="2" t="s">
        <v>32</v>
      </c>
      <c r="J1168" s="3">
        <v>44792</v>
      </c>
      <c r="K1168" s="2">
        <v>3</v>
      </c>
      <c r="L1168" s="2" t="s">
        <v>20</v>
      </c>
      <c r="M1168" s="3"/>
    </row>
    <row r="1169" spans="1:13" x14ac:dyDescent="0.3">
      <c r="A1169" s="2">
        <v>1168</v>
      </c>
      <c r="B1169" s="2" t="s">
        <v>3737</v>
      </c>
      <c r="C1169" s="2" t="s">
        <v>3738</v>
      </c>
      <c r="D1169" s="2" t="s">
        <v>15</v>
      </c>
      <c r="E1169" s="2" t="s">
        <v>16</v>
      </c>
      <c r="F1169" s="2">
        <v>30</v>
      </c>
      <c r="G1169" s="2" t="s">
        <v>3739</v>
      </c>
      <c r="H1169" s="2" t="s">
        <v>1590</v>
      </c>
      <c r="I1169" s="2" t="s">
        <v>32</v>
      </c>
      <c r="J1169" s="3">
        <v>44141</v>
      </c>
      <c r="K1169" s="2">
        <v>34</v>
      </c>
      <c r="L1169" s="2" t="s">
        <v>70</v>
      </c>
      <c r="M1169" s="3"/>
    </row>
    <row r="1170" spans="1:13" x14ac:dyDescent="0.3">
      <c r="A1170" s="2">
        <v>1169</v>
      </c>
      <c r="B1170" s="2" t="s">
        <v>3740</v>
      </c>
      <c r="C1170" s="2" t="s">
        <v>2028</v>
      </c>
      <c r="D1170" s="2" t="s">
        <v>15</v>
      </c>
      <c r="E1170" s="2" t="s">
        <v>16</v>
      </c>
      <c r="F1170" s="2">
        <v>60</v>
      </c>
      <c r="G1170" s="2" t="s">
        <v>3741</v>
      </c>
      <c r="H1170" s="2" t="s">
        <v>1056</v>
      </c>
      <c r="I1170" s="2" t="s">
        <v>129</v>
      </c>
      <c r="J1170" s="3">
        <v>44632</v>
      </c>
      <c r="K1170" s="2">
        <v>98</v>
      </c>
      <c r="L1170" s="2" t="s">
        <v>159</v>
      </c>
      <c r="M1170" s="3"/>
    </row>
    <row r="1171" spans="1:13" x14ac:dyDescent="0.3">
      <c r="A1171" s="2">
        <v>1170</v>
      </c>
      <c r="B1171" s="2" t="s">
        <v>3740</v>
      </c>
      <c r="C1171" s="2" t="s">
        <v>2028</v>
      </c>
      <c r="D1171" s="2" t="s">
        <v>15</v>
      </c>
      <c r="E1171" s="2" t="s">
        <v>16</v>
      </c>
      <c r="F1171" s="2">
        <v>60</v>
      </c>
      <c r="G1171" s="2" t="s">
        <v>3741</v>
      </c>
      <c r="H1171" s="2" t="s">
        <v>1056</v>
      </c>
      <c r="I1171" s="2" t="s">
        <v>129</v>
      </c>
      <c r="J1171" s="3">
        <v>44632</v>
      </c>
      <c r="K1171" s="2">
        <v>98</v>
      </c>
      <c r="L1171" s="2" t="s">
        <v>159</v>
      </c>
      <c r="M1171" s="3"/>
    </row>
    <row r="1172" spans="1:13" x14ac:dyDescent="0.3">
      <c r="A1172" s="2">
        <v>1171</v>
      </c>
      <c r="B1172" s="2" t="s">
        <v>3742</v>
      </c>
      <c r="C1172" s="2" t="s">
        <v>1204</v>
      </c>
      <c r="D1172" s="2" t="s">
        <v>28</v>
      </c>
      <c r="E1172" s="2" t="s">
        <v>29</v>
      </c>
      <c r="F1172" s="2">
        <v>30</v>
      </c>
      <c r="G1172" s="2" t="s">
        <v>3743</v>
      </c>
      <c r="H1172" s="2" t="s">
        <v>2199</v>
      </c>
      <c r="I1172" s="2" t="s">
        <v>32</v>
      </c>
      <c r="J1172" s="3">
        <v>44030</v>
      </c>
      <c r="K1172" s="2">
        <v>51</v>
      </c>
      <c r="L1172" s="2" t="s">
        <v>33</v>
      </c>
      <c r="M1172" s="3"/>
    </row>
    <row r="1173" spans="1:13" x14ac:dyDescent="0.3">
      <c r="A1173" s="2">
        <v>1172</v>
      </c>
      <c r="B1173" s="2" t="s">
        <v>1058</v>
      </c>
      <c r="C1173" s="2" t="s">
        <v>3744</v>
      </c>
      <c r="D1173" s="2" t="s">
        <v>28</v>
      </c>
      <c r="E1173" s="2" t="s">
        <v>29</v>
      </c>
      <c r="F1173" s="2">
        <v>60</v>
      </c>
      <c r="G1173" s="2" t="s">
        <v>3745</v>
      </c>
      <c r="H1173" s="2" t="s">
        <v>3746</v>
      </c>
      <c r="I1173" s="2" t="s">
        <v>32</v>
      </c>
      <c r="J1173" s="3">
        <v>44575</v>
      </c>
      <c r="K1173" s="2">
        <v>83</v>
      </c>
      <c r="L1173" s="2" t="s">
        <v>64</v>
      </c>
      <c r="M1173" s="3"/>
    </row>
    <row r="1174" spans="1:13" x14ac:dyDescent="0.3">
      <c r="A1174" s="2">
        <v>1173</v>
      </c>
      <c r="B1174" s="2" t="s">
        <v>3747</v>
      </c>
      <c r="C1174" s="2" t="s">
        <v>3748</v>
      </c>
      <c r="D1174" s="2" t="s">
        <v>15</v>
      </c>
      <c r="E1174" s="2" t="s">
        <v>16</v>
      </c>
      <c r="F1174" s="2">
        <v>30</v>
      </c>
      <c r="G1174" s="2" t="s">
        <v>3745</v>
      </c>
      <c r="H1174" s="2" t="s">
        <v>868</v>
      </c>
      <c r="I1174" s="2" t="s">
        <v>32</v>
      </c>
      <c r="J1174" s="3">
        <v>44573</v>
      </c>
      <c r="K1174" s="2">
        <v>71</v>
      </c>
      <c r="L1174" s="2" t="s">
        <v>64</v>
      </c>
      <c r="M1174" s="3"/>
    </row>
    <row r="1175" spans="1:13" x14ac:dyDescent="0.3">
      <c r="A1175" s="2">
        <v>1174</v>
      </c>
      <c r="B1175" s="2" t="s">
        <v>3749</v>
      </c>
      <c r="C1175" s="2" t="s">
        <v>3750</v>
      </c>
      <c r="D1175" s="2" t="s">
        <v>15</v>
      </c>
      <c r="E1175" s="2" t="s">
        <v>16</v>
      </c>
      <c r="F1175" s="2">
        <v>90</v>
      </c>
      <c r="G1175" s="2" t="s">
        <v>3751</v>
      </c>
      <c r="H1175" s="2" t="s">
        <v>1804</v>
      </c>
      <c r="I1175" s="2" t="s">
        <v>32</v>
      </c>
      <c r="J1175" s="3">
        <v>44612</v>
      </c>
      <c r="K1175" s="2">
        <v>81</v>
      </c>
      <c r="L1175" s="2" t="s">
        <v>20</v>
      </c>
      <c r="M1175" s="3"/>
    </row>
    <row r="1176" spans="1:13" x14ac:dyDescent="0.3">
      <c r="A1176" s="2">
        <v>1175</v>
      </c>
      <c r="B1176" s="2" t="s">
        <v>922</v>
      </c>
      <c r="C1176" s="2" t="s">
        <v>2941</v>
      </c>
      <c r="D1176" s="2" t="s">
        <v>28</v>
      </c>
      <c r="E1176" s="2" t="s">
        <v>29</v>
      </c>
      <c r="F1176" s="2">
        <v>30</v>
      </c>
      <c r="G1176" s="2" t="s">
        <v>3752</v>
      </c>
      <c r="H1176" s="2" t="s">
        <v>2311</v>
      </c>
      <c r="I1176" s="2" t="s">
        <v>32</v>
      </c>
      <c r="J1176" s="3">
        <v>43860</v>
      </c>
      <c r="K1176" s="2">
        <v>47</v>
      </c>
      <c r="L1176" s="2" t="s">
        <v>39</v>
      </c>
      <c r="M1176" s="3"/>
    </row>
    <row r="1177" spans="1:13" x14ac:dyDescent="0.3">
      <c r="A1177" s="2">
        <v>1176</v>
      </c>
      <c r="B1177" s="2" t="s">
        <v>1065</v>
      </c>
      <c r="C1177" s="2" t="s">
        <v>2203</v>
      </c>
      <c r="D1177" s="2" t="s">
        <v>28</v>
      </c>
      <c r="E1177" s="2" t="s">
        <v>29</v>
      </c>
      <c r="F1177" s="2">
        <v>60</v>
      </c>
      <c r="G1177" s="2" t="s">
        <v>3753</v>
      </c>
      <c r="H1177" s="2" t="s">
        <v>3754</v>
      </c>
      <c r="I1177" s="2" t="s">
        <v>124</v>
      </c>
      <c r="J1177" s="3">
        <v>43866</v>
      </c>
      <c r="K1177" s="2">
        <v>14</v>
      </c>
      <c r="L1177" s="2" t="s">
        <v>80</v>
      </c>
      <c r="M1177" s="3"/>
    </row>
    <row r="1178" spans="1:13" x14ac:dyDescent="0.3">
      <c r="A1178" s="2">
        <v>1177</v>
      </c>
      <c r="B1178" s="2" t="s">
        <v>1030</v>
      </c>
      <c r="C1178" s="2" t="s">
        <v>2683</v>
      </c>
      <c r="D1178" s="2" t="s">
        <v>28</v>
      </c>
      <c r="E1178" s="2" t="s">
        <v>29</v>
      </c>
      <c r="F1178" s="2">
        <v>90</v>
      </c>
      <c r="G1178" s="2" t="s">
        <v>3755</v>
      </c>
      <c r="H1178" s="2" t="s">
        <v>3756</v>
      </c>
      <c r="I1178" s="2" t="s">
        <v>178</v>
      </c>
      <c r="J1178" s="3">
        <v>44003</v>
      </c>
      <c r="K1178" s="2">
        <v>14</v>
      </c>
      <c r="L1178" s="2" t="s">
        <v>33</v>
      </c>
      <c r="M1178" s="3"/>
    </row>
    <row r="1179" spans="1:13" x14ac:dyDescent="0.3">
      <c r="A1179" s="2">
        <v>1178</v>
      </c>
      <c r="B1179" s="2" t="s">
        <v>3757</v>
      </c>
      <c r="C1179" s="2" t="s">
        <v>1116</v>
      </c>
      <c r="D1179" s="2" t="s">
        <v>15</v>
      </c>
      <c r="E1179" s="2" t="s">
        <v>16</v>
      </c>
      <c r="F1179" s="2">
        <v>90</v>
      </c>
      <c r="G1179" s="2" t="s">
        <v>3758</v>
      </c>
      <c r="H1179" s="2" t="s">
        <v>3759</v>
      </c>
      <c r="I1179" s="2" t="s">
        <v>3760</v>
      </c>
      <c r="J1179" s="3">
        <v>44839</v>
      </c>
      <c r="K1179" s="2">
        <v>30</v>
      </c>
      <c r="L1179" s="2" t="s">
        <v>39</v>
      </c>
      <c r="M1179" s="3"/>
    </row>
    <row r="1180" spans="1:13" x14ac:dyDescent="0.3">
      <c r="A1180" s="2">
        <v>1179</v>
      </c>
      <c r="B1180" s="2" t="s">
        <v>3761</v>
      </c>
      <c r="C1180" s="2" t="s">
        <v>3314</v>
      </c>
      <c r="D1180" s="2" t="s">
        <v>15</v>
      </c>
      <c r="E1180" s="2" t="s">
        <v>16</v>
      </c>
      <c r="F1180" s="2">
        <v>90</v>
      </c>
      <c r="G1180" s="2" t="s">
        <v>3762</v>
      </c>
      <c r="H1180" s="2" t="s">
        <v>985</v>
      </c>
      <c r="I1180" s="2" t="s">
        <v>38</v>
      </c>
      <c r="J1180" s="3">
        <v>44709</v>
      </c>
      <c r="K1180" s="2">
        <v>99</v>
      </c>
      <c r="L1180" s="2" t="s">
        <v>20</v>
      </c>
      <c r="M1180" s="3"/>
    </row>
    <row r="1181" spans="1:13" x14ac:dyDescent="0.3">
      <c r="A1181" s="2">
        <v>1180</v>
      </c>
      <c r="B1181" s="2" t="s">
        <v>592</v>
      </c>
      <c r="C1181" s="2" t="s">
        <v>3763</v>
      </c>
      <c r="D1181" s="2" t="s">
        <v>28</v>
      </c>
      <c r="E1181" s="2" t="s">
        <v>29</v>
      </c>
      <c r="F1181" s="2">
        <v>60</v>
      </c>
      <c r="G1181" s="2" t="s">
        <v>3762</v>
      </c>
      <c r="H1181" s="2" t="s">
        <v>3764</v>
      </c>
      <c r="I1181" s="2" t="s">
        <v>32</v>
      </c>
      <c r="J1181" s="3">
        <v>44222</v>
      </c>
      <c r="K1181" s="2">
        <v>19</v>
      </c>
      <c r="L1181" s="2" t="s">
        <v>20</v>
      </c>
      <c r="M1181" s="3"/>
    </row>
    <row r="1182" spans="1:13" x14ac:dyDescent="0.3">
      <c r="A1182" s="2">
        <v>1181</v>
      </c>
      <c r="B1182" s="2" t="s">
        <v>3765</v>
      </c>
      <c r="C1182" s="2" t="s">
        <v>3354</v>
      </c>
      <c r="D1182" s="2" t="s">
        <v>51</v>
      </c>
      <c r="E1182" s="2" t="s">
        <v>16</v>
      </c>
      <c r="F1182" s="2">
        <v>30</v>
      </c>
      <c r="G1182" s="2" t="s">
        <v>3766</v>
      </c>
      <c r="H1182" s="2" t="s">
        <v>938</v>
      </c>
      <c r="I1182" s="2" t="s">
        <v>25</v>
      </c>
      <c r="J1182" s="3">
        <v>44106</v>
      </c>
      <c r="K1182" s="2">
        <v>68</v>
      </c>
      <c r="L1182" s="2" t="s">
        <v>39</v>
      </c>
      <c r="M1182" s="3"/>
    </row>
    <row r="1183" spans="1:13" x14ac:dyDescent="0.3">
      <c r="A1183" s="2">
        <v>1182</v>
      </c>
      <c r="B1183" s="2" t="s">
        <v>1403</v>
      </c>
      <c r="C1183" s="2" t="s">
        <v>3767</v>
      </c>
      <c r="D1183" s="2" t="s">
        <v>621</v>
      </c>
      <c r="E1183" s="2" t="s">
        <v>29</v>
      </c>
      <c r="F1183" s="2">
        <v>90</v>
      </c>
      <c r="G1183" s="2" t="s">
        <v>3768</v>
      </c>
      <c r="H1183" s="2" t="s">
        <v>1206</v>
      </c>
      <c r="I1183" s="2" t="s">
        <v>294</v>
      </c>
      <c r="J1183" s="3">
        <v>44459</v>
      </c>
      <c r="K1183" s="2">
        <v>40</v>
      </c>
      <c r="L1183" s="2" t="s">
        <v>64</v>
      </c>
      <c r="M1183" s="3"/>
    </row>
    <row r="1184" spans="1:13" x14ac:dyDescent="0.3">
      <c r="A1184" s="2">
        <v>1183</v>
      </c>
      <c r="B1184" s="2" t="s">
        <v>1985</v>
      </c>
      <c r="C1184" s="2" t="s">
        <v>3447</v>
      </c>
      <c r="D1184" s="2" t="s">
        <v>28</v>
      </c>
      <c r="E1184" s="2" t="s">
        <v>29</v>
      </c>
      <c r="F1184" s="2">
        <v>30</v>
      </c>
      <c r="G1184" s="2" t="s">
        <v>3769</v>
      </c>
      <c r="H1184" s="2" t="s">
        <v>3770</v>
      </c>
      <c r="I1184" s="2" t="s">
        <v>32</v>
      </c>
      <c r="J1184" s="3">
        <v>43839</v>
      </c>
      <c r="K1184" s="2">
        <v>18</v>
      </c>
      <c r="L1184" s="2" t="s">
        <v>80</v>
      </c>
      <c r="M1184" s="3"/>
    </row>
    <row r="1185" spans="1:13" x14ac:dyDescent="0.3">
      <c r="A1185" s="2">
        <v>1184</v>
      </c>
      <c r="C1185" s="2" t="s">
        <v>1424</v>
      </c>
      <c r="D1185" s="2" t="s">
        <v>41</v>
      </c>
      <c r="E1185" s="2" t="s">
        <v>16</v>
      </c>
      <c r="F1185" s="2">
        <v>30</v>
      </c>
      <c r="G1185" s="2" t="s">
        <v>3771</v>
      </c>
      <c r="H1185" s="2" t="s">
        <v>2671</v>
      </c>
      <c r="I1185" s="2" t="s">
        <v>1157</v>
      </c>
      <c r="J1185" s="3">
        <v>44191</v>
      </c>
      <c r="K1185" s="2">
        <v>23</v>
      </c>
      <c r="L1185" s="2" t="s">
        <v>20</v>
      </c>
      <c r="M1185" s="3"/>
    </row>
    <row r="1186" spans="1:13" x14ac:dyDescent="0.3">
      <c r="A1186" s="2">
        <v>1185</v>
      </c>
      <c r="B1186" s="2" t="s">
        <v>3772</v>
      </c>
      <c r="C1186" s="2" t="s">
        <v>1806</v>
      </c>
      <c r="D1186" s="2" t="s">
        <v>15</v>
      </c>
      <c r="E1186" s="2" t="s">
        <v>16</v>
      </c>
      <c r="F1186" s="2">
        <v>90</v>
      </c>
      <c r="G1186" s="2" t="s">
        <v>3773</v>
      </c>
      <c r="H1186" s="2" t="s">
        <v>3774</v>
      </c>
      <c r="I1186" s="2" t="s">
        <v>187</v>
      </c>
      <c r="J1186" s="3">
        <v>44247</v>
      </c>
      <c r="K1186" s="2">
        <v>75</v>
      </c>
      <c r="L1186" s="2" t="s">
        <v>33</v>
      </c>
      <c r="M1186" s="3"/>
    </row>
    <row r="1187" spans="1:13" x14ac:dyDescent="0.3">
      <c r="A1187" s="2">
        <v>1186</v>
      </c>
      <c r="B1187" s="2" t="s">
        <v>3775</v>
      </c>
      <c r="C1187" s="2" t="s">
        <v>3776</v>
      </c>
      <c r="D1187" s="2" t="s">
        <v>15</v>
      </c>
      <c r="E1187" s="2" t="s">
        <v>16</v>
      </c>
      <c r="F1187" s="2">
        <v>90</v>
      </c>
      <c r="G1187" s="2" t="s">
        <v>3777</v>
      </c>
      <c r="H1187" s="2" t="s">
        <v>1228</v>
      </c>
      <c r="I1187" s="2" t="s">
        <v>25</v>
      </c>
      <c r="J1187" s="3">
        <v>44569</v>
      </c>
      <c r="K1187" s="2">
        <v>36</v>
      </c>
      <c r="L1187" s="2" t="s">
        <v>80</v>
      </c>
      <c r="M1187" s="3"/>
    </row>
    <row r="1188" spans="1:13" x14ac:dyDescent="0.3">
      <c r="A1188" s="2">
        <v>1187</v>
      </c>
      <c r="B1188" s="2" t="s">
        <v>3778</v>
      </c>
      <c r="C1188" s="2" t="s">
        <v>3779</v>
      </c>
      <c r="D1188" s="2" t="s">
        <v>15</v>
      </c>
      <c r="E1188" s="2" t="s">
        <v>16</v>
      </c>
      <c r="F1188" s="2">
        <v>60</v>
      </c>
      <c r="G1188" s="2" t="s">
        <v>3780</v>
      </c>
      <c r="H1188" s="2" t="s">
        <v>1508</v>
      </c>
      <c r="I1188" s="2" t="s">
        <v>32</v>
      </c>
      <c r="J1188" s="3">
        <v>44377</v>
      </c>
      <c r="K1188" s="2">
        <v>2</v>
      </c>
      <c r="L1188" s="2" t="s">
        <v>20</v>
      </c>
      <c r="M1188" s="3"/>
    </row>
    <row r="1189" spans="1:13" x14ac:dyDescent="0.3">
      <c r="A1189" s="2">
        <v>1188</v>
      </c>
      <c r="B1189" s="2" t="s">
        <v>3781</v>
      </c>
      <c r="C1189" s="2" t="s">
        <v>2643</v>
      </c>
      <c r="D1189" s="2" t="s">
        <v>41</v>
      </c>
      <c r="E1189" s="2" t="s">
        <v>16</v>
      </c>
      <c r="F1189" s="2">
        <v>60</v>
      </c>
      <c r="G1189" s="2" t="s">
        <v>3782</v>
      </c>
      <c r="H1189" s="2" t="s">
        <v>3783</v>
      </c>
      <c r="I1189" s="2" t="s">
        <v>124</v>
      </c>
      <c r="J1189" s="3">
        <v>44813</v>
      </c>
      <c r="K1189" s="2">
        <v>4</v>
      </c>
      <c r="L1189" s="2" t="s">
        <v>101</v>
      </c>
      <c r="M1189" s="3"/>
    </row>
    <row r="1190" spans="1:13" x14ac:dyDescent="0.3">
      <c r="A1190" s="2">
        <v>1189</v>
      </c>
      <c r="B1190" s="2" t="s">
        <v>3784</v>
      </c>
      <c r="C1190" s="2" t="s">
        <v>3785</v>
      </c>
      <c r="D1190" s="2" t="s">
        <v>51</v>
      </c>
      <c r="E1190" s="2" t="s">
        <v>16</v>
      </c>
      <c r="F1190" s="2">
        <v>60</v>
      </c>
      <c r="G1190" s="2" t="s">
        <v>3786</v>
      </c>
      <c r="H1190" s="2" t="s">
        <v>2447</v>
      </c>
      <c r="I1190" s="2" t="s">
        <v>1869</v>
      </c>
      <c r="J1190" s="3">
        <v>44594</v>
      </c>
      <c r="K1190" s="2">
        <v>20</v>
      </c>
      <c r="L1190" s="2" t="s">
        <v>20</v>
      </c>
      <c r="M1190" s="3"/>
    </row>
    <row r="1191" spans="1:13" x14ac:dyDescent="0.3">
      <c r="A1191" s="2">
        <v>1190</v>
      </c>
      <c r="B1191" s="2" t="s">
        <v>3787</v>
      </c>
      <c r="C1191" s="2" t="s">
        <v>256</v>
      </c>
      <c r="D1191" s="2" t="s">
        <v>28</v>
      </c>
      <c r="E1191" s="2" t="s">
        <v>29</v>
      </c>
      <c r="F1191" s="2">
        <v>30</v>
      </c>
      <c r="G1191" s="2" t="s">
        <v>3788</v>
      </c>
      <c r="H1191" s="2" t="s">
        <v>2917</v>
      </c>
      <c r="I1191" s="2" t="s">
        <v>95</v>
      </c>
      <c r="J1191" s="3">
        <v>44916</v>
      </c>
      <c r="K1191" s="2">
        <v>31</v>
      </c>
      <c r="L1191" s="2" t="s">
        <v>70</v>
      </c>
      <c r="M1191" s="3"/>
    </row>
    <row r="1192" spans="1:13" x14ac:dyDescent="0.3">
      <c r="A1192" s="2">
        <v>1191</v>
      </c>
      <c r="B1192" s="2" t="s">
        <v>2721</v>
      </c>
      <c r="C1192" s="2" t="s">
        <v>1607</v>
      </c>
      <c r="D1192" s="2" t="s">
        <v>621</v>
      </c>
      <c r="E1192" s="2" t="s">
        <v>29</v>
      </c>
      <c r="F1192" s="2">
        <v>60</v>
      </c>
      <c r="G1192" s="2" t="s">
        <v>3789</v>
      </c>
      <c r="H1192" s="2" t="s">
        <v>3790</v>
      </c>
      <c r="I1192" s="2" t="s">
        <v>32</v>
      </c>
      <c r="J1192" s="3">
        <v>43922</v>
      </c>
      <c r="K1192" s="2">
        <v>38</v>
      </c>
      <c r="L1192" s="2" t="s">
        <v>20</v>
      </c>
      <c r="M1192" s="3"/>
    </row>
    <row r="1193" spans="1:13" x14ac:dyDescent="0.3">
      <c r="A1193" s="2">
        <v>1192</v>
      </c>
      <c r="B1193" s="2" t="s">
        <v>3791</v>
      </c>
      <c r="C1193" s="2" t="s">
        <v>727</v>
      </c>
      <c r="D1193" s="2" t="s">
        <v>28</v>
      </c>
      <c r="E1193" s="2" t="s">
        <v>29</v>
      </c>
      <c r="F1193" s="2">
        <v>90</v>
      </c>
      <c r="G1193" s="2" t="s">
        <v>3792</v>
      </c>
      <c r="H1193" s="2" t="s">
        <v>3793</v>
      </c>
      <c r="I1193" s="2" t="s">
        <v>173</v>
      </c>
      <c r="J1193" s="3">
        <v>44901</v>
      </c>
      <c r="K1193" s="2">
        <v>97</v>
      </c>
      <c r="L1193" s="2" t="s">
        <v>20</v>
      </c>
      <c r="M1193" s="3"/>
    </row>
    <row r="1194" spans="1:13" x14ac:dyDescent="0.3">
      <c r="A1194" s="2">
        <v>1193</v>
      </c>
      <c r="B1194" s="2" t="s">
        <v>3794</v>
      </c>
      <c r="C1194" s="2" t="s">
        <v>1692</v>
      </c>
      <c r="D1194" s="2" t="s">
        <v>28</v>
      </c>
      <c r="E1194" s="2" t="s">
        <v>29</v>
      </c>
      <c r="F1194" s="2">
        <v>30</v>
      </c>
      <c r="G1194" s="2" t="s">
        <v>3795</v>
      </c>
      <c r="H1194" s="2" t="s">
        <v>3396</v>
      </c>
      <c r="I1194" s="2" t="s">
        <v>32</v>
      </c>
      <c r="J1194" s="3">
        <v>44890</v>
      </c>
      <c r="K1194" s="2">
        <v>102</v>
      </c>
      <c r="L1194" s="2" t="s">
        <v>33</v>
      </c>
      <c r="M1194" s="3"/>
    </row>
    <row r="1195" spans="1:13" x14ac:dyDescent="0.3">
      <c r="A1195" s="2">
        <v>1194</v>
      </c>
      <c r="B1195" s="2" t="s">
        <v>3796</v>
      </c>
      <c r="C1195" s="2" t="s">
        <v>3797</v>
      </c>
      <c r="D1195" s="2" t="s">
        <v>51</v>
      </c>
      <c r="E1195" s="2" t="s">
        <v>16</v>
      </c>
      <c r="F1195" s="2">
        <v>90</v>
      </c>
      <c r="G1195" s="2" t="s">
        <v>3798</v>
      </c>
      <c r="H1195" s="2" t="s">
        <v>3799</v>
      </c>
      <c r="I1195" s="2" t="s">
        <v>32</v>
      </c>
      <c r="J1195" s="3">
        <v>44152</v>
      </c>
      <c r="K1195" s="2">
        <v>80</v>
      </c>
      <c r="L1195" s="2" t="s">
        <v>80</v>
      </c>
      <c r="M1195" s="3"/>
    </row>
    <row r="1196" spans="1:13" x14ac:dyDescent="0.3">
      <c r="A1196" s="2">
        <v>1195</v>
      </c>
      <c r="B1196" s="2" t="s">
        <v>3800</v>
      </c>
      <c r="C1196" s="2" t="s">
        <v>309</v>
      </c>
      <c r="D1196" s="2" t="s">
        <v>15</v>
      </c>
      <c r="E1196" s="2" t="s">
        <v>16</v>
      </c>
      <c r="F1196" s="2">
        <v>60</v>
      </c>
      <c r="G1196" s="2" t="s">
        <v>3801</v>
      </c>
      <c r="H1196" s="2" t="s">
        <v>615</v>
      </c>
      <c r="I1196" s="2" t="s">
        <v>32</v>
      </c>
      <c r="J1196" s="3">
        <v>44131</v>
      </c>
      <c r="K1196" s="2">
        <v>3</v>
      </c>
      <c r="L1196" s="2" t="s">
        <v>33</v>
      </c>
      <c r="M1196" s="3"/>
    </row>
    <row r="1197" spans="1:13" x14ac:dyDescent="0.3">
      <c r="A1197" s="2">
        <v>1196</v>
      </c>
      <c r="B1197" s="2" t="s">
        <v>3802</v>
      </c>
      <c r="C1197" s="2" t="s">
        <v>3803</v>
      </c>
      <c r="D1197" s="2" t="s">
        <v>51</v>
      </c>
      <c r="E1197" s="2" t="s">
        <v>16</v>
      </c>
      <c r="F1197" s="2">
        <v>60</v>
      </c>
      <c r="G1197" s="2" t="s">
        <v>3804</v>
      </c>
      <c r="H1197" s="2" t="s">
        <v>298</v>
      </c>
      <c r="I1197" s="2" t="s">
        <v>25</v>
      </c>
      <c r="J1197" s="3">
        <v>44394</v>
      </c>
      <c r="K1197" s="2">
        <v>73</v>
      </c>
      <c r="L1197" s="2" t="s">
        <v>54</v>
      </c>
      <c r="M1197" s="3"/>
    </row>
    <row r="1198" spans="1:13" x14ac:dyDescent="0.3">
      <c r="A1198" s="2">
        <v>1197</v>
      </c>
      <c r="B1198" s="2" t="s">
        <v>3805</v>
      </c>
      <c r="C1198" s="2" t="s">
        <v>3806</v>
      </c>
      <c r="D1198" s="2" t="s">
        <v>28</v>
      </c>
      <c r="E1198" s="2" t="s">
        <v>29</v>
      </c>
      <c r="F1198" s="2">
        <v>60</v>
      </c>
      <c r="G1198" s="2" t="s">
        <v>3807</v>
      </c>
      <c r="H1198" s="2" t="s">
        <v>3206</v>
      </c>
      <c r="I1198" s="2" t="s">
        <v>1199</v>
      </c>
      <c r="J1198" s="3">
        <v>44187</v>
      </c>
      <c r="K1198" s="2">
        <v>84</v>
      </c>
      <c r="L1198" s="2" t="s">
        <v>159</v>
      </c>
      <c r="M1198" s="3"/>
    </row>
    <row r="1199" spans="1:13" x14ac:dyDescent="0.3">
      <c r="A1199" s="2">
        <v>1198</v>
      </c>
      <c r="B1199" s="2" t="s">
        <v>2184</v>
      </c>
      <c r="C1199" s="2" t="s">
        <v>3808</v>
      </c>
      <c r="D1199" s="2" t="s">
        <v>28</v>
      </c>
      <c r="E1199" s="2" t="s">
        <v>29</v>
      </c>
      <c r="F1199" s="2">
        <v>30</v>
      </c>
      <c r="G1199" s="2" t="s">
        <v>3809</v>
      </c>
      <c r="H1199" s="2" t="s">
        <v>3810</v>
      </c>
      <c r="I1199" s="2" t="s">
        <v>32</v>
      </c>
      <c r="J1199" s="3">
        <v>44594</v>
      </c>
      <c r="K1199" s="2">
        <v>60</v>
      </c>
      <c r="L1199" s="2" t="s">
        <v>20</v>
      </c>
      <c r="M1199" s="3"/>
    </row>
    <row r="1200" spans="1:13" x14ac:dyDescent="0.3">
      <c r="A1200" s="2">
        <v>1199</v>
      </c>
      <c r="B1200" s="2" t="s">
        <v>3811</v>
      </c>
      <c r="C1200" s="2" t="s">
        <v>3812</v>
      </c>
      <c r="D1200" s="2" t="s">
        <v>28</v>
      </c>
      <c r="E1200" s="2" t="s">
        <v>29</v>
      </c>
      <c r="F1200" s="2">
        <v>90</v>
      </c>
      <c r="G1200" s="2" t="s">
        <v>3813</v>
      </c>
      <c r="H1200" s="2" t="s">
        <v>3814</v>
      </c>
      <c r="I1200" s="2" t="s">
        <v>32</v>
      </c>
      <c r="J1200" s="3">
        <v>44425</v>
      </c>
      <c r="K1200" s="2">
        <v>20</v>
      </c>
      <c r="L1200" s="2" t="s">
        <v>101</v>
      </c>
      <c r="M1200" s="3"/>
    </row>
    <row r="1201" spans="1:13" x14ac:dyDescent="0.3">
      <c r="A1201" s="2">
        <v>1200</v>
      </c>
      <c r="B1201" s="2" t="s">
        <v>3815</v>
      </c>
      <c r="C1201" s="2" t="s">
        <v>2037</v>
      </c>
      <c r="D1201" s="2" t="s">
        <v>15</v>
      </c>
      <c r="E1201" s="2" t="s">
        <v>16</v>
      </c>
      <c r="F1201" s="2">
        <v>60</v>
      </c>
      <c r="G1201" s="2" t="s">
        <v>3816</v>
      </c>
      <c r="H1201" s="2" t="s">
        <v>3817</v>
      </c>
      <c r="I1201" s="2" t="s">
        <v>32</v>
      </c>
      <c r="J1201" s="3">
        <v>44811</v>
      </c>
      <c r="K1201" s="2">
        <v>34</v>
      </c>
      <c r="L1201" s="2" t="s">
        <v>64</v>
      </c>
      <c r="M1201" s="3"/>
    </row>
    <row r="1202" spans="1:13" x14ac:dyDescent="0.3">
      <c r="A1202" s="2">
        <v>1201</v>
      </c>
      <c r="B1202" s="2" t="s">
        <v>3818</v>
      </c>
      <c r="C1202" s="2" t="s">
        <v>1585</v>
      </c>
      <c r="D1202" s="2" t="s">
        <v>51</v>
      </c>
      <c r="E1202" s="2" t="s">
        <v>16</v>
      </c>
      <c r="F1202" s="2">
        <v>30</v>
      </c>
      <c r="G1202" s="2" t="s">
        <v>3819</v>
      </c>
      <c r="H1202" s="2" t="s">
        <v>1284</v>
      </c>
      <c r="I1202" s="2" t="s">
        <v>32</v>
      </c>
      <c r="J1202" s="3">
        <v>44607</v>
      </c>
      <c r="K1202" s="2">
        <v>95</v>
      </c>
      <c r="L1202" s="2" t="s">
        <v>39</v>
      </c>
      <c r="M1202" s="3"/>
    </row>
    <row r="1203" spans="1:13" x14ac:dyDescent="0.3">
      <c r="A1203" s="2">
        <v>1202</v>
      </c>
      <c r="B1203" s="2" t="s">
        <v>3820</v>
      </c>
      <c r="C1203" s="2" t="s">
        <v>161</v>
      </c>
      <c r="D1203" s="2" t="s">
        <v>15</v>
      </c>
      <c r="E1203" s="2" t="s">
        <v>16</v>
      </c>
      <c r="F1203" s="2">
        <v>60</v>
      </c>
      <c r="G1203" s="2" t="s">
        <v>3821</v>
      </c>
      <c r="H1203" s="2" t="s">
        <v>3822</v>
      </c>
      <c r="I1203" s="2" t="s">
        <v>1454</v>
      </c>
      <c r="J1203" s="3">
        <v>44841</v>
      </c>
      <c r="K1203" s="2">
        <v>48</v>
      </c>
      <c r="L1203" s="2" t="s">
        <v>33</v>
      </c>
      <c r="M1203" s="3"/>
    </row>
    <row r="1204" spans="1:13" x14ac:dyDescent="0.3">
      <c r="A1204" s="2">
        <v>1203</v>
      </c>
      <c r="B1204" s="2" t="s">
        <v>3823</v>
      </c>
      <c r="C1204" s="2" t="s">
        <v>3824</v>
      </c>
      <c r="D1204" s="2" t="s">
        <v>51</v>
      </c>
      <c r="E1204" s="2" t="s">
        <v>16</v>
      </c>
      <c r="F1204" s="2">
        <v>60</v>
      </c>
      <c r="G1204" s="2" t="s">
        <v>3825</v>
      </c>
      <c r="H1204" s="2" t="s">
        <v>3826</v>
      </c>
      <c r="I1204" s="2" t="s">
        <v>20</v>
      </c>
      <c r="J1204" s="3">
        <v>43966</v>
      </c>
      <c r="K1204" s="2">
        <v>78</v>
      </c>
      <c r="L1204" s="2" t="s">
        <v>45</v>
      </c>
      <c r="M1204" s="3"/>
    </row>
    <row r="1205" spans="1:13" x14ac:dyDescent="0.3">
      <c r="A1205" s="2">
        <v>1204</v>
      </c>
      <c r="B1205" s="2" t="s">
        <v>3827</v>
      </c>
      <c r="C1205" s="2" t="s">
        <v>669</v>
      </c>
      <c r="D1205" s="2" t="s">
        <v>51</v>
      </c>
      <c r="E1205" s="2" t="s">
        <v>16</v>
      </c>
      <c r="F1205" s="2">
        <v>30</v>
      </c>
      <c r="G1205" s="2" t="s">
        <v>3828</v>
      </c>
      <c r="H1205" s="2" t="s">
        <v>2380</v>
      </c>
      <c r="I1205" s="2" t="s">
        <v>173</v>
      </c>
      <c r="J1205" s="3">
        <v>44422</v>
      </c>
      <c r="K1205" s="2">
        <v>23</v>
      </c>
      <c r="L1205" s="2" t="s">
        <v>45</v>
      </c>
      <c r="M1205" s="3"/>
    </row>
    <row r="1206" spans="1:13" x14ac:dyDescent="0.3">
      <c r="A1206" s="2">
        <v>1205</v>
      </c>
      <c r="B1206" s="2" t="s">
        <v>3496</v>
      </c>
      <c r="C1206" s="2" t="s">
        <v>3829</v>
      </c>
      <c r="D1206" s="2" t="s">
        <v>28</v>
      </c>
      <c r="E1206" s="2" t="s">
        <v>29</v>
      </c>
      <c r="F1206" s="2">
        <v>30</v>
      </c>
      <c r="G1206" s="2" t="s">
        <v>3830</v>
      </c>
      <c r="H1206" s="2" t="s">
        <v>1362</v>
      </c>
      <c r="I1206" s="2" t="s">
        <v>178</v>
      </c>
      <c r="J1206" s="3">
        <v>44536</v>
      </c>
      <c r="K1206" s="2">
        <v>21</v>
      </c>
      <c r="L1206" s="2" t="s">
        <v>70</v>
      </c>
      <c r="M1206" s="3"/>
    </row>
    <row r="1207" spans="1:13" x14ac:dyDescent="0.3">
      <c r="A1207" s="2">
        <v>1206</v>
      </c>
      <c r="B1207" s="2" t="s">
        <v>1503</v>
      </c>
      <c r="C1207" s="2" t="s">
        <v>3831</v>
      </c>
      <c r="D1207" s="2" t="s">
        <v>28</v>
      </c>
      <c r="E1207" s="2" t="s">
        <v>29</v>
      </c>
      <c r="F1207" s="2">
        <v>90</v>
      </c>
      <c r="G1207" s="2" t="s">
        <v>3830</v>
      </c>
      <c r="H1207" s="2" t="s">
        <v>3059</v>
      </c>
      <c r="I1207" s="2" t="s">
        <v>187</v>
      </c>
      <c r="J1207" s="3">
        <v>44620</v>
      </c>
      <c r="K1207" s="2">
        <v>39</v>
      </c>
      <c r="L1207" s="2" t="s">
        <v>80</v>
      </c>
      <c r="M1207" s="3"/>
    </row>
    <row r="1208" spans="1:13" x14ac:dyDescent="0.3">
      <c r="A1208" s="2">
        <v>1207</v>
      </c>
      <c r="B1208" s="2" t="s">
        <v>3832</v>
      </c>
      <c r="C1208" s="2" t="s">
        <v>1688</v>
      </c>
      <c r="D1208" s="2" t="s">
        <v>51</v>
      </c>
      <c r="E1208" s="2" t="s">
        <v>16</v>
      </c>
      <c r="F1208" s="2">
        <v>30</v>
      </c>
      <c r="G1208" s="2" t="s">
        <v>3833</v>
      </c>
      <c r="H1208" s="2" t="s">
        <v>3834</v>
      </c>
      <c r="I1208" s="2" t="s">
        <v>32</v>
      </c>
      <c r="J1208" s="3">
        <v>44062</v>
      </c>
      <c r="K1208" s="2">
        <v>72</v>
      </c>
      <c r="L1208" s="2" t="s">
        <v>45</v>
      </c>
      <c r="M1208" s="3"/>
    </row>
    <row r="1209" spans="1:13" x14ac:dyDescent="0.3">
      <c r="A1209" s="2">
        <v>1208</v>
      </c>
      <c r="B1209" s="2" t="s">
        <v>3835</v>
      </c>
      <c r="C1209" s="2" t="s">
        <v>3836</v>
      </c>
      <c r="D1209" s="2" t="s">
        <v>28</v>
      </c>
      <c r="E1209" s="2" t="s">
        <v>29</v>
      </c>
      <c r="F1209" s="2">
        <v>60</v>
      </c>
      <c r="G1209" s="2" t="s">
        <v>3837</v>
      </c>
      <c r="H1209" s="2" t="s">
        <v>2577</v>
      </c>
      <c r="I1209" s="2" t="s">
        <v>645</v>
      </c>
      <c r="J1209" s="3">
        <v>44267</v>
      </c>
      <c r="K1209" s="2">
        <v>66</v>
      </c>
      <c r="L1209" s="2" t="s">
        <v>64</v>
      </c>
      <c r="M1209" s="3"/>
    </row>
    <row r="1210" spans="1:13" x14ac:dyDescent="0.3">
      <c r="A1210" s="2">
        <v>1209</v>
      </c>
      <c r="B1210" s="2" t="s">
        <v>3838</v>
      </c>
      <c r="C1210" s="2" t="s">
        <v>3839</v>
      </c>
      <c r="D1210" s="2" t="s">
        <v>51</v>
      </c>
      <c r="E1210" s="2" t="s">
        <v>16</v>
      </c>
      <c r="F1210" s="2">
        <v>90</v>
      </c>
      <c r="G1210" s="2" t="s">
        <v>3840</v>
      </c>
      <c r="H1210" s="2" t="s">
        <v>2056</v>
      </c>
      <c r="I1210" s="2" t="s">
        <v>32</v>
      </c>
      <c r="J1210" s="3">
        <v>44899</v>
      </c>
      <c r="K1210" s="2">
        <v>70</v>
      </c>
      <c r="L1210" s="2" t="s">
        <v>80</v>
      </c>
      <c r="M1210" s="3"/>
    </row>
    <row r="1211" spans="1:13" x14ac:dyDescent="0.3">
      <c r="A1211" s="2">
        <v>1210</v>
      </c>
      <c r="B1211" s="2" t="s">
        <v>3841</v>
      </c>
      <c r="C1211" s="2" t="s">
        <v>50</v>
      </c>
      <c r="D1211" s="2" t="s">
        <v>41</v>
      </c>
      <c r="E1211" s="2" t="s">
        <v>16</v>
      </c>
      <c r="F1211" s="2">
        <v>30</v>
      </c>
      <c r="G1211" s="2" t="s">
        <v>3842</v>
      </c>
      <c r="H1211" s="2" t="s">
        <v>1190</v>
      </c>
      <c r="I1211" s="2" t="s">
        <v>173</v>
      </c>
      <c r="J1211" s="3">
        <v>44280</v>
      </c>
      <c r="K1211" s="2">
        <v>44</v>
      </c>
      <c r="L1211" s="2" t="s">
        <v>39</v>
      </c>
      <c r="M1211" s="3"/>
    </row>
    <row r="1212" spans="1:13" x14ac:dyDescent="0.3">
      <c r="A1212" s="2">
        <v>1211</v>
      </c>
      <c r="B1212" s="2" t="s">
        <v>130</v>
      </c>
      <c r="C1212" s="2" t="s">
        <v>3843</v>
      </c>
      <c r="D1212" s="2" t="s">
        <v>28</v>
      </c>
      <c r="E1212" s="2" t="s">
        <v>29</v>
      </c>
      <c r="F1212" s="2">
        <v>60</v>
      </c>
      <c r="G1212" s="2" t="s">
        <v>3842</v>
      </c>
      <c r="H1212" s="2" t="s">
        <v>2733</v>
      </c>
      <c r="I1212" s="2" t="s">
        <v>25</v>
      </c>
      <c r="J1212" s="3">
        <v>43906</v>
      </c>
      <c r="K1212" s="2">
        <v>79</v>
      </c>
      <c r="L1212" s="2" t="s">
        <v>64</v>
      </c>
      <c r="M1212" s="3"/>
    </row>
    <row r="1213" spans="1:13" x14ac:dyDescent="0.3">
      <c r="A1213" s="2">
        <v>1212</v>
      </c>
      <c r="B1213" s="2" t="s">
        <v>3844</v>
      </c>
      <c r="C1213" s="2" t="s">
        <v>3845</v>
      </c>
      <c r="D1213" s="2" t="s">
        <v>15</v>
      </c>
      <c r="E1213" s="2" t="s">
        <v>16</v>
      </c>
      <c r="F1213" s="2">
        <v>90</v>
      </c>
      <c r="G1213" s="2" t="s">
        <v>3846</v>
      </c>
      <c r="H1213" s="2" t="s">
        <v>1712</v>
      </c>
      <c r="I1213" s="2" t="s">
        <v>187</v>
      </c>
      <c r="J1213" s="3">
        <v>44321</v>
      </c>
      <c r="K1213" s="2">
        <v>88</v>
      </c>
      <c r="L1213" s="2" t="s">
        <v>54</v>
      </c>
      <c r="M1213" s="3"/>
    </row>
    <row r="1214" spans="1:13" x14ac:dyDescent="0.3">
      <c r="A1214" s="2">
        <v>1213</v>
      </c>
      <c r="B1214" s="2" t="s">
        <v>3847</v>
      </c>
      <c r="C1214" s="2" t="s">
        <v>3848</v>
      </c>
      <c r="D1214" s="2" t="s">
        <v>15</v>
      </c>
      <c r="E1214" s="2" t="s">
        <v>16</v>
      </c>
      <c r="F1214" s="2">
        <v>60</v>
      </c>
      <c r="G1214" s="2" t="s">
        <v>3849</v>
      </c>
      <c r="H1214" s="2" t="s">
        <v>1772</v>
      </c>
      <c r="I1214" s="2" t="s">
        <v>178</v>
      </c>
      <c r="J1214" s="3">
        <v>43866</v>
      </c>
      <c r="K1214" s="2">
        <v>31</v>
      </c>
      <c r="L1214" s="2" t="s">
        <v>54</v>
      </c>
      <c r="M1214" s="3"/>
    </row>
    <row r="1215" spans="1:13" x14ac:dyDescent="0.3">
      <c r="A1215" s="2">
        <v>1214</v>
      </c>
      <c r="B1215" s="2" t="s">
        <v>1337</v>
      </c>
      <c r="C1215" s="2" t="s">
        <v>3474</v>
      </c>
      <c r="D1215" s="2" t="s">
        <v>28</v>
      </c>
      <c r="E1215" s="2" t="s">
        <v>29</v>
      </c>
      <c r="F1215" s="2">
        <v>90</v>
      </c>
      <c r="G1215" s="2" t="s">
        <v>3850</v>
      </c>
      <c r="H1215" s="2" t="s">
        <v>3851</v>
      </c>
      <c r="I1215" s="2" t="s">
        <v>32</v>
      </c>
      <c r="J1215" s="3">
        <v>44582</v>
      </c>
      <c r="K1215" s="2">
        <v>31</v>
      </c>
      <c r="L1215" s="2" t="s">
        <v>45</v>
      </c>
      <c r="M1215" s="3"/>
    </row>
    <row r="1216" spans="1:13" x14ac:dyDescent="0.3">
      <c r="A1216" s="2">
        <v>1215</v>
      </c>
      <c r="B1216" s="2" t="s">
        <v>3852</v>
      </c>
      <c r="C1216" s="2" t="s">
        <v>2995</v>
      </c>
      <c r="D1216" s="2" t="s">
        <v>15</v>
      </c>
      <c r="E1216" s="2" t="s">
        <v>16</v>
      </c>
      <c r="F1216" s="2">
        <v>30</v>
      </c>
      <c r="G1216" s="2" t="s">
        <v>3853</v>
      </c>
      <c r="H1216" s="2" t="s">
        <v>3854</v>
      </c>
      <c r="I1216" s="2" t="s">
        <v>38</v>
      </c>
      <c r="J1216" s="3">
        <v>44025</v>
      </c>
      <c r="K1216" s="2">
        <v>66</v>
      </c>
      <c r="L1216" s="2" t="s">
        <v>70</v>
      </c>
      <c r="M1216" s="3"/>
    </row>
    <row r="1217" spans="1:13" x14ac:dyDescent="0.3">
      <c r="A1217" s="2">
        <v>1216</v>
      </c>
      <c r="B1217" s="2" t="s">
        <v>3855</v>
      </c>
      <c r="C1217" s="2" t="s">
        <v>2923</v>
      </c>
      <c r="D1217" s="2" t="s">
        <v>28</v>
      </c>
      <c r="E1217" s="2" t="s">
        <v>29</v>
      </c>
      <c r="F1217" s="2">
        <v>30</v>
      </c>
      <c r="G1217" s="2" t="s">
        <v>3856</v>
      </c>
      <c r="H1217" s="2" t="s">
        <v>2645</v>
      </c>
      <c r="I1217" s="2" t="s">
        <v>32</v>
      </c>
      <c r="J1217" s="3">
        <v>43844</v>
      </c>
      <c r="K1217" s="2">
        <v>8</v>
      </c>
      <c r="L1217" s="2" t="s">
        <v>80</v>
      </c>
      <c r="M1217" s="3"/>
    </row>
    <row r="1218" spans="1:13" x14ac:dyDescent="0.3">
      <c r="A1218" s="2">
        <v>1217</v>
      </c>
      <c r="B1218" s="2" t="s">
        <v>3857</v>
      </c>
      <c r="C1218" s="2" t="s">
        <v>2427</v>
      </c>
      <c r="D1218" s="2" t="s">
        <v>51</v>
      </c>
      <c r="E1218" s="2" t="s">
        <v>16</v>
      </c>
      <c r="F1218" s="2">
        <v>30</v>
      </c>
      <c r="G1218" s="2" t="s">
        <v>3858</v>
      </c>
      <c r="H1218" s="2" t="s">
        <v>3859</v>
      </c>
      <c r="I1218" s="2" t="s">
        <v>124</v>
      </c>
      <c r="J1218" s="3">
        <v>44095</v>
      </c>
      <c r="K1218" s="2">
        <v>11</v>
      </c>
      <c r="L1218" s="2" t="s">
        <v>33</v>
      </c>
      <c r="M1218" s="3"/>
    </row>
    <row r="1219" spans="1:13" x14ac:dyDescent="0.3">
      <c r="A1219" s="2">
        <v>1218</v>
      </c>
      <c r="B1219" s="2" t="s">
        <v>3860</v>
      </c>
      <c r="C1219" s="2" t="s">
        <v>1999</v>
      </c>
      <c r="D1219" s="2" t="s">
        <v>15</v>
      </c>
      <c r="E1219" s="2" t="s">
        <v>16</v>
      </c>
      <c r="F1219" s="2">
        <v>30</v>
      </c>
      <c r="G1219" s="2" t="s">
        <v>3861</v>
      </c>
      <c r="H1219" s="2" t="s">
        <v>3862</v>
      </c>
      <c r="I1219" s="2" t="s">
        <v>2543</v>
      </c>
      <c r="J1219" s="3">
        <v>44301</v>
      </c>
      <c r="K1219" s="2">
        <v>50</v>
      </c>
      <c r="L1219" s="2" t="s">
        <v>80</v>
      </c>
      <c r="M1219" s="3"/>
    </row>
    <row r="1220" spans="1:13" x14ac:dyDescent="0.3">
      <c r="A1220" s="2">
        <v>1219</v>
      </c>
      <c r="B1220" s="2" t="s">
        <v>3863</v>
      </c>
      <c r="C1220" s="2" t="s">
        <v>3864</v>
      </c>
      <c r="D1220" s="2" t="s">
        <v>92</v>
      </c>
      <c r="E1220" s="2" t="s">
        <v>16</v>
      </c>
      <c r="F1220" s="2">
        <v>30</v>
      </c>
      <c r="G1220" s="2" t="s">
        <v>3865</v>
      </c>
      <c r="H1220" s="2" t="s">
        <v>3866</v>
      </c>
      <c r="I1220" s="2" t="s">
        <v>32</v>
      </c>
      <c r="J1220" s="3">
        <v>44048</v>
      </c>
      <c r="K1220" s="2">
        <v>75</v>
      </c>
      <c r="L1220" s="2" t="s">
        <v>101</v>
      </c>
      <c r="M1220" s="3"/>
    </row>
    <row r="1221" spans="1:13" x14ac:dyDescent="0.3">
      <c r="A1221" s="2">
        <v>1220</v>
      </c>
      <c r="B1221" s="2" t="s">
        <v>3867</v>
      </c>
      <c r="C1221" s="2" t="s">
        <v>3222</v>
      </c>
      <c r="D1221" s="2" t="s">
        <v>28</v>
      </c>
      <c r="E1221" s="2" t="s">
        <v>29</v>
      </c>
      <c r="F1221" s="2">
        <v>60</v>
      </c>
      <c r="G1221" s="2" t="s">
        <v>3868</v>
      </c>
      <c r="H1221" s="2" t="s">
        <v>424</v>
      </c>
      <c r="I1221" s="2" t="s">
        <v>425</v>
      </c>
      <c r="J1221" s="3">
        <v>44713</v>
      </c>
      <c r="K1221" s="2">
        <v>68</v>
      </c>
      <c r="L1221" s="2" t="s">
        <v>45</v>
      </c>
      <c r="M1221" s="3"/>
    </row>
    <row r="1222" spans="1:13" x14ac:dyDescent="0.3">
      <c r="A1222" s="2">
        <v>1221</v>
      </c>
      <c r="B1222" s="2" t="s">
        <v>711</v>
      </c>
      <c r="C1222" s="2" t="s">
        <v>180</v>
      </c>
      <c r="D1222" s="2" t="s">
        <v>28</v>
      </c>
      <c r="E1222" s="2" t="s">
        <v>29</v>
      </c>
      <c r="F1222" s="2">
        <v>90</v>
      </c>
      <c r="G1222" s="2" t="s">
        <v>3869</v>
      </c>
      <c r="H1222" s="2" t="s">
        <v>3870</v>
      </c>
      <c r="I1222" s="2" t="s">
        <v>124</v>
      </c>
      <c r="J1222" s="3">
        <v>44251</v>
      </c>
      <c r="K1222" s="2">
        <v>76</v>
      </c>
      <c r="L1222" s="2" t="s">
        <v>33</v>
      </c>
      <c r="M1222" s="3"/>
    </row>
    <row r="1223" spans="1:13" x14ac:dyDescent="0.3">
      <c r="A1223" s="2">
        <v>1222</v>
      </c>
      <c r="B1223" s="2" t="s">
        <v>3871</v>
      </c>
      <c r="C1223" s="2" t="s">
        <v>3872</v>
      </c>
      <c r="D1223" s="2" t="s">
        <v>28</v>
      </c>
      <c r="E1223" s="2" t="s">
        <v>29</v>
      </c>
      <c r="F1223" s="2">
        <v>90</v>
      </c>
      <c r="G1223" s="2" t="s">
        <v>3873</v>
      </c>
      <c r="H1223" s="2" t="s">
        <v>1764</v>
      </c>
      <c r="I1223" s="2" t="s">
        <v>124</v>
      </c>
      <c r="J1223" s="3">
        <v>44503</v>
      </c>
      <c r="K1223" s="2">
        <v>14</v>
      </c>
      <c r="L1223" s="2" t="s">
        <v>20</v>
      </c>
      <c r="M1223" s="3"/>
    </row>
    <row r="1224" spans="1:13" x14ac:dyDescent="0.3">
      <c r="A1224" s="2">
        <v>1223</v>
      </c>
      <c r="B1224" s="2" t="s">
        <v>3874</v>
      </c>
      <c r="C1224" s="2" t="s">
        <v>1599</v>
      </c>
      <c r="D1224" s="2" t="s">
        <v>15</v>
      </c>
      <c r="E1224" s="2" t="s">
        <v>16</v>
      </c>
      <c r="F1224" s="2">
        <v>90</v>
      </c>
      <c r="G1224" s="2" t="s">
        <v>3875</v>
      </c>
      <c r="H1224" s="2" t="s">
        <v>3876</v>
      </c>
      <c r="I1224" s="2" t="s">
        <v>32</v>
      </c>
      <c r="J1224" s="3">
        <v>43870</v>
      </c>
      <c r="K1224" s="2">
        <v>79</v>
      </c>
      <c r="L1224" s="2" t="s">
        <v>39</v>
      </c>
      <c r="M1224" s="3"/>
    </row>
    <row r="1225" spans="1:13" x14ac:dyDescent="0.3">
      <c r="A1225" s="2">
        <v>1224</v>
      </c>
      <c r="B1225" s="2" t="s">
        <v>3877</v>
      </c>
      <c r="C1225" s="2" t="s">
        <v>1058</v>
      </c>
      <c r="D1225" s="2" t="s">
        <v>15</v>
      </c>
      <c r="E1225" s="2" t="s">
        <v>16</v>
      </c>
      <c r="F1225" s="2">
        <v>30</v>
      </c>
      <c r="G1225" s="2" t="s">
        <v>3878</v>
      </c>
      <c r="H1225" s="2" t="s">
        <v>1945</v>
      </c>
      <c r="I1225" s="2" t="s">
        <v>32</v>
      </c>
      <c r="J1225" s="3">
        <v>44029</v>
      </c>
      <c r="K1225" s="2">
        <v>77</v>
      </c>
      <c r="L1225" s="2" t="s">
        <v>54</v>
      </c>
      <c r="M1225" s="3"/>
    </row>
    <row r="1226" spans="1:13" x14ac:dyDescent="0.3">
      <c r="A1226" s="2">
        <v>1225</v>
      </c>
      <c r="B1226" s="2" t="s">
        <v>3877</v>
      </c>
      <c r="C1226" s="2" t="s">
        <v>1058</v>
      </c>
      <c r="D1226" s="2" t="s">
        <v>15</v>
      </c>
      <c r="E1226" s="2" t="s">
        <v>16</v>
      </c>
      <c r="F1226" s="2">
        <v>30</v>
      </c>
      <c r="G1226" s="2" t="s">
        <v>3878</v>
      </c>
      <c r="H1226" s="2" t="s">
        <v>1945</v>
      </c>
      <c r="I1226" s="2" t="s">
        <v>32</v>
      </c>
      <c r="J1226" s="3">
        <v>44029</v>
      </c>
      <c r="K1226" s="2">
        <v>77</v>
      </c>
      <c r="L1226" s="2" t="s">
        <v>54</v>
      </c>
      <c r="M1226" s="3"/>
    </row>
    <row r="1227" spans="1:13" x14ac:dyDescent="0.3">
      <c r="A1227" s="2">
        <v>1226</v>
      </c>
      <c r="B1227" s="2" t="s">
        <v>309</v>
      </c>
      <c r="C1227" s="2" t="s">
        <v>3460</v>
      </c>
      <c r="D1227" s="2" t="s">
        <v>28</v>
      </c>
      <c r="E1227" s="2" t="s">
        <v>29</v>
      </c>
      <c r="F1227" s="2">
        <v>90</v>
      </c>
      <c r="G1227" s="2" t="s">
        <v>3879</v>
      </c>
      <c r="H1227" s="2" t="s">
        <v>2965</v>
      </c>
      <c r="I1227" s="2" t="s">
        <v>25</v>
      </c>
      <c r="J1227" s="3">
        <v>44240</v>
      </c>
      <c r="K1227" s="2">
        <v>87</v>
      </c>
      <c r="L1227" s="2" t="s">
        <v>39</v>
      </c>
      <c r="M1227" s="3"/>
    </row>
    <row r="1228" spans="1:13" x14ac:dyDescent="0.3">
      <c r="A1228" s="2">
        <v>1227</v>
      </c>
      <c r="B1228" s="2" t="s">
        <v>3880</v>
      </c>
      <c r="C1228" s="2" t="s">
        <v>788</v>
      </c>
      <c r="D1228" s="2" t="s">
        <v>28</v>
      </c>
      <c r="E1228" s="2" t="s">
        <v>29</v>
      </c>
      <c r="F1228" s="2">
        <v>60</v>
      </c>
      <c r="G1228" s="2" t="s">
        <v>3881</v>
      </c>
      <c r="H1228" s="2" t="s">
        <v>3882</v>
      </c>
      <c r="I1228" s="2" t="s">
        <v>38</v>
      </c>
      <c r="J1228" s="3">
        <v>44434</v>
      </c>
      <c r="K1228" s="2">
        <v>95</v>
      </c>
      <c r="L1228" s="2" t="s">
        <v>159</v>
      </c>
      <c r="M1228" s="3"/>
    </row>
    <row r="1229" spans="1:13" x14ac:dyDescent="0.3">
      <c r="A1229" s="2">
        <v>1228</v>
      </c>
      <c r="B1229" s="2" t="s">
        <v>3883</v>
      </c>
      <c r="C1229" s="2" t="s">
        <v>3884</v>
      </c>
      <c r="D1229" s="2" t="s">
        <v>51</v>
      </c>
      <c r="E1229" s="2" t="s">
        <v>16</v>
      </c>
      <c r="F1229" s="2">
        <v>60</v>
      </c>
      <c r="G1229" s="2" t="s">
        <v>3885</v>
      </c>
      <c r="H1229" s="2" t="s">
        <v>279</v>
      </c>
      <c r="I1229" s="2" t="s">
        <v>213</v>
      </c>
      <c r="J1229" s="3">
        <v>44072</v>
      </c>
      <c r="K1229" s="2">
        <v>32</v>
      </c>
      <c r="L1229" s="2" t="s">
        <v>159</v>
      </c>
      <c r="M1229" s="3"/>
    </row>
    <row r="1230" spans="1:13" x14ac:dyDescent="0.3">
      <c r="A1230" s="2">
        <v>1229</v>
      </c>
      <c r="B1230" s="2" t="s">
        <v>3886</v>
      </c>
      <c r="C1230" s="2" t="s">
        <v>3887</v>
      </c>
      <c r="D1230" s="2" t="s">
        <v>51</v>
      </c>
      <c r="E1230" s="2" t="s">
        <v>16</v>
      </c>
      <c r="F1230" s="2">
        <v>90</v>
      </c>
      <c r="G1230" s="2" t="s">
        <v>3888</v>
      </c>
      <c r="H1230" s="2" t="s">
        <v>400</v>
      </c>
      <c r="I1230" s="2" t="s">
        <v>401</v>
      </c>
      <c r="J1230" s="3">
        <v>44563</v>
      </c>
      <c r="K1230" s="2">
        <v>46</v>
      </c>
      <c r="L1230" s="2" t="s">
        <v>70</v>
      </c>
      <c r="M1230" s="3"/>
    </row>
    <row r="1231" spans="1:13" x14ac:dyDescent="0.3">
      <c r="A1231" s="2">
        <v>1230</v>
      </c>
      <c r="B1231" s="2" t="s">
        <v>3889</v>
      </c>
      <c r="C1231" s="2" t="s">
        <v>3588</v>
      </c>
      <c r="D1231" s="2" t="s">
        <v>51</v>
      </c>
      <c r="E1231" s="2" t="s">
        <v>16</v>
      </c>
      <c r="F1231" s="2">
        <v>60</v>
      </c>
      <c r="G1231" s="2" t="s">
        <v>3890</v>
      </c>
      <c r="H1231" s="2" t="s">
        <v>3891</v>
      </c>
      <c r="I1231" s="2" t="s">
        <v>124</v>
      </c>
      <c r="J1231" s="3">
        <v>44004</v>
      </c>
      <c r="K1231" s="2">
        <v>30</v>
      </c>
      <c r="L1231" s="2" t="s">
        <v>101</v>
      </c>
      <c r="M1231" s="3"/>
    </row>
    <row r="1232" spans="1:13" x14ac:dyDescent="0.3">
      <c r="A1232" s="2">
        <v>1231</v>
      </c>
      <c r="B1232" s="2" t="s">
        <v>3889</v>
      </c>
      <c r="C1232" s="2" t="s">
        <v>3588</v>
      </c>
      <c r="D1232" s="2" t="s">
        <v>51</v>
      </c>
      <c r="E1232" s="2" t="s">
        <v>16</v>
      </c>
      <c r="F1232" s="2">
        <v>60</v>
      </c>
      <c r="G1232" s="2" t="s">
        <v>3890</v>
      </c>
      <c r="H1232" s="2" t="s">
        <v>3891</v>
      </c>
      <c r="I1232" s="2" t="s">
        <v>124</v>
      </c>
      <c r="J1232" s="3">
        <v>44004</v>
      </c>
      <c r="K1232" s="2">
        <v>30</v>
      </c>
      <c r="L1232" s="2" t="s">
        <v>101</v>
      </c>
      <c r="M1232" s="3"/>
    </row>
    <row r="1233" spans="1:13" x14ac:dyDescent="0.3">
      <c r="A1233" s="2">
        <v>1232</v>
      </c>
      <c r="B1233" s="2" t="s">
        <v>3140</v>
      </c>
      <c r="C1233" s="2" t="s">
        <v>3892</v>
      </c>
      <c r="D1233" s="2" t="s">
        <v>28</v>
      </c>
      <c r="E1233" s="2" t="s">
        <v>29</v>
      </c>
      <c r="F1233" s="2">
        <v>90</v>
      </c>
      <c r="G1233" s="2" t="s">
        <v>3893</v>
      </c>
      <c r="H1233" s="2" t="s">
        <v>3894</v>
      </c>
      <c r="I1233" s="2" t="s">
        <v>110</v>
      </c>
      <c r="J1233" s="3">
        <v>44575</v>
      </c>
      <c r="K1233" s="2">
        <v>105</v>
      </c>
      <c r="L1233" s="2" t="s">
        <v>20</v>
      </c>
      <c r="M1233" s="3"/>
    </row>
    <row r="1234" spans="1:13" x14ac:dyDescent="0.3">
      <c r="A1234" s="2">
        <v>1233</v>
      </c>
      <c r="B1234" s="2" t="s">
        <v>3895</v>
      </c>
      <c r="C1234" s="2" t="s">
        <v>1588</v>
      </c>
      <c r="D1234" s="2" t="s">
        <v>15</v>
      </c>
      <c r="E1234" s="2" t="s">
        <v>16</v>
      </c>
      <c r="F1234" s="2">
        <v>90</v>
      </c>
      <c r="G1234" s="2" t="s">
        <v>3896</v>
      </c>
      <c r="H1234" s="2" t="s">
        <v>3897</v>
      </c>
      <c r="I1234" s="2" t="s">
        <v>3898</v>
      </c>
      <c r="J1234" s="3">
        <v>44391</v>
      </c>
      <c r="K1234" s="2">
        <v>2</v>
      </c>
      <c r="L1234" s="2" t="s">
        <v>33</v>
      </c>
      <c r="M1234" s="3"/>
    </row>
    <row r="1235" spans="1:13" x14ac:dyDescent="0.3">
      <c r="A1235" s="2">
        <v>1234</v>
      </c>
      <c r="B1235" s="2" t="s">
        <v>3899</v>
      </c>
      <c r="C1235" s="2" t="s">
        <v>3900</v>
      </c>
      <c r="D1235" s="2" t="s">
        <v>15</v>
      </c>
      <c r="E1235" s="2" t="s">
        <v>16</v>
      </c>
      <c r="F1235" s="2">
        <v>30</v>
      </c>
      <c r="G1235" s="2" t="s">
        <v>3901</v>
      </c>
      <c r="H1235" s="2" t="s">
        <v>123</v>
      </c>
      <c r="I1235" s="2" t="s">
        <v>124</v>
      </c>
      <c r="J1235" s="3">
        <v>44219</v>
      </c>
      <c r="K1235" s="2">
        <v>33</v>
      </c>
      <c r="L1235" s="2" t="s">
        <v>39</v>
      </c>
      <c r="M1235" s="3"/>
    </row>
    <row r="1236" spans="1:13" x14ac:dyDescent="0.3">
      <c r="A1236" s="2">
        <v>1235</v>
      </c>
      <c r="B1236" s="2" t="s">
        <v>3902</v>
      </c>
      <c r="C1236" s="2" t="s">
        <v>976</v>
      </c>
      <c r="D1236" s="2" t="s">
        <v>28</v>
      </c>
      <c r="E1236" s="2" t="s">
        <v>29</v>
      </c>
      <c r="F1236" s="2">
        <v>90</v>
      </c>
      <c r="G1236" s="2" t="s">
        <v>3903</v>
      </c>
      <c r="H1236" s="2" t="s">
        <v>3041</v>
      </c>
      <c r="I1236" s="2" t="s">
        <v>124</v>
      </c>
      <c r="J1236" s="3">
        <v>44555</v>
      </c>
      <c r="K1236" s="2">
        <v>80</v>
      </c>
      <c r="L1236" s="2" t="s">
        <v>101</v>
      </c>
      <c r="M1236" s="3"/>
    </row>
    <row r="1237" spans="1:13" x14ac:dyDescent="0.3">
      <c r="A1237" s="2">
        <v>1236</v>
      </c>
      <c r="B1237" s="2" t="s">
        <v>3904</v>
      </c>
      <c r="C1237" s="2" t="s">
        <v>3905</v>
      </c>
      <c r="D1237" s="2" t="s">
        <v>92</v>
      </c>
      <c r="E1237" s="2" t="s">
        <v>16</v>
      </c>
      <c r="F1237" s="2">
        <v>30</v>
      </c>
      <c r="G1237" s="2" t="s">
        <v>3906</v>
      </c>
      <c r="H1237" s="2" t="s">
        <v>2172</v>
      </c>
      <c r="I1237" s="2" t="s">
        <v>32</v>
      </c>
      <c r="J1237" s="3">
        <v>43888</v>
      </c>
      <c r="K1237" s="2">
        <v>8</v>
      </c>
      <c r="L1237" s="2" t="s">
        <v>101</v>
      </c>
      <c r="M1237" s="3"/>
    </row>
    <row r="1238" spans="1:13" x14ac:dyDescent="0.3">
      <c r="A1238" s="2">
        <v>1237</v>
      </c>
      <c r="B1238" s="2" t="s">
        <v>3124</v>
      </c>
      <c r="C1238" s="2" t="s">
        <v>3907</v>
      </c>
      <c r="D1238" s="2" t="s">
        <v>28</v>
      </c>
      <c r="E1238" s="2" t="s">
        <v>29</v>
      </c>
      <c r="F1238" s="2">
        <v>90</v>
      </c>
      <c r="G1238" s="2" t="s">
        <v>3908</v>
      </c>
      <c r="H1238" s="2" t="s">
        <v>1505</v>
      </c>
      <c r="I1238" s="2" t="s">
        <v>32</v>
      </c>
      <c r="J1238" s="3">
        <v>44177</v>
      </c>
      <c r="K1238" s="2">
        <v>72</v>
      </c>
      <c r="L1238" s="2" t="s">
        <v>33</v>
      </c>
      <c r="M1238" s="3"/>
    </row>
    <row r="1239" spans="1:13" x14ac:dyDescent="0.3">
      <c r="A1239" s="2">
        <v>1238</v>
      </c>
      <c r="B1239" s="2" t="s">
        <v>994</v>
      </c>
      <c r="C1239" s="2" t="s">
        <v>2485</v>
      </c>
      <c r="D1239" s="2" t="s">
        <v>28</v>
      </c>
      <c r="E1239" s="2" t="s">
        <v>29</v>
      </c>
      <c r="F1239" s="2">
        <v>60</v>
      </c>
      <c r="G1239" s="2" t="s">
        <v>3908</v>
      </c>
      <c r="H1239" s="2" t="s">
        <v>3909</v>
      </c>
      <c r="I1239" s="2" t="s">
        <v>32</v>
      </c>
      <c r="J1239" s="3">
        <v>44899</v>
      </c>
      <c r="K1239" s="2">
        <v>79</v>
      </c>
      <c r="L1239" s="2" t="s">
        <v>54</v>
      </c>
      <c r="M1239" s="3"/>
    </row>
    <row r="1240" spans="1:13" x14ac:dyDescent="0.3">
      <c r="A1240" s="2">
        <v>1239</v>
      </c>
      <c r="B1240" s="2" t="s">
        <v>3910</v>
      </c>
      <c r="C1240" s="2" t="s">
        <v>3911</v>
      </c>
      <c r="D1240" s="2" t="s">
        <v>28</v>
      </c>
      <c r="E1240" s="2" t="s">
        <v>29</v>
      </c>
      <c r="F1240" s="2">
        <v>90</v>
      </c>
      <c r="G1240" s="2" t="s">
        <v>3912</v>
      </c>
      <c r="H1240" s="2" t="s">
        <v>2498</v>
      </c>
      <c r="I1240" s="2" t="s">
        <v>913</v>
      </c>
      <c r="J1240" s="3">
        <v>44512</v>
      </c>
      <c r="K1240" s="2">
        <v>74</v>
      </c>
      <c r="L1240" s="2" t="s">
        <v>33</v>
      </c>
      <c r="M1240" s="3"/>
    </row>
    <row r="1241" spans="1:13" x14ac:dyDescent="0.3">
      <c r="A1241" s="2">
        <v>1240</v>
      </c>
      <c r="B1241" s="2" t="s">
        <v>2605</v>
      </c>
      <c r="C1241" s="2" t="s">
        <v>3913</v>
      </c>
      <c r="D1241" s="2" t="s">
        <v>15</v>
      </c>
      <c r="E1241" s="2" t="s">
        <v>16</v>
      </c>
      <c r="F1241" s="2">
        <v>90</v>
      </c>
      <c r="G1241" s="2" t="s">
        <v>3914</v>
      </c>
      <c r="H1241" s="2" t="s">
        <v>3915</v>
      </c>
      <c r="I1241" s="2" t="s">
        <v>173</v>
      </c>
      <c r="J1241" s="3">
        <v>44480</v>
      </c>
      <c r="K1241" s="2">
        <v>28</v>
      </c>
      <c r="L1241" s="2" t="s">
        <v>159</v>
      </c>
      <c r="M1241" s="3"/>
    </row>
    <row r="1242" spans="1:13" x14ac:dyDescent="0.3">
      <c r="A1242" s="2">
        <v>1241</v>
      </c>
      <c r="B1242" s="2" t="s">
        <v>3916</v>
      </c>
      <c r="C1242" s="2" t="s">
        <v>3917</v>
      </c>
      <c r="D1242" s="2" t="s">
        <v>15</v>
      </c>
      <c r="E1242" s="2" t="s">
        <v>16</v>
      </c>
      <c r="F1242" s="2">
        <v>90</v>
      </c>
      <c r="G1242" s="2" t="s">
        <v>3918</v>
      </c>
      <c r="H1242" s="2" t="s">
        <v>302</v>
      </c>
      <c r="I1242" s="2" t="s">
        <v>303</v>
      </c>
      <c r="J1242" s="3">
        <v>44876</v>
      </c>
      <c r="K1242" s="2">
        <v>38</v>
      </c>
      <c r="L1242" s="2" t="s">
        <v>159</v>
      </c>
      <c r="M1242" s="3"/>
    </row>
    <row r="1243" spans="1:13" x14ac:dyDescent="0.3">
      <c r="A1243" s="2">
        <v>1242</v>
      </c>
      <c r="B1243" s="2" t="s">
        <v>3919</v>
      </c>
      <c r="C1243" s="2" t="s">
        <v>3920</v>
      </c>
      <c r="D1243" s="2" t="s">
        <v>51</v>
      </c>
      <c r="E1243" s="2" t="s">
        <v>16</v>
      </c>
      <c r="F1243" s="2">
        <v>30</v>
      </c>
      <c r="G1243" s="2" t="s">
        <v>3921</v>
      </c>
      <c r="H1243" s="2" t="s">
        <v>2284</v>
      </c>
      <c r="I1243" s="2" t="s">
        <v>32</v>
      </c>
      <c r="J1243" s="3">
        <v>44083</v>
      </c>
      <c r="K1243" s="2">
        <v>22</v>
      </c>
      <c r="L1243" s="2" t="s">
        <v>80</v>
      </c>
      <c r="M1243" s="3"/>
    </row>
    <row r="1244" spans="1:13" x14ac:dyDescent="0.3">
      <c r="A1244" s="2">
        <v>1243</v>
      </c>
      <c r="B1244" s="2" t="s">
        <v>1236</v>
      </c>
      <c r="C1244" s="2" t="s">
        <v>3922</v>
      </c>
      <c r="D1244" s="2" t="s">
        <v>15</v>
      </c>
      <c r="E1244" s="2" t="s">
        <v>16</v>
      </c>
      <c r="F1244" s="2">
        <v>90</v>
      </c>
      <c r="G1244" s="2" t="s">
        <v>3923</v>
      </c>
      <c r="H1244" s="2" t="s">
        <v>1716</v>
      </c>
      <c r="I1244" s="2" t="s">
        <v>425</v>
      </c>
      <c r="J1244" s="3">
        <v>43831</v>
      </c>
      <c r="K1244" s="2">
        <v>14</v>
      </c>
      <c r="L1244" s="2" t="s">
        <v>39</v>
      </c>
      <c r="M1244" s="3"/>
    </row>
    <row r="1245" spans="1:13" x14ac:dyDescent="0.3">
      <c r="A1245" s="2">
        <v>1244</v>
      </c>
      <c r="B1245" s="2" t="s">
        <v>3924</v>
      </c>
      <c r="C1245" s="2" t="s">
        <v>2928</v>
      </c>
      <c r="D1245" s="2" t="s">
        <v>15</v>
      </c>
      <c r="E1245" s="2" t="s">
        <v>16</v>
      </c>
      <c r="F1245" s="2">
        <v>90</v>
      </c>
      <c r="G1245" s="2" t="s">
        <v>3925</v>
      </c>
      <c r="H1245" s="2" t="s">
        <v>726</v>
      </c>
      <c r="I1245" s="2" t="s">
        <v>32</v>
      </c>
      <c r="J1245" s="3">
        <v>44001</v>
      </c>
      <c r="K1245" s="2">
        <v>29</v>
      </c>
      <c r="L1245" s="2" t="s">
        <v>70</v>
      </c>
      <c r="M1245" s="3"/>
    </row>
    <row r="1246" spans="1:13" x14ac:dyDescent="0.3">
      <c r="A1246" s="2">
        <v>1245</v>
      </c>
      <c r="B1246" s="2" t="s">
        <v>1327</v>
      </c>
      <c r="C1246" s="2" t="s">
        <v>3357</v>
      </c>
      <c r="D1246" s="2" t="s">
        <v>28</v>
      </c>
      <c r="E1246" s="2" t="s">
        <v>29</v>
      </c>
      <c r="F1246" s="2">
        <v>60</v>
      </c>
      <c r="G1246" s="2" t="s">
        <v>3926</v>
      </c>
      <c r="H1246" s="2" t="s">
        <v>3224</v>
      </c>
      <c r="I1246" s="2" t="s">
        <v>2022</v>
      </c>
      <c r="J1246" s="3">
        <v>44583</v>
      </c>
      <c r="K1246" s="2">
        <v>54</v>
      </c>
      <c r="L1246" s="2" t="s">
        <v>33</v>
      </c>
      <c r="M1246" s="3"/>
    </row>
    <row r="1247" spans="1:13" x14ac:dyDescent="0.3">
      <c r="A1247" s="2">
        <v>1246</v>
      </c>
      <c r="B1247" s="2" t="s">
        <v>3927</v>
      </c>
      <c r="C1247" s="2" t="s">
        <v>3928</v>
      </c>
      <c r="D1247" s="2" t="s">
        <v>117</v>
      </c>
      <c r="E1247" s="2" t="s">
        <v>29</v>
      </c>
      <c r="F1247" s="2">
        <v>90</v>
      </c>
      <c r="G1247" s="2" t="s">
        <v>3929</v>
      </c>
      <c r="H1247" s="2" t="s">
        <v>890</v>
      </c>
      <c r="I1247" s="2" t="s">
        <v>178</v>
      </c>
      <c r="J1247" s="3">
        <v>44911</v>
      </c>
      <c r="K1247" s="2">
        <v>19</v>
      </c>
      <c r="L1247" s="2" t="s">
        <v>80</v>
      </c>
      <c r="M1247" s="3"/>
    </row>
    <row r="1248" spans="1:13" x14ac:dyDescent="0.3">
      <c r="A1248" s="2">
        <v>1247</v>
      </c>
      <c r="B1248" s="2" t="s">
        <v>774</v>
      </c>
      <c r="C1248" s="2" t="s">
        <v>3930</v>
      </c>
      <c r="D1248" s="2" t="s">
        <v>28</v>
      </c>
      <c r="E1248" s="2" t="s">
        <v>29</v>
      </c>
      <c r="F1248" s="2">
        <v>30</v>
      </c>
      <c r="G1248" s="2" t="s">
        <v>3931</v>
      </c>
      <c r="H1248" s="2" t="s">
        <v>3932</v>
      </c>
      <c r="I1248" s="2" t="s">
        <v>32</v>
      </c>
      <c r="J1248" s="3">
        <v>44308</v>
      </c>
      <c r="K1248" s="2">
        <v>56</v>
      </c>
      <c r="L1248" s="2" t="s">
        <v>70</v>
      </c>
      <c r="M1248" s="3"/>
    </row>
    <row r="1249" spans="1:13" x14ac:dyDescent="0.3">
      <c r="A1249" s="2">
        <v>1248</v>
      </c>
      <c r="B1249" s="2" t="s">
        <v>2086</v>
      </c>
      <c r="C1249" s="2" t="s">
        <v>3933</v>
      </c>
      <c r="D1249" s="2" t="s">
        <v>28</v>
      </c>
      <c r="E1249" s="2" t="s">
        <v>29</v>
      </c>
      <c r="F1249" s="2">
        <v>90</v>
      </c>
      <c r="G1249" s="2" t="s">
        <v>3934</v>
      </c>
      <c r="H1249" s="2" t="s">
        <v>776</v>
      </c>
      <c r="I1249" s="2" t="s">
        <v>777</v>
      </c>
      <c r="J1249" s="3">
        <v>44890</v>
      </c>
      <c r="K1249" s="2">
        <v>93</v>
      </c>
      <c r="L1249" s="2" t="s">
        <v>70</v>
      </c>
      <c r="M1249" s="3"/>
    </row>
    <row r="1250" spans="1:13" x14ac:dyDescent="0.3">
      <c r="A1250" s="2">
        <v>1249</v>
      </c>
      <c r="B1250" s="2" t="s">
        <v>2412</v>
      </c>
      <c r="C1250" s="2" t="s">
        <v>3935</v>
      </c>
      <c r="D1250" s="2" t="s">
        <v>28</v>
      </c>
      <c r="E1250" s="2" t="s">
        <v>29</v>
      </c>
      <c r="F1250" s="2">
        <v>30</v>
      </c>
      <c r="G1250" s="2" t="s">
        <v>3936</v>
      </c>
      <c r="H1250" s="2" t="s">
        <v>1940</v>
      </c>
      <c r="I1250" s="2" t="s">
        <v>294</v>
      </c>
      <c r="J1250" s="3">
        <v>44115</v>
      </c>
      <c r="K1250" s="2">
        <v>75</v>
      </c>
      <c r="L1250" s="2" t="s">
        <v>101</v>
      </c>
      <c r="M1250" s="3"/>
    </row>
    <row r="1251" spans="1:13" x14ac:dyDescent="0.3">
      <c r="A1251" s="2">
        <v>1250</v>
      </c>
      <c r="B1251" s="2" t="s">
        <v>3937</v>
      </c>
      <c r="C1251" s="2" t="s">
        <v>3938</v>
      </c>
      <c r="D1251" s="2" t="s">
        <v>51</v>
      </c>
      <c r="E1251" s="2" t="s">
        <v>16</v>
      </c>
      <c r="F1251" s="2">
        <v>90</v>
      </c>
      <c r="G1251" s="2" t="s">
        <v>3939</v>
      </c>
      <c r="H1251" s="2" t="s">
        <v>24</v>
      </c>
      <c r="I1251" s="2" t="s">
        <v>25</v>
      </c>
      <c r="J1251" s="3">
        <v>43853</v>
      </c>
      <c r="K1251" s="2">
        <v>76</v>
      </c>
      <c r="L1251" s="2" t="s">
        <v>70</v>
      </c>
      <c r="M1251" s="3"/>
    </row>
    <row r="1252" spans="1:13" x14ac:dyDescent="0.3">
      <c r="A1252" s="2">
        <v>1251</v>
      </c>
      <c r="B1252" s="2" t="s">
        <v>3937</v>
      </c>
      <c r="C1252" s="2" t="s">
        <v>3938</v>
      </c>
      <c r="D1252" s="2" t="s">
        <v>51</v>
      </c>
      <c r="E1252" s="2" t="s">
        <v>16</v>
      </c>
      <c r="F1252" s="2">
        <v>90</v>
      </c>
      <c r="G1252" s="2" t="s">
        <v>3939</v>
      </c>
      <c r="H1252" s="2" t="s">
        <v>24</v>
      </c>
      <c r="I1252" s="2" t="s">
        <v>25</v>
      </c>
      <c r="J1252" s="3">
        <v>43853</v>
      </c>
      <c r="K1252" s="2">
        <v>76</v>
      </c>
      <c r="L1252" s="2" t="s">
        <v>70</v>
      </c>
      <c r="M1252" s="3"/>
    </row>
    <row r="1253" spans="1:13" x14ac:dyDescent="0.3">
      <c r="A1253" s="2">
        <v>1252</v>
      </c>
      <c r="B1253" s="2" t="s">
        <v>3940</v>
      </c>
      <c r="C1253" s="2" t="s">
        <v>3941</v>
      </c>
      <c r="D1253" s="2" t="s">
        <v>28</v>
      </c>
      <c r="E1253" s="2" t="s">
        <v>29</v>
      </c>
      <c r="F1253" s="2">
        <v>30</v>
      </c>
      <c r="G1253" s="2" t="s">
        <v>3939</v>
      </c>
      <c r="H1253" s="2" t="s">
        <v>3942</v>
      </c>
      <c r="I1253" s="2" t="s">
        <v>294</v>
      </c>
      <c r="J1253" s="3">
        <v>44367</v>
      </c>
      <c r="K1253" s="2">
        <v>87</v>
      </c>
      <c r="L1253" s="2" t="s">
        <v>80</v>
      </c>
      <c r="M1253" s="3"/>
    </row>
    <row r="1254" spans="1:13" x14ac:dyDescent="0.3">
      <c r="A1254" s="2">
        <v>1253</v>
      </c>
      <c r="B1254" s="2" t="s">
        <v>3943</v>
      </c>
      <c r="C1254" s="2" t="s">
        <v>3944</v>
      </c>
      <c r="D1254" s="2" t="s">
        <v>28</v>
      </c>
      <c r="E1254" s="2" t="s">
        <v>29</v>
      </c>
      <c r="F1254" s="2">
        <v>90</v>
      </c>
      <c r="G1254" s="2" t="s">
        <v>3945</v>
      </c>
      <c r="H1254" s="2" t="s">
        <v>3044</v>
      </c>
      <c r="I1254" s="2" t="s">
        <v>1413</v>
      </c>
      <c r="J1254" s="3">
        <v>44675</v>
      </c>
      <c r="K1254" s="2">
        <v>29</v>
      </c>
      <c r="L1254" s="2" t="s">
        <v>159</v>
      </c>
      <c r="M1254" s="3"/>
    </row>
    <row r="1255" spans="1:13" x14ac:dyDescent="0.3">
      <c r="A1255" s="2">
        <v>1254</v>
      </c>
      <c r="B1255" s="2" t="s">
        <v>3946</v>
      </c>
      <c r="C1255" s="2" t="s">
        <v>3947</v>
      </c>
      <c r="D1255" s="2" t="s">
        <v>28</v>
      </c>
      <c r="E1255" s="2" t="s">
        <v>29</v>
      </c>
      <c r="F1255" s="2">
        <v>60</v>
      </c>
      <c r="G1255" s="2" t="s">
        <v>3948</v>
      </c>
      <c r="H1255" s="2" t="s">
        <v>1956</v>
      </c>
      <c r="I1255" s="2" t="s">
        <v>32</v>
      </c>
      <c r="J1255" s="3">
        <v>44610</v>
      </c>
      <c r="K1255" s="2">
        <v>64</v>
      </c>
      <c r="L1255" s="2" t="s">
        <v>54</v>
      </c>
      <c r="M1255" s="3"/>
    </row>
    <row r="1256" spans="1:13" x14ac:dyDescent="0.3">
      <c r="A1256" s="2">
        <v>1255</v>
      </c>
      <c r="B1256" s="2" t="s">
        <v>3949</v>
      </c>
      <c r="C1256" s="2" t="s">
        <v>3744</v>
      </c>
      <c r="D1256" s="2" t="s">
        <v>15</v>
      </c>
      <c r="E1256" s="2" t="s">
        <v>16</v>
      </c>
      <c r="F1256" s="2">
        <v>60</v>
      </c>
      <c r="G1256" s="2" t="s">
        <v>3950</v>
      </c>
      <c r="H1256" s="2" t="s">
        <v>3951</v>
      </c>
      <c r="I1256" s="2" t="s">
        <v>1576</v>
      </c>
      <c r="J1256" s="3">
        <v>44580</v>
      </c>
      <c r="K1256" s="2">
        <v>31</v>
      </c>
      <c r="L1256" s="2" t="s">
        <v>54</v>
      </c>
      <c r="M1256" s="3"/>
    </row>
    <row r="1257" spans="1:13" x14ac:dyDescent="0.3">
      <c r="A1257" s="2">
        <v>1256</v>
      </c>
      <c r="B1257" s="2" t="s">
        <v>3952</v>
      </c>
      <c r="C1257" s="2" t="s">
        <v>3953</v>
      </c>
      <c r="D1257" s="2" t="s">
        <v>28</v>
      </c>
      <c r="E1257" s="2" t="s">
        <v>29</v>
      </c>
      <c r="F1257" s="2">
        <v>30</v>
      </c>
      <c r="G1257" s="2" t="s">
        <v>3954</v>
      </c>
      <c r="H1257" s="2" t="s">
        <v>1457</v>
      </c>
      <c r="I1257" s="2" t="s">
        <v>187</v>
      </c>
      <c r="J1257" s="3">
        <v>44405</v>
      </c>
      <c r="K1257" s="2">
        <v>85</v>
      </c>
      <c r="L1257" s="2" t="s">
        <v>70</v>
      </c>
      <c r="M1257" s="3"/>
    </row>
    <row r="1258" spans="1:13" x14ac:dyDescent="0.3">
      <c r="A1258" s="2">
        <v>1257</v>
      </c>
      <c r="B1258" s="2" t="s">
        <v>3955</v>
      </c>
      <c r="C1258" s="2" t="s">
        <v>3956</v>
      </c>
      <c r="D1258" s="2" t="s">
        <v>41</v>
      </c>
      <c r="E1258" s="2" t="s">
        <v>16</v>
      </c>
      <c r="F1258" s="2">
        <v>90</v>
      </c>
      <c r="G1258" s="2" t="s">
        <v>3957</v>
      </c>
      <c r="H1258" s="2" t="s">
        <v>3958</v>
      </c>
      <c r="I1258" s="2" t="s">
        <v>32</v>
      </c>
      <c r="J1258" s="3">
        <v>44694</v>
      </c>
      <c r="K1258" s="2">
        <v>36</v>
      </c>
      <c r="L1258" s="2" t="s">
        <v>45</v>
      </c>
      <c r="M1258" s="3"/>
    </row>
    <row r="1259" spans="1:13" x14ac:dyDescent="0.3">
      <c r="A1259" s="2">
        <v>1258</v>
      </c>
      <c r="B1259" s="2" t="s">
        <v>3959</v>
      </c>
      <c r="C1259" s="2" t="s">
        <v>422</v>
      </c>
      <c r="D1259" s="2" t="s">
        <v>28</v>
      </c>
      <c r="E1259" s="2" t="s">
        <v>29</v>
      </c>
      <c r="F1259" s="2">
        <v>90</v>
      </c>
      <c r="G1259" s="2" t="s">
        <v>3960</v>
      </c>
      <c r="H1259" s="2" t="s">
        <v>2893</v>
      </c>
      <c r="I1259" s="2" t="s">
        <v>32</v>
      </c>
      <c r="J1259" s="3">
        <v>44395</v>
      </c>
      <c r="K1259" s="2">
        <v>54</v>
      </c>
      <c r="L1259" s="2" t="s">
        <v>101</v>
      </c>
      <c r="M1259" s="3"/>
    </row>
    <row r="1260" spans="1:13" x14ac:dyDescent="0.3">
      <c r="A1260" s="2">
        <v>1259</v>
      </c>
      <c r="B1260" s="2" t="s">
        <v>179</v>
      </c>
      <c r="C1260" s="2" t="s">
        <v>1179</v>
      </c>
      <c r="D1260" s="2" t="s">
        <v>28</v>
      </c>
      <c r="E1260" s="2" t="s">
        <v>29</v>
      </c>
      <c r="F1260" s="2">
        <v>30</v>
      </c>
      <c r="G1260" s="2" t="s">
        <v>3961</v>
      </c>
      <c r="H1260" s="2" t="s">
        <v>1374</v>
      </c>
      <c r="I1260" s="2" t="s">
        <v>294</v>
      </c>
      <c r="J1260" s="3">
        <v>43910</v>
      </c>
      <c r="K1260" s="2">
        <v>38</v>
      </c>
      <c r="L1260" s="2" t="s">
        <v>101</v>
      </c>
      <c r="M1260" s="3"/>
    </row>
    <row r="1261" spans="1:13" x14ac:dyDescent="0.3">
      <c r="A1261" s="2">
        <v>1260</v>
      </c>
      <c r="B1261" s="2" t="s">
        <v>3962</v>
      </c>
      <c r="C1261" s="2" t="s">
        <v>281</v>
      </c>
      <c r="D1261" s="2" t="s">
        <v>28</v>
      </c>
      <c r="E1261" s="2" t="s">
        <v>29</v>
      </c>
      <c r="F1261" s="2">
        <v>30</v>
      </c>
      <c r="G1261" s="2" t="s">
        <v>3961</v>
      </c>
      <c r="H1261" s="2" t="s">
        <v>2633</v>
      </c>
      <c r="I1261" s="2" t="s">
        <v>32</v>
      </c>
      <c r="J1261" s="3">
        <v>44522</v>
      </c>
      <c r="K1261" s="2">
        <v>35</v>
      </c>
      <c r="L1261" s="2" t="s">
        <v>39</v>
      </c>
      <c r="M1261" s="3"/>
    </row>
    <row r="1262" spans="1:13" x14ac:dyDescent="0.3">
      <c r="A1262" s="2">
        <v>1261</v>
      </c>
      <c r="B1262" s="2" t="s">
        <v>3963</v>
      </c>
      <c r="C1262" s="2" t="s">
        <v>1010</v>
      </c>
      <c r="D1262" s="2" t="s">
        <v>51</v>
      </c>
      <c r="E1262" s="2" t="s">
        <v>16</v>
      </c>
      <c r="F1262" s="2">
        <v>90</v>
      </c>
      <c r="G1262" s="2" t="s">
        <v>3964</v>
      </c>
      <c r="H1262" s="2" t="s">
        <v>849</v>
      </c>
      <c r="I1262" s="2" t="s">
        <v>124</v>
      </c>
      <c r="J1262" s="3">
        <v>44469</v>
      </c>
      <c r="K1262" s="2">
        <v>26</v>
      </c>
      <c r="L1262" s="2" t="s">
        <v>70</v>
      </c>
      <c r="M1262" s="3"/>
    </row>
    <row r="1263" spans="1:13" x14ac:dyDescent="0.3">
      <c r="A1263" s="2">
        <v>1262</v>
      </c>
      <c r="B1263" s="2" t="s">
        <v>3740</v>
      </c>
      <c r="C1263" s="2" t="s">
        <v>3965</v>
      </c>
      <c r="D1263" s="2" t="s">
        <v>15</v>
      </c>
      <c r="E1263" s="2" t="s">
        <v>16</v>
      </c>
      <c r="F1263" s="2">
        <v>60</v>
      </c>
      <c r="G1263" s="2" t="s">
        <v>3966</v>
      </c>
      <c r="H1263" s="2" t="s">
        <v>363</v>
      </c>
      <c r="I1263" s="2" t="s">
        <v>110</v>
      </c>
      <c r="J1263" s="3">
        <v>43977</v>
      </c>
      <c r="K1263" s="2">
        <v>78</v>
      </c>
      <c r="L1263" s="2" t="s">
        <v>54</v>
      </c>
      <c r="M1263" s="3"/>
    </row>
    <row r="1264" spans="1:13" x14ac:dyDescent="0.3">
      <c r="A1264" s="2">
        <v>1263</v>
      </c>
      <c r="B1264" s="2" t="s">
        <v>3967</v>
      </c>
      <c r="C1264" s="2" t="s">
        <v>3968</v>
      </c>
      <c r="D1264" s="2" t="s">
        <v>28</v>
      </c>
      <c r="E1264" s="2" t="s">
        <v>29</v>
      </c>
      <c r="F1264" s="2">
        <v>90</v>
      </c>
      <c r="G1264" s="2" t="s">
        <v>3969</v>
      </c>
      <c r="H1264" s="2" t="s">
        <v>84</v>
      </c>
      <c r="I1264" s="2" t="s">
        <v>32</v>
      </c>
      <c r="J1264" s="3">
        <v>44858</v>
      </c>
      <c r="K1264" s="2">
        <v>90</v>
      </c>
      <c r="L1264" s="2" t="s">
        <v>54</v>
      </c>
      <c r="M1264" s="3"/>
    </row>
    <row r="1265" spans="1:13" x14ac:dyDescent="0.3">
      <c r="A1265" s="2">
        <v>1264</v>
      </c>
      <c r="B1265" s="2" t="s">
        <v>3970</v>
      </c>
      <c r="C1265" s="2" t="s">
        <v>3971</v>
      </c>
      <c r="D1265" s="2" t="s">
        <v>15</v>
      </c>
      <c r="E1265" s="2" t="s">
        <v>16</v>
      </c>
      <c r="F1265" s="2">
        <v>60</v>
      </c>
      <c r="G1265" s="2" t="s">
        <v>3972</v>
      </c>
      <c r="H1265" s="2" t="s">
        <v>1034</v>
      </c>
      <c r="I1265" s="2" t="s">
        <v>1035</v>
      </c>
      <c r="J1265" s="3">
        <v>44093</v>
      </c>
      <c r="K1265" s="2">
        <v>85</v>
      </c>
      <c r="L1265" s="2" t="s">
        <v>39</v>
      </c>
      <c r="M1265" s="3"/>
    </row>
    <row r="1266" spans="1:13" x14ac:dyDescent="0.3">
      <c r="A1266" s="2">
        <v>1265</v>
      </c>
      <c r="B1266" s="2" t="s">
        <v>3973</v>
      </c>
      <c r="C1266" s="2" t="s">
        <v>3009</v>
      </c>
      <c r="D1266" s="2" t="s">
        <v>28</v>
      </c>
      <c r="E1266" s="2" t="s">
        <v>29</v>
      </c>
      <c r="F1266" s="2">
        <v>90</v>
      </c>
      <c r="G1266" s="2" t="s">
        <v>3974</v>
      </c>
      <c r="H1266" s="2" t="s">
        <v>1218</v>
      </c>
      <c r="I1266" s="2" t="s">
        <v>294</v>
      </c>
      <c r="J1266" s="3">
        <v>44676</v>
      </c>
      <c r="K1266" s="2">
        <v>77</v>
      </c>
      <c r="L1266" s="2" t="s">
        <v>101</v>
      </c>
      <c r="M1266" s="3"/>
    </row>
    <row r="1267" spans="1:13" x14ac:dyDescent="0.3">
      <c r="A1267" s="2">
        <v>1266</v>
      </c>
      <c r="B1267" s="2" t="s">
        <v>1458</v>
      </c>
      <c r="C1267" s="2" t="s">
        <v>3581</v>
      </c>
      <c r="D1267" s="2" t="s">
        <v>28</v>
      </c>
      <c r="E1267" s="2" t="s">
        <v>29</v>
      </c>
      <c r="F1267" s="2">
        <v>30</v>
      </c>
      <c r="G1267" s="2" t="s">
        <v>3975</v>
      </c>
      <c r="H1267" s="2" t="s">
        <v>3976</v>
      </c>
      <c r="I1267" s="2" t="s">
        <v>173</v>
      </c>
      <c r="J1267" s="3">
        <v>44712</v>
      </c>
      <c r="K1267" s="2">
        <v>37</v>
      </c>
      <c r="L1267" s="2" t="s">
        <v>80</v>
      </c>
      <c r="M1267" s="3"/>
    </row>
    <row r="1268" spans="1:13" x14ac:dyDescent="0.3">
      <c r="A1268" s="2">
        <v>1267</v>
      </c>
      <c r="B1268" s="2" t="s">
        <v>3977</v>
      </c>
      <c r="C1268" s="2" t="s">
        <v>2635</v>
      </c>
      <c r="D1268" s="2" t="s">
        <v>15</v>
      </c>
      <c r="E1268" s="2" t="s">
        <v>16</v>
      </c>
      <c r="F1268" s="2">
        <v>30</v>
      </c>
      <c r="G1268" s="2" t="s">
        <v>3978</v>
      </c>
      <c r="H1268" s="2" t="s">
        <v>2121</v>
      </c>
      <c r="I1268" s="2" t="s">
        <v>38</v>
      </c>
      <c r="J1268" s="3">
        <v>44051</v>
      </c>
      <c r="K1268" s="2">
        <v>43</v>
      </c>
      <c r="L1268" s="2" t="s">
        <v>70</v>
      </c>
      <c r="M1268" s="3"/>
    </row>
    <row r="1269" spans="1:13" x14ac:dyDescent="0.3">
      <c r="A1269" s="2">
        <v>1268</v>
      </c>
      <c r="B1269" s="2" t="s">
        <v>3979</v>
      </c>
      <c r="C1269" s="2" t="s">
        <v>3201</v>
      </c>
      <c r="D1269" s="2" t="s">
        <v>15</v>
      </c>
      <c r="E1269" s="2" t="s">
        <v>16</v>
      </c>
      <c r="F1269" s="2">
        <v>30</v>
      </c>
      <c r="G1269" s="2" t="s">
        <v>3980</v>
      </c>
      <c r="H1269" s="2" t="s">
        <v>2633</v>
      </c>
      <c r="I1269" s="2" t="s">
        <v>32</v>
      </c>
      <c r="J1269" s="3">
        <v>44781</v>
      </c>
      <c r="K1269" s="2">
        <v>21</v>
      </c>
      <c r="L1269" s="2" t="s">
        <v>159</v>
      </c>
      <c r="M1269" s="3"/>
    </row>
    <row r="1270" spans="1:13" x14ac:dyDescent="0.3">
      <c r="A1270" s="2">
        <v>1269</v>
      </c>
      <c r="B1270" s="2" t="s">
        <v>3981</v>
      </c>
      <c r="C1270" s="2" t="s">
        <v>3111</v>
      </c>
      <c r="D1270" s="2" t="s">
        <v>51</v>
      </c>
      <c r="E1270" s="2" t="s">
        <v>16</v>
      </c>
      <c r="F1270" s="2">
        <v>30</v>
      </c>
      <c r="G1270" s="2" t="s">
        <v>3982</v>
      </c>
      <c r="H1270" s="2" t="s">
        <v>288</v>
      </c>
      <c r="I1270" s="2" t="s">
        <v>32</v>
      </c>
      <c r="J1270" s="3">
        <v>44550</v>
      </c>
      <c r="K1270" s="2">
        <v>91</v>
      </c>
      <c r="L1270" s="2" t="s">
        <v>20</v>
      </c>
      <c r="M1270" s="3"/>
    </row>
    <row r="1271" spans="1:13" x14ac:dyDescent="0.3">
      <c r="A1271" s="2">
        <v>1270</v>
      </c>
      <c r="B1271" s="2" t="s">
        <v>2103</v>
      </c>
      <c r="C1271" s="2" t="s">
        <v>1066</v>
      </c>
      <c r="D1271" s="2" t="s">
        <v>92</v>
      </c>
      <c r="E1271" s="2" t="s">
        <v>16</v>
      </c>
      <c r="F1271" s="2">
        <v>30</v>
      </c>
      <c r="G1271" s="2" t="s">
        <v>3983</v>
      </c>
      <c r="H1271" s="2" t="s">
        <v>3984</v>
      </c>
      <c r="I1271" s="2" t="s">
        <v>32</v>
      </c>
      <c r="J1271" s="3">
        <v>44144</v>
      </c>
      <c r="K1271" s="2">
        <v>38</v>
      </c>
      <c r="L1271" s="2" t="s">
        <v>70</v>
      </c>
      <c r="M1271" s="3"/>
    </row>
    <row r="1272" spans="1:13" x14ac:dyDescent="0.3">
      <c r="A1272" s="2">
        <v>1271</v>
      </c>
      <c r="B1272" s="2" t="s">
        <v>3985</v>
      </c>
      <c r="C1272" s="2" t="s">
        <v>2091</v>
      </c>
      <c r="D1272" s="2" t="s">
        <v>15</v>
      </c>
      <c r="E1272" s="2" t="s">
        <v>16</v>
      </c>
      <c r="F1272" s="2">
        <v>30</v>
      </c>
      <c r="G1272" s="2" t="s">
        <v>3986</v>
      </c>
      <c r="H1272" s="2" t="s">
        <v>3987</v>
      </c>
      <c r="I1272" s="2" t="s">
        <v>554</v>
      </c>
      <c r="J1272" s="3">
        <v>44087</v>
      </c>
      <c r="K1272" s="2">
        <v>26</v>
      </c>
      <c r="L1272" s="2" t="s">
        <v>70</v>
      </c>
      <c r="M1272" s="3"/>
    </row>
    <row r="1273" spans="1:13" x14ac:dyDescent="0.3">
      <c r="A1273" s="2">
        <v>1272</v>
      </c>
      <c r="B1273" s="2" t="s">
        <v>3988</v>
      </c>
      <c r="C1273" s="2" t="s">
        <v>3989</v>
      </c>
      <c r="D1273" s="2" t="s">
        <v>51</v>
      </c>
      <c r="E1273" s="2" t="s">
        <v>16</v>
      </c>
      <c r="F1273" s="2">
        <v>90</v>
      </c>
      <c r="G1273" s="2" t="s">
        <v>3990</v>
      </c>
      <c r="H1273" s="2" t="s">
        <v>3991</v>
      </c>
      <c r="I1273" s="2" t="s">
        <v>32</v>
      </c>
      <c r="J1273" s="3">
        <v>44033</v>
      </c>
      <c r="K1273" s="2">
        <v>50</v>
      </c>
      <c r="L1273" s="2" t="s">
        <v>64</v>
      </c>
      <c r="M1273" s="3"/>
    </row>
    <row r="1274" spans="1:13" x14ac:dyDescent="0.3">
      <c r="A1274" s="2">
        <v>1273</v>
      </c>
      <c r="B1274" s="2" t="s">
        <v>3992</v>
      </c>
      <c r="C1274" s="2" t="s">
        <v>313</v>
      </c>
      <c r="D1274" s="2" t="s">
        <v>28</v>
      </c>
      <c r="E1274" s="2" t="s">
        <v>29</v>
      </c>
      <c r="F1274" s="2">
        <v>30</v>
      </c>
      <c r="G1274" s="2" t="s">
        <v>3993</v>
      </c>
      <c r="H1274" s="2" t="s">
        <v>2603</v>
      </c>
      <c r="I1274" s="2" t="s">
        <v>2604</v>
      </c>
      <c r="J1274" s="3">
        <v>44408</v>
      </c>
      <c r="K1274" s="2">
        <v>18</v>
      </c>
      <c r="L1274" s="2" t="s">
        <v>101</v>
      </c>
      <c r="M1274" s="3"/>
    </row>
    <row r="1275" spans="1:13" x14ac:dyDescent="0.3">
      <c r="A1275" s="2">
        <v>1274</v>
      </c>
      <c r="B1275" s="2" t="s">
        <v>3994</v>
      </c>
      <c r="C1275" s="2" t="s">
        <v>3843</v>
      </c>
      <c r="D1275" s="2" t="s">
        <v>15</v>
      </c>
      <c r="E1275" s="2" t="s">
        <v>16</v>
      </c>
      <c r="F1275" s="2">
        <v>30</v>
      </c>
      <c r="G1275" s="2" t="s">
        <v>3995</v>
      </c>
      <c r="H1275" s="2" t="s">
        <v>3996</v>
      </c>
      <c r="I1275" s="2" t="s">
        <v>294</v>
      </c>
      <c r="J1275" s="3">
        <v>44242</v>
      </c>
      <c r="K1275" s="2">
        <v>59</v>
      </c>
      <c r="L1275" s="2" t="s">
        <v>70</v>
      </c>
      <c r="M1275" s="3"/>
    </row>
    <row r="1276" spans="1:13" x14ac:dyDescent="0.3">
      <c r="A1276" s="2">
        <v>1275</v>
      </c>
      <c r="B1276" s="2" t="s">
        <v>2251</v>
      </c>
      <c r="C1276" s="2" t="s">
        <v>3997</v>
      </c>
      <c r="D1276" s="2" t="s">
        <v>28</v>
      </c>
      <c r="E1276" s="2" t="s">
        <v>3276</v>
      </c>
      <c r="F1276" s="2">
        <v>30</v>
      </c>
      <c r="G1276" s="2" t="s">
        <v>3998</v>
      </c>
      <c r="H1276" s="2" t="s">
        <v>641</v>
      </c>
      <c r="I1276" s="2" t="s">
        <v>294</v>
      </c>
      <c r="J1276" s="3">
        <v>44325</v>
      </c>
      <c r="K1276" s="2">
        <v>86</v>
      </c>
      <c r="L1276" s="2" t="s">
        <v>39</v>
      </c>
      <c r="M1276" s="3"/>
    </row>
    <row r="1277" spans="1:13" x14ac:dyDescent="0.3">
      <c r="A1277" s="2">
        <v>1276</v>
      </c>
      <c r="B1277" s="2" t="s">
        <v>3999</v>
      </c>
      <c r="C1277" s="2" t="s">
        <v>4000</v>
      </c>
      <c r="D1277" s="2" t="s">
        <v>28</v>
      </c>
      <c r="E1277" s="2" t="s">
        <v>29</v>
      </c>
      <c r="F1277" s="2">
        <v>30</v>
      </c>
      <c r="G1277" s="2" t="s">
        <v>4001</v>
      </c>
      <c r="H1277" s="2" t="s">
        <v>1434</v>
      </c>
      <c r="I1277" s="2" t="s">
        <v>1435</v>
      </c>
      <c r="J1277" s="3">
        <v>44876</v>
      </c>
      <c r="K1277" s="2">
        <v>2</v>
      </c>
      <c r="L1277" s="2" t="s">
        <v>80</v>
      </c>
      <c r="M1277" s="3"/>
    </row>
    <row r="1278" spans="1:13" x14ac:dyDescent="0.3">
      <c r="A1278" s="2">
        <v>1277</v>
      </c>
      <c r="B1278" s="2" t="s">
        <v>4002</v>
      </c>
      <c r="C1278" s="2" t="s">
        <v>1097</v>
      </c>
      <c r="D1278" s="2" t="s">
        <v>51</v>
      </c>
      <c r="E1278" s="2" t="s">
        <v>16</v>
      </c>
      <c r="F1278" s="2">
        <v>90</v>
      </c>
      <c r="G1278" s="2" t="s">
        <v>4003</v>
      </c>
      <c r="H1278" s="2" t="s">
        <v>2026</v>
      </c>
      <c r="I1278" s="2" t="s">
        <v>1078</v>
      </c>
      <c r="J1278" s="3">
        <v>44868</v>
      </c>
      <c r="K1278" s="2">
        <v>19</v>
      </c>
      <c r="L1278" s="2" t="s">
        <v>39</v>
      </c>
      <c r="M1278" s="3"/>
    </row>
    <row r="1279" spans="1:13" x14ac:dyDescent="0.3">
      <c r="A1279" s="2">
        <v>1278</v>
      </c>
      <c r="B1279" s="2" t="s">
        <v>4004</v>
      </c>
      <c r="C1279" s="2" t="s">
        <v>4005</v>
      </c>
      <c r="D1279" s="2" t="s">
        <v>28</v>
      </c>
      <c r="E1279" s="2" t="s">
        <v>29</v>
      </c>
      <c r="F1279" s="2">
        <v>30</v>
      </c>
      <c r="G1279" s="2" t="s">
        <v>4006</v>
      </c>
      <c r="H1279" s="2" t="s">
        <v>4007</v>
      </c>
      <c r="I1279" s="2" t="s">
        <v>294</v>
      </c>
      <c r="J1279" s="3">
        <v>44387</v>
      </c>
      <c r="K1279" s="2">
        <v>22</v>
      </c>
      <c r="L1279" s="2" t="s">
        <v>101</v>
      </c>
      <c r="M1279" s="3"/>
    </row>
    <row r="1280" spans="1:13" x14ac:dyDescent="0.3">
      <c r="A1280" s="2">
        <v>1279</v>
      </c>
      <c r="B1280" s="2" t="s">
        <v>4008</v>
      </c>
      <c r="C1280" s="2" t="s">
        <v>4009</v>
      </c>
      <c r="D1280" s="2" t="s">
        <v>28</v>
      </c>
      <c r="E1280" s="2" t="s">
        <v>29</v>
      </c>
      <c r="F1280" s="2">
        <v>30</v>
      </c>
      <c r="G1280" s="2" t="s">
        <v>4010</v>
      </c>
      <c r="H1280" s="2" t="s">
        <v>4011</v>
      </c>
      <c r="I1280" s="2" t="s">
        <v>32</v>
      </c>
      <c r="J1280" s="3">
        <v>43925</v>
      </c>
      <c r="K1280" s="2">
        <v>79</v>
      </c>
      <c r="L1280" s="2" t="s">
        <v>45</v>
      </c>
      <c r="M1280" s="3"/>
    </row>
    <row r="1281" spans="1:13" x14ac:dyDescent="0.3">
      <c r="A1281" s="2">
        <v>1280</v>
      </c>
      <c r="B1281" s="2" t="s">
        <v>222</v>
      </c>
      <c r="C1281" s="2" t="s">
        <v>3447</v>
      </c>
      <c r="D1281" s="2" t="s">
        <v>28</v>
      </c>
      <c r="E1281" s="2" t="s">
        <v>29</v>
      </c>
      <c r="F1281" s="2">
        <v>90</v>
      </c>
      <c r="G1281" s="2" t="s">
        <v>4012</v>
      </c>
      <c r="H1281" s="2" t="s">
        <v>4007</v>
      </c>
      <c r="I1281" s="2" t="s">
        <v>294</v>
      </c>
      <c r="J1281" s="3">
        <v>44790</v>
      </c>
      <c r="K1281" s="2">
        <v>93</v>
      </c>
      <c r="L1281" s="2" t="s">
        <v>54</v>
      </c>
      <c r="M1281" s="3"/>
    </row>
    <row r="1282" spans="1:13" x14ac:dyDescent="0.3">
      <c r="A1282" s="2">
        <v>1281</v>
      </c>
      <c r="B1282" s="2" t="s">
        <v>4013</v>
      </c>
      <c r="C1282" s="2" t="s">
        <v>4014</v>
      </c>
      <c r="D1282" s="2" t="s">
        <v>15</v>
      </c>
      <c r="E1282" s="2" t="s">
        <v>16</v>
      </c>
      <c r="F1282" s="2">
        <v>30</v>
      </c>
      <c r="G1282" s="2" t="s">
        <v>4015</v>
      </c>
      <c r="H1282" s="2" t="s">
        <v>3002</v>
      </c>
      <c r="I1282" s="2" t="s">
        <v>32</v>
      </c>
      <c r="J1282" s="3">
        <v>44829</v>
      </c>
      <c r="K1282" s="2">
        <v>57</v>
      </c>
      <c r="L1282" s="2" t="s">
        <v>70</v>
      </c>
      <c r="M1282" s="3"/>
    </row>
    <row r="1283" spans="1:13" x14ac:dyDescent="0.3">
      <c r="A1283" s="2">
        <v>1282</v>
      </c>
      <c r="B1283" s="2" t="s">
        <v>4016</v>
      </c>
      <c r="C1283" s="2" t="s">
        <v>1826</v>
      </c>
      <c r="D1283" s="2" t="s">
        <v>28</v>
      </c>
      <c r="E1283" s="2" t="s">
        <v>29</v>
      </c>
      <c r="F1283" s="2">
        <v>60</v>
      </c>
      <c r="G1283" s="2" t="s">
        <v>4017</v>
      </c>
      <c r="H1283" s="2" t="s">
        <v>3384</v>
      </c>
      <c r="I1283" s="2" t="s">
        <v>32</v>
      </c>
      <c r="J1283" s="3">
        <v>44086</v>
      </c>
      <c r="K1283" s="2">
        <v>72</v>
      </c>
      <c r="L1283" s="2" t="s">
        <v>101</v>
      </c>
      <c r="M1283" s="3"/>
    </row>
    <row r="1284" spans="1:13" x14ac:dyDescent="0.3">
      <c r="A1284" s="2">
        <v>1283</v>
      </c>
      <c r="B1284" s="2" t="s">
        <v>4018</v>
      </c>
      <c r="C1284" s="2" t="s">
        <v>2980</v>
      </c>
      <c r="D1284" s="2" t="s">
        <v>28</v>
      </c>
      <c r="E1284" s="2" t="s">
        <v>29</v>
      </c>
      <c r="F1284" s="2">
        <v>60</v>
      </c>
      <c r="G1284" s="2" t="s">
        <v>4019</v>
      </c>
      <c r="H1284" s="2" t="s">
        <v>4020</v>
      </c>
      <c r="I1284" s="2" t="s">
        <v>173</v>
      </c>
      <c r="J1284" s="3">
        <v>44354</v>
      </c>
      <c r="K1284" s="2">
        <v>71</v>
      </c>
      <c r="L1284" s="2" t="s">
        <v>20</v>
      </c>
      <c r="M1284" s="3"/>
    </row>
    <row r="1285" spans="1:13" x14ac:dyDescent="0.3">
      <c r="A1285" s="2">
        <v>1284</v>
      </c>
      <c r="B1285" s="2" t="s">
        <v>4021</v>
      </c>
      <c r="C1285" s="2" t="s">
        <v>1263</v>
      </c>
      <c r="D1285" s="2" t="s">
        <v>15</v>
      </c>
      <c r="E1285" s="2" t="s">
        <v>16</v>
      </c>
      <c r="F1285" s="2">
        <v>30</v>
      </c>
      <c r="G1285" s="2" t="s">
        <v>4022</v>
      </c>
      <c r="H1285" s="2" t="s">
        <v>3480</v>
      </c>
      <c r="I1285" s="2" t="s">
        <v>187</v>
      </c>
      <c r="J1285" s="3">
        <v>44283</v>
      </c>
      <c r="K1285" s="2">
        <v>58</v>
      </c>
      <c r="L1285" s="2" t="s">
        <v>159</v>
      </c>
      <c r="M1285" s="3"/>
    </row>
    <row r="1286" spans="1:13" x14ac:dyDescent="0.3">
      <c r="A1286" s="2">
        <v>1285</v>
      </c>
      <c r="B1286" s="2" t="s">
        <v>4023</v>
      </c>
      <c r="C1286" s="2" t="s">
        <v>3201</v>
      </c>
      <c r="D1286" s="2" t="s">
        <v>28</v>
      </c>
      <c r="E1286" s="2" t="s">
        <v>29</v>
      </c>
      <c r="F1286" s="2">
        <v>90</v>
      </c>
      <c r="G1286" s="2" t="s">
        <v>4024</v>
      </c>
      <c r="H1286" s="2" t="s">
        <v>1901</v>
      </c>
      <c r="I1286" s="2" t="s">
        <v>178</v>
      </c>
      <c r="J1286" s="3">
        <v>43837</v>
      </c>
      <c r="K1286" s="2">
        <v>54</v>
      </c>
      <c r="L1286" s="2" t="s">
        <v>64</v>
      </c>
      <c r="M1286" s="3"/>
    </row>
    <row r="1287" spans="1:13" x14ac:dyDescent="0.3">
      <c r="A1287" s="2">
        <v>1286</v>
      </c>
      <c r="B1287" s="2" t="s">
        <v>4025</v>
      </c>
      <c r="C1287" s="2" t="s">
        <v>4026</v>
      </c>
      <c r="D1287" s="2" t="s">
        <v>51</v>
      </c>
      <c r="E1287" s="2" t="s">
        <v>16</v>
      </c>
      <c r="F1287" s="2">
        <v>30</v>
      </c>
      <c r="G1287" s="2" t="s">
        <v>4027</v>
      </c>
      <c r="H1287" s="2" t="s">
        <v>4028</v>
      </c>
      <c r="I1287" s="2" t="s">
        <v>32</v>
      </c>
      <c r="J1287" s="3">
        <v>44700</v>
      </c>
      <c r="K1287" s="2">
        <v>36</v>
      </c>
      <c r="L1287" s="2" t="s">
        <v>101</v>
      </c>
      <c r="M1287" s="3"/>
    </row>
    <row r="1288" spans="1:13" x14ac:dyDescent="0.3">
      <c r="A1288" s="2">
        <v>1287</v>
      </c>
      <c r="B1288" s="2" t="s">
        <v>1200</v>
      </c>
      <c r="C1288" s="2" t="s">
        <v>4029</v>
      </c>
      <c r="D1288" s="2" t="s">
        <v>28</v>
      </c>
      <c r="E1288" s="2" t="s">
        <v>29</v>
      </c>
      <c r="F1288" s="2">
        <v>60</v>
      </c>
      <c r="G1288" s="2" t="s">
        <v>4027</v>
      </c>
      <c r="H1288" s="2" t="s">
        <v>4030</v>
      </c>
      <c r="I1288" s="2" t="s">
        <v>32</v>
      </c>
      <c r="J1288" s="3">
        <v>44740</v>
      </c>
      <c r="K1288" s="2">
        <v>84</v>
      </c>
      <c r="L1288" s="2" t="s">
        <v>80</v>
      </c>
      <c r="M1288" s="3"/>
    </row>
    <row r="1289" spans="1:13" x14ac:dyDescent="0.3">
      <c r="A1289" s="2">
        <v>1288</v>
      </c>
      <c r="B1289" s="2" t="s">
        <v>4031</v>
      </c>
      <c r="C1289" s="2" t="s">
        <v>4032</v>
      </c>
      <c r="D1289" s="2" t="s">
        <v>28</v>
      </c>
      <c r="E1289" s="2" t="s">
        <v>29</v>
      </c>
      <c r="F1289" s="2">
        <v>90</v>
      </c>
      <c r="G1289" s="2" t="s">
        <v>4033</v>
      </c>
      <c r="H1289" s="2" t="s">
        <v>4034</v>
      </c>
      <c r="I1289" s="2" t="s">
        <v>178</v>
      </c>
      <c r="J1289" s="3">
        <v>44507</v>
      </c>
      <c r="K1289" s="2">
        <v>48</v>
      </c>
      <c r="L1289" s="2" t="s">
        <v>64</v>
      </c>
      <c r="M1289" s="3"/>
    </row>
    <row r="1290" spans="1:13" x14ac:dyDescent="0.3">
      <c r="A1290" s="2">
        <v>1289</v>
      </c>
      <c r="B1290" s="2" t="s">
        <v>1886</v>
      </c>
      <c r="C1290" s="2" t="s">
        <v>4035</v>
      </c>
      <c r="D1290" s="2" t="s">
        <v>15</v>
      </c>
      <c r="E1290" s="2" t="s">
        <v>16</v>
      </c>
      <c r="F1290" s="2">
        <v>30</v>
      </c>
      <c r="G1290" s="2" t="s">
        <v>4036</v>
      </c>
      <c r="H1290" s="2" t="s">
        <v>221</v>
      </c>
      <c r="I1290" s="2" t="s">
        <v>32</v>
      </c>
      <c r="J1290" s="3">
        <v>44609</v>
      </c>
      <c r="K1290" s="2">
        <v>68</v>
      </c>
      <c r="L1290" s="2" t="s">
        <v>101</v>
      </c>
      <c r="M1290" s="3"/>
    </row>
    <row r="1291" spans="1:13" x14ac:dyDescent="0.3">
      <c r="A1291" s="2">
        <v>1290</v>
      </c>
      <c r="B1291" s="2" t="s">
        <v>2823</v>
      </c>
      <c r="C1291" s="2" t="s">
        <v>4037</v>
      </c>
      <c r="D1291" s="2" t="s">
        <v>15</v>
      </c>
      <c r="E1291" s="2" t="s">
        <v>16</v>
      </c>
      <c r="F1291" s="2">
        <v>30</v>
      </c>
      <c r="G1291" s="2" t="s">
        <v>4038</v>
      </c>
      <c r="H1291" s="2" t="s">
        <v>4039</v>
      </c>
      <c r="I1291" s="2" t="s">
        <v>32</v>
      </c>
      <c r="J1291" s="3">
        <v>44166</v>
      </c>
      <c r="K1291" s="2">
        <v>25</v>
      </c>
      <c r="L1291" s="2" t="s">
        <v>70</v>
      </c>
      <c r="M1291" s="3"/>
    </row>
    <row r="1292" spans="1:13" x14ac:dyDescent="0.3">
      <c r="A1292" s="2">
        <v>1291</v>
      </c>
      <c r="B1292" s="2" t="s">
        <v>2951</v>
      </c>
      <c r="C1292" s="2" t="s">
        <v>489</v>
      </c>
      <c r="D1292" s="2" t="s">
        <v>28</v>
      </c>
      <c r="E1292" s="2" t="s">
        <v>29</v>
      </c>
      <c r="F1292" s="2">
        <v>60</v>
      </c>
      <c r="G1292" s="2" t="s">
        <v>4040</v>
      </c>
      <c r="H1292" s="2" t="s">
        <v>1115</v>
      </c>
      <c r="I1292" s="2" t="s">
        <v>32</v>
      </c>
      <c r="J1292" s="3">
        <v>43959</v>
      </c>
      <c r="K1292" s="2">
        <v>39</v>
      </c>
      <c r="L1292" s="2" t="s">
        <v>70</v>
      </c>
      <c r="M1292" s="3"/>
    </row>
    <row r="1293" spans="1:13" x14ac:dyDescent="0.3">
      <c r="A1293" s="2">
        <v>1292</v>
      </c>
      <c r="B1293" s="2" t="s">
        <v>4041</v>
      </c>
      <c r="C1293" s="2" t="s">
        <v>4042</v>
      </c>
      <c r="D1293" s="2" t="s">
        <v>15</v>
      </c>
      <c r="E1293" s="2" t="s">
        <v>16</v>
      </c>
      <c r="F1293" s="2">
        <v>60</v>
      </c>
      <c r="G1293" s="2" t="s">
        <v>4043</v>
      </c>
      <c r="H1293" s="2" t="s">
        <v>3361</v>
      </c>
      <c r="I1293" s="2" t="s">
        <v>95</v>
      </c>
      <c r="J1293" s="3">
        <v>43864</v>
      </c>
      <c r="K1293" s="2">
        <v>67</v>
      </c>
      <c r="L1293" s="2" t="s">
        <v>70</v>
      </c>
      <c r="M1293" s="3"/>
    </row>
    <row r="1294" spans="1:13" x14ac:dyDescent="0.3">
      <c r="A1294" s="2">
        <v>1293</v>
      </c>
      <c r="B1294" s="2" t="s">
        <v>4044</v>
      </c>
      <c r="C1294" s="2" t="s">
        <v>4045</v>
      </c>
      <c r="D1294" s="2" t="s">
        <v>51</v>
      </c>
      <c r="E1294" s="2" t="s">
        <v>16</v>
      </c>
      <c r="F1294" s="2">
        <v>30</v>
      </c>
      <c r="G1294" s="2" t="s">
        <v>4043</v>
      </c>
      <c r="H1294" s="2" t="s">
        <v>4046</v>
      </c>
      <c r="I1294" s="2" t="s">
        <v>173</v>
      </c>
      <c r="J1294" s="3">
        <v>43949</v>
      </c>
      <c r="K1294" s="2">
        <v>43</v>
      </c>
      <c r="L1294" s="2" t="s">
        <v>54</v>
      </c>
      <c r="M1294" s="3"/>
    </row>
    <row r="1295" spans="1:13" x14ac:dyDescent="0.3">
      <c r="A1295" s="2">
        <v>1294</v>
      </c>
      <c r="B1295" s="2" t="s">
        <v>3952</v>
      </c>
      <c r="C1295" s="2" t="s">
        <v>4047</v>
      </c>
      <c r="D1295" s="2" t="s">
        <v>28</v>
      </c>
      <c r="E1295" s="2" t="s">
        <v>29</v>
      </c>
      <c r="F1295" s="2">
        <v>90</v>
      </c>
      <c r="G1295" s="2" t="s">
        <v>4048</v>
      </c>
      <c r="H1295" s="2" t="s">
        <v>4049</v>
      </c>
      <c r="I1295" s="2" t="s">
        <v>32</v>
      </c>
      <c r="J1295" s="3">
        <v>43892</v>
      </c>
      <c r="K1295" s="2">
        <v>31</v>
      </c>
      <c r="L1295" s="2" t="s">
        <v>54</v>
      </c>
      <c r="M1295" s="3"/>
    </row>
    <row r="1296" spans="1:13" x14ac:dyDescent="0.3">
      <c r="A1296" s="2">
        <v>1295</v>
      </c>
      <c r="B1296" s="2" t="s">
        <v>218</v>
      </c>
      <c r="C1296" s="2" t="s">
        <v>4050</v>
      </c>
      <c r="D1296" s="2" t="s">
        <v>28</v>
      </c>
      <c r="E1296" s="2" t="s">
        <v>29</v>
      </c>
      <c r="F1296" s="2">
        <v>90</v>
      </c>
      <c r="G1296" s="2" t="s">
        <v>4051</v>
      </c>
      <c r="H1296" s="2" t="s">
        <v>2530</v>
      </c>
      <c r="I1296" s="2" t="s">
        <v>32</v>
      </c>
      <c r="J1296" s="3">
        <v>44288</v>
      </c>
      <c r="K1296" s="2">
        <v>64</v>
      </c>
      <c r="L1296" s="2" t="s">
        <v>54</v>
      </c>
      <c r="M1296" s="3"/>
    </row>
    <row r="1297" spans="1:13" x14ac:dyDescent="0.3">
      <c r="A1297" s="2">
        <v>1296</v>
      </c>
      <c r="B1297" s="2" t="s">
        <v>4052</v>
      </c>
      <c r="C1297" s="2" t="s">
        <v>2154</v>
      </c>
      <c r="D1297" s="2" t="s">
        <v>28</v>
      </c>
      <c r="E1297" s="2" t="s">
        <v>29</v>
      </c>
      <c r="F1297" s="2">
        <v>90</v>
      </c>
      <c r="G1297" s="2" t="s">
        <v>4053</v>
      </c>
      <c r="H1297" s="2" t="s">
        <v>491</v>
      </c>
      <c r="I1297" s="2" t="s">
        <v>32</v>
      </c>
      <c r="J1297" s="3">
        <v>43915</v>
      </c>
      <c r="K1297" s="2">
        <v>60</v>
      </c>
      <c r="L1297" s="2" t="s">
        <v>101</v>
      </c>
      <c r="M1297" s="3"/>
    </row>
    <row r="1298" spans="1:13" x14ac:dyDescent="0.3">
      <c r="A1298" s="2">
        <v>1297</v>
      </c>
      <c r="B1298" s="2" t="s">
        <v>4054</v>
      </c>
      <c r="C1298" s="2" t="s">
        <v>86</v>
      </c>
      <c r="D1298" s="2" t="s">
        <v>51</v>
      </c>
      <c r="E1298" s="2" t="s">
        <v>16</v>
      </c>
      <c r="F1298" s="2">
        <v>30</v>
      </c>
      <c r="G1298" s="2" t="s">
        <v>4055</v>
      </c>
      <c r="H1298" s="2" t="s">
        <v>4056</v>
      </c>
      <c r="I1298" s="2" t="s">
        <v>124</v>
      </c>
      <c r="J1298" s="3">
        <v>44213</v>
      </c>
      <c r="K1298" s="2">
        <v>5</v>
      </c>
      <c r="L1298" s="2" t="s">
        <v>20</v>
      </c>
      <c r="M1298" s="3"/>
    </row>
    <row r="1299" spans="1:13" x14ac:dyDescent="0.3">
      <c r="A1299" s="2">
        <v>1298</v>
      </c>
      <c r="B1299" s="2" t="s">
        <v>887</v>
      </c>
      <c r="C1299" s="2" t="s">
        <v>3300</v>
      </c>
      <c r="D1299" s="2" t="s">
        <v>28</v>
      </c>
      <c r="E1299" s="2" t="s">
        <v>29</v>
      </c>
      <c r="F1299" s="2">
        <v>90</v>
      </c>
      <c r="G1299" s="2" t="s">
        <v>4057</v>
      </c>
      <c r="H1299" s="2" t="s">
        <v>1827</v>
      </c>
      <c r="I1299" s="2" t="s">
        <v>25</v>
      </c>
      <c r="J1299" s="3">
        <v>44464</v>
      </c>
      <c r="K1299" s="2">
        <v>26</v>
      </c>
      <c r="L1299" s="2" t="s">
        <v>39</v>
      </c>
      <c r="M1299" s="3"/>
    </row>
    <row r="1300" spans="1:13" x14ac:dyDescent="0.3">
      <c r="A1300" s="2">
        <v>1299</v>
      </c>
      <c r="B1300" s="2" t="s">
        <v>4058</v>
      </c>
      <c r="C1300" s="2" t="s">
        <v>4059</v>
      </c>
      <c r="D1300" s="2" t="s">
        <v>15</v>
      </c>
      <c r="E1300" s="2" t="s">
        <v>16</v>
      </c>
      <c r="F1300" s="2">
        <v>60</v>
      </c>
      <c r="G1300" s="2" t="s">
        <v>4060</v>
      </c>
      <c r="H1300" s="2" t="s">
        <v>1482</v>
      </c>
      <c r="I1300" s="2" t="s">
        <v>1483</v>
      </c>
      <c r="J1300" s="3">
        <v>44331</v>
      </c>
      <c r="K1300" s="2">
        <v>25</v>
      </c>
      <c r="L1300" s="2" t="s">
        <v>64</v>
      </c>
      <c r="M1300" s="3"/>
    </row>
    <row r="1301" spans="1:13" x14ac:dyDescent="0.3">
      <c r="A1301" s="2">
        <v>1300</v>
      </c>
      <c r="B1301" s="2" t="s">
        <v>4061</v>
      </c>
      <c r="C1301" s="2" t="s">
        <v>1765</v>
      </c>
      <c r="D1301" s="2" t="s">
        <v>51</v>
      </c>
      <c r="E1301" s="2" t="s">
        <v>16</v>
      </c>
      <c r="F1301" s="2">
        <v>30</v>
      </c>
      <c r="G1301" s="2" t="s">
        <v>4060</v>
      </c>
      <c r="H1301" s="2" t="s">
        <v>1261</v>
      </c>
      <c r="I1301" s="2" t="s">
        <v>32</v>
      </c>
      <c r="J1301" s="3">
        <v>44276</v>
      </c>
      <c r="K1301" s="2">
        <v>5</v>
      </c>
      <c r="L1301" s="2" t="s">
        <v>20</v>
      </c>
      <c r="M1301" s="3"/>
    </row>
    <row r="1302" spans="1:13" x14ac:dyDescent="0.3">
      <c r="A1302" s="2">
        <v>1301</v>
      </c>
      <c r="B1302" s="2" t="s">
        <v>4062</v>
      </c>
      <c r="C1302" s="2" t="s">
        <v>2747</v>
      </c>
      <c r="D1302" s="2" t="s">
        <v>51</v>
      </c>
      <c r="E1302" s="2" t="s">
        <v>16</v>
      </c>
      <c r="F1302" s="2">
        <v>90</v>
      </c>
      <c r="G1302" s="2" t="s">
        <v>4063</v>
      </c>
      <c r="H1302" s="2" t="s">
        <v>587</v>
      </c>
      <c r="I1302" s="2" t="s">
        <v>25</v>
      </c>
      <c r="J1302" s="3">
        <v>44588</v>
      </c>
      <c r="K1302" s="2">
        <v>41</v>
      </c>
      <c r="L1302" s="2" t="s">
        <v>39</v>
      </c>
      <c r="M1302" s="3"/>
    </row>
    <row r="1303" spans="1:13" x14ac:dyDescent="0.3">
      <c r="A1303" s="2">
        <v>1302</v>
      </c>
      <c r="B1303" s="2" t="s">
        <v>4064</v>
      </c>
      <c r="C1303" s="2" t="s">
        <v>3911</v>
      </c>
      <c r="D1303" s="2" t="s">
        <v>15</v>
      </c>
      <c r="E1303" s="2" t="s">
        <v>16</v>
      </c>
      <c r="F1303" s="2">
        <v>90</v>
      </c>
      <c r="G1303" s="2" t="s">
        <v>4065</v>
      </c>
      <c r="H1303" s="2" t="s">
        <v>4066</v>
      </c>
      <c r="I1303" s="2" t="s">
        <v>4067</v>
      </c>
      <c r="J1303" s="3">
        <v>44009</v>
      </c>
      <c r="K1303" s="2">
        <v>71</v>
      </c>
      <c r="L1303" s="2" t="s">
        <v>39</v>
      </c>
      <c r="M1303" s="3"/>
    </row>
    <row r="1304" spans="1:13" x14ac:dyDescent="0.3">
      <c r="A1304" s="2">
        <v>1303</v>
      </c>
      <c r="B1304" s="2" t="s">
        <v>4068</v>
      </c>
      <c r="C1304" s="2" t="s">
        <v>4069</v>
      </c>
      <c r="D1304" s="2" t="s">
        <v>28</v>
      </c>
      <c r="E1304" s="2" t="s">
        <v>29</v>
      </c>
      <c r="F1304" s="2">
        <v>90</v>
      </c>
      <c r="G1304" s="2" t="s">
        <v>4070</v>
      </c>
      <c r="H1304" s="2" t="s">
        <v>4071</v>
      </c>
      <c r="I1304" s="2" t="s">
        <v>886</v>
      </c>
      <c r="J1304" s="3">
        <v>44404</v>
      </c>
      <c r="K1304" s="2">
        <v>56</v>
      </c>
      <c r="L1304" s="2" t="s">
        <v>45</v>
      </c>
      <c r="M1304" s="3"/>
    </row>
    <row r="1305" spans="1:13" x14ac:dyDescent="0.3">
      <c r="A1305" s="2">
        <v>1304</v>
      </c>
      <c r="B1305" s="2" t="s">
        <v>4072</v>
      </c>
      <c r="C1305" s="2" t="s">
        <v>1270</v>
      </c>
      <c r="D1305" s="2" t="s">
        <v>28</v>
      </c>
      <c r="E1305" s="2" t="s">
        <v>29</v>
      </c>
      <c r="F1305" s="2">
        <v>60</v>
      </c>
      <c r="G1305" s="2" t="s">
        <v>4073</v>
      </c>
      <c r="H1305" s="2" t="s">
        <v>4074</v>
      </c>
      <c r="I1305" s="2" t="s">
        <v>19</v>
      </c>
      <c r="J1305" s="3">
        <v>44363</v>
      </c>
      <c r="K1305" s="2">
        <v>54</v>
      </c>
      <c r="L1305" s="2" t="s">
        <v>64</v>
      </c>
      <c r="M1305" s="3"/>
    </row>
    <row r="1306" spans="1:13" x14ac:dyDescent="0.3">
      <c r="A1306" s="2">
        <v>1305</v>
      </c>
      <c r="B1306" s="2" t="s">
        <v>2840</v>
      </c>
      <c r="C1306" s="2" t="s">
        <v>4075</v>
      </c>
      <c r="D1306" s="2" t="s">
        <v>28</v>
      </c>
      <c r="E1306" s="2" t="s">
        <v>29</v>
      </c>
      <c r="F1306" s="2">
        <v>60</v>
      </c>
      <c r="G1306" s="2" t="s">
        <v>4076</v>
      </c>
      <c r="H1306" s="2" t="s">
        <v>4077</v>
      </c>
      <c r="I1306" s="2" t="s">
        <v>554</v>
      </c>
      <c r="J1306" s="3">
        <v>44247</v>
      </c>
      <c r="K1306" s="2">
        <v>93</v>
      </c>
      <c r="L1306" s="2" t="s">
        <v>20</v>
      </c>
      <c r="M1306" s="3"/>
    </row>
    <row r="1307" spans="1:13" x14ac:dyDescent="0.3">
      <c r="A1307" s="2">
        <v>1306</v>
      </c>
      <c r="B1307" s="2" t="s">
        <v>4078</v>
      </c>
      <c r="C1307" s="2" t="s">
        <v>4079</v>
      </c>
      <c r="D1307" s="2" t="s">
        <v>28</v>
      </c>
      <c r="E1307" s="2" t="s">
        <v>29</v>
      </c>
      <c r="F1307" s="2">
        <v>60</v>
      </c>
      <c r="G1307" s="2" t="s">
        <v>4080</v>
      </c>
      <c r="H1307" s="2" t="s">
        <v>4081</v>
      </c>
      <c r="I1307" s="2" t="s">
        <v>32</v>
      </c>
      <c r="J1307" s="3">
        <v>44808</v>
      </c>
      <c r="K1307" s="2">
        <v>97</v>
      </c>
      <c r="L1307" s="2" t="s">
        <v>80</v>
      </c>
      <c r="M1307" s="3"/>
    </row>
    <row r="1308" spans="1:13" x14ac:dyDescent="0.3">
      <c r="A1308" s="2">
        <v>1307</v>
      </c>
      <c r="B1308" s="2" t="s">
        <v>4082</v>
      </c>
      <c r="C1308" s="2" t="s">
        <v>4083</v>
      </c>
      <c r="D1308" s="2" t="s">
        <v>51</v>
      </c>
      <c r="E1308" s="2" t="s">
        <v>16</v>
      </c>
      <c r="F1308" s="2">
        <v>60</v>
      </c>
      <c r="G1308" s="2" t="s">
        <v>4084</v>
      </c>
      <c r="H1308" s="2" t="s">
        <v>4085</v>
      </c>
      <c r="I1308" s="2" t="s">
        <v>240</v>
      </c>
      <c r="J1308" s="3">
        <v>44910</v>
      </c>
      <c r="K1308" s="2">
        <v>2</v>
      </c>
      <c r="L1308" s="2" t="s">
        <v>70</v>
      </c>
      <c r="M1308" s="3"/>
    </row>
    <row r="1309" spans="1:13" x14ac:dyDescent="0.3">
      <c r="A1309" s="2">
        <v>1308</v>
      </c>
      <c r="B1309" s="2" t="s">
        <v>631</v>
      </c>
      <c r="C1309" s="2" t="s">
        <v>1573</v>
      </c>
      <c r="D1309" s="2" t="s">
        <v>15</v>
      </c>
      <c r="E1309" s="2" t="s">
        <v>16</v>
      </c>
      <c r="F1309" s="2">
        <v>60</v>
      </c>
      <c r="G1309" s="2" t="s">
        <v>4086</v>
      </c>
      <c r="H1309" s="2" t="s">
        <v>3854</v>
      </c>
      <c r="I1309" s="2" t="s">
        <v>38</v>
      </c>
      <c r="J1309" s="3">
        <v>43840</v>
      </c>
      <c r="K1309" s="2">
        <v>67</v>
      </c>
      <c r="L1309" s="2" t="s">
        <v>80</v>
      </c>
      <c r="M1309" s="3"/>
    </row>
    <row r="1310" spans="1:13" x14ac:dyDescent="0.3">
      <c r="A1310" s="2">
        <v>1309</v>
      </c>
      <c r="B1310" s="2" t="s">
        <v>4087</v>
      </c>
      <c r="C1310" s="2" t="s">
        <v>4088</v>
      </c>
      <c r="D1310" s="2" t="s">
        <v>51</v>
      </c>
      <c r="E1310" s="2" t="s">
        <v>16</v>
      </c>
      <c r="F1310" s="2">
        <v>60</v>
      </c>
      <c r="G1310" s="2" t="s">
        <v>4089</v>
      </c>
      <c r="H1310" s="2" t="s">
        <v>4090</v>
      </c>
      <c r="I1310" s="2" t="s">
        <v>32</v>
      </c>
      <c r="J1310" s="3">
        <v>44460</v>
      </c>
      <c r="K1310" s="2">
        <v>71</v>
      </c>
      <c r="L1310" s="2" t="s">
        <v>64</v>
      </c>
      <c r="M1310" s="3"/>
    </row>
    <row r="1311" spans="1:13" x14ac:dyDescent="0.3">
      <c r="A1311" s="2">
        <v>1310</v>
      </c>
      <c r="B1311" s="2" t="s">
        <v>4091</v>
      </c>
      <c r="C1311" s="2" t="s">
        <v>4092</v>
      </c>
      <c r="D1311" s="2" t="s">
        <v>28</v>
      </c>
      <c r="E1311" s="2" t="s">
        <v>29</v>
      </c>
      <c r="F1311" s="2">
        <v>60</v>
      </c>
      <c r="G1311" s="2" t="s">
        <v>4093</v>
      </c>
      <c r="H1311" s="2" t="s">
        <v>3637</v>
      </c>
      <c r="I1311" s="2" t="s">
        <v>38</v>
      </c>
      <c r="J1311" s="3">
        <v>43869</v>
      </c>
      <c r="K1311" s="2">
        <v>36</v>
      </c>
      <c r="L1311" s="2" t="s">
        <v>54</v>
      </c>
      <c r="M1311" s="3"/>
    </row>
    <row r="1312" spans="1:13" x14ac:dyDescent="0.3">
      <c r="A1312" s="2">
        <v>1311</v>
      </c>
      <c r="B1312" s="2" t="s">
        <v>4094</v>
      </c>
      <c r="C1312" s="2" t="s">
        <v>4095</v>
      </c>
      <c r="D1312" s="2" t="s">
        <v>28</v>
      </c>
      <c r="E1312" s="2" t="s">
        <v>29</v>
      </c>
      <c r="F1312" s="2">
        <v>90</v>
      </c>
      <c r="G1312" s="2" t="s">
        <v>4096</v>
      </c>
      <c r="H1312" s="2" t="s">
        <v>3261</v>
      </c>
      <c r="I1312" s="2" t="s">
        <v>124</v>
      </c>
      <c r="J1312" s="3">
        <v>43929</v>
      </c>
      <c r="K1312" s="2">
        <v>16</v>
      </c>
      <c r="L1312" s="2" t="s">
        <v>101</v>
      </c>
      <c r="M1312" s="3"/>
    </row>
    <row r="1313" spans="1:13" x14ac:dyDescent="0.3">
      <c r="A1313" s="2">
        <v>1312</v>
      </c>
      <c r="B1313" s="2" t="s">
        <v>2285</v>
      </c>
      <c r="C1313" s="2" t="s">
        <v>4035</v>
      </c>
      <c r="D1313" s="2" t="s">
        <v>15</v>
      </c>
      <c r="E1313" s="2" t="s">
        <v>16</v>
      </c>
      <c r="F1313" s="2">
        <v>60</v>
      </c>
      <c r="G1313" s="2" t="s">
        <v>4097</v>
      </c>
      <c r="H1313" s="2" t="s">
        <v>4098</v>
      </c>
      <c r="I1313" s="2" t="s">
        <v>1889</v>
      </c>
      <c r="J1313" s="3">
        <v>44352</v>
      </c>
      <c r="K1313" s="2">
        <v>14</v>
      </c>
      <c r="L1313" s="2" t="s">
        <v>20</v>
      </c>
      <c r="M1313" s="3"/>
    </row>
    <row r="1314" spans="1:13" x14ac:dyDescent="0.3">
      <c r="A1314" s="2">
        <v>1313</v>
      </c>
      <c r="B1314" s="2" t="s">
        <v>4099</v>
      </c>
      <c r="C1314" s="2" t="s">
        <v>2273</v>
      </c>
      <c r="D1314" s="2" t="s">
        <v>28</v>
      </c>
      <c r="E1314" s="2" t="s">
        <v>29</v>
      </c>
      <c r="F1314" s="2">
        <v>90</v>
      </c>
      <c r="G1314" s="2" t="s">
        <v>4097</v>
      </c>
      <c r="H1314" s="2" t="s">
        <v>4100</v>
      </c>
      <c r="I1314" s="2" t="s">
        <v>294</v>
      </c>
      <c r="J1314" s="3">
        <v>44641</v>
      </c>
      <c r="K1314" s="2">
        <v>100</v>
      </c>
      <c r="L1314" s="2" t="s">
        <v>54</v>
      </c>
      <c r="M1314" s="3"/>
    </row>
    <row r="1315" spans="1:13" x14ac:dyDescent="0.3">
      <c r="A1315" s="2">
        <v>1314</v>
      </c>
      <c r="B1315" s="2" t="s">
        <v>4101</v>
      </c>
      <c r="C1315" s="2" t="s">
        <v>4102</v>
      </c>
      <c r="D1315" s="2" t="s">
        <v>15</v>
      </c>
      <c r="E1315" s="2" t="s">
        <v>16</v>
      </c>
      <c r="F1315" s="2">
        <v>60</v>
      </c>
      <c r="G1315" s="2" t="s">
        <v>4103</v>
      </c>
      <c r="H1315" s="2" t="s">
        <v>1772</v>
      </c>
      <c r="I1315" s="2" t="s">
        <v>178</v>
      </c>
      <c r="J1315" s="3">
        <v>44891</v>
      </c>
      <c r="K1315" s="2">
        <v>39</v>
      </c>
      <c r="L1315" s="2" t="s">
        <v>159</v>
      </c>
      <c r="M1315" s="3"/>
    </row>
    <row r="1316" spans="1:13" x14ac:dyDescent="0.3">
      <c r="A1316" s="2">
        <v>1315</v>
      </c>
      <c r="B1316" s="2" t="s">
        <v>4104</v>
      </c>
      <c r="C1316" s="2" t="s">
        <v>2471</v>
      </c>
      <c r="D1316" s="2" t="s">
        <v>15</v>
      </c>
      <c r="E1316" s="2" t="s">
        <v>16</v>
      </c>
      <c r="F1316" s="2">
        <v>30</v>
      </c>
      <c r="G1316" s="2" t="s">
        <v>4105</v>
      </c>
      <c r="H1316" s="2" t="s">
        <v>1156</v>
      </c>
      <c r="I1316" s="2" t="s">
        <v>1157</v>
      </c>
      <c r="J1316" s="3">
        <v>44501</v>
      </c>
      <c r="K1316" s="2">
        <v>16</v>
      </c>
      <c r="L1316" s="2" t="s">
        <v>64</v>
      </c>
      <c r="M1316" s="3"/>
    </row>
    <row r="1317" spans="1:13" x14ac:dyDescent="0.3">
      <c r="A1317" s="2">
        <v>1316</v>
      </c>
      <c r="B1317" s="2" t="s">
        <v>335</v>
      </c>
      <c r="C1317" s="2" t="s">
        <v>589</v>
      </c>
      <c r="D1317" s="2" t="s">
        <v>28</v>
      </c>
      <c r="E1317" s="2" t="s">
        <v>29</v>
      </c>
      <c r="F1317" s="2">
        <v>90</v>
      </c>
      <c r="G1317" s="2" t="s">
        <v>4106</v>
      </c>
      <c r="H1317" s="2" t="s">
        <v>1042</v>
      </c>
      <c r="I1317" s="2" t="s">
        <v>32</v>
      </c>
      <c r="J1317" s="3">
        <v>44646</v>
      </c>
      <c r="K1317" s="2">
        <v>105</v>
      </c>
      <c r="L1317" s="2" t="s">
        <v>159</v>
      </c>
      <c r="M1317" s="3"/>
    </row>
    <row r="1318" spans="1:13" x14ac:dyDescent="0.3">
      <c r="A1318" s="2">
        <v>1317</v>
      </c>
      <c r="B1318" s="2" t="s">
        <v>2843</v>
      </c>
      <c r="C1318" s="2" t="s">
        <v>1877</v>
      </c>
      <c r="D1318" s="2" t="s">
        <v>51</v>
      </c>
      <c r="E1318" s="2" t="s">
        <v>16</v>
      </c>
      <c r="F1318" s="2">
        <v>30</v>
      </c>
      <c r="G1318" s="2" t="s">
        <v>4107</v>
      </c>
      <c r="H1318" s="2" t="s">
        <v>4108</v>
      </c>
      <c r="I1318" s="2" t="s">
        <v>1454</v>
      </c>
      <c r="J1318" s="3">
        <v>44724</v>
      </c>
      <c r="K1318" s="2">
        <v>105</v>
      </c>
      <c r="L1318" s="2" t="s">
        <v>39</v>
      </c>
      <c r="M1318" s="3"/>
    </row>
    <row r="1319" spans="1:13" x14ac:dyDescent="0.3">
      <c r="A1319" s="2">
        <v>1318</v>
      </c>
      <c r="B1319" s="2" t="s">
        <v>4109</v>
      </c>
      <c r="C1319" s="2" t="s">
        <v>1075</v>
      </c>
      <c r="D1319" s="2" t="s">
        <v>15</v>
      </c>
      <c r="E1319" s="2" t="s">
        <v>16</v>
      </c>
      <c r="F1319" s="2">
        <v>30</v>
      </c>
      <c r="G1319" s="2" t="s">
        <v>4110</v>
      </c>
      <c r="H1319" s="2" t="s">
        <v>4111</v>
      </c>
      <c r="I1319" s="2" t="s">
        <v>95</v>
      </c>
      <c r="J1319" s="3">
        <v>44525</v>
      </c>
      <c r="K1319" s="2">
        <v>25</v>
      </c>
      <c r="L1319" s="2" t="s">
        <v>159</v>
      </c>
      <c r="M1319" s="3"/>
    </row>
    <row r="1320" spans="1:13" x14ac:dyDescent="0.3">
      <c r="A1320" s="2">
        <v>1319</v>
      </c>
      <c r="B1320" s="2" t="s">
        <v>4112</v>
      </c>
      <c r="C1320" s="2" t="s">
        <v>4113</v>
      </c>
      <c r="D1320" s="2" t="s">
        <v>28</v>
      </c>
      <c r="E1320" s="2" t="s">
        <v>29</v>
      </c>
      <c r="F1320" s="2">
        <v>30</v>
      </c>
      <c r="G1320" s="2" t="s">
        <v>4114</v>
      </c>
      <c r="H1320" s="2" t="s">
        <v>2053</v>
      </c>
      <c r="I1320" s="2" t="s">
        <v>187</v>
      </c>
      <c r="J1320" s="3">
        <v>44168</v>
      </c>
      <c r="K1320" s="2">
        <v>4</v>
      </c>
      <c r="L1320" s="2" t="s">
        <v>33</v>
      </c>
      <c r="M1320" s="3"/>
    </row>
    <row r="1321" spans="1:13" x14ac:dyDescent="0.3">
      <c r="A1321" s="2">
        <v>1320</v>
      </c>
      <c r="B1321" s="2" t="s">
        <v>4115</v>
      </c>
      <c r="C1321" s="2" t="s">
        <v>4116</v>
      </c>
      <c r="D1321" s="2" t="s">
        <v>28</v>
      </c>
      <c r="E1321" s="2" t="s">
        <v>29</v>
      </c>
      <c r="F1321" s="2">
        <v>90</v>
      </c>
      <c r="G1321" s="2" t="s">
        <v>4117</v>
      </c>
      <c r="H1321" s="2" t="s">
        <v>203</v>
      </c>
      <c r="I1321" s="2" t="s">
        <v>32</v>
      </c>
      <c r="J1321" s="3">
        <v>44740</v>
      </c>
      <c r="K1321" s="2">
        <v>85</v>
      </c>
      <c r="L1321" s="2" t="s">
        <v>159</v>
      </c>
      <c r="M1321" s="3"/>
    </row>
    <row r="1322" spans="1:13" x14ac:dyDescent="0.3">
      <c r="A1322" s="2">
        <v>1321</v>
      </c>
      <c r="B1322" s="2" t="s">
        <v>4118</v>
      </c>
      <c r="C1322" s="2" t="s">
        <v>2010</v>
      </c>
      <c r="D1322" s="2" t="s">
        <v>28</v>
      </c>
      <c r="E1322" s="2" t="s">
        <v>29</v>
      </c>
      <c r="F1322" s="2">
        <v>90</v>
      </c>
      <c r="G1322" s="2" t="s">
        <v>4119</v>
      </c>
      <c r="H1322" s="2" t="s">
        <v>2633</v>
      </c>
      <c r="I1322" s="2" t="s">
        <v>32</v>
      </c>
      <c r="J1322" s="3">
        <v>44675</v>
      </c>
      <c r="K1322" s="2">
        <v>81</v>
      </c>
      <c r="L1322" s="2" t="s">
        <v>54</v>
      </c>
      <c r="M1322" s="3"/>
    </row>
    <row r="1323" spans="1:13" x14ac:dyDescent="0.3">
      <c r="A1323" s="2">
        <v>1322</v>
      </c>
      <c r="B1323" s="2" t="s">
        <v>4120</v>
      </c>
      <c r="C1323" s="2" t="s">
        <v>4121</v>
      </c>
      <c r="D1323" s="2" t="s">
        <v>51</v>
      </c>
      <c r="E1323" s="2" t="s">
        <v>16</v>
      </c>
      <c r="F1323" s="2">
        <v>90</v>
      </c>
      <c r="G1323" s="2" t="s">
        <v>4122</v>
      </c>
      <c r="H1323" s="2" t="s">
        <v>4123</v>
      </c>
      <c r="I1323" s="2" t="s">
        <v>187</v>
      </c>
      <c r="J1323" s="3">
        <v>44722</v>
      </c>
      <c r="K1323" s="2">
        <v>74</v>
      </c>
      <c r="L1323" s="2" t="s">
        <v>45</v>
      </c>
      <c r="M1323" s="3"/>
    </row>
    <row r="1324" spans="1:13" x14ac:dyDescent="0.3">
      <c r="A1324" s="2">
        <v>1323</v>
      </c>
      <c r="B1324" s="2" t="s">
        <v>4124</v>
      </c>
      <c r="C1324" s="2" t="s">
        <v>1214</v>
      </c>
      <c r="D1324" s="2" t="s">
        <v>51</v>
      </c>
      <c r="E1324" s="2" t="s">
        <v>16</v>
      </c>
      <c r="F1324" s="2">
        <v>90</v>
      </c>
      <c r="G1324" s="2" t="s">
        <v>4125</v>
      </c>
      <c r="H1324" s="2" t="s">
        <v>558</v>
      </c>
      <c r="I1324" s="2" t="s">
        <v>32</v>
      </c>
      <c r="J1324" s="3">
        <v>44506</v>
      </c>
      <c r="K1324" s="2">
        <v>4</v>
      </c>
      <c r="L1324" s="2" t="s">
        <v>64</v>
      </c>
      <c r="M1324" s="3"/>
    </row>
    <row r="1325" spans="1:13" x14ac:dyDescent="0.3">
      <c r="A1325" s="2">
        <v>1324</v>
      </c>
      <c r="B1325" s="2" t="s">
        <v>4126</v>
      </c>
      <c r="C1325" s="2" t="s">
        <v>683</v>
      </c>
      <c r="D1325" s="2" t="s">
        <v>28</v>
      </c>
      <c r="E1325" s="2" t="s">
        <v>29</v>
      </c>
      <c r="F1325" s="2">
        <v>30</v>
      </c>
      <c r="G1325" s="2" t="s">
        <v>4127</v>
      </c>
      <c r="H1325" s="2" t="s">
        <v>2117</v>
      </c>
      <c r="I1325" s="2" t="s">
        <v>886</v>
      </c>
      <c r="J1325" s="3">
        <v>44385</v>
      </c>
      <c r="K1325" s="2">
        <v>93</v>
      </c>
      <c r="L1325" s="2" t="s">
        <v>70</v>
      </c>
      <c r="M1325" s="3"/>
    </row>
    <row r="1326" spans="1:13" x14ac:dyDescent="0.3">
      <c r="A1326" s="2">
        <v>1325</v>
      </c>
      <c r="B1326" s="2" t="s">
        <v>4128</v>
      </c>
      <c r="C1326" s="2" t="s">
        <v>143</v>
      </c>
      <c r="D1326" s="2" t="s">
        <v>15</v>
      </c>
      <c r="E1326" s="2" t="s">
        <v>16</v>
      </c>
      <c r="F1326" s="2">
        <v>30</v>
      </c>
      <c r="G1326" s="2" t="s">
        <v>4129</v>
      </c>
      <c r="H1326" s="2" t="s">
        <v>2066</v>
      </c>
      <c r="I1326" s="2" t="s">
        <v>294</v>
      </c>
      <c r="J1326" s="3">
        <v>44040</v>
      </c>
      <c r="K1326" s="2">
        <v>82</v>
      </c>
      <c r="L1326" s="2" t="s">
        <v>101</v>
      </c>
      <c r="M1326" s="3"/>
    </row>
    <row r="1327" spans="1:13" x14ac:dyDescent="0.3">
      <c r="A1327" s="2">
        <v>1326</v>
      </c>
      <c r="B1327" s="2" t="s">
        <v>4130</v>
      </c>
      <c r="C1327" s="2" t="s">
        <v>4131</v>
      </c>
      <c r="D1327" s="2" t="s">
        <v>51</v>
      </c>
      <c r="E1327" s="2" t="s">
        <v>16</v>
      </c>
      <c r="F1327" s="2">
        <v>30</v>
      </c>
      <c r="G1327" s="2" t="s">
        <v>4132</v>
      </c>
      <c r="H1327" s="2" t="s">
        <v>4133</v>
      </c>
      <c r="I1327" s="2" t="s">
        <v>32</v>
      </c>
      <c r="J1327" s="3">
        <v>44331</v>
      </c>
      <c r="K1327" s="2">
        <v>20</v>
      </c>
      <c r="L1327" s="2" t="s">
        <v>33</v>
      </c>
      <c r="M1327" s="3"/>
    </row>
    <row r="1328" spans="1:13" x14ac:dyDescent="0.3">
      <c r="A1328" s="2">
        <v>1327</v>
      </c>
      <c r="B1328" s="2" t="s">
        <v>4130</v>
      </c>
      <c r="C1328" s="2" t="s">
        <v>4131</v>
      </c>
      <c r="D1328" s="2" t="s">
        <v>51</v>
      </c>
      <c r="E1328" s="2" t="s">
        <v>16</v>
      </c>
      <c r="F1328" s="2">
        <v>30</v>
      </c>
      <c r="G1328" s="2" t="s">
        <v>4132</v>
      </c>
      <c r="H1328" s="2" t="s">
        <v>4133</v>
      </c>
      <c r="I1328" s="2" t="s">
        <v>32</v>
      </c>
      <c r="J1328" s="3">
        <v>44331</v>
      </c>
      <c r="K1328" s="2">
        <v>20</v>
      </c>
      <c r="L1328" s="2" t="s">
        <v>33</v>
      </c>
      <c r="M1328" s="3"/>
    </row>
    <row r="1329" spans="1:13" x14ac:dyDescent="0.3">
      <c r="A1329" s="2">
        <v>1328</v>
      </c>
      <c r="B1329" s="2" t="s">
        <v>4134</v>
      </c>
      <c r="C1329" s="2" t="s">
        <v>4135</v>
      </c>
      <c r="D1329" s="2" t="s">
        <v>28</v>
      </c>
      <c r="E1329" s="2" t="s">
        <v>29</v>
      </c>
      <c r="F1329" s="2">
        <v>60</v>
      </c>
      <c r="G1329" s="2" t="s">
        <v>4136</v>
      </c>
      <c r="H1329" s="2" t="s">
        <v>3610</v>
      </c>
      <c r="I1329" s="2" t="s">
        <v>32</v>
      </c>
      <c r="J1329" s="3">
        <v>44709</v>
      </c>
      <c r="K1329" s="2">
        <v>50</v>
      </c>
      <c r="L1329" s="2" t="s">
        <v>101</v>
      </c>
      <c r="M1329" s="3"/>
    </row>
    <row r="1330" spans="1:13" x14ac:dyDescent="0.3">
      <c r="A1330" s="2">
        <v>1329</v>
      </c>
      <c r="B1330" s="2" t="s">
        <v>3544</v>
      </c>
      <c r="C1330" s="2" t="s">
        <v>4137</v>
      </c>
      <c r="D1330" s="2" t="s">
        <v>28</v>
      </c>
      <c r="E1330" s="2" t="s">
        <v>29</v>
      </c>
      <c r="F1330" s="2">
        <v>60</v>
      </c>
      <c r="G1330" s="2" t="s">
        <v>4138</v>
      </c>
      <c r="H1330" s="2" t="s">
        <v>137</v>
      </c>
      <c r="I1330" s="2" t="s">
        <v>32</v>
      </c>
      <c r="J1330" s="3">
        <v>43996</v>
      </c>
      <c r="K1330" s="2">
        <v>14</v>
      </c>
      <c r="L1330" s="2" t="s">
        <v>33</v>
      </c>
      <c r="M1330" s="3"/>
    </row>
    <row r="1331" spans="1:13" x14ac:dyDescent="0.3">
      <c r="A1331" s="2">
        <v>1330</v>
      </c>
      <c r="B1331" s="2" t="s">
        <v>4139</v>
      </c>
      <c r="C1331" s="2" t="s">
        <v>692</v>
      </c>
      <c r="D1331" s="2" t="s">
        <v>51</v>
      </c>
      <c r="E1331" s="2" t="s">
        <v>16</v>
      </c>
      <c r="F1331" s="2">
        <v>90</v>
      </c>
      <c r="G1331" s="2" t="s">
        <v>4140</v>
      </c>
      <c r="H1331" s="2" t="s">
        <v>2141</v>
      </c>
      <c r="I1331" s="2" t="s">
        <v>1078</v>
      </c>
      <c r="J1331" s="3">
        <v>43906</v>
      </c>
      <c r="K1331" s="2">
        <v>71</v>
      </c>
      <c r="L1331" s="2" t="s">
        <v>33</v>
      </c>
      <c r="M1331" s="3"/>
    </row>
    <row r="1332" spans="1:13" x14ac:dyDescent="0.3">
      <c r="A1332" s="2">
        <v>1331</v>
      </c>
      <c r="B1332" s="2" t="s">
        <v>1363</v>
      </c>
      <c r="C1332" s="2" t="s">
        <v>4137</v>
      </c>
      <c r="D1332" s="2" t="s">
        <v>28</v>
      </c>
      <c r="E1332" s="2" t="s">
        <v>29</v>
      </c>
      <c r="F1332" s="2">
        <v>90</v>
      </c>
      <c r="G1332" s="2" t="s">
        <v>4140</v>
      </c>
      <c r="H1332" s="2" t="s">
        <v>1674</v>
      </c>
      <c r="I1332" s="2" t="s">
        <v>25</v>
      </c>
      <c r="J1332" s="3">
        <v>44364</v>
      </c>
      <c r="K1332" s="2">
        <v>8</v>
      </c>
      <c r="L1332" s="2" t="s">
        <v>64</v>
      </c>
      <c r="M1332" s="3"/>
    </row>
    <row r="1333" spans="1:13" x14ac:dyDescent="0.3">
      <c r="A1333" s="2">
        <v>1332</v>
      </c>
      <c r="B1333" s="2" t="s">
        <v>1695</v>
      </c>
      <c r="C1333" s="2" t="s">
        <v>3189</v>
      </c>
      <c r="D1333" s="2" t="s">
        <v>15</v>
      </c>
      <c r="E1333" s="2" t="s">
        <v>16</v>
      </c>
      <c r="F1333" s="2">
        <v>90</v>
      </c>
      <c r="G1333" s="2" t="s">
        <v>4141</v>
      </c>
      <c r="H1333" s="2" t="s">
        <v>6</v>
      </c>
      <c r="I1333" s="2" t="s">
        <v>32</v>
      </c>
      <c r="J1333" s="3">
        <v>44056</v>
      </c>
      <c r="K1333" s="2">
        <v>77</v>
      </c>
      <c r="L1333" s="2" t="s">
        <v>70</v>
      </c>
      <c r="M1333" s="3"/>
    </row>
    <row r="1334" spans="1:13" x14ac:dyDescent="0.3">
      <c r="A1334" s="2">
        <v>1333</v>
      </c>
      <c r="B1334" s="2" t="s">
        <v>4142</v>
      </c>
      <c r="C1334" s="2" t="s">
        <v>4143</v>
      </c>
      <c r="D1334" s="2" t="s">
        <v>15</v>
      </c>
      <c r="E1334" s="2" t="s">
        <v>16</v>
      </c>
      <c r="F1334" s="2">
        <v>60</v>
      </c>
      <c r="G1334" s="2" t="s">
        <v>4144</v>
      </c>
      <c r="H1334" s="2" t="s">
        <v>4145</v>
      </c>
      <c r="I1334" s="2" t="s">
        <v>32</v>
      </c>
      <c r="J1334" s="3">
        <v>44069</v>
      </c>
      <c r="K1334" s="2">
        <v>46</v>
      </c>
      <c r="L1334" s="2" t="s">
        <v>45</v>
      </c>
      <c r="M1334" s="3"/>
    </row>
    <row r="1335" spans="1:13" x14ac:dyDescent="0.3">
      <c r="A1335" s="2">
        <v>1334</v>
      </c>
      <c r="B1335" s="2" t="s">
        <v>4146</v>
      </c>
      <c r="C1335" s="2" t="s">
        <v>987</v>
      </c>
      <c r="D1335" s="2" t="s">
        <v>51</v>
      </c>
      <c r="E1335" s="2" t="s">
        <v>16</v>
      </c>
      <c r="F1335" s="2">
        <v>30</v>
      </c>
      <c r="G1335" s="2" t="s">
        <v>4147</v>
      </c>
      <c r="H1335" s="2" t="s">
        <v>2908</v>
      </c>
      <c r="I1335" s="2" t="s">
        <v>25</v>
      </c>
      <c r="J1335" s="3">
        <v>43865</v>
      </c>
      <c r="K1335" s="2">
        <v>17</v>
      </c>
      <c r="L1335" s="2" t="s">
        <v>54</v>
      </c>
      <c r="M1335" s="3"/>
    </row>
    <row r="1336" spans="1:13" x14ac:dyDescent="0.3">
      <c r="A1336" s="2">
        <v>1335</v>
      </c>
      <c r="B1336" s="2" t="s">
        <v>4148</v>
      </c>
      <c r="C1336" s="2" t="s">
        <v>4149</v>
      </c>
      <c r="D1336" s="2" t="s">
        <v>51</v>
      </c>
      <c r="E1336" s="2" t="s">
        <v>16</v>
      </c>
      <c r="F1336" s="2">
        <v>90</v>
      </c>
      <c r="G1336" s="2" t="s">
        <v>4150</v>
      </c>
      <c r="H1336" s="2" t="s">
        <v>2972</v>
      </c>
      <c r="I1336" s="2" t="s">
        <v>32</v>
      </c>
      <c r="J1336" s="3">
        <v>44760</v>
      </c>
      <c r="K1336" s="2">
        <v>35</v>
      </c>
      <c r="L1336" s="2" t="s">
        <v>33</v>
      </c>
      <c r="M1336" s="3"/>
    </row>
    <row r="1337" spans="1:13" x14ac:dyDescent="0.3">
      <c r="A1337" s="2">
        <v>1336</v>
      </c>
      <c r="B1337" s="2" t="s">
        <v>4148</v>
      </c>
      <c r="C1337" s="2" t="s">
        <v>4149</v>
      </c>
      <c r="D1337" s="2" t="s">
        <v>51</v>
      </c>
      <c r="E1337" s="2" t="s">
        <v>16</v>
      </c>
      <c r="F1337" s="2">
        <v>90</v>
      </c>
      <c r="G1337" s="2" t="s">
        <v>4150</v>
      </c>
      <c r="H1337" s="2" t="s">
        <v>2972</v>
      </c>
      <c r="I1337" s="2" t="s">
        <v>32</v>
      </c>
      <c r="J1337" s="3">
        <v>44760</v>
      </c>
      <c r="K1337" s="2">
        <v>35</v>
      </c>
      <c r="L1337" s="2" t="s">
        <v>33</v>
      </c>
      <c r="M1337" s="3"/>
    </row>
    <row r="1338" spans="1:13" x14ac:dyDescent="0.3">
      <c r="A1338" s="2">
        <v>1337</v>
      </c>
      <c r="B1338" s="2" t="s">
        <v>4151</v>
      </c>
      <c r="C1338" s="2" t="s">
        <v>1470</v>
      </c>
      <c r="D1338" s="2" t="s">
        <v>51</v>
      </c>
      <c r="E1338" s="2" t="s">
        <v>16</v>
      </c>
      <c r="F1338" s="2">
        <v>30</v>
      </c>
      <c r="G1338" s="2" t="s">
        <v>4152</v>
      </c>
      <c r="H1338" s="2" t="s">
        <v>2032</v>
      </c>
      <c r="I1338" s="2" t="s">
        <v>173</v>
      </c>
      <c r="J1338" s="3">
        <v>44070</v>
      </c>
      <c r="K1338" s="2">
        <v>51</v>
      </c>
      <c r="L1338" s="2" t="s">
        <v>39</v>
      </c>
      <c r="M1338" s="3"/>
    </row>
    <row r="1339" spans="1:13" x14ac:dyDescent="0.3">
      <c r="A1339" s="2">
        <v>1338</v>
      </c>
      <c r="B1339" s="2" t="s">
        <v>1703</v>
      </c>
      <c r="C1339" s="2" t="s">
        <v>4153</v>
      </c>
      <c r="D1339" s="2" t="s">
        <v>92</v>
      </c>
      <c r="E1339" s="2" t="s">
        <v>29</v>
      </c>
      <c r="F1339" s="2">
        <v>90</v>
      </c>
      <c r="G1339" s="2" t="s">
        <v>4154</v>
      </c>
      <c r="H1339" s="2" t="s">
        <v>2026</v>
      </c>
      <c r="I1339" s="2" t="s">
        <v>1078</v>
      </c>
      <c r="J1339" s="3">
        <v>44618</v>
      </c>
      <c r="K1339" s="2">
        <v>96</v>
      </c>
      <c r="L1339" s="2" t="s">
        <v>45</v>
      </c>
      <c r="M1339" s="3"/>
    </row>
    <row r="1340" spans="1:13" x14ac:dyDescent="0.3">
      <c r="A1340" s="2">
        <v>1339</v>
      </c>
      <c r="B1340" s="2" t="s">
        <v>4155</v>
      </c>
      <c r="C1340" s="2" t="s">
        <v>4156</v>
      </c>
      <c r="D1340" s="2" t="s">
        <v>28</v>
      </c>
      <c r="E1340" s="2" t="s">
        <v>29</v>
      </c>
      <c r="F1340" s="2">
        <v>60</v>
      </c>
      <c r="G1340" s="2" t="s">
        <v>4157</v>
      </c>
      <c r="H1340" s="2" t="s">
        <v>4158</v>
      </c>
      <c r="I1340" s="2" t="s">
        <v>32</v>
      </c>
      <c r="J1340" s="3">
        <v>44476</v>
      </c>
      <c r="K1340" s="2">
        <v>7</v>
      </c>
      <c r="L1340" s="2" t="s">
        <v>54</v>
      </c>
      <c r="M1340" s="3"/>
    </row>
    <row r="1341" spans="1:13" x14ac:dyDescent="0.3">
      <c r="A1341" s="2">
        <v>1340</v>
      </c>
      <c r="B1341" s="2" t="s">
        <v>4159</v>
      </c>
      <c r="C1341" s="2" t="s">
        <v>1485</v>
      </c>
      <c r="D1341" s="2" t="s">
        <v>15</v>
      </c>
      <c r="E1341" s="2" t="s">
        <v>16</v>
      </c>
      <c r="F1341" s="2">
        <v>60</v>
      </c>
      <c r="G1341" s="2" t="s">
        <v>4160</v>
      </c>
      <c r="H1341" s="2" t="s">
        <v>4161</v>
      </c>
      <c r="I1341" s="2" t="s">
        <v>32</v>
      </c>
      <c r="J1341" s="3">
        <v>44431</v>
      </c>
      <c r="K1341" s="2">
        <v>95</v>
      </c>
      <c r="L1341" s="2" t="s">
        <v>20</v>
      </c>
      <c r="M1341" s="3"/>
    </row>
    <row r="1342" spans="1:13" x14ac:dyDescent="0.3">
      <c r="A1342" s="2">
        <v>1341</v>
      </c>
      <c r="B1342" s="2" t="s">
        <v>3992</v>
      </c>
      <c r="C1342" s="2" t="s">
        <v>1635</v>
      </c>
      <c r="D1342" s="2" t="s">
        <v>28</v>
      </c>
      <c r="E1342" s="2" t="s">
        <v>29</v>
      </c>
      <c r="F1342" s="2">
        <v>90</v>
      </c>
      <c r="G1342" s="2" t="s">
        <v>4162</v>
      </c>
      <c r="H1342" s="2" t="s">
        <v>2154</v>
      </c>
      <c r="I1342" s="2" t="s">
        <v>124</v>
      </c>
      <c r="J1342" s="3">
        <v>44683</v>
      </c>
      <c r="K1342" s="2">
        <v>82</v>
      </c>
      <c r="L1342" s="2" t="s">
        <v>101</v>
      </c>
      <c r="M1342" s="3"/>
    </row>
    <row r="1343" spans="1:13" x14ac:dyDescent="0.3">
      <c r="A1343" s="2">
        <v>1342</v>
      </c>
      <c r="B1343" s="2" t="s">
        <v>4163</v>
      </c>
      <c r="C1343" s="2" t="s">
        <v>1727</v>
      </c>
      <c r="D1343" s="2" t="s">
        <v>15</v>
      </c>
      <c r="E1343" s="2" t="s">
        <v>16</v>
      </c>
      <c r="F1343" s="2">
        <v>30</v>
      </c>
      <c r="G1343" s="2" t="s">
        <v>4164</v>
      </c>
      <c r="H1343" s="2" t="s">
        <v>84</v>
      </c>
      <c r="I1343" s="2" t="s">
        <v>32</v>
      </c>
      <c r="J1343" s="3">
        <v>44712</v>
      </c>
      <c r="K1343" s="2">
        <v>70</v>
      </c>
      <c r="L1343" s="2" t="s">
        <v>20</v>
      </c>
      <c r="M1343" s="3"/>
    </row>
    <row r="1344" spans="1:13" x14ac:dyDescent="0.3">
      <c r="A1344" s="2">
        <v>1343</v>
      </c>
      <c r="B1344" s="2" t="s">
        <v>2331</v>
      </c>
      <c r="C1344" s="2" t="s">
        <v>4165</v>
      </c>
      <c r="D1344" s="2" t="s">
        <v>15</v>
      </c>
      <c r="E1344" s="2" t="s">
        <v>16</v>
      </c>
      <c r="F1344" s="2">
        <v>90</v>
      </c>
      <c r="G1344" s="2" t="s">
        <v>4166</v>
      </c>
      <c r="H1344" s="2" t="s">
        <v>3511</v>
      </c>
      <c r="I1344" s="2" t="s">
        <v>32</v>
      </c>
      <c r="J1344" s="3">
        <v>43856</v>
      </c>
      <c r="K1344" s="2">
        <v>5</v>
      </c>
      <c r="L1344" s="2" t="s">
        <v>20</v>
      </c>
      <c r="M1344" s="3"/>
    </row>
    <row r="1345" spans="1:13" x14ac:dyDescent="0.3">
      <c r="A1345" s="2">
        <v>1344</v>
      </c>
      <c r="B1345" s="2" t="s">
        <v>4167</v>
      </c>
      <c r="C1345" s="2" t="s">
        <v>4168</v>
      </c>
      <c r="D1345" s="2" t="s">
        <v>28</v>
      </c>
      <c r="E1345" s="2" t="s">
        <v>29</v>
      </c>
      <c r="F1345" s="2">
        <v>30</v>
      </c>
      <c r="G1345" s="2" t="s">
        <v>4169</v>
      </c>
      <c r="H1345" s="2" t="s">
        <v>3053</v>
      </c>
      <c r="I1345" s="2" t="s">
        <v>32</v>
      </c>
      <c r="J1345" s="3">
        <v>44617</v>
      </c>
      <c r="K1345" s="2">
        <v>72</v>
      </c>
      <c r="L1345" s="2" t="s">
        <v>64</v>
      </c>
      <c r="M1345" s="3"/>
    </row>
    <row r="1346" spans="1:13" x14ac:dyDescent="0.3">
      <c r="A1346" s="2">
        <v>1345</v>
      </c>
      <c r="B1346" s="2" t="s">
        <v>4170</v>
      </c>
      <c r="C1346" s="2" t="s">
        <v>286</v>
      </c>
      <c r="D1346" s="2" t="s">
        <v>28</v>
      </c>
      <c r="E1346" s="2" t="s">
        <v>29</v>
      </c>
      <c r="F1346" s="2">
        <v>90</v>
      </c>
      <c r="G1346" s="2" t="s">
        <v>4171</v>
      </c>
      <c r="H1346" s="2" t="s">
        <v>1430</v>
      </c>
      <c r="I1346" s="2" t="s">
        <v>32</v>
      </c>
      <c r="J1346" s="3">
        <v>44426</v>
      </c>
      <c r="K1346" s="2">
        <v>22</v>
      </c>
      <c r="L1346" s="2" t="s">
        <v>159</v>
      </c>
      <c r="M1346" s="3"/>
    </row>
    <row r="1347" spans="1:13" x14ac:dyDescent="0.3">
      <c r="A1347" s="2">
        <v>1346</v>
      </c>
      <c r="B1347" s="2" t="s">
        <v>4172</v>
      </c>
      <c r="C1347" s="2" t="s">
        <v>4173</v>
      </c>
      <c r="D1347" s="2" t="s">
        <v>51</v>
      </c>
      <c r="E1347" s="2" t="s">
        <v>16</v>
      </c>
      <c r="F1347" s="2">
        <v>60</v>
      </c>
      <c r="G1347" s="2" t="s">
        <v>4174</v>
      </c>
      <c r="H1347" s="2" t="s">
        <v>4175</v>
      </c>
      <c r="I1347" s="2" t="s">
        <v>25</v>
      </c>
      <c r="J1347" s="3">
        <v>44778</v>
      </c>
      <c r="K1347" s="2">
        <v>82</v>
      </c>
      <c r="L1347" s="2" t="s">
        <v>39</v>
      </c>
      <c r="M1347" s="3"/>
    </row>
    <row r="1348" spans="1:13" x14ac:dyDescent="0.3">
      <c r="A1348" s="2">
        <v>1347</v>
      </c>
      <c r="B1348" s="2" t="s">
        <v>4176</v>
      </c>
      <c r="C1348" s="2" t="s">
        <v>2874</v>
      </c>
      <c r="D1348" s="2" t="s">
        <v>51</v>
      </c>
      <c r="E1348" s="2" t="s">
        <v>16</v>
      </c>
      <c r="F1348" s="2">
        <v>30</v>
      </c>
      <c r="G1348" s="2" t="s">
        <v>4177</v>
      </c>
      <c r="H1348" s="2" t="s">
        <v>864</v>
      </c>
      <c r="I1348" s="2" t="s">
        <v>19</v>
      </c>
      <c r="J1348" s="3">
        <v>44510</v>
      </c>
      <c r="K1348" s="2">
        <v>7</v>
      </c>
      <c r="L1348" s="2" t="s">
        <v>39</v>
      </c>
      <c r="M1348" s="3"/>
    </row>
    <row r="1349" spans="1:13" x14ac:dyDescent="0.3">
      <c r="A1349" s="2">
        <v>1348</v>
      </c>
      <c r="B1349" s="2" t="s">
        <v>4178</v>
      </c>
      <c r="C1349" s="2" t="s">
        <v>3345</v>
      </c>
      <c r="D1349" s="2" t="s">
        <v>15</v>
      </c>
      <c r="E1349" s="2" t="s">
        <v>16</v>
      </c>
      <c r="F1349" s="2">
        <v>60</v>
      </c>
      <c r="G1349" s="2" t="s">
        <v>4179</v>
      </c>
      <c r="H1349" s="2" t="s">
        <v>4180</v>
      </c>
      <c r="I1349" s="2" t="s">
        <v>187</v>
      </c>
      <c r="J1349" s="3">
        <v>43950</v>
      </c>
      <c r="K1349" s="2">
        <v>74</v>
      </c>
      <c r="L1349" s="2" t="s">
        <v>33</v>
      </c>
      <c r="M1349" s="3"/>
    </row>
    <row r="1350" spans="1:13" x14ac:dyDescent="0.3">
      <c r="A1350" s="2">
        <v>1349</v>
      </c>
      <c r="B1350" s="2" t="s">
        <v>2134</v>
      </c>
      <c r="C1350" s="2" t="s">
        <v>4181</v>
      </c>
      <c r="D1350" s="2" t="s">
        <v>15</v>
      </c>
      <c r="E1350" s="2" t="s">
        <v>16</v>
      </c>
      <c r="F1350" s="2">
        <v>30</v>
      </c>
      <c r="G1350" s="2" t="s">
        <v>4179</v>
      </c>
      <c r="H1350" s="2" t="s">
        <v>4182</v>
      </c>
      <c r="I1350" s="2" t="s">
        <v>32</v>
      </c>
      <c r="J1350" s="3">
        <v>44060</v>
      </c>
      <c r="K1350" s="2">
        <v>73</v>
      </c>
      <c r="L1350" s="2" t="s">
        <v>80</v>
      </c>
      <c r="M1350" s="3"/>
    </row>
    <row r="1351" spans="1:13" x14ac:dyDescent="0.3">
      <c r="A1351" s="2">
        <v>1350</v>
      </c>
      <c r="B1351" s="2" t="s">
        <v>4183</v>
      </c>
      <c r="C1351" s="2" t="s">
        <v>4059</v>
      </c>
      <c r="D1351" s="2" t="s">
        <v>15</v>
      </c>
      <c r="E1351" s="2" t="s">
        <v>16</v>
      </c>
      <c r="F1351" s="2">
        <v>90</v>
      </c>
      <c r="G1351" s="2" t="s">
        <v>4184</v>
      </c>
      <c r="H1351" s="2" t="s">
        <v>1103</v>
      </c>
      <c r="I1351" s="2" t="s">
        <v>25</v>
      </c>
      <c r="J1351" s="3">
        <v>43981</v>
      </c>
      <c r="K1351" s="2">
        <v>42</v>
      </c>
      <c r="L1351" s="2" t="s">
        <v>64</v>
      </c>
      <c r="M1351" s="3"/>
    </row>
    <row r="1352" spans="1:13" x14ac:dyDescent="0.3">
      <c r="A1352" s="2">
        <v>1351</v>
      </c>
      <c r="B1352" s="2" t="s">
        <v>4185</v>
      </c>
      <c r="C1352" s="2" t="s">
        <v>4186</v>
      </c>
      <c r="D1352" s="2" t="s">
        <v>28</v>
      </c>
      <c r="E1352" s="2" t="s">
        <v>29</v>
      </c>
      <c r="F1352" s="2">
        <v>90</v>
      </c>
      <c r="G1352" s="2" t="s">
        <v>4187</v>
      </c>
      <c r="H1352" s="2" t="s">
        <v>2130</v>
      </c>
      <c r="I1352" s="2" t="s">
        <v>32</v>
      </c>
      <c r="J1352" s="3">
        <v>44192</v>
      </c>
      <c r="K1352" s="2">
        <v>22</v>
      </c>
      <c r="L1352" s="2" t="s">
        <v>33</v>
      </c>
      <c r="M1352" s="3"/>
    </row>
    <row r="1353" spans="1:13" x14ac:dyDescent="0.3">
      <c r="A1353" s="2">
        <v>1352</v>
      </c>
      <c r="B1353" s="2" t="s">
        <v>4188</v>
      </c>
      <c r="C1353" s="2" t="s">
        <v>427</v>
      </c>
      <c r="D1353" s="2" t="s">
        <v>51</v>
      </c>
      <c r="E1353" s="2" t="s">
        <v>16</v>
      </c>
      <c r="F1353" s="2">
        <v>60</v>
      </c>
      <c r="G1353" s="2" t="s">
        <v>4189</v>
      </c>
      <c r="H1353" s="2" t="s">
        <v>1505</v>
      </c>
      <c r="I1353" s="2" t="s">
        <v>32</v>
      </c>
      <c r="J1353" s="3">
        <v>44511</v>
      </c>
      <c r="K1353" s="2">
        <v>49</v>
      </c>
      <c r="L1353" s="2" t="s">
        <v>101</v>
      </c>
      <c r="M1353" s="3"/>
    </row>
    <row r="1354" spans="1:13" x14ac:dyDescent="0.3">
      <c r="A1354" s="2">
        <v>1353</v>
      </c>
      <c r="B1354" s="2" t="s">
        <v>4190</v>
      </c>
      <c r="C1354" s="2" t="s">
        <v>4191</v>
      </c>
      <c r="D1354" s="2" t="s">
        <v>15</v>
      </c>
      <c r="E1354" s="2" t="s">
        <v>16</v>
      </c>
      <c r="F1354" s="2">
        <v>30</v>
      </c>
      <c r="G1354" s="2" t="s">
        <v>4192</v>
      </c>
      <c r="H1354" s="2" t="s">
        <v>420</v>
      </c>
      <c r="I1354" s="2" t="s">
        <v>32</v>
      </c>
      <c r="J1354" s="3">
        <v>44396</v>
      </c>
      <c r="K1354" s="2">
        <v>46</v>
      </c>
      <c r="L1354" s="2" t="s">
        <v>54</v>
      </c>
      <c r="M1354" s="3"/>
    </row>
    <row r="1355" spans="1:13" x14ac:dyDescent="0.3">
      <c r="A1355" s="2">
        <v>1354</v>
      </c>
      <c r="B1355" s="2" t="s">
        <v>4193</v>
      </c>
      <c r="C1355" s="2" t="s">
        <v>4194</v>
      </c>
      <c r="D1355" s="2" t="s">
        <v>28</v>
      </c>
      <c r="E1355" s="2" t="s">
        <v>29</v>
      </c>
      <c r="F1355" s="2">
        <v>90</v>
      </c>
      <c r="G1355" s="2" t="s">
        <v>4195</v>
      </c>
      <c r="H1355" s="2" t="s">
        <v>4196</v>
      </c>
      <c r="I1355" s="2" t="s">
        <v>240</v>
      </c>
      <c r="J1355" s="3">
        <v>44159</v>
      </c>
      <c r="K1355" s="2">
        <v>34</v>
      </c>
      <c r="L1355" s="2" t="s">
        <v>159</v>
      </c>
      <c r="M1355" s="3"/>
    </row>
    <row r="1356" spans="1:13" x14ac:dyDescent="0.3">
      <c r="A1356" s="2">
        <v>1355</v>
      </c>
      <c r="B1356" s="2" t="s">
        <v>4197</v>
      </c>
      <c r="C1356" s="2" t="s">
        <v>3146</v>
      </c>
      <c r="D1356" s="2" t="s">
        <v>15</v>
      </c>
      <c r="E1356" s="2" t="s">
        <v>16</v>
      </c>
      <c r="F1356" s="2">
        <v>90</v>
      </c>
      <c r="G1356" s="2" t="s">
        <v>4198</v>
      </c>
      <c r="H1356" s="2" t="s">
        <v>2877</v>
      </c>
      <c r="I1356" s="2" t="s">
        <v>2878</v>
      </c>
      <c r="J1356" s="3">
        <v>44129</v>
      </c>
      <c r="K1356" s="2">
        <v>8</v>
      </c>
      <c r="L1356" s="2" t="s">
        <v>159</v>
      </c>
      <c r="M1356" s="3"/>
    </row>
    <row r="1357" spans="1:13" x14ac:dyDescent="0.3">
      <c r="A1357" s="2">
        <v>1356</v>
      </c>
      <c r="B1357" s="2" t="s">
        <v>2147</v>
      </c>
      <c r="C1357" s="2" t="s">
        <v>1023</v>
      </c>
      <c r="D1357" s="2" t="s">
        <v>117</v>
      </c>
      <c r="E1357" s="2" t="s">
        <v>29</v>
      </c>
      <c r="F1357" s="2">
        <v>30</v>
      </c>
      <c r="G1357" s="2" t="s">
        <v>4199</v>
      </c>
      <c r="H1357" s="2" t="s">
        <v>3421</v>
      </c>
      <c r="I1357" s="2" t="s">
        <v>25</v>
      </c>
      <c r="J1357" s="3">
        <v>44006</v>
      </c>
      <c r="K1357" s="2">
        <v>3</v>
      </c>
      <c r="L1357" s="2" t="s">
        <v>70</v>
      </c>
      <c r="M1357" s="3"/>
    </row>
    <row r="1358" spans="1:13" x14ac:dyDescent="0.3">
      <c r="A1358" s="2">
        <v>1357</v>
      </c>
      <c r="B1358" s="2" t="s">
        <v>4200</v>
      </c>
      <c r="C1358" s="2" t="s">
        <v>2095</v>
      </c>
      <c r="D1358" s="2" t="s">
        <v>15</v>
      </c>
      <c r="E1358" s="2" t="s">
        <v>16</v>
      </c>
      <c r="F1358" s="2">
        <v>30</v>
      </c>
      <c r="G1358" s="2" t="s">
        <v>4201</v>
      </c>
      <c r="H1358" s="2" t="s">
        <v>2727</v>
      </c>
      <c r="I1358" s="2" t="s">
        <v>2330</v>
      </c>
      <c r="J1358" s="3">
        <v>43964</v>
      </c>
      <c r="K1358" s="2">
        <v>55</v>
      </c>
      <c r="L1358" s="2" t="s">
        <v>101</v>
      </c>
      <c r="M1358" s="3"/>
    </row>
    <row r="1359" spans="1:13" x14ac:dyDescent="0.3">
      <c r="A1359" s="2">
        <v>1358</v>
      </c>
      <c r="B1359" s="2" t="s">
        <v>4185</v>
      </c>
      <c r="D1359" s="2" t="s">
        <v>28</v>
      </c>
      <c r="E1359" s="2" t="s">
        <v>29</v>
      </c>
      <c r="F1359" s="2">
        <v>30</v>
      </c>
      <c r="G1359" s="2" t="s">
        <v>4202</v>
      </c>
      <c r="H1359" s="2" t="s">
        <v>4203</v>
      </c>
      <c r="I1359" s="2" t="s">
        <v>208</v>
      </c>
      <c r="J1359" s="3">
        <v>44228</v>
      </c>
      <c r="K1359" s="2">
        <v>24</v>
      </c>
      <c r="L1359" s="2" t="s">
        <v>64</v>
      </c>
      <c r="M1359" s="3"/>
    </row>
    <row r="1360" spans="1:13" x14ac:dyDescent="0.3">
      <c r="A1360" s="2">
        <v>1359</v>
      </c>
      <c r="B1360" s="2" t="s">
        <v>130</v>
      </c>
      <c r="C1360" s="2" t="s">
        <v>3362</v>
      </c>
      <c r="D1360" s="2" t="s">
        <v>28</v>
      </c>
      <c r="E1360" s="2" t="s">
        <v>29</v>
      </c>
      <c r="F1360" s="2">
        <v>30</v>
      </c>
      <c r="G1360" s="2" t="s">
        <v>4204</v>
      </c>
      <c r="H1360" s="2" t="s">
        <v>2220</v>
      </c>
      <c r="I1360" s="2" t="s">
        <v>1889</v>
      </c>
      <c r="J1360" s="3">
        <v>44694</v>
      </c>
      <c r="K1360" s="2">
        <v>55</v>
      </c>
      <c r="L1360" s="2" t="s">
        <v>45</v>
      </c>
      <c r="M1360" s="3"/>
    </row>
    <row r="1361" spans="1:13" x14ac:dyDescent="0.3">
      <c r="A1361" s="2">
        <v>1360</v>
      </c>
      <c r="B1361" s="2" t="s">
        <v>1096</v>
      </c>
      <c r="C1361" s="2" t="s">
        <v>4205</v>
      </c>
      <c r="D1361" s="2" t="s">
        <v>28</v>
      </c>
      <c r="E1361" s="2" t="s">
        <v>29</v>
      </c>
      <c r="F1361" s="2">
        <v>60</v>
      </c>
      <c r="G1361" s="2" t="s">
        <v>4206</v>
      </c>
      <c r="H1361" s="2" t="s">
        <v>2338</v>
      </c>
      <c r="I1361" s="2" t="s">
        <v>240</v>
      </c>
      <c r="J1361" s="3">
        <v>44704</v>
      </c>
      <c r="K1361" s="2">
        <v>70</v>
      </c>
      <c r="L1361" s="2" t="s">
        <v>80</v>
      </c>
      <c r="M1361" s="3"/>
    </row>
    <row r="1362" spans="1:13" x14ac:dyDescent="0.3">
      <c r="A1362" s="2">
        <v>1361</v>
      </c>
      <c r="B1362" s="2" t="s">
        <v>2094</v>
      </c>
      <c r="C1362" s="2" t="s">
        <v>170</v>
      </c>
      <c r="D1362" s="2" t="s">
        <v>51</v>
      </c>
      <c r="E1362" s="2" t="s">
        <v>16</v>
      </c>
      <c r="F1362" s="2">
        <v>90</v>
      </c>
      <c r="G1362" s="2" t="s">
        <v>4207</v>
      </c>
      <c r="H1362" s="2" t="s">
        <v>4208</v>
      </c>
      <c r="I1362" s="2" t="s">
        <v>44</v>
      </c>
      <c r="J1362" s="3">
        <v>44169</v>
      </c>
      <c r="K1362" s="2">
        <v>79</v>
      </c>
      <c r="L1362" s="2" t="s">
        <v>33</v>
      </c>
      <c r="M1362" s="3"/>
    </row>
    <row r="1363" spans="1:13" x14ac:dyDescent="0.3">
      <c r="A1363" s="2">
        <v>1362</v>
      </c>
      <c r="B1363" s="2" t="s">
        <v>3711</v>
      </c>
      <c r="C1363" s="2" t="s">
        <v>2135</v>
      </c>
      <c r="D1363" s="2" t="s">
        <v>28</v>
      </c>
      <c r="E1363" s="2" t="s">
        <v>29</v>
      </c>
      <c r="F1363" s="2">
        <v>30</v>
      </c>
      <c r="G1363" s="2" t="s">
        <v>4209</v>
      </c>
      <c r="H1363" s="2" t="s">
        <v>3059</v>
      </c>
      <c r="I1363" s="2" t="s">
        <v>187</v>
      </c>
      <c r="J1363" s="3">
        <v>44876</v>
      </c>
      <c r="K1363" s="2">
        <v>50</v>
      </c>
      <c r="L1363" s="2" t="s">
        <v>20</v>
      </c>
      <c r="M1363" s="3"/>
    </row>
    <row r="1364" spans="1:13" x14ac:dyDescent="0.3">
      <c r="A1364" s="2">
        <v>1363</v>
      </c>
      <c r="B1364" s="2" t="s">
        <v>4210</v>
      </c>
      <c r="C1364" s="2" t="s">
        <v>2635</v>
      </c>
      <c r="D1364" s="2" t="s">
        <v>51</v>
      </c>
      <c r="E1364" s="2" t="s">
        <v>16</v>
      </c>
      <c r="F1364" s="2">
        <v>30</v>
      </c>
      <c r="G1364" s="2" t="s">
        <v>4211</v>
      </c>
      <c r="H1364" s="2" t="s">
        <v>3212</v>
      </c>
      <c r="I1364" s="2" t="s">
        <v>25</v>
      </c>
      <c r="J1364" s="3">
        <v>44302</v>
      </c>
      <c r="K1364" s="2">
        <v>8</v>
      </c>
      <c r="L1364" s="2" t="s">
        <v>45</v>
      </c>
      <c r="M1364" s="3"/>
    </row>
    <row r="1365" spans="1:13" x14ac:dyDescent="0.3">
      <c r="A1365" s="2">
        <v>1364</v>
      </c>
      <c r="B1365" s="2" t="s">
        <v>4212</v>
      </c>
      <c r="C1365" s="2" t="s">
        <v>1963</v>
      </c>
      <c r="D1365" s="2" t="s">
        <v>92</v>
      </c>
      <c r="E1365" s="2" t="s">
        <v>16</v>
      </c>
      <c r="F1365" s="2">
        <v>90</v>
      </c>
      <c r="G1365" s="2" t="s">
        <v>4213</v>
      </c>
      <c r="H1365" s="2" t="s">
        <v>4098</v>
      </c>
      <c r="I1365" s="2" t="s">
        <v>1889</v>
      </c>
      <c r="J1365" s="3">
        <v>44684</v>
      </c>
      <c r="K1365" s="2">
        <v>21</v>
      </c>
      <c r="L1365" s="2" t="s">
        <v>159</v>
      </c>
      <c r="M1365" s="3"/>
    </row>
    <row r="1366" spans="1:13" x14ac:dyDescent="0.3">
      <c r="A1366" s="2">
        <v>1365</v>
      </c>
      <c r="B1366" s="2" t="s">
        <v>1352</v>
      </c>
      <c r="C1366" s="2" t="s">
        <v>3057</v>
      </c>
      <c r="D1366" s="2" t="s">
        <v>28</v>
      </c>
      <c r="E1366" s="2" t="s">
        <v>29</v>
      </c>
      <c r="F1366" s="2">
        <v>90</v>
      </c>
      <c r="G1366" s="2" t="s">
        <v>4213</v>
      </c>
      <c r="H1366" s="2" t="s">
        <v>4214</v>
      </c>
      <c r="I1366" s="2" t="s">
        <v>187</v>
      </c>
      <c r="J1366" s="3">
        <v>44294</v>
      </c>
      <c r="K1366" s="2">
        <v>76</v>
      </c>
      <c r="L1366" s="2" t="s">
        <v>33</v>
      </c>
      <c r="M1366" s="3"/>
    </row>
    <row r="1367" spans="1:13" x14ac:dyDescent="0.3">
      <c r="A1367" s="2">
        <v>1366</v>
      </c>
      <c r="B1367" s="2" t="s">
        <v>4215</v>
      </c>
      <c r="C1367" s="2" t="s">
        <v>4216</v>
      </c>
      <c r="D1367" s="2" t="s">
        <v>51</v>
      </c>
      <c r="E1367" s="2" t="s">
        <v>16</v>
      </c>
      <c r="F1367" s="2">
        <v>30</v>
      </c>
      <c r="G1367" s="2" t="s">
        <v>4217</v>
      </c>
      <c r="H1367" s="2" t="s">
        <v>326</v>
      </c>
      <c r="I1367" s="2" t="s">
        <v>25</v>
      </c>
      <c r="J1367" s="3">
        <v>44279</v>
      </c>
      <c r="K1367" s="2">
        <v>12</v>
      </c>
      <c r="L1367" s="2" t="s">
        <v>101</v>
      </c>
      <c r="M1367" s="3"/>
    </row>
    <row r="1368" spans="1:13" x14ac:dyDescent="0.3">
      <c r="A1368" s="2">
        <v>1367</v>
      </c>
      <c r="B1368" s="2" t="s">
        <v>4218</v>
      </c>
      <c r="C1368" s="2" t="s">
        <v>825</v>
      </c>
      <c r="D1368" s="2" t="s">
        <v>28</v>
      </c>
      <c r="E1368" s="2" t="s">
        <v>3565</v>
      </c>
      <c r="F1368" s="2">
        <v>90</v>
      </c>
      <c r="G1368" s="2" t="s">
        <v>4219</v>
      </c>
      <c r="H1368" s="2" t="s">
        <v>4220</v>
      </c>
      <c r="I1368" s="2" t="s">
        <v>2543</v>
      </c>
      <c r="J1368" s="3">
        <v>44496</v>
      </c>
      <c r="K1368" s="2">
        <v>94</v>
      </c>
      <c r="L1368" s="2" t="s">
        <v>39</v>
      </c>
      <c r="M1368" s="3"/>
    </row>
    <row r="1369" spans="1:13" x14ac:dyDescent="0.3">
      <c r="A1369" s="2">
        <v>1368</v>
      </c>
      <c r="B1369" s="2" t="s">
        <v>4221</v>
      </c>
      <c r="C1369" s="2" t="s">
        <v>4222</v>
      </c>
      <c r="D1369" s="2" t="s">
        <v>41</v>
      </c>
      <c r="E1369" s="2" t="s">
        <v>16</v>
      </c>
      <c r="F1369" s="2">
        <v>30</v>
      </c>
      <c r="G1369" s="2" t="s">
        <v>4223</v>
      </c>
      <c r="H1369" s="2" t="s">
        <v>2494</v>
      </c>
      <c r="I1369" s="2" t="s">
        <v>25</v>
      </c>
      <c r="J1369" s="3">
        <v>44304</v>
      </c>
      <c r="K1369" s="2">
        <v>68</v>
      </c>
      <c r="L1369" s="2" t="s">
        <v>45</v>
      </c>
      <c r="M1369" s="3"/>
    </row>
    <row r="1370" spans="1:13" x14ac:dyDescent="0.3">
      <c r="A1370" s="2">
        <v>1369</v>
      </c>
      <c r="B1370" s="2" t="s">
        <v>4221</v>
      </c>
      <c r="C1370" s="2" t="s">
        <v>4222</v>
      </c>
      <c r="D1370" s="2" t="s">
        <v>41</v>
      </c>
      <c r="E1370" s="2" t="s">
        <v>16</v>
      </c>
      <c r="F1370" s="2">
        <v>30</v>
      </c>
      <c r="G1370" s="2" t="s">
        <v>4223</v>
      </c>
      <c r="H1370" s="2" t="s">
        <v>2494</v>
      </c>
      <c r="I1370" s="2" t="s">
        <v>25</v>
      </c>
      <c r="J1370" s="3">
        <v>44304</v>
      </c>
      <c r="K1370" s="2">
        <v>68</v>
      </c>
      <c r="L1370" s="2" t="s">
        <v>45</v>
      </c>
      <c r="M1370" s="3"/>
    </row>
    <row r="1371" spans="1:13" x14ac:dyDescent="0.3">
      <c r="A1371" s="2">
        <v>1370</v>
      </c>
      <c r="B1371" s="2" t="s">
        <v>4224</v>
      </c>
      <c r="C1371" s="2" t="s">
        <v>2858</v>
      </c>
      <c r="D1371" s="2" t="s">
        <v>28</v>
      </c>
      <c r="E1371" s="2" t="s">
        <v>29</v>
      </c>
      <c r="F1371" s="2">
        <v>30</v>
      </c>
      <c r="G1371" s="2" t="s">
        <v>4225</v>
      </c>
      <c r="H1371" s="2" t="s">
        <v>2361</v>
      </c>
      <c r="I1371" s="2" t="s">
        <v>110</v>
      </c>
      <c r="J1371" s="3">
        <v>44809</v>
      </c>
      <c r="K1371" s="2">
        <v>48</v>
      </c>
      <c r="L1371" s="2" t="s">
        <v>159</v>
      </c>
      <c r="M1371" s="3"/>
    </row>
    <row r="1372" spans="1:13" x14ac:dyDescent="0.3">
      <c r="A1372" s="2">
        <v>1371</v>
      </c>
      <c r="B1372" s="2" t="s">
        <v>241</v>
      </c>
      <c r="C1372" s="2" t="s">
        <v>4226</v>
      </c>
      <c r="D1372" s="2" t="s">
        <v>51</v>
      </c>
      <c r="E1372" s="2" t="s">
        <v>16</v>
      </c>
      <c r="F1372" s="2">
        <v>30</v>
      </c>
      <c r="G1372" s="2" t="s">
        <v>4227</v>
      </c>
      <c r="H1372" s="2" t="s">
        <v>2441</v>
      </c>
      <c r="I1372" s="2" t="s">
        <v>1199</v>
      </c>
      <c r="J1372" s="3">
        <v>43957</v>
      </c>
      <c r="K1372" s="2">
        <v>18</v>
      </c>
      <c r="L1372" s="2" t="s">
        <v>159</v>
      </c>
      <c r="M1372" s="3"/>
    </row>
    <row r="1373" spans="1:13" x14ac:dyDescent="0.3">
      <c r="A1373" s="2">
        <v>1372</v>
      </c>
      <c r="B1373" s="2" t="s">
        <v>3180</v>
      </c>
      <c r="C1373" s="2" t="s">
        <v>3845</v>
      </c>
      <c r="D1373" s="2" t="s">
        <v>28</v>
      </c>
      <c r="E1373" s="2" t="s">
        <v>29</v>
      </c>
      <c r="F1373" s="2">
        <v>30</v>
      </c>
      <c r="G1373" s="2" t="s">
        <v>4228</v>
      </c>
      <c r="H1373" s="2" t="s">
        <v>1206</v>
      </c>
      <c r="I1373" s="2" t="s">
        <v>294</v>
      </c>
      <c r="J1373" s="3">
        <v>44214</v>
      </c>
      <c r="K1373" s="2">
        <v>56</v>
      </c>
      <c r="L1373" s="2" t="s">
        <v>20</v>
      </c>
      <c r="M1373" s="3"/>
    </row>
    <row r="1374" spans="1:13" x14ac:dyDescent="0.3">
      <c r="A1374" s="2">
        <v>1373</v>
      </c>
      <c r="B1374" s="2" t="s">
        <v>4229</v>
      </c>
      <c r="C1374" s="2" t="s">
        <v>3297</v>
      </c>
      <c r="D1374" s="2" t="s">
        <v>51</v>
      </c>
      <c r="E1374" s="2" t="s">
        <v>16</v>
      </c>
      <c r="F1374" s="2">
        <v>60</v>
      </c>
      <c r="G1374" s="2" t="s">
        <v>4230</v>
      </c>
      <c r="H1374" s="2" t="s">
        <v>2890</v>
      </c>
      <c r="I1374" s="2" t="s">
        <v>32</v>
      </c>
      <c r="J1374" s="3">
        <v>44341</v>
      </c>
      <c r="K1374" s="2">
        <v>19</v>
      </c>
      <c r="L1374" s="2" t="s">
        <v>39</v>
      </c>
      <c r="M1374" s="3"/>
    </row>
    <row r="1375" spans="1:13" x14ac:dyDescent="0.3">
      <c r="A1375" s="2">
        <v>1374</v>
      </c>
      <c r="B1375" s="2" t="s">
        <v>4231</v>
      </c>
      <c r="C1375" s="2" t="s">
        <v>2669</v>
      </c>
      <c r="D1375" s="2" t="s">
        <v>51</v>
      </c>
      <c r="E1375" s="2" t="s">
        <v>16</v>
      </c>
      <c r="F1375" s="2">
        <v>60</v>
      </c>
      <c r="G1375" s="2" t="s">
        <v>4232</v>
      </c>
      <c r="H1375" s="2" t="s">
        <v>3666</v>
      </c>
      <c r="I1375" s="2" t="s">
        <v>1483</v>
      </c>
      <c r="J1375" s="3">
        <v>44526</v>
      </c>
      <c r="K1375" s="2">
        <v>65</v>
      </c>
      <c r="L1375" s="2" t="s">
        <v>39</v>
      </c>
      <c r="M1375" s="3"/>
    </row>
    <row r="1376" spans="1:13" x14ac:dyDescent="0.3">
      <c r="A1376" s="2">
        <v>1375</v>
      </c>
      <c r="B1376" s="2" t="s">
        <v>4233</v>
      </c>
      <c r="C1376" s="2" t="s">
        <v>4234</v>
      </c>
      <c r="D1376" s="2" t="s">
        <v>28</v>
      </c>
      <c r="E1376" s="2" t="s">
        <v>29</v>
      </c>
      <c r="F1376" s="2">
        <v>30</v>
      </c>
      <c r="G1376" s="2" t="s">
        <v>4235</v>
      </c>
      <c r="H1376" s="2" t="s">
        <v>2127</v>
      </c>
      <c r="I1376" s="2" t="s">
        <v>32</v>
      </c>
      <c r="J1376" s="3">
        <v>44558</v>
      </c>
      <c r="K1376" s="2">
        <v>6</v>
      </c>
      <c r="L1376" s="2" t="s">
        <v>101</v>
      </c>
      <c r="M1376" s="3"/>
    </row>
    <row r="1377" spans="1:13" x14ac:dyDescent="0.3">
      <c r="A1377" s="2">
        <v>1376</v>
      </c>
      <c r="B1377" s="2" t="s">
        <v>4236</v>
      </c>
      <c r="C1377" s="2" t="s">
        <v>4237</v>
      </c>
      <c r="D1377" s="2" t="s">
        <v>15</v>
      </c>
      <c r="E1377" s="2" t="s">
        <v>16</v>
      </c>
      <c r="F1377" s="2">
        <v>30</v>
      </c>
      <c r="G1377" s="2" t="s">
        <v>4238</v>
      </c>
      <c r="H1377" s="2" t="s">
        <v>4196</v>
      </c>
      <c r="I1377" s="2" t="s">
        <v>240</v>
      </c>
      <c r="J1377" s="3">
        <v>44123</v>
      </c>
      <c r="K1377" s="2">
        <v>51</v>
      </c>
      <c r="L1377" s="2" t="s">
        <v>64</v>
      </c>
      <c r="M1377" s="3"/>
    </row>
    <row r="1378" spans="1:13" x14ac:dyDescent="0.3">
      <c r="A1378" s="2">
        <v>1377</v>
      </c>
      <c r="B1378" s="2" t="s">
        <v>4236</v>
      </c>
      <c r="C1378" s="2" t="s">
        <v>4237</v>
      </c>
      <c r="D1378" s="2" t="s">
        <v>15</v>
      </c>
      <c r="E1378" s="2" t="s">
        <v>16</v>
      </c>
      <c r="F1378" s="2">
        <v>30</v>
      </c>
      <c r="G1378" s="2" t="s">
        <v>4238</v>
      </c>
      <c r="H1378" s="2" t="s">
        <v>4196</v>
      </c>
      <c r="I1378" s="2" t="s">
        <v>240</v>
      </c>
      <c r="J1378" s="3">
        <v>44123</v>
      </c>
      <c r="K1378" s="2">
        <v>51</v>
      </c>
      <c r="L1378" s="2" t="s">
        <v>64</v>
      </c>
      <c r="M1378" s="3"/>
    </row>
    <row r="1379" spans="1:13" x14ac:dyDescent="0.3">
      <c r="A1379" s="2">
        <v>1378</v>
      </c>
      <c r="B1379" s="2" t="s">
        <v>4239</v>
      </c>
      <c r="C1379" s="2" t="s">
        <v>2389</v>
      </c>
      <c r="D1379" s="2" t="s">
        <v>28</v>
      </c>
      <c r="E1379" s="2" t="s">
        <v>29</v>
      </c>
      <c r="F1379" s="2">
        <v>30</v>
      </c>
      <c r="G1379" s="2" t="s">
        <v>4240</v>
      </c>
      <c r="H1379" s="2" t="s">
        <v>637</v>
      </c>
      <c r="I1379" s="2" t="s">
        <v>32</v>
      </c>
      <c r="J1379" s="3">
        <v>44275</v>
      </c>
      <c r="K1379" s="2">
        <v>51</v>
      </c>
      <c r="L1379" s="2" t="s">
        <v>64</v>
      </c>
      <c r="M1379" s="3"/>
    </row>
    <row r="1380" spans="1:13" x14ac:dyDescent="0.3">
      <c r="A1380" s="2">
        <v>1379</v>
      </c>
      <c r="B1380" s="2" t="s">
        <v>4241</v>
      </c>
      <c r="C1380" s="2" t="s">
        <v>4242</v>
      </c>
      <c r="D1380" s="2" t="s">
        <v>51</v>
      </c>
      <c r="E1380" s="2" t="s">
        <v>16</v>
      </c>
      <c r="F1380" s="2">
        <v>90</v>
      </c>
      <c r="G1380" s="2" t="s">
        <v>4243</v>
      </c>
      <c r="H1380" s="2" t="s">
        <v>1336</v>
      </c>
      <c r="I1380" s="2" t="s">
        <v>129</v>
      </c>
      <c r="J1380" s="3">
        <v>43975</v>
      </c>
      <c r="K1380" s="2">
        <v>18</v>
      </c>
      <c r="L1380" s="2" t="s">
        <v>20</v>
      </c>
      <c r="M1380" s="3"/>
    </row>
    <row r="1381" spans="1:13" x14ac:dyDescent="0.3">
      <c r="A1381" s="2">
        <v>1380</v>
      </c>
      <c r="B1381" s="2" t="s">
        <v>4244</v>
      </c>
      <c r="C1381" s="2" t="s">
        <v>3686</v>
      </c>
      <c r="D1381" s="2" t="s">
        <v>15</v>
      </c>
      <c r="E1381" s="2" t="s">
        <v>16</v>
      </c>
      <c r="F1381" s="2">
        <v>90</v>
      </c>
      <c r="G1381" s="2" t="s">
        <v>4245</v>
      </c>
      <c r="H1381" s="2" t="s">
        <v>1412</v>
      </c>
      <c r="I1381" s="2" t="s">
        <v>1413</v>
      </c>
      <c r="J1381" s="3">
        <v>44574</v>
      </c>
      <c r="K1381" s="2">
        <v>7</v>
      </c>
      <c r="L1381" s="2" t="s">
        <v>159</v>
      </c>
      <c r="M1381" s="3"/>
    </row>
    <row r="1382" spans="1:13" x14ac:dyDescent="0.3">
      <c r="A1382" s="2">
        <v>1381</v>
      </c>
      <c r="B1382" s="2" t="s">
        <v>4246</v>
      </c>
      <c r="C1382" s="2" t="s">
        <v>460</v>
      </c>
      <c r="D1382" s="2" t="s">
        <v>51</v>
      </c>
      <c r="E1382" s="2" t="s">
        <v>16</v>
      </c>
      <c r="F1382" s="2">
        <v>30</v>
      </c>
      <c r="G1382" s="2" t="s">
        <v>4245</v>
      </c>
      <c r="H1382" s="2" t="s">
        <v>793</v>
      </c>
      <c r="I1382" s="2" t="s">
        <v>178</v>
      </c>
      <c r="J1382" s="3">
        <v>44325</v>
      </c>
      <c r="K1382" s="2">
        <v>15</v>
      </c>
      <c r="L1382" s="2" t="s">
        <v>54</v>
      </c>
      <c r="M1382" s="3"/>
    </row>
    <row r="1383" spans="1:13" x14ac:dyDescent="0.3">
      <c r="A1383" s="2">
        <v>1382</v>
      </c>
      <c r="B1383" s="2" t="s">
        <v>4247</v>
      </c>
      <c r="C1383" s="2" t="s">
        <v>2653</v>
      </c>
      <c r="D1383" s="2" t="s">
        <v>51</v>
      </c>
      <c r="E1383" s="2" t="s">
        <v>16</v>
      </c>
      <c r="F1383" s="2">
        <v>30</v>
      </c>
      <c r="G1383" s="2" t="s">
        <v>4248</v>
      </c>
      <c r="H1383" s="2" t="s">
        <v>3473</v>
      </c>
      <c r="I1383" s="2" t="s">
        <v>1199</v>
      </c>
      <c r="J1383" s="3">
        <v>43988</v>
      </c>
      <c r="K1383" s="2">
        <v>46</v>
      </c>
      <c r="L1383" s="2" t="s">
        <v>39</v>
      </c>
      <c r="M1383" s="3"/>
    </row>
    <row r="1384" spans="1:13" x14ac:dyDescent="0.3">
      <c r="A1384" s="2">
        <v>1383</v>
      </c>
      <c r="B1384" s="2" t="s">
        <v>2849</v>
      </c>
      <c r="C1384" s="2" t="s">
        <v>4191</v>
      </c>
      <c r="D1384" s="2" t="s">
        <v>28</v>
      </c>
      <c r="E1384" s="2" t="s">
        <v>29</v>
      </c>
      <c r="F1384" s="2">
        <v>30</v>
      </c>
      <c r="G1384" s="2" t="s">
        <v>4249</v>
      </c>
      <c r="H1384" s="2" t="s">
        <v>1530</v>
      </c>
      <c r="I1384" s="2" t="s">
        <v>32</v>
      </c>
      <c r="J1384" s="3">
        <v>44740</v>
      </c>
      <c r="K1384" s="2">
        <v>87</v>
      </c>
      <c r="L1384" s="2" t="s">
        <v>64</v>
      </c>
      <c r="M1384" s="3"/>
    </row>
    <row r="1385" spans="1:13" x14ac:dyDescent="0.3">
      <c r="A1385" s="2">
        <v>1384</v>
      </c>
      <c r="B1385" s="2" t="s">
        <v>4250</v>
      </c>
      <c r="C1385" s="2" t="s">
        <v>4251</v>
      </c>
      <c r="D1385" s="2" t="s">
        <v>28</v>
      </c>
      <c r="E1385" s="2" t="s">
        <v>29</v>
      </c>
      <c r="F1385" s="2">
        <v>90</v>
      </c>
      <c r="G1385" s="2" t="s">
        <v>4252</v>
      </c>
      <c r="H1385" s="2" t="s">
        <v>526</v>
      </c>
      <c r="I1385" s="2" t="s">
        <v>32</v>
      </c>
      <c r="J1385" s="3">
        <v>44895</v>
      </c>
      <c r="K1385" s="2">
        <v>8</v>
      </c>
      <c r="L1385" s="2" t="s">
        <v>20</v>
      </c>
      <c r="M1385" s="3"/>
    </row>
    <row r="1386" spans="1:13" x14ac:dyDescent="0.3">
      <c r="A1386" s="2">
        <v>1385</v>
      </c>
      <c r="B1386" s="2" t="s">
        <v>4253</v>
      </c>
      <c r="C1386" s="2" t="s">
        <v>4254</v>
      </c>
      <c r="D1386" s="2" t="s">
        <v>51</v>
      </c>
      <c r="E1386" s="2" t="s">
        <v>16</v>
      </c>
      <c r="F1386" s="2">
        <v>90</v>
      </c>
      <c r="G1386" s="2" t="s">
        <v>4255</v>
      </c>
      <c r="H1386" s="2" t="s">
        <v>4256</v>
      </c>
      <c r="I1386" s="2" t="s">
        <v>1454</v>
      </c>
      <c r="J1386" s="3">
        <v>43951</v>
      </c>
      <c r="K1386" s="2">
        <v>33</v>
      </c>
      <c r="L1386" s="2" t="s">
        <v>20</v>
      </c>
      <c r="M1386" s="3"/>
    </row>
    <row r="1387" spans="1:13" x14ac:dyDescent="0.3">
      <c r="A1387" s="2">
        <v>1386</v>
      </c>
      <c r="B1387" s="2" t="s">
        <v>4257</v>
      </c>
      <c r="C1387" s="2" t="s">
        <v>4258</v>
      </c>
      <c r="D1387" s="2" t="s">
        <v>28</v>
      </c>
      <c r="E1387" s="2" t="s">
        <v>29</v>
      </c>
      <c r="F1387" s="2">
        <v>90</v>
      </c>
      <c r="G1387" s="2" t="s">
        <v>4259</v>
      </c>
      <c r="H1387" s="2" t="s">
        <v>1482</v>
      </c>
      <c r="I1387" s="2" t="s">
        <v>1483</v>
      </c>
      <c r="J1387" s="3">
        <v>44045</v>
      </c>
      <c r="K1387" s="2">
        <v>17</v>
      </c>
      <c r="L1387" s="2" t="s">
        <v>20</v>
      </c>
      <c r="M1387" s="3"/>
    </row>
    <row r="1388" spans="1:13" x14ac:dyDescent="0.3">
      <c r="A1388" s="2">
        <v>1387</v>
      </c>
      <c r="B1388" s="2" t="s">
        <v>4260</v>
      </c>
      <c r="C1388" s="2" t="s">
        <v>4261</v>
      </c>
      <c r="D1388" s="2" t="s">
        <v>28</v>
      </c>
      <c r="E1388" s="2" t="s">
        <v>29</v>
      </c>
      <c r="F1388" s="2">
        <v>30</v>
      </c>
      <c r="G1388" s="2" t="s">
        <v>4262</v>
      </c>
      <c r="H1388" s="2" t="s">
        <v>1276</v>
      </c>
      <c r="I1388" s="2" t="s">
        <v>32</v>
      </c>
      <c r="J1388" s="3">
        <v>44577</v>
      </c>
      <c r="K1388" s="2">
        <v>15</v>
      </c>
      <c r="L1388" s="2" t="s">
        <v>54</v>
      </c>
      <c r="M1388" s="3"/>
    </row>
    <row r="1389" spans="1:13" x14ac:dyDescent="0.3">
      <c r="A1389" s="2">
        <v>1388</v>
      </c>
      <c r="B1389" s="2" t="s">
        <v>4263</v>
      </c>
      <c r="C1389" s="2" t="s">
        <v>4264</v>
      </c>
      <c r="D1389" s="2" t="s">
        <v>92</v>
      </c>
      <c r="E1389" s="2" t="s">
        <v>16</v>
      </c>
      <c r="F1389" s="2">
        <v>60</v>
      </c>
      <c r="G1389" s="2" t="s">
        <v>4265</v>
      </c>
      <c r="H1389" s="2" t="s">
        <v>4266</v>
      </c>
      <c r="I1389" s="2" t="s">
        <v>25</v>
      </c>
      <c r="J1389" s="3">
        <v>44252</v>
      </c>
      <c r="K1389" s="2">
        <v>80</v>
      </c>
      <c r="L1389" s="2" t="s">
        <v>159</v>
      </c>
      <c r="M1389" s="3"/>
    </row>
    <row r="1390" spans="1:13" x14ac:dyDescent="0.3">
      <c r="A1390" s="2">
        <v>1389</v>
      </c>
      <c r="B1390" s="2" t="s">
        <v>3065</v>
      </c>
      <c r="C1390" s="2" t="s">
        <v>2019</v>
      </c>
      <c r="D1390" s="2" t="s">
        <v>28</v>
      </c>
      <c r="E1390" s="2" t="s">
        <v>29</v>
      </c>
      <c r="F1390" s="2">
        <v>60</v>
      </c>
      <c r="G1390" s="2" t="s">
        <v>4267</v>
      </c>
      <c r="H1390" s="2" t="s">
        <v>3036</v>
      </c>
      <c r="I1390" s="2" t="s">
        <v>32</v>
      </c>
      <c r="J1390" s="3">
        <v>44006</v>
      </c>
      <c r="K1390" s="2">
        <v>15</v>
      </c>
      <c r="L1390" s="2" t="s">
        <v>70</v>
      </c>
      <c r="M1390" s="3"/>
    </row>
    <row r="1391" spans="1:13" x14ac:dyDescent="0.3">
      <c r="A1391" s="2">
        <v>1390</v>
      </c>
      <c r="B1391" s="2" t="s">
        <v>4268</v>
      </c>
      <c r="C1391" s="2" t="s">
        <v>4269</v>
      </c>
      <c r="D1391" s="2" t="s">
        <v>51</v>
      </c>
      <c r="E1391" s="2" t="s">
        <v>16</v>
      </c>
      <c r="F1391" s="2">
        <v>60</v>
      </c>
      <c r="G1391" s="2" t="s">
        <v>4270</v>
      </c>
      <c r="H1391" s="2" t="s">
        <v>724</v>
      </c>
      <c r="I1391" s="2" t="s">
        <v>240</v>
      </c>
      <c r="J1391" s="3">
        <v>44782</v>
      </c>
      <c r="K1391" s="2">
        <v>51</v>
      </c>
      <c r="L1391" s="2" t="s">
        <v>45</v>
      </c>
      <c r="M1391" s="3"/>
    </row>
    <row r="1392" spans="1:13" x14ac:dyDescent="0.3">
      <c r="A1392" s="2">
        <v>1391</v>
      </c>
      <c r="B1392" s="2" t="s">
        <v>115</v>
      </c>
      <c r="C1392" s="2" t="s">
        <v>131</v>
      </c>
      <c r="D1392" s="2" t="s">
        <v>28</v>
      </c>
      <c r="E1392" s="2" t="s">
        <v>29</v>
      </c>
      <c r="F1392" s="2">
        <v>60</v>
      </c>
      <c r="G1392" s="2" t="s">
        <v>4271</v>
      </c>
      <c r="H1392" s="2" t="s">
        <v>4272</v>
      </c>
      <c r="I1392" s="2" t="s">
        <v>1652</v>
      </c>
      <c r="J1392" s="3">
        <v>44227</v>
      </c>
      <c r="K1392" s="2">
        <v>79</v>
      </c>
      <c r="L1392" s="2" t="s">
        <v>33</v>
      </c>
      <c r="M1392" s="3"/>
    </row>
    <row r="1393" spans="1:13" x14ac:dyDescent="0.3">
      <c r="A1393" s="2">
        <v>1392</v>
      </c>
      <c r="B1393" s="2" t="s">
        <v>1165</v>
      </c>
      <c r="C1393" s="2" t="s">
        <v>4273</v>
      </c>
      <c r="D1393" s="2" t="s">
        <v>15</v>
      </c>
      <c r="E1393" s="2" t="s">
        <v>16</v>
      </c>
      <c r="F1393" s="2">
        <v>90</v>
      </c>
      <c r="G1393" s="2" t="s">
        <v>4274</v>
      </c>
      <c r="H1393" s="2" t="s">
        <v>3307</v>
      </c>
      <c r="I1393" s="2" t="s">
        <v>32</v>
      </c>
      <c r="J1393" s="3">
        <v>44525</v>
      </c>
      <c r="K1393" s="2">
        <v>23</v>
      </c>
      <c r="L1393" s="2" t="s">
        <v>70</v>
      </c>
      <c r="M1393" s="3"/>
    </row>
    <row r="1394" spans="1:13" x14ac:dyDescent="0.3">
      <c r="A1394" s="2">
        <v>1393</v>
      </c>
      <c r="B1394" s="2" t="s">
        <v>4275</v>
      </c>
      <c r="C1394" s="2" t="s">
        <v>2874</v>
      </c>
      <c r="D1394" s="2" t="s">
        <v>15</v>
      </c>
      <c r="E1394" s="2" t="s">
        <v>16</v>
      </c>
      <c r="F1394" s="2">
        <v>60</v>
      </c>
      <c r="G1394" s="2" t="s">
        <v>4276</v>
      </c>
      <c r="H1394" s="2" t="s">
        <v>4277</v>
      </c>
      <c r="I1394" s="2" t="s">
        <v>32</v>
      </c>
      <c r="J1394" s="3">
        <v>44926</v>
      </c>
      <c r="K1394" s="2">
        <v>94</v>
      </c>
      <c r="L1394" s="2" t="s">
        <v>33</v>
      </c>
      <c r="M1394" s="3"/>
    </row>
    <row r="1395" spans="1:13" x14ac:dyDescent="0.3">
      <c r="A1395" s="2">
        <v>1394</v>
      </c>
      <c r="B1395" s="2" t="s">
        <v>4278</v>
      </c>
      <c r="C1395" s="2" t="s">
        <v>1748</v>
      </c>
      <c r="D1395" s="2" t="s">
        <v>28</v>
      </c>
      <c r="E1395" s="2" t="s">
        <v>29</v>
      </c>
      <c r="F1395" s="2">
        <v>90</v>
      </c>
      <c r="G1395" s="2" t="s">
        <v>4279</v>
      </c>
      <c r="H1395" s="2" t="s">
        <v>938</v>
      </c>
      <c r="I1395" s="2" t="s">
        <v>25</v>
      </c>
      <c r="J1395" s="3">
        <v>44260</v>
      </c>
      <c r="K1395" s="2">
        <v>43</v>
      </c>
      <c r="L1395" s="2" t="s">
        <v>64</v>
      </c>
      <c r="M1395" s="3"/>
    </row>
    <row r="1396" spans="1:13" x14ac:dyDescent="0.3">
      <c r="A1396" s="2">
        <v>1395</v>
      </c>
      <c r="B1396" s="2" t="s">
        <v>4280</v>
      </c>
      <c r="C1396" s="2" t="s">
        <v>4281</v>
      </c>
      <c r="D1396" s="2" t="s">
        <v>51</v>
      </c>
      <c r="E1396" s="2" t="s">
        <v>16</v>
      </c>
      <c r="F1396" s="2">
        <v>90</v>
      </c>
      <c r="G1396" s="2" t="s">
        <v>4282</v>
      </c>
      <c r="H1396" s="2" t="s">
        <v>4283</v>
      </c>
      <c r="I1396" s="2" t="s">
        <v>178</v>
      </c>
      <c r="J1396" s="3">
        <v>44015</v>
      </c>
      <c r="K1396" s="2">
        <v>29</v>
      </c>
      <c r="L1396" s="2" t="s">
        <v>64</v>
      </c>
      <c r="M1396" s="3"/>
    </row>
    <row r="1397" spans="1:13" x14ac:dyDescent="0.3">
      <c r="A1397" s="2">
        <v>1396</v>
      </c>
      <c r="B1397" s="2" t="s">
        <v>2256</v>
      </c>
      <c r="C1397" s="2" t="s">
        <v>2282</v>
      </c>
      <c r="D1397" s="2" t="s">
        <v>92</v>
      </c>
      <c r="E1397" s="2" t="s">
        <v>29</v>
      </c>
      <c r="F1397" s="2">
        <v>30</v>
      </c>
      <c r="G1397" s="2" t="s">
        <v>4284</v>
      </c>
      <c r="H1397" s="2" t="s">
        <v>4285</v>
      </c>
      <c r="I1397" s="2" t="s">
        <v>124</v>
      </c>
      <c r="J1397" s="3">
        <v>44024</v>
      </c>
      <c r="K1397" s="2">
        <v>11</v>
      </c>
      <c r="L1397" s="2" t="s">
        <v>20</v>
      </c>
      <c r="M1397" s="3"/>
    </row>
    <row r="1398" spans="1:13" x14ac:dyDescent="0.3">
      <c r="A1398" s="2">
        <v>1397</v>
      </c>
      <c r="B1398" s="2" t="s">
        <v>4286</v>
      </c>
      <c r="C1398" s="2" t="s">
        <v>4287</v>
      </c>
      <c r="D1398" s="2" t="s">
        <v>28</v>
      </c>
      <c r="E1398" s="2" t="s">
        <v>29</v>
      </c>
      <c r="F1398" s="2">
        <v>60</v>
      </c>
      <c r="G1398" s="2" t="s">
        <v>4288</v>
      </c>
      <c r="H1398" s="2" t="s">
        <v>4289</v>
      </c>
      <c r="I1398" s="2" t="s">
        <v>32</v>
      </c>
      <c r="J1398" s="3">
        <v>44194</v>
      </c>
      <c r="K1398" s="2">
        <v>57</v>
      </c>
      <c r="L1398" s="2" t="s">
        <v>70</v>
      </c>
      <c r="M1398" s="3"/>
    </row>
    <row r="1399" spans="1:13" x14ac:dyDescent="0.3">
      <c r="A1399" s="2">
        <v>1398</v>
      </c>
      <c r="B1399" s="2" t="s">
        <v>4290</v>
      </c>
      <c r="C1399" s="2" t="s">
        <v>4291</v>
      </c>
      <c r="D1399" s="2" t="s">
        <v>15</v>
      </c>
      <c r="E1399" s="2" t="s">
        <v>16</v>
      </c>
      <c r="F1399" s="2">
        <v>60</v>
      </c>
      <c r="G1399" s="2" t="s">
        <v>4292</v>
      </c>
      <c r="H1399" s="2" t="s">
        <v>4293</v>
      </c>
      <c r="I1399" s="2" t="s">
        <v>38</v>
      </c>
      <c r="J1399" s="3">
        <v>44699</v>
      </c>
      <c r="K1399" s="2">
        <v>89</v>
      </c>
      <c r="L1399" s="2" t="s">
        <v>39</v>
      </c>
      <c r="M1399" s="3"/>
    </row>
    <row r="1400" spans="1:13" x14ac:dyDescent="0.3">
      <c r="A1400" s="2">
        <v>1399</v>
      </c>
      <c r="B1400" s="2" t="s">
        <v>4294</v>
      </c>
      <c r="C1400" s="2" t="s">
        <v>1700</v>
      </c>
      <c r="D1400" s="2" t="s">
        <v>51</v>
      </c>
      <c r="E1400" s="2" t="s">
        <v>16</v>
      </c>
      <c r="F1400" s="2">
        <v>90</v>
      </c>
      <c r="G1400" s="2" t="s">
        <v>4295</v>
      </c>
      <c r="H1400" s="2" t="s">
        <v>363</v>
      </c>
      <c r="I1400" s="2" t="s">
        <v>110</v>
      </c>
      <c r="J1400" s="3">
        <v>44419</v>
      </c>
      <c r="K1400" s="2">
        <v>59</v>
      </c>
      <c r="L1400" s="2" t="s">
        <v>45</v>
      </c>
      <c r="M1400" s="3"/>
    </row>
    <row r="1401" spans="1:13" x14ac:dyDescent="0.3">
      <c r="A1401" s="2">
        <v>1400</v>
      </c>
      <c r="B1401" s="2" t="s">
        <v>4296</v>
      </c>
      <c r="C1401" s="2" t="s">
        <v>4297</v>
      </c>
      <c r="D1401" s="2" t="s">
        <v>28</v>
      </c>
      <c r="E1401" s="2" t="s">
        <v>29</v>
      </c>
      <c r="F1401" s="2">
        <v>90</v>
      </c>
      <c r="G1401" s="2" t="s">
        <v>4298</v>
      </c>
      <c r="H1401" s="2" t="s">
        <v>4299</v>
      </c>
      <c r="I1401" s="2" t="s">
        <v>32</v>
      </c>
      <c r="J1401" s="3">
        <v>44312</v>
      </c>
      <c r="K1401" s="2">
        <v>7</v>
      </c>
      <c r="L1401" s="2" t="s">
        <v>54</v>
      </c>
      <c r="M1401" s="3"/>
    </row>
    <row r="1402" spans="1:13" x14ac:dyDescent="0.3">
      <c r="A1402" s="2">
        <v>1401</v>
      </c>
      <c r="B1402" s="2" t="s">
        <v>2050</v>
      </c>
      <c r="C1402" s="2" t="s">
        <v>3177</v>
      </c>
      <c r="D1402" s="2" t="s">
        <v>28</v>
      </c>
      <c r="E1402" s="2" t="s">
        <v>29</v>
      </c>
      <c r="F1402" s="2">
        <v>60</v>
      </c>
      <c r="G1402" s="2" t="s">
        <v>4300</v>
      </c>
      <c r="H1402" s="2" t="s">
        <v>3446</v>
      </c>
      <c r="I1402" s="2" t="s">
        <v>32</v>
      </c>
      <c r="J1402" s="3">
        <v>44166</v>
      </c>
      <c r="K1402" s="2">
        <v>15</v>
      </c>
      <c r="L1402" s="2" t="s">
        <v>159</v>
      </c>
      <c r="M1402" s="3"/>
    </row>
    <row r="1403" spans="1:13" x14ac:dyDescent="0.3">
      <c r="A1403" s="2">
        <v>1402</v>
      </c>
      <c r="B1403" s="2" t="s">
        <v>4301</v>
      </c>
      <c r="C1403" s="2" t="s">
        <v>605</v>
      </c>
      <c r="D1403" s="2" t="s">
        <v>28</v>
      </c>
      <c r="E1403" s="2" t="s">
        <v>29</v>
      </c>
      <c r="F1403" s="2">
        <v>60</v>
      </c>
      <c r="G1403" s="2" t="s">
        <v>4302</v>
      </c>
      <c r="H1403" s="2" t="s">
        <v>2953</v>
      </c>
      <c r="I1403" s="2" t="s">
        <v>124</v>
      </c>
      <c r="J1403" s="3">
        <v>44854</v>
      </c>
      <c r="K1403" s="2">
        <v>69</v>
      </c>
      <c r="L1403" s="2" t="s">
        <v>20</v>
      </c>
      <c r="M1403" s="3"/>
    </row>
    <row r="1404" spans="1:13" x14ac:dyDescent="0.3">
      <c r="A1404" s="2">
        <v>1403</v>
      </c>
      <c r="B1404" s="2" t="s">
        <v>4303</v>
      </c>
      <c r="C1404" s="2" t="s">
        <v>841</v>
      </c>
      <c r="D1404" s="2" t="s">
        <v>15</v>
      </c>
      <c r="E1404" s="2" t="s">
        <v>16</v>
      </c>
      <c r="F1404" s="2">
        <v>30</v>
      </c>
      <c r="G1404" s="2" t="s">
        <v>4304</v>
      </c>
      <c r="H1404" s="2" t="s">
        <v>3487</v>
      </c>
      <c r="I1404" s="2" t="s">
        <v>294</v>
      </c>
      <c r="J1404" s="3">
        <v>44590</v>
      </c>
      <c r="K1404" s="2">
        <v>98</v>
      </c>
      <c r="L1404" s="2" t="s">
        <v>80</v>
      </c>
      <c r="M1404" s="3"/>
    </row>
    <row r="1405" spans="1:13" x14ac:dyDescent="0.3">
      <c r="A1405" s="2">
        <v>1404</v>
      </c>
      <c r="B1405" s="2" t="s">
        <v>657</v>
      </c>
      <c r="C1405" s="2" t="s">
        <v>879</v>
      </c>
      <c r="D1405" s="2" t="s">
        <v>28</v>
      </c>
      <c r="E1405" s="2" t="s">
        <v>29</v>
      </c>
      <c r="F1405" s="2">
        <v>90</v>
      </c>
      <c r="G1405" s="2" t="s">
        <v>4305</v>
      </c>
      <c r="H1405" s="2" t="s">
        <v>4098</v>
      </c>
      <c r="I1405" s="2" t="s">
        <v>1889</v>
      </c>
      <c r="J1405" s="3">
        <v>44611</v>
      </c>
      <c r="K1405" s="2">
        <v>63</v>
      </c>
      <c r="L1405" s="2" t="s">
        <v>45</v>
      </c>
      <c r="M1405" s="3"/>
    </row>
    <row r="1406" spans="1:13" x14ac:dyDescent="0.3">
      <c r="A1406" s="2">
        <v>1405</v>
      </c>
      <c r="B1406" s="2" t="s">
        <v>4306</v>
      </c>
      <c r="C1406" s="2" t="s">
        <v>4307</v>
      </c>
      <c r="D1406" s="2" t="s">
        <v>28</v>
      </c>
      <c r="E1406" s="2" t="s">
        <v>29</v>
      </c>
      <c r="F1406" s="2">
        <v>30</v>
      </c>
      <c r="G1406" s="2" t="s">
        <v>4308</v>
      </c>
      <c r="H1406" s="2" t="s">
        <v>2069</v>
      </c>
      <c r="I1406" s="2" t="s">
        <v>1035</v>
      </c>
      <c r="J1406" s="3">
        <v>44329</v>
      </c>
      <c r="K1406" s="2">
        <v>20</v>
      </c>
      <c r="L1406" s="2" t="s">
        <v>159</v>
      </c>
      <c r="M1406" s="3"/>
    </row>
    <row r="1407" spans="1:13" x14ac:dyDescent="0.3">
      <c r="A1407" s="2">
        <v>1406</v>
      </c>
      <c r="B1407" s="2" t="s">
        <v>4309</v>
      </c>
      <c r="C1407" s="2" t="s">
        <v>3071</v>
      </c>
      <c r="D1407" s="2" t="s">
        <v>41</v>
      </c>
      <c r="E1407" s="2" t="s">
        <v>16</v>
      </c>
      <c r="F1407" s="2">
        <v>60</v>
      </c>
      <c r="G1407" s="2" t="s">
        <v>4310</v>
      </c>
      <c r="H1407" s="2" t="s">
        <v>4311</v>
      </c>
      <c r="I1407" s="2" t="s">
        <v>32</v>
      </c>
      <c r="J1407" s="3">
        <v>44408</v>
      </c>
      <c r="K1407" s="2">
        <v>72</v>
      </c>
      <c r="L1407" s="2" t="s">
        <v>101</v>
      </c>
      <c r="M1407" s="3"/>
    </row>
    <row r="1408" spans="1:13" x14ac:dyDescent="0.3">
      <c r="A1408" s="2">
        <v>1407</v>
      </c>
      <c r="B1408" s="2" t="s">
        <v>1849</v>
      </c>
      <c r="C1408" s="2" t="s">
        <v>2915</v>
      </c>
      <c r="D1408" s="2" t="s">
        <v>28</v>
      </c>
      <c r="E1408" s="2" t="s">
        <v>29</v>
      </c>
      <c r="F1408" s="2">
        <v>30</v>
      </c>
      <c r="G1408" s="2" t="s">
        <v>4312</v>
      </c>
      <c r="H1408" s="2" t="s">
        <v>2673</v>
      </c>
      <c r="I1408" s="2" t="s">
        <v>19</v>
      </c>
      <c r="J1408" s="3">
        <v>44841</v>
      </c>
      <c r="K1408" s="2">
        <v>83</v>
      </c>
      <c r="L1408" s="2" t="s">
        <v>80</v>
      </c>
      <c r="M1408" s="3"/>
    </row>
    <row r="1409" spans="1:13" x14ac:dyDescent="0.3">
      <c r="A1409" s="2">
        <v>1408</v>
      </c>
      <c r="B1409" s="2" t="s">
        <v>4313</v>
      </c>
      <c r="C1409" s="2" t="s">
        <v>4314</v>
      </c>
      <c r="D1409" s="2" t="s">
        <v>41</v>
      </c>
      <c r="E1409" s="2" t="s">
        <v>16</v>
      </c>
      <c r="F1409" s="2">
        <v>60</v>
      </c>
      <c r="G1409" s="2" t="s">
        <v>4312</v>
      </c>
      <c r="H1409" s="2" t="s">
        <v>2972</v>
      </c>
      <c r="I1409" s="2" t="s">
        <v>32</v>
      </c>
      <c r="J1409" s="3">
        <v>44910</v>
      </c>
      <c r="K1409" s="2">
        <v>79</v>
      </c>
      <c r="L1409" s="2" t="s">
        <v>64</v>
      </c>
      <c r="M1409" s="3"/>
    </row>
    <row r="1410" spans="1:13" x14ac:dyDescent="0.3">
      <c r="A1410" s="2">
        <v>1409</v>
      </c>
      <c r="B1410" s="2" t="s">
        <v>4313</v>
      </c>
      <c r="C1410" s="2" t="s">
        <v>4314</v>
      </c>
      <c r="D1410" s="2" t="s">
        <v>41</v>
      </c>
      <c r="E1410" s="2" t="s">
        <v>16</v>
      </c>
      <c r="F1410" s="2">
        <v>60</v>
      </c>
      <c r="G1410" s="2" t="s">
        <v>4312</v>
      </c>
      <c r="H1410" s="2" t="s">
        <v>2972</v>
      </c>
      <c r="I1410" s="2" t="s">
        <v>32</v>
      </c>
      <c r="J1410" s="3">
        <v>44910</v>
      </c>
      <c r="K1410" s="2">
        <v>79</v>
      </c>
      <c r="L1410" s="2" t="s">
        <v>64</v>
      </c>
      <c r="M1410" s="3"/>
    </row>
    <row r="1411" spans="1:13" x14ac:dyDescent="0.3">
      <c r="A1411" s="2">
        <v>1410</v>
      </c>
      <c r="B1411" s="2" t="s">
        <v>4315</v>
      </c>
      <c r="C1411" s="2" t="s">
        <v>4316</v>
      </c>
      <c r="D1411" s="2" t="s">
        <v>28</v>
      </c>
      <c r="E1411" s="2" t="s">
        <v>29</v>
      </c>
      <c r="F1411" s="2">
        <v>90</v>
      </c>
      <c r="G1411" s="2" t="s">
        <v>4312</v>
      </c>
      <c r="H1411" s="2" t="s">
        <v>4317</v>
      </c>
      <c r="I1411" s="2" t="s">
        <v>32</v>
      </c>
      <c r="J1411" s="3">
        <v>44605</v>
      </c>
      <c r="K1411" s="2">
        <v>8</v>
      </c>
      <c r="L1411" s="2" t="s">
        <v>70</v>
      </c>
      <c r="M1411" s="3"/>
    </row>
    <row r="1412" spans="1:13" x14ac:dyDescent="0.3">
      <c r="A1412" s="2">
        <v>1411</v>
      </c>
      <c r="B1412" s="2" t="s">
        <v>4072</v>
      </c>
      <c r="C1412" s="2" t="s">
        <v>4318</v>
      </c>
      <c r="D1412" s="2" t="s">
        <v>28</v>
      </c>
      <c r="E1412" s="2" t="s">
        <v>29</v>
      </c>
      <c r="F1412" s="2">
        <v>90</v>
      </c>
      <c r="G1412" s="2" t="s">
        <v>4319</v>
      </c>
      <c r="H1412" s="2" t="s">
        <v>4320</v>
      </c>
      <c r="I1412" s="2" t="s">
        <v>240</v>
      </c>
      <c r="J1412" s="3">
        <v>44072</v>
      </c>
      <c r="K1412" s="2">
        <v>76</v>
      </c>
      <c r="L1412" s="2" t="s">
        <v>39</v>
      </c>
      <c r="M1412" s="3"/>
    </row>
    <row r="1413" spans="1:13" x14ac:dyDescent="0.3">
      <c r="A1413" s="2">
        <v>1412</v>
      </c>
      <c r="B1413" s="2" t="s">
        <v>4321</v>
      </c>
      <c r="C1413" s="2" t="s">
        <v>4322</v>
      </c>
      <c r="D1413" s="2" t="s">
        <v>15</v>
      </c>
      <c r="E1413" s="2" t="s">
        <v>16</v>
      </c>
      <c r="F1413" s="2">
        <v>30</v>
      </c>
      <c r="G1413" s="2" t="s">
        <v>4323</v>
      </c>
      <c r="H1413" s="2" t="s">
        <v>3764</v>
      </c>
      <c r="I1413" s="2" t="s">
        <v>32</v>
      </c>
      <c r="J1413" s="3">
        <v>44485</v>
      </c>
      <c r="K1413" s="2">
        <v>84</v>
      </c>
      <c r="L1413" s="2" t="s">
        <v>159</v>
      </c>
      <c r="M1413" s="3"/>
    </row>
    <row r="1414" spans="1:13" x14ac:dyDescent="0.3">
      <c r="A1414" s="2">
        <v>1413</v>
      </c>
      <c r="B1414" s="2" t="s">
        <v>1300</v>
      </c>
      <c r="C1414" s="2" t="s">
        <v>4324</v>
      </c>
      <c r="D1414" s="2" t="s">
        <v>28</v>
      </c>
      <c r="E1414" s="2" t="s">
        <v>29</v>
      </c>
      <c r="F1414" s="2">
        <v>60</v>
      </c>
      <c r="G1414" s="2" t="s">
        <v>4325</v>
      </c>
      <c r="H1414" s="2" t="s">
        <v>4326</v>
      </c>
      <c r="I1414" s="2" t="s">
        <v>1078</v>
      </c>
      <c r="J1414" s="3">
        <v>44006</v>
      </c>
      <c r="K1414" s="2">
        <v>78</v>
      </c>
      <c r="L1414" s="2" t="s">
        <v>20</v>
      </c>
      <c r="M1414" s="3"/>
    </row>
    <row r="1415" spans="1:13" x14ac:dyDescent="0.3">
      <c r="A1415" s="2">
        <v>1414</v>
      </c>
      <c r="B1415" s="2" t="s">
        <v>4327</v>
      </c>
      <c r="C1415" s="2" t="s">
        <v>143</v>
      </c>
      <c r="D1415" s="2" t="s">
        <v>51</v>
      </c>
      <c r="E1415" s="2" t="s">
        <v>16</v>
      </c>
      <c r="F1415" s="2">
        <v>60</v>
      </c>
      <c r="G1415" s="2" t="s">
        <v>4328</v>
      </c>
      <c r="H1415" s="2" t="s">
        <v>4046</v>
      </c>
      <c r="I1415" s="2" t="s">
        <v>173</v>
      </c>
      <c r="J1415" s="3">
        <v>44023</v>
      </c>
      <c r="K1415" s="2">
        <v>30</v>
      </c>
      <c r="L1415" s="2" t="s">
        <v>80</v>
      </c>
      <c r="M1415" s="3"/>
    </row>
    <row r="1416" spans="1:13" x14ac:dyDescent="0.3">
      <c r="A1416" s="2">
        <v>1415</v>
      </c>
      <c r="B1416" s="2" t="s">
        <v>4329</v>
      </c>
      <c r="C1416" s="2" t="s">
        <v>477</v>
      </c>
      <c r="D1416" s="2" t="s">
        <v>28</v>
      </c>
      <c r="E1416" s="2" t="s">
        <v>29</v>
      </c>
      <c r="F1416" s="2">
        <v>60</v>
      </c>
      <c r="G1416" s="2" t="s">
        <v>4328</v>
      </c>
      <c r="H1416" s="2" t="s">
        <v>4330</v>
      </c>
      <c r="I1416" s="2" t="s">
        <v>187</v>
      </c>
      <c r="J1416" s="3">
        <v>44706</v>
      </c>
      <c r="K1416" s="2">
        <v>83</v>
      </c>
      <c r="L1416" s="2" t="s">
        <v>64</v>
      </c>
      <c r="M1416" s="3"/>
    </row>
    <row r="1417" spans="1:13" x14ac:dyDescent="0.3">
      <c r="A1417" s="2">
        <v>1416</v>
      </c>
      <c r="B1417" s="2" t="s">
        <v>4329</v>
      </c>
      <c r="C1417" s="2" t="s">
        <v>477</v>
      </c>
      <c r="D1417" s="2" t="s">
        <v>28</v>
      </c>
      <c r="E1417" s="2" t="s">
        <v>29</v>
      </c>
      <c r="F1417" s="2">
        <v>60</v>
      </c>
      <c r="G1417" s="2" t="s">
        <v>4328</v>
      </c>
      <c r="H1417" s="2" t="s">
        <v>4330</v>
      </c>
      <c r="I1417" s="2" t="s">
        <v>187</v>
      </c>
      <c r="J1417" s="3">
        <v>44706</v>
      </c>
      <c r="K1417" s="2">
        <v>83</v>
      </c>
      <c r="L1417" s="2" t="s">
        <v>64</v>
      </c>
      <c r="M1417" s="3"/>
    </row>
    <row r="1418" spans="1:13" x14ac:dyDescent="0.3">
      <c r="A1418" s="2">
        <v>1417</v>
      </c>
      <c r="B1418" s="2" t="s">
        <v>4331</v>
      </c>
      <c r="C1418" s="2" t="s">
        <v>2281</v>
      </c>
      <c r="D1418" s="2" t="s">
        <v>15</v>
      </c>
      <c r="E1418" s="2" t="s">
        <v>16</v>
      </c>
      <c r="F1418" s="2">
        <v>60</v>
      </c>
      <c r="G1418" s="2" t="s">
        <v>4332</v>
      </c>
      <c r="H1418" s="2" t="s">
        <v>4203</v>
      </c>
      <c r="I1418" s="2" t="s">
        <v>208</v>
      </c>
      <c r="J1418" s="3">
        <v>44268</v>
      </c>
      <c r="K1418" s="2">
        <v>62</v>
      </c>
      <c r="L1418" s="2" t="s">
        <v>70</v>
      </c>
      <c r="M1418" s="3"/>
    </row>
    <row r="1419" spans="1:13" x14ac:dyDescent="0.3">
      <c r="A1419" s="2">
        <v>1418</v>
      </c>
      <c r="B1419" s="2" t="s">
        <v>2549</v>
      </c>
      <c r="C1419" s="2" t="s">
        <v>1058</v>
      </c>
      <c r="D1419" s="2" t="s">
        <v>41</v>
      </c>
      <c r="E1419" s="2" t="s">
        <v>16</v>
      </c>
      <c r="F1419" s="2">
        <v>30</v>
      </c>
      <c r="G1419" s="2" t="s">
        <v>4333</v>
      </c>
      <c r="H1419" s="2" t="s">
        <v>4334</v>
      </c>
      <c r="I1419" s="2" t="s">
        <v>1199</v>
      </c>
      <c r="J1419" s="3">
        <v>44527</v>
      </c>
      <c r="K1419" s="2">
        <v>10</v>
      </c>
      <c r="L1419" s="2" t="s">
        <v>20</v>
      </c>
      <c r="M1419" s="3"/>
    </row>
    <row r="1420" spans="1:13" x14ac:dyDescent="0.3">
      <c r="A1420" s="2">
        <v>1419</v>
      </c>
      <c r="B1420" s="2" t="s">
        <v>4335</v>
      </c>
      <c r="C1420" s="2" t="s">
        <v>1546</v>
      </c>
      <c r="D1420" s="2" t="s">
        <v>15</v>
      </c>
      <c r="E1420" s="2" t="s">
        <v>16</v>
      </c>
      <c r="F1420" s="2">
        <v>60</v>
      </c>
      <c r="G1420" s="2" t="s">
        <v>4336</v>
      </c>
      <c r="H1420" s="2" t="s">
        <v>4337</v>
      </c>
      <c r="I1420" s="2" t="s">
        <v>25</v>
      </c>
      <c r="J1420" s="3">
        <v>44085</v>
      </c>
      <c r="K1420" s="2">
        <v>14</v>
      </c>
      <c r="L1420" s="2" t="s">
        <v>54</v>
      </c>
      <c r="M1420" s="3"/>
    </row>
    <row r="1421" spans="1:13" x14ac:dyDescent="0.3">
      <c r="A1421" s="2">
        <v>1420</v>
      </c>
      <c r="B1421" s="2" t="s">
        <v>3335</v>
      </c>
      <c r="C1421" s="2" t="s">
        <v>1656</v>
      </c>
      <c r="D1421" s="2" t="s">
        <v>28</v>
      </c>
      <c r="E1421" s="2" t="s">
        <v>29</v>
      </c>
      <c r="F1421" s="2">
        <v>30</v>
      </c>
      <c r="G1421" s="2" t="s">
        <v>4338</v>
      </c>
      <c r="H1421" s="2" t="s">
        <v>217</v>
      </c>
      <c r="I1421" s="2" t="s">
        <v>124</v>
      </c>
      <c r="J1421" s="3">
        <v>44625</v>
      </c>
      <c r="K1421" s="2">
        <v>99</v>
      </c>
      <c r="L1421" s="2" t="s">
        <v>101</v>
      </c>
      <c r="M1421" s="3"/>
    </row>
    <row r="1422" spans="1:13" x14ac:dyDescent="0.3">
      <c r="A1422" s="2">
        <v>1421</v>
      </c>
      <c r="B1422" s="2" t="s">
        <v>4339</v>
      </c>
      <c r="C1422" s="2" t="s">
        <v>4340</v>
      </c>
      <c r="D1422" s="2" t="s">
        <v>15</v>
      </c>
      <c r="E1422" s="2" t="s">
        <v>16</v>
      </c>
      <c r="F1422" s="2">
        <v>30</v>
      </c>
      <c r="G1422" s="2" t="s">
        <v>4341</v>
      </c>
      <c r="H1422" s="2" t="s">
        <v>2498</v>
      </c>
      <c r="I1422" s="2" t="s">
        <v>913</v>
      </c>
      <c r="J1422" s="3">
        <v>44047</v>
      </c>
      <c r="K1422" s="2">
        <v>60</v>
      </c>
      <c r="L1422" s="2" t="s">
        <v>20</v>
      </c>
      <c r="M1422" s="3"/>
    </row>
    <row r="1423" spans="1:13" x14ac:dyDescent="0.3">
      <c r="A1423" s="2">
        <v>1422</v>
      </c>
      <c r="B1423" s="2" t="s">
        <v>1946</v>
      </c>
      <c r="C1423" s="2" t="s">
        <v>4342</v>
      </c>
      <c r="D1423" s="2" t="s">
        <v>28</v>
      </c>
      <c r="E1423" s="2" t="s">
        <v>29</v>
      </c>
      <c r="F1423" s="2">
        <v>30</v>
      </c>
      <c r="G1423" s="2" t="s">
        <v>4343</v>
      </c>
      <c r="H1423" s="2" t="s">
        <v>570</v>
      </c>
      <c r="I1423" s="2" t="s">
        <v>187</v>
      </c>
      <c r="J1423" s="3">
        <v>44137</v>
      </c>
      <c r="K1423" s="2">
        <v>28</v>
      </c>
      <c r="L1423" s="2" t="s">
        <v>45</v>
      </c>
      <c r="M1423" s="3"/>
    </row>
    <row r="1424" spans="1:13" x14ac:dyDescent="0.3">
      <c r="A1424" s="2">
        <v>1423</v>
      </c>
      <c r="B1424" s="2" t="s">
        <v>1550</v>
      </c>
      <c r="C1424" s="2" t="s">
        <v>2276</v>
      </c>
      <c r="D1424" s="2" t="s">
        <v>28</v>
      </c>
      <c r="E1424" s="2" t="s">
        <v>29</v>
      </c>
      <c r="F1424" s="2">
        <v>90</v>
      </c>
      <c r="G1424" s="2" t="s">
        <v>4344</v>
      </c>
      <c r="H1424" s="2" t="s">
        <v>2917</v>
      </c>
      <c r="I1424" s="2" t="s">
        <v>95</v>
      </c>
      <c r="J1424" s="3">
        <v>44345</v>
      </c>
      <c r="K1424" s="2">
        <v>76</v>
      </c>
      <c r="L1424" s="2" t="s">
        <v>64</v>
      </c>
      <c r="M1424" s="3"/>
    </row>
    <row r="1425" spans="1:13" x14ac:dyDescent="0.3">
      <c r="A1425" s="2">
        <v>1424</v>
      </c>
      <c r="B1425" s="2" t="s">
        <v>4345</v>
      </c>
      <c r="C1425" s="2" t="s">
        <v>1121</v>
      </c>
      <c r="D1425" s="2" t="s">
        <v>51</v>
      </c>
      <c r="E1425" s="2" t="s">
        <v>16</v>
      </c>
      <c r="F1425" s="2">
        <v>90</v>
      </c>
      <c r="G1425" s="2" t="s">
        <v>4346</v>
      </c>
      <c r="H1425" s="2" t="s">
        <v>3870</v>
      </c>
      <c r="I1425" s="2" t="s">
        <v>124</v>
      </c>
      <c r="J1425" s="3">
        <v>44151</v>
      </c>
      <c r="K1425" s="2">
        <v>51</v>
      </c>
      <c r="L1425" s="2" t="s">
        <v>80</v>
      </c>
      <c r="M1425" s="3"/>
    </row>
    <row r="1426" spans="1:13" x14ac:dyDescent="0.3">
      <c r="A1426" s="2">
        <v>1425</v>
      </c>
      <c r="B1426" s="2" t="s">
        <v>4347</v>
      </c>
      <c r="C1426" s="2" t="s">
        <v>2198</v>
      </c>
      <c r="D1426" s="2" t="s">
        <v>41</v>
      </c>
      <c r="E1426" s="2" t="s">
        <v>16</v>
      </c>
      <c r="F1426" s="2">
        <v>30</v>
      </c>
      <c r="G1426" s="2" t="s">
        <v>4348</v>
      </c>
      <c r="H1426" s="2" t="s">
        <v>319</v>
      </c>
      <c r="I1426" s="2" t="s">
        <v>208</v>
      </c>
      <c r="J1426" s="3">
        <v>44886</v>
      </c>
      <c r="K1426" s="2">
        <v>67</v>
      </c>
      <c r="L1426" s="2" t="s">
        <v>54</v>
      </c>
      <c r="M1426" s="3"/>
    </row>
    <row r="1427" spans="1:13" x14ac:dyDescent="0.3">
      <c r="A1427" s="2">
        <v>1426</v>
      </c>
      <c r="B1427" s="2" t="s">
        <v>4349</v>
      </c>
      <c r="C1427" s="2" t="s">
        <v>2928</v>
      </c>
      <c r="D1427" s="2" t="s">
        <v>15</v>
      </c>
      <c r="E1427" s="2" t="s">
        <v>16</v>
      </c>
      <c r="F1427" s="2">
        <v>30</v>
      </c>
      <c r="G1427" s="2" t="s">
        <v>4350</v>
      </c>
      <c r="H1427" s="2" t="s">
        <v>510</v>
      </c>
      <c r="I1427" s="2" t="s">
        <v>32</v>
      </c>
      <c r="J1427" s="3">
        <v>44031</v>
      </c>
      <c r="K1427" s="2">
        <v>61</v>
      </c>
      <c r="L1427" s="2" t="s">
        <v>80</v>
      </c>
      <c r="M1427" s="3"/>
    </row>
    <row r="1428" spans="1:13" x14ac:dyDescent="0.3">
      <c r="A1428" s="2">
        <v>1427</v>
      </c>
      <c r="B1428" s="2" t="s">
        <v>4351</v>
      </c>
      <c r="C1428" s="2" t="s">
        <v>4352</v>
      </c>
      <c r="D1428" s="2" t="s">
        <v>15</v>
      </c>
      <c r="E1428" s="2" t="s">
        <v>16</v>
      </c>
      <c r="F1428" s="2">
        <v>60</v>
      </c>
      <c r="G1428" s="2" t="s">
        <v>4353</v>
      </c>
      <c r="H1428" s="2" t="s">
        <v>928</v>
      </c>
      <c r="I1428" s="2" t="s">
        <v>38</v>
      </c>
      <c r="J1428" s="3">
        <v>44063</v>
      </c>
      <c r="K1428" s="2">
        <v>29</v>
      </c>
      <c r="L1428" s="2" t="s">
        <v>54</v>
      </c>
      <c r="M1428" s="3"/>
    </row>
    <row r="1429" spans="1:13" x14ac:dyDescent="0.3">
      <c r="A1429" s="2">
        <v>1428</v>
      </c>
      <c r="B1429" s="2" t="s">
        <v>4354</v>
      </c>
      <c r="D1429" s="2" t="s">
        <v>15</v>
      </c>
      <c r="E1429" s="2" t="s">
        <v>16</v>
      </c>
      <c r="F1429" s="2">
        <v>90</v>
      </c>
      <c r="G1429" s="2" t="s">
        <v>4355</v>
      </c>
      <c r="H1429" s="2" t="s">
        <v>2117</v>
      </c>
      <c r="I1429" s="2" t="s">
        <v>886</v>
      </c>
      <c r="J1429" s="3">
        <v>44903</v>
      </c>
      <c r="K1429" s="2">
        <v>28</v>
      </c>
      <c r="L1429" s="2" t="s">
        <v>45</v>
      </c>
      <c r="M1429" s="3"/>
    </row>
    <row r="1430" spans="1:13" x14ac:dyDescent="0.3">
      <c r="A1430" s="2">
        <v>1429</v>
      </c>
      <c r="B1430" s="2" t="s">
        <v>1886</v>
      </c>
      <c r="C1430" s="2" t="s">
        <v>4356</v>
      </c>
      <c r="D1430" s="2" t="s">
        <v>51</v>
      </c>
      <c r="E1430" s="2" t="s">
        <v>16</v>
      </c>
      <c r="F1430" s="2">
        <v>60</v>
      </c>
      <c r="G1430" s="2" t="s">
        <v>4357</v>
      </c>
      <c r="H1430" s="2" t="s">
        <v>4358</v>
      </c>
      <c r="I1430" s="2" t="s">
        <v>146</v>
      </c>
      <c r="J1430" s="3">
        <v>44910</v>
      </c>
      <c r="K1430" s="2">
        <v>71</v>
      </c>
      <c r="L1430" s="2" t="s">
        <v>39</v>
      </c>
      <c r="M1430" s="3"/>
    </row>
    <row r="1431" spans="1:13" x14ac:dyDescent="0.3">
      <c r="A1431" s="2">
        <v>1430</v>
      </c>
      <c r="B1431" s="2" t="s">
        <v>4359</v>
      </c>
      <c r="C1431" s="2" t="s">
        <v>376</v>
      </c>
      <c r="D1431" s="2" t="s">
        <v>28</v>
      </c>
      <c r="E1431" s="2" t="s">
        <v>29</v>
      </c>
      <c r="F1431" s="2">
        <v>90</v>
      </c>
      <c r="G1431" s="2" t="s">
        <v>4360</v>
      </c>
      <c r="H1431" s="2" t="s">
        <v>4361</v>
      </c>
      <c r="I1431" s="2" t="s">
        <v>4362</v>
      </c>
      <c r="J1431" s="3">
        <v>44460</v>
      </c>
      <c r="K1431" s="2">
        <v>85</v>
      </c>
      <c r="L1431" s="2" t="s">
        <v>54</v>
      </c>
      <c r="M1431" s="3"/>
    </row>
    <row r="1432" spans="1:13" x14ac:dyDescent="0.3">
      <c r="A1432" s="2">
        <v>1431</v>
      </c>
      <c r="B1432" s="2" t="s">
        <v>4363</v>
      </c>
      <c r="C1432" s="2" t="s">
        <v>2188</v>
      </c>
      <c r="D1432" s="2" t="s">
        <v>28</v>
      </c>
      <c r="E1432" s="2" t="s">
        <v>29</v>
      </c>
      <c r="F1432" s="2">
        <v>60</v>
      </c>
      <c r="G1432" s="2" t="s">
        <v>4364</v>
      </c>
      <c r="H1432" s="2" t="s">
        <v>2875</v>
      </c>
      <c r="I1432" s="2" t="s">
        <v>32</v>
      </c>
      <c r="J1432" s="3">
        <v>44787</v>
      </c>
      <c r="K1432" s="2">
        <v>105</v>
      </c>
      <c r="L1432" s="2" t="s">
        <v>45</v>
      </c>
      <c r="M1432" s="3"/>
    </row>
    <row r="1433" spans="1:13" x14ac:dyDescent="0.3">
      <c r="A1433" s="2">
        <v>1432</v>
      </c>
      <c r="B1433" s="2" t="s">
        <v>4365</v>
      </c>
      <c r="C1433" s="2" t="s">
        <v>4366</v>
      </c>
      <c r="D1433" s="2" t="s">
        <v>28</v>
      </c>
      <c r="E1433" s="2" t="s">
        <v>29</v>
      </c>
      <c r="F1433" s="2">
        <v>90</v>
      </c>
      <c r="G1433" s="2" t="s">
        <v>4367</v>
      </c>
      <c r="H1433" s="2" t="s">
        <v>1362</v>
      </c>
      <c r="I1433" s="2" t="s">
        <v>178</v>
      </c>
      <c r="J1433" s="3">
        <v>44801</v>
      </c>
      <c r="K1433" s="2">
        <v>93</v>
      </c>
      <c r="L1433" s="2" t="s">
        <v>80</v>
      </c>
      <c r="M1433" s="3"/>
    </row>
    <row r="1434" spans="1:13" x14ac:dyDescent="0.3">
      <c r="A1434" s="2">
        <v>1433</v>
      </c>
      <c r="B1434" s="2" t="s">
        <v>4368</v>
      </c>
      <c r="C1434" s="2" t="s">
        <v>3237</v>
      </c>
      <c r="D1434" s="2" t="s">
        <v>28</v>
      </c>
      <c r="E1434" s="2" t="s">
        <v>29</v>
      </c>
      <c r="F1434" s="2">
        <v>90</v>
      </c>
      <c r="G1434" s="2" t="s">
        <v>4369</v>
      </c>
      <c r="H1434" s="2" t="s">
        <v>195</v>
      </c>
      <c r="I1434" s="2" t="s">
        <v>187</v>
      </c>
      <c r="J1434" s="3">
        <v>43920</v>
      </c>
      <c r="K1434" s="2">
        <v>59</v>
      </c>
      <c r="L1434" s="2" t="s">
        <v>159</v>
      </c>
      <c r="M1434" s="3"/>
    </row>
    <row r="1435" spans="1:13" x14ac:dyDescent="0.3">
      <c r="A1435" s="2">
        <v>1434</v>
      </c>
      <c r="B1435" s="2" t="s">
        <v>4370</v>
      </c>
      <c r="C1435" s="2" t="s">
        <v>197</v>
      </c>
      <c r="D1435" s="2" t="s">
        <v>51</v>
      </c>
      <c r="E1435" s="2" t="s">
        <v>16</v>
      </c>
      <c r="F1435" s="2">
        <v>30</v>
      </c>
      <c r="G1435" s="2" t="s">
        <v>4371</v>
      </c>
      <c r="H1435" s="2" t="s">
        <v>3951</v>
      </c>
      <c r="I1435" s="2" t="s">
        <v>1576</v>
      </c>
      <c r="J1435" s="3">
        <v>44662</v>
      </c>
      <c r="K1435" s="2">
        <v>76</v>
      </c>
      <c r="L1435" s="2" t="s">
        <v>33</v>
      </c>
      <c r="M1435" s="3"/>
    </row>
    <row r="1436" spans="1:13" x14ac:dyDescent="0.3">
      <c r="A1436" s="2">
        <v>1435</v>
      </c>
      <c r="B1436" s="2" t="s">
        <v>4372</v>
      </c>
      <c r="C1436" s="2" t="s">
        <v>4373</v>
      </c>
      <c r="D1436" s="2" t="s">
        <v>28</v>
      </c>
      <c r="E1436" s="2" t="s">
        <v>29</v>
      </c>
      <c r="F1436" s="2">
        <v>60</v>
      </c>
      <c r="G1436" s="2" t="s">
        <v>4374</v>
      </c>
      <c r="H1436" s="2" t="s">
        <v>641</v>
      </c>
      <c r="I1436" s="2" t="s">
        <v>294</v>
      </c>
      <c r="J1436" s="3">
        <v>44899</v>
      </c>
      <c r="K1436" s="2">
        <v>59</v>
      </c>
      <c r="L1436" s="2" t="s">
        <v>159</v>
      </c>
      <c r="M1436" s="3"/>
    </row>
    <row r="1437" spans="1:13" x14ac:dyDescent="0.3">
      <c r="A1437" s="2">
        <v>1436</v>
      </c>
      <c r="B1437" s="2" t="s">
        <v>4375</v>
      </c>
      <c r="C1437" s="2" t="s">
        <v>4376</v>
      </c>
      <c r="D1437" s="2" t="s">
        <v>28</v>
      </c>
      <c r="E1437" s="2" t="s">
        <v>29</v>
      </c>
      <c r="F1437" s="2">
        <v>30</v>
      </c>
      <c r="G1437" s="2" t="s">
        <v>4377</v>
      </c>
      <c r="H1437" s="2" t="s">
        <v>3236</v>
      </c>
      <c r="I1437" s="2" t="s">
        <v>32</v>
      </c>
      <c r="J1437" s="3">
        <v>43906</v>
      </c>
      <c r="K1437" s="2">
        <v>2</v>
      </c>
      <c r="L1437" s="2" t="s">
        <v>33</v>
      </c>
      <c r="M1437" s="3"/>
    </row>
    <row r="1438" spans="1:13" x14ac:dyDescent="0.3">
      <c r="A1438" s="2">
        <v>1437</v>
      </c>
      <c r="B1438" s="2" t="s">
        <v>4378</v>
      </c>
      <c r="C1438" s="2" t="s">
        <v>4379</v>
      </c>
      <c r="D1438" s="2" t="s">
        <v>28</v>
      </c>
      <c r="E1438" s="2" t="s">
        <v>29</v>
      </c>
      <c r="F1438" s="2">
        <v>30</v>
      </c>
      <c r="G1438" s="2" t="s">
        <v>4380</v>
      </c>
      <c r="H1438" s="2" t="s">
        <v>4381</v>
      </c>
      <c r="I1438" s="2" t="s">
        <v>886</v>
      </c>
      <c r="J1438" s="3">
        <v>44520</v>
      </c>
      <c r="K1438" s="2">
        <v>71</v>
      </c>
      <c r="L1438" s="2" t="s">
        <v>20</v>
      </c>
      <c r="M1438" s="3"/>
    </row>
    <row r="1439" spans="1:13" x14ac:dyDescent="0.3">
      <c r="A1439" s="2">
        <v>1438</v>
      </c>
      <c r="B1439" s="2" t="s">
        <v>4382</v>
      </c>
      <c r="C1439" s="2" t="s">
        <v>1665</v>
      </c>
      <c r="D1439" s="2" t="s">
        <v>51</v>
      </c>
      <c r="E1439" s="2" t="s">
        <v>16</v>
      </c>
      <c r="F1439" s="2">
        <v>30</v>
      </c>
      <c r="G1439" s="2" t="s">
        <v>4383</v>
      </c>
      <c r="H1439" s="2" t="s">
        <v>154</v>
      </c>
      <c r="I1439" s="2" t="s">
        <v>25</v>
      </c>
      <c r="J1439" s="3">
        <v>44009</v>
      </c>
      <c r="K1439" s="2">
        <v>30</v>
      </c>
      <c r="L1439" s="2" t="s">
        <v>101</v>
      </c>
      <c r="M1439" s="3"/>
    </row>
    <row r="1440" spans="1:13" x14ac:dyDescent="0.3">
      <c r="A1440" s="2">
        <v>1439</v>
      </c>
      <c r="B1440" s="2" t="s">
        <v>1246</v>
      </c>
      <c r="C1440" s="2" t="s">
        <v>4384</v>
      </c>
      <c r="D1440" s="2" t="s">
        <v>28</v>
      </c>
      <c r="E1440" s="2" t="s">
        <v>29</v>
      </c>
      <c r="F1440" s="2">
        <v>90</v>
      </c>
      <c r="G1440" s="2" t="s">
        <v>4385</v>
      </c>
      <c r="H1440" s="2" t="s">
        <v>4386</v>
      </c>
      <c r="I1440" s="2" t="s">
        <v>32</v>
      </c>
      <c r="J1440" s="3">
        <v>43833</v>
      </c>
      <c r="K1440" s="2">
        <v>55</v>
      </c>
      <c r="L1440" s="2" t="s">
        <v>80</v>
      </c>
      <c r="M1440" s="3"/>
    </row>
    <row r="1441" spans="1:13" x14ac:dyDescent="0.3">
      <c r="A1441" s="2">
        <v>1440</v>
      </c>
      <c r="B1441" s="2" t="s">
        <v>90</v>
      </c>
      <c r="C1441" s="2" t="s">
        <v>4387</v>
      </c>
      <c r="D1441" s="2" t="s">
        <v>51</v>
      </c>
      <c r="E1441" s="2" t="s">
        <v>16</v>
      </c>
      <c r="F1441" s="2">
        <v>60</v>
      </c>
      <c r="G1441" s="2" t="s">
        <v>4388</v>
      </c>
      <c r="H1441" s="2" t="s">
        <v>4389</v>
      </c>
      <c r="I1441" s="2" t="s">
        <v>32</v>
      </c>
      <c r="J1441" s="3">
        <v>44206</v>
      </c>
      <c r="K1441" s="2">
        <v>82</v>
      </c>
      <c r="L1441" s="2" t="s">
        <v>159</v>
      </c>
      <c r="M1441" s="3"/>
    </row>
    <row r="1442" spans="1:13" x14ac:dyDescent="0.3">
      <c r="A1442" s="2">
        <v>1441</v>
      </c>
      <c r="B1442" s="2" t="s">
        <v>4390</v>
      </c>
      <c r="C1442" s="2" t="s">
        <v>4324</v>
      </c>
      <c r="D1442" s="2" t="s">
        <v>28</v>
      </c>
      <c r="E1442" s="2" t="s">
        <v>29</v>
      </c>
      <c r="F1442" s="2">
        <v>60</v>
      </c>
      <c r="G1442" s="2" t="s">
        <v>4391</v>
      </c>
      <c r="H1442" s="2" t="s">
        <v>137</v>
      </c>
      <c r="I1442" s="2" t="s">
        <v>32</v>
      </c>
      <c r="J1442" s="3">
        <v>44764</v>
      </c>
      <c r="K1442" s="2">
        <v>35</v>
      </c>
      <c r="L1442" s="2" t="s">
        <v>64</v>
      </c>
      <c r="M1442" s="3"/>
    </row>
    <row r="1443" spans="1:13" x14ac:dyDescent="0.3">
      <c r="A1443" s="2">
        <v>1442</v>
      </c>
      <c r="B1443" s="2" t="s">
        <v>4392</v>
      </c>
      <c r="C1443" s="2" t="s">
        <v>4393</v>
      </c>
      <c r="D1443" s="2" t="s">
        <v>117</v>
      </c>
      <c r="E1443" s="2" t="s">
        <v>29</v>
      </c>
      <c r="F1443" s="2">
        <v>90</v>
      </c>
      <c r="G1443" s="2" t="s">
        <v>4394</v>
      </c>
      <c r="H1443" s="2" t="s">
        <v>2890</v>
      </c>
      <c r="I1443" s="2" t="s">
        <v>32</v>
      </c>
      <c r="J1443" s="3">
        <v>44892</v>
      </c>
      <c r="K1443" s="2">
        <v>32</v>
      </c>
      <c r="L1443" s="2" t="s">
        <v>45</v>
      </c>
      <c r="M1443" s="3"/>
    </row>
    <row r="1444" spans="1:13" x14ac:dyDescent="0.3">
      <c r="A1444" s="2">
        <v>1443</v>
      </c>
      <c r="B1444" s="2" t="s">
        <v>4395</v>
      </c>
      <c r="C1444" s="2" t="s">
        <v>4396</v>
      </c>
      <c r="D1444" s="2" t="s">
        <v>28</v>
      </c>
      <c r="E1444" s="2" t="s">
        <v>29</v>
      </c>
      <c r="F1444" s="2">
        <v>30</v>
      </c>
      <c r="G1444" s="2" t="s">
        <v>4397</v>
      </c>
      <c r="H1444" s="2" t="s">
        <v>1186</v>
      </c>
      <c r="I1444" s="2" t="s">
        <v>32</v>
      </c>
      <c r="J1444" s="3">
        <v>44846</v>
      </c>
      <c r="K1444" s="2">
        <v>13</v>
      </c>
      <c r="L1444" s="2" t="s">
        <v>54</v>
      </c>
      <c r="M1444" s="3"/>
    </row>
    <row r="1445" spans="1:13" x14ac:dyDescent="0.3">
      <c r="A1445" s="2">
        <v>1444</v>
      </c>
      <c r="B1445" s="2" t="s">
        <v>1116</v>
      </c>
      <c r="C1445" s="2" t="s">
        <v>375</v>
      </c>
      <c r="D1445" s="2" t="s">
        <v>28</v>
      </c>
      <c r="E1445" s="2" t="s">
        <v>29</v>
      </c>
      <c r="F1445" s="2">
        <v>90</v>
      </c>
      <c r="G1445" s="2" t="s">
        <v>4398</v>
      </c>
      <c r="H1445" s="2" t="s">
        <v>3897</v>
      </c>
      <c r="I1445" s="2" t="s">
        <v>3898</v>
      </c>
      <c r="J1445" s="3">
        <v>43999</v>
      </c>
      <c r="K1445" s="2">
        <v>14</v>
      </c>
      <c r="L1445" s="2" t="s">
        <v>159</v>
      </c>
      <c r="M1445" s="3"/>
    </row>
    <row r="1446" spans="1:13" x14ac:dyDescent="0.3">
      <c r="A1446" s="2">
        <v>1445</v>
      </c>
      <c r="B1446" s="2" t="s">
        <v>1405</v>
      </c>
      <c r="C1446" s="2" t="s">
        <v>4399</v>
      </c>
      <c r="D1446" s="2" t="s">
        <v>28</v>
      </c>
      <c r="E1446" s="2" t="s">
        <v>29</v>
      </c>
      <c r="F1446" s="2">
        <v>30</v>
      </c>
      <c r="G1446" s="2" t="s">
        <v>4400</v>
      </c>
      <c r="H1446" s="2" t="s">
        <v>3242</v>
      </c>
      <c r="I1446" s="2" t="s">
        <v>32</v>
      </c>
      <c r="J1446" s="3">
        <v>44606</v>
      </c>
      <c r="K1446" s="2">
        <v>5</v>
      </c>
      <c r="L1446" s="2" t="s">
        <v>159</v>
      </c>
      <c r="M1446" s="3"/>
    </row>
    <row r="1447" spans="1:13" x14ac:dyDescent="0.3">
      <c r="A1447" s="2">
        <v>1446</v>
      </c>
      <c r="B1447" s="2" t="s">
        <v>4401</v>
      </c>
      <c r="C1447" s="2" t="s">
        <v>4402</v>
      </c>
      <c r="D1447" s="2" t="s">
        <v>28</v>
      </c>
      <c r="E1447" s="2" t="s">
        <v>29</v>
      </c>
      <c r="F1447" s="2">
        <v>30</v>
      </c>
      <c r="G1447" s="2" t="s">
        <v>4403</v>
      </c>
      <c r="H1447" s="2" t="s">
        <v>4404</v>
      </c>
      <c r="I1447" s="2" t="s">
        <v>32</v>
      </c>
      <c r="J1447" s="3">
        <v>44383</v>
      </c>
      <c r="K1447" s="2">
        <v>15</v>
      </c>
      <c r="L1447" s="2" t="s">
        <v>39</v>
      </c>
      <c r="M1447" s="3"/>
    </row>
    <row r="1448" spans="1:13" x14ac:dyDescent="0.3">
      <c r="A1448" s="2">
        <v>1447</v>
      </c>
      <c r="B1448" s="2" t="s">
        <v>4405</v>
      </c>
      <c r="C1448" s="2" t="s">
        <v>4156</v>
      </c>
      <c r="D1448" s="2" t="s">
        <v>15</v>
      </c>
      <c r="E1448" s="2" t="s">
        <v>16</v>
      </c>
      <c r="F1448" s="2">
        <v>60</v>
      </c>
      <c r="G1448" s="2" t="s">
        <v>4406</v>
      </c>
      <c r="H1448" s="2" t="s">
        <v>3462</v>
      </c>
      <c r="I1448" s="2" t="s">
        <v>32</v>
      </c>
      <c r="J1448" s="3">
        <v>44614</v>
      </c>
      <c r="K1448" s="2">
        <v>2</v>
      </c>
      <c r="L1448" s="2" t="s">
        <v>64</v>
      </c>
      <c r="M1448" s="3"/>
    </row>
    <row r="1449" spans="1:13" x14ac:dyDescent="0.3">
      <c r="A1449" s="2">
        <v>1448</v>
      </c>
      <c r="B1449" s="2" t="s">
        <v>4407</v>
      </c>
      <c r="C1449" s="2" t="s">
        <v>2298</v>
      </c>
      <c r="D1449" s="2" t="s">
        <v>41</v>
      </c>
      <c r="E1449" s="2" t="s">
        <v>16</v>
      </c>
      <c r="F1449" s="2">
        <v>30</v>
      </c>
      <c r="G1449" s="2" t="s">
        <v>4408</v>
      </c>
      <c r="H1449" s="2" t="s">
        <v>4409</v>
      </c>
      <c r="I1449" s="2" t="s">
        <v>294</v>
      </c>
      <c r="J1449" s="3">
        <v>44229</v>
      </c>
      <c r="K1449" s="2">
        <v>34</v>
      </c>
      <c r="L1449" s="2" t="s">
        <v>20</v>
      </c>
      <c r="M1449" s="3"/>
    </row>
    <row r="1450" spans="1:13" x14ac:dyDescent="0.3">
      <c r="A1450" s="2">
        <v>1449</v>
      </c>
      <c r="B1450" s="2" t="s">
        <v>1333</v>
      </c>
      <c r="C1450" s="2" t="s">
        <v>4410</v>
      </c>
      <c r="D1450" s="2" t="s">
        <v>51</v>
      </c>
      <c r="E1450" s="2" t="s">
        <v>16</v>
      </c>
      <c r="F1450" s="2">
        <v>30</v>
      </c>
      <c r="G1450" s="2" t="s">
        <v>4408</v>
      </c>
      <c r="H1450" s="2" t="s">
        <v>924</v>
      </c>
      <c r="I1450" s="2" t="s">
        <v>32</v>
      </c>
      <c r="J1450" s="3">
        <v>43910</v>
      </c>
      <c r="K1450" s="2">
        <v>41</v>
      </c>
      <c r="L1450" s="2" t="s">
        <v>159</v>
      </c>
      <c r="M1450" s="3"/>
    </row>
    <row r="1451" spans="1:13" x14ac:dyDescent="0.3">
      <c r="A1451" s="2">
        <v>1450</v>
      </c>
      <c r="B1451" s="2" t="s">
        <v>4411</v>
      </c>
      <c r="C1451" s="2" t="s">
        <v>1330</v>
      </c>
      <c r="D1451" s="2" t="s">
        <v>28</v>
      </c>
      <c r="E1451" s="2" t="s">
        <v>29</v>
      </c>
      <c r="F1451" s="2">
        <v>30</v>
      </c>
      <c r="G1451" s="2" t="s">
        <v>4412</v>
      </c>
      <c r="H1451" s="2" t="s">
        <v>4413</v>
      </c>
      <c r="I1451" s="2" t="s">
        <v>32</v>
      </c>
      <c r="J1451" s="3">
        <v>44081</v>
      </c>
      <c r="K1451" s="2">
        <v>45</v>
      </c>
      <c r="L1451" s="2" t="s">
        <v>20</v>
      </c>
      <c r="M1451" s="3"/>
    </row>
    <row r="1452" spans="1:13" x14ac:dyDescent="0.3">
      <c r="A1452" s="2">
        <v>1451</v>
      </c>
      <c r="B1452" s="2" t="s">
        <v>4414</v>
      </c>
      <c r="C1452" s="2" t="s">
        <v>3051</v>
      </c>
      <c r="D1452" s="2" t="s">
        <v>28</v>
      </c>
      <c r="E1452" s="2" t="s">
        <v>29</v>
      </c>
      <c r="F1452" s="2">
        <v>30</v>
      </c>
      <c r="G1452" s="2" t="s">
        <v>4412</v>
      </c>
      <c r="H1452" s="2" t="s">
        <v>4415</v>
      </c>
      <c r="I1452" s="2" t="s">
        <v>32</v>
      </c>
      <c r="J1452" s="3">
        <v>44149</v>
      </c>
      <c r="K1452" s="2">
        <v>32</v>
      </c>
      <c r="L1452" s="2" t="s">
        <v>80</v>
      </c>
      <c r="M1452" s="3"/>
    </row>
    <row r="1453" spans="1:13" x14ac:dyDescent="0.3">
      <c r="A1453" s="2">
        <v>1452</v>
      </c>
      <c r="B1453" s="2" t="s">
        <v>1187</v>
      </c>
      <c r="C1453" s="2" t="s">
        <v>4416</v>
      </c>
      <c r="D1453" s="2" t="s">
        <v>28</v>
      </c>
      <c r="E1453" s="2" t="s">
        <v>29</v>
      </c>
      <c r="F1453" s="2">
        <v>60</v>
      </c>
      <c r="G1453" s="2" t="s">
        <v>4417</v>
      </c>
      <c r="H1453" s="2" t="s">
        <v>734</v>
      </c>
      <c r="I1453" s="2" t="s">
        <v>32</v>
      </c>
      <c r="J1453" s="3">
        <v>44871</v>
      </c>
      <c r="K1453" s="2">
        <v>4</v>
      </c>
      <c r="L1453" s="2" t="s">
        <v>20</v>
      </c>
      <c r="M1453" s="3"/>
    </row>
    <row r="1454" spans="1:13" x14ac:dyDescent="0.3">
      <c r="A1454" s="2">
        <v>1453</v>
      </c>
      <c r="B1454" s="2" t="s">
        <v>4418</v>
      </c>
      <c r="C1454" s="2" t="s">
        <v>2561</v>
      </c>
      <c r="D1454" s="2" t="s">
        <v>15</v>
      </c>
      <c r="E1454" s="2" t="s">
        <v>16</v>
      </c>
      <c r="F1454" s="2">
        <v>60</v>
      </c>
      <c r="G1454" s="2" t="s">
        <v>4417</v>
      </c>
      <c r="H1454" s="2" t="s">
        <v>2987</v>
      </c>
      <c r="I1454" s="2" t="s">
        <v>32</v>
      </c>
      <c r="J1454" s="3">
        <v>44413</v>
      </c>
      <c r="K1454" s="2">
        <v>22</v>
      </c>
      <c r="L1454" s="2" t="s">
        <v>20</v>
      </c>
      <c r="M1454" s="3"/>
    </row>
    <row r="1455" spans="1:13" x14ac:dyDescent="0.3">
      <c r="A1455" s="2">
        <v>1454</v>
      </c>
      <c r="B1455" s="2" t="s">
        <v>4419</v>
      </c>
      <c r="C1455" s="2" t="s">
        <v>4420</v>
      </c>
      <c r="D1455" s="2" t="s">
        <v>15</v>
      </c>
      <c r="E1455" s="2" t="s">
        <v>16</v>
      </c>
      <c r="F1455" s="2">
        <v>60</v>
      </c>
      <c r="G1455" s="2" t="s">
        <v>4421</v>
      </c>
      <c r="H1455" s="2" t="s">
        <v>2179</v>
      </c>
      <c r="I1455" s="2" t="s">
        <v>294</v>
      </c>
      <c r="J1455" s="3">
        <v>44877</v>
      </c>
      <c r="K1455" s="2">
        <v>41</v>
      </c>
      <c r="L1455" s="2" t="s">
        <v>39</v>
      </c>
      <c r="M1455" s="3"/>
    </row>
    <row r="1456" spans="1:13" x14ac:dyDescent="0.3">
      <c r="A1456" s="2">
        <v>1455</v>
      </c>
      <c r="B1456" s="2" t="s">
        <v>2906</v>
      </c>
      <c r="C1456" s="2" t="s">
        <v>4422</v>
      </c>
      <c r="D1456" s="2" t="s">
        <v>28</v>
      </c>
      <c r="E1456" s="2" t="s">
        <v>29</v>
      </c>
      <c r="F1456" s="2">
        <v>60</v>
      </c>
      <c r="G1456" s="2" t="s">
        <v>4423</v>
      </c>
      <c r="H1456" s="2" t="s">
        <v>4424</v>
      </c>
      <c r="I1456" s="2" t="s">
        <v>25</v>
      </c>
      <c r="J1456" s="3">
        <v>43859</v>
      </c>
      <c r="K1456" s="2">
        <v>12</v>
      </c>
      <c r="L1456" s="2" t="s">
        <v>33</v>
      </c>
      <c r="M1456" s="3"/>
    </row>
    <row r="1457" spans="1:13" x14ac:dyDescent="0.3">
      <c r="A1457" s="2">
        <v>1456</v>
      </c>
      <c r="B1457" s="2" t="s">
        <v>3927</v>
      </c>
      <c r="C1457" s="2" t="s">
        <v>4425</v>
      </c>
      <c r="D1457" s="2" t="s">
        <v>28</v>
      </c>
      <c r="E1457" s="2" t="s">
        <v>29</v>
      </c>
      <c r="F1457" s="2">
        <v>30</v>
      </c>
      <c r="G1457" s="2" t="s">
        <v>4426</v>
      </c>
      <c r="H1457" s="2" t="s">
        <v>912</v>
      </c>
      <c r="I1457" s="2" t="s">
        <v>913</v>
      </c>
      <c r="J1457" s="3">
        <v>44638</v>
      </c>
      <c r="K1457" s="2">
        <v>14</v>
      </c>
      <c r="L1457" s="2" t="s">
        <v>39</v>
      </c>
      <c r="M1457" s="3"/>
    </row>
    <row r="1458" spans="1:13" x14ac:dyDescent="0.3">
      <c r="A1458" s="2">
        <v>1457</v>
      </c>
      <c r="B1458" s="2" t="s">
        <v>4427</v>
      </c>
      <c r="C1458" s="2" t="s">
        <v>2912</v>
      </c>
      <c r="D1458" s="2" t="s">
        <v>15</v>
      </c>
      <c r="E1458" s="2" t="s">
        <v>16</v>
      </c>
      <c r="F1458" s="2">
        <v>60</v>
      </c>
      <c r="G1458" s="2" t="s">
        <v>4428</v>
      </c>
      <c r="H1458" s="2" t="s">
        <v>587</v>
      </c>
      <c r="I1458" s="2" t="s">
        <v>25</v>
      </c>
      <c r="J1458" s="3">
        <v>44448</v>
      </c>
      <c r="K1458" s="2">
        <v>74</v>
      </c>
      <c r="L1458" s="2" t="s">
        <v>20</v>
      </c>
      <c r="M1458" s="3"/>
    </row>
    <row r="1459" spans="1:13" x14ac:dyDescent="0.3">
      <c r="A1459" s="2">
        <v>1458</v>
      </c>
      <c r="B1459" s="2" t="s">
        <v>2837</v>
      </c>
      <c r="C1459" s="2" t="s">
        <v>3314</v>
      </c>
      <c r="D1459" s="2" t="s">
        <v>28</v>
      </c>
      <c r="E1459" s="2" t="s">
        <v>29</v>
      </c>
      <c r="F1459" s="2">
        <v>90</v>
      </c>
      <c r="G1459" s="2" t="s">
        <v>4429</v>
      </c>
      <c r="H1459" s="2" t="s">
        <v>2265</v>
      </c>
      <c r="I1459" s="2" t="s">
        <v>1083</v>
      </c>
      <c r="J1459" s="3">
        <v>44363</v>
      </c>
      <c r="K1459" s="2">
        <v>25</v>
      </c>
      <c r="L1459" s="2" t="s">
        <v>101</v>
      </c>
      <c r="M1459" s="3"/>
    </row>
    <row r="1460" spans="1:13" x14ac:dyDescent="0.3">
      <c r="A1460" s="2">
        <v>1459</v>
      </c>
      <c r="B1460" s="2" t="s">
        <v>4430</v>
      </c>
      <c r="C1460" s="2" t="s">
        <v>2575</v>
      </c>
      <c r="D1460" s="2" t="s">
        <v>28</v>
      </c>
      <c r="E1460" s="2" t="s">
        <v>29</v>
      </c>
      <c r="F1460" s="2">
        <v>30</v>
      </c>
      <c r="G1460" s="2" t="s">
        <v>4431</v>
      </c>
      <c r="H1460" s="2" t="s">
        <v>4432</v>
      </c>
      <c r="I1460" s="2" t="s">
        <v>32</v>
      </c>
      <c r="J1460" s="3">
        <v>43933</v>
      </c>
      <c r="K1460" s="2">
        <v>45</v>
      </c>
      <c r="L1460" s="2" t="s">
        <v>45</v>
      </c>
      <c r="M1460" s="3"/>
    </row>
    <row r="1461" spans="1:13" x14ac:dyDescent="0.3">
      <c r="A1461" s="2">
        <v>1460</v>
      </c>
      <c r="B1461" s="2" t="s">
        <v>2746</v>
      </c>
      <c r="C1461" s="2" t="s">
        <v>1789</v>
      </c>
      <c r="D1461" s="2" t="s">
        <v>51</v>
      </c>
      <c r="E1461" s="2" t="s">
        <v>16</v>
      </c>
      <c r="F1461" s="2">
        <v>30</v>
      </c>
      <c r="G1461" s="2" t="s">
        <v>4433</v>
      </c>
      <c r="H1461" s="2" t="s">
        <v>2559</v>
      </c>
      <c r="I1461" s="2" t="s">
        <v>124</v>
      </c>
      <c r="J1461" s="3">
        <v>44208</v>
      </c>
      <c r="K1461" s="2">
        <v>80</v>
      </c>
      <c r="L1461" s="2" t="s">
        <v>45</v>
      </c>
      <c r="M1461" s="3"/>
    </row>
    <row r="1462" spans="1:13" x14ac:dyDescent="0.3">
      <c r="A1462" s="2">
        <v>1461</v>
      </c>
      <c r="B1462" s="2" t="s">
        <v>2050</v>
      </c>
      <c r="C1462" s="2" t="s">
        <v>4434</v>
      </c>
      <c r="D1462" s="2" t="s">
        <v>92</v>
      </c>
      <c r="E1462" s="2" t="s">
        <v>29</v>
      </c>
      <c r="F1462" s="2">
        <v>30</v>
      </c>
      <c r="G1462" s="2" t="s">
        <v>4435</v>
      </c>
      <c r="H1462" s="2" t="s">
        <v>3713</v>
      </c>
      <c r="I1462" s="2" t="s">
        <v>32</v>
      </c>
      <c r="J1462" s="3">
        <v>43960</v>
      </c>
      <c r="K1462" s="2">
        <v>5</v>
      </c>
      <c r="L1462" s="2" t="s">
        <v>33</v>
      </c>
      <c r="M1462" s="3"/>
    </row>
    <row r="1463" spans="1:13" x14ac:dyDescent="0.3">
      <c r="A1463" s="2">
        <v>1462</v>
      </c>
      <c r="B1463" s="2" t="s">
        <v>4436</v>
      </c>
      <c r="C1463" s="2" t="s">
        <v>489</v>
      </c>
      <c r="D1463" s="2" t="s">
        <v>15</v>
      </c>
      <c r="E1463" s="2" t="s">
        <v>16</v>
      </c>
      <c r="F1463" s="2">
        <v>30</v>
      </c>
      <c r="G1463" s="2" t="s">
        <v>4437</v>
      </c>
      <c r="H1463" s="2" t="s">
        <v>1401</v>
      </c>
      <c r="I1463" s="2" t="s">
        <v>1402</v>
      </c>
      <c r="J1463" s="3">
        <v>44663</v>
      </c>
      <c r="K1463" s="2">
        <v>63</v>
      </c>
      <c r="L1463" s="2" t="s">
        <v>20</v>
      </c>
      <c r="M1463" s="3"/>
    </row>
    <row r="1464" spans="1:13" x14ac:dyDescent="0.3">
      <c r="A1464" s="2">
        <v>1463</v>
      </c>
      <c r="B1464" s="2" t="s">
        <v>4438</v>
      </c>
      <c r="C1464" s="2" t="s">
        <v>4439</v>
      </c>
      <c r="D1464" s="2" t="s">
        <v>28</v>
      </c>
      <c r="E1464" s="2" t="s">
        <v>29</v>
      </c>
      <c r="F1464" s="2">
        <v>90</v>
      </c>
      <c r="G1464" s="2" t="s">
        <v>4440</v>
      </c>
      <c r="H1464" s="2" t="s">
        <v>4441</v>
      </c>
      <c r="I1464" s="2" t="s">
        <v>146</v>
      </c>
      <c r="J1464" s="3">
        <v>44509</v>
      </c>
      <c r="K1464" s="2">
        <v>76</v>
      </c>
      <c r="L1464" s="2" t="s">
        <v>33</v>
      </c>
      <c r="M1464" s="3"/>
    </row>
    <row r="1465" spans="1:13" x14ac:dyDescent="0.3">
      <c r="A1465" s="2">
        <v>1464</v>
      </c>
      <c r="B1465" s="2" t="s">
        <v>4094</v>
      </c>
      <c r="C1465" s="2" t="s">
        <v>1623</v>
      </c>
      <c r="D1465" s="2" t="s">
        <v>28</v>
      </c>
      <c r="E1465" s="2" t="s">
        <v>29</v>
      </c>
      <c r="F1465" s="2">
        <v>60</v>
      </c>
      <c r="G1465" s="2" t="s">
        <v>4442</v>
      </c>
      <c r="H1465" s="2" t="s">
        <v>2972</v>
      </c>
      <c r="I1465" s="2" t="s">
        <v>32</v>
      </c>
      <c r="J1465" s="3">
        <v>44255</v>
      </c>
      <c r="K1465" s="2">
        <v>80</v>
      </c>
      <c r="L1465" s="2" t="s">
        <v>54</v>
      </c>
      <c r="M1465" s="3"/>
    </row>
    <row r="1466" spans="1:13" x14ac:dyDescent="0.3">
      <c r="A1466" s="2">
        <v>1465</v>
      </c>
      <c r="B1466" s="2" t="s">
        <v>3688</v>
      </c>
      <c r="C1466" s="2" t="s">
        <v>3917</v>
      </c>
      <c r="D1466" s="2" t="s">
        <v>28</v>
      </c>
      <c r="E1466" s="2" t="s">
        <v>29</v>
      </c>
      <c r="F1466" s="2">
        <v>60</v>
      </c>
      <c r="G1466" s="2" t="s">
        <v>4443</v>
      </c>
      <c r="H1466" s="2" t="s">
        <v>698</v>
      </c>
      <c r="I1466" s="2" t="s">
        <v>213</v>
      </c>
      <c r="J1466" s="3">
        <v>44473</v>
      </c>
      <c r="K1466" s="2">
        <v>79</v>
      </c>
      <c r="L1466" s="2" t="s">
        <v>159</v>
      </c>
      <c r="M1466" s="3"/>
    </row>
    <row r="1467" spans="1:13" x14ac:dyDescent="0.3">
      <c r="A1467" s="2">
        <v>1466</v>
      </c>
      <c r="B1467" s="2" t="s">
        <v>2138</v>
      </c>
      <c r="C1467" s="2" t="s">
        <v>4444</v>
      </c>
      <c r="D1467" s="2" t="s">
        <v>28</v>
      </c>
      <c r="E1467" s="2" t="s">
        <v>29</v>
      </c>
      <c r="F1467" s="2">
        <v>60</v>
      </c>
      <c r="G1467" s="2" t="s">
        <v>4445</v>
      </c>
      <c r="H1467" s="2" t="s">
        <v>3059</v>
      </c>
      <c r="I1467" s="2" t="s">
        <v>187</v>
      </c>
      <c r="J1467" s="3">
        <v>44811</v>
      </c>
      <c r="K1467" s="2">
        <v>47</v>
      </c>
      <c r="L1467" s="2" t="s">
        <v>70</v>
      </c>
      <c r="M1467" s="3"/>
    </row>
    <row r="1468" spans="1:13" x14ac:dyDescent="0.3">
      <c r="A1468" s="2">
        <v>1467</v>
      </c>
      <c r="B1468" s="2" t="s">
        <v>2138</v>
      </c>
      <c r="C1468" s="2" t="s">
        <v>4444</v>
      </c>
      <c r="D1468" s="2" t="s">
        <v>28</v>
      </c>
      <c r="E1468" s="2" t="s">
        <v>29</v>
      </c>
      <c r="F1468" s="2">
        <v>60</v>
      </c>
      <c r="G1468" s="2" t="s">
        <v>4445</v>
      </c>
      <c r="H1468" s="2" t="s">
        <v>3059</v>
      </c>
      <c r="I1468" s="2" t="s">
        <v>187</v>
      </c>
      <c r="J1468" s="3">
        <v>44811</v>
      </c>
      <c r="K1468" s="2">
        <v>47</v>
      </c>
      <c r="L1468" s="2" t="s">
        <v>70</v>
      </c>
      <c r="M1468" s="3"/>
    </row>
    <row r="1469" spans="1:13" x14ac:dyDescent="0.3">
      <c r="A1469" s="2">
        <v>1468</v>
      </c>
      <c r="B1469" s="2" t="s">
        <v>4446</v>
      </c>
      <c r="C1469" s="2" t="s">
        <v>3447</v>
      </c>
      <c r="D1469" s="2" t="s">
        <v>51</v>
      </c>
      <c r="E1469" s="2" t="s">
        <v>16</v>
      </c>
      <c r="F1469" s="2">
        <v>90</v>
      </c>
      <c r="G1469" s="2" t="s">
        <v>4447</v>
      </c>
      <c r="H1469" s="2" t="s">
        <v>4448</v>
      </c>
      <c r="I1469" s="2" t="s">
        <v>124</v>
      </c>
      <c r="J1469" s="3">
        <v>44231</v>
      </c>
      <c r="K1469" s="2">
        <v>14</v>
      </c>
      <c r="L1469" s="2" t="s">
        <v>70</v>
      </c>
      <c r="M1469" s="3"/>
    </row>
    <row r="1470" spans="1:13" x14ac:dyDescent="0.3">
      <c r="A1470" s="2">
        <v>1469</v>
      </c>
      <c r="B1470" s="2" t="s">
        <v>2900</v>
      </c>
      <c r="C1470" s="2" t="s">
        <v>2618</v>
      </c>
      <c r="D1470" s="2" t="s">
        <v>15</v>
      </c>
      <c r="E1470" s="2" t="s">
        <v>16</v>
      </c>
      <c r="F1470" s="2">
        <v>60</v>
      </c>
      <c r="G1470" s="2" t="s">
        <v>4449</v>
      </c>
      <c r="H1470" s="2" t="s">
        <v>3571</v>
      </c>
      <c r="I1470" s="2" t="s">
        <v>32</v>
      </c>
      <c r="J1470" s="3">
        <v>43955</v>
      </c>
      <c r="K1470" s="2">
        <v>34</v>
      </c>
      <c r="L1470" s="2" t="s">
        <v>80</v>
      </c>
      <c r="M1470" s="3"/>
    </row>
    <row r="1471" spans="1:13" x14ac:dyDescent="0.3">
      <c r="A1471" s="2">
        <v>1470</v>
      </c>
      <c r="B1471" s="2" t="s">
        <v>4450</v>
      </c>
      <c r="C1471" s="2" t="s">
        <v>3314</v>
      </c>
      <c r="D1471" s="2" t="s">
        <v>15</v>
      </c>
      <c r="E1471" s="2" t="s">
        <v>16</v>
      </c>
      <c r="F1471" s="2">
        <v>60</v>
      </c>
      <c r="G1471" s="2" t="s">
        <v>4449</v>
      </c>
      <c r="H1471" s="2" t="s">
        <v>4451</v>
      </c>
      <c r="I1471" s="2" t="s">
        <v>32</v>
      </c>
      <c r="J1471" s="3">
        <v>44109</v>
      </c>
      <c r="K1471" s="2">
        <v>8</v>
      </c>
      <c r="L1471" s="2" t="s">
        <v>80</v>
      </c>
      <c r="M1471" s="3"/>
    </row>
    <row r="1472" spans="1:13" x14ac:dyDescent="0.3">
      <c r="A1472" s="2">
        <v>1471</v>
      </c>
      <c r="B1472" s="2" t="s">
        <v>4452</v>
      </c>
      <c r="C1472" s="2" t="s">
        <v>4261</v>
      </c>
      <c r="D1472" s="2" t="s">
        <v>28</v>
      </c>
      <c r="E1472" s="2" t="s">
        <v>29</v>
      </c>
      <c r="F1472" s="2">
        <v>90</v>
      </c>
      <c r="G1472" s="2" t="s">
        <v>4453</v>
      </c>
      <c r="H1472" s="2" t="s">
        <v>3203</v>
      </c>
      <c r="I1472" s="2" t="s">
        <v>32</v>
      </c>
      <c r="J1472" s="3">
        <v>44235</v>
      </c>
      <c r="K1472" s="2">
        <v>31</v>
      </c>
      <c r="L1472" s="2" t="s">
        <v>159</v>
      </c>
      <c r="M1472" s="3"/>
    </row>
    <row r="1473" spans="1:13" x14ac:dyDescent="0.3">
      <c r="A1473" s="2">
        <v>1472</v>
      </c>
      <c r="B1473" s="2" t="s">
        <v>2312</v>
      </c>
      <c r="C1473" s="2" t="s">
        <v>434</v>
      </c>
      <c r="D1473" s="2" t="s">
        <v>28</v>
      </c>
      <c r="E1473" s="2" t="s">
        <v>29</v>
      </c>
      <c r="F1473" s="2">
        <v>30</v>
      </c>
      <c r="G1473" s="2" t="s">
        <v>4454</v>
      </c>
      <c r="H1473" s="2" t="s">
        <v>2768</v>
      </c>
      <c r="I1473" s="2" t="s">
        <v>554</v>
      </c>
      <c r="J1473" s="3">
        <v>43942</v>
      </c>
      <c r="K1473" s="2">
        <v>18</v>
      </c>
      <c r="L1473" s="2" t="s">
        <v>20</v>
      </c>
      <c r="M1473" s="3"/>
    </row>
    <row r="1474" spans="1:13" x14ac:dyDescent="0.3">
      <c r="A1474" s="2">
        <v>1473</v>
      </c>
      <c r="B1474" s="2" t="s">
        <v>4455</v>
      </c>
      <c r="C1474" s="2" t="s">
        <v>4456</v>
      </c>
      <c r="D1474" s="2" t="s">
        <v>15</v>
      </c>
      <c r="E1474" s="2" t="s">
        <v>16</v>
      </c>
      <c r="F1474" s="2">
        <v>90</v>
      </c>
      <c r="G1474" s="2" t="s">
        <v>4457</v>
      </c>
      <c r="H1474" s="2" t="s">
        <v>1422</v>
      </c>
      <c r="I1474" s="2" t="s">
        <v>575</v>
      </c>
      <c r="J1474" s="3">
        <v>44081</v>
      </c>
      <c r="K1474" s="2">
        <v>44</v>
      </c>
      <c r="L1474" s="2" t="s">
        <v>80</v>
      </c>
      <c r="M1474" s="3"/>
    </row>
    <row r="1475" spans="1:13" x14ac:dyDescent="0.3">
      <c r="A1475" s="2">
        <v>1474</v>
      </c>
      <c r="B1475" s="2" t="s">
        <v>4458</v>
      </c>
      <c r="C1475" s="2" t="s">
        <v>688</v>
      </c>
      <c r="D1475" s="2" t="s">
        <v>41</v>
      </c>
      <c r="E1475" s="2" t="s">
        <v>16</v>
      </c>
      <c r="F1475" s="2">
        <v>60</v>
      </c>
      <c r="G1475" s="2" t="s">
        <v>4459</v>
      </c>
      <c r="H1475" s="2" t="s">
        <v>2444</v>
      </c>
      <c r="I1475" s="2" t="s">
        <v>32</v>
      </c>
      <c r="J1475" s="3">
        <v>43933</v>
      </c>
      <c r="K1475" s="2">
        <v>64</v>
      </c>
      <c r="L1475" s="2" t="s">
        <v>70</v>
      </c>
      <c r="M1475" s="3"/>
    </row>
    <row r="1476" spans="1:13" x14ac:dyDescent="0.3">
      <c r="A1476" s="2">
        <v>1475</v>
      </c>
      <c r="B1476" s="2" t="s">
        <v>4460</v>
      </c>
      <c r="C1476" s="2" t="s">
        <v>4461</v>
      </c>
      <c r="D1476" s="2" t="s">
        <v>28</v>
      </c>
      <c r="E1476" s="2" t="s">
        <v>29</v>
      </c>
      <c r="F1476" s="2">
        <v>30</v>
      </c>
      <c r="G1476" s="2" t="s">
        <v>4462</v>
      </c>
      <c r="H1476" s="2" t="s">
        <v>4463</v>
      </c>
      <c r="I1476" s="2" t="s">
        <v>32</v>
      </c>
      <c r="J1476" s="3">
        <v>44830</v>
      </c>
      <c r="K1476" s="2">
        <v>79</v>
      </c>
      <c r="L1476" s="2" t="s">
        <v>20</v>
      </c>
      <c r="M1476" s="3"/>
    </row>
    <row r="1477" spans="1:13" x14ac:dyDescent="0.3">
      <c r="A1477" s="2">
        <v>1476</v>
      </c>
      <c r="B1477" s="2" t="s">
        <v>3013</v>
      </c>
      <c r="C1477" s="2" t="s">
        <v>4464</v>
      </c>
      <c r="D1477" s="2" t="s">
        <v>51</v>
      </c>
      <c r="E1477" s="2" t="s">
        <v>16</v>
      </c>
      <c r="F1477" s="2">
        <v>60</v>
      </c>
      <c r="G1477" s="2" t="s">
        <v>4465</v>
      </c>
      <c r="H1477" s="2" t="s">
        <v>334</v>
      </c>
      <c r="I1477" s="2" t="s">
        <v>124</v>
      </c>
      <c r="J1477" s="3">
        <v>44748</v>
      </c>
      <c r="K1477" s="2">
        <v>11</v>
      </c>
      <c r="L1477" s="2" t="s">
        <v>101</v>
      </c>
      <c r="M1477" s="3"/>
    </row>
    <row r="1478" spans="1:13" x14ac:dyDescent="0.3">
      <c r="A1478" s="2">
        <v>1477</v>
      </c>
      <c r="B1478" s="2" t="s">
        <v>4466</v>
      </c>
      <c r="C1478" s="2" t="s">
        <v>804</v>
      </c>
      <c r="D1478" s="2" t="s">
        <v>51</v>
      </c>
      <c r="E1478" s="2" t="s">
        <v>16</v>
      </c>
      <c r="F1478" s="2">
        <v>30</v>
      </c>
      <c r="G1478" s="2" t="s">
        <v>4467</v>
      </c>
      <c r="H1478" s="2" t="s">
        <v>1519</v>
      </c>
      <c r="I1478" s="2" t="s">
        <v>32</v>
      </c>
      <c r="J1478" s="3">
        <v>44571</v>
      </c>
      <c r="K1478" s="2">
        <v>41</v>
      </c>
      <c r="L1478" s="2" t="s">
        <v>80</v>
      </c>
      <c r="M1478" s="3"/>
    </row>
    <row r="1479" spans="1:13" x14ac:dyDescent="0.3">
      <c r="A1479" s="2">
        <v>1478</v>
      </c>
      <c r="B1479" s="2" t="s">
        <v>960</v>
      </c>
      <c r="C1479" s="2" t="s">
        <v>225</v>
      </c>
      <c r="D1479" s="2" t="s">
        <v>28</v>
      </c>
      <c r="E1479" s="2" t="s">
        <v>29</v>
      </c>
      <c r="F1479" s="2">
        <v>90</v>
      </c>
      <c r="G1479" s="2" t="s">
        <v>4468</v>
      </c>
      <c r="H1479" s="2" t="s">
        <v>346</v>
      </c>
      <c r="I1479" s="2" t="s">
        <v>32</v>
      </c>
      <c r="J1479" s="3">
        <v>44009</v>
      </c>
      <c r="K1479" s="2">
        <v>23</v>
      </c>
      <c r="L1479" s="2" t="s">
        <v>45</v>
      </c>
      <c r="M1479" s="3"/>
    </row>
    <row r="1480" spans="1:13" x14ac:dyDescent="0.3">
      <c r="A1480" s="2">
        <v>1479</v>
      </c>
      <c r="B1480" s="2" t="s">
        <v>3706</v>
      </c>
      <c r="C1480" s="2" t="s">
        <v>4469</v>
      </c>
      <c r="D1480" s="2" t="s">
        <v>28</v>
      </c>
      <c r="E1480" s="2" t="s">
        <v>29</v>
      </c>
      <c r="F1480" s="2">
        <v>90</v>
      </c>
      <c r="G1480" s="2" t="s">
        <v>4470</v>
      </c>
      <c r="H1480" s="2" t="s">
        <v>1754</v>
      </c>
      <c r="I1480" s="2" t="s">
        <v>25</v>
      </c>
      <c r="J1480" s="3">
        <v>44189</v>
      </c>
      <c r="K1480" s="2">
        <v>77</v>
      </c>
      <c r="L1480" s="2" t="s">
        <v>64</v>
      </c>
      <c r="M1480" s="3"/>
    </row>
    <row r="1481" spans="1:13" x14ac:dyDescent="0.3">
      <c r="A1481" s="2">
        <v>1480</v>
      </c>
      <c r="B1481" s="2" t="s">
        <v>4471</v>
      </c>
      <c r="C1481" s="2" t="s">
        <v>3591</v>
      </c>
      <c r="D1481" s="2" t="s">
        <v>15</v>
      </c>
      <c r="E1481" s="2" t="s">
        <v>16</v>
      </c>
      <c r="F1481" s="2">
        <v>30</v>
      </c>
      <c r="G1481" s="2" t="s">
        <v>4472</v>
      </c>
      <c r="H1481" s="2" t="s">
        <v>981</v>
      </c>
      <c r="I1481" s="2" t="s">
        <v>32</v>
      </c>
      <c r="J1481" s="3">
        <v>44800</v>
      </c>
      <c r="K1481" s="2">
        <v>23</v>
      </c>
      <c r="L1481" s="2" t="s">
        <v>33</v>
      </c>
      <c r="M1481" s="3"/>
    </row>
    <row r="1482" spans="1:13" x14ac:dyDescent="0.3">
      <c r="A1482" s="2">
        <v>1481</v>
      </c>
      <c r="B1482" s="2" t="s">
        <v>289</v>
      </c>
      <c r="C1482" s="2" t="s">
        <v>4473</v>
      </c>
      <c r="D1482" s="2" t="s">
        <v>15</v>
      </c>
      <c r="E1482" s="2" t="s">
        <v>16</v>
      </c>
      <c r="F1482" s="2">
        <v>60</v>
      </c>
      <c r="G1482" s="2" t="s">
        <v>4474</v>
      </c>
      <c r="H1482" s="2" t="s">
        <v>3951</v>
      </c>
      <c r="I1482" s="2" t="s">
        <v>1576</v>
      </c>
      <c r="J1482" s="3">
        <v>43891</v>
      </c>
      <c r="K1482" s="2">
        <v>70</v>
      </c>
      <c r="L1482" s="2" t="s">
        <v>20</v>
      </c>
      <c r="M1482" s="3"/>
    </row>
    <row r="1483" spans="1:13" x14ac:dyDescent="0.3">
      <c r="A1483" s="2">
        <v>1482</v>
      </c>
      <c r="B1483" s="2" t="s">
        <v>4475</v>
      </c>
      <c r="C1483" s="2" t="s">
        <v>4476</v>
      </c>
      <c r="D1483" s="2" t="s">
        <v>51</v>
      </c>
      <c r="E1483" s="2" t="s">
        <v>16</v>
      </c>
      <c r="F1483" s="2">
        <v>60</v>
      </c>
      <c r="G1483" s="2" t="s">
        <v>4477</v>
      </c>
      <c r="H1483" s="2" t="s">
        <v>4478</v>
      </c>
      <c r="I1483" s="2" t="s">
        <v>777</v>
      </c>
      <c r="J1483" s="3">
        <v>43966</v>
      </c>
      <c r="K1483" s="2">
        <v>76</v>
      </c>
      <c r="L1483" s="2" t="s">
        <v>80</v>
      </c>
      <c r="M1483" s="3"/>
    </row>
    <row r="1484" spans="1:13" x14ac:dyDescent="0.3">
      <c r="A1484" s="2">
        <v>1483</v>
      </c>
      <c r="B1484" s="2" t="s">
        <v>1672</v>
      </c>
      <c r="C1484" s="2" t="s">
        <v>1649</v>
      </c>
      <c r="D1484" s="2" t="s">
        <v>28</v>
      </c>
      <c r="E1484" s="2" t="s">
        <v>29</v>
      </c>
      <c r="F1484" s="2">
        <v>60</v>
      </c>
      <c r="G1484" s="2" t="s">
        <v>4477</v>
      </c>
      <c r="H1484" s="2" t="s">
        <v>4479</v>
      </c>
      <c r="I1484" s="2" t="s">
        <v>32</v>
      </c>
      <c r="J1484" s="3">
        <v>44271</v>
      </c>
      <c r="K1484" s="2">
        <v>2</v>
      </c>
      <c r="L1484" s="2" t="s">
        <v>80</v>
      </c>
      <c r="M1484" s="3"/>
    </row>
    <row r="1485" spans="1:13" x14ac:dyDescent="0.3">
      <c r="A1485" s="2">
        <v>1484</v>
      </c>
      <c r="B1485" s="2" t="s">
        <v>4480</v>
      </c>
      <c r="C1485" s="2" t="s">
        <v>4481</v>
      </c>
      <c r="D1485" s="2" t="s">
        <v>51</v>
      </c>
      <c r="E1485" s="2" t="s">
        <v>16</v>
      </c>
      <c r="F1485" s="2">
        <v>60</v>
      </c>
      <c r="G1485" s="2" t="s">
        <v>4482</v>
      </c>
      <c r="H1485" s="2" t="s">
        <v>2512</v>
      </c>
      <c r="I1485" s="2" t="s">
        <v>32</v>
      </c>
      <c r="J1485" s="3">
        <v>44431</v>
      </c>
      <c r="K1485" s="2">
        <v>53</v>
      </c>
      <c r="L1485" s="2" t="s">
        <v>159</v>
      </c>
      <c r="M1485" s="3"/>
    </row>
    <row r="1486" spans="1:13" x14ac:dyDescent="0.3">
      <c r="A1486" s="2">
        <v>1485</v>
      </c>
      <c r="B1486" s="2" t="s">
        <v>4244</v>
      </c>
      <c r="C1486" s="2" t="s">
        <v>2148</v>
      </c>
      <c r="D1486" s="2" t="s">
        <v>92</v>
      </c>
      <c r="E1486" s="2" t="s">
        <v>16</v>
      </c>
      <c r="F1486" s="2">
        <v>90</v>
      </c>
      <c r="G1486" s="2" t="s">
        <v>4483</v>
      </c>
      <c r="H1486" s="2" t="s">
        <v>4484</v>
      </c>
      <c r="I1486" s="2" t="s">
        <v>32</v>
      </c>
      <c r="J1486" s="3">
        <v>44884</v>
      </c>
      <c r="K1486" s="2">
        <v>93</v>
      </c>
      <c r="L1486" s="2" t="s">
        <v>80</v>
      </c>
      <c r="M1486" s="3"/>
    </row>
    <row r="1487" spans="1:13" x14ac:dyDescent="0.3">
      <c r="A1487" s="2">
        <v>1486</v>
      </c>
      <c r="B1487" s="2" t="s">
        <v>2001</v>
      </c>
      <c r="C1487" s="2" t="s">
        <v>4485</v>
      </c>
      <c r="D1487" s="2" t="s">
        <v>51</v>
      </c>
      <c r="E1487" s="2" t="s">
        <v>291</v>
      </c>
      <c r="F1487" s="2">
        <v>30</v>
      </c>
      <c r="G1487" s="2" t="s">
        <v>4486</v>
      </c>
      <c r="H1487" s="2" t="s">
        <v>4463</v>
      </c>
      <c r="I1487" s="2" t="s">
        <v>32</v>
      </c>
      <c r="J1487" s="3">
        <v>43845</v>
      </c>
      <c r="K1487" s="2">
        <v>66</v>
      </c>
      <c r="L1487" s="2" t="s">
        <v>39</v>
      </c>
      <c r="M1487" s="3"/>
    </row>
    <row r="1488" spans="1:13" x14ac:dyDescent="0.3">
      <c r="A1488" s="2">
        <v>1487</v>
      </c>
      <c r="B1488" s="2" t="s">
        <v>2001</v>
      </c>
      <c r="C1488" s="2" t="s">
        <v>4485</v>
      </c>
      <c r="D1488" s="2" t="s">
        <v>51</v>
      </c>
      <c r="E1488" s="2" t="s">
        <v>291</v>
      </c>
      <c r="F1488" s="2">
        <v>30</v>
      </c>
      <c r="G1488" s="2" t="s">
        <v>4486</v>
      </c>
      <c r="H1488" s="2" t="s">
        <v>4463</v>
      </c>
      <c r="I1488" s="2" t="s">
        <v>32</v>
      </c>
      <c r="J1488" s="3">
        <v>43845</v>
      </c>
      <c r="K1488" s="2">
        <v>66</v>
      </c>
      <c r="L1488" s="2" t="s">
        <v>39</v>
      </c>
      <c r="M1488" s="3"/>
    </row>
    <row r="1489" spans="1:13" x14ac:dyDescent="0.3">
      <c r="A1489" s="2">
        <v>1488</v>
      </c>
      <c r="B1489" s="2" t="s">
        <v>4487</v>
      </c>
      <c r="C1489" s="2" t="s">
        <v>4216</v>
      </c>
      <c r="D1489" s="2" t="s">
        <v>15</v>
      </c>
      <c r="E1489" s="2" t="s">
        <v>16</v>
      </c>
      <c r="F1489" s="2">
        <v>30</v>
      </c>
      <c r="G1489" s="2" t="s">
        <v>4488</v>
      </c>
      <c r="H1489" s="2" t="s">
        <v>2436</v>
      </c>
      <c r="I1489" s="2" t="s">
        <v>294</v>
      </c>
      <c r="J1489" s="3">
        <v>44717</v>
      </c>
      <c r="K1489" s="2">
        <v>28</v>
      </c>
      <c r="L1489" s="2" t="s">
        <v>33</v>
      </c>
      <c r="M1489" s="3"/>
    </row>
    <row r="1490" spans="1:13" x14ac:dyDescent="0.3">
      <c r="A1490" s="2">
        <v>1489</v>
      </c>
      <c r="B1490" s="2" t="s">
        <v>4489</v>
      </c>
      <c r="C1490" s="2" t="s">
        <v>4490</v>
      </c>
      <c r="D1490" s="2" t="s">
        <v>28</v>
      </c>
      <c r="E1490" s="2" t="s">
        <v>29</v>
      </c>
      <c r="F1490" s="2">
        <v>90</v>
      </c>
      <c r="G1490" s="2" t="s">
        <v>4491</v>
      </c>
      <c r="H1490" s="2" t="s">
        <v>1082</v>
      </c>
      <c r="I1490" s="2" t="s">
        <v>1083</v>
      </c>
      <c r="J1490" s="3">
        <v>44188</v>
      </c>
      <c r="K1490" s="2">
        <v>58</v>
      </c>
      <c r="L1490" s="2" t="s">
        <v>80</v>
      </c>
      <c r="M1490" s="3"/>
    </row>
    <row r="1491" spans="1:13" x14ac:dyDescent="0.3">
      <c r="A1491" s="2">
        <v>1490</v>
      </c>
      <c r="B1491" s="2" t="s">
        <v>3811</v>
      </c>
      <c r="C1491" s="2" t="s">
        <v>4261</v>
      </c>
      <c r="D1491" s="2" t="s">
        <v>28</v>
      </c>
      <c r="E1491" s="2" t="s">
        <v>29</v>
      </c>
      <c r="F1491" s="2">
        <v>90</v>
      </c>
      <c r="G1491" s="2" t="s">
        <v>4492</v>
      </c>
      <c r="H1491" s="2" t="s">
        <v>4493</v>
      </c>
      <c r="I1491" s="2" t="s">
        <v>32</v>
      </c>
      <c r="J1491" s="3">
        <v>44156</v>
      </c>
      <c r="K1491" s="2">
        <v>55</v>
      </c>
      <c r="L1491" s="2" t="s">
        <v>39</v>
      </c>
      <c r="M1491" s="3"/>
    </row>
    <row r="1492" spans="1:13" x14ac:dyDescent="0.3">
      <c r="A1492" s="2">
        <v>1491</v>
      </c>
      <c r="B1492" s="2" t="s">
        <v>3811</v>
      </c>
      <c r="C1492" s="2" t="s">
        <v>4261</v>
      </c>
      <c r="D1492" s="2" t="s">
        <v>28</v>
      </c>
      <c r="E1492" s="2" t="s">
        <v>29</v>
      </c>
      <c r="F1492" s="2">
        <v>90</v>
      </c>
      <c r="G1492" s="2" t="s">
        <v>4492</v>
      </c>
      <c r="H1492" s="2" t="s">
        <v>4493</v>
      </c>
      <c r="I1492" s="2" t="s">
        <v>32</v>
      </c>
      <c r="J1492" s="3">
        <v>44156</v>
      </c>
      <c r="K1492" s="2">
        <v>55</v>
      </c>
      <c r="L1492" s="2" t="s">
        <v>39</v>
      </c>
      <c r="M1492" s="3"/>
    </row>
    <row r="1493" spans="1:13" x14ac:dyDescent="0.3">
      <c r="A1493" s="2">
        <v>1492</v>
      </c>
      <c r="B1493" s="2" t="s">
        <v>4494</v>
      </c>
      <c r="C1493" s="2" t="s">
        <v>4495</v>
      </c>
      <c r="D1493" s="2" t="s">
        <v>28</v>
      </c>
      <c r="E1493" s="2" t="s">
        <v>29</v>
      </c>
      <c r="F1493" s="2">
        <v>60</v>
      </c>
      <c r="G1493" s="2" t="s">
        <v>4496</v>
      </c>
      <c r="H1493" s="2" t="s">
        <v>1056</v>
      </c>
      <c r="I1493" s="2" t="s">
        <v>129</v>
      </c>
      <c r="J1493" s="3">
        <v>44861</v>
      </c>
      <c r="K1493" s="2">
        <v>45</v>
      </c>
      <c r="L1493" s="2" t="s">
        <v>80</v>
      </c>
      <c r="M1493" s="3"/>
    </row>
    <row r="1494" spans="1:13" x14ac:dyDescent="0.3">
      <c r="A1494" s="2">
        <v>1493</v>
      </c>
      <c r="B1494" s="2" t="s">
        <v>4497</v>
      </c>
      <c r="C1494" s="2" t="s">
        <v>888</v>
      </c>
      <c r="D1494" s="2" t="s">
        <v>41</v>
      </c>
      <c r="E1494" s="2" t="s">
        <v>16</v>
      </c>
      <c r="F1494" s="2">
        <v>30</v>
      </c>
      <c r="G1494" s="2" t="s">
        <v>4498</v>
      </c>
      <c r="H1494" s="2" t="s">
        <v>2045</v>
      </c>
      <c r="I1494" s="2" t="s">
        <v>38</v>
      </c>
      <c r="J1494" s="3">
        <v>44268</v>
      </c>
      <c r="K1494" s="2">
        <v>47</v>
      </c>
      <c r="L1494" s="2" t="s">
        <v>45</v>
      </c>
      <c r="M1494" s="3"/>
    </row>
    <row r="1495" spans="1:13" x14ac:dyDescent="0.3">
      <c r="A1495" s="2">
        <v>1494</v>
      </c>
      <c r="B1495" s="2" t="s">
        <v>4499</v>
      </c>
      <c r="C1495" s="2" t="s">
        <v>372</v>
      </c>
      <c r="D1495" s="2" t="s">
        <v>28</v>
      </c>
      <c r="E1495" s="2" t="s">
        <v>29</v>
      </c>
      <c r="F1495" s="2">
        <v>60</v>
      </c>
      <c r="G1495" s="2" t="s">
        <v>4500</v>
      </c>
      <c r="H1495" s="2" t="s">
        <v>3473</v>
      </c>
      <c r="I1495" s="2" t="s">
        <v>1199</v>
      </c>
      <c r="J1495" s="3">
        <v>44320</v>
      </c>
      <c r="K1495" s="2">
        <v>21</v>
      </c>
      <c r="L1495" s="2" t="s">
        <v>70</v>
      </c>
      <c r="M1495" s="3"/>
    </row>
    <row r="1496" spans="1:13" x14ac:dyDescent="0.3">
      <c r="A1496" s="2">
        <v>1495</v>
      </c>
      <c r="B1496" s="2" t="s">
        <v>683</v>
      </c>
      <c r="C1496" s="2" t="s">
        <v>4501</v>
      </c>
      <c r="D1496" s="2" t="s">
        <v>28</v>
      </c>
      <c r="E1496" s="2" t="s">
        <v>29</v>
      </c>
      <c r="F1496" s="2">
        <v>30</v>
      </c>
      <c r="G1496" s="2" t="s">
        <v>4502</v>
      </c>
      <c r="H1496" s="2" t="s">
        <v>4503</v>
      </c>
      <c r="I1496" s="2" t="s">
        <v>425</v>
      </c>
      <c r="J1496" s="3">
        <v>44301</v>
      </c>
      <c r="K1496" s="2">
        <v>35</v>
      </c>
      <c r="L1496" s="2" t="s">
        <v>20</v>
      </c>
      <c r="M1496" s="3"/>
    </row>
    <row r="1497" spans="1:13" x14ac:dyDescent="0.3">
      <c r="A1497" s="2">
        <v>1496</v>
      </c>
      <c r="B1497" s="2" t="s">
        <v>2455</v>
      </c>
      <c r="C1497" s="2" t="s">
        <v>4504</v>
      </c>
      <c r="D1497" s="2" t="s">
        <v>51</v>
      </c>
      <c r="E1497" s="2" t="s">
        <v>16</v>
      </c>
      <c r="F1497" s="2">
        <v>60</v>
      </c>
      <c r="G1497" s="2" t="s">
        <v>4505</v>
      </c>
      <c r="H1497" s="2" t="s">
        <v>1206</v>
      </c>
      <c r="I1497" s="2" t="s">
        <v>294</v>
      </c>
      <c r="J1497" s="3">
        <v>43968</v>
      </c>
      <c r="K1497" s="2">
        <v>16</v>
      </c>
      <c r="L1497" s="2" t="s">
        <v>33</v>
      </c>
      <c r="M1497" s="3"/>
    </row>
    <row r="1498" spans="1:13" x14ac:dyDescent="0.3">
      <c r="A1498" s="2">
        <v>1497</v>
      </c>
      <c r="B1498" s="2" t="s">
        <v>4506</v>
      </c>
      <c r="C1498" s="2" t="s">
        <v>3776</v>
      </c>
      <c r="D1498" s="2" t="s">
        <v>51</v>
      </c>
      <c r="E1498" s="2" t="s">
        <v>16</v>
      </c>
      <c r="F1498" s="2">
        <v>90</v>
      </c>
      <c r="G1498" s="2" t="s">
        <v>4507</v>
      </c>
      <c r="H1498" s="2" t="s">
        <v>4508</v>
      </c>
      <c r="I1498" s="2" t="s">
        <v>32</v>
      </c>
      <c r="J1498" s="3">
        <v>44462</v>
      </c>
      <c r="K1498" s="2">
        <v>38</v>
      </c>
      <c r="L1498" s="2" t="s">
        <v>39</v>
      </c>
      <c r="M1498" s="3"/>
    </row>
    <row r="1499" spans="1:13" x14ac:dyDescent="0.3">
      <c r="A1499" s="2">
        <v>1498</v>
      </c>
      <c r="B1499" s="2" t="s">
        <v>4509</v>
      </c>
      <c r="C1499" s="2" t="s">
        <v>1627</v>
      </c>
      <c r="D1499" s="2" t="s">
        <v>28</v>
      </c>
      <c r="E1499" s="2" t="s">
        <v>29</v>
      </c>
      <c r="F1499" s="2">
        <v>30</v>
      </c>
      <c r="G1499" s="2" t="s">
        <v>4510</v>
      </c>
      <c r="H1499" s="2" t="s">
        <v>1206</v>
      </c>
      <c r="I1499" s="2" t="s">
        <v>294</v>
      </c>
      <c r="J1499" s="3">
        <v>44798</v>
      </c>
      <c r="K1499" s="2">
        <v>16</v>
      </c>
      <c r="L1499" s="2" t="s">
        <v>101</v>
      </c>
      <c r="M1499" s="3"/>
    </row>
    <row r="1500" spans="1:13" x14ac:dyDescent="0.3">
      <c r="A1500" s="2">
        <v>1499</v>
      </c>
      <c r="B1500" s="2" t="s">
        <v>3313</v>
      </c>
      <c r="C1500" s="2" t="s">
        <v>3624</v>
      </c>
      <c r="D1500" s="2" t="s">
        <v>28</v>
      </c>
      <c r="E1500" s="2" t="s">
        <v>29</v>
      </c>
      <c r="F1500" s="2">
        <v>60</v>
      </c>
      <c r="G1500" s="2" t="s">
        <v>4511</v>
      </c>
      <c r="H1500" s="2" t="s">
        <v>1184</v>
      </c>
      <c r="I1500" s="2" t="s">
        <v>886</v>
      </c>
      <c r="J1500" s="3">
        <v>44898</v>
      </c>
      <c r="K1500" s="2">
        <v>97</v>
      </c>
      <c r="L1500" s="2" t="s">
        <v>54</v>
      </c>
      <c r="M1500" s="3"/>
    </row>
    <row r="1501" spans="1:13" x14ac:dyDescent="0.3">
      <c r="A1501" s="2">
        <v>1500</v>
      </c>
      <c r="B1501" s="2" t="s">
        <v>3381</v>
      </c>
      <c r="C1501" s="2" t="s">
        <v>4512</v>
      </c>
      <c r="D1501" s="2" t="s">
        <v>51</v>
      </c>
      <c r="E1501" s="2" t="s">
        <v>16</v>
      </c>
      <c r="F1501" s="2">
        <v>90</v>
      </c>
      <c r="G1501" s="2" t="s">
        <v>4513</v>
      </c>
      <c r="H1501" s="2" t="s">
        <v>827</v>
      </c>
      <c r="I1501" s="2" t="s">
        <v>124</v>
      </c>
      <c r="J1501" s="3">
        <v>44660</v>
      </c>
      <c r="K1501" s="2">
        <v>29</v>
      </c>
      <c r="L1501" s="2" t="s">
        <v>70</v>
      </c>
      <c r="M1501" s="3"/>
    </row>
    <row r="1502" spans="1:13" x14ac:dyDescent="0.3">
      <c r="A1502" s="2">
        <v>1501</v>
      </c>
      <c r="B1502" s="2" t="s">
        <v>1591</v>
      </c>
      <c r="C1502" s="2" t="s">
        <v>219</v>
      </c>
      <c r="D1502" s="2" t="s">
        <v>28</v>
      </c>
      <c r="E1502" s="2" t="s">
        <v>29</v>
      </c>
      <c r="F1502" s="2">
        <v>90</v>
      </c>
      <c r="G1502" s="2" t="s">
        <v>4514</v>
      </c>
      <c r="H1502" s="2" t="s">
        <v>3208</v>
      </c>
      <c r="I1502" s="2" t="s">
        <v>32</v>
      </c>
      <c r="J1502" s="3">
        <v>44051</v>
      </c>
      <c r="K1502" s="2">
        <v>19</v>
      </c>
      <c r="L1502" s="2" t="s">
        <v>159</v>
      </c>
      <c r="M1502" s="3"/>
    </row>
    <row r="1503" spans="1:13" x14ac:dyDescent="0.3">
      <c r="A1503" s="2">
        <v>1502</v>
      </c>
      <c r="B1503" s="2" t="s">
        <v>2815</v>
      </c>
      <c r="C1503" s="2" t="s">
        <v>543</v>
      </c>
      <c r="D1503" s="2" t="s">
        <v>28</v>
      </c>
      <c r="E1503" s="2" t="s">
        <v>29</v>
      </c>
      <c r="F1503" s="2">
        <v>90</v>
      </c>
      <c r="G1503" s="2" t="s">
        <v>4515</v>
      </c>
      <c r="H1503" s="2" t="s">
        <v>2795</v>
      </c>
      <c r="I1503" s="2" t="s">
        <v>38</v>
      </c>
      <c r="J1503" s="3">
        <v>44007</v>
      </c>
      <c r="K1503" s="2">
        <v>40</v>
      </c>
      <c r="L1503" s="2" t="s">
        <v>20</v>
      </c>
      <c r="M1503" s="3"/>
    </row>
    <row r="1504" spans="1:13" x14ac:dyDescent="0.3">
      <c r="A1504" s="2">
        <v>1503</v>
      </c>
      <c r="B1504" s="2" t="s">
        <v>994</v>
      </c>
      <c r="C1504" s="2" t="s">
        <v>1774</v>
      </c>
      <c r="D1504" s="2" t="s">
        <v>117</v>
      </c>
      <c r="E1504" s="2" t="s">
        <v>29</v>
      </c>
      <c r="F1504" s="2">
        <v>90</v>
      </c>
      <c r="G1504" s="2" t="s">
        <v>4516</v>
      </c>
      <c r="H1504" s="2" t="s">
        <v>4517</v>
      </c>
      <c r="I1504" s="2" t="s">
        <v>173</v>
      </c>
      <c r="J1504" s="3">
        <v>44134</v>
      </c>
      <c r="K1504" s="2">
        <v>27</v>
      </c>
      <c r="L1504" s="2" t="s">
        <v>39</v>
      </c>
      <c r="M1504" s="3"/>
    </row>
    <row r="1505" spans="1:13" x14ac:dyDescent="0.3">
      <c r="A1505" s="2">
        <v>1504</v>
      </c>
      <c r="B1505" s="2" t="s">
        <v>800</v>
      </c>
      <c r="C1505" s="2" t="s">
        <v>4518</v>
      </c>
      <c r="D1505" s="2" t="s">
        <v>28</v>
      </c>
      <c r="E1505" s="2" t="s">
        <v>29</v>
      </c>
      <c r="F1505" s="2">
        <v>30</v>
      </c>
      <c r="G1505" s="2" t="s">
        <v>4519</v>
      </c>
      <c r="H1505" s="2" t="s">
        <v>4520</v>
      </c>
      <c r="I1505" s="2" t="s">
        <v>32</v>
      </c>
      <c r="J1505" s="3">
        <v>44247</v>
      </c>
      <c r="K1505" s="2">
        <v>17</v>
      </c>
      <c r="L1505" s="2" t="s">
        <v>45</v>
      </c>
      <c r="M1505" s="3"/>
    </row>
    <row r="1506" spans="1:13" x14ac:dyDescent="0.3">
      <c r="A1506" s="2">
        <v>1505</v>
      </c>
      <c r="B1506" s="2" t="s">
        <v>4521</v>
      </c>
      <c r="C1506" s="2" t="s">
        <v>4522</v>
      </c>
      <c r="D1506" s="2" t="s">
        <v>51</v>
      </c>
      <c r="E1506" s="2" t="s">
        <v>16</v>
      </c>
      <c r="F1506" s="2">
        <v>90</v>
      </c>
      <c r="G1506" s="2" t="s">
        <v>4523</v>
      </c>
      <c r="H1506" s="2" t="s">
        <v>1168</v>
      </c>
      <c r="I1506" s="2" t="s">
        <v>32</v>
      </c>
      <c r="J1506" s="3">
        <v>44168</v>
      </c>
      <c r="K1506" s="2">
        <v>69</v>
      </c>
      <c r="L1506" s="2" t="s">
        <v>54</v>
      </c>
      <c r="M1506" s="3"/>
    </row>
    <row r="1507" spans="1:13" x14ac:dyDescent="0.3">
      <c r="A1507" s="2">
        <v>1506</v>
      </c>
      <c r="B1507" s="2" t="s">
        <v>4524</v>
      </c>
      <c r="C1507" s="2" t="s">
        <v>2298</v>
      </c>
      <c r="D1507" s="2" t="s">
        <v>15</v>
      </c>
      <c r="E1507" s="2" t="s">
        <v>16</v>
      </c>
      <c r="F1507" s="2">
        <v>60</v>
      </c>
      <c r="G1507" s="2" t="s">
        <v>4525</v>
      </c>
      <c r="H1507" s="2" t="s">
        <v>3044</v>
      </c>
      <c r="I1507" s="2" t="s">
        <v>1413</v>
      </c>
      <c r="J1507" s="3">
        <v>44350</v>
      </c>
      <c r="K1507" s="2">
        <v>65</v>
      </c>
      <c r="L1507" s="2" t="s">
        <v>54</v>
      </c>
      <c r="M1507" s="3"/>
    </row>
    <row r="1508" spans="1:13" x14ac:dyDescent="0.3">
      <c r="A1508" s="2">
        <v>1507</v>
      </c>
      <c r="B1508" s="2" t="s">
        <v>2203</v>
      </c>
      <c r="C1508" s="2" t="s">
        <v>1614</v>
      </c>
      <c r="D1508" s="2" t="s">
        <v>51</v>
      </c>
      <c r="E1508" s="2" t="s">
        <v>16</v>
      </c>
      <c r="F1508" s="2">
        <v>30</v>
      </c>
      <c r="G1508" s="2" t="s">
        <v>4526</v>
      </c>
      <c r="H1508" s="2" t="s">
        <v>4527</v>
      </c>
      <c r="I1508" s="2" t="s">
        <v>32</v>
      </c>
      <c r="J1508" s="3">
        <v>44367</v>
      </c>
      <c r="K1508" s="2">
        <v>47</v>
      </c>
      <c r="L1508" s="2" t="s">
        <v>33</v>
      </c>
      <c r="M1508" s="3"/>
    </row>
    <row r="1509" spans="1:13" x14ac:dyDescent="0.3">
      <c r="A1509" s="2">
        <v>1508</v>
      </c>
      <c r="B1509" s="2" t="s">
        <v>2203</v>
      </c>
      <c r="C1509" s="2" t="s">
        <v>1614</v>
      </c>
      <c r="D1509" s="2" t="s">
        <v>51</v>
      </c>
      <c r="E1509" s="2" t="s">
        <v>16</v>
      </c>
      <c r="F1509" s="2">
        <v>30</v>
      </c>
      <c r="G1509" s="2" t="s">
        <v>4526</v>
      </c>
      <c r="H1509" s="2" t="s">
        <v>4527</v>
      </c>
      <c r="I1509" s="2" t="s">
        <v>32</v>
      </c>
      <c r="J1509" s="3">
        <v>44367</v>
      </c>
      <c r="K1509" s="2">
        <v>47</v>
      </c>
      <c r="L1509" s="2" t="s">
        <v>33</v>
      </c>
      <c r="M1509" s="3"/>
    </row>
    <row r="1510" spans="1:13" x14ac:dyDescent="0.3">
      <c r="A1510" s="2">
        <v>1509</v>
      </c>
      <c r="B1510" s="2" t="s">
        <v>3503</v>
      </c>
      <c r="C1510" s="2" t="s">
        <v>4528</v>
      </c>
      <c r="D1510" s="2" t="s">
        <v>51</v>
      </c>
      <c r="E1510" s="2" t="s">
        <v>16</v>
      </c>
      <c r="F1510" s="2">
        <v>90</v>
      </c>
      <c r="G1510" s="2" t="s">
        <v>4529</v>
      </c>
      <c r="H1510" s="2" t="s">
        <v>2154</v>
      </c>
      <c r="I1510" s="2" t="s">
        <v>124</v>
      </c>
      <c r="J1510" s="3">
        <v>44651</v>
      </c>
      <c r="K1510" s="2">
        <v>22</v>
      </c>
      <c r="L1510" s="2" t="s">
        <v>45</v>
      </c>
      <c r="M1510" s="3"/>
    </row>
    <row r="1511" spans="1:13" x14ac:dyDescent="0.3">
      <c r="A1511" s="2">
        <v>1510</v>
      </c>
      <c r="B1511" s="2" t="s">
        <v>4008</v>
      </c>
      <c r="C1511" s="2" t="s">
        <v>2823</v>
      </c>
      <c r="D1511" s="2" t="s">
        <v>28</v>
      </c>
      <c r="E1511" s="2" t="s">
        <v>29</v>
      </c>
      <c r="F1511" s="2">
        <v>90</v>
      </c>
      <c r="G1511" s="2" t="s">
        <v>4530</v>
      </c>
      <c r="H1511" s="2" t="s">
        <v>838</v>
      </c>
      <c r="I1511" s="2" t="s">
        <v>839</v>
      </c>
      <c r="J1511" s="3">
        <v>43963</v>
      </c>
      <c r="K1511" s="2">
        <v>4</v>
      </c>
      <c r="L1511" s="2" t="s">
        <v>80</v>
      </c>
      <c r="M1511" s="3"/>
    </row>
    <row r="1512" spans="1:13" x14ac:dyDescent="0.3">
      <c r="A1512" s="2">
        <v>1511</v>
      </c>
      <c r="B1512" s="2" t="s">
        <v>1262</v>
      </c>
      <c r="C1512" s="2" t="s">
        <v>4531</v>
      </c>
      <c r="D1512" s="2" t="s">
        <v>28</v>
      </c>
      <c r="E1512" s="2" t="s">
        <v>29</v>
      </c>
      <c r="F1512" s="2">
        <v>60</v>
      </c>
      <c r="G1512" s="2" t="s">
        <v>4532</v>
      </c>
      <c r="H1512" s="2" t="s">
        <v>1625</v>
      </c>
      <c r="I1512" s="2" t="s">
        <v>32</v>
      </c>
      <c r="J1512" s="3">
        <v>43929</v>
      </c>
      <c r="K1512" s="2">
        <v>21</v>
      </c>
      <c r="L1512" s="2" t="s">
        <v>80</v>
      </c>
      <c r="M1512" s="3"/>
    </row>
    <row r="1513" spans="1:13" x14ac:dyDescent="0.3">
      <c r="A1513" s="2">
        <v>1512</v>
      </c>
      <c r="B1513" s="2" t="s">
        <v>4533</v>
      </c>
      <c r="C1513" s="2" t="s">
        <v>4534</v>
      </c>
      <c r="D1513" s="2" t="s">
        <v>15</v>
      </c>
      <c r="E1513" s="2" t="s">
        <v>16</v>
      </c>
      <c r="F1513" s="2">
        <v>90</v>
      </c>
      <c r="G1513" s="2" t="s">
        <v>4535</v>
      </c>
      <c r="H1513" s="2" t="s">
        <v>534</v>
      </c>
      <c r="I1513" s="2" t="s">
        <v>32</v>
      </c>
      <c r="J1513" s="3">
        <v>44064</v>
      </c>
      <c r="K1513" s="2">
        <v>48</v>
      </c>
      <c r="L1513" s="2" t="s">
        <v>64</v>
      </c>
      <c r="M1513" s="3"/>
    </row>
    <row r="1514" spans="1:13" x14ac:dyDescent="0.3">
      <c r="A1514" s="2">
        <v>1513</v>
      </c>
      <c r="B1514" s="2" t="s">
        <v>4536</v>
      </c>
      <c r="C1514" s="2" t="s">
        <v>4537</v>
      </c>
      <c r="D1514" s="2" t="s">
        <v>28</v>
      </c>
      <c r="E1514" s="2" t="s">
        <v>29</v>
      </c>
      <c r="F1514" s="2">
        <v>90</v>
      </c>
      <c r="G1514" s="2" t="s">
        <v>4538</v>
      </c>
      <c r="H1514" s="2" t="s">
        <v>3670</v>
      </c>
      <c r="I1514" s="2" t="s">
        <v>3671</v>
      </c>
      <c r="J1514" s="3">
        <v>44576</v>
      </c>
      <c r="K1514" s="2">
        <v>101</v>
      </c>
      <c r="L1514" s="2" t="s">
        <v>70</v>
      </c>
      <c r="M1514" s="3"/>
    </row>
    <row r="1515" spans="1:13" x14ac:dyDescent="0.3">
      <c r="A1515" s="2">
        <v>1514</v>
      </c>
      <c r="B1515" s="2" t="s">
        <v>1801</v>
      </c>
      <c r="C1515" s="2" t="s">
        <v>4539</v>
      </c>
      <c r="D1515" s="2" t="s">
        <v>51</v>
      </c>
      <c r="E1515" s="2" t="s">
        <v>16</v>
      </c>
      <c r="F1515" s="2">
        <v>90</v>
      </c>
      <c r="G1515" s="2" t="s">
        <v>4540</v>
      </c>
      <c r="H1515" s="2" t="s">
        <v>4541</v>
      </c>
      <c r="I1515" s="2" t="s">
        <v>89</v>
      </c>
      <c r="J1515" s="3">
        <v>44070</v>
      </c>
      <c r="K1515" s="2">
        <v>36</v>
      </c>
      <c r="L1515" s="2" t="s">
        <v>64</v>
      </c>
      <c r="M1515" s="3"/>
    </row>
    <row r="1516" spans="1:13" x14ac:dyDescent="0.3">
      <c r="A1516" s="2">
        <v>1515</v>
      </c>
      <c r="B1516" s="2" t="s">
        <v>380</v>
      </c>
      <c r="C1516" s="2" t="s">
        <v>2448</v>
      </c>
      <c r="D1516" s="2" t="s">
        <v>28</v>
      </c>
      <c r="E1516" s="2" t="s">
        <v>29</v>
      </c>
      <c r="F1516" s="2">
        <v>90</v>
      </c>
      <c r="G1516" s="2" t="s">
        <v>4542</v>
      </c>
      <c r="H1516" s="2" t="s">
        <v>4543</v>
      </c>
      <c r="I1516" s="2" t="s">
        <v>173</v>
      </c>
      <c r="J1516" s="3">
        <v>43936</v>
      </c>
      <c r="K1516" s="2">
        <v>62</v>
      </c>
      <c r="L1516" s="2" t="s">
        <v>80</v>
      </c>
      <c r="M1516" s="3"/>
    </row>
    <row r="1517" spans="1:13" x14ac:dyDescent="0.3">
      <c r="A1517" s="2">
        <v>1516</v>
      </c>
      <c r="B1517" s="2" t="s">
        <v>3268</v>
      </c>
      <c r="C1517" s="2" t="s">
        <v>2692</v>
      </c>
      <c r="D1517" s="2" t="s">
        <v>51</v>
      </c>
      <c r="E1517" s="2" t="s">
        <v>16</v>
      </c>
      <c r="F1517" s="2">
        <v>30</v>
      </c>
      <c r="G1517" s="2" t="s">
        <v>4544</v>
      </c>
      <c r="H1517" s="2" t="s">
        <v>1940</v>
      </c>
      <c r="I1517" s="2" t="s">
        <v>294</v>
      </c>
      <c r="J1517" s="3">
        <v>43904</v>
      </c>
      <c r="K1517" s="2">
        <v>25</v>
      </c>
      <c r="L1517" s="2" t="s">
        <v>80</v>
      </c>
      <c r="M1517" s="3"/>
    </row>
    <row r="1518" spans="1:13" x14ac:dyDescent="0.3">
      <c r="A1518" s="2">
        <v>1517</v>
      </c>
      <c r="B1518" s="2" t="s">
        <v>4545</v>
      </c>
      <c r="C1518" s="2" t="s">
        <v>3173</v>
      </c>
      <c r="D1518" s="2" t="s">
        <v>15</v>
      </c>
      <c r="E1518" s="2" t="s">
        <v>16</v>
      </c>
      <c r="F1518" s="2">
        <v>60</v>
      </c>
      <c r="G1518" s="2" t="s">
        <v>4546</v>
      </c>
      <c r="H1518" s="2" t="s">
        <v>4520</v>
      </c>
      <c r="I1518" s="2" t="s">
        <v>32</v>
      </c>
      <c r="J1518" s="3">
        <v>44360</v>
      </c>
      <c r="K1518" s="2">
        <v>17</v>
      </c>
      <c r="L1518" s="2" t="s">
        <v>101</v>
      </c>
      <c r="M1518" s="3"/>
    </row>
    <row r="1519" spans="1:13" x14ac:dyDescent="0.3">
      <c r="A1519" s="2">
        <v>1518</v>
      </c>
      <c r="B1519" s="2" t="s">
        <v>4547</v>
      </c>
      <c r="C1519" s="2" t="s">
        <v>4548</v>
      </c>
      <c r="D1519" s="2" t="s">
        <v>15</v>
      </c>
      <c r="E1519" s="2" t="s">
        <v>16</v>
      </c>
      <c r="F1519" s="2">
        <v>30</v>
      </c>
      <c r="G1519" s="2" t="s">
        <v>4549</v>
      </c>
      <c r="H1519" s="2" t="s">
        <v>1284</v>
      </c>
      <c r="I1519" s="2" t="s">
        <v>32</v>
      </c>
      <c r="J1519" s="3">
        <v>44834</v>
      </c>
      <c r="K1519" s="2">
        <v>45</v>
      </c>
      <c r="L1519" s="2" t="s">
        <v>33</v>
      </c>
      <c r="M1519" s="3"/>
    </row>
    <row r="1520" spans="1:13" x14ac:dyDescent="0.3">
      <c r="A1520" s="2">
        <v>1519</v>
      </c>
      <c r="B1520" s="2" t="s">
        <v>4550</v>
      </c>
      <c r="C1520" s="2" t="s">
        <v>372</v>
      </c>
      <c r="D1520" s="2" t="s">
        <v>28</v>
      </c>
      <c r="E1520" s="2" t="s">
        <v>29</v>
      </c>
      <c r="F1520" s="2">
        <v>30</v>
      </c>
      <c r="G1520" s="2" t="s">
        <v>4551</v>
      </c>
      <c r="H1520" s="2" t="s">
        <v>4552</v>
      </c>
      <c r="I1520" s="2" t="s">
        <v>38</v>
      </c>
      <c r="J1520" s="3">
        <v>44162</v>
      </c>
      <c r="K1520" s="2">
        <v>58</v>
      </c>
      <c r="L1520" s="2" t="s">
        <v>70</v>
      </c>
      <c r="M1520" s="3"/>
    </row>
    <row r="1521" spans="1:13" x14ac:dyDescent="0.3">
      <c r="A1521" s="2">
        <v>1520</v>
      </c>
      <c r="B1521" s="2" t="s">
        <v>263</v>
      </c>
      <c r="C1521" s="2" t="s">
        <v>4512</v>
      </c>
      <c r="D1521" s="2" t="s">
        <v>51</v>
      </c>
      <c r="E1521" s="2" t="s">
        <v>16</v>
      </c>
      <c r="F1521" s="2">
        <v>60</v>
      </c>
      <c r="G1521" s="2" t="s">
        <v>4553</v>
      </c>
      <c r="H1521" s="2" t="s">
        <v>2069</v>
      </c>
      <c r="I1521" s="2" t="s">
        <v>1035</v>
      </c>
      <c r="J1521" s="3">
        <v>44114</v>
      </c>
      <c r="K1521" s="2">
        <v>33</v>
      </c>
      <c r="L1521" s="2" t="s">
        <v>20</v>
      </c>
      <c r="M1521" s="3"/>
    </row>
    <row r="1522" spans="1:13" x14ac:dyDescent="0.3">
      <c r="A1522" s="2">
        <v>1521</v>
      </c>
      <c r="B1522" s="2" t="s">
        <v>4554</v>
      </c>
      <c r="C1522" s="2" t="s">
        <v>1891</v>
      </c>
      <c r="D1522" s="2" t="s">
        <v>51</v>
      </c>
      <c r="E1522" s="2" t="s">
        <v>16</v>
      </c>
      <c r="F1522" s="2">
        <v>60</v>
      </c>
      <c r="G1522" s="2" t="s">
        <v>4555</v>
      </c>
      <c r="H1522" s="2" t="s">
        <v>1160</v>
      </c>
      <c r="I1522" s="2" t="s">
        <v>25</v>
      </c>
      <c r="J1522" s="3">
        <v>44385</v>
      </c>
      <c r="K1522" s="2">
        <v>62</v>
      </c>
      <c r="L1522" s="2" t="s">
        <v>64</v>
      </c>
      <c r="M1522" s="3"/>
    </row>
    <row r="1523" spans="1:13" x14ac:dyDescent="0.3">
      <c r="A1523" s="2">
        <v>1522</v>
      </c>
      <c r="B1523" s="2" t="s">
        <v>4556</v>
      </c>
      <c r="C1523" s="2" t="s">
        <v>3366</v>
      </c>
      <c r="D1523" s="2" t="s">
        <v>15</v>
      </c>
      <c r="E1523" s="2" t="s">
        <v>16</v>
      </c>
      <c r="F1523" s="2">
        <v>60</v>
      </c>
      <c r="G1523" s="2" t="s">
        <v>4557</v>
      </c>
      <c r="H1523" s="2" t="s">
        <v>1781</v>
      </c>
      <c r="I1523" s="2" t="s">
        <v>32</v>
      </c>
      <c r="J1523" s="3">
        <v>44362</v>
      </c>
      <c r="K1523" s="2">
        <v>48</v>
      </c>
      <c r="L1523" s="2" t="s">
        <v>20</v>
      </c>
      <c r="M1523" s="3"/>
    </row>
    <row r="1524" spans="1:13" x14ac:dyDescent="0.3">
      <c r="A1524" s="2">
        <v>1523</v>
      </c>
      <c r="B1524" s="2" t="s">
        <v>1313</v>
      </c>
      <c r="C1524" s="2" t="s">
        <v>4558</v>
      </c>
      <c r="D1524" s="2" t="s">
        <v>28</v>
      </c>
      <c r="E1524" s="2" t="s">
        <v>29</v>
      </c>
      <c r="F1524" s="2">
        <v>30</v>
      </c>
      <c r="G1524" s="2" t="s">
        <v>4559</v>
      </c>
      <c r="H1524" s="2" t="s">
        <v>3730</v>
      </c>
      <c r="I1524" s="2" t="s">
        <v>32</v>
      </c>
      <c r="J1524" s="3">
        <v>44184</v>
      </c>
      <c r="K1524" s="2">
        <v>36</v>
      </c>
      <c r="L1524" s="2" t="s">
        <v>101</v>
      </c>
      <c r="M1524" s="3"/>
    </row>
    <row r="1525" spans="1:13" x14ac:dyDescent="0.3">
      <c r="A1525" s="2">
        <v>1524</v>
      </c>
      <c r="B1525" s="2" t="s">
        <v>4560</v>
      </c>
      <c r="C1525" s="2" t="s">
        <v>4561</v>
      </c>
      <c r="D1525" s="2" t="s">
        <v>51</v>
      </c>
      <c r="E1525" s="2" t="s">
        <v>16</v>
      </c>
      <c r="F1525" s="2">
        <v>60</v>
      </c>
      <c r="G1525" s="2" t="s">
        <v>4562</v>
      </c>
      <c r="H1525" s="2" t="s">
        <v>4563</v>
      </c>
      <c r="I1525" s="2" t="s">
        <v>1824</v>
      </c>
      <c r="J1525" s="3">
        <v>43989</v>
      </c>
      <c r="K1525" s="2">
        <v>68</v>
      </c>
      <c r="L1525" s="2" t="s">
        <v>70</v>
      </c>
      <c r="M1525" s="3"/>
    </row>
    <row r="1526" spans="1:13" x14ac:dyDescent="0.3">
      <c r="A1526" s="2">
        <v>1525</v>
      </c>
      <c r="B1526" s="2" t="s">
        <v>4564</v>
      </c>
      <c r="C1526" s="2" t="s">
        <v>1211</v>
      </c>
      <c r="D1526" s="2" t="s">
        <v>51</v>
      </c>
      <c r="E1526" s="2" t="s">
        <v>16</v>
      </c>
      <c r="F1526" s="2">
        <v>60</v>
      </c>
      <c r="G1526" s="2" t="s">
        <v>4565</v>
      </c>
      <c r="H1526" s="2" t="s">
        <v>2008</v>
      </c>
      <c r="I1526" s="2" t="s">
        <v>129</v>
      </c>
      <c r="J1526" s="3">
        <v>44856</v>
      </c>
      <c r="K1526" s="2">
        <v>77</v>
      </c>
      <c r="L1526" s="2" t="s">
        <v>20</v>
      </c>
      <c r="M1526" s="3"/>
    </row>
    <row r="1527" spans="1:13" x14ac:dyDescent="0.3">
      <c r="A1527" s="2">
        <v>1526</v>
      </c>
      <c r="B1527" s="2" t="s">
        <v>3616</v>
      </c>
      <c r="C1527" s="2" t="s">
        <v>1967</v>
      </c>
      <c r="D1527" s="2" t="s">
        <v>28</v>
      </c>
      <c r="E1527" s="2" t="s">
        <v>29</v>
      </c>
      <c r="F1527" s="2">
        <v>30</v>
      </c>
      <c r="G1527" s="2" t="s">
        <v>4566</v>
      </c>
      <c r="H1527" s="2" t="s">
        <v>4567</v>
      </c>
      <c r="I1527" s="2" t="s">
        <v>38</v>
      </c>
      <c r="J1527" s="3">
        <v>44471</v>
      </c>
      <c r="K1527" s="2">
        <v>8</v>
      </c>
      <c r="L1527" s="2" t="s">
        <v>54</v>
      </c>
      <c r="M1527" s="3"/>
    </row>
    <row r="1528" spans="1:13" x14ac:dyDescent="0.3">
      <c r="A1528" s="2">
        <v>1527</v>
      </c>
      <c r="B1528" s="2" t="s">
        <v>1793</v>
      </c>
      <c r="C1528" s="2" t="s">
        <v>481</v>
      </c>
      <c r="D1528" s="2" t="s">
        <v>28</v>
      </c>
      <c r="E1528" s="2" t="s">
        <v>29</v>
      </c>
      <c r="F1528" s="2">
        <v>90</v>
      </c>
      <c r="G1528" s="2" t="s">
        <v>4568</v>
      </c>
      <c r="H1528" s="2" t="s">
        <v>137</v>
      </c>
      <c r="I1528" s="2" t="s">
        <v>32</v>
      </c>
      <c r="J1528" s="3">
        <v>44322</v>
      </c>
      <c r="K1528" s="2">
        <v>48</v>
      </c>
      <c r="L1528" s="2" t="s">
        <v>54</v>
      </c>
      <c r="M1528" s="3"/>
    </row>
    <row r="1529" spans="1:13" x14ac:dyDescent="0.3">
      <c r="A1529" s="2">
        <v>1528</v>
      </c>
      <c r="B1529" s="2" t="s">
        <v>4569</v>
      </c>
      <c r="C1529" s="2" t="s">
        <v>4570</v>
      </c>
      <c r="D1529" s="2" t="s">
        <v>28</v>
      </c>
      <c r="E1529" s="2" t="s">
        <v>29</v>
      </c>
      <c r="F1529" s="2">
        <v>30</v>
      </c>
      <c r="G1529" s="2" t="s">
        <v>4571</v>
      </c>
      <c r="H1529" s="2" t="s">
        <v>1920</v>
      </c>
      <c r="I1529" s="2" t="s">
        <v>1921</v>
      </c>
      <c r="J1529" s="3">
        <v>44486</v>
      </c>
      <c r="K1529" s="2">
        <v>31</v>
      </c>
      <c r="L1529" s="2" t="s">
        <v>64</v>
      </c>
      <c r="M1529" s="3"/>
    </row>
    <row r="1530" spans="1:13" x14ac:dyDescent="0.3">
      <c r="A1530" s="2">
        <v>1529</v>
      </c>
      <c r="B1530" s="2" t="s">
        <v>4572</v>
      </c>
      <c r="C1530" s="2" t="s">
        <v>1101</v>
      </c>
      <c r="D1530" s="2" t="s">
        <v>28</v>
      </c>
      <c r="E1530" s="2" t="s">
        <v>29</v>
      </c>
      <c r="F1530" s="2">
        <v>30</v>
      </c>
      <c r="G1530" s="2" t="s">
        <v>4573</v>
      </c>
      <c r="H1530" s="2" t="s">
        <v>1494</v>
      </c>
      <c r="I1530" s="2" t="s">
        <v>32</v>
      </c>
      <c r="J1530" s="3">
        <v>43840</v>
      </c>
      <c r="K1530" s="2">
        <v>32</v>
      </c>
      <c r="L1530" s="2" t="s">
        <v>54</v>
      </c>
      <c r="M1530" s="3"/>
    </row>
    <row r="1531" spans="1:13" x14ac:dyDescent="0.3">
      <c r="A1531" s="2">
        <v>1530</v>
      </c>
      <c r="B1531" s="2" t="s">
        <v>3787</v>
      </c>
      <c r="C1531" s="2" t="s">
        <v>4574</v>
      </c>
      <c r="D1531" s="2" t="s">
        <v>28</v>
      </c>
      <c r="E1531" s="2" t="s">
        <v>29</v>
      </c>
      <c r="F1531" s="2">
        <v>30</v>
      </c>
      <c r="G1531" s="2" t="s">
        <v>4575</v>
      </c>
      <c r="H1531" s="2" t="s">
        <v>1206</v>
      </c>
      <c r="I1531" s="2" t="s">
        <v>294</v>
      </c>
      <c r="J1531" s="3">
        <v>43887</v>
      </c>
      <c r="K1531" s="2">
        <v>26</v>
      </c>
      <c r="L1531" s="2" t="s">
        <v>45</v>
      </c>
      <c r="M1531" s="3"/>
    </row>
    <row r="1532" spans="1:13" x14ac:dyDescent="0.3">
      <c r="A1532" s="2">
        <v>1531</v>
      </c>
      <c r="B1532" s="2" t="s">
        <v>4576</v>
      </c>
      <c r="C1532" s="2" t="s">
        <v>4577</v>
      </c>
      <c r="D1532" s="2" t="s">
        <v>51</v>
      </c>
      <c r="E1532" s="2" t="s">
        <v>16</v>
      </c>
      <c r="F1532" s="2">
        <v>30</v>
      </c>
      <c r="G1532" s="2" t="s">
        <v>4578</v>
      </c>
      <c r="H1532" s="2" t="s">
        <v>4463</v>
      </c>
      <c r="I1532" s="2" t="s">
        <v>32</v>
      </c>
      <c r="J1532" s="3">
        <v>44432</v>
      </c>
      <c r="K1532" s="2">
        <v>66</v>
      </c>
      <c r="L1532" s="2" t="s">
        <v>64</v>
      </c>
      <c r="M1532" s="3"/>
    </row>
    <row r="1533" spans="1:13" x14ac:dyDescent="0.3">
      <c r="A1533" s="2">
        <v>1532</v>
      </c>
      <c r="B1533" s="2" t="s">
        <v>4579</v>
      </c>
      <c r="C1533" s="2" t="s">
        <v>4580</v>
      </c>
      <c r="D1533" s="2" t="s">
        <v>51</v>
      </c>
      <c r="E1533" s="2" t="s">
        <v>16</v>
      </c>
      <c r="F1533" s="2">
        <v>30</v>
      </c>
      <c r="G1533" s="2" t="s">
        <v>4581</v>
      </c>
      <c r="H1533" s="2" t="s">
        <v>1210</v>
      </c>
      <c r="I1533" s="2" t="s">
        <v>294</v>
      </c>
      <c r="J1533" s="3">
        <v>44858</v>
      </c>
      <c r="K1533" s="2">
        <v>99</v>
      </c>
      <c r="L1533" s="2" t="s">
        <v>64</v>
      </c>
      <c r="M1533" s="3"/>
    </row>
    <row r="1534" spans="1:13" x14ac:dyDescent="0.3">
      <c r="A1534" s="2">
        <v>1533</v>
      </c>
      <c r="B1534" s="2" t="s">
        <v>1572</v>
      </c>
      <c r="C1534" s="2" t="s">
        <v>2722</v>
      </c>
      <c r="D1534" s="2" t="s">
        <v>28</v>
      </c>
      <c r="E1534" s="2" t="s">
        <v>29</v>
      </c>
      <c r="F1534" s="2">
        <v>30</v>
      </c>
      <c r="G1534" s="2" t="s">
        <v>4582</v>
      </c>
      <c r="H1534" s="2" t="s">
        <v>1952</v>
      </c>
      <c r="I1534" s="2" t="s">
        <v>32</v>
      </c>
      <c r="J1534" s="3">
        <v>44092</v>
      </c>
      <c r="K1534" s="2">
        <v>46</v>
      </c>
      <c r="L1534" s="2" t="s">
        <v>159</v>
      </c>
      <c r="M1534" s="3"/>
    </row>
    <row r="1535" spans="1:13" x14ac:dyDescent="0.3">
      <c r="A1535" s="2">
        <v>1534</v>
      </c>
      <c r="B1535" s="2" t="s">
        <v>3170</v>
      </c>
      <c r="C1535" s="2" t="s">
        <v>4583</v>
      </c>
      <c r="D1535" s="2" t="s">
        <v>51</v>
      </c>
      <c r="E1535" s="2" t="s">
        <v>16</v>
      </c>
      <c r="F1535" s="2">
        <v>90</v>
      </c>
      <c r="G1535" s="2" t="s">
        <v>4584</v>
      </c>
      <c r="H1535" s="2" t="s">
        <v>4585</v>
      </c>
      <c r="I1535" s="2" t="s">
        <v>25</v>
      </c>
      <c r="J1535" s="3">
        <v>44136</v>
      </c>
      <c r="K1535" s="2">
        <v>83</v>
      </c>
      <c r="L1535" s="2" t="s">
        <v>20</v>
      </c>
      <c r="M1535" s="3"/>
    </row>
    <row r="1536" spans="1:13" x14ac:dyDescent="0.3">
      <c r="A1536" s="2">
        <v>1535</v>
      </c>
      <c r="B1536" s="2" t="s">
        <v>1379</v>
      </c>
      <c r="C1536" s="2" t="s">
        <v>873</v>
      </c>
      <c r="D1536" s="2" t="s">
        <v>28</v>
      </c>
      <c r="E1536" s="2" t="s">
        <v>29</v>
      </c>
      <c r="F1536" s="2">
        <v>90</v>
      </c>
      <c r="G1536" s="2" t="s">
        <v>4586</v>
      </c>
      <c r="H1536" s="2" t="s">
        <v>4587</v>
      </c>
      <c r="I1536" s="2" t="s">
        <v>32</v>
      </c>
      <c r="J1536" s="3">
        <v>44180</v>
      </c>
      <c r="K1536" s="2">
        <v>21</v>
      </c>
      <c r="L1536" s="2" t="s">
        <v>80</v>
      </c>
      <c r="M1536" s="3"/>
    </row>
    <row r="1537" spans="1:13" x14ac:dyDescent="0.3">
      <c r="A1537" s="2">
        <v>1536</v>
      </c>
      <c r="B1537" s="2" t="s">
        <v>4588</v>
      </c>
      <c r="C1537" s="2" t="s">
        <v>2349</v>
      </c>
      <c r="D1537" s="2" t="s">
        <v>15</v>
      </c>
      <c r="E1537" s="2" t="s">
        <v>16</v>
      </c>
      <c r="F1537" s="2">
        <v>60</v>
      </c>
      <c r="G1537" s="2" t="s">
        <v>4589</v>
      </c>
      <c r="H1537" s="2" t="s">
        <v>818</v>
      </c>
      <c r="I1537" s="2" t="s">
        <v>819</v>
      </c>
      <c r="J1537" s="3">
        <v>44876</v>
      </c>
      <c r="K1537" s="2">
        <v>62</v>
      </c>
      <c r="L1537" s="2" t="s">
        <v>20</v>
      </c>
      <c r="M1537" s="3"/>
    </row>
    <row r="1538" spans="1:13" x14ac:dyDescent="0.3">
      <c r="A1538" s="2">
        <v>1537</v>
      </c>
      <c r="B1538" s="2" t="s">
        <v>4590</v>
      </c>
      <c r="C1538" s="2" t="s">
        <v>4591</v>
      </c>
      <c r="D1538" s="2" t="s">
        <v>15</v>
      </c>
      <c r="E1538" s="2" t="s">
        <v>16</v>
      </c>
      <c r="F1538" s="2">
        <v>90</v>
      </c>
      <c r="G1538" s="2" t="s">
        <v>4592</v>
      </c>
      <c r="H1538" s="2" t="s">
        <v>3242</v>
      </c>
      <c r="I1538" s="2" t="s">
        <v>32</v>
      </c>
      <c r="J1538" s="3">
        <v>44132</v>
      </c>
      <c r="K1538" s="2">
        <v>34</v>
      </c>
      <c r="L1538" s="2" t="s">
        <v>70</v>
      </c>
      <c r="M1538" s="3"/>
    </row>
    <row r="1539" spans="1:13" x14ac:dyDescent="0.3">
      <c r="A1539" s="2">
        <v>1538</v>
      </c>
      <c r="B1539" s="2" t="s">
        <v>1909</v>
      </c>
      <c r="C1539" s="2" t="s">
        <v>2127</v>
      </c>
      <c r="D1539" s="2" t="s">
        <v>28</v>
      </c>
      <c r="E1539" s="2" t="s">
        <v>29</v>
      </c>
      <c r="F1539" s="2">
        <v>90</v>
      </c>
      <c r="G1539" s="2" t="s">
        <v>4593</v>
      </c>
      <c r="H1539" s="2" t="s">
        <v>4594</v>
      </c>
      <c r="I1539" s="2" t="s">
        <v>38</v>
      </c>
      <c r="J1539" s="3">
        <v>44873</v>
      </c>
      <c r="K1539" s="2">
        <v>89</v>
      </c>
      <c r="L1539" s="2" t="s">
        <v>20</v>
      </c>
      <c r="M1539" s="3"/>
    </row>
    <row r="1540" spans="1:13" x14ac:dyDescent="0.3">
      <c r="A1540" s="2">
        <v>1539</v>
      </c>
      <c r="B1540" s="2" t="s">
        <v>1234</v>
      </c>
      <c r="C1540" s="2" t="s">
        <v>1874</v>
      </c>
      <c r="D1540" s="2" t="s">
        <v>28</v>
      </c>
      <c r="E1540" s="2" t="s">
        <v>29</v>
      </c>
      <c r="F1540" s="2">
        <v>60</v>
      </c>
      <c r="G1540" s="2" t="s">
        <v>4595</v>
      </c>
      <c r="H1540" s="2" t="s">
        <v>2742</v>
      </c>
      <c r="I1540" s="2" t="s">
        <v>124</v>
      </c>
      <c r="J1540" s="3">
        <v>44837</v>
      </c>
      <c r="K1540" s="2">
        <v>60</v>
      </c>
      <c r="L1540" s="2" t="s">
        <v>70</v>
      </c>
      <c r="M1540" s="3"/>
    </row>
    <row r="1541" spans="1:13" x14ac:dyDescent="0.3">
      <c r="A1541" s="2">
        <v>1540</v>
      </c>
      <c r="B1541" s="2" t="s">
        <v>4596</v>
      </c>
      <c r="C1541" s="2" t="s">
        <v>4079</v>
      </c>
      <c r="D1541" s="2" t="s">
        <v>28</v>
      </c>
      <c r="E1541" s="2" t="s">
        <v>29</v>
      </c>
      <c r="F1541" s="2">
        <v>90</v>
      </c>
      <c r="G1541" s="2" t="s">
        <v>4597</v>
      </c>
      <c r="H1541" s="2" t="s">
        <v>4598</v>
      </c>
      <c r="I1541" s="2" t="s">
        <v>187</v>
      </c>
      <c r="J1541" s="3">
        <v>43963</v>
      </c>
      <c r="K1541" s="2">
        <v>72</v>
      </c>
      <c r="L1541" s="2" t="s">
        <v>20</v>
      </c>
      <c r="M1541" s="3"/>
    </row>
    <row r="1542" spans="1:13" x14ac:dyDescent="0.3">
      <c r="A1542" s="2">
        <v>1541</v>
      </c>
      <c r="B1542" s="2" t="s">
        <v>4596</v>
      </c>
      <c r="C1542" s="2" t="s">
        <v>4079</v>
      </c>
      <c r="D1542" s="2" t="s">
        <v>28</v>
      </c>
      <c r="E1542" s="2" t="s">
        <v>29</v>
      </c>
      <c r="F1542" s="2">
        <v>90</v>
      </c>
      <c r="G1542" s="2" t="s">
        <v>4597</v>
      </c>
      <c r="H1542" s="2" t="s">
        <v>4598</v>
      </c>
      <c r="I1542" s="2" t="s">
        <v>187</v>
      </c>
      <c r="J1542" s="3">
        <v>43963</v>
      </c>
      <c r="K1542" s="2">
        <v>72</v>
      </c>
      <c r="L1542" s="2" t="s">
        <v>20</v>
      </c>
      <c r="M1542" s="3"/>
    </row>
    <row r="1543" spans="1:13" x14ac:dyDescent="0.3">
      <c r="A1543" s="2">
        <v>1542</v>
      </c>
      <c r="B1543" s="2" t="s">
        <v>4599</v>
      </c>
      <c r="C1543" s="2" t="s">
        <v>4600</v>
      </c>
      <c r="D1543" s="2" t="s">
        <v>28</v>
      </c>
      <c r="E1543" s="2" t="s">
        <v>29</v>
      </c>
      <c r="F1543" s="2">
        <v>30</v>
      </c>
      <c r="G1543" s="2" t="s">
        <v>4601</v>
      </c>
      <c r="H1543" s="2" t="s">
        <v>4090</v>
      </c>
      <c r="I1543" s="2" t="s">
        <v>32</v>
      </c>
      <c r="J1543" s="3">
        <v>44687</v>
      </c>
      <c r="K1543" s="2">
        <v>66</v>
      </c>
      <c r="L1543" s="2" t="s">
        <v>33</v>
      </c>
      <c r="M1543" s="3"/>
    </row>
    <row r="1544" spans="1:13" x14ac:dyDescent="0.3">
      <c r="A1544" s="2">
        <v>1543</v>
      </c>
      <c r="B1544" s="2" t="s">
        <v>4602</v>
      </c>
      <c r="C1544" s="2" t="s">
        <v>4603</v>
      </c>
      <c r="D1544" s="2" t="s">
        <v>15</v>
      </c>
      <c r="E1544" s="2" t="s">
        <v>16</v>
      </c>
      <c r="F1544" s="2">
        <v>30</v>
      </c>
      <c r="G1544" s="2" t="s">
        <v>4604</v>
      </c>
      <c r="H1544" s="2" t="s">
        <v>849</v>
      </c>
      <c r="I1544" s="2" t="s">
        <v>124</v>
      </c>
      <c r="J1544" s="3">
        <v>44331</v>
      </c>
      <c r="K1544" s="2">
        <v>86</v>
      </c>
      <c r="L1544" s="2" t="s">
        <v>45</v>
      </c>
      <c r="M1544" s="3"/>
    </row>
    <row r="1545" spans="1:13" x14ac:dyDescent="0.3">
      <c r="A1545" s="2">
        <v>1544</v>
      </c>
      <c r="B1545" s="2" t="s">
        <v>4605</v>
      </c>
      <c r="C1545" s="2" t="s">
        <v>1829</v>
      </c>
      <c r="D1545" s="2" t="s">
        <v>621</v>
      </c>
      <c r="E1545" s="2" t="s">
        <v>29</v>
      </c>
      <c r="F1545" s="2">
        <v>30</v>
      </c>
      <c r="G1545" s="2" t="s">
        <v>4606</v>
      </c>
      <c r="H1545" s="2" t="s">
        <v>4607</v>
      </c>
      <c r="I1545" s="2" t="s">
        <v>25</v>
      </c>
      <c r="J1545" s="3">
        <v>44555</v>
      </c>
      <c r="K1545" s="2">
        <v>11</v>
      </c>
      <c r="L1545" s="2" t="s">
        <v>80</v>
      </c>
      <c r="M1545" s="3"/>
    </row>
    <row r="1546" spans="1:13" x14ac:dyDescent="0.3">
      <c r="A1546" s="2">
        <v>1545</v>
      </c>
      <c r="B1546" s="2" t="s">
        <v>4608</v>
      </c>
      <c r="C1546" s="2" t="s">
        <v>4609</v>
      </c>
      <c r="D1546" s="2" t="s">
        <v>15</v>
      </c>
      <c r="E1546" s="2" t="s">
        <v>16</v>
      </c>
      <c r="F1546" s="2">
        <v>60</v>
      </c>
      <c r="G1546" s="2" t="s">
        <v>4610</v>
      </c>
      <c r="H1546" s="2" t="s">
        <v>4611</v>
      </c>
      <c r="I1546" s="2" t="s">
        <v>38</v>
      </c>
      <c r="J1546" s="3">
        <v>44807</v>
      </c>
      <c r="K1546" s="2">
        <v>73</v>
      </c>
      <c r="L1546" s="2" t="s">
        <v>159</v>
      </c>
      <c r="M1546" s="3"/>
    </row>
    <row r="1547" spans="1:13" x14ac:dyDescent="0.3">
      <c r="A1547" s="2">
        <v>1546</v>
      </c>
      <c r="B1547" s="2" t="s">
        <v>4612</v>
      </c>
      <c r="C1547" s="2" t="s">
        <v>516</v>
      </c>
      <c r="D1547" s="2" t="s">
        <v>51</v>
      </c>
      <c r="E1547" s="2" t="s">
        <v>16</v>
      </c>
      <c r="F1547" s="2">
        <v>90</v>
      </c>
      <c r="G1547" s="2" t="s">
        <v>4613</v>
      </c>
      <c r="H1547" s="2" t="s">
        <v>378</v>
      </c>
      <c r="I1547" s="2" t="s">
        <v>146</v>
      </c>
      <c r="J1547" s="3">
        <v>44463</v>
      </c>
      <c r="K1547" s="2">
        <v>29</v>
      </c>
      <c r="L1547" s="2" t="s">
        <v>39</v>
      </c>
      <c r="M1547" s="3"/>
    </row>
    <row r="1548" spans="1:13" x14ac:dyDescent="0.3">
      <c r="A1548" s="2">
        <v>1547</v>
      </c>
      <c r="B1548" s="2" t="s">
        <v>4614</v>
      </c>
      <c r="C1548" s="2" t="s">
        <v>4615</v>
      </c>
      <c r="D1548" s="2" t="s">
        <v>51</v>
      </c>
      <c r="E1548" s="2" t="s">
        <v>16</v>
      </c>
      <c r="F1548" s="2">
        <v>90</v>
      </c>
      <c r="G1548" s="2" t="s">
        <v>4616</v>
      </c>
      <c r="H1548" s="2" t="s">
        <v>2890</v>
      </c>
      <c r="I1548" s="2" t="s">
        <v>32</v>
      </c>
      <c r="J1548" s="3">
        <v>44531</v>
      </c>
      <c r="K1548" s="2">
        <v>62</v>
      </c>
      <c r="L1548" s="2" t="s">
        <v>80</v>
      </c>
      <c r="M1548" s="3"/>
    </row>
    <row r="1549" spans="1:13" x14ac:dyDescent="0.3">
      <c r="A1549" s="2">
        <v>1548</v>
      </c>
      <c r="B1549" s="2" t="s">
        <v>51</v>
      </c>
      <c r="C1549" s="2" t="s">
        <v>66</v>
      </c>
      <c r="D1549" s="2" t="s">
        <v>15</v>
      </c>
      <c r="E1549" s="2" t="s">
        <v>16</v>
      </c>
      <c r="F1549" s="2">
        <v>30</v>
      </c>
      <c r="G1549" s="2" t="s">
        <v>4617</v>
      </c>
      <c r="H1549" s="2" t="s">
        <v>2341</v>
      </c>
      <c r="I1549" s="2" t="s">
        <v>2342</v>
      </c>
      <c r="J1549" s="3">
        <v>44164</v>
      </c>
      <c r="K1549" s="2">
        <v>83</v>
      </c>
      <c r="L1549" s="2" t="s">
        <v>54</v>
      </c>
      <c r="M1549" s="3"/>
    </row>
    <row r="1550" spans="1:13" x14ac:dyDescent="0.3">
      <c r="A1550" s="2">
        <v>1549</v>
      </c>
      <c r="B1550" s="2" t="s">
        <v>4618</v>
      </c>
      <c r="C1550" s="2" t="s">
        <v>4619</v>
      </c>
      <c r="D1550" s="2" t="s">
        <v>28</v>
      </c>
      <c r="E1550" s="2" t="s">
        <v>29</v>
      </c>
      <c r="F1550" s="2">
        <v>90</v>
      </c>
      <c r="G1550" s="2" t="s">
        <v>4620</v>
      </c>
      <c r="H1550" s="2" t="s">
        <v>4621</v>
      </c>
      <c r="I1550" s="2" t="s">
        <v>178</v>
      </c>
      <c r="J1550" s="3">
        <v>44143</v>
      </c>
      <c r="K1550" s="2">
        <v>80</v>
      </c>
      <c r="L1550" s="2" t="s">
        <v>159</v>
      </c>
      <c r="M1550" s="3"/>
    </row>
    <row r="1551" spans="1:13" x14ac:dyDescent="0.3">
      <c r="A1551" s="2">
        <v>1550</v>
      </c>
      <c r="B1551" s="2" t="s">
        <v>4622</v>
      </c>
      <c r="C1551" s="2" t="s">
        <v>4623</v>
      </c>
      <c r="D1551" s="2" t="s">
        <v>15</v>
      </c>
      <c r="E1551" s="2" t="s">
        <v>16</v>
      </c>
      <c r="F1551" s="2">
        <v>30</v>
      </c>
      <c r="G1551" s="2" t="s">
        <v>4624</v>
      </c>
      <c r="H1551" s="2" t="s">
        <v>4214</v>
      </c>
      <c r="I1551" s="2" t="s">
        <v>187</v>
      </c>
      <c r="J1551" s="3">
        <v>44734</v>
      </c>
      <c r="K1551" s="2">
        <v>16</v>
      </c>
      <c r="L1551" s="2" t="s">
        <v>20</v>
      </c>
      <c r="M1551" s="3"/>
    </row>
    <row r="1552" spans="1:13" x14ac:dyDescent="0.3">
      <c r="A1552" s="2">
        <v>1551</v>
      </c>
      <c r="B1552" s="2" t="s">
        <v>4625</v>
      </c>
      <c r="C1552" s="2" t="s">
        <v>4626</v>
      </c>
      <c r="D1552" s="2" t="s">
        <v>41</v>
      </c>
      <c r="E1552" s="2" t="s">
        <v>16</v>
      </c>
      <c r="F1552" s="2">
        <v>30</v>
      </c>
      <c r="G1552" s="2" t="s">
        <v>4627</v>
      </c>
      <c r="H1552" s="2" t="s">
        <v>2325</v>
      </c>
      <c r="I1552" s="2" t="s">
        <v>173</v>
      </c>
      <c r="J1552" s="3">
        <v>43983</v>
      </c>
      <c r="K1552" s="2">
        <v>42</v>
      </c>
      <c r="L1552" s="2" t="s">
        <v>101</v>
      </c>
      <c r="M1552" s="3"/>
    </row>
    <row r="1553" spans="1:13" x14ac:dyDescent="0.3">
      <c r="A1553" s="2">
        <v>1552</v>
      </c>
      <c r="B1553" s="2" t="s">
        <v>4628</v>
      </c>
      <c r="C1553" s="2" t="s">
        <v>4629</v>
      </c>
      <c r="D1553" s="2" t="s">
        <v>28</v>
      </c>
      <c r="E1553" s="2" t="s">
        <v>29</v>
      </c>
      <c r="F1553" s="2">
        <v>90</v>
      </c>
      <c r="G1553" s="2" t="s">
        <v>4630</v>
      </c>
      <c r="H1553" s="2" t="s">
        <v>4631</v>
      </c>
      <c r="I1553" s="2" t="s">
        <v>187</v>
      </c>
      <c r="J1553" s="3">
        <v>43989</v>
      </c>
      <c r="K1553" s="2">
        <v>34</v>
      </c>
      <c r="L1553" s="2" t="s">
        <v>80</v>
      </c>
      <c r="M1553" s="3"/>
    </row>
    <row r="1554" spans="1:13" x14ac:dyDescent="0.3">
      <c r="A1554" s="2">
        <v>1553</v>
      </c>
      <c r="B1554" s="2" t="s">
        <v>3221</v>
      </c>
      <c r="C1554" s="2" t="s">
        <v>4632</v>
      </c>
      <c r="D1554" s="2" t="s">
        <v>51</v>
      </c>
      <c r="E1554" s="2" t="s">
        <v>16</v>
      </c>
      <c r="F1554" s="2">
        <v>60</v>
      </c>
      <c r="G1554" s="2" t="s">
        <v>4633</v>
      </c>
      <c r="H1554" s="2" t="s">
        <v>3024</v>
      </c>
      <c r="I1554" s="2" t="s">
        <v>32</v>
      </c>
      <c r="J1554" s="3">
        <v>44796</v>
      </c>
      <c r="K1554" s="2">
        <v>81</v>
      </c>
      <c r="L1554" s="2" t="s">
        <v>33</v>
      </c>
      <c r="M1554" s="3"/>
    </row>
    <row r="1555" spans="1:13" x14ac:dyDescent="0.3">
      <c r="A1555" s="2">
        <v>1554</v>
      </c>
      <c r="B1555" s="2" t="s">
        <v>4634</v>
      </c>
      <c r="C1555" s="2" t="s">
        <v>4635</v>
      </c>
      <c r="D1555" s="2" t="s">
        <v>51</v>
      </c>
      <c r="E1555" s="2" t="s">
        <v>16</v>
      </c>
      <c r="F1555" s="2">
        <v>90</v>
      </c>
      <c r="G1555" s="2" t="s">
        <v>4636</v>
      </c>
      <c r="H1555" s="2" t="s">
        <v>3932</v>
      </c>
      <c r="I1555" s="2" t="s">
        <v>32</v>
      </c>
      <c r="J1555" s="3">
        <v>44394</v>
      </c>
      <c r="K1555" s="2">
        <v>23</v>
      </c>
      <c r="L1555" s="2" t="s">
        <v>70</v>
      </c>
      <c r="M1555" s="3"/>
    </row>
    <row r="1556" spans="1:13" x14ac:dyDescent="0.3">
      <c r="A1556" s="2">
        <v>1555</v>
      </c>
      <c r="B1556" s="2" t="s">
        <v>3597</v>
      </c>
      <c r="C1556" s="2" t="s">
        <v>4637</v>
      </c>
      <c r="D1556" s="2" t="s">
        <v>28</v>
      </c>
      <c r="E1556" s="2" t="s">
        <v>29</v>
      </c>
      <c r="F1556" s="2">
        <v>90</v>
      </c>
      <c r="G1556" s="2" t="s">
        <v>4638</v>
      </c>
      <c r="H1556" s="2" t="s">
        <v>172</v>
      </c>
      <c r="I1556" s="2" t="s">
        <v>173</v>
      </c>
      <c r="J1556" s="3">
        <v>44266</v>
      </c>
      <c r="K1556" s="2">
        <v>55</v>
      </c>
      <c r="L1556" s="2" t="s">
        <v>80</v>
      </c>
      <c r="M1556" s="3"/>
    </row>
    <row r="1557" spans="1:13" x14ac:dyDescent="0.3">
      <c r="A1557" s="2">
        <v>1556</v>
      </c>
      <c r="B1557" s="2" t="s">
        <v>4639</v>
      </c>
      <c r="C1557" s="2" t="s">
        <v>4640</v>
      </c>
      <c r="D1557" s="2" t="s">
        <v>51</v>
      </c>
      <c r="E1557" s="2" t="s">
        <v>16</v>
      </c>
      <c r="F1557" s="2">
        <v>30</v>
      </c>
      <c r="G1557" s="2" t="s">
        <v>4641</v>
      </c>
      <c r="H1557" s="2" t="s">
        <v>3437</v>
      </c>
      <c r="I1557" s="2" t="s">
        <v>100</v>
      </c>
      <c r="J1557" s="3">
        <v>44669</v>
      </c>
      <c r="K1557" s="2">
        <v>32</v>
      </c>
      <c r="L1557" s="2" t="s">
        <v>70</v>
      </c>
      <c r="M1557" s="3"/>
    </row>
    <row r="1558" spans="1:13" x14ac:dyDescent="0.3">
      <c r="A1558" s="2">
        <v>1557</v>
      </c>
      <c r="B1558" s="2" t="s">
        <v>4642</v>
      </c>
      <c r="C1558" s="2" t="s">
        <v>3900</v>
      </c>
      <c r="D1558" s="2" t="s">
        <v>51</v>
      </c>
      <c r="E1558" s="2" t="s">
        <v>16</v>
      </c>
      <c r="F1558" s="2">
        <v>60</v>
      </c>
      <c r="G1558" s="2" t="s">
        <v>4643</v>
      </c>
      <c r="H1558" s="2" t="s">
        <v>4389</v>
      </c>
      <c r="I1558" s="2" t="s">
        <v>32</v>
      </c>
      <c r="J1558" s="3">
        <v>44910</v>
      </c>
      <c r="K1558" s="2">
        <v>40</v>
      </c>
      <c r="L1558" s="2" t="s">
        <v>159</v>
      </c>
      <c r="M1558" s="3"/>
    </row>
    <row r="1559" spans="1:13" x14ac:dyDescent="0.3">
      <c r="A1559" s="2">
        <v>1558</v>
      </c>
      <c r="B1559" s="2" t="s">
        <v>785</v>
      </c>
      <c r="C1559" s="2" t="s">
        <v>4644</v>
      </c>
      <c r="D1559" s="2" t="s">
        <v>28</v>
      </c>
      <c r="E1559" s="2" t="s">
        <v>29</v>
      </c>
      <c r="F1559" s="2">
        <v>90</v>
      </c>
      <c r="G1559" s="2" t="s">
        <v>4645</v>
      </c>
      <c r="H1559" s="2" t="s">
        <v>1647</v>
      </c>
      <c r="I1559" s="2" t="s">
        <v>554</v>
      </c>
      <c r="J1559" s="3">
        <v>44861</v>
      </c>
      <c r="K1559" s="2">
        <v>75</v>
      </c>
      <c r="L1559" s="2" t="s">
        <v>64</v>
      </c>
      <c r="M1559" s="3"/>
    </row>
    <row r="1560" spans="1:13" x14ac:dyDescent="0.3">
      <c r="A1560" s="2">
        <v>1559</v>
      </c>
      <c r="B1560" s="2" t="s">
        <v>3050</v>
      </c>
      <c r="C1560" s="2" t="s">
        <v>4422</v>
      </c>
      <c r="D1560" s="2" t="s">
        <v>28</v>
      </c>
      <c r="E1560" s="2" t="s">
        <v>29</v>
      </c>
      <c r="F1560" s="2">
        <v>30</v>
      </c>
      <c r="G1560" s="2" t="s">
        <v>4646</v>
      </c>
      <c r="H1560" s="2" t="s">
        <v>1987</v>
      </c>
      <c r="I1560" s="2" t="s">
        <v>19</v>
      </c>
      <c r="J1560" s="3">
        <v>44147</v>
      </c>
      <c r="K1560" s="2">
        <v>71</v>
      </c>
      <c r="L1560" s="2" t="s">
        <v>80</v>
      </c>
      <c r="M1560" s="3"/>
    </row>
    <row r="1561" spans="1:13" x14ac:dyDescent="0.3">
      <c r="A1561" s="2">
        <v>1560</v>
      </c>
      <c r="B1561" s="2" t="s">
        <v>4647</v>
      </c>
      <c r="C1561" s="2" t="s">
        <v>4481</v>
      </c>
      <c r="D1561" s="2" t="s">
        <v>28</v>
      </c>
      <c r="E1561" s="2" t="s">
        <v>29</v>
      </c>
      <c r="F1561" s="2">
        <v>30</v>
      </c>
      <c r="G1561" s="2" t="s">
        <v>4648</v>
      </c>
      <c r="H1561" s="2" t="s">
        <v>3274</v>
      </c>
      <c r="I1561" s="2" t="s">
        <v>32</v>
      </c>
      <c r="J1561" s="3">
        <v>44660</v>
      </c>
      <c r="K1561" s="2">
        <v>57</v>
      </c>
      <c r="L1561" s="2" t="s">
        <v>39</v>
      </c>
      <c r="M1561" s="3"/>
    </row>
    <row r="1562" spans="1:13" x14ac:dyDescent="0.3">
      <c r="A1562" s="2">
        <v>1561</v>
      </c>
      <c r="B1562" s="2" t="s">
        <v>4649</v>
      </c>
      <c r="C1562" s="2" t="s">
        <v>2385</v>
      </c>
      <c r="D1562" s="2" t="s">
        <v>28</v>
      </c>
      <c r="E1562" s="2" t="s">
        <v>29</v>
      </c>
      <c r="F1562" s="2">
        <v>60</v>
      </c>
      <c r="G1562" s="2" t="s">
        <v>4650</v>
      </c>
      <c r="H1562" s="2" t="s">
        <v>4651</v>
      </c>
      <c r="I1562" s="2" t="s">
        <v>32</v>
      </c>
      <c r="J1562" s="3">
        <v>44732</v>
      </c>
      <c r="K1562" s="2">
        <v>39</v>
      </c>
      <c r="L1562" s="2" t="s">
        <v>80</v>
      </c>
      <c r="M1562" s="3"/>
    </row>
    <row r="1563" spans="1:13" x14ac:dyDescent="0.3">
      <c r="A1563" s="2">
        <v>1562</v>
      </c>
      <c r="B1563" s="2" t="s">
        <v>4652</v>
      </c>
      <c r="C1563" s="2" t="s">
        <v>4653</v>
      </c>
      <c r="D1563" s="2" t="s">
        <v>28</v>
      </c>
      <c r="E1563" s="2" t="s">
        <v>29</v>
      </c>
      <c r="F1563" s="2">
        <v>90</v>
      </c>
      <c r="G1563" s="2" t="s">
        <v>4654</v>
      </c>
      <c r="H1563" s="2" t="s">
        <v>4655</v>
      </c>
      <c r="I1563" s="2" t="s">
        <v>32</v>
      </c>
      <c r="J1563" s="3">
        <v>44175</v>
      </c>
      <c r="K1563" s="2">
        <v>46</v>
      </c>
      <c r="L1563" s="2" t="s">
        <v>39</v>
      </c>
      <c r="M1563" s="3"/>
    </row>
    <row r="1564" spans="1:13" x14ac:dyDescent="0.3">
      <c r="A1564" s="2">
        <v>1563</v>
      </c>
      <c r="B1564" s="2" t="s">
        <v>4656</v>
      </c>
      <c r="C1564" s="2" t="s">
        <v>3469</v>
      </c>
      <c r="D1564" s="2" t="s">
        <v>15</v>
      </c>
      <c r="E1564" s="2" t="s">
        <v>16</v>
      </c>
      <c r="F1564" s="2">
        <v>90</v>
      </c>
      <c r="G1564" s="2" t="s">
        <v>4657</v>
      </c>
      <c r="H1564" s="2" t="s">
        <v>1690</v>
      </c>
      <c r="I1564" s="2" t="s">
        <v>208</v>
      </c>
      <c r="J1564" s="3">
        <v>44429</v>
      </c>
      <c r="K1564" s="2">
        <v>19</v>
      </c>
      <c r="L1564" s="2" t="s">
        <v>54</v>
      </c>
      <c r="M1564" s="3"/>
    </row>
    <row r="1565" spans="1:13" x14ac:dyDescent="0.3">
      <c r="A1565" s="2">
        <v>1564</v>
      </c>
      <c r="B1565" s="2" t="s">
        <v>4658</v>
      </c>
      <c r="C1565" s="2" t="s">
        <v>788</v>
      </c>
      <c r="D1565" s="2" t="s">
        <v>15</v>
      </c>
      <c r="E1565" s="2" t="s">
        <v>16</v>
      </c>
      <c r="F1565" s="2">
        <v>30</v>
      </c>
      <c r="G1565" s="2" t="s">
        <v>4659</v>
      </c>
      <c r="H1565" s="2" t="s">
        <v>429</v>
      </c>
      <c r="I1565" s="2" t="s">
        <v>32</v>
      </c>
      <c r="J1565" s="3">
        <v>44051</v>
      </c>
      <c r="K1565" s="2">
        <v>69</v>
      </c>
      <c r="L1565" s="2" t="s">
        <v>20</v>
      </c>
      <c r="M1565" s="3"/>
    </row>
    <row r="1566" spans="1:13" x14ac:dyDescent="0.3">
      <c r="A1566" s="2">
        <v>1565</v>
      </c>
      <c r="B1566" s="2" t="s">
        <v>4660</v>
      </c>
      <c r="C1566" s="2" t="s">
        <v>4425</v>
      </c>
      <c r="D1566" s="2" t="s">
        <v>51</v>
      </c>
      <c r="E1566" s="2" t="s">
        <v>16</v>
      </c>
      <c r="F1566" s="2">
        <v>30</v>
      </c>
      <c r="G1566" s="2" t="s">
        <v>4661</v>
      </c>
      <c r="H1566" s="2" t="s">
        <v>4662</v>
      </c>
      <c r="I1566" s="2" t="s">
        <v>32</v>
      </c>
      <c r="J1566" s="3">
        <v>44166</v>
      </c>
      <c r="K1566" s="2">
        <v>50</v>
      </c>
      <c r="L1566" s="2" t="s">
        <v>33</v>
      </c>
      <c r="M1566" s="3"/>
    </row>
    <row r="1567" spans="1:13" x14ac:dyDescent="0.3">
      <c r="A1567" s="2">
        <v>1566</v>
      </c>
      <c r="B1567" s="2" t="s">
        <v>4663</v>
      </c>
      <c r="C1567" s="2" t="s">
        <v>4664</v>
      </c>
      <c r="D1567" s="2" t="s">
        <v>28</v>
      </c>
      <c r="E1567" s="2" t="s">
        <v>29</v>
      </c>
      <c r="F1567" s="2">
        <v>90</v>
      </c>
      <c r="G1567" s="2" t="s">
        <v>4665</v>
      </c>
      <c r="H1567" s="2" t="s">
        <v>4074</v>
      </c>
      <c r="I1567" s="2" t="s">
        <v>19</v>
      </c>
      <c r="J1567" s="3">
        <v>44116</v>
      </c>
      <c r="K1567" s="2">
        <v>15</v>
      </c>
      <c r="L1567" s="2" t="s">
        <v>20</v>
      </c>
      <c r="M1567" s="3"/>
    </row>
    <row r="1568" spans="1:13" x14ac:dyDescent="0.3">
      <c r="A1568" s="2">
        <v>1567</v>
      </c>
      <c r="B1568" s="2" t="s">
        <v>3871</v>
      </c>
      <c r="C1568" s="2" t="s">
        <v>4473</v>
      </c>
      <c r="D1568" s="2" t="s">
        <v>28</v>
      </c>
      <c r="E1568" s="2" t="s">
        <v>29</v>
      </c>
      <c r="F1568" s="2">
        <v>60</v>
      </c>
      <c r="G1568" s="2" t="s">
        <v>4666</v>
      </c>
      <c r="H1568" s="2" t="s">
        <v>4667</v>
      </c>
      <c r="I1568" s="2" t="s">
        <v>4668</v>
      </c>
      <c r="J1568" s="3">
        <v>44565</v>
      </c>
      <c r="K1568" s="2">
        <v>48</v>
      </c>
      <c r="L1568" s="2" t="s">
        <v>64</v>
      </c>
      <c r="M1568" s="3"/>
    </row>
    <row r="1569" spans="1:13" x14ac:dyDescent="0.3">
      <c r="A1569" s="2">
        <v>1568</v>
      </c>
      <c r="B1569" s="2" t="s">
        <v>2938</v>
      </c>
      <c r="C1569" s="2" t="s">
        <v>3748</v>
      </c>
      <c r="D1569" s="2" t="s">
        <v>51</v>
      </c>
      <c r="E1569" s="2" t="s">
        <v>16</v>
      </c>
      <c r="F1569" s="2">
        <v>30</v>
      </c>
      <c r="G1569" s="2" t="s">
        <v>4666</v>
      </c>
      <c r="H1569" s="2" t="s">
        <v>4669</v>
      </c>
      <c r="I1569" s="2" t="s">
        <v>187</v>
      </c>
      <c r="J1569" s="3">
        <v>44164</v>
      </c>
      <c r="K1569" s="2">
        <v>47</v>
      </c>
      <c r="L1569" s="2" t="s">
        <v>159</v>
      </c>
      <c r="M1569" s="3"/>
    </row>
    <row r="1570" spans="1:13" x14ac:dyDescent="0.3">
      <c r="A1570" s="2">
        <v>1569</v>
      </c>
      <c r="B1570" s="2" t="s">
        <v>4670</v>
      </c>
      <c r="C1570" s="2" t="s">
        <v>4671</v>
      </c>
      <c r="D1570" s="2" t="s">
        <v>28</v>
      </c>
      <c r="E1570" s="2" t="s">
        <v>29</v>
      </c>
      <c r="F1570" s="2">
        <v>90</v>
      </c>
      <c r="G1570" s="2" t="s">
        <v>4672</v>
      </c>
      <c r="H1570" s="2" t="s">
        <v>4673</v>
      </c>
      <c r="I1570" s="2" t="s">
        <v>294</v>
      </c>
      <c r="J1570" s="3">
        <v>44454</v>
      </c>
      <c r="K1570" s="2">
        <v>58</v>
      </c>
      <c r="L1570" s="2" t="s">
        <v>20</v>
      </c>
      <c r="M1570" s="3"/>
    </row>
    <row r="1571" spans="1:13" x14ac:dyDescent="0.3">
      <c r="A1571" s="2">
        <v>1570</v>
      </c>
      <c r="B1571" s="2" t="s">
        <v>484</v>
      </c>
      <c r="C1571" s="2" t="s">
        <v>718</v>
      </c>
      <c r="D1571" s="2" t="s">
        <v>15</v>
      </c>
      <c r="E1571" s="2" t="s">
        <v>16</v>
      </c>
      <c r="F1571" s="2">
        <v>60</v>
      </c>
      <c r="G1571" s="2" t="s">
        <v>4674</v>
      </c>
      <c r="H1571" s="2" t="s">
        <v>4675</v>
      </c>
      <c r="I1571" s="2" t="s">
        <v>178</v>
      </c>
      <c r="J1571" s="3">
        <v>43918</v>
      </c>
      <c r="K1571" s="2">
        <v>28</v>
      </c>
      <c r="L1571" s="2" t="s">
        <v>39</v>
      </c>
      <c r="M1571" s="3"/>
    </row>
    <row r="1572" spans="1:13" x14ac:dyDescent="0.3">
      <c r="A1572" s="2">
        <v>1571</v>
      </c>
      <c r="B1572" s="2" t="s">
        <v>4676</v>
      </c>
      <c r="C1572" s="2" t="s">
        <v>131</v>
      </c>
      <c r="D1572" s="2" t="s">
        <v>51</v>
      </c>
      <c r="E1572" s="2" t="s">
        <v>16</v>
      </c>
      <c r="F1572" s="2">
        <v>60</v>
      </c>
      <c r="G1572" s="2" t="s">
        <v>4677</v>
      </c>
      <c r="H1572" s="2" t="s">
        <v>4678</v>
      </c>
      <c r="I1572" s="2" t="s">
        <v>886</v>
      </c>
      <c r="J1572" s="3">
        <v>44788</v>
      </c>
      <c r="K1572" s="2">
        <v>79</v>
      </c>
      <c r="L1572" s="2" t="s">
        <v>64</v>
      </c>
      <c r="M1572" s="3"/>
    </row>
    <row r="1573" spans="1:13" x14ac:dyDescent="0.3">
      <c r="A1573" s="2">
        <v>1572</v>
      </c>
      <c r="B1573" s="2" t="s">
        <v>2424</v>
      </c>
      <c r="C1573" s="2" t="s">
        <v>4679</v>
      </c>
      <c r="D1573" s="2" t="s">
        <v>28</v>
      </c>
      <c r="E1573" s="2" t="s">
        <v>29</v>
      </c>
      <c r="F1573" s="2">
        <v>90</v>
      </c>
      <c r="G1573" s="2" t="s">
        <v>4677</v>
      </c>
      <c r="H1573" s="2" t="s">
        <v>3678</v>
      </c>
      <c r="I1573" s="2" t="s">
        <v>32</v>
      </c>
      <c r="J1573" s="3">
        <v>44637</v>
      </c>
      <c r="K1573" s="2">
        <v>79</v>
      </c>
      <c r="L1573" s="2" t="s">
        <v>33</v>
      </c>
      <c r="M1573" s="3"/>
    </row>
    <row r="1574" spans="1:13" x14ac:dyDescent="0.3">
      <c r="A1574" s="2">
        <v>1573</v>
      </c>
      <c r="B1574" s="2" t="s">
        <v>4680</v>
      </c>
      <c r="C1574" s="2" t="s">
        <v>4681</v>
      </c>
      <c r="D1574" s="2" t="s">
        <v>15</v>
      </c>
      <c r="E1574" s="2" t="s">
        <v>16</v>
      </c>
      <c r="F1574" s="2">
        <v>30</v>
      </c>
      <c r="G1574" s="2" t="s">
        <v>4682</v>
      </c>
      <c r="H1574" s="2" t="s">
        <v>4683</v>
      </c>
      <c r="I1574" s="2" t="s">
        <v>178</v>
      </c>
      <c r="J1574" s="3">
        <v>44130</v>
      </c>
      <c r="K1574" s="2">
        <v>55</v>
      </c>
      <c r="L1574" s="2" t="s">
        <v>39</v>
      </c>
      <c r="M1574" s="3"/>
    </row>
    <row r="1575" spans="1:13" x14ac:dyDescent="0.3">
      <c r="A1575" s="2">
        <v>1574</v>
      </c>
      <c r="B1575" s="2" t="s">
        <v>397</v>
      </c>
      <c r="C1575" s="2" t="s">
        <v>4684</v>
      </c>
      <c r="D1575" s="2" t="s">
        <v>41</v>
      </c>
      <c r="E1575" s="2" t="s">
        <v>16</v>
      </c>
      <c r="F1575" s="2">
        <v>90</v>
      </c>
      <c r="G1575" s="2" t="s">
        <v>4685</v>
      </c>
      <c r="H1575" s="2" t="s">
        <v>3666</v>
      </c>
      <c r="I1575" s="2" t="s">
        <v>1483</v>
      </c>
      <c r="J1575" s="3">
        <v>44096</v>
      </c>
      <c r="K1575" s="2">
        <v>4</v>
      </c>
      <c r="L1575" s="2" t="s">
        <v>45</v>
      </c>
      <c r="M1575" s="3"/>
    </row>
    <row r="1576" spans="1:13" x14ac:dyDescent="0.3">
      <c r="A1576" s="2">
        <v>1575</v>
      </c>
      <c r="B1576" s="2" t="s">
        <v>4686</v>
      </c>
      <c r="C1576" s="2" t="s">
        <v>1857</v>
      </c>
      <c r="D1576" s="2" t="s">
        <v>51</v>
      </c>
      <c r="E1576" s="2" t="s">
        <v>16</v>
      </c>
      <c r="F1576" s="2">
        <v>90</v>
      </c>
      <c r="G1576" s="2" t="s">
        <v>4687</v>
      </c>
      <c r="H1576" s="2" t="s">
        <v>2008</v>
      </c>
      <c r="I1576" s="2" t="s">
        <v>129</v>
      </c>
      <c r="J1576" s="3">
        <v>44311</v>
      </c>
      <c r="K1576" s="2">
        <v>80</v>
      </c>
      <c r="L1576" s="2" t="s">
        <v>45</v>
      </c>
      <c r="M1576" s="3"/>
    </row>
    <row r="1577" spans="1:13" x14ac:dyDescent="0.3">
      <c r="A1577" s="2">
        <v>1576</v>
      </c>
      <c r="B1577" s="2" t="s">
        <v>4688</v>
      </c>
      <c r="C1577" s="2" t="s">
        <v>368</v>
      </c>
      <c r="D1577" s="2" t="s">
        <v>15</v>
      </c>
      <c r="E1577" s="2" t="s">
        <v>16</v>
      </c>
      <c r="F1577" s="2">
        <v>60</v>
      </c>
      <c r="G1577" s="2" t="s">
        <v>4689</v>
      </c>
      <c r="H1577" s="2" t="s">
        <v>3288</v>
      </c>
      <c r="I1577" s="2" t="s">
        <v>32</v>
      </c>
      <c r="J1577" s="3">
        <v>44799</v>
      </c>
      <c r="K1577" s="2">
        <v>17</v>
      </c>
      <c r="L1577" s="2" t="s">
        <v>20</v>
      </c>
      <c r="M1577" s="3"/>
    </row>
    <row r="1578" spans="1:13" x14ac:dyDescent="0.3">
      <c r="A1578" s="2">
        <v>1577</v>
      </c>
      <c r="B1578" s="2" t="s">
        <v>4690</v>
      </c>
      <c r="C1578" s="2" t="s">
        <v>1766</v>
      </c>
      <c r="D1578" s="2" t="s">
        <v>28</v>
      </c>
      <c r="E1578" s="2" t="s">
        <v>29</v>
      </c>
      <c r="F1578" s="2">
        <v>30</v>
      </c>
      <c r="G1578" s="2" t="s">
        <v>4691</v>
      </c>
      <c r="H1578" s="2" t="s">
        <v>4272</v>
      </c>
      <c r="I1578" s="2" t="s">
        <v>1652</v>
      </c>
      <c r="J1578" s="3">
        <v>44785</v>
      </c>
      <c r="K1578" s="2">
        <v>17</v>
      </c>
      <c r="L1578" s="2" t="s">
        <v>159</v>
      </c>
      <c r="M1578" s="3"/>
    </row>
    <row r="1579" spans="1:13" x14ac:dyDescent="0.3">
      <c r="A1579" s="2">
        <v>1578</v>
      </c>
      <c r="B1579" s="2" t="s">
        <v>1281</v>
      </c>
      <c r="C1579" s="2" t="s">
        <v>3927</v>
      </c>
      <c r="D1579" s="2" t="s">
        <v>15</v>
      </c>
      <c r="E1579" s="2" t="s">
        <v>16</v>
      </c>
      <c r="F1579" s="2">
        <v>90</v>
      </c>
      <c r="G1579" s="2" t="s">
        <v>4692</v>
      </c>
      <c r="H1579" s="2" t="s">
        <v>114</v>
      </c>
      <c r="I1579" s="2" t="s">
        <v>38</v>
      </c>
      <c r="J1579" s="3">
        <v>44105</v>
      </c>
      <c r="K1579" s="2">
        <v>49</v>
      </c>
      <c r="L1579" s="2" t="s">
        <v>39</v>
      </c>
      <c r="M1579" s="3"/>
    </row>
    <row r="1580" spans="1:13" x14ac:dyDescent="0.3">
      <c r="A1580" s="2">
        <v>1579</v>
      </c>
      <c r="B1580" s="2" t="s">
        <v>4693</v>
      </c>
      <c r="C1580" s="2" t="s">
        <v>1979</v>
      </c>
      <c r="D1580" s="2" t="s">
        <v>15</v>
      </c>
      <c r="E1580" s="2" t="s">
        <v>16</v>
      </c>
      <c r="F1580" s="2">
        <v>60</v>
      </c>
      <c r="G1580" s="2" t="s">
        <v>4692</v>
      </c>
      <c r="H1580" s="2" t="s">
        <v>1299</v>
      </c>
      <c r="I1580" s="2" t="s">
        <v>1199</v>
      </c>
      <c r="J1580" s="3">
        <v>44328</v>
      </c>
      <c r="K1580" s="2">
        <v>62</v>
      </c>
      <c r="L1580" s="2" t="s">
        <v>54</v>
      </c>
      <c r="M1580" s="3"/>
    </row>
    <row r="1581" spans="1:13" x14ac:dyDescent="0.3">
      <c r="A1581" s="2">
        <v>1580</v>
      </c>
      <c r="B1581" s="2" t="s">
        <v>4694</v>
      </c>
      <c r="C1581" s="2" t="s">
        <v>4695</v>
      </c>
      <c r="D1581" s="2" t="s">
        <v>41</v>
      </c>
      <c r="E1581" s="2" t="s">
        <v>16</v>
      </c>
      <c r="F1581" s="2">
        <v>30</v>
      </c>
      <c r="G1581" s="2" t="s">
        <v>4696</v>
      </c>
      <c r="H1581" s="2" t="s">
        <v>1256</v>
      </c>
      <c r="I1581" s="2" t="s">
        <v>32</v>
      </c>
      <c r="J1581" s="3">
        <v>44279</v>
      </c>
      <c r="K1581" s="2">
        <v>11</v>
      </c>
      <c r="L1581" s="2" t="s">
        <v>33</v>
      </c>
      <c r="M1581" s="3"/>
    </row>
    <row r="1582" spans="1:13" x14ac:dyDescent="0.3">
      <c r="A1582" s="2">
        <v>1581</v>
      </c>
      <c r="B1582" s="2" t="s">
        <v>4697</v>
      </c>
      <c r="C1582" s="2" t="s">
        <v>1698</v>
      </c>
      <c r="D1582" s="2" t="s">
        <v>28</v>
      </c>
      <c r="E1582" s="2" t="s">
        <v>29</v>
      </c>
      <c r="F1582" s="2">
        <v>60</v>
      </c>
      <c r="G1582" s="2" t="s">
        <v>4698</v>
      </c>
      <c r="H1582" s="2" t="s">
        <v>4699</v>
      </c>
      <c r="I1582" s="2" t="s">
        <v>32</v>
      </c>
      <c r="J1582" s="3">
        <v>43917</v>
      </c>
      <c r="K1582" s="2">
        <v>25</v>
      </c>
      <c r="L1582" s="2" t="s">
        <v>45</v>
      </c>
      <c r="M1582" s="3"/>
    </row>
    <row r="1583" spans="1:13" x14ac:dyDescent="0.3">
      <c r="A1583" s="2">
        <v>1582</v>
      </c>
      <c r="B1583" s="2" t="s">
        <v>862</v>
      </c>
      <c r="C1583" s="2" t="s">
        <v>728</v>
      </c>
      <c r="D1583" s="2" t="s">
        <v>15</v>
      </c>
      <c r="E1583" s="2" t="s">
        <v>16</v>
      </c>
      <c r="F1583" s="2">
        <v>60</v>
      </c>
      <c r="G1583" s="2" t="s">
        <v>4700</v>
      </c>
      <c r="H1583" s="2" t="s">
        <v>1366</v>
      </c>
      <c r="I1583" s="2" t="s">
        <v>1367</v>
      </c>
      <c r="J1583" s="3">
        <v>43968</v>
      </c>
      <c r="K1583" s="2">
        <v>29</v>
      </c>
      <c r="L1583" s="2" t="s">
        <v>80</v>
      </c>
      <c r="M1583" s="3"/>
    </row>
    <row r="1584" spans="1:13" x14ac:dyDescent="0.3">
      <c r="A1584" s="2">
        <v>1583</v>
      </c>
      <c r="B1584" s="2" t="s">
        <v>4701</v>
      </c>
      <c r="C1584" s="2" t="s">
        <v>732</v>
      </c>
      <c r="D1584" s="2" t="s">
        <v>41</v>
      </c>
      <c r="E1584" s="2" t="s">
        <v>16</v>
      </c>
      <c r="F1584" s="2">
        <v>60</v>
      </c>
      <c r="G1584" s="2" t="s">
        <v>4702</v>
      </c>
      <c r="H1584" s="2" t="s">
        <v>3531</v>
      </c>
      <c r="I1584" s="2" t="s">
        <v>32</v>
      </c>
      <c r="J1584" s="3">
        <v>43879</v>
      </c>
      <c r="K1584" s="2">
        <v>60</v>
      </c>
      <c r="L1584" s="2" t="s">
        <v>54</v>
      </c>
      <c r="M1584" s="3"/>
    </row>
    <row r="1585" spans="1:13" x14ac:dyDescent="0.3">
      <c r="A1585" s="2">
        <v>1584</v>
      </c>
      <c r="B1585" s="2" t="s">
        <v>4703</v>
      </c>
      <c r="C1585" s="2" t="s">
        <v>3426</v>
      </c>
      <c r="D1585" s="2" t="s">
        <v>28</v>
      </c>
      <c r="E1585" s="2" t="s">
        <v>29</v>
      </c>
      <c r="F1585" s="2">
        <v>30</v>
      </c>
      <c r="G1585" s="2" t="s">
        <v>4704</v>
      </c>
      <c r="H1585" s="2" t="s">
        <v>3882</v>
      </c>
      <c r="I1585" s="2" t="s">
        <v>38</v>
      </c>
      <c r="J1585" s="3">
        <v>44667</v>
      </c>
      <c r="K1585" s="2">
        <v>11</v>
      </c>
      <c r="L1585" s="2" t="s">
        <v>54</v>
      </c>
      <c r="M1585" s="3"/>
    </row>
    <row r="1586" spans="1:13" x14ac:dyDescent="0.3">
      <c r="A1586" s="2">
        <v>1585</v>
      </c>
      <c r="B1586" s="2" t="s">
        <v>4705</v>
      </c>
      <c r="C1586" s="2" t="s">
        <v>4706</v>
      </c>
      <c r="D1586" s="2" t="s">
        <v>15</v>
      </c>
      <c r="E1586" s="2" t="s">
        <v>16</v>
      </c>
      <c r="F1586" s="2">
        <v>90</v>
      </c>
      <c r="G1586" s="2" t="s">
        <v>4704</v>
      </c>
      <c r="H1586" s="2" t="s">
        <v>4358</v>
      </c>
      <c r="I1586" s="2" t="s">
        <v>146</v>
      </c>
      <c r="J1586" s="3">
        <v>44695</v>
      </c>
      <c r="K1586" s="2">
        <v>51</v>
      </c>
      <c r="L1586" s="2" t="s">
        <v>39</v>
      </c>
      <c r="M1586" s="3"/>
    </row>
    <row r="1587" spans="1:13" x14ac:dyDescent="0.3">
      <c r="A1587" s="2">
        <v>1586</v>
      </c>
      <c r="B1587" s="2" t="s">
        <v>4625</v>
      </c>
      <c r="C1587" s="2" t="s">
        <v>2382</v>
      </c>
      <c r="D1587" s="2" t="s">
        <v>92</v>
      </c>
      <c r="E1587" s="2" t="s">
        <v>29</v>
      </c>
      <c r="F1587" s="2">
        <v>60</v>
      </c>
      <c r="G1587" s="2" t="s">
        <v>4707</v>
      </c>
      <c r="H1587" s="2" t="s">
        <v>2603</v>
      </c>
      <c r="I1587" s="2" t="s">
        <v>2604</v>
      </c>
      <c r="J1587" s="3">
        <v>44197</v>
      </c>
      <c r="K1587" s="2">
        <v>21</v>
      </c>
      <c r="L1587" s="2" t="s">
        <v>45</v>
      </c>
      <c r="M1587" s="3"/>
    </row>
    <row r="1588" spans="1:13" x14ac:dyDescent="0.3">
      <c r="A1588" s="2">
        <v>1587</v>
      </c>
      <c r="B1588" s="2" t="s">
        <v>4708</v>
      </c>
      <c r="C1588" s="2" t="s">
        <v>1216</v>
      </c>
      <c r="D1588" s="2" t="s">
        <v>51</v>
      </c>
      <c r="E1588" s="2" t="s">
        <v>16</v>
      </c>
      <c r="F1588" s="2">
        <v>30</v>
      </c>
      <c r="G1588" s="2" t="s">
        <v>4709</v>
      </c>
      <c r="H1588" s="2" t="s">
        <v>3183</v>
      </c>
      <c r="I1588" s="2" t="s">
        <v>32</v>
      </c>
      <c r="J1588" s="3">
        <v>44501</v>
      </c>
      <c r="K1588" s="2">
        <v>9</v>
      </c>
      <c r="L1588" s="2" t="s">
        <v>64</v>
      </c>
      <c r="M1588" s="3"/>
    </row>
    <row r="1589" spans="1:13" x14ac:dyDescent="0.3">
      <c r="A1589" s="2">
        <v>1588</v>
      </c>
      <c r="B1589" s="2" t="s">
        <v>4710</v>
      </c>
      <c r="C1589" s="2" t="s">
        <v>1678</v>
      </c>
      <c r="D1589" s="2" t="s">
        <v>15</v>
      </c>
      <c r="E1589" s="2" t="s">
        <v>16</v>
      </c>
      <c r="F1589" s="2">
        <v>30</v>
      </c>
      <c r="G1589" s="2" t="s">
        <v>4711</v>
      </c>
      <c r="H1589" s="2" t="s">
        <v>3405</v>
      </c>
      <c r="I1589" s="2" t="s">
        <v>32</v>
      </c>
      <c r="J1589" s="3">
        <v>44677</v>
      </c>
      <c r="K1589" s="2">
        <v>104</v>
      </c>
      <c r="L1589" s="2" t="s">
        <v>159</v>
      </c>
      <c r="M1589" s="3"/>
    </row>
    <row r="1590" spans="1:13" x14ac:dyDescent="0.3">
      <c r="A1590" s="2">
        <v>1589</v>
      </c>
      <c r="B1590" s="2" t="s">
        <v>3013</v>
      </c>
      <c r="C1590" s="2" t="s">
        <v>1037</v>
      </c>
      <c r="D1590" s="2" t="s">
        <v>51</v>
      </c>
      <c r="E1590" s="2" t="s">
        <v>16</v>
      </c>
      <c r="F1590" s="2">
        <v>90</v>
      </c>
      <c r="G1590" s="2" t="s">
        <v>4712</v>
      </c>
      <c r="H1590" s="2" t="s">
        <v>4713</v>
      </c>
      <c r="I1590" s="2" t="s">
        <v>294</v>
      </c>
      <c r="J1590" s="3">
        <v>44665</v>
      </c>
      <c r="K1590" s="2">
        <v>84</v>
      </c>
      <c r="L1590" s="2" t="s">
        <v>39</v>
      </c>
      <c r="M1590" s="3"/>
    </row>
    <row r="1591" spans="1:13" x14ac:dyDescent="0.3">
      <c r="A1591" s="2">
        <v>1590</v>
      </c>
      <c r="B1591" s="2" t="s">
        <v>4714</v>
      </c>
      <c r="C1591" s="2" t="s">
        <v>3258</v>
      </c>
      <c r="D1591" s="2" t="s">
        <v>15</v>
      </c>
      <c r="E1591" s="2" t="s">
        <v>16</v>
      </c>
      <c r="F1591" s="2">
        <v>30</v>
      </c>
      <c r="G1591" s="2" t="s">
        <v>4715</v>
      </c>
      <c r="H1591" s="2" t="s">
        <v>2872</v>
      </c>
      <c r="I1591" s="2" t="s">
        <v>294</v>
      </c>
      <c r="J1591" s="3">
        <v>44824</v>
      </c>
      <c r="K1591" s="2">
        <v>30</v>
      </c>
      <c r="L1591" s="2" t="s">
        <v>54</v>
      </c>
      <c r="M1591" s="3"/>
    </row>
    <row r="1592" spans="1:13" x14ac:dyDescent="0.3">
      <c r="A1592" s="2">
        <v>1591</v>
      </c>
      <c r="B1592" s="2" t="s">
        <v>4716</v>
      </c>
      <c r="C1592" s="2" t="s">
        <v>1273</v>
      </c>
      <c r="D1592" s="2" t="s">
        <v>41</v>
      </c>
      <c r="E1592" s="2" t="s">
        <v>16</v>
      </c>
      <c r="F1592" s="2">
        <v>90</v>
      </c>
      <c r="G1592" s="2" t="s">
        <v>4717</v>
      </c>
      <c r="H1592" s="2" t="s">
        <v>4718</v>
      </c>
      <c r="I1592" s="2" t="s">
        <v>32</v>
      </c>
      <c r="J1592" s="3">
        <v>44528</v>
      </c>
      <c r="K1592" s="2">
        <v>71</v>
      </c>
      <c r="L1592" s="2" t="s">
        <v>70</v>
      </c>
      <c r="M1592" s="3"/>
    </row>
    <row r="1593" spans="1:13" x14ac:dyDescent="0.3">
      <c r="A1593" s="2">
        <v>1592</v>
      </c>
      <c r="B1593" s="2" t="s">
        <v>4719</v>
      </c>
      <c r="C1593" s="2" t="s">
        <v>3265</v>
      </c>
      <c r="D1593" s="2" t="s">
        <v>51</v>
      </c>
      <c r="E1593" s="2" t="s">
        <v>16</v>
      </c>
      <c r="F1593" s="2">
        <v>90</v>
      </c>
      <c r="G1593" s="2" t="s">
        <v>4720</v>
      </c>
      <c r="H1593" s="2" t="s">
        <v>927</v>
      </c>
      <c r="I1593" s="2" t="s">
        <v>129</v>
      </c>
      <c r="J1593" s="3">
        <v>44171</v>
      </c>
      <c r="K1593" s="2">
        <v>45</v>
      </c>
      <c r="L1593" s="2" t="s">
        <v>64</v>
      </c>
      <c r="M1593" s="3"/>
    </row>
    <row r="1594" spans="1:13" x14ac:dyDescent="0.3">
      <c r="A1594" s="2">
        <v>1593</v>
      </c>
      <c r="B1594" s="2" t="s">
        <v>4721</v>
      </c>
      <c r="C1594" s="2" t="s">
        <v>4722</v>
      </c>
      <c r="D1594" s="2" t="s">
        <v>28</v>
      </c>
      <c r="E1594" s="2" t="s">
        <v>29</v>
      </c>
      <c r="F1594" s="2">
        <v>30</v>
      </c>
      <c r="G1594" s="2" t="s">
        <v>4723</v>
      </c>
      <c r="H1594" s="2" t="s">
        <v>1272</v>
      </c>
      <c r="I1594" s="2" t="s">
        <v>59</v>
      </c>
      <c r="J1594" s="3">
        <v>44528</v>
      </c>
      <c r="K1594" s="2">
        <v>65</v>
      </c>
      <c r="L1594" s="2" t="s">
        <v>159</v>
      </c>
      <c r="M1594" s="3"/>
    </row>
    <row r="1595" spans="1:13" x14ac:dyDescent="0.3">
      <c r="A1595" s="2">
        <v>1594</v>
      </c>
      <c r="B1595" s="2" t="s">
        <v>4724</v>
      </c>
      <c r="C1595" s="2" t="s">
        <v>4725</v>
      </c>
      <c r="D1595" s="2" t="s">
        <v>28</v>
      </c>
      <c r="E1595" s="2" t="s">
        <v>29</v>
      </c>
      <c r="F1595" s="2">
        <v>30</v>
      </c>
      <c r="G1595" s="2" t="s">
        <v>4723</v>
      </c>
      <c r="H1595" s="2" t="s">
        <v>1647</v>
      </c>
      <c r="I1595" s="2" t="s">
        <v>554</v>
      </c>
      <c r="J1595" s="3">
        <v>44236</v>
      </c>
      <c r="K1595" s="2">
        <v>61</v>
      </c>
      <c r="L1595" s="2" t="s">
        <v>45</v>
      </c>
      <c r="M1595" s="3"/>
    </row>
    <row r="1596" spans="1:13" x14ac:dyDescent="0.3">
      <c r="A1596" s="2">
        <v>1595</v>
      </c>
      <c r="B1596" s="2" t="s">
        <v>4726</v>
      </c>
      <c r="C1596" s="2" t="s">
        <v>4727</v>
      </c>
      <c r="D1596" s="2" t="s">
        <v>15</v>
      </c>
      <c r="E1596" s="2" t="s">
        <v>16</v>
      </c>
      <c r="F1596" s="2">
        <v>60</v>
      </c>
      <c r="G1596" s="2" t="s">
        <v>4728</v>
      </c>
      <c r="H1596" s="2" t="s">
        <v>4729</v>
      </c>
      <c r="I1596" s="2" t="s">
        <v>32</v>
      </c>
      <c r="J1596" s="3">
        <v>44559</v>
      </c>
      <c r="K1596" s="2">
        <v>30</v>
      </c>
      <c r="L1596" s="2" t="s">
        <v>70</v>
      </c>
      <c r="M1596" s="3"/>
    </row>
    <row r="1597" spans="1:13" x14ac:dyDescent="0.3">
      <c r="A1597" s="2">
        <v>1596</v>
      </c>
      <c r="B1597" s="2" t="s">
        <v>4730</v>
      </c>
      <c r="C1597" s="2" t="s">
        <v>4490</v>
      </c>
      <c r="D1597" s="2" t="s">
        <v>41</v>
      </c>
      <c r="E1597" s="2" t="s">
        <v>16</v>
      </c>
      <c r="F1597" s="2">
        <v>90</v>
      </c>
      <c r="G1597" s="2" t="s">
        <v>4731</v>
      </c>
      <c r="H1597" s="2" t="s">
        <v>2753</v>
      </c>
      <c r="I1597" s="2" t="s">
        <v>124</v>
      </c>
      <c r="J1597" s="3">
        <v>44123</v>
      </c>
      <c r="K1597" s="2">
        <v>62</v>
      </c>
      <c r="L1597" s="2" t="s">
        <v>101</v>
      </c>
      <c r="M1597" s="3"/>
    </row>
    <row r="1598" spans="1:13" x14ac:dyDescent="0.3">
      <c r="A1598" s="2">
        <v>1597</v>
      </c>
      <c r="B1598" s="2" t="s">
        <v>3515</v>
      </c>
      <c r="C1598" s="2" t="s">
        <v>4732</v>
      </c>
      <c r="D1598" s="2" t="s">
        <v>28</v>
      </c>
      <c r="E1598" s="2" t="s">
        <v>29</v>
      </c>
      <c r="F1598" s="2">
        <v>90</v>
      </c>
      <c r="G1598" s="2" t="s">
        <v>4733</v>
      </c>
      <c r="H1598" s="2" t="s">
        <v>714</v>
      </c>
      <c r="I1598" s="2" t="s">
        <v>38</v>
      </c>
      <c r="J1598" s="3">
        <v>44231</v>
      </c>
      <c r="K1598" s="2">
        <v>92</v>
      </c>
      <c r="L1598" s="2" t="s">
        <v>33</v>
      </c>
      <c r="M1598" s="3"/>
    </row>
    <row r="1599" spans="1:13" x14ac:dyDescent="0.3">
      <c r="A1599" s="2">
        <v>1598</v>
      </c>
      <c r="B1599" s="2" t="s">
        <v>4734</v>
      </c>
      <c r="C1599" s="2" t="s">
        <v>2697</v>
      </c>
      <c r="D1599" s="2" t="s">
        <v>51</v>
      </c>
      <c r="E1599" s="2" t="s">
        <v>16</v>
      </c>
      <c r="F1599" s="2">
        <v>30</v>
      </c>
      <c r="G1599" s="2" t="s">
        <v>4735</v>
      </c>
      <c r="H1599" s="2" t="s">
        <v>1872</v>
      </c>
      <c r="I1599" s="2" t="s">
        <v>124</v>
      </c>
      <c r="J1599" s="3">
        <v>44891</v>
      </c>
      <c r="K1599" s="2">
        <v>100</v>
      </c>
      <c r="L1599" s="2" t="s">
        <v>80</v>
      </c>
      <c r="M1599" s="3"/>
    </row>
    <row r="1600" spans="1:13" x14ac:dyDescent="0.3">
      <c r="A1600" s="2">
        <v>1599</v>
      </c>
      <c r="B1600" s="2" t="s">
        <v>492</v>
      </c>
      <c r="C1600" s="2" t="s">
        <v>2030</v>
      </c>
      <c r="D1600" s="2" t="s">
        <v>28</v>
      </c>
      <c r="E1600" s="2" t="s">
        <v>29</v>
      </c>
      <c r="F1600" s="2">
        <v>90</v>
      </c>
      <c r="G1600" s="2" t="s">
        <v>4735</v>
      </c>
      <c r="H1600" s="2" t="s">
        <v>716</v>
      </c>
      <c r="I1600" s="2" t="s">
        <v>32</v>
      </c>
      <c r="J1600" s="3">
        <v>44198</v>
      </c>
      <c r="K1600" s="2">
        <v>93</v>
      </c>
      <c r="L1600" s="2" t="s">
        <v>159</v>
      </c>
      <c r="M1600" s="3"/>
    </row>
    <row r="1601" spans="1:13" x14ac:dyDescent="0.3">
      <c r="A1601" s="2">
        <v>1600</v>
      </c>
      <c r="B1601" s="2" t="s">
        <v>665</v>
      </c>
      <c r="C1601" s="2" t="s">
        <v>2941</v>
      </c>
      <c r="D1601" s="2" t="s">
        <v>28</v>
      </c>
      <c r="E1601" s="2" t="s">
        <v>29</v>
      </c>
      <c r="F1601" s="2">
        <v>90</v>
      </c>
      <c r="G1601" s="2" t="s">
        <v>4736</v>
      </c>
      <c r="H1601" s="2" t="s">
        <v>2559</v>
      </c>
      <c r="I1601" s="2" t="s">
        <v>124</v>
      </c>
      <c r="J1601" s="3">
        <v>44724</v>
      </c>
      <c r="K1601" s="2">
        <v>81</v>
      </c>
      <c r="L1601" s="2" t="s">
        <v>64</v>
      </c>
      <c r="M1601" s="3"/>
    </row>
    <row r="1602" spans="1:13" x14ac:dyDescent="0.3">
      <c r="A1602" s="2">
        <v>1601</v>
      </c>
      <c r="B1602" s="2" t="s">
        <v>4737</v>
      </c>
      <c r="C1602" s="2" t="s">
        <v>3022</v>
      </c>
      <c r="D1602" s="2" t="s">
        <v>28</v>
      </c>
      <c r="E1602" s="2" t="s">
        <v>29</v>
      </c>
      <c r="F1602" s="2">
        <v>30</v>
      </c>
      <c r="G1602" s="2" t="s">
        <v>4738</v>
      </c>
      <c r="H1602" s="2" t="s">
        <v>4739</v>
      </c>
      <c r="I1602" s="2" t="s">
        <v>59</v>
      </c>
      <c r="J1602" s="3">
        <v>44002</v>
      </c>
      <c r="K1602" s="2">
        <v>47</v>
      </c>
      <c r="L1602" s="2" t="s">
        <v>20</v>
      </c>
      <c r="M1602" s="3"/>
    </row>
    <row r="1603" spans="1:13" x14ac:dyDescent="0.3">
      <c r="A1603" s="2">
        <v>1602</v>
      </c>
      <c r="B1603" s="2" t="s">
        <v>4740</v>
      </c>
      <c r="C1603" s="2" t="s">
        <v>3253</v>
      </c>
      <c r="D1603" s="2" t="s">
        <v>15</v>
      </c>
      <c r="E1603" s="2" t="s">
        <v>16</v>
      </c>
      <c r="F1603" s="2">
        <v>60</v>
      </c>
      <c r="G1603" s="2" t="s">
        <v>4741</v>
      </c>
      <c r="H1603" s="2" t="s">
        <v>3197</v>
      </c>
      <c r="I1603" s="2" t="s">
        <v>32</v>
      </c>
      <c r="J1603" s="3">
        <v>44773</v>
      </c>
      <c r="K1603" s="2">
        <v>28</v>
      </c>
      <c r="L1603" s="2" t="s">
        <v>54</v>
      </c>
      <c r="M1603" s="3"/>
    </row>
    <row r="1604" spans="1:13" x14ac:dyDescent="0.3">
      <c r="A1604" s="2">
        <v>1603</v>
      </c>
      <c r="B1604" s="2" t="s">
        <v>4742</v>
      </c>
      <c r="C1604" s="2" t="s">
        <v>4743</v>
      </c>
      <c r="D1604" s="2" t="s">
        <v>15</v>
      </c>
      <c r="E1604" s="2" t="s">
        <v>16</v>
      </c>
      <c r="F1604" s="2">
        <v>60</v>
      </c>
      <c r="G1604" s="2" t="s">
        <v>4744</v>
      </c>
      <c r="H1604" s="2" t="s">
        <v>4386</v>
      </c>
      <c r="I1604" s="2" t="s">
        <v>32</v>
      </c>
      <c r="J1604" s="3">
        <v>44025</v>
      </c>
      <c r="K1604" s="2">
        <v>8</v>
      </c>
      <c r="L1604" s="2" t="s">
        <v>64</v>
      </c>
      <c r="M1604" s="3"/>
    </row>
    <row r="1605" spans="1:13" x14ac:dyDescent="0.3">
      <c r="A1605" s="2">
        <v>1604</v>
      </c>
      <c r="B1605" s="2" t="s">
        <v>3607</v>
      </c>
      <c r="C1605" s="2" t="s">
        <v>2806</v>
      </c>
      <c r="D1605" s="2" t="s">
        <v>28</v>
      </c>
      <c r="E1605" s="2" t="s">
        <v>29</v>
      </c>
      <c r="F1605" s="2">
        <v>30</v>
      </c>
      <c r="G1605" s="2" t="s">
        <v>4745</v>
      </c>
      <c r="H1605" s="2" t="s">
        <v>429</v>
      </c>
      <c r="I1605" s="2" t="s">
        <v>32</v>
      </c>
      <c r="J1605" s="3">
        <v>43976</v>
      </c>
      <c r="K1605" s="2">
        <v>20</v>
      </c>
      <c r="L1605" s="2" t="s">
        <v>39</v>
      </c>
      <c r="M1605" s="3"/>
    </row>
    <row r="1606" spans="1:13" x14ac:dyDescent="0.3">
      <c r="A1606" s="2">
        <v>1605</v>
      </c>
      <c r="B1606" s="2" t="s">
        <v>2206</v>
      </c>
      <c r="C1606" s="2" t="s">
        <v>4083</v>
      </c>
      <c r="D1606" s="2" t="s">
        <v>28</v>
      </c>
      <c r="E1606" s="2" t="s">
        <v>29</v>
      </c>
      <c r="F1606" s="2">
        <v>30</v>
      </c>
      <c r="G1606" s="2" t="s">
        <v>4746</v>
      </c>
      <c r="H1606" s="2" t="s">
        <v>2703</v>
      </c>
      <c r="I1606" s="2" t="s">
        <v>32</v>
      </c>
      <c r="J1606" s="3">
        <v>44608</v>
      </c>
      <c r="K1606" s="2">
        <v>80</v>
      </c>
      <c r="L1606" s="2" t="s">
        <v>64</v>
      </c>
      <c r="M1606" s="3"/>
    </row>
    <row r="1607" spans="1:13" x14ac:dyDescent="0.3">
      <c r="A1607" s="2">
        <v>1606</v>
      </c>
      <c r="B1607" s="2" t="s">
        <v>2540</v>
      </c>
      <c r="C1607" s="2" t="s">
        <v>3928</v>
      </c>
      <c r="D1607" s="2" t="s">
        <v>28</v>
      </c>
      <c r="E1607" s="2" t="s">
        <v>29</v>
      </c>
      <c r="F1607" s="2">
        <v>30</v>
      </c>
      <c r="G1607" s="2" t="s">
        <v>4747</v>
      </c>
      <c r="H1607" s="2" t="s">
        <v>4748</v>
      </c>
      <c r="I1607" s="2" t="s">
        <v>32</v>
      </c>
      <c r="J1607" s="3">
        <v>44029</v>
      </c>
      <c r="K1607" s="2">
        <v>2</v>
      </c>
      <c r="L1607" s="2" t="s">
        <v>33</v>
      </c>
      <c r="M1607" s="3"/>
    </row>
    <row r="1608" spans="1:13" x14ac:dyDescent="0.3">
      <c r="A1608" s="2">
        <v>1607</v>
      </c>
      <c r="B1608" s="2" t="s">
        <v>4749</v>
      </c>
      <c r="C1608" s="2" t="s">
        <v>4750</v>
      </c>
      <c r="D1608" s="2" t="s">
        <v>51</v>
      </c>
      <c r="E1608" s="2" t="s">
        <v>16</v>
      </c>
      <c r="F1608" s="2">
        <v>30</v>
      </c>
      <c r="G1608" s="2" t="s">
        <v>4751</v>
      </c>
      <c r="H1608" s="2" t="s">
        <v>1694</v>
      </c>
      <c r="I1608" s="2" t="s">
        <v>32</v>
      </c>
      <c r="J1608" s="3">
        <v>44302</v>
      </c>
      <c r="K1608" s="2">
        <v>44</v>
      </c>
      <c r="L1608" s="2" t="s">
        <v>33</v>
      </c>
      <c r="M1608" s="3"/>
    </row>
    <row r="1609" spans="1:13" x14ac:dyDescent="0.3">
      <c r="A1609" s="2">
        <v>1608</v>
      </c>
      <c r="B1609" s="2" t="s">
        <v>4752</v>
      </c>
      <c r="C1609" s="2" t="s">
        <v>4753</v>
      </c>
      <c r="D1609" s="2" t="s">
        <v>51</v>
      </c>
      <c r="E1609" s="2" t="s">
        <v>16</v>
      </c>
      <c r="F1609" s="2">
        <v>60</v>
      </c>
      <c r="G1609" s="2" t="s">
        <v>4754</v>
      </c>
      <c r="H1609" s="2" t="s">
        <v>3976</v>
      </c>
      <c r="I1609" s="2" t="s">
        <v>173</v>
      </c>
      <c r="J1609" s="3">
        <v>44031</v>
      </c>
      <c r="K1609" s="2">
        <v>7</v>
      </c>
      <c r="L1609" s="2" t="s">
        <v>64</v>
      </c>
      <c r="M1609" s="3"/>
    </row>
    <row r="1610" spans="1:13" x14ac:dyDescent="0.3">
      <c r="A1610" s="2">
        <v>1609</v>
      </c>
      <c r="B1610" s="2" t="s">
        <v>4499</v>
      </c>
      <c r="C1610" s="2" t="s">
        <v>4755</v>
      </c>
      <c r="D1610" s="2" t="s">
        <v>28</v>
      </c>
      <c r="E1610" s="2" t="s">
        <v>29</v>
      </c>
      <c r="F1610" s="2">
        <v>30</v>
      </c>
      <c r="G1610" s="2" t="s">
        <v>4756</v>
      </c>
      <c r="H1610" s="2" t="s">
        <v>2341</v>
      </c>
      <c r="I1610" s="2" t="s">
        <v>2342</v>
      </c>
      <c r="J1610" s="3">
        <v>44859</v>
      </c>
      <c r="K1610" s="2">
        <v>97</v>
      </c>
      <c r="L1610" s="2" t="s">
        <v>20</v>
      </c>
      <c r="M1610" s="3"/>
    </row>
    <row r="1611" spans="1:13" x14ac:dyDescent="0.3">
      <c r="A1611" s="2">
        <v>1610</v>
      </c>
      <c r="B1611" s="2" t="s">
        <v>4757</v>
      </c>
      <c r="C1611" s="2" t="s">
        <v>464</v>
      </c>
      <c r="D1611" s="2" t="s">
        <v>28</v>
      </c>
      <c r="E1611" s="2" t="s">
        <v>29</v>
      </c>
      <c r="F1611" s="2">
        <v>90</v>
      </c>
      <c r="G1611" s="2" t="s">
        <v>4758</v>
      </c>
      <c r="H1611" s="2" t="s">
        <v>195</v>
      </c>
      <c r="I1611" s="2" t="s">
        <v>187</v>
      </c>
      <c r="J1611" s="3">
        <v>44909</v>
      </c>
      <c r="K1611" s="2">
        <v>56</v>
      </c>
      <c r="L1611" s="2" t="s">
        <v>159</v>
      </c>
      <c r="M1611" s="3"/>
    </row>
    <row r="1612" spans="1:13" x14ac:dyDescent="0.3">
      <c r="A1612" s="2">
        <v>1611</v>
      </c>
      <c r="B1612" s="2" t="s">
        <v>4759</v>
      </c>
      <c r="C1612" s="2" t="s">
        <v>3527</v>
      </c>
      <c r="D1612" s="2" t="s">
        <v>51</v>
      </c>
      <c r="E1612" s="2" t="s">
        <v>16</v>
      </c>
      <c r="F1612" s="2">
        <v>30</v>
      </c>
      <c r="G1612" s="2" t="s">
        <v>4758</v>
      </c>
      <c r="H1612" s="2" t="s">
        <v>4760</v>
      </c>
      <c r="I1612" s="2" t="s">
        <v>32</v>
      </c>
      <c r="J1612" s="3">
        <v>44438</v>
      </c>
      <c r="K1612" s="2">
        <v>62</v>
      </c>
      <c r="L1612" s="2" t="s">
        <v>39</v>
      </c>
      <c r="M1612" s="3"/>
    </row>
    <row r="1613" spans="1:13" x14ac:dyDescent="0.3">
      <c r="A1613" s="2">
        <v>1612</v>
      </c>
      <c r="B1613" s="2" t="s">
        <v>4761</v>
      </c>
      <c r="C1613" s="2" t="s">
        <v>4762</v>
      </c>
      <c r="D1613" s="2" t="s">
        <v>15</v>
      </c>
      <c r="E1613" s="2" t="s">
        <v>16</v>
      </c>
      <c r="F1613" s="2">
        <v>90</v>
      </c>
      <c r="G1613" s="2" t="s">
        <v>4763</v>
      </c>
      <c r="H1613" s="2" t="s">
        <v>1034</v>
      </c>
      <c r="I1613" s="2" t="s">
        <v>1035</v>
      </c>
      <c r="J1613" s="3">
        <v>44911</v>
      </c>
      <c r="K1613" s="2">
        <v>42</v>
      </c>
      <c r="L1613" s="2" t="s">
        <v>64</v>
      </c>
      <c r="M1613" s="3"/>
    </row>
    <row r="1614" spans="1:13" x14ac:dyDescent="0.3">
      <c r="A1614" s="2">
        <v>1613</v>
      </c>
      <c r="B1614" s="2" t="s">
        <v>304</v>
      </c>
      <c r="C1614" s="2" t="s">
        <v>1175</v>
      </c>
      <c r="D1614" s="2" t="s">
        <v>15</v>
      </c>
      <c r="E1614" s="2" t="s">
        <v>16</v>
      </c>
      <c r="F1614" s="2">
        <v>90</v>
      </c>
      <c r="G1614" s="2" t="s">
        <v>4764</v>
      </c>
      <c r="H1614" s="2" t="s">
        <v>3466</v>
      </c>
      <c r="I1614" s="2" t="s">
        <v>32</v>
      </c>
      <c r="J1614" s="3">
        <v>44860</v>
      </c>
      <c r="K1614" s="2">
        <v>45</v>
      </c>
      <c r="L1614" s="2" t="s">
        <v>20</v>
      </c>
      <c r="M1614" s="3"/>
    </row>
    <row r="1615" spans="1:13" x14ac:dyDescent="0.3">
      <c r="A1615" s="2">
        <v>1614</v>
      </c>
      <c r="B1615" s="2" t="s">
        <v>4765</v>
      </c>
      <c r="C1615" s="2" t="s">
        <v>4766</v>
      </c>
      <c r="D1615" s="2" t="s">
        <v>15</v>
      </c>
      <c r="E1615" s="2" t="s">
        <v>16</v>
      </c>
      <c r="F1615" s="2">
        <v>90</v>
      </c>
      <c r="G1615" s="2" t="s">
        <v>4767</v>
      </c>
      <c r="H1615" s="2" t="s">
        <v>1018</v>
      </c>
      <c r="I1615" s="2" t="s">
        <v>294</v>
      </c>
      <c r="J1615" s="3">
        <v>44123</v>
      </c>
      <c r="K1615" s="2">
        <v>60</v>
      </c>
      <c r="L1615" s="2" t="s">
        <v>33</v>
      </c>
      <c r="M1615" s="3"/>
    </row>
    <row r="1616" spans="1:13" x14ac:dyDescent="0.3">
      <c r="A1616" s="2">
        <v>1615</v>
      </c>
      <c r="B1616" s="2" t="s">
        <v>4768</v>
      </c>
      <c r="C1616" s="2" t="s">
        <v>1918</v>
      </c>
      <c r="D1616" s="2" t="s">
        <v>28</v>
      </c>
      <c r="E1616" s="2" t="s">
        <v>29</v>
      </c>
      <c r="F1616" s="2">
        <v>60</v>
      </c>
      <c r="G1616" s="2" t="s">
        <v>4769</v>
      </c>
      <c r="H1616" s="2" t="s">
        <v>4770</v>
      </c>
      <c r="I1616" s="2" t="s">
        <v>294</v>
      </c>
      <c r="J1616" s="3">
        <v>43964</v>
      </c>
      <c r="K1616" s="2">
        <v>36</v>
      </c>
      <c r="L1616" s="2" t="s">
        <v>70</v>
      </c>
      <c r="M1616" s="3"/>
    </row>
    <row r="1617" spans="1:13" x14ac:dyDescent="0.3">
      <c r="A1617" s="2">
        <v>1616</v>
      </c>
      <c r="B1617" s="2" t="s">
        <v>4771</v>
      </c>
      <c r="C1617" s="2" t="s">
        <v>672</v>
      </c>
      <c r="D1617" s="2" t="s">
        <v>28</v>
      </c>
      <c r="E1617" s="2" t="s">
        <v>29</v>
      </c>
      <c r="F1617" s="2">
        <v>30</v>
      </c>
      <c r="G1617" s="2" t="s">
        <v>4769</v>
      </c>
      <c r="H1617" s="2" t="s">
        <v>917</v>
      </c>
      <c r="I1617" s="2" t="s">
        <v>32</v>
      </c>
      <c r="J1617" s="3">
        <v>44103</v>
      </c>
      <c r="K1617" s="2">
        <v>30</v>
      </c>
      <c r="L1617" s="2" t="s">
        <v>39</v>
      </c>
      <c r="M1617" s="3"/>
    </row>
    <row r="1618" spans="1:13" x14ac:dyDescent="0.3">
      <c r="A1618" s="2">
        <v>1617</v>
      </c>
      <c r="B1618" s="2" t="s">
        <v>4772</v>
      </c>
      <c r="C1618" s="2" t="s">
        <v>2246</v>
      </c>
      <c r="D1618" s="2" t="s">
        <v>41</v>
      </c>
      <c r="E1618" s="2" t="s">
        <v>16</v>
      </c>
      <c r="F1618" s="2">
        <v>90</v>
      </c>
      <c r="G1618" s="2" t="s">
        <v>4773</v>
      </c>
      <c r="H1618" s="2" t="s">
        <v>530</v>
      </c>
      <c r="I1618" s="2" t="s">
        <v>124</v>
      </c>
      <c r="J1618" s="3">
        <v>43877</v>
      </c>
      <c r="K1618" s="2">
        <v>19</v>
      </c>
      <c r="L1618" s="2" t="s">
        <v>70</v>
      </c>
      <c r="M1618" s="3"/>
    </row>
    <row r="1619" spans="1:13" x14ac:dyDescent="0.3">
      <c r="A1619" s="2">
        <v>1618</v>
      </c>
      <c r="B1619" s="2" t="s">
        <v>3572</v>
      </c>
      <c r="C1619" s="2" t="s">
        <v>76</v>
      </c>
      <c r="D1619" s="2" t="s">
        <v>28</v>
      </c>
      <c r="E1619" s="2" t="s">
        <v>29</v>
      </c>
      <c r="F1619" s="2">
        <v>30</v>
      </c>
      <c r="G1619" s="2" t="s">
        <v>4773</v>
      </c>
      <c r="H1619" s="2" t="s">
        <v>1042</v>
      </c>
      <c r="I1619" s="2" t="s">
        <v>32</v>
      </c>
      <c r="J1619" s="3">
        <v>44472</v>
      </c>
      <c r="K1619" s="2">
        <v>79</v>
      </c>
      <c r="L1619" s="2" t="s">
        <v>39</v>
      </c>
      <c r="M1619" s="3"/>
    </row>
    <row r="1620" spans="1:13" x14ac:dyDescent="0.3">
      <c r="A1620" s="2">
        <v>1619</v>
      </c>
      <c r="B1620" s="2" t="s">
        <v>3013</v>
      </c>
      <c r="C1620" s="2" t="s">
        <v>644</v>
      </c>
      <c r="D1620" s="2" t="s">
        <v>51</v>
      </c>
      <c r="E1620" s="2" t="s">
        <v>16</v>
      </c>
      <c r="F1620" s="2">
        <v>30</v>
      </c>
      <c r="G1620" s="2" t="s">
        <v>4774</v>
      </c>
      <c r="H1620" s="2" t="s">
        <v>4683</v>
      </c>
      <c r="I1620" s="2" t="s">
        <v>178</v>
      </c>
      <c r="J1620" s="3">
        <v>44200</v>
      </c>
      <c r="K1620" s="2">
        <v>84</v>
      </c>
      <c r="L1620" s="2" t="s">
        <v>39</v>
      </c>
      <c r="M1620" s="3"/>
    </row>
    <row r="1621" spans="1:13" x14ac:dyDescent="0.3">
      <c r="A1621" s="2">
        <v>1620</v>
      </c>
      <c r="B1621" s="2" t="s">
        <v>4775</v>
      </c>
      <c r="C1621" s="2" t="s">
        <v>3913</v>
      </c>
      <c r="D1621" s="2" t="s">
        <v>28</v>
      </c>
      <c r="E1621" s="2" t="s">
        <v>29</v>
      </c>
      <c r="F1621" s="2">
        <v>90</v>
      </c>
      <c r="G1621" s="2" t="s">
        <v>4776</v>
      </c>
      <c r="H1621" s="2" t="s">
        <v>1761</v>
      </c>
      <c r="I1621" s="2" t="s">
        <v>38</v>
      </c>
      <c r="J1621" s="3">
        <v>44274</v>
      </c>
      <c r="K1621" s="2">
        <v>74</v>
      </c>
      <c r="L1621" s="2" t="s">
        <v>70</v>
      </c>
      <c r="M1621" s="3"/>
    </row>
    <row r="1622" spans="1:13" x14ac:dyDescent="0.3">
      <c r="A1622" s="2">
        <v>1621</v>
      </c>
      <c r="B1622" s="2" t="s">
        <v>641</v>
      </c>
      <c r="C1622" s="2" t="s">
        <v>4777</v>
      </c>
      <c r="D1622" s="2" t="s">
        <v>28</v>
      </c>
      <c r="E1622" s="2" t="s">
        <v>29</v>
      </c>
      <c r="F1622" s="2">
        <v>60</v>
      </c>
      <c r="G1622" s="2" t="s">
        <v>4778</v>
      </c>
      <c r="H1622" s="2" t="s">
        <v>4779</v>
      </c>
      <c r="I1622" s="2" t="s">
        <v>686</v>
      </c>
      <c r="J1622" s="3">
        <v>44726</v>
      </c>
      <c r="K1622" s="2">
        <v>45</v>
      </c>
      <c r="L1622" s="2" t="s">
        <v>80</v>
      </c>
      <c r="M1622" s="3"/>
    </row>
    <row r="1623" spans="1:13" x14ac:dyDescent="0.3">
      <c r="A1623" s="2">
        <v>1622</v>
      </c>
      <c r="B1623" s="2" t="s">
        <v>4780</v>
      </c>
      <c r="C1623" s="2" t="s">
        <v>112</v>
      </c>
      <c r="D1623" s="2" t="s">
        <v>28</v>
      </c>
      <c r="E1623" s="2" t="s">
        <v>29</v>
      </c>
      <c r="F1623" s="2">
        <v>30</v>
      </c>
      <c r="G1623" s="2" t="s">
        <v>4781</v>
      </c>
      <c r="H1623" s="2" t="s">
        <v>3730</v>
      </c>
      <c r="I1623" s="2" t="s">
        <v>32</v>
      </c>
      <c r="J1623" s="3">
        <v>43969</v>
      </c>
      <c r="K1623" s="2">
        <v>51</v>
      </c>
      <c r="L1623" s="2" t="s">
        <v>159</v>
      </c>
      <c r="M1623" s="3"/>
    </row>
    <row r="1624" spans="1:13" x14ac:dyDescent="0.3">
      <c r="A1624" s="2">
        <v>1623</v>
      </c>
      <c r="B1624" s="2" t="s">
        <v>2571</v>
      </c>
      <c r="C1624" s="2" t="s">
        <v>4782</v>
      </c>
      <c r="D1624" s="2" t="s">
        <v>28</v>
      </c>
      <c r="E1624" s="2" t="s">
        <v>29</v>
      </c>
      <c r="F1624" s="2">
        <v>30</v>
      </c>
      <c r="G1624" s="2" t="s">
        <v>4783</v>
      </c>
      <c r="H1624" s="2" t="s">
        <v>1772</v>
      </c>
      <c r="I1624" s="2" t="s">
        <v>178</v>
      </c>
      <c r="J1624" s="3">
        <v>44022</v>
      </c>
      <c r="K1624" s="2">
        <v>75</v>
      </c>
      <c r="L1624" s="2" t="s">
        <v>39</v>
      </c>
      <c r="M1624" s="3"/>
    </row>
    <row r="1625" spans="1:13" x14ac:dyDescent="0.3">
      <c r="A1625" s="2">
        <v>1624</v>
      </c>
      <c r="B1625" s="2" t="s">
        <v>2523</v>
      </c>
      <c r="C1625" s="2" t="s">
        <v>597</v>
      </c>
      <c r="D1625" s="2" t="s">
        <v>28</v>
      </c>
      <c r="E1625" s="2" t="s">
        <v>29</v>
      </c>
      <c r="F1625" s="2">
        <v>90</v>
      </c>
      <c r="G1625" s="2" t="s">
        <v>4784</v>
      </c>
      <c r="H1625" s="2" t="s">
        <v>2498</v>
      </c>
      <c r="I1625" s="2" t="s">
        <v>913</v>
      </c>
      <c r="J1625" s="3">
        <v>44856</v>
      </c>
      <c r="K1625" s="2">
        <v>94</v>
      </c>
      <c r="L1625" s="2" t="s">
        <v>159</v>
      </c>
      <c r="M1625" s="3"/>
    </row>
    <row r="1626" spans="1:13" x14ac:dyDescent="0.3">
      <c r="A1626" s="2">
        <v>1625</v>
      </c>
      <c r="B1626" s="2" t="s">
        <v>4499</v>
      </c>
      <c r="C1626" s="2" t="s">
        <v>2809</v>
      </c>
      <c r="D1626" s="2" t="s">
        <v>28</v>
      </c>
      <c r="E1626" s="2" t="s">
        <v>29</v>
      </c>
      <c r="F1626" s="2">
        <v>30</v>
      </c>
      <c r="G1626" s="2" t="s">
        <v>4785</v>
      </c>
      <c r="H1626" s="2" t="s">
        <v>1587</v>
      </c>
      <c r="I1626" s="2" t="s">
        <v>32</v>
      </c>
      <c r="J1626" s="3">
        <v>43857</v>
      </c>
      <c r="K1626" s="2">
        <v>17</v>
      </c>
      <c r="L1626" s="2" t="s">
        <v>64</v>
      </c>
      <c r="M1626" s="3"/>
    </row>
    <row r="1627" spans="1:13" x14ac:dyDescent="0.3">
      <c r="A1627" s="2">
        <v>1626</v>
      </c>
      <c r="B1627" s="2" t="s">
        <v>1700</v>
      </c>
      <c r="C1627" s="2" t="s">
        <v>4786</v>
      </c>
      <c r="D1627" s="2" t="s">
        <v>117</v>
      </c>
      <c r="E1627" s="2" t="s">
        <v>29</v>
      </c>
      <c r="F1627" s="2">
        <v>90</v>
      </c>
      <c r="G1627" s="2" t="s">
        <v>4787</v>
      </c>
      <c r="H1627" s="2" t="s">
        <v>4182</v>
      </c>
      <c r="I1627" s="2" t="s">
        <v>32</v>
      </c>
      <c r="J1627" s="3">
        <v>44877</v>
      </c>
      <c r="K1627" s="2">
        <v>67</v>
      </c>
      <c r="L1627" s="2" t="s">
        <v>39</v>
      </c>
      <c r="M1627" s="3"/>
    </row>
    <row r="1628" spans="1:13" x14ac:dyDescent="0.3">
      <c r="A1628" s="2">
        <v>1627</v>
      </c>
      <c r="B1628" s="2" t="s">
        <v>2142</v>
      </c>
      <c r="C1628" s="2" t="s">
        <v>1641</v>
      </c>
      <c r="D1628" s="2" t="s">
        <v>28</v>
      </c>
      <c r="E1628" s="2" t="s">
        <v>29</v>
      </c>
      <c r="F1628" s="2">
        <v>90</v>
      </c>
      <c r="G1628" s="2" t="s">
        <v>4788</v>
      </c>
      <c r="H1628" s="2" t="s">
        <v>2791</v>
      </c>
      <c r="I1628" s="2" t="s">
        <v>178</v>
      </c>
      <c r="J1628" s="3">
        <v>44672</v>
      </c>
      <c r="K1628" s="2">
        <v>57</v>
      </c>
      <c r="L1628" s="2" t="s">
        <v>159</v>
      </c>
      <c r="M1628" s="3"/>
    </row>
    <row r="1629" spans="1:13" x14ac:dyDescent="0.3">
      <c r="A1629" s="2">
        <v>1628</v>
      </c>
      <c r="B1629" s="2" t="s">
        <v>4789</v>
      </c>
      <c r="C1629" s="2" t="s">
        <v>4790</v>
      </c>
      <c r="D1629" s="2" t="s">
        <v>41</v>
      </c>
      <c r="E1629" s="2" t="s">
        <v>16</v>
      </c>
      <c r="F1629" s="2">
        <v>90</v>
      </c>
      <c r="G1629" s="2" t="s">
        <v>4791</v>
      </c>
      <c r="H1629" s="2" t="s">
        <v>1948</v>
      </c>
      <c r="I1629" s="2" t="s">
        <v>25</v>
      </c>
      <c r="J1629" s="3">
        <v>44851</v>
      </c>
      <c r="K1629" s="2">
        <v>91</v>
      </c>
      <c r="L1629" s="2" t="s">
        <v>54</v>
      </c>
      <c r="M1629" s="3"/>
    </row>
    <row r="1630" spans="1:13" x14ac:dyDescent="0.3">
      <c r="A1630" s="2">
        <v>1629</v>
      </c>
      <c r="B1630" s="2" t="s">
        <v>2701</v>
      </c>
      <c r="C1630" s="2" t="s">
        <v>4792</v>
      </c>
      <c r="D1630" s="2" t="s">
        <v>28</v>
      </c>
      <c r="E1630" s="2" t="s">
        <v>29</v>
      </c>
      <c r="F1630" s="2">
        <v>60</v>
      </c>
      <c r="G1630" s="2" t="s">
        <v>4793</v>
      </c>
      <c r="H1630" s="2" t="s">
        <v>4794</v>
      </c>
      <c r="I1630" s="2" t="s">
        <v>32</v>
      </c>
      <c r="J1630" s="3">
        <v>44221</v>
      </c>
      <c r="K1630" s="2">
        <v>85</v>
      </c>
      <c r="L1630" s="2" t="s">
        <v>70</v>
      </c>
      <c r="M1630" s="3"/>
    </row>
    <row r="1631" spans="1:13" x14ac:dyDescent="0.3">
      <c r="A1631" s="2">
        <v>1630</v>
      </c>
      <c r="B1631" s="2" t="s">
        <v>4247</v>
      </c>
      <c r="C1631" s="2" t="s">
        <v>4795</v>
      </c>
      <c r="D1631" s="2" t="s">
        <v>41</v>
      </c>
      <c r="E1631" s="2" t="s">
        <v>16</v>
      </c>
      <c r="F1631" s="2">
        <v>60</v>
      </c>
      <c r="G1631" s="2" t="s">
        <v>4796</v>
      </c>
      <c r="H1631" s="2" t="s">
        <v>3793</v>
      </c>
      <c r="I1631" s="2" t="s">
        <v>173</v>
      </c>
      <c r="J1631" s="3">
        <v>43896</v>
      </c>
      <c r="K1631" s="2">
        <v>68</v>
      </c>
      <c r="L1631" s="2" t="s">
        <v>33</v>
      </c>
      <c r="M1631" s="3"/>
    </row>
    <row r="1632" spans="1:13" x14ac:dyDescent="0.3">
      <c r="A1632" s="2">
        <v>1631</v>
      </c>
      <c r="B1632" s="2" t="s">
        <v>1399</v>
      </c>
      <c r="C1632" s="2" t="s">
        <v>4797</v>
      </c>
      <c r="D1632" s="2" t="s">
        <v>28</v>
      </c>
      <c r="E1632" s="2" t="s">
        <v>29</v>
      </c>
      <c r="F1632" s="2">
        <v>60</v>
      </c>
      <c r="G1632" s="2" t="s">
        <v>4798</v>
      </c>
      <c r="H1632" s="2" t="s">
        <v>4799</v>
      </c>
      <c r="I1632" s="2" t="s">
        <v>25</v>
      </c>
      <c r="J1632" s="3">
        <v>44374</v>
      </c>
      <c r="K1632" s="2">
        <v>15</v>
      </c>
      <c r="L1632" s="2" t="s">
        <v>159</v>
      </c>
      <c r="M1632" s="3"/>
    </row>
    <row r="1633" spans="1:13" x14ac:dyDescent="0.3">
      <c r="A1633" s="2">
        <v>1632</v>
      </c>
      <c r="B1633" s="2" t="s">
        <v>4800</v>
      </c>
      <c r="C1633" s="2" t="s">
        <v>961</v>
      </c>
      <c r="D1633" s="2" t="s">
        <v>15</v>
      </c>
      <c r="E1633" s="2" t="s">
        <v>16</v>
      </c>
      <c r="F1633" s="2">
        <v>60</v>
      </c>
      <c r="G1633" s="2" t="s">
        <v>4801</v>
      </c>
      <c r="H1633" s="2" t="s">
        <v>3126</v>
      </c>
      <c r="I1633" s="2" t="s">
        <v>32</v>
      </c>
      <c r="J1633" s="3">
        <v>44102</v>
      </c>
      <c r="K1633" s="2">
        <v>18</v>
      </c>
      <c r="L1633" s="2" t="s">
        <v>159</v>
      </c>
      <c r="M1633" s="3"/>
    </row>
    <row r="1634" spans="1:13" x14ac:dyDescent="0.3">
      <c r="A1634" s="2">
        <v>1633</v>
      </c>
      <c r="B1634" s="2" t="s">
        <v>4802</v>
      </c>
      <c r="C1634" s="2" t="s">
        <v>4803</v>
      </c>
      <c r="D1634" s="2" t="s">
        <v>15</v>
      </c>
      <c r="E1634" s="2" t="s">
        <v>16</v>
      </c>
      <c r="F1634" s="2">
        <v>30</v>
      </c>
      <c r="G1634" s="2" t="s">
        <v>4804</v>
      </c>
      <c r="I1634" s="2" t="s">
        <v>366</v>
      </c>
      <c r="J1634" s="3">
        <v>43955</v>
      </c>
      <c r="K1634" s="2">
        <v>85</v>
      </c>
      <c r="L1634" s="2" t="s">
        <v>64</v>
      </c>
      <c r="M1634" s="3"/>
    </row>
    <row r="1635" spans="1:13" x14ac:dyDescent="0.3">
      <c r="A1635" s="2">
        <v>1634</v>
      </c>
      <c r="B1635" s="2" t="s">
        <v>4805</v>
      </c>
      <c r="C1635" s="2" t="s">
        <v>1786</v>
      </c>
      <c r="D1635" s="2" t="s">
        <v>28</v>
      </c>
      <c r="E1635" s="2" t="s">
        <v>29</v>
      </c>
      <c r="F1635" s="2">
        <v>30</v>
      </c>
      <c r="G1635" s="2" t="s">
        <v>4806</v>
      </c>
      <c r="H1635" s="2" t="s">
        <v>4807</v>
      </c>
      <c r="I1635" s="2" t="s">
        <v>32</v>
      </c>
      <c r="J1635" s="3">
        <v>44793</v>
      </c>
      <c r="K1635" s="2">
        <v>14</v>
      </c>
      <c r="L1635" s="2" t="s">
        <v>101</v>
      </c>
      <c r="M1635" s="3"/>
    </row>
    <row r="1636" spans="1:13" x14ac:dyDescent="0.3">
      <c r="A1636" s="2">
        <v>1635</v>
      </c>
      <c r="B1636" s="2" t="s">
        <v>4808</v>
      </c>
      <c r="C1636" s="2" t="s">
        <v>4005</v>
      </c>
      <c r="D1636" s="2" t="s">
        <v>15</v>
      </c>
      <c r="E1636" s="2" t="s">
        <v>16</v>
      </c>
      <c r="F1636" s="2">
        <v>90</v>
      </c>
      <c r="G1636" s="2" t="s">
        <v>4806</v>
      </c>
      <c r="H1636" s="2" t="s">
        <v>487</v>
      </c>
      <c r="I1636" s="2" t="s">
        <v>32</v>
      </c>
      <c r="J1636" s="3">
        <v>44028</v>
      </c>
      <c r="K1636" s="2">
        <v>8</v>
      </c>
      <c r="L1636" s="2" t="s">
        <v>45</v>
      </c>
      <c r="M1636" s="3"/>
    </row>
    <row r="1637" spans="1:13" x14ac:dyDescent="0.3">
      <c r="A1637" s="2">
        <v>1636</v>
      </c>
      <c r="B1637" s="2" t="s">
        <v>4809</v>
      </c>
      <c r="C1637" s="2" t="s">
        <v>564</v>
      </c>
      <c r="D1637" s="2" t="s">
        <v>51</v>
      </c>
      <c r="E1637" s="2" t="s">
        <v>16</v>
      </c>
      <c r="F1637" s="2">
        <v>90</v>
      </c>
      <c r="G1637" s="2" t="s">
        <v>4810</v>
      </c>
      <c r="H1637" s="2" t="s">
        <v>2163</v>
      </c>
      <c r="I1637" s="2" t="s">
        <v>1824</v>
      </c>
      <c r="J1637" s="3">
        <v>44660</v>
      </c>
      <c r="K1637" s="2">
        <v>12</v>
      </c>
      <c r="L1637" s="2" t="s">
        <v>33</v>
      </c>
      <c r="M1637" s="3"/>
    </row>
    <row r="1638" spans="1:13" x14ac:dyDescent="0.3">
      <c r="A1638" s="2">
        <v>1637</v>
      </c>
      <c r="B1638" s="2" t="s">
        <v>1009</v>
      </c>
      <c r="C1638" s="2" t="s">
        <v>4811</v>
      </c>
      <c r="D1638" s="2" t="s">
        <v>28</v>
      </c>
      <c r="E1638" s="2" t="s">
        <v>29</v>
      </c>
      <c r="F1638" s="2">
        <v>30</v>
      </c>
      <c r="G1638" s="2" t="s">
        <v>4812</v>
      </c>
      <c r="H1638" s="2" t="s">
        <v>1426</v>
      </c>
      <c r="I1638" s="2" t="s">
        <v>32</v>
      </c>
      <c r="J1638" s="3">
        <v>44385</v>
      </c>
      <c r="K1638" s="2">
        <v>25</v>
      </c>
      <c r="L1638" s="2" t="s">
        <v>159</v>
      </c>
      <c r="M1638" s="3"/>
    </row>
    <row r="1639" spans="1:13" x14ac:dyDescent="0.3">
      <c r="A1639" s="2">
        <v>1638</v>
      </c>
      <c r="B1639" s="2" t="s">
        <v>4094</v>
      </c>
      <c r="C1639" s="2" t="s">
        <v>4813</v>
      </c>
      <c r="D1639" s="2" t="s">
        <v>28</v>
      </c>
      <c r="E1639" s="2" t="s">
        <v>29</v>
      </c>
      <c r="F1639" s="2">
        <v>30</v>
      </c>
      <c r="G1639" s="2" t="s">
        <v>4814</v>
      </c>
      <c r="H1639" s="2" t="s">
        <v>1764</v>
      </c>
      <c r="I1639" s="2" t="s">
        <v>124</v>
      </c>
      <c r="J1639" s="3">
        <v>44084</v>
      </c>
      <c r="K1639" s="2">
        <v>27</v>
      </c>
      <c r="L1639" s="2" t="s">
        <v>70</v>
      </c>
      <c r="M1639" s="3"/>
    </row>
    <row r="1640" spans="1:13" x14ac:dyDescent="0.3">
      <c r="A1640" s="2">
        <v>1639</v>
      </c>
      <c r="B1640" s="2" t="s">
        <v>4815</v>
      </c>
      <c r="C1640" s="2" t="s">
        <v>1251</v>
      </c>
      <c r="D1640" s="2" t="s">
        <v>28</v>
      </c>
      <c r="E1640" s="2" t="s">
        <v>29</v>
      </c>
      <c r="F1640" s="2">
        <v>90</v>
      </c>
      <c r="G1640" s="2" t="s">
        <v>149</v>
      </c>
      <c r="H1640" s="2" t="s">
        <v>1948</v>
      </c>
      <c r="I1640" s="2" t="s">
        <v>25</v>
      </c>
      <c r="J1640" s="3">
        <v>44410</v>
      </c>
      <c r="K1640" s="2">
        <v>39</v>
      </c>
      <c r="L1640" s="2" t="s">
        <v>54</v>
      </c>
      <c r="M1640" s="3"/>
    </row>
    <row r="1641" spans="1:13" x14ac:dyDescent="0.3">
      <c r="A1641" s="2">
        <v>1640</v>
      </c>
      <c r="B1641" s="2" t="s">
        <v>527</v>
      </c>
      <c r="C1641" s="2" t="s">
        <v>4291</v>
      </c>
      <c r="D1641" s="2" t="s">
        <v>28</v>
      </c>
      <c r="E1641" s="2" t="s">
        <v>29</v>
      </c>
      <c r="F1641" s="2">
        <v>60</v>
      </c>
      <c r="G1641" s="2" t="s">
        <v>4816</v>
      </c>
      <c r="H1641" s="2" t="s">
        <v>4326</v>
      </c>
      <c r="I1641" s="2" t="s">
        <v>1078</v>
      </c>
      <c r="J1641" s="3">
        <v>44346</v>
      </c>
      <c r="K1641" s="2">
        <v>76</v>
      </c>
      <c r="L1641" s="2" t="s">
        <v>101</v>
      </c>
      <c r="M1641" s="3"/>
    </row>
    <row r="1642" spans="1:13" x14ac:dyDescent="0.3">
      <c r="A1642" s="2">
        <v>1641</v>
      </c>
      <c r="B1642" s="2" t="s">
        <v>4817</v>
      </c>
      <c r="C1642" s="2" t="s">
        <v>925</v>
      </c>
      <c r="D1642" s="2" t="s">
        <v>15</v>
      </c>
      <c r="E1642" s="2" t="s">
        <v>16</v>
      </c>
      <c r="F1642" s="2">
        <v>30</v>
      </c>
      <c r="G1642" s="2" t="s">
        <v>4818</v>
      </c>
      <c r="H1642" s="2" t="s">
        <v>1530</v>
      </c>
      <c r="I1642" s="2" t="s">
        <v>32</v>
      </c>
      <c r="J1642" s="3">
        <v>43946</v>
      </c>
      <c r="K1642" s="2">
        <v>78</v>
      </c>
      <c r="L1642" s="2" t="s">
        <v>39</v>
      </c>
      <c r="M1642" s="3"/>
    </row>
    <row r="1643" spans="1:13" x14ac:dyDescent="0.3">
      <c r="A1643" s="2">
        <v>1642</v>
      </c>
      <c r="B1643" s="2" t="s">
        <v>3089</v>
      </c>
      <c r="C1643" s="2" t="s">
        <v>4819</v>
      </c>
      <c r="D1643" s="2" t="s">
        <v>28</v>
      </c>
      <c r="E1643" s="2" t="s">
        <v>29</v>
      </c>
      <c r="F1643" s="2">
        <v>60</v>
      </c>
      <c r="G1643" s="2" t="s">
        <v>4820</v>
      </c>
      <c r="H1643" s="2" t="s">
        <v>1210</v>
      </c>
      <c r="I1643" s="2" t="s">
        <v>294</v>
      </c>
      <c r="J1643" s="3">
        <v>43945</v>
      </c>
      <c r="K1643" s="2">
        <v>70</v>
      </c>
      <c r="L1643" s="2" t="s">
        <v>20</v>
      </c>
      <c r="M1643" s="3"/>
    </row>
    <row r="1644" spans="1:13" x14ac:dyDescent="0.3">
      <c r="A1644" s="2">
        <v>1643</v>
      </c>
      <c r="B1644" s="2" t="s">
        <v>4821</v>
      </c>
      <c r="C1644" s="2" t="s">
        <v>2028</v>
      </c>
      <c r="D1644" s="2" t="s">
        <v>51</v>
      </c>
      <c r="E1644" s="2" t="s">
        <v>16</v>
      </c>
      <c r="F1644" s="2">
        <v>90</v>
      </c>
      <c r="G1644" s="2" t="s">
        <v>4822</v>
      </c>
      <c r="H1644" s="2" t="s">
        <v>1855</v>
      </c>
      <c r="I1644" s="2" t="s">
        <v>25</v>
      </c>
      <c r="J1644" s="3">
        <v>44474</v>
      </c>
      <c r="K1644" s="2">
        <v>10</v>
      </c>
      <c r="L1644" s="2" t="s">
        <v>80</v>
      </c>
      <c r="M1644" s="3"/>
    </row>
    <row r="1645" spans="1:13" x14ac:dyDescent="0.3">
      <c r="A1645" s="2">
        <v>1644</v>
      </c>
      <c r="B1645" s="2" t="s">
        <v>4823</v>
      </c>
      <c r="C1645" s="2" t="s">
        <v>1041</v>
      </c>
      <c r="D1645" s="2" t="s">
        <v>15</v>
      </c>
      <c r="E1645" s="2" t="s">
        <v>16</v>
      </c>
      <c r="F1645" s="2">
        <v>60</v>
      </c>
      <c r="G1645" s="2" t="s">
        <v>4824</v>
      </c>
      <c r="H1645" s="2" t="s">
        <v>4825</v>
      </c>
      <c r="I1645" s="2" t="s">
        <v>32</v>
      </c>
      <c r="J1645" s="3">
        <v>44463</v>
      </c>
      <c r="K1645" s="2">
        <v>55</v>
      </c>
      <c r="L1645" s="2" t="s">
        <v>45</v>
      </c>
      <c r="M1645" s="3"/>
    </row>
    <row r="1646" spans="1:13" x14ac:dyDescent="0.3">
      <c r="A1646" s="2">
        <v>1645</v>
      </c>
      <c r="B1646" s="2" t="s">
        <v>4826</v>
      </c>
      <c r="C1646" s="2" t="s">
        <v>4045</v>
      </c>
      <c r="D1646" s="2" t="s">
        <v>51</v>
      </c>
      <c r="E1646" s="2" t="s">
        <v>16</v>
      </c>
      <c r="F1646" s="2">
        <v>60</v>
      </c>
      <c r="G1646" s="2" t="s">
        <v>4827</v>
      </c>
      <c r="H1646" s="2" t="s">
        <v>4527</v>
      </c>
      <c r="I1646" s="2" t="s">
        <v>32</v>
      </c>
      <c r="J1646" s="3">
        <v>44743</v>
      </c>
      <c r="K1646" s="2">
        <v>58</v>
      </c>
      <c r="L1646" s="2" t="s">
        <v>39</v>
      </c>
      <c r="M1646" s="3"/>
    </row>
    <row r="1647" spans="1:13" x14ac:dyDescent="0.3">
      <c r="A1647" s="2">
        <v>1646</v>
      </c>
      <c r="B1647" s="2" t="s">
        <v>4828</v>
      </c>
      <c r="C1647" s="2" t="s">
        <v>4829</v>
      </c>
      <c r="D1647" s="2" t="s">
        <v>15</v>
      </c>
      <c r="E1647" s="2" t="s">
        <v>16</v>
      </c>
      <c r="F1647" s="2">
        <v>30</v>
      </c>
      <c r="G1647" s="2" t="s">
        <v>4830</v>
      </c>
      <c r="H1647" s="2" t="s">
        <v>1590</v>
      </c>
      <c r="I1647" s="2" t="s">
        <v>32</v>
      </c>
      <c r="J1647" s="3">
        <v>44307</v>
      </c>
      <c r="K1647" s="2">
        <v>45</v>
      </c>
      <c r="L1647" s="2" t="s">
        <v>33</v>
      </c>
      <c r="M1647" s="3"/>
    </row>
    <row r="1648" spans="1:13" x14ac:dyDescent="0.3">
      <c r="A1648" s="2">
        <v>1647</v>
      </c>
      <c r="B1648" s="2" t="s">
        <v>3844</v>
      </c>
      <c r="C1648" s="2" t="s">
        <v>1592</v>
      </c>
      <c r="D1648" s="2" t="s">
        <v>51</v>
      </c>
      <c r="E1648" s="2" t="s">
        <v>16</v>
      </c>
      <c r="F1648" s="2">
        <v>60</v>
      </c>
      <c r="G1648" s="2" t="s">
        <v>4831</v>
      </c>
      <c r="H1648" s="2" t="s">
        <v>587</v>
      </c>
      <c r="I1648" s="2" t="s">
        <v>25</v>
      </c>
      <c r="J1648" s="3">
        <v>43907</v>
      </c>
      <c r="K1648" s="2">
        <v>11</v>
      </c>
      <c r="L1648" s="2" t="s">
        <v>159</v>
      </c>
      <c r="M1648" s="3"/>
    </row>
    <row r="1649" spans="1:13" x14ac:dyDescent="0.3">
      <c r="A1649" s="2">
        <v>1648</v>
      </c>
      <c r="B1649" s="2" t="s">
        <v>3548</v>
      </c>
      <c r="C1649" s="2" t="s">
        <v>1627</v>
      </c>
      <c r="D1649" s="2" t="s">
        <v>28</v>
      </c>
      <c r="E1649" s="2" t="s">
        <v>29</v>
      </c>
      <c r="F1649" s="2">
        <v>30</v>
      </c>
      <c r="G1649" s="2" t="s">
        <v>4832</v>
      </c>
      <c r="H1649" s="2" t="s">
        <v>2633</v>
      </c>
      <c r="I1649" s="2" t="s">
        <v>32</v>
      </c>
      <c r="J1649" s="3">
        <v>44298</v>
      </c>
      <c r="K1649" s="2">
        <v>8</v>
      </c>
      <c r="L1649" s="2" t="s">
        <v>80</v>
      </c>
      <c r="M1649" s="3"/>
    </row>
    <row r="1650" spans="1:13" x14ac:dyDescent="0.3">
      <c r="A1650" s="2">
        <v>1649</v>
      </c>
      <c r="B1650" s="2" t="s">
        <v>4833</v>
      </c>
      <c r="C1650" s="2" t="s">
        <v>597</v>
      </c>
      <c r="D1650" s="2" t="s">
        <v>51</v>
      </c>
      <c r="E1650" s="2" t="s">
        <v>16</v>
      </c>
      <c r="F1650" s="2">
        <v>30</v>
      </c>
      <c r="G1650" s="2" t="s">
        <v>4834</v>
      </c>
      <c r="H1650" s="2" t="s">
        <v>4835</v>
      </c>
      <c r="I1650" s="2" t="s">
        <v>32</v>
      </c>
      <c r="J1650" s="3">
        <v>44610</v>
      </c>
      <c r="K1650" s="2">
        <v>25</v>
      </c>
      <c r="L1650" s="2" t="s">
        <v>33</v>
      </c>
      <c r="M1650" s="3"/>
    </row>
    <row r="1651" spans="1:13" x14ac:dyDescent="0.3">
      <c r="A1651" s="2">
        <v>1650</v>
      </c>
      <c r="B1651" s="2" t="s">
        <v>2947</v>
      </c>
      <c r="C1651" s="2" t="s">
        <v>4836</v>
      </c>
      <c r="D1651" s="2" t="s">
        <v>28</v>
      </c>
      <c r="E1651" s="2" t="s">
        <v>29</v>
      </c>
      <c r="F1651" s="2">
        <v>90</v>
      </c>
      <c r="G1651" s="2" t="s">
        <v>4837</v>
      </c>
      <c r="H1651" s="2" t="s">
        <v>1336</v>
      </c>
      <c r="I1651" s="2" t="s">
        <v>129</v>
      </c>
      <c r="J1651" s="3">
        <v>44242</v>
      </c>
      <c r="K1651" s="2">
        <v>47</v>
      </c>
      <c r="L1651" s="2" t="s">
        <v>70</v>
      </c>
      <c r="M1651" s="3"/>
    </row>
    <row r="1652" spans="1:13" x14ac:dyDescent="0.3">
      <c r="A1652" s="2">
        <v>1651</v>
      </c>
      <c r="B1652" s="2" t="s">
        <v>2225</v>
      </c>
      <c r="C1652" s="2" t="s">
        <v>3750</v>
      </c>
      <c r="D1652" s="2" t="s">
        <v>15</v>
      </c>
      <c r="E1652" s="2" t="s">
        <v>16</v>
      </c>
      <c r="F1652" s="2">
        <v>30</v>
      </c>
      <c r="G1652" s="2" t="s">
        <v>4838</v>
      </c>
      <c r="H1652" s="2" t="s">
        <v>2685</v>
      </c>
      <c r="I1652" s="2" t="s">
        <v>32</v>
      </c>
      <c r="J1652" s="3">
        <v>44828</v>
      </c>
      <c r="K1652" s="2">
        <v>43</v>
      </c>
      <c r="L1652" s="2" t="s">
        <v>33</v>
      </c>
      <c r="M1652" s="3"/>
    </row>
    <row r="1653" spans="1:13" x14ac:dyDescent="0.3">
      <c r="A1653" s="2">
        <v>1652</v>
      </c>
      <c r="B1653" s="2" t="s">
        <v>4839</v>
      </c>
      <c r="C1653" s="2" t="s">
        <v>2332</v>
      </c>
      <c r="D1653" s="2" t="s">
        <v>15</v>
      </c>
      <c r="E1653" s="2" t="s">
        <v>16</v>
      </c>
      <c r="F1653" s="2">
        <v>30</v>
      </c>
      <c r="G1653" s="2" t="s">
        <v>4840</v>
      </c>
      <c r="H1653" s="2" t="s">
        <v>3619</v>
      </c>
      <c r="I1653" s="2" t="s">
        <v>575</v>
      </c>
      <c r="J1653" s="3">
        <v>44709</v>
      </c>
      <c r="K1653" s="2">
        <v>61</v>
      </c>
      <c r="L1653" s="2" t="s">
        <v>64</v>
      </c>
      <c r="M1653" s="3"/>
    </row>
    <row r="1654" spans="1:13" x14ac:dyDescent="0.3">
      <c r="A1654" s="2">
        <v>1653</v>
      </c>
      <c r="B1654" s="2" t="s">
        <v>1170</v>
      </c>
      <c r="C1654" s="2" t="s">
        <v>3884</v>
      </c>
      <c r="D1654" s="2" t="s">
        <v>28</v>
      </c>
      <c r="E1654" s="2" t="s">
        <v>29</v>
      </c>
      <c r="F1654" s="2">
        <v>90</v>
      </c>
      <c r="G1654" s="2" t="s">
        <v>4841</v>
      </c>
      <c r="H1654" s="2" t="s">
        <v>3531</v>
      </c>
      <c r="I1654" s="2" t="s">
        <v>32</v>
      </c>
      <c r="J1654" s="3">
        <v>44173</v>
      </c>
      <c r="K1654" s="2">
        <v>83</v>
      </c>
      <c r="L1654" s="2" t="s">
        <v>39</v>
      </c>
      <c r="M1654" s="3"/>
    </row>
    <row r="1655" spans="1:13" x14ac:dyDescent="0.3">
      <c r="A1655" s="2">
        <v>1654</v>
      </c>
      <c r="B1655" s="2" t="s">
        <v>3476</v>
      </c>
      <c r="C1655" s="2" t="s">
        <v>4842</v>
      </c>
      <c r="D1655" s="2" t="s">
        <v>51</v>
      </c>
      <c r="E1655" s="2" t="s">
        <v>16</v>
      </c>
      <c r="F1655" s="2">
        <v>60</v>
      </c>
      <c r="G1655" s="2" t="s">
        <v>4843</v>
      </c>
      <c r="H1655" s="2" t="s">
        <v>2896</v>
      </c>
      <c r="I1655" s="2" t="s">
        <v>110</v>
      </c>
      <c r="J1655" s="3">
        <v>44412</v>
      </c>
      <c r="K1655" s="2">
        <v>88</v>
      </c>
      <c r="L1655" s="2" t="s">
        <v>45</v>
      </c>
      <c r="M1655" s="3"/>
    </row>
    <row r="1656" spans="1:13" x14ac:dyDescent="0.3">
      <c r="A1656" s="2">
        <v>1655</v>
      </c>
      <c r="B1656" s="2" t="s">
        <v>4844</v>
      </c>
      <c r="C1656" s="2" t="s">
        <v>4845</v>
      </c>
      <c r="D1656" s="2" t="s">
        <v>28</v>
      </c>
      <c r="E1656" s="2" t="s">
        <v>29</v>
      </c>
      <c r="F1656" s="2">
        <v>60</v>
      </c>
      <c r="G1656" s="2" t="s">
        <v>4846</v>
      </c>
      <c r="H1656" s="2" t="s">
        <v>487</v>
      </c>
      <c r="I1656" s="2" t="s">
        <v>32</v>
      </c>
      <c r="J1656" s="3">
        <v>44539</v>
      </c>
      <c r="K1656" s="2">
        <v>74</v>
      </c>
      <c r="L1656" s="2" t="s">
        <v>101</v>
      </c>
      <c r="M1656" s="3"/>
    </row>
    <row r="1657" spans="1:13" x14ac:dyDescent="0.3">
      <c r="A1657" s="2">
        <v>1656</v>
      </c>
      <c r="B1657" s="2" t="s">
        <v>3105</v>
      </c>
      <c r="C1657" s="2" t="s">
        <v>4847</v>
      </c>
      <c r="D1657" s="2" t="s">
        <v>51</v>
      </c>
      <c r="E1657" s="2" t="s">
        <v>16</v>
      </c>
      <c r="F1657" s="2">
        <v>60</v>
      </c>
      <c r="G1657" s="2" t="s">
        <v>4848</v>
      </c>
      <c r="H1657" s="2" t="s">
        <v>4849</v>
      </c>
      <c r="I1657" s="2" t="s">
        <v>294</v>
      </c>
      <c r="J1657" s="3">
        <v>44078</v>
      </c>
      <c r="K1657" s="2">
        <v>42</v>
      </c>
      <c r="L1657" s="2" t="s">
        <v>45</v>
      </c>
      <c r="M1657" s="3"/>
    </row>
    <row r="1658" spans="1:13" x14ac:dyDescent="0.3">
      <c r="A1658" s="2">
        <v>1657</v>
      </c>
      <c r="B1658" s="2" t="s">
        <v>2231</v>
      </c>
      <c r="C1658" s="2" t="s">
        <v>2722</v>
      </c>
      <c r="D1658" s="2" t="s">
        <v>28</v>
      </c>
      <c r="E1658" s="2" t="s">
        <v>29</v>
      </c>
      <c r="F1658" s="2">
        <v>60</v>
      </c>
      <c r="G1658" s="2" t="s">
        <v>4850</v>
      </c>
      <c r="H1658" s="2" t="s">
        <v>4851</v>
      </c>
      <c r="I1658" s="2" t="s">
        <v>2543</v>
      </c>
      <c r="J1658" s="3">
        <v>44899</v>
      </c>
      <c r="K1658" s="2">
        <v>91</v>
      </c>
      <c r="L1658" s="2" t="s">
        <v>20</v>
      </c>
      <c r="M1658" s="3"/>
    </row>
    <row r="1659" spans="1:13" x14ac:dyDescent="0.3">
      <c r="A1659" s="2">
        <v>1658</v>
      </c>
      <c r="B1659" s="2" t="s">
        <v>960</v>
      </c>
      <c r="C1659" s="2" t="s">
        <v>3953</v>
      </c>
      <c r="D1659" s="2" t="s">
        <v>28</v>
      </c>
      <c r="E1659" s="2" t="s">
        <v>29</v>
      </c>
      <c r="F1659" s="2">
        <v>30</v>
      </c>
      <c r="G1659" s="2" t="s">
        <v>4852</v>
      </c>
      <c r="H1659" s="2" t="s">
        <v>4853</v>
      </c>
      <c r="I1659" s="2" t="s">
        <v>178</v>
      </c>
      <c r="J1659" s="3">
        <v>44583</v>
      </c>
      <c r="K1659" s="2">
        <v>24</v>
      </c>
      <c r="L1659" s="2" t="s">
        <v>159</v>
      </c>
      <c r="M1659" s="3"/>
    </row>
    <row r="1660" spans="1:13" x14ac:dyDescent="0.3">
      <c r="A1660" s="2">
        <v>1659</v>
      </c>
      <c r="B1660" s="2" t="s">
        <v>665</v>
      </c>
      <c r="C1660" s="2" t="s">
        <v>3419</v>
      </c>
      <c r="D1660" s="2" t="s">
        <v>28</v>
      </c>
      <c r="E1660" s="2" t="s">
        <v>29</v>
      </c>
      <c r="F1660" s="2">
        <v>30</v>
      </c>
      <c r="G1660" s="2" t="s">
        <v>4854</v>
      </c>
      <c r="H1660" s="2" t="s">
        <v>432</v>
      </c>
      <c r="I1660" s="2" t="s">
        <v>32</v>
      </c>
      <c r="J1660" s="3">
        <v>44823</v>
      </c>
      <c r="K1660" s="2">
        <v>72</v>
      </c>
      <c r="L1660" s="2" t="s">
        <v>70</v>
      </c>
      <c r="M1660" s="3"/>
    </row>
    <row r="1661" spans="1:13" x14ac:dyDescent="0.3">
      <c r="A1661" s="2">
        <v>1660</v>
      </c>
      <c r="B1661" s="2" t="s">
        <v>4855</v>
      </c>
      <c r="C1661" s="2" t="s">
        <v>264</v>
      </c>
      <c r="D1661" s="2" t="s">
        <v>15</v>
      </c>
      <c r="E1661" s="2" t="s">
        <v>16</v>
      </c>
      <c r="F1661" s="2">
        <v>90</v>
      </c>
      <c r="G1661" s="2" t="s">
        <v>4856</v>
      </c>
      <c r="H1661" s="2" t="s">
        <v>2902</v>
      </c>
      <c r="I1661" s="2" t="s">
        <v>32</v>
      </c>
      <c r="J1661" s="3">
        <v>43857</v>
      </c>
      <c r="K1661" s="2">
        <v>35</v>
      </c>
      <c r="L1661" s="2" t="s">
        <v>33</v>
      </c>
      <c r="M1661" s="3"/>
    </row>
    <row r="1662" spans="1:13" x14ac:dyDescent="0.3">
      <c r="A1662" s="2">
        <v>1661</v>
      </c>
      <c r="B1662" s="2" t="s">
        <v>4857</v>
      </c>
      <c r="C1662" s="2" t="s">
        <v>4858</v>
      </c>
      <c r="D1662" s="2" t="s">
        <v>41</v>
      </c>
      <c r="E1662" s="2" t="s">
        <v>16</v>
      </c>
      <c r="F1662" s="2">
        <v>60</v>
      </c>
      <c r="G1662" s="2" t="s">
        <v>4859</v>
      </c>
      <c r="H1662" s="2" t="s">
        <v>4860</v>
      </c>
      <c r="I1662" s="2" t="s">
        <v>32</v>
      </c>
      <c r="J1662" s="3">
        <v>44669</v>
      </c>
      <c r="K1662" s="2">
        <v>15</v>
      </c>
      <c r="L1662" s="2" t="s">
        <v>54</v>
      </c>
      <c r="M1662" s="3"/>
    </row>
    <row r="1663" spans="1:13" x14ac:dyDescent="0.3">
      <c r="A1663" s="2">
        <v>1662</v>
      </c>
      <c r="B1663" s="2" t="s">
        <v>179</v>
      </c>
      <c r="C1663" s="2" t="s">
        <v>4861</v>
      </c>
      <c r="D1663" s="2" t="s">
        <v>28</v>
      </c>
      <c r="E1663" s="2" t="s">
        <v>29</v>
      </c>
      <c r="F1663" s="2">
        <v>60</v>
      </c>
      <c r="G1663" s="2" t="s">
        <v>4862</v>
      </c>
      <c r="H1663" s="2" t="s">
        <v>4863</v>
      </c>
      <c r="I1663" s="2" t="s">
        <v>32</v>
      </c>
      <c r="J1663" s="3">
        <v>44573</v>
      </c>
      <c r="K1663" s="2">
        <v>11</v>
      </c>
      <c r="L1663" s="2" t="s">
        <v>101</v>
      </c>
      <c r="M1663" s="3"/>
    </row>
    <row r="1664" spans="1:13" x14ac:dyDescent="0.3">
      <c r="A1664" s="2">
        <v>1663</v>
      </c>
      <c r="B1664" s="2" t="s">
        <v>4864</v>
      </c>
      <c r="C1664" s="2" t="s">
        <v>4865</v>
      </c>
      <c r="D1664" s="2" t="s">
        <v>51</v>
      </c>
      <c r="E1664" s="2" t="s">
        <v>16</v>
      </c>
      <c r="F1664" s="2">
        <v>30</v>
      </c>
      <c r="G1664" s="2" t="s">
        <v>4866</v>
      </c>
      <c r="H1664" s="2" t="s">
        <v>4867</v>
      </c>
      <c r="I1664" s="2" t="s">
        <v>294</v>
      </c>
      <c r="J1664" s="3"/>
      <c r="K1664" s="2">
        <v>3</v>
      </c>
      <c r="L1664" s="2" t="s">
        <v>64</v>
      </c>
      <c r="M1664" s="3"/>
    </row>
    <row r="1665" spans="1:13" x14ac:dyDescent="0.3">
      <c r="A1665" s="2">
        <v>1664</v>
      </c>
      <c r="B1665" s="2" t="s">
        <v>4868</v>
      </c>
      <c r="C1665" s="2" t="s">
        <v>3439</v>
      </c>
      <c r="D1665" s="2" t="s">
        <v>41</v>
      </c>
      <c r="E1665" s="2" t="s">
        <v>16</v>
      </c>
      <c r="F1665" s="2">
        <v>60</v>
      </c>
      <c r="G1665" s="2" t="s">
        <v>4869</v>
      </c>
      <c r="H1665" s="2" t="s">
        <v>4870</v>
      </c>
      <c r="I1665" s="2" t="s">
        <v>146</v>
      </c>
      <c r="J1665" s="3">
        <v>44841</v>
      </c>
      <c r="K1665" s="2">
        <v>86</v>
      </c>
      <c r="L1665" s="2" t="s">
        <v>64</v>
      </c>
      <c r="M1665" s="3"/>
    </row>
    <row r="1666" spans="1:13" x14ac:dyDescent="0.3">
      <c r="A1666" s="2">
        <v>1665</v>
      </c>
      <c r="B1666" s="2" t="s">
        <v>4871</v>
      </c>
      <c r="C1666" s="2" t="s">
        <v>2326</v>
      </c>
      <c r="D1666" s="2" t="s">
        <v>51</v>
      </c>
      <c r="E1666" s="2" t="s">
        <v>16</v>
      </c>
      <c r="F1666" s="2">
        <v>90</v>
      </c>
      <c r="G1666" s="2" t="s">
        <v>4872</v>
      </c>
      <c r="H1666" s="2" t="s">
        <v>3551</v>
      </c>
      <c r="I1666" s="2" t="s">
        <v>32</v>
      </c>
      <c r="J1666" s="3">
        <v>43951</v>
      </c>
      <c r="K1666" s="2">
        <v>46</v>
      </c>
      <c r="L1666" s="2" t="s">
        <v>159</v>
      </c>
      <c r="M1666" s="3"/>
    </row>
    <row r="1667" spans="1:13" x14ac:dyDescent="0.3">
      <c r="A1667" s="2">
        <v>1666</v>
      </c>
      <c r="B1667" s="2" t="s">
        <v>4554</v>
      </c>
      <c r="C1667" s="2" t="s">
        <v>816</v>
      </c>
      <c r="D1667" s="2" t="s">
        <v>15</v>
      </c>
      <c r="E1667" s="2" t="s">
        <v>16</v>
      </c>
      <c r="F1667" s="2">
        <v>90</v>
      </c>
      <c r="G1667" s="2" t="s">
        <v>4873</v>
      </c>
      <c r="H1667" s="2" t="s">
        <v>4874</v>
      </c>
      <c r="I1667" s="2" t="s">
        <v>32</v>
      </c>
      <c r="J1667" s="3">
        <v>44453</v>
      </c>
      <c r="K1667" s="2">
        <v>5</v>
      </c>
      <c r="L1667" s="2" t="s">
        <v>20</v>
      </c>
      <c r="M1667" s="3"/>
    </row>
    <row r="1668" spans="1:13" x14ac:dyDescent="0.3">
      <c r="A1668" s="2">
        <v>1667</v>
      </c>
      <c r="B1668" s="2" t="s">
        <v>4875</v>
      </c>
      <c r="C1668" s="2" t="s">
        <v>4876</v>
      </c>
      <c r="D1668" s="2" t="s">
        <v>28</v>
      </c>
      <c r="E1668" s="2" t="s">
        <v>29</v>
      </c>
      <c r="F1668" s="2">
        <v>90</v>
      </c>
      <c r="G1668" s="2" t="s">
        <v>4877</v>
      </c>
      <c r="H1668" s="2" t="s">
        <v>4878</v>
      </c>
      <c r="I1668" s="2" t="s">
        <v>187</v>
      </c>
      <c r="J1668" s="3">
        <v>44825</v>
      </c>
      <c r="K1668" s="2">
        <v>22</v>
      </c>
      <c r="L1668" s="2" t="s">
        <v>101</v>
      </c>
      <c r="M1668" s="3"/>
    </row>
    <row r="1669" spans="1:13" x14ac:dyDescent="0.3">
      <c r="A1669" s="2">
        <v>1668</v>
      </c>
      <c r="B1669" s="2" t="s">
        <v>4879</v>
      </c>
      <c r="C1669" s="2" t="s">
        <v>4880</v>
      </c>
      <c r="D1669" s="2" t="s">
        <v>15</v>
      </c>
      <c r="E1669" s="2" t="s">
        <v>16</v>
      </c>
      <c r="F1669" s="2">
        <v>90</v>
      </c>
      <c r="G1669" s="2" t="s">
        <v>4881</v>
      </c>
      <c r="H1669" s="2" t="s">
        <v>4882</v>
      </c>
      <c r="I1669" s="2" t="s">
        <v>146</v>
      </c>
      <c r="J1669" s="3">
        <v>44473</v>
      </c>
      <c r="K1669" s="2">
        <v>45</v>
      </c>
      <c r="L1669" s="2" t="s">
        <v>159</v>
      </c>
      <c r="M1669" s="3"/>
    </row>
    <row r="1670" spans="1:13" x14ac:dyDescent="0.3">
      <c r="A1670" s="2">
        <v>1669</v>
      </c>
      <c r="B1670" s="2" t="s">
        <v>1208</v>
      </c>
      <c r="C1670" s="2" t="s">
        <v>422</v>
      </c>
      <c r="D1670" s="2" t="s">
        <v>28</v>
      </c>
      <c r="E1670" s="2" t="s">
        <v>29</v>
      </c>
      <c r="F1670" s="2">
        <v>90</v>
      </c>
      <c r="G1670" s="2" t="s">
        <v>4883</v>
      </c>
      <c r="H1670" s="2" t="s">
        <v>806</v>
      </c>
      <c r="I1670" s="2" t="s">
        <v>178</v>
      </c>
      <c r="J1670" s="3">
        <v>44480</v>
      </c>
      <c r="K1670" s="2">
        <v>78</v>
      </c>
      <c r="L1670" s="2" t="s">
        <v>64</v>
      </c>
      <c r="M1670" s="3"/>
    </row>
    <row r="1671" spans="1:13" x14ac:dyDescent="0.3">
      <c r="A1671" s="2">
        <v>1670</v>
      </c>
      <c r="B1671" s="2" t="s">
        <v>4884</v>
      </c>
      <c r="C1671" s="2" t="s">
        <v>4664</v>
      </c>
      <c r="D1671" s="2" t="s">
        <v>51</v>
      </c>
      <c r="E1671" s="2" t="s">
        <v>16</v>
      </c>
      <c r="F1671" s="2">
        <v>60</v>
      </c>
      <c r="G1671" s="2" t="s">
        <v>4885</v>
      </c>
      <c r="H1671" s="2" t="s">
        <v>4886</v>
      </c>
      <c r="I1671" s="2" t="s">
        <v>32</v>
      </c>
      <c r="J1671" s="3">
        <v>44653</v>
      </c>
      <c r="K1671" s="2">
        <v>84</v>
      </c>
      <c r="L1671" s="2" t="s">
        <v>54</v>
      </c>
      <c r="M1671" s="3"/>
    </row>
    <row r="1672" spans="1:13" x14ac:dyDescent="0.3">
      <c r="A1672" s="2">
        <v>1671</v>
      </c>
      <c r="B1672" s="2" t="s">
        <v>1922</v>
      </c>
      <c r="C1672" s="2" t="s">
        <v>4261</v>
      </c>
      <c r="D1672" s="2" t="s">
        <v>51</v>
      </c>
      <c r="E1672" s="2" t="s">
        <v>16</v>
      </c>
      <c r="F1672" s="2">
        <v>90</v>
      </c>
      <c r="G1672" s="2" t="s">
        <v>4887</v>
      </c>
      <c r="H1672" s="2" t="s">
        <v>3365</v>
      </c>
      <c r="I1672" s="2" t="s">
        <v>146</v>
      </c>
      <c r="J1672" s="3">
        <v>44468</v>
      </c>
      <c r="K1672" s="2">
        <v>42</v>
      </c>
      <c r="L1672" s="2" t="s">
        <v>101</v>
      </c>
      <c r="M1672" s="3"/>
    </row>
    <row r="1673" spans="1:13" x14ac:dyDescent="0.3">
      <c r="A1673" s="2">
        <v>1672</v>
      </c>
      <c r="B1673" s="2" t="s">
        <v>1234</v>
      </c>
      <c r="C1673" s="2" t="s">
        <v>2823</v>
      </c>
      <c r="D1673" s="2" t="s">
        <v>28</v>
      </c>
      <c r="E1673" s="2" t="s">
        <v>29</v>
      </c>
      <c r="F1673" s="2">
        <v>30</v>
      </c>
      <c r="G1673" s="2" t="s">
        <v>4888</v>
      </c>
      <c r="H1673" s="2" t="s">
        <v>4889</v>
      </c>
      <c r="I1673" s="2" t="s">
        <v>110</v>
      </c>
      <c r="J1673" s="3">
        <v>44126</v>
      </c>
      <c r="K1673" s="2">
        <v>62</v>
      </c>
      <c r="L1673" s="2" t="s">
        <v>20</v>
      </c>
      <c r="M1673" s="3"/>
    </row>
    <row r="1674" spans="1:13" x14ac:dyDescent="0.3">
      <c r="A1674" s="2">
        <v>1673</v>
      </c>
      <c r="B1674" s="2" t="s">
        <v>204</v>
      </c>
      <c r="C1674" s="2" t="s">
        <v>1461</v>
      </c>
      <c r="D1674" s="2" t="s">
        <v>28</v>
      </c>
      <c r="E1674" s="2" t="s">
        <v>29</v>
      </c>
      <c r="F1674" s="2">
        <v>90</v>
      </c>
      <c r="G1674" s="2" t="s">
        <v>4890</v>
      </c>
      <c r="H1674" s="2" t="s">
        <v>2516</v>
      </c>
      <c r="I1674" s="2" t="s">
        <v>32</v>
      </c>
      <c r="J1674" s="3">
        <v>44114</v>
      </c>
      <c r="K1674" s="2">
        <v>18</v>
      </c>
      <c r="L1674" s="2" t="s">
        <v>159</v>
      </c>
      <c r="M1674" s="3"/>
    </row>
    <row r="1675" spans="1:13" x14ac:dyDescent="0.3">
      <c r="A1675" s="2">
        <v>1674</v>
      </c>
      <c r="B1675" s="2" t="s">
        <v>4891</v>
      </c>
      <c r="C1675" s="2" t="s">
        <v>4892</v>
      </c>
      <c r="D1675" s="2" t="s">
        <v>15</v>
      </c>
      <c r="E1675" s="2" t="s">
        <v>16</v>
      </c>
      <c r="F1675" s="2">
        <v>30</v>
      </c>
      <c r="G1675" s="2" t="s">
        <v>4893</v>
      </c>
      <c r="H1675" s="2" t="s">
        <v>1295</v>
      </c>
      <c r="I1675" s="2" t="s">
        <v>32</v>
      </c>
      <c r="J1675" s="3">
        <v>44322</v>
      </c>
      <c r="K1675" s="2">
        <v>70</v>
      </c>
      <c r="L1675" s="2" t="s">
        <v>54</v>
      </c>
      <c r="M1675" s="3"/>
    </row>
    <row r="1676" spans="1:13" x14ac:dyDescent="0.3">
      <c r="A1676" s="2">
        <v>1675</v>
      </c>
      <c r="B1676" s="2" t="s">
        <v>4894</v>
      </c>
      <c r="C1676" s="2" t="s">
        <v>1170</v>
      </c>
      <c r="D1676" s="2" t="s">
        <v>41</v>
      </c>
      <c r="E1676" s="2" t="s">
        <v>16</v>
      </c>
      <c r="F1676" s="2">
        <v>60</v>
      </c>
      <c r="G1676" s="2" t="s">
        <v>4895</v>
      </c>
      <c r="H1676" s="2" t="s">
        <v>3531</v>
      </c>
      <c r="I1676" s="2" t="s">
        <v>32</v>
      </c>
      <c r="J1676" s="3">
        <v>44538</v>
      </c>
      <c r="K1676" s="2">
        <v>81</v>
      </c>
      <c r="L1676" s="2" t="s">
        <v>80</v>
      </c>
      <c r="M1676" s="3"/>
    </row>
    <row r="1677" spans="1:13" x14ac:dyDescent="0.3">
      <c r="A1677" s="2">
        <v>1676</v>
      </c>
      <c r="B1677" s="2" t="s">
        <v>1200</v>
      </c>
      <c r="C1677" s="2" t="s">
        <v>1950</v>
      </c>
      <c r="D1677" s="2" t="s">
        <v>28</v>
      </c>
      <c r="E1677" s="2" t="s">
        <v>29</v>
      </c>
      <c r="F1677" s="2">
        <v>60</v>
      </c>
      <c r="G1677" s="2" t="s">
        <v>4896</v>
      </c>
      <c r="H1677" s="2" t="s">
        <v>4266</v>
      </c>
      <c r="I1677" s="2" t="s">
        <v>25</v>
      </c>
      <c r="J1677" s="3">
        <v>43937</v>
      </c>
      <c r="K1677" s="2">
        <v>70</v>
      </c>
      <c r="L1677" s="2" t="s">
        <v>159</v>
      </c>
      <c r="M1677" s="3"/>
    </row>
    <row r="1678" spans="1:13" x14ac:dyDescent="0.3">
      <c r="A1678" s="2">
        <v>1677</v>
      </c>
      <c r="B1678" s="2" t="s">
        <v>4897</v>
      </c>
      <c r="C1678" s="2" t="s">
        <v>189</v>
      </c>
      <c r="D1678" s="2" t="s">
        <v>28</v>
      </c>
      <c r="E1678" s="2" t="s">
        <v>29</v>
      </c>
      <c r="F1678" s="2">
        <v>30</v>
      </c>
      <c r="G1678" s="2" t="s">
        <v>4898</v>
      </c>
      <c r="H1678" s="2" t="s">
        <v>4899</v>
      </c>
      <c r="I1678" s="2" t="s">
        <v>100</v>
      </c>
      <c r="J1678" s="3">
        <v>44165</v>
      </c>
      <c r="K1678" s="2">
        <v>23</v>
      </c>
      <c r="L1678" s="2" t="s">
        <v>39</v>
      </c>
      <c r="M1678" s="3"/>
    </row>
    <row r="1679" spans="1:13" x14ac:dyDescent="0.3">
      <c r="A1679" s="2">
        <v>1678</v>
      </c>
      <c r="B1679" s="2" t="s">
        <v>2268</v>
      </c>
      <c r="C1679" s="2" t="s">
        <v>1204</v>
      </c>
      <c r="D1679" s="2" t="s">
        <v>15</v>
      </c>
      <c r="E1679" s="2" t="s">
        <v>16</v>
      </c>
      <c r="F1679" s="2">
        <v>90</v>
      </c>
      <c r="G1679" s="2" t="s">
        <v>4900</v>
      </c>
      <c r="H1679" s="2" t="s">
        <v>3261</v>
      </c>
      <c r="I1679" s="2" t="s">
        <v>124</v>
      </c>
      <c r="J1679" s="3">
        <v>44853</v>
      </c>
      <c r="K1679" s="2">
        <v>66</v>
      </c>
      <c r="L1679" s="2" t="s">
        <v>33</v>
      </c>
      <c r="M1679" s="3"/>
    </row>
    <row r="1680" spans="1:13" x14ac:dyDescent="0.3">
      <c r="A1680" s="2">
        <v>1679</v>
      </c>
      <c r="B1680" s="2" t="s">
        <v>731</v>
      </c>
      <c r="C1680" s="2" t="s">
        <v>3676</v>
      </c>
      <c r="D1680" s="2" t="s">
        <v>28</v>
      </c>
      <c r="E1680" s="2" t="s">
        <v>29</v>
      </c>
      <c r="F1680" s="2">
        <v>30</v>
      </c>
      <c r="G1680" s="2" t="s">
        <v>4900</v>
      </c>
      <c r="H1680" s="2" t="s">
        <v>4901</v>
      </c>
      <c r="I1680" s="2" t="s">
        <v>32</v>
      </c>
      <c r="J1680" s="3">
        <v>43896</v>
      </c>
      <c r="K1680" s="2">
        <v>84</v>
      </c>
      <c r="L1680" s="2" t="s">
        <v>101</v>
      </c>
      <c r="M1680" s="3"/>
    </row>
    <row r="1681" spans="1:13" x14ac:dyDescent="0.3">
      <c r="A1681" s="2">
        <v>1680</v>
      </c>
      <c r="B1681" s="2" t="s">
        <v>4902</v>
      </c>
      <c r="C1681" s="2" t="s">
        <v>4903</v>
      </c>
      <c r="D1681" s="2" t="s">
        <v>15</v>
      </c>
      <c r="E1681" s="2" t="s">
        <v>16</v>
      </c>
      <c r="F1681" s="2">
        <v>30</v>
      </c>
      <c r="G1681" s="2" t="s">
        <v>4904</v>
      </c>
      <c r="H1681" s="2" t="s">
        <v>1463</v>
      </c>
      <c r="I1681" s="2" t="s">
        <v>19</v>
      </c>
      <c r="J1681" s="3">
        <v>44388</v>
      </c>
      <c r="K1681" s="2">
        <v>10</v>
      </c>
      <c r="L1681" s="2" t="s">
        <v>54</v>
      </c>
      <c r="M1681" s="3"/>
    </row>
    <row r="1682" spans="1:13" x14ac:dyDescent="0.3">
      <c r="A1682" s="2">
        <v>1681</v>
      </c>
      <c r="B1682" s="2" t="s">
        <v>4905</v>
      </c>
      <c r="C1682" s="2" t="s">
        <v>2690</v>
      </c>
      <c r="D1682" s="2" t="s">
        <v>28</v>
      </c>
      <c r="E1682" s="2" t="s">
        <v>29</v>
      </c>
      <c r="F1682" s="2">
        <v>90</v>
      </c>
      <c r="G1682" s="2" t="s">
        <v>4904</v>
      </c>
      <c r="H1682" s="2" t="s">
        <v>1965</v>
      </c>
      <c r="I1682" s="2" t="s">
        <v>32</v>
      </c>
      <c r="J1682" s="3">
        <v>44123</v>
      </c>
      <c r="K1682" s="2">
        <v>74</v>
      </c>
      <c r="L1682" s="2" t="s">
        <v>33</v>
      </c>
      <c r="M1682" s="3"/>
    </row>
    <row r="1683" spans="1:13" x14ac:dyDescent="0.3">
      <c r="A1683" s="2">
        <v>1682</v>
      </c>
      <c r="B1683" s="2" t="s">
        <v>4906</v>
      </c>
      <c r="C1683" s="2" t="s">
        <v>892</v>
      </c>
      <c r="D1683" s="2" t="s">
        <v>51</v>
      </c>
      <c r="E1683" s="2" t="s">
        <v>16</v>
      </c>
      <c r="F1683" s="2">
        <v>60</v>
      </c>
      <c r="G1683" s="2" t="s">
        <v>4907</v>
      </c>
      <c r="H1683" s="2" t="s">
        <v>1632</v>
      </c>
      <c r="I1683" s="2" t="s">
        <v>32</v>
      </c>
      <c r="J1683" s="3">
        <v>44333</v>
      </c>
      <c r="K1683" s="2">
        <v>8</v>
      </c>
      <c r="L1683" s="2" t="s">
        <v>70</v>
      </c>
      <c r="M1683" s="3"/>
    </row>
    <row r="1684" spans="1:13" x14ac:dyDescent="0.3">
      <c r="A1684" s="2">
        <v>1683</v>
      </c>
      <c r="B1684" s="2" t="s">
        <v>3089</v>
      </c>
      <c r="C1684" s="2" t="s">
        <v>2715</v>
      </c>
      <c r="D1684" s="2" t="s">
        <v>28</v>
      </c>
      <c r="E1684" s="2" t="s">
        <v>29</v>
      </c>
      <c r="F1684" s="2">
        <v>90</v>
      </c>
      <c r="G1684" s="2" t="s">
        <v>4908</v>
      </c>
      <c r="H1684" s="2" t="s">
        <v>917</v>
      </c>
      <c r="I1684" s="2" t="s">
        <v>32</v>
      </c>
      <c r="J1684" s="3">
        <v>44644</v>
      </c>
      <c r="K1684" s="2">
        <v>71</v>
      </c>
      <c r="L1684" s="2" t="s">
        <v>33</v>
      </c>
      <c r="M1684" s="3"/>
    </row>
    <row r="1685" spans="1:13" x14ac:dyDescent="0.3">
      <c r="A1685" s="2">
        <v>1684</v>
      </c>
      <c r="B1685" s="2" t="s">
        <v>4909</v>
      </c>
      <c r="C1685" s="2" t="s">
        <v>3824</v>
      </c>
      <c r="D1685" s="2" t="s">
        <v>15</v>
      </c>
      <c r="E1685" s="2" t="s">
        <v>16</v>
      </c>
      <c r="F1685" s="2">
        <v>30</v>
      </c>
      <c r="G1685" s="2" t="s">
        <v>4910</v>
      </c>
      <c r="H1685" s="2" t="s">
        <v>4911</v>
      </c>
      <c r="I1685" s="2" t="s">
        <v>95</v>
      </c>
      <c r="J1685" s="3">
        <v>43880</v>
      </c>
      <c r="K1685" s="2">
        <v>48</v>
      </c>
      <c r="L1685" s="2" t="s">
        <v>159</v>
      </c>
      <c r="M1685" s="3"/>
    </row>
    <row r="1686" spans="1:13" x14ac:dyDescent="0.3">
      <c r="A1686" s="2">
        <v>1685</v>
      </c>
      <c r="B1686" s="2" t="s">
        <v>4652</v>
      </c>
      <c r="C1686" s="2" t="s">
        <v>1918</v>
      </c>
      <c r="D1686" s="2" t="s">
        <v>28</v>
      </c>
      <c r="E1686" s="2" t="s">
        <v>29</v>
      </c>
      <c r="F1686" s="2">
        <v>30</v>
      </c>
      <c r="G1686" s="2" t="s">
        <v>4910</v>
      </c>
      <c r="H1686" s="2" t="s">
        <v>545</v>
      </c>
      <c r="I1686" s="2" t="s">
        <v>173</v>
      </c>
      <c r="J1686" s="3">
        <v>44382</v>
      </c>
      <c r="K1686" s="2">
        <v>7</v>
      </c>
      <c r="L1686" s="2" t="s">
        <v>39</v>
      </c>
      <c r="M1686" s="3"/>
    </row>
    <row r="1687" spans="1:13" x14ac:dyDescent="0.3">
      <c r="A1687" s="2">
        <v>1686</v>
      </c>
      <c r="B1687" s="2" t="s">
        <v>4912</v>
      </c>
      <c r="C1687" s="2" t="s">
        <v>4913</v>
      </c>
      <c r="D1687" s="2" t="s">
        <v>15</v>
      </c>
      <c r="E1687" s="2" t="s">
        <v>16</v>
      </c>
      <c r="F1687" s="2">
        <v>30</v>
      </c>
      <c r="G1687" s="2" t="s">
        <v>4914</v>
      </c>
      <c r="H1687" s="2" t="s">
        <v>4915</v>
      </c>
      <c r="I1687" s="2" t="s">
        <v>32</v>
      </c>
      <c r="J1687" s="3">
        <v>44192</v>
      </c>
      <c r="K1687" s="2">
        <v>61</v>
      </c>
      <c r="L1687" s="2" t="s">
        <v>20</v>
      </c>
      <c r="M1687" s="3"/>
    </row>
    <row r="1688" spans="1:13" x14ac:dyDescent="0.3">
      <c r="A1688" s="2">
        <v>1687</v>
      </c>
      <c r="B1688" s="2" t="s">
        <v>4916</v>
      </c>
      <c r="C1688" s="2" t="s">
        <v>4917</v>
      </c>
      <c r="D1688" s="2" t="s">
        <v>28</v>
      </c>
      <c r="E1688" s="2" t="s">
        <v>29</v>
      </c>
      <c r="F1688" s="2">
        <v>90</v>
      </c>
      <c r="G1688" s="2" t="s">
        <v>4918</v>
      </c>
      <c r="H1688" s="2" t="s">
        <v>4919</v>
      </c>
      <c r="I1688" s="2" t="s">
        <v>303</v>
      </c>
      <c r="J1688" s="3">
        <v>44021</v>
      </c>
      <c r="K1688" s="2">
        <v>31</v>
      </c>
      <c r="L1688" s="2" t="s">
        <v>101</v>
      </c>
      <c r="M1688" s="3"/>
    </row>
    <row r="1689" spans="1:13" x14ac:dyDescent="0.3">
      <c r="A1689" s="2">
        <v>1688</v>
      </c>
      <c r="B1689" s="2" t="s">
        <v>4920</v>
      </c>
      <c r="C1689" s="2" t="s">
        <v>3330</v>
      </c>
      <c r="D1689" s="2" t="s">
        <v>15</v>
      </c>
      <c r="E1689" s="2" t="s">
        <v>16</v>
      </c>
      <c r="F1689" s="2">
        <v>90</v>
      </c>
      <c r="G1689" s="2" t="s">
        <v>4921</v>
      </c>
      <c r="H1689" s="2" t="s">
        <v>3695</v>
      </c>
      <c r="I1689" s="2" t="s">
        <v>173</v>
      </c>
      <c r="J1689" s="3">
        <v>44386</v>
      </c>
      <c r="K1689" s="2">
        <v>76</v>
      </c>
      <c r="L1689" s="2" t="s">
        <v>39</v>
      </c>
      <c r="M1689" s="3"/>
    </row>
    <row r="1690" spans="1:13" x14ac:dyDescent="0.3">
      <c r="A1690" s="2">
        <v>1689</v>
      </c>
      <c r="B1690" s="2" t="s">
        <v>4922</v>
      </c>
      <c r="C1690" s="2" t="s">
        <v>3338</v>
      </c>
      <c r="D1690" s="2" t="s">
        <v>51</v>
      </c>
      <c r="E1690" s="2" t="s">
        <v>16</v>
      </c>
      <c r="F1690" s="2">
        <v>60</v>
      </c>
      <c r="G1690" s="2" t="s">
        <v>4923</v>
      </c>
      <c r="H1690" s="2" t="s">
        <v>4924</v>
      </c>
      <c r="I1690" s="2" t="s">
        <v>32</v>
      </c>
      <c r="J1690" s="3">
        <v>44494</v>
      </c>
      <c r="K1690" s="2">
        <v>6</v>
      </c>
      <c r="L1690" s="2" t="s">
        <v>64</v>
      </c>
      <c r="M1690" s="3"/>
    </row>
    <row r="1691" spans="1:13" x14ac:dyDescent="0.3">
      <c r="A1691" s="2">
        <v>1690</v>
      </c>
      <c r="B1691" s="2" t="s">
        <v>4250</v>
      </c>
      <c r="C1691" s="2" t="s">
        <v>2148</v>
      </c>
      <c r="D1691" s="2" t="s">
        <v>28</v>
      </c>
      <c r="E1691" s="2" t="s">
        <v>29</v>
      </c>
      <c r="F1691" s="2">
        <v>30</v>
      </c>
      <c r="G1691" s="2" t="s">
        <v>4925</v>
      </c>
      <c r="H1691" s="2" t="s">
        <v>199</v>
      </c>
      <c r="I1691" s="2" t="s">
        <v>32</v>
      </c>
      <c r="J1691" s="3">
        <v>44908</v>
      </c>
      <c r="K1691" s="2">
        <v>37</v>
      </c>
      <c r="L1691" s="2" t="s">
        <v>80</v>
      </c>
      <c r="M1691" s="3"/>
    </row>
    <row r="1692" spans="1:13" x14ac:dyDescent="0.3">
      <c r="A1692" s="2">
        <v>1691</v>
      </c>
      <c r="B1692" s="2" t="s">
        <v>4926</v>
      </c>
      <c r="C1692" s="2" t="s">
        <v>4927</v>
      </c>
      <c r="D1692" s="2" t="s">
        <v>15</v>
      </c>
      <c r="E1692" s="2" t="s">
        <v>16</v>
      </c>
      <c r="F1692" s="2">
        <v>90</v>
      </c>
      <c r="G1692" s="2" t="s">
        <v>4928</v>
      </c>
      <c r="H1692" s="2" t="s">
        <v>3387</v>
      </c>
      <c r="I1692" s="2" t="s">
        <v>2878</v>
      </c>
      <c r="J1692" s="3">
        <v>44367</v>
      </c>
      <c r="K1692" s="2">
        <v>14</v>
      </c>
      <c r="L1692" s="2" t="s">
        <v>70</v>
      </c>
      <c r="M1692" s="3"/>
    </row>
    <row r="1693" spans="1:13" x14ac:dyDescent="0.3">
      <c r="A1693" s="2">
        <v>1692</v>
      </c>
      <c r="B1693" s="2" t="s">
        <v>4929</v>
      </c>
      <c r="C1693" s="2" t="s">
        <v>832</v>
      </c>
      <c r="D1693" s="2" t="s">
        <v>15</v>
      </c>
      <c r="E1693" s="2" t="s">
        <v>16</v>
      </c>
      <c r="F1693" s="2">
        <v>90</v>
      </c>
      <c r="G1693" s="2" t="s">
        <v>4930</v>
      </c>
      <c r="H1693" s="2" t="s">
        <v>1077</v>
      </c>
      <c r="I1693" s="2" t="s">
        <v>1078</v>
      </c>
      <c r="J1693" s="3">
        <v>44828</v>
      </c>
      <c r="K1693" s="2">
        <v>65</v>
      </c>
      <c r="L1693" s="2" t="s">
        <v>159</v>
      </c>
      <c r="M1693" s="3"/>
    </row>
    <row r="1694" spans="1:13" x14ac:dyDescent="0.3">
      <c r="A1694" s="2">
        <v>1693</v>
      </c>
      <c r="B1694" s="2" t="s">
        <v>2292</v>
      </c>
      <c r="C1694" s="2" t="s">
        <v>2977</v>
      </c>
      <c r="D1694" s="2" t="s">
        <v>117</v>
      </c>
      <c r="E1694" s="2" t="s">
        <v>29</v>
      </c>
      <c r="F1694" s="2">
        <v>90</v>
      </c>
      <c r="G1694" s="2" t="s">
        <v>4931</v>
      </c>
      <c r="H1694" s="2" t="s">
        <v>4932</v>
      </c>
      <c r="I1694" s="2" t="s">
        <v>38</v>
      </c>
      <c r="J1694" s="3">
        <v>44623</v>
      </c>
      <c r="K1694" s="2">
        <v>55</v>
      </c>
      <c r="L1694" s="2" t="s">
        <v>45</v>
      </c>
      <c r="M1694" s="3"/>
    </row>
    <row r="1695" spans="1:13" x14ac:dyDescent="0.3">
      <c r="A1695" s="2">
        <v>1694</v>
      </c>
      <c r="B1695" s="2" t="s">
        <v>721</v>
      </c>
      <c r="C1695" s="2" t="s">
        <v>4933</v>
      </c>
      <c r="D1695" s="2" t="s">
        <v>28</v>
      </c>
      <c r="E1695" s="2" t="s">
        <v>29</v>
      </c>
      <c r="F1695" s="2">
        <v>30</v>
      </c>
      <c r="G1695" s="2" t="s">
        <v>4934</v>
      </c>
      <c r="H1695" s="2" t="s">
        <v>4935</v>
      </c>
      <c r="I1695" s="2" t="s">
        <v>124</v>
      </c>
      <c r="J1695" s="3">
        <v>43860</v>
      </c>
      <c r="K1695" s="2">
        <v>78</v>
      </c>
      <c r="L1695" s="2" t="s">
        <v>33</v>
      </c>
      <c r="M1695" s="3"/>
    </row>
    <row r="1696" spans="1:13" x14ac:dyDescent="0.3">
      <c r="A1696" s="2">
        <v>1695</v>
      </c>
      <c r="B1696" s="2" t="s">
        <v>4936</v>
      </c>
      <c r="C1696" s="2" t="s">
        <v>3109</v>
      </c>
      <c r="D1696" s="2" t="s">
        <v>28</v>
      </c>
      <c r="E1696" s="2" t="s">
        <v>29</v>
      </c>
      <c r="F1696" s="2">
        <v>60</v>
      </c>
      <c r="G1696" s="2" t="s">
        <v>4937</v>
      </c>
      <c r="H1696" s="2" t="s">
        <v>4938</v>
      </c>
      <c r="I1696" s="2" t="s">
        <v>32</v>
      </c>
      <c r="J1696" s="3">
        <v>44381</v>
      </c>
      <c r="K1696" s="2">
        <v>92</v>
      </c>
      <c r="L1696" s="2" t="s">
        <v>33</v>
      </c>
      <c r="M1696" s="3"/>
    </row>
    <row r="1697" spans="1:13" x14ac:dyDescent="0.3">
      <c r="A1697" s="2">
        <v>1696</v>
      </c>
      <c r="B1697" s="2" t="s">
        <v>4939</v>
      </c>
      <c r="C1697" s="2" t="s">
        <v>1282</v>
      </c>
      <c r="D1697" s="2" t="s">
        <v>28</v>
      </c>
      <c r="E1697" s="2" t="s">
        <v>29</v>
      </c>
      <c r="F1697" s="2">
        <v>30</v>
      </c>
      <c r="G1697" s="2" t="s">
        <v>4940</v>
      </c>
      <c r="H1697" s="2" t="s">
        <v>4941</v>
      </c>
      <c r="I1697" s="2" t="s">
        <v>32</v>
      </c>
      <c r="J1697" s="3">
        <v>44915</v>
      </c>
      <c r="K1697" s="2">
        <v>88</v>
      </c>
      <c r="L1697" s="2" t="s">
        <v>80</v>
      </c>
      <c r="M1697" s="3"/>
    </row>
    <row r="1698" spans="1:13" x14ac:dyDescent="0.3">
      <c r="A1698" s="2">
        <v>1697</v>
      </c>
      <c r="B1698" s="2" t="s">
        <v>4942</v>
      </c>
      <c r="C1698" s="2" t="s">
        <v>1406</v>
      </c>
      <c r="D1698" s="2" t="s">
        <v>41</v>
      </c>
      <c r="E1698" s="2" t="s">
        <v>16</v>
      </c>
      <c r="F1698" s="2">
        <v>60</v>
      </c>
      <c r="G1698" s="2" t="s">
        <v>4943</v>
      </c>
      <c r="H1698" s="2" t="s">
        <v>4944</v>
      </c>
      <c r="I1698" s="2" t="s">
        <v>839</v>
      </c>
      <c r="J1698" s="3">
        <v>44691</v>
      </c>
      <c r="K1698" s="2">
        <v>99</v>
      </c>
      <c r="L1698" s="2" t="s">
        <v>20</v>
      </c>
      <c r="M1698" s="3"/>
    </row>
    <row r="1699" spans="1:13" x14ac:dyDescent="0.3">
      <c r="A1699" s="2">
        <v>1698</v>
      </c>
      <c r="B1699" s="2" t="s">
        <v>1672</v>
      </c>
      <c r="C1699" s="2" t="s">
        <v>499</v>
      </c>
      <c r="D1699" s="2" t="s">
        <v>28</v>
      </c>
      <c r="E1699" s="2" t="s">
        <v>29</v>
      </c>
      <c r="F1699" s="2">
        <v>90</v>
      </c>
      <c r="G1699" s="2" t="s">
        <v>4945</v>
      </c>
      <c r="H1699" s="2" t="s">
        <v>720</v>
      </c>
      <c r="I1699" s="2" t="s">
        <v>686</v>
      </c>
      <c r="J1699" s="3">
        <v>44444</v>
      </c>
      <c r="K1699" s="2">
        <v>68</v>
      </c>
      <c r="L1699" s="2" t="s">
        <v>20</v>
      </c>
      <c r="M1699" s="3"/>
    </row>
    <row r="1700" spans="1:13" x14ac:dyDescent="0.3">
      <c r="A1700" s="2">
        <v>1699</v>
      </c>
      <c r="B1700" s="2" t="s">
        <v>1881</v>
      </c>
      <c r="C1700" s="2" t="s">
        <v>4946</v>
      </c>
      <c r="D1700" s="2" t="s">
        <v>28</v>
      </c>
      <c r="E1700" s="2" t="s">
        <v>29</v>
      </c>
      <c r="F1700" s="2">
        <v>90</v>
      </c>
      <c r="G1700" s="2" t="s">
        <v>4945</v>
      </c>
      <c r="H1700" s="2" t="s">
        <v>4947</v>
      </c>
      <c r="I1700" s="2" t="s">
        <v>32</v>
      </c>
      <c r="J1700" s="3">
        <v>44596</v>
      </c>
      <c r="K1700" s="2">
        <v>75</v>
      </c>
      <c r="L1700" s="2" t="s">
        <v>64</v>
      </c>
      <c r="M1700" s="3"/>
    </row>
    <row r="1701" spans="1:13" x14ac:dyDescent="0.3">
      <c r="A1701" s="2">
        <v>1700</v>
      </c>
      <c r="B1701" s="2" t="s">
        <v>4948</v>
      </c>
      <c r="C1701" s="2" t="s">
        <v>4949</v>
      </c>
      <c r="D1701" s="2" t="s">
        <v>15</v>
      </c>
      <c r="E1701" s="2" t="s">
        <v>16</v>
      </c>
      <c r="F1701" s="2">
        <v>90</v>
      </c>
      <c r="G1701" s="2" t="s">
        <v>4950</v>
      </c>
      <c r="H1701" s="2" t="s">
        <v>3699</v>
      </c>
      <c r="I1701" s="2" t="s">
        <v>2983</v>
      </c>
      <c r="J1701" s="3">
        <v>44313</v>
      </c>
      <c r="K1701" s="2">
        <v>95</v>
      </c>
      <c r="L1701" s="2" t="s">
        <v>70</v>
      </c>
      <c r="M1701" s="3"/>
    </row>
    <row r="1702" spans="1:13" x14ac:dyDescent="0.3">
      <c r="A1702" s="2">
        <v>1701</v>
      </c>
      <c r="B1702" s="2" t="s">
        <v>4951</v>
      </c>
      <c r="C1702" s="2" t="s">
        <v>26</v>
      </c>
      <c r="D1702" s="2" t="s">
        <v>15</v>
      </c>
      <c r="E1702" s="2" t="s">
        <v>16</v>
      </c>
      <c r="F1702" s="2">
        <v>90</v>
      </c>
      <c r="G1702" s="2" t="s">
        <v>4952</v>
      </c>
      <c r="H1702" s="2" t="s">
        <v>806</v>
      </c>
      <c r="I1702" s="2" t="s">
        <v>178</v>
      </c>
      <c r="J1702" s="3">
        <v>44847</v>
      </c>
      <c r="K1702" s="2">
        <v>72</v>
      </c>
      <c r="L1702" s="2" t="s">
        <v>45</v>
      </c>
      <c r="M1702" s="3"/>
    </row>
    <row r="1703" spans="1:13" x14ac:dyDescent="0.3">
      <c r="A1703" s="2">
        <v>1702</v>
      </c>
      <c r="B1703" s="2" t="s">
        <v>4953</v>
      </c>
      <c r="C1703" s="2" t="s">
        <v>4596</v>
      </c>
      <c r="D1703" s="2" t="s">
        <v>15</v>
      </c>
      <c r="E1703" s="2" t="s">
        <v>16</v>
      </c>
      <c r="F1703" s="2">
        <v>60</v>
      </c>
      <c r="G1703" s="2" t="s">
        <v>4954</v>
      </c>
      <c r="H1703" s="2" t="s">
        <v>4955</v>
      </c>
      <c r="I1703" s="2" t="s">
        <v>645</v>
      </c>
      <c r="J1703" s="3">
        <v>44901</v>
      </c>
      <c r="K1703" s="2">
        <v>56</v>
      </c>
      <c r="L1703" s="2" t="s">
        <v>33</v>
      </c>
      <c r="M1703" s="3"/>
    </row>
    <row r="1704" spans="1:13" x14ac:dyDescent="0.3">
      <c r="A1704" s="2">
        <v>1703</v>
      </c>
      <c r="B1704" s="2" t="s">
        <v>2701</v>
      </c>
      <c r="C1704" s="2" t="s">
        <v>3350</v>
      </c>
      <c r="D1704" s="2" t="s">
        <v>28</v>
      </c>
      <c r="E1704" s="2" t="s">
        <v>29</v>
      </c>
      <c r="F1704" s="2">
        <v>90</v>
      </c>
      <c r="G1704" s="2" t="s">
        <v>4954</v>
      </c>
      <c r="H1704" s="2" t="s">
        <v>997</v>
      </c>
      <c r="I1704" s="2" t="s">
        <v>110</v>
      </c>
      <c r="J1704" s="3">
        <v>44179</v>
      </c>
      <c r="K1704" s="2">
        <v>53</v>
      </c>
      <c r="L1704" s="2" t="s">
        <v>39</v>
      </c>
      <c r="M1704" s="3"/>
    </row>
    <row r="1705" spans="1:13" x14ac:dyDescent="0.3">
      <c r="A1705" s="2">
        <v>1704</v>
      </c>
      <c r="B1705" s="2" t="s">
        <v>4956</v>
      </c>
      <c r="C1705" s="2" t="s">
        <v>2317</v>
      </c>
      <c r="D1705" s="2" t="s">
        <v>15</v>
      </c>
      <c r="E1705" s="2" t="s">
        <v>16</v>
      </c>
      <c r="F1705" s="2">
        <v>90</v>
      </c>
      <c r="G1705" s="2" t="s">
        <v>4957</v>
      </c>
      <c r="H1705" s="2" t="s">
        <v>4958</v>
      </c>
      <c r="I1705" s="2" t="s">
        <v>95</v>
      </c>
      <c r="J1705" s="3">
        <v>44775</v>
      </c>
      <c r="K1705" s="2">
        <v>103</v>
      </c>
      <c r="L1705" s="2" t="s">
        <v>159</v>
      </c>
      <c r="M1705" s="3"/>
    </row>
    <row r="1706" spans="1:13" x14ac:dyDescent="0.3">
      <c r="A1706" s="2">
        <v>1705</v>
      </c>
      <c r="B1706" s="2" t="s">
        <v>979</v>
      </c>
      <c r="C1706" s="2" t="s">
        <v>4168</v>
      </c>
      <c r="D1706" s="2" t="s">
        <v>28</v>
      </c>
      <c r="E1706" s="2" t="s">
        <v>29</v>
      </c>
      <c r="F1706" s="2">
        <v>30</v>
      </c>
      <c r="G1706" s="2" t="s">
        <v>4959</v>
      </c>
      <c r="H1706" s="2" t="s">
        <v>2506</v>
      </c>
      <c r="I1706" s="2" t="s">
        <v>32</v>
      </c>
      <c r="J1706" s="3">
        <v>44599</v>
      </c>
      <c r="K1706" s="2">
        <v>87</v>
      </c>
      <c r="L1706" s="2" t="s">
        <v>64</v>
      </c>
      <c r="M1706" s="3"/>
    </row>
    <row r="1707" spans="1:13" x14ac:dyDescent="0.3">
      <c r="A1707" s="2">
        <v>1706</v>
      </c>
      <c r="B1707" s="2" t="s">
        <v>2399</v>
      </c>
      <c r="C1707" s="2" t="s">
        <v>4960</v>
      </c>
      <c r="D1707" s="2" t="s">
        <v>28</v>
      </c>
      <c r="E1707" s="2" t="s">
        <v>29</v>
      </c>
      <c r="F1707" s="2">
        <v>60</v>
      </c>
      <c r="G1707" s="2" t="s">
        <v>4961</v>
      </c>
      <c r="H1707" s="2" t="s">
        <v>917</v>
      </c>
      <c r="I1707" s="2" t="s">
        <v>32</v>
      </c>
      <c r="J1707" s="3">
        <v>44768</v>
      </c>
      <c r="K1707" s="2">
        <v>48</v>
      </c>
      <c r="L1707" s="2" t="s">
        <v>54</v>
      </c>
      <c r="M1707" s="3"/>
    </row>
    <row r="1708" spans="1:13" x14ac:dyDescent="0.3">
      <c r="A1708" s="2">
        <v>1707</v>
      </c>
      <c r="B1708" s="2" t="s">
        <v>4962</v>
      </c>
      <c r="C1708" s="2" t="s">
        <v>4963</v>
      </c>
      <c r="D1708" s="2" t="s">
        <v>28</v>
      </c>
      <c r="E1708" s="2" t="s">
        <v>29</v>
      </c>
      <c r="F1708" s="2">
        <v>30</v>
      </c>
      <c r="G1708" s="2" t="s">
        <v>4964</v>
      </c>
      <c r="H1708" s="2" t="s">
        <v>119</v>
      </c>
      <c r="I1708" s="2" t="s">
        <v>32</v>
      </c>
      <c r="J1708" s="3">
        <v>44020</v>
      </c>
      <c r="K1708" s="2">
        <v>3</v>
      </c>
      <c r="L1708" s="2" t="s">
        <v>64</v>
      </c>
      <c r="M1708" s="3"/>
    </row>
    <row r="1709" spans="1:13" x14ac:dyDescent="0.3">
      <c r="A1709" s="2">
        <v>1708</v>
      </c>
      <c r="B1709" s="2" t="s">
        <v>4965</v>
      </c>
      <c r="C1709" s="2" t="s">
        <v>4242</v>
      </c>
      <c r="D1709" s="2" t="s">
        <v>28</v>
      </c>
      <c r="E1709" s="2" t="s">
        <v>29</v>
      </c>
      <c r="F1709" s="2">
        <v>30</v>
      </c>
      <c r="G1709" s="2" t="s">
        <v>4966</v>
      </c>
      <c r="H1709" s="2" t="s">
        <v>4967</v>
      </c>
      <c r="I1709" s="2" t="s">
        <v>32</v>
      </c>
      <c r="J1709" s="3">
        <v>44347</v>
      </c>
      <c r="K1709" s="2">
        <v>89</v>
      </c>
      <c r="L1709" s="2" t="s">
        <v>70</v>
      </c>
      <c r="M1709" s="3"/>
    </row>
    <row r="1710" spans="1:13" x14ac:dyDescent="0.3">
      <c r="A1710" s="2">
        <v>1709</v>
      </c>
      <c r="B1710" s="2" t="s">
        <v>4072</v>
      </c>
      <c r="C1710" s="2" t="s">
        <v>1698</v>
      </c>
      <c r="D1710" s="2" t="s">
        <v>51</v>
      </c>
      <c r="E1710" s="2" t="s">
        <v>16</v>
      </c>
      <c r="F1710" s="2">
        <v>30</v>
      </c>
      <c r="G1710" s="2" t="s">
        <v>4968</v>
      </c>
      <c r="H1710" s="2" t="s">
        <v>746</v>
      </c>
      <c r="I1710" s="2" t="s">
        <v>32</v>
      </c>
      <c r="J1710" s="3">
        <v>44814</v>
      </c>
      <c r="K1710" s="2">
        <v>81</v>
      </c>
      <c r="L1710" s="2" t="s">
        <v>64</v>
      </c>
      <c r="M1710" s="3"/>
    </row>
    <row r="1711" spans="1:13" x14ac:dyDescent="0.3">
      <c r="A1711" s="2">
        <v>1710</v>
      </c>
      <c r="B1711" s="2" t="s">
        <v>752</v>
      </c>
      <c r="C1711" s="2" t="s">
        <v>2359</v>
      </c>
      <c r="D1711" s="2" t="s">
        <v>28</v>
      </c>
      <c r="E1711" s="2" t="s">
        <v>29</v>
      </c>
      <c r="F1711" s="2">
        <v>30</v>
      </c>
      <c r="G1711" s="2" t="s">
        <v>4969</v>
      </c>
      <c r="H1711" s="2" t="s">
        <v>4915</v>
      </c>
      <c r="I1711" s="2" t="s">
        <v>32</v>
      </c>
      <c r="J1711" s="3">
        <v>44847</v>
      </c>
      <c r="K1711" s="2">
        <v>28</v>
      </c>
      <c r="L1711" s="2" t="s">
        <v>20</v>
      </c>
      <c r="M1711" s="3"/>
    </row>
    <row r="1712" spans="1:13" x14ac:dyDescent="0.3">
      <c r="A1712" s="2">
        <v>1711</v>
      </c>
      <c r="B1712" s="2" t="s">
        <v>4970</v>
      </c>
      <c r="C1712" s="2" t="s">
        <v>4971</v>
      </c>
      <c r="D1712" s="2" t="s">
        <v>51</v>
      </c>
      <c r="E1712" s="2" t="s">
        <v>16</v>
      </c>
      <c r="F1712" s="2">
        <v>30</v>
      </c>
      <c r="G1712" s="2" t="s">
        <v>4972</v>
      </c>
      <c r="H1712" s="2" t="s">
        <v>3356</v>
      </c>
      <c r="I1712" s="2" t="s">
        <v>32</v>
      </c>
      <c r="J1712" s="3">
        <v>44702</v>
      </c>
      <c r="K1712" s="2">
        <v>19</v>
      </c>
      <c r="L1712" s="2" t="s">
        <v>39</v>
      </c>
      <c r="M1712" s="3"/>
    </row>
    <row r="1713" spans="1:13" x14ac:dyDescent="0.3">
      <c r="A1713" s="2">
        <v>1712</v>
      </c>
      <c r="B1713" s="2" t="s">
        <v>4973</v>
      </c>
      <c r="C1713" s="2" t="s">
        <v>4974</v>
      </c>
      <c r="D1713" s="2" t="s">
        <v>28</v>
      </c>
      <c r="E1713" s="2" t="s">
        <v>29</v>
      </c>
      <c r="F1713" s="2">
        <v>90</v>
      </c>
      <c r="G1713" s="2" t="s">
        <v>4975</v>
      </c>
      <c r="H1713" s="2" t="s">
        <v>710</v>
      </c>
      <c r="I1713" s="2" t="s">
        <v>187</v>
      </c>
      <c r="J1713" s="3">
        <v>44481</v>
      </c>
      <c r="K1713" s="2">
        <v>20</v>
      </c>
      <c r="L1713" s="2" t="s">
        <v>64</v>
      </c>
      <c r="M1713" s="3"/>
    </row>
    <row r="1714" spans="1:13" x14ac:dyDescent="0.3">
      <c r="A1714" s="2">
        <v>1713</v>
      </c>
      <c r="B1714" s="2" t="s">
        <v>2853</v>
      </c>
      <c r="C1714" s="2" t="s">
        <v>1085</v>
      </c>
      <c r="D1714" s="2" t="s">
        <v>28</v>
      </c>
      <c r="E1714" s="2" t="s">
        <v>29</v>
      </c>
      <c r="F1714" s="2">
        <v>60</v>
      </c>
      <c r="G1714" s="2" t="s">
        <v>4976</v>
      </c>
      <c r="H1714" s="2" t="s">
        <v>1099</v>
      </c>
      <c r="I1714" s="2" t="s">
        <v>25</v>
      </c>
      <c r="J1714" s="3">
        <v>43902</v>
      </c>
      <c r="K1714" s="2">
        <v>46</v>
      </c>
      <c r="L1714" s="2" t="s">
        <v>64</v>
      </c>
      <c r="M1714" s="3"/>
    </row>
    <row r="1715" spans="1:13" x14ac:dyDescent="0.3">
      <c r="A1715" s="2">
        <v>1714</v>
      </c>
      <c r="B1715" s="2" t="s">
        <v>4977</v>
      </c>
      <c r="C1715" s="2" t="s">
        <v>983</v>
      </c>
      <c r="D1715" s="2" t="s">
        <v>15</v>
      </c>
      <c r="E1715" s="2" t="s">
        <v>16</v>
      </c>
      <c r="F1715" s="2">
        <v>30</v>
      </c>
      <c r="G1715" s="2" t="s">
        <v>4978</v>
      </c>
      <c r="H1715" s="2" t="s">
        <v>4979</v>
      </c>
      <c r="I1715" s="2" t="s">
        <v>294</v>
      </c>
      <c r="J1715" s="3">
        <v>44834</v>
      </c>
      <c r="K1715" s="2">
        <v>36</v>
      </c>
      <c r="L1715" s="2" t="s">
        <v>101</v>
      </c>
      <c r="M1715" s="3"/>
    </row>
    <row r="1716" spans="1:13" x14ac:dyDescent="0.3">
      <c r="A1716" s="2">
        <v>1715</v>
      </c>
      <c r="B1716" s="2" t="s">
        <v>4980</v>
      </c>
      <c r="C1716" s="2" t="s">
        <v>2047</v>
      </c>
      <c r="D1716" s="2" t="s">
        <v>51</v>
      </c>
      <c r="E1716" s="2" t="s">
        <v>16</v>
      </c>
      <c r="F1716" s="2">
        <v>60</v>
      </c>
      <c r="G1716" s="2" t="s">
        <v>4981</v>
      </c>
      <c r="H1716" s="2" t="s">
        <v>2811</v>
      </c>
      <c r="I1716" s="2" t="s">
        <v>32</v>
      </c>
      <c r="J1716" s="3">
        <v>44543</v>
      </c>
      <c r="K1716" s="2">
        <v>57</v>
      </c>
      <c r="L1716" s="2" t="s">
        <v>159</v>
      </c>
      <c r="M1716" s="3"/>
    </row>
    <row r="1717" spans="1:13" x14ac:dyDescent="0.3">
      <c r="A1717" s="2">
        <v>1716</v>
      </c>
      <c r="B1717" s="2" t="s">
        <v>4982</v>
      </c>
      <c r="C1717" s="2" t="s">
        <v>1898</v>
      </c>
      <c r="D1717" s="2" t="s">
        <v>51</v>
      </c>
      <c r="E1717" s="2" t="s">
        <v>16</v>
      </c>
      <c r="F1717" s="2">
        <v>60</v>
      </c>
      <c r="G1717" s="2" t="s">
        <v>4983</v>
      </c>
      <c r="H1717" s="2" t="s">
        <v>3500</v>
      </c>
      <c r="I1717" s="2" t="s">
        <v>25</v>
      </c>
      <c r="J1717" s="3">
        <v>44052</v>
      </c>
      <c r="K1717" s="2">
        <v>68</v>
      </c>
      <c r="L1717" s="2" t="s">
        <v>70</v>
      </c>
      <c r="M1717" s="3"/>
    </row>
    <row r="1718" spans="1:13" x14ac:dyDescent="0.3">
      <c r="A1718" s="2">
        <v>1717</v>
      </c>
      <c r="B1718" s="2" t="s">
        <v>4984</v>
      </c>
      <c r="C1718" s="2" t="s">
        <v>1244</v>
      </c>
      <c r="D1718" s="2" t="s">
        <v>28</v>
      </c>
      <c r="E1718" s="2" t="s">
        <v>29</v>
      </c>
      <c r="F1718" s="2">
        <v>60</v>
      </c>
      <c r="G1718" s="2" t="s">
        <v>4985</v>
      </c>
      <c r="H1718" s="2" t="s">
        <v>1519</v>
      </c>
      <c r="I1718" s="2" t="s">
        <v>32</v>
      </c>
      <c r="J1718" s="3">
        <v>44362</v>
      </c>
      <c r="K1718" s="2">
        <v>74</v>
      </c>
      <c r="L1718" s="2" t="s">
        <v>70</v>
      </c>
      <c r="M1718" s="3"/>
    </row>
    <row r="1719" spans="1:13" x14ac:dyDescent="0.3">
      <c r="A1719" s="2">
        <v>1718</v>
      </c>
      <c r="B1719" s="2" t="s">
        <v>4986</v>
      </c>
      <c r="C1719" s="2" t="s">
        <v>4876</v>
      </c>
      <c r="D1719" s="2" t="s">
        <v>28</v>
      </c>
      <c r="E1719" s="2" t="s">
        <v>29</v>
      </c>
      <c r="F1719" s="2">
        <v>30</v>
      </c>
      <c r="G1719" s="2" t="s">
        <v>4987</v>
      </c>
      <c r="H1719" s="2" t="s">
        <v>1716</v>
      </c>
      <c r="I1719" s="2" t="s">
        <v>425</v>
      </c>
      <c r="J1719" s="3">
        <v>44288</v>
      </c>
      <c r="K1719" s="2">
        <v>86</v>
      </c>
      <c r="L1719" s="2" t="s">
        <v>39</v>
      </c>
      <c r="M1719" s="3"/>
    </row>
    <row r="1720" spans="1:13" x14ac:dyDescent="0.3">
      <c r="A1720" s="2">
        <v>1719</v>
      </c>
      <c r="B1720" s="2" t="s">
        <v>4988</v>
      </c>
      <c r="C1720" s="2" t="s">
        <v>4989</v>
      </c>
      <c r="D1720" s="2" t="s">
        <v>51</v>
      </c>
      <c r="E1720" s="2" t="s">
        <v>16</v>
      </c>
      <c r="F1720" s="2">
        <v>30</v>
      </c>
      <c r="G1720" s="2" t="s">
        <v>4990</v>
      </c>
      <c r="H1720" s="2" t="s">
        <v>776</v>
      </c>
      <c r="I1720" s="2" t="s">
        <v>777</v>
      </c>
      <c r="J1720" s="3">
        <v>43992</v>
      </c>
      <c r="K1720" s="2">
        <v>69</v>
      </c>
      <c r="L1720" s="2" t="s">
        <v>54</v>
      </c>
      <c r="M1720" s="3"/>
    </row>
    <row r="1721" spans="1:13" x14ac:dyDescent="0.3">
      <c r="A1721" s="2">
        <v>1720</v>
      </c>
      <c r="B1721" s="2" t="s">
        <v>3794</v>
      </c>
      <c r="C1721" s="2" t="s">
        <v>4991</v>
      </c>
      <c r="D1721" s="2" t="s">
        <v>28</v>
      </c>
      <c r="E1721" s="2" t="s">
        <v>29</v>
      </c>
      <c r="F1721" s="2">
        <v>90</v>
      </c>
      <c r="G1721" s="2" t="s">
        <v>4990</v>
      </c>
      <c r="H1721" s="2" t="s">
        <v>4992</v>
      </c>
      <c r="I1721" s="2" t="s">
        <v>294</v>
      </c>
      <c r="J1721" s="3">
        <v>44714</v>
      </c>
      <c r="K1721" s="2">
        <v>76</v>
      </c>
      <c r="L1721" s="2" t="s">
        <v>101</v>
      </c>
      <c r="M1721" s="3"/>
    </row>
    <row r="1722" spans="1:13" x14ac:dyDescent="0.3">
      <c r="A1722" s="2">
        <v>1721</v>
      </c>
      <c r="B1722" s="2" t="s">
        <v>4993</v>
      </c>
      <c r="C1722" s="2" t="s">
        <v>3118</v>
      </c>
      <c r="D1722" s="2" t="s">
        <v>15</v>
      </c>
      <c r="E1722" s="2" t="s">
        <v>16</v>
      </c>
      <c r="F1722" s="2">
        <v>90</v>
      </c>
      <c r="G1722" s="2" t="s">
        <v>4990</v>
      </c>
      <c r="H1722" s="2" t="s">
        <v>3754</v>
      </c>
      <c r="I1722" s="2" t="s">
        <v>124</v>
      </c>
      <c r="J1722" s="3">
        <v>43922</v>
      </c>
      <c r="K1722" s="2">
        <v>72</v>
      </c>
      <c r="L1722" s="2" t="s">
        <v>101</v>
      </c>
      <c r="M1722" s="3"/>
    </row>
    <row r="1723" spans="1:13" x14ac:dyDescent="0.3">
      <c r="A1723" s="2">
        <v>1722</v>
      </c>
      <c r="B1723" s="2" t="s">
        <v>3478</v>
      </c>
      <c r="C1723" s="2" t="s">
        <v>4994</v>
      </c>
      <c r="D1723" s="2" t="s">
        <v>28</v>
      </c>
      <c r="E1723" s="2" t="s">
        <v>29</v>
      </c>
      <c r="F1723" s="2">
        <v>60</v>
      </c>
      <c r="G1723" s="2" t="s">
        <v>4995</v>
      </c>
      <c r="H1723" s="2" t="s">
        <v>4996</v>
      </c>
      <c r="I1723" s="2" t="s">
        <v>32</v>
      </c>
      <c r="J1723" s="3">
        <v>44272</v>
      </c>
      <c r="K1723" s="2">
        <v>75</v>
      </c>
      <c r="L1723" s="2" t="s">
        <v>159</v>
      </c>
      <c r="M1723" s="3"/>
    </row>
    <row r="1724" spans="1:13" x14ac:dyDescent="0.3">
      <c r="A1724" s="2">
        <v>1723</v>
      </c>
      <c r="B1724" s="2" t="s">
        <v>4997</v>
      </c>
      <c r="C1724" s="2" t="s">
        <v>4998</v>
      </c>
      <c r="D1724" s="2" t="s">
        <v>28</v>
      </c>
      <c r="E1724" s="2" t="s">
        <v>29</v>
      </c>
      <c r="F1724" s="2">
        <v>90</v>
      </c>
      <c r="G1724" s="2" t="s">
        <v>4999</v>
      </c>
      <c r="H1724" s="2" t="s">
        <v>2710</v>
      </c>
      <c r="I1724" s="2" t="s">
        <v>294</v>
      </c>
      <c r="J1724" s="3">
        <v>44713</v>
      </c>
      <c r="K1724" s="2">
        <v>96</v>
      </c>
      <c r="L1724" s="2" t="s">
        <v>20</v>
      </c>
      <c r="M1724" s="3"/>
    </row>
    <row r="1725" spans="1:13" x14ac:dyDescent="0.3">
      <c r="A1725" s="2">
        <v>1724</v>
      </c>
      <c r="B1725" s="2" t="s">
        <v>2312</v>
      </c>
      <c r="C1725" s="2" t="s">
        <v>1688</v>
      </c>
      <c r="D1725" s="2" t="s">
        <v>28</v>
      </c>
      <c r="E1725" s="2" t="s">
        <v>29</v>
      </c>
      <c r="F1725" s="2">
        <v>30</v>
      </c>
      <c r="G1725" s="2" t="s">
        <v>4999</v>
      </c>
      <c r="H1725" s="2" t="s">
        <v>5000</v>
      </c>
      <c r="I1725" s="2" t="s">
        <v>32</v>
      </c>
      <c r="J1725" s="3">
        <v>44423</v>
      </c>
      <c r="K1725" s="2">
        <v>93</v>
      </c>
      <c r="L1725" s="2" t="s">
        <v>159</v>
      </c>
      <c r="M1725" s="3"/>
    </row>
    <row r="1726" spans="1:13" x14ac:dyDescent="0.3">
      <c r="A1726" s="2">
        <v>1725</v>
      </c>
      <c r="B1726" s="2" t="s">
        <v>5001</v>
      </c>
      <c r="C1726" s="2" t="s">
        <v>5002</v>
      </c>
      <c r="D1726" s="2" t="s">
        <v>28</v>
      </c>
      <c r="E1726" s="2" t="s">
        <v>29</v>
      </c>
      <c r="F1726" s="2">
        <v>30</v>
      </c>
      <c r="G1726" s="2" t="s">
        <v>5003</v>
      </c>
      <c r="H1726" s="2" t="s">
        <v>1453</v>
      </c>
      <c r="I1726" s="2" t="s">
        <v>1454</v>
      </c>
      <c r="J1726" s="3">
        <v>44102</v>
      </c>
      <c r="K1726" s="2">
        <v>63</v>
      </c>
      <c r="L1726" s="2" t="s">
        <v>45</v>
      </c>
      <c r="M1726" s="3"/>
    </row>
    <row r="1727" spans="1:13" x14ac:dyDescent="0.3">
      <c r="A1727" s="2">
        <v>1726</v>
      </c>
      <c r="B1727" s="2" t="s">
        <v>5004</v>
      </c>
      <c r="C1727" s="2" t="s">
        <v>4504</v>
      </c>
      <c r="D1727" s="2" t="s">
        <v>51</v>
      </c>
      <c r="E1727" s="2" t="s">
        <v>16</v>
      </c>
      <c r="F1727" s="2">
        <v>30</v>
      </c>
      <c r="G1727" s="2" t="s">
        <v>5005</v>
      </c>
      <c r="H1727" s="2" t="s">
        <v>99</v>
      </c>
      <c r="I1727" s="2" t="s">
        <v>100</v>
      </c>
      <c r="J1727" s="3">
        <v>44853</v>
      </c>
      <c r="K1727" s="2">
        <v>62</v>
      </c>
      <c r="L1727" s="2" t="s">
        <v>159</v>
      </c>
      <c r="M1727" s="3"/>
    </row>
    <row r="1728" spans="1:13" x14ac:dyDescent="0.3">
      <c r="A1728" s="2">
        <v>1727</v>
      </c>
      <c r="B1728" s="2" t="s">
        <v>3243</v>
      </c>
      <c r="C1728" s="2" t="s">
        <v>2220</v>
      </c>
      <c r="D1728" s="2" t="s">
        <v>28</v>
      </c>
      <c r="E1728" s="2" t="s">
        <v>29</v>
      </c>
      <c r="F1728" s="2">
        <v>90</v>
      </c>
      <c r="G1728" s="2" t="s">
        <v>5006</v>
      </c>
      <c r="H1728" s="2" t="s">
        <v>5007</v>
      </c>
      <c r="I1728" s="2" t="s">
        <v>89</v>
      </c>
      <c r="J1728" s="3">
        <v>43965</v>
      </c>
      <c r="K1728" s="2">
        <v>79</v>
      </c>
      <c r="L1728" s="2" t="s">
        <v>80</v>
      </c>
      <c r="M1728" s="3"/>
    </row>
    <row r="1729" spans="1:13" x14ac:dyDescent="0.3">
      <c r="A1729" s="2">
        <v>1728</v>
      </c>
      <c r="B1729" s="2" t="s">
        <v>5008</v>
      </c>
      <c r="C1729" s="2" t="s">
        <v>3522</v>
      </c>
      <c r="D1729" s="2" t="s">
        <v>51</v>
      </c>
      <c r="E1729" s="2" t="s">
        <v>16</v>
      </c>
      <c r="F1729" s="2">
        <v>90</v>
      </c>
      <c r="G1729" s="2" t="s">
        <v>5009</v>
      </c>
      <c r="H1729" s="2" t="s">
        <v>5010</v>
      </c>
      <c r="I1729" s="2" t="s">
        <v>32</v>
      </c>
      <c r="J1729" s="3">
        <v>44313</v>
      </c>
      <c r="K1729" s="2">
        <v>37</v>
      </c>
      <c r="L1729" s="2" t="s">
        <v>33</v>
      </c>
      <c r="M1729" s="3"/>
    </row>
    <row r="1730" spans="1:13" x14ac:dyDescent="0.3">
      <c r="A1730" s="2">
        <v>1729</v>
      </c>
      <c r="B1730" s="2" t="s">
        <v>5011</v>
      </c>
      <c r="C1730" s="2" t="s">
        <v>5012</v>
      </c>
      <c r="D1730" s="2" t="s">
        <v>51</v>
      </c>
      <c r="E1730" s="2" t="s">
        <v>16</v>
      </c>
      <c r="F1730" s="2">
        <v>30</v>
      </c>
      <c r="G1730" s="2" t="s">
        <v>5009</v>
      </c>
      <c r="H1730" s="2" t="s">
        <v>3424</v>
      </c>
      <c r="I1730" s="2" t="s">
        <v>32</v>
      </c>
      <c r="J1730" s="3">
        <v>44215</v>
      </c>
      <c r="K1730" s="2">
        <v>45</v>
      </c>
      <c r="L1730" s="2" t="s">
        <v>70</v>
      </c>
      <c r="M1730" s="3"/>
    </row>
    <row r="1731" spans="1:13" x14ac:dyDescent="0.3">
      <c r="A1731" s="2">
        <v>1730</v>
      </c>
      <c r="B1731" s="2" t="s">
        <v>3544</v>
      </c>
      <c r="C1731" s="2" t="s">
        <v>3171</v>
      </c>
      <c r="D1731" s="2" t="s">
        <v>28</v>
      </c>
      <c r="E1731" s="2" t="s">
        <v>29</v>
      </c>
      <c r="F1731" s="2">
        <v>90</v>
      </c>
      <c r="G1731" s="2" t="s">
        <v>5013</v>
      </c>
      <c r="H1731" s="2" t="s">
        <v>1482</v>
      </c>
      <c r="I1731" s="2" t="s">
        <v>1483</v>
      </c>
      <c r="J1731" s="3">
        <v>44199</v>
      </c>
      <c r="K1731" s="2">
        <v>10</v>
      </c>
      <c r="L1731" s="2" t="s">
        <v>20</v>
      </c>
      <c r="M1731" s="3"/>
    </row>
    <row r="1732" spans="1:13" x14ac:dyDescent="0.3">
      <c r="A1732" s="2">
        <v>1731</v>
      </c>
      <c r="B1732" s="2" t="s">
        <v>5014</v>
      </c>
      <c r="C1732" s="2" t="s">
        <v>5015</v>
      </c>
      <c r="D1732" s="2" t="s">
        <v>41</v>
      </c>
      <c r="E1732" s="2" t="s">
        <v>16</v>
      </c>
      <c r="F1732" s="2">
        <v>90</v>
      </c>
      <c r="G1732" s="2" t="s">
        <v>5016</v>
      </c>
      <c r="H1732" s="2" t="s">
        <v>3554</v>
      </c>
      <c r="I1732" s="2" t="s">
        <v>32</v>
      </c>
      <c r="J1732" s="3">
        <v>44323</v>
      </c>
      <c r="K1732" s="2">
        <v>45</v>
      </c>
      <c r="L1732" s="2" t="s">
        <v>20</v>
      </c>
      <c r="M1732" s="3"/>
    </row>
    <row r="1733" spans="1:13" x14ac:dyDescent="0.3">
      <c r="A1733" s="2">
        <v>1732</v>
      </c>
      <c r="B1733" s="2" t="s">
        <v>5014</v>
      </c>
      <c r="C1733" s="2" t="s">
        <v>5015</v>
      </c>
      <c r="D1733" s="2" t="s">
        <v>41</v>
      </c>
      <c r="E1733" s="2" t="s">
        <v>16</v>
      </c>
      <c r="F1733" s="2">
        <v>90</v>
      </c>
      <c r="G1733" s="2" t="s">
        <v>5016</v>
      </c>
      <c r="H1733" s="2" t="s">
        <v>3554</v>
      </c>
      <c r="I1733" s="2" t="s">
        <v>32</v>
      </c>
      <c r="J1733" s="3">
        <v>44323</v>
      </c>
      <c r="K1733" s="2">
        <v>45</v>
      </c>
      <c r="L1733" s="2" t="s">
        <v>20</v>
      </c>
      <c r="M1733" s="3"/>
    </row>
    <row r="1734" spans="1:13" x14ac:dyDescent="0.3">
      <c r="A1734" s="2">
        <v>1733</v>
      </c>
      <c r="B1734" s="2" t="s">
        <v>1769</v>
      </c>
      <c r="C1734" s="2" t="s">
        <v>2915</v>
      </c>
      <c r="D1734" s="2" t="s">
        <v>28</v>
      </c>
      <c r="E1734" s="2" t="s">
        <v>29</v>
      </c>
      <c r="F1734" s="2">
        <v>30</v>
      </c>
      <c r="G1734" s="2" t="s">
        <v>5017</v>
      </c>
      <c r="H1734" s="2" t="s">
        <v>1370</v>
      </c>
      <c r="I1734" s="2" t="s">
        <v>32</v>
      </c>
      <c r="J1734" s="3">
        <v>44466</v>
      </c>
      <c r="K1734" s="2">
        <v>61</v>
      </c>
      <c r="L1734" s="2" t="s">
        <v>64</v>
      </c>
      <c r="M1734" s="3"/>
    </row>
    <row r="1735" spans="1:13" x14ac:dyDescent="0.3">
      <c r="A1735" s="2">
        <v>1734</v>
      </c>
      <c r="B1735" s="2" t="s">
        <v>5018</v>
      </c>
      <c r="C1735" s="2" t="s">
        <v>3989</v>
      </c>
      <c r="D1735" s="2" t="s">
        <v>15</v>
      </c>
      <c r="E1735" s="2" t="s">
        <v>16</v>
      </c>
      <c r="F1735" s="2">
        <v>60</v>
      </c>
      <c r="G1735" s="2" t="s">
        <v>5019</v>
      </c>
      <c r="H1735" s="2" t="s">
        <v>99</v>
      </c>
      <c r="I1735" s="2" t="s">
        <v>100</v>
      </c>
      <c r="J1735" s="3">
        <v>44563</v>
      </c>
      <c r="K1735" s="2">
        <v>97</v>
      </c>
      <c r="L1735" s="2" t="s">
        <v>64</v>
      </c>
      <c r="M1735" s="3"/>
    </row>
    <row r="1736" spans="1:13" x14ac:dyDescent="0.3">
      <c r="A1736" s="2">
        <v>1735</v>
      </c>
      <c r="B1736" s="2" t="s">
        <v>5020</v>
      </c>
      <c r="C1736" s="2" t="s">
        <v>5021</v>
      </c>
      <c r="D1736" s="2" t="s">
        <v>51</v>
      </c>
      <c r="E1736" s="2" t="s">
        <v>16</v>
      </c>
      <c r="F1736" s="2">
        <v>60</v>
      </c>
      <c r="G1736" s="2" t="s">
        <v>5022</v>
      </c>
      <c r="H1736" s="2" t="s">
        <v>2338</v>
      </c>
      <c r="I1736" s="2" t="s">
        <v>240</v>
      </c>
      <c r="J1736" s="3">
        <v>44386</v>
      </c>
      <c r="K1736" s="2">
        <v>28</v>
      </c>
      <c r="L1736" s="2" t="s">
        <v>45</v>
      </c>
      <c r="M1736" s="3"/>
    </row>
    <row r="1737" spans="1:13" x14ac:dyDescent="0.3">
      <c r="A1737" s="2">
        <v>1736</v>
      </c>
      <c r="B1737" s="2" t="s">
        <v>5023</v>
      </c>
      <c r="C1737" s="2" t="s">
        <v>2963</v>
      </c>
      <c r="D1737" s="2" t="s">
        <v>15</v>
      </c>
      <c r="E1737" s="2" t="s">
        <v>16</v>
      </c>
      <c r="F1737" s="2">
        <v>30</v>
      </c>
      <c r="G1737" s="2" t="s">
        <v>5024</v>
      </c>
      <c r="H1737" s="2" t="s">
        <v>5025</v>
      </c>
      <c r="I1737" s="2" t="s">
        <v>32</v>
      </c>
      <c r="J1737" s="3">
        <v>44860</v>
      </c>
      <c r="K1737" s="2">
        <v>43</v>
      </c>
      <c r="L1737" s="2" t="s">
        <v>54</v>
      </c>
      <c r="M1737" s="3"/>
    </row>
    <row r="1738" spans="1:13" x14ac:dyDescent="0.3">
      <c r="A1738" s="2">
        <v>1737</v>
      </c>
      <c r="B1738" s="2" t="s">
        <v>245</v>
      </c>
      <c r="C1738" s="2" t="s">
        <v>657</v>
      </c>
      <c r="D1738" s="2" t="s">
        <v>28</v>
      </c>
      <c r="E1738" s="2" t="s">
        <v>29</v>
      </c>
      <c r="F1738" s="2">
        <v>30</v>
      </c>
      <c r="G1738" s="2" t="s">
        <v>5026</v>
      </c>
      <c r="H1738" s="2" t="s">
        <v>3506</v>
      </c>
      <c r="I1738" s="2" t="s">
        <v>124</v>
      </c>
      <c r="J1738" s="3">
        <v>44112</v>
      </c>
      <c r="K1738" s="2">
        <v>20</v>
      </c>
      <c r="L1738" s="2" t="s">
        <v>45</v>
      </c>
      <c r="M1738" s="3"/>
    </row>
    <row r="1739" spans="1:13" x14ac:dyDescent="0.3">
      <c r="A1739" s="2">
        <v>1738</v>
      </c>
      <c r="B1739" s="2" t="s">
        <v>1961</v>
      </c>
      <c r="C1739" s="2" t="s">
        <v>403</v>
      </c>
      <c r="D1739" s="2" t="s">
        <v>117</v>
      </c>
      <c r="E1739" s="2" t="s">
        <v>16</v>
      </c>
      <c r="F1739" s="2">
        <v>90</v>
      </c>
      <c r="G1739" s="2" t="s">
        <v>5027</v>
      </c>
      <c r="H1739" s="2" t="s">
        <v>526</v>
      </c>
      <c r="I1739" s="2" t="s">
        <v>32</v>
      </c>
      <c r="J1739" s="3">
        <v>44058</v>
      </c>
      <c r="K1739" s="2">
        <v>28</v>
      </c>
      <c r="L1739" s="2" t="s">
        <v>101</v>
      </c>
      <c r="M1739" s="3"/>
    </row>
    <row r="1740" spans="1:13" x14ac:dyDescent="0.3">
      <c r="A1740" s="2">
        <v>1739</v>
      </c>
      <c r="B1740" s="2" t="s">
        <v>5028</v>
      </c>
      <c r="C1740" s="2" t="s">
        <v>5029</v>
      </c>
      <c r="D1740" s="2" t="s">
        <v>28</v>
      </c>
      <c r="E1740" s="2" t="s">
        <v>29</v>
      </c>
      <c r="F1740" s="2">
        <v>90</v>
      </c>
      <c r="G1740" s="2" t="s">
        <v>5030</v>
      </c>
      <c r="H1740" s="2" t="s">
        <v>279</v>
      </c>
      <c r="I1740" s="2" t="s">
        <v>213</v>
      </c>
      <c r="J1740" s="3">
        <v>44194</v>
      </c>
      <c r="K1740" s="2">
        <v>60</v>
      </c>
      <c r="L1740" s="2" t="s">
        <v>159</v>
      </c>
      <c r="M1740" s="3"/>
    </row>
    <row r="1741" spans="1:13" x14ac:dyDescent="0.3">
      <c r="A1741" s="2">
        <v>1740</v>
      </c>
      <c r="B1741" s="2" t="s">
        <v>5031</v>
      </c>
      <c r="C1741" s="2" t="s">
        <v>5032</v>
      </c>
      <c r="D1741" s="2" t="s">
        <v>28</v>
      </c>
      <c r="E1741" s="2" t="s">
        <v>29</v>
      </c>
      <c r="F1741" s="2">
        <v>60</v>
      </c>
      <c r="G1741" s="2" t="s">
        <v>5030</v>
      </c>
      <c r="H1741" s="2" t="s">
        <v>5033</v>
      </c>
      <c r="I1741" s="2" t="s">
        <v>2543</v>
      </c>
      <c r="J1741" s="3">
        <v>44361</v>
      </c>
      <c r="K1741" s="2">
        <v>3</v>
      </c>
      <c r="L1741" s="2" t="s">
        <v>20</v>
      </c>
      <c r="M1741" s="3"/>
    </row>
    <row r="1742" spans="1:13" x14ac:dyDescent="0.3">
      <c r="A1742" s="2">
        <v>1741</v>
      </c>
      <c r="B1742" s="2" t="s">
        <v>5034</v>
      </c>
      <c r="C1742" s="2" t="s">
        <v>1638</v>
      </c>
      <c r="D1742" s="2" t="s">
        <v>28</v>
      </c>
      <c r="E1742" s="2" t="s">
        <v>29</v>
      </c>
      <c r="F1742" s="2">
        <v>90</v>
      </c>
      <c r="G1742" s="2" t="s">
        <v>5035</v>
      </c>
      <c r="H1742" s="2" t="s">
        <v>5036</v>
      </c>
      <c r="I1742" s="2" t="s">
        <v>32</v>
      </c>
      <c r="J1742" s="3">
        <v>44159</v>
      </c>
      <c r="K1742" s="2">
        <v>5</v>
      </c>
      <c r="L1742" s="2" t="s">
        <v>80</v>
      </c>
      <c r="M1742" s="3"/>
    </row>
    <row r="1743" spans="1:13" x14ac:dyDescent="0.3">
      <c r="A1743" s="2">
        <v>1742</v>
      </c>
      <c r="B1743" s="2" t="s">
        <v>4134</v>
      </c>
      <c r="C1743" s="2" t="s">
        <v>5037</v>
      </c>
      <c r="D1743" s="2" t="s">
        <v>28</v>
      </c>
      <c r="E1743" s="2" t="s">
        <v>29</v>
      </c>
      <c r="F1743" s="2">
        <v>30</v>
      </c>
      <c r="G1743" s="2" t="s">
        <v>5038</v>
      </c>
      <c r="H1743" s="2" t="s">
        <v>5039</v>
      </c>
      <c r="I1743" s="2" t="s">
        <v>32</v>
      </c>
      <c r="J1743" s="3">
        <v>44722</v>
      </c>
      <c r="K1743" s="2">
        <v>70</v>
      </c>
      <c r="L1743" s="2" t="s">
        <v>33</v>
      </c>
      <c r="M1743" s="3"/>
    </row>
    <row r="1744" spans="1:13" x14ac:dyDescent="0.3">
      <c r="A1744" s="2">
        <v>1743</v>
      </c>
      <c r="B1744" s="2" t="s">
        <v>5040</v>
      </c>
      <c r="C1744" s="2" t="s">
        <v>3162</v>
      </c>
      <c r="D1744" s="2" t="s">
        <v>15</v>
      </c>
      <c r="E1744" s="2" t="s">
        <v>16</v>
      </c>
      <c r="F1744" s="2">
        <v>30</v>
      </c>
      <c r="G1744" s="2" t="s">
        <v>5041</v>
      </c>
      <c r="H1744" s="2" t="s">
        <v>579</v>
      </c>
      <c r="I1744" s="2" t="s">
        <v>32</v>
      </c>
      <c r="J1744" s="3">
        <v>44488</v>
      </c>
      <c r="K1744" s="2">
        <v>7</v>
      </c>
      <c r="L1744" s="2" t="s">
        <v>101</v>
      </c>
      <c r="M1744" s="3"/>
    </row>
    <row r="1745" spans="1:13" x14ac:dyDescent="0.3">
      <c r="A1745" s="2">
        <v>1744</v>
      </c>
      <c r="B1745" s="2" t="s">
        <v>5042</v>
      </c>
      <c r="C1745" s="2" t="s">
        <v>5043</v>
      </c>
      <c r="D1745" s="2" t="s">
        <v>28</v>
      </c>
      <c r="E1745" s="2" t="s">
        <v>29</v>
      </c>
      <c r="F1745" s="2">
        <v>90</v>
      </c>
      <c r="G1745" s="2" t="s">
        <v>5044</v>
      </c>
      <c r="H1745" s="2" t="s">
        <v>4182</v>
      </c>
      <c r="I1745" s="2" t="s">
        <v>32</v>
      </c>
      <c r="J1745" s="3">
        <v>44808</v>
      </c>
      <c r="K1745" s="2">
        <v>67</v>
      </c>
      <c r="L1745" s="2" t="s">
        <v>70</v>
      </c>
      <c r="M1745" s="3"/>
    </row>
    <row r="1746" spans="1:13" x14ac:dyDescent="0.3">
      <c r="A1746" s="2">
        <v>1745</v>
      </c>
      <c r="B1746" s="2" t="s">
        <v>5045</v>
      </c>
      <c r="C1746" s="2" t="s">
        <v>2119</v>
      </c>
      <c r="D1746" s="2" t="s">
        <v>15</v>
      </c>
      <c r="E1746" s="2" t="s">
        <v>16</v>
      </c>
      <c r="F1746" s="2">
        <v>90</v>
      </c>
      <c r="G1746" s="2" t="s">
        <v>5046</v>
      </c>
      <c r="H1746" s="2" t="s">
        <v>5047</v>
      </c>
      <c r="I1746" s="2" t="s">
        <v>178</v>
      </c>
      <c r="J1746" s="3">
        <v>44626</v>
      </c>
      <c r="K1746" s="2">
        <v>34</v>
      </c>
      <c r="L1746" s="2" t="s">
        <v>159</v>
      </c>
      <c r="M1746" s="3"/>
    </row>
    <row r="1747" spans="1:13" x14ac:dyDescent="0.3">
      <c r="A1747" s="2">
        <v>1746</v>
      </c>
      <c r="B1747" s="2" t="s">
        <v>5048</v>
      </c>
      <c r="C1747" s="2" t="s">
        <v>2365</v>
      </c>
      <c r="D1747" s="2" t="s">
        <v>51</v>
      </c>
      <c r="E1747" s="2" t="s">
        <v>16</v>
      </c>
      <c r="F1747" s="2">
        <v>90</v>
      </c>
      <c r="G1747" s="2" t="s">
        <v>5049</v>
      </c>
      <c r="H1747" s="2" t="s">
        <v>5050</v>
      </c>
      <c r="I1747" s="2" t="s">
        <v>124</v>
      </c>
      <c r="J1747" s="3">
        <v>44838</v>
      </c>
      <c r="K1747" s="2">
        <v>48</v>
      </c>
      <c r="L1747" s="2" t="s">
        <v>70</v>
      </c>
      <c r="M1747" s="3"/>
    </row>
    <row r="1748" spans="1:13" x14ac:dyDescent="0.3">
      <c r="A1748" s="2">
        <v>1747</v>
      </c>
      <c r="B1748" s="2" t="s">
        <v>5051</v>
      </c>
      <c r="C1748" s="2" t="s">
        <v>5052</v>
      </c>
      <c r="D1748" s="2" t="s">
        <v>15</v>
      </c>
      <c r="E1748" s="2" t="s">
        <v>16</v>
      </c>
      <c r="F1748" s="2">
        <v>30</v>
      </c>
      <c r="G1748" s="2" t="s">
        <v>5053</v>
      </c>
      <c r="H1748" s="2" t="s">
        <v>2763</v>
      </c>
      <c r="I1748" s="2" t="s">
        <v>294</v>
      </c>
      <c r="J1748" s="3">
        <v>44547</v>
      </c>
      <c r="K1748" s="2">
        <v>67</v>
      </c>
      <c r="L1748" s="2" t="s">
        <v>45</v>
      </c>
      <c r="M1748" s="3"/>
    </row>
    <row r="1749" spans="1:13" x14ac:dyDescent="0.3">
      <c r="A1749" s="2">
        <v>1748</v>
      </c>
      <c r="B1749" s="2" t="s">
        <v>3711</v>
      </c>
      <c r="C1749" s="2" t="s">
        <v>5054</v>
      </c>
      <c r="D1749" s="2" t="s">
        <v>28</v>
      </c>
      <c r="E1749" s="2" t="s">
        <v>29</v>
      </c>
      <c r="F1749" s="2">
        <v>30</v>
      </c>
      <c r="G1749" s="2" t="s">
        <v>5055</v>
      </c>
      <c r="H1749" s="2" t="s">
        <v>4283</v>
      </c>
      <c r="I1749" s="2" t="s">
        <v>178</v>
      </c>
      <c r="J1749" s="3">
        <v>44836</v>
      </c>
      <c r="K1749" s="2">
        <v>75</v>
      </c>
      <c r="L1749" s="2" t="s">
        <v>54</v>
      </c>
      <c r="M1749" s="3"/>
    </row>
    <row r="1750" spans="1:13" x14ac:dyDescent="0.3">
      <c r="A1750" s="2">
        <v>1749</v>
      </c>
      <c r="B1750" s="2" t="s">
        <v>499</v>
      </c>
      <c r="C1750" s="2" t="s">
        <v>3371</v>
      </c>
      <c r="D1750" s="2" t="s">
        <v>51</v>
      </c>
      <c r="E1750" s="2" t="s">
        <v>16</v>
      </c>
      <c r="F1750" s="2">
        <v>90</v>
      </c>
      <c r="G1750" s="2" t="s">
        <v>5056</v>
      </c>
      <c r="H1750" s="2" t="s">
        <v>526</v>
      </c>
      <c r="I1750" s="2" t="s">
        <v>32</v>
      </c>
      <c r="J1750" s="3">
        <v>43950</v>
      </c>
      <c r="K1750" s="2">
        <v>78</v>
      </c>
      <c r="L1750" s="2" t="s">
        <v>54</v>
      </c>
      <c r="M1750" s="3"/>
    </row>
    <row r="1751" spans="1:13" x14ac:dyDescent="0.3">
      <c r="A1751" s="2">
        <v>1750</v>
      </c>
      <c r="B1751" s="2" t="s">
        <v>5057</v>
      </c>
      <c r="C1751" s="2" t="s">
        <v>1468</v>
      </c>
      <c r="D1751" s="2" t="s">
        <v>28</v>
      </c>
      <c r="E1751" s="2" t="s">
        <v>29</v>
      </c>
      <c r="F1751" s="2">
        <v>60</v>
      </c>
      <c r="G1751" s="2" t="s">
        <v>5058</v>
      </c>
      <c r="H1751" s="2" t="s">
        <v>5059</v>
      </c>
      <c r="I1751" s="2" t="s">
        <v>294</v>
      </c>
      <c r="J1751" s="3">
        <v>43896</v>
      </c>
      <c r="K1751" s="2">
        <v>2</v>
      </c>
      <c r="L1751" s="2" t="s">
        <v>70</v>
      </c>
      <c r="M1751" s="3"/>
    </row>
    <row r="1752" spans="1:13" x14ac:dyDescent="0.3">
      <c r="A1752" s="2">
        <v>1751</v>
      </c>
      <c r="B1752" s="2" t="s">
        <v>5060</v>
      </c>
      <c r="C1752" s="2" t="s">
        <v>3812</v>
      </c>
      <c r="D1752" s="2" t="s">
        <v>28</v>
      </c>
      <c r="E1752" s="2" t="s">
        <v>29</v>
      </c>
      <c r="F1752" s="2">
        <v>30</v>
      </c>
      <c r="G1752" s="2" t="s">
        <v>5061</v>
      </c>
      <c r="H1752" s="2" t="s">
        <v>4527</v>
      </c>
      <c r="I1752" s="2" t="s">
        <v>32</v>
      </c>
      <c r="J1752" s="3">
        <v>44156</v>
      </c>
      <c r="K1752" s="2">
        <v>76</v>
      </c>
      <c r="L1752" s="2" t="s">
        <v>64</v>
      </c>
      <c r="M1752" s="3"/>
    </row>
    <row r="1753" spans="1:13" x14ac:dyDescent="0.3">
      <c r="A1753" s="2">
        <v>1752</v>
      </c>
      <c r="B1753" s="2" t="s">
        <v>5062</v>
      </c>
      <c r="C1753" s="2" t="s">
        <v>1607</v>
      </c>
      <c r="D1753" s="2" t="s">
        <v>621</v>
      </c>
      <c r="E1753" s="2" t="s">
        <v>29</v>
      </c>
      <c r="F1753" s="2">
        <v>90</v>
      </c>
      <c r="G1753" s="2" t="s">
        <v>5063</v>
      </c>
      <c r="H1753" s="2" t="s">
        <v>154</v>
      </c>
      <c r="I1753" s="2" t="s">
        <v>25</v>
      </c>
      <c r="J1753" s="3">
        <v>43946</v>
      </c>
      <c r="K1753" s="2">
        <v>18</v>
      </c>
      <c r="L1753" s="2" t="s">
        <v>45</v>
      </c>
      <c r="M1753" s="3"/>
    </row>
    <row r="1754" spans="1:13" x14ac:dyDescent="0.3">
      <c r="A1754" s="2">
        <v>1753</v>
      </c>
      <c r="B1754" s="2" t="s">
        <v>4956</v>
      </c>
      <c r="C1754" s="2" t="s">
        <v>3362</v>
      </c>
      <c r="D1754" s="2" t="s">
        <v>41</v>
      </c>
      <c r="E1754" s="2" t="s">
        <v>16</v>
      </c>
      <c r="F1754" s="2">
        <v>30</v>
      </c>
      <c r="G1754" s="2" t="s">
        <v>5064</v>
      </c>
      <c r="H1754" s="2" t="s">
        <v>3770</v>
      </c>
      <c r="I1754" s="2" t="s">
        <v>32</v>
      </c>
      <c r="J1754" s="3">
        <v>44663</v>
      </c>
      <c r="K1754" s="2">
        <v>47</v>
      </c>
      <c r="L1754" s="2" t="s">
        <v>54</v>
      </c>
      <c r="M1754" s="3"/>
    </row>
    <row r="1755" spans="1:13" x14ac:dyDescent="0.3">
      <c r="A1755" s="2">
        <v>1754</v>
      </c>
      <c r="B1755" s="2" t="s">
        <v>5065</v>
      </c>
      <c r="C1755" s="2" t="s">
        <v>286</v>
      </c>
      <c r="D1755" s="2" t="s">
        <v>41</v>
      </c>
      <c r="E1755" s="2" t="s">
        <v>16</v>
      </c>
      <c r="F1755" s="2">
        <v>30</v>
      </c>
      <c r="G1755" s="2" t="s">
        <v>5066</v>
      </c>
      <c r="H1755" s="2" t="s">
        <v>3296</v>
      </c>
      <c r="I1755" s="2" t="s">
        <v>32</v>
      </c>
      <c r="J1755" s="3">
        <v>43973</v>
      </c>
      <c r="K1755" s="2">
        <v>51</v>
      </c>
      <c r="L1755" s="2" t="s">
        <v>33</v>
      </c>
      <c r="M1755" s="3"/>
    </row>
    <row r="1756" spans="1:13" x14ac:dyDescent="0.3">
      <c r="A1756" s="2">
        <v>1755</v>
      </c>
      <c r="B1756" s="2" t="s">
        <v>2853</v>
      </c>
      <c r="C1756" s="2" t="s">
        <v>5067</v>
      </c>
      <c r="D1756" s="2" t="s">
        <v>28</v>
      </c>
      <c r="E1756" s="2" t="s">
        <v>29</v>
      </c>
      <c r="F1756" s="2">
        <v>60</v>
      </c>
      <c r="G1756" s="2" t="s">
        <v>5068</v>
      </c>
      <c r="H1756" s="2" t="s">
        <v>5069</v>
      </c>
      <c r="I1756" s="2" t="s">
        <v>32</v>
      </c>
      <c r="J1756" s="3">
        <v>44416</v>
      </c>
      <c r="K1756" s="2">
        <v>4</v>
      </c>
      <c r="L1756" s="2" t="s">
        <v>39</v>
      </c>
      <c r="M1756" s="3"/>
    </row>
    <row r="1757" spans="1:13" x14ac:dyDescent="0.3">
      <c r="A1757" s="2">
        <v>1756</v>
      </c>
      <c r="B1757" s="2" t="s">
        <v>5070</v>
      </c>
      <c r="C1757" s="2" t="s">
        <v>3258</v>
      </c>
      <c r="D1757" s="2" t="s">
        <v>28</v>
      </c>
      <c r="E1757" s="2" t="s">
        <v>29</v>
      </c>
      <c r="F1757" s="2">
        <v>30</v>
      </c>
      <c r="G1757" s="2" t="s">
        <v>5071</v>
      </c>
      <c r="H1757" s="2" t="s">
        <v>1391</v>
      </c>
      <c r="I1757" s="2" t="s">
        <v>32</v>
      </c>
      <c r="J1757" s="3">
        <v>44559</v>
      </c>
      <c r="K1757" s="2">
        <v>20</v>
      </c>
      <c r="L1757" s="2" t="s">
        <v>64</v>
      </c>
      <c r="M1757" s="3"/>
    </row>
    <row r="1758" spans="1:13" x14ac:dyDescent="0.3">
      <c r="A1758" s="2">
        <v>1757</v>
      </c>
      <c r="B1758" s="2" t="s">
        <v>2980</v>
      </c>
      <c r="C1758" s="2" t="s">
        <v>5072</v>
      </c>
      <c r="D1758" s="2" t="s">
        <v>28</v>
      </c>
      <c r="E1758" s="2" t="s">
        <v>29</v>
      </c>
      <c r="F1758" s="2">
        <v>60</v>
      </c>
      <c r="G1758" s="2" t="s">
        <v>5073</v>
      </c>
      <c r="H1758" s="2" t="s">
        <v>4071</v>
      </c>
      <c r="I1758" s="2" t="s">
        <v>886</v>
      </c>
      <c r="J1758" s="3">
        <v>44493</v>
      </c>
      <c r="K1758" s="2">
        <v>45</v>
      </c>
      <c r="L1758" s="2" t="s">
        <v>64</v>
      </c>
      <c r="M1758" s="3"/>
    </row>
    <row r="1759" spans="1:13" x14ac:dyDescent="0.3">
      <c r="A1759" s="2">
        <v>1758</v>
      </c>
      <c r="B1759" s="2" t="s">
        <v>5074</v>
      </c>
      <c r="C1759" s="2" t="s">
        <v>1627</v>
      </c>
      <c r="D1759" s="2" t="s">
        <v>15</v>
      </c>
      <c r="E1759" s="2" t="s">
        <v>16</v>
      </c>
      <c r="F1759" s="2">
        <v>30</v>
      </c>
      <c r="G1759" s="2" t="s">
        <v>5075</v>
      </c>
      <c r="H1759" s="2" t="s">
        <v>1242</v>
      </c>
      <c r="I1759" s="2" t="s">
        <v>38</v>
      </c>
      <c r="J1759" s="3">
        <v>44572</v>
      </c>
      <c r="K1759" s="2">
        <v>82</v>
      </c>
      <c r="L1759" s="2" t="s">
        <v>101</v>
      </c>
      <c r="M1759" s="3"/>
    </row>
    <row r="1760" spans="1:13" x14ac:dyDescent="0.3">
      <c r="A1760" s="2">
        <v>1759</v>
      </c>
      <c r="B1760" s="2" t="s">
        <v>5076</v>
      </c>
      <c r="C1760" s="2" t="s">
        <v>5077</v>
      </c>
      <c r="D1760" s="2" t="s">
        <v>15</v>
      </c>
      <c r="E1760" s="2" t="s">
        <v>16</v>
      </c>
      <c r="F1760" s="2">
        <v>60</v>
      </c>
      <c r="G1760" s="2" t="s">
        <v>5078</v>
      </c>
      <c r="H1760" s="2" t="s">
        <v>5079</v>
      </c>
      <c r="I1760" s="2" t="s">
        <v>294</v>
      </c>
      <c r="J1760" s="3">
        <v>44844</v>
      </c>
      <c r="K1760" s="2">
        <v>50</v>
      </c>
      <c r="L1760" s="2" t="s">
        <v>101</v>
      </c>
      <c r="M1760" s="3"/>
    </row>
    <row r="1761" spans="1:13" x14ac:dyDescent="0.3">
      <c r="A1761" s="2">
        <v>1760</v>
      </c>
      <c r="C1761" s="2" t="s">
        <v>1251</v>
      </c>
      <c r="D1761" s="2" t="s">
        <v>28</v>
      </c>
      <c r="E1761" s="2" t="s">
        <v>29</v>
      </c>
      <c r="F1761" s="2">
        <v>90</v>
      </c>
      <c r="G1761" s="2" t="s">
        <v>5080</v>
      </c>
      <c r="H1761" s="2" t="s">
        <v>4598</v>
      </c>
      <c r="I1761" s="2" t="s">
        <v>187</v>
      </c>
      <c r="J1761" s="3">
        <v>44516</v>
      </c>
      <c r="K1761" s="2">
        <v>19</v>
      </c>
      <c r="L1761" s="2" t="s">
        <v>80</v>
      </c>
      <c r="M1761" s="3"/>
    </row>
    <row r="1762" spans="1:13" x14ac:dyDescent="0.3">
      <c r="A1762" s="2">
        <v>1761</v>
      </c>
      <c r="B1762" s="2" t="s">
        <v>3329</v>
      </c>
      <c r="C1762" s="2" t="s">
        <v>5081</v>
      </c>
      <c r="D1762" s="2" t="s">
        <v>28</v>
      </c>
      <c r="E1762" s="2" t="s">
        <v>29</v>
      </c>
      <c r="F1762" s="2">
        <v>60</v>
      </c>
      <c r="G1762" s="2" t="s">
        <v>5082</v>
      </c>
      <c r="H1762" s="2" t="s">
        <v>3324</v>
      </c>
      <c r="I1762" s="2" t="s">
        <v>32</v>
      </c>
      <c r="J1762" s="3">
        <v>44870</v>
      </c>
      <c r="K1762" s="2">
        <v>98</v>
      </c>
      <c r="L1762" s="2" t="s">
        <v>45</v>
      </c>
      <c r="M1762" s="3"/>
    </row>
    <row r="1763" spans="1:13" x14ac:dyDescent="0.3">
      <c r="A1763" s="2">
        <v>1762</v>
      </c>
      <c r="B1763" s="2" t="s">
        <v>5083</v>
      </c>
      <c r="C1763" s="2" t="s">
        <v>5084</v>
      </c>
      <c r="D1763" s="2" t="s">
        <v>28</v>
      </c>
      <c r="E1763" s="2" t="s">
        <v>29</v>
      </c>
      <c r="F1763" s="2">
        <v>30</v>
      </c>
      <c r="G1763" s="2" t="s">
        <v>5085</v>
      </c>
      <c r="H1763" s="2" t="s">
        <v>3756</v>
      </c>
      <c r="I1763" s="2" t="s">
        <v>178</v>
      </c>
      <c r="J1763" s="3">
        <v>43844</v>
      </c>
      <c r="K1763" s="2">
        <v>34</v>
      </c>
      <c r="L1763" s="2" t="s">
        <v>101</v>
      </c>
      <c r="M1763" s="3"/>
    </row>
    <row r="1764" spans="1:13" x14ac:dyDescent="0.3">
      <c r="A1764" s="2">
        <v>1763</v>
      </c>
      <c r="B1764" s="2" t="s">
        <v>5086</v>
      </c>
      <c r="C1764" s="2" t="s">
        <v>593</v>
      </c>
      <c r="D1764" s="2" t="s">
        <v>28</v>
      </c>
      <c r="E1764" s="2" t="s">
        <v>29</v>
      </c>
      <c r="F1764" s="2">
        <v>90</v>
      </c>
      <c r="G1764" s="2" t="s">
        <v>5087</v>
      </c>
      <c r="H1764" s="2" t="s">
        <v>3870</v>
      </c>
      <c r="I1764" s="2" t="s">
        <v>124</v>
      </c>
      <c r="J1764" s="3">
        <v>44709</v>
      </c>
      <c r="K1764" s="2">
        <v>18</v>
      </c>
      <c r="L1764" s="2" t="s">
        <v>159</v>
      </c>
      <c r="M1764" s="3"/>
    </row>
    <row r="1765" spans="1:13" x14ac:dyDescent="0.3">
      <c r="A1765" s="2">
        <v>1764</v>
      </c>
      <c r="B1765" s="2" t="s">
        <v>5088</v>
      </c>
      <c r="C1765" s="2" t="s">
        <v>457</v>
      </c>
      <c r="D1765" s="2" t="s">
        <v>28</v>
      </c>
      <c r="E1765" s="2" t="s">
        <v>29</v>
      </c>
      <c r="F1765" s="2">
        <v>90</v>
      </c>
      <c r="G1765" s="2" t="s">
        <v>5089</v>
      </c>
      <c r="H1765" s="2" t="s">
        <v>298</v>
      </c>
      <c r="I1765" s="2" t="s">
        <v>25</v>
      </c>
      <c r="J1765" s="3">
        <v>44522</v>
      </c>
      <c r="K1765" s="2">
        <v>65</v>
      </c>
      <c r="L1765" s="2" t="s">
        <v>80</v>
      </c>
      <c r="M1765" s="3"/>
    </row>
    <row r="1766" spans="1:13" x14ac:dyDescent="0.3">
      <c r="A1766" s="2">
        <v>1765</v>
      </c>
      <c r="B1766" s="2" t="s">
        <v>1405</v>
      </c>
      <c r="C1766" s="2" t="s">
        <v>5090</v>
      </c>
      <c r="D1766" s="2" t="s">
        <v>28</v>
      </c>
      <c r="E1766" s="2" t="s">
        <v>29</v>
      </c>
      <c r="F1766" s="2">
        <v>90</v>
      </c>
      <c r="G1766" s="2" t="s">
        <v>5091</v>
      </c>
      <c r="H1766" s="2" t="s">
        <v>1781</v>
      </c>
      <c r="I1766" s="2" t="s">
        <v>32</v>
      </c>
      <c r="J1766" s="3">
        <v>44844</v>
      </c>
      <c r="K1766" s="2">
        <v>26</v>
      </c>
      <c r="L1766" s="2" t="s">
        <v>45</v>
      </c>
      <c r="M1766" s="3"/>
    </row>
    <row r="1767" spans="1:13" x14ac:dyDescent="0.3">
      <c r="A1767" s="2">
        <v>1766</v>
      </c>
      <c r="B1767" s="2" t="s">
        <v>1923</v>
      </c>
      <c r="C1767" s="2" t="s">
        <v>5092</v>
      </c>
      <c r="D1767" s="2" t="s">
        <v>28</v>
      </c>
      <c r="E1767" s="2" t="s">
        <v>29</v>
      </c>
      <c r="F1767" s="2">
        <v>30</v>
      </c>
      <c r="G1767" s="2" t="s">
        <v>5093</v>
      </c>
      <c r="H1767" s="2" t="s">
        <v>3459</v>
      </c>
      <c r="I1767" s="2" t="s">
        <v>178</v>
      </c>
      <c r="J1767" s="3">
        <v>44160</v>
      </c>
      <c r="K1767" s="2">
        <v>73</v>
      </c>
      <c r="L1767" s="2" t="s">
        <v>70</v>
      </c>
      <c r="M1767" s="3"/>
    </row>
    <row r="1768" spans="1:13" x14ac:dyDescent="0.3">
      <c r="A1768" s="2">
        <v>1767</v>
      </c>
      <c r="B1768" s="2" t="s">
        <v>1865</v>
      </c>
      <c r="C1768" s="2" t="s">
        <v>1703</v>
      </c>
      <c r="D1768" s="2" t="s">
        <v>41</v>
      </c>
      <c r="E1768" s="2" t="s">
        <v>16</v>
      </c>
      <c r="F1768" s="2">
        <v>30</v>
      </c>
      <c r="G1768" s="2" t="s">
        <v>5094</v>
      </c>
      <c r="H1768" s="2" t="s">
        <v>738</v>
      </c>
      <c r="I1768" s="2" t="s">
        <v>38</v>
      </c>
      <c r="J1768" s="3">
        <v>44240</v>
      </c>
      <c r="K1768" s="2">
        <v>28</v>
      </c>
      <c r="L1768" s="2" t="s">
        <v>39</v>
      </c>
      <c r="M1768" s="3"/>
    </row>
    <row r="1769" spans="1:13" x14ac:dyDescent="0.3">
      <c r="A1769" s="2">
        <v>1768</v>
      </c>
      <c r="B1769" s="2" t="s">
        <v>5095</v>
      </c>
      <c r="C1769" s="2" t="s">
        <v>5096</v>
      </c>
      <c r="D1769" s="2" t="s">
        <v>51</v>
      </c>
      <c r="E1769" s="2" t="s">
        <v>16</v>
      </c>
      <c r="F1769" s="2">
        <v>90</v>
      </c>
      <c r="G1769" s="2" t="s">
        <v>5097</v>
      </c>
      <c r="H1769" s="2" t="s">
        <v>2516</v>
      </c>
      <c r="I1769" s="2" t="s">
        <v>32</v>
      </c>
      <c r="J1769" s="3">
        <v>44368</v>
      </c>
      <c r="K1769" s="2">
        <v>66</v>
      </c>
      <c r="L1769" s="2" t="s">
        <v>54</v>
      </c>
      <c r="M1769" s="3"/>
    </row>
    <row r="1770" spans="1:13" x14ac:dyDescent="0.3">
      <c r="A1770" s="2">
        <v>1769</v>
      </c>
      <c r="B1770" s="2" t="s">
        <v>2600</v>
      </c>
      <c r="C1770" s="2" t="s">
        <v>1148</v>
      </c>
      <c r="D1770" s="2" t="s">
        <v>51</v>
      </c>
      <c r="E1770" s="2" t="s">
        <v>16</v>
      </c>
      <c r="F1770" s="2">
        <v>90</v>
      </c>
      <c r="G1770" s="2" t="s">
        <v>5098</v>
      </c>
      <c r="H1770" s="2" t="s">
        <v>5099</v>
      </c>
      <c r="I1770" s="2" t="s">
        <v>32</v>
      </c>
      <c r="J1770" s="3">
        <v>44211</v>
      </c>
      <c r="K1770" s="2">
        <v>51</v>
      </c>
      <c r="L1770" s="2" t="s">
        <v>101</v>
      </c>
      <c r="M1770" s="3"/>
    </row>
    <row r="1771" spans="1:13" x14ac:dyDescent="0.3">
      <c r="A1771" s="2">
        <v>1770</v>
      </c>
      <c r="B1771" s="2" t="s">
        <v>3300</v>
      </c>
      <c r="C1771" s="2" t="s">
        <v>5100</v>
      </c>
      <c r="D1771" s="2" t="s">
        <v>28</v>
      </c>
      <c r="E1771" s="2" t="s">
        <v>29</v>
      </c>
      <c r="F1771" s="2">
        <v>60</v>
      </c>
      <c r="G1771" s="2" t="s">
        <v>5101</v>
      </c>
      <c r="H1771" s="2" t="s">
        <v>2791</v>
      </c>
      <c r="I1771" s="2" t="s">
        <v>178</v>
      </c>
      <c r="J1771" s="3">
        <v>44275</v>
      </c>
      <c r="K1771" s="2">
        <v>9</v>
      </c>
      <c r="L1771" s="2" t="s">
        <v>39</v>
      </c>
      <c r="M1771" s="3"/>
    </row>
    <row r="1772" spans="1:13" x14ac:dyDescent="0.3">
      <c r="A1772" s="2">
        <v>1771</v>
      </c>
      <c r="B1772" s="2" t="s">
        <v>5102</v>
      </c>
      <c r="C1772" s="2" t="s">
        <v>1874</v>
      </c>
      <c r="D1772" s="2" t="s">
        <v>15</v>
      </c>
      <c r="E1772" s="2" t="s">
        <v>16</v>
      </c>
      <c r="F1772" s="2">
        <v>60</v>
      </c>
      <c r="G1772" s="2" t="s">
        <v>5103</v>
      </c>
      <c r="H1772" s="2" t="s">
        <v>754</v>
      </c>
      <c r="I1772" s="2" t="s">
        <v>25</v>
      </c>
      <c r="J1772" s="3">
        <v>44890</v>
      </c>
      <c r="K1772" s="2">
        <v>20</v>
      </c>
      <c r="L1772" s="2" t="s">
        <v>80</v>
      </c>
      <c r="M1772" s="3"/>
    </row>
    <row r="1773" spans="1:13" x14ac:dyDescent="0.3">
      <c r="A1773" s="2">
        <v>1772</v>
      </c>
      <c r="B1773" s="2" t="s">
        <v>2346</v>
      </c>
      <c r="C1773" s="2" t="s">
        <v>512</v>
      </c>
      <c r="D1773" s="2" t="s">
        <v>28</v>
      </c>
      <c r="E1773" s="2" t="s">
        <v>29</v>
      </c>
      <c r="F1773" s="2">
        <v>60</v>
      </c>
      <c r="G1773" s="2" t="s">
        <v>5104</v>
      </c>
      <c r="H1773" s="2" t="s">
        <v>2688</v>
      </c>
      <c r="I1773" s="2" t="s">
        <v>1199</v>
      </c>
      <c r="J1773" s="3">
        <v>44115</v>
      </c>
      <c r="K1773" s="2">
        <v>48</v>
      </c>
      <c r="L1773" s="2" t="s">
        <v>33</v>
      </c>
      <c r="M1773" s="3"/>
    </row>
    <row r="1774" spans="1:13" x14ac:dyDescent="0.3">
      <c r="A1774" s="2">
        <v>1773</v>
      </c>
      <c r="B1774" s="2" t="s">
        <v>5105</v>
      </c>
      <c r="C1774" s="2" t="s">
        <v>5106</v>
      </c>
      <c r="D1774" s="2" t="s">
        <v>51</v>
      </c>
      <c r="E1774" s="2" t="s">
        <v>16</v>
      </c>
      <c r="F1774" s="2">
        <v>30</v>
      </c>
      <c r="G1774" s="2" t="s">
        <v>5107</v>
      </c>
      <c r="H1774" s="2" t="s">
        <v>5108</v>
      </c>
      <c r="I1774" s="2" t="s">
        <v>38</v>
      </c>
      <c r="J1774" s="3">
        <v>44636</v>
      </c>
      <c r="K1774" s="2">
        <v>39</v>
      </c>
      <c r="L1774" s="2" t="s">
        <v>20</v>
      </c>
      <c r="M1774" s="3"/>
    </row>
    <row r="1775" spans="1:13" x14ac:dyDescent="0.3">
      <c r="A1775" s="2">
        <v>1774</v>
      </c>
      <c r="B1775" s="2" t="s">
        <v>111</v>
      </c>
      <c r="C1775" s="2" t="s">
        <v>647</v>
      </c>
      <c r="D1775" s="2" t="s">
        <v>28</v>
      </c>
      <c r="E1775" s="2" t="s">
        <v>29</v>
      </c>
      <c r="F1775" s="2">
        <v>60</v>
      </c>
      <c r="G1775" s="2" t="s">
        <v>5109</v>
      </c>
      <c r="H1775" s="2" t="s">
        <v>4020</v>
      </c>
      <c r="I1775" s="2" t="s">
        <v>173</v>
      </c>
      <c r="J1775" s="3">
        <v>44519</v>
      </c>
      <c r="K1775" s="2">
        <v>81</v>
      </c>
      <c r="L1775" s="2" t="s">
        <v>20</v>
      </c>
      <c r="M1775" s="3"/>
    </row>
    <row r="1776" spans="1:13" x14ac:dyDescent="0.3">
      <c r="A1776" s="2">
        <v>1775</v>
      </c>
      <c r="B1776" s="2" t="s">
        <v>5110</v>
      </c>
      <c r="C1776" s="2" t="s">
        <v>5111</v>
      </c>
      <c r="D1776" s="2" t="s">
        <v>15</v>
      </c>
      <c r="E1776" s="2" t="s">
        <v>16</v>
      </c>
      <c r="F1776" s="2">
        <v>30</v>
      </c>
      <c r="G1776" s="2" t="s">
        <v>5112</v>
      </c>
      <c r="H1776" s="2" t="s">
        <v>154</v>
      </c>
      <c r="I1776" s="2" t="s">
        <v>25</v>
      </c>
      <c r="J1776" s="3">
        <v>44170</v>
      </c>
      <c r="K1776" s="2">
        <v>19</v>
      </c>
      <c r="L1776" s="2" t="s">
        <v>70</v>
      </c>
      <c r="M1776" s="3"/>
    </row>
    <row r="1777" spans="1:13" x14ac:dyDescent="0.3">
      <c r="A1777" s="2">
        <v>1776</v>
      </c>
      <c r="B1777" s="2" t="s">
        <v>3992</v>
      </c>
      <c r="C1777" s="2" t="s">
        <v>5113</v>
      </c>
      <c r="D1777" s="2" t="s">
        <v>28</v>
      </c>
      <c r="E1777" s="2" t="s">
        <v>29</v>
      </c>
      <c r="F1777" s="2">
        <v>90</v>
      </c>
      <c r="G1777" s="2" t="s">
        <v>5114</v>
      </c>
      <c r="H1777" s="2" t="s">
        <v>2069</v>
      </c>
      <c r="I1777" s="2" t="s">
        <v>1035</v>
      </c>
      <c r="J1777" s="3">
        <v>44421</v>
      </c>
      <c r="K1777" s="2">
        <v>42</v>
      </c>
      <c r="L1777" s="2" t="s">
        <v>33</v>
      </c>
      <c r="M1777" s="3"/>
    </row>
    <row r="1778" spans="1:13" x14ac:dyDescent="0.3">
      <c r="A1778" s="2">
        <v>1777</v>
      </c>
      <c r="B1778" s="2" t="s">
        <v>705</v>
      </c>
      <c r="C1778" s="2" t="s">
        <v>1501</v>
      </c>
      <c r="D1778" s="2" t="s">
        <v>28</v>
      </c>
      <c r="E1778" s="2" t="s">
        <v>29</v>
      </c>
      <c r="F1778" s="2">
        <v>90</v>
      </c>
      <c r="G1778" s="2" t="s">
        <v>5114</v>
      </c>
      <c r="H1778" s="2" t="s">
        <v>2533</v>
      </c>
      <c r="I1778" s="2" t="s">
        <v>2534</v>
      </c>
      <c r="J1778" s="3">
        <v>44657</v>
      </c>
      <c r="K1778" s="2">
        <v>18</v>
      </c>
      <c r="L1778" s="2" t="s">
        <v>159</v>
      </c>
      <c r="M1778" s="3"/>
    </row>
    <row r="1779" spans="1:13" x14ac:dyDescent="0.3">
      <c r="A1779" s="2">
        <v>1778</v>
      </c>
      <c r="B1779" s="2" t="s">
        <v>5115</v>
      </c>
      <c r="C1779" s="2" t="s">
        <v>2071</v>
      </c>
      <c r="D1779" s="2" t="s">
        <v>28</v>
      </c>
      <c r="E1779" s="2" t="s">
        <v>29</v>
      </c>
      <c r="F1779" s="2">
        <v>60</v>
      </c>
      <c r="G1779" s="2" t="s">
        <v>5116</v>
      </c>
      <c r="H1779" s="2" t="s">
        <v>2570</v>
      </c>
      <c r="I1779" s="2" t="s">
        <v>32</v>
      </c>
      <c r="J1779" s="3">
        <v>44117</v>
      </c>
      <c r="K1779" s="2">
        <v>74</v>
      </c>
      <c r="L1779" s="2" t="s">
        <v>64</v>
      </c>
      <c r="M1779" s="3"/>
    </row>
    <row r="1780" spans="1:13" x14ac:dyDescent="0.3">
      <c r="A1780" s="2">
        <v>1779</v>
      </c>
      <c r="B1780" s="2" t="s">
        <v>4697</v>
      </c>
      <c r="C1780" s="2" t="s">
        <v>3605</v>
      </c>
      <c r="D1780" s="2" t="s">
        <v>28</v>
      </c>
      <c r="E1780" s="2" t="s">
        <v>29</v>
      </c>
      <c r="F1780" s="2">
        <v>30</v>
      </c>
      <c r="G1780" s="2" t="s">
        <v>5117</v>
      </c>
      <c r="H1780" s="2" t="s">
        <v>716</v>
      </c>
      <c r="I1780" s="2" t="s">
        <v>32</v>
      </c>
      <c r="J1780" s="3">
        <v>44425</v>
      </c>
      <c r="K1780" s="2">
        <v>23</v>
      </c>
      <c r="L1780" s="2" t="s">
        <v>45</v>
      </c>
      <c r="M1780" s="3"/>
    </row>
    <row r="1781" spans="1:13" x14ac:dyDescent="0.3">
      <c r="A1781" s="2">
        <v>1780</v>
      </c>
      <c r="B1781" s="2" t="s">
        <v>4697</v>
      </c>
      <c r="C1781" s="2" t="s">
        <v>3605</v>
      </c>
      <c r="D1781" s="2" t="s">
        <v>28</v>
      </c>
      <c r="E1781" s="2" t="s">
        <v>29</v>
      </c>
      <c r="F1781" s="2">
        <v>30</v>
      </c>
      <c r="G1781" s="2" t="s">
        <v>5117</v>
      </c>
      <c r="H1781" s="2" t="s">
        <v>716</v>
      </c>
      <c r="I1781" s="2" t="s">
        <v>32</v>
      </c>
      <c r="J1781" s="3">
        <v>44425</v>
      </c>
      <c r="K1781" s="2">
        <v>23</v>
      </c>
      <c r="L1781" s="2" t="s">
        <v>45</v>
      </c>
      <c r="M1781" s="3"/>
    </row>
    <row r="1782" spans="1:13" x14ac:dyDescent="0.3">
      <c r="A1782" s="2">
        <v>1781</v>
      </c>
      <c r="B1782" s="2" t="s">
        <v>5118</v>
      </c>
      <c r="C1782" s="2" t="s">
        <v>304</v>
      </c>
      <c r="D1782" s="2" t="s">
        <v>51</v>
      </c>
      <c r="E1782" s="2" t="s">
        <v>16</v>
      </c>
      <c r="F1782" s="2">
        <v>60</v>
      </c>
      <c r="G1782" s="2" t="s">
        <v>5119</v>
      </c>
      <c r="H1782" s="2" t="s">
        <v>3424</v>
      </c>
      <c r="I1782" s="2" t="s">
        <v>32</v>
      </c>
      <c r="J1782" s="3">
        <v>44657</v>
      </c>
      <c r="K1782" s="2">
        <v>57</v>
      </c>
      <c r="L1782" s="2" t="s">
        <v>80</v>
      </c>
      <c r="M1782" s="3"/>
    </row>
    <row r="1783" spans="1:13" x14ac:dyDescent="0.3">
      <c r="A1783" s="2">
        <v>1782</v>
      </c>
      <c r="B1783" s="2" t="s">
        <v>5120</v>
      </c>
      <c r="C1783" s="2" t="s">
        <v>2547</v>
      </c>
      <c r="D1783" s="2" t="s">
        <v>51</v>
      </c>
      <c r="E1783" s="2" t="s">
        <v>16</v>
      </c>
      <c r="F1783" s="2">
        <v>90</v>
      </c>
      <c r="G1783" s="2" t="s">
        <v>5121</v>
      </c>
      <c r="H1783" s="2" t="s">
        <v>5122</v>
      </c>
      <c r="I1783" s="2" t="s">
        <v>25</v>
      </c>
      <c r="J1783" s="3">
        <v>44036</v>
      </c>
      <c r="K1783" s="2">
        <v>19</v>
      </c>
      <c r="L1783" s="2" t="s">
        <v>20</v>
      </c>
      <c r="M1783" s="3"/>
    </row>
    <row r="1784" spans="1:13" x14ac:dyDescent="0.3">
      <c r="A1784" s="2">
        <v>1783</v>
      </c>
      <c r="B1784" s="2" t="s">
        <v>5123</v>
      </c>
      <c r="C1784" s="2" t="s">
        <v>1093</v>
      </c>
      <c r="D1784" s="2" t="s">
        <v>15</v>
      </c>
      <c r="E1784" s="2" t="s">
        <v>16</v>
      </c>
      <c r="F1784" s="2">
        <v>60</v>
      </c>
      <c r="G1784" s="2" t="s">
        <v>5124</v>
      </c>
      <c r="H1784" s="2" t="s">
        <v>2284</v>
      </c>
      <c r="I1784" s="2" t="s">
        <v>32</v>
      </c>
      <c r="J1784" s="3">
        <v>44285</v>
      </c>
      <c r="K1784" s="2">
        <v>73</v>
      </c>
      <c r="L1784" s="2" t="s">
        <v>101</v>
      </c>
      <c r="M1784" s="3"/>
    </row>
    <row r="1785" spans="1:13" x14ac:dyDescent="0.3">
      <c r="A1785" s="2">
        <v>1784</v>
      </c>
      <c r="B1785" s="2" t="s">
        <v>5125</v>
      </c>
      <c r="C1785" s="2" t="s">
        <v>3712</v>
      </c>
      <c r="D1785" s="2" t="s">
        <v>28</v>
      </c>
      <c r="E1785" s="2" t="s">
        <v>29</v>
      </c>
      <c r="F1785" s="2">
        <v>60</v>
      </c>
      <c r="G1785" s="2" t="s">
        <v>5126</v>
      </c>
      <c r="H1785" s="2" t="s">
        <v>3506</v>
      </c>
      <c r="I1785" s="2" t="s">
        <v>124</v>
      </c>
      <c r="J1785" s="3">
        <v>44295</v>
      </c>
      <c r="K1785" s="2">
        <v>45</v>
      </c>
      <c r="L1785" s="2" t="s">
        <v>54</v>
      </c>
      <c r="M1785" s="3"/>
    </row>
    <row r="1786" spans="1:13" x14ac:dyDescent="0.3">
      <c r="A1786" s="2">
        <v>1785</v>
      </c>
      <c r="B1786" s="2" t="s">
        <v>5127</v>
      </c>
      <c r="C1786" s="2" t="s">
        <v>5128</v>
      </c>
      <c r="D1786" s="2" t="s">
        <v>51</v>
      </c>
      <c r="E1786" s="2" t="s">
        <v>16</v>
      </c>
      <c r="F1786" s="2">
        <v>90</v>
      </c>
      <c r="G1786" s="2" t="s">
        <v>5129</v>
      </c>
      <c r="H1786" s="2" t="s">
        <v>3169</v>
      </c>
      <c r="I1786" s="2" t="s">
        <v>110</v>
      </c>
      <c r="J1786" s="3">
        <v>44536</v>
      </c>
      <c r="K1786" s="2">
        <v>47</v>
      </c>
      <c r="L1786" s="2" t="s">
        <v>54</v>
      </c>
      <c r="M1786" s="3"/>
    </row>
    <row r="1787" spans="1:13" x14ac:dyDescent="0.3">
      <c r="A1787" s="2">
        <v>1786</v>
      </c>
      <c r="B1787" s="2" t="s">
        <v>4922</v>
      </c>
      <c r="C1787" s="2" t="s">
        <v>2719</v>
      </c>
      <c r="D1787" s="2" t="s">
        <v>51</v>
      </c>
      <c r="E1787" s="2" t="s">
        <v>16</v>
      </c>
      <c r="F1787" s="2">
        <v>30</v>
      </c>
      <c r="G1787" s="2" t="s">
        <v>5129</v>
      </c>
      <c r="H1787" s="2" t="s">
        <v>2759</v>
      </c>
      <c r="I1787" s="2" t="s">
        <v>32</v>
      </c>
      <c r="J1787" s="3">
        <v>44412</v>
      </c>
      <c r="K1787" s="2">
        <v>30</v>
      </c>
      <c r="L1787" s="2" t="s">
        <v>39</v>
      </c>
      <c r="M1787" s="3"/>
    </row>
    <row r="1788" spans="1:13" x14ac:dyDescent="0.3">
      <c r="A1788" s="2">
        <v>1787</v>
      </c>
      <c r="B1788" s="2" t="s">
        <v>1068</v>
      </c>
      <c r="C1788" s="2" t="s">
        <v>5130</v>
      </c>
      <c r="D1788" s="2" t="s">
        <v>15</v>
      </c>
      <c r="E1788" s="2" t="s">
        <v>16</v>
      </c>
      <c r="F1788" s="2">
        <v>60</v>
      </c>
      <c r="G1788" s="2" t="s">
        <v>5131</v>
      </c>
      <c r="H1788" s="2" t="s">
        <v>5132</v>
      </c>
      <c r="I1788" s="2" t="s">
        <v>32</v>
      </c>
      <c r="J1788" s="3">
        <v>44587</v>
      </c>
      <c r="K1788" s="2">
        <v>89</v>
      </c>
      <c r="L1788" s="2" t="s">
        <v>20</v>
      </c>
      <c r="M1788" s="3"/>
    </row>
    <row r="1789" spans="1:13" x14ac:dyDescent="0.3">
      <c r="A1789" s="2">
        <v>1788</v>
      </c>
      <c r="B1789" s="2" t="s">
        <v>692</v>
      </c>
      <c r="C1789" s="2" t="s">
        <v>516</v>
      </c>
      <c r="D1789" s="2" t="s">
        <v>28</v>
      </c>
      <c r="E1789" s="2" t="s">
        <v>29</v>
      </c>
      <c r="F1789" s="2">
        <v>60</v>
      </c>
      <c r="G1789" s="2" t="s">
        <v>5133</v>
      </c>
      <c r="H1789" s="2" t="s">
        <v>5134</v>
      </c>
      <c r="I1789" s="2" t="s">
        <v>32</v>
      </c>
      <c r="J1789" s="3">
        <v>43866</v>
      </c>
      <c r="K1789" s="2">
        <v>43</v>
      </c>
      <c r="L1789" s="2" t="s">
        <v>101</v>
      </c>
      <c r="M1789" s="3"/>
    </row>
    <row r="1790" spans="1:13" x14ac:dyDescent="0.3">
      <c r="A1790" s="2">
        <v>1789</v>
      </c>
      <c r="B1790" s="2" t="s">
        <v>2812</v>
      </c>
      <c r="C1790" s="2" t="s">
        <v>414</v>
      </c>
      <c r="D1790" s="2" t="s">
        <v>15</v>
      </c>
      <c r="E1790" s="2" t="s">
        <v>16</v>
      </c>
      <c r="F1790" s="2">
        <v>30</v>
      </c>
      <c r="G1790" s="2" t="s">
        <v>5135</v>
      </c>
      <c r="H1790" s="2" t="s">
        <v>1880</v>
      </c>
      <c r="I1790" s="2" t="s">
        <v>32</v>
      </c>
      <c r="J1790" s="3">
        <v>44318</v>
      </c>
      <c r="K1790" s="2">
        <v>14</v>
      </c>
      <c r="L1790" s="2" t="s">
        <v>20</v>
      </c>
      <c r="M1790" s="3"/>
    </row>
    <row r="1791" spans="1:13" x14ac:dyDescent="0.3">
      <c r="A1791" s="2">
        <v>1790</v>
      </c>
      <c r="B1791" s="2" t="s">
        <v>1506</v>
      </c>
      <c r="C1791" s="2" t="s">
        <v>4725</v>
      </c>
      <c r="D1791" s="2" t="s">
        <v>15</v>
      </c>
      <c r="E1791" s="2" t="s">
        <v>16</v>
      </c>
      <c r="F1791" s="2">
        <v>90</v>
      </c>
      <c r="G1791" s="2" t="s">
        <v>5136</v>
      </c>
      <c r="H1791" s="2" t="s">
        <v>1590</v>
      </c>
      <c r="I1791" s="2" t="s">
        <v>32</v>
      </c>
      <c r="J1791" s="3">
        <v>44198</v>
      </c>
      <c r="K1791" s="2">
        <v>66</v>
      </c>
      <c r="L1791" s="2" t="s">
        <v>45</v>
      </c>
      <c r="M1791" s="3"/>
    </row>
    <row r="1792" spans="1:13" x14ac:dyDescent="0.3">
      <c r="A1792" s="2">
        <v>1791</v>
      </c>
      <c r="B1792" s="2" t="s">
        <v>5137</v>
      </c>
      <c r="C1792" s="2" t="s">
        <v>5138</v>
      </c>
      <c r="D1792" s="2" t="s">
        <v>41</v>
      </c>
      <c r="E1792" s="2" t="s">
        <v>282</v>
      </c>
      <c r="F1792" s="2">
        <v>90</v>
      </c>
      <c r="G1792" s="2" t="s">
        <v>5139</v>
      </c>
      <c r="H1792" s="2" t="s">
        <v>1651</v>
      </c>
      <c r="I1792" s="2" t="s">
        <v>1652</v>
      </c>
      <c r="J1792" s="3">
        <v>43884</v>
      </c>
      <c r="K1792" s="2">
        <v>16</v>
      </c>
      <c r="L1792" s="2" t="s">
        <v>33</v>
      </c>
      <c r="M1792" s="3"/>
    </row>
    <row r="1793" spans="1:13" x14ac:dyDescent="0.3">
      <c r="A1793" s="2">
        <v>1792</v>
      </c>
      <c r="B1793" s="2" t="s">
        <v>2690</v>
      </c>
      <c r="C1793" s="2" t="s">
        <v>4695</v>
      </c>
      <c r="D1793" s="2" t="s">
        <v>28</v>
      </c>
      <c r="E1793" s="2" t="s">
        <v>29</v>
      </c>
      <c r="F1793" s="2">
        <v>90</v>
      </c>
      <c r="G1793" s="2" t="s">
        <v>5140</v>
      </c>
      <c r="H1793" s="2" t="s">
        <v>3070</v>
      </c>
      <c r="I1793" s="2" t="s">
        <v>575</v>
      </c>
      <c r="J1793" s="3">
        <v>44105</v>
      </c>
      <c r="K1793" s="2">
        <v>29</v>
      </c>
      <c r="L1793" s="2" t="s">
        <v>20</v>
      </c>
      <c r="M1793" s="3"/>
    </row>
    <row r="1794" spans="1:13" x14ac:dyDescent="0.3">
      <c r="A1794" s="2">
        <v>1793</v>
      </c>
      <c r="B1794" s="2" t="s">
        <v>1169</v>
      </c>
      <c r="C1794" s="2" t="s">
        <v>4121</v>
      </c>
      <c r="D1794" s="2" t="s">
        <v>28</v>
      </c>
      <c r="E1794" s="2" t="s">
        <v>29</v>
      </c>
      <c r="F1794" s="2">
        <v>30</v>
      </c>
      <c r="G1794" s="2" t="s">
        <v>5140</v>
      </c>
      <c r="I1794" s="2" t="s">
        <v>366</v>
      </c>
      <c r="J1794" s="3">
        <v>44799</v>
      </c>
      <c r="K1794" s="2">
        <v>90</v>
      </c>
      <c r="L1794" s="2" t="s">
        <v>64</v>
      </c>
      <c r="M1794" s="3"/>
    </row>
    <row r="1795" spans="1:13" x14ac:dyDescent="0.3">
      <c r="A1795" s="2">
        <v>1794</v>
      </c>
      <c r="B1795" s="2" t="s">
        <v>5141</v>
      </c>
      <c r="C1795" s="2" t="s">
        <v>5142</v>
      </c>
      <c r="D1795" s="2" t="s">
        <v>28</v>
      </c>
      <c r="E1795" s="2" t="s">
        <v>29</v>
      </c>
      <c r="F1795" s="2">
        <v>30</v>
      </c>
      <c r="G1795" s="2" t="s">
        <v>5143</v>
      </c>
      <c r="H1795" s="2" t="s">
        <v>74</v>
      </c>
      <c r="I1795" s="2" t="s">
        <v>32</v>
      </c>
      <c r="J1795" s="3">
        <v>44623</v>
      </c>
      <c r="K1795" s="2">
        <v>74</v>
      </c>
      <c r="L1795" s="2" t="s">
        <v>45</v>
      </c>
      <c r="M1795" s="3"/>
    </row>
    <row r="1796" spans="1:13" x14ac:dyDescent="0.3">
      <c r="A1796" s="2">
        <v>1795</v>
      </c>
      <c r="B1796" s="2" t="s">
        <v>5144</v>
      </c>
      <c r="C1796" s="2" t="s">
        <v>5145</v>
      </c>
      <c r="D1796" s="2" t="s">
        <v>15</v>
      </c>
      <c r="E1796" s="2" t="s">
        <v>16</v>
      </c>
      <c r="F1796" s="2">
        <v>90</v>
      </c>
      <c r="G1796" s="2" t="s">
        <v>5146</v>
      </c>
      <c r="H1796" s="2" t="s">
        <v>4441</v>
      </c>
      <c r="I1796" s="2" t="s">
        <v>146</v>
      </c>
      <c r="J1796" s="3">
        <v>44007</v>
      </c>
      <c r="K1796" s="2">
        <v>16</v>
      </c>
      <c r="L1796" s="2" t="s">
        <v>33</v>
      </c>
      <c r="M1796" s="3"/>
    </row>
    <row r="1797" spans="1:13" x14ac:dyDescent="0.3">
      <c r="A1797" s="2">
        <v>1796</v>
      </c>
      <c r="B1797" s="2" t="s">
        <v>5147</v>
      </c>
      <c r="C1797" s="2" t="s">
        <v>3812</v>
      </c>
      <c r="D1797" s="2" t="s">
        <v>28</v>
      </c>
      <c r="E1797" s="2" t="s">
        <v>29</v>
      </c>
      <c r="F1797" s="2">
        <v>90</v>
      </c>
      <c r="G1797" s="2" t="s">
        <v>5146</v>
      </c>
      <c r="H1797" s="2" t="s">
        <v>5148</v>
      </c>
      <c r="I1797" s="2" t="s">
        <v>32</v>
      </c>
      <c r="J1797" s="3">
        <v>44255</v>
      </c>
      <c r="K1797" s="2">
        <v>92</v>
      </c>
      <c r="L1797" s="2" t="s">
        <v>45</v>
      </c>
      <c r="M1797" s="3"/>
    </row>
    <row r="1798" spans="1:13" x14ac:dyDescent="0.3">
      <c r="A1798" s="2">
        <v>1797</v>
      </c>
      <c r="B1798" s="2" t="s">
        <v>5149</v>
      </c>
      <c r="C1798" s="2" t="s">
        <v>3971</v>
      </c>
      <c r="D1798" s="2" t="s">
        <v>51</v>
      </c>
      <c r="E1798" s="2" t="s">
        <v>16</v>
      </c>
      <c r="F1798" s="2">
        <v>90</v>
      </c>
      <c r="G1798" s="2" t="s">
        <v>5150</v>
      </c>
      <c r="H1798" s="2" t="s">
        <v>1333</v>
      </c>
      <c r="I1798" s="2" t="s">
        <v>294</v>
      </c>
      <c r="J1798" s="3">
        <v>44309</v>
      </c>
      <c r="K1798" s="2">
        <v>13</v>
      </c>
      <c r="L1798" s="2" t="s">
        <v>159</v>
      </c>
      <c r="M1798" s="3"/>
    </row>
    <row r="1799" spans="1:13" x14ac:dyDescent="0.3">
      <c r="A1799" s="2">
        <v>1798</v>
      </c>
      <c r="B1799" s="2" t="s">
        <v>5151</v>
      </c>
      <c r="C1799" s="2" t="s">
        <v>3493</v>
      </c>
      <c r="D1799" s="2" t="s">
        <v>15</v>
      </c>
      <c r="E1799" s="2" t="s">
        <v>16</v>
      </c>
      <c r="F1799" s="2">
        <v>60</v>
      </c>
      <c r="G1799" s="2" t="s">
        <v>5152</v>
      </c>
      <c r="H1799" s="2" t="s">
        <v>4860</v>
      </c>
      <c r="I1799" s="2" t="s">
        <v>32</v>
      </c>
      <c r="J1799" s="3">
        <v>44159</v>
      </c>
      <c r="K1799" s="2">
        <v>58</v>
      </c>
      <c r="L1799" s="2" t="s">
        <v>64</v>
      </c>
      <c r="M1799" s="3"/>
    </row>
    <row r="1800" spans="1:13" x14ac:dyDescent="0.3">
      <c r="A1800" s="2">
        <v>1799</v>
      </c>
      <c r="B1800" s="2" t="s">
        <v>5153</v>
      </c>
      <c r="C1800" s="2" t="s">
        <v>2923</v>
      </c>
      <c r="D1800" s="2" t="s">
        <v>51</v>
      </c>
      <c r="E1800" s="2" t="s">
        <v>16</v>
      </c>
      <c r="F1800" s="2">
        <v>90</v>
      </c>
      <c r="G1800" s="2" t="s">
        <v>5154</v>
      </c>
      <c r="H1800" s="2" t="s">
        <v>3996</v>
      </c>
      <c r="I1800" s="2" t="s">
        <v>294</v>
      </c>
      <c r="J1800" s="3">
        <v>43934</v>
      </c>
      <c r="K1800" s="2">
        <v>36</v>
      </c>
      <c r="L1800" s="2" t="s">
        <v>39</v>
      </c>
      <c r="M1800" s="3"/>
    </row>
    <row r="1801" spans="1:13" x14ac:dyDescent="0.3">
      <c r="A1801" s="2">
        <v>1800</v>
      </c>
      <c r="B1801" s="2" t="s">
        <v>1304</v>
      </c>
      <c r="C1801" s="2" t="s">
        <v>2043</v>
      </c>
      <c r="D1801" s="2" t="s">
        <v>28</v>
      </c>
      <c r="E1801" s="2" t="s">
        <v>29</v>
      </c>
      <c r="F1801" s="2">
        <v>60</v>
      </c>
      <c r="G1801" s="2" t="s">
        <v>5155</v>
      </c>
      <c r="H1801" s="2" t="s">
        <v>389</v>
      </c>
      <c r="I1801" s="2" t="s">
        <v>32</v>
      </c>
      <c r="J1801" s="3">
        <v>44809</v>
      </c>
      <c r="K1801" s="2">
        <v>68</v>
      </c>
      <c r="L1801" s="2" t="s">
        <v>20</v>
      </c>
      <c r="M1801" s="3"/>
    </row>
    <row r="1802" spans="1:13" x14ac:dyDescent="0.3">
      <c r="A1802" s="2">
        <v>1801</v>
      </c>
      <c r="B1802" s="2" t="s">
        <v>4414</v>
      </c>
      <c r="C1802" s="2" t="s">
        <v>5156</v>
      </c>
      <c r="D1802" s="2" t="s">
        <v>28</v>
      </c>
      <c r="E1802" s="2" t="s">
        <v>29</v>
      </c>
      <c r="F1802" s="2">
        <v>30</v>
      </c>
      <c r="G1802" s="2" t="s">
        <v>5157</v>
      </c>
      <c r="H1802" s="2" t="s">
        <v>5158</v>
      </c>
      <c r="I1802" s="2" t="s">
        <v>5159</v>
      </c>
      <c r="J1802" s="3">
        <v>44926</v>
      </c>
      <c r="K1802" s="2">
        <v>51</v>
      </c>
      <c r="L1802" s="2" t="s">
        <v>64</v>
      </c>
      <c r="M1802" s="3"/>
    </row>
    <row r="1803" spans="1:13" x14ac:dyDescent="0.3">
      <c r="A1803" s="2">
        <v>1802</v>
      </c>
      <c r="B1803" s="2" t="s">
        <v>5160</v>
      </c>
      <c r="C1803" s="2" t="s">
        <v>5161</v>
      </c>
      <c r="D1803" s="2" t="s">
        <v>15</v>
      </c>
      <c r="E1803" s="2" t="s">
        <v>16</v>
      </c>
      <c r="F1803" s="2">
        <v>90</v>
      </c>
      <c r="G1803" s="2" t="s">
        <v>5162</v>
      </c>
      <c r="H1803" s="2" t="s">
        <v>2768</v>
      </c>
      <c r="I1803" s="2" t="s">
        <v>554</v>
      </c>
      <c r="J1803" s="3">
        <v>43990</v>
      </c>
      <c r="K1803" s="2">
        <v>7</v>
      </c>
      <c r="L1803" s="2" t="s">
        <v>20</v>
      </c>
      <c r="M1803" s="3"/>
    </row>
    <row r="1804" spans="1:13" x14ac:dyDescent="0.3">
      <c r="A1804" s="2">
        <v>1803</v>
      </c>
      <c r="B1804" s="2" t="s">
        <v>5163</v>
      </c>
      <c r="C1804" s="2" t="s">
        <v>5164</v>
      </c>
      <c r="D1804" s="2" t="s">
        <v>28</v>
      </c>
      <c r="E1804" s="2" t="s">
        <v>29</v>
      </c>
      <c r="F1804" s="2">
        <v>30</v>
      </c>
      <c r="G1804" s="2" t="s">
        <v>5165</v>
      </c>
      <c r="H1804" s="2" t="s">
        <v>248</v>
      </c>
      <c r="I1804" s="2" t="s">
        <v>178</v>
      </c>
      <c r="J1804" s="3">
        <v>44510</v>
      </c>
      <c r="K1804" s="2">
        <v>72</v>
      </c>
      <c r="L1804" s="2" t="s">
        <v>20</v>
      </c>
      <c r="M1804" s="3"/>
    </row>
    <row r="1805" spans="1:13" x14ac:dyDescent="0.3">
      <c r="A1805" s="2">
        <v>1804</v>
      </c>
      <c r="B1805" s="2" t="s">
        <v>4458</v>
      </c>
      <c r="C1805" s="2" t="s">
        <v>3519</v>
      </c>
      <c r="D1805" s="2" t="s">
        <v>28</v>
      </c>
      <c r="E1805" s="2" t="s">
        <v>29</v>
      </c>
      <c r="F1805" s="2">
        <v>90</v>
      </c>
      <c r="G1805" s="2" t="s">
        <v>5166</v>
      </c>
      <c r="H1805" s="2" t="s">
        <v>5167</v>
      </c>
      <c r="I1805" s="2" t="s">
        <v>32</v>
      </c>
      <c r="J1805" s="3">
        <v>44589</v>
      </c>
      <c r="K1805" s="2">
        <v>7</v>
      </c>
      <c r="L1805" s="2" t="s">
        <v>159</v>
      </c>
      <c r="M1805" s="3"/>
    </row>
    <row r="1806" spans="1:13" x14ac:dyDescent="0.3">
      <c r="A1806" s="2">
        <v>1805</v>
      </c>
      <c r="B1806" s="2" t="s">
        <v>2540</v>
      </c>
      <c r="C1806" s="2" t="s">
        <v>5168</v>
      </c>
      <c r="D1806" s="2" t="s">
        <v>28</v>
      </c>
      <c r="E1806" s="2" t="s">
        <v>29</v>
      </c>
      <c r="F1806" s="2">
        <v>30</v>
      </c>
      <c r="G1806" s="2" t="s">
        <v>5169</v>
      </c>
      <c r="H1806" s="2" t="s">
        <v>5170</v>
      </c>
      <c r="I1806" s="2" t="s">
        <v>294</v>
      </c>
      <c r="J1806" s="3">
        <v>44803</v>
      </c>
      <c r="K1806" s="2">
        <v>32</v>
      </c>
      <c r="L1806" s="2" t="s">
        <v>70</v>
      </c>
      <c r="M1806" s="3"/>
    </row>
    <row r="1807" spans="1:13" x14ac:dyDescent="0.3">
      <c r="A1807" s="2">
        <v>1806</v>
      </c>
      <c r="B1807" s="2" t="s">
        <v>5171</v>
      </c>
      <c r="C1807" s="2" t="s">
        <v>878</v>
      </c>
      <c r="D1807" s="2" t="s">
        <v>51</v>
      </c>
      <c r="E1807" s="2" t="s">
        <v>16</v>
      </c>
      <c r="F1807" s="2">
        <v>90</v>
      </c>
      <c r="G1807" s="2" t="s">
        <v>5172</v>
      </c>
      <c r="H1807" s="2" t="s">
        <v>5173</v>
      </c>
      <c r="I1807" s="2" t="s">
        <v>686</v>
      </c>
      <c r="J1807" s="3">
        <v>43862</v>
      </c>
      <c r="K1807" s="2">
        <v>47</v>
      </c>
      <c r="L1807" s="2" t="s">
        <v>64</v>
      </c>
      <c r="M1807" s="3"/>
    </row>
    <row r="1808" spans="1:13" x14ac:dyDescent="0.3">
      <c r="A1808" s="2">
        <v>1807</v>
      </c>
      <c r="B1808" s="2" t="s">
        <v>1376</v>
      </c>
      <c r="C1808" s="2" t="s">
        <v>5174</v>
      </c>
      <c r="D1808" s="2" t="s">
        <v>28</v>
      </c>
      <c r="E1808" s="2" t="s">
        <v>29</v>
      </c>
      <c r="F1808" s="2">
        <v>60</v>
      </c>
      <c r="G1808" s="2" t="s">
        <v>5175</v>
      </c>
      <c r="H1808" s="2" t="s">
        <v>506</v>
      </c>
      <c r="I1808" s="2" t="s">
        <v>32</v>
      </c>
      <c r="J1808" s="3">
        <v>44337</v>
      </c>
      <c r="K1808" s="2">
        <v>92</v>
      </c>
      <c r="L1808" s="2" t="s">
        <v>80</v>
      </c>
      <c r="M1808" s="3"/>
    </row>
    <row r="1809" spans="1:13" x14ac:dyDescent="0.3">
      <c r="A1809" s="2">
        <v>1808</v>
      </c>
      <c r="B1809" s="2" t="s">
        <v>5176</v>
      </c>
      <c r="C1809" s="2" t="s">
        <v>290</v>
      </c>
      <c r="D1809" s="2" t="s">
        <v>51</v>
      </c>
      <c r="E1809" s="2" t="s">
        <v>16</v>
      </c>
      <c r="F1809" s="2">
        <v>60</v>
      </c>
      <c r="G1809" s="2" t="s">
        <v>5177</v>
      </c>
      <c r="H1809" s="2" t="s">
        <v>5178</v>
      </c>
      <c r="I1809" s="2" t="s">
        <v>25</v>
      </c>
      <c r="J1809" s="3">
        <v>44769</v>
      </c>
      <c r="K1809" s="2">
        <v>93</v>
      </c>
      <c r="L1809" s="2" t="s">
        <v>54</v>
      </c>
      <c r="M1809" s="3"/>
    </row>
    <row r="1810" spans="1:13" x14ac:dyDescent="0.3">
      <c r="A1810" s="2">
        <v>1809</v>
      </c>
      <c r="B1810" s="2" t="s">
        <v>5179</v>
      </c>
      <c r="C1810" s="2" t="s">
        <v>5180</v>
      </c>
      <c r="D1810" s="2" t="s">
        <v>15</v>
      </c>
      <c r="E1810" s="2" t="s">
        <v>16</v>
      </c>
      <c r="F1810" s="2">
        <v>90</v>
      </c>
      <c r="G1810" s="2" t="s">
        <v>5181</v>
      </c>
      <c r="H1810" s="2" t="s">
        <v>1087</v>
      </c>
      <c r="I1810" s="2" t="s">
        <v>554</v>
      </c>
      <c r="J1810" s="3">
        <v>44811</v>
      </c>
      <c r="K1810" s="2">
        <v>95</v>
      </c>
      <c r="L1810" s="2" t="s">
        <v>33</v>
      </c>
      <c r="M1810" s="3"/>
    </row>
    <row r="1811" spans="1:13" x14ac:dyDescent="0.3">
      <c r="A1811" s="2">
        <v>1810</v>
      </c>
      <c r="B1811" s="2" t="s">
        <v>3519</v>
      </c>
      <c r="C1811" s="2" t="s">
        <v>4379</v>
      </c>
      <c r="D1811" s="2" t="s">
        <v>51</v>
      </c>
      <c r="E1811" s="2" t="s">
        <v>16</v>
      </c>
      <c r="F1811" s="2">
        <v>90</v>
      </c>
      <c r="G1811" s="2" t="s">
        <v>5182</v>
      </c>
      <c r="H1811" s="2" t="s">
        <v>2877</v>
      </c>
      <c r="I1811" s="2" t="s">
        <v>2878</v>
      </c>
      <c r="J1811" s="3">
        <v>44077</v>
      </c>
      <c r="K1811" s="2">
        <v>11</v>
      </c>
      <c r="L1811" s="2" t="s">
        <v>159</v>
      </c>
      <c r="M1811" s="3"/>
    </row>
    <row r="1812" spans="1:13" x14ac:dyDescent="0.3">
      <c r="A1812" s="2">
        <v>1811</v>
      </c>
      <c r="B1812" s="2" t="s">
        <v>5183</v>
      </c>
      <c r="C1812" s="2" t="s">
        <v>783</v>
      </c>
      <c r="D1812" s="2" t="s">
        <v>51</v>
      </c>
      <c r="E1812" s="2" t="s">
        <v>16</v>
      </c>
      <c r="F1812" s="2">
        <v>60</v>
      </c>
      <c r="G1812" s="2" t="s">
        <v>5182</v>
      </c>
      <c r="H1812" s="2" t="s">
        <v>307</v>
      </c>
      <c r="I1812" s="2" t="s">
        <v>32</v>
      </c>
      <c r="J1812" s="3">
        <v>43980</v>
      </c>
      <c r="K1812" s="2">
        <v>28</v>
      </c>
      <c r="L1812" s="2" t="s">
        <v>80</v>
      </c>
      <c r="M1812" s="3"/>
    </row>
    <row r="1813" spans="1:13" x14ac:dyDescent="0.3">
      <c r="A1813" s="2">
        <v>1812</v>
      </c>
      <c r="B1813" s="2" t="s">
        <v>5184</v>
      </c>
      <c r="C1813" s="2" t="s">
        <v>4042</v>
      </c>
      <c r="D1813" s="2" t="s">
        <v>28</v>
      </c>
      <c r="E1813" s="2" t="s">
        <v>29</v>
      </c>
      <c r="F1813" s="2">
        <v>60</v>
      </c>
      <c r="G1813" s="2" t="s">
        <v>5185</v>
      </c>
      <c r="H1813" s="2" t="s">
        <v>1052</v>
      </c>
      <c r="I1813" s="2" t="s">
        <v>32</v>
      </c>
      <c r="J1813" s="3">
        <v>44153</v>
      </c>
      <c r="K1813" s="2">
        <v>63</v>
      </c>
      <c r="L1813" s="2" t="s">
        <v>20</v>
      </c>
      <c r="M1813" s="3"/>
    </row>
    <row r="1814" spans="1:13" x14ac:dyDescent="0.3">
      <c r="A1814" s="2">
        <v>1813</v>
      </c>
      <c r="B1814" s="2" t="s">
        <v>2627</v>
      </c>
      <c r="C1814" s="2" t="s">
        <v>3779</v>
      </c>
      <c r="D1814" s="2" t="s">
        <v>51</v>
      </c>
      <c r="E1814" s="2" t="s">
        <v>16</v>
      </c>
      <c r="F1814" s="2">
        <v>30</v>
      </c>
      <c r="G1814" s="2" t="s">
        <v>5186</v>
      </c>
      <c r="H1814" s="2" t="s">
        <v>674</v>
      </c>
      <c r="I1814" s="2" t="s">
        <v>32</v>
      </c>
      <c r="J1814" s="3">
        <v>44654</v>
      </c>
      <c r="K1814" s="2">
        <v>66</v>
      </c>
      <c r="L1814" s="2" t="s">
        <v>54</v>
      </c>
      <c r="M1814" s="3"/>
    </row>
    <row r="1815" spans="1:13" x14ac:dyDescent="0.3">
      <c r="A1815" s="2">
        <v>1814</v>
      </c>
      <c r="B1815" s="2" t="s">
        <v>5187</v>
      </c>
      <c r="C1815" s="2" t="s">
        <v>1851</v>
      </c>
      <c r="D1815" s="2" t="s">
        <v>41</v>
      </c>
      <c r="E1815" s="2" t="s">
        <v>16</v>
      </c>
      <c r="F1815" s="2">
        <v>30</v>
      </c>
      <c r="G1815" s="2" t="s">
        <v>5188</v>
      </c>
      <c r="H1815" s="2" t="s">
        <v>5189</v>
      </c>
      <c r="I1815" s="2" t="s">
        <v>32</v>
      </c>
      <c r="J1815" s="3">
        <v>44875</v>
      </c>
      <c r="K1815" s="2">
        <v>37</v>
      </c>
      <c r="L1815" s="2" t="s">
        <v>64</v>
      </c>
      <c r="M1815" s="3"/>
    </row>
    <row r="1816" spans="1:13" x14ac:dyDescent="0.3">
      <c r="A1816" s="2">
        <v>1815</v>
      </c>
      <c r="B1816" s="2" t="s">
        <v>5187</v>
      </c>
      <c r="C1816" s="2" t="s">
        <v>1851</v>
      </c>
      <c r="D1816" s="2" t="s">
        <v>41</v>
      </c>
      <c r="E1816" s="2" t="s">
        <v>16</v>
      </c>
      <c r="F1816" s="2">
        <v>30</v>
      </c>
      <c r="G1816" s="2" t="s">
        <v>5188</v>
      </c>
      <c r="H1816" s="2" t="s">
        <v>5189</v>
      </c>
      <c r="I1816" s="2" t="s">
        <v>32</v>
      </c>
      <c r="J1816" s="3">
        <v>44875</v>
      </c>
      <c r="K1816" s="2">
        <v>37</v>
      </c>
      <c r="L1816" s="2" t="s">
        <v>64</v>
      </c>
      <c r="M1816" s="3"/>
    </row>
    <row r="1817" spans="1:13" x14ac:dyDescent="0.3">
      <c r="A1817" s="2">
        <v>1816</v>
      </c>
      <c r="B1817" s="2" t="s">
        <v>5190</v>
      </c>
      <c r="C1817" s="2" t="s">
        <v>5191</v>
      </c>
      <c r="D1817" s="2" t="s">
        <v>41</v>
      </c>
      <c r="E1817" s="2" t="s">
        <v>16</v>
      </c>
      <c r="F1817" s="2">
        <v>60</v>
      </c>
      <c r="G1817" s="2" t="s">
        <v>5192</v>
      </c>
      <c r="H1817" s="2" t="s">
        <v>429</v>
      </c>
      <c r="I1817" s="2" t="s">
        <v>32</v>
      </c>
      <c r="J1817" s="3">
        <v>44019</v>
      </c>
      <c r="K1817" s="2">
        <v>73</v>
      </c>
      <c r="L1817" s="2" t="s">
        <v>159</v>
      </c>
      <c r="M1817" s="3"/>
    </row>
    <row r="1818" spans="1:13" x14ac:dyDescent="0.3">
      <c r="A1818" s="2">
        <v>1817</v>
      </c>
      <c r="B1818" s="2" t="s">
        <v>1961</v>
      </c>
      <c r="C1818" s="2" t="s">
        <v>5193</v>
      </c>
      <c r="D1818" s="2" t="s">
        <v>51</v>
      </c>
      <c r="E1818" s="2" t="s">
        <v>16</v>
      </c>
      <c r="F1818" s="2">
        <v>90</v>
      </c>
      <c r="G1818" s="2" t="s">
        <v>5194</v>
      </c>
      <c r="H1818" s="2" t="s">
        <v>1131</v>
      </c>
      <c r="I1818" s="2" t="s">
        <v>32</v>
      </c>
      <c r="J1818" s="3">
        <v>44563</v>
      </c>
      <c r="K1818" s="2">
        <v>93</v>
      </c>
      <c r="L1818" s="2" t="s">
        <v>80</v>
      </c>
      <c r="M1818" s="3"/>
    </row>
    <row r="1819" spans="1:13" x14ac:dyDescent="0.3">
      <c r="A1819" s="2">
        <v>1818</v>
      </c>
      <c r="B1819" s="2" t="s">
        <v>5195</v>
      </c>
      <c r="C1819" s="2" t="s">
        <v>5196</v>
      </c>
      <c r="D1819" s="2" t="s">
        <v>28</v>
      </c>
      <c r="E1819" s="2" t="s">
        <v>29</v>
      </c>
      <c r="F1819" s="2">
        <v>60</v>
      </c>
      <c r="G1819" s="2" t="s">
        <v>5197</v>
      </c>
      <c r="H1819" s="2" t="s">
        <v>1164</v>
      </c>
      <c r="I1819" s="2" t="s">
        <v>89</v>
      </c>
      <c r="J1819" s="3">
        <v>44499</v>
      </c>
      <c r="K1819" s="2">
        <v>26</v>
      </c>
      <c r="L1819" s="2" t="s">
        <v>39</v>
      </c>
      <c r="M1819" s="3"/>
    </row>
    <row r="1820" spans="1:13" x14ac:dyDescent="0.3">
      <c r="A1820" s="2">
        <v>1819</v>
      </c>
      <c r="B1820" s="2" t="s">
        <v>5198</v>
      </c>
      <c r="C1820" s="2" t="s">
        <v>5199</v>
      </c>
      <c r="D1820" s="2" t="s">
        <v>51</v>
      </c>
      <c r="E1820" s="2" t="s">
        <v>16</v>
      </c>
      <c r="F1820" s="2">
        <v>30</v>
      </c>
      <c r="G1820" s="2" t="s">
        <v>5200</v>
      </c>
      <c r="H1820" s="2" t="s">
        <v>637</v>
      </c>
      <c r="I1820" s="2" t="s">
        <v>32</v>
      </c>
      <c r="J1820" s="3">
        <v>44800</v>
      </c>
      <c r="K1820" s="2">
        <v>96</v>
      </c>
      <c r="L1820" s="2" t="s">
        <v>39</v>
      </c>
      <c r="M1820" s="3"/>
    </row>
    <row r="1821" spans="1:13" x14ac:dyDescent="0.3">
      <c r="A1821" s="2">
        <v>1820</v>
      </c>
      <c r="B1821" s="2" t="s">
        <v>3910</v>
      </c>
      <c r="C1821" s="2" t="s">
        <v>4750</v>
      </c>
      <c r="D1821" s="2" t="s">
        <v>28</v>
      </c>
      <c r="E1821" s="2" t="s">
        <v>29</v>
      </c>
      <c r="F1821" s="2">
        <v>60</v>
      </c>
      <c r="G1821" s="2" t="s">
        <v>5201</v>
      </c>
      <c r="H1821" s="2" t="s">
        <v>1741</v>
      </c>
      <c r="I1821" s="2" t="s">
        <v>173</v>
      </c>
      <c r="J1821" s="3">
        <v>44391</v>
      </c>
      <c r="K1821" s="2">
        <v>81</v>
      </c>
      <c r="L1821" s="2" t="s">
        <v>159</v>
      </c>
      <c r="M1821" s="3"/>
    </row>
    <row r="1822" spans="1:13" x14ac:dyDescent="0.3">
      <c r="A1822" s="2">
        <v>1821</v>
      </c>
      <c r="B1822" s="2" t="s">
        <v>3655</v>
      </c>
      <c r="C1822" s="2" t="s">
        <v>2336</v>
      </c>
      <c r="D1822" s="2" t="s">
        <v>28</v>
      </c>
      <c r="E1822" s="2" t="s">
        <v>29</v>
      </c>
      <c r="F1822" s="2">
        <v>90</v>
      </c>
      <c r="G1822" s="2" t="s">
        <v>5202</v>
      </c>
      <c r="H1822" s="2" t="s">
        <v>2893</v>
      </c>
      <c r="I1822" s="2" t="s">
        <v>32</v>
      </c>
      <c r="J1822" s="3">
        <v>44015</v>
      </c>
      <c r="K1822" s="2">
        <v>66</v>
      </c>
      <c r="L1822" s="2" t="s">
        <v>39</v>
      </c>
      <c r="M1822" s="3"/>
    </row>
    <row r="1823" spans="1:13" x14ac:dyDescent="0.3">
      <c r="A1823" s="2">
        <v>1822</v>
      </c>
      <c r="B1823" s="2" t="s">
        <v>4988</v>
      </c>
      <c r="C1823" s="2" t="s">
        <v>5203</v>
      </c>
      <c r="D1823" s="2" t="s">
        <v>15</v>
      </c>
      <c r="E1823" s="2" t="s">
        <v>16</v>
      </c>
      <c r="F1823" s="2">
        <v>60</v>
      </c>
      <c r="G1823" s="2" t="s">
        <v>5204</v>
      </c>
      <c r="H1823" s="2" t="s">
        <v>3299</v>
      </c>
      <c r="I1823" s="2" t="s">
        <v>32</v>
      </c>
      <c r="J1823" s="3">
        <v>44765</v>
      </c>
      <c r="K1823" s="2">
        <v>51</v>
      </c>
      <c r="L1823" s="2" t="s">
        <v>159</v>
      </c>
      <c r="M1823" s="3"/>
    </row>
    <row r="1824" spans="1:13" x14ac:dyDescent="0.3">
      <c r="A1824" s="2">
        <v>1823</v>
      </c>
      <c r="B1824" s="2" t="s">
        <v>5205</v>
      </c>
      <c r="C1824" s="2" t="s">
        <v>2024</v>
      </c>
      <c r="D1824" s="2" t="s">
        <v>15</v>
      </c>
      <c r="E1824" s="2" t="s">
        <v>16</v>
      </c>
      <c r="F1824" s="2">
        <v>90</v>
      </c>
      <c r="G1824" s="2" t="s">
        <v>5206</v>
      </c>
      <c r="H1824" s="2" t="s">
        <v>5207</v>
      </c>
      <c r="I1824" s="2" t="s">
        <v>38</v>
      </c>
      <c r="J1824" s="3">
        <v>44876</v>
      </c>
      <c r="K1824" s="2">
        <v>39</v>
      </c>
      <c r="L1824" s="2" t="s">
        <v>80</v>
      </c>
      <c r="M1824" s="3"/>
    </row>
    <row r="1825" spans="1:13" x14ac:dyDescent="0.3">
      <c r="A1825" s="2">
        <v>1824</v>
      </c>
      <c r="B1825" s="2" t="s">
        <v>5208</v>
      </c>
      <c r="C1825" s="2" t="s">
        <v>3155</v>
      </c>
      <c r="D1825" s="2" t="s">
        <v>28</v>
      </c>
      <c r="E1825" s="2" t="s">
        <v>29</v>
      </c>
      <c r="F1825" s="2">
        <v>60</v>
      </c>
      <c r="G1825" s="2" t="s">
        <v>5209</v>
      </c>
      <c r="H1825" s="2" t="s">
        <v>474</v>
      </c>
      <c r="I1825" s="2" t="s">
        <v>475</v>
      </c>
      <c r="J1825" s="3">
        <v>44281</v>
      </c>
      <c r="K1825" s="2">
        <v>24</v>
      </c>
      <c r="L1825" s="2" t="s">
        <v>33</v>
      </c>
      <c r="M1825" s="3"/>
    </row>
    <row r="1826" spans="1:13" x14ac:dyDescent="0.3">
      <c r="A1826" s="2">
        <v>1825</v>
      </c>
      <c r="B1826" s="2" t="s">
        <v>5210</v>
      </c>
      <c r="C1826" s="2" t="s">
        <v>5211</v>
      </c>
      <c r="D1826" s="2" t="s">
        <v>51</v>
      </c>
      <c r="E1826" s="2" t="s">
        <v>16</v>
      </c>
      <c r="F1826" s="2">
        <v>30</v>
      </c>
      <c r="G1826" s="2" t="s">
        <v>5212</v>
      </c>
      <c r="H1826" s="2" t="s">
        <v>5025</v>
      </c>
      <c r="I1826" s="2" t="s">
        <v>32</v>
      </c>
      <c r="J1826" s="3">
        <v>44426</v>
      </c>
      <c r="K1826" s="2">
        <v>51</v>
      </c>
      <c r="L1826" s="2" t="s">
        <v>159</v>
      </c>
      <c r="M1826" s="3"/>
    </row>
    <row r="1827" spans="1:13" x14ac:dyDescent="0.3">
      <c r="A1827" s="2">
        <v>1826</v>
      </c>
      <c r="B1827" s="2" t="s">
        <v>5213</v>
      </c>
      <c r="C1827" s="2" t="s">
        <v>5214</v>
      </c>
      <c r="D1827" s="2" t="s">
        <v>51</v>
      </c>
      <c r="E1827" s="2" t="s">
        <v>16</v>
      </c>
      <c r="F1827" s="2">
        <v>30</v>
      </c>
      <c r="G1827" s="2" t="s">
        <v>5212</v>
      </c>
      <c r="H1827" s="2" t="s">
        <v>4825</v>
      </c>
      <c r="I1827" s="2" t="s">
        <v>32</v>
      </c>
      <c r="J1827" s="3">
        <v>44287</v>
      </c>
      <c r="K1827" s="2">
        <v>16</v>
      </c>
      <c r="L1827" s="2" t="s">
        <v>45</v>
      </c>
      <c r="M1827" s="3"/>
    </row>
    <row r="1828" spans="1:13" x14ac:dyDescent="0.3">
      <c r="A1828" s="2">
        <v>1827</v>
      </c>
      <c r="B1828" s="2" t="s">
        <v>1657</v>
      </c>
      <c r="C1828" s="2" t="s">
        <v>5215</v>
      </c>
      <c r="D1828" s="2" t="s">
        <v>28</v>
      </c>
      <c r="E1828" s="2" t="s">
        <v>29</v>
      </c>
      <c r="F1828" s="2">
        <v>30</v>
      </c>
      <c r="G1828" s="2" t="s">
        <v>5216</v>
      </c>
      <c r="H1828" s="2" t="s">
        <v>3909</v>
      </c>
      <c r="I1828" s="2" t="s">
        <v>32</v>
      </c>
      <c r="J1828" s="3">
        <v>44193</v>
      </c>
      <c r="K1828" s="2">
        <v>42</v>
      </c>
      <c r="L1828" s="2" t="s">
        <v>45</v>
      </c>
      <c r="M1828" s="3"/>
    </row>
    <row r="1829" spans="1:13" x14ac:dyDescent="0.3">
      <c r="A1829" s="2">
        <v>1828</v>
      </c>
      <c r="B1829" s="2" t="s">
        <v>972</v>
      </c>
      <c r="C1829" s="2" t="s">
        <v>5217</v>
      </c>
      <c r="D1829" s="2" t="s">
        <v>28</v>
      </c>
      <c r="E1829" s="2" t="s">
        <v>29</v>
      </c>
      <c r="F1829" s="2">
        <v>60</v>
      </c>
      <c r="G1829" s="2" t="s">
        <v>5218</v>
      </c>
      <c r="H1829" s="2" t="s">
        <v>3619</v>
      </c>
      <c r="I1829" s="2" t="s">
        <v>575</v>
      </c>
      <c r="J1829" s="3">
        <v>44678</v>
      </c>
      <c r="K1829" s="2">
        <v>105</v>
      </c>
      <c r="L1829" s="2" t="s">
        <v>64</v>
      </c>
      <c r="M1829" s="3"/>
    </row>
    <row r="1830" spans="1:13" x14ac:dyDescent="0.3">
      <c r="A1830" s="2">
        <v>1829</v>
      </c>
      <c r="B1830" s="2" t="s">
        <v>5219</v>
      </c>
      <c r="C1830" s="2" t="s">
        <v>332</v>
      </c>
      <c r="D1830" s="2" t="s">
        <v>51</v>
      </c>
      <c r="E1830" s="2" t="s">
        <v>16</v>
      </c>
      <c r="F1830" s="2">
        <v>60</v>
      </c>
      <c r="G1830" s="2" t="s">
        <v>5220</v>
      </c>
      <c r="H1830" s="2" t="s">
        <v>2305</v>
      </c>
      <c r="I1830" s="2" t="s">
        <v>25</v>
      </c>
      <c r="J1830" s="3">
        <v>44803</v>
      </c>
      <c r="K1830" s="2">
        <v>85</v>
      </c>
      <c r="L1830" s="2" t="s">
        <v>33</v>
      </c>
      <c r="M1830" s="3"/>
    </row>
    <row r="1831" spans="1:13" x14ac:dyDescent="0.3">
      <c r="A1831" s="2">
        <v>1830</v>
      </c>
      <c r="B1831" s="2" t="s">
        <v>4920</v>
      </c>
      <c r="C1831" s="2" t="s">
        <v>5214</v>
      </c>
      <c r="D1831" s="2" t="s">
        <v>51</v>
      </c>
      <c r="E1831" s="2" t="s">
        <v>16</v>
      </c>
      <c r="F1831" s="2">
        <v>90</v>
      </c>
      <c r="G1831" s="2" t="s">
        <v>5221</v>
      </c>
      <c r="H1831" s="2" t="s">
        <v>5222</v>
      </c>
      <c r="I1831" s="2" t="s">
        <v>32</v>
      </c>
      <c r="J1831" s="3">
        <v>43938</v>
      </c>
      <c r="K1831" s="2">
        <v>42</v>
      </c>
      <c r="L1831" s="2" t="s">
        <v>54</v>
      </c>
      <c r="M1831" s="3"/>
    </row>
    <row r="1832" spans="1:13" x14ac:dyDescent="0.3">
      <c r="A1832" s="2">
        <v>1831</v>
      </c>
      <c r="B1832" s="2" t="s">
        <v>5223</v>
      </c>
      <c r="C1832" s="2" t="s">
        <v>632</v>
      </c>
      <c r="D1832" s="2" t="s">
        <v>51</v>
      </c>
      <c r="E1832" s="2" t="s">
        <v>16</v>
      </c>
      <c r="F1832" s="2">
        <v>30</v>
      </c>
      <c r="G1832" s="2" t="s">
        <v>5224</v>
      </c>
      <c r="H1832" s="2" t="s">
        <v>2265</v>
      </c>
      <c r="I1832" s="2" t="s">
        <v>1083</v>
      </c>
      <c r="J1832" s="3">
        <v>44048</v>
      </c>
      <c r="K1832" s="2">
        <v>73</v>
      </c>
      <c r="L1832" s="2" t="s">
        <v>20</v>
      </c>
      <c r="M1832" s="3"/>
    </row>
    <row r="1833" spans="1:13" x14ac:dyDescent="0.3">
      <c r="A1833" s="2">
        <v>1832</v>
      </c>
      <c r="B1833" s="2" t="s">
        <v>4663</v>
      </c>
      <c r="C1833" s="2" t="s">
        <v>5225</v>
      </c>
      <c r="D1833" s="2" t="s">
        <v>28</v>
      </c>
      <c r="E1833" s="2" t="s">
        <v>29</v>
      </c>
      <c r="F1833" s="2">
        <v>60</v>
      </c>
      <c r="G1833" s="2" t="s">
        <v>5226</v>
      </c>
      <c r="H1833" s="2" t="s">
        <v>2441</v>
      </c>
      <c r="I1833" s="2" t="s">
        <v>1199</v>
      </c>
      <c r="J1833" s="3">
        <v>44162</v>
      </c>
      <c r="K1833" s="2">
        <v>7</v>
      </c>
      <c r="L1833" s="2" t="s">
        <v>159</v>
      </c>
      <c r="M1833" s="3"/>
    </row>
    <row r="1834" spans="1:13" x14ac:dyDescent="0.3">
      <c r="A1834" s="2">
        <v>1833</v>
      </c>
      <c r="B1834" s="2" t="s">
        <v>5227</v>
      </c>
      <c r="C1834" s="2" t="s">
        <v>4481</v>
      </c>
      <c r="D1834" s="2" t="s">
        <v>28</v>
      </c>
      <c r="E1834" s="2" t="s">
        <v>29</v>
      </c>
      <c r="F1834" s="2">
        <v>90</v>
      </c>
      <c r="G1834" s="2" t="s">
        <v>5228</v>
      </c>
      <c r="H1834" s="2" t="s">
        <v>4479</v>
      </c>
      <c r="I1834" s="2" t="s">
        <v>32</v>
      </c>
      <c r="J1834" s="3">
        <v>44278</v>
      </c>
      <c r="K1834" s="2">
        <v>11</v>
      </c>
      <c r="L1834" s="2" t="s">
        <v>80</v>
      </c>
      <c r="M1834" s="3"/>
    </row>
    <row r="1835" spans="1:13" x14ac:dyDescent="0.3">
      <c r="A1835" s="2">
        <v>1834</v>
      </c>
      <c r="B1835" s="2" t="s">
        <v>1140</v>
      </c>
      <c r="C1835" s="2" t="s">
        <v>233</v>
      </c>
      <c r="D1835" s="2" t="s">
        <v>28</v>
      </c>
      <c r="E1835" s="2" t="s">
        <v>29</v>
      </c>
      <c r="F1835" s="2">
        <v>90</v>
      </c>
      <c r="G1835" s="2" t="s">
        <v>5229</v>
      </c>
      <c r="H1835" s="2" t="s">
        <v>4527</v>
      </c>
      <c r="I1835" s="2" t="s">
        <v>32</v>
      </c>
      <c r="J1835" s="3">
        <v>44822</v>
      </c>
      <c r="K1835" s="2">
        <v>104</v>
      </c>
      <c r="L1835" s="2" t="s">
        <v>39</v>
      </c>
      <c r="M1835" s="3"/>
    </row>
    <row r="1836" spans="1:13" x14ac:dyDescent="0.3">
      <c r="A1836" s="2">
        <v>1835</v>
      </c>
      <c r="B1836" s="2" t="s">
        <v>5230</v>
      </c>
      <c r="C1836" s="2" t="s">
        <v>1222</v>
      </c>
      <c r="D1836" s="2" t="s">
        <v>51</v>
      </c>
      <c r="E1836" s="2" t="s">
        <v>16</v>
      </c>
      <c r="F1836" s="2">
        <v>60</v>
      </c>
      <c r="G1836" s="2" t="s">
        <v>5231</v>
      </c>
      <c r="H1836" s="2" t="s">
        <v>5232</v>
      </c>
      <c r="I1836" s="2" t="s">
        <v>146</v>
      </c>
      <c r="J1836" s="3">
        <v>43835</v>
      </c>
      <c r="K1836" s="2">
        <v>52</v>
      </c>
      <c r="L1836" s="2" t="s">
        <v>64</v>
      </c>
      <c r="M1836" s="3"/>
    </row>
    <row r="1837" spans="1:13" x14ac:dyDescent="0.3">
      <c r="A1837" s="2">
        <v>1836</v>
      </c>
      <c r="B1837" s="2" t="s">
        <v>5233</v>
      </c>
      <c r="C1837" s="2" t="s">
        <v>3222</v>
      </c>
      <c r="D1837" s="2" t="s">
        <v>15</v>
      </c>
      <c r="E1837" s="2" t="s">
        <v>16</v>
      </c>
      <c r="F1837" s="2">
        <v>60</v>
      </c>
      <c r="G1837" s="2" t="s">
        <v>5234</v>
      </c>
      <c r="H1837" s="2" t="s">
        <v>595</v>
      </c>
      <c r="I1837" s="2" t="s">
        <v>124</v>
      </c>
      <c r="J1837" s="3">
        <v>43935</v>
      </c>
      <c r="K1837" s="2">
        <v>71</v>
      </c>
      <c r="L1837" s="2" t="s">
        <v>39</v>
      </c>
      <c r="M1837" s="3"/>
    </row>
    <row r="1838" spans="1:13" x14ac:dyDescent="0.3">
      <c r="A1838" s="2">
        <v>1837</v>
      </c>
      <c r="B1838" s="2" t="s">
        <v>5235</v>
      </c>
      <c r="C1838" s="2" t="s">
        <v>72</v>
      </c>
      <c r="D1838" s="2" t="s">
        <v>51</v>
      </c>
      <c r="E1838" s="2" t="s">
        <v>16</v>
      </c>
      <c r="F1838" s="2">
        <v>90</v>
      </c>
      <c r="G1838" s="2" t="s">
        <v>5236</v>
      </c>
      <c r="H1838" s="2" t="s">
        <v>3334</v>
      </c>
      <c r="I1838" s="2" t="s">
        <v>32</v>
      </c>
      <c r="J1838" s="3">
        <v>44129</v>
      </c>
      <c r="K1838" s="2">
        <v>68</v>
      </c>
      <c r="L1838" s="2" t="s">
        <v>80</v>
      </c>
      <c r="M1838" s="3"/>
    </row>
    <row r="1839" spans="1:13" x14ac:dyDescent="0.3">
      <c r="A1839" s="2">
        <v>1838</v>
      </c>
      <c r="B1839" s="2" t="s">
        <v>5237</v>
      </c>
      <c r="C1839" s="2" t="s">
        <v>1891</v>
      </c>
      <c r="D1839" s="2" t="s">
        <v>28</v>
      </c>
      <c r="E1839" s="2" t="s">
        <v>29</v>
      </c>
      <c r="F1839" s="2">
        <v>30</v>
      </c>
      <c r="G1839" s="2" t="s">
        <v>5238</v>
      </c>
      <c r="H1839" s="2" t="s">
        <v>970</v>
      </c>
      <c r="I1839" s="2" t="s">
        <v>187</v>
      </c>
      <c r="J1839" s="3">
        <v>44278</v>
      </c>
      <c r="K1839" s="2">
        <v>83</v>
      </c>
      <c r="L1839" s="2" t="s">
        <v>39</v>
      </c>
      <c r="M1839" s="3"/>
    </row>
    <row r="1840" spans="1:13" x14ac:dyDescent="0.3">
      <c r="A1840" s="2">
        <v>1839</v>
      </c>
      <c r="B1840" s="2" t="s">
        <v>5239</v>
      </c>
      <c r="C1840" s="2" t="s">
        <v>3079</v>
      </c>
      <c r="D1840" s="2" t="s">
        <v>51</v>
      </c>
      <c r="E1840" s="2" t="s">
        <v>16</v>
      </c>
      <c r="F1840" s="2">
        <v>30</v>
      </c>
      <c r="G1840" s="2" t="s">
        <v>5240</v>
      </c>
      <c r="H1840" s="2" t="s">
        <v>5241</v>
      </c>
      <c r="I1840" s="2" t="s">
        <v>32</v>
      </c>
      <c r="J1840" s="3">
        <v>43959</v>
      </c>
      <c r="K1840" s="2">
        <v>43</v>
      </c>
      <c r="L1840" s="2" t="s">
        <v>159</v>
      </c>
      <c r="M1840" s="3"/>
    </row>
    <row r="1841" spans="1:13" x14ac:dyDescent="0.3">
      <c r="A1841" s="2">
        <v>1840</v>
      </c>
      <c r="B1841" s="2" t="s">
        <v>3574</v>
      </c>
      <c r="C1841" s="2" t="s">
        <v>1470</v>
      </c>
      <c r="D1841" s="2" t="s">
        <v>15</v>
      </c>
      <c r="E1841" s="2" t="s">
        <v>16</v>
      </c>
      <c r="F1841" s="2">
        <v>30</v>
      </c>
      <c r="G1841" s="2" t="s">
        <v>5242</v>
      </c>
      <c r="H1841" s="2" t="s">
        <v>5243</v>
      </c>
      <c r="I1841" s="2" t="s">
        <v>25</v>
      </c>
      <c r="J1841" s="3">
        <v>44300</v>
      </c>
      <c r="K1841" s="2">
        <v>75</v>
      </c>
      <c r="L1841" s="2" t="s">
        <v>64</v>
      </c>
      <c r="M1841" s="3"/>
    </row>
    <row r="1842" spans="1:13" x14ac:dyDescent="0.3">
      <c r="A1842" s="2">
        <v>1841</v>
      </c>
      <c r="B1842" s="2" t="s">
        <v>1656</v>
      </c>
      <c r="C1842" s="2" t="s">
        <v>2392</v>
      </c>
      <c r="D1842" s="2" t="s">
        <v>28</v>
      </c>
      <c r="E1842" s="2" t="s">
        <v>29</v>
      </c>
      <c r="F1842" s="2">
        <v>30</v>
      </c>
      <c r="G1842" s="2" t="s">
        <v>5244</v>
      </c>
      <c r="H1842" s="2" t="s">
        <v>4484</v>
      </c>
      <c r="I1842" s="2" t="s">
        <v>32</v>
      </c>
      <c r="J1842" s="3">
        <v>44745</v>
      </c>
      <c r="K1842" s="2">
        <v>17</v>
      </c>
      <c r="L1842" s="2" t="s">
        <v>80</v>
      </c>
      <c r="M1842" s="3"/>
    </row>
    <row r="1843" spans="1:13" x14ac:dyDescent="0.3">
      <c r="A1843" s="2">
        <v>1842</v>
      </c>
      <c r="B1843" s="2" t="s">
        <v>811</v>
      </c>
      <c r="C1843" s="2" t="s">
        <v>1230</v>
      </c>
      <c r="D1843" s="2" t="s">
        <v>28</v>
      </c>
      <c r="E1843" s="2" t="s">
        <v>29</v>
      </c>
      <c r="F1843" s="2">
        <v>90</v>
      </c>
      <c r="G1843" s="2" t="s">
        <v>5245</v>
      </c>
      <c r="H1843" s="2" t="s">
        <v>141</v>
      </c>
      <c r="I1843" s="2" t="s">
        <v>32</v>
      </c>
      <c r="J1843" s="3">
        <v>44083</v>
      </c>
      <c r="K1843" s="2">
        <v>85</v>
      </c>
      <c r="L1843" s="2" t="s">
        <v>159</v>
      </c>
      <c r="M1843" s="3"/>
    </row>
    <row r="1844" spans="1:13" x14ac:dyDescent="0.3">
      <c r="A1844" s="2">
        <v>1843</v>
      </c>
      <c r="B1844" s="2" t="s">
        <v>5246</v>
      </c>
      <c r="C1844" s="2" t="s">
        <v>4974</v>
      </c>
      <c r="D1844" s="2" t="s">
        <v>51</v>
      </c>
      <c r="E1844" s="2" t="s">
        <v>16</v>
      </c>
      <c r="F1844" s="2">
        <v>90</v>
      </c>
      <c r="G1844" s="2" t="s">
        <v>5247</v>
      </c>
      <c r="H1844" s="2" t="s">
        <v>5248</v>
      </c>
      <c r="I1844" s="2" t="s">
        <v>32</v>
      </c>
      <c r="J1844" s="3">
        <v>44806</v>
      </c>
      <c r="K1844" s="2">
        <v>4</v>
      </c>
      <c r="L1844" s="2" t="s">
        <v>80</v>
      </c>
      <c r="M1844" s="3"/>
    </row>
    <row r="1845" spans="1:13" x14ac:dyDescent="0.3">
      <c r="A1845" s="2">
        <v>1844</v>
      </c>
      <c r="B1845" s="2" t="s">
        <v>5249</v>
      </c>
      <c r="C1845" s="2" t="s">
        <v>5250</v>
      </c>
      <c r="D1845" s="2" t="s">
        <v>92</v>
      </c>
      <c r="E1845" s="2" t="s">
        <v>16</v>
      </c>
      <c r="F1845" s="2">
        <v>60</v>
      </c>
      <c r="G1845" s="2" t="s">
        <v>5251</v>
      </c>
      <c r="H1845" s="2" t="s">
        <v>2866</v>
      </c>
      <c r="I1845" s="2" t="s">
        <v>32</v>
      </c>
      <c r="J1845" s="3">
        <v>43871</v>
      </c>
      <c r="K1845" s="2">
        <v>53</v>
      </c>
      <c r="L1845" s="2" t="s">
        <v>70</v>
      </c>
      <c r="M1845" s="3"/>
    </row>
    <row r="1846" spans="1:13" x14ac:dyDescent="0.3">
      <c r="A1846" s="2">
        <v>1845</v>
      </c>
      <c r="B1846" s="2" t="s">
        <v>4705</v>
      </c>
      <c r="C1846" s="2" t="s">
        <v>1861</v>
      </c>
      <c r="D1846" s="2" t="s">
        <v>41</v>
      </c>
      <c r="E1846" s="2" t="s">
        <v>16</v>
      </c>
      <c r="F1846" s="2">
        <v>60</v>
      </c>
      <c r="G1846" s="2" t="s">
        <v>5252</v>
      </c>
      <c r="H1846" s="2" t="s">
        <v>974</v>
      </c>
      <c r="I1846" s="2" t="s">
        <v>32</v>
      </c>
      <c r="J1846" s="3">
        <v>44774</v>
      </c>
      <c r="K1846" s="2">
        <v>63</v>
      </c>
      <c r="L1846" s="2" t="s">
        <v>80</v>
      </c>
      <c r="M1846" s="3"/>
    </row>
    <row r="1847" spans="1:13" x14ac:dyDescent="0.3">
      <c r="A1847" s="2">
        <v>1846</v>
      </c>
      <c r="B1847" s="2" t="s">
        <v>5253</v>
      </c>
      <c r="C1847" s="2" t="s">
        <v>5254</v>
      </c>
      <c r="D1847" s="2" t="s">
        <v>51</v>
      </c>
      <c r="E1847" s="2" t="s">
        <v>16</v>
      </c>
      <c r="F1847" s="2">
        <v>60</v>
      </c>
      <c r="G1847" s="2" t="s">
        <v>5255</v>
      </c>
      <c r="H1847" s="2" t="s">
        <v>1931</v>
      </c>
      <c r="I1847" s="2" t="s">
        <v>32</v>
      </c>
      <c r="J1847" s="3">
        <v>44366</v>
      </c>
      <c r="K1847" s="2">
        <v>38</v>
      </c>
      <c r="L1847" s="2" t="s">
        <v>45</v>
      </c>
      <c r="M1847" s="3"/>
    </row>
    <row r="1848" spans="1:13" x14ac:dyDescent="0.3">
      <c r="A1848" s="2">
        <v>1847</v>
      </c>
      <c r="B1848" s="2" t="s">
        <v>1371</v>
      </c>
      <c r="C1848" s="2" t="s">
        <v>585</v>
      </c>
      <c r="D1848" s="2" t="s">
        <v>28</v>
      </c>
      <c r="E1848" s="2" t="s">
        <v>29</v>
      </c>
      <c r="F1848" s="2">
        <v>60</v>
      </c>
      <c r="G1848" s="2" t="s">
        <v>5256</v>
      </c>
      <c r="H1848" s="2" t="s">
        <v>4911</v>
      </c>
      <c r="I1848" s="2" t="s">
        <v>95</v>
      </c>
      <c r="J1848" s="3">
        <v>43999</v>
      </c>
      <c r="K1848" s="2">
        <v>67</v>
      </c>
      <c r="L1848" s="2" t="s">
        <v>64</v>
      </c>
      <c r="M1848" s="3"/>
    </row>
    <row r="1849" spans="1:13" x14ac:dyDescent="0.3">
      <c r="A1849" s="2">
        <v>1848</v>
      </c>
      <c r="B1849" s="2" t="s">
        <v>5257</v>
      </c>
      <c r="C1849" s="2" t="s">
        <v>5258</v>
      </c>
      <c r="D1849" s="2" t="s">
        <v>51</v>
      </c>
      <c r="E1849" s="2" t="s">
        <v>16</v>
      </c>
      <c r="F1849" s="2">
        <v>90</v>
      </c>
      <c r="G1849" s="2" t="s">
        <v>5256</v>
      </c>
      <c r="H1849" s="2" t="s">
        <v>145</v>
      </c>
      <c r="I1849" s="2" t="s">
        <v>146</v>
      </c>
      <c r="J1849" s="3">
        <v>44636</v>
      </c>
      <c r="K1849" s="2">
        <v>102</v>
      </c>
      <c r="L1849" s="2" t="s">
        <v>64</v>
      </c>
      <c r="M1849" s="3"/>
    </row>
    <row r="1850" spans="1:13" x14ac:dyDescent="0.3">
      <c r="A1850" s="2">
        <v>1849</v>
      </c>
      <c r="B1850" s="2" t="s">
        <v>5257</v>
      </c>
      <c r="C1850" s="2" t="s">
        <v>5258</v>
      </c>
      <c r="D1850" s="2" t="s">
        <v>51</v>
      </c>
      <c r="E1850" s="2" t="s">
        <v>16</v>
      </c>
      <c r="F1850" s="2">
        <v>90</v>
      </c>
      <c r="G1850" s="2" t="s">
        <v>5256</v>
      </c>
      <c r="H1850" s="2" t="s">
        <v>145</v>
      </c>
      <c r="I1850" s="2" t="s">
        <v>146</v>
      </c>
      <c r="J1850" s="3">
        <v>44636</v>
      </c>
      <c r="K1850" s="2">
        <v>102</v>
      </c>
      <c r="L1850" s="2" t="s">
        <v>64</v>
      </c>
      <c r="M1850" s="3"/>
    </row>
    <row r="1851" spans="1:13" x14ac:dyDescent="0.3">
      <c r="A1851" s="2">
        <v>1850</v>
      </c>
      <c r="B1851" s="2" t="s">
        <v>5259</v>
      </c>
      <c r="C1851" s="2" t="s">
        <v>5260</v>
      </c>
      <c r="D1851" s="2" t="s">
        <v>15</v>
      </c>
      <c r="E1851" s="2" t="s">
        <v>16</v>
      </c>
      <c r="F1851" s="2">
        <v>60</v>
      </c>
      <c r="G1851" s="2" t="s">
        <v>5261</v>
      </c>
      <c r="H1851" s="2" t="s">
        <v>2552</v>
      </c>
      <c r="I1851" s="2" t="s">
        <v>32</v>
      </c>
      <c r="J1851" s="3">
        <v>44081</v>
      </c>
      <c r="K1851" s="2">
        <v>49</v>
      </c>
      <c r="L1851" s="2" t="s">
        <v>70</v>
      </c>
      <c r="M1851" s="3"/>
    </row>
    <row r="1852" spans="1:13" x14ac:dyDescent="0.3">
      <c r="A1852" s="2">
        <v>1851</v>
      </c>
      <c r="B1852" s="2" t="s">
        <v>5262</v>
      </c>
      <c r="C1852" s="2" t="s">
        <v>597</v>
      </c>
      <c r="D1852" s="2" t="s">
        <v>28</v>
      </c>
      <c r="E1852" s="2" t="s">
        <v>29</v>
      </c>
      <c r="F1852" s="2">
        <v>30</v>
      </c>
      <c r="G1852" s="2" t="s">
        <v>5263</v>
      </c>
      <c r="H1852" s="2" t="s">
        <v>3179</v>
      </c>
      <c r="I1852" s="2" t="s">
        <v>187</v>
      </c>
      <c r="J1852" s="3">
        <v>43979</v>
      </c>
      <c r="K1852" s="2">
        <v>32</v>
      </c>
      <c r="L1852" s="2" t="s">
        <v>39</v>
      </c>
      <c r="M1852" s="3"/>
    </row>
    <row r="1853" spans="1:13" x14ac:dyDescent="0.3">
      <c r="A1853" s="2">
        <v>1852</v>
      </c>
      <c r="B1853" s="2" t="s">
        <v>1392</v>
      </c>
      <c r="C1853" s="2" t="s">
        <v>617</v>
      </c>
      <c r="D1853" s="2" t="s">
        <v>28</v>
      </c>
      <c r="E1853" s="2" t="s">
        <v>29</v>
      </c>
      <c r="F1853" s="2">
        <v>90</v>
      </c>
      <c r="G1853" s="2" t="s">
        <v>5264</v>
      </c>
      <c r="H1853" s="2" t="s">
        <v>1594</v>
      </c>
      <c r="I1853" s="2" t="s">
        <v>178</v>
      </c>
      <c r="J1853" s="3">
        <v>44821</v>
      </c>
      <c r="K1853" s="2">
        <v>44</v>
      </c>
      <c r="L1853" s="2" t="s">
        <v>33</v>
      </c>
      <c r="M1853" s="3"/>
    </row>
    <row r="1854" spans="1:13" x14ac:dyDescent="0.3">
      <c r="A1854" s="2">
        <v>1853</v>
      </c>
      <c r="B1854" s="2" t="s">
        <v>665</v>
      </c>
      <c r="C1854" s="2" t="s">
        <v>1857</v>
      </c>
      <c r="D1854" s="2" t="s">
        <v>28</v>
      </c>
      <c r="E1854" s="2" t="s">
        <v>29</v>
      </c>
      <c r="F1854" s="2">
        <v>90</v>
      </c>
      <c r="G1854" s="2" t="s">
        <v>5265</v>
      </c>
      <c r="H1854" s="2" t="s">
        <v>2616</v>
      </c>
      <c r="I1854" s="2" t="s">
        <v>886</v>
      </c>
      <c r="J1854" s="3">
        <v>43940</v>
      </c>
      <c r="K1854" s="2">
        <v>19</v>
      </c>
      <c r="L1854" s="2" t="s">
        <v>33</v>
      </c>
      <c r="M1854" s="3"/>
    </row>
    <row r="1855" spans="1:13" x14ac:dyDescent="0.3">
      <c r="A1855" s="2">
        <v>1854</v>
      </c>
      <c r="B1855" s="2" t="s">
        <v>5266</v>
      </c>
      <c r="C1855" s="2" t="s">
        <v>5267</v>
      </c>
      <c r="D1855" s="2" t="s">
        <v>51</v>
      </c>
      <c r="E1855" s="2" t="s">
        <v>16</v>
      </c>
      <c r="F1855" s="2">
        <v>60</v>
      </c>
      <c r="G1855" s="2" t="s">
        <v>5268</v>
      </c>
      <c r="H1855" s="2" t="s">
        <v>607</v>
      </c>
      <c r="I1855" s="2" t="s">
        <v>32</v>
      </c>
      <c r="J1855" s="3">
        <v>44906</v>
      </c>
      <c r="K1855" s="2">
        <v>80</v>
      </c>
      <c r="L1855" s="2" t="s">
        <v>54</v>
      </c>
      <c r="M1855" s="3"/>
    </row>
    <row r="1856" spans="1:13" x14ac:dyDescent="0.3">
      <c r="A1856" s="2">
        <v>1855</v>
      </c>
      <c r="B1856" s="2" t="s">
        <v>5269</v>
      </c>
      <c r="C1856" s="2" t="s">
        <v>3167</v>
      </c>
      <c r="D1856" s="2" t="s">
        <v>51</v>
      </c>
      <c r="E1856" s="2" t="s">
        <v>16</v>
      </c>
      <c r="F1856" s="2">
        <v>60</v>
      </c>
      <c r="G1856" s="2" t="s">
        <v>5270</v>
      </c>
      <c r="H1856" s="2" t="s">
        <v>5271</v>
      </c>
      <c r="I1856" s="2" t="s">
        <v>187</v>
      </c>
      <c r="J1856" s="3">
        <v>44143</v>
      </c>
      <c r="K1856" s="2">
        <v>3</v>
      </c>
      <c r="L1856" s="2" t="s">
        <v>80</v>
      </c>
      <c r="M1856" s="3"/>
    </row>
    <row r="1857" spans="1:13" x14ac:dyDescent="0.3">
      <c r="A1857" s="2">
        <v>1856</v>
      </c>
      <c r="B1857" s="2" t="s">
        <v>5272</v>
      </c>
      <c r="C1857" s="2" t="s">
        <v>5273</v>
      </c>
      <c r="D1857" s="2" t="s">
        <v>28</v>
      </c>
      <c r="E1857" s="2" t="s">
        <v>29</v>
      </c>
      <c r="F1857" s="2">
        <v>60</v>
      </c>
      <c r="G1857" s="2" t="s">
        <v>5274</v>
      </c>
      <c r="H1857" s="2" t="s">
        <v>1008</v>
      </c>
      <c r="I1857" s="2" t="s">
        <v>32</v>
      </c>
      <c r="J1857" s="3">
        <v>44475</v>
      </c>
      <c r="K1857" s="2">
        <v>40</v>
      </c>
      <c r="L1857" s="2" t="s">
        <v>101</v>
      </c>
      <c r="M1857" s="3"/>
    </row>
    <row r="1858" spans="1:13" x14ac:dyDescent="0.3">
      <c r="A1858" s="2">
        <v>1857</v>
      </c>
      <c r="B1858" s="2" t="s">
        <v>5275</v>
      </c>
      <c r="C1858" s="2" t="s">
        <v>434</v>
      </c>
      <c r="D1858" s="2" t="s">
        <v>51</v>
      </c>
      <c r="E1858" s="2" t="s">
        <v>16</v>
      </c>
      <c r="F1858" s="2">
        <v>90</v>
      </c>
      <c r="G1858" s="2" t="s">
        <v>5276</v>
      </c>
      <c r="H1858" s="2" t="s">
        <v>5277</v>
      </c>
      <c r="I1858" s="2" t="s">
        <v>32</v>
      </c>
      <c r="J1858" s="3">
        <v>44033</v>
      </c>
      <c r="K1858" s="2">
        <v>16</v>
      </c>
      <c r="L1858" s="2" t="s">
        <v>70</v>
      </c>
      <c r="M1858" s="3"/>
    </row>
    <row r="1859" spans="1:13" x14ac:dyDescent="0.3">
      <c r="A1859" s="2">
        <v>1858</v>
      </c>
      <c r="B1859" s="2" t="s">
        <v>5278</v>
      </c>
      <c r="C1859" s="2" t="s">
        <v>5279</v>
      </c>
      <c r="D1859" s="2" t="s">
        <v>51</v>
      </c>
      <c r="E1859" s="2" t="s">
        <v>16</v>
      </c>
      <c r="F1859" s="2">
        <v>60</v>
      </c>
      <c r="G1859" s="2" t="s">
        <v>5280</v>
      </c>
      <c r="H1859" s="2" t="s">
        <v>1708</v>
      </c>
      <c r="I1859" s="2" t="s">
        <v>124</v>
      </c>
      <c r="J1859" s="3">
        <v>44794</v>
      </c>
      <c r="K1859" s="2">
        <v>13</v>
      </c>
      <c r="L1859" s="2" t="s">
        <v>70</v>
      </c>
      <c r="M1859" s="3"/>
    </row>
    <row r="1860" spans="1:13" x14ac:dyDescent="0.3">
      <c r="A1860" s="2">
        <v>1859</v>
      </c>
      <c r="B1860" s="2" t="s">
        <v>5281</v>
      </c>
      <c r="C1860" s="2" t="s">
        <v>4165</v>
      </c>
      <c r="D1860" s="2" t="s">
        <v>15</v>
      </c>
      <c r="E1860" s="2" t="s">
        <v>16</v>
      </c>
      <c r="F1860" s="2">
        <v>30</v>
      </c>
      <c r="G1860" s="2" t="s">
        <v>5282</v>
      </c>
      <c r="H1860" s="2" t="s">
        <v>5283</v>
      </c>
      <c r="I1860" s="2" t="s">
        <v>32</v>
      </c>
      <c r="J1860" s="3">
        <v>44453</v>
      </c>
      <c r="K1860" s="2">
        <v>50</v>
      </c>
      <c r="L1860" s="2" t="s">
        <v>39</v>
      </c>
      <c r="M1860" s="3"/>
    </row>
    <row r="1861" spans="1:13" x14ac:dyDescent="0.3">
      <c r="A1861" s="2">
        <v>1860</v>
      </c>
      <c r="B1861" s="2" t="s">
        <v>604</v>
      </c>
      <c r="C1861" s="2" t="s">
        <v>1244</v>
      </c>
      <c r="D1861" s="2" t="s">
        <v>41</v>
      </c>
      <c r="E1861" s="2" t="s">
        <v>16</v>
      </c>
      <c r="F1861" s="2">
        <v>60</v>
      </c>
      <c r="G1861" s="2" t="s">
        <v>5284</v>
      </c>
      <c r="H1861" s="2" t="s">
        <v>3373</v>
      </c>
      <c r="I1861" s="2" t="s">
        <v>32</v>
      </c>
      <c r="J1861" s="3">
        <v>44033</v>
      </c>
      <c r="K1861" s="2">
        <v>22</v>
      </c>
      <c r="L1861" s="2" t="s">
        <v>80</v>
      </c>
      <c r="M1861" s="3"/>
    </row>
    <row r="1862" spans="1:13" x14ac:dyDescent="0.3">
      <c r="A1862" s="2">
        <v>1861</v>
      </c>
      <c r="B1862" s="2" t="s">
        <v>5285</v>
      </c>
      <c r="C1862" s="2" t="s">
        <v>2449</v>
      </c>
      <c r="D1862" s="2" t="s">
        <v>28</v>
      </c>
      <c r="E1862" s="2" t="s">
        <v>29</v>
      </c>
      <c r="F1862" s="2">
        <v>30</v>
      </c>
      <c r="G1862" s="2" t="s">
        <v>5286</v>
      </c>
      <c r="H1862" s="2" t="s">
        <v>393</v>
      </c>
      <c r="I1862" s="2" t="s">
        <v>32</v>
      </c>
      <c r="J1862" s="3">
        <v>44677</v>
      </c>
      <c r="K1862" s="2">
        <v>38</v>
      </c>
      <c r="L1862" s="2" t="s">
        <v>70</v>
      </c>
      <c r="M1862" s="3"/>
    </row>
    <row r="1863" spans="1:13" x14ac:dyDescent="0.3">
      <c r="A1863" s="2">
        <v>1862</v>
      </c>
      <c r="B1863" s="2" t="s">
        <v>5287</v>
      </c>
      <c r="C1863" s="2" t="s">
        <v>1935</v>
      </c>
      <c r="D1863" s="2" t="s">
        <v>51</v>
      </c>
      <c r="E1863" s="2" t="s">
        <v>16</v>
      </c>
      <c r="F1863" s="2">
        <v>90</v>
      </c>
      <c r="G1863" s="2" t="s">
        <v>5288</v>
      </c>
      <c r="H1863" s="2" t="s">
        <v>244</v>
      </c>
      <c r="I1863" s="2" t="s">
        <v>240</v>
      </c>
      <c r="J1863" s="3">
        <v>44213</v>
      </c>
      <c r="K1863" s="2">
        <v>14</v>
      </c>
      <c r="L1863" s="2" t="s">
        <v>80</v>
      </c>
      <c r="M1863" s="3"/>
    </row>
    <row r="1864" spans="1:13" x14ac:dyDescent="0.3">
      <c r="A1864" s="2">
        <v>1863</v>
      </c>
      <c r="B1864" s="2" t="s">
        <v>5289</v>
      </c>
      <c r="C1864" s="2" t="s">
        <v>5290</v>
      </c>
      <c r="D1864" s="2" t="s">
        <v>51</v>
      </c>
      <c r="E1864" s="2" t="s">
        <v>16</v>
      </c>
      <c r="F1864" s="2">
        <v>60</v>
      </c>
      <c r="G1864" s="2" t="s">
        <v>5291</v>
      </c>
      <c r="H1864" s="2" t="s">
        <v>4066</v>
      </c>
      <c r="I1864" s="2" t="s">
        <v>4067</v>
      </c>
      <c r="J1864" s="3">
        <v>44722</v>
      </c>
      <c r="K1864" s="2">
        <v>6</v>
      </c>
      <c r="L1864" s="2" t="s">
        <v>45</v>
      </c>
      <c r="M1864" s="3"/>
    </row>
    <row r="1865" spans="1:13" x14ac:dyDescent="0.3">
      <c r="A1865" s="2">
        <v>1864</v>
      </c>
      <c r="B1865" s="2" t="s">
        <v>5292</v>
      </c>
      <c r="C1865" s="2" t="s">
        <v>3341</v>
      </c>
      <c r="D1865" s="2" t="s">
        <v>28</v>
      </c>
      <c r="E1865" s="2" t="s">
        <v>29</v>
      </c>
      <c r="F1865" s="2">
        <v>60</v>
      </c>
      <c r="G1865" s="2" t="s">
        <v>5293</v>
      </c>
      <c r="H1865" s="2" t="s">
        <v>4889</v>
      </c>
      <c r="I1865" s="2" t="s">
        <v>110</v>
      </c>
      <c r="J1865" s="3">
        <v>44059</v>
      </c>
      <c r="K1865" s="2">
        <v>30</v>
      </c>
      <c r="L1865" s="2" t="s">
        <v>39</v>
      </c>
      <c r="M1865" s="3"/>
    </row>
    <row r="1866" spans="1:13" x14ac:dyDescent="0.3">
      <c r="A1866" s="2">
        <v>1865</v>
      </c>
      <c r="B1866" s="2" t="s">
        <v>5294</v>
      </c>
      <c r="C1866" s="2" t="s">
        <v>5295</v>
      </c>
      <c r="D1866" s="2" t="s">
        <v>15</v>
      </c>
      <c r="E1866" s="2" t="s">
        <v>16</v>
      </c>
      <c r="F1866" s="2">
        <v>90</v>
      </c>
      <c r="G1866" s="2" t="s">
        <v>5296</v>
      </c>
      <c r="H1866" s="2" t="s">
        <v>5297</v>
      </c>
      <c r="I1866" s="2" t="s">
        <v>32</v>
      </c>
      <c r="J1866" s="3">
        <v>44824</v>
      </c>
      <c r="K1866" s="2">
        <v>73</v>
      </c>
      <c r="L1866" s="2" t="s">
        <v>54</v>
      </c>
      <c r="M1866" s="3"/>
    </row>
    <row r="1867" spans="1:13" x14ac:dyDescent="0.3">
      <c r="A1867" s="2">
        <v>1866</v>
      </c>
      <c r="B1867" s="2" t="s">
        <v>371</v>
      </c>
      <c r="C1867" s="2" t="s">
        <v>4792</v>
      </c>
      <c r="D1867" s="2" t="s">
        <v>28</v>
      </c>
      <c r="E1867" s="2" t="s">
        <v>29</v>
      </c>
      <c r="F1867" s="2">
        <v>90</v>
      </c>
      <c r="G1867" s="2" t="s">
        <v>5298</v>
      </c>
      <c r="H1867" s="2" t="s">
        <v>1206</v>
      </c>
      <c r="I1867" s="2" t="s">
        <v>294</v>
      </c>
      <c r="J1867" s="3">
        <v>44817</v>
      </c>
      <c r="K1867" s="2">
        <v>32</v>
      </c>
      <c r="L1867" s="2" t="s">
        <v>20</v>
      </c>
      <c r="M1867" s="3"/>
    </row>
    <row r="1868" spans="1:13" x14ac:dyDescent="0.3">
      <c r="A1868" s="2">
        <v>1867</v>
      </c>
      <c r="B1868" s="2" t="s">
        <v>4233</v>
      </c>
      <c r="C1868" s="2" t="s">
        <v>5299</v>
      </c>
      <c r="D1868" s="2" t="s">
        <v>28</v>
      </c>
      <c r="E1868" s="2" t="s">
        <v>29</v>
      </c>
      <c r="F1868" s="2">
        <v>90</v>
      </c>
      <c r="G1868" s="2" t="s">
        <v>5300</v>
      </c>
      <c r="H1868" s="2" t="s">
        <v>5301</v>
      </c>
      <c r="I1868" s="2" t="s">
        <v>173</v>
      </c>
      <c r="J1868" s="3">
        <v>44334</v>
      </c>
      <c r="K1868" s="2">
        <v>10</v>
      </c>
      <c r="L1868" s="2" t="s">
        <v>45</v>
      </c>
      <c r="M1868" s="3"/>
    </row>
    <row r="1869" spans="1:13" x14ac:dyDescent="0.3">
      <c r="A1869" s="2">
        <v>1868</v>
      </c>
      <c r="B1869" s="2" t="s">
        <v>4642</v>
      </c>
      <c r="C1869" s="2" t="s">
        <v>5214</v>
      </c>
      <c r="D1869" s="2" t="s">
        <v>51</v>
      </c>
      <c r="E1869" s="2" t="s">
        <v>16</v>
      </c>
      <c r="F1869" s="2">
        <v>90</v>
      </c>
      <c r="G1869" s="2" t="s">
        <v>5302</v>
      </c>
      <c r="H1869" s="2" t="s">
        <v>2671</v>
      </c>
      <c r="I1869" s="2" t="s">
        <v>1157</v>
      </c>
      <c r="J1869" s="3">
        <v>44797</v>
      </c>
      <c r="K1869" s="2">
        <v>73</v>
      </c>
      <c r="L1869" s="2" t="s">
        <v>39</v>
      </c>
      <c r="M1869" s="3"/>
    </row>
    <row r="1870" spans="1:13" x14ac:dyDescent="0.3">
      <c r="A1870" s="2">
        <v>1869</v>
      </c>
      <c r="B1870" s="2" t="s">
        <v>5303</v>
      </c>
      <c r="C1870" s="2" t="s">
        <v>3140</v>
      </c>
      <c r="D1870" s="2" t="s">
        <v>15</v>
      </c>
      <c r="E1870" s="2" t="s">
        <v>16</v>
      </c>
      <c r="F1870" s="2">
        <v>30</v>
      </c>
      <c r="G1870" s="2" t="s">
        <v>5304</v>
      </c>
      <c r="H1870" s="2" t="s">
        <v>898</v>
      </c>
      <c r="I1870" s="2" t="s">
        <v>32</v>
      </c>
      <c r="J1870" s="3">
        <v>44535</v>
      </c>
      <c r="K1870" s="2">
        <v>10</v>
      </c>
      <c r="L1870" s="2" t="s">
        <v>159</v>
      </c>
      <c r="M1870" s="3"/>
    </row>
    <row r="1871" spans="1:13" x14ac:dyDescent="0.3">
      <c r="A1871" s="2">
        <v>1870</v>
      </c>
      <c r="B1871" s="2" t="s">
        <v>5305</v>
      </c>
      <c r="C1871" s="2" t="s">
        <v>5306</v>
      </c>
      <c r="D1871" s="2" t="s">
        <v>28</v>
      </c>
      <c r="E1871" s="2" t="s">
        <v>29</v>
      </c>
      <c r="F1871" s="2">
        <v>60</v>
      </c>
      <c r="G1871" s="2" t="s">
        <v>5307</v>
      </c>
      <c r="H1871" s="2" t="s">
        <v>3932</v>
      </c>
      <c r="I1871" s="2" t="s">
        <v>32</v>
      </c>
      <c r="J1871" s="3">
        <v>44076</v>
      </c>
      <c r="K1871" s="2">
        <v>20</v>
      </c>
      <c r="L1871" s="2" t="s">
        <v>54</v>
      </c>
      <c r="M1871" s="3"/>
    </row>
    <row r="1872" spans="1:13" x14ac:dyDescent="0.3">
      <c r="A1872" s="2">
        <v>1871</v>
      </c>
      <c r="B1872" s="2" t="s">
        <v>5048</v>
      </c>
      <c r="C1872" s="2" t="s">
        <v>1528</v>
      </c>
      <c r="D1872" s="2" t="s">
        <v>51</v>
      </c>
      <c r="E1872" s="2" t="s">
        <v>16</v>
      </c>
      <c r="F1872" s="2">
        <v>30</v>
      </c>
      <c r="G1872" s="2" t="s">
        <v>5308</v>
      </c>
      <c r="H1872" s="2" t="s">
        <v>3238</v>
      </c>
      <c r="I1872" s="2" t="s">
        <v>173</v>
      </c>
      <c r="J1872" s="3">
        <v>44234</v>
      </c>
      <c r="K1872" s="2">
        <v>15</v>
      </c>
      <c r="L1872" s="2" t="s">
        <v>70</v>
      </c>
      <c r="M1872" s="3"/>
    </row>
    <row r="1873" spans="1:13" x14ac:dyDescent="0.3">
      <c r="A1873" s="2">
        <v>1872</v>
      </c>
      <c r="B1873" s="2" t="s">
        <v>5309</v>
      </c>
      <c r="C1873" s="2" t="s">
        <v>5310</v>
      </c>
      <c r="D1873" s="2" t="s">
        <v>15</v>
      </c>
      <c r="E1873" s="2" t="s">
        <v>16</v>
      </c>
      <c r="F1873" s="2">
        <v>90</v>
      </c>
      <c r="G1873" s="2" t="s">
        <v>5311</v>
      </c>
      <c r="H1873" s="2" t="s">
        <v>195</v>
      </c>
      <c r="I1873" s="2" t="s">
        <v>187</v>
      </c>
      <c r="J1873" s="3">
        <v>44153</v>
      </c>
      <c r="K1873" s="2">
        <v>36</v>
      </c>
      <c r="L1873" s="2" t="s">
        <v>20</v>
      </c>
      <c r="M1873" s="3"/>
    </row>
    <row r="1874" spans="1:13" x14ac:dyDescent="0.3">
      <c r="A1874" s="2">
        <v>1873</v>
      </c>
      <c r="B1874" s="2" t="s">
        <v>5312</v>
      </c>
      <c r="C1874" s="2" t="s">
        <v>358</v>
      </c>
      <c r="D1874" s="2" t="s">
        <v>51</v>
      </c>
      <c r="E1874" s="2" t="s">
        <v>16</v>
      </c>
      <c r="F1874" s="2">
        <v>30</v>
      </c>
      <c r="G1874" s="2" t="s">
        <v>5313</v>
      </c>
      <c r="H1874" s="2" t="s">
        <v>2749</v>
      </c>
      <c r="I1874" s="2" t="s">
        <v>187</v>
      </c>
      <c r="J1874" s="3">
        <v>43981</v>
      </c>
      <c r="K1874" s="2">
        <v>38</v>
      </c>
      <c r="L1874" s="2" t="s">
        <v>101</v>
      </c>
      <c r="M1874" s="3"/>
    </row>
    <row r="1875" spans="1:13" x14ac:dyDescent="0.3">
      <c r="A1875" s="2">
        <v>1874</v>
      </c>
      <c r="B1875" s="2" t="s">
        <v>5314</v>
      </c>
      <c r="C1875" s="2" t="s">
        <v>5315</v>
      </c>
      <c r="D1875" s="2" t="s">
        <v>28</v>
      </c>
      <c r="E1875" s="2" t="s">
        <v>29</v>
      </c>
      <c r="F1875" s="2">
        <v>60</v>
      </c>
      <c r="G1875" s="2" t="s">
        <v>5313</v>
      </c>
      <c r="H1875" s="2" t="s">
        <v>5316</v>
      </c>
      <c r="I1875" s="2" t="s">
        <v>25</v>
      </c>
      <c r="J1875" s="3">
        <v>44160</v>
      </c>
      <c r="K1875" s="2">
        <v>71</v>
      </c>
      <c r="L1875" s="2" t="s">
        <v>101</v>
      </c>
      <c r="M1875" s="3"/>
    </row>
    <row r="1876" spans="1:13" x14ac:dyDescent="0.3">
      <c r="A1876" s="2">
        <v>1875</v>
      </c>
      <c r="B1876" s="2" t="s">
        <v>5317</v>
      </c>
      <c r="C1876" s="2" t="s">
        <v>5318</v>
      </c>
      <c r="D1876" s="2" t="s">
        <v>15</v>
      </c>
      <c r="E1876" s="2" t="s">
        <v>16</v>
      </c>
      <c r="F1876" s="2">
        <v>30</v>
      </c>
      <c r="G1876" s="2" t="s">
        <v>5319</v>
      </c>
      <c r="H1876" s="2" t="s">
        <v>963</v>
      </c>
      <c r="I1876" s="2" t="s">
        <v>25</v>
      </c>
      <c r="J1876" s="3">
        <v>44074</v>
      </c>
      <c r="K1876" s="2">
        <v>80</v>
      </c>
      <c r="L1876" s="2" t="s">
        <v>39</v>
      </c>
      <c r="M1876" s="3"/>
    </row>
    <row r="1877" spans="1:13" x14ac:dyDescent="0.3">
      <c r="A1877" s="2">
        <v>1876</v>
      </c>
      <c r="B1877" s="2" t="s">
        <v>5320</v>
      </c>
      <c r="C1877" s="2" t="s">
        <v>5321</v>
      </c>
      <c r="D1877" s="2" t="s">
        <v>51</v>
      </c>
      <c r="E1877" s="2" t="s">
        <v>16</v>
      </c>
      <c r="F1877" s="2">
        <v>90</v>
      </c>
      <c r="G1877" s="2" t="s">
        <v>5322</v>
      </c>
      <c r="H1877" s="2" t="s">
        <v>2401</v>
      </c>
      <c r="I1877" s="2" t="s">
        <v>178</v>
      </c>
      <c r="J1877" s="3">
        <v>44110</v>
      </c>
      <c r="K1877" s="2">
        <v>31</v>
      </c>
      <c r="L1877" s="2" t="s">
        <v>80</v>
      </c>
      <c r="M1877" s="3"/>
    </row>
    <row r="1878" spans="1:13" x14ac:dyDescent="0.3">
      <c r="A1878" s="2">
        <v>1877</v>
      </c>
      <c r="B1878" s="2" t="s">
        <v>1758</v>
      </c>
      <c r="C1878" s="2" t="s">
        <v>5323</v>
      </c>
      <c r="D1878" s="2" t="s">
        <v>28</v>
      </c>
      <c r="E1878" s="2" t="s">
        <v>29</v>
      </c>
      <c r="F1878" s="2">
        <v>30</v>
      </c>
      <c r="G1878" s="2" t="s">
        <v>5324</v>
      </c>
      <c r="H1878" s="2" t="s">
        <v>5025</v>
      </c>
      <c r="I1878" s="2" t="s">
        <v>32</v>
      </c>
      <c r="J1878" s="3">
        <v>44864</v>
      </c>
      <c r="K1878" s="2">
        <v>67</v>
      </c>
      <c r="L1878" s="2" t="s">
        <v>101</v>
      </c>
      <c r="M1878" s="3"/>
    </row>
    <row r="1879" spans="1:13" x14ac:dyDescent="0.3">
      <c r="A1879" s="2">
        <v>1878</v>
      </c>
      <c r="B1879" s="2" t="s">
        <v>1991</v>
      </c>
      <c r="C1879" s="2" t="s">
        <v>4528</v>
      </c>
      <c r="D1879" s="2" t="s">
        <v>41</v>
      </c>
      <c r="E1879" s="2" t="s">
        <v>16</v>
      </c>
      <c r="F1879" s="2">
        <v>30</v>
      </c>
      <c r="G1879" s="2" t="s">
        <v>5324</v>
      </c>
      <c r="H1879" s="2" t="s">
        <v>382</v>
      </c>
      <c r="I1879" s="2" t="s">
        <v>32</v>
      </c>
      <c r="J1879" s="3">
        <v>43865</v>
      </c>
      <c r="K1879" s="2">
        <v>84</v>
      </c>
      <c r="L1879" s="2" t="s">
        <v>80</v>
      </c>
      <c r="M1879" s="3"/>
    </row>
    <row r="1880" spans="1:13" x14ac:dyDescent="0.3">
      <c r="A1880" s="2">
        <v>1879</v>
      </c>
      <c r="B1880" s="2" t="s">
        <v>4550</v>
      </c>
      <c r="C1880" s="2" t="s">
        <v>5325</v>
      </c>
      <c r="D1880" s="2" t="s">
        <v>28</v>
      </c>
      <c r="E1880" s="2" t="s">
        <v>29</v>
      </c>
      <c r="F1880" s="2">
        <v>90</v>
      </c>
      <c r="G1880" s="2" t="s">
        <v>5326</v>
      </c>
      <c r="H1880" s="2" t="s">
        <v>5327</v>
      </c>
      <c r="I1880" s="2" t="s">
        <v>187</v>
      </c>
      <c r="J1880" s="3">
        <v>44451</v>
      </c>
      <c r="K1880" s="2">
        <v>61</v>
      </c>
      <c r="L1880" s="2" t="s">
        <v>159</v>
      </c>
      <c r="M1880" s="3"/>
    </row>
    <row r="1881" spans="1:13" x14ac:dyDescent="0.3">
      <c r="A1881" s="2">
        <v>1880</v>
      </c>
      <c r="B1881" s="2" t="s">
        <v>4438</v>
      </c>
      <c r="C1881" s="2" t="s">
        <v>5328</v>
      </c>
      <c r="D1881" s="2" t="s">
        <v>28</v>
      </c>
      <c r="E1881" s="2" t="s">
        <v>29</v>
      </c>
      <c r="F1881" s="2">
        <v>60</v>
      </c>
      <c r="G1881" s="2" t="s">
        <v>5329</v>
      </c>
      <c r="H1881" s="2" t="s">
        <v>714</v>
      </c>
      <c r="I1881" s="2" t="s">
        <v>38</v>
      </c>
      <c r="J1881" s="3">
        <v>44272</v>
      </c>
      <c r="K1881" s="2">
        <v>25</v>
      </c>
      <c r="L1881" s="2" t="s">
        <v>64</v>
      </c>
      <c r="M1881" s="3"/>
    </row>
    <row r="1882" spans="1:13" x14ac:dyDescent="0.3">
      <c r="A1882" s="2">
        <v>1881</v>
      </c>
      <c r="B1882" s="2" t="s">
        <v>196</v>
      </c>
      <c r="C1882" s="2" t="s">
        <v>5330</v>
      </c>
      <c r="D1882" s="2" t="s">
        <v>28</v>
      </c>
      <c r="E1882" s="2" t="s">
        <v>29</v>
      </c>
      <c r="F1882" s="2">
        <v>60</v>
      </c>
      <c r="G1882" s="2" t="s">
        <v>5329</v>
      </c>
      <c r="H1882" s="2" t="s">
        <v>4867</v>
      </c>
      <c r="I1882" s="2" t="s">
        <v>294</v>
      </c>
      <c r="J1882" s="3">
        <v>44230</v>
      </c>
      <c r="K1882" s="2">
        <v>64</v>
      </c>
      <c r="L1882" s="2" t="s">
        <v>54</v>
      </c>
      <c r="M1882" s="3"/>
    </row>
    <row r="1883" spans="1:13" x14ac:dyDescent="0.3">
      <c r="A1883" s="2">
        <v>1882</v>
      </c>
      <c r="B1883" s="2" t="s">
        <v>5331</v>
      </c>
      <c r="C1883" s="2" t="s">
        <v>5332</v>
      </c>
      <c r="D1883" s="2" t="s">
        <v>51</v>
      </c>
      <c r="E1883" s="2" t="s">
        <v>16</v>
      </c>
      <c r="F1883" s="2">
        <v>60</v>
      </c>
      <c r="G1883" s="2" t="s">
        <v>5333</v>
      </c>
      <c r="H1883" s="2" t="s">
        <v>2753</v>
      </c>
      <c r="I1883" s="2" t="s">
        <v>124</v>
      </c>
      <c r="J1883" s="3">
        <v>43879</v>
      </c>
      <c r="K1883" s="2">
        <v>27</v>
      </c>
      <c r="L1883" s="2" t="s">
        <v>64</v>
      </c>
      <c r="M1883" s="3"/>
    </row>
    <row r="1884" spans="1:13" x14ac:dyDescent="0.3">
      <c r="A1884" s="2">
        <v>1883</v>
      </c>
      <c r="B1884" s="2" t="s">
        <v>5334</v>
      </c>
      <c r="C1884" s="2" t="s">
        <v>2480</v>
      </c>
      <c r="D1884" s="2" t="s">
        <v>28</v>
      </c>
      <c r="E1884" s="2" t="s">
        <v>29</v>
      </c>
      <c r="F1884" s="2">
        <v>90</v>
      </c>
      <c r="G1884" s="2" t="s">
        <v>5335</v>
      </c>
      <c r="H1884" s="2" t="s">
        <v>5336</v>
      </c>
      <c r="I1884" s="2" t="s">
        <v>32</v>
      </c>
      <c r="J1884" s="3">
        <v>44412</v>
      </c>
      <c r="K1884" s="2">
        <v>42</v>
      </c>
      <c r="L1884" s="2" t="s">
        <v>101</v>
      </c>
      <c r="M1884" s="3"/>
    </row>
    <row r="1885" spans="1:13" x14ac:dyDescent="0.3">
      <c r="A1885" s="2">
        <v>1884</v>
      </c>
      <c r="B1885" s="2" t="s">
        <v>5337</v>
      </c>
      <c r="C1885" s="2" t="s">
        <v>5338</v>
      </c>
      <c r="D1885" s="2" t="s">
        <v>51</v>
      </c>
      <c r="E1885" s="2" t="s">
        <v>16</v>
      </c>
      <c r="F1885" s="2">
        <v>60</v>
      </c>
      <c r="G1885" s="2" t="s">
        <v>5339</v>
      </c>
      <c r="H1885" s="2" t="s">
        <v>5340</v>
      </c>
      <c r="I1885" s="2" t="s">
        <v>32</v>
      </c>
      <c r="J1885" s="3">
        <v>43875</v>
      </c>
      <c r="K1885" s="2">
        <v>70</v>
      </c>
      <c r="L1885" s="2" t="s">
        <v>159</v>
      </c>
      <c r="M1885" s="3"/>
    </row>
    <row r="1886" spans="1:13" x14ac:dyDescent="0.3">
      <c r="A1886" s="2">
        <v>1885</v>
      </c>
      <c r="B1886" s="2" t="s">
        <v>5341</v>
      </c>
      <c r="C1886" s="2" t="s">
        <v>3435</v>
      </c>
      <c r="D1886" s="2" t="s">
        <v>15</v>
      </c>
      <c r="E1886" s="2" t="s">
        <v>16</v>
      </c>
      <c r="F1886" s="2">
        <v>90</v>
      </c>
      <c r="G1886" s="2" t="s">
        <v>5342</v>
      </c>
      <c r="H1886" s="2" t="s">
        <v>3033</v>
      </c>
      <c r="I1886" s="2" t="s">
        <v>32</v>
      </c>
      <c r="J1886" s="3">
        <v>44574</v>
      </c>
      <c r="K1886" s="2">
        <v>16</v>
      </c>
      <c r="L1886" s="2" t="s">
        <v>159</v>
      </c>
      <c r="M1886" s="3"/>
    </row>
    <row r="1887" spans="1:13" x14ac:dyDescent="0.3">
      <c r="A1887" s="2">
        <v>1886</v>
      </c>
      <c r="B1887" s="2" t="s">
        <v>5343</v>
      </c>
      <c r="C1887" s="2" t="s">
        <v>507</v>
      </c>
      <c r="D1887" s="2" t="s">
        <v>51</v>
      </c>
      <c r="E1887" s="2" t="s">
        <v>16</v>
      </c>
      <c r="F1887" s="2">
        <v>90</v>
      </c>
      <c r="G1887" s="2" t="s">
        <v>5344</v>
      </c>
      <c r="H1887" s="2" t="s">
        <v>1202</v>
      </c>
      <c r="I1887" s="2" t="s">
        <v>32</v>
      </c>
      <c r="J1887" s="3">
        <v>44081</v>
      </c>
      <c r="K1887" s="2">
        <v>84</v>
      </c>
      <c r="L1887" s="2" t="s">
        <v>54</v>
      </c>
      <c r="M1887" s="3"/>
    </row>
    <row r="1888" spans="1:13" x14ac:dyDescent="0.3">
      <c r="A1888" s="2">
        <v>1887</v>
      </c>
      <c r="B1888" s="2" t="s">
        <v>5345</v>
      </c>
      <c r="C1888" s="2" t="s">
        <v>5346</v>
      </c>
      <c r="D1888" s="2" t="s">
        <v>51</v>
      </c>
      <c r="E1888" s="2" t="s">
        <v>16</v>
      </c>
      <c r="F1888" s="2">
        <v>30</v>
      </c>
      <c r="G1888" s="2" t="s">
        <v>5347</v>
      </c>
      <c r="H1888" s="2" t="s">
        <v>549</v>
      </c>
      <c r="I1888" s="2" t="s">
        <v>425</v>
      </c>
      <c r="J1888" s="3">
        <v>44101</v>
      </c>
      <c r="K1888" s="2">
        <v>45</v>
      </c>
      <c r="L1888" s="2" t="s">
        <v>20</v>
      </c>
      <c r="M1888" s="3"/>
    </row>
    <row r="1889" spans="1:13" x14ac:dyDescent="0.3">
      <c r="A1889" s="2">
        <v>1888</v>
      </c>
      <c r="B1889" s="2" t="s">
        <v>5348</v>
      </c>
      <c r="C1889" s="2" t="s">
        <v>2815</v>
      </c>
      <c r="D1889" s="2" t="s">
        <v>28</v>
      </c>
      <c r="E1889" s="2" t="s">
        <v>29</v>
      </c>
      <c r="F1889" s="2">
        <v>30</v>
      </c>
      <c r="G1889" s="2" t="s">
        <v>5347</v>
      </c>
      <c r="H1889" s="2" t="s">
        <v>1977</v>
      </c>
      <c r="I1889" s="2" t="s">
        <v>124</v>
      </c>
      <c r="J1889" s="3">
        <v>43933</v>
      </c>
      <c r="K1889" s="2">
        <v>56</v>
      </c>
      <c r="L1889" s="2" t="s">
        <v>54</v>
      </c>
      <c r="M1889" s="3"/>
    </row>
    <row r="1890" spans="1:13" x14ac:dyDescent="0.3">
      <c r="A1890" s="2">
        <v>1889</v>
      </c>
      <c r="B1890" s="2" t="s">
        <v>1065</v>
      </c>
      <c r="C1890" s="2" t="s">
        <v>260</v>
      </c>
      <c r="D1890" s="2" t="s">
        <v>28</v>
      </c>
      <c r="E1890" s="2" t="s">
        <v>29</v>
      </c>
      <c r="F1890" s="2">
        <v>90</v>
      </c>
      <c r="G1890" s="2" t="s">
        <v>5349</v>
      </c>
      <c r="H1890" s="2" t="s">
        <v>4272</v>
      </c>
      <c r="I1890" s="2" t="s">
        <v>1652</v>
      </c>
      <c r="J1890" s="3">
        <v>44644</v>
      </c>
      <c r="K1890" s="2">
        <v>84</v>
      </c>
      <c r="L1890" s="2" t="s">
        <v>33</v>
      </c>
      <c r="M1890" s="3"/>
    </row>
    <row r="1891" spans="1:13" x14ac:dyDescent="0.3">
      <c r="A1891" s="2">
        <v>1890</v>
      </c>
      <c r="B1891" s="2" t="s">
        <v>5350</v>
      </c>
      <c r="C1891" s="2" t="s">
        <v>4706</v>
      </c>
      <c r="D1891" s="2" t="s">
        <v>28</v>
      </c>
      <c r="E1891" s="2" t="s">
        <v>29</v>
      </c>
      <c r="F1891" s="2">
        <v>90</v>
      </c>
      <c r="G1891" s="2" t="s">
        <v>5351</v>
      </c>
      <c r="H1891" s="2" t="s">
        <v>842</v>
      </c>
      <c r="I1891" s="2" t="s">
        <v>32</v>
      </c>
      <c r="J1891" s="3">
        <v>43963</v>
      </c>
      <c r="K1891" s="2">
        <v>73</v>
      </c>
      <c r="L1891" s="2" t="s">
        <v>54</v>
      </c>
      <c r="M1891" s="3"/>
    </row>
    <row r="1892" spans="1:13" x14ac:dyDescent="0.3">
      <c r="A1892" s="2">
        <v>1891</v>
      </c>
      <c r="B1892" s="2" t="s">
        <v>4075</v>
      </c>
      <c r="C1892" s="2" t="s">
        <v>4725</v>
      </c>
      <c r="D1892" s="2" t="s">
        <v>28</v>
      </c>
      <c r="E1892" s="2" t="s">
        <v>29</v>
      </c>
      <c r="F1892" s="2">
        <v>90</v>
      </c>
      <c r="G1892" s="2" t="s">
        <v>5352</v>
      </c>
      <c r="H1892" s="2" t="s">
        <v>920</v>
      </c>
      <c r="I1892" s="2" t="s">
        <v>178</v>
      </c>
      <c r="J1892" s="3">
        <v>44017</v>
      </c>
      <c r="K1892" s="2">
        <v>81</v>
      </c>
      <c r="L1892" s="2" t="s">
        <v>20</v>
      </c>
      <c r="M1892" s="3"/>
    </row>
    <row r="1893" spans="1:13" x14ac:dyDescent="0.3">
      <c r="A1893" s="2">
        <v>1892</v>
      </c>
      <c r="B1893" s="2" t="s">
        <v>5353</v>
      </c>
      <c r="C1893" s="2" t="s">
        <v>5354</v>
      </c>
      <c r="D1893" s="2" t="s">
        <v>15</v>
      </c>
      <c r="E1893" s="2" t="s">
        <v>16</v>
      </c>
      <c r="F1893" s="2">
        <v>90</v>
      </c>
      <c r="G1893" s="2" t="s">
        <v>5355</v>
      </c>
      <c r="H1893" s="2" t="s">
        <v>4889</v>
      </c>
      <c r="I1893" s="2" t="s">
        <v>110</v>
      </c>
      <c r="J1893" s="3">
        <v>44282</v>
      </c>
      <c r="K1893" s="2">
        <v>35</v>
      </c>
      <c r="L1893" s="2" t="s">
        <v>64</v>
      </c>
      <c r="M1893" s="3"/>
    </row>
    <row r="1894" spans="1:13" x14ac:dyDescent="0.3">
      <c r="A1894" s="2">
        <v>1893</v>
      </c>
      <c r="B1894" s="2" t="s">
        <v>5356</v>
      </c>
      <c r="C1894" s="2" t="s">
        <v>2223</v>
      </c>
      <c r="D1894" s="2" t="s">
        <v>41</v>
      </c>
      <c r="E1894" s="2" t="s">
        <v>16</v>
      </c>
      <c r="F1894" s="2">
        <v>30</v>
      </c>
      <c r="G1894" s="2" t="s">
        <v>5357</v>
      </c>
      <c r="H1894" s="2" t="s">
        <v>4919</v>
      </c>
      <c r="I1894" s="2" t="s">
        <v>303</v>
      </c>
      <c r="J1894" s="3">
        <v>44468</v>
      </c>
      <c r="K1894" s="2">
        <v>63</v>
      </c>
      <c r="L1894" s="2" t="s">
        <v>33</v>
      </c>
      <c r="M1894" s="3"/>
    </row>
    <row r="1895" spans="1:13" x14ac:dyDescent="0.3">
      <c r="A1895" s="2">
        <v>1894</v>
      </c>
      <c r="B1895" s="2" t="s">
        <v>5358</v>
      </c>
      <c r="C1895" s="2" t="s">
        <v>5359</v>
      </c>
      <c r="D1895" s="2" t="s">
        <v>28</v>
      </c>
      <c r="E1895" s="2" t="s">
        <v>29</v>
      </c>
      <c r="F1895" s="2">
        <v>60</v>
      </c>
      <c r="G1895" s="2" t="s">
        <v>5360</v>
      </c>
      <c r="H1895" s="2" t="s">
        <v>37</v>
      </c>
      <c r="I1895" s="2" t="s">
        <v>38</v>
      </c>
      <c r="J1895" s="3">
        <v>44559</v>
      </c>
      <c r="K1895" s="2">
        <v>5</v>
      </c>
      <c r="L1895" s="2" t="s">
        <v>64</v>
      </c>
      <c r="M1895" s="3"/>
    </row>
    <row r="1896" spans="1:13" x14ac:dyDescent="0.3">
      <c r="A1896" s="2">
        <v>1895</v>
      </c>
      <c r="B1896" s="2" t="s">
        <v>5361</v>
      </c>
      <c r="C1896" s="2" t="s">
        <v>5362</v>
      </c>
      <c r="D1896" s="2" t="s">
        <v>15</v>
      </c>
      <c r="E1896" s="2" t="s">
        <v>16</v>
      </c>
      <c r="F1896" s="2">
        <v>30</v>
      </c>
      <c r="G1896" s="2" t="s">
        <v>5363</v>
      </c>
      <c r="H1896" s="2" t="s">
        <v>5122</v>
      </c>
      <c r="I1896" s="2" t="s">
        <v>25</v>
      </c>
      <c r="J1896" s="3">
        <v>44514</v>
      </c>
      <c r="K1896" s="2">
        <v>70</v>
      </c>
      <c r="L1896" s="2" t="s">
        <v>101</v>
      </c>
      <c r="M1896" s="3"/>
    </row>
    <row r="1897" spans="1:13" x14ac:dyDescent="0.3">
      <c r="A1897" s="2">
        <v>1896</v>
      </c>
      <c r="B1897" s="2" t="s">
        <v>5364</v>
      </c>
      <c r="C1897" s="2" t="s">
        <v>3922</v>
      </c>
      <c r="D1897" s="2" t="s">
        <v>28</v>
      </c>
      <c r="E1897" s="2" t="s">
        <v>29</v>
      </c>
      <c r="F1897" s="2">
        <v>90</v>
      </c>
      <c r="G1897" s="2" t="s">
        <v>5365</v>
      </c>
      <c r="H1897" s="2" t="s">
        <v>5241</v>
      </c>
      <c r="I1897" s="2" t="s">
        <v>32</v>
      </c>
      <c r="J1897" s="3">
        <v>43855</v>
      </c>
      <c r="K1897" s="2">
        <v>6</v>
      </c>
      <c r="L1897" s="2" t="s">
        <v>70</v>
      </c>
      <c r="M1897" s="3"/>
    </row>
    <row r="1898" spans="1:13" x14ac:dyDescent="0.3">
      <c r="A1898" s="2">
        <v>1897</v>
      </c>
      <c r="B1898" s="2" t="s">
        <v>4233</v>
      </c>
      <c r="C1898" s="2" t="s">
        <v>5366</v>
      </c>
      <c r="D1898" s="2" t="s">
        <v>28</v>
      </c>
      <c r="E1898" s="2" t="s">
        <v>29</v>
      </c>
      <c r="F1898" s="2">
        <v>90</v>
      </c>
      <c r="G1898" s="2" t="s">
        <v>5367</v>
      </c>
      <c r="H1898" s="2" t="s">
        <v>2804</v>
      </c>
      <c r="I1898" s="2" t="s">
        <v>124</v>
      </c>
      <c r="J1898" s="3">
        <v>44632</v>
      </c>
      <c r="K1898" s="2">
        <v>92</v>
      </c>
      <c r="L1898" s="2" t="s">
        <v>45</v>
      </c>
      <c r="M1898" s="3"/>
    </row>
    <row r="1899" spans="1:13" x14ac:dyDescent="0.3">
      <c r="A1899" s="2">
        <v>1898</v>
      </c>
      <c r="B1899" s="2" t="s">
        <v>5368</v>
      </c>
      <c r="C1899" s="2" t="s">
        <v>3887</v>
      </c>
      <c r="D1899" s="2" t="s">
        <v>15</v>
      </c>
      <c r="E1899" s="2" t="s">
        <v>16</v>
      </c>
      <c r="F1899" s="2">
        <v>90</v>
      </c>
      <c r="G1899" s="2" t="s">
        <v>5369</v>
      </c>
      <c r="H1899" s="2" t="s">
        <v>714</v>
      </c>
      <c r="I1899" s="2" t="s">
        <v>38</v>
      </c>
      <c r="J1899" s="3">
        <v>44236</v>
      </c>
      <c r="K1899" s="2">
        <v>43</v>
      </c>
      <c r="L1899" s="2" t="s">
        <v>45</v>
      </c>
      <c r="M1899" s="3"/>
    </row>
    <row r="1900" spans="1:13" x14ac:dyDescent="0.3">
      <c r="A1900" s="2">
        <v>1899</v>
      </c>
      <c r="B1900" s="2" t="s">
        <v>364</v>
      </c>
      <c r="C1900" s="2" t="s">
        <v>5370</v>
      </c>
      <c r="D1900" s="2" t="s">
        <v>51</v>
      </c>
      <c r="E1900" s="2" t="s">
        <v>16</v>
      </c>
      <c r="F1900" s="2">
        <v>60</v>
      </c>
      <c r="G1900" s="2" t="s">
        <v>5371</v>
      </c>
      <c r="H1900" s="2" t="s">
        <v>2325</v>
      </c>
      <c r="I1900" s="2" t="s">
        <v>173</v>
      </c>
      <c r="J1900" s="3">
        <v>44433</v>
      </c>
      <c r="K1900" s="2">
        <v>2</v>
      </c>
      <c r="L1900" s="2" t="s">
        <v>54</v>
      </c>
      <c r="M1900" s="3"/>
    </row>
    <row r="1901" spans="1:13" x14ac:dyDescent="0.3">
      <c r="A1901" s="2">
        <v>1900</v>
      </c>
      <c r="B1901" s="2" t="s">
        <v>364</v>
      </c>
      <c r="C1901" s="2" t="s">
        <v>5370</v>
      </c>
      <c r="D1901" s="2" t="s">
        <v>51</v>
      </c>
      <c r="E1901" s="2" t="s">
        <v>16</v>
      </c>
      <c r="F1901" s="2">
        <v>60</v>
      </c>
      <c r="G1901" s="2" t="s">
        <v>5371</v>
      </c>
      <c r="H1901" s="2" t="s">
        <v>2325</v>
      </c>
      <c r="I1901" s="2" t="s">
        <v>173</v>
      </c>
      <c r="J1901" s="3">
        <v>44433</v>
      </c>
      <c r="K1901" s="2">
        <v>2</v>
      </c>
      <c r="L1901" s="2" t="s">
        <v>54</v>
      </c>
      <c r="M1901" s="3"/>
    </row>
    <row r="1902" spans="1:13" x14ac:dyDescent="0.3">
      <c r="A1902" s="2">
        <v>1901</v>
      </c>
      <c r="B1902" s="2" t="s">
        <v>3158</v>
      </c>
      <c r="C1902" s="2" t="s">
        <v>556</v>
      </c>
      <c r="D1902" s="2" t="s">
        <v>28</v>
      </c>
      <c r="E1902" s="2" t="s">
        <v>29</v>
      </c>
      <c r="F1902" s="2">
        <v>90</v>
      </c>
      <c r="G1902" s="2" t="s">
        <v>5372</v>
      </c>
      <c r="H1902" s="2" t="s">
        <v>4034</v>
      </c>
      <c r="I1902" s="2" t="s">
        <v>178</v>
      </c>
      <c r="J1902" s="3">
        <v>44311</v>
      </c>
      <c r="K1902" s="2">
        <v>91</v>
      </c>
      <c r="L1902" s="2" t="s">
        <v>80</v>
      </c>
      <c r="M1902" s="3"/>
    </row>
    <row r="1903" spans="1:13" x14ac:dyDescent="0.3">
      <c r="A1903" s="2">
        <v>1902</v>
      </c>
      <c r="B1903" s="2" t="s">
        <v>5373</v>
      </c>
      <c r="C1903" s="2" t="s">
        <v>5374</v>
      </c>
      <c r="D1903" s="2" t="s">
        <v>41</v>
      </c>
      <c r="E1903" s="2" t="s">
        <v>16</v>
      </c>
      <c r="F1903" s="2">
        <v>90</v>
      </c>
      <c r="G1903" s="2" t="s">
        <v>5375</v>
      </c>
      <c r="H1903" s="2" t="s">
        <v>5376</v>
      </c>
      <c r="I1903" s="2" t="s">
        <v>32</v>
      </c>
      <c r="J1903" s="3">
        <v>44578</v>
      </c>
      <c r="K1903" s="2">
        <v>6</v>
      </c>
      <c r="L1903" s="2" t="s">
        <v>39</v>
      </c>
      <c r="M1903" s="3"/>
    </row>
    <row r="1904" spans="1:13" x14ac:dyDescent="0.3">
      <c r="A1904" s="2">
        <v>1903</v>
      </c>
      <c r="B1904" s="2" t="s">
        <v>5377</v>
      </c>
      <c r="C1904" s="2" t="s">
        <v>972</v>
      </c>
      <c r="D1904" s="2" t="s">
        <v>15</v>
      </c>
      <c r="E1904" s="2" t="s">
        <v>16</v>
      </c>
      <c r="F1904" s="2">
        <v>30</v>
      </c>
      <c r="G1904" s="2" t="s">
        <v>5378</v>
      </c>
      <c r="H1904" s="2" t="s">
        <v>5379</v>
      </c>
      <c r="I1904" s="2" t="s">
        <v>1199</v>
      </c>
      <c r="J1904" s="3">
        <v>43832</v>
      </c>
      <c r="K1904" s="2">
        <v>74</v>
      </c>
      <c r="L1904" s="2" t="s">
        <v>70</v>
      </c>
      <c r="M1904" s="3"/>
    </row>
    <row r="1905" spans="1:13" x14ac:dyDescent="0.3">
      <c r="A1905" s="2">
        <v>1904</v>
      </c>
      <c r="B1905" s="2" t="s">
        <v>5380</v>
      </c>
      <c r="C1905" s="2" t="s">
        <v>5381</v>
      </c>
      <c r="D1905" s="2" t="s">
        <v>92</v>
      </c>
      <c r="E1905" s="2" t="s">
        <v>29</v>
      </c>
      <c r="F1905" s="2">
        <v>60</v>
      </c>
      <c r="G1905" s="2" t="s">
        <v>5382</v>
      </c>
      <c r="H1905" s="2" t="s">
        <v>951</v>
      </c>
      <c r="I1905" s="2" t="s">
        <v>95</v>
      </c>
      <c r="J1905" s="3">
        <v>43952</v>
      </c>
      <c r="K1905" s="2">
        <v>80</v>
      </c>
      <c r="L1905" s="2" t="s">
        <v>80</v>
      </c>
      <c r="M1905" s="3"/>
    </row>
    <row r="1906" spans="1:13" x14ac:dyDescent="0.3">
      <c r="A1906" s="2">
        <v>1905</v>
      </c>
      <c r="B1906" s="2" t="s">
        <v>3515</v>
      </c>
      <c r="C1906" s="2" t="s">
        <v>5383</v>
      </c>
      <c r="D1906" s="2" t="s">
        <v>28</v>
      </c>
      <c r="E1906" s="2" t="s">
        <v>29</v>
      </c>
      <c r="F1906" s="2">
        <v>30</v>
      </c>
      <c r="G1906" s="2" t="s">
        <v>5384</v>
      </c>
      <c r="H1906" s="2" t="s">
        <v>4675</v>
      </c>
      <c r="I1906" s="2" t="s">
        <v>178</v>
      </c>
      <c r="J1906" s="3">
        <v>43859</v>
      </c>
      <c r="K1906" s="2">
        <v>13</v>
      </c>
      <c r="L1906" s="2" t="s">
        <v>80</v>
      </c>
      <c r="M1906" s="3"/>
    </row>
    <row r="1907" spans="1:13" x14ac:dyDescent="0.3">
      <c r="A1907" s="2">
        <v>1906</v>
      </c>
      <c r="B1907" s="2" t="s">
        <v>5020</v>
      </c>
      <c r="C1907" s="2" t="s">
        <v>5385</v>
      </c>
      <c r="D1907" s="2" t="s">
        <v>51</v>
      </c>
      <c r="E1907" s="2" t="s">
        <v>16</v>
      </c>
      <c r="F1907" s="2">
        <v>30</v>
      </c>
      <c r="G1907" s="2" t="s">
        <v>5386</v>
      </c>
      <c r="H1907" s="2" t="s">
        <v>3558</v>
      </c>
      <c r="I1907" s="2" t="s">
        <v>32</v>
      </c>
      <c r="J1907" s="3">
        <v>44385</v>
      </c>
      <c r="K1907" s="2">
        <v>93</v>
      </c>
      <c r="L1907" s="2" t="s">
        <v>70</v>
      </c>
      <c r="M1907" s="3"/>
    </row>
    <row r="1908" spans="1:13" x14ac:dyDescent="0.3">
      <c r="A1908" s="2">
        <v>1907</v>
      </c>
      <c r="B1908" s="2" t="s">
        <v>5387</v>
      </c>
      <c r="C1908" s="2" t="s">
        <v>4314</v>
      </c>
      <c r="D1908" s="2" t="s">
        <v>15</v>
      </c>
      <c r="E1908" s="2" t="s">
        <v>16</v>
      </c>
      <c r="F1908" s="2">
        <v>60</v>
      </c>
      <c r="G1908" s="2" t="s">
        <v>5388</v>
      </c>
      <c r="H1908" s="2" t="s">
        <v>3628</v>
      </c>
      <c r="I1908" s="2" t="s">
        <v>32</v>
      </c>
      <c r="J1908" s="3">
        <v>44431</v>
      </c>
      <c r="K1908" s="2">
        <v>76</v>
      </c>
      <c r="L1908" s="2" t="s">
        <v>45</v>
      </c>
      <c r="M1908" s="3"/>
    </row>
    <row r="1909" spans="1:13" x14ac:dyDescent="0.3">
      <c r="A1909" s="2">
        <v>1908</v>
      </c>
      <c r="B1909" s="2" t="s">
        <v>4697</v>
      </c>
      <c r="C1909" s="2" t="s">
        <v>5389</v>
      </c>
      <c r="D1909" s="2" t="s">
        <v>28</v>
      </c>
      <c r="E1909" s="2" t="s">
        <v>29</v>
      </c>
      <c r="F1909" s="2">
        <v>60</v>
      </c>
      <c r="G1909" s="2" t="s">
        <v>5390</v>
      </c>
      <c r="H1909" s="2" t="s">
        <v>1107</v>
      </c>
      <c r="I1909" s="2" t="s">
        <v>32</v>
      </c>
      <c r="J1909" s="3">
        <v>44031</v>
      </c>
      <c r="K1909" s="2">
        <v>85</v>
      </c>
      <c r="L1909" s="2" t="s">
        <v>45</v>
      </c>
      <c r="M1909" s="3"/>
    </row>
    <row r="1910" spans="1:13" x14ac:dyDescent="0.3">
      <c r="A1910" s="2">
        <v>1909</v>
      </c>
      <c r="B1910" s="2" t="s">
        <v>1234</v>
      </c>
      <c r="C1910" s="2" t="s">
        <v>5391</v>
      </c>
      <c r="D1910" s="2" t="s">
        <v>28</v>
      </c>
      <c r="E1910" s="2" t="s">
        <v>29</v>
      </c>
      <c r="F1910" s="2">
        <v>90</v>
      </c>
      <c r="G1910" s="2" t="s">
        <v>5392</v>
      </c>
      <c r="H1910" s="2" t="s">
        <v>5207</v>
      </c>
      <c r="I1910" s="2" t="s">
        <v>38</v>
      </c>
      <c r="J1910" s="3">
        <v>44293</v>
      </c>
      <c r="K1910" s="2">
        <v>65</v>
      </c>
      <c r="L1910" s="2" t="s">
        <v>54</v>
      </c>
      <c r="M1910" s="3"/>
    </row>
    <row r="1911" spans="1:13" x14ac:dyDescent="0.3">
      <c r="A1911" s="2">
        <v>1910</v>
      </c>
      <c r="B1911" s="2" t="s">
        <v>5393</v>
      </c>
      <c r="C1911" s="2" t="s">
        <v>5217</v>
      </c>
      <c r="D1911" s="2" t="s">
        <v>15</v>
      </c>
      <c r="E1911" s="2" t="s">
        <v>16</v>
      </c>
      <c r="F1911" s="2">
        <v>30</v>
      </c>
      <c r="G1911" s="2" t="s">
        <v>5394</v>
      </c>
      <c r="H1911" s="2" t="s">
        <v>3291</v>
      </c>
      <c r="I1911" s="2" t="s">
        <v>124</v>
      </c>
      <c r="J1911" s="3">
        <v>44588</v>
      </c>
      <c r="K1911" s="2">
        <v>89</v>
      </c>
      <c r="L1911" s="2" t="s">
        <v>101</v>
      </c>
      <c r="M1911" s="3"/>
    </row>
    <row r="1912" spans="1:13" x14ac:dyDescent="0.3">
      <c r="A1912" s="2">
        <v>1911</v>
      </c>
      <c r="B1912" s="2" t="s">
        <v>4092</v>
      </c>
      <c r="C1912" s="2" t="s">
        <v>5395</v>
      </c>
      <c r="D1912" s="2" t="s">
        <v>28</v>
      </c>
      <c r="E1912" s="2" t="s">
        <v>29</v>
      </c>
      <c r="F1912" s="2">
        <v>60</v>
      </c>
      <c r="G1912" s="2" t="s">
        <v>5396</v>
      </c>
      <c r="H1912" s="2" t="s">
        <v>3203</v>
      </c>
      <c r="I1912" s="2" t="s">
        <v>32</v>
      </c>
      <c r="J1912" s="3">
        <v>44473</v>
      </c>
      <c r="K1912" s="2">
        <v>2</v>
      </c>
      <c r="L1912" s="2" t="s">
        <v>80</v>
      </c>
      <c r="M1912" s="3"/>
    </row>
    <row r="1913" spans="1:13" x14ac:dyDescent="0.3">
      <c r="A1913" s="2">
        <v>1912</v>
      </c>
      <c r="B1913" s="2" t="s">
        <v>5397</v>
      </c>
      <c r="C1913" s="2" t="s">
        <v>4531</v>
      </c>
      <c r="D1913" s="2" t="s">
        <v>15</v>
      </c>
      <c r="E1913" s="2" t="s">
        <v>16</v>
      </c>
      <c r="F1913" s="2">
        <v>30</v>
      </c>
      <c r="G1913" s="2" t="s">
        <v>5398</v>
      </c>
      <c r="H1913" s="2" t="s">
        <v>5399</v>
      </c>
      <c r="I1913" s="2" t="s">
        <v>32</v>
      </c>
      <c r="J1913" s="3">
        <v>44629</v>
      </c>
      <c r="K1913" s="2">
        <v>59</v>
      </c>
      <c r="L1913" s="2" t="s">
        <v>80</v>
      </c>
      <c r="M1913" s="3"/>
    </row>
    <row r="1914" spans="1:13" x14ac:dyDescent="0.3">
      <c r="A1914" s="2">
        <v>1913</v>
      </c>
      <c r="B1914" s="2" t="s">
        <v>5400</v>
      </c>
      <c r="C1914" s="2" t="s">
        <v>1410</v>
      </c>
      <c r="D1914" s="2" t="s">
        <v>15</v>
      </c>
      <c r="E1914" s="2" t="s">
        <v>16</v>
      </c>
      <c r="F1914" s="2">
        <v>30</v>
      </c>
      <c r="G1914" s="2" t="s">
        <v>5401</v>
      </c>
      <c r="H1914" s="2" t="s">
        <v>1358</v>
      </c>
      <c r="I1914" s="2" t="s">
        <v>1359</v>
      </c>
      <c r="J1914" s="3">
        <v>44578</v>
      </c>
      <c r="K1914" s="2">
        <v>16</v>
      </c>
      <c r="L1914" s="2" t="s">
        <v>64</v>
      </c>
      <c r="M1914" s="3"/>
    </row>
    <row r="1915" spans="1:13" x14ac:dyDescent="0.3">
      <c r="A1915" s="2">
        <v>1914</v>
      </c>
      <c r="B1915" s="2" t="s">
        <v>1886</v>
      </c>
      <c r="C1915" s="2" t="s">
        <v>961</v>
      </c>
      <c r="D1915" s="2" t="s">
        <v>51</v>
      </c>
      <c r="E1915" s="2" t="s">
        <v>16</v>
      </c>
      <c r="F1915" s="2">
        <v>60</v>
      </c>
      <c r="G1915" s="2" t="s">
        <v>5402</v>
      </c>
      <c r="H1915" s="2" t="s">
        <v>5403</v>
      </c>
      <c r="I1915" s="2" t="s">
        <v>5404</v>
      </c>
      <c r="J1915" s="3">
        <v>44234</v>
      </c>
      <c r="K1915" s="2">
        <v>71</v>
      </c>
      <c r="L1915" s="2" t="s">
        <v>80</v>
      </c>
      <c r="M1915" s="3"/>
    </row>
    <row r="1916" spans="1:13" x14ac:dyDescent="0.3">
      <c r="A1916" s="2">
        <v>1915</v>
      </c>
      <c r="B1916" s="2" t="s">
        <v>5405</v>
      </c>
      <c r="C1916" s="2" t="s">
        <v>4829</v>
      </c>
      <c r="D1916" s="2" t="s">
        <v>15</v>
      </c>
      <c r="E1916" s="2" t="s">
        <v>16</v>
      </c>
      <c r="F1916" s="2">
        <v>60</v>
      </c>
      <c r="G1916" s="2" t="s">
        <v>5402</v>
      </c>
      <c r="H1916" s="2" t="s">
        <v>5406</v>
      </c>
      <c r="I1916" s="2" t="s">
        <v>32</v>
      </c>
      <c r="J1916" s="3">
        <v>44871</v>
      </c>
      <c r="K1916" s="2">
        <v>99</v>
      </c>
      <c r="L1916" s="2" t="s">
        <v>80</v>
      </c>
      <c r="M1916" s="3"/>
    </row>
    <row r="1917" spans="1:13" x14ac:dyDescent="0.3">
      <c r="A1917" s="2">
        <v>1916</v>
      </c>
      <c r="B1917" s="2" t="s">
        <v>5407</v>
      </c>
      <c r="C1917" s="2" t="s">
        <v>5408</v>
      </c>
      <c r="D1917" s="2" t="s">
        <v>51</v>
      </c>
      <c r="E1917" s="2" t="s">
        <v>16</v>
      </c>
      <c r="F1917" s="2">
        <v>60</v>
      </c>
      <c r="G1917" s="2" t="s">
        <v>5409</v>
      </c>
      <c r="H1917" s="2" t="s">
        <v>2749</v>
      </c>
      <c r="I1917" s="2" t="s">
        <v>187</v>
      </c>
      <c r="J1917" s="3">
        <v>43910</v>
      </c>
      <c r="K1917" s="2">
        <v>70</v>
      </c>
      <c r="L1917" s="2" t="s">
        <v>33</v>
      </c>
      <c r="M1917" s="3"/>
    </row>
    <row r="1918" spans="1:13" x14ac:dyDescent="0.3">
      <c r="A1918" s="2">
        <v>1917</v>
      </c>
      <c r="B1918" s="2" t="s">
        <v>5410</v>
      </c>
      <c r="C1918" s="2" t="s">
        <v>5142</v>
      </c>
      <c r="D1918" s="2" t="s">
        <v>15</v>
      </c>
      <c r="E1918" s="2" t="s">
        <v>16</v>
      </c>
      <c r="F1918" s="2">
        <v>90</v>
      </c>
      <c r="G1918" s="2" t="s">
        <v>5411</v>
      </c>
      <c r="H1918" s="2" t="s">
        <v>154</v>
      </c>
      <c r="I1918" s="2" t="s">
        <v>25</v>
      </c>
      <c r="J1918" s="3">
        <v>44603</v>
      </c>
      <c r="K1918" s="2">
        <v>103</v>
      </c>
      <c r="L1918" s="2" t="s">
        <v>159</v>
      </c>
      <c r="M1918" s="3"/>
    </row>
    <row r="1919" spans="1:13" x14ac:dyDescent="0.3">
      <c r="A1919" s="2">
        <v>1918</v>
      </c>
      <c r="B1919" s="2" t="s">
        <v>2115</v>
      </c>
      <c r="C1919" s="2" t="s">
        <v>2323</v>
      </c>
      <c r="D1919" s="2" t="s">
        <v>28</v>
      </c>
      <c r="E1919" s="2" t="s">
        <v>29</v>
      </c>
      <c r="F1919" s="2">
        <v>60</v>
      </c>
      <c r="G1919" s="2" t="s">
        <v>5412</v>
      </c>
      <c r="H1919" s="2" t="s">
        <v>3261</v>
      </c>
      <c r="I1919" s="2" t="s">
        <v>124</v>
      </c>
      <c r="J1919" s="3">
        <v>44281</v>
      </c>
      <c r="K1919" s="2">
        <v>12</v>
      </c>
      <c r="L1919" s="2" t="s">
        <v>64</v>
      </c>
      <c r="M1919" s="3"/>
    </row>
    <row r="1920" spans="1:13" x14ac:dyDescent="0.3">
      <c r="A1920" s="2">
        <v>1919</v>
      </c>
      <c r="B1920" s="2" t="s">
        <v>2980</v>
      </c>
      <c r="C1920" s="2" t="s">
        <v>5413</v>
      </c>
      <c r="D1920" s="2" t="s">
        <v>28</v>
      </c>
      <c r="E1920" s="2" t="s">
        <v>29</v>
      </c>
      <c r="F1920" s="2">
        <v>90</v>
      </c>
      <c r="G1920" s="2" t="s">
        <v>5414</v>
      </c>
      <c r="H1920" s="2" t="s">
        <v>1131</v>
      </c>
      <c r="I1920" s="2" t="s">
        <v>32</v>
      </c>
      <c r="J1920" s="3">
        <v>44091</v>
      </c>
      <c r="K1920" s="2">
        <v>19</v>
      </c>
      <c r="L1920" s="2" t="s">
        <v>70</v>
      </c>
      <c r="M1920" s="3"/>
    </row>
    <row r="1921" spans="1:13" x14ac:dyDescent="0.3">
      <c r="A1921" s="2">
        <v>1920</v>
      </c>
      <c r="B1921" s="2" t="s">
        <v>5415</v>
      </c>
      <c r="C1921" s="2" t="s">
        <v>1907</v>
      </c>
      <c r="D1921" s="2" t="s">
        <v>51</v>
      </c>
      <c r="E1921" s="2" t="s">
        <v>16</v>
      </c>
      <c r="F1921" s="2">
        <v>30</v>
      </c>
      <c r="G1921" s="2" t="s">
        <v>5416</v>
      </c>
      <c r="H1921" s="2" t="s">
        <v>4161</v>
      </c>
      <c r="I1921" s="2" t="s">
        <v>32</v>
      </c>
      <c r="J1921" s="3">
        <v>44011</v>
      </c>
      <c r="K1921" s="2">
        <v>37</v>
      </c>
      <c r="L1921" s="2" t="s">
        <v>45</v>
      </c>
      <c r="M1921" s="3"/>
    </row>
    <row r="1922" spans="1:13" x14ac:dyDescent="0.3">
      <c r="A1922" s="2">
        <v>1921</v>
      </c>
      <c r="B1922" s="2" t="s">
        <v>5057</v>
      </c>
      <c r="C1922" s="2" t="s">
        <v>5417</v>
      </c>
      <c r="D1922" s="2" t="s">
        <v>28</v>
      </c>
      <c r="E1922" s="2" t="s">
        <v>29</v>
      </c>
      <c r="F1922" s="2">
        <v>90</v>
      </c>
      <c r="G1922" s="2" t="s">
        <v>5418</v>
      </c>
      <c r="H1922" s="2" t="s">
        <v>993</v>
      </c>
      <c r="I1922" s="2" t="s">
        <v>32</v>
      </c>
      <c r="J1922" s="3">
        <v>44847</v>
      </c>
      <c r="K1922" s="2">
        <v>59</v>
      </c>
      <c r="L1922" s="2" t="s">
        <v>54</v>
      </c>
      <c r="M1922" s="3"/>
    </row>
    <row r="1923" spans="1:13" x14ac:dyDescent="0.3">
      <c r="A1923" s="2">
        <v>1922</v>
      </c>
      <c r="B1923" s="2" t="s">
        <v>5419</v>
      </c>
      <c r="C1923" s="2" t="s">
        <v>1698</v>
      </c>
      <c r="D1923" s="2" t="s">
        <v>51</v>
      </c>
      <c r="E1923" s="2" t="s">
        <v>16</v>
      </c>
      <c r="F1923" s="2">
        <v>90</v>
      </c>
      <c r="G1923" s="2" t="s">
        <v>5418</v>
      </c>
      <c r="H1923" s="2" t="s">
        <v>5420</v>
      </c>
      <c r="I1923" s="2" t="s">
        <v>32</v>
      </c>
      <c r="J1923" s="3">
        <v>43878</v>
      </c>
      <c r="K1923" s="2">
        <v>36</v>
      </c>
      <c r="L1923" s="2" t="s">
        <v>70</v>
      </c>
      <c r="M1923" s="3"/>
    </row>
    <row r="1924" spans="1:13" x14ac:dyDescent="0.3">
      <c r="A1924" s="2">
        <v>1923</v>
      </c>
      <c r="B1924" s="2" t="s">
        <v>5421</v>
      </c>
      <c r="C1924" s="2" t="s">
        <v>3504</v>
      </c>
      <c r="D1924" s="2" t="s">
        <v>28</v>
      </c>
      <c r="E1924" s="2" t="s">
        <v>29</v>
      </c>
      <c r="F1924" s="2">
        <v>90</v>
      </c>
      <c r="G1924" s="2" t="s">
        <v>5422</v>
      </c>
      <c r="H1924" s="2" t="s">
        <v>3987</v>
      </c>
      <c r="I1924" s="2" t="s">
        <v>554</v>
      </c>
      <c r="J1924" s="3">
        <v>44769</v>
      </c>
      <c r="K1924" s="2">
        <v>34</v>
      </c>
      <c r="L1924" s="2" t="s">
        <v>33</v>
      </c>
      <c r="M1924" s="3"/>
    </row>
    <row r="1925" spans="1:13" x14ac:dyDescent="0.3">
      <c r="A1925" s="2">
        <v>1924</v>
      </c>
      <c r="B1925" s="2" t="s">
        <v>3910</v>
      </c>
      <c r="C1925" s="2" t="s">
        <v>5423</v>
      </c>
      <c r="D1925" s="2" t="s">
        <v>28</v>
      </c>
      <c r="E1925" s="2" t="s">
        <v>29</v>
      </c>
      <c r="F1925" s="2">
        <v>90</v>
      </c>
      <c r="G1925" s="2" t="s">
        <v>5424</v>
      </c>
      <c r="H1925" s="2" t="s">
        <v>4266</v>
      </c>
      <c r="I1925" s="2" t="s">
        <v>25</v>
      </c>
      <c r="J1925" s="3">
        <v>44456</v>
      </c>
      <c r="K1925" s="2">
        <v>34</v>
      </c>
      <c r="L1925" s="2" t="s">
        <v>70</v>
      </c>
      <c r="M1925" s="3"/>
    </row>
    <row r="1926" spans="1:13" x14ac:dyDescent="0.3">
      <c r="A1926" s="2">
        <v>1925</v>
      </c>
      <c r="B1926" s="2" t="s">
        <v>5425</v>
      </c>
      <c r="C1926" s="2" t="s">
        <v>1627</v>
      </c>
      <c r="D1926" s="2" t="s">
        <v>15</v>
      </c>
      <c r="E1926" s="2" t="s">
        <v>291</v>
      </c>
      <c r="F1926" s="2">
        <v>90</v>
      </c>
      <c r="G1926" s="2" t="s">
        <v>5426</v>
      </c>
      <c r="H1926" s="2" t="s">
        <v>5427</v>
      </c>
      <c r="I1926" s="2" t="s">
        <v>32</v>
      </c>
      <c r="J1926" s="3">
        <v>44565</v>
      </c>
      <c r="K1926" s="2">
        <v>43</v>
      </c>
      <c r="L1926" s="2" t="s">
        <v>45</v>
      </c>
      <c r="M1926" s="3"/>
    </row>
    <row r="1927" spans="1:13" x14ac:dyDescent="0.3">
      <c r="A1927" s="2">
        <v>1926</v>
      </c>
      <c r="B1927" s="2" t="s">
        <v>1428</v>
      </c>
      <c r="C1927" s="2" t="s">
        <v>5428</v>
      </c>
      <c r="D1927" s="2" t="s">
        <v>51</v>
      </c>
      <c r="E1927" s="2" t="s">
        <v>16</v>
      </c>
      <c r="F1927" s="2">
        <v>90</v>
      </c>
      <c r="G1927" s="2" t="s">
        <v>5429</v>
      </c>
      <c r="H1927" s="2" t="s">
        <v>1164</v>
      </c>
      <c r="I1927" s="2" t="s">
        <v>89</v>
      </c>
      <c r="J1927" s="3">
        <v>44288</v>
      </c>
      <c r="K1927" s="2">
        <v>40</v>
      </c>
      <c r="L1927" s="2" t="s">
        <v>20</v>
      </c>
      <c r="M1927" s="3"/>
    </row>
    <row r="1928" spans="1:13" x14ac:dyDescent="0.3">
      <c r="A1928" s="2">
        <v>1927</v>
      </c>
      <c r="B1928" s="2" t="s">
        <v>5430</v>
      </c>
      <c r="C1928" s="2" t="s">
        <v>5431</v>
      </c>
      <c r="D1928" s="2" t="s">
        <v>41</v>
      </c>
      <c r="E1928" s="2" t="s">
        <v>16</v>
      </c>
      <c r="F1928" s="2">
        <v>30</v>
      </c>
      <c r="G1928" s="2" t="s">
        <v>5432</v>
      </c>
      <c r="H1928" s="2" t="s">
        <v>1001</v>
      </c>
      <c r="I1928" s="2" t="s">
        <v>32</v>
      </c>
      <c r="J1928" s="3">
        <v>44072</v>
      </c>
      <c r="K1928" s="2">
        <v>22</v>
      </c>
      <c r="L1928" s="2" t="s">
        <v>33</v>
      </c>
      <c r="M1928" s="3"/>
    </row>
    <row r="1929" spans="1:13" x14ac:dyDescent="0.3">
      <c r="A1929" s="2">
        <v>1928</v>
      </c>
      <c r="B1929" s="2" t="s">
        <v>5433</v>
      </c>
      <c r="C1929" s="2" t="s">
        <v>5196</v>
      </c>
      <c r="D1929" s="2" t="s">
        <v>28</v>
      </c>
      <c r="E1929" s="2" t="s">
        <v>29</v>
      </c>
      <c r="F1929" s="2">
        <v>60</v>
      </c>
      <c r="G1929" s="2" t="s">
        <v>5434</v>
      </c>
      <c r="H1929" s="2" t="s">
        <v>2334</v>
      </c>
      <c r="I1929" s="2" t="s">
        <v>32</v>
      </c>
      <c r="J1929" s="3">
        <v>43869</v>
      </c>
      <c r="K1929" s="2">
        <v>23</v>
      </c>
      <c r="L1929" s="2" t="s">
        <v>39</v>
      </c>
      <c r="M1929" s="3"/>
    </row>
    <row r="1930" spans="1:13" x14ac:dyDescent="0.3">
      <c r="A1930" s="2">
        <v>1929</v>
      </c>
      <c r="B1930" s="2" t="s">
        <v>5435</v>
      </c>
      <c r="C1930" s="2" t="s">
        <v>1334</v>
      </c>
      <c r="D1930" s="2" t="s">
        <v>92</v>
      </c>
      <c r="E1930" s="2" t="s">
        <v>16</v>
      </c>
      <c r="F1930" s="2">
        <v>90</v>
      </c>
      <c r="G1930" s="2" t="s">
        <v>5436</v>
      </c>
      <c r="H1930" s="2" t="s">
        <v>3951</v>
      </c>
      <c r="I1930" s="2" t="s">
        <v>1576</v>
      </c>
      <c r="J1930" s="3">
        <v>44126</v>
      </c>
      <c r="K1930" s="2">
        <v>46</v>
      </c>
      <c r="L1930" s="2" t="s">
        <v>70</v>
      </c>
      <c r="M1930" s="3"/>
    </row>
    <row r="1931" spans="1:13" x14ac:dyDescent="0.3">
      <c r="A1931" s="2">
        <v>1930</v>
      </c>
      <c r="B1931" s="2" t="s">
        <v>5437</v>
      </c>
      <c r="C1931" s="2" t="s">
        <v>5438</v>
      </c>
      <c r="D1931" s="2" t="s">
        <v>51</v>
      </c>
      <c r="E1931" s="2" t="s">
        <v>16</v>
      </c>
      <c r="F1931" s="2">
        <v>60</v>
      </c>
      <c r="G1931" s="2" t="s">
        <v>5439</v>
      </c>
      <c r="H1931" s="2" t="s">
        <v>599</v>
      </c>
      <c r="I1931" s="2" t="s">
        <v>32</v>
      </c>
      <c r="J1931" s="3">
        <v>44891</v>
      </c>
      <c r="K1931" s="2">
        <v>3</v>
      </c>
      <c r="L1931" s="2" t="s">
        <v>159</v>
      </c>
      <c r="M1931" s="3"/>
    </row>
    <row r="1932" spans="1:13" x14ac:dyDescent="0.3">
      <c r="A1932" s="2">
        <v>1931</v>
      </c>
      <c r="B1932" s="2" t="s">
        <v>2253</v>
      </c>
      <c r="C1932" s="2" t="s">
        <v>2779</v>
      </c>
      <c r="D1932" s="2" t="s">
        <v>28</v>
      </c>
      <c r="E1932" s="2" t="s">
        <v>29</v>
      </c>
      <c r="F1932" s="2">
        <v>90</v>
      </c>
      <c r="G1932" s="2" t="s">
        <v>5440</v>
      </c>
      <c r="H1932" s="2" t="s">
        <v>5441</v>
      </c>
      <c r="I1932" s="2" t="s">
        <v>178</v>
      </c>
      <c r="J1932" s="3">
        <v>44435</v>
      </c>
      <c r="K1932" s="2">
        <v>33</v>
      </c>
      <c r="L1932" s="2" t="s">
        <v>159</v>
      </c>
      <c r="M1932" s="3"/>
    </row>
    <row r="1933" spans="1:13" x14ac:dyDescent="0.3">
      <c r="A1933" s="2">
        <v>1932</v>
      </c>
      <c r="B1933" s="2" t="s">
        <v>2891</v>
      </c>
      <c r="C1933" s="2" t="s">
        <v>5442</v>
      </c>
      <c r="D1933" s="2" t="s">
        <v>28</v>
      </c>
      <c r="E1933" s="2" t="s">
        <v>29</v>
      </c>
      <c r="F1933" s="2">
        <v>60</v>
      </c>
      <c r="G1933" s="2" t="s">
        <v>5443</v>
      </c>
      <c r="H1933" s="2" t="s">
        <v>1168</v>
      </c>
      <c r="I1933" s="2" t="s">
        <v>32</v>
      </c>
      <c r="J1933" s="3">
        <v>43901</v>
      </c>
      <c r="K1933" s="2">
        <v>35</v>
      </c>
      <c r="L1933" s="2" t="s">
        <v>45</v>
      </c>
      <c r="M1933" s="3"/>
    </row>
    <row r="1934" spans="1:13" x14ac:dyDescent="0.3">
      <c r="A1934" s="2">
        <v>1933</v>
      </c>
      <c r="B1934" s="2" t="s">
        <v>5444</v>
      </c>
      <c r="C1934" s="2" t="s">
        <v>5445</v>
      </c>
      <c r="D1934" s="2" t="s">
        <v>28</v>
      </c>
      <c r="E1934" s="2" t="s">
        <v>29</v>
      </c>
      <c r="F1934" s="2">
        <v>90</v>
      </c>
      <c r="G1934" s="2" t="s">
        <v>5446</v>
      </c>
      <c r="H1934" s="2" t="s">
        <v>1587</v>
      </c>
      <c r="I1934" s="2" t="s">
        <v>32</v>
      </c>
      <c r="J1934" s="3">
        <v>43834</v>
      </c>
      <c r="K1934" s="2">
        <v>69</v>
      </c>
      <c r="L1934" s="2" t="s">
        <v>64</v>
      </c>
      <c r="M1934" s="3"/>
    </row>
    <row r="1935" spans="1:13" x14ac:dyDescent="0.3">
      <c r="A1935" s="2">
        <v>1934</v>
      </c>
      <c r="B1935" s="2" t="s">
        <v>5447</v>
      </c>
      <c r="C1935" s="2" t="s">
        <v>2323</v>
      </c>
      <c r="D1935" s="2" t="s">
        <v>41</v>
      </c>
      <c r="E1935" s="2" t="s">
        <v>16</v>
      </c>
      <c r="F1935" s="2">
        <v>60</v>
      </c>
      <c r="G1935" s="2" t="s">
        <v>5448</v>
      </c>
      <c r="H1935" s="2" t="s">
        <v>5449</v>
      </c>
      <c r="I1935" s="2" t="s">
        <v>32</v>
      </c>
      <c r="J1935" s="3">
        <v>43914</v>
      </c>
      <c r="K1935" s="2">
        <v>53</v>
      </c>
      <c r="L1935" s="2" t="s">
        <v>101</v>
      </c>
      <c r="M1935" s="3"/>
    </row>
    <row r="1936" spans="1:13" x14ac:dyDescent="0.3">
      <c r="A1936" s="2">
        <v>1935</v>
      </c>
      <c r="B1936" s="2" t="s">
        <v>656</v>
      </c>
      <c r="C1936" s="2" t="s">
        <v>1129</v>
      </c>
      <c r="D1936" s="2" t="s">
        <v>51</v>
      </c>
      <c r="E1936" s="2" t="s">
        <v>16</v>
      </c>
      <c r="F1936" s="2">
        <v>60</v>
      </c>
      <c r="G1936" s="2" t="s">
        <v>5450</v>
      </c>
      <c r="H1936" s="2" t="s">
        <v>5451</v>
      </c>
      <c r="I1936" s="2" t="s">
        <v>32</v>
      </c>
      <c r="J1936" s="3">
        <v>44711</v>
      </c>
      <c r="K1936" s="2">
        <v>88</v>
      </c>
      <c r="L1936" s="2" t="s">
        <v>54</v>
      </c>
      <c r="M1936" s="3"/>
    </row>
    <row r="1937" spans="1:13" x14ac:dyDescent="0.3">
      <c r="A1937" s="2">
        <v>1936</v>
      </c>
      <c r="B1937" s="2" t="s">
        <v>4815</v>
      </c>
      <c r="C1937" s="2" t="s">
        <v>5452</v>
      </c>
      <c r="D1937" s="2" t="s">
        <v>28</v>
      </c>
      <c r="E1937" s="2" t="s">
        <v>29</v>
      </c>
      <c r="F1937" s="2">
        <v>90</v>
      </c>
      <c r="G1937" s="2" t="s">
        <v>5453</v>
      </c>
      <c r="H1937" s="2" t="s">
        <v>2965</v>
      </c>
      <c r="I1937" s="2" t="s">
        <v>25</v>
      </c>
      <c r="J1937" s="3">
        <v>43974</v>
      </c>
      <c r="K1937" s="2">
        <v>32</v>
      </c>
      <c r="L1937" s="2" t="s">
        <v>101</v>
      </c>
      <c r="M1937" s="3"/>
    </row>
    <row r="1938" spans="1:13" x14ac:dyDescent="0.3">
      <c r="A1938" s="2">
        <v>1937</v>
      </c>
      <c r="B1938" s="2" t="s">
        <v>5454</v>
      </c>
      <c r="C1938" s="2" t="s">
        <v>1688</v>
      </c>
      <c r="D1938" s="2" t="s">
        <v>15</v>
      </c>
      <c r="E1938" s="2" t="s">
        <v>16</v>
      </c>
      <c r="F1938" s="2">
        <v>30</v>
      </c>
      <c r="G1938" s="2" t="s">
        <v>5455</v>
      </c>
      <c r="H1938" s="2" t="s">
        <v>772</v>
      </c>
      <c r="I1938" s="2" t="s">
        <v>32</v>
      </c>
      <c r="J1938" s="3">
        <v>44887</v>
      </c>
      <c r="K1938" s="2">
        <v>72</v>
      </c>
      <c r="L1938" s="2" t="s">
        <v>39</v>
      </c>
      <c r="M1938" s="3"/>
    </row>
    <row r="1939" spans="1:13" x14ac:dyDescent="0.3">
      <c r="A1939" s="2">
        <v>1938</v>
      </c>
      <c r="B1939" s="2" t="s">
        <v>2711</v>
      </c>
      <c r="C1939" s="2" t="s">
        <v>210</v>
      </c>
      <c r="D1939" s="2" t="s">
        <v>15</v>
      </c>
      <c r="E1939" s="2" t="s">
        <v>16</v>
      </c>
      <c r="F1939" s="2">
        <v>60</v>
      </c>
      <c r="G1939" s="2" t="s">
        <v>5456</v>
      </c>
      <c r="H1939" s="2" t="s">
        <v>4034</v>
      </c>
      <c r="I1939" s="2" t="s">
        <v>178</v>
      </c>
      <c r="J1939" s="3">
        <v>44784</v>
      </c>
      <c r="K1939" s="2">
        <v>91</v>
      </c>
      <c r="L1939" s="2" t="s">
        <v>159</v>
      </c>
      <c r="M1939" s="3"/>
    </row>
    <row r="1940" spans="1:13" x14ac:dyDescent="0.3">
      <c r="A1940" s="2">
        <v>1939</v>
      </c>
      <c r="B1940" s="2" t="s">
        <v>5457</v>
      </c>
      <c r="C1940" s="2" t="s">
        <v>156</v>
      </c>
      <c r="D1940" s="2" t="s">
        <v>28</v>
      </c>
      <c r="E1940" s="2" t="s">
        <v>29</v>
      </c>
      <c r="F1940" s="2">
        <v>90</v>
      </c>
      <c r="G1940" s="2" t="s">
        <v>5458</v>
      </c>
      <c r="H1940" s="2" t="s">
        <v>5459</v>
      </c>
      <c r="I1940" s="2" t="s">
        <v>1478</v>
      </c>
      <c r="J1940" s="3">
        <v>44106</v>
      </c>
      <c r="K1940" s="2">
        <v>35</v>
      </c>
      <c r="L1940" s="2" t="s">
        <v>80</v>
      </c>
      <c r="M1940" s="3"/>
    </row>
    <row r="1941" spans="1:13" x14ac:dyDescent="0.3">
      <c r="A1941" s="2">
        <v>1940</v>
      </c>
      <c r="B1941" s="2" t="s">
        <v>5460</v>
      </c>
      <c r="C1941" s="2" t="s">
        <v>5461</v>
      </c>
      <c r="D1941" s="2" t="s">
        <v>28</v>
      </c>
      <c r="E1941" s="2" t="s">
        <v>29</v>
      </c>
      <c r="F1941" s="2">
        <v>90</v>
      </c>
      <c r="G1941" s="2" t="s">
        <v>5462</v>
      </c>
      <c r="H1941" s="2" t="s">
        <v>4924</v>
      </c>
      <c r="I1941" s="2" t="s">
        <v>32</v>
      </c>
      <c r="J1941" s="3">
        <v>44716</v>
      </c>
      <c r="K1941" s="2">
        <v>101</v>
      </c>
      <c r="L1941" s="2" t="s">
        <v>54</v>
      </c>
      <c r="M1941" s="3"/>
    </row>
    <row r="1942" spans="1:13" x14ac:dyDescent="0.3">
      <c r="A1942" s="2">
        <v>1941</v>
      </c>
      <c r="B1942" s="2" t="s">
        <v>4392</v>
      </c>
      <c r="C1942" s="2" t="s">
        <v>4743</v>
      </c>
      <c r="D1942" s="2" t="s">
        <v>28</v>
      </c>
      <c r="E1942" s="2" t="s">
        <v>29</v>
      </c>
      <c r="F1942" s="2">
        <v>60</v>
      </c>
      <c r="G1942" s="2" t="s">
        <v>5463</v>
      </c>
      <c r="H1942" s="2" t="s">
        <v>5464</v>
      </c>
      <c r="I1942" s="2" t="s">
        <v>124</v>
      </c>
      <c r="J1942" s="3">
        <v>44247</v>
      </c>
      <c r="K1942" s="2">
        <v>20</v>
      </c>
      <c r="L1942" s="2" t="s">
        <v>45</v>
      </c>
      <c r="M1942" s="3"/>
    </row>
    <row r="1943" spans="1:13" x14ac:dyDescent="0.3">
      <c r="A1943" s="2">
        <v>1942</v>
      </c>
      <c r="B1943" s="2" t="s">
        <v>5168</v>
      </c>
      <c r="C1943" s="2" t="s">
        <v>3673</v>
      </c>
      <c r="D1943" s="2" t="s">
        <v>28</v>
      </c>
      <c r="E1943" s="2" t="s">
        <v>29</v>
      </c>
      <c r="F1943" s="2">
        <v>30</v>
      </c>
      <c r="G1943" s="2" t="s">
        <v>5465</v>
      </c>
      <c r="H1943" s="2" t="s">
        <v>5466</v>
      </c>
      <c r="I1943" s="2" t="s">
        <v>95</v>
      </c>
      <c r="J1943" s="3">
        <v>44551</v>
      </c>
      <c r="K1943" s="2">
        <v>50</v>
      </c>
      <c r="L1943" s="2" t="s">
        <v>20</v>
      </c>
      <c r="M1943" s="3"/>
    </row>
    <row r="1944" spans="1:13" x14ac:dyDescent="0.3">
      <c r="A1944" s="2">
        <v>1943</v>
      </c>
      <c r="B1944" s="2" t="s">
        <v>1246</v>
      </c>
      <c r="C1944" s="2" t="s">
        <v>896</v>
      </c>
      <c r="D1944" s="2" t="s">
        <v>28</v>
      </c>
      <c r="E1944" s="2" t="s">
        <v>29</v>
      </c>
      <c r="F1944" s="2">
        <v>60</v>
      </c>
      <c r="G1944" s="2" t="s">
        <v>5467</v>
      </c>
      <c r="H1944" s="2" t="s">
        <v>2137</v>
      </c>
      <c r="I1944" s="2" t="s">
        <v>187</v>
      </c>
      <c r="J1944" s="3">
        <v>44433</v>
      </c>
      <c r="K1944" s="2">
        <v>32</v>
      </c>
      <c r="L1944" s="2" t="s">
        <v>45</v>
      </c>
      <c r="M1944" s="3"/>
    </row>
    <row r="1945" spans="1:13" x14ac:dyDescent="0.3">
      <c r="A1945" s="2">
        <v>1944</v>
      </c>
      <c r="B1945" s="2" t="s">
        <v>5468</v>
      </c>
      <c r="C1945" s="2" t="s">
        <v>3084</v>
      </c>
      <c r="D1945" s="2" t="s">
        <v>28</v>
      </c>
      <c r="E1945" s="2" t="s">
        <v>29</v>
      </c>
      <c r="F1945" s="2">
        <v>60</v>
      </c>
      <c r="G1945" s="2" t="s">
        <v>5469</v>
      </c>
      <c r="H1945" s="2" t="s">
        <v>942</v>
      </c>
      <c r="I1945" s="2" t="s">
        <v>32</v>
      </c>
      <c r="J1945" s="3">
        <v>44148</v>
      </c>
      <c r="K1945" s="2">
        <v>27</v>
      </c>
      <c r="L1945" s="2" t="s">
        <v>159</v>
      </c>
      <c r="M1945" s="3"/>
    </row>
    <row r="1946" spans="1:13" x14ac:dyDescent="0.3">
      <c r="A1946" s="2">
        <v>1945</v>
      </c>
      <c r="B1946" s="2" t="s">
        <v>3532</v>
      </c>
      <c r="C1946" s="2" t="s">
        <v>5470</v>
      </c>
      <c r="D1946" s="2" t="s">
        <v>28</v>
      </c>
      <c r="E1946" s="2" t="s">
        <v>29</v>
      </c>
      <c r="F1946" s="2">
        <v>60</v>
      </c>
      <c r="G1946" s="2" t="s">
        <v>5471</v>
      </c>
      <c r="H1946" s="2" t="s">
        <v>5079</v>
      </c>
      <c r="I1946" s="2" t="s">
        <v>294</v>
      </c>
      <c r="J1946" s="3">
        <v>44082</v>
      </c>
      <c r="K1946" s="2">
        <v>66</v>
      </c>
      <c r="L1946" s="2" t="s">
        <v>54</v>
      </c>
      <c r="M1946" s="3"/>
    </row>
    <row r="1947" spans="1:13" x14ac:dyDescent="0.3">
      <c r="A1947" s="2">
        <v>1946</v>
      </c>
      <c r="B1947" s="2" t="s">
        <v>55</v>
      </c>
      <c r="C1947" s="2" t="s">
        <v>1340</v>
      </c>
      <c r="D1947" s="2" t="s">
        <v>28</v>
      </c>
      <c r="E1947" s="2" t="s">
        <v>29</v>
      </c>
      <c r="F1947" s="2">
        <v>30</v>
      </c>
      <c r="G1947" s="2" t="s">
        <v>5472</v>
      </c>
      <c r="H1947" s="2" t="s">
        <v>5473</v>
      </c>
      <c r="I1947" s="2" t="s">
        <v>240</v>
      </c>
      <c r="J1947" s="3">
        <v>44378</v>
      </c>
      <c r="K1947" s="2">
        <v>6</v>
      </c>
      <c r="L1947" s="2" t="s">
        <v>45</v>
      </c>
      <c r="M1947" s="3"/>
    </row>
    <row r="1948" spans="1:13" x14ac:dyDescent="0.3">
      <c r="A1948" s="2">
        <v>1947</v>
      </c>
      <c r="B1948" s="2" t="s">
        <v>5474</v>
      </c>
      <c r="C1948" s="2" t="s">
        <v>5475</v>
      </c>
      <c r="D1948" s="2" t="s">
        <v>15</v>
      </c>
      <c r="E1948" s="2" t="s">
        <v>16</v>
      </c>
      <c r="F1948" s="2">
        <v>90</v>
      </c>
      <c r="G1948" s="2" t="s">
        <v>5476</v>
      </c>
      <c r="H1948" s="2" t="s">
        <v>5477</v>
      </c>
      <c r="I1948" s="2" t="s">
        <v>187</v>
      </c>
      <c r="J1948" s="3">
        <v>44358</v>
      </c>
      <c r="K1948" s="2">
        <v>67</v>
      </c>
      <c r="L1948" s="2" t="s">
        <v>54</v>
      </c>
      <c r="M1948" s="3"/>
    </row>
    <row r="1949" spans="1:13" x14ac:dyDescent="0.3">
      <c r="A1949" s="2">
        <v>1948</v>
      </c>
      <c r="B1949" s="2" t="s">
        <v>3623</v>
      </c>
      <c r="C1949" s="2" t="s">
        <v>3927</v>
      </c>
      <c r="D1949" s="2" t="s">
        <v>28</v>
      </c>
      <c r="E1949" s="2" t="s">
        <v>29</v>
      </c>
      <c r="F1949" s="2">
        <v>90</v>
      </c>
      <c r="G1949" s="2" t="s">
        <v>5478</v>
      </c>
      <c r="H1949" s="2" t="s">
        <v>315</v>
      </c>
      <c r="I1949" s="2" t="s">
        <v>32</v>
      </c>
      <c r="J1949" s="3">
        <v>44458</v>
      </c>
      <c r="K1949" s="2">
        <v>69</v>
      </c>
      <c r="L1949" s="2" t="s">
        <v>33</v>
      </c>
      <c r="M1949" s="3"/>
    </row>
    <row r="1950" spans="1:13" x14ac:dyDescent="0.3">
      <c r="A1950" s="2">
        <v>1949</v>
      </c>
      <c r="B1950" s="2" t="s">
        <v>5479</v>
      </c>
      <c r="C1950" s="2" t="s">
        <v>5480</v>
      </c>
      <c r="D1950" s="2" t="s">
        <v>28</v>
      </c>
      <c r="E1950" s="2" t="s">
        <v>29</v>
      </c>
      <c r="F1950" s="2">
        <v>30</v>
      </c>
      <c r="G1950" s="2" t="s">
        <v>5481</v>
      </c>
      <c r="H1950" s="2" t="s">
        <v>382</v>
      </c>
      <c r="I1950" s="2" t="s">
        <v>32</v>
      </c>
      <c r="J1950" s="3">
        <v>44416</v>
      </c>
      <c r="K1950" s="2">
        <v>10</v>
      </c>
      <c r="L1950" s="2" t="s">
        <v>101</v>
      </c>
      <c r="M1950" s="3"/>
    </row>
    <row r="1951" spans="1:13" x14ac:dyDescent="0.3">
      <c r="A1951" s="2">
        <v>1950</v>
      </c>
      <c r="B1951" s="2" t="s">
        <v>5482</v>
      </c>
      <c r="C1951" s="2" t="s">
        <v>5483</v>
      </c>
      <c r="D1951" s="2" t="s">
        <v>15</v>
      </c>
      <c r="E1951" s="2" t="s">
        <v>16</v>
      </c>
      <c r="F1951" s="2">
        <v>60</v>
      </c>
      <c r="G1951" s="2" t="s">
        <v>5484</v>
      </c>
      <c r="H1951" s="2" t="s">
        <v>3637</v>
      </c>
      <c r="I1951" s="2" t="s">
        <v>38</v>
      </c>
      <c r="J1951" s="3">
        <v>44295</v>
      </c>
      <c r="K1951" s="2">
        <v>57</v>
      </c>
      <c r="L1951" s="2" t="s">
        <v>101</v>
      </c>
      <c r="M1951" s="3"/>
    </row>
    <row r="1952" spans="1:13" x14ac:dyDescent="0.3">
      <c r="A1952" s="2">
        <v>1951</v>
      </c>
      <c r="B1952" s="2" t="s">
        <v>5485</v>
      </c>
      <c r="C1952" s="2" t="s">
        <v>4574</v>
      </c>
      <c r="D1952" s="2" t="s">
        <v>28</v>
      </c>
      <c r="E1952" s="2" t="s">
        <v>29</v>
      </c>
      <c r="F1952" s="2">
        <v>60</v>
      </c>
      <c r="G1952" s="2" t="s">
        <v>5486</v>
      </c>
      <c r="H1952" s="2" t="s">
        <v>4667</v>
      </c>
      <c r="I1952" s="2" t="s">
        <v>4668</v>
      </c>
      <c r="J1952" s="3">
        <v>44544</v>
      </c>
      <c r="K1952" s="2">
        <v>66</v>
      </c>
      <c r="L1952" s="2" t="s">
        <v>54</v>
      </c>
      <c r="M1952" s="3"/>
    </row>
    <row r="1953" spans="1:13" x14ac:dyDescent="0.3">
      <c r="A1953" s="2">
        <v>1952</v>
      </c>
      <c r="B1953" s="2" t="s">
        <v>5230</v>
      </c>
      <c r="C1953" s="2" t="s">
        <v>5487</v>
      </c>
      <c r="D1953" s="2" t="s">
        <v>15</v>
      </c>
      <c r="E1953" s="2" t="s">
        <v>16</v>
      </c>
      <c r="F1953" s="2">
        <v>60</v>
      </c>
      <c r="G1953" s="2" t="s">
        <v>5488</v>
      </c>
      <c r="H1953" s="2" t="s">
        <v>396</v>
      </c>
      <c r="I1953" s="2" t="s">
        <v>32</v>
      </c>
      <c r="J1953" s="3">
        <v>43847</v>
      </c>
      <c r="K1953" s="2">
        <v>42</v>
      </c>
      <c r="L1953" s="2" t="s">
        <v>70</v>
      </c>
      <c r="M1953" s="3"/>
    </row>
    <row r="1954" spans="1:13" x14ac:dyDescent="0.3">
      <c r="A1954" s="2">
        <v>1953</v>
      </c>
      <c r="B1954" s="2" t="s">
        <v>1580</v>
      </c>
      <c r="C1954" s="2" t="s">
        <v>1182</v>
      </c>
      <c r="D1954" s="2" t="s">
        <v>15</v>
      </c>
      <c r="E1954" s="2" t="s">
        <v>16</v>
      </c>
      <c r="F1954" s="2">
        <v>30</v>
      </c>
      <c r="G1954" s="2" t="s">
        <v>5489</v>
      </c>
      <c r="H1954" s="2" t="s">
        <v>920</v>
      </c>
      <c r="I1954" s="2" t="s">
        <v>178</v>
      </c>
      <c r="J1954" s="3">
        <v>44312</v>
      </c>
      <c r="K1954" s="2">
        <v>21</v>
      </c>
      <c r="L1954" s="2" t="s">
        <v>64</v>
      </c>
      <c r="M1954" s="3"/>
    </row>
    <row r="1955" spans="1:13" x14ac:dyDescent="0.3">
      <c r="A1955" s="2">
        <v>1954</v>
      </c>
      <c r="B1955" s="2" t="s">
        <v>2682</v>
      </c>
      <c r="C1955" s="2" t="s">
        <v>5490</v>
      </c>
      <c r="D1955" s="2" t="s">
        <v>28</v>
      </c>
      <c r="E1955" s="2" t="s">
        <v>29</v>
      </c>
      <c r="F1955" s="2">
        <v>60</v>
      </c>
      <c r="G1955" s="2" t="s">
        <v>5491</v>
      </c>
      <c r="H1955" s="2" t="s">
        <v>4409</v>
      </c>
      <c r="I1955" s="2" t="s">
        <v>294</v>
      </c>
      <c r="J1955" s="3">
        <v>44214</v>
      </c>
      <c r="K1955" s="2">
        <v>76</v>
      </c>
      <c r="L1955" s="2" t="s">
        <v>159</v>
      </c>
      <c r="M1955" s="3"/>
    </row>
    <row r="1956" spans="1:13" x14ac:dyDescent="0.3">
      <c r="A1956" s="2">
        <v>1955</v>
      </c>
      <c r="B1956" s="2" t="s">
        <v>3835</v>
      </c>
      <c r="C1956" s="2" t="s">
        <v>2938</v>
      </c>
      <c r="D1956" s="2" t="s">
        <v>15</v>
      </c>
      <c r="E1956" s="2" t="s">
        <v>16</v>
      </c>
      <c r="F1956" s="2">
        <v>90</v>
      </c>
      <c r="G1956" s="2" t="s">
        <v>5492</v>
      </c>
      <c r="H1956" s="2" t="s">
        <v>802</v>
      </c>
      <c r="I1956" s="2" t="s">
        <v>294</v>
      </c>
      <c r="J1956" s="3">
        <v>44197</v>
      </c>
      <c r="K1956" s="2">
        <v>13</v>
      </c>
      <c r="L1956" s="2" t="s">
        <v>20</v>
      </c>
      <c r="M1956" s="3"/>
    </row>
    <row r="1957" spans="1:13" x14ac:dyDescent="0.3">
      <c r="A1957" s="2">
        <v>1956</v>
      </c>
      <c r="B1957" s="2" t="s">
        <v>5493</v>
      </c>
      <c r="C1957" s="2" t="s">
        <v>4962</v>
      </c>
      <c r="D1957" s="2" t="s">
        <v>15</v>
      </c>
      <c r="E1957" s="2" t="s">
        <v>16</v>
      </c>
      <c r="F1957" s="2">
        <v>30</v>
      </c>
      <c r="G1957" s="2" t="s">
        <v>5494</v>
      </c>
      <c r="H1957" s="2" t="s">
        <v>2212</v>
      </c>
      <c r="I1957" s="2" t="s">
        <v>32</v>
      </c>
      <c r="J1957" s="3">
        <v>44579</v>
      </c>
      <c r="K1957" s="2">
        <v>46</v>
      </c>
      <c r="L1957" s="2" t="s">
        <v>80</v>
      </c>
      <c r="M1957" s="3"/>
    </row>
    <row r="1958" spans="1:13" x14ac:dyDescent="0.3">
      <c r="A1958" s="2">
        <v>1957</v>
      </c>
      <c r="B1958" s="2" t="s">
        <v>5495</v>
      </c>
      <c r="C1958" s="2" t="s">
        <v>4813</v>
      </c>
      <c r="D1958" s="2" t="s">
        <v>15</v>
      </c>
      <c r="E1958" s="2" t="s">
        <v>16</v>
      </c>
      <c r="F1958" s="2">
        <v>90</v>
      </c>
      <c r="G1958" s="2" t="s">
        <v>5496</v>
      </c>
      <c r="H1958" s="2" t="s">
        <v>2542</v>
      </c>
      <c r="I1958" s="2" t="s">
        <v>2543</v>
      </c>
      <c r="J1958" s="3">
        <v>44169</v>
      </c>
      <c r="K1958" s="2">
        <v>58</v>
      </c>
      <c r="L1958" s="2" t="s">
        <v>20</v>
      </c>
      <c r="M1958" s="3"/>
    </row>
    <row r="1959" spans="1:13" x14ac:dyDescent="0.3">
      <c r="A1959" s="2">
        <v>1958</v>
      </c>
      <c r="B1959" s="2" t="s">
        <v>5497</v>
      </c>
      <c r="C1959" s="2" t="s">
        <v>1853</v>
      </c>
      <c r="D1959" s="2" t="s">
        <v>28</v>
      </c>
      <c r="E1959" s="2" t="s">
        <v>29</v>
      </c>
      <c r="F1959" s="2">
        <v>60</v>
      </c>
      <c r="G1959" s="2" t="s">
        <v>5498</v>
      </c>
      <c r="H1959" s="2" t="s">
        <v>5499</v>
      </c>
      <c r="I1959" s="2" t="s">
        <v>32</v>
      </c>
      <c r="J1959" s="3">
        <v>44381</v>
      </c>
      <c r="K1959" s="2">
        <v>95</v>
      </c>
      <c r="L1959" s="2" t="s">
        <v>20</v>
      </c>
      <c r="M1959" s="3"/>
    </row>
    <row r="1960" spans="1:13" x14ac:dyDescent="0.3">
      <c r="A1960" s="2">
        <v>1959</v>
      </c>
      <c r="B1960" s="2" t="s">
        <v>5500</v>
      </c>
      <c r="C1960" s="2" t="s">
        <v>2438</v>
      </c>
      <c r="D1960" s="2" t="s">
        <v>28</v>
      </c>
      <c r="E1960" s="2" t="s">
        <v>29</v>
      </c>
      <c r="F1960" s="2">
        <v>60</v>
      </c>
      <c r="G1960" s="2" t="s">
        <v>5501</v>
      </c>
      <c r="H1960" s="2" t="s">
        <v>3387</v>
      </c>
      <c r="I1960" s="2" t="s">
        <v>2878</v>
      </c>
      <c r="J1960" s="3">
        <v>44012</v>
      </c>
      <c r="K1960" s="2">
        <v>60</v>
      </c>
      <c r="L1960" s="2" t="s">
        <v>64</v>
      </c>
      <c r="M1960" s="3"/>
    </row>
    <row r="1961" spans="1:13" x14ac:dyDescent="0.3">
      <c r="A1961" s="2">
        <v>1960</v>
      </c>
      <c r="B1961" s="2" t="s">
        <v>4765</v>
      </c>
      <c r="C1961" s="2" t="s">
        <v>5502</v>
      </c>
      <c r="D1961" s="2" t="s">
        <v>51</v>
      </c>
      <c r="E1961" s="2" t="s">
        <v>16</v>
      </c>
      <c r="F1961" s="2">
        <v>60</v>
      </c>
      <c r="G1961" s="2" t="s">
        <v>5503</v>
      </c>
      <c r="H1961" s="2" t="s">
        <v>682</v>
      </c>
      <c r="I1961" s="2" t="s">
        <v>32</v>
      </c>
      <c r="J1961" s="3">
        <v>43893</v>
      </c>
      <c r="K1961" s="2">
        <v>33</v>
      </c>
      <c r="L1961" s="2" t="s">
        <v>33</v>
      </c>
      <c r="M1961" s="3"/>
    </row>
    <row r="1962" spans="1:13" x14ac:dyDescent="0.3">
      <c r="A1962" s="2">
        <v>1961</v>
      </c>
      <c r="B1962" s="2" t="s">
        <v>2556</v>
      </c>
      <c r="C1962" s="2" t="s">
        <v>1779</v>
      </c>
      <c r="D1962" s="2" t="s">
        <v>28</v>
      </c>
      <c r="E1962" s="2" t="s">
        <v>29</v>
      </c>
      <c r="F1962" s="2">
        <v>30</v>
      </c>
      <c r="G1962" s="2" t="s">
        <v>5504</v>
      </c>
      <c r="H1962" s="2" t="s">
        <v>5505</v>
      </c>
      <c r="I1962" s="2" t="s">
        <v>240</v>
      </c>
      <c r="J1962" s="3">
        <v>44806</v>
      </c>
      <c r="K1962" s="2">
        <v>100</v>
      </c>
      <c r="L1962" s="2" t="s">
        <v>64</v>
      </c>
      <c r="M1962" s="3"/>
    </row>
    <row r="1963" spans="1:13" x14ac:dyDescent="0.3">
      <c r="A1963" s="2">
        <v>1962</v>
      </c>
      <c r="B1963" s="2" t="s">
        <v>5506</v>
      </c>
      <c r="C1963" s="2" t="s">
        <v>516</v>
      </c>
      <c r="D1963" s="2" t="s">
        <v>28</v>
      </c>
      <c r="E1963" s="2" t="s">
        <v>3017</v>
      </c>
      <c r="F1963" s="2">
        <v>90</v>
      </c>
      <c r="G1963" s="2" t="s">
        <v>5507</v>
      </c>
      <c r="H1963" s="2" t="s">
        <v>3894</v>
      </c>
      <c r="I1963" s="2" t="s">
        <v>110</v>
      </c>
      <c r="J1963" s="3">
        <v>44015</v>
      </c>
      <c r="K1963" s="2">
        <v>70</v>
      </c>
      <c r="L1963" s="2" t="s">
        <v>64</v>
      </c>
      <c r="M1963" s="3"/>
    </row>
    <row r="1964" spans="1:13" x14ac:dyDescent="0.3">
      <c r="A1964" s="2">
        <v>1963</v>
      </c>
      <c r="B1964" s="2" t="s">
        <v>5508</v>
      </c>
      <c r="C1964" s="2" t="s">
        <v>1923</v>
      </c>
      <c r="D1964" s="2" t="s">
        <v>15</v>
      </c>
      <c r="E1964" s="2" t="s">
        <v>16</v>
      </c>
      <c r="F1964" s="2">
        <v>60</v>
      </c>
      <c r="G1964" s="2" t="s">
        <v>5509</v>
      </c>
      <c r="H1964" s="2" t="s">
        <v>3628</v>
      </c>
      <c r="I1964" s="2" t="s">
        <v>32</v>
      </c>
      <c r="J1964" s="3">
        <v>43921</v>
      </c>
      <c r="K1964" s="2">
        <v>61</v>
      </c>
      <c r="L1964" s="2" t="s">
        <v>33</v>
      </c>
      <c r="M1964" s="3"/>
    </row>
    <row r="1965" spans="1:13" x14ac:dyDescent="0.3">
      <c r="A1965" s="2">
        <v>1964</v>
      </c>
      <c r="B1965" s="2" t="s">
        <v>5510</v>
      </c>
      <c r="C1965" s="2" t="s">
        <v>5511</v>
      </c>
      <c r="D1965" s="2" t="s">
        <v>51</v>
      </c>
      <c r="E1965" s="2" t="s">
        <v>16</v>
      </c>
      <c r="F1965" s="2">
        <v>30</v>
      </c>
      <c r="G1965" s="2" t="s">
        <v>5512</v>
      </c>
      <c r="H1965" s="2" t="s">
        <v>389</v>
      </c>
      <c r="I1965" s="2" t="s">
        <v>32</v>
      </c>
      <c r="J1965" s="3">
        <v>44652</v>
      </c>
      <c r="K1965" s="2">
        <v>101</v>
      </c>
      <c r="L1965" s="2" t="s">
        <v>33</v>
      </c>
      <c r="M1965" s="3"/>
    </row>
    <row r="1966" spans="1:13" x14ac:dyDescent="0.3">
      <c r="A1966" s="2">
        <v>1965</v>
      </c>
      <c r="B1966" s="2" t="s">
        <v>5513</v>
      </c>
      <c r="C1966" s="2" t="s">
        <v>3515</v>
      </c>
      <c r="D1966" s="2" t="s">
        <v>51</v>
      </c>
      <c r="E1966" s="2" t="s">
        <v>16</v>
      </c>
      <c r="F1966" s="2">
        <v>90</v>
      </c>
      <c r="G1966" s="2" t="s">
        <v>5514</v>
      </c>
      <c r="H1966" s="2" t="s">
        <v>2804</v>
      </c>
      <c r="I1966" s="2" t="s">
        <v>124</v>
      </c>
      <c r="J1966" s="3">
        <v>44233</v>
      </c>
      <c r="K1966" s="2">
        <v>77</v>
      </c>
      <c r="L1966" s="2" t="s">
        <v>20</v>
      </c>
      <c r="M1966" s="3"/>
    </row>
    <row r="1967" spans="1:13" x14ac:dyDescent="0.3">
      <c r="A1967" s="2">
        <v>1966</v>
      </c>
      <c r="B1967" s="2" t="s">
        <v>1363</v>
      </c>
      <c r="C1967" s="2" t="s">
        <v>581</v>
      </c>
      <c r="D1967" s="2" t="s">
        <v>28</v>
      </c>
      <c r="E1967" s="2" t="s">
        <v>29</v>
      </c>
      <c r="F1967" s="2">
        <v>60</v>
      </c>
      <c r="G1967" s="2" t="s">
        <v>5514</v>
      </c>
      <c r="H1967" s="2" t="s">
        <v>924</v>
      </c>
      <c r="I1967" s="2" t="s">
        <v>32</v>
      </c>
      <c r="J1967" s="3">
        <v>44152</v>
      </c>
      <c r="K1967" s="2">
        <v>66</v>
      </c>
      <c r="L1967" s="2" t="s">
        <v>101</v>
      </c>
      <c r="M1967" s="3"/>
    </row>
    <row r="1968" spans="1:13" x14ac:dyDescent="0.3">
      <c r="A1968" s="2">
        <v>1967</v>
      </c>
      <c r="B1968" s="2" t="s">
        <v>3985</v>
      </c>
      <c r="C1968" s="2" t="s">
        <v>2127</v>
      </c>
      <c r="D1968" s="2" t="s">
        <v>15</v>
      </c>
      <c r="E1968" s="2" t="s">
        <v>16</v>
      </c>
      <c r="F1968" s="2">
        <v>30</v>
      </c>
      <c r="G1968" s="2" t="s">
        <v>5514</v>
      </c>
      <c r="H1968" s="2" t="s">
        <v>288</v>
      </c>
      <c r="I1968" s="2" t="s">
        <v>32</v>
      </c>
      <c r="J1968" s="3">
        <v>44608</v>
      </c>
      <c r="K1968" s="2">
        <v>94</v>
      </c>
      <c r="L1968" s="2" t="s">
        <v>39</v>
      </c>
      <c r="M1968" s="3"/>
    </row>
    <row r="1969" spans="1:13" x14ac:dyDescent="0.3">
      <c r="A1969" s="2">
        <v>1968</v>
      </c>
      <c r="B1969" s="2" t="s">
        <v>5515</v>
      </c>
      <c r="C1969" s="2" t="s">
        <v>2010</v>
      </c>
      <c r="D1969" s="2" t="s">
        <v>28</v>
      </c>
      <c r="E1969" s="2" t="s">
        <v>29</v>
      </c>
      <c r="F1969" s="2">
        <v>60</v>
      </c>
      <c r="G1969" s="2" t="s">
        <v>5516</v>
      </c>
      <c r="H1969" s="2" t="s">
        <v>1232</v>
      </c>
      <c r="I1969" s="2" t="s">
        <v>1233</v>
      </c>
      <c r="J1969" s="3">
        <v>43873</v>
      </c>
      <c r="K1969" s="2">
        <v>10</v>
      </c>
      <c r="L1969" s="2" t="s">
        <v>45</v>
      </c>
      <c r="M1969" s="3"/>
    </row>
    <row r="1970" spans="1:13" x14ac:dyDescent="0.3">
      <c r="A1970" s="2">
        <v>1969</v>
      </c>
      <c r="B1970" s="2" t="s">
        <v>2253</v>
      </c>
      <c r="C1970" s="2" t="s">
        <v>3362</v>
      </c>
      <c r="D1970" s="2" t="s">
        <v>28</v>
      </c>
      <c r="E1970" s="2" t="s">
        <v>29</v>
      </c>
      <c r="F1970" s="2">
        <v>30</v>
      </c>
      <c r="G1970" s="2" t="s">
        <v>5517</v>
      </c>
      <c r="H1970" s="2" t="s">
        <v>2975</v>
      </c>
      <c r="I1970" s="2" t="s">
        <v>146</v>
      </c>
      <c r="J1970" s="3">
        <v>44544</v>
      </c>
      <c r="K1970" s="2">
        <v>5</v>
      </c>
      <c r="L1970" s="2" t="s">
        <v>20</v>
      </c>
      <c r="M1970" s="3"/>
    </row>
    <row r="1971" spans="1:13" x14ac:dyDescent="0.3">
      <c r="A1971" s="2">
        <v>1970</v>
      </c>
      <c r="B1971" s="2" t="s">
        <v>5518</v>
      </c>
      <c r="C1971" s="2" t="s">
        <v>5519</v>
      </c>
      <c r="D1971" s="2" t="s">
        <v>28</v>
      </c>
      <c r="E1971" s="2" t="s">
        <v>29</v>
      </c>
      <c r="F1971" s="2">
        <v>90</v>
      </c>
      <c r="G1971" s="2" t="s">
        <v>5520</v>
      </c>
      <c r="H1971" s="2" t="s">
        <v>5521</v>
      </c>
      <c r="I1971" s="2" t="s">
        <v>25</v>
      </c>
      <c r="J1971" s="3">
        <v>44175</v>
      </c>
      <c r="K1971" s="2">
        <v>26</v>
      </c>
      <c r="L1971" s="2" t="s">
        <v>20</v>
      </c>
      <c r="M1971" s="3"/>
    </row>
    <row r="1972" spans="1:13" x14ac:dyDescent="0.3">
      <c r="A1972" s="2">
        <v>1971</v>
      </c>
      <c r="B1972" s="2" t="s">
        <v>5522</v>
      </c>
      <c r="C1972" s="2" t="s">
        <v>394</v>
      </c>
      <c r="D1972" s="2" t="s">
        <v>15</v>
      </c>
      <c r="E1972" s="2" t="s">
        <v>16</v>
      </c>
      <c r="F1972" s="2">
        <v>90</v>
      </c>
      <c r="G1972" s="2" t="s">
        <v>5523</v>
      </c>
      <c r="H1972" s="2" t="s">
        <v>5039</v>
      </c>
      <c r="I1972" s="2" t="s">
        <v>32</v>
      </c>
      <c r="J1972" s="3">
        <v>44030</v>
      </c>
      <c r="K1972" s="2">
        <v>19</v>
      </c>
      <c r="L1972" s="2" t="s">
        <v>39</v>
      </c>
      <c r="M1972" s="3"/>
    </row>
    <row r="1973" spans="1:13" x14ac:dyDescent="0.3">
      <c r="A1973" s="2">
        <v>1972</v>
      </c>
      <c r="B1973" s="2" t="s">
        <v>1352</v>
      </c>
      <c r="C1973" s="2" t="s">
        <v>3845</v>
      </c>
      <c r="D1973" s="2" t="s">
        <v>15</v>
      </c>
      <c r="E1973" s="2" t="s">
        <v>16</v>
      </c>
      <c r="F1973" s="2">
        <v>30</v>
      </c>
      <c r="G1973" s="2" t="s">
        <v>5524</v>
      </c>
      <c r="H1973" s="2" t="s">
        <v>4358</v>
      </c>
      <c r="I1973" s="2" t="s">
        <v>146</v>
      </c>
      <c r="J1973" s="3">
        <v>44417</v>
      </c>
      <c r="K1973" s="2">
        <v>83</v>
      </c>
      <c r="L1973" s="2" t="s">
        <v>64</v>
      </c>
      <c r="M1973" s="3"/>
    </row>
    <row r="1974" spans="1:13" x14ac:dyDescent="0.3">
      <c r="A1974" s="2">
        <v>1973</v>
      </c>
      <c r="B1974" s="2" t="s">
        <v>5525</v>
      </c>
      <c r="C1974" s="2" t="s">
        <v>5526</v>
      </c>
      <c r="D1974" s="2" t="s">
        <v>15</v>
      </c>
      <c r="E1974" s="2" t="s">
        <v>16</v>
      </c>
      <c r="F1974" s="2">
        <v>90</v>
      </c>
      <c r="G1974" s="2" t="s">
        <v>5527</v>
      </c>
      <c r="H1974" s="2" t="s">
        <v>1052</v>
      </c>
      <c r="I1974" s="2" t="s">
        <v>32</v>
      </c>
      <c r="J1974" s="3">
        <v>44267</v>
      </c>
      <c r="K1974" s="2">
        <v>94</v>
      </c>
      <c r="L1974" s="2" t="s">
        <v>20</v>
      </c>
      <c r="M1974" s="3"/>
    </row>
    <row r="1975" spans="1:13" x14ac:dyDescent="0.3">
      <c r="A1975" s="2">
        <v>1974</v>
      </c>
      <c r="B1975" s="2" t="s">
        <v>1661</v>
      </c>
      <c r="C1975" s="2" t="s">
        <v>3382</v>
      </c>
      <c r="D1975" s="2" t="s">
        <v>28</v>
      </c>
      <c r="E1975" s="2" t="s">
        <v>29</v>
      </c>
      <c r="F1975" s="2">
        <v>90</v>
      </c>
      <c r="G1975" s="2" t="s">
        <v>5528</v>
      </c>
      <c r="H1975" s="2" t="s">
        <v>302</v>
      </c>
      <c r="I1975" s="2" t="s">
        <v>303</v>
      </c>
      <c r="J1975" s="3">
        <v>44865</v>
      </c>
      <c r="K1975" s="2">
        <v>70</v>
      </c>
      <c r="L1975" s="2" t="s">
        <v>70</v>
      </c>
      <c r="M1975" s="3"/>
    </row>
    <row r="1976" spans="1:13" x14ac:dyDescent="0.3">
      <c r="A1976" s="2">
        <v>1975</v>
      </c>
      <c r="B1976" s="2" t="s">
        <v>285</v>
      </c>
      <c r="C1976" s="2" t="s">
        <v>5529</v>
      </c>
      <c r="D1976" s="2" t="s">
        <v>15</v>
      </c>
      <c r="E1976" s="2" t="s">
        <v>16</v>
      </c>
      <c r="F1976" s="2">
        <v>90</v>
      </c>
      <c r="G1976" s="2" t="s">
        <v>5528</v>
      </c>
      <c r="H1976" s="2" t="s">
        <v>3558</v>
      </c>
      <c r="I1976" s="2" t="s">
        <v>32</v>
      </c>
      <c r="J1976" s="3">
        <v>44823</v>
      </c>
      <c r="K1976" s="2">
        <v>10</v>
      </c>
      <c r="L1976" s="2" t="s">
        <v>39</v>
      </c>
      <c r="M1976" s="3"/>
    </row>
    <row r="1977" spans="1:13" x14ac:dyDescent="0.3">
      <c r="A1977" s="2">
        <v>1976</v>
      </c>
      <c r="B1977" s="2" t="s">
        <v>5530</v>
      </c>
      <c r="C1977" s="2" t="s">
        <v>131</v>
      </c>
      <c r="D1977" s="2" t="s">
        <v>51</v>
      </c>
      <c r="E1977" s="2" t="s">
        <v>16</v>
      </c>
      <c r="F1977" s="2">
        <v>90</v>
      </c>
      <c r="G1977" s="2" t="s">
        <v>5531</v>
      </c>
      <c r="H1977" s="2" t="s">
        <v>2097</v>
      </c>
      <c r="I1977" s="2" t="s">
        <v>178</v>
      </c>
      <c r="J1977" s="3">
        <v>44061</v>
      </c>
      <c r="K1977" s="2">
        <v>61</v>
      </c>
      <c r="L1977" s="2" t="s">
        <v>101</v>
      </c>
      <c r="M1977" s="3"/>
    </row>
    <row r="1978" spans="1:13" x14ac:dyDescent="0.3">
      <c r="A1978" s="2">
        <v>1977</v>
      </c>
      <c r="B1978" s="2" t="s">
        <v>5317</v>
      </c>
      <c r="C1978" s="2" t="s">
        <v>5442</v>
      </c>
      <c r="D1978" s="2" t="s">
        <v>41</v>
      </c>
      <c r="E1978" s="2" t="s">
        <v>16</v>
      </c>
      <c r="F1978" s="2">
        <v>60</v>
      </c>
      <c r="G1978" s="2" t="s">
        <v>5532</v>
      </c>
      <c r="H1978" s="2" t="s">
        <v>678</v>
      </c>
      <c r="I1978" s="2" t="s">
        <v>32</v>
      </c>
      <c r="J1978" s="3">
        <v>44521</v>
      </c>
      <c r="K1978" s="2">
        <v>3</v>
      </c>
      <c r="L1978" s="2" t="s">
        <v>101</v>
      </c>
      <c r="M1978" s="3"/>
    </row>
    <row r="1979" spans="1:13" x14ac:dyDescent="0.3">
      <c r="A1979" s="2">
        <v>1978</v>
      </c>
      <c r="B1979" s="2" t="s">
        <v>1300</v>
      </c>
      <c r="C1979" s="2" t="s">
        <v>692</v>
      </c>
      <c r="D1979" s="2" t="s">
        <v>28</v>
      </c>
      <c r="E1979" s="2" t="s">
        <v>29</v>
      </c>
      <c r="F1979" s="2">
        <v>30</v>
      </c>
      <c r="G1979" s="2" t="s">
        <v>5533</v>
      </c>
      <c r="H1979" s="2" t="s">
        <v>2338</v>
      </c>
      <c r="I1979" s="2" t="s">
        <v>240</v>
      </c>
      <c r="J1979" s="3">
        <v>44905</v>
      </c>
      <c r="K1979" s="2">
        <v>86</v>
      </c>
      <c r="L1979" s="2" t="s">
        <v>33</v>
      </c>
      <c r="M1979" s="3"/>
    </row>
    <row r="1980" spans="1:13" x14ac:dyDescent="0.3">
      <c r="A1980" s="2">
        <v>1979</v>
      </c>
      <c r="B1980" s="2" t="s">
        <v>3963</v>
      </c>
      <c r="C1980" s="2" t="s">
        <v>5534</v>
      </c>
      <c r="D1980" s="2" t="s">
        <v>41</v>
      </c>
      <c r="E1980" s="2" t="s">
        <v>16</v>
      </c>
      <c r="F1980" s="2">
        <v>60</v>
      </c>
      <c r="G1980" s="2" t="s">
        <v>5535</v>
      </c>
      <c r="H1980" s="2" t="s">
        <v>5536</v>
      </c>
      <c r="I1980" s="2" t="s">
        <v>886</v>
      </c>
      <c r="J1980" s="3">
        <v>43855</v>
      </c>
      <c r="K1980" s="2">
        <v>54</v>
      </c>
      <c r="L1980" s="2" t="s">
        <v>101</v>
      </c>
      <c r="M1980" s="3"/>
    </row>
    <row r="1981" spans="1:13" x14ac:dyDescent="0.3">
      <c r="A1981" s="2">
        <v>1980</v>
      </c>
      <c r="B1981" s="2" t="s">
        <v>5537</v>
      </c>
      <c r="C1981" s="2" t="s">
        <v>1392</v>
      </c>
      <c r="D1981" s="2" t="s">
        <v>15</v>
      </c>
      <c r="E1981" s="2" t="s">
        <v>16</v>
      </c>
      <c r="F1981" s="2">
        <v>90</v>
      </c>
      <c r="G1981" s="2" t="s">
        <v>5538</v>
      </c>
      <c r="H1981" s="2" t="s">
        <v>4256</v>
      </c>
      <c r="I1981" s="2" t="s">
        <v>1454</v>
      </c>
      <c r="J1981" s="3">
        <v>44740</v>
      </c>
      <c r="K1981" s="2">
        <v>86</v>
      </c>
      <c r="L1981" s="2" t="s">
        <v>54</v>
      </c>
      <c r="M1981" s="3"/>
    </row>
    <row r="1982" spans="1:13" x14ac:dyDescent="0.3">
      <c r="A1982" s="2">
        <v>1981</v>
      </c>
      <c r="B1982" s="2" t="s">
        <v>5539</v>
      </c>
      <c r="C1982" s="2" t="s">
        <v>825</v>
      </c>
      <c r="D1982" s="2" t="s">
        <v>15</v>
      </c>
      <c r="E1982" s="2" t="s">
        <v>16</v>
      </c>
      <c r="F1982" s="2">
        <v>30</v>
      </c>
      <c r="G1982" s="2" t="s">
        <v>5540</v>
      </c>
      <c r="H1982" s="2" t="s">
        <v>1888</v>
      </c>
      <c r="I1982" s="2" t="s">
        <v>1889</v>
      </c>
      <c r="J1982" s="3">
        <v>44639</v>
      </c>
      <c r="K1982" s="2">
        <v>25</v>
      </c>
      <c r="L1982" s="2" t="s">
        <v>20</v>
      </c>
      <c r="M1982" s="3"/>
    </row>
    <row r="1983" spans="1:13" x14ac:dyDescent="0.3">
      <c r="A1983" s="2">
        <v>1982</v>
      </c>
      <c r="B1983" s="2" t="s">
        <v>2027</v>
      </c>
      <c r="C1983" s="2" t="s">
        <v>5541</v>
      </c>
      <c r="D1983" s="2" t="s">
        <v>28</v>
      </c>
      <c r="E1983" s="2" t="s">
        <v>29</v>
      </c>
      <c r="F1983" s="2">
        <v>30</v>
      </c>
      <c r="G1983" s="2" t="s">
        <v>5540</v>
      </c>
      <c r="H1983" s="2" t="s">
        <v>221</v>
      </c>
      <c r="I1983" s="2" t="s">
        <v>32</v>
      </c>
      <c r="J1983" s="3">
        <v>44417</v>
      </c>
      <c r="K1983" s="2">
        <v>67</v>
      </c>
      <c r="L1983" s="2" t="s">
        <v>33</v>
      </c>
      <c r="M1983" s="3"/>
    </row>
    <row r="1984" spans="1:13" x14ac:dyDescent="0.3">
      <c r="A1984" s="2">
        <v>1983</v>
      </c>
      <c r="B1984" s="2" t="s">
        <v>5542</v>
      </c>
      <c r="C1984" s="2" t="s">
        <v>5543</v>
      </c>
      <c r="D1984" s="2" t="s">
        <v>51</v>
      </c>
      <c r="E1984" s="2" t="s">
        <v>16</v>
      </c>
      <c r="F1984" s="2">
        <v>60</v>
      </c>
      <c r="G1984" s="2" t="s">
        <v>5544</v>
      </c>
      <c r="H1984" s="2" t="s">
        <v>823</v>
      </c>
      <c r="I1984" s="2" t="s">
        <v>187</v>
      </c>
      <c r="J1984" s="3">
        <v>44674</v>
      </c>
      <c r="K1984" s="2">
        <v>68</v>
      </c>
      <c r="L1984" s="2" t="s">
        <v>39</v>
      </c>
      <c r="M1984" s="3"/>
    </row>
    <row r="1985" spans="1:13" x14ac:dyDescent="0.3">
      <c r="A1985" s="2">
        <v>1984</v>
      </c>
      <c r="B1985" s="2" t="s">
        <v>5545</v>
      </c>
      <c r="C1985" s="2" t="s">
        <v>5546</v>
      </c>
      <c r="D1985" s="2" t="s">
        <v>41</v>
      </c>
      <c r="E1985" s="2" t="s">
        <v>16</v>
      </c>
      <c r="F1985" s="2">
        <v>30</v>
      </c>
      <c r="G1985" s="2" t="s">
        <v>5547</v>
      </c>
      <c r="H1985" s="2" t="s">
        <v>3682</v>
      </c>
      <c r="I1985" s="2" t="s">
        <v>178</v>
      </c>
      <c r="J1985" s="3">
        <v>44356</v>
      </c>
      <c r="K1985" s="2">
        <v>50</v>
      </c>
      <c r="L1985" s="2" t="s">
        <v>159</v>
      </c>
      <c r="M1985" s="3"/>
    </row>
    <row r="1986" spans="1:13" x14ac:dyDescent="0.3">
      <c r="A1986" s="2">
        <v>1985</v>
      </c>
      <c r="B1986" s="2" t="s">
        <v>5545</v>
      </c>
      <c r="C1986" s="2" t="s">
        <v>5546</v>
      </c>
      <c r="D1986" s="2" t="s">
        <v>41</v>
      </c>
      <c r="E1986" s="2" t="s">
        <v>16</v>
      </c>
      <c r="F1986" s="2">
        <v>30</v>
      </c>
      <c r="G1986" s="2" t="s">
        <v>5547</v>
      </c>
      <c r="H1986" s="2" t="s">
        <v>3682</v>
      </c>
      <c r="I1986" s="2" t="s">
        <v>178</v>
      </c>
      <c r="J1986" s="3">
        <v>44356</v>
      </c>
      <c r="K1986" s="2">
        <v>50</v>
      </c>
      <c r="L1986" s="2" t="s">
        <v>159</v>
      </c>
      <c r="M1986" s="3"/>
    </row>
    <row r="1987" spans="1:13" x14ac:dyDescent="0.3">
      <c r="A1987" s="2">
        <v>1986</v>
      </c>
      <c r="B1987" s="2" t="s">
        <v>5548</v>
      </c>
      <c r="C1987" s="2" t="s">
        <v>4786</v>
      </c>
      <c r="D1987" s="2" t="s">
        <v>15</v>
      </c>
      <c r="E1987" s="2" t="s">
        <v>16</v>
      </c>
      <c r="F1987" s="2">
        <v>60</v>
      </c>
      <c r="G1987" s="2" t="s">
        <v>5549</v>
      </c>
      <c r="H1987" s="2" t="s">
        <v>1401</v>
      </c>
      <c r="I1987" s="2" t="s">
        <v>1402</v>
      </c>
      <c r="J1987" s="3">
        <v>44499</v>
      </c>
      <c r="K1987" s="2">
        <v>24</v>
      </c>
      <c r="L1987" s="2" t="s">
        <v>80</v>
      </c>
      <c r="M1987" s="3"/>
    </row>
    <row r="1988" spans="1:13" x14ac:dyDescent="0.3">
      <c r="A1988" s="2">
        <v>1987</v>
      </c>
      <c r="B1988" s="2" t="s">
        <v>5550</v>
      </c>
      <c r="C1988" s="2" t="s">
        <v>5551</v>
      </c>
      <c r="D1988" s="2" t="s">
        <v>51</v>
      </c>
      <c r="E1988" s="2" t="s">
        <v>16</v>
      </c>
      <c r="F1988" s="2">
        <v>30</v>
      </c>
      <c r="G1988" s="2" t="s">
        <v>5552</v>
      </c>
      <c r="H1988" s="2" t="s">
        <v>2361</v>
      </c>
      <c r="I1988" s="2" t="s">
        <v>110</v>
      </c>
      <c r="J1988" s="3">
        <v>44061</v>
      </c>
      <c r="K1988" s="2">
        <v>37</v>
      </c>
      <c r="L1988" s="2" t="s">
        <v>33</v>
      </c>
      <c r="M1988" s="3"/>
    </row>
    <row r="1989" spans="1:13" x14ac:dyDescent="0.3">
      <c r="A1989" s="2">
        <v>1988</v>
      </c>
      <c r="B1989" s="2" t="s">
        <v>5553</v>
      </c>
      <c r="C1989" s="2" t="s">
        <v>5554</v>
      </c>
      <c r="D1989" s="2" t="s">
        <v>15</v>
      </c>
      <c r="E1989" s="2" t="s">
        <v>16</v>
      </c>
      <c r="F1989" s="2">
        <v>60</v>
      </c>
      <c r="G1989" s="2" t="s">
        <v>5555</v>
      </c>
      <c r="H1989" s="2" t="s">
        <v>4598</v>
      </c>
      <c r="I1989" s="2" t="s">
        <v>187</v>
      </c>
      <c r="J1989" s="3">
        <v>44524</v>
      </c>
      <c r="K1989" s="2">
        <v>3</v>
      </c>
      <c r="L1989" s="2" t="s">
        <v>45</v>
      </c>
      <c r="M1989" s="3"/>
    </row>
    <row r="1990" spans="1:13" x14ac:dyDescent="0.3">
      <c r="A1990" s="2">
        <v>1989</v>
      </c>
      <c r="B1990" s="2" t="s">
        <v>5556</v>
      </c>
      <c r="C1990" s="2" t="s">
        <v>1058</v>
      </c>
      <c r="D1990" s="2" t="s">
        <v>15</v>
      </c>
      <c r="E1990" s="2" t="s">
        <v>16</v>
      </c>
      <c r="F1990" s="2">
        <v>90</v>
      </c>
      <c r="G1990" s="2" t="s">
        <v>5557</v>
      </c>
      <c r="H1990" s="2" t="s">
        <v>2710</v>
      </c>
      <c r="I1990" s="2" t="s">
        <v>294</v>
      </c>
      <c r="J1990" s="3">
        <v>43960</v>
      </c>
      <c r="K1990" s="2">
        <v>67</v>
      </c>
      <c r="L1990" s="2" t="s">
        <v>70</v>
      </c>
      <c r="M1990" s="3"/>
    </row>
    <row r="1991" spans="1:13" x14ac:dyDescent="0.3">
      <c r="A1991" s="2">
        <v>1990</v>
      </c>
      <c r="B1991" s="2" t="s">
        <v>2792</v>
      </c>
      <c r="C1991" s="2" t="s">
        <v>3286</v>
      </c>
      <c r="D1991" s="2" t="s">
        <v>51</v>
      </c>
      <c r="E1991" s="2" t="s">
        <v>16</v>
      </c>
      <c r="F1991" s="2">
        <v>60</v>
      </c>
      <c r="G1991" s="2" t="s">
        <v>5558</v>
      </c>
      <c r="H1991" s="2" t="s">
        <v>3263</v>
      </c>
      <c r="I1991" s="2" t="s">
        <v>32</v>
      </c>
      <c r="J1991" s="3">
        <v>44537</v>
      </c>
      <c r="K1991" s="2">
        <v>57</v>
      </c>
      <c r="L1991" s="2" t="s">
        <v>54</v>
      </c>
      <c r="M1991" s="3"/>
    </row>
    <row r="1992" spans="1:13" x14ac:dyDescent="0.3">
      <c r="A1992" s="2">
        <v>1991</v>
      </c>
      <c r="B1992" s="2" t="s">
        <v>5559</v>
      </c>
      <c r="C1992" s="2" t="s">
        <v>3273</v>
      </c>
      <c r="D1992" s="2" t="s">
        <v>28</v>
      </c>
      <c r="E1992" s="2" t="s">
        <v>29</v>
      </c>
      <c r="F1992" s="2">
        <v>30</v>
      </c>
      <c r="G1992" s="2" t="s">
        <v>5560</v>
      </c>
      <c r="H1992" s="2" t="s">
        <v>2791</v>
      </c>
      <c r="I1992" s="2" t="s">
        <v>178</v>
      </c>
      <c r="J1992" s="3">
        <v>44024</v>
      </c>
      <c r="K1992" s="2">
        <v>8</v>
      </c>
      <c r="L1992" s="2" t="s">
        <v>159</v>
      </c>
      <c r="M1992" s="3"/>
    </row>
    <row r="1993" spans="1:13" x14ac:dyDescent="0.3">
      <c r="A1993" s="2">
        <v>1992</v>
      </c>
      <c r="B1993" s="2" t="s">
        <v>5561</v>
      </c>
      <c r="C1993" s="2" t="s">
        <v>2829</v>
      </c>
      <c r="D1993" s="2" t="s">
        <v>15</v>
      </c>
      <c r="E1993" s="2" t="s">
        <v>16</v>
      </c>
      <c r="F1993" s="2">
        <v>60</v>
      </c>
      <c r="G1993" s="2" t="s">
        <v>5562</v>
      </c>
      <c r="H1993" s="2" t="s">
        <v>1868</v>
      </c>
      <c r="I1993" s="2" t="s">
        <v>1869</v>
      </c>
      <c r="J1993" s="3">
        <v>44439</v>
      </c>
      <c r="K1993" s="2">
        <v>37</v>
      </c>
      <c r="L1993" s="2" t="s">
        <v>39</v>
      </c>
      <c r="M1993" s="3"/>
    </row>
    <row r="1994" spans="1:13" x14ac:dyDescent="0.3">
      <c r="A1994" s="2">
        <v>1993</v>
      </c>
      <c r="B1994" s="2" t="s">
        <v>4509</v>
      </c>
      <c r="C1994" s="2" t="s">
        <v>453</v>
      </c>
      <c r="D1994" s="2" t="s">
        <v>117</v>
      </c>
      <c r="E1994" s="2" t="s">
        <v>29</v>
      </c>
      <c r="F1994" s="2">
        <v>30</v>
      </c>
      <c r="G1994" s="2" t="s">
        <v>5563</v>
      </c>
      <c r="H1994" s="2" t="s">
        <v>1864</v>
      </c>
      <c r="I1994" s="2" t="s">
        <v>294</v>
      </c>
      <c r="J1994" s="3">
        <v>44152</v>
      </c>
      <c r="K1994" s="2">
        <v>33</v>
      </c>
      <c r="L1994" s="2" t="s">
        <v>70</v>
      </c>
      <c r="M1994" s="3"/>
    </row>
    <row r="1995" spans="1:13" x14ac:dyDescent="0.3">
      <c r="A1995" s="2">
        <v>1994</v>
      </c>
      <c r="B1995" s="2" t="s">
        <v>5564</v>
      </c>
      <c r="C1995" s="2" t="s">
        <v>5565</v>
      </c>
      <c r="D1995" s="2" t="s">
        <v>15</v>
      </c>
      <c r="E1995" s="2" t="s">
        <v>16</v>
      </c>
      <c r="F1995" s="2">
        <v>60</v>
      </c>
      <c r="G1995" s="2" t="s">
        <v>5566</v>
      </c>
      <c r="H1995" s="2" t="s">
        <v>195</v>
      </c>
      <c r="I1995" s="2" t="s">
        <v>187</v>
      </c>
      <c r="J1995" s="3">
        <v>44228</v>
      </c>
      <c r="K1995" s="2">
        <v>25</v>
      </c>
      <c r="L1995" s="2" t="s">
        <v>101</v>
      </c>
      <c r="M1995" s="3"/>
    </row>
    <row r="1996" spans="1:13" x14ac:dyDescent="0.3">
      <c r="A1996" s="2">
        <v>1995</v>
      </c>
      <c r="B1996" s="2" t="s">
        <v>5567</v>
      </c>
      <c r="C1996" s="2" t="s">
        <v>5568</v>
      </c>
      <c r="D1996" s="2" t="s">
        <v>28</v>
      </c>
      <c r="E1996" s="2" t="s">
        <v>29</v>
      </c>
      <c r="F1996" s="2">
        <v>30</v>
      </c>
      <c r="G1996" s="2" t="s">
        <v>5569</v>
      </c>
      <c r="H1996" s="2" t="s">
        <v>2831</v>
      </c>
      <c r="I1996" s="2" t="s">
        <v>32</v>
      </c>
      <c r="J1996" s="3">
        <v>44085</v>
      </c>
      <c r="K1996" s="2">
        <v>4</v>
      </c>
      <c r="L1996" s="2" t="s">
        <v>54</v>
      </c>
      <c r="M1996" s="3"/>
    </row>
    <row r="1997" spans="1:13" x14ac:dyDescent="0.3">
      <c r="A1997" s="2">
        <v>1996</v>
      </c>
      <c r="B1997" s="2" t="s">
        <v>2477</v>
      </c>
      <c r="C1997" s="2" t="s">
        <v>197</v>
      </c>
      <c r="D1997" s="2" t="s">
        <v>28</v>
      </c>
      <c r="E1997" s="2" t="s">
        <v>29</v>
      </c>
      <c r="F1997" s="2">
        <v>60</v>
      </c>
      <c r="G1997" s="2" t="s">
        <v>5570</v>
      </c>
      <c r="H1997" s="2" t="s">
        <v>84</v>
      </c>
      <c r="I1997" s="2" t="s">
        <v>32</v>
      </c>
      <c r="J1997" s="3">
        <v>43897</v>
      </c>
      <c r="K1997" s="2">
        <v>85</v>
      </c>
      <c r="L1997" s="2" t="s">
        <v>39</v>
      </c>
      <c r="M1997" s="3"/>
    </row>
    <row r="1998" spans="1:13" x14ac:dyDescent="0.3">
      <c r="A1998" s="2">
        <v>1997</v>
      </c>
      <c r="B1998" s="2" t="s">
        <v>5571</v>
      </c>
      <c r="C1998" s="2" t="s">
        <v>770</v>
      </c>
      <c r="D1998" s="2" t="s">
        <v>51</v>
      </c>
      <c r="E1998" s="2" t="s">
        <v>16</v>
      </c>
      <c r="F1998" s="2">
        <v>60</v>
      </c>
      <c r="G1998" s="2" t="s">
        <v>5572</v>
      </c>
      <c r="H1998" s="2" t="s">
        <v>1457</v>
      </c>
      <c r="I1998" s="2" t="s">
        <v>187</v>
      </c>
      <c r="J1998" s="3">
        <v>44389</v>
      </c>
      <c r="K1998" s="2">
        <v>23</v>
      </c>
      <c r="L1998" s="2" t="s">
        <v>39</v>
      </c>
      <c r="M1998" s="3"/>
    </row>
    <row r="1999" spans="1:13" x14ac:dyDescent="0.3">
      <c r="A1999" s="2">
        <v>1998</v>
      </c>
      <c r="B1999" s="2" t="s">
        <v>5573</v>
      </c>
      <c r="C1999" s="2" t="s">
        <v>2998</v>
      </c>
      <c r="D1999" s="2" t="s">
        <v>51</v>
      </c>
      <c r="E1999" s="2" t="s">
        <v>16</v>
      </c>
      <c r="F1999" s="2">
        <v>60</v>
      </c>
      <c r="G1999" s="2" t="s">
        <v>5574</v>
      </c>
      <c r="H1999" s="2" t="s">
        <v>2243</v>
      </c>
      <c r="I1999" s="2" t="s">
        <v>32</v>
      </c>
      <c r="J1999" s="3">
        <v>44019</v>
      </c>
      <c r="K1999" s="2">
        <v>12</v>
      </c>
      <c r="L1999" s="2" t="s">
        <v>20</v>
      </c>
      <c r="M1999" s="3"/>
    </row>
    <row r="2000" spans="1:13" x14ac:dyDescent="0.3">
      <c r="A2000" s="2">
        <v>1999</v>
      </c>
      <c r="B2000" s="2" t="s">
        <v>4703</v>
      </c>
      <c r="C2000" s="2" t="s">
        <v>5575</v>
      </c>
      <c r="D2000" s="2" t="s">
        <v>28</v>
      </c>
      <c r="E2000" s="2" t="s">
        <v>29</v>
      </c>
      <c r="F2000" s="2">
        <v>60</v>
      </c>
      <c r="G2000" s="2" t="s">
        <v>5576</v>
      </c>
      <c r="H2000" s="2" t="s">
        <v>315</v>
      </c>
      <c r="I2000" s="2" t="s">
        <v>32</v>
      </c>
      <c r="J2000" s="3">
        <v>44526</v>
      </c>
      <c r="K2000" s="2">
        <v>94</v>
      </c>
      <c r="L2000" s="2" t="s">
        <v>33</v>
      </c>
      <c r="M2000" s="3"/>
    </row>
    <row r="2001" spans="1:13" x14ac:dyDescent="0.3">
      <c r="A2001" s="2">
        <v>2000</v>
      </c>
      <c r="B2001" s="2" t="s">
        <v>5577</v>
      </c>
      <c r="C2001" s="2" t="s">
        <v>121</v>
      </c>
      <c r="D2001" s="2" t="s">
        <v>15</v>
      </c>
      <c r="E2001" s="2" t="s">
        <v>16</v>
      </c>
      <c r="F2001" s="2">
        <v>90</v>
      </c>
      <c r="G2001" s="2" t="s">
        <v>5578</v>
      </c>
      <c r="H2001" s="2" t="s">
        <v>868</v>
      </c>
      <c r="I2001" s="2" t="s">
        <v>32</v>
      </c>
      <c r="J2001" s="3">
        <v>44531</v>
      </c>
      <c r="K2001" s="2">
        <v>74</v>
      </c>
      <c r="L2001" s="2" t="s">
        <v>64</v>
      </c>
      <c r="M2001" s="3"/>
    </row>
    <row r="2002" spans="1:13" x14ac:dyDescent="0.3">
      <c r="A2002" s="2">
        <v>2001</v>
      </c>
      <c r="B2002" s="2" t="s">
        <v>1200</v>
      </c>
      <c r="C2002" s="2" t="s">
        <v>5579</v>
      </c>
      <c r="D2002" s="2" t="s">
        <v>117</v>
      </c>
      <c r="E2002" s="2" t="s">
        <v>29</v>
      </c>
      <c r="F2002" s="2">
        <v>60</v>
      </c>
      <c r="G2002" s="2" t="s">
        <v>5580</v>
      </c>
      <c r="H2002" s="2" t="s">
        <v>5581</v>
      </c>
      <c r="I2002" s="2" t="s">
        <v>187</v>
      </c>
      <c r="J2002" s="3">
        <v>44383</v>
      </c>
      <c r="K2002" s="2">
        <v>2</v>
      </c>
      <c r="L2002" s="2" t="s">
        <v>20</v>
      </c>
      <c r="M2002" s="3"/>
    </row>
    <row r="2003" spans="1:13" x14ac:dyDescent="0.3">
      <c r="A2003" s="2">
        <v>2002</v>
      </c>
      <c r="B2003" s="2" t="s">
        <v>5582</v>
      </c>
      <c r="C2003" s="2" t="s">
        <v>5583</v>
      </c>
      <c r="D2003" s="2" t="s">
        <v>51</v>
      </c>
      <c r="E2003" s="2" t="s">
        <v>16</v>
      </c>
      <c r="F2003" s="2">
        <v>90</v>
      </c>
      <c r="G2003" s="2" t="s">
        <v>5584</v>
      </c>
      <c r="H2003" s="2" t="s">
        <v>2436</v>
      </c>
      <c r="I2003" s="2" t="s">
        <v>294</v>
      </c>
      <c r="J2003" s="3">
        <v>44844</v>
      </c>
      <c r="K2003" s="2">
        <v>60</v>
      </c>
      <c r="L2003" s="2" t="s">
        <v>20</v>
      </c>
      <c r="M2003" s="3"/>
    </row>
    <row r="2004" spans="1:13" x14ac:dyDescent="0.3">
      <c r="A2004" s="2">
        <v>2003</v>
      </c>
      <c r="B2004" s="2" t="s">
        <v>5585</v>
      </c>
      <c r="C2004" s="2" t="s">
        <v>5586</v>
      </c>
      <c r="D2004" s="2" t="s">
        <v>51</v>
      </c>
      <c r="E2004" s="2" t="s">
        <v>16</v>
      </c>
      <c r="F2004" s="2">
        <v>60</v>
      </c>
      <c r="G2004" s="2" t="s">
        <v>5587</v>
      </c>
      <c r="H2004" s="2" t="s">
        <v>4631</v>
      </c>
      <c r="I2004" s="2" t="s">
        <v>187</v>
      </c>
      <c r="J2004" s="3">
        <v>43857</v>
      </c>
      <c r="K2004" s="2">
        <v>22</v>
      </c>
      <c r="L2004" s="2" t="s">
        <v>70</v>
      </c>
      <c r="M2004" s="3"/>
    </row>
    <row r="2005" spans="1:13" x14ac:dyDescent="0.3">
      <c r="A2005" s="2">
        <v>2004</v>
      </c>
      <c r="B2005" s="2" t="s">
        <v>5588</v>
      </c>
      <c r="C2005" s="2" t="s">
        <v>1717</v>
      </c>
      <c r="D2005" s="2" t="s">
        <v>51</v>
      </c>
      <c r="E2005" s="2" t="s">
        <v>16</v>
      </c>
      <c r="F2005" s="2">
        <v>60</v>
      </c>
      <c r="G2005" s="2" t="s">
        <v>5589</v>
      </c>
      <c r="H2005" s="2" t="s">
        <v>5473</v>
      </c>
      <c r="I2005" s="2" t="s">
        <v>240</v>
      </c>
      <c r="J2005" s="3">
        <v>44672</v>
      </c>
      <c r="K2005" s="2">
        <v>43</v>
      </c>
      <c r="L2005" s="2" t="s">
        <v>80</v>
      </c>
      <c r="M2005" s="3"/>
    </row>
    <row r="2006" spans="1:13" x14ac:dyDescent="0.3">
      <c r="A2006" s="2">
        <v>2005</v>
      </c>
      <c r="B2006" s="2" t="s">
        <v>2098</v>
      </c>
      <c r="C2006" s="2" t="s">
        <v>5590</v>
      </c>
      <c r="D2006" s="2" t="s">
        <v>28</v>
      </c>
      <c r="E2006" s="2" t="s">
        <v>29</v>
      </c>
      <c r="F2006" s="2">
        <v>90</v>
      </c>
      <c r="G2006" s="2" t="s">
        <v>5591</v>
      </c>
      <c r="H2006" s="2" t="s">
        <v>487</v>
      </c>
      <c r="I2006" s="2" t="s">
        <v>32</v>
      </c>
      <c r="J2006" s="3">
        <v>44328</v>
      </c>
      <c r="K2006" s="2">
        <v>78</v>
      </c>
      <c r="L2006" s="2" t="s">
        <v>45</v>
      </c>
      <c r="M2006" s="3"/>
    </row>
    <row r="2007" spans="1:13" x14ac:dyDescent="0.3">
      <c r="A2007" s="2">
        <v>2006</v>
      </c>
      <c r="B2007" s="2" t="s">
        <v>5592</v>
      </c>
      <c r="C2007" s="2" t="s">
        <v>2019</v>
      </c>
      <c r="D2007" s="2" t="s">
        <v>15</v>
      </c>
      <c r="E2007" s="2" t="s">
        <v>16</v>
      </c>
      <c r="F2007" s="2">
        <v>60</v>
      </c>
      <c r="G2007" s="2" t="s">
        <v>5593</v>
      </c>
      <c r="H2007" s="2" t="s">
        <v>2008</v>
      </c>
      <c r="I2007" s="2" t="s">
        <v>129</v>
      </c>
      <c r="J2007" s="3">
        <v>44912</v>
      </c>
      <c r="K2007" s="2">
        <v>84</v>
      </c>
      <c r="L2007" s="2" t="s">
        <v>39</v>
      </c>
      <c r="M2007" s="3"/>
    </row>
    <row r="2008" spans="1:13" x14ac:dyDescent="0.3">
      <c r="A2008" s="2">
        <v>2007</v>
      </c>
      <c r="B2008" s="2" t="s">
        <v>5594</v>
      </c>
      <c r="C2008" s="2" t="s">
        <v>744</v>
      </c>
      <c r="D2008" s="2" t="s">
        <v>51</v>
      </c>
      <c r="E2008" s="2" t="s">
        <v>16</v>
      </c>
      <c r="F2008" s="2">
        <v>90</v>
      </c>
      <c r="G2008" s="2" t="s">
        <v>5595</v>
      </c>
      <c r="H2008" s="2" t="s">
        <v>5596</v>
      </c>
      <c r="I2008" s="2" t="s">
        <v>32</v>
      </c>
      <c r="J2008" s="3">
        <v>44457</v>
      </c>
      <c r="K2008" s="2">
        <v>17</v>
      </c>
      <c r="L2008" s="2" t="s">
        <v>101</v>
      </c>
      <c r="M2008" s="3"/>
    </row>
    <row r="2009" spans="1:13" x14ac:dyDescent="0.3">
      <c r="A2009" s="2">
        <v>2008</v>
      </c>
      <c r="B2009" s="2" t="s">
        <v>3867</v>
      </c>
      <c r="C2009" s="2" t="s">
        <v>5438</v>
      </c>
      <c r="D2009" s="2" t="s">
        <v>28</v>
      </c>
      <c r="E2009" s="2" t="s">
        <v>29</v>
      </c>
      <c r="F2009" s="2">
        <v>30</v>
      </c>
      <c r="G2009" s="2" t="s">
        <v>5597</v>
      </c>
      <c r="H2009" s="2" t="s">
        <v>1434</v>
      </c>
      <c r="I2009" s="2" t="s">
        <v>1435</v>
      </c>
      <c r="J2009" s="3">
        <v>44464</v>
      </c>
      <c r="K2009" s="2">
        <v>62</v>
      </c>
      <c r="L2009" s="2" t="s">
        <v>54</v>
      </c>
      <c r="M2009" s="3"/>
    </row>
    <row r="2010" spans="1:13" x14ac:dyDescent="0.3">
      <c r="A2010" s="2">
        <v>2009</v>
      </c>
      <c r="B2010" s="2" t="s">
        <v>800</v>
      </c>
      <c r="C2010" s="2" t="s">
        <v>5598</v>
      </c>
      <c r="D2010" s="2" t="s">
        <v>28</v>
      </c>
      <c r="E2010" s="2" t="s">
        <v>29</v>
      </c>
      <c r="F2010" s="2">
        <v>60</v>
      </c>
      <c r="G2010" s="2" t="s">
        <v>5599</v>
      </c>
      <c r="H2010" s="2" t="s">
        <v>1876</v>
      </c>
      <c r="I2010" s="2" t="s">
        <v>32</v>
      </c>
      <c r="J2010" s="3">
        <v>44152</v>
      </c>
      <c r="K2010" s="2">
        <v>21</v>
      </c>
      <c r="L2010" s="2" t="s">
        <v>20</v>
      </c>
      <c r="M2010" s="3"/>
    </row>
    <row r="2011" spans="1:13" x14ac:dyDescent="0.3">
      <c r="A2011" s="2">
        <v>2010</v>
      </c>
      <c r="B2011" s="2" t="s">
        <v>4092</v>
      </c>
      <c r="C2011" s="2" t="s">
        <v>3021</v>
      </c>
      <c r="D2011" s="2" t="s">
        <v>28</v>
      </c>
      <c r="E2011" s="2" t="s">
        <v>29</v>
      </c>
      <c r="F2011" s="2">
        <v>90</v>
      </c>
      <c r="G2011" s="2" t="s">
        <v>5600</v>
      </c>
      <c r="H2011" s="2" t="s">
        <v>2447</v>
      </c>
      <c r="I2011" s="2" t="s">
        <v>1869</v>
      </c>
      <c r="J2011" s="3">
        <v>44549</v>
      </c>
      <c r="K2011" s="2">
        <v>29</v>
      </c>
      <c r="L2011" s="2" t="s">
        <v>20</v>
      </c>
      <c r="M2011" s="3"/>
    </row>
    <row r="2012" spans="1:13" x14ac:dyDescent="0.3">
      <c r="A2012" s="2">
        <v>2011</v>
      </c>
      <c r="B2012" s="2" t="s">
        <v>5601</v>
      </c>
      <c r="C2012" s="2" t="s">
        <v>1159</v>
      </c>
      <c r="D2012" s="2" t="s">
        <v>28</v>
      </c>
      <c r="E2012" s="2" t="s">
        <v>29</v>
      </c>
      <c r="F2012" s="2">
        <v>30</v>
      </c>
      <c r="G2012" s="2" t="s">
        <v>5602</v>
      </c>
      <c r="H2012" s="2" t="s">
        <v>5603</v>
      </c>
      <c r="I2012" s="2" t="s">
        <v>32</v>
      </c>
      <c r="J2012" s="3">
        <v>44698</v>
      </c>
      <c r="K2012" s="2">
        <v>40</v>
      </c>
      <c r="L2012" s="2" t="s">
        <v>20</v>
      </c>
      <c r="M2012" s="3"/>
    </row>
    <row r="2013" spans="1:13" x14ac:dyDescent="0.3">
      <c r="A2013" s="2">
        <v>2012</v>
      </c>
      <c r="B2013" s="2" t="s">
        <v>5604</v>
      </c>
      <c r="C2013" s="2" t="s">
        <v>106</v>
      </c>
      <c r="D2013" s="2" t="s">
        <v>28</v>
      </c>
      <c r="E2013" s="2" t="s">
        <v>29</v>
      </c>
      <c r="F2013" s="2">
        <v>60</v>
      </c>
      <c r="G2013" s="2" t="s">
        <v>5605</v>
      </c>
      <c r="H2013" s="2" t="s">
        <v>4413</v>
      </c>
      <c r="I2013" s="2" t="s">
        <v>32</v>
      </c>
      <c r="J2013" s="3">
        <v>44799</v>
      </c>
      <c r="K2013" s="2">
        <v>75</v>
      </c>
      <c r="L2013" s="2" t="s">
        <v>101</v>
      </c>
      <c r="M2013" s="3"/>
    </row>
    <row r="2014" spans="1:13" x14ac:dyDescent="0.3">
      <c r="A2014" s="2">
        <v>2013</v>
      </c>
      <c r="B2014" s="2" t="s">
        <v>511</v>
      </c>
      <c r="C2014" s="2" t="s">
        <v>489</v>
      </c>
      <c r="D2014" s="2" t="s">
        <v>51</v>
      </c>
      <c r="E2014" s="2" t="s">
        <v>16</v>
      </c>
      <c r="F2014" s="2">
        <v>30</v>
      </c>
      <c r="G2014" s="2" t="s">
        <v>5606</v>
      </c>
      <c r="H2014" s="2" t="s">
        <v>3659</v>
      </c>
      <c r="I2014" s="2" t="s">
        <v>3660</v>
      </c>
      <c r="J2014" s="3">
        <v>44781</v>
      </c>
      <c r="K2014" s="2">
        <v>51</v>
      </c>
      <c r="L2014" s="2" t="s">
        <v>70</v>
      </c>
      <c r="M2014" s="3"/>
    </row>
    <row r="2015" spans="1:13" x14ac:dyDescent="0.3">
      <c r="A2015" s="2">
        <v>2014</v>
      </c>
      <c r="B2015" s="2" t="s">
        <v>125</v>
      </c>
      <c r="C2015" s="2" t="s">
        <v>4722</v>
      </c>
      <c r="D2015" s="2" t="s">
        <v>15</v>
      </c>
      <c r="E2015" s="2" t="s">
        <v>16</v>
      </c>
      <c r="F2015" s="2">
        <v>30</v>
      </c>
      <c r="G2015" s="2" t="s">
        <v>5606</v>
      </c>
      <c r="H2015" s="2" t="s">
        <v>938</v>
      </c>
      <c r="I2015" s="2" t="s">
        <v>25</v>
      </c>
      <c r="J2015" s="3">
        <v>44462</v>
      </c>
      <c r="K2015" s="2">
        <v>57</v>
      </c>
      <c r="L2015" s="2" t="s">
        <v>39</v>
      </c>
      <c r="M2015" s="3"/>
    </row>
    <row r="2016" spans="1:13" x14ac:dyDescent="0.3">
      <c r="A2016" s="2">
        <v>2015</v>
      </c>
      <c r="B2016" s="2" t="s">
        <v>1773</v>
      </c>
      <c r="C2016" s="2" t="s">
        <v>2521</v>
      </c>
      <c r="D2016" s="2" t="s">
        <v>28</v>
      </c>
      <c r="E2016" s="2" t="s">
        <v>29</v>
      </c>
      <c r="F2016" s="2">
        <v>60</v>
      </c>
      <c r="G2016" s="2" t="s">
        <v>5606</v>
      </c>
      <c r="H2016" s="2" t="s">
        <v>2599</v>
      </c>
      <c r="I2016" s="2" t="s">
        <v>25</v>
      </c>
      <c r="J2016" s="3">
        <v>43991</v>
      </c>
      <c r="K2016" s="2">
        <v>62</v>
      </c>
      <c r="L2016" s="2" t="s">
        <v>33</v>
      </c>
      <c r="M2016" s="3"/>
    </row>
    <row r="2017" spans="1:13" x14ac:dyDescent="0.3">
      <c r="A2017" s="2">
        <v>2016</v>
      </c>
      <c r="B2017" s="2" t="s">
        <v>5607</v>
      </c>
      <c r="C2017" s="2" t="s">
        <v>430</v>
      </c>
      <c r="D2017" s="2" t="s">
        <v>51</v>
      </c>
      <c r="E2017" s="2" t="s">
        <v>16</v>
      </c>
      <c r="F2017" s="2">
        <v>90</v>
      </c>
      <c r="G2017" s="2" t="s">
        <v>5608</v>
      </c>
      <c r="H2017" s="2" t="s">
        <v>5609</v>
      </c>
      <c r="I2017" s="2" t="s">
        <v>19</v>
      </c>
      <c r="J2017" s="3">
        <v>44855</v>
      </c>
      <c r="K2017" s="2">
        <v>45</v>
      </c>
      <c r="L2017" s="2" t="s">
        <v>20</v>
      </c>
      <c r="M2017" s="3"/>
    </row>
    <row r="2018" spans="1:13" x14ac:dyDescent="0.3">
      <c r="A2018" s="2">
        <v>2017</v>
      </c>
      <c r="B2018" s="2" t="s">
        <v>188</v>
      </c>
      <c r="C2018" s="2" t="s">
        <v>1024</v>
      </c>
      <c r="D2018" s="2" t="s">
        <v>28</v>
      </c>
      <c r="E2018" s="2" t="s">
        <v>29</v>
      </c>
      <c r="F2018" s="2">
        <v>30</v>
      </c>
      <c r="G2018" s="2" t="s">
        <v>5610</v>
      </c>
      <c r="H2018" s="2" t="s">
        <v>5611</v>
      </c>
      <c r="I2018" s="2" t="s">
        <v>32</v>
      </c>
      <c r="J2018" s="3">
        <v>44658</v>
      </c>
      <c r="K2018" s="2">
        <v>84</v>
      </c>
      <c r="L2018" s="2" t="s">
        <v>159</v>
      </c>
      <c r="M2018" s="3"/>
    </row>
    <row r="2019" spans="1:13" x14ac:dyDescent="0.3">
      <c r="A2019" s="2">
        <v>2018</v>
      </c>
      <c r="B2019" s="2" t="s">
        <v>5612</v>
      </c>
      <c r="C2019" s="2" t="s">
        <v>1517</v>
      </c>
      <c r="D2019" s="2" t="s">
        <v>15</v>
      </c>
      <c r="E2019" s="2" t="s">
        <v>16</v>
      </c>
      <c r="F2019" s="2">
        <v>90</v>
      </c>
      <c r="G2019" s="2" t="s">
        <v>5613</v>
      </c>
      <c r="H2019" s="2" t="s">
        <v>2848</v>
      </c>
      <c r="I2019" s="2" t="s">
        <v>129</v>
      </c>
      <c r="J2019" s="3">
        <v>44564</v>
      </c>
      <c r="K2019" s="2">
        <v>72</v>
      </c>
      <c r="L2019" s="2" t="s">
        <v>54</v>
      </c>
      <c r="M2019" s="3"/>
    </row>
    <row r="2020" spans="1:13" x14ac:dyDescent="0.3">
      <c r="A2020" s="2">
        <v>2019</v>
      </c>
      <c r="B2020" s="2" t="s">
        <v>5614</v>
      </c>
      <c r="C2020" s="2" t="s">
        <v>2028</v>
      </c>
      <c r="D2020" s="2" t="s">
        <v>28</v>
      </c>
      <c r="E2020" s="2" t="s">
        <v>29</v>
      </c>
      <c r="F2020" s="2">
        <v>60</v>
      </c>
      <c r="G2020" s="2" t="s">
        <v>5615</v>
      </c>
      <c r="H2020" s="2" t="s">
        <v>993</v>
      </c>
      <c r="I2020" s="2" t="s">
        <v>32</v>
      </c>
      <c r="J2020" s="3">
        <v>43863</v>
      </c>
      <c r="K2020" s="2">
        <v>17</v>
      </c>
      <c r="L2020" s="2" t="s">
        <v>80</v>
      </c>
      <c r="M2020" s="3"/>
    </row>
    <row r="2021" spans="1:13" x14ac:dyDescent="0.3">
      <c r="A2021" s="2">
        <v>2020</v>
      </c>
      <c r="B2021" s="2" t="s">
        <v>4018</v>
      </c>
      <c r="C2021" s="2" t="s">
        <v>1727</v>
      </c>
      <c r="D2021" s="2" t="s">
        <v>28</v>
      </c>
      <c r="E2021" s="2" t="s">
        <v>29</v>
      </c>
      <c r="F2021" s="2">
        <v>90</v>
      </c>
      <c r="G2021" s="2" t="s">
        <v>5616</v>
      </c>
      <c r="H2021" s="2" t="s">
        <v>4699</v>
      </c>
      <c r="I2021" s="2" t="s">
        <v>32</v>
      </c>
      <c r="J2021" s="3">
        <v>44919</v>
      </c>
      <c r="K2021" s="2">
        <v>97</v>
      </c>
      <c r="L2021" s="2" t="s">
        <v>20</v>
      </c>
      <c r="M2021" s="3"/>
    </row>
    <row r="2022" spans="1:13" x14ac:dyDescent="0.3">
      <c r="A2022" s="2">
        <v>2021</v>
      </c>
      <c r="B2022" s="2" t="s">
        <v>5617</v>
      </c>
      <c r="C2022" s="2" t="s">
        <v>1662</v>
      </c>
      <c r="D2022" s="2" t="s">
        <v>51</v>
      </c>
      <c r="E2022" s="2" t="s">
        <v>16</v>
      </c>
      <c r="F2022" s="2">
        <v>30</v>
      </c>
      <c r="G2022" s="2" t="s">
        <v>5618</v>
      </c>
      <c r="H2022" s="2" t="s">
        <v>5619</v>
      </c>
      <c r="I2022" s="2" t="s">
        <v>32</v>
      </c>
      <c r="J2022" s="3">
        <v>44388</v>
      </c>
      <c r="K2022" s="2">
        <v>22</v>
      </c>
      <c r="L2022" s="2" t="s">
        <v>159</v>
      </c>
      <c r="M2022" s="3"/>
    </row>
    <row r="2023" spans="1:13" x14ac:dyDescent="0.3">
      <c r="A2023" s="2">
        <v>2022</v>
      </c>
      <c r="B2023" s="2" t="s">
        <v>1405</v>
      </c>
      <c r="C2023" s="2" t="s">
        <v>4242</v>
      </c>
      <c r="D2023" s="2" t="s">
        <v>28</v>
      </c>
      <c r="E2023" s="2" t="s">
        <v>29</v>
      </c>
      <c r="F2023" s="2">
        <v>30</v>
      </c>
      <c r="G2023" s="2" t="s">
        <v>5620</v>
      </c>
      <c r="H2023" s="2" t="s">
        <v>652</v>
      </c>
      <c r="I2023" s="2" t="s">
        <v>32</v>
      </c>
      <c r="J2023" s="3">
        <v>44407</v>
      </c>
      <c r="K2023" s="2">
        <v>16</v>
      </c>
      <c r="L2023" s="2" t="s">
        <v>101</v>
      </c>
      <c r="M2023" s="3"/>
    </row>
    <row r="2024" spans="1:13" x14ac:dyDescent="0.3">
      <c r="A2024" s="2">
        <v>2023</v>
      </c>
      <c r="B2024" s="2" t="s">
        <v>5621</v>
      </c>
      <c r="C2024" s="2" t="s">
        <v>2963</v>
      </c>
      <c r="D2024" s="2" t="s">
        <v>51</v>
      </c>
      <c r="E2024" s="2" t="s">
        <v>16</v>
      </c>
      <c r="F2024" s="2">
        <v>30</v>
      </c>
      <c r="G2024" s="2" t="s">
        <v>5622</v>
      </c>
      <c r="H2024" s="2" t="s">
        <v>2186</v>
      </c>
      <c r="I2024" s="2" t="s">
        <v>187</v>
      </c>
      <c r="J2024" s="3">
        <v>44078</v>
      </c>
      <c r="K2024" s="2">
        <v>7</v>
      </c>
      <c r="L2024" s="2" t="s">
        <v>54</v>
      </c>
      <c r="M2024" s="3"/>
    </row>
    <row r="2025" spans="1:13" x14ac:dyDescent="0.3">
      <c r="A2025" s="2">
        <v>2024</v>
      </c>
      <c r="B2025" s="2" t="s">
        <v>5623</v>
      </c>
      <c r="C2025" s="2" t="s">
        <v>5624</v>
      </c>
      <c r="D2025" s="2" t="s">
        <v>28</v>
      </c>
      <c r="E2025" s="2" t="s">
        <v>29</v>
      </c>
      <c r="F2025" s="2">
        <v>30</v>
      </c>
      <c r="G2025" s="2" t="s">
        <v>5625</v>
      </c>
      <c r="H2025" s="2" t="s">
        <v>1996</v>
      </c>
      <c r="I2025" s="2" t="s">
        <v>208</v>
      </c>
      <c r="J2025" s="3">
        <v>44273</v>
      </c>
      <c r="K2025" s="2">
        <v>74</v>
      </c>
      <c r="L2025" s="2" t="s">
        <v>33</v>
      </c>
      <c r="M2025" s="3"/>
    </row>
    <row r="2026" spans="1:13" x14ac:dyDescent="0.3">
      <c r="A2026" s="2">
        <v>2025</v>
      </c>
      <c r="B2026" s="2" t="s">
        <v>5585</v>
      </c>
      <c r="C2026" s="2" t="s">
        <v>5626</v>
      </c>
      <c r="D2026" s="2" t="s">
        <v>41</v>
      </c>
      <c r="E2026" s="2" t="s">
        <v>16</v>
      </c>
      <c r="F2026" s="2">
        <v>30</v>
      </c>
      <c r="G2026" s="2" t="s">
        <v>5627</v>
      </c>
      <c r="H2026" s="2" t="s">
        <v>5628</v>
      </c>
      <c r="I2026" s="2" t="s">
        <v>32</v>
      </c>
      <c r="J2026" s="3">
        <v>44171</v>
      </c>
      <c r="K2026" s="2">
        <v>33</v>
      </c>
      <c r="L2026" s="2" t="s">
        <v>54</v>
      </c>
      <c r="M2026" s="3"/>
    </row>
    <row r="2027" spans="1:13" x14ac:dyDescent="0.3">
      <c r="A2027" s="2">
        <v>2026</v>
      </c>
      <c r="B2027" s="2" t="s">
        <v>5629</v>
      </c>
      <c r="C2027" s="2" t="s">
        <v>3884</v>
      </c>
      <c r="D2027" s="2" t="s">
        <v>15</v>
      </c>
      <c r="E2027" s="2" t="s">
        <v>16</v>
      </c>
      <c r="F2027" s="2">
        <v>90</v>
      </c>
      <c r="G2027" s="2" t="s">
        <v>5630</v>
      </c>
      <c r="H2027" s="2" t="s">
        <v>5631</v>
      </c>
      <c r="I2027" s="2" t="s">
        <v>129</v>
      </c>
      <c r="J2027" s="3">
        <v>44219</v>
      </c>
      <c r="K2027" s="2">
        <v>83</v>
      </c>
      <c r="L2027" s="2" t="s">
        <v>20</v>
      </c>
      <c r="M2027" s="3"/>
    </row>
    <row r="2028" spans="1:13" x14ac:dyDescent="0.3">
      <c r="A2028" s="2">
        <v>2027</v>
      </c>
      <c r="B2028" s="2" t="s">
        <v>5632</v>
      </c>
      <c r="C2028" s="2" t="s">
        <v>3210</v>
      </c>
      <c r="D2028" s="2" t="s">
        <v>15</v>
      </c>
      <c r="E2028" s="2" t="s">
        <v>16</v>
      </c>
      <c r="F2028" s="2">
        <v>60</v>
      </c>
      <c r="G2028" s="2" t="s">
        <v>5633</v>
      </c>
      <c r="H2028" s="2" t="s">
        <v>5634</v>
      </c>
      <c r="I2028" s="2" t="s">
        <v>32</v>
      </c>
      <c r="J2028" s="3">
        <v>43860</v>
      </c>
      <c r="K2028" s="2">
        <v>41</v>
      </c>
      <c r="L2028" s="2" t="s">
        <v>20</v>
      </c>
      <c r="M2028" s="3"/>
    </row>
    <row r="2029" spans="1:13" x14ac:dyDescent="0.3">
      <c r="A2029" s="2">
        <v>2028</v>
      </c>
      <c r="B2029" s="2" t="s">
        <v>5635</v>
      </c>
      <c r="C2029" s="2" t="s">
        <v>5067</v>
      </c>
      <c r="D2029" s="2" t="s">
        <v>51</v>
      </c>
      <c r="E2029" s="2" t="s">
        <v>16</v>
      </c>
      <c r="F2029" s="2">
        <v>30</v>
      </c>
      <c r="G2029" s="2" t="s">
        <v>5636</v>
      </c>
      <c r="H2029" s="2" t="s">
        <v>5637</v>
      </c>
      <c r="I2029" s="2" t="s">
        <v>32</v>
      </c>
      <c r="J2029" s="3">
        <v>44764</v>
      </c>
      <c r="K2029" s="2">
        <v>2</v>
      </c>
      <c r="L2029" s="2" t="s">
        <v>33</v>
      </c>
      <c r="M2029" s="3"/>
    </row>
    <row r="2030" spans="1:13" x14ac:dyDescent="0.3">
      <c r="A2030" s="2">
        <v>2029</v>
      </c>
      <c r="B2030" s="2" t="s">
        <v>3198</v>
      </c>
      <c r="C2030" s="2" t="s">
        <v>5638</v>
      </c>
      <c r="D2030" s="2" t="s">
        <v>28</v>
      </c>
      <c r="E2030" s="2" t="s">
        <v>29</v>
      </c>
      <c r="F2030" s="2">
        <v>90</v>
      </c>
      <c r="G2030" s="2" t="s">
        <v>5639</v>
      </c>
      <c r="H2030" s="2" t="s">
        <v>3790</v>
      </c>
      <c r="I2030" s="2" t="s">
        <v>32</v>
      </c>
      <c r="J2030" s="3">
        <v>43988</v>
      </c>
      <c r="K2030" s="2">
        <v>50</v>
      </c>
      <c r="L2030" s="2" t="s">
        <v>39</v>
      </c>
      <c r="M2030" s="3"/>
    </row>
    <row r="2031" spans="1:13" x14ac:dyDescent="0.3">
      <c r="A2031" s="2">
        <v>2030</v>
      </c>
      <c r="B2031" s="2" t="s">
        <v>4430</v>
      </c>
      <c r="C2031" s="2" t="s">
        <v>5568</v>
      </c>
      <c r="D2031" s="2" t="s">
        <v>28</v>
      </c>
      <c r="E2031" s="2" t="s">
        <v>29</v>
      </c>
      <c r="F2031" s="2">
        <v>30</v>
      </c>
      <c r="G2031" s="2" t="s">
        <v>5640</v>
      </c>
      <c r="H2031" s="2" t="s">
        <v>534</v>
      </c>
      <c r="I2031" s="2" t="s">
        <v>32</v>
      </c>
      <c r="J2031" s="3">
        <v>44046</v>
      </c>
      <c r="K2031" s="2">
        <v>3</v>
      </c>
      <c r="L2031" s="2" t="s">
        <v>101</v>
      </c>
      <c r="M2031" s="3"/>
    </row>
    <row r="2032" spans="1:13" x14ac:dyDescent="0.3">
      <c r="A2032" s="2">
        <v>2031</v>
      </c>
      <c r="B2032" s="2" t="s">
        <v>5641</v>
      </c>
      <c r="C2032" s="2" t="s">
        <v>2286</v>
      </c>
      <c r="D2032" s="2" t="s">
        <v>51</v>
      </c>
      <c r="E2032" s="2" t="s">
        <v>16</v>
      </c>
      <c r="F2032" s="2">
        <v>30</v>
      </c>
      <c r="G2032" s="2" t="s">
        <v>5642</v>
      </c>
      <c r="H2032" s="2" t="s">
        <v>5643</v>
      </c>
      <c r="I2032" s="2" t="s">
        <v>886</v>
      </c>
      <c r="J2032" s="3">
        <v>44197</v>
      </c>
      <c r="K2032" s="2">
        <v>29</v>
      </c>
      <c r="L2032" s="2" t="s">
        <v>20</v>
      </c>
      <c r="M2032" s="3"/>
    </row>
    <row r="2033" spans="1:13" x14ac:dyDescent="0.3">
      <c r="A2033" s="2">
        <v>2032</v>
      </c>
      <c r="B2033" s="2" t="s">
        <v>5644</v>
      </c>
      <c r="C2033" s="2" t="s">
        <v>5645</v>
      </c>
      <c r="D2033" s="2" t="s">
        <v>28</v>
      </c>
      <c r="E2033" s="2" t="s">
        <v>29</v>
      </c>
      <c r="F2033" s="2">
        <v>60</v>
      </c>
      <c r="G2033" s="2" t="s">
        <v>5646</v>
      </c>
      <c r="H2033" s="2" t="s">
        <v>5647</v>
      </c>
      <c r="I2033" s="2" t="s">
        <v>38</v>
      </c>
      <c r="J2033" s="3">
        <v>44682</v>
      </c>
      <c r="K2033" s="2">
        <v>71</v>
      </c>
      <c r="L2033" s="2" t="s">
        <v>33</v>
      </c>
      <c r="M2033" s="3"/>
    </row>
    <row r="2034" spans="1:13" x14ac:dyDescent="0.3">
      <c r="A2034" s="2">
        <v>2033</v>
      </c>
      <c r="B2034" s="2" t="s">
        <v>5648</v>
      </c>
      <c r="C2034" s="2" t="s">
        <v>5649</v>
      </c>
      <c r="D2034" s="2" t="s">
        <v>41</v>
      </c>
      <c r="E2034" s="2" t="s">
        <v>16</v>
      </c>
      <c r="F2034" s="2">
        <v>30</v>
      </c>
      <c r="G2034" s="2" t="s">
        <v>5650</v>
      </c>
      <c r="H2034" s="2" t="s">
        <v>4669</v>
      </c>
      <c r="I2034" s="2" t="s">
        <v>187</v>
      </c>
      <c r="J2034" s="3">
        <v>44147</v>
      </c>
      <c r="K2034" s="2">
        <v>33</v>
      </c>
      <c r="L2034" s="2" t="s">
        <v>39</v>
      </c>
      <c r="M2034" s="3"/>
    </row>
    <row r="2035" spans="1:13" x14ac:dyDescent="0.3">
      <c r="A2035" s="2">
        <v>2034</v>
      </c>
      <c r="B2035" s="2" t="s">
        <v>2051</v>
      </c>
      <c r="C2035" s="2" t="s">
        <v>1154</v>
      </c>
      <c r="D2035" s="2" t="s">
        <v>28</v>
      </c>
      <c r="E2035" s="2" t="s">
        <v>29</v>
      </c>
      <c r="F2035" s="2">
        <v>30</v>
      </c>
      <c r="G2035" s="2" t="s">
        <v>5651</v>
      </c>
      <c r="H2035" s="2" t="s">
        <v>5652</v>
      </c>
      <c r="I2035" s="2" t="s">
        <v>32</v>
      </c>
      <c r="J2035" s="3">
        <v>44657</v>
      </c>
      <c r="K2035" s="2">
        <v>96</v>
      </c>
      <c r="L2035" s="2" t="s">
        <v>45</v>
      </c>
      <c r="M2035" s="3"/>
    </row>
    <row r="2036" spans="1:13" x14ac:dyDescent="0.3">
      <c r="A2036" s="2">
        <v>2035</v>
      </c>
      <c r="B2036" s="2" t="s">
        <v>5018</v>
      </c>
      <c r="C2036" s="2" t="s">
        <v>5653</v>
      </c>
      <c r="D2036" s="2" t="s">
        <v>15</v>
      </c>
      <c r="E2036" s="2" t="s">
        <v>16</v>
      </c>
      <c r="F2036" s="2">
        <v>30</v>
      </c>
      <c r="G2036" s="2" t="s">
        <v>5654</v>
      </c>
      <c r="H2036" s="2" t="s">
        <v>928</v>
      </c>
      <c r="I2036" s="2" t="s">
        <v>38</v>
      </c>
      <c r="J2036" s="3">
        <v>44007</v>
      </c>
      <c r="K2036" s="2">
        <v>55</v>
      </c>
      <c r="L2036" s="2" t="s">
        <v>159</v>
      </c>
      <c r="M2036" s="3"/>
    </row>
    <row r="2037" spans="1:13" x14ac:dyDescent="0.3">
      <c r="A2037" s="2">
        <v>2036</v>
      </c>
      <c r="B2037" s="2" t="s">
        <v>4596</v>
      </c>
      <c r="C2037" s="2" t="s">
        <v>5180</v>
      </c>
      <c r="D2037" s="2" t="s">
        <v>28</v>
      </c>
      <c r="E2037" s="2" t="s">
        <v>29</v>
      </c>
      <c r="F2037" s="2">
        <v>90</v>
      </c>
      <c r="G2037" s="2" t="s">
        <v>5655</v>
      </c>
      <c r="H2037" s="2" t="s">
        <v>2411</v>
      </c>
      <c r="I2037" s="2" t="s">
        <v>25</v>
      </c>
      <c r="J2037" s="3">
        <v>43886</v>
      </c>
      <c r="K2037" s="2">
        <v>3</v>
      </c>
      <c r="L2037" s="2" t="s">
        <v>159</v>
      </c>
      <c r="M2037" s="3"/>
    </row>
    <row r="2038" spans="1:13" x14ac:dyDescent="0.3">
      <c r="A2038" s="2">
        <v>2037</v>
      </c>
      <c r="B2038" s="2" t="s">
        <v>5656</v>
      </c>
      <c r="C2038" s="2" t="s">
        <v>1692</v>
      </c>
      <c r="D2038" s="2" t="s">
        <v>117</v>
      </c>
      <c r="E2038" s="2" t="s">
        <v>16</v>
      </c>
      <c r="F2038" s="2">
        <v>90</v>
      </c>
      <c r="G2038" s="2" t="s">
        <v>5657</v>
      </c>
      <c r="H2038" s="2" t="s">
        <v>474</v>
      </c>
      <c r="I2038" s="2" t="s">
        <v>475</v>
      </c>
      <c r="J2038" s="3">
        <v>44030</v>
      </c>
      <c r="K2038" s="2">
        <v>22</v>
      </c>
      <c r="L2038" s="2" t="s">
        <v>39</v>
      </c>
      <c r="M2038" s="3"/>
    </row>
    <row r="2039" spans="1:13" x14ac:dyDescent="0.3">
      <c r="A2039" s="2">
        <v>2038</v>
      </c>
      <c r="B2039" s="2" t="s">
        <v>5658</v>
      </c>
      <c r="C2039" s="2" t="s">
        <v>5659</v>
      </c>
      <c r="D2039" s="2" t="s">
        <v>51</v>
      </c>
      <c r="E2039" s="2" t="s">
        <v>16</v>
      </c>
      <c r="F2039" s="2">
        <v>30</v>
      </c>
      <c r="G2039" s="2" t="s">
        <v>5660</v>
      </c>
      <c r="H2039" s="2" t="s">
        <v>137</v>
      </c>
      <c r="I2039" s="2" t="s">
        <v>32</v>
      </c>
      <c r="J2039" s="3">
        <v>44739</v>
      </c>
      <c r="K2039" s="2">
        <v>50</v>
      </c>
      <c r="L2039" s="2" t="s">
        <v>54</v>
      </c>
      <c r="M2039" s="3"/>
    </row>
    <row r="2040" spans="1:13" x14ac:dyDescent="0.3">
      <c r="A2040" s="2">
        <v>2039</v>
      </c>
      <c r="B2040" s="2" t="s">
        <v>5444</v>
      </c>
      <c r="C2040" s="2" t="s">
        <v>5328</v>
      </c>
      <c r="D2040" s="2" t="s">
        <v>51</v>
      </c>
      <c r="E2040" s="2" t="s">
        <v>16</v>
      </c>
      <c r="F2040" s="2">
        <v>90</v>
      </c>
      <c r="G2040" s="2" t="s">
        <v>5661</v>
      </c>
      <c r="H2040" s="2" t="s">
        <v>1206</v>
      </c>
      <c r="I2040" s="2" t="s">
        <v>294</v>
      </c>
      <c r="J2040" s="3">
        <v>43924</v>
      </c>
      <c r="K2040" s="2">
        <v>17</v>
      </c>
      <c r="L2040" s="2" t="s">
        <v>159</v>
      </c>
      <c r="M2040" s="3"/>
    </row>
    <row r="2041" spans="1:13" x14ac:dyDescent="0.3">
      <c r="A2041" s="2">
        <v>2040</v>
      </c>
      <c r="B2041" s="2" t="s">
        <v>5662</v>
      </c>
      <c r="C2041" s="2" t="s">
        <v>1032</v>
      </c>
      <c r="D2041" s="2" t="s">
        <v>28</v>
      </c>
      <c r="E2041" s="2" t="s">
        <v>29</v>
      </c>
      <c r="F2041" s="2">
        <v>30</v>
      </c>
      <c r="G2041" s="2" t="s">
        <v>5663</v>
      </c>
      <c r="H2041" s="2" t="s">
        <v>5664</v>
      </c>
      <c r="I2041" s="2" t="s">
        <v>187</v>
      </c>
      <c r="J2041" s="3">
        <v>44831</v>
      </c>
      <c r="K2041" s="2">
        <v>17</v>
      </c>
      <c r="L2041" s="2" t="s">
        <v>54</v>
      </c>
      <c r="M2041" s="3"/>
    </row>
    <row r="2042" spans="1:13" x14ac:dyDescent="0.3">
      <c r="A2042" s="2">
        <v>2041</v>
      </c>
      <c r="B2042" s="2" t="s">
        <v>3103</v>
      </c>
      <c r="C2042" s="2" t="s">
        <v>5665</v>
      </c>
      <c r="D2042" s="2" t="s">
        <v>51</v>
      </c>
      <c r="E2042" s="2" t="s">
        <v>16</v>
      </c>
      <c r="F2042" s="2">
        <v>90</v>
      </c>
      <c r="G2042" s="2" t="s">
        <v>5666</v>
      </c>
      <c r="H2042" s="2" t="s">
        <v>5667</v>
      </c>
      <c r="I2042" s="2" t="s">
        <v>32</v>
      </c>
      <c r="J2042" s="3">
        <v>43917</v>
      </c>
      <c r="K2042" s="2">
        <v>15</v>
      </c>
      <c r="L2042" s="2" t="s">
        <v>54</v>
      </c>
      <c r="M2042" s="3"/>
    </row>
    <row r="2043" spans="1:13" x14ac:dyDescent="0.3">
      <c r="A2043" s="2">
        <v>2042</v>
      </c>
      <c r="B2043" s="2" t="s">
        <v>2617</v>
      </c>
      <c r="C2043" s="2" t="s">
        <v>5668</v>
      </c>
      <c r="D2043" s="2" t="s">
        <v>28</v>
      </c>
      <c r="E2043" s="2" t="s">
        <v>29</v>
      </c>
      <c r="F2043" s="2">
        <v>60</v>
      </c>
      <c r="G2043" s="2" t="s">
        <v>5669</v>
      </c>
      <c r="H2043" s="2" t="s">
        <v>2183</v>
      </c>
      <c r="I2043" s="2" t="s">
        <v>124</v>
      </c>
      <c r="J2043" s="3">
        <v>44501</v>
      </c>
      <c r="K2043" s="2">
        <v>62</v>
      </c>
      <c r="L2043" s="2" t="s">
        <v>80</v>
      </c>
      <c r="M2043" s="3"/>
    </row>
    <row r="2044" spans="1:13" x14ac:dyDescent="0.3">
      <c r="A2044" s="2">
        <v>2043</v>
      </c>
      <c r="B2044" s="2" t="s">
        <v>5670</v>
      </c>
      <c r="C2044" s="2" t="s">
        <v>5671</v>
      </c>
      <c r="D2044" s="2" t="s">
        <v>28</v>
      </c>
      <c r="E2044" s="2" t="s">
        <v>29</v>
      </c>
      <c r="F2044" s="2">
        <v>30</v>
      </c>
      <c r="G2044" s="2" t="s">
        <v>5672</v>
      </c>
      <c r="H2044" s="2" t="s">
        <v>2608</v>
      </c>
      <c r="I2044" s="2" t="s">
        <v>38</v>
      </c>
      <c r="J2044" s="3">
        <v>44020</v>
      </c>
      <c r="K2044" s="2">
        <v>69</v>
      </c>
      <c r="L2044" s="2" t="s">
        <v>70</v>
      </c>
      <c r="M2044" s="3"/>
    </row>
    <row r="2045" spans="1:13" x14ac:dyDescent="0.3">
      <c r="A2045" s="2">
        <v>2044</v>
      </c>
      <c r="B2045" s="2" t="s">
        <v>5673</v>
      </c>
      <c r="C2045" s="2" t="s">
        <v>5674</v>
      </c>
      <c r="D2045" s="2" t="s">
        <v>51</v>
      </c>
      <c r="E2045" s="2" t="s">
        <v>16</v>
      </c>
      <c r="F2045" s="2">
        <v>90</v>
      </c>
      <c r="G2045" s="2" t="s">
        <v>5675</v>
      </c>
      <c r="H2045" s="2" t="s">
        <v>970</v>
      </c>
      <c r="I2045" s="2" t="s">
        <v>187</v>
      </c>
      <c r="J2045" s="3">
        <v>44868</v>
      </c>
      <c r="K2045" s="2">
        <v>2</v>
      </c>
      <c r="L2045" s="2" t="s">
        <v>159</v>
      </c>
      <c r="M2045" s="3"/>
    </row>
    <row r="2046" spans="1:13" x14ac:dyDescent="0.3">
      <c r="A2046" s="2">
        <v>2045</v>
      </c>
      <c r="B2046" s="2" t="s">
        <v>5676</v>
      </c>
      <c r="C2046" s="2" t="s">
        <v>5677</v>
      </c>
      <c r="D2046" s="2" t="s">
        <v>51</v>
      </c>
      <c r="E2046" s="2" t="s">
        <v>16</v>
      </c>
      <c r="F2046" s="2">
        <v>60</v>
      </c>
      <c r="G2046" s="2" t="s">
        <v>5678</v>
      </c>
      <c r="H2046" s="2" t="s">
        <v>2305</v>
      </c>
      <c r="I2046" s="2" t="s">
        <v>25</v>
      </c>
      <c r="J2046" s="3">
        <v>44410</v>
      </c>
      <c r="K2046" s="2">
        <v>91</v>
      </c>
      <c r="L2046" s="2" t="s">
        <v>80</v>
      </c>
      <c r="M2046" s="3"/>
    </row>
    <row r="2047" spans="1:13" x14ac:dyDescent="0.3">
      <c r="A2047" s="2">
        <v>2046</v>
      </c>
      <c r="B2047" s="2" t="s">
        <v>5676</v>
      </c>
      <c r="C2047" s="2" t="s">
        <v>5677</v>
      </c>
      <c r="D2047" s="2" t="s">
        <v>51</v>
      </c>
      <c r="E2047" s="2" t="s">
        <v>16</v>
      </c>
      <c r="F2047" s="2">
        <v>60</v>
      </c>
      <c r="G2047" s="2" t="s">
        <v>5678</v>
      </c>
      <c r="H2047" s="2" t="s">
        <v>2305</v>
      </c>
      <c r="I2047" s="2" t="s">
        <v>25</v>
      </c>
      <c r="J2047" s="3">
        <v>44410</v>
      </c>
      <c r="K2047" s="2">
        <v>91</v>
      </c>
      <c r="L2047" s="2" t="s">
        <v>80</v>
      </c>
      <c r="M2047" s="3"/>
    </row>
    <row r="2048" spans="1:13" x14ac:dyDescent="0.3">
      <c r="A2048" s="2">
        <v>2047</v>
      </c>
      <c r="B2048" s="2" t="s">
        <v>155</v>
      </c>
      <c r="C2048" s="2" t="s">
        <v>3338</v>
      </c>
      <c r="D2048" s="2" t="s">
        <v>28</v>
      </c>
      <c r="E2048" s="2" t="s">
        <v>29</v>
      </c>
      <c r="F2048" s="2">
        <v>90</v>
      </c>
      <c r="G2048" s="2" t="s">
        <v>5679</v>
      </c>
      <c r="H2048" s="2" t="s">
        <v>957</v>
      </c>
      <c r="I2048" s="2" t="s">
        <v>95</v>
      </c>
      <c r="J2048" s="3">
        <v>44249</v>
      </c>
      <c r="K2048" s="2">
        <v>53</v>
      </c>
      <c r="L2048" s="2" t="s">
        <v>39</v>
      </c>
      <c r="M2048" s="3"/>
    </row>
    <row r="2049" spans="1:13" x14ac:dyDescent="0.3">
      <c r="A2049" s="2">
        <v>2048</v>
      </c>
      <c r="B2049" s="2" t="s">
        <v>5680</v>
      </c>
      <c r="C2049" s="2" t="s">
        <v>921</v>
      </c>
      <c r="D2049" s="2" t="s">
        <v>621</v>
      </c>
      <c r="E2049" s="2" t="s">
        <v>29</v>
      </c>
      <c r="F2049" s="2">
        <v>30</v>
      </c>
      <c r="G2049" s="2" t="s">
        <v>5681</v>
      </c>
      <c r="H2049" s="2" t="s">
        <v>5682</v>
      </c>
      <c r="I2049" s="2" t="s">
        <v>173</v>
      </c>
      <c r="J2049" s="3">
        <v>43994</v>
      </c>
      <c r="K2049" s="2">
        <v>42</v>
      </c>
      <c r="L2049" s="2" t="s">
        <v>33</v>
      </c>
      <c r="M2049" s="3"/>
    </row>
    <row r="2050" spans="1:13" x14ac:dyDescent="0.3">
      <c r="A2050" s="2">
        <v>2049</v>
      </c>
      <c r="C2050" s="2" t="s">
        <v>304</v>
      </c>
      <c r="D2050" s="2" t="s">
        <v>28</v>
      </c>
      <c r="E2050" s="2" t="s">
        <v>29</v>
      </c>
      <c r="F2050" s="2">
        <v>30</v>
      </c>
      <c r="G2050" s="2" t="s">
        <v>5683</v>
      </c>
      <c r="H2050" s="2" t="s">
        <v>2975</v>
      </c>
      <c r="I2050" s="2" t="s">
        <v>146</v>
      </c>
      <c r="J2050" s="3">
        <v>43996</v>
      </c>
      <c r="K2050" s="2">
        <v>14</v>
      </c>
      <c r="L2050" s="2" t="s">
        <v>64</v>
      </c>
      <c r="M2050" s="3"/>
    </row>
    <row r="2051" spans="1:13" x14ac:dyDescent="0.3">
      <c r="A2051" s="2">
        <v>2050</v>
      </c>
      <c r="B2051" s="2" t="s">
        <v>5684</v>
      </c>
      <c r="C2051" s="2" t="s">
        <v>4469</v>
      </c>
      <c r="D2051" s="2" t="s">
        <v>41</v>
      </c>
      <c r="E2051" s="2" t="s">
        <v>16</v>
      </c>
      <c r="F2051" s="2">
        <v>60</v>
      </c>
      <c r="G2051" s="2" t="s">
        <v>5685</v>
      </c>
      <c r="H2051" s="2" t="s">
        <v>5686</v>
      </c>
      <c r="I2051" s="2" t="s">
        <v>32</v>
      </c>
      <c r="J2051" s="3">
        <v>44113</v>
      </c>
      <c r="K2051" s="2">
        <v>6</v>
      </c>
      <c r="L2051" s="2" t="s">
        <v>159</v>
      </c>
      <c r="M2051" s="3"/>
    </row>
    <row r="2052" spans="1:13" x14ac:dyDescent="0.3">
      <c r="A2052" s="2">
        <v>2051</v>
      </c>
      <c r="B2052" s="2" t="s">
        <v>5687</v>
      </c>
      <c r="C2052" s="2" t="s">
        <v>1840</v>
      </c>
      <c r="D2052" s="2" t="s">
        <v>51</v>
      </c>
      <c r="E2052" s="2" t="s">
        <v>16</v>
      </c>
      <c r="F2052" s="2">
        <v>30</v>
      </c>
      <c r="G2052" s="2" t="s">
        <v>5688</v>
      </c>
      <c r="H2052" s="2" t="s">
        <v>244</v>
      </c>
      <c r="I2052" s="2" t="s">
        <v>240</v>
      </c>
      <c r="J2052" s="3">
        <v>43886</v>
      </c>
      <c r="K2052" s="2">
        <v>79</v>
      </c>
      <c r="L2052" s="2" t="s">
        <v>39</v>
      </c>
      <c r="M2052" s="3"/>
    </row>
    <row r="2053" spans="1:13" x14ac:dyDescent="0.3">
      <c r="A2053" s="2">
        <v>2052</v>
      </c>
      <c r="B2053" s="2" t="s">
        <v>2731</v>
      </c>
      <c r="C2053" s="2" t="s">
        <v>5689</v>
      </c>
      <c r="D2053" s="2" t="s">
        <v>28</v>
      </c>
      <c r="E2053" s="2" t="s">
        <v>29</v>
      </c>
      <c r="F2053" s="2">
        <v>30</v>
      </c>
      <c r="G2053" s="2" t="s">
        <v>5690</v>
      </c>
      <c r="H2053" s="2" t="s">
        <v>3387</v>
      </c>
      <c r="I2053" s="2" t="s">
        <v>2878</v>
      </c>
      <c r="J2053" s="3">
        <v>44817</v>
      </c>
      <c r="K2053" s="2">
        <v>71</v>
      </c>
      <c r="L2053" s="2" t="s">
        <v>33</v>
      </c>
      <c r="M2053" s="3"/>
    </row>
    <row r="2054" spans="1:13" x14ac:dyDescent="0.3">
      <c r="A2054" s="2">
        <v>2053</v>
      </c>
      <c r="B2054" s="2" t="s">
        <v>151</v>
      </c>
      <c r="C2054" s="2" t="s">
        <v>1806</v>
      </c>
      <c r="D2054" s="2" t="s">
        <v>15</v>
      </c>
      <c r="E2054" s="2" t="s">
        <v>16</v>
      </c>
      <c r="F2054" s="2">
        <v>30</v>
      </c>
      <c r="G2054" s="2" t="s">
        <v>5691</v>
      </c>
      <c r="H2054" s="2" t="s">
        <v>4899</v>
      </c>
      <c r="I2054" s="2" t="s">
        <v>100</v>
      </c>
      <c r="J2054" s="3">
        <v>44182</v>
      </c>
      <c r="K2054" s="2">
        <v>25</v>
      </c>
      <c r="L2054" s="2" t="s">
        <v>64</v>
      </c>
      <c r="M2054" s="3"/>
    </row>
    <row r="2055" spans="1:13" x14ac:dyDescent="0.3">
      <c r="A2055" s="2">
        <v>2054</v>
      </c>
      <c r="B2055" s="2" t="s">
        <v>5205</v>
      </c>
      <c r="C2055" s="2" t="s">
        <v>3513</v>
      </c>
      <c r="D2055" s="2" t="s">
        <v>15</v>
      </c>
      <c r="E2055" s="2" t="s">
        <v>16</v>
      </c>
      <c r="F2055" s="2">
        <v>60</v>
      </c>
      <c r="G2055" s="2" t="s">
        <v>5692</v>
      </c>
      <c r="H2055" s="2" t="s">
        <v>436</v>
      </c>
      <c r="I2055" s="2" t="s">
        <v>32</v>
      </c>
      <c r="J2055" s="3">
        <v>44375</v>
      </c>
      <c r="K2055" s="2">
        <v>59</v>
      </c>
      <c r="L2055" s="2" t="s">
        <v>101</v>
      </c>
      <c r="M2055" s="3"/>
    </row>
    <row r="2056" spans="1:13" x14ac:dyDescent="0.3">
      <c r="A2056" s="2">
        <v>2055</v>
      </c>
      <c r="B2056" s="2" t="s">
        <v>5693</v>
      </c>
      <c r="C2056" s="2" t="s">
        <v>1428</v>
      </c>
      <c r="D2056" s="2" t="s">
        <v>28</v>
      </c>
      <c r="E2056" s="2" t="s">
        <v>29</v>
      </c>
      <c r="F2056" s="2">
        <v>90</v>
      </c>
      <c r="G2056" s="2" t="s">
        <v>5694</v>
      </c>
      <c r="H2056" s="2" t="s">
        <v>2183</v>
      </c>
      <c r="I2056" s="2" t="s">
        <v>124</v>
      </c>
      <c r="J2056" s="3">
        <v>44211</v>
      </c>
      <c r="K2056" s="2">
        <v>93</v>
      </c>
      <c r="L2056" s="2" t="s">
        <v>64</v>
      </c>
      <c r="M2056" s="3"/>
    </row>
    <row r="2057" spans="1:13" x14ac:dyDescent="0.3">
      <c r="A2057" s="2">
        <v>2056</v>
      </c>
      <c r="B2057" s="2" t="s">
        <v>5695</v>
      </c>
      <c r="C2057" s="2" t="s">
        <v>3913</v>
      </c>
      <c r="D2057" s="2" t="s">
        <v>28</v>
      </c>
      <c r="E2057" s="2" t="s">
        <v>29</v>
      </c>
      <c r="F2057" s="2">
        <v>60</v>
      </c>
      <c r="G2057" s="2" t="s">
        <v>5696</v>
      </c>
      <c r="H2057" s="2" t="s">
        <v>2190</v>
      </c>
      <c r="I2057" s="2" t="s">
        <v>32</v>
      </c>
      <c r="J2057" s="3">
        <v>44019</v>
      </c>
      <c r="K2057" s="2">
        <v>46</v>
      </c>
      <c r="L2057" s="2" t="s">
        <v>39</v>
      </c>
      <c r="M2057" s="3"/>
    </row>
    <row r="2058" spans="1:13" x14ac:dyDescent="0.3">
      <c r="A2058" s="2">
        <v>2057</v>
      </c>
      <c r="B2058" s="2" t="s">
        <v>2665</v>
      </c>
      <c r="C2058" s="2" t="s">
        <v>3243</v>
      </c>
      <c r="D2058" s="2" t="s">
        <v>28</v>
      </c>
      <c r="E2058" s="2" t="s">
        <v>29</v>
      </c>
      <c r="F2058" s="2">
        <v>90</v>
      </c>
      <c r="G2058" s="2" t="s">
        <v>5697</v>
      </c>
      <c r="H2058" s="2" t="s">
        <v>993</v>
      </c>
      <c r="I2058" s="2" t="s">
        <v>32</v>
      </c>
      <c r="J2058" s="3">
        <v>44740</v>
      </c>
      <c r="K2058" s="2">
        <v>81</v>
      </c>
      <c r="L2058" s="2" t="s">
        <v>64</v>
      </c>
      <c r="M2058" s="3"/>
    </row>
    <row r="2059" spans="1:13" x14ac:dyDescent="0.3">
      <c r="A2059" s="2">
        <v>2058</v>
      </c>
      <c r="B2059" s="2" t="s">
        <v>5698</v>
      </c>
      <c r="C2059" s="2" t="s">
        <v>5699</v>
      </c>
      <c r="D2059" s="2" t="s">
        <v>51</v>
      </c>
      <c r="E2059" s="2" t="s">
        <v>16</v>
      </c>
      <c r="F2059" s="2">
        <v>90</v>
      </c>
      <c r="G2059" s="2" t="s">
        <v>5700</v>
      </c>
      <c r="H2059" s="2" t="s">
        <v>4860</v>
      </c>
      <c r="I2059" s="2" t="s">
        <v>32</v>
      </c>
      <c r="J2059" s="3">
        <v>44355</v>
      </c>
      <c r="K2059" s="2">
        <v>69</v>
      </c>
      <c r="L2059" s="2" t="s">
        <v>39</v>
      </c>
      <c r="M2059" s="3"/>
    </row>
    <row r="2060" spans="1:13" x14ac:dyDescent="0.3">
      <c r="A2060" s="2">
        <v>2059</v>
      </c>
      <c r="B2060" s="2" t="s">
        <v>2866</v>
      </c>
      <c r="C2060" s="2" t="s">
        <v>601</v>
      </c>
      <c r="D2060" s="2" t="s">
        <v>28</v>
      </c>
      <c r="E2060" s="2" t="s">
        <v>29</v>
      </c>
      <c r="F2060" s="2">
        <v>90</v>
      </c>
      <c r="G2060" s="2" t="s">
        <v>5701</v>
      </c>
      <c r="H2060" s="2" t="s">
        <v>3206</v>
      </c>
      <c r="I2060" s="2" t="s">
        <v>1199</v>
      </c>
      <c r="J2060" s="3">
        <v>44212</v>
      </c>
      <c r="K2060" s="2">
        <v>34</v>
      </c>
      <c r="L2060" s="2" t="s">
        <v>64</v>
      </c>
      <c r="M2060" s="3"/>
    </row>
    <row r="2061" spans="1:13" x14ac:dyDescent="0.3">
      <c r="A2061" s="2">
        <v>2060</v>
      </c>
      <c r="B2061" s="2" t="s">
        <v>5702</v>
      </c>
      <c r="C2061" s="2" t="s">
        <v>5703</v>
      </c>
      <c r="D2061" s="2" t="s">
        <v>28</v>
      </c>
      <c r="E2061" s="2" t="s">
        <v>29</v>
      </c>
      <c r="F2061" s="2">
        <v>60</v>
      </c>
      <c r="G2061" s="2" t="s">
        <v>5704</v>
      </c>
      <c r="H2061" s="2" t="s">
        <v>2236</v>
      </c>
      <c r="I2061" s="2" t="s">
        <v>2237</v>
      </c>
      <c r="J2061" s="3">
        <v>44743</v>
      </c>
      <c r="K2061" s="2">
        <v>21</v>
      </c>
      <c r="L2061" s="2" t="s">
        <v>20</v>
      </c>
      <c r="M2061" s="3"/>
    </row>
    <row r="2062" spans="1:13" x14ac:dyDescent="0.3">
      <c r="A2062" s="2">
        <v>2061</v>
      </c>
      <c r="B2062" s="2" t="s">
        <v>3374</v>
      </c>
      <c r="C2062" s="2" t="s">
        <v>3201</v>
      </c>
      <c r="D2062" s="2" t="s">
        <v>51</v>
      </c>
      <c r="E2062" s="2" t="s">
        <v>16</v>
      </c>
      <c r="F2062" s="2">
        <v>90</v>
      </c>
      <c r="G2062" s="2" t="s">
        <v>5705</v>
      </c>
      <c r="H2062" s="2" t="s">
        <v>5706</v>
      </c>
      <c r="I2062" s="2" t="s">
        <v>32</v>
      </c>
      <c r="J2062" s="3">
        <v>44636</v>
      </c>
      <c r="K2062" s="2">
        <v>22</v>
      </c>
      <c r="L2062" s="2" t="s">
        <v>54</v>
      </c>
      <c r="M2062" s="3"/>
    </row>
    <row r="2063" spans="1:13" x14ac:dyDescent="0.3">
      <c r="A2063" s="2">
        <v>2062</v>
      </c>
      <c r="B2063" s="2" t="s">
        <v>624</v>
      </c>
      <c r="C2063" s="2" t="s">
        <v>485</v>
      </c>
      <c r="D2063" s="2" t="s">
        <v>28</v>
      </c>
      <c r="E2063" s="2" t="s">
        <v>29</v>
      </c>
      <c r="F2063" s="2">
        <v>30</v>
      </c>
      <c r="G2063" s="2" t="s">
        <v>5707</v>
      </c>
      <c r="H2063" s="2" t="s">
        <v>2230</v>
      </c>
      <c r="I2063" s="2" t="s">
        <v>32</v>
      </c>
      <c r="J2063" s="3">
        <v>43849</v>
      </c>
      <c r="K2063" s="2">
        <v>11</v>
      </c>
      <c r="L2063" s="2" t="s">
        <v>159</v>
      </c>
      <c r="M2063" s="3"/>
    </row>
    <row r="2064" spans="1:13" x14ac:dyDescent="0.3">
      <c r="A2064" s="2">
        <v>2063</v>
      </c>
      <c r="B2064" s="2" t="s">
        <v>5708</v>
      </c>
      <c r="C2064" s="2" t="s">
        <v>3186</v>
      </c>
      <c r="D2064" s="2" t="s">
        <v>15</v>
      </c>
      <c r="E2064" s="2" t="s">
        <v>16</v>
      </c>
      <c r="F2064" s="2">
        <v>60</v>
      </c>
      <c r="G2064" s="2" t="s">
        <v>5709</v>
      </c>
      <c r="H2064" s="2" t="s">
        <v>302</v>
      </c>
      <c r="I2064" s="2" t="s">
        <v>303</v>
      </c>
      <c r="J2064" s="3">
        <v>44428</v>
      </c>
      <c r="K2064" s="2">
        <v>77</v>
      </c>
      <c r="L2064" s="2" t="s">
        <v>80</v>
      </c>
      <c r="M2064" s="3"/>
    </row>
    <row r="2065" spans="1:13" x14ac:dyDescent="0.3">
      <c r="A2065" s="2">
        <v>2064</v>
      </c>
      <c r="B2065" s="2" t="s">
        <v>2802</v>
      </c>
      <c r="C2065" s="2" t="s">
        <v>3738</v>
      </c>
      <c r="D2065" s="2" t="s">
        <v>51</v>
      </c>
      <c r="E2065" s="2" t="s">
        <v>16</v>
      </c>
      <c r="F2065" s="2">
        <v>30</v>
      </c>
      <c r="G2065" s="2" t="s">
        <v>5710</v>
      </c>
      <c r="H2065" s="2" t="s">
        <v>5711</v>
      </c>
      <c r="I2065" s="2" t="s">
        <v>25</v>
      </c>
      <c r="J2065" s="3">
        <v>44462</v>
      </c>
      <c r="K2065" s="2">
        <v>52</v>
      </c>
      <c r="L2065" s="2" t="s">
        <v>70</v>
      </c>
      <c r="M2065" s="3"/>
    </row>
    <row r="2066" spans="1:13" x14ac:dyDescent="0.3">
      <c r="A2066" s="2">
        <v>2065</v>
      </c>
      <c r="B2066" s="2" t="s">
        <v>4686</v>
      </c>
      <c r="C2066" s="2" t="s">
        <v>5712</v>
      </c>
      <c r="D2066" s="2" t="s">
        <v>15</v>
      </c>
      <c r="E2066" s="2" t="s">
        <v>16</v>
      </c>
      <c r="F2066" s="2">
        <v>60</v>
      </c>
      <c r="G2066" s="2" t="s">
        <v>5713</v>
      </c>
      <c r="H2066" s="2" t="s">
        <v>5714</v>
      </c>
      <c r="I2066" s="2" t="s">
        <v>187</v>
      </c>
      <c r="J2066" s="3">
        <v>44229</v>
      </c>
      <c r="K2066" s="2">
        <v>25</v>
      </c>
      <c r="L2066" s="2" t="s">
        <v>20</v>
      </c>
      <c r="M2066" s="3"/>
    </row>
    <row r="2067" spans="1:13" x14ac:dyDescent="0.3">
      <c r="A2067" s="2">
        <v>2066</v>
      </c>
      <c r="B2067" s="2" t="s">
        <v>5715</v>
      </c>
      <c r="C2067" s="2" t="s">
        <v>5716</v>
      </c>
      <c r="D2067" s="2" t="s">
        <v>28</v>
      </c>
      <c r="E2067" s="2" t="s">
        <v>29</v>
      </c>
      <c r="F2067" s="2">
        <v>30</v>
      </c>
      <c r="G2067" s="2" t="s">
        <v>5717</v>
      </c>
      <c r="H2067" s="2" t="s">
        <v>5718</v>
      </c>
      <c r="I2067" s="2" t="s">
        <v>294</v>
      </c>
      <c r="J2067" s="3">
        <v>44404</v>
      </c>
      <c r="K2067" s="2">
        <v>57</v>
      </c>
      <c r="L2067" s="2" t="s">
        <v>159</v>
      </c>
      <c r="M2067" s="3"/>
    </row>
    <row r="2068" spans="1:13" x14ac:dyDescent="0.3">
      <c r="A2068" s="2">
        <v>2067</v>
      </c>
      <c r="B2068" s="2" t="s">
        <v>5719</v>
      </c>
      <c r="C2068" s="2" t="s">
        <v>1116</v>
      </c>
      <c r="D2068" s="2" t="s">
        <v>51</v>
      </c>
      <c r="E2068" s="2" t="s">
        <v>16</v>
      </c>
      <c r="F2068" s="2">
        <v>60</v>
      </c>
      <c r="G2068" s="2" t="s">
        <v>5720</v>
      </c>
      <c r="H2068" s="2" t="s">
        <v>2021</v>
      </c>
      <c r="I2068" s="2" t="s">
        <v>2022</v>
      </c>
      <c r="J2068" s="3">
        <v>44446</v>
      </c>
      <c r="K2068" s="2">
        <v>88</v>
      </c>
      <c r="L2068" s="2" t="s">
        <v>20</v>
      </c>
      <c r="M2068" s="3"/>
    </row>
    <row r="2069" spans="1:13" x14ac:dyDescent="0.3">
      <c r="A2069" s="2">
        <v>2068</v>
      </c>
      <c r="B2069" s="2" t="s">
        <v>5721</v>
      </c>
      <c r="C2069" s="2" t="s">
        <v>5100</v>
      </c>
      <c r="D2069" s="2" t="s">
        <v>15</v>
      </c>
      <c r="E2069" s="2" t="s">
        <v>16</v>
      </c>
      <c r="F2069" s="2">
        <v>30</v>
      </c>
      <c r="G2069" s="2" t="s">
        <v>5722</v>
      </c>
      <c r="H2069" s="2" t="s">
        <v>5723</v>
      </c>
      <c r="I2069" s="2" t="s">
        <v>187</v>
      </c>
      <c r="J2069" s="3">
        <v>44923</v>
      </c>
      <c r="K2069" s="2">
        <v>90</v>
      </c>
      <c r="L2069" s="2" t="s">
        <v>70</v>
      </c>
      <c r="M2069" s="3"/>
    </row>
    <row r="2070" spans="1:13" x14ac:dyDescent="0.3">
      <c r="A2070" s="2">
        <v>2069</v>
      </c>
      <c r="B2070" s="2" t="s">
        <v>3065</v>
      </c>
      <c r="C2070" s="2" t="s">
        <v>3389</v>
      </c>
      <c r="D2070" s="2" t="s">
        <v>28</v>
      </c>
      <c r="E2070" s="2" t="s">
        <v>29</v>
      </c>
      <c r="F2070" s="2">
        <v>90</v>
      </c>
      <c r="G2070" s="2" t="s">
        <v>5724</v>
      </c>
      <c r="H2070" s="2" t="s">
        <v>3437</v>
      </c>
      <c r="I2070" s="2" t="s">
        <v>100</v>
      </c>
      <c r="J2070" s="3">
        <v>44831</v>
      </c>
      <c r="K2070" s="2">
        <v>44</v>
      </c>
      <c r="L2070" s="2" t="s">
        <v>70</v>
      </c>
      <c r="M2070" s="3"/>
    </row>
    <row r="2071" spans="1:13" x14ac:dyDescent="0.3">
      <c r="A2071" s="2">
        <v>2070</v>
      </c>
      <c r="B2071" s="2" t="s">
        <v>5725</v>
      </c>
      <c r="C2071" s="2" t="s">
        <v>5668</v>
      </c>
      <c r="D2071" s="2" t="s">
        <v>28</v>
      </c>
      <c r="E2071" s="2" t="s">
        <v>29</v>
      </c>
      <c r="F2071" s="2">
        <v>90</v>
      </c>
      <c r="G2071" s="2" t="s">
        <v>5726</v>
      </c>
      <c r="H2071" s="2" t="s">
        <v>3421</v>
      </c>
      <c r="I2071" s="2" t="s">
        <v>25</v>
      </c>
      <c r="J2071" s="3">
        <v>44030</v>
      </c>
      <c r="K2071" s="2">
        <v>13</v>
      </c>
      <c r="L2071" s="2" t="s">
        <v>39</v>
      </c>
      <c r="M2071" s="3"/>
    </row>
    <row r="2072" spans="1:13" x14ac:dyDescent="0.3">
      <c r="A2072" s="2">
        <v>2071</v>
      </c>
      <c r="B2072" s="2" t="s">
        <v>2244</v>
      </c>
      <c r="C2072" s="2" t="s">
        <v>5727</v>
      </c>
      <c r="D2072" s="2" t="s">
        <v>28</v>
      </c>
      <c r="E2072" s="2" t="s">
        <v>29</v>
      </c>
      <c r="F2072" s="2">
        <v>60</v>
      </c>
      <c r="G2072" s="2" t="s">
        <v>5728</v>
      </c>
      <c r="H2072" s="2" t="s">
        <v>5729</v>
      </c>
      <c r="I2072" s="2" t="s">
        <v>32</v>
      </c>
      <c r="J2072" s="3">
        <v>43892</v>
      </c>
      <c r="K2072" s="2">
        <v>66</v>
      </c>
      <c r="L2072" s="2" t="s">
        <v>64</v>
      </c>
      <c r="M2072" s="3"/>
    </row>
    <row r="2073" spans="1:13" x14ac:dyDescent="0.3">
      <c r="A2073" s="2">
        <v>2072</v>
      </c>
      <c r="B2073" s="2" t="s">
        <v>5730</v>
      </c>
      <c r="C2073" s="2" t="s">
        <v>4706</v>
      </c>
      <c r="D2073" s="2" t="s">
        <v>51</v>
      </c>
      <c r="E2073" s="2" t="s">
        <v>16</v>
      </c>
      <c r="F2073" s="2">
        <v>30</v>
      </c>
      <c r="G2073" s="2" t="s">
        <v>5731</v>
      </c>
      <c r="H2073" s="2" t="s">
        <v>5667</v>
      </c>
      <c r="I2073" s="2" t="s">
        <v>32</v>
      </c>
      <c r="J2073" s="3">
        <v>44685</v>
      </c>
      <c r="K2073" s="2">
        <v>75</v>
      </c>
      <c r="L2073" s="2" t="s">
        <v>33</v>
      </c>
      <c r="M2073" s="3"/>
    </row>
    <row r="2074" spans="1:13" x14ac:dyDescent="0.3">
      <c r="A2074" s="2">
        <v>2073</v>
      </c>
      <c r="B2074" s="2" t="s">
        <v>2191</v>
      </c>
      <c r="C2074" s="2" t="s">
        <v>4260</v>
      </c>
      <c r="D2074" s="2" t="s">
        <v>28</v>
      </c>
      <c r="E2074" s="2" t="s">
        <v>29</v>
      </c>
      <c r="F2074" s="2">
        <v>90</v>
      </c>
      <c r="G2074" s="2" t="s">
        <v>5732</v>
      </c>
      <c r="H2074" s="2" t="s">
        <v>1382</v>
      </c>
      <c r="I2074" s="2" t="s">
        <v>32</v>
      </c>
      <c r="J2074" s="3">
        <v>44388</v>
      </c>
      <c r="K2074" s="2">
        <v>95</v>
      </c>
      <c r="L2074" s="2" t="s">
        <v>64</v>
      </c>
      <c r="M2074" s="3"/>
    </row>
    <row r="2075" spans="1:13" x14ac:dyDescent="0.3">
      <c r="A2075" s="2">
        <v>2074</v>
      </c>
      <c r="B2075" s="2" t="s">
        <v>5105</v>
      </c>
      <c r="C2075" s="2" t="s">
        <v>560</v>
      </c>
      <c r="D2075" s="2" t="s">
        <v>15</v>
      </c>
      <c r="E2075" s="2" t="s">
        <v>16</v>
      </c>
      <c r="F2075" s="2">
        <v>30</v>
      </c>
      <c r="G2075" s="2" t="s">
        <v>5733</v>
      </c>
      <c r="I2075" s="2" t="s">
        <v>366</v>
      </c>
      <c r="J2075" s="3">
        <v>44275</v>
      </c>
      <c r="K2075" s="2">
        <v>4</v>
      </c>
      <c r="L2075" s="2" t="s">
        <v>39</v>
      </c>
      <c r="M2075" s="3"/>
    </row>
    <row r="2076" spans="1:13" x14ac:dyDescent="0.3">
      <c r="A2076" s="2">
        <v>2075</v>
      </c>
      <c r="B2076" s="2" t="s">
        <v>4250</v>
      </c>
      <c r="C2076" s="2" t="s">
        <v>5734</v>
      </c>
      <c r="D2076" s="2" t="s">
        <v>28</v>
      </c>
      <c r="E2076" s="2" t="s">
        <v>29</v>
      </c>
      <c r="F2076" s="2">
        <v>60</v>
      </c>
      <c r="G2076" s="2" t="s">
        <v>5735</v>
      </c>
      <c r="H2076" s="2" t="s">
        <v>5736</v>
      </c>
      <c r="I2076" s="2" t="s">
        <v>95</v>
      </c>
      <c r="J2076" s="3">
        <v>44740</v>
      </c>
      <c r="K2076" s="2">
        <v>46</v>
      </c>
      <c r="L2076" s="2" t="s">
        <v>80</v>
      </c>
      <c r="M2076" s="3"/>
    </row>
    <row r="2077" spans="1:13" x14ac:dyDescent="0.3">
      <c r="A2077" s="2">
        <v>2076</v>
      </c>
      <c r="B2077" s="2" t="s">
        <v>5737</v>
      </c>
      <c r="C2077" s="2" t="s">
        <v>1581</v>
      </c>
      <c r="D2077" s="2" t="s">
        <v>28</v>
      </c>
      <c r="E2077" s="2" t="s">
        <v>29</v>
      </c>
      <c r="F2077" s="2">
        <v>60</v>
      </c>
      <c r="G2077" s="2" t="s">
        <v>5738</v>
      </c>
      <c r="H2077" s="2" t="s">
        <v>2772</v>
      </c>
      <c r="I2077" s="2" t="s">
        <v>32</v>
      </c>
      <c r="J2077" s="3">
        <v>44037</v>
      </c>
      <c r="K2077" s="2">
        <v>44</v>
      </c>
      <c r="L2077" s="2" t="s">
        <v>39</v>
      </c>
      <c r="M2077" s="3"/>
    </row>
    <row r="2078" spans="1:13" x14ac:dyDescent="0.3">
      <c r="A2078" s="2">
        <v>2077</v>
      </c>
      <c r="B2078" s="2" t="s">
        <v>5739</v>
      </c>
      <c r="C2078" s="2" t="s">
        <v>2515</v>
      </c>
      <c r="D2078" s="2" t="s">
        <v>51</v>
      </c>
      <c r="E2078" s="2" t="s">
        <v>16</v>
      </c>
      <c r="F2078" s="2">
        <v>90</v>
      </c>
      <c r="G2078" s="2" t="s">
        <v>5740</v>
      </c>
      <c r="H2078" s="2" t="s">
        <v>685</v>
      </c>
      <c r="I2078" s="2" t="s">
        <v>686</v>
      </c>
      <c r="J2078" s="3">
        <v>44079</v>
      </c>
      <c r="K2078" s="2">
        <v>72</v>
      </c>
      <c r="L2078" s="2" t="s">
        <v>70</v>
      </c>
      <c r="M2078" s="3"/>
    </row>
    <row r="2079" spans="1:13" x14ac:dyDescent="0.3">
      <c r="A2079" s="2">
        <v>2078</v>
      </c>
      <c r="B2079" s="2" t="s">
        <v>5741</v>
      </c>
      <c r="C2079" s="2" t="s">
        <v>5742</v>
      </c>
      <c r="D2079" s="2" t="s">
        <v>15</v>
      </c>
      <c r="E2079" s="2" t="s">
        <v>16</v>
      </c>
      <c r="F2079" s="2">
        <v>90</v>
      </c>
      <c r="G2079" s="2" t="s">
        <v>5743</v>
      </c>
      <c r="H2079" s="2" t="s">
        <v>591</v>
      </c>
      <c r="I2079" s="2" t="s">
        <v>32</v>
      </c>
      <c r="J2079" s="3">
        <v>44692</v>
      </c>
      <c r="K2079" s="2">
        <v>81</v>
      </c>
      <c r="L2079" s="2" t="s">
        <v>159</v>
      </c>
      <c r="M2079" s="3"/>
    </row>
    <row r="2080" spans="1:13" x14ac:dyDescent="0.3">
      <c r="A2080" s="2">
        <v>2079</v>
      </c>
      <c r="B2080" s="2" t="s">
        <v>5468</v>
      </c>
      <c r="C2080" s="2" t="s">
        <v>300</v>
      </c>
      <c r="D2080" s="2" t="s">
        <v>28</v>
      </c>
      <c r="E2080" s="2" t="s">
        <v>29</v>
      </c>
      <c r="F2080" s="2">
        <v>90</v>
      </c>
      <c r="G2080" s="2" t="s">
        <v>5744</v>
      </c>
      <c r="H2080" s="2" t="s">
        <v>1830</v>
      </c>
      <c r="I2080" s="2" t="s">
        <v>32</v>
      </c>
      <c r="J2080" s="3">
        <v>44353</v>
      </c>
      <c r="K2080" s="2">
        <v>28</v>
      </c>
      <c r="L2080" s="2" t="s">
        <v>54</v>
      </c>
      <c r="M2080" s="3"/>
    </row>
    <row r="2081" spans="1:13" x14ac:dyDescent="0.3">
      <c r="A2081" s="2">
        <v>2080</v>
      </c>
      <c r="B2081" s="2" t="s">
        <v>232</v>
      </c>
      <c r="C2081" s="2" t="s">
        <v>2135</v>
      </c>
      <c r="D2081" s="2" t="s">
        <v>28</v>
      </c>
      <c r="E2081" s="2" t="s">
        <v>29</v>
      </c>
      <c r="F2081" s="2">
        <v>30</v>
      </c>
      <c r="G2081" s="2" t="s">
        <v>5745</v>
      </c>
      <c r="H2081" s="2" t="s">
        <v>2577</v>
      </c>
      <c r="I2081" s="2" t="s">
        <v>645</v>
      </c>
      <c r="J2081" s="3">
        <v>44257</v>
      </c>
      <c r="K2081" s="2">
        <v>24</v>
      </c>
      <c r="L2081" s="2" t="s">
        <v>101</v>
      </c>
      <c r="M2081" s="3"/>
    </row>
    <row r="2082" spans="1:13" x14ac:dyDescent="0.3">
      <c r="A2082" s="2">
        <v>2081</v>
      </c>
      <c r="B2082" s="2" t="s">
        <v>5746</v>
      </c>
      <c r="C2082" s="2" t="s">
        <v>528</v>
      </c>
      <c r="D2082" s="2" t="s">
        <v>41</v>
      </c>
      <c r="E2082" s="2" t="s">
        <v>16</v>
      </c>
      <c r="F2082" s="2">
        <v>60</v>
      </c>
      <c r="G2082" s="2" t="s">
        <v>5747</v>
      </c>
      <c r="H2082" s="2" t="s">
        <v>5748</v>
      </c>
      <c r="I2082" s="2" t="s">
        <v>124</v>
      </c>
      <c r="J2082" s="3">
        <v>44143</v>
      </c>
      <c r="K2082" s="2">
        <v>20</v>
      </c>
      <c r="L2082" s="2" t="s">
        <v>54</v>
      </c>
      <c r="M2082" s="3"/>
    </row>
    <row r="2083" spans="1:13" x14ac:dyDescent="0.3">
      <c r="A2083" s="2">
        <v>2082</v>
      </c>
      <c r="B2083" s="2" t="s">
        <v>5749</v>
      </c>
      <c r="C2083" s="2" t="s">
        <v>1503</v>
      </c>
      <c r="D2083" s="2" t="s">
        <v>28</v>
      </c>
      <c r="E2083" s="2" t="s">
        <v>29</v>
      </c>
      <c r="F2083" s="2">
        <v>90</v>
      </c>
      <c r="G2083" s="2" t="s">
        <v>5750</v>
      </c>
      <c r="H2083" s="2" t="s">
        <v>5751</v>
      </c>
      <c r="I2083" s="2" t="s">
        <v>178</v>
      </c>
      <c r="J2083" s="3">
        <v>44260</v>
      </c>
      <c r="K2083" s="2">
        <v>12</v>
      </c>
      <c r="L2083" s="2" t="s">
        <v>101</v>
      </c>
      <c r="M2083" s="3"/>
    </row>
    <row r="2084" spans="1:13" x14ac:dyDescent="0.3">
      <c r="A2084" s="2">
        <v>2083</v>
      </c>
      <c r="B2084" s="2" t="s">
        <v>5752</v>
      </c>
      <c r="C2084" s="2" t="s">
        <v>2797</v>
      </c>
      <c r="D2084" s="2" t="s">
        <v>15</v>
      </c>
      <c r="E2084" s="2" t="s">
        <v>16</v>
      </c>
      <c r="F2084" s="2">
        <v>30</v>
      </c>
      <c r="G2084" s="2" t="s">
        <v>5753</v>
      </c>
      <c r="H2084" s="2" t="s">
        <v>814</v>
      </c>
      <c r="I2084" s="2" t="s">
        <v>124</v>
      </c>
      <c r="J2084" s="3">
        <v>43832</v>
      </c>
      <c r="K2084" s="2">
        <v>12</v>
      </c>
      <c r="L2084" s="2" t="s">
        <v>101</v>
      </c>
      <c r="M2084" s="3"/>
    </row>
    <row r="2085" spans="1:13" x14ac:dyDescent="0.3">
      <c r="A2085" s="2">
        <v>2084</v>
      </c>
      <c r="B2085" s="2" t="s">
        <v>2300</v>
      </c>
      <c r="C2085" s="2" t="s">
        <v>2269</v>
      </c>
      <c r="D2085" s="2" t="s">
        <v>28</v>
      </c>
      <c r="E2085" s="2" t="s">
        <v>29</v>
      </c>
      <c r="F2085" s="2">
        <v>90</v>
      </c>
      <c r="G2085" s="2" t="s">
        <v>5754</v>
      </c>
      <c r="H2085" s="2" t="s">
        <v>3100</v>
      </c>
      <c r="I2085" s="2" t="s">
        <v>32</v>
      </c>
      <c r="J2085" s="3">
        <v>44488</v>
      </c>
      <c r="K2085" s="2">
        <v>30</v>
      </c>
      <c r="L2085" s="2" t="s">
        <v>64</v>
      </c>
      <c r="M2085" s="3"/>
    </row>
    <row r="2086" spans="1:13" x14ac:dyDescent="0.3">
      <c r="A2086" s="2">
        <v>2085</v>
      </c>
      <c r="B2086" s="2" t="s">
        <v>5755</v>
      </c>
      <c r="C2086" s="2" t="s">
        <v>5756</v>
      </c>
      <c r="D2086" s="2" t="s">
        <v>28</v>
      </c>
      <c r="E2086" s="2" t="s">
        <v>29</v>
      </c>
      <c r="F2086" s="2">
        <v>90</v>
      </c>
      <c r="G2086" s="2" t="s">
        <v>5757</v>
      </c>
      <c r="H2086" s="2" t="s">
        <v>5758</v>
      </c>
      <c r="I2086" s="2" t="s">
        <v>32</v>
      </c>
      <c r="J2086" s="3">
        <v>44733</v>
      </c>
      <c r="K2086" s="2">
        <v>65</v>
      </c>
      <c r="L2086" s="2" t="s">
        <v>33</v>
      </c>
      <c r="M2086" s="3"/>
    </row>
    <row r="2087" spans="1:13" x14ac:dyDescent="0.3">
      <c r="A2087" s="2">
        <v>2086</v>
      </c>
      <c r="B2087" s="2" t="s">
        <v>5759</v>
      </c>
      <c r="C2087" s="2" t="s">
        <v>1776</v>
      </c>
      <c r="D2087" s="2" t="s">
        <v>51</v>
      </c>
      <c r="E2087" s="2" t="s">
        <v>16</v>
      </c>
      <c r="F2087" s="2">
        <v>90</v>
      </c>
      <c r="G2087" s="2" t="s">
        <v>5760</v>
      </c>
      <c r="H2087" s="2" t="s">
        <v>1336</v>
      </c>
      <c r="I2087" s="2" t="s">
        <v>129</v>
      </c>
      <c r="J2087" s="3">
        <v>44548</v>
      </c>
      <c r="K2087" s="2">
        <v>78</v>
      </c>
      <c r="L2087" s="2" t="s">
        <v>159</v>
      </c>
      <c r="M2087" s="3"/>
    </row>
    <row r="2088" spans="1:13" x14ac:dyDescent="0.3">
      <c r="A2088" s="2">
        <v>2087</v>
      </c>
      <c r="B2088" s="2" t="s">
        <v>4965</v>
      </c>
      <c r="C2088" s="2" t="s">
        <v>3884</v>
      </c>
      <c r="D2088" s="2" t="s">
        <v>28</v>
      </c>
      <c r="E2088" s="2" t="s">
        <v>29</v>
      </c>
      <c r="F2088" s="2">
        <v>60</v>
      </c>
      <c r="G2088" s="2" t="s">
        <v>5761</v>
      </c>
      <c r="H2088" s="2" t="s">
        <v>2240</v>
      </c>
      <c r="I2088" s="2" t="s">
        <v>32</v>
      </c>
      <c r="J2088" s="3">
        <v>44304</v>
      </c>
      <c r="K2088" s="2">
        <v>25</v>
      </c>
      <c r="L2088" s="2" t="s">
        <v>70</v>
      </c>
      <c r="M2088" s="3"/>
    </row>
    <row r="2089" spans="1:13" x14ac:dyDescent="0.3">
      <c r="A2089" s="2">
        <v>2088</v>
      </c>
      <c r="B2089" s="2" t="s">
        <v>5762</v>
      </c>
      <c r="C2089" s="2" t="s">
        <v>2575</v>
      </c>
      <c r="D2089" s="2" t="s">
        <v>41</v>
      </c>
      <c r="E2089" s="2" t="s">
        <v>16</v>
      </c>
      <c r="F2089" s="2">
        <v>30</v>
      </c>
      <c r="G2089" s="2" t="s">
        <v>5763</v>
      </c>
      <c r="H2089" s="2" t="s">
        <v>1284</v>
      </c>
      <c r="I2089" s="2" t="s">
        <v>32</v>
      </c>
      <c r="J2089" s="3">
        <v>44710</v>
      </c>
      <c r="K2089" s="2">
        <v>50</v>
      </c>
      <c r="L2089" s="2" t="s">
        <v>45</v>
      </c>
      <c r="M2089" s="3"/>
    </row>
    <row r="2090" spans="1:13" x14ac:dyDescent="0.3">
      <c r="A2090" s="2">
        <v>2089</v>
      </c>
      <c r="B2090" s="2" t="s">
        <v>488</v>
      </c>
      <c r="C2090" s="2" t="s">
        <v>5764</v>
      </c>
      <c r="D2090" s="2" t="s">
        <v>51</v>
      </c>
      <c r="E2090" s="2" t="s">
        <v>16</v>
      </c>
      <c r="F2090" s="2">
        <v>60</v>
      </c>
      <c r="G2090" s="2" t="s">
        <v>5765</v>
      </c>
      <c r="H2090" s="2" t="s">
        <v>619</v>
      </c>
      <c r="I2090" s="2" t="s">
        <v>187</v>
      </c>
      <c r="J2090" s="3">
        <v>43954</v>
      </c>
      <c r="K2090" s="2">
        <v>18</v>
      </c>
      <c r="L2090" s="2" t="s">
        <v>20</v>
      </c>
      <c r="M2090" s="3"/>
    </row>
    <row r="2091" spans="1:13" x14ac:dyDescent="0.3">
      <c r="A2091" s="2">
        <v>2090</v>
      </c>
      <c r="B2091" s="2" t="s">
        <v>5766</v>
      </c>
      <c r="C2091" s="2" t="s">
        <v>1630</v>
      </c>
      <c r="D2091" s="2" t="s">
        <v>28</v>
      </c>
      <c r="E2091" s="2" t="s">
        <v>29</v>
      </c>
      <c r="F2091" s="2">
        <v>90</v>
      </c>
      <c r="G2091" s="2" t="s">
        <v>5765</v>
      </c>
      <c r="H2091" s="2" t="s">
        <v>1206</v>
      </c>
      <c r="I2091" s="2" t="s">
        <v>294</v>
      </c>
      <c r="J2091" s="3">
        <v>44121</v>
      </c>
      <c r="K2091" s="2">
        <v>44</v>
      </c>
      <c r="L2091" s="2" t="s">
        <v>70</v>
      </c>
      <c r="M2091" s="3"/>
    </row>
    <row r="2092" spans="1:13" x14ac:dyDescent="0.3">
      <c r="A2092" s="2">
        <v>2091</v>
      </c>
      <c r="B2092" s="2" t="s">
        <v>1439</v>
      </c>
      <c r="C2092" s="2" t="s">
        <v>676</v>
      </c>
      <c r="D2092" s="2" t="s">
        <v>15</v>
      </c>
      <c r="E2092" s="2" t="s">
        <v>16</v>
      </c>
      <c r="F2092" s="2">
        <v>30</v>
      </c>
      <c r="G2092" s="2" t="s">
        <v>5767</v>
      </c>
      <c r="H2092" s="2" t="s">
        <v>3702</v>
      </c>
      <c r="I2092" s="2" t="s">
        <v>25</v>
      </c>
      <c r="J2092" s="3">
        <v>44680</v>
      </c>
      <c r="K2092" s="2">
        <v>11</v>
      </c>
      <c r="L2092" s="2" t="s">
        <v>33</v>
      </c>
      <c r="M2092" s="3"/>
    </row>
    <row r="2093" spans="1:13" x14ac:dyDescent="0.3">
      <c r="A2093" s="2">
        <v>2092</v>
      </c>
      <c r="B2093" s="2" t="s">
        <v>5768</v>
      </c>
      <c r="C2093" s="2" t="s">
        <v>5590</v>
      </c>
      <c r="D2093" s="2" t="s">
        <v>51</v>
      </c>
      <c r="E2093" s="2" t="s">
        <v>16</v>
      </c>
      <c r="F2093" s="2">
        <v>30</v>
      </c>
      <c r="G2093" s="2" t="s">
        <v>5769</v>
      </c>
      <c r="H2093" s="2" t="s">
        <v>3670</v>
      </c>
      <c r="I2093" s="2" t="s">
        <v>3671</v>
      </c>
      <c r="J2093" s="3">
        <v>44160</v>
      </c>
      <c r="K2093" s="2">
        <v>31</v>
      </c>
      <c r="L2093" s="2" t="s">
        <v>64</v>
      </c>
      <c r="M2093" s="3"/>
    </row>
    <row r="2094" spans="1:13" x14ac:dyDescent="0.3">
      <c r="A2094" s="2">
        <v>2093</v>
      </c>
      <c r="B2094" s="2" t="s">
        <v>2823</v>
      </c>
      <c r="C2094" s="2" t="s">
        <v>2203</v>
      </c>
      <c r="D2094" s="2" t="s">
        <v>28</v>
      </c>
      <c r="E2094" s="2" t="s">
        <v>29</v>
      </c>
      <c r="F2094" s="2">
        <v>30</v>
      </c>
      <c r="G2094" s="2" t="s">
        <v>5770</v>
      </c>
      <c r="H2094" s="2" t="s">
        <v>690</v>
      </c>
      <c r="I2094" s="2" t="s">
        <v>32</v>
      </c>
      <c r="J2094" s="3">
        <v>44069</v>
      </c>
      <c r="K2094" s="2">
        <v>57</v>
      </c>
      <c r="L2094" s="2" t="s">
        <v>64</v>
      </c>
      <c r="M2094" s="3"/>
    </row>
    <row r="2095" spans="1:13" x14ac:dyDescent="0.3">
      <c r="A2095" s="2">
        <v>2094</v>
      </c>
      <c r="B2095" s="2" t="s">
        <v>656</v>
      </c>
      <c r="C2095" s="2" t="s">
        <v>4287</v>
      </c>
      <c r="D2095" s="2" t="s">
        <v>15</v>
      </c>
      <c r="E2095" s="2" t="s">
        <v>16</v>
      </c>
      <c r="F2095" s="2">
        <v>30</v>
      </c>
      <c r="G2095" s="2" t="s">
        <v>5771</v>
      </c>
      <c r="H2095" s="2" t="s">
        <v>1125</v>
      </c>
      <c r="I2095" s="2" t="s">
        <v>1126</v>
      </c>
      <c r="J2095" s="3">
        <v>44409</v>
      </c>
      <c r="K2095" s="2">
        <v>16</v>
      </c>
      <c r="L2095" s="2" t="s">
        <v>33</v>
      </c>
      <c r="M2095" s="3"/>
    </row>
    <row r="2096" spans="1:13" x14ac:dyDescent="0.3">
      <c r="A2096" s="2">
        <v>2095</v>
      </c>
      <c r="B2096" s="2" t="s">
        <v>5772</v>
      </c>
      <c r="C2096" s="2" t="s">
        <v>2210</v>
      </c>
      <c r="D2096" s="2" t="s">
        <v>28</v>
      </c>
      <c r="E2096" s="2" t="s">
        <v>29</v>
      </c>
      <c r="F2096" s="2">
        <v>90</v>
      </c>
      <c r="G2096" s="2" t="s">
        <v>5773</v>
      </c>
      <c r="H2096" s="2" t="s">
        <v>138</v>
      </c>
      <c r="I2096" s="2" t="s">
        <v>294</v>
      </c>
      <c r="J2096" s="3">
        <v>44306</v>
      </c>
      <c r="K2096" s="2">
        <v>79</v>
      </c>
      <c r="L2096" s="2" t="s">
        <v>80</v>
      </c>
      <c r="M2096" s="3"/>
    </row>
    <row r="2097" spans="1:13" x14ac:dyDescent="0.3">
      <c r="A2097" s="2">
        <v>2096</v>
      </c>
      <c r="B2097" s="2" t="s">
        <v>5774</v>
      </c>
      <c r="C2097" s="2" t="s">
        <v>5077</v>
      </c>
      <c r="D2097" s="2" t="s">
        <v>15</v>
      </c>
      <c r="E2097" s="2" t="s">
        <v>16</v>
      </c>
      <c r="F2097" s="2">
        <v>30</v>
      </c>
      <c r="G2097" s="2" t="s">
        <v>5775</v>
      </c>
      <c r="H2097" s="2" t="s">
        <v>386</v>
      </c>
      <c r="I2097" s="2" t="s">
        <v>294</v>
      </c>
      <c r="J2097" s="3">
        <v>44218</v>
      </c>
      <c r="K2097" s="2">
        <v>60</v>
      </c>
      <c r="L2097" s="2" t="s">
        <v>159</v>
      </c>
      <c r="M2097" s="3"/>
    </row>
    <row r="2098" spans="1:13" x14ac:dyDescent="0.3">
      <c r="A2098" s="2">
        <v>2097</v>
      </c>
      <c r="B2098" s="2" t="s">
        <v>237</v>
      </c>
      <c r="C2098" s="2" t="s">
        <v>3286</v>
      </c>
      <c r="D2098" s="2" t="s">
        <v>28</v>
      </c>
      <c r="E2098" s="2" t="s">
        <v>29</v>
      </c>
      <c r="F2098" s="2">
        <v>60</v>
      </c>
      <c r="G2098" s="2" t="s">
        <v>5776</v>
      </c>
      <c r="H2098" s="2" t="s">
        <v>1530</v>
      </c>
      <c r="I2098" s="2" t="s">
        <v>32</v>
      </c>
      <c r="J2098" s="3">
        <v>44071</v>
      </c>
      <c r="K2098" s="2">
        <v>53</v>
      </c>
      <c r="L2098" s="2" t="s">
        <v>70</v>
      </c>
      <c r="M2098" s="3"/>
    </row>
    <row r="2099" spans="1:13" x14ac:dyDescent="0.3">
      <c r="A2099" s="2">
        <v>2098</v>
      </c>
      <c r="B2099" s="2" t="s">
        <v>2063</v>
      </c>
      <c r="C2099" s="2" t="s">
        <v>4512</v>
      </c>
      <c r="D2099" s="2" t="s">
        <v>28</v>
      </c>
      <c r="E2099" s="2" t="s">
        <v>29</v>
      </c>
      <c r="F2099" s="2">
        <v>30</v>
      </c>
      <c r="G2099" s="2" t="s">
        <v>5777</v>
      </c>
      <c r="H2099" s="2" t="s">
        <v>5778</v>
      </c>
      <c r="I2099" s="2" t="s">
        <v>1311</v>
      </c>
      <c r="J2099" s="3">
        <v>44162</v>
      </c>
      <c r="K2099" s="2">
        <v>68</v>
      </c>
      <c r="L2099" s="2" t="s">
        <v>70</v>
      </c>
      <c r="M2099" s="3"/>
    </row>
    <row r="2100" spans="1:13" x14ac:dyDescent="0.3">
      <c r="A2100" s="2">
        <v>2099</v>
      </c>
      <c r="B2100" s="2" t="s">
        <v>3787</v>
      </c>
      <c r="C2100" s="2" t="s">
        <v>4269</v>
      </c>
      <c r="D2100" s="2" t="s">
        <v>28</v>
      </c>
      <c r="E2100" s="2" t="s">
        <v>29</v>
      </c>
      <c r="F2100" s="2">
        <v>60</v>
      </c>
      <c r="G2100" s="2" t="s">
        <v>5777</v>
      </c>
      <c r="H2100" s="2" t="s">
        <v>3169</v>
      </c>
      <c r="I2100" s="2" t="s">
        <v>110</v>
      </c>
      <c r="J2100" s="3">
        <v>44106</v>
      </c>
      <c r="K2100" s="2">
        <v>41</v>
      </c>
      <c r="L2100" s="2" t="s">
        <v>64</v>
      </c>
      <c r="M2100" s="3"/>
    </row>
    <row r="2101" spans="1:13" x14ac:dyDescent="0.3">
      <c r="A2101" s="2">
        <v>2100</v>
      </c>
      <c r="B2101" s="2" t="s">
        <v>5612</v>
      </c>
      <c r="C2101" s="2" t="s">
        <v>1286</v>
      </c>
      <c r="D2101" s="2" t="s">
        <v>15</v>
      </c>
      <c r="E2101" s="2" t="s">
        <v>16</v>
      </c>
      <c r="F2101" s="2">
        <v>60</v>
      </c>
      <c r="G2101" s="2" t="s">
        <v>5779</v>
      </c>
      <c r="H2101" s="2" t="s">
        <v>1060</v>
      </c>
      <c r="I2101" s="2" t="s">
        <v>38</v>
      </c>
      <c r="J2101" s="3">
        <v>44143</v>
      </c>
      <c r="K2101" s="2">
        <v>2</v>
      </c>
      <c r="L2101" s="2" t="s">
        <v>45</v>
      </c>
      <c r="M2101" s="3"/>
    </row>
    <row r="2102" spans="1:13" x14ac:dyDescent="0.3">
      <c r="A2102" s="2">
        <v>2101</v>
      </c>
      <c r="B2102" s="2" t="s">
        <v>2788</v>
      </c>
      <c r="C2102" s="2" t="s">
        <v>3120</v>
      </c>
      <c r="D2102" s="2" t="s">
        <v>28</v>
      </c>
      <c r="E2102" s="2" t="s">
        <v>29</v>
      </c>
      <c r="F2102" s="2">
        <v>30</v>
      </c>
      <c r="G2102" s="2" t="s">
        <v>5780</v>
      </c>
      <c r="H2102" s="2" t="s">
        <v>5781</v>
      </c>
      <c r="I2102" s="2" t="s">
        <v>32</v>
      </c>
      <c r="J2102" s="3">
        <v>44579</v>
      </c>
      <c r="K2102" s="2">
        <v>24</v>
      </c>
      <c r="L2102" s="2" t="s">
        <v>54</v>
      </c>
      <c r="M2102" s="3"/>
    </row>
    <row r="2103" spans="1:13" x14ac:dyDescent="0.3">
      <c r="A2103" s="2">
        <v>2102</v>
      </c>
      <c r="B2103" s="2" t="s">
        <v>5782</v>
      </c>
      <c r="C2103" s="2" t="s">
        <v>991</v>
      </c>
      <c r="D2103" s="2" t="s">
        <v>51</v>
      </c>
      <c r="E2103" s="2" t="s">
        <v>16</v>
      </c>
      <c r="F2103" s="2">
        <v>90</v>
      </c>
      <c r="G2103" s="2" t="s">
        <v>5783</v>
      </c>
      <c r="H2103" s="2" t="s">
        <v>4527</v>
      </c>
      <c r="I2103" s="2" t="s">
        <v>32</v>
      </c>
      <c r="J2103" s="3">
        <v>44611</v>
      </c>
      <c r="K2103" s="2">
        <v>43</v>
      </c>
      <c r="L2103" s="2" t="s">
        <v>54</v>
      </c>
      <c r="M2103" s="3"/>
    </row>
    <row r="2104" spans="1:13" x14ac:dyDescent="0.3">
      <c r="A2104" s="2">
        <v>2103</v>
      </c>
      <c r="B2104" s="2" t="s">
        <v>2319</v>
      </c>
      <c r="C2104" s="2" t="s">
        <v>152</v>
      </c>
      <c r="D2104" s="2" t="s">
        <v>28</v>
      </c>
      <c r="E2104" s="2" t="s">
        <v>29</v>
      </c>
      <c r="F2104" s="2">
        <v>60</v>
      </c>
      <c r="G2104" s="2" t="s">
        <v>5784</v>
      </c>
      <c r="H2104" s="2" t="s">
        <v>827</v>
      </c>
      <c r="I2104" s="2" t="s">
        <v>124</v>
      </c>
      <c r="J2104" s="3">
        <v>44348</v>
      </c>
      <c r="K2104" s="2">
        <v>70</v>
      </c>
      <c r="L2104" s="2" t="s">
        <v>159</v>
      </c>
      <c r="M2104" s="3"/>
    </row>
    <row r="2105" spans="1:13" x14ac:dyDescent="0.3">
      <c r="A2105" s="2">
        <v>2104</v>
      </c>
      <c r="B2105" s="2" t="s">
        <v>5785</v>
      </c>
      <c r="C2105" s="2" t="s">
        <v>5786</v>
      </c>
      <c r="D2105" s="2" t="s">
        <v>28</v>
      </c>
      <c r="E2105" s="2" t="s">
        <v>29</v>
      </c>
      <c r="F2105" s="2">
        <v>30</v>
      </c>
      <c r="G2105" s="2" t="s">
        <v>5787</v>
      </c>
      <c r="H2105" s="2" t="s">
        <v>2141</v>
      </c>
      <c r="I2105" s="2" t="s">
        <v>1078</v>
      </c>
      <c r="J2105" s="3">
        <v>44112</v>
      </c>
      <c r="K2105" s="2">
        <v>19</v>
      </c>
      <c r="L2105" s="2" t="s">
        <v>64</v>
      </c>
      <c r="M2105" s="3"/>
    </row>
    <row r="2106" spans="1:13" x14ac:dyDescent="0.3">
      <c r="A2106" s="2">
        <v>2105</v>
      </c>
      <c r="B2106" s="2" t="s">
        <v>4452</v>
      </c>
      <c r="C2106" s="2" t="s">
        <v>5788</v>
      </c>
      <c r="D2106" s="2" t="s">
        <v>28</v>
      </c>
      <c r="E2106" s="2" t="s">
        <v>29</v>
      </c>
      <c r="F2106" s="2">
        <v>30</v>
      </c>
      <c r="G2106" s="2" t="s">
        <v>5787</v>
      </c>
      <c r="H2106" s="2" t="s">
        <v>2056</v>
      </c>
      <c r="I2106" s="2" t="s">
        <v>32</v>
      </c>
      <c r="J2106" s="3">
        <v>44307</v>
      </c>
      <c r="K2106" s="2">
        <v>87</v>
      </c>
      <c r="L2106" s="2" t="s">
        <v>101</v>
      </c>
      <c r="M2106" s="3"/>
    </row>
    <row r="2107" spans="1:13" x14ac:dyDescent="0.3">
      <c r="A2107" s="2">
        <v>2106</v>
      </c>
      <c r="B2107" s="2" t="s">
        <v>4452</v>
      </c>
      <c r="C2107" s="2" t="s">
        <v>5788</v>
      </c>
      <c r="D2107" s="2" t="s">
        <v>28</v>
      </c>
      <c r="E2107" s="2" t="s">
        <v>29</v>
      </c>
      <c r="F2107" s="2">
        <v>30</v>
      </c>
      <c r="G2107" s="2" t="s">
        <v>5787</v>
      </c>
      <c r="H2107" s="2" t="s">
        <v>2056</v>
      </c>
      <c r="I2107" s="2" t="s">
        <v>32</v>
      </c>
      <c r="J2107" s="3">
        <v>44307</v>
      </c>
      <c r="K2107" s="2">
        <v>87</v>
      </c>
      <c r="L2107" s="2" t="s">
        <v>101</v>
      </c>
      <c r="M2107" s="3"/>
    </row>
    <row r="2108" spans="1:13" x14ac:dyDescent="0.3">
      <c r="A2108" s="2">
        <v>2107</v>
      </c>
      <c r="B2108" s="2" t="s">
        <v>5789</v>
      </c>
      <c r="C2108" s="2" t="s">
        <v>4059</v>
      </c>
      <c r="D2108" s="2" t="s">
        <v>28</v>
      </c>
      <c r="E2108" s="2" t="s">
        <v>29</v>
      </c>
      <c r="F2108" s="2">
        <v>30</v>
      </c>
      <c r="G2108" s="2" t="s">
        <v>5790</v>
      </c>
      <c r="H2108" s="2" t="s">
        <v>4056</v>
      </c>
      <c r="I2108" s="2" t="s">
        <v>124</v>
      </c>
      <c r="J2108" s="3">
        <v>44755</v>
      </c>
      <c r="K2108" s="2">
        <v>48</v>
      </c>
      <c r="L2108" s="2" t="s">
        <v>20</v>
      </c>
      <c r="M2108" s="3"/>
    </row>
    <row r="2109" spans="1:13" x14ac:dyDescent="0.3">
      <c r="A2109" s="2">
        <v>2108</v>
      </c>
      <c r="B2109" s="2" t="s">
        <v>3335</v>
      </c>
      <c r="C2109" s="2" t="s">
        <v>4558</v>
      </c>
      <c r="D2109" s="2" t="s">
        <v>28</v>
      </c>
      <c r="E2109" s="2" t="s">
        <v>29</v>
      </c>
      <c r="F2109" s="2">
        <v>60</v>
      </c>
      <c r="G2109" s="2" t="s">
        <v>5790</v>
      </c>
      <c r="H2109" s="2" t="s">
        <v>1391</v>
      </c>
      <c r="I2109" s="2" t="s">
        <v>32</v>
      </c>
      <c r="J2109" s="3">
        <v>44201</v>
      </c>
      <c r="K2109" s="2">
        <v>40</v>
      </c>
      <c r="L2109" s="2" t="s">
        <v>64</v>
      </c>
      <c r="M2109" s="3"/>
    </row>
    <row r="2110" spans="1:13" x14ac:dyDescent="0.3">
      <c r="A2110" s="2">
        <v>2109</v>
      </c>
      <c r="B2110" s="2" t="s">
        <v>2384</v>
      </c>
      <c r="C2110" s="2" t="s">
        <v>844</v>
      </c>
      <c r="D2110" s="2" t="s">
        <v>28</v>
      </c>
      <c r="E2110" s="2" t="s">
        <v>29</v>
      </c>
      <c r="F2110" s="2">
        <v>90</v>
      </c>
      <c r="G2110" s="2" t="s">
        <v>5791</v>
      </c>
      <c r="H2110" s="2" t="s">
        <v>904</v>
      </c>
      <c r="I2110" s="2" t="s">
        <v>32</v>
      </c>
      <c r="J2110" s="3">
        <v>43858</v>
      </c>
      <c r="K2110" s="2">
        <v>33</v>
      </c>
      <c r="L2110" s="2" t="s">
        <v>80</v>
      </c>
      <c r="M2110" s="3"/>
    </row>
    <row r="2111" spans="1:13" x14ac:dyDescent="0.3">
      <c r="A2111" s="2">
        <v>2110</v>
      </c>
      <c r="B2111" s="2" t="s">
        <v>2384</v>
      </c>
      <c r="C2111" s="2" t="s">
        <v>844</v>
      </c>
      <c r="D2111" s="2" t="s">
        <v>28</v>
      </c>
      <c r="E2111" s="2" t="s">
        <v>29</v>
      </c>
      <c r="F2111" s="2">
        <v>90</v>
      </c>
      <c r="G2111" s="2" t="s">
        <v>5791</v>
      </c>
      <c r="H2111" s="2" t="s">
        <v>904</v>
      </c>
      <c r="I2111" s="2" t="s">
        <v>32</v>
      </c>
      <c r="J2111" s="3">
        <v>43858</v>
      </c>
      <c r="K2111" s="2">
        <v>33</v>
      </c>
      <c r="L2111" s="2" t="s">
        <v>80</v>
      </c>
      <c r="M2111" s="3"/>
    </row>
    <row r="2112" spans="1:13" x14ac:dyDescent="0.3">
      <c r="A2112" s="2">
        <v>2111</v>
      </c>
      <c r="B2112" s="2" t="s">
        <v>3684</v>
      </c>
      <c r="C2112" s="2" t="s">
        <v>5792</v>
      </c>
      <c r="D2112" s="2" t="s">
        <v>51</v>
      </c>
      <c r="E2112" s="2" t="s">
        <v>16</v>
      </c>
      <c r="F2112" s="2">
        <v>30</v>
      </c>
      <c r="G2112" s="2" t="s">
        <v>5793</v>
      </c>
      <c r="H2112" s="2" t="s">
        <v>5794</v>
      </c>
      <c r="I2112" s="2" t="s">
        <v>294</v>
      </c>
      <c r="J2112" s="3">
        <v>44087</v>
      </c>
      <c r="K2112" s="2">
        <v>33</v>
      </c>
      <c r="L2112" s="2" t="s">
        <v>45</v>
      </c>
      <c r="M2112" s="3"/>
    </row>
    <row r="2113" spans="1:13" x14ac:dyDescent="0.3">
      <c r="A2113" s="2">
        <v>2112</v>
      </c>
      <c r="B2113" s="2" t="s">
        <v>5795</v>
      </c>
      <c r="C2113" s="2" t="s">
        <v>879</v>
      </c>
      <c r="D2113" s="2" t="s">
        <v>41</v>
      </c>
      <c r="E2113" s="2" t="s">
        <v>16</v>
      </c>
      <c r="F2113" s="2">
        <v>60</v>
      </c>
      <c r="G2113" s="2" t="s">
        <v>5796</v>
      </c>
      <c r="H2113" s="2" t="s">
        <v>382</v>
      </c>
      <c r="I2113" s="2" t="s">
        <v>32</v>
      </c>
      <c r="J2113" s="3">
        <v>43869</v>
      </c>
      <c r="K2113" s="2">
        <v>72</v>
      </c>
      <c r="L2113" s="2" t="s">
        <v>64</v>
      </c>
      <c r="M2113" s="3"/>
    </row>
    <row r="2114" spans="1:13" x14ac:dyDescent="0.3">
      <c r="A2114" s="2">
        <v>2113</v>
      </c>
      <c r="B2114" s="2" t="s">
        <v>5797</v>
      </c>
      <c r="C2114" s="2" t="s">
        <v>1211</v>
      </c>
      <c r="D2114" s="2" t="s">
        <v>28</v>
      </c>
      <c r="E2114" s="2" t="s">
        <v>29</v>
      </c>
      <c r="F2114" s="2">
        <v>90</v>
      </c>
      <c r="G2114" s="2" t="s">
        <v>5798</v>
      </c>
      <c r="H2114" s="2" t="s">
        <v>4098</v>
      </c>
      <c r="I2114" s="2" t="s">
        <v>1889</v>
      </c>
      <c r="J2114" s="3">
        <v>44234</v>
      </c>
      <c r="K2114" s="2">
        <v>4</v>
      </c>
      <c r="L2114" s="2" t="s">
        <v>70</v>
      </c>
      <c r="M2114" s="3"/>
    </row>
    <row r="2115" spans="1:13" x14ac:dyDescent="0.3">
      <c r="A2115" s="2">
        <v>2114</v>
      </c>
      <c r="B2115" s="2" t="s">
        <v>5799</v>
      </c>
      <c r="C2115" s="2" t="s">
        <v>3556</v>
      </c>
      <c r="D2115" s="2" t="s">
        <v>15</v>
      </c>
      <c r="E2115" s="2" t="s">
        <v>16</v>
      </c>
      <c r="F2115" s="2">
        <v>60</v>
      </c>
      <c r="G2115" s="2" t="s">
        <v>5800</v>
      </c>
      <c r="H2115" s="2" t="s">
        <v>4669</v>
      </c>
      <c r="I2115" s="2" t="s">
        <v>187</v>
      </c>
      <c r="J2115" s="3">
        <v>44001</v>
      </c>
      <c r="K2115" s="2">
        <v>17</v>
      </c>
      <c r="L2115" s="2" t="s">
        <v>45</v>
      </c>
      <c r="M2115" s="3"/>
    </row>
    <row r="2116" spans="1:13" x14ac:dyDescent="0.3">
      <c r="A2116" s="2">
        <v>2115</v>
      </c>
      <c r="B2116" s="2" t="s">
        <v>5801</v>
      </c>
      <c r="C2116" s="2" t="s">
        <v>4786</v>
      </c>
      <c r="D2116" s="2" t="s">
        <v>51</v>
      </c>
      <c r="E2116" s="2" t="s">
        <v>16</v>
      </c>
      <c r="F2116" s="2">
        <v>30</v>
      </c>
      <c r="G2116" s="2" t="s">
        <v>5802</v>
      </c>
      <c r="H2116" s="2" t="s">
        <v>5803</v>
      </c>
      <c r="I2116" s="2" t="s">
        <v>294</v>
      </c>
      <c r="J2116" s="3">
        <v>44385</v>
      </c>
      <c r="K2116" s="2">
        <v>93</v>
      </c>
      <c r="L2116" s="2" t="s">
        <v>70</v>
      </c>
      <c r="M2116" s="3"/>
    </row>
    <row r="2117" spans="1:13" x14ac:dyDescent="0.3">
      <c r="A2117" s="2">
        <v>2116</v>
      </c>
      <c r="B2117" s="2" t="s">
        <v>5804</v>
      </c>
      <c r="C2117" s="2" t="s">
        <v>4376</v>
      </c>
      <c r="D2117" s="2" t="s">
        <v>51</v>
      </c>
      <c r="E2117" s="2" t="s">
        <v>16</v>
      </c>
      <c r="F2117" s="2">
        <v>30</v>
      </c>
      <c r="G2117" s="2" t="s">
        <v>5805</v>
      </c>
      <c r="H2117" s="2" t="s">
        <v>2230</v>
      </c>
      <c r="I2117" s="2" t="s">
        <v>32</v>
      </c>
      <c r="J2117" s="3">
        <v>43891</v>
      </c>
      <c r="K2117" s="2">
        <v>44</v>
      </c>
      <c r="L2117" s="2" t="s">
        <v>54</v>
      </c>
      <c r="M2117" s="3"/>
    </row>
    <row r="2118" spans="1:13" x14ac:dyDescent="0.3">
      <c r="A2118" s="2">
        <v>2117</v>
      </c>
      <c r="B2118" s="2" t="s">
        <v>1376</v>
      </c>
      <c r="C2118" s="2" t="s">
        <v>2581</v>
      </c>
      <c r="D2118" s="2" t="s">
        <v>92</v>
      </c>
      <c r="E2118" s="2" t="s">
        <v>29</v>
      </c>
      <c r="F2118" s="2">
        <v>60</v>
      </c>
      <c r="G2118" s="2" t="s">
        <v>5806</v>
      </c>
      <c r="H2118" s="2" t="s">
        <v>4552</v>
      </c>
      <c r="I2118" s="2" t="s">
        <v>38</v>
      </c>
      <c r="J2118" s="3">
        <v>44548</v>
      </c>
      <c r="K2118" s="2">
        <v>43</v>
      </c>
      <c r="L2118" s="2" t="s">
        <v>45</v>
      </c>
      <c r="M2118" s="3"/>
    </row>
    <row r="2119" spans="1:13" x14ac:dyDescent="0.3">
      <c r="A2119" s="2">
        <v>2118</v>
      </c>
      <c r="B2119" s="2" t="s">
        <v>3113</v>
      </c>
      <c r="C2119" s="2" t="s">
        <v>5807</v>
      </c>
      <c r="D2119" s="2" t="s">
        <v>41</v>
      </c>
      <c r="E2119" s="2" t="s">
        <v>16</v>
      </c>
      <c r="F2119" s="2">
        <v>30</v>
      </c>
      <c r="G2119" s="2" t="s">
        <v>5808</v>
      </c>
      <c r="H2119" s="2" t="s">
        <v>5214</v>
      </c>
      <c r="I2119" s="2" t="s">
        <v>95</v>
      </c>
      <c r="J2119" s="3">
        <v>44447</v>
      </c>
      <c r="K2119" s="2">
        <v>58</v>
      </c>
      <c r="L2119" s="2" t="s">
        <v>70</v>
      </c>
      <c r="M2119" s="3"/>
    </row>
    <row r="2120" spans="1:13" x14ac:dyDescent="0.3">
      <c r="A2120" s="2">
        <v>2119</v>
      </c>
      <c r="B2120" s="2" t="s">
        <v>5809</v>
      </c>
      <c r="C2120" s="2" t="s">
        <v>5370</v>
      </c>
      <c r="D2120" s="2" t="s">
        <v>15</v>
      </c>
      <c r="E2120" s="2" t="s">
        <v>16</v>
      </c>
      <c r="F2120" s="2">
        <v>30</v>
      </c>
      <c r="G2120" s="2" t="s">
        <v>5810</v>
      </c>
      <c r="H2120" s="2" t="s">
        <v>5811</v>
      </c>
      <c r="I2120" s="2" t="s">
        <v>294</v>
      </c>
      <c r="J2120" s="3">
        <v>44850</v>
      </c>
      <c r="K2120" s="2">
        <v>42</v>
      </c>
      <c r="L2120" s="2" t="s">
        <v>33</v>
      </c>
      <c r="M2120" s="3"/>
    </row>
    <row r="2121" spans="1:13" x14ac:dyDescent="0.3">
      <c r="A2121" s="2">
        <v>2120</v>
      </c>
      <c r="B2121" s="2" t="s">
        <v>5812</v>
      </c>
      <c r="C2121" s="2" t="s">
        <v>3258</v>
      </c>
      <c r="D2121" s="2" t="s">
        <v>51</v>
      </c>
      <c r="E2121" s="2" t="s">
        <v>16</v>
      </c>
      <c r="F2121" s="2">
        <v>60</v>
      </c>
      <c r="G2121" s="2" t="s">
        <v>5813</v>
      </c>
      <c r="H2121" s="2" t="s">
        <v>957</v>
      </c>
      <c r="I2121" s="2" t="s">
        <v>95</v>
      </c>
      <c r="J2121" s="3">
        <v>44213</v>
      </c>
      <c r="K2121" s="2">
        <v>90</v>
      </c>
      <c r="L2121" s="2" t="s">
        <v>33</v>
      </c>
      <c r="M2121" s="3"/>
    </row>
    <row r="2122" spans="1:13" x14ac:dyDescent="0.3">
      <c r="A2122" s="2">
        <v>2121</v>
      </c>
      <c r="B2122" s="2" t="s">
        <v>5814</v>
      </c>
      <c r="C2122" s="2" t="s">
        <v>4913</v>
      </c>
      <c r="D2122" s="2" t="s">
        <v>51</v>
      </c>
      <c r="E2122" s="2" t="s">
        <v>16</v>
      </c>
      <c r="F2122" s="2">
        <v>90</v>
      </c>
      <c r="G2122" s="2" t="s">
        <v>5815</v>
      </c>
      <c r="H2122" s="2" t="s">
        <v>1575</v>
      </c>
      <c r="I2122" s="2" t="s">
        <v>1576</v>
      </c>
      <c r="J2122" s="3">
        <v>44627</v>
      </c>
      <c r="K2122" s="2">
        <v>66</v>
      </c>
      <c r="L2122" s="2" t="s">
        <v>54</v>
      </c>
      <c r="M2122" s="3"/>
    </row>
    <row r="2123" spans="1:13" x14ac:dyDescent="0.3">
      <c r="A2123" s="2">
        <v>2122</v>
      </c>
      <c r="B2123" s="2" t="s">
        <v>5816</v>
      </c>
      <c r="C2123" s="2" t="s">
        <v>605</v>
      </c>
      <c r="D2123" s="2" t="s">
        <v>51</v>
      </c>
      <c r="E2123" s="2" t="s">
        <v>16</v>
      </c>
      <c r="F2123" s="2">
        <v>30</v>
      </c>
      <c r="G2123" s="2" t="s">
        <v>5817</v>
      </c>
      <c r="H2123" s="2" t="s">
        <v>1893</v>
      </c>
      <c r="I2123" s="2" t="s">
        <v>294</v>
      </c>
      <c r="J2123" s="3">
        <v>44923</v>
      </c>
      <c r="K2123" s="2">
        <v>50</v>
      </c>
      <c r="L2123" s="2" t="s">
        <v>39</v>
      </c>
      <c r="M2123" s="3"/>
    </row>
    <row r="2124" spans="1:13" x14ac:dyDescent="0.3">
      <c r="A2124" s="2">
        <v>2123</v>
      </c>
      <c r="B2124" s="2" t="s">
        <v>2808</v>
      </c>
      <c r="C2124" s="2" t="s">
        <v>3413</v>
      </c>
      <c r="D2124" s="2" t="s">
        <v>15</v>
      </c>
      <c r="E2124" s="2" t="s">
        <v>16</v>
      </c>
      <c r="F2124" s="2">
        <v>30</v>
      </c>
      <c r="G2124" s="2" t="s">
        <v>5818</v>
      </c>
      <c r="H2124" s="2" t="s">
        <v>5819</v>
      </c>
      <c r="I2124" s="2" t="s">
        <v>5820</v>
      </c>
      <c r="J2124" s="3">
        <v>43834</v>
      </c>
      <c r="K2124" s="2">
        <v>13</v>
      </c>
      <c r="L2124" s="2" t="s">
        <v>101</v>
      </c>
      <c r="M2124" s="3"/>
    </row>
    <row r="2125" spans="1:13" x14ac:dyDescent="0.3">
      <c r="A2125" s="2">
        <v>2124</v>
      </c>
      <c r="B2125" s="2" t="s">
        <v>3704</v>
      </c>
      <c r="C2125" s="2" t="s">
        <v>5764</v>
      </c>
      <c r="D2125" s="2" t="s">
        <v>51</v>
      </c>
      <c r="E2125" s="2" t="s">
        <v>5821</v>
      </c>
      <c r="F2125" s="2">
        <v>30</v>
      </c>
      <c r="G2125" s="2" t="s">
        <v>5822</v>
      </c>
      <c r="H2125" s="2" t="s">
        <v>5823</v>
      </c>
      <c r="I2125" s="2" t="s">
        <v>110</v>
      </c>
      <c r="J2125" s="3">
        <v>44865</v>
      </c>
      <c r="K2125" s="2">
        <v>102</v>
      </c>
      <c r="L2125" s="2" t="s">
        <v>39</v>
      </c>
      <c r="M2125" s="3"/>
    </row>
    <row r="2126" spans="1:13" x14ac:dyDescent="0.3">
      <c r="A2126" s="2">
        <v>2125</v>
      </c>
      <c r="B2126" s="2" t="s">
        <v>4218</v>
      </c>
      <c r="C2126" s="2" t="s">
        <v>5824</v>
      </c>
      <c r="D2126" s="2" t="s">
        <v>28</v>
      </c>
      <c r="E2126" s="2" t="s">
        <v>29</v>
      </c>
      <c r="F2126" s="2">
        <v>90</v>
      </c>
      <c r="G2126" s="2" t="s">
        <v>5825</v>
      </c>
      <c r="H2126" s="2" t="s">
        <v>5826</v>
      </c>
      <c r="I2126" s="2" t="s">
        <v>32</v>
      </c>
      <c r="J2126" s="3">
        <v>44801</v>
      </c>
      <c r="K2126" s="2">
        <v>38</v>
      </c>
      <c r="L2126" s="2" t="s">
        <v>20</v>
      </c>
      <c r="M2126" s="3"/>
    </row>
    <row r="2127" spans="1:13" x14ac:dyDescent="0.3">
      <c r="A2127" s="2">
        <v>2126</v>
      </c>
      <c r="B2127" s="2" t="s">
        <v>5827</v>
      </c>
      <c r="C2127" s="2" t="s">
        <v>4727</v>
      </c>
      <c r="D2127" s="2" t="s">
        <v>41</v>
      </c>
      <c r="E2127" s="2" t="s">
        <v>16</v>
      </c>
      <c r="F2127" s="2">
        <v>60</v>
      </c>
      <c r="G2127" s="2" t="s">
        <v>5828</v>
      </c>
      <c r="H2127" s="2" t="s">
        <v>607</v>
      </c>
      <c r="I2127" s="2" t="s">
        <v>32</v>
      </c>
      <c r="J2127" s="3">
        <v>44004</v>
      </c>
      <c r="K2127" s="2">
        <v>70</v>
      </c>
      <c r="L2127" s="2" t="s">
        <v>64</v>
      </c>
      <c r="M2127" s="3"/>
    </row>
    <row r="2128" spans="1:13" x14ac:dyDescent="0.3">
      <c r="A2128" s="2">
        <v>2127</v>
      </c>
      <c r="B2128" s="2" t="s">
        <v>2412</v>
      </c>
      <c r="C2128" s="2" t="s">
        <v>1793</v>
      </c>
      <c r="D2128" s="2" t="s">
        <v>28</v>
      </c>
      <c r="E2128" s="2" t="s">
        <v>29</v>
      </c>
      <c r="F2128" s="2">
        <v>90</v>
      </c>
      <c r="G2128" s="2" t="s">
        <v>5829</v>
      </c>
      <c r="H2128" s="2" t="s">
        <v>2288</v>
      </c>
      <c r="I2128" s="2" t="s">
        <v>32</v>
      </c>
      <c r="J2128" s="3">
        <v>44357</v>
      </c>
      <c r="K2128" s="2">
        <v>95</v>
      </c>
      <c r="L2128" s="2" t="s">
        <v>80</v>
      </c>
      <c r="M2128" s="3"/>
    </row>
    <row r="2129" spans="1:13" x14ac:dyDescent="0.3">
      <c r="A2129" s="2">
        <v>2128</v>
      </c>
      <c r="B2129" s="2" t="s">
        <v>1169</v>
      </c>
      <c r="C2129" s="2" t="s">
        <v>4722</v>
      </c>
      <c r="D2129" s="2" t="s">
        <v>28</v>
      </c>
      <c r="E2129" s="2" t="s">
        <v>29</v>
      </c>
      <c r="F2129" s="2">
        <v>30</v>
      </c>
      <c r="G2129" s="2" t="s">
        <v>5830</v>
      </c>
      <c r="H2129" s="2" t="s">
        <v>1643</v>
      </c>
      <c r="I2129" s="2" t="s">
        <v>124</v>
      </c>
      <c r="J2129" s="3">
        <v>44006</v>
      </c>
      <c r="K2129" s="2">
        <v>75</v>
      </c>
      <c r="L2129" s="2" t="s">
        <v>33</v>
      </c>
      <c r="M2129" s="3"/>
    </row>
    <row r="2130" spans="1:13" x14ac:dyDescent="0.3">
      <c r="A2130" s="2">
        <v>2129</v>
      </c>
      <c r="B2130" s="2" t="s">
        <v>5831</v>
      </c>
      <c r="C2130" s="2" t="s">
        <v>5832</v>
      </c>
      <c r="D2130" s="2" t="s">
        <v>15</v>
      </c>
      <c r="E2130" s="2" t="s">
        <v>16</v>
      </c>
      <c r="F2130" s="2">
        <v>60</v>
      </c>
      <c r="G2130" s="2" t="s">
        <v>5833</v>
      </c>
      <c r="H2130" s="2" t="s">
        <v>3238</v>
      </c>
      <c r="I2130" s="2" t="s">
        <v>173</v>
      </c>
      <c r="J2130" s="3">
        <v>44605</v>
      </c>
      <c r="K2130" s="2">
        <v>91</v>
      </c>
      <c r="L2130" s="2" t="s">
        <v>80</v>
      </c>
      <c r="M2130" s="3"/>
    </row>
    <row r="2131" spans="1:13" x14ac:dyDescent="0.3">
      <c r="A2131" s="2">
        <v>2130</v>
      </c>
      <c r="B2131" s="2" t="s">
        <v>5834</v>
      </c>
      <c r="C2131" s="2" t="s">
        <v>5835</v>
      </c>
      <c r="D2131" s="2" t="s">
        <v>51</v>
      </c>
      <c r="E2131" s="2" t="s">
        <v>16</v>
      </c>
      <c r="F2131" s="2">
        <v>90</v>
      </c>
      <c r="G2131" s="2" t="s">
        <v>5836</v>
      </c>
      <c r="H2131" s="2" t="s">
        <v>1378</v>
      </c>
      <c r="I2131" s="2" t="s">
        <v>32</v>
      </c>
      <c r="J2131" s="3">
        <v>44635</v>
      </c>
      <c r="K2131" s="2">
        <v>13</v>
      </c>
      <c r="L2131" s="2" t="s">
        <v>54</v>
      </c>
      <c r="M2131" s="3"/>
    </row>
    <row r="2132" spans="1:13" x14ac:dyDescent="0.3">
      <c r="A2132" s="2">
        <v>2131</v>
      </c>
      <c r="B2132" s="2" t="s">
        <v>5837</v>
      </c>
      <c r="C2132" s="2" t="s">
        <v>5838</v>
      </c>
      <c r="D2132" s="2" t="s">
        <v>28</v>
      </c>
      <c r="E2132" s="2" t="s">
        <v>29</v>
      </c>
      <c r="F2132" s="2">
        <v>60</v>
      </c>
      <c r="G2132" s="2" t="s">
        <v>5839</v>
      </c>
      <c r="H2132" s="2" t="s">
        <v>4111</v>
      </c>
      <c r="I2132" s="2" t="s">
        <v>95</v>
      </c>
      <c r="J2132" s="3">
        <v>43971</v>
      </c>
      <c r="K2132" s="2">
        <v>56</v>
      </c>
      <c r="L2132" s="2" t="s">
        <v>159</v>
      </c>
      <c r="M2132" s="3"/>
    </row>
    <row r="2133" spans="1:13" x14ac:dyDescent="0.3">
      <c r="A2133" s="2">
        <v>2132</v>
      </c>
      <c r="B2133" s="2" t="s">
        <v>5840</v>
      </c>
      <c r="C2133" s="2" t="s">
        <v>4026</v>
      </c>
      <c r="D2133" s="2" t="s">
        <v>51</v>
      </c>
      <c r="E2133" s="2" t="s">
        <v>16</v>
      </c>
      <c r="F2133" s="2">
        <v>60</v>
      </c>
      <c r="G2133" s="2" t="s">
        <v>5841</v>
      </c>
      <c r="H2133" s="2" t="s">
        <v>4739</v>
      </c>
      <c r="I2133" s="2" t="s">
        <v>59</v>
      </c>
      <c r="J2133" s="3">
        <v>44826</v>
      </c>
      <c r="K2133" s="2">
        <v>17</v>
      </c>
      <c r="L2133" s="2" t="s">
        <v>80</v>
      </c>
      <c r="M2133" s="3"/>
    </row>
    <row r="2134" spans="1:13" x14ac:dyDescent="0.3">
      <c r="A2134" s="2">
        <v>2133</v>
      </c>
      <c r="B2134" s="2" t="s">
        <v>1290</v>
      </c>
      <c r="C2134" s="2" t="s">
        <v>5417</v>
      </c>
      <c r="D2134" s="2" t="s">
        <v>15</v>
      </c>
      <c r="E2134" s="2" t="s">
        <v>16</v>
      </c>
      <c r="F2134" s="2">
        <v>60</v>
      </c>
      <c r="G2134" s="2" t="s">
        <v>5842</v>
      </c>
      <c r="H2134" s="2" t="s">
        <v>5843</v>
      </c>
      <c r="I2134" s="2" t="s">
        <v>25</v>
      </c>
      <c r="J2134" s="3">
        <v>43941</v>
      </c>
      <c r="K2134" s="2">
        <v>78</v>
      </c>
      <c r="L2134" s="2" t="s">
        <v>54</v>
      </c>
      <c r="M2134" s="3"/>
    </row>
    <row r="2135" spans="1:13" x14ac:dyDescent="0.3">
      <c r="A2135" s="2">
        <v>2134</v>
      </c>
      <c r="B2135" s="2" t="s">
        <v>5785</v>
      </c>
      <c r="C2135" s="2" t="s">
        <v>4135</v>
      </c>
      <c r="D2135" s="2" t="s">
        <v>28</v>
      </c>
      <c r="E2135" s="2" t="s">
        <v>29</v>
      </c>
      <c r="F2135" s="2">
        <v>90</v>
      </c>
      <c r="G2135" s="2" t="s">
        <v>5844</v>
      </c>
      <c r="H2135" s="2" t="s">
        <v>3495</v>
      </c>
      <c r="I2135" s="2" t="s">
        <v>1083</v>
      </c>
      <c r="J2135" s="3">
        <v>44253</v>
      </c>
      <c r="K2135" s="2">
        <v>21</v>
      </c>
      <c r="L2135" s="2" t="s">
        <v>159</v>
      </c>
      <c r="M2135" s="3"/>
    </row>
    <row r="2136" spans="1:13" x14ac:dyDescent="0.3">
      <c r="A2136" s="2">
        <v>2135</v>
      </c>
      <c r="B2136" s="2" t="s">
        <v>1375</v>
      </c>
      <c r="C2136" s="2" t="s">
        <v>485</v>
      </c>
      <c r="D2136" s="2" t="s">
        <v>28</v>
      </c>
      <c r="E2136" s="2" t="s">
        <v>29</v>
      </c>
      <c r="F2136" s="2">
        <v>60</v>
      </c>
      <c r="G2136" s="2" t="s">
        <v>5845</v>
      </c>
      <c r="H2136" s="2" t="s">
        <v>838</v>
      </c>
      <c r="I2136" s="2" t="s">
        <v>839</v>
      </c>
      <c r="J2136" s="3">
        <v>44829</v>
      </c>
      <c r="K2136" s="2">
        <v>70</v>
      </c>
      <c r="L2136" s="2" t="s">
        <v>80</v>
      </c>
      <c r="M2136" s="3"/>
    </row>
    <row r="2137" spans="1:13" x14ac:dyDescent="0.3">
      <c r="A2137" s="2">
        <v>2136</v>
      </c>
      <c r="B2137" s="2" t="s">
        <v>2477</v>
      </c>
      <c r="C2137" s="2" t="s">
        <v>4373</v>
      </c>
      <c r="D2137" s="2" t="s">
        <v>28</v>
      </c>
      <c r="E2137" s="2" t="s">
        <v>29</v>
      </c>
      <c r="F2137" s="2">
        <v>60</v>
      </c>
      <c r="G2137" s="2" t="s">
        <v>5846</v>
      </c>
      <c r="H2137" s="2" t="s">
        <v>2218</v>
      </c>
      <c r="I2137" s="2" t="s">
        <v>173</v>
      </c>
      <c r="J2137" s="3">
        <v>44175</v>
      </c>
      <c r="K2137" s="2">
        <v>30</v>
      </c>
      <c r="L2137" s="2" t="s">
        <v>45</v>
      </c>
      <c r="M2137" s="3"/>
    </row>
    <row r="2138" spans="1:13" x14ac:dyDescent="0.3">
      <c r="A2138" s="2">
        <v>2137</v>
      </c>
      <c r="B2138" s="2" t="s">
        <v>5847</v>
      </c>
      <c r="C2138" s="2" t="s">
        <v>1226</v>
      </c>
      <c r="D2138" s="2" t="s">
        <v>15</v>
      </c>
      <c r="E2138" s="2" t="s">
        <v>16</v>
      </c>
      <c r="F2138" s="2">
        <v>90</v>
      </c>
      <c r="G2138" s="2" t="s">
        <v>5848</v>
      </c>
      <c r="H2138" s="2" t="s">
        <v>2997</v>
      </c>
      <c r="I2138" s="2" t="s">
        <v>32</v>
      </c>
      <c r="J2138" s="3">
        <v>44886</v>
      </c>
      <c r="K2138" s="2">
        <v>26</v>
      </c>
      <c r="L2138" s="2" t="s">
        <v>101</v>
      </c>
      <c r="M2138" s="3"/>
    </row>
    <row r="2139" spans="1:13" x14ac:dyDescent="0.3">
      <c r="A2139" s="2">
        <v>2138</v>
      </c>
      <c r="B2139" s="2" t="s">
        <v>5849</v>
      </c>
      <c r="C2139" s="2" t="s">
        <v>5850</v>
      </c>
      <c r="D2139" s="2" t="s">
        <v>28</v>
      </c>
      <c r="E2139" s="2" t="s">
        <v>29</v>
      </c>
      <c r="F2139" s="2">
        <v>60</v>
      </c>
      <c r="G2139" s="2" t="s">
        <v>5851</v>
      </c>
      <c r="H2139" s="2" t="s">
        <v>440</v>
      </c>
      <c r="I2139" s="2" t="s">
        <v>25</v>
      </c>
      <c r="J2139" s="3">
        <v>44474</v>
      </c>
      <c r="K2139" s="2">
        <v>72</v>
      </c>
      <c r="L2139" s="2" t="s">
        <v>159</v>
      </c>
      <c r="M2139" s="3"/>
    </row>
    <row r="2140" spans="1:13" x14ac:dyDescent="0.3">
      <c r="A2140" s="2">
        <v>2139</v>
      </c>
      <c r="B2140" s="2" t="s">
        <v>5852</v>
      </c>
      <c r="C2140" s="2" t="s">
        <v>5853</v>
      </c>
      <c r="D2140" s="2" t="s">
        <v>51</v>
      </c>
      <c r="E2140" s="2" t="s">
        <v>16</v>
      </c>
      <c r="F2140" s="2">
        <v>90</v>
      </c>
      <c r="G2140" s="2" t="s">
        <v>5854</v>
      </c>
      <c r="H2140" s="2" t="s">
        <v>4158</v>
      </c>
      <c r="I2140" s="2" t="s">
        <v>32</v>
      </c>
      <c r="J2140" s="3">
        <v>44615</v>
      </c>
      <c r="K2140" s="2">
        <v>84</v>
      </c>
      <c r="L2140" s="2" t="s">
        <v>101</v>
      </c>
      <c r="M2140" s="3"/>
    </row>
    <row r="2141" spans="1:13" x14ac:dyDescent="0.3">
      <c r="A2141" s="2">
        <v>2140</v>
      </c>
      <c r="B2141" s="2" t="s">
        <v>2647</v>
      </c>
      <c r="C2141" s="2" t="s">
        <v>680</v>
      </c>
      <c r="D2141" s="2" t="s">
        <v>51</v>
      </c>
      <c r="E2141" s="2" t="s">
        <v>16</v>
      </c>
      <c r="F2141" s="2">
        <v>60</v>
      </c>
      <c r="G2141" s="2" t="s">
        <v>5855</v>
      </c>
      <c r="H2141" s="2" t="s">
        <v>4451</v>
      </c>
      <c r="I2141" s="2" t="s">
        <v>32</v>
      </c>
      <c r="J2141" s="3">
        <v>44206</v>
      </c>
      <c r="K2141" s="2">
        <v>76</v>
      </c>
      <c r="L2141" s="2" t="s">
        <v>64</v>
      </c>
      <c r="M2141" s="3"/>
    </row>
    <row r="2142" spans="1:13" x14ac:dyDescent="0.3">
      <c r="A2142" s="2">
        <v>2141</v>
      </c>
      <c r="B2142" s="2" t="s">
        <v>5856</v>
      </c>
      <c r="C2142" s="2" t="s">
        <v>5389</v>
      </c>
      <c r="D2142" s="2" t="s">
        <v>117</v>
      </c>
      <c r="E2142" s="2" t="s">
        <v>29</v>
      </c>
      <c r="F2142" s="2">
        <v>30</v>
      </c>
      <c r="G2142" s="2" t="s">
        <v>5857</v>
      </c>
      <c r="H2142" s="2" t="s">
        <v>4889</v>
      </c>
      <c r="I2142" s="2" t="s">
        <v>110</v>
      </c>
      <c r="J2142" s="3">
        <v>44653</v>
      </c>
      <c r="K2142" s="2">
        <v>10</v>
      </c>
      <c r="L2142" s="2" t="s">
        <v>54</v>
      </c>
      <c r="M2142" s="3"/>
    </row>
    <row r="2143" spans="1:13" x14ac:dyDescent="0.3">
      <c r="A2143" s="2">
        <v>2142</v>
      </c>
      <c r="B2143" s="2" t="s">
        <v>4399</v>
      </c>
      <c r="C2143" s="2" t="s">
        <v>5858</v>
      </c>
      <c r="D2143" s="2" t="s">
        <v>15</v>
      </c>
      <c r="E2143" s="2" t="s">
        <v>16</v>
      </c>
      <c r="F2143" s="2">
        <v>90</v>
      </c>
      <c r="G2143" s="2" t="s">
        <v>5859</v>
      </c>
      <c r="H2143" s="2" t="s">
        <v>338</v>
      </c>
      <c r="I2143" s="2" t="s">
        <v>173</v>
      </c>
      <c r="J2143" s="3">
        <v>43908</v>
      </c>
      <c r="K2143" s="2">
        <v>45</v>
      </c>
      <c r="L2143" s="2" t="s">
        <v>45</v>
      </c>
      <c r="M2143" s="3"/>
    </row>
    <row r="2144" spans="1:13" x14ac:dyDescent="0.3">
      <c r="A2144" s="2">
        <v>2143</v>
      </c>
      <c r="B2144" s="2" t="s">
        <v>1068</v>
      </c>
      <c r="C2144" s="2" t="s">
        <v>3662</v>
      </c>
      <c r="D2144" s="2" t="s">
        <v>51</v>
      </c>
      <c r="E2144" s="2" t="s">
        <v>16</v>
      </c>
      <c r="F2144" s="2">
        <v>30</v>
      </c>
      <c r="G2144" s="2" t="s">
        <v>5860</v>
      </c>
      <c r="H2144" s="2" t="s">
        <v>1253</v>
      </c>
      <c r="I2144" s="2" t="s">
        <v>32</v>
      </c>
      <c r="J2144" s="3">
        <v>44234</v>
      </c>
      <c r="K2144" s="2">
        <v>83</v>
      </c>
      <c r="L2144" s="2" t="s">
        <v>159</v>
      </c>
      <c r="M2144" s="3"/>
    </row>
    <row r="2145" spans="1:13" x14ac:dyDescent="0.3">
      <c r="A2145" s="2">
        <v>2144</v>
      </c>
      <c r="B2145" s="2" t="s">
        <v>5861</v>
      </c>
      <c r="C2145" s="2" t="s">
        <v>5862</v>
      </c>
      <c r="D2145" s="2" t="s">
        <v>51</v>
      </c>
      <c r="E2145" s="2" t="s">
        <v>16</v>
      </c>
      <c r="F2145" s="2">
        <v>30</v>
      </c>
      <c r="G2145" s="2" t="s">
        <v>5863</v>
      </c>
      <c r="H2145" s="2" t="s">
        <v>4389</v>
      </c>
      <c r="I2145" s="2" t="s">
        <v>32</v>
      </c>
      <c r="J2145" s="3">
        <v>43976</v>
      </c>
      <c r="K2145" s="2">
        <v>11</v>
      </c>
      <c r="L2145" s="2" t="s">
        <v>101</v>
      </c>
      <c r="M2145" s="3"/>
    </row>
    <row r="2146" spans="1:13" x14ac:dyDescent="0.3">
      <c r="A2146" s="2">
        <v>2145</v>
      </c>
      <c r="B2146" s="2" t="s">
        <v>5864</v>
      </c>
      <c r="C2146" s="2" t="s">
        <v>3385</v>
      </c>
      <c r="D2146" s="2" t="s">
        <v>28</v>
      </c>
      <c r="E2146" s="2" t="s">
        <v>29</v>
      </c>
      <c r="F2146" s="2">
        <v>60</v>
      </c>
      <c r="G2146" s="2" t="s">
        <v>5865</v>
      </c>
      <c r="H2146" s="2" t="s">
        <v>224</v>
      </c>
      <c r="I2146" s="2" t="s">
        <v>124</v>
      </c>
      <c r="J2146" s="3">
        <v>44020</v>
      </c>
      <c r="K2146" s="2">
        <v>39</v>
      </c>
      <c r="L2146" s="2" t="s">
        <v>80</v>
      </c>
      <c r="M2146" s="3"/>
    </row>
    <row r="2147" spans="1:13" x14ac:dyDescent="0.3">
      <c r="A2147" s="2">
        <v>2146</v>
      </c>
      <c r="B2147" s="2" t="s">
        <v>4023</v>
      </c>
      <c r="C2147" s="2" t="s">
        <v>2640</v>
      </c>
      <c r="D2147" s="2" t="s">
        <v>28</v>
      </c>
      <c r="E2147" s="2" t="s">
        <v>29</v>
      </c>
      <c r="F2147" s="2">
        <v>30</v>
      </c>
      <c r="G2147" s="2" t="s">
        <v>5866</v>
      </c>
      <c r="H2147" s="2" t="s">
        <v>5867</v>
      </c>
      <c r="I2147" s="2" t="s">
        <v>32</v>
      </c>
      <c r="J2147" s="3">
        <v>44261</v>
      </c>
      <c r="K2147" s="2">
        <v>27</v>
      </c>
      <c r="L2147" s="2" t="s">
        <v>54</v>
      </c>
      <c r="M2147" s="3"/>
    </row>
    <row r="2148" spans="1:13" x14ac:dyDescent="0.3">
      <c r="A2148" s="2">
        <v>2147</v>
      </c>
      <c r="B2148" s="2" t="s">
        <v>3740</v>
      </c>
      <c r="C2148" s="2" t="s">
        <v>5868</v>
      </c>
      <c r="D2148" s="2" t="s">
        <v>15</v>
      </c>
      <c r="E2148" s="2" t="s">
        <v>16</v>
      </c>
      <c r="F2148" s="2">
        <v>90</v>
      </c>
      <c r="G2148" s="2" t="s">
        <v>5869</v>
      </c>
      <c r="H2148" s="2" t="s">
        <v>5826</v>
      </c>
      <c r="I2148" s="2" t="s">
        <v>32</v>
      </c>
      <c r="J2148" s="3">
        <v>44329</v>
      </c>
      <c r="K2148" s="2">
        <v>7</v>
      </c>
      <c r="L2148" s="2" t="s">
        <v>159</v>
      </c>
      <c r="M2148" s="3"/>
    </row>
    <row r="2149" spans="1:13" x14ac:dyDescent="0.3">
      <c r="A2149" s="2">
        <v>2148</v>
      </c>
      <c r="B2149" s="2" t="s">
        <v>5785</v>
      </c>
      <c r="C2149" s="2" t="s">
        <v>5870</v>
      </c>
      <c r="D2149" s="2" t="s">
        <v>28</v>
      </c>
      <c r="E2149" s="2" t="s">
        <v>29</v>
      </c>
      <c r="F2149" s="2">
        <v>30</v>
      </c>
      <c r="G2149" s="2" t="s">
        <v>5871</v>
      </c>
      <c r="H2149" s="2" t="s">
        <v>2284</v>
      </c>
      <c r="I2149" s="2" t="s">
        <v>32</v>
      </c>
      <c r="J2149" s="3">
        <v>44297</v>
      </c>
      <c r="K2149" s="2">
        <v>78</v>
      </c>
      <c r="L2149" s="2" t="s">
        <v>54</v>
      </c>
      <c r="M2149" s="3"/>
    </row>
    <row r="2150" spans="1:13" x14ac:dyDescent="0.3">
      <c r="A2150" s="2">
        <v>2149</v>
      </c>
      <c r="B2150" s="2" t="s">
        <v>2251</v>
      </c>
      <c r="C2150" s="2" t="s">
        <v>870</v>
      </c>
      <c r="D2150" s="2" t="s">
        <v>28</v>
      </c>
      <c r="E2150" s="2" t="s">
        <v>29</v>
      </c>
      <c r="F2150" s="2">
        <v>60</v>
      </c>
      <c r="G2150" s="2" t="s">
        <v>5872</v>
      </c>
      <c r="H2150" s="2" t="s">
        <v>3724</v>
      </c>
      <c r="I2150" s="2" t="s">
        <v>1078</v>
      </c>
      <c r="J2150" s="3">
        <v>44752</v>
      </c>
      <c r="K2150" s="2">
        <v>36</v>
      </c>
      <c r="L2150" s="2" t="s">
        <v>80</v>
      </c>
      <c r="M2150" s="3"/>
    </row>
    <row r="2151" spans="1:13" x14ac:dyDescent="0.3">
      <c r="A2151" s="2">
        <v>2150</v>
      </c>
      <c r="B2151" s="2" t="s">
        <v>1226</v>
      </c>
      <c r="C2151" s="2" t="s">
        <v>2207</v>
      </c>
      <c r="D2151" s="2" t="s">
        <v>51</v>
      </c>
      <c r="E2151" s="2" t="s">
        <v>16</v>
      </c>
      <c r="F2151" s="2">
        <v>60</v>
      </c>
      <c r="G2151" s="2" t="s">
        <v>5873</v>
      </c>
      <c r="H2151" s="2" t="s">
        <v>5874</v>
      </c>
      <c r="I2151" s="2" t="s">
        <v>839</v>
      </c>
      <c r="J2151" s="3">
        <v>43953</v>
      </c>
      <c r="K2151" s="2">
        <v>63</v>
      </c>
      <c r="L2151" s="2" t="s">
        <v>39</v>
      </c>
      <c r="M2151" s="3"/>
    </row>
    <row r="2152" spans="1:13" x14ac:dyDescent="0.3">
      <c r="A2152" s="2">
        <v>2151</v>
      </c>
      <c r="B2152" s="2" t="s">
        <v>5875</v>
      </c>
      <c r="C2152" s="2" t="s">
        <v>5876</v>
      </c>
      <c r="D2152" s="2" t="s">
        <v>51</v>
      </c>
      <c r="E2152" s="2" t="s">
        <v>16</v>
      </c>
      <c r="F2152" s="2">
        <v>60</v>
      </c>
      <c r="G2152" s="2" t="s">
        <v>5877</v>
      </c>
      <c r="H2152" s="2" t="s">
        <v>4508</v>
      </c>
      <c r="I2152" s="2" t="s">
        <v>32</v>
      </c>
      <c r="J2152" s="3">
        <v>44046</v>
      </c>
      <c r="K2152" s="2">
        <v>37</v>
      </c>
      <c r="L2152" s="2" t="s">
        <v>20</v>
      </c>
      <c r="M2152" s="3"/>
    </row>
    <row r="2153" spans="1:13" x14ac:dyDescent="0.3">
      <c r="A2153" s="2">
        <v>2152</v>
      </c>
      <c r="B2153" s="2" t="s">
        <v>5878</v>
      </c>
      <c r="C2153" s="2" t="s">
        <v>2071</v>
      </c>
      <c r="D2153" s="2" t="s">
        <v>28</v>
      </c>
      <c r="E2153" s="2" t="s">
        <v>29</v>
      </c>
      <c r="F2153" s="2">
        <v>90</v>
      </c>
      <c r="G2153" s="2" t="s">
        <v>5879</v>
      </c>
      <c r="H2153" s="2" t="s">
        <v>1845</v>
      </c>
      <c r="I2153" s="2" t="s">
        <v>294</v>
      </c>
      <c r="J2153" s="3">
        <v>44752</v>
      </c>
      <c r="K2153" s="2">
        <v>82</v>
      </c>
      <c r="L2153" s="2" t="s">
        <v>101</v>
      </c>
      <c r="M2153" s="3"/>
    </row>
    <row r="2154" spans="1:13" x14ac:dyDescent="0.3">
      <c r="A2154" s="2">
        <v>2153</v>
      </c>
      <c r="B2154" s="2" t="s">
        <v>2549</v>
      </c>
      <c r="C2154" s="2" t="s">
        <v>4399</v>
      </c>
      <c r="D2154" s="2" t="s">
        <v>51</v>
      </c>
      <c r="E2154" s="2" t="s">
        <v>16</v>
      </c>
      <c r="F2154" s="2">
        <v>30</v>
      </c>
      <c r="G2154" s="2" t="s">
        <v>5880</v>
      </c>
      <c r="H2154" s="2" t="s">
        <v>4807</v>
      </c>
      <c r="I2154" s="2" t="s">
        <v>32</v>
      </c>
      <c r="J2154" s="3">
        <v>44665</v>
      </c>
      <c r="K2154" s="2">
        <v>61</v>
      </c>
      <c r="L2154" s="2" t="s">
        <v>54</v>
      </c>
      <c r="M2154" s="3"/>
    </row>
    <row r="2155" spans="1:13" x14ac:dyDescent="0.3">
      <c r="A2155" s="2">
        <v>2154</v>
      </c>
      <c r="B2155" s="2" t="s">
        <v>1982</v>
      </c>
      <c r="C2155" s="2" t="s">
        <v>2434</v>
      </c>
      <c r="D2155" s="2" t="s">
        <v>28</v>
      </c>
      <c r="E2155" s="2" t="s">
        <v>29</v>
      </c>
      <c r="F2155" s="2">
        <v>90</v>
      </c>
      <c r="G2155" s="2" t="s">
        <v>5881</v>
      </c>
      <c r="H2155" s="2" t="s">
        <v>5882</v>
      </c>
      <c r="I2155" s="2" t="s">
        <v>32</v>
      </c>
      <c r="J2155" s="3">
        <v>44740</v>
      </c>
      <c r="K2155" s="2">
        <v>36</v>
      </c>
      <c r="L2155" s="2" t="s">
        <v>64</v>
      </c>
      <c r="M2155" s="3"/>
    </row>
    <row r="2156" spans="1:13" x14ac:dyDescent="0.3">
      <c r="A2156" s="2">
        <v>2155</v>
      </c>
      <c r="B2156" s="2" t="s">
        <v>3262</v>
      </c>
      <c r="C2156" s="2" t="s">
        <v>5883</v>
      </c>
      <c r="D2156" s="2" t="s">
        <v>15</v>
      </c>
      <c r="E2156" s="2" t="s">
        <v>16</v>
      </c>
      <c r="F2156" s="2">
        <v>90</v>
      </c>
      <c r="G2156" s="2" t="s">
        <v>5884</v>
      </c>
      <c r="H2156" s="2" t="s">
        <v>436</v>
      </c>
      <c r="I2156" s="2" t="s">
        <v>32</v>
      </c>
      <c r="J2156" s="3">
        <v>44855</v>
      </c>
      <c r="K2156" s="2">
        <v>13</v>
      </c>
      <c r="L2156" s="2" t="s">
        <v>159</v>
      </c>
      <c r="M2156" s="3"/>
    </row>
    <row r="2157" spans="1:13" x14ac:dyDescent="0.3">
      <c r="A2157" s="2">
        <v>2156</v>
      </c>
      <c r="B2157" s="2" t="s">
        <v>778</v>
      </c>
      <c r="C2157" s="2" t="s">
        <v>1607</v>
      </c>
      <c r="D2157" s="2" t="s">
        <v>28</v>
      </c>
      <c r="E2157" s="2" t="s">
        <v>29</v>
      </c>
      <c r="F2157" s="2">
        <v>90</v>
      </c>
      <c r="G2157" s="2" t="s">
        <v>5885</v>
      </c>
      <c r="H2157" s="2" t="s">
        <v>5886</v>
      </c>
      <c r="I2157" s="2" t="s">
        <v>187</v>
      </c>
      <c r="J2157" s="3">
        <v>44837</v>
      </c>
      <c r="K2157" s="2">
        <v>92</v>
      </c>
      <c r="L2157" s="2" t="s">
        <v>45</v>
      </c>
      <c r="M2157" s="3"/>
    </row>
    <row r="2158" spans="1:13" x14ac:dyDescent="0.3">
      <c r="A2158" s="2">
        <v>2157</v>
      </c>
      <c r="B2158" s="2" t="s">
        <v>5421</v>
      </c>
      <c r="C2158" s="2" t="s">
        <v>1219</v>
      </c>
      <c r="D2158" s="2" t="s">
        <v>28</v>
      </c>
      <c r="E2158" s="2" t="s">
        <v>29</v>
      </c>
      <c r="F2158" s="2">
        <v>90</v>
      </c>
      <c r="G2158" s="2" t="s">
        <v>5885</v>
      </c>
      <c r="H2158" s="2" t="s">
        <v>3984</v>
      </c>
      <c r="I2158" s="2" t="s">
        <v>32</v>
      </c>
      <c r="J2158" s="3">
        <v>44394</v>
      </c>
      <c r="K2158" s="2">
        <v>78</v>
      </c>
      <c r="L2158" s="2" t="s">
        <v>80</v>
      </c>
      <c r="M2158" s="3"/>
    </row>
    <row r="2159" spans="1:13" x14ac:dyDescent="0.3">
      <c r="A2159" s="2">
        <v>2158</v>
      </c>
      <c r="B2159" s="2" t="s">
        <v>5887</v>
      </c>
      <c r="C2159" s="2" t="s">
        <v>4251</v>
      </c>
      <c r="D2159" s="2" t="s">
        <v>28</v>
      </c>
      <c r="E2159" s="2" t="s">
        <v>29</v>
      </c>
      <c r="F2159" s="2">
        <v>30</v>
      </c>
      <c r="G2159" s="2" t="s">
        <v>5888</v>
      </c>
      <c r="H2159" s="2" t="s">
        <v>1674</v>
      </c>
      <c r="I2159" s="2" t="s">
        <v>25</v>
      </c>
      <c r="J2159" s="3">
        <v>44319</v>
      </c>
      <c r="K2159" s="2">
        <v>20</v>
      </c>
      <c r="L2159" s="2" t="s">
        <v>64</v>
      </c>
      <c r="M2159" s="3"/>
    </row>
    <row r="2160" spans="1:13" x14ac:dyDescent="0.3">
      <c r="A2160" s="2">
        <v>2159</v>
      </c>
      <c r="B2160" s="2" t="s">
        <v>5644</v>
      </c>
      <c r="C2160" s="2" t="s">
        <v>2524</v>
      </c>
      <c r="D2160" s="2" t="s">
        <v>28</v>
      </c>
      <c r="E2160" s="2" t="s">
        <v>29</v>
      </c>
      <c r="F2160" s="2">
        <v>60</v>
      </c>
      <c r="G2160" s="2" t="s">
        <v>5889</v>
      </c>
      <c r="H2160" s="2" t="s">
        <v>2267</v>
      </c>
      <c r="I2160" s="2" t="s">
        <v>124</v>
      </c>
      <c r="J2160" s="3">
        <v>44168</v>
      </c>
      <c r="K2160" s="2">
        <v>17</v>
      </c>
      <c r="L2160" s="2" t="s">
        <v>33</v>
      </c>
      <c r="M2160" s="3"/>
    </row>
    <row r="2161" spans="1:13" x14ac:dyDescent="0.3">
      <c r="A2161" s="2">
        <v>2160</v>
      </c>
      <c r="B2161" s="2" t="s">
        <v>5890</v>
      </c>
      <c r="C2161" s="2" t="s">
        <v>5891</v>
      </c>
      <c r="D2161" s="2" t="s">
        <v>15</v>
      </c>
      <c r="E2161" s="2" t="s">
        <v>16</v>
      </c>
      <c r="F2161" s="2">
        <v>60</v>
      </c>
      <c r="G2161" s="2" t="s">
        <v>5892</v>
      </c>
      <c r="H2161" s="2" t="s">
        <v>322</v>
      </c>
      <c r="I2161" s="2" t="s">
        <v>32</v>
      </c>
      <c r="J2161" s="3">
        <v>44724</v>
      </c>
      <c r="K2161" s="2">
        <v>31</v>
      </c>
      <c r="L2161" s="2" t="s">
        <v>20</v>
      </c>
      <c r="M2161" s="3"/>
    </row>
    <row r="2162" spans="1:13" x14ac:dyDescent="0.3">
      <c r="A2162" s="2">
        <v>2161</v>
      </c>
      <c r="B2162" s="2" t="s">
        <v>102</v>
      </c>
      <c r="C2162" s="2" t="s">
        <v>5893</v>
      </c>
      <c r="D2162" s="2" t="s">
        <v>51</v>
      </c>
      <c r="E2162" s="2" t="s">
        <v>16</v>
      </c>
      <c r="F2162" s="2">
        <v>30</v>
      </c>
      <c r="G2162" s="2" t="s">
        <v>5894</v>
      </c>
      <c r="H2162" s="2" t="s">
        <v>5895</v>
      </c>
      <c r="I2162" s="2" t="s">
        <v>32</v>
      </c>
      <c r="J2162" s="3">
        <v>44680</v>
      </c>
      <c r="K2162" s="2">
        <v>31</v>
      </c>
      <c r="L2162" s="2" t="s">
        <v>70</v>
      </c>
      <c r="M2162" s="3"/>
    </row>
    <row r="2163" spans="1:13" x14ac:dyDescent="0.3">
      <c r="A2163" s="2">
        <v>2162</v>
      </c>
      <c r="B2163" s="2" t="s">
        <v>986</v>
      </c>
      <c r="C2163" s="2" t="s">
        <v>4548</v>
      </c>
      <c r="D2163" s="2" t="s">
        <v>28</v>
      </c>
      <c r="E2163" s="2" t="s">
        <v>29</v>
      </c>
      <c r="F2163" s="2">
        <v>90</v>
      </c>
      <c r="G2163" s="2" t="s">
        <v>5896</v>
      </c>
      <c r="H2163" s="2" t="s">
        <v>4958</v>
      </c>
      <c r="I2163" s="2" t="s">
        <v>95</v>
      </c>
      <c r="J2163" s="3">
        <v>44060</v>
      </c>
      <c r="K2163" s="2">
        <v>45</v>
      </c>
      <c r="L2163" s="2" t="s">
        <v>39</v>
      </c>
      <c r="M2163" s="3"/>
    </row>
    <row r="2164" spans="1:13" x14ac:dyDescent="0.3">
      <c r="A2164" s="2">
        <v>2163</v>
      </c>
      <c r="B2164" s="2" t="s">
        <v>657</v>
      </c>
      <c r="C2164" s="2" t="s">
        <v>1023</v>
      </c>
      <c r="D2164" s="2" t="s">
        <v>28</v>
      </c>
      <c r="E2164" s="2" t="s">
        <v>29</v>
      </c>
      <c r="F2164" s="2">
        <v>60</v>
      </c>
      <c r="G2164" s="2" t="s">
        <v>5897</v>
      </c>
      <c r="H2164" s="2" t="s">
        <v>3987</v>
      </c>
      <c r="I2164" s="2" t="s">
        <v>554</v>
      </c>
      <c r="J2164" s="3">
        <v>44737</v>
      </c>
      <c r="K2164" s="2">
        <v>39</v>
      </c>
      <c r="L2164" s="2" t="s">
        <v>80</v>
      </c>
      <c r="M2164" s="3"/>
    </row>
    <row r="2165" spans="1:13" x14ac:dyDescent="0.3">
      <c r="A2165" s="2">
        <v>2164</v>
      </c>
      <c r="B2165" s="2" t="s">
        <v>1058</v>
      </c>
      <c r="C2165" s="2" t="s">
        <v>4792</v>
      </c>
      <c r="D2165" s="2" t="s">
        <v>28</v>
      </c>
      <c r="E2165" s="2" t="s">
        <v>29</v>
      </c>
      <c r="F2165" s="2">
        <v>90</v>
      </c>
      <c r="G2165" s="2" t="s">
        <v>5898</v>
      </c>
      <c r="H2165" s="2" t="s">
        <v>1276</v>
      </c>
      <c r="I2165" s="2" t="s">
        <v>32</v>
      </c>
      <c r="J2165" s="3">
        <v>44461</v>
      </c>
      <c r="K2165" s="2">
        <v>2</v>
      </c>
      <c r="L2165" s="2" t="s">
        <v>101</v>
      </c>
      <c r="M2165" s="3"/>
    </row>
    <row r="2166" spans="1:13" x14ac:dyDescent="0.3">
      <c r="A2166" s="2">
        <v>2165</v>
      </c>
      <c r="B2166" s="2" t="s">
        <v>979</v>
      </c>
      <c r="C2166" s="2" t="s">
        <v>1521</v>
      </c>
      <c r="D2166" s="2" t="s">
        <v>28</v>
      </c>
      <c r="E2166" s="2" t="s">
        <v>29</v>
      </c>
      <c r="F2166" s="2">
        <v>30</v>
      </c>
      <c r="G2166" s="2" t="s">
        <v>5899</v>
      </c>
      <c r="H2166" s="2" t="s">
        <v>3206</v>
      </c>
      <c r="I2166" s="2" t="s">
        <v>1199</v>
      </c>
      <c r="J2166" s="3">
        <v>44256</v>
      </c>
      <c r="K2166" s="2">
        <v>34</v>
      </c>
      <c r="L2166" s="2" t="s">
        <v>80</v>
      </c>
      <c r="M2166" s="3"/>
    </row>
    <row r="2167" spans="1:13" x14ac:dyDescent="0.3">
      <c r="A2167" s="2">
        <v>2166</v>
      </c>
      <c r="B2167" s="2" t="s">
        <v>5900</v>
      </c>
      <c r="C2167" s="2" t="s">
        <v>22</v>
      </c>
      <c r="D2167" s="2" t="s">
        <v>28</v>
      </c>
      <c r="E2167" s="2" t="s">
        <v>29</v>
      </c>
      <c r="F2167" s="2">
        <v>60</v>
      </c>
      <c r="G2167" s="2" t="s">
        <v>5899</v>
      </c>
      <c r="H2167" s="2" t="s">
        <v>1444</v>
      </c>
      <c r="I2167" s="2" t="s">
        <v>1199</v>
      </c>
      <c r="J2167" s="3">
        <v>44589</v>
      </c>
      <c r="K2167" s="2">
        <v>91</v>
      </c>
      <c r="L2167" s="2" t="s">
        <v>54</v>
      </c>
      <c r="M2167" s="3"/>
    </row>
    <row r="2168" spans="1:13" x14ac:dyDescent="0.3">
      <c r="A2168" s="2">
        <v>2167</v>
      </c>
      <c r="B2168" s="2" t="s">
        <v>1695</v>
      </c>
      <c r="C2168" s="2" t="s">
        <v>987</v>
      </c>
      <c r="D2168" s="2" t="s">
        <v>15</v>
      </c>
      <c r="E2168" s="2" t="s">
        <v>16</v>
      </c>
      <c r="F2168" s="2">
        <v>60</v>
      </c>
      <c r="G2168" s="2" t="s">
        <v>5901</v>
      </c>
      <c r="H2168" s="2" t="s">
        <v>2655</v>
      </c>
      <c r="I2168" s="2" t="s">
        <v>1083</v>
      </c>
      <c r="J2168" s="3">
        <v>44866</v>
      </c>
      <c r="K2168" s="2">
        <v>38</v>
      </c>
      <c r="L2168" s="2" t="s">
        <v>80</v>
      </c>
      <c r="M2168" s="3"/>
    </row>
    <row r="2169" spans="1:13" x14ac:dyDescent="0.3">
      <c r="A2169" s="2">
        <v>2168</v>
      </c>
      <c r="B2169" s="2" t="s">
        <v>3108</v>
      </c>
      <c r="C2169" s="2" t="s">
        <v>1023</v>
      </c>
      <c r="D2169" s="2" t="s">
        <v>51</v>
      </c>
      <c r="E2169" s="2" t="s">
        <v>16</v>
      </c>
      <c r="F2169" s="2">
        <v>30</v>
      </c>
      <c r="G2169" s="2" t="s">
        <v>5902</v>
      </c>
      <c r="H2169" s="2" t="s">
        <v>2397</v>
      </c>
      <c r="I2169" s="2" t="s">
        <v>187</v>
      </c>
      <c r="J2169" s="3">
        <v>44076</v>
      </c>
      <c r="K2169" s="2">
        <v>30</v>
      </c>
      <c r="L2169" s="2" t="s">
        <v>159</v>
      </c>
      <c r="M2169" s="3"/>
    </row>
    <row r="2170" spans="1:13" x14ac:dyDescent="0.3">
      <c r="A2170" s="2">
        <v>2169</v>
      </c>
      <c r="B2170" s="2" t="s">
        <v>5903</v>
      </c>
      <c r="C2170" s="2" t="s">
        <v>5193</v>
      </c>
      <c r="D2170" s="2" t="s">
        <v>15</v>
      </c>
      <c r="E2170" s="2" t="s">
        <v>16</v>
      </c>
      <c r="F2170" s="2">
        <v>30</v>
      </c>
      <c r="G2170" s="2" t="s">
        <v>5904</v>
      </c>
      <c r="H2170" s="2" t="s">
        <v>4944</v>
      </c>
      <c r="I2170" s="2" t="s">
        <v>839</v>
      </c>
      <c r="J2170" s="3">
        <v>44231</v>
      </c>
      <c r="K2170" s="2">
        <v>33</v>
      </c>
      <c r="L2170" s="2" t="s">
        <v>70</v>
      </c>
      <c r="M2170" s="3"/>
    </row>
    <row r="2171" spans="1:13" x14ac:dyDescent="0.3">
      <c r="A2171" s="2">
        <v>2170</v>
      </c>
      <c r="B2171" s="2" t="s">
        <v>5905</v>
      </c>
      <c r="C2171" s="2" t="s">
        <v>1678</v>
      </c>
      <c r="D2171" s="2" t="s">
        <v>51</v>
      </c>
      <c r="E2171" s="2" t="s">
        <v>16</v>
      </c>
      <c r="F2171" s="2">
        <v>30</v>
      </c>
      <c r="G2171" s="2" t="s">
        <v>5906</v>
      </c>
      <c r="H2171" s="2" t="s">
        <v>5619</v>
      </c>
      <c r="I2171" s="2" t="s">
        <v>32</v>
      </c>
      <c r="J2171" s="3">
        <v>44908</v>
      </c>
      <c r="K2171" s="2">
        <v>14</v>
      </c>
      <c r="L2171" s="2" t="s">
        <v>64</v>
      </c>
      <c r="M2171" s="3"/>
    </row>
    <row r="2172" spans="1:13" x14ac:dyDescent="0.3">
      <c r="A2172" s="2">
        <v>2171</v>
      </c>
      <c r="B2172" s="2" t="s">
        <v>5907</v>
      </c>
      <c r="C2172" s="2" t="s">
        <v>2385</v>
      </c>
      <c r="D2172" s="2" t="s">
        <v>15</v>
      </c>
      <c r="E2172" s="2" t="s">
        <v>16</v>
      </c>
      <c r="F2172" s="2">
        <v>30</v>
      </c>
      <c r="G2172" s="2" t="s">
        <v>5908</v>
      </c>
      <c r="H2172" s="2" t="s">
        <v>3571</v>
      </c>
      <c r="I2172" s="2" t="s">
        <v>32</v>
      </c>
      <c r="J2172" s="3">
        <v>44077</v>
      </c>
      <c r="K2172" s="2">
        <v>47</v>
      </c>
      <c r="L2172" s="2" t="s">
        <v>54</v>
      </c>
      <c r="M2172" s="3"/>
    </row>
    <row r="2173" spans="1:13" x14ac:dyDescent="0.3">
      <c r="A2173" s="2">
        <v>2172</v>
      </c>
      <c r="B2173" s="2" t="s">
        <v>646</v>
      </c>
      <c r="C2173" s="2" t="s">
        <v>256</v>
      </c>
      <c r="D2173" s="2" t="s">
        <v>28</v>
      </c>
      <c r="E2173" s="2" t="s">
        <v>29</v>
      </c>
      <c r="F2173" s="2">
        <v>30</v>
      </c>
      <c r="G2173" s="2" t="s">
        <v>5909</v>
      </c>
      <c r="H2173" s="2" t="s">
        <v>2579</v>
      </c>
      <c r="I2173" s="2" t="s">
        <v>425</v>
      </c>
      <c r="J2173" s="3">
        <v>44618</v>
      </c>
      <c r="K2173" s="2">
        <v>9</v>
      </c>
      <c r="L2173" s="2" t="s">
        <v>101</v>
      </c>
      <c r="M2173" s="3"/>
    </row>
    <row r="2174" spans="1:13" x14ac:dyDescent="0.3">
      <c r="A2174" s="2">
        <v>2173</v>
      </c>
      <c r="B2174" s="2" t="s">
        <v>5141</v>
      </c>
      <c r="C2174" s="2" t="s">
        <v>5910</v>
      </c>
      <c r="D2174" s="2" t="s">
        <v>28</v>
      </c>
      <c r="E2174" s="2" t="s">
        <v>29</v>
      </c>
      <c r="F2174" s="2">
        <v>90</v>
      </c>
      <c r="G2174" s="2" t="s">
        <v>5911</v>
      </c>
      <c r="H2174" s="2" t="s">
        <v>685</v>
      </c>
      <c r="I2174" s="2" t="s">
        <v>686</v>
      </c>
      <c r="J2174" s="3">
        <v>44425</v>
      </c>
      <c r="K2174" s="2">
        <v>42</v>
      </c>
      <c r="L2174" s="2" t="s">
        <v>33</v>
      </c>
      <c r="M2174" s="3"/>
    </row>
    <row r="2175" spans="1:13" x14ac:dyDescent="0.3">
      <c r="A2175" s="2">
        <v>2174</v>
      </c>
      <c r="B2175" s="2" t="s">
        <v>2627</v>
      </c>
      <c r="C2175" s="2" t="s">
        <v>3591</v>
      </c>
      <c r="D2175" s="2" t="s">
        <v>15</v>
      </c>
      <c r="E2175" s="2" t="s">
        <v>16</v>
      </c>
      <c r="F2175" s="2">
        <v>30</v>
      </c>
      <c r="G2175" s="2" t="s">
        <v>5912</v>
      </c>
      <c r="H2175" s="2" t="s">
        <v>1453</v>
      </c>
      <c r="I2175" s="2" t="s">
        <v>1454</v>
      </c>
      <c r="J2175" s="3">
        <v>44627</v>
      </c>
      <c r="K2175" s="2">
        <v>12</v>
      </c>
      <c r="L2175" s="2" t="s">
        <v>80</v>
      </c>
      <c r="M2175" s="3"/>
    </row>
    <row r="2176" spans="1:13" x14ac:dyDescent="0.3">
      <c r="A2176" s="2">
        <v>2175</v>
      </c>
      <c r="B2176" s="2" t="s">
        <v>4489</v>
      </c>
      <c r="C2176" s="2" t="s">
        <v>5913</v>
      </c>
      <c r="D2176" s="2" t="s">
        <v>28</v>
      </c>
      <c r="E2176" s="2" t="s">
        <v>29</v>
      </c>
      <c r="F2176" s="2">
        <v>90</v>
      </c>
      <c r="G2176" s="2" t="s">
        <v>5914</v>
      </c>
      <c r="H2176" s="2" t="s">
        <v>5915</v>
      </c>
      <c r="I2176" s="2" t="s">
        <v>32</v>
      </c>
      <c r="J2176" s="3">
        <v>44597</v>
      </c>
      <c r="K2176" s="2">
        <v>104</v>
      </c>
      <c r="L2176" s="2" t="s">
        <v>101</v>
      </c>
      <c r="M2176" s="3"/>
    </row>
    <row r="2177" spans="1:13" x14ac:dyDescent="0.3">
      <c r="A2177" s="2">
        <v>2176</v>
      </c>
      <c r="B2177" s="2" t="s">
        <v>5916</v>
      </c>
      <c r="C2177" s="2" t="s">
        <v>3845</v>
      </c>
      <c r="D2177" s="2" t="s">
        <v>28</v>
      </c>
      <c r="E2177" s="2" t="s">
        <v>29</v>
      </c>
      <c r="F2177" s="2">
        <v>60</v>
      </c>
      <c r="G2177" s="2" t="s">
        <v>5917</v>
      </c>
      <c r="H2177" s="2" t="s">
        <v>793</v>
      </c>
      <c r="I2177" s="2" t="s">
        <v>178</v>
      </c>
      <c r="J2177" s="3">
        <v>44169</v>
      </c>
      <c r="K2177" s="2">
        <v>22</v>
      </c>
      <c r="L2177" s="2" t="s">
        <v>101</v>
      </c>
      <c r="M2177" s="3"/>
    </row>
    <row r="2178" spans="1:13" x14ac:dyDescent="0.3">
      <c r="A2178" s="2">
        <v>2177</v>
      </c>
      <c r="B2178" s="2" t="s">
        <v>5918</v>
      </c>
      <c r="C2178" s="2" t="s">
        <v>866</v>
      </c>
      <c r="D2178" s="2" t="s">
        <v>28</v>
      </c>
      <c r="E2178" s="2" t="s">
        <v>29</v>
      </c>
      <c r="F2178" s="2">
        <v>90</v>
      </c>
      <c r="G2178" s="2" t="s">
        <v>5919</v>
      </c>
      <c r="H2178" s="2" t="s">
        <v>4046</v>
      </c>
      <c r="I2178" s="2" t="s">
        <v>173</v>
      </c>
      <c r="J2178" s="3">
        <v>44200</v>
      </c>
      <c r="K2178" s="2">
        <v>83</v>
      </c>
      <c r="L2178" s="2" t="s">
        <v>39</v>
      </c>
      <c r="M2178" s="3"/>
    </row>
    <row r="2179" spans="1:13" x14ac:dyDescent="0.3">
      <c r="A2179" s="2">
        <v>2178</v>
      </c>
      <c r="B2179" s="2" t="s">
        <v>5920</v>
      </c>
      <c r="C2179" s="2" t="s">
        <v>5788</v>
      </c>
      <c r="D2179" s="2" t="s">
        <v>51</v>
      </c>
      <c r="E2179" s="2" t="s">
        <v>16</v>
      </c>
      <c r="F2179" s="2">
        <v>60</v>
      </c>
      <c r="G2179" s="2" t="s">
        <v>5921</v>
      </c>
      <c r="H2179" s="2" t="s">
        <v>3770</v>
      </c>
      <c r="I2179" s="2" t="s">
        <v>32</v>
      </c>
      <c r="J2179" s="3">
        <v>44274</v>
      </c>
      <c r="K2179" s="2">
        <v>44</v>
      </c>
      <c r="L2179" s="2" t="s">
        <v>159</v>
      </c>
      <c r="M2179" s="3"/>
    </row>
    <row r="2180" spans="1:13" x14ac:dyDescent="0.3">
      <c r="A2180" s="2">
        <v>2179</v>
      </c>
      <c r="B2180" s="2" t="s">
        <v>5922</v>
      </c>
      <c r="C2180" s="2" t="s">
        <v>5923</v>
      </c>
      <c r="D2180" s="2" t="s">
        <v>15</v>
      </c>
      <c r="E2180" s="2" t="s">
        <v>16</v>
      </c>
      <c r="F2180" s="2">
        <v>90</v>
      </c>
      <c r="G2180" s="2" t="s">
        <v>5921</v>
      </c>
      <c r="H2180" s="2" t="s">
        <v>1800</v>
      </c>
      <c r="I2180" s="2" t="s">
        <v>32</v>
      </c>
      <c r="J2180" s="3">
        <v>44648</v>
      </c>
      <c r="K2180" s="2">
        <v>57</v>
      </c>
      <c r="L2180" s="2" t="s">
        <v>64</v>
      </c>
      <c r="M2180" s="3"/>
    </row>
    <row r="2181" spans="1:13" x14ac:dyDescent="0.3">
      <c r="A2181" s="2">
        <v>2180</v>
      </c>
      <c r="B2181" s="2" t="s">
        <v>986</v>
      </c>
      <c r="C2181" s="2" t="s">
        <v>2601</v>
      </c>
      <c r="D2181" s="2" t="s">
        <v>28</v>
      </c>
      <c r="E2181" s="2" t="s">
        <v>29</v>
      </c>
      <c r="F2181" s="2">
        <v>30</v>
      </c>
      <c r="G2181" s="2" t="s">
        <v>5924</v>
      </c>
      <c r="H2181" s="2" t="s">
        <v>5010</v>
      </c>
      <c r="I2181" s="2" t="s">
        <v>32</v>
      </c>
      <c r="J2181" s="3">
        <v>44695</v>
      </c>
      <c r="K2181" s="2">
        <v>96</v>
      </c>
      <c r="L2181" s="2" t="s">
        <v>54</v>
      </c>
      <c r="M2181" s="3"/>
    </row>
    <row r="2182" spans="1:13" x14ac:dyDescent="0.3">
      <c r="A2182" s="2">
        <v>2181</v>
      </c>
      <c r="B2182" s="2" t="s">
        <v>5925</v>
      </c>
      <c r="C2182" s="2" t="s">
        <v>5926</v>
      </c>
      <c r="D2182" s="2" t="s">
        <v>15</v>
      </c>
      <c r="E2182" s="2" t="s">
        <v>16</v>
      </c>
      <c r="F2182" s="2">
        <v>30</v>
      </c>
      <c r="G2182" s="2" t="s">
        <v>5927</v>
      </c>
      <c r="H2182" s="2" t="s">
        <v>378</v>
      </c>
      <c r="I2182" s="2" t="s">
        <v>146</v>
      </c>
      <c r="J2182" s="3">
        <v>44230</v>
      </c>
      <c r="K2182" s="2">
        <v>90</v>
      </c>
      <c r="L2182" s="2" t="s">
        <v>20</v>
      </c>
      <c r="M2182" s="3"/>
    </row>
    <row r="2183" spans="1:13" x14ac:dyDescent="0.3">
      <c r="A2183" s="2">
        <v>2182</v>
      </c>
      <c r="B2183" s="2" t="s">
        <v>5928</v>
      </c>
      <c r="C2183" s="2" t="s">
        <v>2125</v>
      </c>
      <c r="D2183" s="2" t="s">
        <v>28</v>
      </c>
      <c r="E2183" s="2" t="s">
        <v>29</v>
      </c>
      <c r="F2183" s="2">
        <v>60</v>
      </c>
      <c r="G2183" s="2" t="s">
        <v>5929</v>
      </c>
      <c r="H2183" s="2" t="s">
        <v>3632</v>
      </c>
      <c r="I2183" s="2" t="s">
        <v>32</v>
      </c>
      <c r="J2183" s="3">
        <v>44598</v>
      </c>
      <c r="K2183" s="2">
        <v>92</v>
      </c>
      <c r="L2183" s="2" t="s">
        <v>101</v>
      </c>
      <c r="M2183" s="3"/>
    </row>
    <row r="2184" spans="1:13" x14ac:dyDescent="0.3">
      <c r="A2184" s="2">
        <v>2183</v>
      </c>
      <c r="B2184" s="2" t="s">
        <v>567</v>
      </c>
      <c r="C2184" s="2" t="s">
        <v>5930</v>
      </c>
      <c r="D2184" s="2" t="s">
        <v>28</v>
      </c>
      <c r="E2184" s="2" t="s">
        <v>29</v>
      </c>
      <c r="F2184" s="2">
        <v>30</v>
      </c>
      <c r="G2184" s="2" t="s">
        <v>5931</v>
      </c>
      <c r="H2184" s="2" t="s">
        <v>1896</v>
      </c>
      <c r="I2184" s="2" t="s">
        <v>294</v>
      </c>
      <c r="J2184" s="3">
        <v>43959</v>
      </c>
      <c r="K2184" s="2">
        <v>27</v>
      </c>
      <c r="L2184" s="2" t="s">
        <v>101</v>
      </c>
      <c r="M2184" s="3"/>
    </row>
    <row r="2185" spans="1:13" x14ac:dyDescent="0.3">
      <c r="A2185" s="2">
        <v>2184</v>
      </c>
      <c r="B2185" s="2" t="s">
        <v>4569</v>
      </c>
      <c r="C2185" s="2" t="s">
        <v>5932</v>
      </c>
      <c r="D2185" s="2" t="s">
        <v>28</v>
      </c>
      <c r="E2185" s="2" t="s">
        <v>29</v>
      </c>
      <c r="F2185" s="2">
        <v>90</v>
      </c>
      <c r="G2185" s="2" t="s">
        <v>5933</v>
      </c>
      <c r="H2185" s="2" t="s">
        <v>5934</v>
      </c>
      <c r="I2185" s="2" t="s">
        <v>173</v>
      </c>
      <c r="J2185" s="3">
        <v>44297</v>
      </c>
      <c r="K2185" s="2">
        <v>18</v>
      </c>
      <c r="L2185" s="2" t="s">
        <v>39</v>
      </c>
      <c r="M2185" s="3"/>
    </row>
    <row r="2186" spans="1:13" x14ac:dyDescent="0.3">
      <c r="A2186" s="2">
        <v>2185</v>
      </c>
      <c r="B2186" s="2" t="s">
        <v>5935</v>
      </c>
      <c r="C2186" s="2" t="s">
        <v>4258</v>
      </c>
      <c r="D2186" s="2" t="s">
        <v>15</v>
      </c>
      <c r="E2186" s="2" t="s">
        <v>16</v>
      </c>
      <c r="F2186" s="2">
        <v>60</v>
      </c>
      <c r="G2186" s="2" t="s">
        <v>5936</v>
      </c>
      <c r="H2186" s="2" t="s">
        <v>1940</v>
      </c>
      <c r="I2186" s="2" t="s">
        <v>294</v>
      </c>
      <c r="J2186" s="3">
        <v>44404</v>
      </c>
      <c r="K2186" s="2">
        <v>64</v>
      </c>
      <c r="L2186" s="2" t="s">
        <v>64</v>
      </c>
      <c r="M2186" s="3"/>
    </row>
    <row r="2187" spans="1:13" x14ac:dyDescent="0.3">
      <c r="A2187" s="2">
        <v>2186</v>
      </c>
      <c r="B2187" s="2" t="s">
        <v>5937</v>
      </c>
      <c r="C2187" s="2" t="s">
        <v>3413</v>
      </c>
      <c r="D2187" s="2" t="s">
        <v>15</v>
      </c>
      <c r="E2187" s="2" t="s">
        <v>16</v>
      </c>
      <c r="F2187" s="2">
        <v>30</v>
      </c>
      <c r="G2187" s="2" t="s">
        <v>5938</v>
      </c>
      <c r="H2187" s="2" t="s">
        <v>5581</v>
      </c>
      <c r="I2187" s="2" t="s">
        <v>187</v>
      </c>
      <c r="J2187" s="3">
        <v>44427</v>
      </c>
      <c r="K2187" s="2">
        <v>62</v>
      </c>
      <c r="L2187" s="2" t="s">
        <v>80</v>
      </c>
      <c r="M2187" s="3"/>
    </row>
    <row r="2188" spans="1:13" x14ac:dyDescent="0.3">
      <c r="A2188" s="2">
        <v>2187</v>
      </c>
      <c r="B2188" s="2" t="s">
        <v>5334</v>
      </c>
      <c r="C2188" s="2" t="s">
        <v>5939</v>
      </c>
      <c r="D2188" s="2" t="s">
        <v>92</v>
      </c>
      <c r="E2188" s="2" t="s">
        <v>29</v>
      </c>
      <c r="F2188" s="2">
        <v>60</v>
      </c>
      <c r="G2188" s="2" t="s">
        <v>5940</v>
      </c>
      <c r="H2188" s="2" t="s">
        <v>288</v>
      </c>
      <c r="I2188" s="2" t="s">
        <v>32</v>
      </c>
      <c r="J2188" s="3">
        <v>44465</v>
      </c>
      <c r="K2188" s="2">
        <v>89</v>
      </c>
      <c r="L2188" s="2" t="s">
        <v>159</v>
      </c>
      <c r="M2188" s="3"/>
    </row>
    <row r="2189" spans="1:13" x14ac:dyDescent="0.3">
      <c r="A2189" s="2">
        <v>2188</v>
      </c>
      <c r="B2189" s="2" t="s">
        <v>5259</v>
      </c>
      <c r="C2189" s="2" t="s">
        <v>4269</v>
      </c>
      <c r="D2189" s="2" t="s">
        <v>15</v>
      </c>
      <c r="E2189" s="2" t="s">
        <v>16</v>
      </c>
      <c r="F2189" s="2">
        <v>60</v>
      </c>
      <c r="G2189" s="2" t="s">
        <v>5941</v>
      </c>
      <c r="H2189" s="2" t="s">
        <v>1884</v>
      </c>
      <c r="I2189" s="2" t="s">
        <v>1885</v>
      </c>
      <c r="J2189" s="3">
        <v>44138</v>
      </c>
      <c r="K2189" s="2">
        <v>45</v>
      </c>
      <c r="L2189" s="2" t="s">
        <v>33</v>
      </c>
      <c r="M2189" s="3"/>
    </row>
    <row r="2190" spans="1:13" x14ac:dyDescent="0.3">
      <c r="A2190" s="2">
        <v>2189</v>
      </c>
      <c r="B2190" s="2" t="s">
        <v>5942</v>
      </c>
      <c r="C2190" s="2" t="s">
        <v>5203</v>
      </c>
      <c r="D2190" s="2" t="s">
        <v>28</v>
      </c>
      <c r="E2190" s="2" t="s">
        <v>29</v>
      </c>
      <c r="F2190" s="2">
        <v>60</v>
      </c>
      <c r="G2190" s="2" t="s">
        <v>5941</v>
      </c>
      <c r="H2190" s="2" t="s">
        <v>1457</v>
      </c>
      <c r="I2190" s="2" t="s">
        <v>187</v>
      </c>
      <c r="J2190" s="3">
        <v>44694</v>
      </c>
      <c r="K2190" s="2">
        <v>72</v>
      </c>
      <c r="L2190" s="2" t="s">
        <v>101</v>
      </c>
      <c r="M2190" s="3"/>
    </row>
    <row r="2191" spans="1:13" x14ac:dyDescent="0.3">
      <c r="A2191" s="2">
        <v>2190</v>
      </c>
      <c r="B2191" s="2" t="s">
        <v>5943</v>
      </c>
      <c r="C2191" s="2" t="s">
        <v>5944</v>
      </c>
      <c r="D2191" s="2" t="s">
        <v>51</v>
      </c>
      <c r="E2191" s="2" t="s">
        <v>16</v>
      </c>
      <c r="F2191" s="2">
        <v>60</v>
      </c>
      <c r="G2191" s="2" t="s">
        <v>5945</v>
      </c>
      <c r="H2191" s="2" t="s">
        <v>2733</v>
      </c>
      <c r="I2191" s="2" t="s">
        <v>25</v>
      </c>
      <c r="J2191" s="3">
        <v>44782</v>
      </c>
      <c r="K2191" s="2">
        <v>67</v>
      </c>
      <c r="L2191" s="2" t="s">
        <v>45</v>
      </c>
      <c r="M2191" s="3"/>
    </row>
    <row r="2192" spans="1:13" x14ac:dyDescent="0.3">
      <c r="A2192" s="2">
        <v>2191</v>
      </c>
      <c r="B2192" s="2" t="s">
        <v>5946</v>
      </c>
      <c r="C2192" s="2" t="s">
        <v>4393</v>
      </c>
      <c r="D2192" s="2" t="s">
        <v>51</v>
      </c>
      <c r="E2192" s="2" t="s">
        <v>16</v>
      </c>
      <c r="F2192" s="2">
        <v>60</v>
      </c>
      <c r="G2192" s="2" t="s">
        <v>5947</v>
      </c>
      <c r="H2192" s="2" t="s">
        <v>2671</v>
      </c>
      <c r="I2192" s="2" t="s">
        <v>1157</v>
      </c>
      <c r="J2192" s="3">
        <v>44885</v>
      </c>
      <c r="K2192" s="2">
        <v>36</v>
      </c>
      <c r="L2192" s="2" t="s">
        <v>80</v>
      </c>
      <c r="M2192" s="3"/>
    </row>
    <row r="2193" spans="1:13" x14ac:dyDescent="0.3">
      <c r="A2193" s="2">
        <v>2192</v>
      </c>
      <c r="B2193" s="2" t="s">
        <v>5948</v>
      </c>
      <c r="C2193" s="2" t="s">
        <v>2362</v>
      </c>
      <c r="D2193" s="2" t="s">
        <v>15</v>
      </c>
      <c r="E2193" s="2" t="s">
        <v>16</v>
      </c>
      <c r="F2193" s="2">
        <v>30</v>
      </c>
      <c r="G2193" s="2" t="s">
        <v>5949</v>
      </c>
      <c r="H2193" s="2" t="s">
        <v>275</v>
      </c>
      <c r="I2193" s="2" t="s">
        <v>32</v>
      </c>
      <c r="J2193" s="3">
        <v>44341</v>
      </c>
      <c r="K2193" s="2">
        <v>20</v>
      </c>
      <c r="L2193" s="2" t="s">
        <v>80</v>
      </c>
      <c r="M2193" s="3"/>
    </row>
    <row r="2194" spans="1:13" x14ac:dyDescent="0.3">
      <c r="A2194" s="2">
        <v>2193</v>
      </c>
      <c r="B2194" s="2" t="s">
        <v>5950</v>
      </c>
      <c r="C2194" s="2" t="s">
        <v>4402</v>
      </c>
      <c r="D2194" s="2" t="s">
        <v>15</v>
      </c>
      <c r="E2194" s="2" t="s">
        <v>16</v>
      </c>
      <c r="F2194" s="2">
        <v>90</v>
      </c>
      <c r="G2194" s="2" t="s">
        <v>5951</v>
      </c>
      <c r="H2194" s="2" t="s">
        <v>5952</v>
      </c>
      <c r="I2194" s="2" t="s">
        <v>32</v>
      </c>
      <c r="J2194" s="3">
        <v>44417</v>
      </c>
      <c r="K2194" s="2">
        <v>79</v>
      </c>
      <c r="L2194" s="2" t="s">
        <v>20</v>
      </c>
      <c r="M2194" s="3"/>
    </row>
    <row r="2195" spans="1:13" x14ac:dyDescent="0.3">
      <c r="A2195" s="2">
        <v>2194</v>
      </c>
      <c r="B2195" s="2" t="s">
        <v>4706</v>
      </c>
      <c r="C2195" s="2" t="s">
        <v>332</v>
      </c>
      <c r="D2195" s="2" t="s">
        <v>51</v>
      </c>
      <c r="E2195" s="2" t="s">
        <v>16</v>
      </c>
      <c r="F2195" s="2">
        <v>60</v>
      </c>
      <c r="G2195" s="2" t="s">
        <v>5953</v>
      </c>
      <c r="H2195" s="2" t="s">
        <v>2902</v>
      </c>
      <c r="I2195" s="2" t="s">
        <v>32</v>
      </c>
      <c r="J2195" s="3">
        <v>44240</v>
      </c>
      <c r="K2195" s="2">
        <v>53</v>
      </c>
      <c r="L2195" s="2" t="s">
        <v>39</v>
      </c>
      <c r="M2195" s="3"/>
    </row>
    <row r="2196" spans="1:13" x14ac:dyDescent="0.3">
      <c r="A2196" s="2">
        <v>2195</v>
      </c>
      <c r="B2196" s="2" t="s">
        <v>5954</v>
      </c>
      <c r="C2196" s="2" t="s">
        <v>5955</v>
      </c>
      <c r="D2196" s="2" t="s">
        <v>28</v>
      </c>
      <c r="E2196" s="2" t="s">
        <v>29</v>
      </c>
      <c r="F2196" s="2">
        <v>90</v>
      </c>
      <c r="G2196" s="2" t="s">
        <v>5956</v>
      </c>
      <c r="H2196" s="2" t="s">
        <v>5957</v>
      </c>
      <c r="I2196" s="2" t="s">
        <v>187</v>
      </c>
      <c r="J2196" s="3">
        <v>43972</v>
      </c>
      <c r="K2196" s="2">
        <v>35</v>
      </c>
      <c r="L2196" s="2" t="s">
        <v>54</v>
      </c>
      <c r="M2196" s="3"/>
    </row>
    <row r="2197" spans="1:13" x14ac:dyDescent="0.3">
      <c r="A2197" s="2">
        <v>2196</v>
      </c>
      <c r="B2197" s="2" t="s">
        <v>5958</v>
      </c>
      <c r="C2197" s="2" t="s">
        <v>2719</v>
      </c>
      <c r="D2197" s="2" t="s">
        <v>28</v>
      </c>
      <c r="E2197" s="2" t="s">
        <v>29</v>
      </c>
      <c r="F2197" s="2">
        <v>90</v>
      </c>
      <c r="G2197" s="2" t="s">
        <v>5959</v>
      </c>
      <c r="H2197" s="2" t="s">
        <v>1956</v>
      </c>
      <c r="I2197" s="2" t="s">
        <v>32</v>
      </c>
      <c r="J2197" s="3">
        <v>44063</v>
      </c>
      <c r="K2197" s="2">
        <v>20</v>
      </c>
      <c r="L2197" s="2" t="s">
        <v>101</v>
      </c>
      <c r="M2197" s="3"/>
    </row>
    <row r="2198" spans="1:13" x14ac:dyDescent="0.3">
      <c r="A2198" s="2">
        <v>2197</v>
      </c>
      <c r="B2198" s="2" t="s">
        <v>5960</v>
      </c>
      <c r="C2198" s="2" t="s">
        <v>3090</v>
      </c>
      <c r="D2198" s="2" t="s">
        <v>28</v>
      </c>
      <c r="E2198" s="2" t="s">
        <v>29</v>
      </c>
      <c r="F2198" s="2">
        <v>60</v>
      </c>
      <c r="G2198" s="2" t="s">
        <v>5961</v>
      </c>
      <c r="H2198" s="2" t="s">
        <v>5962</v>
      </c>
      <c r="I2198" s="2" t="s">
        <v>32</v>
      </c>
      <c r="J2198" s="3">
        <v>44166</v>
      </c>
      <c r="K2198" s="2">
        <v>42</v>
      </c>
      <c r="L2198" s="2" t="s">
        <v>70</v>
      </c>
      <c r="M2198" s="3"/>
    </row>
    <row r="2199" spans="1:13" x14ac:dyDescent="0.3">
      <c r="A2199" s="2">
        <v>2198</v>
      </c>
      <c r="B2199" s="2" t="s">
        <v>5963</v>
      </c>
      <c r="C2199" s="2" t="s">
        <v>4216</v>
      </c>
      <c r="D2199" s="2" t="s">
        <v>15</v>
      </c>
      <c r="E2199" s="2" t="s">
        <v>16</v>
      </c>
      <c r="F2199" s="2">
        <v>90</v>
      </c>
      <c r="G2199" s="2" t="s">
        <v>5964</v>
      </c>
      <c r="H2199" s="2" t="s">
        <v>3446</v>
      </c>
      <c r="I2199" s="2" t="s">
        <v>32</v>
      </c>
      <c r="J2199" s="3">
        <v>44157</v>
      </c>
      <c r="K2199" s="2">
        <v>9</v>
      </c>
      <c r="L2199" s="2" t="s">
        <v>80</v>
      </c>
      <c r="M2199" s="3"/>
    </row>
    <row r="2200" spans="1:13" x14ac:dyDescent="0.3">
      <c r="A2200" s="2">
        <v>2199</v>
      </c>
      <c r="B2200" s="2" t="s">
        <v>5963</v>
      </c>
      <c r="C2200" s="2" t="s">
        <v>4216</v>
      </c>
      <c r="D2200" s="2" t="s">
        <v>15</v>
      </c>
      <c r="E2200" s="2" t="s">
        <v>16</v>
      </c>
      <c r="F2200" s="2">
        <v>90</v>
      </c>
      <c r="G2200" s="2" t="s">
        <v>5964</v>
      </c>
      <c r="H2200" s="2" t="s">
        <v>3446</v>
      </c>
      <c r="I2200" s="2" t="s">
        <v>32</v>
      </c>
      <c r="J2200" s="3">
        <v>44157</v>
      </c>
      <c r="K2200" s="2">
        <v>9</v>
      </c>
      <c r="L2200" s="2" t="s">
        <v>80</v>
      </c>
      <c r="M2200" s="3"/>
    </row>
    <row r="2201" spans="1:13" x14ac:dyDescent="0.3">
      <c r="A2201" s="2">
        <v>2200</v>
      </c>
      <c r="B2201" s="2" t="s">
        <v>5965</v>
      </c>
      <c r="C2201" s="2" t="s">
        <v>5966</v>
      </c>
      <c r="D2201" s="2" t="s">
        <v>15</v>
      </c>
      <c r="E2201" s="2" t="s">
        <v>16</v>
      </c>
      <c r="F2201" s="2">
        <v>30</v>
      </c>
      <c r="G2201" s="2" t="s">
        <v>5967</v>
      </c>
      <c r="H2201" s="2" t="s">
        <v>4046</v>
      </c>
      <c r="I2201" s="2" t="s">
        <v>173</v>
      </c>
      <c r="J2201" s="3">
        <v>44856</v>
      </c>
      <c r="K2201" s="2">
        <v>44</v>
      </c>
      <c r="L2201" s="2" t="s">
        <v>39</v>
      </c>
      <c r="M2201" s="3"/>
    </row>
    <row r="2202" spans="1:13" x14ac:dyDescent="0.3">
      <c r="A2202" s="2">
        <v>2201</v>
      </c>
      <c r="B2202" s="2" t="s">
        <v>4395</v>
      </c>
      <c r="C2202" s="2" t="s">
        <v>5968</v>
      </c>
      <c r="D2202" s="2" t="s">
        <v>28</v>
      </c>
      <c r="E2202" s="2" t="s">
        <v>29</v>
      </c>
      <c r="F2202" s="2">
        <v>90</v>
      </c>
      <c r="G2202" s="2" t="s">
        <v>5969</v>
      </c>
      <c r="H2202" s="2" t="s">
        <v>5473</v>
      </c>
      <c r="I2202" s="2" t="s">
        <v>240</v>
      </c>
      <c r="J2202" s="3">
        <v>44533</v>
      </c>
      <c r="K2202" s="2">
        <v>23</v>
      </c>
      <c r="L2202" s="2" t="s">
        <v>70</v>
      </c>
      <c r="M2202" s="3"/>
    </row>
    <row r="2203" spans="1:13" x14ac:dyDescent="0.3">
      <c r="A2203" s="2">
        <v>2202</v>
      </c>
      <c r="B2203" s="2" t="s">
        <v>192</v>
      </c>
      <c r="C2203" s="2" t="s">
        <v>5970</v>
      </c>
      <c r="D2203" s="2" t="s">
        <v>51</v>
      </c>
      <c r="E2203" s="2" t="s">
        <v>16</v>
      </c>
      <c r="F2203" s="2">
        <v>90</v>
      </c>
      <c r="G2203" s="2" t="s">
        <v>5971</v>
      </c>
      <c r="H2203" s="2" t="s">
        <v>1334</v>
      </c>
      <c r="I2203" s="2" t="s">
        <v>38</v>
      </c>
      <c r="J2203" s="3">
        <v>44066</v>
      </c>
      <c r="K2203" s="2">
        <v>51</v>
      </c>
      <c r="L2203" s="2" t="s">
        <v>101</v>
      </c>
      <c r="M2203" s="3"/>
    </row>
    <row r="2204" spans="1:13" x14ac:dyDescent="0.3">
      <c r="A2204" s="2">
        <v>2203</v>
      </c>
      <c r="B2204" s="2" t="s">
        <v>2731</v>
      </c>
      <c r="C2204" s="2" t="s">
        <v>5955</v>
      </c>
      <c r="D2204" s="2" t="s">
        <v>15</v>
      </c>
      <c r="E2204" s="2" t="s">
        <v>16</v>
      </c>
      <c r="F2204" s="2">
        <v>90</v>
      </c>
      <c r="G2204" s="2" t="s">
        <v>5971</v>
      </c>
      <c r="H2204" s="2" t="s">
        <v>2156</v>
      </c>
      <c r="I2204" s="2" t="s">
        <v>32</v>
      </c>
      <c r="J2204" s="3">
        <v>44675</v>
      </c>
      <c r="K2204" s="2">
        <v>89</v>
      </c>
      <c r="L2204" s="2" t="s">
        <v>101</v>
      </c>
      <c r="M2204" s="3"/>
    </row>
    <row r="2205" spans="1:13" x14ac:dyDescent="0.3">
      <c r="A2205" s="2">
        <v>2204</v>
      </c>
      <c r="B2205" s="2" t="s">
        <v>2731</v>
      </c>
      <c r="C2205" s="2" t="s">
        <v>5955</v>
      </c>
      <c r="D2205" s="2" t="s">
        <v>15</v>
      </c>
      <c r="E2205" s="2" t="s">
        <v>16</v>
      </c>
      <c r="F2205" s="2">
        <v>90</v>
      </c>
      <c r="G2205" s="2" t="s">
        <v>5971</v>
      </c>
      <c r="H2205" s="2" t="s">
        <v>2156</v>
      </c>
      <c r="I2205" s="2" t="s">
        <v>32</v>
      </c>
      <c r="J2205" s="3">
        <v>44675</v>
      </c>
      <c r="K2205" s="2">
        <v>89</v>
      </c>
      <c r="L2205" s="2" t="s">
        <v>101</v>
      </c>
      <c r="M2205" s="3"/>
    </row>
    <row r="2206" spans="1:13" x14ac:dyDescent="0.3">
      <c r="A2206" s="2">
        <v>2205</v>
      </c>
      <c r="B2206" s="2" t="s">
        <v>5972</v>
      </c>
      <c r="C2206" s="2" t="s">
        <v>5583</v>
      </c>
      <c r="D2206" s="2" t="s">
        <v>28</v>
      </c>
      <c r="E2206" s="2" t="s">
        <v>29</v>
      </c>
      <c r="F2206" s="2">
        <v>60</v>
      </c>
      <c r="G2206" s="2" t="s">
        <v>5973</v>
      </c>
      <c r="H2206" s="2" t="s">
        <v>5974</v>
      </c>
      <c r="I2206" s="2" t="s">
        <v>19</v>
      </c>
      <c r="J2206" s="3">
        <v>44505</v>
      </c>
      <c r="K2206" s="2">
        <v>76</v>
      </c>
      <c r="L2206" s="2" t="s">
        <v>70</v>
      </c>
      <c r="M2206" s="3"/>
    </row>
    <row r="2207" spans="1:13" x14ac:dyDescent="0.3">
      <c r="A2207" s="2">
        <v>2206</v>
      </c>
      <c r="B2207" s="2" t="s">
        <v>5975</v>
      </c>
      <c r="C2207" s="2" t="s">
        <v>4635</v>
      </c>
      <c r="D2207" s="2" t="s">
        <v>28</v>
      </c>
      <c r="E2207" s="2" t="s">
        <v>29</v>
      </c>
      <c r="F2207" s="2">
        <v>90</v>
      </c>
      <c r="G2207" s="2" t="s">
        <v>5976</v>
      </c>
      <c r="H2207" s="2" t="s">
        <v>4563</v>
      </c>
      <c r="I2207" s="2" t="s">
        <v>1824</v>
      </c>
      <c r="J2207" s="3">
        <v>44084</v>
      </c>
      <c r="K2207" s="2">
        <v>45</v>
      </c>
      <c r="L2207" s="2" t="s">
        <v>33</v>
      </c>
      <c r="M2207" s="3"/>
    </row>
    <row r="2208" spans="1:13" x14ac:dyDescent="0.3">
      <c r="A2208" s="2">
        <v>2207</v>
      </c>
      <c r="B2208" s="2" t="s">
        <v>5977</v>
      </c>
      <c r="C2208" s="2" t="s">
        <v>3680</v>
      </c>
      <c r="D2208" s="2" t="s">
        <v>15</v>
      </c>
      <c r="E2208" s="2" t="s">
        <v>16</v>
      </c>
      <c r="F2208" s="2">
        <v>30</v>
      </c>
      <c r="G2208" s="2" t="s">
        <v>5976</v>
      </c>
      <c r="H2208" s="2" t="s">
        <v>2008</v>
      </c>
      <c r="I2208" s="2" t="s">
        <v>129</v>
      </c>
      <c r="J2208" s="3">
        <v>44404</v>
      </c>
      <c r="K2208" s="2">
        <v>91</v>
      </c>
      <c r="L2208" s="2" t="s">
        <v>80</v>
      </c>
      <c r="M2208" s="3"/>
    </row>
    <row r="2209" spans="1:13" x14ac:dyDescent="0.3">
      <c r="A2209" s="2">
        <v>2208</v>
      </c>
      <c r="B2209" s="2" t="s">
        <v>5978</v>
      </c>
      <c r="C2209" s="2" t="s">
        <v>5979</v>
      </c>
      <c r="D2209" s="2" t="s">
        <v>15</v>
      </c>
      <c r="E2209" s="2" t="s">
        <v>16</v>
      </c>
      <c r="F2209" s="2">
        <v>30</v>
      </c>
      <c r="G2209" s="2" t="s">
        <v>5976</v>
      </c>
      <c r="H2209" s="2" t="s">
        <v>6</v>
      </c>
      <c r="I2209" s="2" t="s">
        <v>32</v>
      </c>
      <c r="J2209" s="3">
        <v>44890</v>
      </c>
      <c r="K2209" s="2">
        <v>62</v>
      </c>
      <c r="L2209" s="2" t="s">
        <v>39</v>
      </c>
      <c r="M2209" s="3"/>
    </row>
    <row r="2210" spans="1:13" x14ac:dyDescent="0.3">
      <c r="A2210" s="2">
        <v>2209</v>
      </c>
      <c r="B2210" s="2" t="s">
        <v>1788</v>
      </c>
      <c r="C2210" s="2" t="s">
        <v>2813</v>
      </c>
      <c r="D2210" s="2" t="s">
        <v>28</v>
      </c>
      <c r="E2210" s="2" t="s">
        <v>29</v>
      </c>
      <c r="F2210" s="2">
        <v>90</v>
      </c>
      <c r="G2210" s="2" t="s">
        <v>5980</v>
      </c>
      <c r="H2210" s="2" t="s">
        <v>2336</v>
      </c>
      <c r="I2210" s="2" t="s">
        <v>32</v>
      </c>
      <c r="J2210" s="3">
        <v>44637</v>
      </c>
      <c r="K2210" s="2">
        <v>13</v>
      </c>
      <c r="L2210" s="2" t="s">
        <v>20</v>
      </c>
      <c r="M2210" s="3"/>
    </row>
    <row r="2211" spans="1:13" x14ac:dyDescent="0.3">
      <c r="A2211" s="2">
        <v>2210</v>
      </c>
      <c r="B2211" s="2" t="s">
        <v>5981</v>
      </c>
      <c r="C2211" s="2" t="s">
        <v>1929</v>
      </c>
      <c r="D2211" s="2" t="s">
        <v>15</v>
      </c>
      <c r="E2211" s="2" t="s">
        <v>16</v>
      </c>
      <c r="F2211" s="2">
        <v>90</v>
      </c>
      <c r="G2211" s="2" t="s">
        <v>5982</v>
      </c>
      <c r="H2211" s="2" t="s">
        <v>3418</v>
      </c>
      <c r="I2211" s="2" t="s">
        <v>32</v>
      </c>
      <c r="J2211" s="3">
        <v>44134</v>
      </c>
      <c r="K2211" s="2">
        <v>7</v>
      </c>
      <c r="L2211" s="2" t="s">
        <v>54</v>
      </c>
      <c r="M2211" s="3"/>
    </row>
    <row r="2212" spans="1:13" x14ac:dyDescent="0.3">
      <c r="A2212" s="2">
        <v>2211</v>
      </c>
      <c r="B2212" s="2" t="s">
        <v>653</v>
      </c>
      <c r="C2212" s="2" t="s">
        <v>4750</v>
      </c>
      <c r="D2212" s="2" t="s">
        <v>28</v>
      </c>
      <c r="E2212" s="2" t="s">
        <v>29</v>
      </c>
      <c r="F2212" s="2">
        <v>30</v>
      </c>
      <c r="G2212" s="2" t="s">
        <v>5983</v>
      </c>
      <c r="H2212" s="2" t="s">
        <v>2664</v>
      </c>
      <c r="I2212" s="2" t="s">
        <v>32</v>
      </c>
      <c r="J2212" s="3">
        <v>44545</v>
      </c>
      <c r="K2212" s="2">
        <v>85</v>
      </c>
      <c r="L2212" s="2" t="s">
        <v>64</v>
      </c>
      <c r="M2212" s="3"/>
    </row>
    <row r="2213" spans="1:13" x14ac:dyDescent="0.3">
      <c r="A2213" s="2">
        <v>2212</v>
      </c>
      <c r="B2213" s="2" t="s">
        <v>5984</v>
      </c>
      <c r="C2213" s="2" t="s">
        <v>4153</v>
      </c>
      <c r="D2213" s="2" t="s">
        <v>51</v>
      </c>
      <c r="E2213" s="2" t="s">
        <v>16</v>
      </c>
      <c r="F2213" s="2">
        <v>30</v>
      </c>
      <c r="G2213" s="2" t="s">
        <v>5983</v>
      </c>
      <c r="H2213" s="2" t="s">
        <v>1318</v>
      </c>
      <c r="I2213" s="2" t="s">
        <v>32</v>
      </c>
      <c r="J2213" s="3">
        <v>44669</v>
      </c>
      <c r="K2213" s="2">
        <v>8</v>
      </c>
      <c r="L2213" s="2" t="s">
        <v>20</v>
      </c>
      <c r="M2213" s="3"/>
    </row>
    <row r="2214" spans="1:13" x14ac:dyDescent="0.3">
      <c r="A2214" s="2">
        <v>2213</v>
      </c>
      <c r="B2214" s="2" t="s">
        <v>5042</v>
      </c>
      <c r="C2214" s="2" t="s">
        <v>390</v>
      </c>
      <c r="D2214" s="2" t="s">
        <v>28</v>
      </c>
      <c r="E2214" s="2" t="s">
        <v>29</v>
      </c>
      <c r="F2214" s="2">
        <v>60</v>
      </c>
      <c r="G2214" s="2" t="s">
        <v>5985</v>
      </c>
      <c r="H2214" s="2" t="s">
        <v>31</v>
      </c>
      <c r="I2214" s="2" t="s">
        <v>32</v>
      </c>
      <c r="J2214" s="3">
        <v>43863</v>
      </c>
      <c r="K2214" s="2">
        <v>17</v>
      </c>
      <c r="L2214" s="2" t="s">
        <v>80</v>
      </c>
      <c r="M2214" s="3"/>
    </row>
    <row r="2215" spans="1:13" x14ac:dyDescent="0.3">
      <c r="A2215" s="2">
        <v>2214</v>
      </c>
      <c r="B2215" s="2" t="s">
        <v>5986</v>
      </c>
      <c r="C2215" s="2" t="s">
        <v>1313</v>
      </c>
      <c r="D2215" s="2" t="s">
        <v>15</v>
      </c>
      <c r="E2215" s="2" t="s">
        <v>16</v>
      </c>
      <c r="F2215" s="2">
        <v>60</v>
      </c>
      <c r="G2215" s="2" t="s">
        <v>5987</v>
      </c>
      <c r="H2215" s="2" t="s">
        <v>1601</v>
      </c>
      <c r="I2215" s="2" t="s">
        <v>32</v>
      </c>
      <c r="J2215" s="3">
        <v>44383</v>
      </c>
      <c r="K2215" s="2">
        <v>12</v>
      </c>
      <c r="L2215" s="2" t="s">
        <v>80</v>
      </c>
      <c r="M2215" s="3"/>
    </row>
    <row r="2216" spans="1:13" x14ac:dyDescent="0.3">
      <c r="A2216" s="2">
        <v>2215</v>
      </c>
      <c r="B2216" s="2" t="s">
        <v>5988</v>
      </c>
      <c r="C2216" s="2" t="s">
        <v>5258</v>
      </c>
      <c r="D2216" s="2" t="s">
        <v>28</v>
      </c>
      <c r="E2216" s="2" t="s">
        <v>29</v>
      </c>
      <c r="F2216" s="2">
        <v>30</v>
      </c>
      <c r="G2216" s="2" t="s">
        <v>5989</v>
      </c>
      <c r="H2216" s="2" t="s">
        <v>2624</v>
      </c>
      <c r="I2216" s="2" t="s">
        <v>32</v>
      </c>
      <c r="J2216" s="3">
        <v>44689</v>
      </c>
      <c r="K2216" s="2">
        <v>33</v>
      </c>
      <c r="L2216" s="2" t="s">
        <v>54</v>
      </c>
      <c r="M2216" s="3"/>
    </row>
    <row r="2217" spans="1:13" x14ac:dyDescent="0.3">
      <c r="A2217" s="2">
        <v>2216</v>
      </c>
      <c r="B2217" s="2" t="s">
        <v>752</v>
      </c>
      <c r="C2217" s="2" t="s">
        <v>5990</v>
      </c>
      <c r="D2217" s="2" t="s">
        <v>28</v>
      </c>
      <c r="E2217" s="2" t="s">
        <v>29</v>
      </c>
      <c r="F2217" s="2">
        <v>30</v>
      </c>
      <c r="G2217" s="2" t="s">
        <v>5991</v>
      </c>
      <c r="H2217" s="2" t="s">
        <v>5664</v>
      </c>
      <c r="I2217" s="2" t="s">
        <v>187</v>
      </c>
      <c r="J2217" s="3">
        <v>43961</v>
      </c>
      <c r="K2217" s="2">
        <v>37</v>
      </c>
      <c r="L2217" s="2" t="s">
        <v>70</v>
      </c>
      <c r="M2217" s="3"/>
    </row>
    <row r="2218" spans="1:13" x14ac:dyDescent="0.3">
      <c r="A2218" s="2">
        <v>2217</v>
      </c>
      <c r="B2218" s="2" t="s">
        <v>1668</v>
      </c>
      <c r="C2218" s="2" t="s">
        <v>2145</v>
      </c>
      <c r="D2218" s="2" t="s">
        <v>15</v>
      </c>
      <c r="E2218" s="2" t="s">
        <v>16</v>
      </c>
      <c r="F2218" s="2">
        <v>60</v>
      </c>
      <c r="G2218" s="2" t="s">
        <v>5991</v>
      </c>
      <c r="H2218" s="2" t="s">
        <v>5992</v>
      </c>
      <c r="I2218" s="2" t="s">
        <v>25</v>
      </c>
      <c r="J2218" s="3">
        <v>43862</v>
      </c>
      <c r="K2218" s="2">
        <v>44</v>
      </c>
      <c r="L2218" s="2" t="s">
        <v>54</v>
      </c>
      <c r="M2218" s="3"/>
    </row>
    <row r="2219" spans="1:13" x14ac:dyDescent="0.3">
      <c r="A2219" s="2">
        <v>2218</v>
      </c>
      <c r="B2219" s="2" t="s">
        <v>774</v>
      </c>
      <c r="C2219" s="2" t="s">
        <v>5993</v>
      </c>
      <c r="D2219" s="2" t="s">
        <v>28</v>
      </c>
      <c r="E2219" s="2" t="s">
        <v>29</v>
      </c>
      <c r="F2219" s="2">
        <v>30</v>
      </c>
      <c r="G2219" s="2" t="s">
        <v>5994</v>
      </c>
      <c r="H2219" s="2" t="s">
        <v>5995</v>
      </c>
      <c r="I2219" s="2" t="s">
        <v>187</v>
      </c>
      <c r="J2219" s="3">
        <v>44269</v>
      </c>
      <c r="K2219" s="2">
        <v>69</v>
      </c>
      <c r="L2219" s="2" t="s">
        <v>159</v>
      </c>
      <c r="M2219" s="3"/>
    </row>
    <row r="2220" spans="1:13" x14ac:dyDescent="0.3">
      <c r="A2220" s="2">
        <v>2219</v>
      </c>
      <c r="B2220" s="2" t="s">
        <v>1009</v>
      </c>
      <c r="C2220" s="2" t="s">
        <v>5996</v>
      </c>
      <c r="D2220" s="2" t="s">
        <v>28</v>
      </c>
      <c r="E2220" s="2" t="s">
        <v>29</v>
      </c>
      <c r="F2220" s="2">
        <v>30</v>
      </c>
      <c r="G2220" s="2" t="s">
        <v>5997</v>
      </c>
      <c r="H2220" s="2" t="s">
        <v>412</v>
      </c>
      <c r="I2220" s="2" t="s">
        <v>187</v>
      </c>
      <c r="J2220" s="3">
        <v>44347</v>
      </c>
      <c r="K2220" s="2">
        <v>27</v>
      </c>
      <c r="L2220" s="2" t="s">
        <v>101</v>
      </c>
      <c r="M2220" s="3"/>
    </row>
    <row r="2221" spans="1:13" x14ac:dyDescent="0.3">
      <c r="A2221" s="2">
        <v>2220</v>
      </c>
      <c r="B2221" s="2" t="s">
        <v>96</v>
      </c>
      <c r="C2221" s="2" t="s">
        <v>5998</v>
      </c>
      <c r="D2221" s="2" t="s">
        <v>28</v>
      </c>
      <c r="E2221" s="2" t="s">
        <v>29</v>
      </c>
      <c r="F2221" s="2">
        <v>30</v>
      </c>
      <c r="G2221" s="2" t="s">
        <v>5999</v>
      </c>
      <c r="H2221" s="2" t="s">
        <v>6000</v>
      </c>
      <c r="I2221" s="2" t="s">
        <v>178</v>
      </c>
      <c r="J2221" s="3">
        <v>44731</v>
      </c>
      <c r="K2221" s="2">
        <v>55</v>
      </c>
      <c r="L2221" s="2" t="s">
        <v>64</v>
      </c>
      <c r="M2221" s="3"/>
    </row>
    <row r="2222" spans="1:13" x14ac:dyDescent="0.3">
      <c r="A2222" s="2">
        <v>2221</v>
      </c>
      <c r="B2222" s="2" t="s">
        <v>6001</v>
      </c>
      <c r="C2222" s="2" t="s">
        <v>3464</v>
      </c>
      <c r="D2222" s="2" t="s">
        <v>15</v>
      </c>
      <c r="E2222" s="2" t="s">
        <v>16</v>
      </c>
      <c r="F2222" s="2">
        <v>90</v>
      </c>
      <c r="G2222" s="2" t="s">
        <v>6002</v>
      </c>
      <c r="H2222" s="2" t="s">
        <v>2533</v>
      </c>
      <c r="I2222" s="2" t="s">
        <v>2534</v>
      </c>
      <c r="J2222" s="3">
        <v>44124</v>
      </c>
      <c r="K2222" s="2">
        <v>28</v>
      </c>
      <c r="L2222" s="2" t="s">
        <v>33</v>
      </c>
      <c r="M2222" s="3"/>
    </row>
    <row r="2223" spans="1:13" x14ac:dyDescent="0.3">
      <c r="A2223" s="2">
        <v>2222</v>
      </c>
      <c r="B2223" s="2" t="s">
        <v>2556</v>
      </c>
      <c r="C2223" s="2" t="s">
        <v>5807</v>
      </c>
      <c r="D2223" s="2" t="s">
        <v>28</v>
      </c>
      <c r="E2223" s="2" t="s">
        <v>29</v>
      </c>
      <c r="F2223" s="2">
        <v>60</v>
      </c>
      <c r="G2223" s="2" t="s">
        <v>6002</v>
      </c>
      <c r="H2223" s="2" t="s">
        <v>382</v>
      </c>
      <c r="I2223" s="2" t="s">
        <v>32</v>
      </c>
      <c r="J2223" s="3">
        <v>44207</v>
      </c>
      <c r="K2223" s="2">
        <v>46</v>
      </c>
      <c r="L2223" s="2" t="s">
        <v>159</v>
      </c>
      <c r="M2223" s="3"/>
    </row>
    <row r="2224" spans="1:13" x14ac:dyDescent="0.3">
      <c r="A2224" s="2">
        <v>2223</v>
      </c>
      <c r="B2224" s="2" t="s">
        <v>6003</v>
      </c>
      <c r="C2224" s="2" t="s">
        <v>6004</v>
      </c>
      <c r="D2224" s="2" t="s">
        <v>28</v>
      </c>
      <c r="E2224" s="2" t="s">
        <v>29</v>
      </c>
      <c r="F2224" s="2">
        <v>60</v>
      </c>
      <c r="G2224" s="2" t="s">
        <v>6005</v>
      </c>
      <c r="H2224" s="2" t="s">
        <v>942</v>
      </c>
      <c r="I2224" s="2" t="s">
        <v>32</v>
      </c>
      <c r="J2224" s="3">
        <v>44343</v>
      </c>
      <c r="K2224" s="2">
        <v>36</v>
      </c>
      <c r="L2224" s="2" t="s">
        <v>20</v>
      </c>
      <c r="M2224" s="3"/>
    </row>
    <row r="2225" spans="1:13" x14ac:dyDescent="0.3">
      <c r="A2225" s="2">
        <v>2224</v>
      </c>
      <c r="B2225" s="2" t="s">
        <v>624</v>
      </c>
      <c r="C2225" s="2" t="s">
        <v>348</v>
      </c>
      <c r="D2225" s="2" t="s">
        <v>28</v>
      </c>
      <c r="E2225" s="2" t="s">
        <v>29</v>
      </c>
      <c r="F2225" s="2">
        <v>60</v>
      </c>
      <c r="G2225" s="2" t="s">
        <v>6006</v>
      </c>
      <c r="H2225" s="2" t="s">
        <v>4979</v>
      </c>
      <c r="I2225" s="2" t="s">
        <v>294</v>
      </c>
      <c r="J2225" s="3">
        <v>44452</v>
      </c>
      <c r="K2225" s="2">
        <v>88</v>
      </c>
      <c r="L2225" s="2" t="s">
        <v>54</v>
      </c>
      <c r="M2225" s="3"/>
    </row>
    <row r="2226" spans="1:13" x14ac:dyDescent="0.3">
      <c r="A2226" s="2">
        <v>2225</v>
      </c>
      <c r="B2226" s="2" t="s">
        <v>367</v>
      </c>
      <c r="C2226" s="2" t="s">
        <v>3084</v>
      </c>
      <c r="D2226" s="2" t="s">
        <v>28</v>
      </c>
      <c r="E2226" s="2" t="s">
        <v>29</v>
      </c>
      <c r="F2226" s="2">
        <v>60</v>
      </c>
      <c r="G2226" s="2" t="s">
        <v>6006</v>
      </c>
      <c r="H2226" s="2" t="s">
        <v>1568</v>
      </c>
      <c r="I2226" s="2" t="s">
        <v>32</v>
      </c>
      <c r="J2226" s="3">
        <v>43991</v>
      </c>
      <c r="K2226" s="2">
        <v>85</v>
      </c>
      <c r="L2226" s="2" t="s">
        <v>54</v>
      </c>
      <c r="M2226" s="3"/>
    </row>
    <row r="2227" spans="1:13" x14ac:dyDescent="0.3">
      <c r="A2227" s="2">
        <v>2226</v>
      </c>
      <c r="B2227" s="2" t="s">
        <v>751</v>
      </c>
      <c r="C2227" s="2" t="s">
        <v>3600</v>
      </c>
      <c r="D2227" s="2" t="s">
        <v>28</v>
      </c>
      <c r="E2227" s="2" t="s">
        <v>29</v>
      </c>
      <c r="F2227" s="2">
        <v>90</v>
      </c>
      <c r="G2227" s="2" t="s">
        <v>6007</v>
      </c>
      <c r="H2227" s="2" t="s">
        <v>3320</v>
      </c>
      <c r="I2227" s="2" t="s">
        <v>32</v>
      </c>
      <c r="J2227" s="3">
        <v>44138</v>
      </c>
      <c r="K2227" s="2">
        <v>35</v>
      </c>
      <c r="L2227" s="2" t="s">
        <v>39</v>
      </c>
      <c r="M2227" s="3"/>
    </row>
    <row r="2228" spans="1:13" x14ac:dyDescent="0.3">
      <c r="A2228" s="2">
        <v>2227</v>
      </c>
      <c r="B2228" s="2" t="s">
        <v>5977</v>
      </c>
      <c r="C2228" s="2" t="s">
        <v>5883</v>
      </c>
      <c r="D2228" s="2" t="s">
        <v>15</v>
      </c>
      <c r="E2228" s="2" t="s">
        <v>16</v>
      </c>
      <c r="F2228" s="2">
        <v>60</v>
      </c>
      <c r="G2228" s="2" t="s">
        <v>6008</v>
      </c>
      <c r="H2228" s="2" t="s">
        <v>5711</v>
      </c>
      <c r="I2228" s="2" t="s">
        <v>25</v>
      </c>
      <c r="J2228" s="3">
        <v>43886</v>
      </c>
      <c r="K2228" s="2">
        <v>39</v>
      </c>
      <c r="L2228" s="2" t="s">
        <v>33</v>
      </c>
      <c r="M2228" s="3"/>
    </row>
    <row r="2229" spans="1:13" x14ac:dyDescent="0.3">
      <c r="A2229" s="2">
        <v>2228</v>
      </c>
      <c r="B2229" s="2" t="s">
        <v>6009</v>
      </c>
      <c r="C2229" s="2" t="s">
        <v>3843</v>
      </c>
      <c r="D2229" s="2" t="s">
        <v>51</v>
      </c>
      <c r="E2229" s="2" t="s">
        <v>16</v>
      </c>
      <c r="F2229" s="2">
        <v>30</v>
      </c>
      <c r="G2229" s="2" t="s">
        <v>6010</v>
      </c>
      <c r="H2229" s="2" t="s">
        <v>2516</v>
      </c>
      <c r="I2229" s="2" t="s">
        <v>32</v>
      </c>
      <c r="J2229" s="3">
        <v>44899</v>
      </c>
      <c r="K2229" s="2">
        <v>5</v>
      </c>
      <c r="L2229" s="2" t="s">
        <v>45</v>
      </c>
      <c r="M2229" s="3"/>
    </row>
    <row r="2230" spans="1:13" x14ac:dyDescent="0.3">
      <c r="A2230" s="2">
        <v>2229</v>
      </c>
      <c r="B2230" s="2" t="s">
        <v>4378</v>
      </c>
      <c r="C2230" s="2" t="s">
        <v>3014</v>
      </c>
      <c r="D2230" s="2" t="s">
        <v>28</v>
      </c>
      <c r="E2230" s="2" t="s">
        <v>6011</v>
      </c>
      <c r="F2230" s="2">
        <v>30</v>
      </c>
      <c r="G2230" s="2" t="s">
        <v>6012</v>
      </c>
      <c r="H2230" s="2" t="s">
        <v>2441</v>
      </c>
      <c r="I2230" s="2" t="s">
        <v>1199</v>
      </c>
      <c r="J2230" s="3">
        <v>44393</v>
      </c>
      <c r="K2230" s="2">
        <v>18</v>
      </c>
      <c r="L2230" s="2" t="s">
        <v>101</v>
      </c>
      <c r="M2230" s="3"/>
    </row>
    <row r="2231" spans="1:13" x14ac:dyDescent="0.3">
      <c r="A2231" s="2">
        <v>2230</v>
      </c>
      <c r="B2231" s="2" t="s">
        <v>6013</v>
      </c>
      <c r="C2231" s="2" t="s">
        <v>219</v>
      </c>
      <c r="D2231" s="2" t="s">
        <v>41</v>
      </c>
      <c r="E2231" s="2" t="s">
        <v>16</v>
      </c>
      <c r="F2231" s="2">
        <v>30</v>
      </c>
      <c r="G2231" s="2" t="s">
        <v>6014</v>
      </c>
      <c r="H2231" s="2" t="s">
        <v>3405</v>
      </c>
      <c r="I2231" s="2" t="s">
        <v>32</v>
      </c>
      <c r="J2231" s="3">
        <v>44478</v>
      </c>
      <c r="K2231" s="2">
        <v>44</v>
      </c>
      <c r="L2231" s="2" t="s">
        <v>20</v>
      </c>
      <c r="M2231" s="3"/>
    </row>
    <row r="2232" spans="1:13" x14ac:dyDescent="0.3">
      <c r="A2232" s="2">
        <v>2231</v>
      </c>
      <c r="B2232" s="2" t="s">
        <v>6015</v>
      </c>
      <c r="C2232" s="2" t="s">
        <v>6016</v>
      </c>
      <c r="D2232" s="2" t="s">
        <v>51</v>
      </c>
      <c r="E2232" s="2" t="s">
        <v>16</v>
      </c>
      <c r="F2232" s="2">
        <v>60</v>
      </c>
      <c r="G2232" s="2" t="s">
        <v>6017</v>
      </c>
      <c r="H2232" s="2" t="s">
        <v>34</v>
      </c>
      <c r="I2232" s="2" t="s">
        <v>1454</v>
      </c>
      <c r="J2232" s="3">
        <v>44558</v>
      </c>
      <c r="K2232" s="2">
        <v>31</v>
      </c>
      <c r="L2232" s="2" t="s">
        <v>70</v>
      </c>
      <c r="M2232" s="3"/>
    </row>
    <row r="2233" spans="1:13" x14ac:dyDescent="0.3">
      <c r="A2233" s="2">
        <v>2232</v>
      </c>
      <c r="B2233" s="2" t="s">
        <v>75</v>
      </c>
      <c r="C2233" s="2" t="s">
        <v>873</v>
      </c>
      <c r="D2233" s="2" t="s">
        <v>28</v>
      </c>
      <c r="E2233" s="2" t="s">
        <v>29</v>
      </c>
      <c r="F2233" s="2">
        <v>30</v>
      </c>
      <c r="G2233" s="2" t="s">
        <v>6018</v>
      </c>
      <c r="H2233" s="2" t="s">
        <v>2039</v>
      </c>
      <c r="I2233" s="2" t="s">
        <v>1199</v>
      </c>
      <c r="J2233" s="3">
        <v>44310</v>
      </c>
      <c r="K2233" s="2">
        <v>51</v>
      </c>
      <c r="L2233" s="2" t="s">
        <v>159</v>
      </c>
      <c r="M2233" s="3"/>
    </row>
    <row r="2234" spans="1:13" x14ac:dyDescent="0.3">
      <c r="A2234" s="2">
        <v>2233</v>
      </c>
      <c r="B2234" s="2" t="s">
        <v>6019</v>
      </c>
      <c r="C2234" s="2" t="s">
        <v>774</v>
      </c>
      <c r="D2234" s="2" t="s">
        <v>51</v>
      </c>
      <c r="E2234" s="2" t="s">
        <v>16</v>
      </c>
      <c r="F2234" s="2">
        <v>60</v>
      </c>
      <c r="G2234" s="2" t="s">
        <v>6020</v>
      </c>
      <c r="H2234" s="2" t="s">
        <v>2418</v>
      </c>
      <c r="I2234" s="2" t="s">
        <v>32</v>
      </c>
      <c r="J2234" s="3">
        <v>44870</v>
      </c>
      <c r="K2234" s="2">
        <v>65</v>
      </c>
      <c r="L2234" s="2" t="s">
        <v>64</v>
      </c>
      <c r="M2234" s="3"/>
    </row>
    <row r="2235" spans="1:13" x14ac:dyDescent="0.3">
      <c r="A2235" s="2">
        <v>2234</v>
      </c>
      <c r="B2235" s="2" t="s">
        <v>4727</v>
      </c>
      <c r="C2235" s="2" t="s">
        <v>6021</v>
      </c>
      <c r="D2235" s="2" t="s">
        <v>28</v>
      </c>
      <c r="E2235" s="2" t="s">
        <v>29</v>
      </c>
      <c r="F2235" s="2">
        <v>30</v>
      </c>
      <c r="G2235" s="2" t="s">
        <v>6022</v>
      </c>
      <c r="H2235" s="2" t="s">
        <v>6023</v>
      </c>
      <c r="I2235" s="2" t="s">
        <v>32</v>
      </c>
      <c r="J2235" s="3">
        <v>44773</v>
      </c>
      <c r="K2235" s="2">
        <v>2</v>
      </c>
      <c r="L2235" s="2" t="s">
        <v>70</v>
      </c>
      <c r="M2235" s="3"/>
    </row>
    <row r="2236" spans="1:13" x14ac:dyDescent="0.3">
      <c r="A2236" s="2">
        <v>2235</v>
      </c>
      <c r="B2236" s="2" t="s">
        <v>6024</v>
      </c>
      <c r="C2236" s="2" t="s">
        <v>6025</v>
      </c>
      <c r="D2236" s="2" t="s">
        <v>51</v>
      </c>
      <c r="E2236" s="2" t="s">
        <v>16</v>
      </c>
      <c r="F2236" s="2">
        <v>60</v>
      </c>
      <c r="G2236" s="2" t="s">
        <v>6026</v>
      </c>
      <c r="H2236" s="2" t="s">
        <v>667</v>
      </c>
      <c r="I2236" s="2" t="s">
        <v>25</v>
      </c>
      <c r="J2236" s="3">
        <v>43884</v>
      </c>
      <c r="K2236" s="2">
        <v>46</v>
      </c>
      <c r="L2236" s="2" t="s">
        <v>80</v>
      </c>
      <c r="M2236" s="3"/>
    </row>
    <row r="2237" spans="1:13" x14ac:dyDescent="0.3">
      <c r="A2237" s="2">
        <v>2236</v>
      </c>
      <c r="B2237" s="2" t="s">
        <v>1351</v>
      </c>
      <c r="C2237" s="2" t="s">
        <v>3439</v>
      </c>
      <c r="D2237" s="2" t="s">
        <v>28</v>
      </c>
      <c r="E2237" s="2" t="s">
        <v>29</v>
      </c>
      <c r="F2237" s="2">
        <v>90</v>
      </c>
      <c r="G2237" s="2" t="s">
        <v>6026</v>
      </c>
      <c r="H2237" s="2" t="s">
        <v>1417</v>
      </c>
      <c r="I2237" s="2" t="s">
        <v>32</v>
      </c>
      <c r="J2237" s="3">
        <v>44108</v>
      </c>
      <c r="K2237" s="2">
        <v>16</v>
      </c>
      <c r="L2237" s="2" t="s">
        <v>64</v>
      </c>
      <c r="M2237" s="3"/>
    </row>
    <row r="2238" spans="1:13" x14ac:dyDescent="0.3">
      <c r="A2238" s="2">
        <v>2237</v>
      </c>
      <c r="B2238" s="2" t="s">
        <v>6027</v>
      </c>
      <c r="C2238" s="2" t="s">
        <v>1789</v>
      </c>
      <c r="D2238" s="2" t="s">
        <v>15</v>
      </c>
      <c r="E2238" s="2" t="s">
        <v>16</v>
      </c>
      <c r="F2238" s="2">
        <v>30</v>
      </c>
      <c r="G2238" s="2" t="s">
        <v>6028</v>
      </c>
      <c r="H2238" s="2" t="s">
        <v>5327</v>
      </c>
      <c r="I2238" s="2" t="s">
        <v>187</v>
      </c>
      <c r="J2238" s="3">
        <v>44901</v>
      </c>
      <c r="K2238" s="2">
        <v>19</v>
      </c>
      <c r="L2238" s="2" t="s">
        <v>64</v>
      </c>
      <c r="M2238" s="3"/>
    </row>
    <row r="2239" spans="1:13" x14ac:dyDescent="0.3">
      <c r="A2239" s="2">
        <v>2238</v>
      </c>
      <c r="B2239" s="2" t="s">
        <v>5266</v>
      </c>
      <c r="C2239" s="2" t="s">
        <v>766</v>
      </c>
      <c r="D2239" s="2" t="s">
        <v>28</v>
      </c>
      <c r="E2239" s="2" t="s">
        <v>29</v>
      </c>
      <c r="F2239" s="2">
        <v>30</v>
      </c>
      <c r="G2239" s="2" t="s">
        <v>6029</v>
      </c>
      <c r="H2239" s="2" t="s">
        <v>462</v>
      </c>
      <c r="I2239" s="2" t="s">
        <v>32</v>
      </c>
      <c r="J2239" s="3">
        <v>44085</v>
      </c>
      <c r="K2239" s="2">
        <v>14</v>
      </c>
      <c r="L2239" s="2" t="s">
        <v>20</v>
      </c>
      <c r="M2239" s="3"/>
    </row>
    <row r="2240" spans="1:13" x14ac:dyDescent="0.3">
      <c r="A2240" s="2">
        <v>2239</v>
      </c>
      <c r="B2240" s="2" t="s">
        <v>6030</v>
      </c>
      <c r="C2240" s="2" t="s">
        <v>6031</v>
      </c>
      <c r="D2240" s="2" t="s">
        <v>51</v>
      </c>
      <c r="E2240" s="2" t="s">
        <v>16</v>
      </c>
      <c r="F2240" s="2">
        <v>90</v>
      </c>
      <c r="G2240" s="2" t="s">
        <v>6032</v>
      </c>
      <c r="H2240" s="2" t="s">
        <v>6033</v>
      </c>
      <c r="I2240" s="2" t="s">
        <v>32</v>
      </c>
      <c r="J2240" s="3">
        <v>43963</v>
      </c>
      <c r="K2240" s="2">
        <v>9</v>
      </c>
      <c r="L2240" s="2" t="s">
        <v>45</v>
      </c>
      <c r="M2240" s="3"/>
    </row>
    <row r="2241" spans="1:13" x14ac:dyDescent="0.3">
      <c r="A2241" s="2">
        <v>2240</v>
      </c>
      <c r="B2241" s="2" t="s">
        <v>6034</v>
      </c>
      <c r="C2241" s="2" t="s">
        <v>2047</v>
      </c>
      <c r="D2241" s="2" t="s">
        <v>15</v>
      </c>
      <c r="E2241" s="2" t="s">
        <v>16</v>
      </c>
      <c r="F2241" s="2">
        <v>30</v>
      </c>
      <c r="G2241" s="2" t="s">
        <v>6035</v>
      </c>
      <c r="H2241" s="2" t="s">
        <v>6036</v>
      </c>
      <c r="I2241" s="2" t="s">
        <v>32</v>
      </c>
      <c r="J2241" s="3">
        <v>44112</v>
      </c>
      <c r="K2241" s="2">
        <v>10</v>
      </c>
      <c r="L2241" s="2" t="s">
        <v>33</v>
      </c>
      <c r="M2241" s="3"/>
    </row>
    <row r="2242" spans="1:13" x14ac:dyDescent="0.3">
      <c r="A2242" s="2">
        <v>2241</v>
      </c>
      <c r="B2242" s="2" t="s">
        <v>4727</v>
      </c>
      <c r="C2242" s="2" t="s">
        <v>1710</v>
      </c>
      <c r="D2242" s="2" t="s">
        <v>28</v>
      </c>
      <c r="E2242" s="2" t="s">
        <v>29</v>
      </c>
      <c r="F2242" s="2">
        <v>90</v>
      </c>
      <c r="G2242" s="2" t="s">
        <v>6037</v>
      </c>
      <c r="H2242" s="2" t="s">
        <v>6038</v>
      </c>
      <c r="I2242" s="2" t="s">
        <v>19</v>
      </c>
      <c r="J2242" s="3">
        <v>44854</v>
      </c>
      <c r="K2242" s="2">
        <v>14</v>
      </c>
      <c r="L2242" s="2" t="s">
        <v>101</v>
      </c>
      <c r="M2242" s="3"/>
    </row>
    <row r="2243" spans="1:13" x14ac:dyDescent="0.3">
      <c r="A2243" s="2">
        <v>2242</v>
      </c>
      <c r="B2243" s="2" t="s">
        <v>6039</v>
      </c>
      <c r="C2243" s="2" t="s">
        <v>6040</v>
      </c>
      <c r="D2243" s="2" t="s">
        <v>15</v>
      </c>
      <c r="E2243" s="2" t="s">
        <v>16</v>
      </c>
      <c r="F2243" s="2">
        <v>90</v>
      </c>
      <c r="G2243" s="2" t="s">
        <v>6041</v>
      </c>
      <c r="H2243" s="2" t="s">
        <v>4508</v>
      </c>
      <c r="I2243" s="2" t="s">
        <v>32</v>
      </c>
      <c r="J2243" s="3">
        <v>44304</v>
      </c>
      <c r="K2243" s="2">
        <v>84</v>
      </c>
      <c r="L2243" s="2" t="s">
        <v>101</v>
      </c>
      <c r="M2243" s="3"/>
    </row>
    <row r="2244" spans="1:13" x14ac:dyDescent="0.3">
      <c r="A2244" s="2">
        <v>2243</v>
      </c>
      <c r="B2244" s="2" t="s">
        <v>3706</v>
      </c>
      <c r="C2244" s="2" t="s">
        <v>6042</v>
      </c>
      <c r="D2244" s="2" t="s">
        <v>28</v>
      </c>
      <c r="E2244" s="2" t="s">
        <v>29</v>
      </c>
      <c r="F2244" s="2">
        <v>60</v>
      </c>
      <c r="G2244" s="2" t="s">
        <v>6043</v>
      </c>
      <c r="H2244" s="2" t="s">
        <v>3245</v>
      </c>
      <c r="I2244" s="2" t="s">
        <v>32</v>
      </c>
      <c r="J2244" s="3">
        <v>44067</v>
      </c>
      <c r="K2244" s="2">
        <v>84</v>
      </c>
      <c r="L2244" s="2" t="s">
        <v>101</v>
      </c>
      <c r="M2244" s="3"/>
    </row>
    <row r="2245" spans="1:13" x14ac:dyDescent="0.3">
      <c r="A2245" s="2">
        <v>2244</v>
      </c>
      <c r="B2245" s="2" t="s">
        <v>6044</v>
      </c>
      <c r="C2245" s="2" t="s">
        <v>1727</v>
      </c>
      <c r="D2245" s="2" t="s">
        <v>28</v>
      </c>
      <c r="E2245" s="2" t="s">
        <v>29</v>
      </c>
      <c r="F2245" s="2">
        <v>60</v>
      </c>
      <c r="G2245" s="2" t="s">
        <v>6045</v>
      </c>
      <c r="H2245" s="2" t="s">
        <v>2163</v>
      </c>
      <c r="I2245" s="2" t="s">
        <v>1824</v>
      </c>
      <c r="J2245" s="3">
        <v>44791</v>
      </c>
      <c r="K2245" s="2">
        <v>3</v>
      </c>
      <c r="L2245" s="2" t="s">
        <v>45</v>
      </c>
      <c r="M2245" s="3"/>
    </row>
    <row r="2246" spans="1:13" x14ac:dyDescent="0.3">
      <c r="A2246" s="2">
        <v>2245</v>
      </c>
      <c r="B2246" s="2" t="s">
        <v>6046</v>
      </c>
      <c r="C2246" s="2" t="s">
        <v>672</v>
      </c>
      <c r="D2246" s="2" t="s">
        <v>15</v>
      </c>
      <c r="E2246" s="2" t="s">
        <v>16</v>
      </c>
      <c r="F2246" s="2">
        <v>60</v>
      </c>
      <c r="G2246" s="2" t="s">
        <v>6047</v>
      </c>
      <c r="H2246" s="2" t="s">
        <v>3263</v>
      </c>
      <c r="I2246" s="2" t="s">
        <v>32</v>
      </c>
      <c r="J2246" s="3">
        <v>44474</v>
      </c>
      <c r="K2246" s="2">
        <v>78</v>
      </c>
      <c r="L2246" s="2" t="s">
        <v>159</v>
      </c>
      <c r="M2246" s="3"/>
    </row>
    <row r="2247" spans="1:13" x14ac:dyDescent="0.3">
      <c r="A2247" s="2">
        <v>2246</v>
      </c>
      <c r="B2247" s="2" t="s">
        <v>6048</v>
      </c>
      <c r="C2247" s="2" t="s">
        <v>1341</v>
      </c>
      <c r="D2247" s="2" t="s">
        <v>28</v>
      </c>
      <c r="E2247" s="2" t="s">
        <v>29</v>
      </c>
      <c r="F2247" s="2">
        <v>60</v>
      </c>
      <c r="G2247" s="2" t="s">
        <v>6049</v>
      </c>
      <c r="H2247" s="2" t="s">
        <v>6050</v>
      </c>
      <c r="I2247" s="2" t="s">
        <v>1199</v>
      </c>
      <c r="J2247" s="3">
        <v>44218</v>
      </c>
      <c r="K2247" s="2">
        <v>13</v>
      </c>
      <c r="L2247" s="2" t="s">
        <v>39</v>
      </c>
      <c r="M2247" s="3"/>
    </row>
    <row r="2248" spans="1:13" x14ac:dyDescent="0.3">
      <c r="A2248" s="2">
        <v>2247</v>
      </c>
      <c r="B2248" s="2" t="s">
        <v>6051</v>
      </c>
      <c r="C2248" s="2" t="s">
        <v>821</v>
      </c>
      <c r="D2248" s="2" t="s">
        <v>51</v>
      </c>
      <c r="E2248" s="2" t="s">
        <v>16</v>
      </c>
      <c r="F2248" s="2">
        <v>90</v>
      </c>
      <c r="G2248" s="2" t="s">
        <v>6049</v>
      </c>
      <c r="H2248" s="2" t="s">
        <v>389</v>
      </c>
      <c r="I2248" s="2" t="s">
        <v>32</v>
      </c>
      <c r="J2248" s="3">
        <v>44149</v>
      </c>
      <c r="K2248" s="2">
        <v>62</v>
      </c>
      <c r="L2248" s="2" t="s">
        <v>64</v>
      </c>
      <c r="M2248" s="3"/>
    </row>
    <row r="2249" spans="1:13" x14ac:dyDescent="0.3">
      <c r="A2249" s="2">
        <v>2248</v>
      </c>
      <c r="B2249" s="2" t="s">
        <v>1015</v>
      </c>
      <c r="C2249" s="2" t="s">
        <v>3173</v>
      </c>
      <c r="D2249" s="2" t="s">
        <v>28</v>
      </c>
      <c r="E2249" s="2" t="s">
        <v>29</v>
      </c>
      <c r="F2249" s="2">
        <v>30</v>
      </c>
      <c r="G2249" s="2" t="s">
        <v>6052</v>
      </c>
      <c r="H2249" s="2" t="s">
        <v>5283</v>
      </c>
      <c r="I2249" s="2" t="s">
        <v>32</v>
      </c>
      <c r="J2249" s="3">
        <v>44171</v>
      </c>
      <c r="K2249" s="2">
        <v>80</v>
      </c>
      <c r="L2249" s="2" t="s">
        <v>159</v>
      </c>
      <c r="M2249" s="3"/>
    </row>
    <row r="2250" spans="1:13" x14ac:dyDescent="0.3">
      <c r="A2250" s="2">
        <v>2249</v>
      </c>
      <c r="B2250" s="2" t="s">
        <v>994</v>
      </c>
      <c r="C2250" s="2" t="s">
        <v>3581</v>
      </c>
      <c r="D2250" s="2" t="s">
        <v>28</v>
      </c>
      <c r="E2250" s="2" t="s">
        <v>29</v>
      </c>
      <c r="F2250" s="2">
        <v>60</v>
      </c>
      <c r="G2250" s="2" t="s">
        <v>6053</v>
      </c>
      <c r="H2250" s="2" t="s">
        <v>3041</v>
      </c>
      <c r="I2250" s="2" t="s">
        <v>124</v>
      </c>
      <c r="J2250" s="3">
        <v>43896</v>
      </c>
      <c r="K2250" s="2">
        <v>7</v>
      </c>
      <c r="L2250" s="2" t="s">
        <v>70</v>
      </c>
      <c r="M2250" s="3"/>
    </row>
    <row r="2251" spans="1:13" x14ac:dyDescent="0.3">
      <c r="A2251" s="2">
        <v>2250</v>
      </c>
      <c r="B2251" s="2" t="s">
        <v>6054</v>
      </c>
      <c r="C2251" s="2" t="s">
        <v>6055</v>
      </c>
      <c r="D2251" s="2" t="s">
        <v>15</v>
      </c>
      <c r="E2251" s="2" t="s">
        <v>16</v>
      </c>
      <c r="F2251" s="2">
        <v>90</v>
      </c>
      <c r="G2251" s="2" t="s">
        <v>6056</v>
      </c>
      <c r="H2251" s="2" t="s">
        <v>3384</v>
      </c>
      <c r="I2251" s="2" t="s">
        <v>32</v>
      </c>
      <c r="J2251" s="3">
        <v>44080</v>
      </c>
      <c r="K2251" s="2">
        <v>2</v>
      </c>
      <c r="L2251" s="2" t="s">
        <v>159</v>
      </c>
      <c r="M2251" s="3"/>
    </row>
    <row r="2252" spans="1:13" x14ac:dyDescent="0.3">
      <c r="A2252" s="2">
        <v>2251</v>
      </c>
      <c r="B2252" s="2" t="s">
        <v>6057</v>
      </c>
      <c r="C2252" s="2" t="s">
        <v>873</v>
      </c>
      <c r="D2252" s="2" t="s">
        <v>117</v>
      </c>
      <c r="E2252" s="2" t="s">
        <v>29</v>
      </c>
      <c r="F2252" s="2">
        <v>90</v>
      </c>
      <c r="G2252" s="2" t="s">
        <v>6058</v>
      </c>
      <c r="H2252" s="2" t="s">
        <v>6059</v>
      </c>
      <c r="I2252" s="2" t="s">
        <v>32</v>
      </c>
      <c r="J2252" s="3">
        <v>44451</v>
      </c>
      <c r="K2252" s="2">
        <v>76</v>
      </c>
      <c r="L2252" s="2" t="s">
        <v>70</v>
      </c>
      <c r="M2252" s="3"/>
    </row>
    <row r="2253" spans="1:13" x14ac:dyDescent="0.3">
      <c r="A2253" s="2">
        <v>2252</v>
      </c>
      <c r="B2253" s="2" t="s">
        <v>3699</v>
      </c>
      <c r="C2253" s="2" t="s">
        <v>841</v>
      </c>
      <c r="D2253" s="2" t="s">
        <v>28</v>
      </c>
      <c r="E2253" s="2" t="s">
        <v>29</v>
      </c>
      <c r="F2253" s="2">
        <v>60</v>
      </c>
      <c r="G2253" s="2" t="s">
        <v>6060</v>
      </c>
      <c r="H2253" s="2" t="s">
        <v>5207</v>
      </c>
      <c r="I2253" s="2" t="s">
        <v>38</v>
      </c>
      <c r="J2253" s="3">
        <v>44638</v>
      </c>
      <c r="K2253" s="2">
        <v>18</v>
      </c>
      <c r="L2253" s="2" t="s">
        <v>33</v>
      </c>
      <c r="M2253" s="3"/>
    </row>
    <row r="2254" spans="1:13" x14ac:dyDescent="0.3">
      <c r="A2254" s="2">
        <v>2253</v>
      </c>
      <c r="B2254" s="2" t="s">
        <v>3588</v>
      </c>
      <c r="C2254" s="2" t="s">
        <v>2883</v>
      </c>
      <c r="D2254" s="2" t="s">
        <v>28</v>
      </c>
      <c r="E2254" s="2" t="s">
        <v>29</v>
      </c>
      <c r="F2254" s="2">
        <v>60</v>
      </c>
      <c r="G2254" s="2" t="s">
        <v>6061</v>
      </c>
      <c r="H2254" s="2" t="s">
        <v>3263</v>
      </c>
      <c r="I2254" s="2" t="s">
        <v>32</v>
      </c>
      <c r="J2254" s="3">
        <v>44731</v>
      </c>
      <c r="K2254" s="2">
        <v>70</v>
      </c>
      <c r="L2254" s="2" t="s">
        <v>64</v>
      </c>
      <c r="M2254" s="3"/>
    </row>
    <row r="2255" spans="1:13" x14ac:dyDescent="0.3">
      <c r="A2255" s="2">
        <v>2254</v>
      </c>
      <c r="B2255" s="2" t="s">
        <v>232</v>
      </c>
      <c r="C2255" s="2" t="s">
        <v>6062</v>
      </c>
      <c r="D2255" s="2" t="s">
        <v>28</v>
      </c>
      <c r="E2255" s="2" t="s">
        <v>29</v>
      </c>
      <c r="F2255" s="2">
        <v>60</v>
      </c>
      <c r="G2255" s="2" t="s">
        <v>6063</v>
      </c>
      <c r="H2255" s="2" t="s">
        <v>1594</v>
      </c>
      <c r="I2255" s="2" t="s">
        <v>178</v>
      </c>
      <c r="J2255" s="3">
        <v>44359</v>
      </c>
      <c r="K2255" s="2">
        <v>19</v>
      </c>
      <c r="L2255" s="2" t="s">
        <v>159</v>
      </c>
      <c r="M2255" s="3"/>
    </row>
    <row r="2256" spans="1:13" x14ac:dyDescent="0.3">
      <c r="A2256" s="2">
        <v>2255</v>
      </c>
      <c r="B2256" s="2" t="s">
        <v>6064</v>
      </c>
      <c r="C2256" s="2" t="s">
        <v>6065</v>
      </c>
      <c r="D2256" s="2" t="s">
        <v>15</v>
      </c>
      <c r="E2256" s="2" t="s">
        <v>16</v>
      </c>
      <c r="F2256" s="2">
        <v>30</v>
      </c>
      <c r="G2256" s="2" t="s">
        <v>6066</v>
      </c>
      <c r="H2256" s="2" t="s">
        <v>3870</v>
      </c>
      <c r="I2256" s="2" t="s">
        <v>124</v>
      </c>
      <c r="J2256" s="3">
        <v>43957</v>
      </c>
      <c r="K2256" s="2">
        <v>77</v>
      </c>
      <c r="L2256" s="2" t="s">
        <v>39</v>
      </c>
      <c r="M2256" s="3"/>
    </row>
    <row r="2257" spans="1:13" x14ac:dyDescent="0.3">
      <c r="A2257" s="2">
        <v>2256</v>
      </c>
      <c r="B2257" s="2" t="s">
        <v>6067</v>
      </c>
      <c r="C2257" s="2" t="s">
        <v>605</v>
      </c>
      <c r="D2257" s="2" t="s">
        <v>51</v>
      </c>
      <c r="E2257" s="2" t="s">
        <v>16</v>
      </c>
      <c r="F2257" s="2">
        <v>30</v>
      </c>
      <c r="G2257" s="2" t="s">
        <v>6068</v>
      </c>
      <c r="H2257" s="2" t="s">
        <v>6069</v>
      </c>
      <c r="I2257" s="2" t="s">
        <v>294</v>
      </c>
      <c r="J2257" s="3">
        <v>43915</v>
      </c>
      <c r="K2257" s="2">
        <v>45</v>
      </c>
      <c r="L2257" s="2" t="s">
        <v>33</v>
      </c>
      <c r="M2257" s="3"/>
    </row>
    <row r="2258" spans="1:13" x14ac:dyDescent="0.3">
      <c r="A2258" s="2">
        <v>2257</v>
      </c>
      <c r="B2258" s="2" t="s">
        <v>6070</v>
      </c>
      <c r="C2258" s="2" t="s">
        <v>4444</v>
      </c>
      <c r="D2258" s="2" t="s">
        <v>15</v>
      </c>
      <c r="E2258" s="2" t="s">
        <v>16</v>
      </c>
      <c r="F2258" s="2">
        <v>60</v>
      </c>
      <c r="G2258" s="2" t="s">
        <v>6071</v>
      </c>
      <c r="H2258" s="2" t="s">
        <v>2864</v>
      </c>
      <c r="I2258" s="2" t="s">
        <v>187</v>
      </c>
      <c r="J2258" s="3">
        <v>44749</v>
      </c>
      <c r="K2258" s="2">
        <v>76</v>
      </c>
      <c r="L2258" s="2" t="s">
        <v>101</v>
      </c>
      <c r="M2258" s="3"/>
    </row>
    <row r="2259" spans="1:13" x14ac:dyDescent="0.3">
      <c r="A2259" s="2">
        <v>2258</v>
      </c>
      <c r="B2259" s="2" t="s">
        <v>6072</v>
      </c>
      <c r="C2259" s="2" t="s">
        <v>6073</v>
      </c>
      <c r="D2259" s="2" t="s">
        <v>28</v>
      </c>
      <c r="E2259" s="2" t="s">
        <v>29</v>
      </c>
      <c r="F2259" s="2">
        <v>90</v>
      </c>
      <c r="G2259" s="2" t="s">
        <v>6074</v>
      </c>
      <c r="H2259" s="2" t="s">
        <v>224</v>
      </c>
      <c r="I2259" s="2" t="s">
        <v>124</v>
      </c>
      <c r="J2259" s="3">
        <v>44646</v>
      </c>
      <c r="K2259" s="2">
        <v>81</v>
      </c>
      <c r="L2259" s="2" t="s">
        <v>33</v>
      </c>
      <c r="M2259" s="3"/>
    </row>
    <row r="2260" spans="1:13" x14ac:dyDescent="0.3">
      <c r="A2260" s="2">
        <v>2259</v>
      </c>
      <c r="B2260" s="2" t="s">
        <v>6075</v>
      </c>
      <c r="C2260" s="2" t="s">
        <v>6076</v>
      </c>
      <c r="D2260" s="2" t="s">
        <v>28</v>
      </c>
      <c r="E2260" s="2" t="s">
        <v>29</v>
      </c>
      <c r="F2260" s="2">
        <v>90</v>
      </c>
      <c r="G2260" s="2" t="s">
        <v>6077</v>
      </c>
      <c r="H2260" s="2" t="s">
        <v>1111</v>
      </c>
      <c r="I2260" s="2" t="s">
        <v>32</v>
      </c>
      <c r="J2260" s="3">
        <v>44532</v>
      </c>
      <c r="K2260" s="2">
        <v>47</v>
      </c>
      <c r="L2260" s="2" t="s">
        <v>20</v>
      </c>
      <c r="M2260" s="3"/>
    </row>
    <row r="2261" spans="1:13" x14ac:dyDescent="0.3">
      <c r="A2261" s="2">
        <v>2260</v>
      </c>
      <c r="B2261" s="2" t="s">
        <v>4590</v>
      </c>
      <c r="C2261" s="2" t="s">
        <v>6078</v>
      </c>
      <c r="D2261" s="2" t="s">
        <v>51</v>
      </c>
      <c r="E2261" s="2" t="s">
        <v>16</v>
      </c>
      <c r="F2261" s="2">
        <v>90</v>
      </c>
      <c r="G2261" s="2" t="s">
        <v>6079</v>
      </c>
      <c r="H2261" s="2" t="s">
        <v>6080</v>
      </c>
      <c r="I2261" s="2" t="s">
        <v>32</v>
      </c>
      <c r="J2261" s="3">
        <v>44195</v>
      </c>
      <c r="K2261" s="2">
        <v>33</v>
      </c>
      <c r="L2261" s="2" t="s">
        <v>45</v>
      </c>
      <c r="M2261" s="3"/>
    </row>
    <row r="2262" spans="1:13" x14ac:dyDescent="0.3">
      <c r="A2262" s="2">
        <v>2261</v>
      </c>
      <c r="B2262" s="2" t="s">
        <v>6081</v>
      </c>
      <c r="C2262" s="2" t="s">
        <v>6082</v>
      </c>
      <c r="D2262" s="2" t="s">
        <v>51</v>
      </c>
      <c r="E2262" s="2" t="s">
        <v>16</v>
      </c>
      <c r="F2262" s="2">
        <v>30</v>
      </c>
      <c r="G2262" s="2" t="s">
        <v>6083</v>
      </c>
      <c r="H2262" s="2" t="s">
        <v>370</v>
      </c>
      <c r="I2262" s="2" t="s">
        <v>32</v>
      </c>
      <c r="J2262" s="3">
        <v>44390</v>
      </c>
      <c r="K2262" s="2">
        <v>3</v>
      </c>
      <c r="L2262" s="2" t="s">
        <v>80</v>
      </c>
      <c r="M2262" s="3"/>
    </row>
    <row r="2263" spans="1:13" x14ac:dyDescent="0.3">
      <c r="A2263" s="2">
        <v>2262</v>
      </c>
      <c r="B2263" s="2" t="s">
        <v>6084</v>
      </c>
      <c r="C2263" s="2" t="s">
        <v>6085</v>
      </c>
      <c r="D2263" s="2" t="s">
        <v>51</v>
      </c>
      <c r="E2263" s="2" t="s">
        <v>16</v>
      </c>
      <c r="F2263" s="2">
        <v>30</v>
      </c>
      <c r="G2263" s="2" t="s">
        <v>6086</v>
      </c>
      <c r="H2263" s="2" t="s">
        <v>6087</v>
      </c>
      <c r="I2263" s="2" t="s">
        <v>124</v>
      </c>
      <c r="J2263" s="3">
        <v>44143</v>
      </c>
      <c r="K2263" s="2">
        <v>46</v>
      </c>
      <c r="L2263" s="2" t="s">
        <v>39</v>
      </c>
      <c r="M2263" s="3"/>
    </row>
    <row r="2264" spans="1:13" x14ac:dyDescent="0.3">
      <c r="A2264" s="2">
        <v>2263</v>
      </c>
      <c r="B2264" s="2" t="s">
        <v>6088</v>
      </c>
      <c r="C2264" s="2" t="s">
        <v>6089</v>
      </c>
      <c r="D2264" s="2" t="s">
        <v>28</v>
      </c>
      <c r="E2264" s="2" t="s">
        <v>29</v>
      </c>
      <c r="F2264" s="2">
        <v>60</v>
      </c>
      <c r="G2264" s="2" t="s">
        <v>6090</v>
      </c>
      <c r="H2264" s="2" t="s">
        <v>3424</v>
      </c>
      <c r="I2264" s="2" t="s">
        <v>32</v>
      </c>
      <c r="J2264" s="3">
        <v>44603</v>
      </c>
      <c r="K2264" s="2">
        <v>62</v>
      </c>
      <c r="L2264" s="2" t="s">
        <v>39</v>
      </c>
      <c r="M2264" s="3"/>
    </row>
    <row r="2265" spans="1:13" x14ac:dyDescent="0.3">
      <c r="A2265" s="2">
        <v>2264</v>
      </c>
      <c r="B2265" s="2" t="s">
        <v>6091</v>
      </c>
      <c r="C2265" s="2" t="s">
        <v>5214</v>
      </c>
      <c r="D2265" s="2" t="s">
        <v>15</v>
      </c>
      <c r="E2265" s="2" t="s">
        <v>16</v>
      </c>
      <c r="F2265" s="2">
        <v>30</v>
      </c>
      <c r="G2265" s="2" t="s">
        <v>6092</v>
      </c>
      <c r="H2265" s="2" t="s">
        <v>3134</v>
      </c>
      <c r="I2265" s="2" t="s">
        <v>294</v>
      </c>
      <c r="J2265" s="3">
        <v>44064</v>
      </c>
      <c r="K2265" s="2">
        <v>64</v>
      </c>
      <c r="L2265" s="2" t="s">
        <v>54</v>
      </c>
      <c r="M2265" s="3"/>
    </row>
    <row r="2266" spans="1:13" x14ac:dyDescent="0.3">
      <c r="A2266" s="2">
        <v>2265</v>
      </c>
      <c r="B2266" s="2" t="s">
        <v>1661</v>
      </c>
      <c r="C2266" s="2" t="s">
        <v>6093</v>
      </c>
      <c r="D2266" s="2" t="s">
        <v>28</v>
      </c>
      <c r="E2266" s="2" t="s">
        <v>29</v>
      </c>
      <c r="F2266" s="2">
        <v>30</v>
      </c>
      <c r="G2266" s="2" t="s">
        <v>6094</v>
      </c>
      <c r="H2266" s="2" t="s">
        <v>43</v>
      </c>
      <c r="I2266" s="2" t="s">
        <v>44</v>
      </c>
      <c r="J2266" s="3">
        <v>44378</v>
      </c>
      <c r="K2266" s="2">
        <v>26</v>
      </c>
      <c r="L2266" s="2" t="s">
        <v>64</v>
      </c>
      <c r="M2266" s="3"/>
    </row>
    <row r="2267" spans="1:13" x14ac:dyDescent="0.3">
      <c r="A2267" s="2">
        <v>2266</v>
      </c>
      <c r="B2267" s="2" t="s">
        <v>4469</v>
      </c>
      <c r="C2267" s="2" t="s">
        <v>3560</v>
      </c>
      <c r="D2267" s="2" t="s">
        <v>51</v>
      </c>
      <c r="E2267" s="2" t="s">
        <v>16</v>
      </c>
      <c r="F2267" s="2">
        <v>30</v>
      </c>
      <c r="G2267" s="2" t="s">
        <v>6095</v>
      </c>
      <c r="H2267" s="2" t="s">
        <v>2354</v>
      </c>
      <c r="I2267" s="2" t="s">
        <v>178</v>
      </c>
      <c r="J2267" s="3">
        <v>44282</v>
      </c>
      <c r="K2267" s="2">
        <v>23</v>
      </c>
      <c r="L2267" s="2" t="s">
        <v>159</v>
      </c>
      <c r="M2267" s="3"/>
    </row>
    <row r="2268" spans="1:13" x14ac:dyDescent="0.3">
      <c r="A2268" s="2">
        <v>2267</v>
      </c>
      <c r="B2268" s="2" t="s">
        <v>6096</v>
      </c>
      <c r="C2268" s="2" t="s">
        <v>1237</v>
      </c>
      <c r="D2268" s="2" t="s">
        <v>28</v>
      </c>
      <c r="E2268" s="2" t="s">
        <v>29</v>
      </c>
      <c r="F2268" s="2">
        <v>30</v>
      </c>
      <c r="G2268" s="2" t="s">
        <v>6095</v>
      </c>
      <c r="H2268" s="2" t="s">
        <v>637</v>
      </c>
      <c r="I2268" s="2" t="s">
        <v>32</v>
      </c>
      <c r="J2268" s="3">
        <v>43975</v>
      </c>
      <c r="K2268" s="2">
        <v>37</v>
      </c>
      <c r="L2268" s="2" t="s">
        <v>54</v>
      </c>
      <c r="M2268" s="3"/>
    </row>
    <row r="2269" spans="1:13" x14ac:dyDescent="0.3">
      <c r="A2269" s="2">
        <v>2268</v>
      </c>
      <c r="B2269" s="2" t="s">
        <v>824</v>
      </c>
      <c r="C2269" s="2" t="s">
        <v>3735</v>
      </c>
      <c r="D2269" s="2" t="s">
        <v>28</v>
      </c>
      <c r="E2269" s="2" t="s">
        <v>29</v>
      </c>
      <c r="F2269" s="2">
        <v>90</v>
      </c>
      <c r="G2269" s="2" t="s">
        <v>6097</v>
      </c>
      <c r="H2269" s="2" t="s">
        <v>3793</v>
      </c>
      <c r="I2269" s="2" t="s">
        <v>173</v>
      </c>
      <c r="J2269" s="3">
        <v>44246</v>
      </c>
      <c r="K2269" s="2">
        <v>72</v>
      </c>
      <c r="L2269" s="2" t="s">
        <v>54</v>
      </c>
      <c r="M2269" s="3"/>
    </row>
    <row r="2270" spans="1:13" x14ac:dyDescent="0.3">
      <c r="A2270" s="2">
        <v>2269</v>
      </c>
      <c r="B2270" s="2" t="s">
        <v>5712</v>
      </c>
      <c r="C2270" s="2" t="s">
        <v>2903</v>
      </c>
      <c r="D2270" s="2" t="s">
        <v>15</v>
      </c>
      <c r="E2270" s="2" t="s">
        <v>16</v>
      </c>
      <c r="F2270" s="2">
        <v>30</v>
      </c>
      <c r="G2270" s="2" t="s">
        <v>6098</v>
      </c>
      <c r="H2270" s="2" t="s">
        <v>307</v>
      </c>
      <c r="I2270" s="2" t="s">
        <v>32</v>
      </c>
      <c r="J2270" s="3">
        <v>43959</v>
      </c>
      <c r="K2270" s="2">
        <v>17</v>
      </c>
      <c r="L2270" s="2" t="s">
        <v>33</v>
      </c>
      <c r="M2270" s="3"/>
    </row>
    <row r="2271" spans="1:13" x14ac:dyDescent="0.3">
      <c r="A2271" s="2">
        <v>2270</v>
      </c>
      <c r="B2271" s="2" t="s">
        <v>484</v>
      </c>
      <c r="C2271" s="2" t="s">
        <v>6099</v>
      </c>
      <c r="D2271" s="2" t="s">
        <v>15</v>
      </c>
      <c r="E2271" s="2" t="s">
        <v>16</v>
      </c>
      <c r="F2271" s="2">
        <v>60</v>
      </c>
      <c r="G2271" s="2" t="s">
        <v>6100</v>
      </c>
      <c r="H2271" s="2" t="s">
        <v>6101</v>
      </c>
      <c r="I2271" s="2" t="s">
        <v>32</v>
      </c>
      <c r="J2271" s="3">
        <v>44153</v>
      </c>
      <c r="K2271" s="2">
        <v>71</v>
      </c>
      <c r="L2271" s="2" t="s">
        <v>101</v>
      </c>
      <c r="M2271" s="3"/>
    </row>
    <row r="2272" spans="1:13" x14ac:dyDescent="0.3">
      <c r="A2272" s="2">
        <v>2271</v>
      </c>
      <c r="B2272" s="2" t="s">
        <v>1427</v>
      </c>
      <c r="C2272" s="2" t="s">
        <v>1410</v>
      </c>
      <c r="D2272" s="2" t="s">
        <v>28</v>
      </c>
      <c r="E2272" s="2" t="s">
        <v>29</v>
      </c>
      <c r="F2272" s="2">
        <v>90</v>
      </c>
      <c r="G2272" s="2" t="s">
        <v>6102</v>
      </c>
      <c r="H2272" s="2" t="s">
        <v>5189</v>
      </c>
      <c r="I2272" s="2" t="s">
        <v>32</v>
      </c>
      <c r="J2272" s="3">
        <v>44305</v>
      </c>
      <c r="K2272" s="2">
        <v>69</v>
      </c>
      <c r="L2272" s="2" t="s">
        <v>20</v>
      </c>
      <c r="M2272" s="3"/>
    </row>
    <row r="2273" spans="1:13" x14ac:dyDescent="0.3">
      <c r="A2273" s="2">
        <v>2272</v>
      </c>
      <c r="B2273" s="2" t="s">
        <v>6103</v>
      </c>
      <c r="C2273" s="2" t="s">
        <v>4603</v>
      </c>
      <c r="D2273" s="2" t="s">
        <v>51</v>
      </c>
      <c r="E2273" s="2" t="s">
        <v>16</v>
      </c>
      <c r="F2273" s="2">
        <v>30</v>
      </c>
      <c r="G2273" s="2" t="s">
        <v>6104</v>
      </c>
      <c r="H2273" s="2" t="s">
        <v>6105</v>
      </c>
      <c r="I2273" s="2" t="s">
        <v>32</v>
      </c>
      <c r="J2273" s="3">
        <v>44610</v>
      </c>
      <c r="K2273" s="2">
        <v>17</v>
      </c>
      <c r="L2273" s="2" t="s">
        <v>45</v>
      </c>
      <c r="M2273" s="3"/>
    </row>
    <row r="2274" spans="1:13" x14ac:dyDescent="0.3">
      <c r="A2274" s="2">
        <v>2273</v>
      </c>
      <c r="B2274" s="2" t="s">
        <v>259</v>
      </c>
      <c r="C2274" s="2" t="s">
        <v>6042</v>
      </c>
      <c r="D2274" s="2" t="s">
        <v>28</v>
      </c>
      <c r="E2274" s="2" t="s">
        <v>29</v>
      </c>
      <c r="F2274" s="2">
        <v>60</v>
      </c>
      <c r="G2274" s="2" t="s">
        <v>6106</v>
      </c>
      <c r="H2274" s="2" t="s">
        <v>1643</v>
      </c>
      <c r="I2274" s="2" t="s">
        <v>124</v>
      </c>
      <c r="J2274" s="3">
        <v>43864</v>
      </c>
      <c r="K2274" s="2">
        <v>25</v>
      </c>
      <c r="L2274" s="2" t="s">
        <v>70</v>
      </c>
      <c r="M2274" s="3"/>
    </row>
    <row r="2275" spans="1:13" x14ac:dyDescent="0.3">
      <c r="A2275" s="2">
        <v>2274</v>
      </c>
      <c r="B2275" s="2" t="s">
        <v>1890</v>
      </c>
      <c r="C2275" s="2" t="s">
        <v>1669</v>
      </c>
      <c r="D2275" s="2" t="s">
        <v>51</v>
      </c>
      <c r="E2275" s="2" t="s">
        <v>16</v>
      </c>
      <c r="F2275" s="2">
        <v>90</v>
      </c>
      <c r="G2275" s="2" t="s">
        <v>6107</v>
      </c>
      <c r="H2275" s="2" t="s">
        <v>3206</v>
      </c>
      <c r="I2275" s="2" t="s">
        <v>1199</v>
      </c>
      <c r="J2275" s="3">
        <v>43834</v>
      </c>
      <c r="K2275" s="2">
        <v>62</v>
      </c>
      <c r="L2275" s="2" t="s">
        <v>70</v>
      </c>
      <c r="M2275" s="3"/>
    </row>
    <row r="2276" spans="1:13" x14ac:dyDescent="0.3">
      <c r="A2276" s="2">
        <v>2275</v>
      </c>
      <c r="B2276" s="2" t="s">
        <v>5156</v>
      </c>
      <c r="C2276" s="2" t="s">
        <v>3662</v>
      </c>
      <c r="D2276" s="2" t="s">
        <v>15</v>
      </c>
      <c r="E2276" s="2" t="s">
        <v>16</v>
      </c>
      <c r="F2276" s="2">
        <v>60</v>
      </c>
      <c r="G2276" s="2" t="s">
        <v>6108</v>
      </c>
      <c r="H2276" s="2" t="s">
        <v>455</v>
      </c>
      <c r="I2276" s="2" t="s">
        <v>187</v>
      </c>
      <c r="J2276" s="3">
        <v>44433</v>
      </c>
      <c r="K2276" s="2">
        <v>73</v>
      </c>
      <c r="L2276" s="2" t="s">
        <v>101</v>
      </c>
      <c r="M2276" s="3"/>
    </row>
    <row r="2277" spans="1:13" x14ac:dyDescent="0.3">
      <c r="A2277" s="2">
        <v>2276</v>
      </c>
      <c r="B2277" s="2" t="s">
        <v>6109</v>
      </c>
      <c r="C2277" s="2" t="s">
        <v>696</v>
      </c>
      <c r="D2277" s="2" t="s">
        <v>15</v>
      </c>
      <c r="E2277" s="2" t="s">
        <v>16</v>
      </c>
      <c r="F2277" s="2">
        <v>30</v>
      </c>
      <c r="G2277" s="2" t="s">
        <v>6110</v>
      </c>
      <c r="H2277" s="2" t="s">
        <v>4899</v>
      </c>
      <c r="I2277" s="2" t="s">
        <v>100</v>
      </c>
      <c r="J2277" s="3">
        <v>43898</v>
      </c>
      <c r="K2277" s="2">
        <v>40</v>
      </c>
      <c r="L2277" s="2" t="s">
        <v>70</v>
      </c>
      <c r="M2277" s="3"/>
    </row>
    <row r="2278" spans="1:13" x14ac:dyDescent="0.3">
      <c r="A2278" s="2">
        <v>2277</v>
      </c>
      <c r="B2278" s="2" t="s">
        <v>6111</v>
      </c>
      <c r="C2278" s="2" t="s">
        <v>5315</v>
      </c>
      <c r="D2278" s="2" t="s">
        <v>15</v>
      </c>
      <c r="E2278" s="2" t="s">
        <v>16</v>
      </c>
      <c r="F2278" s="2">
        <v>90</v>
      </c>
      <c r="G2278" s="2" t="s">
        <v>6112</v>
      </c>
      <c r="I2278" s="2" t="s">
        <v>366</v>
      </c>
      <c r="J2278" s="3">
        <v>44620</v>
      </c>
      <c r="K2278" s="2">
        <v>40</v>
      </c>
      <c r="L2278" s="2" t="s">
        <v>101</v>
      </c>
      <c r="M2278" s="3"/>
    </row>
    <row r="2279" spans="1:13" x14ac:dyDescent="0.3">
      <c r="A2279" s="2">
        <v>2278</v>
      </c>
      <c r="B2279" s="2" t="s">
        <v>2415</v>
      </c>
      <c r="C2279" s="2" t="s">
        <v>3029</v>
      </c>
      <c r="D2279" s="2" t="s">
        <v>28</v>
      </c>
      <c r="E2279" s="2" t="s">
        <v>29</v>
      </c>
      <c r="F2279" s="2">
        <v>30</v>
      </c>
      <c r="G2279" s="2" t="s">
        <v>6113</v>
      </c>
      <c r="H2279" s="2" t="s">
        <v>4358</v>
      </c>
      <c r="I2279" s="2" t="s">
        <v>146</v>
      </c>
      <c r="J2279" s="3">
        <v>44535</v>
      </c>
      <c r="K2279" s="2">
        <v>34</v>
      </c>
      <c r="L2279" s="2" t="s">
        <v>80</v>
      </c>
      <c r="M2279" s="3"/>
    </row>
    <row r="2280" spans="1:13" x14ac:dyDescent="0.3">
      <c r="A2280" s="2">
        <v>2279</v>
      </c>
      <c r="B2280" s="2" t="s">
        <v>6114</v>
      </c>
      <c r="C2280" s="2" t="s">
        <v>2132</v>
      </c>
      <c r="D2280" s="2" t="s">
        <v>15</v>
      </c>
      <c r="E2280" s="2" t="s">
        <v>16</v>
      </c>
      <c r="F2280" s="2">
        <v>60</v>
      </c>
      <c r="G2280" s="2" t="s">
        <v>6115</v>
      </c>
      <c r="H2280" s="2" t="s">
        <v>1362</v>
      </c>
      <c r="I2280" s="2" t="s">
        <v>178</v>
      </c>
      <c r="J2280" s="3">
        <v>44428</v>
      </c>
      <c r="K2280" s="2">
        <v>52</v>
      </c>
      <c r="L2280" s="2" t="s">
        <v>64</v>
      </c>
      <c r="M2280" s="3"/>
    </row>
    <row r="2281" spans="1:13" x14ac:dyDescent="0.3">
      <c r="A2281" s="2">
        <v>2280</v>
      </c>
      <c r="B2281" s="2" t="s">
        <v>6116</v>
      </c>
      <c r="C2281" s="2" t="s">
        <v>1341</v>
      </c>
      <c r="D2281" s="2" t="s">
        <v>51</v>
      </c>
      <c r="E2281" s="2" t="s">
        <v>16</v>
      </c>
      <c r="F2281" s="2">
        <v>30</v>
      </c>
      <c r="G2281" s="2" t="s">
        <v>6117</v>
      </c>
      <c r="H2281" s="2" t="s">
        <v>4085</v>
      </c>
      <c r="I2281" s="2" t="s">
        <v>240</v>
      </c>
      <c r="J2281" s="3">
        <v>44319</v>
      </c>
      <c r="K2281" s="2">
        <v>83</v>
      </c>
      <c r="L2281" s="2" t="s">
        <v>101</v>
      </c>
      <c r="M2281" s="3"/>
    </row>
    <row r="2282" spans="1:13" x14ac:dyDescent="0.3">
      <c r="A2282" s="2">
        <v>2281</v>
      </c>
      <c r="B2282" s="2" t="s">
        <v>1096</v>
      </c>
      <c r="C2282" s="2" t="s">
        <v>2051</v>
      </c>
      <c r="D2282" s="2" t="s">
        <v>28</v>
      </c>
      <c r="E2282" s="2" t="s">
        <v>29</v>
      </c>
      <c r="F2282" s="2">
        <v>30</v>
      </c>
      <c r="G2282" s="2" t="s">
        <v>6118</v>
      </c>
      <c r="H2282" s="2" t="s">
        <v>2717</v>
      </c>
      <c r="I2282" s="2" t="s">
        <v>1889</v>
      </c>
      <c r="J2282" s="3">
        <v>44050</v>
      </c>
      <c r="K2282" s="2">
        <v>52</v>
      </c>
      <c r="L2282" s="2" t="s">
        <v>80</v>
      </c>
      <c r="M2282" s="3"/>
    </row>
    <row r="2283" spans="1:13" x14ac:dyDescent="0.3">
      <c r="A2283" s="2">
        <v>2282</v>
      </c>
      <c r="B2283" s="2" t="s">
        <v>1293</v>
      </c>
      <c r="C2283" s="2" t="s">
        <v>5168</v>
      </c>
      <c r="D2283" s="2" t="s">
        <v>15</v>
      </c>
      <c r="E2283" s="2" t="s">
        <v>16</v>
      </c>
      <c r="F2283" s="2">
        <v>60</v>
      </c>
      <c r="G2283" s="2" t="s">
        <v>6119</v>
      </c>
      <c r="H2283" s="2" t="s">
        <v>483</v>
      </c>
      <c r="I2283" s="2" t="s">
        <v>32</v>
      </c>
      <c r="J2283" s="3">
        <v>44424</v>
      </c>
      <c r="K2283" s="2">
        <v>37</v>
      </c>
      <c r="L2283" s="2" t="s">
        <v>70</v>
      </c>
      <c r="M2283" s="3"/>
    </row>
    <row r="2284" spans="1:13" x14ac:dyDescent="0.3">
      <c r="A2284" s="2">
        <v>2283</v>
      </c>
      <c r="B2284" s="2" t="s">
        <v>4430</v>
      </c>
      <c r="C2284" s="2" t="s">
        <v>3905</v>
      </c>
      <c r="D2284" s="2" t="s">
        <v>28</v>
      </c>
      <c r="E2284" s="2" t="s">
        <v>29</v>
      </c>
      <c r="F2284" s="2">
        <v>90</v>
      </c>
      <c r="G2284" s="2" t="s">
        <v>6120</v>
      </c>
      <c r="H2284" s="2" t="s">
        <v>1391</v>
      </c>
      <c r="I2284" s="2" t="s">
        <v>32</v>
      </c>
      <c r="J2284" s="3">
        <v>44685</v>
      </c>
      <c r="K2284" s="2">
        <v>54</v>
      </c>
      <c r="L2284" s="2" t="s">
        <v>101</v>
      </c>
      <c r="M2284" s="3"/>
    </row>
    <row r="2285" spans="1:13" x14ac:dyDescent="0.3">
      <c r="A2285" s="2">
        <v>2284</v>
      </c>
      <c r="B2285" s="2" t="s">
        <v>1208</v>
      </c>
      <c r="C2285" s="2" t="s">
        <v>1997</v>
      </c>
      <c r="D2285" s="2" t="s">
        <v>28</v>
      </c>
      <c r="E2285" s="2" t="s">
        <v>29</v>
      </c>
      <c r="F2285" s="2">
        <v>30</v>
      </c>
      <c r="G2285" s="2" t="s">
        <v>6121</v>
      </c>
      <c r="H2285" s="2" t="s">
        <v>6122</v>
      </c>
      <c r="I2285" s="2" t="s">
        <v>25</v>
      </c>
      <c r="J2285" s="3">
        <v>44120</v>
      </c>
      <c r="K2285" s="2">
        <v>81</v>
      </c>
      <c r="L2285" s="2" t="s">
        <v>159</v>
      </c>
      <c r="M2285" s="3"/>
    </row>
    <row r="2286" spans="1:13" x14ac:dyDescent="0.3">
      <c r="A2286" s="2">
        <v>2285</v>
      </c>
      <c r="B2286" s="2" t="s">
        <v>5567</v>
      </c>
      <c r="C2286" s="2" t="s">
        <v>2167</v>
      </c>
      <c r="D2286" s="2" t="s">
        <v>28</v>
      </c>
      <c r="E2286" s="2" t="s">
        <v>29</v>
      </c>
      <c r="F2286" s="2">
        <v>30</v>
      </c>
      <c r="G2286" s="2" t="s">
        <v>6123</v>
      </c>
      <c r="H2286" s="2" t="s">
        <v>94</v>
      </c>
      <c r="I2286" s="2" t="s">
        <v>95</v>
      </c>
      <c r="J2286" s="3">
        <v>43901</v>
      </c>
      <c r="K2286" s="2">
        <v>26</v>
      </c>
      <c r="L2286" s="2" t="s">
        <v>80</v>
      </c>
      <c r="M2286" s="3"/>
    </row>
    <row r="2287" spans="1:13" x14ac:dyDescent="0.3">
      <c r="A2287" s="2">
        <v>2286</v>
      </c>
      <c r="B2287" s="2" t="s">
        <v>3955</v>
      </c>
      <c r="C2287" s="2" t="s">
        <v>2770</v>
      </c>
      <c r="D2287" s="2" t="s">
        <v>15</v>
      </c>
      <c r="E2287" s="2" t="s">
        <v>16</v>
      </c>
      <c r="F2287" s="2">
        <v>30</v>
      </c>
      <c r="G2287" s="2" t="s">
        <v>6124</v>
      </c>
      <c r="H2287" s="2" t="s">
        <v>186</v>
      </c>
      <c r="I2287" s="2" t="s">
        <v>187</v>
      </c>
      <c r="J2287" s="3">
        <v>44339</v>
      </c>
      <c r="K2287" s="2">
        <v>89</v>
      </c>
      <c r="L2287" s="2" t="s">
        <v>70</v>
      </c>
      <c r="M2287" s="3"/>
    </row>
    <row r="2288" spans="1:13" x14ac:dyDescent="0.3">
      <c r="A2288" s="2">
        <v>2287</v>
      </c>
      <c r="B2288" s="2" t="s">
        <v>843</v>
      </c>
      <c r="C2288" s="2" t="s">
        <v>3265</v>
      </c>
      <c r="D2288" s="2" t="s">
        <v>15</v>
      </c>
      <c r="E2288" s="2" t="s">
        <v>16</v>
      </c>
      <c r="F2288" s="2">
        <v>60</v>
      </c>
      <c r="G2288" s="2" t="s">
        <v>6125</v>
      </c>
      <c r="H2288" s="2" t="s">
        <v>4256</v>
      </c>
      <c r="I2288" s="2" t="s">
        <v>1454</v>
      </c>
      <c r="J2288" s="3">
        <v>44163</v>
      </c>
      <c r="K2288" s="2">
        <v>83</v>
      </c>
      <c r="L2288" s="2" t="s">
        <v>64</v>
      </c>
      <c r="M2288" s="3"/>
    </row>
    <row r="2289" spans="1:13" x14ac:dyDescent="0.3">
      <c r="A2289" s="2">
        <v>2288</v>
      </c>
      <c r="B2289" s="2" t="s">
        <v>6126</v>
      </c>
      <c r="C2289" s="2" t="s">
        <v>1714</v>
      </c>
      <c r="D2289" s="2" t="s">
        <v>28</v>
      </c>
      <c r="E2289" s="2" t="s">
        <v>29</v>
      </c>
      <c r="F2289" s="2">
        <v>60</v>
      </c>
      <c r="G2289" s="2" t="s">
        <v>6125</v>
      </c>
      <c r="H2289" s="2" t="s">
        <v>412</v>
      </c>
      <c r="I2289" s="2" t="s">
        <v>187</v>
      </c>
      <c r="J2289" s="3">
        <v>43956</v>
      </c>
      <c r="K2289" s="2">
        <v>18</v>
      </c>
      <c r="L2289" s="2" t="s">
        <v>20</v>
      </c>
      <c r="M2289" s="3"/>
    </row>
    <row r="2290" spans="1:13" x14ac:dyDescent="0.3">
      <c r="A2290" s="2">
        <v>2289</v>
      </c>
      <c r="B2290" s="2" t="s">
        <v>6127</v>
      </c>
      <c r="C2290" s="2" t="s">
        <v>6128</v>
      </c>
      <c r="D2290" s="2" t="s">
        <v>51</v>
      </c>
      <c r="E2290" s="2" t="s">
        <v>16</v>
      </c>
      <c r="F2290" s="2">
        <v>30</v>
      </c>
      <c r="G2290" s="2" t="s">
        <v>6129</v>
      </c>
      <c r="H2290" s="2" t="s">
        <v>1512</v>
      </c>
      <c r="I2290" s="2" t="s">
        <v>25</v>
      </c>
      <c r="J2290" s="3">
        <v>44092</v>
      </c>
      <c r="K2290" s="2">
        <v>55</v>
      </c>
      <c r="L2290" s="2" t="s">
        <v>80</v>
      </c>
      <c r="M2290" s="3"/>
    </row>
    <row r="2291" spans="1:13" x14ac:dyDescent="0.3">
      <c r="A2291" s="2">
        <v>2290</v>
      </c>
      <c r="B2291" s="2" t="s">
        <v>6130</v>
      </c>
      <c r="C2291" s="2" t="s">
        <v>6131</v>
      </c>
      <c r="D2291" s="2" t="s">
        <v>51</v>
      </c>
      <c r="E2291" s="2" t="s">
        <v>16</v>
      </c>
      <c r="F2291" s="2">
        <v>90</v>
      </c>
      <c r="G2291" s="2" t="s">
        <v>6132</v>
      </c>
      <c r="H2291" s="2" t="s">
        <v>6023</v>
      </c>
      <c r="I2291" s="2" t="s">
        <v>32</v>
      </c>
      <c r="J2291" s="3">
        <v>43976</v>
      </c>
      <c r="K2291" s="2">
        <v>22</v>
      </c>
      <c r="L2291" s="2" t="s">
        <v>159</v>
      </c>
      <c r="M2291" s="3"/>
    </row>
    <row r="2292" spans="1:13" x14ac:dyDescent="0.3">
      <c r="A2292" s="2">
        <v>2291</v>
      </c>
      <c r="B2292" s="2" t="s">
        <v>6133</v>
      </c>
      <c r="C2292" s="2" t="s">
        <v>6134</v>
      </c>
      <c r="D2292" s="2" t="s">
        <v>117</v>
      </c>
      <c r="E2292" s="2" t="s">
        <v>29</v>
      </c>
      <c r="F2292" s="2">
        <v>30</v>
      </c>
      <c r="G2292" s="2" t="s">
        <v>6135</v>
      </c>
      <c r="H2292" s="2" t="s">
        <v>655</v>
      </c>
      <c r="I2292" s="2" t="s">
        <v>32</v>
      </c>
      <c r="J2292" s="3">
        <v>44650</v>
      </c>
      <c r="K2292" s="2">
        <v>44</v>
      </c>
      <c r="L2292" s="2" t="s">
        <v>33</v>
      </c>
      <c r="M2292" s="3"/>
    </row>
    <row r="2293" spans="1:13" x14ac:dyDescent="0.3">
      <c r="A2293" s="2">
        <v>2292</v>
      </c>
      <c r="B2293" s="2" t="s">
        <v>6136</v>
      </c>
      <c r="C2293" s="2" t="s">
        <v>2485</v>
      </c>
      <c r="D2293" s="2" t="s">
        <v>51</v>
      </c>
      <c r="E2293" s="2" t="s">
        <v>16</v>
      </c>
      <c r="F2293" s="2">
        <v>60</v>
      </c>
      <c r="G2293" s="2" t="s">
        <v>6137</v>
      </c>
      <c r="H2293" s="2" t="s">
        <v>3774</v>
      </c>
      <c r="I2293" s="2" t="s">
        <v>187</v>
      </c>
      <c r="J2293" s="3">
        <v>44764</v>
      </c>
      <c r="K2293" s="2">
        <v>87</v>
      </c>
      <c r="L2293" s="2" t="s">
        <v>54</v>
      </c>
      <c r="M2293" s="3"/>
    </row>
    <row r="2294" spans="1:13" x14ac:dyDescent="0.3">
      <c r="A2294" s="2">
        <v>2293</v>
      </c>
      <c r="B2294" s="2" t="s">
        <v>6138</v>
      </c>
      <c r="C2294" s="2" t="s">
        <v>6139</v>
      </c>
      <c r="D2294" s="2" t="s">
        <v>41</v>
      </c>
      <c r="E2294" s="2" t="s">
        <v>16</v>
      </c>
      <c r="F2294" s="2">
        <v>90</v>
      </c>
      <c r="G2294" s="2" t="s">
        <v>6140</v>
      </c>
      <c r="H2294" s="2" t="s">
        <v>4030</v>
      </c>
      <c r="I2294" s="2" t="s">
        <v>32</v>
      </c>
      <c r="J2294" s="3">
        <v>44918</v>
      </c>
      <c r="K2294" s="2">
        <v>22</v>
      </c>
      <c r="L2294" s="2" t="s">
        <v>80</v>
      </c>
      <c r="M2294" s="3"/>
    </row>
    <row r="2295" spans="1:13" x14ac:dyDescent="0.3">
      <c r="A2295" s="2">
        <v>2294</v>
      </c>
      <c r="B2295" s="2" t="s">
        <v>6141</v>
      </c>
      <c r="C2295" s="2" t="s">
        <v>6142</v>
      </c>
      <c r="D2295" s="2" t="s">
        <v>41</v>
      </c>
      <c r="E2295" s="2" t="s">
        <v>16</v>
      </c>
      <c r="F2295" s="2">
        <v>60</v>
      </c>
      <c r="G2295" s="2" t="s">
        <v>6143</v>
      </c>
      <c r="H2295" s="2" t="s">
        <v>1131</v>
      </c>
      <c r="I2295" s="2" t="s">
        <v>32</v>
      </c>
      <c r="J2295" s="3">
        <v>44360</v>
      </c>
      <c r="K2295" s="2">
        <v>12</v>
      </c>
      <c r="L2295" s="2" t="s">
        <v>39</v>
      </c>
      <c r="M2295" s="3"/>
    </row>
    <row r="2296" spans="1:13" x14ac:dyDescent="0.3">
      <c r="A2296" s="2">
        <v>2295</v>
      </c>
      <c r="B2296" s="2" t="s">
        <v>6144</v>
      </c>
      <c r="C2296" s="2" t="s">
        <v>2951</v>
      </c>
      <c r="D2296" s="2" t="s">
        <v>28</v>
      </c>
      <c r="E2296" s="2" t="s">
        <v>29</v>
      </c>
      <c r="F2296" s="2">
        <v>30</v>
      </c>
      <c r="G2296" s="2" t="s">
        <v>6145</v>
      </c>
      <c r="H2296" s="2" t="s">
        <v>4713</v>
      </c>
      <c r="I2296" s="2" t="s">
        <v>294</v>
      </c>
      <c r="J2296" s="3">
        <v>44616</v>
      </c>
      <c r="K2296" s="2">
        <v>73</v>
      </c>
      <c r="L2296" s="2" t="s">
        <v>159</v>
      </c>
      <c r="M2296" s="3"/>
    </row>
    <row r="2297" spans="1:13" x14ac:dyDescent="0.3">
      <c r="A2297" s="2">
        <v>2296</v>
      </c>
      <c r="B2297" s="2" t="s">
        <v>127</v>
      </c>
      <c r="C2297" s="2" t="s">
        <v>6146</v>
      </c>
      <c r="D2297" s="2" t="s">
        <v>28</v>
      </c>
      <c r="E2297" s="2" t="s">
        <v>29</v>
      </c>
      <c r="F2297" s="2">
        <v>30</v>
      </c>
      <c r="G2297" s="2" t="s">
        <v>6147</v>
      </c>
      <c r="H2297" s="2" t="s">
        <v>6148</v>
      </c>
      <c r="I2297" s="2" t="s">
        <v>110</v>
      </c>
      <c r="J2297" s="3">
        <v>44011</v>
      </c>
      <c r="K2297" s="2">
        <v>58</v>
      </c>
      <c r="L2297" s="2" t="s">
        <v>159</v>
      </c>
      <c r="M2297" s="3"/>
    </row>
    <row r="2298" spans="1:13" x14ac:dyDescent="0.3">
      <c r="A2298" s="2">
        <v>2297</v>
      </c>
      <c r="B2298" s="2" t="s">
        <v>6149</v>
      </c>
      <c r="C2298" s="2" t="s">
        <v>5428</v>
      </c>
      <c r="D2298" s="2" t="s">
        <v>28</v>
      </c>
      <c r="E2298" s="2" t="s">
        <v>29</v>
      </c>
      <c r="F2298" s="2">
        <v>30</v>
      </c>
      <c r="G2298" s="2" t="s">
        <v>6150</v>
      </c>
      <c r="H2298" s="2" t="s">
        <v>655</v>
      </c>
      <c r="I2298" s="2" t="s">
        <v>32</v>
      </c>
      <c r="J2298" s="3">
        <v>44014</v>
      </c>
      <c r="K2298" s="2">
        <v>31</v>
      </c>
      <c r="L2298" s="2" t="s">
        <v>33</v>
      </c>
      <c r="M2298" s="3"/>
    </row>
    <row r="2299" spans="1:13" x14ac:dyDescent="0.3">
      <c r="A2299" s="2">
        <v>2298</v>
      </c>
      <c r="B2299" s="2" t="s">
        <v>6151</v>
      </c>
      <c r="C2299" s="2" t="s">
        <v>4561</v>
      </c>
      <c r="D2299" s="2" t="s">
        <v>28</v>
      </c>
      <c r="E2299" s="2" t="s">
        <v>29</v>
      </c>
      <c r="F2299" s="2">
        <v>30</v>
      </c>
      <c r="G2299" s="2" t="s">
        <v>6152</v>
      </c>
      <c r="H2299" s="2" t="s">
        <v>1948</v>
      </c>
      <c r="I2299" s="2" t="s">
        <v>25</v>
      </c>
      <c r="J2299" s="3">
        <v>44583</v>
      </c>
      <c r="K2299" s="2">
        <v>74</v>
      </c>
      <c r="L2299" s="2" t="s">
        <v>54</v>
      </c>
      <c r="M2299" s="3"/>
    </row>
    <row r="2300" spans="1:13" x14ac:dyDescent="0.3">
      <c r="A2300" s="2">
        <v>2299</v>
      </c>
      <c r="B2300" s="2" t="s">
        <v>5834</v>
      </c>
      <c r="C2300" s="2" t="s">
        <v>2806</v>
      </c>
      <c r="D2300" s="2" t="s">
        <v>15</v>
      </c>
      <c r="E2300" s="2" t="s">
        <v>16</v>
      </c>
      <c r="F2300" s="2">
        <v>30</v>
      </c>
      <c r="G2300" s="2" t="s">
        <v>6153</v>
      </c>
      <c r="H2300" s="2" t="s">
        <v>6154</v>
      </c>
      <c r="I2300" s="2" t="s">
        <v>38</v>
      </c>
      <c r="J2300" s="3">
        <v>44253</v>
      </c>
      <c r="K2300" s="2">
        <v>30</v>
      </c>
      <c r="L2300" s="2" t="s">
        <v>159</v>
      </c>
      <c r="M2300" s="3"/>
    </row>
    <row r="2301" spans="1:13" x14ac:dyDescent="0.3">
      <c r="A2301" s="2">
        <v>2300</v>
      </c>
      <c r="B2301" s="2" t="s">
        <v>4599</v>
      </c>
      <c r="C2301" s="2" t="s">
        <v>3935</v>
      </c>
      <c r="D2301" s="2" t="s">
        <v>28</v>
      </c>
      <c r="E2301" s="2" t="s">
        <v>29</v>
      </c>
      <c r="F2301" s="2">
        <v>90</v>
      </c>
      <c r="G2301" s="2" t="s">
        <v>6155</v>
      </c>
      <c r="H2301" s="2" t="s">
        <v>1548</v>
      </c>
      <c r="I2301" s="2" t="s">
        <v>1549</v>
      </c>
      <c r="J2301" s="3">
        <v>44166</v>
      </c>
      <c r="K2301" s="2">
        <v>73</v>
      </c>
      <c r="L2301" s="2" t="s">
        <v>159</v>
      </c>
      <c r="M2301" s="3"/>
    </row>
    <row r="2302" spans="1:13" x14ac:dyDescent="0.3">
      <c r="A2302" s="2">
        <v>2301</v>
      </c>
      <c r="B2302" s="2" t="s">
        <v>3548</v>
      </c>
      <c r="C2302" s="2" t="s">
        <v>3997</v>
      </c>
      <c r="D2302" s="2" t="s">
        <v>28</v>
      </c>
      <c r="E2302" s="2" t="s">
        <v>29</v>
      </c>
      <c r="F2302" s="2">
        <v>30</v>
      </c>
      <c r="G2302" s="2" t="s">
        <v>6156</v>
      </c>
      <c r="H2302" s="2" t="s">
        <v>1896</v>
      </c>
      <c r="I2302" s="2" t="s">
        <v>294</v>
      </c>
      <c r="J2302" s="3">
        <v>44442</v>
      </c>
      <c r="K2302" s="2">
        <v>75</v>
      </c>
      <c r="L2302" s="2" t="s">
        <v>64</v>
      </c>
      <c r="M2302" s="3"/>
    </row>
    <row r="2303" spans="1:13" x14ac:dyDescent="0.3">
      <c r="A2303" s="2">
        <v>2302</v>
      </c>
      <c r="B2303" s="2" t="s">
        <v>899</v>
      </c>
      <c r="C2303" s="2" t="s">
        <v>3509</v>
      </c>
      <c r="D2303" s="2" t="s">
        <v>28</v>
      </c>
      <c r="E2303" s="2" t="s">
        <v>29</v>
      </c>
      <c r="F2303" s="2">
        <v>90</v>
      </c>
      <c r="G2303" s="2" t="s">
        <v>6157</v>
      </c>
      <c r="H2303" s="2" t="s">
        <v>946</v>
      </c>
      <c r="I2303" s="2" t="s">
        <v>947</v>
      </c>
      <c r="J2303" s="3">
        <v>43860</v>
      </c>
      <c r="K2303" s="2">
        <v>48</v>
      </c>
      <c r="L2303" s="2" t="s">
        <v>70</v>
      </c>
      <c r="M2303" s="3"/>
    </row>
    <row r="2304" spans="1:13" x14ac:dyDescent="0.3">
      <c r="A2304" s="2">
        <v>2303</v>
      </c>
      <c r="B2304" s="2" t="s">
        <v>6158</v>
      </c>
      <c r="C2304" s="2" t="s">
        <v>1682</v>
      </c>
      <c r="D2304" s="2" t="s">
        <v>51</v>
      </c>
      <c r="E2304" s="2" t="s">
        <v>16</v>
      </c>
      <c r="F2304" s="2">
        <v>90</v>
      </c>
      <c r="G2304" s="2" t="s">
        <v>6159</v>
      </c>
      <c r="H2304" s="2" t="s">
        <v>3365</v>
      </c>
      <c r="I2304" s="2" t="s">
        <v>146</v>
      </c>
      <c r="J2304" s="3">
        <v>44012</v>
      </c>
      <c r="K2304" s="2">
        <v>6</v>
      </c>
      <c r="L2304" s="2" t="s">
        <v>159</v>
      </c>
      <c r="M2304" s="3"/>
    </row>
    <row r="2305" spans="1:13" x14ac:dyDescent="0.3">
      <c r="A2305" s="2">
        <v>2304</v>
      </c>
      <c r="B2305" s="2" t="s">
        <v>2480</v>
      </c>
      <c r="C2305" s="2" t="s">
        <v>2922</v>
      </c>
      <c r="D2305" s="2" t="s">
        <v>15</v>
      </c>
      <c r="E2305" s="2" t="s">
        <v>16</v>
      </c>
      <c r="F2305" s="2">
        <v>30</v>
      </c>
      <c r="G2305" s="2" t="s">
        <v>6160</v>
      </c>
      <c r="H2305" s="2" t="s">
        <v>1333</v>
      </c>
      <c r="I2305" s="2" t="s">
        <v>294</v>
      </c>
      <c r="J2305" s="3">
        <v>44877</v>
      </c>
      <c r="K2305" s="2">
        <v>93</v>
      </c>
      <c r="L2305" s="2" t="s">
        <v>64</v>
      </c>
      <c r="M2305" s="3"/>
    </row>
    <row r="2306" spans="1:13" x14ac:dyDescent="0.3">
      <c r="A2306" s="2">
        <v>2305</v>
      </c>
      <c r="B2306" s="2" t="s">
        <v>6161</v>
      </c>
      <c r="C2306" s="2" t="s">
        <v>588</v>
      </c>
      <c r="D2306" s="2" t="s">
        <v>51</v>
      </c>
      <c r="E2306" s="2" t="s">
        <v>16</v>
      </c>
      <c r="F2306" s="2">
        <v>60</v>
      </c>
      <c r="G2306" s="2" t="s">
        <v>6162</v>
      </c>
      <c r="H2306" s="2" t="s">
        <v>1095</v>
      </c>
      <c r="I2306" s="2" t="s">
        <v>178</v>
      </c>
      <c r="J2306" s="3">
        <v>43889</v>
      </c>
      <c r="K2306" s="2">
        <v>23</v>
      </c>
      <c r="L2306" s="2" t="s">
        <v>54</v>
      </c>
      <c r="M2306" s="3"/>
    </row>
    <row r="2307" spans="1:13" x14ac:dyDescent="0.3">
      <c r="A2307" s="2">
        <v>2306</v>
      </c>
      <c r="B2307" s="2" t="s">
        <v>2263</v>
      </c>
      <c r="C2307" s="2" t="s">
        <v>4481</v>
      </c>
      <c r="D2307" s="2" t="s">
        <v>15</v>
      </c>
      <c r="E2307" s="2" t="s">
        <v>16</v>
      </c>
      <c r="F2307" s="2">
        <v>30</v>
      </c>
      <c r="G2307" s="2" t="s">
        <v>6163</v>
      </c>
      <c r="H2307" s="2" t="s">
        <v>2875</v>
      </c>
      <c r="I2307" s="2" t="s">
        <v>32</v>
      </c>
      <c r="J2307" s="3">
        <v>44777</v>
      </c>
      <c r="K2307" s="2">
        <v>59</v>
      </c>
      <c r="L2307" s="2" t="s">
        <v>70</v>
      </c>
      <c r="M2307" s="3"/>
    </row>
    <row r="2308" spans="1:13" x14ac:dyDescent="0.3">
      <c r="A2308" s="2">
        <v>2307</v>
      </c>
      <c r="B2308" s="2" t="s">
        <v>1998</v>
      </c>
      <c r="C2308" s="2" t="s">
        <v>1779</v>
      </c>
      <c r="D2308" s="2" t="s">
        <v>28</v>
      </c>
      <c r="E2308" s="2" t="s">
        <v>29</v>
      </c>
      <c r="F2308" s="2">
        <v>30</v>
      </c>
      <c r="G2308" s="2" t="s">
        <v>6164</v>
      </c>
      <c r="H2308" s="2" t="s">
        <v>908</v>
      </c>
      <c r="I2308" s="2" t="s">
        <v>575</v>
      </c>
      <c r="J2308" s="3">
        <v>44800</v>
      </c>
      <c r="K2308" s="2">
        <v>36</v>
      </c>
      <c r="L2308" s="2" t="s">
        <v>39</v>
      </c>
      <c r="M2308" s="3"/>
    </row>
    <row r="2309" spans="1:13" x14ac:dyDescent="0.3">
      <c r="A2309" s="2">
        <v>2308</v>
      </c>
      <c r="B2309" s="2" t="s">
        <v>6165</v>
      </c>
      <c r="C2309" s="2" t="s">
        <v>2690</v>
      </c>
      <c r="D2309" s="2" t="s">
        <v>51</v>
      </c>
      <c r="E2309" s="2" t="s">
        <v>16</v>
      </c>
      <c r="F2309" s="2">
        <v>60</v>
      </c>
      <c r="G2309" s="2" t="s">
        <v>6164</v>
      </c>
      <c r="H2309" s="2" t="s">
        <v>5340</v>
      </c>
      <c r="I2309" s="2" t="s">
        <v>32</v>
      </c>
      <c r="J2309" s="3">
        <v>43925</v>
      </c>
      <c r="K2309" s="2">
        <v>27</v>
      </c>
      <c r="L2309" s="2" t="s">
        <v>70</v>
      </c>
      <c r="M2309" s="3"/>
    </row>
    <row r="2310" spans="1:13" x14ac:dyDescent="0.3">
      <c r="A2310" s="2">
        <v>2309</v>
      </c>
      <c r="B2310" s="2" t="s">
        <v>6166</v>
      </c>
      <c r="C2310" s="2" t="s">
        <v>2422</v>
      </c>
      <c r="D2310" s="2" t="s">
        <v>28</v>
      </c>
      <c r="E2310" s="2" t="s">
        <v>29</v>
      </c>
      <c r="F2310" s="2">
        <v>60</v>
      </c>
      <c r="G2310" s="2" t="s">
        <v>6167</v>
      </c>
      <c r="H2310" s="2" t="s">
        <v>6168</v>
      </c>
      <c r="I2310" s="2" t="s">
        <v>294</v>
      </c>
      <c r="J2310" s="3">
        <v>43963</v>
      </c>
      <c r="K2310" s="2">
        <v>25</v>
      </c>
      <c r="L2310" s="2" t="s">
        <v>159</v>
      </c>
      <c r="M2310" s="3"/>
    </row>
    <row r="2311" spans="1:13" x14ac:dyDescent="0.3">
      <c r="A2311" s="2">
        <v>2310</v>
      </c>
      <c r="B2311" s="2" t="s">
        <v>1065</v>
      </c>
      <c r="C2311" s="2" t="s">
        <v>6169</v>
      </c>
      <c r="D2311" s="2" t="s">
        <v>28</v>
      </c>
      <c r="E2311" s="2" t="s">
        <v>29</v>
      </c>
      <c r="F2311" s="2">
        <v>90</v>
      </c>
      <c r="G2311" s="2" t="s">
        <v>6167</v>
      </c>
      <c r="H2311" s="2" t="s">
        <v>5069</v>
      </c>
      <c r="I2311" s="2" t="s">
        <v>32</v>
      </c>
      <c r="J2311" s="3">
        <v>44769</v>
      </c>
      <c r="K2311" s="2">
        <v>37</v>
      </c>
      <c r="L2311" s="2" t="s">
        <v>101</v>
      </c>
      <c r="M2311" s="3"/>
    </row>
    <row r="2312" spans="1:13" x14ac:dyDescent="0.3">
      <c r="A2312" s="2">
        <v>2311</v>
      </c>
      <c r="B2312" s="2" t="s">
        <v>6170</v>
      </c>
      <c r="C2312" s="2" t="s">
        <v>5541</v>
      </c>
      <c r="D2312" s="2" t="s">
        <v>28</v>
      </c>
      <c r="E2312" s="2" t="s">
        <v>29</v>
      </c>
      <c r="F2312" s="2">
        <v>30</v>
      </c>
      <c r="G2312" s="2" t="s">
        <v>6171</v>
      </c>
      <c r="H2312" s="2" t="s">
        <v>1190</v>
      </c>
      <c r="I2312" s="2" t="s">
        <v>173</v>
      </c>
      <c r="J2312" s="3">
        <v>43988</v>
      </c>
      <c r="K2312" s="2">
        <v>16</v>
      </c>
      <c r="L2312" s="2" t="s">
        <v>54</v>
      </c>
      <c r="M2312" s="3"/>
    </row>
    <row r="2313" spans="1:13" x14ac:dyDescent="0.3">
      <c r="A2313" s="2">
        <v>2312</v>
      </c>
      <c r="B2313" s="2" t="s">
        <v>6172</v>
      </c>
      <c r="C2313" s="2" t="s">
        <v>354</v>
      </c>
      <c r="D2313" s="2" t="s">
        <v>28</v>
      </c>
      <c r="E2313" s="2" t="s">
        <v>29</v>
      </c>
      <c r="F2313" s="2">
        <v>90</v>
      </c>
      <c r="G2313" s="2" t="s">
        <v>6173</v>
      </c>
      <c r="H2313" s="2" t="s">
        <v>1103</v>
      </c>
      <c r="I2313" s="2" t="s">
        <v>25</v>
      </c>
      <c r="J2313" s="3">
        <v>44230</v>
      </c>
      <c r="K2313" s="2">
        <v>49</v>
      </c>
      <c r="L2313" s="2" t="s">
        <v>80</v>
      </c>
      <c r="M2313" s="3"/>
    </row>
    <row r="2314" spans="1:13" x14ac:dyDescent="0.3">
      <c r="A2314" s="2">
        <v>2313</v>
      </c>
      <c r="B2314" s="2" t="s">
        <v>3256</v>
      </c>
      <c r="C2314" s="2" t="s">
        <v>5519</v>
      </c>
      <c r="D2314" s="2" t="s">
        <v>28</v>
      </c>
      <c r="E2314" s="2" t="s">
        <v>29</v>
      </c>
      <c r="F2314" s="2">
        <v>60</v>
      </c>
      <c r="G2314" s="2" t="s">
        <v>6174</v>
      </c>
      <c r="H2314" s="2" t="s">
        <v>4867</v>
      </c>
      <c r="I2314" s="2" t="s">
        <v>294</v>
      </c>
      <c r="J2314" s="3">
        <v>44534</v>
      </c>
      <c r="K2314" s="2">
        <v>2</v>
      </c>
      <c r="L2314" s="2" t="s">
        <v>39</v>
      </c>
      <c r="M2314" s="3"/>
    </row>
    <row r="2315" spans="1:13" x14ac:dyDescent="0.3">
      <c r="A2315" s="2">
        <v>2314</v>
      </c>
      <c r="B2315" s="2" t="s">
        <v>2734</v>
      </c>
      <c r="C2315" s="2" t="s">
        <v>4042</v>
      </c>
      <c r="D2315" s="2" t="s">
        <v>41</v>
      </c>
      <c r="E2315" s="2" t="s">
        <v>16</v>
      </c>
      <c r="F2315" s="2">
        <v>30</v>
      </c>
      <c r="G2315" s="2" t="s">
        <v>6175</v>
      </c>
      <c r="H2315" s="2" t="s">
        <v>3169</v>
      </c>
      <c r="I2315" s="2" t="s">
        <v>110</v>
      </c>
      <c r="J2315" s="3">
        <v>44114</v>
      </c>
      <c r="K2315" s="2">
        <v>26</v>
      </c>
      <c r="L2315" s="2" t="s">
        <v>54</v>
      </c>
      <c r="M2315" s="3"/>
    </row>
    <row r="2316" spans="1:13" x14ac:dyDescent="0.3">
      <c r="A2316" s="2">
        <v>2315</v>
      </c>
      <c r="B2316" s="2" t="s">
        <v>6176</v>
      </c>
      <c r="C2316" s="2" t="s">
        <v>4766</v>
      </c>
      <c r="D2316" s="2" t="s">
        <v>28</v>
      </c>
      <c r="E2316" s="2" t="s">
        <v>29</v>
      </c>
      <c r="F2316" s="2">
        <v>90</v>
      </c>
      <c r="G2316" s="2" t="s">
        <v>6177</v>
      </c>
      <c r="H2316" s="2" t="s">
        <v>2069</v>
      </c>
      <c r="I2316" s="2" t="s">
        <v>1035</v>
      </c>
      <c r="J2316" s="3">
        <v>44255</v>
      </c>
      <c r="K2316" s="2">
        <v>10</v>
      </c>
      <c r="L2316" s="2" t="s">
        <v>20</v>
      </c>
      <c r="M2316" s="3"/>
    </row>
    <row r="2317" spans="1:13" x14ac:dyDescent="0.3">
      <c r="A2317" s="2">
        <v>2316</v>
      </c>
      <c r="B2317" s="2" t="s">
        <v>2520</v>
      </c>
      <c r="C2317" s="2" t="s">
        <v>1376</v>
      </c>
      <c r="D2317" s="2" t="s">
        <v>28</v>
      </c>
      <c r="E2317" s="2" t="s">
        <v>29</v>
      </c>
      <c r="F2317" s="2">
        <v>90</v>
      </c>
      <c r="G2317" s="2" t="s">
        <v>6178</v>
      </c>
      <c r="H2317" s="2" t="s">
        <v>1206</v>
      </c>
      <c r="I2317" s="2" t="s">
        <v>294</v>
      </c>
      <c r="J2317" s="3">
        <v>44205</v>
      </c>
      <c r="K2317" s="2">
        <v>65</v>
      </c>
      <c r="L2317" s="2" t="s">
        <v>80</v>
      </c>
      <c r="M2317" s="3"/>
    </row>
    <row r="2318" spans="1:13" x14ac:dyDescent="0.3">
      <c r="A2318" s="2">
        <v>2317</v>
      </c>
      <c r="B2318" s="2" t="s">
        <v>2760</v>
      </c>
      <c r="C2318" s="2" t="s">
        <v>512</v>
      </c>
      <c r="D2318" s="2" t="s">
        <v>15</v>
      </c>
      <c r="E2318" s="2" t="s">
        <v>16</v>
      </c>
      <c r="F2318" s="2">
        <v>60</v>
      </c>
      <c r="G2318" s="2" t="s">
        <v>6179</v>
      </c>
      <c r="H2318" s="2" t="s">
        <v>5603</v>
      </c>
      <c r="I2318" s="2" t="s">
        <v>32</v>
      </c>
      <c r="J2318" s="3">
        <v>44267</v>
      </c>
      <c r="K2318" s="2">
        <v>35</v>
      </c>
      <c r="L2318" s="2" t="s">
        <v>54</v>
      </c>
      <c r="M2318" s="3"/>
    </row>
    <row r="2319" spans="1:13" x14ac:dyDescent="0.3">
      <c r="A2319" s="2">
        <v>2318</v>
      </c>
      <c r="B2319" s="2" t="s">
        <v>4018</v>
      </c>
      <c r="C2319" s="2" t="s">
        <v>4322</v>
      </c>
      <c r="D2319" s="2" t="s">
        <v>28</v>
      </c>
      <c r="E2319" s="2" t="s">
        <v>29</v>
      </c>
      <c r="F2319" s="2">
        <v>90</v>
      </c>
      <c r="G2319" s="2" t="s">
        <v>6180</v>
      </c>
      <c r="H2319" s="2" t="s">
        <v>6181</v>
      </c>
      <c r="I2319" s="2" t="s">
        <v>32</v>
      </c>
      <c r="J2319" s="3">
        <v>44803</v>
      </c>
      <c r="K2319" s="2">
        <v>18</v>
      </c>
      <c r="L2319" s="2" t="s">
        <v>45</v>
      </c>
      <c r="M2319" s="3"/>
    </row>
    <row r="2320" spans="1:13" x14ac:dyDescent="0.3">
      <c r="A2320" s="2">
        <v>2319</v>
      </c>
      <c r="B2320" s="2" t="s">
        <v>2634</v>
      </c>
      <c r="C2320" s="2" t="s">
        <v>4116</v>
      </c>
      <c r="D2320" s="2" t="s">
        <v>15</v>
      </c>
      <c r="E2320" s="2" t="s">
        <v>16</v>
      </c>
      <c r="F2320" s="2">
        <v>60</v>
      </c>
      <c r="G2320" s="2" t="s">
        <v>6182</v>
      </c>
      <c r="H2320" s="2" t="s">
        <v>5637</v>
      </c>
      <c r="I2320" s="2" t="s">
        <v>32</v>
      </c>
      <c r="J2320" s="3">
        <v>43938</v>
      </c>
      <c r="K2320" s="2">
        <v>25</v>
      </c>
      <c r="L2320" s="2" t="s">
        <v>70</v>
      </c>
      <c r="M2320" s="3"/>
    </row>
    <row r="2321" spans="1:13" x14ac:dyDescent="0.3">
      <c r="A2321" s="2">
        <v>2320</v>
      </c>
      <c r="B2321" s="2" t="s">
        <v>6183</v>
      </c>
      <c r="C2321" s="2" t="s">
        <v>3071</v>
      </c>
      <c r="D2321" s="2" t="s">
        <v>51</v>
      </c>
      <c r="E2321" s="2" t="s">
        <v>16</v>
      </c>
      <c r="F2321" s="2">
        <v>90</v>
      </c>
      <c r="G2321" s="2" t="s">
        <v>6184</v>
      </c>
      <c r="H2321" s="2" t="s">
        <v>1477</v>
      </c>
      <c r="I2321" s="2" t="s">
        <v>1478</v>
      </c>
      <c r="J2321" s="3">
        <v>44336</v>
      </c>
      <c r="K2321" s="2">
        <v>68</v>
      </c>
      <c r="L2321" s="2" t="s">
        <v>70</v>
      </c>
      <c r="M2321" s="3"/>
    </row>
    <row r="2322" spans="1:13" x14ac:dyDescent="0.3">
      <c r="A2322" s="2">
        <v>2321</v>
      </c>
      <c r="B2322" s="2" t="s">
        <v>3325</v>
      </c>
      <c r="C2322" s="2" t="s">
        <v>651</v>
      </c>
      <c r="D2322" s="2" t="s">
        <v>28</v>
      </c>
      <c r="E2322" s="2" t="s">
        <v>29</v>
      </c>
      <c r="F2322" s="2">
        <v>60</v>
      </c>
      <c r="G2322" s="2" t="s">
        <v>6185</v>
      </c>
      <c r="H2322" s="2" t="s">
        <v>5631</v>
      </c>
      <c r="I2322" s="2" t="s">
        <v>129</v>
      </c>
      <c r="J2322" s="3">
        <v>44484</v>
      </c>
      <c r="K2322" s="2">
        <v>17</v>
      </c>
      <c r="L2322" s="2" t="s">
        <v>54</v>
      </c>
      <c r="M2322" s="3"/>
    </row>
    <row r="2323" spans="1:13" x14ac:dyDescent="0.3">
      <c r="A2323" s="2">
        <v>2322</v>
      </c>
      <c r="B2323" s="2" t="s">
        <v>6186</v>
      </c>
      <c r="C2323" s="2" t="s">
        <v>4490</v>
      </c>
      <c r="D2323" s="2" t="s">
        <v>28</v>
      </c>
      <c r="E2323" s="2" t="s">
        <v>29</v>
      </c>
      <c r="F2323" s="2">
        <v>90</v>
      </c>
      <c r="G2323" s="2" t="s">
        <v>6187</v>
      </c>
      <c r="H2323" s="2" t="s">
        <v>698</v>
      </c>
      <c r="I2323" s="2" t="s">
        <v>213</v>
      </c>
      <c r="J2323" s="3">
        <v>44648</v>
      </c>
      <c r="K2323" s="2">
        <v>105</v>
      </c>
      <c r="L2323" s="2" t="s">
        <v>64</v>
      </c>
      <c r="M2323" s="3"/>
    </row>
    <row r="2324" spans="1:13" x14ac:dyDescent="0.3">
      <c r="A2324" s="2">
        <v>2323</v>
      </c>
      <c r="B2324" s="2" t="s">
        <v>6188</v>
      </c>
      <c r="C2324" s="2" t="s">
        <v>5554</v>
      </c>
      <c r="D2324" s="2" t="s">
        <v>51</v>
      </c>
      <c r="E2324" s="2" t="s">
        <v>16</v>
      </c>
      <c r="F2324" s="2">
        <v>90</v>
      </c>
      <c r="G2324" s="2" t="s">
        <v>6189</v>
      </c>
      <c r="H2324" s="2" t="s">
        <v>4598</v>
      </c>
      <c r="I2324" s="2" t="s">
        <v>187</v>
      </c>
      <c r="J2324" s="3">
        <v>44718</v>
      </c>
      <c r="K2324" s="2">
        <v>75</v>
      </c>
      <c r="L2324" s="2" t="s">
        <v>101</v>
      </c>
      <c r="M2324" s="3"/>
    </row>
    <row r="2325" spans="1:13" x14ac:dyDescent="0.3">
      <c r="A2325" s="2">
        <v>2324</v>
      </c>
      <c r="B2325" s="2" t="s">
        <v>751</v>
      </c>
      <c r="C2325" s="2" t="s">
        <v>6190</v>
      </c>
      <c r="D2325" s="2" t="s">
        <v>28</v>
      </c>
      <c r="E2325" s="2" t="s">
        <v>29</v>
      </c>
      <c r="F2325" s="2">
        <v>60</v>
      </c>
      <c r="G2325" s="2" t="s">
        <v>6191</v>
      </c>
      <c r="H2325" s="2" t="s">
        <v>5667</v>
      </c>
      <c r="I2325" s="2" t="s">
        <v>32</v>
      </c>
      <c r="J2325" s="3">
        <v>44625</v>
      </c>
      <c r="K2325" s="2">
        <v>96</v>
      </c>
      <c r="L2325" s="2" t="s">
        <v>45</v>
      </c>
      <c r="M2325" s="3"/>
    </row>
    <row r="2326" spans="1:13" x14ac:dyDescent="0.3">
      <c r="A2326" s="2">
        <v>2325</v>
      </c>
      <c r="B2326" s="2" t="s">
        <v>6192</v>
      </c>
      <c r="C2326" s="2" t="s">
        <v>2145</v>
      </c>
      <c r="D2326" s="2" t="s">
        <v>51</v>
      </c>
      <c r="E2326" s="2" t="s">
        <v>16</v>
      </c>
      <c r="F2326" s="2">
        <v>90</v>
      </c>
      <c r="G2326" s="2" t="s">
        <v>6193</v>
      </c>
      <c r="H2326" s="2" t="s">
        <v>5025</v>
      </c>
      <c r="I2326" s="2" t="s">
        <v>32</v>
      </c>
      <c r="J2326" s="3">
        <v>44734</v>
      </c>
      <c r="K2326" s="2">
        <v>50</v>
      </c>
      <c r="L2326" s="2" t="s">
        <v>159</v>
      </c>
      <c r="M2326" s="3"/>
    </row>
    <row r="2327" spans="1:13" x14ac:dyDescent="0.3">
      <c r="A2327" s="2">
        <v>2326</v>
      </c>
      <c r="B2327" s="2" t="s">
        <v>6194</v>
      </c>
      <c r="C2327" s="2" t="s">
        <v>3341</v>
      </c>
      <c r="D2327" s="2" t="s">
        <v>51</v>
      </c>
      <c r="E2327" s="2" t="s">
        <v>16</v>
      </c>
      <c r="F2327" s="2">
        <v>30</v>
      </c>
      <c r="G2327" s="2" t="s">
        <v>6195</v>
      </c>
      <c r="H2327" s="2" t="s">
        <v>168</v>
      </c>
      <c r="I2327" s="2" t="s">
        <v>32</v>
      </c>
      <c r="J2327" s="3">
        <v>44351</v>
      </c>
      <c r="K2327" s="2">
        <v>52</v>
      </c>
      <c r="L2327" s="2" t="s">
        <v>20</v>
      </c>
      <c r="M2327" s="3"/>
    </row>
    <row r="2328" spans="1:13" x14ac:dyDescent="0.3">
      <c r="A2328" s="2">
        <v>2327</v>
      </c>
      <c r="B2328" s="2" t="s">
        <v>6196</v>
      </c>
      <c r="C2328" s="2" t="s">
        <v>3614</v>
      </c>
      <c r="D2328" s="2" t="s">
        <v>51</v>
      </c>
      <c r="E2328" s="2" t="s">
        <v>16</v>
      </c>
      <c r="F2328" s="2">
        <v>60</v>
      </c>
      <c r="G2328" s="2" t="s">
        <v>6197</v>
      </c>
      <c r="H2328" s="2" t="s">
        <v>1412</v>
      </c>
      <c r="I2328" s="2" t="s">
        <v>1413</v>
      </c>
      <c r="J2328" s="3">
        <v>44022</v>
      </c>
      <c r="K2328" s="2">
        <v>60</v>
      </c>
      <c r="L2328" s="2" t="s">
        <v>39</v>
      </c>
      <c r="M2328" s="3"/>
    </row>
    <row r="2329" spans="1:13" x14ac:dyDescent="0.3">
      <c r="A2329" s="2">
        <v>2328</v>
      </c>
      <c r="B2329" s="2" t="s">
        <v>6198</v>
      </c>
      <c r="C2329" s="2" t="s">
        <v>3011</v>
      </c>
      <c r="D2329" s="2" t="s">
        <v>28</v>
      </c>
      <c r="E2329" s="2" t="s">
        <v>29</v>
      </c>
      <c r="F2329" s="2">
        <v>60</v>
      </c>
      <c r="G2329" s="2" t="s">
        <v>6199</v>
      </c>
      <c r="H2329" s="2" t="s">
        <v>5711</v>
      </c>
      <c r="I2329" s="2" t="s">
        <v>25</v>
      </c>
      <c r="J2329" s="3">
        <v>44656</v>
      </c>
      <c r="K2329" s="2">
        <v>64</v>
      </c>
      <c r="L2329" s="2" t="s">
        <v>45</v>
      </c>
      <c r="M2329" s="3"/>
    </row>
    <row r="2330" spans="1:13" x14ac:dyDescent="0.3">
      <c r="A2330" s="2">
        <v>2329</v>
      </c>
      <c r="B2330" s="2" t="s">
        <v>4401</v>
      </c>
      <c r="C2330" s="2" t="s">
        <v>6200</v>
      </c>
      <c r="D2330" s="2" t="s">
        <v>28</v>
      </c>
      <c r="E2330" s="2" t="s">
        <v>29</v>
      </c>
      <c r="F2330" s="2">
        <v>90</v>
      </c>
      <c r="G2330" s="2" t="s">
        <v>6201</v>
      </c>
      <c r="H2330" s="2" t="s">
        <v>6202</v>
      </c>
      <c r="I2330" s="2" t="s">
        <v>294</v>
      </c>
      <c r="J2330" s="3">
        <v>44402</v>
      </c>
      <c r="K2330" s="2">
        <v>62</v>
      </c>
      <c r="L2330" s="2" t="s">
        <v>159</v>
      </c>
      <c r="M2330" s="3"/>
    </row>
    <row r="2331" spans="1:13" x14ac:dyDescent="0.3">
      <c r="A2331" s="2">
        <v>2330</v>
      </c>
      <c r="B2331" s="2" t="s">
        <v>6203</v>
      </c>
      <c r="C2331" s="2" t="s">
        <v>6204</v>
      </c>
      <c r="D2331" s="2" t="s">
        <v>28</v>
      </c>
      <c r="E2331" s="2" t="s">
        <v>29</v>
      </c>
      <c r="F2331" s="2">
        <v>90</v>
      </c>
      <c r="G2331" s="2" t="s">
        <v>6205</v>
      </c>
      <c r="H2331" s="2" t="s">
        <v>3909</v>
      </c>
      <c r="I2331" s="2" t="s">
        <v>32</v>
      </c>
      <c r="J2331" s="3">
        <v>43949</v>
      </c>
      <c r="K2331" s="2">
        <v>81</v>
      </c>
      <c r="L2331" s="2" t="s">
        <v>159</v>
      </c>
      <c r="M2331" s="3"/>
    </row>
    <row r="2332" spans="1:13" x14ac:dyDescent="0.3">
      <c r="A2332" s="2">
        <v>2331</v>
      </c>
      <c r="B2332" s="2" t="s">
        <v>5702</v>
      </c>
      <c r="C2332" s="2" t="s">
        <v>5993</v>
      </c>
      <c r="D2332" s="2" t="s">
        <v>51</v>
      </c>
      <c r="E2332" s="2" t="s">
        <v>16</v>
      </c>
      <c r="F2332" s="2">
        <v>30</v>
      </c>
      <c r="G2332" s="2" t="s">
        <v>6206</v>
      </c>
      <c r="H2332" s="2" t="s">
        <v>3682</v>
      </c>
      <c r="I2332" s="2" t="s">
        <v>178</v>
      </c>
      <c r="J2332" s="3">
        <v>44804</v>
      </c>
      <c r="K2332" s="2">
        <v>8</v>
      </c>
      <c r="L2332" s="2" t="s">
        <v>64</v>
      </c>
      <c r="M2332" s="3"/>
    </row>
    <row r="2333" spans="1:13" x14ac:dyDescent="0.3">
      <c r="A2333" s="2">
        <v>2332</v>
      </c>
      <c r="B2333" s="2" t="s">
        <v>6207</v>
      </c>
      <c r="C2333" s="2" t="s">
        <v>5853</v>
      </c>
      <c r="D2333" s="2" t="s">
        <v>51</v>
      </c>
      <c r="E2333" s="2" t="s">
        <v>16</v>
      </c>
      <c r="F2333" s="2">
        <v>60</v>
      </c>
      <c r="G2333" s="2" t="s">
        <v>6208</v>
      </c>
      <c r="H2333" s="2" t="s">
        <v>3200</v>
      </c>
      <c r="I2333" s="2" t="s">
        <v>32</v>
      </c>
      <c r="J2333" s="3">
        <v>43885</v>
      </c>
      <c r="K2333" s="2">
        <v>41</v>
      </c>
      <c r="L2333" s="2" t="s">
        <v>80</v>
      </c>
      <c r="M2333" s="3"/>
    </row>
    <row r="2334" spans="1:13" x14ac:dyDescent="0.3">
      <c r="A2334" s="2">
        <v>2333</v>
      </c>
      <c r="B2334" s="2" t="s">
        <v>6209</v>
      </c>
      <c r="C2334" s="2" t="s">
        <v>321</v>
      </c>
      <c r="D2334" s="2" t="s">
        <v>15</v>
      </c>
      <c r="E2334" s="2" t="s">
        <v>16</v>
      </c>
      <c r="F2334" s="2">
        <v>30</v>
      </c>
      <c r="G2334" s="2" t="s">
        <v>6210</v>
      </c>
      <c r="H2334" s="2" t="s">
        <v>5336</v>
      </c>
      <c r="I2334" s="2" t="s">
        <v>32</v>
      </c>
      <c r="J2334" s="3">
        <v>44685</v>
      </c>
      <c r="K2334" s="2">
        <v>98</v>
      </c>
      <c r="L2334" s="2" t="s">
        <v>64</v>
      </c>
      <c r="M2334" s="3"/>
    </row>
    <row r="2335" spans="1:13" x14ac:dyDescent="0.3">
      <c r="A2335" s="2">
        <v>2334</v>
      </c>
      <c r="B2335" s="2" t="s">
        <v>6211</v>
      </c>
      <c r="C2335" s="2" t="s">
        <v>6212</v>
      </c>
      <c r="D2335" s="2" t="s">
        <v>15</v>
      </c>
      <c r="E2335" s="2" t="s">
        <v>16</v>
      </c>
      <c r="F2335" s="2">
        <v>90</v>
      </c>
      <c r="G2335" s="2" t="s">
        <v>6213</v>
      </c>
      <c r="H2335" s="2" t="s">
        <v>4256</v>
      </c>
      <c r="I2335" s="2" t="s">
        <v>1454</v>
      </c>
      <c r="J2335" s="3">
        <v>44349</v>
      </c>
      <c r="K2335" s="2">
        <v>20</v>
      </c>
      <c r="L2335" s="2" t="s">
        <v>70</v>
      </c>
      <c r="M2335" s="3"/>
    </row>
    <row r="2336" spans="1:13" x14ac:dyDescent="0.3">
      <c r="A2336" s="2">
        <v>2335</v>
      </c>
      <c r="B2336" s="2" t="s">
        <v>4647</v>
      </c>
      <c r="C2336" s="2" t="s">
        <v>3382</v>
      </c>
      <c r="D2336" s="2" t="s">
        <v>28</v>
      </c>
      <c r="E2336" s="2" t="s">
        <v>29</v>
      </c>
      <c r="F2336" s="2">
        <v>90</v>
      </c>
      <c r="G2336" s="2" t="s">
        <v>6214</v>
      </c>
      <c r="H2336" s="2" t="s">
        <v>3449</v>
      </c>
      <c r="I2336" s="2" t="s">
        <v>187</v>
      </c>
      <c r="J2336" s="3">
        <v>44223</v>
      </c>
      <c r="K2336" s="2">
        <v>63</v>
      </c>
      <c r="L2336" s="2" t="s">
        <v>80</v>
      </c>
      <c r="M2336" s="3"/>
    </row>
    <row r="2337" spans="1:13" x14ac:dyDescent="0.3">
      <c r="A2337" s="2">
        <v>2336</v>
      </c>
      <c r="B2337" s="2" t="s">
        <v>6215</v>
      </c>
      <c r="C2337" s="2" t="s">
        <v>6216</v>
      </c>
      <c r="D2337" s="2" t="s">
        <v>15</v>
      </c>
      <c r="E2337" s="2" t="s">
        <v>16</v>
      </c>
      <c r="F2337" s="2">
        <v>60</v>
      </c>
      <c r="G2337" s="2" t="s">
        <v>6217</v>
      </c>
      <c r="H2337" s="2" t="s">
        <v>2441</v>
      </c>
      <c r="I2337" s="2" t="s">
        <v>1199</v>
      </c>
      <c r="J2337" s="3">
        <v>44465</v>
      </c>
      <c r="K2337" s="2">
        <v>5</v>
      </c>
      <c r="L2337" s="2" t="s">
        <v>39</v>
      </c>
      <c r="M2337" s="3"/>
    </row>
    <row r="2338" spans="1:13" x14ac:dyDescent="0.3">
      <c r="A2338" s="2">
        <v>2337</v>
      </c>
      <c r="B2338" s="2" t="s">
        <v>6218</v>
      </c>
      <c r="C2338" s="2" t="s">
        <v>5838</v>
      </c>
      <c r="D2338" s="2" t="s">
        <v>41</v>
      </c>
      <c r="E2338" s="2" t="s">
        <v>16</v>
      </c>
      <c r="F2338" s="2">
        <v>90</v>
      </c>
      <c r="G2338" s="2" t="s">
        <v>6219</v>
      </c>
      <c r="H2338" s="2" t="s">
        <v>978</v>
      </c>
      <c r="I2338" s="2" t="s">
        <v>294</v>
      </c>
      <c r="J2338" s="3">
        <v>44550</v>
      </c>
      <c r="K2338" s="2">
        <v>72</v>
      </c>
      <c r="L2338" s="2" t="s">
        <v>20</v>
      </c>
      <c r="M2338" s="3"/>
    </row>
    <row r="2339" spans="1:13" x14ac:dyDescent="0.3">
      <c r="A2339" s="2">
        <v>2338</v>
      </c>
      <c r="B2339" s="2" t="s">
        <v>6220</v>
      </c>
      <c r="C2339" s="2" t="s">
        <v>6221</v>
      </c>
      <c r="D2339" s="2" t="s">
        <v>15</v>
      </c>
      <c r="E2339" s="2" t="s">
        <v>16</v>
      </c>
      <c r="F2339" s="2">
        <v>90</v>
      </c>
      <c r="G2339" s="2" t="s">
        <v>6222</v>
      </c>
      <c r="H2339" s="2" t="s">
        <v>3437</v>
      </c>
      <c r="I2339" s="2" t="s">
        <v>100</v>
      </c>
      <c r="J2339" s="3">
        <v>44877</v>
      </c>
      <c r="K2339" s="2">
        <v>70</v>
      </c>
      <c r="L2339" s="2" t="s">
        <v>64</v>
      </c>
      <c r="M2339" s="3"/>
    </row>
    <row r="2340" spans="1:13" x14ac:dyDescent="0.3">
      <c r="A2340" s="2">
        <v>2339</v>
      </c>
      <c r="B2340" s="2" t="s">
        <v>6223</v>
      </c>
      <c r="C2340" s="2" t="s">
        <v>1208</v>
      </c>
      <c r="D2340" s="2" t="s">
        <v>51</v>
      </c>
      <c r="E2340" s="2" t="s">
        <v>16</v>
      </c>
      <c r="F2340" s="2">
        <v>90</v>
      </c>
      <c r="G2340" s="2" t="s">
        <v>6222</v>
      </c>
      <c r="H2340" s="2" t="s">
        <v>6224</v>
      </c>
      <c r="I2340" s="2" t="s">
        <v>294</v>
      </c>
      <c r="J2340" s="3">
        <v>44419</v>
      </c>
      <c r="K2340" s="2">
        <v>82</v>
      </c>
      <c r="L2340" s="2" t="s">
        <v>64</v>
      </c>
      <c r="M2340" s="3"/>
    </row>
    <row r="2341" spans="1:13" x14ac:dyDescent="0.3">
      <c r="A2341" s="2">
        <v>2340</v>
      </c>
      <c r="B2341" s="2" t="s">
        <v>671</v>
      </c>
      <c r="C2341" s="2" t="s">
        <v>1853</v>
      </c>
      <c r="D2341" s="2" t="s">
        <v>15</v>
      </c>
      <c r="E2341" s="2" t="s">
        <v>16</v>
      </c>
      <c r="F2341" s="2">
        <v>30</v>
      </c>
      <c r="G2341" s="2" t="s">
        <v>6225</v>
      </c>
      <c r="H2341" s="2" t="s">
        <v>3056</v>
      </c>
      <c r="I2341" s="2" t="s">
        <v>187</v>
      </c>
      <c r="J2341" s="3">
        <v>44340</v>
      </c>
      <c r="K2341" s="2">
        <v>24</v>
      </c>
      <c r="L2341" s="2" t="s">
        <v>101</v>
      </c>
      <c r="M2341" s="3"/>
    </row>
    <row r="2342" spans="1:13" x14ac:dyDescent="0.3">
      <c r="A2342" s="2">
        <v>2341</v>
      </c>
      <c r="B2342" s="2" t="s">
        <v>727</v>
      </c>
      <c r="C2342" s="2" t="s">
        <v>6226</v>
      </c>
      <c r="D2342" s="2" t="s">
        <v>28</v>
      </c>
      <c r="E2342" s="2" t="s">
        <v>29</v>
      </c>
      <c r="F2342" s="2">
        <v>90</v>
      </c>
      <c r="G2342" s="2" t="s">
        <v>6227</v>
      </c>
      <c r="H2342" s="2" t="s">
        <v>6228</v>
      </c>
      <c r="I2342" s="2" t="s">
        <v>187</v>
      </c>
      <c r="J2342" s="3">
        <v>44349</v>
      </c>
      <c r="K2342" s="2">
        <v>80</v>
      </c>
      <c r="L2342" s="2" t="s">
        <v>54</v>
      </c>
      <c r="M2342" s="3"/>
    </row>
    <row r="2343" spans="1:13" x14ac:dyDescent="0.3">
      <c r="A2343" s="2">
        <v>2342</v>
      </c>
      <c r="B2343" s="2" t="s">
        <v>6229</v>
      </c>
      <c r="C2343" s="2" t="s">
        <v>1654</v>
      </c>
      <c r="D2343" s="2" t="s">
        <v>51</v>
      </c>
      <c r="E2343" s="2" t="s">
        <v>16</v>
      </c>
      <c r="F2343" s="2">
        <v>60</v>
      </c>
      <c r="G2343" s="2" t="s">
        <v>6230</v>
      </c>
      <c r="H2343" s="2" t="s">
        <v>3459</v>
      </c>
      <c r="I2343" s="2" t="s">
        <v>178</v>
      </c>
      <c r="J2343" s="3">
        <v>44472</v>
      </c>
      <c r="K2343" s="2">
        <v>38</v>
      </c>
      <c r="L2343" s="2" t="s">
        <v>80</v>
      </c>
      <c r="M2343" s="3"/>
    </row>
    <row r="2344" spans="1:13" x14ac:dyDescent="0.3">
      <c r="A2344" s="2">
        <v>2343</v>
      </c>
      <c r="B2344" s="2" t="s">
        <v>6231</v>
      </c>
      <c r="C2344" s="2" t="s">
        <v>6232</v>
      </c>
      <c r="D2344" s="2" t="s">
        <v>51</v>
      </c>
      <c r="E2344" s="2" t="s">
        <v>16</v>
      </c>
      <c r="F2344" s="2">
        <v>90</v>
      </c>
      <c r="G2344" s="2" t="s">
        <v>6233</v>
      </c>
      <c r="H2344" s="2" t="s">
        <v>6234</v>
      </c>
      <c r="I2344" s="2" t="s">
        <v>32</v>
      </c>
      <c r="J2344" s="3">
        <v>44313</v>
      </c>
      <c r="K2344" s="2">
        <v>12</v>
      </c>
      <c r="L2344" s="2" t="s">
        <v>39</v>
      </c>
      <c r="M2344" s="3"/>
    </row>
    <row r="2345" spans="1:13" x14ac:dyDescent="0.3">
      <c r="A2345" s="2">
        <v>2344</v>
      </c>
      <c r="B2345" s="2" t="s">
        <v>6235</v>
      </c>
      <c r="C2345" s="2" t="s">
        <v>5254</v>
      </c>
      <c r="D2345" s="2" t="s">
        <v>51</v>
      </c>
      <c r="E2345" s="2" t="s">
        <v>16</v>
      </c>
      <c r="F2345" s="2">
        <v>60</v>
      </c>
      <c r="G2345" s="2" t="s">
        <v>6236</v>
      </c>
      <c r="H2345" s="2" t="s">
        <v>1138</v>
      </c>
      <c r="I2345" s="2" t="s">
        <v>124</v>
      </c>
      <c r="J2345" s="3">
        <v>44843</v>
      </c>
      <c r="K2345" s="2">
        <v>21</v>
      </c>
      <c r="L2345" s="2" t="s">
        <v>70</v>
      </c>
      <c r="M2345" s="3"/>
    </row>
    <row r="2346" spans="1:13" x14ac:dyDescent="0.3">
      <c r="A2346" s="2">
        <v>2345</v>
      </c>
      <c r="B2346" s="2" t="s">
        <v>1009</v>
      </c>
      <c r="C2346" s="2" t="s">
        <v>6237</v>
      </c>
      <c r="D2346" s="2" t="s">
        <v>51</v>
      </c>
      <c r="E2346" s="2" t="s">
        <v>16</v>
      </c>
      <c r="F2346" s="2">
        <v>60</v>
      </c>
      <c r="G2346" s="2" t="s">
        <v>6238</v>
      </c>
      <c r="H2346" s="2" t="s">
        <v>2727</v>
      </c>
      <c r="I2346" s="2" t="s">
        <v>2330</v>
      </c>
      <c r="J2346" s="3">
        <v>44437</v>
      </c>
      <c r="K2346" s="2">
        <v>64</v>
      </c>
      <c r="L2346" s="2" t="s">
        <v>101</v>
      </c>
      <c r="M2346" s="3"/>
    </row>
    <row r="2347" spans="1:13" x14ac:dyDescent="0.3">
      <c r="A2347" s="2">
        <v>2346</v>
      </c>
      <c r="B2347" s="2" t="s">
        <v>1128</v>
      </c>
      <c r="C2347" s="2" t="s">
        <v>6076</v>
      </c>
      <c r="D2347" s="2" t="s">
        <v>28</v>
      </c>
      <c r="E2347" s="2" t="s">
        <v>29</v>
      </c>
      <c r="F2347" s="2">
        <v>30</v>
      </c>
      <c r="G2347" s="2" t="s">
        <v>6239</v>
      </c>
      <c r="H2347" s="2" t="s">
        <v>5243</v>
      </c>
      <c r="I2347" s="2" t="s">
        <v>25</v>
      </c>
      <c r="J2347" s="3">
        <v>44061</v>
      </c>
      <c r="K2347" s="2">
        <v>19</v>
      </c>
      <c r="L2347" s="2" t="s">
        <v>64</v>
      </c>
      <c r="M2347" s="3"/>
    </row>
    <row r="2348" spans="1:13" x14ac:dyDescent="0.3">
      <c r="A2348" s="2">
        <v>2347</v>
      </c>
      <c r="B2348" s="2" t="s">
        <v>6240</v>
      </c>
      <c r="C2348" s="2" t="s">
        <v>5310</v>
      </c>
      <c r="D2348" s="2" t="s">
        <v>51</v>
      </c>
      <c r="E2348" s="2" t="s">
        <v>16</v>
      </c>
      <c r="F2348" s="2">
        <v>60</v>
      </c>
      <c r="G2348" s="2" t="s">
        <v>6241</v>
      </c>
      <c r="H2348" s="2" t="s">
        <v>5420</v>
      </c>
      <c r="I2348" s="2" t="s">
        <v>32</v>
      </c>
      <c r="J2348" s="3">
        <v>44882</v>
      </c>
      <c r="K2348" s="2">
        <v>5</v>
      </c>
      <c r="L2348" s="2" t="s">
        <v>64</v>
      </c>
      <c r="M2348" s="3"/>
    </row>
    <row r="2349" spans="1:13" x14ac:dyDescent="0.3">
      <c r="A2349" s="2">
        <v>2348</v>
      </c>
      <c r="B2349" s="2" t="s">
        <v>6242</v>
      </c>
      <c r="C2349" s="2" t="s">
        <v>1746</v>
      </c>
      <c r="D2349" s="2" t="s">
        <v>15</v>
      </c>
      <c r="E2349" s="2" t="s">
        <v>16</v>
      </c>
      <c r="F2349" s="2">
        <v>90</v>
      </c>
      <c r="G2349" s="2" t="s">
        <v>6243</v>
      </c>
      <c r="H2349" s="2" t="s">
        <v>1232</v>
      </c>
      <c r="I2349" s="2" t="s">
        <v>1233</v>
      </c>
      <c r="J2349" s="3">
        <v>44545</v>
      </c>
      <c r="K2349" s="2">
        <v>64</v>
      </c>
      <c r="L2349" s="2" t="s">
        <v>70</v>
      </c>
      <c r="M2349" s="3"/>
    </row>
    <row r="2350" spans="1:13" x14ac:dyDescent="0.3">
      <c r="A2350" s="2">
        <v>2349</v>
      </c>
      <c r="B2350" s="2" t="s">
        <v>5920</v>
      </c>
      <c r="C2350" s="2" t="s">
        <v>4974</v>
      </c>
      <c r="D2350" s="2" t="s">
        <v>28</v>
      </c>
      <c r="E2350" s="2" t="s">
        <v>29</v>
      </c>
      <c r="F2350" s="2">
        <v>30</v>
      </c>
      <c r="G2350" s="2" t="s">
        <v>6244</v>
      </c>
      <c r="H2350" s="2" t="s">
        <v>1214</v>
      </c>
      <c r="I2350" s="2" t="s">
        <v>32</v>
      </c>
      <c r="J2350" s="3">
        <v>44025</v>
      </c>
      <c r="K2350" s="2">
        <v>59</v>
      </c>
      <c r="L2350" s="2" t="s">
        <v>159</v>
      </c>
      <c r="M2350" s="3"/>
    </row>
    <row r="2351" spans="1:13" x14ac:dyDescent="0.3">
      <c r="A2351" s="2">
        <v>2350</v>
      </c>
      <c r="B2351" s="2" t="s">
        <v>6245</v>
      </c>
      <c r="C2351" s="2" t="s">
        <v>6212</v>
      </c>
      <c r="D2351" s="2" t="s">
        <v>51</v>
      </c>
      <c r="E2351" s="2" t="s">
        <v>16</v>
      </c>
      <c r="F2351" s="2">
        <v>60</v>
      </c>
      <c r="G2351" s="2" t="s">
        <v>6246</v>
      </c>
      <c r="H2351" s="2" t="s">
        <v>1284</v>
      </c>
      <c r="I2351" s="2" t="s">
        <v>32</v>
      </c>
      <c r="J2351" s="3">
        <v>44096</v>
      </c>
      <c r="K2351" s="2">
        <v>19</v>
      </c>
      <c r="L2351" s="2" t="s">
        <v>33</v>
      </c>
      <c r="M2351" s="3"/>
    </row>
    <row r="2352" spans="1:13" x14ac:dyDescent="0.3">
      <c r="A2352" s="2">
        <v>2351</v>
      </c>
      <c r="B2352" s="2" t="s">
        <v>5695</v>
      </c>
      <c r="C2352" s="2" t="s">
        <v>6247</v>
      </c>
      <c r="D2352" s="2" t="s">
        <v>28</v>
      </c>
      <c r="E2352" s="2" t="s">
        <v>29</v>
      </c>
      <c r="F2352" s="2">
        <v>90</v>
      </c>
      <c r="G2352" s="2" t="s">
        <v>6248</v>
      </c>
      <c r="H2352" s="2" t="s">
        <v>1168</v>
      </c>
      <c r="I2352" s="2" t="s">
        <v>32</v>
      </c>
      <c r="J2352" s="3">
        <v>44646</v>
      </c>
      <c r="K2352" s="2">
        <v>22</v>
      </c>
      <c r="L2352" s="2" t="s">
        <v>20</v>
      </c>
      <c r="M2352" s="3"/>
    </row>
    <row r="2353" spans="1:13" x14ac:dyDescent="0.3">
      <c r="A2353" s="2">
        <v>2352</v>
      </c>
      <c r="B2353" s="2" t="s">
        <v>6249</v>
      </c>
      <c r="C2353" s="2" t="s">
        <v>4489</v>
      </c>
      <c r="D2353" s="2" t="s">
        <v>28</v>
      </c>
      <c r="E2353" s="2" t="s">
        <v>29</v>
      </c>
      <c r="F2353" s="2">
        <v>60</v>
      </c>
      <c r="G2353" s="2" t="s">
        <v>6250</v>
      </c>
      <c r="H2353" s="2" t="s">
        <v>985</v>
      </c>
      <c r="I2353" s="2" t="s">
        <v>38</v>
      </c>
      <c r="J2353" s="3">
        <v>44021</v>
      </c>
      <c r="K2353" s="2">
        <v>50</v>
      </c>
      <c r="L2353" s="2" t="s">
        <v>80</v>
      </c>
      <c r="M2353" s="3"/>
    </row>
    <row r="2354" spans="1:13" x14ac:dyDescent="0.3">
      <c r="A2354" s="2">
        <v>2353</v>
      </c>
      <c r="B2354" s="2" t="s">
        <v>6251</v>
      </c>
      <c r="C2354" s="2" t="s">
        <v>1041</v>
      </c>
      <c r="D2354" s="2" t="s">
        <v>15</v>
      </c>
      <c r="E2354" s="2" t="s">
        <v>16</v>
      </c>
      <c r="F2354" s="2">
        <v>60</v>
      </c>
      <c r="G2354" s="2" t="s">
        <v>6252</v>
      </c>
      <c r="H2354" s="2" t="s">
        <v>917</v>
      </c>
      <c r="I2354" s="2" t="s">
        <v>32</v>
      </c>
      <c r="J2354" s="3">
        <v>44662</v>
      </c>
      <c r="K2354" s="2">
        <v>22</v>
      </c>
      <c r="L2354" s="2" t="s">
        <v>54</v>
      </c>
      <c r="M2354" s="3"/>
    </row>
    <row r="2355" spans="1:13" x14ac:dyDescent="0.3">
      <c r="A2355" s="2">
        <v>2354</v>
      </c>
      <c r="B2355" s="2" t="s">
        <v>6253</v>
      </c>
      <c r="C2355" s="2" t="s">
        <v>2853</v>
      </c>
      <c r="D2355" s="2" t="s">
        <v>28</v>
      </c>
      <c r="E2355" s="2" t="s">
        <v>29</v>
      </c>
      <c r="F2355" s="2">
        <v>30</v>
      </c>
      <c r="G2355" s="2" t="s">
        <v>6254</v>
      </c>
      <c r="H2355" s="2" t="s">
        <v>2348</v>
      </c>
      <c r="I2355" s="2" t="s">
        <v>32</v>
      </c>
      <c r="J2355" s="3">
        <v>44751</v>
      </c>
      <c r="K2355" s="2">
        <v>75</v>
      </c>
      <c r="L2355" s="2" t="s">
        <v>80</v>
      </c>
      <c r="M2355" s="3"/>
    </row>
    <row r="2356" spans="1:13" x14ac:dyDescent="0.3">
      <c r="A2356" s="2">
        <v>2355</v>
      </c>
      <c r="B2356" s="2" t="s">
        <v>3857</v>
      </c>
      <c r="C2356" s="2" t="s">
        <v>6255</v>
      </c>
      <c r="D2356" s="2" t="s">
        <v>51</v>
      </c>
      <c r="E2356" s="2" t="s">
        <v>16</v>
      </c>
      <c r="F2356" s="2">
        <v>90</v>
      </c>
      <c r="G2356" s="2" t="s">
        <v>6256</v>
      </c>
      <c r="H2356" s="2" t="s">
        <v>2613</v>
      </c>
      <c r="I2356" s="2" t="s">
        <v>32</v>
      </c>
      <c r="J2356" s="3">
        <v>44413</v>
      </c>
      <c r="K2356" s="2">
        <v>75</v>
      </c>
      <c r="L2356" s="2" t="s">
        <v>39</v>
      </c>
      <c r="M2356" s="3"/>
    </row>
    <row r="2357" spans="1:13" x14ac:dyDescent="0.3">
      <c r="A2357" s="2">
        <v>2356</v>
      </c>
      <c r="B2357" s="2" t="s">
        <v>4596</v>
      </c>
      <c r="C2357" s="2" t="s">
        <v>5891</v>
      </c>
      <c r="D2357" s="2" t="s">
        <v>28</v>
      </c>
      <c r="E2357" s="2" t="s">
        <v>29</v>
      </c>
      <c r="F2357" s="2">
        <v>30</v>
      </c>
      <c r="G2357" s="2" t="s">
        <v>6257</v>
      </c>
      <c r="H2357" s="2" t="s">
        <v>4541</v>
      </c>
      <c r="I2357" s="2" t="s">
        <v>89</v>
      </c>
      <c r="J2357" s="3">
        <v>44133</v>
      </c>
      <c r="K2357" s="2">
        <v>49</v>
      </c>
      <c r="L2357" s="2" t="s">
        <v>45</v>
      </c>
      <c r="M2357" s="3"/>
    </row>
    <row r="2358" spans="1:13" x14ac:dyDescent="0.3">
      <c r="A2358" s="2">
        <v>2357</v>
      </c>
      <c r="B2358" s="2" t="s">
        <v>747</v>
      </c>
      <c r="C2358" s="2" t="s">
        <v>5786</v>
      </c>
      <c r="D2358" s="2" t="s">
        <v>51</v>
      </c>
      <c r="E2358" s="2" t="s">
        <v>16</v>
      </c>
      <c r="F2358" s="2">
        <v>30</v>
      </c>
      <c r="G2358" s="2" t="s">
        <v>6258</v>
      </c>
      <c r="H2358" s="2" t="s">
        <v>6259</v>
      </c>
      <c r="I2358" s="2" t="s">
        <v>6260</v>
      </c>
      <c r="J2358" s="3">
        <v>43945</v>
      </c>
      <c r="K2358" s="2">
        <v>36</v>
      </c>
      <c r="L2358" s="2" t="s">
        <v>70</v>
      </c>
      <c r="M2358" s="3"/>
    </row>
    <row r="2359" spans="1:13" x14ac:dyDescent="0.3">
      <c r="A2359" s="2">
        <v>2358</v>
      </c>
      <c r="B2359" s="2" t="s">
        <v>2203</v>
      </c>
      <c r="C2359" s="2" t="s">
        <v>6261</v>
      </c>
      <c r="D2359" s="2" t="s">
        <v>28</v>
      </c>
      <c r="E2359" s="2" t="s">
        <v>29</v>
      </c>
      <c r="F2359" s="2">
        <v>60</v>
      </c>
      <c r="G2359" s="2" t="s">
        <v>6262</v>
      </c>
      <c r="H2359" s="2" t="s">
        <v>2552</v>
      </c>
      <c r="I2359" s="2" t="s">
        <v>32</v>
      </c>
      <c r="J2359" s="3">
        <v>44099</v>
      </c>
      <c r="K2359" s="2">
        <v>72</v>
      </c>
      <c r="L2359" s="2" t="s">
        <v>70</v>
      </c>
      <c r="M2359" s="3"/>
    </row>
    <row r="2360" spans="1:13" x14ac:dyDescent="0.3">
      <c r="A2360" s="2">
        <v>2359</v>
      </c>
      <c r="B2360" s="2" t="s">
        <v>4099</v>
      </c>
      <c r="C2360" s="2" t="s">
        <v>748</v>
      </c>
      <c r="D2360" s="2" t="s">
        <v>15</v>
      </c>
      <c r="E2360" s="2" t="s">
        <v>16</v>
      </c>
      <c r="F2360" s="2">
        <v>90</v>
      </c>
      <c r="G2360" s="2" t="s">
        <v>6263</v>
      </c>
      <c r="H2360" s="2" t="s">
        <v>4098</v>
      </c>
      <c r="I2360" s="2" t="s">
        <v>1889</v>
      </c>
      <c r="J2360" s="3">
        <v>44317</v>
      </c>
      <c r="K2360" s="2">
        <v>8</v>
      </c>
      <c r="L2360" s="2" t="s">
        <v>64</v>
      </c>
      <c r="M2360" s="3"/>
    </row>
    <row r="2361" spans="1:13" x14ac:dyDescent="0.3">
      <c r="A2361" s="2">
        <v>2360</v>
      </c>
      <c r="B2361" s="2" t="s">
        <v>6264</v>
      </c>
      <c r="C2361" s="2" t="s">
        <v>376</v>
      </c>
      <c r="D2361" s="2" t="s">
        <v>28</v>
      </c>
      <c r="E2361" s="2" t="s">
        <v>29</v>
      </c>
      <c r="F2361" s="2">
        <v>30</v>
      </c>
      <c r="G2361" s="2" t="s">
        <v>6265</v>
      </c>
      <c r="H2361" s="2" t="s">
        <v>221</v>
      </c>
      <c r="I2361" s="2" t="s">
        <v>32</v>
      </c>
      <c r="J2361" s="3">
        <v>44393</v>
      </c>
      <c r="K2361" s="2">
        <v>91</v>
      </c>
      <c r="L2361" s="2" t="s">
        <v>80</v>
      </c>
      <c r="M2361" s="3"/>
    </row>
    <row r="2362" spans="1:13" x14ac:dyDescent="0.3">
      <c r="A2362" s="2">
        <v>2361</v>
      </c>
      <c r="B2362" s="2" t="s">
        <v>3811</v>
      </c>
      <c r="C2362" s="2" t="s">
        <v>4626</v>
      </c>
      <c r="D2362" s="2" t="s">
        <v>28</v>
      </c>
      <c r="E2362" s="2" t="s">
        <v>29</v>
      </c>
      <c r="F2362" s="2">
        <v>90</v>
      </c>
      <c r="G2362" s="2" t="s">
        <v>6266</v>
      </c>
      <c r="H2362" s="2" t="s">
        <v>2154</v>
      </c>
      <c r="I2362" s="2" t="s">
        <v>124</v>
      </c>
      <c r="J2362" s="3">
        <v>43873</v>
      </c>
      <c r="K2362" s="2">
        <v>19</v>
      </c>
      <c r="L2362" s="2" t="s">
        <v>101</v>
      </c>
      <c r="M2362" s="3"/>
    </row>
    <row r="2363" spans="1:13" x14ac:dyDescent="0.3">
      <c r="A2363" s="2">
        <v>2362</v>
      </c>
      <c r="B2363" s="2" t="s">
        <v>6267</v>
      </c>
      <c r="C2363" s="2" t="s">
        <v>3938</v>
      </c>
      <c r="D2363" s="2" t="s">
        <v>51</v>
      </c>
      <c r="E2363" s="2" t="s">
        <v>16</v>
      </c>
      <c r="F2363" s="2">
        <v>90</v>
      </c>
      <c r="G2363" s="2" t="s">
        <v>6268</v>
      </c>
      <c r="H2363" s="2" t="s">
        <v>1374</v>
      </c>
      <c r="I2363" s="2" t="s">
        <v>294</v>
      </c>
      <c r="J2363" s="3">
        <v>44861</v>
      </c>
      <c r="K2363" s="2">
        <v>103</v>
      </c>
      <c r="L2363" s="2" t="s">
        <v>159</v>
      </c>
      <c r="M2363" s="3"/>
    </row>
    <row r="2364" spans="1:13" x14ac:dyDescent="0.3">
      <c r="A2364" s="2">
        <v>2363</v>
      </c>
      <c r="B2364" s="2" t="s">
        <v>2682</v>
      </c>
      <c r="C2364" s="2" t="s">
        <v>2856</v>
      </c>
      <c r="D2364" s="2" t="s">
        <v>28</v>
      </c>
      <c r="E2364" s="2" t="s">
        <v>29</v>
      </c>
      <c r="F2364" s="2">
        <v>60</v>
      </c>
      <c r="G2364" s="2" t="s">
        <v>6269</v>
      </c>
      <c r="H2364" s="2" t="s">
        <v>1747</v>
      </c>
      <c r="I2364" s="2" t="s">
        <v>294</v>
      </c>
      <c r="J2364" s="3">
        <v>44520</v>
      </c>
      <c r="K2364" s="2">
        <v>50</v>
      </c>
      <c r="L2364" s="2" t="s">
        <v>101</v>
      </c>
      <c r="M2364" s="3"/>
    </row>
    <row r="2365" spans="1:13" x14ac:dyDescent="0.3">
      <c r="A2365" s="2">
        <v>2364</v>
      </c>
      <c r="B2365" s="2" t="s">
        <v>2805</v>
      </c>
      <c r="C2365" s="2" t="s">
        <v>836</v>
      </c>
      <c r="D2365" s="2" t="s">
        <v>28</v>
      </c>
      <c r="E2365" s="2" t="s">
        <v>29</v>
      </c>
      <c r="F2365" s="2">
        <v>30</v>
      </c>
      <c r="G2365" s="2" t="s">
        <v>6270</v>
      </c>
      <c r="H2365" s="2" t="s">
        <v>1598</v>
      </c>
      <c r="I2365" s="2" t="s">
        <v>32</v>
      </c>
      <c r="J2365" s="3">
        <v>44189</v>
      </c>
      <c r="K2365" s="2">
        <v>28</v>
      </c>
      <c r="L2365" s="2" t="s">
        <v>54</v>
      </c>
      <c r="M2365" s="3"/>
    </row>
    <row r="2366" spans="1:13" x14ac:dyDescent="0.3">
      <c r="A2366" s="2">
        <v>2365</v>
      </c>
      <c r="B2366" s="2" t="s">
        <v>6271</v>
      </c>
      <c r="C2366" s="2" t="s">
        <v>6272</v>
      </c>
      <c r="D2366" s="2" t="s">
        <v>15</v>
      </c>
      <c r="E2366" s="2" t="s">
        <v>16</v>
      </c>
      <c r="F2366" s="2">
        <v>90</v>
      </c>
      <c r="G2366" s="2" t="s">
        <v>6273</v>
      </c>
      <c r="H2366" s="2" t="s">
        <v>137</v>
      </c>
      <c r="I2366" s="2" t="s">
        <v>32</v>
      </c>
      <c r="J2366" s="3">
        <v>43985</v>
      </c>
      <c r="K2366" s="2">
        <v>82</v>
      </c>
      <c r="L2366" s="2" t="s">
        <v>70</v>
      </c>
      <c r="M2366" s="3"/>
    </row>
    <row r="2367" spans="1:13" x14ac:dyDescent="0.3">
      <c r="A2367" s="2">
        <v>2366</v>
      </c>
      <c r="B2367" s="2" t="s">
        <v>6274</v>
      </c>
      <c r="C2367" s="2" t="s">
        <v>6275</v>
      </c>
      <c r="D2367" s="2" t="s">
        <v>28</v>
      </c>
      <c r="E2367" s="2" t="s">
        <v>29</v>
      </c>
      <c r="F2367" s="2">
        <v>30</v>
      </c>
      <c r="G2367" s="2" t="s">
        <v>6276</v>
      </c>
      <c r="H2367" s="2" t="s">
        <v>195</v>
      </c>
      <c r="I2367" s="2" t="s">
        <v>187</v>
      </c>
      <c r="J2367" s="3">
        <v>44754</v>
      </c>
      <c r="K2367" s="2">
        <v>105</v>
      </c>
      <c r="L2367" s="2" t="s">
        <v>33</v>
      </c>
      <c r="M2367" s="3"/>
    </row>
    <row r="2368" spans="1:13" x14ac:dyDescent="0.3">
      <c r="A2368" s="2">
        <v>2367</v>
      </c>
      <c r="B2368" s="2" t="s">
        <v>1849</v>
      </c>
      <c r="C2368" s="2" t="s">
        <v>3927</v>
      </c>
      <c r="D2368" s="2" t="s">
        <v>28</v>
      </c>
      <c r="E2368" s="2" t="s">
        <v>29</v>
      </c>
      <c r="F2368" s="2">
        <v>90</v>
      </c>
      <c r="G2368" s="2" t="s">
        <v>6277</v>
      </c>
      <c r="H2368" s="2" t="s">
        <v>3571</v>
      </c>
      <c r="I2368" s="2" t="s">
        <v>32</v>
      </c>
      <c r="J2368" s="3">
        <v>44409</v>
      </c>
      <c r="K2368" s="2">
        <v>82</v>
      </c>
      <c r="L2368" s="2" t="s">
        <v>54</v>
      </c>
      <c r="M2368" s="3"/>
    </row>
    <row r="2369" spans="1:13" x14ac:dyDescent="0.3">
      <c r="A2369" s="2">
        <v>2368</v>
      </c>
      <c r="B2369" s="2" t="s">
        <v>679</v>
      </c>
      <c r="C2369" s="2" t="s">
        <v>2139</v>
      </c>
      <c r="D2369" s="2" t="s">
        <v>15</v>
      </c>
      <c r="E2369" s="2" t="s">
        <v>16</v>
      </c>
      <c r="F2369" s="2">
        <v>60</v>
      </c>
      <c r="G2369" s="2" t="s">
        <v>6278</v>
      </c>
      <c r="H2369" s="2" t="s">
        <v>3263</v>
      </c>
      <c r="I2369" s="2" t="s">
        <v>32</v>
      </c>
      <c r="J2369" s="3">
        <v>44367</v>
      </c>
      <c r="K2369" s="2">
        <v>4</v>
      </c>
      <c r="L2369" s="2" t="s">
        <v>20</v>
      </c>
      <c r="M2369" s="3"/>
    </row>
    <row r="2370" spans="1:13" x14ac:dyDescent="0.3">
      <c r="A2370" s="2">
        <v>2369</v>
      </c>
      <c r="B2370" s="2" t="s">
        <v>5928</v>
      </c>
      <c r="C2370" s="2" t="s">
        <v>6279</v>
      </c>
      <c r="D2370" s="2" t="s">
        <v>28</v>
      </c>
      <c r="E2370" s="2" t="s">
        <v>29</v>
      </c>
      <c r="F2370" s="2">
        <v>30</v>
      </c>
      <c r="G2370" s="2" t="s">
        <v>6280</v>
      </c>
      <c r="H2370" s="2" t="s">
        <v>1864</v>
      </c>
      <c r="I2370" s="2" t="s">
        <v>294</v>
      </c>
      <c r="J2370" s="3">
        <v>44126</v>
      </c>
      <c r="K2370" s="2">
        <v>55</v>
      </c>
      <c r="L2370" s="2" t="s">
        <v>39</v>
      </c>
      <c r="M2370" s="3"/>
    </row>
    <row r="2371" spans="1:13" x14ac:dyDescent="0.3">
      <c r="A2371" s="2">
        <v>2370</v>
      </c>
      <c r="B2371" s="2" t="s">
        <v>6281</v>
      </c>
      <c r="C2371" s="2" t="s">
        <v>2010</v>
      </c>
      <c r="D2371" s="2" t="s">
        <v>51</v>
      </c>
      <c r="E2371" s="2" t="s">
        <v>16</v>
      </c>
      <c r="F2371" s="2">
        <v>90</v>
      </c>
      <c r="G2371" s="2" t="s">
        <v>6282</v>
      </c>
      <c r="H2371" s="2" t="s">
        <v>6283</v>
      </c>
      <c r="I2371" s="2" t="s">
        <v>32</v>
      </c>
      <c r="J2371" s="3">
        <v>44232</v>
      </c>
      <c r="K2371" s="2">
        <v>9</v>
      </c>
      <c r="L2371" s="2" t="s">
        <v>70</v>
      </c>
      <c r="M2371" s="3"/>
    </row>
    <row r="2372" spans="1:13" x14ac:dyDescent="0.3">
      <c r="A2372" s="2">
        <v>2371</v>
      </c>
      <c r="B2372" s="2" t="s">
        <v>1856</v>
      </c>
      <c r="C2372" s="2" t="s">
        <v>5332</v>
      </c>
      <c r="D2372" s="2" t="s">
        <v>51</v>
      </c>
      <c r="E2372" s="2" t="s">
        <v>16</v>
      </c>
      <c r="F2372" s="2">
        <v>90</v>
      </c>
      <c r="G2372" s="2" t="s">
        <v>6284</v>
      </c>
      <c r="H2372" s="2" t="s">
        <v>1325</v>
      </c>
      <c r="I2372" s="2" t="s">
        <v>187</v>
      </c>
      <c r="J2372" s="3">
        <v>44754</v>
      </c>
      <c r="K2372" s="2">
        <v>73</v>
      </c>
      <c r="L2372" s="2" t="s">
        <v>64</v>
      </c>
      <c r="M2372" s="3"/>
    </row>
    <row r="2373" spans="1:13" x14ac:dyDescent="0.3">
      <c r="A2373" s="2">
        <v>2372</v>
      </c>
      <c r="B2373" s="2" t="s">
        <v>765</v>
      </c>
      <c r="C2373" s="2" t="s">
        <v>1304</v>
      </c>
      <c r="D2373" s="2" t="s">
        <v>15</v>
      </c>
      <c r="E2373" s="2" t="s">
        <v>16</v>
      </c>
      <c r="F2373" s="2">
        <v>60</v>
      </c>
      <c r="G2373" s="2" t="s">
        <v>6285</v>
      </c>
      <c r="H2373" s="2" t="s">
        <v>6080</v>
      </c>
      <c r="I2373" s="2" t="s">
        <v>32</v>
      </c>
      <c r="J2373" s="3">
        <v>43836</v>
      </c>
      <c r="K2373" s="2">
        <v>61</v>
      </c>
      <c r="L2373" s="2" t="s">
        <v>159</v>
      </c>
      <c r="M2373" s="3"/>
    </row>
    <row r="2374" spans="1:13" x14ac:dyDescent="0.3">
      <c r="A2374" s="2">
        <v>2373</v>
      </c>
      <c r="B2374" s="2" t="s">
        <v>6286</v>
      </c>
      <c r="C2374" s="2" t="s">
        <v>4281</v>
      </c>
      <c r="D2374" s="2" t="s">
        <v>15</v>
      </c>
      <c r="E2374" s="2" t="s">
        <v>16</v>
      </c>
      <c r="F2374" s="2">
        <v>90</v>
      </c>
      <c r="G2374" s="2" t="s">
        <v>6287</v>
      </c>
      <c r="H2374" s="2" t="s">
        <v>1210</v>
      </c>
      <c r="I2374" s="2" t="s">
        <v>294</v>
      </c>
      <c r="J2374" s="3">
        <v>44667</v>
      </c>
      <c r="K2374" s="2">
        <v>26</v>
      </c>
      <c r="L2374" s="2" t="s">
        <v>64</v>
      </c>
      <c r="M2374" s="3"/>
    </row>
    <row r="2375" spans="1:13" x14ac:dyDescent="0.3">
      <c r="A2375" s="2">
        <v>2374</v>
      </c>
      <c r="B2375" s="2" t="s">
        <v>6288</v>
      </c>
      <c r="C2375" s="2" t="s">
        <v>2448</v>
      </c>
      <c r="D2375" s="2" t="s">
        <v>51</v>
      </c>
      <c r="E2375" s="2" t="s">
        <v>16</v>
      </c>
      <c r="F2375" s="2">
        <v>30</v>
      </c>
      <c r="G2375" s="2" t="s">
        <v>6289</v>
      </c>
      <c r="H2375" s="2" t="s">
        <v>1206</v>
      </c>
      <c r="I2375" s="2" t="s">
        <v>294</v>
      </c>
      <c r="J2375" s="3">
        <v>44795</v>
      </c>
      <c r="K2375" s="2">
        <v>69</v>
      </c>
      <c r="L2375" s="2" t="s">
        <v>20</v>
      </c>
      <c r="M2375" s="3"/>
    </row>
    <row r="2376" spans="1:13" x14ac:dyDescent="0.3">
      <c r="A2376" s="2">
        <v>2375</v>
      </c>
      <c r="B2376" s="2" t="s">
        <v>6290</v>
      </c>
      <c r="C2376" s="2" t="s">
        <v>6291</v>
      </c>
      <c r="D2376" s="2" t="s">
        <v>15</v>
      </c>
      <c r="E2376" s="2" t="s">
        <v>16</v>
      </c>
      <c r="F2376" s="2">
        <v>60</v>
      </c>
      <c r="G2376" s="2" t="s">
        <v>6292</v>
      </c>
      <c r="H2376" s="2" t="s">
        <v>6293</v>
      </c>
      <c r="I2376" s="2" t="s">
        <v>32</v>
      </c>
      <c r="J2376" s="3">
        <v>43831</v>
      </c>
      <c r="K2376" s="2">
        <v>69</v>
      </c>
      <c r="L2376" s="2" t="s">
        <v>54</v>
      </c>
      <c r="M2376" s="3"/>
    </row>
    <row r="2377" spans="1:13" x14ac:dyDescent="0.3">
      <c r="A2377" s="2">
        <v>2376</v>
      </c>
      <c r="B2377" s="2" t="s">
        <v>1657</v>
      </c>
      <c r="C2377" s="2" t="s">
        <v>4632</v>
      </c>
      <c r="D2377" s="2" t="s">
        <v>28</v>
      </c>
      <c r="E2377" s="2" t="s">
        <v>29</v>
      </c>
      <c r="F2377" s="2">
        <v>90</v>
      </c>
      <c r="G2377" s="2" t="s">
        <v>6294</v>
      </c>
      <c r="H2377" s="2" t="s">
        <v>4699</v>
      </c>
      <c r="I2377" s="2" t="s">
        <v>32</v>
      </c>
      <c r="J2377" s="3">
        <v>44382</v>
      </c>
      <c r="K2377" s="2">
        <v>47</v>
      </c>
      <c r="L2377" s="2" t="s">
        <v>80</v>
      </c>
      <c r="M2377" s="3"/>
    </row>
    <row r="2378" spans="1:13" x14ac:dyDescent="0.3">
      <c r="A2378" s="2">
        <v>2377</v>
      </c>
      <c r="B2378" s="2" t="s">
        <v>6295</v>
      </c>
      <c r="C2378" s="2" t="s">
        <v>6296</v>
      </c>
      <c r="D2378" s="2" t="s">
        <v>28</v>
      </c>
      <c r="E2378" s="2" t="s">
        <v>29</v>
      </c>
      <c r="F2378" s="2">
        <v>30</v>
      </c>
      <c r="G2378" s="2" t="s">
        <v>6297</v>
      </c>
      <c r="H2378" s="2" t="s">
        <v>2745</v>
      </c>
      <c r="I2378" s="2" t="s">
        <v>32</v>
      </c>
      <c r="J2378" s="3">
        <v>44900</v>
      </c>
      <c r="K2378" s="2">
        <v>90</v>
      </c>
      <c r="L2378" s="2" t="s">
        <v>54</v>
      </c>
      <c r="M2378" s="3"/>
    </row>
    <row r="2379" spans="1:13" x14ac:dyDescent="0.3">
      <c r="A2379" s="2">
        <v>2378</v>
      </c>
      <c r="B2379" s="2" t="s">
        <v>4703</v>
      </c>
      <c r="C2379" s="2" t="s">
        <v>6298</v>
      </c>
      <c r="D2379" s="2" t="s">
        <v>28</v>
      </c>
      <c r="E2379" s="2" t="s">
        <v>29</v>
      </c>
      <c r="F2379" s="2">
        <v>30</v>
      </c>
      <c r="G2379" s="2" t="s">
        <v>6299</v>
      </c>
      <c r="H2379" s="2" t="s">
        <v>1362</v>
      </c>
      <c r="I2379" s="2" t="s">
        <v>178</v>
      </c>
      <c r="J2379" s="3">
        <v>44246</v>
      </c>
      <c r="K2379" s="2">
        <v>52</v>
      </c>
      <c r="L2379" s="2" t="s">
        <v>33</v>
      </c>
      <c r="M2379" s="3"/>
    </row>
    <row r="2380" spans="1:13" x14ac:dyDescent="0.3">
      <c r="A2380" s="2">
        <v>2379</v>
      </c>
      <c r="B2380" s="2" t="s">
        <v>6300</v>
      </c>
      <c r="C2380" s="2" t="s">
        <v>35</v>
      </c>
      <c r="D2380" s="2" t="s">
        <v>51</v>
      </c>
      <c r="E2380" s="2" t="s">
        <v>16</v>
      </c>
      <c r="F2380" s="2">
        <v>90</v>
      </c>
      <c r="G2380" s="2" t="s">
        <v>6301</v>
      </c>
      <c r="H2380" s="2" t="s">
        <v>742</v>
      </c>
      <c r="I2380" s="2" t="s">
        <v>124</v>
      </c>
      <c r="J2380" s="3">
        <v>43883</v>
      </c>
      <c r="K2380" s="2">
        <v>31</v>
      </c>
      <c r="L2380" s="2" t="s">
        <v>64</v>
      </c>
      <c r="M2380" s="3"/>
    </row>
    <row r="2381" spans="1:13" x14ac:dyDescent="0.3">
      <c r="A2381" s="2">
        <v>2380</v>
      </c>
      <c r="B2381" s="2" t="s">
        <v>3959</v>
      </c>
      <c r="C2381" s="2" t="s">
        <v>2779</v>
      </c>
      <c r="D2381" s="2" t="s">
        <v>28</v>
      </c>
      <c r="E2381" s="2" t="s">
        <v>3565</v>
      </c>
      <c r="F2381" s="2">
        <v>90</v>
      </c>
      <c r="G2381" s="2" t="s">
        <v>6302</v>
      </c>
      <c r="H2381" s="2" t="s">
        <v>5451</v>
      </c>
      <c r="I2381" s="2" t="s">
        <v>32</v>
      </c>
      <c r="J2381" s="3">
        <v>44440</v>
      </c>
      <c r="K2381" s="2">
        <v>78</v>
      </c>
      <c r="L2381" s="2" t="s">
        <v>101</v>
      </c>
      <c r="M2381" s="3"/>
    </row>
    <row r="2382" spans="1:13" x14ac:dyDescent="0.3">
      <c r="A2382" s="2">
        <v>2381</v>
      </c>
      <c r="B2382" s="2" t="s">
        <v>3959</v>
      </c>
      <c r="C2382" s="2" t="s">
        <v>2779</v>
      </c>
      <c r="D2382" s="2" t="s">
        <v>28</v>
      </c>
      <c r="E2382" s="2" t="s">
        <v>3565</v>
      </c>
      <c r="F2382" s="2">
        <v>90</v>
      </c>
      <c r="G2382" s="2" t="s">
        <v>6302</v>
      </c>
      <c r="H2382" s="2" t="s">
        <v>5451</v>
      </c>
      <c r="I2382" s="2" t="s">
        <v>32</v>
      </c>
      <c r="J2382" s="3">
        <v>44440</v>
      </c>
      <c r="K2382" s="2">
        <v>78</v>
      </c>
      <c r="L2382" s="2" t="s">
        <v>101</v>
      </c>
      <c r="M2382" s="3"/>
    </row>
    <row r="2383" spans="1:13" x14ac:dyDescent="0.3">
      <c r="A2383" s="2">
        <v>2382</v>
      </c>
      <c r="B2383" s="2" t="s">
        <v>6303</v>
      </c>
      <c r="C2383" s="2" t="s">
        <v>1304</v>
      </c>
      <c r="D2383" s="2" t="s">
        <v>51</v>
      </c>
      <c r="E2383" s="2" t="s">
        <v>16</v>
      </c>
      <c r="F2383" s="2">
        <v>60</v>
      </c>
      <c r="G2383" s="2" t="s">
        <v>6304</v>
      </c>
      <c r="H2383" s="2" t="s">
        <v>6305</v>
      </c>
      <c r="I2383" s="2" t="s">
        <v>32</v>
      </c>
      <c r="J2383" s="3">
        <v>44775</v>
      </c>
      <c r="K2383" s="2">
        <v>86</v>
      </c>
      <c r="L2383" s="2" t="s">
        <v>39</v>
      </c>
      <c r="M2383" s="3"/>
    </row>
    <row r="2384" spans="1:13" x14ac:dyDescent="0.3">
      <c r="A2384" s="2">
        <v>2383</v>
      </c>
      <c r="B2384" s="2" t="s">
        <v>6306</v>
      </c>
      <c r="C2384" s="2" t="s">
        <v>6307</v>
      </c>
      <c r="D2384" s="2" t="s">
        <v>28</v>
      </c>
      <c r="E2384" s="2" t="s">
        <v>29</v>
      </c>
      <c r="F2384" s="2">
        <v>30</v>
      </c>
      <c r="G2384" s="2" t="s">
        <v>6308</v>
      </c>
      <c r="H2384" s="2" t="s">
        <v>2749</v>
      </c>
      <c r="I2384" s="2" t="s">
        <v>187</v>
      </c>
      <c r="J2384" s="3">
        <v>44146</v>
      </c>
      <c r="K2384" s="2">
        <v>46</v>
      </c>
      <c r="L2384" s="2" t="s">
        <v>54</v>
      </c>
      <c r="M2384" s="3"/>
    </row>
    <row r="2385" spans="1:13" x14ac:dyDescent="0.3">
      <c r="A2385" s="2">
        <v>2384</v>
      </c>
      <c r="B2385" s="2" t="s">
        <v>5031</v>
      </c>
      <c r="C2385" s="2" t="s">
        <v>4234</v>
      </c>
      <c r="D2385" s="2" t="s">
        <v>28</v>
      </c>
      <c r="E2385" s="2" t="s">
        <v>29</v>
      </c>
      <c r="F2385" s="2">
        <v>60</v>
      </c>
      <c r="G2385" s="2" t="s">
        <v>6308</v>
      </c>
      <c r="H2385" s="2" t="s">
        <v>4100</v>
      </c>
      <c r="I2385" s="2" t="s">
        <v>294</v>
      </c>
      <c r="J2385" s="3">
        <v>44422</v>
      </c>
      <c r="K2385" s="2">
        <v>27</v>
      </c>
      <c r="L2385" s="2" t="s">
        <v>80</v>
      </c>
      <c r="M2385" s="3"/>
    </row>
    <row r="2386" spans="1:13" x14ac:dyDescent="0.3">
      <c r="A2386" s="2">
        <v>2385</v>
      </c>
      <c r="B2386" s="2" t="s">
        <v>2517</v>
      </c>
      <c r="C2386" s="2" t="s">
        <v>3089</v>
      </c>
      <c r="D2386" s="2" t="s">
        <v>41</v>
      </c>
      <c r="E2386" s="2" t="s">
        <v>16</v>
      </c>
      <c r="F2386" s="2">
        <v>30</v>
      </c>
      <c r="G2386" s="2" t="s">
        <v>6309</v>
      </c>
      <c r="H2386" s="2" t="s">
        <v>1888</v>
      </c>
      <c r="I2386" s="2" t="s">
        <v>1889</v>
      </c>
      <c r="J2386" s="3">
        <v>44837</v>
      </c>
      <c r="K2386" s="2">
        <v>55</v>
      </c>
      <c r="L2386" s="2" t="s">
        <v>45</v>
      </c>
      <c r="M2386" s="3"/>
    </row>
    <row r="2387" spans="1:13" x14ac:dyDescent="0.3">
      <c r="A2387" s="2">
        <v>2386</v>
      </c>
      <c r="B2387" s="2" t="s">
        <v>6310</v>
      </c>
      <c r="C2387" s="2" t="s">
        <v>6311</v>
      </c>
      <c r="D2387" s="2" t="s">
        <v>28</v>
      </c>
      <c r="E2387" s="2" t="s">
        <v>29</v>
      </c>
      <c r="F2387" s="2">
        <v>90</v>
      </c>
      <c r="G2387" s="2" t="s">
        <v>6309</v>
      </c>
      <c r="H2387" s="2" t="s">
        <v>6312</v>
      </c>
      <c r="I2387" s="2" t="s">
        <v>173</v>
      </c>
      <c r="J2387" s="3">
        <v>44214</v>
      </c>
      <c r="K2387" s="2">
        <v>8</v>
      </c>
      <c r="L2387" s="2" t="s">
        <v>159</v>
      </c>
      <c r="M2387" s="3"/>
    </row>
    <row r="2388" spans="1:13" x14ac:dyDescent="0.3">
      <c r="A2388" s="2">
        <v>2387</v>
      </c>
      <c r="B2388" s="2" t="s">
        <v>797</v>
      </c>
      <c r="C2388" s="2" t="s">
        <v>6255</v>
      </c>
      <c r="D2388" s="2" t="s">
        <v>15</v>
      </c>
      <c r="E2388" s="2" t="s">
        <v>16</v>
      </c>
      <c r="F2388" s="2">
        <v>60</v>
      </c>
      <c r="G2388" s="2" t="s">
        <v>6313</v>
      </c>
      <c r="H2388" s="2" t="s">
        <v>5581</v>
      </c>
      <c r="I2388" s="2" t="s">
        <v>187</v>
      </c>
      <c r="J2388" s="3">
        <v>44209</v>
      </c>
      <c r="K2388" s="2">
        <v>45</v>
      </c>
      <c r="L2388" s="2" t="s">
        <v>80</v>
      </c>
      <c r="M2388" s="3"/>
    </row>
    <row r="2389" spans="1:13" x14ac:dyDescent="0.3">
      <c r="A2389" s="2">
        <v>2388</v>
      </c>
      <c r="B2389" s="2" t="s">
        <v>1801</v>
      </c>
      <c r="C2389" s="2" t="s">
        <v>6314</v>
      </c>
      <c r="D2389" s="2" t="s">
        <v>15</v>
      </c>
      <c r="E2389" s="2" t="s">
        <v>16</v>
      </c>
      <c r="F2389" s="2">
        <v>60</v>
      </c>
      <c r="G2389" s="2" t="s">
        <v>6315</v>
      </c>
      <c r="H2389" s="2" t="s">
        <v>412</v>
      </c>
      <c r="I2389" s="2" t="s">
        <v>187</v>
      </c>
      <c r="J2389" s="3">
        <v>44323</v>
      </c>
      <c r="K2389" s="2">
        <v>66</v>
      </c>
      <c r="L2389" s="2" t="s">
        <v>101</v>
      </c>
      <c r="M2389" s="3"/>
    </row>
    <row r="2390" spans="1:13" x14ac:dyDescent="0.3">
      <c r="A2390" s="2">
        <v>2389</v>
      </c>
      <c r="B2390" s="2" t="s">
        <v>6316</v>
      </c>
      <c r="C2390" s="2" t="s">
        <v>3084</v>
      </c>
      <c r="D2390" s="2" t="s">
        <v>15</v>
      </c>
      <c r="E2390" s="2" t="s">
        <v>16</v>
      </c>
      <c r="F2390" s="2">
        <v>30</v>
      </c>
      <c r="G2390" s="2" t="s">
        <v>6315</v>
      </c>
      <c r="H2390" s="2" t="s">
        <v>772</v>
      </c>
      <c r="I2390" s="2" t="s">
        <v>32</v>
      </c>
      <c r="J2390" s="3">
        <v>44753</v>
      </c>
      <c r="K2390" s="2">
        <v>58</v>
      </c>
      <c r="L2390" s="2" t="s">
        <v>101</v>
      </c>
      <c r="M2390" s="3"/>
    </row>
    <row r="2391" spans="1:13" x14ac:dyDescent="0.3">
      <c r="A2391" s="2">
        <v>2390</v>
      </c>
      <c r="B2391" s="2" t="s">
        <v>6317</v>
      </c>
      <c r="C2391" s="2" t="s">
        <v>5541</v>
      </c>
      <c r="D2391" s="2" t="s">
        <v>15</v>
      </c>
      <c r="E2391" s="2" t="s">
        <v>16</v>
      </c>
      <c r="F2391" s="2">
        <v>60</v>
      </c>
      <c r="G2391" s="2" t="s">
        <v>6318</v>
      </c>
      <c r="H2391" s="2" t="s">
        <v>6319</v>
      </c>
      <c r="I2391" s="2" t="s">
        <v>32</v>
      </c>
      <c r="J2391" s="3">
        <v>44205</v>
      </c>
      <c r="K2391" s="2">
        <v>41</v>
      </c>
      <c r="L2391" s="2" t="s">
        <v>101</v>
      </c>
      <c r="M2391" s="3"/>
    </row>
    <row r="2392" spans="1:13" x14ac:dyDescent="0.3">
      <c r="A2392" s="2">
        <v>2391</v>
      </c>
      <c r="B2392" s="2" t="s">
        <v>3232</v>
      </c>
      <c r="C2392" s="2" t="s">
        <v>5215</v>
      </c>
      <c r="D2392" s="2" t="s">
        <v>28</v>
      </c>
      <c r="E2392" s="2" t="s">
        <v>29</v>
      </c>
      <c r="F2392" s="2">
        <v>30</v>
      </c>
      <c r="G2392" s="2" t="s">
        <v>6320</v>
      </c>
      <c r="H2392" s="2" t="s">
        <v>2993</v>
      </c>
      <c r="I2392" s="2" t="s">
        <v>32</v>
      </c>
      <c r="J2392" s="3">
        <v>44418</v>
      </c>
      <c r="K2392" s="2">
        <v>12</v>
      </c>
      <c r="L2392" s="2" t="s">
        <v>101</v>
      </c>
      <c r="M2392" s="3"/>
    </row>
    <row r="2393" spans="1:13" x14ac:dyDescent="0.3">
      <c r="A2393" s="2">
        <v>2392</v>
      </c>
      <c r="B2393" s="2" t="s">
        <v>1327</v>
      </c>
      <c r="C2393" s="2" t="s">
        <v>931</v>
      </c>
      <c r="D2393" s="2" t="s">
        <v>28</v>
      </c>
      <c r="E2393" s="2" t="s">
        <v>29</v>
      </c>
      <c r="F2393" s="2">
        <v>90</v>
      </c>
      <c r="G2393" s="2" t="s">
        <v>6321</v>
      </c>
      <c r="H2393" s="2" t="s">
        <v>2305</v>
      </c>
      <c r="I2393" s="2" t="s">
        <v>25</v>
      </c>
      <c r="J2393" s="3">
        <v>44455</v>
      </c>
      <c r="K2393" s="2">
        <v>80</v>
      </c>
      <c r="L2393" s="2" t="s">
        <v>80</v>
      </c>
      <c r="M2393" s="3"/>
    </row>
    <row r="2394" spans="1:13" x14ac:dyDescent="0.3">
      <c r="A2394" s="2">
        <v>2393</v>
      </c>
      <c r="B2394" s="2" t="s">
        <v>580</v>
      </c>
      <c r="C2394" s="2" t="s">
        <v>6322</v>
      </c>
      <c r="D2394" s="2" t="s">
        <v>28</v>
      </c>
      <c r="E2394" s="2" t="s">
        <v>29</v>
      </c>
      <c r="F2394" s="2">
        <v>90</v>
      </c>
      <c r="G2394" s="2" t="s">
        <v>6323</v>
      </c>
      <c r="H2394" s="2" t="s">
        <v>3854</v>
      </c>
      <c r="I2394" s="2" t="s">
        <v>38</v>
      </c>
      <c r="J2394" s="3">
        <v>44687</v>
      </c>
      <c r="K2394" s="2">
        <v>29</v>
      </c>
      <c r="L2394" s="2" t="s">
        <v>20</v>
      </c>
      <c r="M2394" s="3"/>
    </row>
    <row r="2395" spans="1:13" x14ac:dyDescent="0.3">
      <c r="A2395" s="2">
        <v>2394</v>
      </c>
      <c r="B2395" s="2" t="s">
        <v>6324</v>
      </c>
      <c r="C2395" s="2" t="s">
        <v>1345</v>
      </c>
      <c r="D2395" s="2" t="s">
        <v>51</v>
      </c>
      <c r="E2395" s="2" t="s">
        <v>16</v>
      </c>
      <c r="F2395" s="2">
        <v>30</v>
      </c>
      <c r="G2395" s="2" t="s">
        <v>6325</v>
      </c>
      <c r="H2395" s="2" t="s">
        <v>168</v>
      </c>
      <c r="I2395" s="2" t="s">
        <v>32</v>
      </c>
      <c r="J2395" s="3">
        <v>44903</v>
      </c>
      <c r="K2395" s="2">
        <v>68</v>
      </c>
      <c r="L2395" s="2" t="s">
        <v>64</v>
      </c>
      <c r="M2395" s="3"/>
    </row>
    <row r="2396" spans="1:13" x14ac:dyDescent="0.3">
      <c r="A2396" s="2">
        <v>2395</v>
      </c>
      <c r="B2396" s="2" t="s">
        <v>6326</v>
      </c>
      <c r="C2396" s="2" t="s">
        <v>832</v>
      </c>
      <c r="D2396" s="2" t="s">
        <v>51</v>
      </c>
      <c r="E2396" s="2" t="s">
        <v>16</v>
      </c>
      <c r="F2396" s="2">
        <v>90</v>
      </c>
      <c r="G2396" s="2" t="s">
        <v>6327</v>
      </c>
      <c r="H2396" s="2" t="s">
        <v>2056</v>
      </c>
      <c r="I2396" s="2" t="s">
        <v>32</v>
      </c>
      <c r="J2396" s="3">
        <v>44717</v>
      </c>
      <c r="K2396" s="2">
        <v>5</v>
      </c>
      <c r="L2396" s="2" t="s">
        <v>64</v>
      </c>
      <c r="M2396" s="3"/>
    </row>
    <row r="2397" spans="1:13" x14ac:dyDescent="0.3">
      <c r="A2397" s="2">
        <v>2396</v>
      </c>
      <c r="B2397" s="2" t="s">
        <v>6328</v>
      </c>
      <c r="C2397" s="2" t="s">
        <v>2922</v>
      </c>
      <c r="D2397" s="2" t="s">
        <v>28</v>
      </c>
      <c r="E2397" s="2" t="s">
        <v>29</v>
      </c>
      <c r="F2397" s="2">
        <v>60</v>
      </c>
      <c r="G2397" s="2" t="s">
        <v>6329</v>
      </c>
      <c r="H2397" s="2" t="s">
        <v>1583</v>
      </c>
      <c r="I2397" s="2" t="s">
        <v>178</v>
      </c>
      <c r="J2397" s="3">
        <v>44856</v>
      </c>
      <c r="K2397" s="2">
        <v>37</v>
      </c>
      <c r="L2397" s="2" t="s">
        <v>101</v>
      </c>
      <c r="M2397" s="3"/>
    </row>
    <row r="2398" spans="1:13" x14ac:dyDescent="0.3">
      <c r="A2398" s="2">
        <v>2397</v>
      </c>
      <c r="B2398" s="2" t="s">
        <v>6330</v>
      </c>
      <c r="C2398" s="2" t="s">
        <v>6331</v>
      </c>
      <c r="D2398" s="2" t="s">
        <v>28</v>
      </c>
      <c r="E2398" s="2" t="s">
        <v>29</v>
      </c>
      <c r="F2398" s="2">
        <v>60</v>
      </c>
      <c r="G2398" s="2" t="s">
        <v>6332</v>
      </c>
      <c r="H2398" s="2" t="s">
        <v>412</v>
      </c>
      <c r="I2398" s="2" t="s">
        <v>187</v>
      </c>
      <c r="J2398" s="3">
        <v>44426</v>
      </c>
      <c r="K2398" s="2">
        <v>18</v>
      </c>
      <c r="L2398" s="2" t="s">
        <v>20</v>
      </c>
      <c r="M2398" s="3"/>
    </row>
    <row r="2399" spans="1:13" x14ac:dyDescent="0.3">
      <c r="A2399" s="2">
        <v>2398</v>
      </c>
      <c r="B2399" s="2" t="s">
        <v>6333</v>
      </c>
      <c r="C2399" s="2" t="s">
        <v>1592</v>
      </c>
      <c r="D2399" s="2" t="s">
        <v>51</v>
      </c>
      <c r="E2399" s="2" t="s">
        <v>16</v>
      </c>
      <c r="F2399" s="2">
        <v>90</v>
      </c>
      <c r="G2399" s="2" t="s">
        <v>6334</v>
      </c>
      <c r="H2399" s="2" t="s">
        <v>4085</v>
      </c>
      <c r="I2399" s="2" t="s">
        <v>240</v>
      </c>
      <c r="J2399" s="3">
        <v>44505</v>
      </c>
      <c r="K2399" s="2">
        <v>70</v>
      </c>
      <c r="L2399" s="2" t="s">
        <v>159</v>
      </c>
      <c r="M2399" s="3"/>
    </row>
    <row r="2400" spans="1:13" x14ac:dyDescent="0.3">
      <c r="A2400" s="2">
        <v>2399</v>
      </c>
      <c r="B2400" s="2" t="s">
        <v>2495</v>
      </c>
      <c r="C2400" s="2" t="s">
        <v>5998</v>
      </c>
      <c r="D2400" s="2" t="s">
        <v>28</v>
      </c>
      <c r="E2400" s="2" t="s">
        <v>29</v>
      </c>
      <c r="F2400" s="2">
        <v>60</v>
      </c>
      <c r="G2400" s="2" t="s">
        <v>6335</v>
      </c>
      <c r="H2400" s="2" t="s">
        <v>4039</v>
      </c>
      <c r="I2400" s="2" t="s">
        <v>32</v>
      </c>
      <c r="J2400" s="3">
        <v>44829</v>
      </c>
      <c r="K2400" s="2">
        <v>17</v>
      </c>
      <c r="L2400" s="2" t="s">
        <v>101</v>
      </c>
      <c r="M2400" s="3"/>
    </row>
    <row r="2401" spans="1:13" x14ac:dyDescent="0.3">
      <c r="A2401" s="2">
        <v>2400</v>
      </c>
      <c r="B2401" s="2" t="s">
        <v>6336</v>
      </c>
      <c r="C2401" s="2" t="s">
        <v>5452</v>
      </c>
      <c r="D2401" s="2" t="s">
        <v>51</v>
      </c>
      <c r="E2401" s="2" t="s">
        <v>16</v>
      </c>
      <c r="F2401" s="2">
        <v>60</v>
      </c>
      <c r="G2401" s="2" t="s">
        <v>6337</v>
      </c>
      <c r="H2401" s="2" t="s">
        <v>1168</v>
      </c>
      <c r="I2401" s="2" t="s">
        <v>32</v>
      </c>
      <c r="J2401" s="3">
        <v>44539</v>
      </c>
      <c r="K2401" s="2">
        <v>75</v>
      </c>
      <c r="L2401" s="2" t="s">
        <v>64</v>
      </c>
      <c r="M2401" s="3"/>
    </row>
    <row r="2402" spans="1:13" x14ac:dyDescent="0.3">
      <c r="A2402" s="2">
        <v>2401</v>
      </c>
      <c r="B2402" s="2" t="s">
        <v>6338</v>
      </c>
      <c r="C2402" s="2" t="s">
        <v>5824</v>
      </c>
      <c r="D2402" s="2" t="s">
        <v>51</v>
      </c>
      <c r="E2402" s="2" t="s">
        <v>16</v>
      </c>
      <c r="F2402" s="2">
        <v>90</v>
      </c>
      <c r="G2402" s="2" t="s">
        <v>6339</v>
      </c>
      <c r="H2402" s="2" t="s">
        <v>634</v>
      </c>
      <c r="I2402" s="2" t="s">
        <v>32</v>
      </c>
      <c r="J2402" s="3">
        <v>44462</v>
      </c>
      <c r="K2402" s="2">
        <v>46</v>
      </c>
      <c r="L2402" s="2" t="s">
        <v>39</v>
      </c>
      <c r="M2402" s="3"/>
    </row>
    <row r="2403" spans="1:13" x14ac:dyDescent="0.3">
      <c r="A2403" s="2">
        <v>2402</v>
      </c>
      <c r="B2403" s="2" t="s">
        <v>5644</v>
      </c>
      <c r="C2403" s="2" t="s">
        <v>5893</v>
      </c>
      <c r="D2403" s="2" t="s">
        <v>28</v>
      </c>
      <c r="E2403" s="2" t="s">
        <v>29</v>
      </c>
      <c r="F2403" s="2">
        <v>90</v>
      </c>
      <c r="G2403" s="2" t="s">
        <v>6340</v>
      </c>
      <c r="H2403" s="2" t="s">
        <v>4337</v>
      </c>
      <c r="I2403" s="2" t="s">
        <v>25</v>
      </c>
      <c r="J2403" s="3">
        <v>44409</v>
      </c>
      <c r="K2403" s="2">
        <v>37</v>
      </c>
      <c r="L2403" s="2" t="s">
        <v>54</v>
      </c>
      <c r="M2403" s="3"/>
    </row>
    <row r="2404" spans="1:13" x14ac:dyDescent="0.3">
      <c r="A2404" s="2">
        <v>2403</v>
      </c>
      <c r="B2404" s="2" t="s">
        <v>711</v>
      </c>
      <c r="C2404" s="2" t="s">
        <v>536</v>
      </c>
      <c r="D2404" s="2" t="s">
        <v>28</v>
      </c>
      <c r="E2404" s="2" t="s">
        <v>29</v>
      </c>
      <c r="F2404" s="2">
        <v>90</v>
      </c>
      <c r="G2404" s="2" t="s">
        <v>6341</v>
      </c>
      <c r="H2404" s="2" t="s">
        <v>1142</v>
      </c>
      <c r="I2404" s="2" t="s">
        <v>38</v>
      </c>
      <c r="J2404" s="3">
        <v>44098</v>
      </c>
      <c r="K2404" s="2">
        <v>46</v>
      </c>
      <c r="L2404" s="2" t="s">
        <v>101</v>
      </c>
      <c r="M2404" s="3"/>
    </row>
    <row r="2405" spans="1:13" x14ac:dyDescent="0.3">
      <c r="A2405" s="2">
        <v>2404</v>
      </c>
      <c r="B2405" s="2" t="s">
        <v>485</v>
      </c>
      <c r="C2405" s="2" t="s">
        <v>2043</v>
      </c>
      <c r="D2405" s="2" t="s">
        <v>28</v>
      </c>
      <c r="E2405" s="2" t="s">
        <v>29</v>
      </c>
      <c r="F2405" s="2">
        <v>90</v>
      </c>
      <c r="G2405" s="2" t="s">
        <v>6342</v>
      </c>
      <c r="H2405" s="2" t="s">
        <v>6343</v>
      </c>
      <c r="I2405" s="2" t="s">
        <v>32</v>
      </c>
      <c r="J2405" s="3">
        <v>44405</v>
      </c>
      <c r="K2405" s="2">
        <v>33</v>
      </c>
      <c r="L2405" s="2" t="s">
        <v>39</v>
      </c>
      <c r="M2405" s="3"/>
    </row>
    <row r="2406" spans="1:13" x14ac:dyDescent="0.3">
      <c r="A2406" s="2">
        <v>2405</v>
      </c>
      <c r="B2406" s="2" t="s">
        <v>6344</v>
      </c>
      <c r="C2406" s="2" t="s">
        <v>6345</v>
      </c>
      <c r="D2406" s="2" t="s">
        <v>15</v>
      </c>
      <c r="E2406" s="2" t="s">
        <v>16</v>
      </c>
      <c r="F2406" s="2">
        <v>90</v>
      </c>
      <c r="G2406" s="2" t="s">
        <v>6346</v>
      </c>
      <c r="H2406" s="2" t="s">
        <v>2021</v>
      </c>
      <c r="I2406" s="2" t="s">
        <v>2022</v>
      </c>
      <c r="J2406" s="3">
        <v>44088</v>
      </c>
      <c r="K2406" s="2">
        <v>13</v>
      </c>
      <c r="L2406" s="2" t="s">
        <v>33</v>
      </c>
      <c r="M2406" s="3"/>
    </row>
    <row r="2407" spans="1:13" x14ac:dyDescent="0.3">
      <c r="A2407" s="2">
        <v>2406</v>
      </c>
      <c r="B2407" s="2" t="s">
        <v>1553</v>
      </c>
      <c r="C2407" s="2" t="s">
        <v>3426</v>
      </c>
      <c r="D2407" s="2" t="s">
        <v>28</v>
      </c>
      <c r="E2407" s="2" t="s">
        <v>29</v>
      </c>
      <c r="F2407" s="2">
        <v>60</v>
      </c>
      <c r="G2407" s="2" t="s">
        <v>6347</v>
      </c>
      <c r="H2407" s="2" t="s">
        <v>6348</v>
      </c>
      <c r="I2407" s="2" t="s">
        <v>32</v>
      </c>
      <c r="J2407" s="3">
        <v>44681</v>
      </c>
      <c r="K2407" s="2">
        <v>23</v>
      </c>
      <c r="L2407" s="2" t="s">
        <v>101</v>
      </c>
      <c r="M2407" s="3"/>
    </row>
    <row r="2408" spans="1:13" x14ac:dyDescent="0.3">
      <c r="A2408" s="2">
        <v>2407</v>
      </c>
      <c r="B2408" s="2" t="s">
        <v>4953</v>
      </c>
      <c r="C2408" s="2" t="s">
        <v>6349</v>
      </c>
      <c r="D2408" s="2" t="s">
        <v>51</v>
      </c>
      <c r="E2408" s="2" t="s">
        <v>16</v>
      </c>
      <c r="F2408" s="2">
        <v>90</v>
      </c>
      <c r="G2408" s="2" t="s">
        <v>6350</v>
      </c>
      <c r="H2408" s="2" t="s">
        <v>1206</v>
      </c>
      <c r="I2408" s="2" t="s">
        <v>294</v>
      </c>
      <c r="J2408" s="3">
        <v>44724</v>
      </c>
      <c r="K2408" s="2">
        <v>5</v>
      </c>
      <c r="L2408" s="2" t="s">
        <v>159</v>
      </c>
      <c r="M2408" s="3"/>
    </row>
    <row r="2409" spans="1:13" x14ac:dyDescent="0.3">
      <c r="A2409" s="2">
        <v>2408</v>
      </c>
      <c r="B2409" s="2" t="s">
        <v>2639</v>
      </c>
      <c r="C2409" s="2" t="s">
        <v>6351</v>
      </c>
      <c r="D2409" s="2" t="s">
        <v>28</v>
      </c>
      <c r="E2409" s="2" t="s">
        <v>29</v>
      </c>
      <c r="F2409" s="2">
        <v>60</v>
      </c>
      <c r="G2409" s="2" t="s">
        <v>6352</v>
      </c>
      <c r="H2409" s="2" t="s">
        <v>6353</v>
      </c>
      <c r="I2409" s="2" t="s">
        <v>32</v>
      </c>
      <c r="J2409" s="3">
        <v>44775</v>
      </c>
      <c r="K2409" s="2">
        <v>23</v>
      </c>
      <c r="L2409" s="2" t="s">
        <v>39</v>
      </c>
      <c r="M2409" s="3"/>
    </row>
    <row r="2410" spans="1:13" x14ac:dyDescent="0.3">
      <c r="A2410" s="2">
        <v>2409</v>
      </c>
      <c r="B2410" s="2" t="s">
        <v>1058</v>
      </c>
      <c r="C2410" s="2" t="s">
        <v>384</v>
      </c>
      <c r="D2410" s="2" t="s">
        <v>28</v>
      </c>
      <c r="E2410" s="2" t="s">
        <v>29</v>
      </c>
      <c r="F2410" s="2">
        <v>30</v>
      </c>
      <c r="G2410" s="2" t="s">
        <v>6354</v>
      </c>
      <c r="H2410" s="2" t="s">
        <v>2516</v>
      </c>
      <c r="I2410" s="2" t="s">
        <v>32</v>
      </c>
      <c r="J2410" s="3">
        <v>44829</v>
      </c>
      <c r="K2410" s="2">
        <v>71</v>
      </c>
      <c r="L2410" s="2" t="s">
        <v>45</v>
      </c>
      <c r="M2410" s="3"/>
    </row>
    <row r="2411" spans="1:13" x14ac:dyDescent="0.3">
      <c r="A2411" s="2">
        <v>2410</v>
      </c>
      <c r="B2411" s="2" t="s">
        <v>183</v>
      </c>
      <c r="C2411" s="2" t="s">
        <v>6355</v>
      </c>
      <c r="D2411" s="2" t="s">
        <v>28</v>
      </c>
      <c r="E2411" s="2" t="s">
        <v>29</v>
      </c>
      <c r="F2411" s="2">
        <v>90</v>
      </c>
      <c r="G2411" s="2" t="s">
        <v>6356</v>
      </c>
      <c r="H2411" s="2" t="s">
        <v>2972</v>
      </c>
      <c r="I2411" s="2" t="s">
        <v>32</v>
      </c>
      <c r="J2411" s="3">
        <v>44252</v>
      </c>
      <c r="K2411" s="2">
        <v>94</v>
      </c>
      <c r="L2411" s="2" t="s">
        <v>45</v>
      </c>
      <c r="M2411" s="3"/>
    </row>
    <row r="2412" spans="1:13" x14ac:dyDescent="0.3">
      <c r="A2412" s="2">
        <v>2411</v>
      </c>
      <c r="B2412" s="2" t="s">
        <v>4875</v>
      </c>
      <c r="C2412" s="2" t="s">
        <v>4828</v>
      </c>
      <c r="D2412" s="2" t="s">
        <v>28</v>
      </c>
      <c r="E2412" s="2" t="s">
        <v>29</v>
      </c>
      <c r="F2412" s="2">
        <v>90</v>
      </c>
      <c r="G2412" s="2" t="s">
        <v>6357</v>
      </c>
      <c r="H2412" s="2" t="s">
        <v>1690</v>
      </c>
      <c r="I2412" s="2" t="s">
        <v>208</v>
      </c>
      <c r="J2412" s="3">
        <v>44240</v>
      </c>
      <c r="K2412" s="2">
        <v>45</v>
      </c>
      <c r="L2412" s="2" t="s">
        <v>70</v>
      </c>
      <c r="M2412" s="3"/>
    </row>
    <row r="2413" spans="1:13" x14ac:dyDescent="0.3">
      <c r="A2413" s="2">
        <v>2412</v>
      </c>
      <c r="B2413" s="2" t="s">
        <v>6358</v>
      </c>
      <c r="C2413" s="2" t="s">
        <v>2738</v>
      </c>
      <c r="D2413" s="2" t="s">
        <v>15</v>
      </c>
      <c r="E2413" s="2" t="s">
        <v>16</v>
      </c>
      <c r="F2413" s="2">
        <v>30</v>
      </c>
      <c r="G2413" s="2" t="s">
        <v>6357</v>
      </c>
      <c r="H2413" s="2" t="s">
        <v>4807</v>
      </c>
      <c r="I2413" s="2" t="s">
        <v>32</v>
      </c>
      <c r="J2413" s="3">
        <v>44600</v>
      </c>
      <c r="K2413" s="2">
        <v>85</v>
      </c>
      <c r="L2413" s="2" t="s">
        <v>80</v>
      </c>
      <c r="M2413" s="3"/>
    </row>
    <row r="2414" spans="1:13" x14ac:dyDescent="0.3">
      <c r="A2414" s="2">
        <v>2413</v>
      </c>
      <c r="B2414" s="2" t="s">
        <v>6359</v>
      </c>
      <c r="C2414" s="2" t="s">
        <v>6360</v>
      </c>
      <c r="D2414" s="2" t="s">
        <v>15</v>
      </c>
      <c r="E2414" s="2" t="s">
        <v>16</v>
      </c>
      <c r="F2414" s="2">
        <v>60</v>
      </c>
      <c r="G2414" s="2" t="s">
        <v>6361</v>
      </c>
      <c r="H2414" s="2" t="s">
        <v>6362</v>
      </c>
      <c r="I2414" s="2" t="s">
        <v>425</v>
      </c>
      <c r="J2414" s="3">
        <v>43935</v>
      </c>
      <c r="K2414" s="2">
        <v>62</v>
      </c>
      <c r="L2414" s="2" t="s">
        <v>70</v>
      </c>
      <c r="M2414" s="3"/>
    </row>
    <row r="2415" spans="1:13" x14ac:dyDescent="0.3">
      <c r="A2415" s="2">
        <v>2414</v>
      </c>
      <c r="B2415" s="2" t="s">
        <v>5095</v>
      </c>
      <c r="C2415" s="2" t="s">
        <v>2923</v>
      </c>
      <c r="D2415" s="2" t="s">
        <v>15</v>
      </c>
      <c r="E2415" s="2" t="s">
        <v>16</v>
      </c>
      <c r="F2415" s="2">
        <v>30</v>
      </c>
      <c r="G2415" s="2" t="s">
        <v>6361</v>
      </c>
      <c r="H2415" s="2" t="s">
        <v>3854</v>
      </c>
      <c r="I2415" s="2" t="s">
        <v>38</v>
      </c>
      <c r="J2415" s="3">
        <v>44506</v>
      </c>
      <c r="K2415" s="2">
        <v>61</v>
      </c>
      <c r="L2415" s="2" t="s">
        <v>39</v>
      </c>
      <c r="M2415" s="3"/>
    </row>
    <row r="2416" spans="1:13" x14ac:dyDescent="0.3">
      <c r="A2416" s="2">
        <v>2415</v>
      </c>
      <c r="B2416" s="2" t="s">
        <v>2682</v>
      </c>
      <c r="C2416" s="2" t="s">
        <v>6363</v>
      </c>
      <c r="D2416" s="2" t="s">
        <v>28</v>
      </c>
      <c r="E2416" s="2" t="s">
        <v>29</v>
      </c>
      <c r="F2416" s="2">
        <v>30</v>
      </c>
      <c r="G2416" s="2" t="s">
        <v>6364</v>
      </c>
      <c r="H2416" s="2" t="s">
        <v>474</v>
      </c>
      <c r="I2416" s="2" t="s">
        <v>475</v>
      </c>
      <c r="J2416" s="3">
        <v>44009</v>
      </c>
      <c r="K2416" s="2">
        <v>42</v>
      </c>
      <c r="L2416" s="2" t="s">
        <v>45</v>
      </c>
      <c r="M2416" s="3"/>
    </row>
    <row r="2417" spans="1:13" x14ac:dyDescent="0.3">
      <c r="A2417" s="2">
        <v>2416</v>
      </c>
      <c r="B2417" s="2" t="s">
        <v>6365</v>
      </c>
      <c r="C2417" s="2" t="s">
        <v>116</v>
      </c>
      <c r="D2417" s="2" t="s">
        <v>28</v>
      </c>
      <c r="E2417" s="2" t="s">
        <v>29</v>
      </c>
      <c r="F2417" s="2">
        <v>30</v>
      </c>
      <c r="G2417" s="2" t="s">
        <v>6366</v>
      </c>
      <c r="H2417" s="2" t="s">
        <v>3070</v>
      </c>
      <c r="I2417" s="2" t="s">
        <v>575</v>
      </c>
      <c r="J2417" s="3">
        <v>43910</v>
      </c>
      <c r="K2417" s="2">
        <v>66</v>
      </c>
      <c r="L2417" s="2" t="s">
        <v>33</v>
      </c>
      <c r="M2417" s="3"/>
    </row>
    <row r="2418" spans="1:13" x14ac:dyDescent="0.3">
      <c r="A2418" s="2">
        <v>2417</v>
      </c>
      <c r="B2418" s="2" t="s">
        <v>6367</v>
      </c>
      <c r="C2418" s="2" t="s">
        <v>4829</v>
      </c>
      <c r="D2418" s="2" t="s">
        <v>51</v>
      </c>
      <c r="E2418" s="2" t="s">
        <v>16</v>
      </c>
      <c r="F2418" s="2">
        <v>60</v>
      </c>
      <c r="G2418" s="2" t="s">
        <v>6366</v>
      </c>
      <c r="H2418" s="2" t="s">
        <v>203</v>
      </c>
      <c r="I2418" s="2" t="s">
        <v>32</v>
      </c>
      <c r="J2418" s="3">
        <v>44338</v>
      </c>
      <c r="K2418" s="2">
        <v>49</v>
      </c>
      <c r="L2418" s="2" t="s">
        <v>33</v>
      </c>
      <c r="M2418" s="3"/>
    </row>
    <row r="2419" spans="1:13" x14ac:dyDescent="0.3">
      <c r="A2419" s="2">
        <v>2418</v>
      </c>
      <c r="B2419" s="2" t="s">
        <v>6368</v>
      </c>
      <c r="C2419" s="2" t="s">
        <v>2757</v>
      </c>
      <c r="D2419" s="2" t="s">
        <v>51</v>
      </c>
      <c r="E2419" s="2" t="s">
        <v>16</v>
      </c>
      <c r="F2419" s="2">
        <v>90</v>
      </c>
      <c r="G2419" s="2" t="s">
        <v>6369</v>
      </c>
      <c r="H2419" s="2" t="s">
        <v>4675</v>
      </c>
      <c r="I2419" s="2" t="s">
        <v>178</v>
      </c>
      <c r="J2419" s="3">
        <v>44022</v>
      </c>
      <c r="K2419" s="2">
        <v>22</v>
      </c>
      <c r="L2419" s="2" t="s">
        <v>80</v>
      </c>
      <c r="M2419" s="3"/>
    </row>
    <row r="2420" spans="1:13" x14ac:dyDescent="0.3">
      <c r="A2420" s="2">
        <v>2419</v>
      </c>
      <c r="B2420" s="2" t="s">
        <v>6368</v>
      </c>
      <c r="C2420" s="2" t="s">
        <v>2757</v>
      </c>
      <c r="D2420" s="2" t="s">
        <v>51</v>
      </c>
      <c r="E2420" s="2" t="s">
        <v>16</v>
      </c>
      <c r="F2420" s="2">
        <v>90</v>
      </c>
      <c r="G2420" s="2" t="s">
        <v>6369</v>
      </c>
      <c r="H2420" s="2" t="s">
        <v>4675</v>
      </c>
      <c r="I2420" s="2" t="s">
        <v>178</v>
      </c>
      <c r="J2420" s="3">
        <v>44022</v>
      </c>
      <c r="K2420" s="2">
        <v>22</v>
      </c>
      <c r="L2420" s="2" t="s">
        <v>80</v>
      </c>
      <c r="M2420" s="3"/>
    </row>
    <row r="2421" spans="1:13" x14ac:dyDescent="0.3">
      <c r="A2421" s="2">
        <v>2420</v>
      </c>
      <c r="B2421" s="2" t="s">
        <v>4375</v>
      </c>
      <c r="C2421" s="2" t="s">
        <v>3884</v>
      </c>
      <c r="D2421" s="2" t="s">
        <v>28</v>
      </c>
      <c r="E2421" s="2" t="s">
        <v>29</v>
      </c>
      <c r="F2421" s="2">
        <v>30</v>
      </c>
      <c r="G2421" s="2" t="s">
        <v>6370</v>
      </c>
      <c r="H2421" s="2" t="s">
        <v>2156</v>
      </c>
      <c r="I2421" s="2" t="s">
        <v>32</v>
      </c>
      <c r="J2421" s="3">
        <v>44138</v>
      </c>
      <c r="K2421" s="2">
        <v>14</v>
      </c>
      <c r="L2421" s="2" t="s">
        <v>39</v>
      </c>
      <c r="M2421" s="3"/>
    </row>
    <row r="2422" spans="1:13" x14ac:dyDescent="0.3">
      <c r="A2422" s="2">
        <v>2421</v>
      </c>
      <c r="B2422" s="2" t="s">
        <v>6371</v>
      </c>
      <c r="C2422" s="2" t="s">
        <v>2841</v>
      </c>
      <c r="D2422" s="2" t="s">
        <v>15</v>
      </c>
      <c r="E2422" s="2" t="s">
        <v>16</v>
      </c>
      <c r="F2422" s="2">
        <v>30</v>
      </c>
      <c r="G2422" s="2" t="s">
        <v>6372</v>
      </c>
      <c r="H2422" s="2" t="s">
        <v>2127</v>
      </c>
      <c r="I2422" s="2" t="s">
        <v>32</v>
      </c>
      <c r="J2422" s="3">
        <v>44517</v>
      </c>
      <c r="K2422" s="2">
        <v>4</v>
      </c>
      <c r="L2422" s="2" t="s">
        <v>70</v>
      </c>
      <c r="M2422" s="3"/>
    </row>
    <row r="2423" spans="1:13" x14ac:dyDescent="0.3">
      <c r="A2423" s="2">
        <v>2422</v>
      </c>
      <c r="B2423" s="2" t="s">
        <v>3013</v>
      </c>
      <c r="C2423" s="2" t="s">
        <v>2856</v>
      </c>
      <c r="D2423" s="2" t="s">
        <v>51</v>
      </c>
      <c r="E2423" s="2" t="s">
        <v>16</v>
      </c>
      <c r="F2423" s="2">
        <v>60</v>
      </c>
      <c r="G2423" s="2" t="s">
        <v>6373</v>
      </c>
      <c r="H2423" s="2" t="s">
        <v>920</v>
      </c>
      <c r="I2423" s="2" t="s">
        <v>178</v>
      </c>
      <c r="J2423" s="3">
        <v>44003</v>
      </c>
      <c r="K2423" s="2">
        <v>35</v>
      </c>
      <c r="L2423" s="2" t="s">
        <v>159</v>
      </c>
      <c r="M2423" s="3"/>
    </row>
    <row r="2424" spans="1:13" x14ac:dyDescent="0.3">
      <c r="A2424" s="2">
        <v>2423</v>
      </c>
      <c r="B2424" s="2" t="s">
        <v>6374</v>
      </c>
      <c r="C2424" s="2" t="s">
        <v>4865</v>
      </c>
      <c r="D2424" s="2" t="s">
        <v>41</v>
      </c>
      <c r="E2424" s="2" t="s">
        <v>16</v>
      </c>
      <c r="F2424" s="2">
        <v>60</v>
      </c>
      <c r="G2424" s="2" t="s">
        <v>6373</v>
      </c>
      <c r="H2424" s="2" t="s">
        <v>2250</v>
      </c>
      <c r="I2424" s="2" t="s">
        <v>187</v>
      </c>
      <c r="J2424" s="3">
        <v>44433</v>
      </c>
      <c r="K2424" s="2">
        <v>78</v>
      </c>
      <c r="L2424" s="2" t="s">
        <v>33</v>
      </c>
      <c r="M2424" s="3"/>
    </row>
    <row r="2425" spans="1:13" x14ac:dyDescent="0.3">
      <c r="A2425" s="2">
        <v>2424</v>
      </c>
      <c r="B2425" s="2" t="s">
        <v>1030</v>
      </c>
      <c r="C2425" s="2" t="s">
        <v>2033</v>
      </c>
      <c r="D2425" s="2" t="s">
        <v>28</v>
      </c>
      <c r="E2425" s="2" t="s">
        <v>29</v>
      </c>
      <c r="F2425" s="2">
        <v>30</v>
      </c>
      <c r="G2425" s="2" t="s">
        <v>6375</v>
      </c>
      <c r="H2425" s="2" t="s">
        <v>1490</v>
      </c>
      <c r="I2425" s="2" t="s">
        <v>294</v>
      </c>
      <c r="J2425" s="3">
        <v>44001</v>
      </c>
      <c r="K2425" s="2">
        <v>20</v>
      </c>
      <c r="L2425" s="2" t="s">
        <v>70</v>
      </c>
      <c r="M2425" s="3"/>
    </row>
    <row r="2426" spans="1:13" x14ac:dyDescent="0.3">
      <c r="A2426" s="2">
        <v>2425</v>
      </c>
      <c r="B2426" s="2" t="s">
        <v>2285</v>
      </c>
      <c r="C2426" s="2" t="s">
        <v>2735</v>
      </c>
      <c r="D2426" s="2" t="s">
        <v>15</v>
      </c>
      <c r="E2426" s="2" t="s">
        <v>16</v>
      </c>
      <c r="F2426" s="2">
        <v>90</v>
      </c>
      <c r="G2426" s="2" t="s">
        <v>6376</v>
      </c>
      <c r="H2426" s="2" t="s">
        <v>6377</v>
      </c>
      <c r="I2426" s="2" t="s">
        <v>164</v>
      </c>
      <c r="J2426" s="3">
        <v>44729</v>
      </c>
      <c r="K2426" s="2">
        <v>104</v>
      </c>
      <c r="L2426" s="2" t="s">
        <v>54</v>
      </c>
      <c r="M2426" s="3"/>
    </row>
    <row r="2427" spans="1:13" x14ac:dyDescent="0.3">
      <c r="A2427" s="2">
        <v>2426</v>
      </c>
      <c r="B2427" s="2" t="s">
        <v>6378</v>
      </c>
      <c r="C2427" s="2" t="s">
        <v>388</v>
      </c>
      <c r="D2427" s="2" t="s">
        <v>28</v>
      </c>
      <c r="E2427" s="2" t="s">
        <v>29</v>
      </c>
      <c r="F2427" s="2">
        <v>30</v>
      </c>
      <c r="G2427" s="2" t="s">
        <v>6379</v>
      </c>
      <c r="H2427" s="2" t="s">
        <v>288</v>
      </c>
      <c r="I2427" s="2" t="s">
        <v>32</v>
      </c>
      <c r="J2427" s="3">
        <v>44039</v>
      </c>
      <c r="K2427" s="2">
        <v>23</v>
      </c>
      <c r="L2427" s="2" t="s">
        <v>33</v>
      </c>
      <c r="M2427" s="3"/>
    </row>
    <row r="2428" spans="1:13" x14ac:dyDescent="0.3">
      <c r="A2428" s="2">
        <v>2427</v>
      </c>
      <c r="B2428" s="2" t="s">
        <v>6380</v>
      </c>
      <c r="C2428" s="2" t="s">
        <v>991</v>
      </c>
      <c r="D2428" s="2" t="s">
        <v>15</v>
      </c>
      <c r="E2428" s="2" t="s">
        <v>16</v>
      </c>
      <c r="F2428" s="2">
        <v>90</v>
      </c>
      <c r="G2428" s="2" t="s">
        <v>6381</v>
      </c>
      <c r="H2428" s="2" t="s">
        <v>655</v>
      </c>
      <c r="I2428" s="2" t="s">
        <v>32</v>
      </c>
      <c r="J2428" s="3">
        <v>44147</v>
      </c>
      <c r="K2428" s="2">
        <v>23</v>
      </c>
      <c r="L2428" s="2" t="s">
        <v>39</v>
      </c>
      <c r="M2428" s="3"/>
    </row>
    <row r="2429" spans="1:13" x14ac:dyDescent="0.3">
      <c r="A2429" s="2">
        <v>2428</v>
      </c>
      <c r="B2429" s="2" t="s">
        <v>1610</v>
      </c>
      <c r="C2429" s="2" t="s">
        <v>5164</v>
      </c>
      <c r="D2429" s="2" t="s">
        <v>28</v>
      </c>
      <c r="E2429" s="2" t="s">
        <v>29</v>
      </c>
      <c r="F2429" s="2">
        <v>30</v>
      </c>
      <c r="G2429" s="2" t="s">
        <v>6382</v>
      </c>
      <c r="H2429" s="2" t="s">
        <v>4889</v>
      </c>
      <c r="I2429" s="2" t="s">
        <v>110</v>
      </c>
      <c r="J2429" s="3">
        <v>44119</v>
      </c>
      <c r="K2429" s="2">
        <v>85</v>
      </c>
      <c r="L2429" s="2" t="s">
        <v>101</v>
      </c>
      <c r="M2429" s="3"/>
    </row>
    <row r="2430" spans="1:13" x14ac:dyDescent="0.3">
      <c r="A2430" s="2">
        <v>2429</v>
      </c>
      <c r="B2430" s="2" t="s">
        <v>1610</v>
      </c>
      <c r="C2430" s="2" t="s">
        <v>5164</v>
      </c>
      <c r="D2430" s="2" t="s">
        <v>28</v>
      </c>
      <c r="E2430" s="2" t="s">
        <v>29</v>
      </c>
      <c r="F2430" s="2">
        <v>30</v>
      </c>
      <c r="G2430" s="2" t="s">
        <v>6382</v>
      </c>
      <c r="H2430" s="2" t="s">
        <v>4889</v>
      </c>
      <c r="I2430" s="2" t="s">
        <v>110</v>
      </c>
      <c r="J2430" s="3">
        <v>44119</v>
      </c>
      <c r="K2430" s="2">
        <v>85</v>
      </c>
      <c r="L2430" s="2" t="s">
        <v>101</v>
      </c>
      <c r="M2430" s="3"/>
    </row>
    <row r="2431" spans="1:13" x14ac:dyDescent="0.3">
      <c r="A2431" s="2">
        <v>2430</v>
      </c>
      <c r="B2431" s="2" t="s">
        <v>433</v>
      </c>
      <c r="C2431" s="2" t="s">
        <v>6021</v>
      </c>
      <c r="D2431" s="2" t="s">
        <v>41</v>
      </c>
      <c r="E2431" s="2" t="s">
        <v>16</v>
      </c>
      <c r="F2431" s="2">
        <v>30</v>
      </c>
      <c r="G2431" s="2" t="s">
        <v>6382</v>
      </c>
      <c r="H2431" s="2" t="s">
        <v>924</v>
      </c>
      <c r="I2431" s="2" t="s">
        <v>32</v>
      </c>
      <c r="J2431" s="3">
        <v>44675</v>
      </c>
      <c r="K2431" s="2">
        <v>18</v>
      </c>
      <c r="L2431" s="2" t="s">
        <v>80</v>
      </c>
      <c r="M2431" s="3"/>
    </row>
    <row r="2432" spans="1:13" x14ac:dyDescent="0.3">
      <c r="A2432" s="2">
        <v>2431</v>
      </c>
      <c r="B2432" s="2" t="s">
        <v>6383</v>
      </c>
      <c r="C2432" s="2" t="s">
        <v>2912</v>
      </c>
      <c r="D2432" s="2" t="s">
        <v>51</v>
      </c>
      <c r="E2432" s="2" t="s">
        <v>16</v>
      </c>
      <c r="F2432" s="2">
        <v>60</v>
      </c>
      <c r="G2432" s="2" t="s">
        <v>6384</v>
      </c>
      <c r="H2432" s="2" t="s">
        <v>641</v>
      </c>
      <c r="I2432" s="2" t="s">
        <v>294</v>
      </c>
      <c r="J2432" s="3">
        <v>43905</v>
      </c>
      <c r="K2432" s="2">
        <v>44</v>
      </c>
      <c r="L2432" s="2" t="s">
        <v>39</v>
      </c>
      <c r="M2432" s="3"/>
    </row>
    <row r="2433" spans="1:13" x14ac:dyDescent="0.3">
      <c r="A2433" s="2">
        <v>2432</v>
      </c>
      <c r="B2433" s="2" t="s">
        <v>6385</v>
      </c>
      <c r="C2433" s="2" t="s">
        <v>2197</v>
      </c>
      <c r="D2433" s="2" t="s">
        <v>51</v>
      </c>
      <c r="E2433" s="2" t="s">
        <v>16</v>
      </c>
      <c r="F2433" s="2">
        <v>60</v>
      </c>
      <c r="G2433" s="2" t="s">
        <v>6386</v>
      </c>
      <c r="H2433" s="2" t="s">
        <v>6387</v>
      </c>
      <c r="I2433" s="2" t="s">
        <v>32</v>
      </c>
      <c r="J2433" s="3">
        <v>44164</v>
      </c>
      <c r="K2433" s="2">
        <v>2</v>
      </c>
      <c r="L2433" s="2" t="s">
        <v>70</v>
      </c>
      <c r="M2433" s="3"/>
    </row>
    <row r="2434" spans="1:13" x14ac:dyDescent="0.3">
      <c r="A2434" s="2">
        <v>2433</v>
      </c>
      <c r="B2434" s="2" t="s">
        <v>3706</v>
      </c>
      <c r="C2434" s="2" t="s">
        <v>197</v>
      </c>
      <c r="D2434" s="2" t="s">
        <v>28</v>
      </c>
      <c r="E2434" s="2" t="s">
        <v>29</v>
      </c>
      <c r="F2434" s="2">
        <v>90</v>
      </c>
      <c r="G2434" s="2" t="s">
        <v>6388</v>
      </c>
      <c r="H2434" s="2" t="s">
        <v>1426</v>
      </c>
      <c r="I2434" s="2" t="s">
        <v>32</v>
      </c>
      <c r="J2434" s="3">
        <v>44041</v>
      </c>
      <c r="K2434" s="2">
        <v>13</v>
      </c>
      <c r="L2434" s="2" t="s">
        <v>70</v>
      </c>
      <c r="M2434" s="3"/>
    </row>
    <row r="2435" spans="1:13" x14ac:dyDescent="0.3">
      <c r="A2435" s="2">
        <v>2434</v>
      </c>
      <c r="B2435" s="2" t="s">
        <v>5317</v>
      </c>
      <c r="C2435" s="2" t="s">
        <v>1928</v>
      </c>
      <c r="D2435" s="2" t="s">
        <v>15</v>
      </c>
      <c r="E2435" s="2" t="s">
        <v>16</v>
      </c>
      <c r="F2435" s="2">
        <v>60</v>
      </c>
      <c r="G2435" s="2" t="s">
        <v>6389</v>
      </c>
      <c r="H2435" s="2" t="s">
        <v>1336</v>
      </c>
      <c r="I2435" s="2" t="s">
        <v>129</v>
      </c>
      <c r="J2435" s="3">
        <v>44190</v>
      </c>
      <c r="K2435" s="2">
        <v>3</v>
      </c>
      <c r="L2435" s="2" t="s">
        <v>80</v>
      </c>
      <c r="M2435" s="3"/>
    </row>
    <row r="2436" spans="1:13" x14ac:dyDescent="0.3">
      <c r="A2436" s="2">
        <v>2435</v>
      </c>
      <c r="B2436" s="2" t="s">
        <v>5942</v>
      </c>
      <c r="C2436" s="2" t="s">
        <v>6390</v>
      </c>
      <c r="D2436" s="2" t="s">
        <v>28</v>
      </c>
      <c r="E2436" s="2" t="s">
        <v>29</v>
      </c>
      <c r="F2436" s="2">
        <v>90</v>
      </c>
      <c r="G2436" s="2" t="s">
        <v>6391</v>
      </c>
      <c r="H2436" s="2" t="s">
        <v>1537</v>
      </c>
      <c r="I2436" s="2" t="s">
        <v>294</v>
      </c>
      <c r="J2436" s="3">
        <v>44091</v>
      </c>
      <c r="K2436" s="2">
        <v>64</v>
      </c>
      <c r="L2436" s="2" t="s">
        <v>39</v>
      </c>
      <c r="M2436" s="3"/>
    </row>
    <row r="2437" spans="1:13" x14ac:dyDescent="0.3">
      <c r="A2437" s="2">
        <v>2436</v>
      </c>
      <c r="B2437" s="2" t="s">
        <v>6392</v>
      </c>
      <c r="C2437" s="2" t="s">
        <v>3016</v>
      </c>
      <c r="D2437" s="2" t="s">
        <v>15</v>
      </c>
      <c r="E2437" s="2" t="s">
        <v>16</v>
      </c>
      <c r="F2437" s="2">
        <v>90</v>
      </c>
      <c r="G2437" s="2" t="s">
        <v>6393</v>
      </c>
      <c r="H2437" s="2" t="s">
        <v>4901</v>
      </c>
      <c r="I2437" s="2" t="s">
        <v>32</v>
      </c>
      <c r="J2437" s="3">
        <v>44438</v>
      </c>
      <c r="K2437" s="2">
        <v>73</v>
      </c>
      <c r="L2437" s="2" t="s">
        <v>159</v>
      </c>
      <c r="M2437" s="3"/>
    </row>
    <row r="2438" spans="1:13" x14ac:dyDescent="0.3">
      <c r="A2438" s="2">
        <v>2437</v>
      </c>
      <c r="B2438" s="2" t="s">
        <v>6394</v>
      </c>
      <c r="C2438" s="2" t="s">
        <v>5214</v>
      </c>
      <c r="D2438" s="2" t="s">
        <v>15</v>
      </c>
      <c r="E2438" s="2" t="s">
        <v>16</v>
      </c>
      <c r="F2438" s="2">
        <v>30</v>
      </c>
      <c r="G2438" s="2" t="s">
        <v>6395</v>
      </c>
      <c r="H2438" s="2" t="s">
        <v>4317</v>
      </c>
      <c r="I2438" s="2" t="s">
        <v>32</v>
      </c>
      <c r="J2438" s="3">
        <v>44460</v>
      </c>
      <c r="K2438" s="2">
        <v>94</v>
      </c>
      <c r="L2438" s="2" t="s">
        <v>39</v>
      </c>
      <c r="M2438" s="3"/>
    </row>
    <row r="2439" spans="1:13" x14ac:dyDescent="0.3">
      <c r="A2439" s="2">
        <v>2438</v>
      </c>
      <c r="B2439" s="2" t="s">
        <v>6394</v>
      </c>
      <c r="C2439" s="2" t="s">
        <v>5214</v>
      </c>
      <c r="D2439" s="2" t="s">
        <v>15</v>
      </c>
      <c r="E2439" s="2" t="s">
        <v>16</v>
      </c>
      <c r="F2439" s="2">
        <v>30</v>
      </c>
      <c r="G2439" s="2" t="s">
        <v>6395</v>
      </c>
      <c r="H2439" s="2" t="s">
        <v>4317</v>
      </c>
      <c r="I2439" s="2" t="s">
        <v>32</v>
      </c>
      <c r="J2439" s="3">
        <v>44460</v>
      </c>
      <c r="K2439" s="2">
        <v>94</v>
      </c>
      <c r="L2439" s="2" t="s">
        <v>39</v>
      </c>
      <c r="M2439" s="3"/>
    </row>
    <row r="2440" spans="1:13" x14ac:dyDescent="0.3">
      <c r="A2440" s="2">
        <v>2439</v>
      </c>
      <c r="B2440" s="2" t="s">
        <v>6396</v>
      </c>
      <c r="C2440" s="2" t="s">
        <v>2719</v>
      </c>
      <c r="D2440" s="2" t="s">
        <v>41</v>
      </c>
      <c r="E2440" s="2" t="s">
        <v>16</v>
      </c>
      <c r="F2440" s="2">
        <v>30</v>
      </c>
      <c r="G2440" s="2" t="s">
        <v>6397</v>
      </c>
      <c r="H2440" s="2" t="s">
        <v>5449</v>
      </c>
      <c r="I2440" s="2" t="s">
        <v>32</v>
      </c>
      <c r="J2440" s="3">
        <v>44373</v>
      </c>
      <c r="K2440" s="2">
        <v>34</v>
      </c>
      <c r="L2440" s="2" t="s">
        <v>54</v>
      </c>
      <c r="M2440" s="3"/>
    </row>
    <row r="2441" spans="1:13" x14ac:dyDescent="0.3">
      <c r="A2441" s="2">
        <v>2440</v>
      </c>
      <c r="B2441" s="2" t="s">
        <v>55</v>
      </c>
      <c r="C2441" s="2" t="s">
        <v>1623</v>
      </c>
      <c r="D2441" s="2" t="s">
        <v>28</v>
      </c>
      <c r="E2441" s="2" t="s">
        <v>29</v>
      </c>
      <c r="F2441" s="2">
        <v>30</v>
      </c>
      <c r="G2441" s="2" t="s">
        <v>6398</v>
      </c>
      <c r="H2441" s="2" t="s">
        <v>405</v>
      </c>
      <c r="I2441" s="2" t="s">
        <v>32</v>
      </c>
      <c r="J2441" s="3">
        <v>44556</v>
      </c>
      <c r="K2441" s="2">
        <v>92</v>
      </c>
      <c r="L2441" s="2" t="s">
        <v>54</v>
      </c>
      <c r="M2441" s="3"/>
    </row>
    <row r="2442" spans="1:13" x14ac:dyDescent="0.3">
      <c r="A2442" s="2">
        <v>2441</v>
      </c>
      <c r="B2442" s="2" t="s">
        <v>3410</v>
      </c>
      <c r="C2442" s="2" t="s">
        <v>4600</v>
      </c>
      <c r="D2442" s="2" t="s">
        <v>28</v>
      </c>
      <c r="E2442" s="2" t="s">
        <v>29</v>
      </c>
      <c r="F2442" s="2">
        <v>30</v>
      </c>
      <c r="G2442" s="2" t="s">
        <v>6399</v>
      </c>
      <c r="H2442" s="2" t="s">
        <v>4678</v>
      </c>
      <c r="I2442" s="2" t="s">
        <v>886</v>
      </c>
      <c r="J2442" s="3">
        <v>43906</v>
      </c>
      <c r="K2442" s="2">
        <v>60</v>
      </c>
      <c r="L2442" s="2" t="s">
        <v>45</v>
      </c>
      <c r="M2442" s="3"/>
    </row>
    <row r="2443" spans="1:13" x14ac:dyDescent="0.3">
      <c r="A2443" s="2">
        <v>2442</v>
      </c>
      <c r="B2443" s="2" t="s">
        <v>1982</v>
      </c>
      <c r="C2443" s="2" t="s">
        <v>635</v>
      </c>
      <c r="D2443" s="2" t="s">
        <v>28</v>
      </c>
      <c r="E2443" s="2" t="s">
        <v>29</v>
      </c>
      <c r="F2443" s="2">
        <v>60</v>
      </c>
      <c r="G2443" s="2" t="s">
        <v>6400</v>
      </c>
      <c r="H2443" s="2" t="s">
        <v>5874</v>
      </c>
      <c r="I2443" s="2" t="s">
        <v>839</v>
      </c>
      <c r="J2443" s="3">
        <v>44256</v>
      </c>
      <c r="K2443" s="2">
        <v>79</v>
      </c>
      <c r="L2443" s="2" t="s">
        <v>70</v>
      </c>
      <c r="M2443" s="3"/>
    </row>
    <row r="2444" spans="1:13" x14ac:dyDescent="0.3">
      <c r="A2444" s="2">
        <v>2443</v>
      </c>
      <c r="B2444" s="2" t="s">
        <v>1226</v>
      </c>
      <c r="C2444" s="2" t="s">
        <v>6401</v>
      </c>
      <c r="D2444" s="2" t="s">
        <v>28</v>
      </c>
      <c r="E2444" s="2" t="s">
        <v>29</v>
      </c>
      <c r="F2444" s="2">
        <v>60</v>
      </c>
      <c r="G2444" s="2" t="s">
        <v>6402</v>
      </c>
      <c r="H2444" s="2" t="s">
        <v>6069</v>
      </c>
      <c r="I2444" s="2" t="s">
        <v>294</v>
      </c>
      <c r="J2444" s="3">
        <v>43848</v>
      </c>
      <c r="K2444" s="2">
        <v>13</v>
      </c>
      <c r="L2444" s="2" t="s">
        <v>20</v>
      </c>
      <c r="M2444" s="3"/>
    </row>
    <row r="2445" spans="1:13" x14ac:dyDescent="0.3">
      <c r="A2445" s="2">
        <v>2444</v>
      </c>
      <c r="B2445" s="2" t="s">
        <v>2267</v>
      </c>
      <c r="C2445" s="2" t="s">
        <v>3314</v>
      </c>
      <c r="D2445" s="2" t="s">
        <v>28</v>
      </c>
      <c r="E2445" s="2" t="s">
        <v>29</v>
      </c>
      <c r="F2445" s="2">
        <v>60</v>
      </c>
      <c r="G2445" s="2" t="s">
        <v>6403</v>
      </c>
      <c r="H2445" s="2" t="s">
        <v>53</v>
      </c>
      <c r="I2445" s="2" t="s">
        <v>32</v>
      </c>
      <c r="J2445" s="3">
        <v>44834</v>
      </c>
      <c r="K2445" s="2">
        <v>95</v>
      </c>
      <c r="L2445" s="2" t="s">
        <v>54</v>
      </c>
      <c r="M2445" s="3"/>
    </row>
    <row r="2446" spans="1:13" x14ac:dyDescent="0.3">
      <c r="A2446" s="2">
        <v>2445</v>
      </c>
      <c r="B2446" s="2" t="s">
        <v>3940</v>
      </c>
      <c r="C2446" s="2" t="s">
        <v>2143</v>
      </c>
      <c r="D2446" s="2" t="s">
        <v>28</v>
      </c>
      <c r="E2446" s="2" t="s">
        <v>29</v>
      </c>
      <c r="F2446" s="2">
        <v>30</v>
      </c>
      <c r="G2446" s="2" t="s">
        <v>6404</v>
      </c>
      <c r="H2446" s="2" t="s">
        <v>1082</v>
      </c>
      <c r="I2446" s="2" t="s">
        <v>1083</v>
      </c>
      <c r="J2446" s="3">
        <v>44876</v>
      </c>
      <c r="K2446" s="2">
        <v>19</v>
      </c>
      <c r="L2446" s="2" t="s">
        <v>33</v>
      </c>
      <c r="M2446" s="3"/>
    </row>
    <row r="2447" spans="1:13" x14ac:dyDescent="0.3">
      <c r="A2447" s="2">
        <v>2446</v>
      </c>
      <c r="B2447" s="2" t="s">
        <v>5246</v>
      </c>
      <c r="C2447" s="2" t="s">
        <v>499</v>
      </c>
      <c r="D2447" s="2" t="s">
        <v>51</v>
      </c>
      <c r="E2447" s="2" t="s">
        <v>16</v>
      </c>
      <c r="F2447" s="2">
        <v>30</v>
      </c>
      <c r="G2447" s="2" t="s">
        <v>6405</v>
      </c>
      <c r="H2447" s="2" t="s">
        <v>1494</v>
      </c>
      <c r="I2447" s="2" t="s">
        <v>32</v>
      </c>
      <c r="J2447" s="3">
        <v>44202</v>
      </c>
      <c r="K2447" s="2">
        <v>72</v>
      </c>
      <c r="L2447" s="2" t="s">
        <v>159</v>
      </c>
      <c r="M2447" s="3"/>
    </row>
    <row r="2448" spans="1:13" x14ac:dyDescent="0.3">
      <c r="A2448" s="2">
        <v>2447</v>
      </c>
      <c r="B2448" s="2" t="s">
        <v>5954</v>
      </c>
      <c r="C2448" s="2" t="s">
        <v>3258</v>
      </c>
      <c r="D2448" s="2" t="s">
        <v>28</v>
      </c>
      <c r="E2448" s="2" t="s">
        <v>29</v>
      </c>
      <c r="F2448" s="2">
        <v>90</v>
      </c>
      <c r="G2448" s="2" t="s">
        <v>6406</v>
      </c>
      <c r="H2448" s="2" t="s">
        <v>720</v>
      </c>
      <c r="I2448" s="2" t="s">
        <v>686</v>
      </c>
      <c r="J2448" s="3">
        <v>44179</v>
      </c>
      <c r="K2448" s="2">
        <v>15</v>
      </c>
      <c r="L2448" s="2" t="s">
        <v>64</v>
      </c>
      <c r="M2448" s="3"/>
    </row>
    <row r="2449" spans="1:13" x14ac:dyDescent="0.3">
      <c r="A2449" s="2">
        <v>2448</v>
      </c>
      <c r="B2449" s="2" t="s">
        <v>6407</v>
      </c>
      <c r="C2449" s="2" t="s">
        <v>35</v>
      </c>
      <c r="D2449" s="2" t="s">
        <v>51</v>
      </c>
      <c r="E2449" s="2" t="s">
        <v>16</v>
      </c>
      <c r="F2449" s="2">
        <v>30</v>
      </c>
      <c r="G2449" s="2" t="s">
        <v>6408</v>
      </c>
      <c r="H2449" s="2" t="s">
        <v>4358</v>
      </c>
      <c r="I2449" s="2" t="s">
        <v>146</v>
      </c>
      <c r="J2449" s="3">
        <v>43957</v>
      </c>
      <c r="K2449" s="2">
        <v>24</v>
      </c>
      <c r="L2449" s="2" t="s">
        <v>80</v>
      </c>
      <c r="M2449" s="3"/>
    </row>
    <row r="2450" spans="1:13" x14ac:dyDescent="0.3">
      <c r="A2450" s="2">
        <v>2449</v>
      </c>
      <c r="B2450" s="2" t="s">
        <v>5768</v>
      </c>
      <c r="C2450" s="2" t="s">
        <v>1326</v>
      </c>
      <c r="D2450" s="2" t="s">
        <v>51</v>
      </c>
      <c r="E2450" s="2" t="s">
        <v>16</v>
      </c>
      <c r="F2450" s="2">
        <v>30</v>
      </c>
      <c r="G2450" s="2" t="s">
        <v>6409</v>
      </c>
      <c r="H2450" s="2" t="s">
        <v>6410</v>
      </c>
      <c r="I2450" s="2" t="s">
        <v>32</v>
      </c>
      <c r="J2450" s="3">
        <v>43977</v>
      </c>
      <c r="K2450" s="2">
        <v>33</v>
      </c>
      <c r="L2450" s="2" t="s">
        <v>20</v>
      </c>
      <c r="M2450" s="3"/>
    </row>
    <row r="2451" spans="1:13" x14ac:dyDescent="0.3">
      <c r="A2451" s="2">
        <v>2450</v>
      </c>
      <c r="B2451" s="2" t="s">
        <v>6411</v>
      </c>
      <c r="C2451" s="2" t="s">
        <v>5413</v>
      </c>
      <c r="D2451" s="2" t="s">
        <v>28</v>
      </c>
      <c r="E2451" s="2" t="s">
        <v>29</v>
      </c>
      <c r="F2451" s="2">
        <v>90</v>
      </c>
      <c r="G2451" s="2" t="s">
        <v>6412</v>
      </c>
      <c r="H2451" s="2" t="s">
        <v>1258</v>
      </c>
      <c r="I2451" s="2" t="s">
        <v>32</v>
      </c>
      <c r="J2451" s="3">
        <v>44196</v>
      </c>
      <c r="K2451" s="2">
        <v>36</v>
      </c>
      <c r="L2451" s="2" t="s">
        <v>39</v>
      </c>
      <c r="M2451" s="3"/>
    </row>
    <row r="2452" spans="1:13" x14ac:dyDescent="0.3">
      <c r="A2452" s="2">
        <v>2451</v>
      </c>
      <c r="B2452" s="2" t="s">
        <v>6413</v>
      </c>
      <c r="C2452" s="2" t="s">
        <v>1832</v>
      </c>
      <c r="D2452" s="2" t="s">
        <v>28</v>
      </c>
      <c r="E2452" s="2" t="s">
        <v>3276</v>
      </c>
      <c r="F2452" s="2">
        <v>90</v>
      </c>
      <c r="G2452" s="2" t="s">
        <v>6414</v>
      </c>
      <c r="H2452" s="2" t="s">
        <v>2336</v>
      </c>
      <c r="I2452" s="2" t="s">
        <v>32</v>
      </c>
      <c r="J2452" s="3">
        <v>44464</v>
      </c>
      <c r="K2452" s="2">
        <v>31</v>
      </c>
      <c r="L2452" s="2" t="s">
        <v>45</v>
      </c>
      <c r="M2452" s="3"/>
    </row>
    <row r="2453" spans="1:13" x14ac:dyDescent="0.3">
      <c r="A2453" s="2">
        <v>2452</v>
      </c>
      <c r="B2453" s="2" t="s">
        <v>6415</v>
      </c>
      <c r="C2453" s="2" t="s">
        <v>6416</v>
      </c>
      <c r="D2453" s="2" t="s">
        <v>51</v>
      </c>
      <c r="E2453" s="2" t="s">
        <v>16</v>
      </c>
      <c r="F2453" s="2">
        <v>90</v>
      </c>
      <c r="G2453" s="2" t="s">
        <v>6417</v>
      </c>
      <c r="H2453" s="2" t="s">
        <v>6418</v>
      </c>
      <c r="I2453" s="2" t="s">
        <v>240</v>
      </c>
      <c r="J2453" s="3">
        <v>44525</v>
      </c>
      <c r="K2453" s="2">
        <v>14</v>
      </c>
      <c r="L2453" s="2" t="s">
        <v>20</v>
      </c>
      <c r="M2453" s="3"/>
    </row>
    <row r="2454" spans="1:13" x14ac:dyDescent="0.3">
      <c r="A2454" s="2">
        <v>2453</v>
      </c>
      <c r="B2454" s="2" t="s">
        <v>6419</v>
      </c>
      <c r="C2454" s="2" t="s">
        <v>6420</v>
      </c>
      <c r="D2454" s="2" t="s">
        <v>28</v>
      </c>
      <c r="E2454" s="2" t="s">
        <v>29</v>
      </c>
      <c r="F2454" s="2">
        <v>30</v>
      </c>
      <c r="G2454" s="2" t="s">
        <v>6421</v>
      </c>
      <c r="H2454" s="2" t="s">
        <v>1729</v>
      </c>
      <c r="I2454" s="2" t="s">
        <v>32</v>
      </c>
      <c r="J2454" s="3">
        <v>44496</v>
      </c>
      <c r="K2454" s="2">
        <v>13</v>
      </c>
      <c r="L2454" s="2" t="s">
        <v>45</v>
      </c>
      <c r="M2454" s="3"/>
    </row>
    <row r="2455" spans="1:13" x14ac:dyDescent="0.3">
      <c r="A2455" s="2">
        <v>2454</v>
      </c>
      <c r="B2455" s="2" t="s">
        <v>683</v>
      </c>
      <c r="C2455" s="2" t="s">
        <v>1802</v>
      </c>
      <c r="D2455" s="2" t="s">
        <v>28</v>
      </c>
      <c r="E2455" s="2" t="s">
        <v>29</v>
      </c>
      <c r="F2455" s="2">
        <v>30</v>
      </c>
      <c r="G2455" s="2" t="s">
        <v>6422</v>
      </c>
      <c r="H2455" s="2" t="s">
        <v>1350</v>
      </c>
      <c r="I2455" s="2" t="s">
        <v>32</v>
      </c>
      <c r="J2455" s="3">
        <v>44591</v>
      </c>
      <c r="K2455" s="2">
        <v>79</v>
      </c>
      <c r="L2455" s="2" t="s">
        <v>20</v>
      </c>
      <c r="M2455" s="3"/>
    </row>
    <row r="2456" spans="1:13" x14ac:dyDescent="0.3">
      <c r="A2456" s="2">
        <v>2455</v>
      </c>
      <c r="B2456" s="2" t="s">
        <v>6423</v>
      </c>
      <c r="D2456" s="2" t="s">
        <v>41</v>
      </c>
      <c r="E2456" s="2" t="s">
        <v>16</v>
      </c>
      <c r="F2456" s="2">
        <v>30</v>
      </c>
      <c r="G2456" s="2" t="s">
        <v>6424</v>
      </c>
      <c r="H2456" s="2" t="s">
        <v>393</v>
      </c>
      <c r="I2456" s="2" t="s">
        <v>32</v>
      </c>
      <c r="J2456" s="3">
        <v>44553</v>
      </c>
      <c r="K2456" s="2">
        <v>39</v>
      </c>
      <c r="L2456" s="2" t="s">
        <v>64</v>
      </c>
      <c r="M2456" s="3"/>
    </row>
    <row r="2457" spans="1:13" x14ac:dyDescent="0.3">
      <c r="A2457" s="2">
        <v>2456</v>
      </c>
      <c r="B2457" s="2" t="s">
        <v>4414</v>
      </c>
      <c r="C2457" s="2" t="s">
        <v>6425</v>
      </c>
      <c r="D2457" s="2" t="s">
        <v>28</v>
      </c>
      <c r="E2457" s="2" t="s">
        <v>29</v>
      </c>
      <c r="F2457" s="2">
        <v>90</v>
      </c>
      <c r="G2457" s="2" t="s">
        <v>6426</v>
      </c>
      <c r="H2457" s="2" t="s">
        <v>1605</v>
      </c>
      <c r="I2457" s="2" t="s">
        <v>32</v>
      </c>
      <c r="J2457" s="3">
        <v>44864</v>
      </c>
      <c r="K2457" s="2">
        <v>47</v>
      </c>
      <c r="L2457" s="2" t="s">
        <v>20</v>
      </c>
      <c r="M2457" s="3"/>
    </row>
    <row r="2458" spans="1:13" x14ac:dyDescent="0.3">
      <c r="A2458" s="2">
        <v>2457</v>
      </c>
      <c r="B2458" s="2" t="s">
        <v>4986</v>
      </c>
      <c r="C2458" s="2" t="s">
        <v>281</v>
      </c>
      <c r="D2458" s="2" t="s">
        <v>28</v>
      </c>
      <c r="E2458" s="2" t="s">
        <v>29</v>
      </c>
      <c r="F2458" s="2">
        <v>30</v>
      </c>
      <c r="G2458" s="2" t="s">
        <v>6427</v>
      </c>
      <c r="H2458" s="2" t="s">
        <v>3274</v>
      </c>
      <c r="I2458" s="2" t="s">
        <v>32</v>
      </c>
      <c r="J2458" s="3">
        <v>44801</v>
      </c>
      <c r="K2458" s="2">
        <v>94</v>
      </c>
      <c r="L2458" s="2" t="s">
        <v>64</v>
      </c>
      <c r="M2458" s="3"/>
    </row>
    <row r="2459" spans="1:13" x14ac:dyDescent="0.3">
      <c r="A2459" s="2">
        <v>2458</v>
      </c>
      <c r="B2459" s="2" t="s">
        <v>6428</v>
      </c>
      <c r="C2459" s="2" t="s">
        <v>1216</v>
      </c>
      <c r="D2459" s="2" t="s">
        <v>51</v>
      </c>
      <c r="E2459" s="2" t="s">
        <v>16</v>
      </c>
      <c r="F2459" s="2">
        <v>90</v>
      </c>
      <c r="G2459" s="2" t="s">
        <v>6429</v>
      </c>
      <c r="H2459" s="2" t="s">
        <v>6430</v>
      </c>
      <c r="I2459" s="2" t="s">
        <v>32</v>
      </c>
      <c r="J2459" s="3">
        <v>43998</v>
      </c>
      <c r="K2459" s="2">
        <v>43</v>
      </c>
      <c r="L2459" s="2" t="s">
        <v>70</v>
      </c>
      <c r="M2459" s="3"/>
    </row>
    <row r="2460" spans="1:13" x14ac:dyDescent="0.3">
      <c r="A2460" s="2">
        <v>2459</v>
      </c>
      <c r="B2460" s="2" t="s">
        <v>5617</v>
      </c>
      <c r="C2460" s="2" t="s">
        <v>929</v>
      </c>
      <c r="D2460" s="2" t="s">
        <v>51</v>
      </c>
      <c r="E2460" s="2" t="s">
        <v>16</v>
      </c>
      <c r="F2460" s="2">
        <v>90</v>
      </c>
      <c r="G2460" s="2" t="s">
        <v>6431</v>
      </c>
      <c r="H2460" s="2" t="s">
        <v>2243</v>
      </c>
      <c r="I2460" s="2" t="s">
        <v>32</v>
      </c>
      <c r="J2460" s="3">
        <v>44403</v>
      </c>
      <c r="K2460" s="2">
        <v>62</v>
      </c>
      <c r="L2460" s="2" t="s">
        <v>33</v>
      </c>
      <c r="M2460" s="3"/>
    </row>
    <row r="2461" spans="1:13" x14ac:dyDescent="0.3">
      <c r="A2461" s="2">
        <v>2460</v>
      </c>
      <c r="B2461" s="2" t="s">
        <v>6432</v>
      </c>
      <c r="C2461" s="2" t="s">
        <v>2051</v>
      </c>
      <c r="D2461" s="2" t="s">
        <v>15</v>
      </c>
      <c r="E2461" s="2" t="s">
        <v>16</v>
      </c>
      <c r="F2461" s="2">
        <v>60</v>
      </c>
      <c r="G2461" s="2" t="s">
        <v>6433</v>
      </c>
      <c r="H2461" s="2" t="s">
        <v>2130</v>
      </c>
      <c r="I2461" s="2" t="s">
        <v>32</v>
      </c>
      <c r="J2461" s="3">
        <v>44045</v>
      </c>
      <c r="K2461" s="2">
        <v>69</v>
      </c>
      <c r="L2461" s="2" t="s">
        <v>45</v>
      </c>
      <c r="M2461" s="3"/>
    </row>
    <row r="2462" spans="1:13" x14ac:dyDescent="0.3">
      <c r="A2462" s="2">
        <v>2461</v>
      </c>
      <c r="B2462" s="2" t="s">
        <v>6434</v>
      </c>
      <c r="C2462" s="2" t="s">
        <v>1539</v>
      </c>
      <c r="D2462" s="2" t="s">
        <v>51</v>
      </c>
      <c r="E2462" s="2" t="s">
        <v>16</v>
      </c>
      <c r="F2462" s="2">
        <v>30</v>
      </c>
      <c r="G2462" s="2" t="s">
        <v>6435</v>
      </c>
      <c r="H2462" s="2" t="s">
        <v>2097</v>
      </c>
      <c r="I2462" s="2" t="s">
        <v>178</v>
      </c>
      <c r="J2462" s="3">
        <v>44813</v>
      </c>
      <c r="K2462" s="2">
        <v>11</v>
      </c>
      <c r="L2462" s="2" t="s">
        <v>101</v>
      </c>
      <c r="M2462" s="3"/>
    </row>
    <row r="2463" spans="1:13" x14ac:dyDescent="0.3">
      <c r="A2463" s="2">
        <v>2462</v>
      </c>
      <c r="B2463" s="2" t="s">
        <v>4693</v>
      </c>
      <c r="C2463" s="2" t="s">
        <v>783</v>
      </c>
      <c r="D2463" s="2" t="s">
        <v>51</v>
      </c>
      <c r="E2463" s="2" t="s">
        <v>16</v>
      </c>
      <c r="F2463" s="2">
        <v>60</v>
      </c>
      <c r="G2463" s="2" t="s">
        <v>6435</v>
      </c>
      <c r="H2463" s="2" t="s">
        <v>412</v>
      </c>
      <c r="I2463" s="2" t="s">
        <v>187</v>
      </c>
      <c r="J2463" s="3">
        <v>43896</v>
      </c>
      <c r="K2463" s="2">
        <v>42</v>
      </c>
      <c r="L2463" s="2" t="s">
        <v>45</v>
      </c>
      <c r="M2463" s="3"/>
    </row>
    <row r="2464" spans="1:13" x14ac:dyDescent="0.3">
      <c r="A2464" s="2">
        <v>2463</v>
      </c>
      <c r="B2464" s="2" t="s">
        <v>773</v>
      </c>
      <c r="C2464" s="2" t="s">
        <v>6436</v>
      </c>
      <c r="D2464" s="2" t="s">
        <v>28</v>
      </c>
      <c r="E2464" s="2" t="s">
        <v>29</v>
      </c>
      <c r="F2464" s="2">
        <v>60</v>
      </c>
      <c r="G2464" s="2" t="s">
        <v>6437</v>
      </c>
      <c r="H2464" s="2" t="s">
        <v>5316</v>
      </c>
      <c r="I2464" s="2" t="s">
        <v>25</v>
      </c>
      <c r="J2464" s="3">
        <v>44471</v>
      </c>
      <c r="K2464" s="2">
        <v>37</v>
      </c>
      <c r="L2464" s="2" t="s">
        <v>20</v>
      </c>
      <c r="M2464" s="3"/>
    </row>
    <row r="2465" spans="1:13" x14ac:dyDescent="0.3">
      <c r="A2465" s="2">
        <v>2464</v>
      </c>
      <c r="B2465" s="2" t="s">
        <v>6438</v>
      </c>
      <c r="C2465" s="2" t="s">
        <v>6439</v>
      </c>
      <c r="D2465" s="2" t="s">
        <v>15</v>
      </c>
      <c r="E2465" s="2" t="s">
        <v>16</v>
      </c>
      <c r="F2465" s="2">
        <v>90</v>
      </c>
      <c r="G2465" s="2" t="s">
        <v>6440</v>
      </c>
      <c r="H2465" s="2" t="s">
        <v>3169</v>
      </c>
      <c r="I2465" s="2" t="s">
        <v>110</v>
      </c>
      <c r="J2465" s="3">
        <v>44504</v>
      </c>
      <c r="K2465" s="2">
        <v>95</v>
      </c>
      <c r="L2465" s="2" t="s">
        <v>45</v>
      </c>
      <c r="M2465" s="3"/>
    </row>
    <row r="2466" spans="1:13" x14ac:dyDescent="0.3">
      <c r="A2466" s="2">
        <v>2465</v>
      </c>
      <c r="B2466" s="2" t="s">
        <v>2115</v>
      </c>
      <c r="C2466" s="2" t="s">
        <v>2856</v>
      </c>
      <c r="D2466" s="2" t="s">
        <v>28</v>
      </c>
      <c r="E2466" s="2" t="s">
        <v>29</v>
      </c>
      <c r="F2466" s="2">
        <v>90</v>
      </c>
      <c r="G2466" s="2" t="s">
        <v>6441</v>
      </c>
      <c r="H2466" s="2" t="s">
        <v>6442</v>
      </c>
      <c r="I2466" s="2" t="s">
        <v>294</v>
      </c>
      <c r="J2466" s="3">
        <v>43926</v>
      </c>
      <c r="K2466" s="2">
        <v>49</v>
      </c>
      <c r="L2466" s="2" t="s">
        <v>64</v>
      </c>
      <c r="M2466" s="3"/>
    </row>
    <row r="2467" spans="1:13" x14ac:dyDescent="0.3">
      <c r="A2467" s="2">
        <v>2466</v>
      </c>
      <c r="B2467" s="2" t="s">
        <v>811</v>
      </c>
      <c r="C2467" s="2" t="s">
        <v>1050</v>
      </c>
      <c r="D2467" s="2" t="s">
        <v>28</v>
      </c>
      <c r="E2467" s="2" t="s">
        <v>29</v>
      </c>
      <c r="F2467" s="2">
        <v>60</v>
      </c>
      <c r="G2467" s="2" t="s">
        <v>6443</v>
      </c>
      <c r="H2467" s="2" t="s">
        <v>3482</v>
      </c>
      <c r="I2467" s="2" t="s">
        <v>25</v>
      </c>
      <c r="J2467" s="3">
        <v>44421</v>
      </c>
      <c r="K2467" s="2">
        <v>10</v>
      </c>
      <c r="L2467" s="2" t="s">
        <v>39</v>
      </c>
      <c r="M2467" s="3"/>
    </row>
    <row r="2468" spans="1:13" x14ac:dyDescent="0.3">
      <c r="A2468" s="2">
        <v>2467</v>
      </c>
      <c r="B2468" s="2" t="s">
        <v>6444</v>
      </c>
      <c r="C2468" s="2" t="s">
        <v>1109</v>
      </c>
      <c r="D2468" s="2" t="s">
        <v>15</v>
      </c>
      <c r="E2468" s="2" t="s">
        <v>16</v>
      </c>
      <c r="F2468" s="2">
        <v>90</v>
      </c>
      <c r="G2468" s="2" t="s">
        <v>6445</v>
      </c>
      <c r="H2468" s="2" t="s">
        <v>2066</v>
      </c>
      <c r="I2468" s="2" t="s">
        <v>294</v>
      </c>
      <c r="J2468" s="3">
        <v>44806</v>
      </c>
      <c r="K2468" s="2">
        <v>94</v>
      </c>
      <c r="L2468" s="2" t="s">
        <v>64</v>
      </c>
      <c r="M2468" s="3"/>
    </row>
    <row r="2469" spans="1:13" x14ac:dyDescent="0.3">
      <c r="A2469" s="2">
        <v>2468</v>
      </c>
      <c r="B2469" s="2" t="s">
        <v>6446</v>
      </c>
      <c r="C2469" s="2" t="s">
        <v>6447</v>
      </c>
      <c r="D2469" s="2" t="s">
        <v>28</v>
      </c>
      <c r="E2469" s="2" t="s">
        <v>29</v>
      </c>
      <c r="F2469" s="2">
        <v>30</v>
      </c>
      <c r="G2469" s="2" t="s">
        <v>6448</v>
      </c>
      <c r="H2469" s="2" t="s">
        <v>182</v>
      </c>
      <c r="I2469" s="2" t="s">
        <v>32</v>
      </c>
      <c r="J2469" s="3">
        <v>44555</v>
      </c>
      <c r="K2469" s="2">
        <v>35</v>
      </c>
      <c r="L2469" s="2" t="s">
        <v>54</v>
      </c>
      <c r="M2469" s="3"/>
    </row>
    <row r="2470" spans="1:13" x14ac:dyDescent="0.3">
      <c r="A2470" s="2">
        <v>2469</v>
      </c>
      <c r="B2470" s="2" t="s">
        <v>4489</v>
      </c>
      <c r="C2470" s="2" t="s">
        <v>6449</v>
      </c>
      <c r="D2470" s="2" t="s">
        <v>28</v>
      </c>
      <c r="E2470" s="2" t="s">
        <v>29</v>
      </c>
      <c r="F2470" s="2">
        <v>60</v>
      </c>
      <c r="G2470" s="2" t="s">
        <v>6450</v>
      </c>
      <c r="H2470" s="2" t="s">
        <v>3637</v>
      </c>
      <c r="I2470" s="2" t="s">
        <v>38</v>
      </c>
      <c r="J2470" s="3">
        <v>43908</v>
      </c>
      <c r="K2470" s="2">
        <v>19</v>
      </c>
      <c r="L2470" s="2" t="s">
        <v>101</v>
      </c>
      <c r="M2470" s="3"/>
    </row>
    <row r="2471" spans="1:13" x14ac:dyDescent="0.3">
      <c r="A2471" s="2">
        <v>2470</v>
      </c>
      <c r="B2471" s="2" t="s">
        <v>6451</v>
      </c>
      <c r="C2471" s="2" t="s">
        <v>6452</v>
      </c>
      <c r="D2471" s="2" t="s">
        <v>15</v>
      </c>
      <c r="E2471" s="2" t="s">
        <v>16</v>
      </c>
      <c r="F2471" s="2">
        <v>90</v>
      </c>
      <c r="G2471" s="2" t="s">
        <v>6453</v>
      </c>
      <c r="H2471" s="2" t="s">
        <v>1087</v>
      </c>
      <c r="I2471" s="2" t="s">
        <v>554</v>
      </c>
      <c r="J2471" s="3">
        <v>44145</v>
      </c>
      <c r="K2471" s="2">
        <v>5</v>
      </c>
      <c r="L2471" s="2" t="s">
        <v>20</v>
      </c>
      <c r="M2471" s="3"/>
    </row>
    <row r="2472" spans="1:13" x14ac:dyDescent="0.3">
      <c r="A2472" s="2">
        <v>2471</v>
      </c>
      <c r="B2472" s="2" t="s">
        <v>4775</v>
      </c>
      <c r="C2472" s="2" t="s">
        <v>6454</v>
      </c>
      <c r="D2472" s="2" t="s">
        <v>28</v>
      </c>
      <c r="E2472" s="2" t="s">
        <v>29</v>
      </c>
      <c r="F2472" s="2">
        <v>30</v>
      </c>
      <c r="G2472" s="2" t="s">
        <v>6455</v>
      </c>
      <c r="H2472" s="2" t="s">
        <v>141</v>
      </c>
      <c r="I2472" s="2" t="s">
        <v>32</v>
      </c>
      <c r="J2472" s="3">
        <v>44034</v>
      </c>
      <c r="K2472" s="2">
        <v>23</v>
      </c>
      <c r="L2472" s="2" t="s">
        <v>80</v>
      </c>
      <c r="M2472" s="3"/>
    </row>
    <row r="2473" spans="1:13" x14ac:dyDescent="0.3">
      <c r="A2473" s="2">
        <v>2472</v>
      </c>
      <c r="B2473" s="2" t="s">
        <v>1096</v>
      </c>
      <c r="C2473" s="2" t="s">
        <v>547</v>
      </c>
      <c r="D2473" s="2" t="s">
        <v>28</v>
      </c>
      <c r="E2473" s="2" t="s">
        <v>29</v>
      </c>
      <c r="F2473" s="2">
        <v>90</v>
      </c>
      <c r="G2473" s="2" t="s">
        <v>6456</v>
      </c>
      <c r="H2473" s="2" t="s">
        <v>3951</v>
      </c>
      <c r="I2473" s="2" t="s">
        <v>1576</v>
      </c>
      <c r="J2473" s="3">
        <v>44915</v>
      </c>
      <c r="K2473" s="2">
        <v>36</v>
      </c>
      <c r="L2473" s="2" t="s">
        <v>39</v>
      </c>
      <c r="M2473" s="3"/>
    </row>
    <row r="2474" spans="1:13" x14ac:dyDescent="0.3">
      <c r="A2474" s="2">
        <v>2473</v>
      </c>
      <c r="B2474" s="2" t="s">
        <v>3672</v>
      </c>
      <c r="C2474" s="2" t="s">
        <v>438</v>
      </c>
      <c r="D2474" s="2" t="s">
        <v>28</v>
      </c>
      <c r="E2474" s="2" t="s">
        <v>29</v>
      </c>
      <c r="F2474" s="2">
        <v>60</v>
      </c>
      <c r="G2474" s="2" t="s">
        <v>6457</v>
      </c>
      <c r="H2474" s="2" t="s">
        <v>2745</v>
      </c>
      <c r="I2474" s="2" t="s">
        <v>32</v>
      </c>
      <c r="J2474" s="3">
        <v>43912</v>
      </c>
      <c r="L2474" s="2" t="s">
        <v>39</v>
      </c>
      <c r="M2474" s="3"/>
    </row>
    <row r="2475" spans="1:13" x14ac:dyDescent="0.3">
      <c r="A2475" s="2">
        <v>2474</v>
      </c>
      <c r="B2475" s="2" t="s">
        <v>1900</v>
      </c>
      <c r="C2475" s="2" t="s">
        <v>336</v>
      </c>
      <c r="D2475" s="2" t="s">
        <v>51</v>
      </c>
      <c r="E2475" s="2" t="s">
        <v>16</v>
      </c>
      <c r="F2475" s="2">
        <v>90</v>
      </c>
      <c r="G2475" s="2" t="s">
        <v>6458</v>
      </c>
      <c r="H2475" s="2" t="s">
        <v>1791</v>
      </c>
      <c r="I2475" s="2" t="s">
        <v>32</v>
      </c>
      <c r="J2475" s="3">
        <v>44485</v>
      </c>
      <c r="K2475" s="2">
        <v>47</v>
      </c>
      <c r="L2475" s="2" t="s">
        <v>33</v>
      </c>
      <c r="M2475" s="3"/>
    </row>
    <row r="2476" spans="1:13" x14ac:dyDescent="0.3">
      <c r="A2476" s="2">
        <v>2475</v>
      </c>
      <c r="B2476" s="2" t="s">
        <v>259</v>
      </c>
      <c r="C2476" s="2" t="s">
        <v>6459</v>
      </c>
      <c r="D2476" s="2" t="s">
        <v>28</v>
      </c>
      <c r="E2476" s="2" t="s">
        <v>29</v>
      </c>
      <c r="F2476" s="2">
        <v>30</v>
      </c>
      <c r="G2476" s="2" t="s">
        <v>6460</v>
      </c>
      <c r="H2476" s="2" t="s">
        <v>1107</v>
      </c>
      <c r="I2476" s="2" t="s">
        <v>32</v>
      </c>
      <c r="J2476" s="3">
        <v>44089</v>
      </c>
      <c r="K2476" s="2">
        <v>58</v>
      </c>
      <c r="L2476" s="2" t="s">
        <v>33</v>
      </c>
      <c r="M2476" s="3"/>
    </row>
    <row r="2477" spans="1:13" x14ac:dyDescent="0.3">
      <c r="A2477" s="2">
        <v>2476</v>
      </c>
      <c r="B2477" s="2" t="s">
        <v>6461</v>
      </c>
      <c r="C2477" s="2" t="s">
        <v>4637</v>
      </c>
      <c r="D2477" s="2" t="s">
        <v>15</v>
      </c>
      <c r="E2477" s="2" t="s">
        <v>16</v>
      </c>
      <c r="F2477" s="2">
        <v>90</v>
      </c>
      <c r="G2477" s="2" t="s">
        <v>6462</v>
      </c>
      <c r="H2477" s="2" t="s">
        <v>2539</v>
      </c>
      <c r="I2477" s="2" t="s">
        <v>178</v>
      </c>
      <c r="J2477" s="3">
        <v>44687</v>
      </c>
      <c r="K2477" s="2">
        <v>44</v>
      </c>
      <c r="L2477" s="2" t="s">
        <v>80</v>
      </c>
      <c r="M2477" s="3"/>
    </row>
    <row r="2478" spans="1:13" x14ac:dyDescent="0.3">
      <c r="A2478" s="2">
        <v>2477</v>
      </c>
      <c r="B2478" s="2" t="s">
        <v>695</v>
      </c>
      <c r="C2478" s="2" t="s">
        <v>2920</v>
      </c>
      <c r="D2478" s="2" t="s">
        <v>15</v>
      </c>
      <c r="E2478" s="2" t="s">
        <v>16</v>
      </c>
      <c r="F2478" s="2">
        <v>30</v>
      </c>
      <c r="G2478" s="2" t="s">
        <v>6463</v>
      </c>
      <c r="H2478" s="2" t="s">
        <v>1333</v>
      </c>
      <c r="I2478" s="2" t="s">
        <v>294</v>
      </c>
      <c r="J2478" s="3">
        <v>44558</v>
      </c>
      <c r="K2478" s="2">
        <v>61</v>
      </c>
      <c r="L2478" s="2" t="s">
        <v>101</v>
      </c>
      <c r="M2478" s="3"/>
    </row>
    <row r="2479" spans="1:13" x14ac:dyDescent="0.3">
      <c r="A2479" s="2">
        <v>2478</v>
      </c>
      <c r="B2479" s="2" t="s">
        <v>596</v>
      </c>
      <c r="C2479" s="2" t="s">
        <v>2572</v>
      </c>
      <c r="D2479" s="2" t="s">
        <v>117</v>
      </c>
      <c r="E2479" s="2" t="s">
        <v>29</v>
      </c>
      <c r="F2479" s="2">
        <v>60</v>
      </c>
      <c r="G2479" s="2" t="s">
        <v>6464</v>
      </c>
      <c r="H2479" s="2" t="s">
        <v>4358</v>
      </c>
      <c r="I2479" s="2" t="s">
        <v>146</v>
      </c>
      <c r="J2479" s="3">
        <v>44032</v>
      </c>
      <c r="K2479" s="2">
        <v>42</v>
      </c>
      <c r="L2479" s="2" t="s">
        <v>64</v>
      </c>
      <c r="M2479" s="3"/>
    </row>
    <row r="2480" spans="1:13" x14ac:dyDescent="0.3">
      <c r="A2480" s="2">
        <v>2479</v>
      </c>
      <c r="B2480" s="2" t="s">
        <v>6465</v>
      </c>
      <c r="C2480" s="2" t="s">
        <v>5546</v>
      </c>
      <c r="D2480" s="2" t="s">
        <v>15</v>
      </c>
      <c r="E2480" s="2" t="s">
        <v>16</v>
      </c>
      <c r="F2480" s="2">
        <v>60</v>
      </c>
      <c r="G2480" s="2" t="s">
        <v>6466</v>
      </c>
      <c r="H2480" s="2" t="s">
        <v>655</v>
      </c>
      <c r="I2480" s="2" t="s">
        <v>32</v>
      </c>
      <c r="J2480" s="3">
        <v>44581</v>
      </c>
      <c r="K2480" s="2">
        <v>6</v>
      </c>
      <c r="L2480" s="2" t="s">
        <v>33</v>
      </c>
      <c r="M2480" s="3"/>
    </row>
    <row r="2481" spans="1:13" x14ac:dyDescent="0.3">
      <c r="A2481" s="2">
        <v>2480</v>
      </c>
      <c r="B2481" s="2" t="s">
        <v>6144</v>
      </c>
      <c r="C2481" s="2" t="s">
        <v>972</v>
      </c>
      <c r="D2481" s="2" t="s">
        <v>28</v>
      </c>
      <c r="E2481" s="2" t="s">
        <v>29</v>
      </c>
      <c r="F2481" s="2">
        <v>30</v>
      </c>
      <c r="G2481" s="2" t="s">
        <v>6467</v>
      </c>
      <c r="H2481" s="2" t="s">
        <v>6168</v>
      </c>
      <c r="I2481" s="2" t="s">
        <v>294</v>
      </c>
      <c r="J2481" s="3">
        <v>44882</v>
      </c>
      <c r="K2481" s="2">
        <v>93</v>
      </c>
      <c r="L2481" s="2" t="s">
        <v>159</v>
      </c>
      <c r="M2481" s="3"/>
    </row>
    <row r="2482" spans="1:13" x14ac:dyDescent="0.3">
      <c r="A2482" s="2">
        <v>2481</v>
      </c>
      <c r="B2482" s="2" t="s">
        <v>6468</v>
      </c>
      <c r="C2482" s="2" t="s">
        <v>6469</v>
      </c>
      <c r="D2482" s="2" t="s">
        <v>51</v>
      </c>
      <c r="E2482" s="2" t="s">
        <v>16</v>
      </c>
      <c r="F2482" s="2">
        <v>60</v>
      </c>
      <c r="G2482" s="2" t="s">
        <v>6470</v>
      </c>
      <c r="H2482" s="2" t="s">
        <v>5915</v>
      </c>
      <c r="I2482" s="2" t="s">
        <v>32</v>
      </c>
      <c r="J2482" s="3">
        <v>43912</v>
      </c>
      <c r="K2482" s="2">
        <v>11</v>
      </c>
      <c r="L2482" s="2" t="s">
        <v>64</v>
      </c>
      <c r="M2482" s="3"/>
    </row>
    <row r="2483" spans="1:13" x14ac:dyDescent="0.3">
      <c r="A2483" s="2">
        <v>2482</v>
      </c>
      <c r="B2483" s="2" t="s">
        <v>4602</v>
      </c>
      <c r="C2483" s="2" t="s">
        <v>2359</v>
      </c>
      <c r="D2483" s="2" t="s">
        <v>51</v>
      </c>
      <c r="E2483" s="2" t="s">
        <v>16</v>
      </c>
      <c r="F2483" s="2">
        <v>30</v>
      </c>
      <c r="G2483" s="2" t="s">
        <v>6471</v>
      </c>
      <c r="H2483" s="2" t="s">
        <v>2483</v>
      </c>
      <c r="I2483" s="2" t="s">
        <v>1199</v>
      </c>
      <c r="J2483" s="3">
        <v>44225</v>
      </c>
      <c r="K2483" s="2">
        <v>79</v>
      </c>
      <c r="L2483" s="2" t="s">
        <v>45</v>
      </c>
      <c r="M2483" s="3"/>
    </row>
    <row r="2484" spans="1:13" x14ac:dyDescent="0.3">
      <c r="A2484" s="2">
        <v>2483</v>
      </c>
      <c r="B2484" s="2" t="s">
        <v>6472</v>
      </c>
      <c r="C2484" s="2" t="s">
        <v>5862</v>
      </c>
      <c r="D2484" s="2" t="s">
        <v>15</v>
      </c>
      <c r="E2484" s="2" t="s">
        <v>16</v>
      </c>
      <c r="F2484" s="2">
        <v>30</v>
      </c>
      <c r="G2484" s="2" t="s">
        <v>6473</v>
      </c>
      <c r="H2484" s="2" t="s">
        <v>363</v>
      </c>
      <c r="I2484" s="2" t="s">
        <v>110</v>
      </c>
      <c r="J2484" s="3">
        <v>44022</v>
      </c>
      <c r="K2484" s="2">
        <v>26</v>
      </c>
      <c r="L2484" s="2" t="s">
        <v>80</v>
      </c>
      <c r="M2484" s="3"/>
    </row>
    <row r="2485" spans="1:13" x14ac:dyDescent="0.3">
      <c r="A2485" s="2">
        <v>2484</v>
      </c>
      <c r="B2485" s="2" t="s">
        <v>1464</v>
      </c>
      <c r="C2485" s="2" t="s">
        <v>2785</v>
      </c>
      <c r="D2485" s="2" t="s">
        <v>28</v>
      </c>
      <c r="E2485" s="2" t="s">
        <v>29</v>
      </c>
      <c r="F2485" s="2">
        <v>90</v>
      </c>
      <c r="G2485" s="2" t="s">
        <v>6474</v>
      </c>
      <c r="H2485" s="2" t="s">
        <v>2972</v>
      </c>
      <c r="I2485" s="2" t="s">
        <v>32</v>
      </c>
      <c r="J2485" s="3">
        <v>43851</v>
      </c>
      <c r="K2485" s="2">
        <v>79</v>
      </c>
      <c r="L2485" s="2" t="s">
        <v>33</v>
      </c>
      <c r="M2485" s="3"/>
    </row>
    <row r="2486" spans="1:13" x14ac:dyDescent="0.3">
      <c r="A2486" s="2">
        <v>2485</v>
      </c>
      <c r="B2486" s="2" t="s">
        <v>4068</v>
      </c>
      <c r="C2486" s="2" t="s">
        <v>1535</v>
      </c>
      <c r="D2486" s="2" t="s">
        <v>28</v>
      </c>
      <c r="E2486" s="2" t="s">
        <v>29</v>
      </c>
      <c r="F2486" s="2">
        <v>60</v>
      </c>
      <c r="G2486" s="2" t="s">
        <v>6475</v>
      </c>
      <c r="H2486" s="2" t="s">
        <v>1256</v>
      </c>
      <c r="I2486" s="2" t="s">
        <v>32</v>
      </c>
      <c r="J2486" s="3">
        <v>44821</v>
      </c>
      <c r="K2486" s="2">
        <v>15</v>
      </c>
      <c r="L2486" s="2" t="s">
        <v>159</v>
      </c>
      <c r="M2486" s="3"/>
    </row>
    <row r="2487" spans="1:13" x14ac:dyDescent="0.3">
      <c r="A2487" s="2">
        <v>2486</v>
      </c>
      <c r="B2487" s="2" t="s">
        <v>6476</v>
      </c>
      <c r="C2487" s="2" t="s">
        <v>6477</v>
      </c>
      <c r="D2487" s="2" t="s">
        <v>28</v>
      </c>
      <c r="E2487" s="2" t="s">
        <v>29</v>
      </c>
      <c r="F2487" s="2">
        <v>60</v>
      </c>
      <c r="G2487" s="2" t="s">
        <v>6478</v>
      </c>
      <c r="H2487" s="2" t="s">
        <v>6479</v>
      </c>
      <c r="I2487" s="2" t="s">
        <v>187</v>
      </c>
      <c r="J2487" s="3">
        <v>44330</v>
      </c>
      <c r="K2487" s="2">
        <v>33</v>
      </c>
      <c r="L2487" s="2" t="s">
        <v>54</v>
      </c>
      <c r="M2487" s="3"/>
    </row>
    <row r="2488" spans="1:13" x14ac:dyDescent="0.3">
      <c r="A2488" s="2">
        <v>2487</v>
      </c>
      <c r="B2488" s="2" t="s">
        <v>6480</v>
      </c>
      <c r="C2488" s="2" t="s">
        <v>1410</v>
      </c>
      <c r="D2488" s="2" t="s">
        <v>15</v>
      </c>
      <c r="E2488" s="2" t="s">
        <v>16</v>
      </c>
      <c r="F2488" s="2">
        <v>90</v>
      </c>
      <c r="G2488" s="2" t="s">
        <v>6481</v>
      </c>
      <c r="H2488" s="2" t="s">
        <v>2137</v>
      </c>
      <c r="I2488" s="2" t="s">
        <v>187</v>
      </c>
      <c r="J2488" s="3">
        <v>44269</v>
      </c>
      <c r="K2488" s="2">
        <v>92</v>
      </c>
      <c r="L2488" s="2" t="s">
        <v>54</v>
      </c>
      <c r="M2488" s="3"/>
    </row>
    <row r="2489" spans="1:13" x14ac:dyDescent="0.3">
      <c r="A2489" s="2">
        <v>2488</v>
      </c>
      <c r="B2489" s="2" t="s">
        <v>4438</v>
      </c>
      <c r="C2489" s="2" t="s">
        <v>4356</v>
      </c>
      <c r="D2489" s="2" t="s">
        <v>28</v>
      </c>
      <c r="E2489" s="2" t="s">
        <v>29</v>
      </c>
      <c r="F2489" s="2">
        <v>60</v>
      </c>
      <c r="G2489" s="2" t="s">
        <v>6482</v>
      </c>
      <c r="H2489" s="2" t="s">
        <v>1996</v>
      </c>
      <c r="I2489" s="2" t="s">
        <v>208</v>
      </c>
      <c r="J2489" s="3">
        <v>43956</v>
      </c>
      <c r="K2489" s="2">
        <v>2</v>
      </c>
      <c r="L2489" s="2" t="s">
        <v>101</v>
      </c>
      <c r="M2489" s="3"/>
    </row>
    <row r="2490" spans="1:13" x14ac:dyDescent="0.3">
      <c r="A2490" s="2">
        <v>2489</v>
      </c>
      <c r="B2490" s="2" t="s">
        <v>3791</v>
      </c>
      <c r="C2490" s="2" t="s">
        <v>2422</v>
      </c>
      <c r="D2490" s="2" t="s">
        <v>28</v>
      </c>
      <c r="E2490" s="2" t="s">
        <v>29</v>
      </c>
      <c r="F2490" s="2">
        <v>60</v>
      </c>
      <c r="G2490" s="2" t="s">
        <v>6483</v>
      </c>
      <c r="H2490" s="2" t="s">
        <v>627</v>
      </c>
      <c r="I2490" s="2" t="s">
        <v>294</v>
      </c>
      <c r="J2490" s="3">
        <v>43959</v>
      </c>
      <c r="K2490" s="2">
        <v>58</v>
      </c>
      <c r="L2490" s="2" t="s">
        <v>39</v>
      </c>
      <c r="M2490" s="3"/>
    </row>
    <row r="2491" spans="1:13" x14ac:dyDescent="0.3">
      <c r="A2491" s="2">
        <v>2490</v>
      </c>
      <c r="B2491" s="2" t="s">
        <v>6484</v>
      </c>
      <c r="C2491" s="2" t="s">
        <v>3464</v>
      </c>
      <c r="D2491" s="2" t="s">
        <v>28</v>
      </c>
      <c r="E2491" s="2" t="s">
        <v>29</v>
      </c>
      <c r="F2491" s="2">
        <v>30</v>
      </c>
      <c r="G2491" s="2" t="s">
        <v>6485</v>
      </c>
      <c r="H2491" s="2" t="s">
        <v>6486</v>
      </c>
      <c r="I2491" s="2" t="s">
        <v>173</v>
      </c>
      <c r="J2491" s="3">
        <v>44111</v>
      </c>
      <c r="K2491" s="2">
        <v>7</v>
      </c>
      <c r="L2491" s="2" t="s">
        <v>45</v>
      </c>
      <c r="M2491" s="3"/>
    </row>
    <row r="2492" spans="1:13" x14ac:dyDescent="0.3">
      <c r="A2492" s="2">
        <v>2491</v>
      </c>
      <c r="B2492" s="2" t="s">
        <v>6487</v>
      </c>
      <c r="C2492" s="2" t="s">
        <v>6447</v>
      </c>
      <c r="D2492" s="2" t="s">
        <v>15</v>
      </c>
      <c r="E2492" s="2" t="s">
        <v>16</v>
      </c>
      <c r="F2492" s="2">
        <v>60</v>
      </c>
      <c r="G2492" s="2" t="s">
        <v>6488</v>
      </c>
      <c r="H2492" s="2" t="s">
        <v>1530</v>
      </c>
      <c r="I2492" s="2" t="s">
        <v>32</v>
      </c>
      <c r="J2492" s="3">
        <v>44710</v>
      </c>
      <c r="K2492" s="2">
        <v>39</v>
      </c>
      <c r="L2492" s="2" t="s">
        <v>64</v>
      </c>
      <c r="M2492" s="3"/>
    </row>
    <row r="2493" spans="1:13" x14ac:dyDescent="0.3">
      <c r="A2493" s="2">
        <v>2492</v>
      </c>
      <c r="B2493" s="2" t="s">
        <v>6489</v>
      </c>
      <c r="C2493" s="2" t="s">
        <v>759</v>
      </c>
      <c r="D2493" s="2" t="s">
        <v>51</v>
      </c>
      <c r="E2493" s="2" t="s">
        <v>16</v>
      </c>
      <c r="F2493" s="2">
        <v>30</v>
      </c>
      <c r="G2493" s="2" t="s">
        <v>6490</v>
      </c>
      <c r="H2493" s="2" t="s">
        <v>2745</v>
      </c>
      <c r="I2493" s="2" t="s">
        <v>32</v>
      </c>
      <c r="J2493" s="3">
        <v>44829</v>
      </c>
      <c r="K2493" s="2">
        <v>92</v>
      </c>
      <c r="L2493" s="2" t="s">
        <v>159</v>
      </c>
      <c r="M2493" s="3"/>
    </row>
    <row r="2494" spans="1:13" x14ac:dyDescent="0.3">
      <c r="A2494" s="2">
        <v>2493</v>
      </c>
      <c r="B2494" s="2" t="s">
        <v>4727</v>
      </c>
      <c r="C2494" s="2" t="s">
        <v>4143</v>
      </c>
      <c r="D2494" s="2" t="s">
        <v>28</v>
      </c>
      <c r="E2494" s="2" t="s">
        <v>29</v>
      </c>
      <c r="F2494" s="2">
        <v>90</v>
      </c>
      <c r="G2494" s="2" t="s">
        <v>6491</v>
      </c>
      <c r="H2494" s="2" t="s">
        <v>4049</v>
      </c>
      <c r="I2494" s="2" t="s">
        <v>32</v>
      </c>
      <c r="J2494" s="3">
        <v>44262</v>
      </c>
      <c r="K2494" s="2">
        <v>20</v>
      </c>
      <c r="L2494" s="2" t="s">
        <v>20</v>
      </c>
      <c r="M2494" s="3"/>
    </row>
    <row r="2495" spans="1:13" x14ac:dyDescent="0.3">
      <c r="A2495" s="2">
        <v>2494</v>
      </c>
      <c r="B2495" s="2" t="s">
        <v>6492</v>
      </c>
      <c r="C2495" s="2" t="s">
        <v>2145</v>
      </c>
      <c r="D2495" s="2" t="s">
        <v>28</v>
      </c>
      <c r="E2495" s="2" t="s">
        <v>29</v>
      </c>
      <c r="F2495" s="2">
        <v>60</v>
      </c>
      <c r="G2495" s="2" t="s">
        <v>6493</v>
      </c>
      <c r="H2495" s="2" t="s">
        <v>405</v>
      </c>
      <c r="I2495" s="2" t="s">
        <v>32</v>
      </c>
      <c r="J2495" s="3">
        <v>44445</v>
      </c>
      <c r="K2495" s="2">
        <v>56</v>
      </c>
      <c r="L2495" s="2" t="s">
        <v>20</v>
      </c>
      <c r="M2495" s="3"/>
    </row>
    <row r="2496" spans="1:13" x14ac:dyDescent="0.3">
      <c r="A2496" s="2">
        <v>2495</v>
      </c>
      <c r="B2496" s="2" t="s">
        <v>2303</v>
      </c>
      <c r="C2496" s="2" t="s">
        <v>3375</v>
      </c>
      <c r="D2496" s="2" t="s">
        <v>28</v>
      </c>
      <c r="E2496" s="2" t="s">
        <v>29</v>
      </c>
      <c r="F2496" s="2">
        <v>60</v>
      </c>
      <c r="G2496" s="2" t="s">
        <v>6494</v>
      </c>
      <c r="H2496" s="2" t="s">
        <v>2975</v>
      </c>
      <c r="I2496" s="2" t="s">
        <v>146</v>
      </c>
      <c r="J2496" s="3">
        <v>44121</v>
      </c>
      <c r="K2496" s="2">
        <v>73</v>
      </c>
      <c r="L2496" s="2" t="s">
        <v>39</v>
      </c>
      <c r="M2496" s="3"/>
    </row>
    <row r="2497" spans="1:13" x14ac:dyDescent="0.3">
      <c r="A2497" s="2">
        <v>2496</v>
      </c>
      <c r="B2497" s="2" t="s">
        <v>1236</v>
      </c>
      <c r="C2497" s="2" t="s">
        <v>3016</v>
      </c>
      <c r="D2497" s="2" t="s">
        <v>41</v>
      </c>
      <c r="E2497" s="2" t="s">
        <v>16</v>
      </c>
      <c r="F2497" s="2">
        <v>30</v>
      </c>
      <c r="G2497" s="2" t="s">
        <v>6495</v>
      </c>
      <c r="H2497" s="2" t="s">
        <v>526</v>
      </c>
      <c r="I2497" s="2" t="s">
        <v>32</v>
      </c>
      <c r="J2497" s="3">
        <v>44857</v>
      </c>
      <c r="K2497" s="2">
        <v>68</v>
      </c>
      <c r="L2497" s="2" t="s">
        <v>54</v>
      </c>
      <c r="M2497" s="3"/>
    </row>
    <row r="2498" spans="1:13" x14ac:dyDescent="0.3">
      <c r="A2498" s="2">
        <v>2497</v>
      </c>
      <c r="B2498" s="2" t="s">
        <v>5348</v>
      </c>
      <c r="C2498" s="2" t="s">
        <v>2281</v>
      </c>
      <c r="D2498" s="2" t="s">
        <v>28</v>
      </c>
      <c r="E2498" s="2" t="s">
        <v>29</v>
      </c>
      <c r="F2498" s="2">
        <v>90</v>
      </c>
      <c r="G2498" s="2" t="s">
        <v>6496</v>
      </c>
      <c r="H2498" s="2" t="s">
        <v>1401</v>
      </c>
      <c r="I2498" s="2" t="s">
        <v>1402</v>
      </c>
      <c r="J2498" s="3">
        <v>44631</v>
      </c>
      <c r="K2498" s="2">
        <v>55</v>
      </c>
      <c r="L2498" s="2" t="s">
        <v>64</v>
      </c>
      <c r="M2498" s="3"/>
    </row>
    <row r="2499" spans="1:13" x14ac:dyDescent="0.3">
      <c r="A2499" s="2">
        <v>2498</v>
      </c>
      <c r="B2499" s="2" t="s">
        <v>6330</v>
      </c>
      <c r="C2499" s="2" t="s">
        <v>705</v>
      </c>
      <c r="D2499" s="2" t="s">
        <v>28</v>
      </c>
      <c r="E2499" s="2" t="s">
        <v>29</v>
      </c>
      <c r="F2499" s="2">
        <v>30</v>
      </c>
      <c r="G2499" s="2" t="s">
        <v>6497</v>
      </c>
      <c r="H2499" s="2" t="s">
        <v>6498</v>
      </c>
      <c r="I2499" s="2" t="s">
        <v>124</v>
      </c>
      <c r="J2499" s="3">
        <v>44673</v>
      </c>
      <c r="K2499" s="2">
        <v>89</v>
      </c>
      <c r="L2499" s="2" t="s">
        <v>39</v>
      </c>
      <c r="M2499" s="3"/>
    </row>
    <row r="2500" spans="1:13" x14ac:dyDescent="0.3">
      <c r="A2500" s="2">
        <v>2499</v>
      </c>
      <c r="B2500" s="2" t="s">
        <v>2805</v>
      </c>
      <c r="C2500" s="2" t="s">
        <v>2995</v>
      </c>
      <c r="D2500" s="2" t="s">
        <v>28</v>
      </c>
      <c r="E2500" s="2" t="s">
        <v>29</v>
      </c>
      <c r="F2500" s="2">
        <v>60</v>
      </c>
      <c r="G2500" s="2" t="s">
        <v>6499</v>
      </c>
      <c r="H2500" s="2" t="s">
        <v>1422</v>
      </c>
      <c r="I2500" s="2" t="s">
        <v>575</v>
      </c>
      <c r="J2500" s="3">
        <v>44482</v>
      </c>
      <c r="K2500" s="2">
        <v>90</v>
      </c>
      <c r="L2500" s="2" t="s">
        <v>45</v>
      </c>
      <c r="M2500" s="3"/>
    </row>
    <row r="2501" spans="1:13" x14ac:dyDescent="0.3">
      <c r="A2501" s="2">
        <v>2500</v>
      </c>
      <c r="B2501" s="2" t="s">
        <v>6500</v>
      </c>
      <c r="C2501" s="2" t="s">
        <v>2326</v>
      </c>
      <c r="D2501" s="2" t="s">
        <v>51</v>
      </c>
      <c r="E2501" s="2" t="s">
        <v>16</v>
      </c>
      <c r="F2501" s="2">
        <v>60</v>
      </c>
      <c r="G2501" s="2" t="s">
        <v>6501</v>
      </c>
      <c r="H2501" s="2" t="s">
        <v>4111</v>
      </c>
      <c r="I2501" s="2" t="s">
        <v>95</v>
      </c>
      <c r="J2501" s="3">
        <v>44096</v>
      </c>
      <c r="K2501" s="2">
        <v>61</v>
      </c>
      <c r="L2501" s="2" t="s">
        <v>101</v>
      </c>
      <c r="M2501" s="3"/>
    </row>
    <row r="2502" spans="1:13" x14ac:dyDescent="0.3">
      <c r="A2502" s="2">
        <v>2501</v>
      </c>
      <c r="B2502" s="2" t="s">
        <v>1860</v>
      </c>
      <c r="C2502" s="2" t="s">
        <v>1832</v>
      </c>
      <c r="D2502" s="2" t="s">
        <v>28</v>
      </c>
      <c r="E2502" s="2" t="s">
        <v>29</v>
      </c>
      <c r="F2502" s="2">
        <v>30</v>
      </c>
      <c r="G2502" s="2" t="s">
        <v>6502</v>
      </c>
      <c r="H2502" s="2" t="s">
        <v>1412</v>
      </c>
      <c r="I2502" s="2" t="s">
        <v>1413</v>
      </c>
      <c r="J2502" s="3">
        <v>44103</v>
      </c>
      <c r="K2502" s="2">
        <v>12</v>
      </c>
      <c r="L2502" s="2" t="s">
        <v>80</v>
      </c>
      <c r="M2502" s="3"/>
    </row>
    <row r="2503" spans="1:13" x14ac:dyDescent="0.3">
      <c r="A2503" s="2">
        <v>2502</v>
      </c>
      <c r="B2503" s="2" t="s">
        <v>6503</v>
      </c>
      <c r="C2503" s="2" t="s">
        <v>4029</v>
      </c>
      <c r="D2503" s="2" t="s">
        <v>28</v>
      </c>
      <c r="E2503" s="2" t="s">
        <v>29</v>
      </c>
      <c r="F2503" s="2">
        <v>30</v>
      </c>
      <c r="G2503" s="2" t="s">
        <v>6504</v>
      </c>
      <c r="H2503" s="2" t="s">
        <v>2348</v>
      </c>
      <c r="I2503" s="2" t="s">
        <v>32</v>
      </c>
      <c r="J2503" s="3">
        <v>43918</v>
      </c>
      <c r="K2503" s="2">
        <v>66</v>
      </c>
      <c r="L2503" s="2" t="s">
        <v>39</v>
      </c>
      <c r="M2503" s="3"/>
    </row>
    <row r="2504" spans="1:13" x14ac:dyDescent="0.3">
      <c r="A2504" s="2">
        <v>2503</v>
      </c>
      <c r="B2504" s="2" t="s">
        <v>6505</v>
      </c>
      <c r="C2504" s="2" t="s">
        <v>1132</v>
      </c>
      <c r="D2504" s="2" t="s">
        <v>51</v>
      </c>
      <c r="E2504" s="2" t="s">
        <v>16</v>
      </c>
      <c r="F2504" s="2">
        <v>90</v>
      </c>
      <c r="G2504" s="2" t="s">
        <v>6506</v>
      </c>
      <c r="H2504" s="2" t="s">
        <v>6507</v>
      </c>
      <c r="I2504" s="2" t="s">
        <v>187</v>
      </c>
      <c r="J2504" s="3">
        <v>44911</v>
      </c>
      <c r="K2504" s="2">
        <v>86</v>
      </c>
      <c r="L2504" s="2" t="s">
        <v>45</v>
      </c>
      <c r="M2504" s="3"/>
    </row>
    <row r="2505" spans="1:13" x14ac:dyDescent="0.3">
      <c r="A2505" s="2">
        <v>2504</v>
      </c>
      <c r="B2505" s="2" t="s">
        <v>6508</v>
      </c>
      <c r="C2505" s="2" t="s">
        <v>6509</v>
      </c>
      <c r="D2505" s="2" t="s">
        <v>92</v>
      </c>
      <c r="E2505" s="2" t="s">
        <v>16</v>
      </c>
      <c r="F2505" s="2">
        <v>60</v>
      </c>
      <c r="G2505" s="2" t="s">
        <v>6510</v>
      </c>
      <c r="I2505" s="2" t="s">
        <v>366</v>
      </c>
      <c r="J2505" s="3">
        <v>43927</v>
      </c>
      <c r="K2505" s="2">
        <v>10</v>
      </c>
      <c r="L2505" s="2" t="s">
        <v>159</v>
      </c>
      <c r="M2505" s="3"/>
    </row>
    <row r="2506" spans="1:13" x14ac:dyDescent="0.3">
      <c r="A2506" s="2">
        <v>2505</v>
      </c>
      <c r="B2506" s="2" t="s">
        <v>6511</v>
      </c>
      <c r="C2506" s="2" t="s">
        <v>4018</v>
      </c>
      <c r="D2506" s="2" t="s">
        <v>28</v>
      </c>
      <c r="E2506" s="2" t="s">
        <v>29</v>
      </c>
      <c r="F2506" s="2">
        <v>60</v>
      </c>
      <c r="G2506" s="2" t="s">
        <v>6512</v>
      </c>
      <c r="H2506" s="2" t="s">
        <v>2982</v>
      </c>
      <c r="I2506" s="2" t="s">
        <v>2983</v>
      </c>
      <c r="J2506" s="3">
        <v>43923</v>
      </c>
      <c r="K2506" s="2">
        <v>7</v>
      </c>
      <c r="L2506" s="2" t="s">
        <v>54</v>
      </c>
      <c r="M2506" s="3"/>
    </row>
    <row r="2507" spans="1:13" x14ac:dyDescent="0.3">
      <c r="A2507" s="2">
        <v>2506</v>
      </c>
      <c r="B2507" s="2" t="s">
        <v>3149</v>
      </c>
      <c r="C2507" s="2" t="s">
        <v>6513</v>
      </c>
      <c r="D2507" s="2" t="s">
        <v>28</v>
      </c>
      <c r="E2507" s="2" t="s">
        <v>29</v>
      </c>
      <c r="F2507" s="2">
        <v>60</v>
      </c>
      <c r="G2507" s="2" t="s">
        <v>6514</v>
      </c>
      <c r="H2507" s="2" t="s">
        <v>1077</v>
      </c>
      <c r="I2507" s="2" t="s">
        <v>1078</v>
      </c>
      <c r="J2507" s="3">
        <v>44564</v>
      </c>
      <c r="K2507" s="2">
        <v>73</v>
      </c>
      <c r="L2507" s="2" t="s">
        <v>80</v>
      </c>
      <c r="M2507" s="3"/>
    </row>
    <row r="2508" spans="1:13" x14ac:dyDescent="0.3">
      <c r="A2508" s="2">
        <v>2507</v>
      </c>
      <c r="B2508" s="2" t="s">
        <v>6515</v>
      </c>
      <c r="C2508" s="2" t="s">
        <v>5797</v>
      </c>
      <c r="D2508" s="2" t="s">
        <v>51</v>
      </c>
      <c r="E2508" s="2" t="s">
        <v>291</v>
      </c>
      <c r="F2508" s="2">
        <v>60</v>
      </c>
      <c r="G2508" s="2" t="s">
        <v>6514</v>
      </c>
      <c r="H2508" s="2" t="s">
        <v>6516</v>
      </c>
      <c r="I2508" s="2" t="s">
        <v>32</v>
      </c>
      <c r="J2508" s="3">
        <v>43858</v>
      </c>
      <c r="K2508" s="2">
        <v>9</v>
      </c>
      <c r="L2508" s="2" t="s">
        <v>101</v>
      </c>
      <c r="M2508" s="3"/>
    </row>
    <row r="2509" spans="1:13" x14ac:dyDescent="0.3">
      <c r="A2509" s="2">
        <v>2508</v>
      </c>
      <c r="B2509" s="2" t="s">
        <v>6517</v>
      </c>
      <c r="C2509" s="2" t="s">
        <v>6275</v>
      </c>
      <c r="D2509" s="2" t="s">
        <v>51</v>
      </c>
      <c r="E2509" s="2" t="s">
        <v>16</v>
      </c>
      <c r="F2509" s="2">
        <v>30</v>
      </c>
      <c r="G2509" s="2" t="s">
        <v>6518</v>
      </c>
      <c r="H2509" s="2" t="s">
        <v>2401</v>
      </c>
      <c r="I2509" s="2" t="s">
        <v>178</v>
      </c>
      <c r="J2509" s="3">
        <v>44055</v>
      </c>
      <c r="K2509" s="2">
        <v>56</v>
      </c>
      <c r="L2509" s="2" t="s">
        <v>70</v>
      </c>
      <c r="M2509" s="3"/>
    </row>
    <row r="2510" spans="1:13" x14ac:dyDescent="0.3">
      <c r="A2510" s="2">
        <v>2509</v>
      </c>
      <c r="B2510" s="2" t="s">
        <v>6519</v>
      </c>
      <c r="C2510" s="2" t="s">
        <v>4137</v>
      </c>
      <c r="D2510" s="2" t="s">
        <v>51</v>
      </c>
      <c r="E2510" s="2" t="s">
        <v>16</v>
      </c>
      <c r="F2510" s="2">
        <v>90</v>
      </c>
      <c r="G2510" s="2" t="s">
        <v>6520</v>
      </c>
      <c r="H2510" s="2" t="s">
        <v>4180</v>
      </c>
      <c r="I2510" s="2" t="s">
        <v>187</v>
      </c>
      <c r="J2510" s="3">
        <v>44794</v>
      </c>
      <c r="K2510" s="2">
        <v>105</v>
      </c>
      <c r="L2510" s="2" t="s">
        <v>20</v>
      </c>
      <c r="M2510" s="3"/>
    </row>
    <row r="2511" spans="1:13" x14ac:dyDescent="0.3">
      <c r="A2511" s="2">
        <v>2510</v>
      </c>
      <c r="B2511" s="2" t="s">
        <v>4068</v>
      </c>
      <c r="C2511" s="2" t="s">
        <v>4075</v>
      </c>
      <c r="D2511" s="2" t="s">
        <v>28</v>
      </c>
      <c r="E2511" s="2" t="s">
        <v>29</v>
      </c>
      <c r="F2511" s="2">
        <v>90</v>
      </c>
      <c r="G2511" s="2" t="s">
        <v>6521</v>
      </c>
      <c r="H2511" s="2" t="s">
        <v>5736</v>
      </c>
      <c r="I2511" s="2" t="s">
        <v>95</v>
      </c>
      <c r="J2511" s="3">
        <v>44351</v>
      </c>
      <c r="K2511" s="2">
        <v>43</v>
      </c>
      <c r="L2511" s="2" t="s">
        <v>54</v>
      </c>
      <c r="M2511" s="3"/>
    </row>
    <row r="2512" spans="1:13" x14ac:dyDescent="0.3">
      <c r="A2512" s="2">
        <v>2511</v>
      </c>
      <c r="B2512" s="2" t="s">
        <v>6522</v>
      </c>
      <c r="C2512" s="2" t="s">
        <v>6523</v>
      </c>
      <c r="D2512" s="2" t="s">
        <v>28</v>
      </c>
      <c r="E2512" s="2" t="s">
        <v>29</v>
      </c>
      <c r="F2512" s="2">
        <v>30</v>
      </c>
      <c r="G2512" s="2" t="s">
        <v>6524</v>
      </c>
      <c r="H2512" s="2" t="s">
        <v>3234</v>
      </c>
      <c r="I2512" s="2" t="s">
        <v>25</v>
      </c>
      <c r="J2512" s="3">
        <v>44045</v>
      </c>
      <c r="K2512" s="2">
        <v>81</v>
      </c>
      <c r="L2512" s="2" t="s">
        <v>101</v>
      </c>
      <c r="M2512" s="3"/>
    </row>
    <row r="2513" spans="1:13" x14ac:dyDescent="0.3">
      <c r="A2513" s="2">
        <v>2512</v>
      </c>
      <c r="B2513" s="2" t="s">
        <v>1116</v>
      </c>
      <c r="C2513" s="2" t="s">
        <v>1137</v>
      </c>
      <c r="D2513" s="2" t="s">
        <v>28</v>
      </c>
      <c r="E2513" s="2" t="s">
        <v>29</v>
      </c>
      <c r="F2513" s="2">
        <v>90</v>
      </c>
      <c r="G2513" s="2" t="s">
        <v>6525</v>
      </c>
      <c r="H2513" s="2" t="s">
        <v>2021</v>
      </c>
      <c r="I2513" s="2" t="s">
        <v>2022</v>
      </c>
      <c r="J2513" s="3">
        <v>44168</v>
      </c>
      <c r="K2513" s="2">
        <v>81</v>
      </c>
      <c r="L2513" s="2" t="s">
        <v>101</v>
      </c>
      <c r="M2513" s="3"/>
    </row>
    <row r="2514" spans="1:13" x14ac:dyDescent="0.3">
      <c r="A2514" s="2">
        <v>2513</v>
      </c>
      <c r="B2514" s="2" t="s">
        <v>6526</v>
      </c>
      <c r="C2514" s="2" t="s">
        <v>6527</v>
      </c>
      <c r="D2514" s="2" t="s">
        <v>51</v>
      </c>
      <c r="E2514" s="2" t="s">
        <v>16</v>
      </c>
      <c r="F2514" s="2">
        <v>60</v>
      </c>
      <c r="G2514" s="2" t="s">
        <v>6525</v>
      </c>
      <c r="H2514" s="2" t="s">
        <v>6516</v>
      </c>
      <c r="I2514" s="2" t="s">
        <v>32</v>
      </c>
      <c r="J2514" s="3">
        <v>44807</v>
      </c>
      <c r="K2514" s="2">
        <v>29</v>
      </c>
      <c r="L2514" s="2" t="s">
        <v>101</v>
      </c>
      <c r="M2514" s="3"/>
    </row>
    <row r="2515" spans="1:13" x14ac:dyDescent="0.3">
      <c r="A2515" s="2">
        <v>2514</v>
      </c>
      <c r="B2515" s="2" t="s">
        <v>6528</v>
      </c>
      <c r="C2515" s="2" t="s">
        <v>3930</v>
      </c>
      <c r="D2515" s="2" t="s">
        <v>28</v>
      </c>
      <c r="E2515" s="2" t="s">
        <v>29</v>
      </c>
      <c r="F2515" s="2">
        <v>60</v>
      </c>
      <c r="G2515" s="2" t="s">
        <v>6529</v>
      </c>
      <c r="H2515" s="2" t="s">
        <v>5962</v>
      </c>
      <c r="I2515" s="2" t="s">
        <v>32</v>
      </c>
      <c r="J2515" s="3">
        <v>44688</v>
      </c>
      <c r="K2515" s="2">
        <v>67</v>
      </c>
      <c r="L2515" s="2" t="s">
        <v>54</v>
      </c>
      <c r="M2515" s="3"/>
    </row>
    <row r="2516" spans="1:13" x14ac:dyDescent="0.3">
      <c r="A2516" s="2">
        <v>2515</v>
      </c>
      <c r="B2516" s="2" t="s">
        <v>4025</v>
      </c>
      <c r="C2516" s="2" t="s">
        <v>3824</v>
      </c>
      <c r="D2516" s="2" t="s">
        <v>15</v>
      </c>
      <c r="E2516" s="2" t="s">
        <v>16</v>
      </c>
      <c r="F2516" s="2">
        <v>60</v>
      </c>
      <c r="G2516" s="2" t="s">
        <v>6530</v>
      </c>
      <c r="H2516" s="2" t="s">
        <v>3531</v>
      </c>
      <c r="I2516" s="2" t="s">
        <v>32</v>
      </c>
      <c r="J2516" s="3">
        <v>44241</v>
      </c>
      <c r="K2516" s="2">
        <v>10</v>
      </c>
      <c r="L2516" s="2" t="s">
        <v>159</v>
      </c>
      <c r="M2516" s="3"/>
    </row>
    <row r="2517" spans="1:13" x14ac:dyDescent="0.3">
      <c r="A2517" s="2">
        <v>2516</v>
      </c>
      <c r="B2517" s="2" t="s">
        <v>820</v>
      </c>
      <c r="C2517" s="2" t="s">
        <v>5541</v>
      </c>
      <c r="D2517" s="2" t="s">
        <v>28</v>
      </c>
      <c r="E2517" s="2" t="s">
        <v>29</v>
      </c>
      <c r="F2517" s="2">
        <v>90</v>
      </c>
      <c r="G2517" s="2" t="s">
        <v>6531</v>
      </c>
      <c r="H2517" s="2" t="s">
        <v>6036</v>
      </c>
      <c r="I2517" s="2" t="s">
        <v>32</v>
      </c>
      <c r="J2517" s="3">
        <v>44558</v>
      </c>
      <c r="K2517" s="2">
        <v>5</v>
      </c>
      <c r="L2517" s="2" t="s">
        <v>45</v>
      </c>
      <c r="M2517" s="3"/>
    </row>
    <row r="2518" spans="1:13" x14ac:dyDescent="0.3">
      <c r="A2518" s="2">
        <v>2517</v>
      </c>
      <c r="B2518" s="2" t="s">
        <v>6532</v>
      </c>
      <c r="C2518" s="2" t="s">
        <v>4009</v>
      </c>
      <c r="D2518" s="2" t="s">
        <v>28</v>
      </c>
      <c r="E2518" s="2" t="s">
        <v>29</v>
      </c>
      <c r="F2518" s="2">
        <v>90</v>
      </c>
      <c r="G2518" s="2" t="s">
        <v>6533</v>
      </c>
      <c r="H2518" s="2" t="s">
        <v>4958</v>
      </c>
      <c r="I2518" s="2" t="s">
        <v>95</v>
      </c>
      <c r="J2518" s="3">
        <v>43964</v>
      </c>
      <c r="K2518" s="2">
        <v>47</v>
      </c>
      <c r="L2518" s="2" t="s">
        <v>80</v>
      </c>
      <c r="M2518" s="3"/>
    </row>
    <row r="2519" spans="1:13" x14ac:dyDescent="0.3">
      <c r="A2519" s="2">
        <v>2518</v>
      </c>
      <c r="B2519" s="2" t="s">
        <v>2647</v>
      </c>
      <c r="C2519" s="2" t="s">
        <v>6534</v>
      </c>
      <c r="D2519" s="2" t="s">
        <v>28</v>
      </c>
      <c r="E2519" s="2" t="s">
        <v>29</v>
      </c>
      <c r="F2519" s="2">
        <v>90</v>
      </c>
      <c r="G2519" s="2" t="s">
        <v>6535</v>
      </c>
      <c r="H2519" s="2" t="s">
        <v>5667</v>
      </c>
      <c r="I2519" s="2" t="s">
        <v>32</v>
      </c>
      <c r="J2519" s="3">
        <v>44407</v>
      </c>
      <c r="K2519" s="2">
        <v>70</v>
      </c>
      <c r="L2519" s="2" t="s">
        <v>45</v>
      </c>
      <c r="M2519" s="3"/>
    </row>
    <row r="2520" spans="1:13" x14ac:dyDescent="0.3">
      <c r="A2520" s="2">
        <v>2519</v>
      </c>
      <c r="B2520" s="2" t="s">
        <v>5702</v>
      </c>
      <c r="C2520" s="2" t="s">
        <v>3522</v>
      </c>
      <c r="D2520" s="2" t="s">
        <v>28</v>
      </c>
      <c r="E2520" s="2" t="s">
        <v>29</v>
      </c>
      <c r="F2520" s="2">
        <v>90</v>
      </c>
      <c r="G2520" s="2" t="s">
        <v>6536</v>
      </c>
      <c r="H2520" s="2" t="s">
        <v>2334</v>
      </c>
      <c r="I2520" s="2" t="s">
        <v>32</v>
      </c>
      <c r="J2520" s="3">
        <v>44837</v>
      </c>
      <c r="K2520" s="2">
        <v>37</v>
      </c>
      <c r="L2520" s="2" t="s">
        <v>45</v>
      </c>
      <c r="M2520" s="3"/>
    </row>
    <row r="2521" spans="1:13" x14ac:dyDescent="0.3">
      <c r="A2521" s="2">
        <v>2520</v>
      </c>
      <c r="B2521" s="2" t="s">
        <v>6537</v>
      </c>
      <c r="C2521" s="2" t="s">
        <v>6538</v>
      </c>
      <c r="D2521" s="2" t="s">
        <v>15</v>
      </c>
      <c r="E2521" s="2" t="s">
        <v>16</v>
      </c>
      <c r="F2521" s="2">
        <v>90</v>
      </c>
      <c r="G2521" s="2" t="s">
        <v>6539</v>
      </c>
      <c r="H2521" s="2" t="s">
        <v>3206</v>
      </c>
      <c r="I2521" s="2" t="s">
        <v>1199</v>
      </c>
      <c r="J2521" s="3">
        <v>44851</v>
      </c>
      <c r="K2521" s="2">
        <v>77</v>
      </c>
      <c r="L2521" s="2" t="s">
        <v>159</v>
      </c>
      <c r="M2521" s="3"/>
    </row>
    <row r="2522" spans="1:13" x14ac:dyDescent="0.3">
      <c r="A2522" s="2">
        <v>2521</v>
      </c>
      <c r="B2522" s="2" t="s">
        <v>6540</v>
      </c>
      <c r="C2522" s="2" t="s">
        <v>6541</v>
      </c>
      <c r="D2522" s="2" t="s">
        <v>28</v>
      </c>
      <c r="E2522" s="2" t="s">
        <v>29</v>
      </c>
      <c r="F2522" s="2">
        <v>90</v>
      </c>
      <c r="G2522" s="2" t="s">
        <v>6542</v>
      </c>
      <c r="H2522" s="2" t="s">
        <v>5934</v>
      </c>
      <c r="I2522" s="2" t="s">
        <v>173</v>
      </c>
      <c r="J2522" s="3">
        <v>44239</v>
      </c>
      <c r="K2522" s="2">
        <v>94</v>
      </c>
      <c r="L2522" s="2" t="s">
        <v>80</v>
      </c>
      <c r="M2522" s="3"/>
    </row>
    <row r="2523" spans="1:13" x14ac:dyDescent="0.3">
      <c r="A2523" s="2">
        <v>2522</v>
      </c>
      <c r="B2523" s="2" t="s">
        <v>588</v>
      </c>
      <c r="C2523" s="2" t="s">
        <v>1546</v>
      </c>
      <c r="D2523" s="2" t="s">
        <v>51</v>
      </c>
      <c r="E2523" s="2" t="s">
        <v>16</v>
      </c>
      <c r="F2523" s="2">
        <v>90</v>
      </c>
      <c r="G2523" s="2" t="s">
        <v>6543</v>
      </c>
      <c r="H2523" s="2" t="s">
        <v>3224</v>
      </c>
      <c r="I2523" s="2" t="s">
        <v>2022</v>
      </c>
      <c r="J2523" s="3">
        <v>44806</v>
      </c>
      <c r="K2523" s="2">
        <v>18</v>
      </c>
      <c r="L2523" s="2" t="s">
        <v>45</v>
      </c>
      <c r="M2523" s="3"/>
    </row>
    <row r="2524" spans="1:13" x14ac:dyDescent="0.3">
      <c r="A2524" s="2">
        <v>2523</v>
      </c>
      <c r="B2524" s="2" t="s">
        <v>323</v>
      </c>
      <c r="C2524" s="2" t="s">
        <v>1488</v>
      </c>
      <c r="D2524" s="2" t="s">
        <v>28</v>
      </c>
      <c r="E2524" s="2" t="s">
        <v>29</v>
      </c>
      <c r="F2524" s="2">
        <v>60</v>
      </c>
      <c r="G2524" s="2" t="s">
        <v>6543</v>
      </c>
      <c r="H2524" s="2" t="s">
        <v>6544</v>
      </c>
      <c r="I2524" s="2" t="s">
        <v>32</v>
      </c>
      <c r="J2524" s="3">
        <v>44043</v>
      </c>
      <c r="K2524" s="2">
        <v>58</v>
      </c>
      <c r="L2524" s="2" t="s">
        <v>20</v>
      </c>
      <c r="M2524" s="3"/>
    </row>
    <row r="2525" spans="1:13" x14ac:dyDescent="0.3">
      <c r="A2525" s="2">
        <v>2524</v>
      </c>
      <c r="B2525" s="2" t="s">
        <v>4401</v>
      </c>
      <c r="C2525" s="2" t="s">
        <v>1776</v>
      </c>
      <c r="D2525" s="2" t="s">
        <v>28</v>
      </c>
      <c r="E2525" s="2" t="s">
        <v>29</v>
      </c>
      <c r="F2525" s="2">
        <v>90</v>
      </c>
      <c r="G2525" s="2" t="s">
        <v>6545</v>
      </c>
      <c r="H2525" s="2" t="s">
        <v>6546</v>
      </c>
      <c r="I2525" s="2" t="s">
        <v>2543</v>
      </c>
      <c r="J2525" s="3">
        <v>43860</v>
      </c>
      <c r="K2525" s="2">
        <v>68</v>
      </c>
      <c r="L2525" s="2" t="s">
        <v>33</v>
      </c>
      <c r="M2525" s="3"/>
    </row>
    <row r="2526" spans="1:13" x14ac:dyDescent="0.3">
      <c r="A2526" s="2">
        <v>2525</v>
      </c>
      <c r="B2526" s="2" t="s">
        <v>6547</v>
      </c>
      <c r="C2526" s="2" t="s">
        <v>2757</v>
      </c>
      <c r="D2526" s="2" t="s">
        <v>28</v>
      </c>
      <c r="E2526" s="2" t="s">
        <v>29</v>
      </c>
      <c r="F2526" s="2">
        <v>90</v>
      </c>
      <c r="G2526" s="2" t="s">
        <v>6548</v>
      </c>
      <c r="H2526" s="2" t="s">
        <v>1808</v>
      </c>
      <c r="I2526" s="2" t="s">
        <v>124</v>
      </c>
      <c r="J2526" s="3">
        <v>43983</v>
      </c>
      <c r="K2526" s="2">
        <v>52</v>
      </c>
      <c r="L2526" s="2" t="s">
        <v>45</v>
      </c>
      <c r="M2526" s="3"/>
    </row>
    <row r="2527" spans="1:13" x14ac:dyDescent="0.3">
      <c r="A2527" s="2">
        <v>2526</v>
      </c>
      <c r="B2527" s="2" t="s">
        <v>6549</v>
      </c>
      <c r="C2527" s="2" t="s">
        <v>692</v>
      </c>
      <c r="D2527" s="2" t="s">
        <v>15</v>
      </c>
      <c r="E2527" s="2" t="s">
        <v>282</v>
      </c>
      <c r="F2527" s="2">
        <v>90</v>
      </c>
      <c r="G2527" s="2" t="s">
        <v>6550</v>
      </c>
      <c r="H2527" s="2" t="s">
        <v>6551</v>
      </c>
      <c r="I2527" s="2" t="s">
        <v>178</v>
      </c>
      <c r="J2527" s="3">
        <v>44557</v>
      </c>
      <c r="K2527" s="2">
        <v>19</v>
      </c>
      <c r="L2527" s="2" t="s">
        <v>64</v>
      </c>
      <c r="M2527" s="3"/>
    </row>
    <row r="2528" spans="1:13" x14ac:dyDescent="0.3">
      <c r="A2528" s="2">
        <v>2527</v>
      </c>
      <c r="B2528" s="2" t="s">
        <v>6552</v>
      </c>
      <c r="C2528" s="2" t="s">
        <v>107</v>
      </c>
      <c r="D2528" s="2" t="s">
        <v>15</v>
      </c>
      <c r="E2528" s="2" t="s">
        <v>16</v>
      </c>
      <c r="F2528" s="2">
        <v>90</v>
      </c>
      <c r="G2528" s="2" t="s">
        <v>6553</v>
      </c>
      <c r="H2528" s="2" t="s">
        <v>545</v>
      </c>
      <c r="I2528" s="2" t="s">
        <v>173</v>
      </c>
      <c r="J2528" s="3">
        <v>44488</v>
      </c>
      <c r="K2528" s="2">
        <v>93</v>
      </c>
      <c r="L2528" s="2" t="s">
        <v>80</v>
      </c>
      <c r="M2528" s="3"/>
    </row>
    <row r="2529" spans="1:13" x14ac:dyDescent="0.3">
      <c r="A2529" s="2">
        <v>2528</v>
      </c>
      <c r="B2529" s="2" t="s">
        <v>3403</v>
      </c>
      <c r="C2529" s="2" t="s">
        <v>4393</v>
      </c>
      <c r="D2529" s="2" t="s">
        <v>51</v>
      </c>
      <c r="E2529" s="2" t="s">
        <v>16</v>
      </c>
      <c r="F2529" s="2">
        <v>90</v>
      </c>
      <c r="G2529" s="2" t="s">
        <v>6554</v>
      </c>
      <c r="H2529" s="2" t="s">
        <v>1056</v>
      </c>
      <c r="I2529" s="2" t="s">
        <v>129</v>
      </c>
      <c r="J2529" s="3">
        <v>44023</v>
      </c>
      <c r="K2529" s="2">
        <v>2</v>
      </c>
      <c r="L2529" s="2" t="s">
        <v>101</v>
      </c>
      <c r="M2529" s="3"/>
    </row>
    <row r="2530" spans="1:13" x14ac:dyDescent="0.3">
      <c r="A2530" s="2">
        <v>2529</v>
      </c>
      <c r="B2530" s="2" t="s">
        <v>765</v>
      </c>
      <c r="C2530" s="2" t="s">
        <v>6555</v>
      </c>
      <c r="D2530" s="2" t="s">
        <v>28</v>
      </c>
      <c r="E2530" s="2" t="s">
        <v>29</v>
      </c>
      <c r="F2530" s="2">
        <v>60</v>
      </c>
      <c r="G2530" s="2" t="s">
        <v>6556</v>
      </c>
      <c r="H2530" s="2" t="s">
        <v>239</v>
      </c>
      <c r="I2530" s="2" t="s">
        <v>240</v>
      </c>
      <c r="J2530" s="3">
        <v>44100</v>
      </c>
      <c r="K2530" s="2">
        <v>13</v>
      </c>
      <c r="L2530" s="2" t="s">
        <v>159</v>
      </c>
      <c r="M2530" s="3"/>
    </row>
    <row r="2531" spans="1:13" x14ac:dyDescent="0.3">
      <c r="A2531" s="2">
        <v>2530</v>
      </c>
      <c r="B2531" s="2" t="s">
        <v>6557</v>
      </c>
      <c r="C2531" s="2" t="s">
        <v>3940</v>
      </c>
      <c r="D2531" s="2" t="s">
        <v>28</v>
      </c>
      <c r="E2531" s="2" t="s">
        <v>29</v>
      </c>
      <c r="F2531" s="2">
        <v>30</v>
      </c>
      <c r="G2531" s="2" t="s">
        <v>6558</v>
      </c>
      <c r="H2531" s="2" t="s">
        <v>2787</v>
      </c>
      <c r="I2531" s="2" t="s">
        <v>32</v>
      </c>
      <c r="J2531" s="3">
        <v>43933</v>
      </c>
      <c r="K2531" s="2">
        <v>66</v>
      </c>
      <c r="L2531" s="2" t="s">
        <v>20</v>
      </c>
      <c r="M2531" s="3"/>
    </row>
    <row r="2532" spans="1:13" x14ac:dyDescent="0.3">
      <c r="A2532" s="2">
        <v>2531</v>
      </c>
      <c r="B2532" s="2" t="s">
        <v>6559</v>
      </c>
      <c r="C2532" s="2" t="s">
        <v>295</v>
      </c>
      <c r="D2532" s="2" t="s">
        <v>51</v>
      </c>
      <c r="E2532" s="2" t="s">
        <v>16</v>
      </c>
      <c r="F2532" s="2">
        <v>60</v>
      </c>
      <c r="G2532" s="2" t="s">
        <v>6560</v>
      </c>
      <c r="H2532" s="2" t="s">
        <v>6561</v>
      </c>
      <c r="I2532" s="2" t="s">
        <v>32</v>
      </c>
      <c r="J2532" s="3">
        <v>43920</v>
      </c>
      <c r="K2532" s="2">
        <v>28</v>
      </c>
      <c r="L2532" s="2" t="s">
        <v>70</v>
      </c>
      <c r="M2532" s="3"/>
    </row>
    <row r="2533" spans="1:13" x14ac:dyDescent="0.3">
      <c r="A2533" s="2">
        <v>2532</v>
      </c>
      <c r="B2533" s="2" t="s">
        <v>3124</v>
      </c>
      <c r="C2533" s="2" t="s">
        <v>6562</v>
      </c>
      <c r="D2533" s="2" t="s">
        <v>28</v>
      </c>
      <c r="E2533" s="2" t="s">
        <v>29</v>
      </c>
      <c r="F2533" s="2">
        <v>30</v>
      </c>
      <c r="G2533" s="2" t="s">
        <v>6563</v>
      </c>
      <c r="H2533" s="2" t="s">
        <v>1619</v>
      </c>
      <c r="I2533" s="2" t="s">
        <v>44</v>
      </c>
      <c r="J2533" s="3">
        <v>44355</v>
      </c>
      <c r="K2533" s="2">
        <v>52</v>
      </c>
      <c r="L2533" s="2" t="s">
        <v>20</v>
      </c>
      <c r="M2533" s="3"/>
    </row>
    <row r="2534" spans="1:13" x14ac:dyDescent="0.3">
      <c r="A2534" s="2">
        <v>2533</v>
      </c>
      <c r="B2534" s="2" t="s">
        <v>6564</v>
      </c>
      <c r="C2534" s="2" t="s">
        <v>6073</v>
      </c>
      <c r="D2534" s="2" t="s">
        <v>92</v>
      </c>
      <c r="E2534" s="2" t="s">
        <v>16</v>
      </c>
      <c r="F2534" s="2">
        <v>60</v>
      </c>
      <c r="G2534" s="2" t="s">
        <v>6565</v>
      </c>
      <c r="H2534" s="2" t="s">
        <v>1168</v>
      </c>
      <c r="I2534" s="2" t="s">
        <v>32</v>
      </c>
      <c r="J2534" s="3">
        <v>44685</v>
      </c>
      <c r="K2534" s="2">
        <v>92</v>
      </c>
      <c r="L2534" s="2" t="s">
        <v>33</v>
      </c>
      <c r="M2534" s="3"/>
    </row>
    <row r="2535" spans="1:13" x14ac:dyDescent="0.3">
      <c r="A2535" s="2">
        <v>2534</v>
      </c>
      <c r="B2535" s="2" t="s">
        <v>6566</v>
      </c>
      <c r="C2535" s="2" t="s">
        <v>2191</v>
      </c>
      <c r="D2535" s="2" t="s">
        <v>15</v>
      </c>
      <c r="E2535" s="2" t="s">
        <v>16</v>
      </c>
      <c r="F2535" s="2">
        <v>60</v>
      </c>
      <c r="G2535" s="2" t="s">
        <v>6567</v>
      </c>
      <c r="H2535" s="2" t="s">
        <v>4874</v>
      </c>
      <c r="I2535" s="2" t="s">
        <v>32</v>
      </c>
      <c r="J2535" s="3">
        <v>43968</v>
      </c>
      <c r="K2535" s="2">
        <v>60</v>
      </c>
      <c r="L2535" s="2" t="s">
        <v>20</v>
      </c>
      <c r="M2535" s="3"/>
    </row>
    <row r="2536" spans="1:13" x14ac:dyDescent="0.3">
      <c r="A2536" s="2">
        <v>2535</v>
      </c>
      <c r="B2536" s="2" t="s">
        <v>4257</v>
      </c>
      <c r="C2536" s="2" t="s">
        <v>2761</v>
      </c>
      <c r="D2536" s="2" t="s">
        <v>28</v>
      </c>
      <c r="E2536" s="2" t="s">
        <v>29</v>
      </c>
      <c r="F2536" s="2">
        <v>30</v>
      </c>
      <c r="G2536" s="2" t="s">
        <v>6567</v>
      </c>
      <c r="H2536" s="2" t="s">
        <v>3036</v>
      </c>
      <c r="I2536" s="2" t="s">
        <v>32</v>
      </c>
      <c r="J2536" s="3">
        <v>44190</v>
      </c>
      <c r="K2536" s="2">
        <v>67</v>
      </c>
      <c r="L2536" s="2" t="s">
        <v>54</v>
      </c>
      <c r="M2536" s="3"/>
    </row>
    <row r="2537" spans="1:13" x14ac:dyDescent="0.3">
      <c r="A2537" s="2">
        <v>2536</v>
      </c>
      <c r="B2537" s="2" t="s">
        <v>6568</v>
      </c>
      <c r="C2537" s="2" t="s">
        <v>4254</v>
      </c>
      <c r="D2537" s="2" t="s">
        <v>15</v>
      </c>
      <c r="E2537" s="2" t="s">
        <v>16</v>
      </c>
      <c r="F2537" s="2">
        <v>30</v>
      </c>
      <c r="G2537" s="2" t="s">
        <v>6569</v>
      </c>
      <c r="H2537" s="2" t="s">
        <v>4337</v>
      </c>
      <c r="I2537" s="2" t="s">
        <v>25</v>
      </c>
      <c r="J2537" s="3">
        <v>43902</v>
      </c>
      <c r="K2537" s="2">
        <v>78</v>
      </c>
      <c r="L2537" s="2" t="s">
        <v>64</v>
      </c>
      <c r="M2537" s="3"/>
    </row>
    <row r="2538" spans="1:13" x14ac:dyDescent="0.3">
      <c r="A2538" s="2">
        <v>2537</v>
      </c>
      <c r="B2538" s="2" t="s">
        <v>4094</v>
      </c>
      <c r="C2538" s="2" t="s">
        <v>1853</v>
      </c>
      <c r="D2538" s="2" t="s">
        <v>28</v>
      </c>
      <c r="E2538" s="2" t="s">
        <v>29</v>
      </c>
      <c r="F2538" s="2">
        <v>90</v>
      </c>
      <c r="G2538" s="2" t="s">
        <v>6569</v>
      </c>
      <c r="H2538" s="2" t="s">
        <v>637</v>
      </c>
      <c r="I2538" s="2" t="s">
        <v>32</v>
      </c>
      <c r="J2538" s="3">
        <v>44570</v>
      </c>
      <c r="K2538" s="2">
        <v>19</v>
      </c>
      <c r="L2538" s="2" t="s">
        <v>64</v>
      </c>
      <c r="M2538" s="3"/>
    </row>
    <row r="2539" spans="1:13" x14ac:dyDescent="0.3">
      <c r="A2539" s="2">
        <v>2538</v>
      </c>
      <c r="B2539" s="2" t="s">
        <v>6570</v>
      </c>
      <c r="C2539" s="2" t="s">
        <v>6416</v>
      </c>
      <c r="D2539" s="2" t="s">
        <v>51</v>
      </c>
      <c r="E2539" s="2" t="s">
        <v>273</v>
      </c>
      <c r="F2539" s="2">
        <v>30</v>
      </c>
      <c r="G2539" s="2" t="s">
        <v>6571</v>
      </c>
      <c r="H2539" s="2" t="s">
        <v>4911</v>
      </c>
      <c r="I2539" s="2" t="s">
        <v>95</v>
      </c>
      <c r="J2539" s="3">
        <v>44238</v>
      </c>
      <c r="K2539" s="2">
        <v>34</v>
      </c>
      <c r="L2539" s="2" t="s">
        <v>64</v>
      </c>
      <c r="M2539" s="3"/>
    </row>
    <row r="2540" spans="1:13" x14ac:dyDescent="0.3">
      <c r="A2540" s="2">
        <v>2539</v>
      </c>
      <c r="B2540" s="2" t="s">
        <v>3108</v>
      </c>
      <c r="C2540" s="2" t="s">
        <v>1989</v>
      </c>
      <c r="D2540" s="2" t="s">
        <v>15</v>
      </c>
      <c r="E2540" s="2" t="s">
        <v>16</v>
      </c>
      <c r="F2540" s="2">
        <v>60</v>
      </c>
      <c r="G2540" s="2" t="s">
        <v>6572</v>
      </c>
      <c r="H2540" s="2" t="s">
        <v>4208</v>
      </c>
      <c r="I2540" s="2" t="s">
        <v>44</v>
      </c>
      <c r="J2540" s="3">
        <v>43882</v>
      </c>
      <c r="K2540" s="2">
        <v>22</v>
      </c>
      <c r="L2540" s="2" t="s">
        <v>39</v>
      </c>
      <c r="M2540" s="3"/>
    </row>
    <row r="2541" spans="1:13" x14ac:dyDescent="0.3">
      <c r="A2541" s="2">
        <v>2540</v>
      </c>
      <c r="B2541" s="2" t="s">
        <v>6573</v>
      </c>
      <c r="C2541" s="2" t="s">
        <v>6574</v>
      </c>
      <c r="D2541" s="2" t="s">
        <v>15</v>
      </c>
      <c r="E2541" s="2" t="s">
        <v>16</v>
      </c>
      <c r="F2541" s="2">
        <v>60</v>
      </c>
      <c r="G2541" s="2" t="s">
        <v>6575</v>
      </c>
      <c r="H2541" s="2" t="s">
        <v>1210</v>
      </c>
      <c r="I2541" s="2" t="s">
        <v>294</v>
      </c>
      <c r="J2541" s="3">
        <v>44779</v>
      </c>
      <c r="K2541" s="2">
        <v>54</v>
      </c>
      <c r="L2541" s="2" t="s">
        <v>159</v>
      </c>
      <c r="M2541" s="3"/>
    </row>
    <row r="2542" spans="1:13" x14ac:dyDescent="0.3">
      <c r="A2542" s="2">
        <v>2541</v>
      </c>
      <c r="B2542" s="2" t="s">
        <v>6576</v>
      </c>
      <c r="C2542" s="2" t="s">
        <v>1485</v>
      </c>
      <c r="D2542" s="2" t="s">
        <v>51</v>
      </c>
      <c r="E2542" s="2" t="s">
        <v>16</v>
      </c>
      <c r="F2542" s="2">
        <v>90</v>
      </c>
      <c r="G2542" s="2" t="s">
        <v>6577</v>
      </c>
      <c r="H2542" s="2" t="s">
        <v>2093</v>
      </c>
      <c r="I2542" s="2" t="s">
        <v>32</v>
      </c>
      <c r="J2542" s="3">
        <v>44115</v>
      </c>
      <c r="K2542" s="2">
        <v>37</v>
      </c>
      <c r="L2542" s="2" t="s">
        <v>33</v>
      </c>
      <c r="M2542" s="3"/>
    </row>
    <row r="2543" spans="1:13" x14ac:dyDescent="0.3">
      <c r="A2543" s="2">
        <v>2542</v>
      </c>
      <c r="B2543" s="2" t="s">
        <v>6578</v>
      </c>
      <c r="C2543" s="2" t="s">
        <v>948</v>
      </c>
      <c r="D2543" s="2" t="s">
        <v>28</v>
      </c>
      <c r="E2543" s="2" t="s">
        <v>29</v>
      </c>
      <c r="F2543" s="2">
        <v>30</v>
      </c>
      <c r="G2543" s="2" t="s">
        <v>6579</v>
      </c>
      <c r="H2543" s="2" t="s">
        <v>4517</v>
      </c>
      <c r="I2543" s="2" t="s">
        <v>173</v>
      </c>
      <c r="J2543" s="3">
        <v>44652</v>
      </c>
      <c r="K2543" s="2">
        <v>77</v>
      </c>
      <c r="L2543" s="2" t="s">
        <v>101</v>
      </c>
      <c r="M2543" s="3"/>
    </row>
    <row r="2544" spans="1:13" x14ac:dyDescent="0.3">
      <c r="A2544" s="2">
        <v>2543</v>
      </c>
      <c r="B2544" s="2" t="s">
        <v>6580</v>
      </c>
      <c r="C2544" s="2" t="s">
        <v>1756</v>
      </c>
      <c r="D2544" s="2" t="s">
        <v>28</v>
      </c>
      <c r="E2544" s="2" t="s">
        <v>29</v>
      </c>
      <c r="F2544" s="2">
        <v>90</v>
      </c>
      <c r="G2544" s="2" t="s">
        <v>6581</v>
      </c>
      <c r="H2544" s="2" t="s">
        <v>2724</v>
      </c>
      <c r="I2544" s="2" t="s">
        <v>32</v>
      </c>
      <c r="J2544" s="3">
        <v>44362</v>
      </c>
      <c r="K2544" s="2">
        <v>5</v>
      </c>
      <c r="L2544" s="2" t="s">
        <v>33</v>
      </c>
      <c r="M2544" s="3"/>
    </row>
    <row r="2545" spans="1:13" x14ac:dyDescent="0.3">
      <c r="A2545" s="2">
        <v>2544</v>
      </c>
      <c r="B2545" s="2" t="s">
        <v>335</v>
      </c>
      <c r="C2545" s="2" t="s">
        <v>1030</v>
      </c>
      <c r="D2545" s="2" t="s">
        <v>28</v>
      </c>
      <c r="E2545" s="2" t="s">
        <v>29</v>
      </c>
      <c r="F2545" s="2">
        <v>30</v>
      </c>
      <c r="G2545" s="2" t="s">
        <v>6582</v>
      </c>
      <c r="H2545" s="2" t="s">
        <v>1712</v>
      </c>
      <c r="I2545" s="2" t="s">
        <v>187</v>
      </c>
      <c r="J2545" s="3">
        <v>44837</v>
      </c>
      <c r="K2545" s="2">
        <v>90</v>
      </c>
      <c r="L2545" s="2" t="s">
        <v>101</v>
      </c>
      <c r="M2545" s="3"/>
    </row>
    <row r="2546" spans="1:13" x14ac:dyDescent="0.3">
      <c r="A2546" s="2">
        <v>2545</v>
      </c>
      <c r="B2546" s="2" t="s">
        <v>183</v>
      </c>
      <c r="C2546" s="2" t="s">
        <v>2406</v>
      </c>
      <c r="D2546" s="2" t="s">
        <v>15</v>
      </c>
      <c r="E2546" s="2" t="s">
        <v>16</v>
      </c>
      <c r="F2546" s="2">
        <v>60</v>
      </c>
      <c r="G2546" s="2" t="s">
        <v>6583</v>
      </c>
      <c r="H2546" s="2" t="s">
        <v>928</v>
      </c>
      <c r="I2546" s="2" t="s">
        <v>38</v>
      </c>
      <c r="J2546" s="3">
        <v>44832</v>
      </c>
      <c r="K2546" s="2">
        <v>27</v>
      </c>
      <c r="L2546" s="2" t="s">
        <v>45</v>
      </c>
      <c r="M2546" s="3"/>
    </row>
    <row r="2547" spans="1:13" x14ac:dyDescent="0.3">
      <c r="A2547" s="2">
        <v>2546</v>
      </c>
      <c r="B2547" s="2" t="s">
        <v>4926</v>
      </c>
      <c r="C2547" s="2" t="s">
        <v>5001</v>
      </c>
      <c r="D2547" s="2" t="s">
        <v>15</v>
      </c>
      <c r="E2547" s="2" t="s">
        <v>16</v>
      </c>
      <c r="F2547" s="2">
        <v>30</v>
      </c>
      <c r="G2547" s="2" t="s">
        <v>6584</v>
      </c>
      <c r="H2547" s="2" t="s">
        <v>3682</v>
      </c>
      <c r="I2547" s="2" t="s">
        <v>178</v>
      </c>
      <c r="J2547" s="3">
        <v>44812</v>
      </c>
      <c r="K2547" s="2">
        <v>94</v>
      </c>
      <c r="L2547" s="2" t="s">
        <v>54</v>
      </c>
      <c r="M2547" s="3"/>
    </row>
    <row r="2548" spans="1:13" x14ac:dyDescent="0.3">
      <c r="A2548" s="2">
        <v>2547</v>
      </c>
      <c r="B2548" s="2" t="s">
        <v>1850</v>
      </c>
      <c r="C2548" s="2" t="s">
        <v>4828</v>
      </c>
      <c r="D2548" s="2" t="s">
        <v>28</v>
      </c>
      <c r="E2548" s="2" t="s">
        <v>29</v>
      </c>
      <c r="F2548" s="2">
        <v>90</v>
      </c>
      <c r="G2548" s="2" t="s">
        <v>6585</v>
      </c>
      <c r="H2548" s="2" t="s">
        <v>1905</v>
      </c>
      <c r="I2548" s="2" t="s">
        <v>187</v>
      </c>
      <c r="J2548" s="3">
        <v>44436</v>
      </c>
      <c r="K2548" s="2">
        <v>73</v>
      </c>
      <c r="L2548" s="2" t="s">
        <v>33</v>
      </c>
      <c r="M2548" s="3"/>
    </row>
    <row r="2549" spans="1:13" x14ac:dyDescent="0.3">
      <c r="A2549" s="2">
        <v>2548</v>
      </c>
      <c r="B2549" s="2" t="s">
        <v>6586</v>
      </c>
      <c r="C2549" s="2" t="s">
        <v>6587</v>
      </c>
      <c r="D2549" s="2" t="s">
        <v>51</v>
      </c>
      <c r="E2549" s="2" t="s">
        <v>16</v>
      </c>
      <c r="F2549" s="2">
        <v>90</v>
      </c>
      <c r="G2549" s="2" t="s">
        <v>6588</v>
      </c>
      <c r="H2549" s="2" t="s">
        <v>2848</v>
      </c>
      <c r="I2549" s="2" t="s">
        <v>129</v>
      </c>
      <c r="J2549" s="3">
        <v>44801</v>
      </c>
      <c r="K2549" s="2">
        <v>2</v>
      </c>
      <c r="L2549" s="2" t="s">
        <v>33</v>
      </c>
      <c r="M2549" s="3"/>
    </row>
    <row r="2550" spans="1:13" x14ac:dyDescent="0.3">
      <c r="A2550" s="2">
        <v>2549</v>
      </c>
      <c r="B2550" s="2" t="s">
        <v>3704</v>
      </c>
      <c r="C2550" s="2" t="s">
        <v>2597</v>
      </c>
      <c r="D2550" s="2" t="s">
        <v>51</v>
      </c>
      <c r="E2550" s="2" t="s">
        <v>16</v>
      </c>
      <c r="F2550" s="2">
        <v>60</v>
      </c>
      <c r="G2550" s="2" t="s">
        <v>6589</v>
      </c>
      <c r="H2550" s="2" t="s">
        <v>6590</v>
      </c>
      <c r="I2550" s="2" t="s">
        <v>124</v>
      </c>
      <c r="J2550" s="3">
        <v>44580</v>
      </c>
      <c r="K2550" s="2">
        <v>26</v>
      </c>
      <c r="L2550" s="2" t="s">
        <v>70</v>
      </c>
      <c r="M2550" s="3"/>
    </row>
    <row r="2551" spans="1:13" x14ac:dyDescent="0.3">
      <c r="A2551" s="2">
        <v>2550</v>
      </c>
      <c r="B2551" s="2" t="s">
        <v>6591</v>
      </c>
      <c r="C2551" s="2" t="s">
        <v>5993</v>
      </c>
      <c r="D2551" s="2" t="s">
        <v>28</v>
      </c>
      <c r="E2551" s="2" t="s">
        <v>29</v>
      </c>
      <c r="F2551" s="2">
        <v>90</v>
      </c>
      <c r="G2551" s="2" t="s">
        <v>6592</v>
      </c>
      <c r="H2551" s="2" t="s">
        <v>1005</v>
      </c>
      <c r="I2551" s="2" t="s">
        <v>178</v>
      </c>
      <c r="J2551" s="3">
        <v>43881</v>
      </c>
      <c r="K2551" s="2">
        <v>52</v>
      </c>
      <c r="L2551" s="2" t="s">
        <v>159</v>
      </c>
      <c r="M2551" s="3"/>
    </row>
    <row r="2552" spans="1:13" x14ac:dyDescent="0.3">
      <c r="A2552" s="2">
        <v>2551</v>
      </c>
      <c r="B2552" s="2" t="s">
        <v>6593</v>
      </c>
      <c r="C2552" s="2" t="s">
        <v>6594</v>
      </c>
      <c r="D2552" s="2" t="s">
        <v>117</v>
      </c>
      <c r="E2552" s="2" t="s">
        <v>16</v>
      </c>
      <c r="F2552" s="2">
        <v>90</v>
      </c>
      <c r="G2552" s="2" t="s">
        <v>6595</v>
      </c>
      <c r="H2552" s="2" t="s">
        <v>4669</v>
      </c>
      <c r="I2552" s="2" t="s">
        <v>187</v>
      </c>
      <c r="J2552" s="3">
        <v>44274</v>
      </c>
      <c r="K2552" s="2">
        <v>66</v>
      </c>
      <c r="L2552" s="2" t="s">
        <v>80</v>
      </c>
      <c r="M2552" s="3"/>
    </row>
    <row r="2553" spans="1:13" x14ac:dyDescent="0.3">
      <c r="A2553" s="2">
        <v>2552</v>
      </c>
      <c r="B2553" s="2" t="s">
        <v>6596</v>
      </c>
      <c r="C2553" s="2" t="s">
        <v>564</v>
      </c>
      <c r="D2553" s="2" t="s">
        <v>51</v>
      </c>
      <c r="E2553" s="2" t="s">
        <v>16</v>
      </c>
      <c r="F2553" s="2">
        <v>30</v>
      </c>
      <c r="G2553" s="2" t="s">
        <v>6597</v>
      </c>
      <c r="H2553" s="2" t="s">
        <v>420</v>
      </c>
      <c r="I2553" s="2" t="s">
        <v>32</v>
      </c>
      <c r="J2553" s="3">
        <v>44069</v>
      </c>
      <c r="K2553" s="2">
        <v>4</v>
      </c>
      <c r="L2553" s="2" t="s">
        <v>33</v>
      </c>
      <c r="M2553" s="3"/>
    </row>
    <row r="2554" spans="1:13" x14ac:dyDescent="0.3">
      <c r="A2554" s="2">
        <v>2553</v>
      </c>
      <c r="B2554" s="2" t="s">
        <v>2932</v>
      </c>
      <c r="C2554" s="2" t="s">
        <v>6598</v>
      </c>
      <c r="D2554" s="2" t="s">
        <v>28</v>
      </c>
      <c r="E2554" s="2" t="s">
        <v>29</v>
      </c>
      <c r="F2554" s="2">
        <v>30</v>
      </c>
      <c r="G2554" s="2" t="s">
        <v>6599</v>
      </c>
      <c r="H2554" s="2" t="s">
        <v>1757</v>
      </c>
      <c r="I2554" s="2" t="s">
        <v>294</v>
      </c>
      <c r="J2554" s="3">
        <v>44201</v>
      </c>
      <c r="K2554" s="2">
        <v>23</v>
      </c>
      <c r="L2554" s="2" t="s">
        <v>20</v>
      </c>
      <c r="M2554" s="3"/>
    </row>
    <row r="2555" spans="1:13" x14ac:dyDescent="0.3">
      <c r="A2555" s="2">
        <v>2554</v>
      </c>
      <c r="B2555" s="2" t="s">
        <v>6600</v>
      </c>
      <c r="C2555" s="2" t="s">
        <v>1117</v>
      </c>
      <c r="D2555" s="2" t="s">
        <v>28</v>
      </c>
      <c r="E2555" s="2" t="s">
        <v>29</v>
      </c>
      <c r="F2555" s="2">
        <v>30</v>
      </c>
      <c r="G2555" s="2" t="s">
        <v>6601</v>
      </c>
      <c r="H2555" s="2" t="s">
        <v>6602</v>
      </c>
      <c r="I2555" s="2" t="s">
        <v>32</v>
      </c>
      <c r="J2555" s="3">
        <v>44331</v>
      </c>
      <c r="K2555" s="2">
        <v>73</v>
      </c>
      <c r="L2555" s="2" t="s">
        <v>54</v>
      </c>
      <c r="M2555" s="3"/>
    </row>
    <row r="2556" spans="1:13" x14ac:dyDescent="0.3">
      <c r="A2556" s="2">
        <v>2555</v>
      </c>
      <c r="B2556" s="2" t="s">
        <v>6603</v>
      </c>
      <c r="C2556" s="2" t="s">
        <v>1361</v>
      </c>
      <c r="D2556" s="2" t="s">
        <v>15</v>
      </c>
      <c r="E2556" s="2" t="s">
        <v>16</v>
      </c>
      <c r="F2556" s="2">
        <v>30</v>
      </c>
      <c r="G2556" s="2" t="s">
        <v>6604</v>
      </c>
      <c r="H2556" s="2" t="s">
        <v>1214</v>
      </c>
      <c r="I2556" s="2" t="s">
        <v>32</v>
      </c>
      <c r="J2556" s="3">
        <v>44873</v>
      </c>
      <c r="K2556" s="2">
        <v>71</v>
      </c>
      <c r="L2556" s="2" t="s">
        <v>45</v>
      </c>
      <c r="M2556" s="3"/>
    </row>
    <row r="2557" spans="1:13" x14ac:dyDescent="0.3">
      <c r="A2557" s="2">
        <v>2556</v>
      </c>
      <c r="B2557" s="2" t="s">
        <v>6605</v>
      </c>
      <c r="C2557" s="2" t="s">
        <v>1211</v>
      </c>
      <c r="D2557" s="2" t="s">
        <v>92</v>
      </c>
      <c r="E2557" s="2" t="s">
        <v>29</v>
      </c>
      <c r="F2557" s="2">
        <v>30</v>
      </c>
      <c r="G2557" s="2" t="s">
        <v>6606</v>
      </c>
      <c r="H2557" s="2" t="s">
        <v>6607</v>
      </c>
      <c r="I2557" s="2" t="s">
        <v>32</v>
      </c>
      <c r="J2557" s="3">
        <v>44100</v>
      </c>
      <c r="K2557" s="2">
        <v>46</v>
      </c>
      <c r="L2557" s="2" t="s">
        <v>159</v>
      </c>
      <c r="M2557" s="3"/>
    </row>
    <row r="2558" spans="1:13" x14ac:dyDescent="0.3">
      <c r="A2558" s="2">
        <v>2557</v>
      </c>
      <c r="B2558" s="2" t="s">
        <v>6608</v>
      </c>
      <c r="C2558" s="2" t="s">
        <v>2024</v>
      </c>
      <c r="D2558" s="2" t="s">
        <v>51</v>
      </c>
      <c r="E2558" s="2" t="s">
        <v>16</v>
      </c>
      <c r="F2558" s="2">
        <v>90</v>
      </c>
      <c r="G2558" s="2" t="s">
        <v>6609</v>
      </c>
      <c r="H2558" s="2" t="s">
        <v>5843</v>
      </c>
      <c r="I2558" s="2" t="s">
        <v>25</v>
      </c>
      <c r="J2558" s="3">
        <v>44794</v>
      </c>
      <c r="K2558" s="2">
        <v>79</v>
      </c>
      <c r="L2558" s="2" t="s">
        <v>80</v>
      </c>
      <c r="M2558" s="3"/>
    </row>
    <row r="2559" spans="1:13" x14ac:dyDescent="0.3">
      <c r="A2559" s="2">
        <v>2558</v>
      </c>
      <c r="B2559" s="2" t="s">
        <v>6610</v>
      </c>
      <c r="C2559" s="2" t="s">
        <v>493</v>
      </c>
      <c r="D2559" s="2" t="s">
        <v>92</v>
      </c>
      <c r="E2559" s="2" t="s">
        <v>16</v>
      </c>
      <c r="F2559" s="2">
        <v>60</v>
      </c>
      <c r="G2559" s="2" t="s">
        <v>6611</v>
      </c>
      <c r="H2559" s="2" t="s">
        <v>6612</v>
      </c>
      <c r="I2559" s="2" t="s">
        <v>25</v>
      </c>
      <c r="J2559" s="3">
        <v>44171</v>
      </c>
      <c r="K2559" s="2">
        <v>43</v>
      </c>
      <c r="L2559" s="2" t="s">
        <v>45</v>
      </c>
      <c r="M2559" s="3"/>
    </row>
    <row r="2560" spans="1:13" x14ac:dyDescent="0.3">
      <c r="A2560" s="2">
        <v>2559</v>
      </c>
      <c r="B2560" s="2" t="s">
        <v>761</v>
      </c>
      <c r="C2560" s="2" t="s">
        <v>6452</v>
      </c>
      <c r="D2560" s="2" t="s">
        <v>51</v>
      </c>
      <c r="E2560" s="2" t="s">
        <v>16</v>
      </c>
      <c r="F2560" s="2">
        <v>90</v>
      </c>
      <c r="G2560" s="2" t="s">
        <v>6613</v>
      </c>
      <c r="H2560" s="2" t="s">
        <v>1732</v>
      </c>
      <c r="I2560" s="2" t="s">
        <v>1733</v>
      </c>
      <c r="J2560" s="3">
        <v>44232</v>
      </c>
      <c r="K2560" s="2">
        <v>60</v>
      </c>
      <c r="L2560" s="2" t="s">
        <v>45</v>
      </c>
      <c r="M2560" s="3"/>
    </row>
    <row r="2561" spans="1:13" x14ac:dyDescent="0.3">
      <c r="A2561" s="2">
        <v>2560</v>
      </c>
      <c r="B2561" s="2" t="s">
        <v>6614</v>
      </c>
      <c r="C2561" s="2" t="s">
        <v>2427</v>
      </c>
      <c r="D2561" s="2" t="s">
        <v>15</v>
      </c>
      <c r="E2561" s="2" t="s">
        <v>16</v>
      </c>
      <c r="F2561" s="2">
        <v>60</v>
      </c>
      <c r="G2561" s="2" t="s">
        <v>6615</v>
      </c>
      <c r="H2561" s="2" t="s">
        <v>1005</v>
      </c>
      <c r="I2561" s="2" t="s">
        <v>178</v>
      </c>
      <c r="J2561" s="3">
        <v>43997</v>
      </c>
      <c r="K2561" s="2">
        <v>51</v>
      </c>
      <c r="L2561" s="2" t="s">
        <v>45</v>
      </c>
      <c r="M2561" s="3"/>
    </row>
    <row r="2562" spans="1:13" x14ac:dyDescent="0.3">
      <c r="A2562" s="2">
        <v>2561</v>
      </c>
      <c r="B2562" s="2" t="s">
        <v>6616</v>
      </c>
      <c r="C2562" s="2" t="s">
        <v>3279</v>
      </c>
      <c r="D2562" s="2" t="s">
        <v>15</v>
      </c>
      <c r="E2562" s="2" t="s">
        <v>16</v>
      </c>
      <c r="F2562" s="2">
        <v>90</v>
      </c>
      <c r="G2562" s="2" t="s">
        <v>6615</v>
      </c>
      <c r="H2562" s="2" t="s">
        <v>5132</v>
      </c>
      <c r="I2562" s="2" t="s">
        <v>32</v>
      </c>
      <c r="J2562" s="3">
        <v>43845</v>
      </c>
      <c r="K2562" s="2">
        <v>4</v>
      </c>
      <c r="L2562" s="2" t="s">
        <v>45</v>
      </c>
      <c r="M2562" s="3"/>
    </row>
    <row r="2563" spans="1:13" x14ac:dyDescent="0.3">
      <c r="A2563" s="2">
        <v>2562</v>
      </c>
      <c r="B2563" s="2" t="s">
        <v>4257</v>
      </c>
      <c r="C2563" s="2" t="s">
        <v>1089</v>
      </c>
      <c r="D2563" s="2" t="s">
        <v>28</v>
      </c>
      <c r="E2563" s="2" t="s">
        <v>29</v>
      </c>
      <c r="F2563" s="2">
        <v>30</v>
      </c>
      <c r="G2563" s="2" t="s">
        <v>6617</v>
      </c>
      <c r="H2563" s="2" t="s">
        <v>6618</v>
      </c>
      <c r="I2563" s="2" t="s">
        <v>32</v>
      </c>
      <c r="J2563" s="3">
        <v>44283</v>
      </c>
      <c r="K2563" s="2">
        <v>47</v>
      </c>
      <c r="L2563" s="2" t="s">
        <v>54</v>
      </c>
      <c r="M2563" s="3"/>
    </row>
    <row r="2564" spans="1:13" x14ac:dyDescent="0.3">
      <c r="A2564" s="2">
        <v>2563</v>
      </c>
      <c r="B2564" s="2" t="s">
        <v>6619</v>
      </c>
      <c r="C2564" s="2" t="s">
        <v>4512</v>
      </c>
      <c r="D2564" s="2" t="s">
        <v>92</v>
      </c>
      <c r="E2564" s="2" t="s">
        <v>16</v>
      </c>
      <c r="F2564" s="2">
        <v>30</v>
      </c>
      <c r="G2564" s="2" t="s">
        <v>6620</v>
      </c>
      <c r="H2564" s="2" t="s">
        <v>279</v>
      </c>
      <c r="I2564" s="2" t="s">
        <v>213</v>
      </c>
      <c r="J2564" s="3">
        <v>44590</v>
      </c>
      <c r="K2564" s="2">
        <v>31</v>
      </c>
      <c r="L2564" s="2" t="s">
        <v>159</v>
      </c>
      <c r="M2564" s="3"/>
    </row>
    <row r="2565" spans="1:13" x14ac:dyDescent="0.3">
      <c r="A2565" s="2">
        <v>2564</v>
      </c>
      <c r="B2565" s="2" t="s">
        <v>2887</v>
      </c>
      <c r="C2565" s="2" t="s">
        <v>5671</v>
      </c>
      <c r="D2565" s="2" t="s">
        <v>28</v>
      </c>
      <c r="E2565" s="2" t="s">
        <v>29</v>
      </c>
      <c r="F2565" s="2">
        <v>30</v>
      </c>
      <c r="G2565" s="2" t="s">
        <v>6620</v>
      </c>
      <c r="H2565" s="2" t="s">
        <v>6621</v>
      </c>
      <c r="I2565" s="2" t="s">
        <v>38</v>
      </c>
      <c r="J2565" s="3">
        <v>44342</v>
      </c>
      <c r="K2565" s="2">
        <v>89</v>
      </c>
      <c r="L2565" s="2" t="s">
        <v>80</v>
      </c>
      <c r="M2565" s="3"/>
    </row>
    <row r="2566" spans="1:13" x14ac:dyDescent="0.3">
      <c r="A2566" s="2">
        <v>2565</v>
      </c>
      <c r="B2566" s="2" t="s">
        <v>2932</v>
      </c>
      <c r="C2566" s="2" t="s">
        <v>1024</v>
      </c>
      <c r="D2566" s="2" t="s">
        <v>28</v>
      </c>
      <c r="E2566" s="2" t="s">
        <v>29</v>
      </c>
      <c r="F2566" s="2">
        <v>30</v>
      </c>
      <c r="G2566" s="2" t="s">
        <v>6622</v>
      </c>
      <c r="H2566" s="2" t="s">
        <v>3053</v>
      </c>
      <c r="I2566" s="2" t="s">
        <v>32</v>
      </c>
      <c r="J2566" s="3">
        <v>44398</v>
      </c>
      <c r="K2566" s="2">
        <v>26</v>
      </c>
      <c r="L2566" s="2" t="s">
        <v>101</v>
      </c>
      <c r="M2566" s="3"/>
    </row>
    <row r="2567" spans="1:13" x14ac:dyDescent="0.3">
      <c r="A2567" s="2">
        <v>2566</v>
      </c>
      <c r="B2567" s="2" t="s">
        <v>4052</v>
      </c>
      <c r="C2567" s="2" t="s">
        <v>4528</v>
      </c>
      <c r="D2567" s="2" t="s">
        <v>28</v>
      </c>
      <c r="E2567" s="2" t="s">
        <v>29</v>
      </c>
      <c r="F2567" s="2">
        <v>30</v>
      </c>
      <c r="G2567" s="2" t="s">
        <v>6623</v>
      </c>
      <c r="H2567" s="2" t="s">
        <v>5036</v>
      </c>
      <c r="I2567" s="2" t="s">
        <v>32</v>
      </c>
      <c r="J2567" s="3">
        <v>44555</v>
      </c>
      <c r="K2567" s="2">
        <v>59</v>
      </c>
      <c r="L2567" s="2" t="s">
        <v>80</v>
      </c>
      <c r="M2567" s="3"/>
    </row>
    <row r="2568" spans="1:13" x14ac:dyDescent="0.3">
      <c r="A2568" s="2">
        <v>2567</v>
      </c>
      <c r="B2568" s="2" t="s">
        <v>6624</v>
      </c>
      <c r="C2568" s="2" t="s">
        <v>2779</v>
      </c>
      <c r="D2568" s="2" t="s">
        <v>15</v>
      </c>
      <c r="E2568" s="2" t="s">
        <v>16</v>
      </c>
      <c r="F2568" s="2">
        <v>60</v>
      </c>
      <c r="G2568" s="2" t="s">
        <v>6625</v>
      </c>
      <c r="H2568" s="2" t="s">
        <v>2872</v>
      </c>
      <c r="I2568" s="2" t="s">
        <v>294</v>
      </c>
      <c r="J2568" s="3">
        <v>43871</v>
      </c>
      <c r="K2568" s="2">
        <v>22</v>
      </c>
      <c r="L2568" s="2" t="s">
        <v>45</v>
      </c>
      <c r="M2568" s="3"/>
    </row>
    <row r="2569" spans="1:13" x14ac:dyDescent="0.3">
      <c r="A2569" s="2">
        <v>2568</v>
      </c>
      <c r="B2569" s="2" t="s">
        <v>6626</v>
      </c>
      <c r="C2569" s="2" t="s">
        <v>1175</v>
      </c>
      <c r="D2569" s="2" t="s">
        <v>51</v>
      </c>
      <c r="E2569" s="2" t="s">
        <v>16</v>
      </c>
      <c r="F2569" s="2">
        <v>30</v>
      </c>
      <c r="G2569" s="2" t="s">
        <v>6627</v>
      </c>
      <c r="H2569" s="2" t="s">
        <v>4123</v>
      </c>
      <c r="I2569" s="2" t="s">
        <v>187</v>
      </c>
      <c r="J2569" s="3">
        <v>44873</v>
      </c>
      <c r="K2569" s="2">
        <v>15</v>
      </c>
      <c r="L2569" s="2" t="s">
        <v>33</v>
      </c>
      <c r="M2569" s="3"/>
    </row>
    <row r="2570" spans="1:13" x14ac:dyDescent="0.3">
      <c r="A2570" s="2">
        <v>2569</v>
      </c>
      <c r="B2570" s="2" t="s">
        <v>6628</v>
      </c>
      <c r="C2570" s="2" t="s">
        <v>2561</v>
      </c>
      <c r="D2570" s="2" t="s">
        <v>15</v>
      </c>
      <c r="E2570" s="2" t="s">
        <v>16</v>
      </c>
      <c r="F2570" s="2">
        <v>30</v>
      </c>
      <c r="G2570" s="2" t="s">
        <v>6629</v>
      </c>
      <c r="H2570" s="2" t="s">
        <v>4272</v>
      </c>
      <c r="I2570" s="2" t="s">
        <v>1652</v>
      </c>
      <c r="J2570" s="3">
        <v>43940</v>
      </c>
      <c r="K2570" s="2">
        <v>14</v>
      </c>
      <c r="L2570" s="2" t="s">
        <v>39</v>
      </c>
      <c r="M2570" s="3"/>
    </row>
    <row r="2571" spans="1:13" x14ac:dyDescent="0.3">
      <c r="A2571" s="2">
        <v>2570</v>
      </c>
      <c r="B2571" s="2" t="s">
        <v>6630</v>
      </c>
      <c r="C2571" s="2" t="s">
        <v>1700</v>
      </c>
      <c r="D2571" s="2" t="s">
        <v>117</v>
      </c>
      <c r="E2571" s="2" t="s">
        <v>16</v>
      </c>
      <c r="F2571" s="2">
        <v>30</v>
      </c>
      <c r="G2571" s="2" t="s">
        <v>6631</v>
      </c>
      <c r="H2571" s="2" t="s">
        <v>4266</v>
      </c>
      <c r="I2571" s="2" t="s">
        <v>25</v>
      </c>
      <c r="J2571" s="3">
        <v>44917</v>
      </c>
      <c r="K2571" s="2">
        <v>35</v>
      </c>
      <c r="L2571" s="2" t="s">
        <v>101</v>
      </c>
      <c r="M2571" s="3"/>
    </row>
    <row r="2572" spans="1:13" x14ac:dyDescent="0.3">
      <c r="A2572" s="2">
        <v>2571</v>
      </c>
      <c r="B2572" s="2" t="s">
        <v>6632</v>
      </c>
      <c r="C2572" s="2" t="s">
        <v>6594</v>
      </c>
      <c r="D2572" s="2" t="s">
        <v>15</v>
      </c>
      <c r="E2572" s="2" t="s">
        <v>16</v>
      </c>
      <c r="F2572" s="2">
        <v>30</v>
      </c>
      <c r="G2572" s="2" t="s">
        <v>6631</v>
      </c>
      <c r="H2572" s="2" t="s">
        <v>655</v>
      </c>
      <c r="I2572" s="2" t="s">
        <v>32</v>
      </c>
      <c r="J2572" s="3">
        <v>44847</v>
      </c>
      <c r="K2572" s="2">
        <v>85</v>
      </c>
      <c r="L2572" s="2" t="s">
        <v>20</v>
      </c>
      <c r="M2572" s="3"/>
    </row>
    <row r="2573" spans="1:13" x14ac:dyDescent="0.3">
      <c r="A2573" s="2">
        <v>2572</v>
      </c>
      <c r="B2573" s="2" t="s">
        <v>6633</v>
      </c>
      <c r="C2573" s="2" t="s">
        <v>2413</v>
      </c>
      <c r="D2573" s="2" t="s">
        <v>51</v>
      </c>
      <c r="E2573" s="2" t="s">
        <v>16</v>
      </c>
      <c r="F2573" s="2">
        <v>30</v>
      </c>
      <c r="G2573" s="2" t="s">
        <v>6634</v>
      </c>
      <c r="H2573" s="2" t="s">
        <v>5729</v>
      </c>
      <c r="I2573" s="2" t="s">
        <v>32</v>
      </c>
      <c r="J2573" s="3">
        <v>44608</v>
      </c>
      <c r="K2573" s="2">
        <v>37</v>
      </c>
      <c r="L2573" s="2" t="s">
        <v>45</v>
      </c>
      <c r="M2573" s="3"/>
    </row>
    <row r="2574" spans="1:13" x14ac:dyDescent="0.3">
      <c r="A2574" s="2">
        <v>2573</v>
      </c>
      <c r="B2574" s="2" t="s">
        <v>2520</v>
      </c>
      <c r="C2574" s="2" t="s">
        <v>6635</v>
      </c>
      <c r="D2574" s="2" t="s">
        <v>28</v>
      </c>
      <c r="E2574" s="2" t="s">
        <v>29</v>
      </c>
      <c r="F2574" s="2">
        <v>90</v>
      </c>
      <c r="G2574" s="2" t="s">
        <v>6636</v>
      </c>
      <c r="H2574" s="2" t="s">
        <v>2066</v>
      </c>
      <c r="I2574" s="2" t="s">
        <v>294</v>
      </c>
      <c r="J2574" s="3">
        <v>44883</v>
      </c>
      <c r="K2574" s="2">
        <v>76</v>
      </c>
      <c r="L2574" s="2" t="s">
        <v>20</v>
      </c>
      <c r="M2574" s="3"/>
    </row>
    <row r="2575" spans="1:13" x14ac:dyDescent="0.3">
      <c r="A2575" s="2">
        <v>2574</v>
      </c>
      <c r="B2575" s="2" t="s">
        <v>6637</v>
      </c>
      <c r="C2575" s="2" t="s">
        <v>6638</v>
      </c>
      <c r="D2575" s="2" t="s">
        <v>51</v>
      </c>
      <c r="E2575" s="2" t="s">
        <v>16</v>
      </c>
      <c r="F2575" s="2">
        <v>30</v>
      </c>
      <c r="G2575" s="2" t="s">
        <v>6639</v>
      </c>
      <c r="H2575" s="2" t="s">
        <v>6640</v>
      </c>
      <c r="I2575" s="2" t="s">
        <v>32</v>
      </c>
      <c r="J2575" s="3">
        <v>44890</v>
      </c>
      <c r="K2575" s="2">
        <v>21</v>
      </c>
      <c r="L2575" s="2" t="s">
        <v>39</v>
      </c>
      <c r="M2575" s="3"/>
    </row>
    <row r="2576" spans="1:13" x14ac:dyDescent="0.3">
      <c r="A2576" s="2">
        <v>2575</v>
      </c>
      <c r="B2576" s="2" t="s">
        <v>256</v>
      </c>
      <c r="C2576" s="2" t="s">
        <v>6641</v>
      </c>
      <c r="D2576" s="2" t="s">
        <v>51</v>
      </c>
      <c r="E2576" s="2" t="s">
        <v>16</v>
      </c>
      <c r="F2576" s="2">
        <v>60</v>
      </c>
      <c r="G2576" s="2" t="s">
        <v>6642</v>
      </c>
      <c r="H2576" s="2" t="s">
        <v>1996</v>
      </c>
      <c r="I2576" s="2" t="s">
        <v>208</v>
      </c>
      <c r="J2576" s="3">
        <v>44074</v>
      </c>
      <c r="K2576" s="2">
        <v>52</v>
      </c>
      <c r="L2576" s="2" t="s">
        <v>80</v>
      </c>
      <c r="M2576" s="3"/>
    </row>
    <row r="2577" spans="1:13" x14ac:dyDescent="0.3">
      <c r="A2577" s="2">
        <v>2576</v>
      </c>
      <c r="B2577" s="2" t="s">
        <v>6643</v>
      </c>
      <c r="C2577" s="2" t="s">
        <v>715</v>
      </c>
      <c r="D2577" s="2" t="s">
        <v>15</v>
      </c>
      <c r="E2577" s="2" t="s">
        <v>16</v>
      </c>
      <c r="F2577" s="2">
        <v>30</v>
      </c>
      <c r="G2577" s="2" t="s">
        <v>6644</v>
      </c>
      <c r="H2577" s="2" t="s">
        <v>901</v>
      </c>
      <c r="I2577" s="2" t="s">
        <v>146</v>
      </c>
      <c r="J2577" s="3">
        <v>44848</v>
      </c>
      <c r="K2577" s="2">
        <v>85</v>
      </c>
      <c r="L2577" s="2" t="s">
        <v>33</v>
      </c>
      <c r="M2577" s="3"/>
    </row>
    <row r="2578" spans="1:13" x14ac:dyDescent="0.3">
      <c r="A2578" s="2">
        <v>2577</v>
      </c>
      <c r="B2578" s="2" t="s">
        <v>2760</v>
      </c>
      <c r="C2578" s="2" t="s">
        <v>3430</v>
      </c>
      <c r="D2578" s="2" t="s">
        <v>51</v>
      </c>
      <c r="E2578" s="2" t="s">
        <v>16</v>
      </c>
      <c r="F2578" s="2">
        <v>30</v>
      </c>
      <c r="G2578" s="2" t="s">
        <v>6645</v>
      </c>
      <c r="H2578" s="2" t="s">
        <v>526</v>
      </c>
      <c r="I2578" s="2" t="s">
        <v>32</v>
      </c>
      <c r="J2578" s="3">
        <v>44893</v>
      </c>
      <c r="K2578" s="2">
        <v>105</v>
      </c>
      <c r="L2578" s="2" t="s">
        <v>101</v>
      </c>
      <c r="M2578" s="3"/>
    </row>
    <row r="2579" spans="1:13" x14ac:dyDescent="0.3">
      <c r="A2579" s="2">
        <v>2578</v>
      </c>
      <c r="B2579" s="2" t="s">
        <v>6646</v>
      </c>
      <c r="C2579" s="2" t="s">
        <v>4226</v>
      </c>
      <c r="D2579" s="2" t="s">
        <v>15</v>
      </c>
      <c r="E2579" s="2" t="s">
        <v>16</v>
      </c>
      <c r="F2579" s="2">
        <v>90</v>
      </c>
      <c r="G2579" s="2" t="s">
        <v>6647</v>
      </c>
      <c r="H2579" s="2" t="s">
        <v>5995</v>
      </c>
      <c r="I2579" s="2" t="s">
        <v>187</v>
      </c>
      <c r="J2579" s="3">
        <v>44429</v>
      </c>
      <c r="K2579" s="2">
        <v>57</v>
      </c>
      <c r="L2579" s="2" t="s">
        <v>45</v>
      </c>
      <c r="M2579" s="3"/>
    </row>
    <row r="2580" spans="1:13" x14ac:dyDescent="0.3">
      <c r="A2580" s="2">
        <v>2579</v>
      </c>
      <c r="B2580" s="2" t="s">
        <v>6648</v>
      </c>
      <c r="C2580" s="2" t="s">
        <v>4079</v>
      </c>
      <c r="D2580" s="2" t="s">
        <v>51</v>
      </c>
      <c r="E2580" s="2" t="s">
        <v>16</v>
      </c>
      <c r="F2580" s="2">
        <v>30</v>
      </c>
      <c r="G2580" s="2" t="s">
        <v>6649</v>
      </c>
      <c r="H2580" s="2" t="s">
        <v>3480</v>
      </c>
      <c r="I2580" s="2" t="s">
        <v>187</v>
      </c>
      <c r="J2580" s="3">
        <v>44907</v>
      </c>
      <c r="K2580" s="2">
        <v>99</v>
      </c>
      <c r="L2580" s="2" t="s">
        <v>33</v>
      </c>
      <c r="M2580" s="3"/>
    </row>
    <row r="2581" spans="1:13" x14ac:dyDescent="0.3">
      <c r="A2581" s="2">
        <v>2580</v>
      </c>
      <c r="B2581" s="2" t="s">
        <v>6650</v>
      </c>
      <c r="C2581" s="2" t="s">
        <v>6651</v>
      </c>
      <c r="D2581" s="2" t="s">
        <v>15</v>
      </c>
      <c r="E2581" s="2" t="s">
        <v>16</v>
      </c>
      <c r="F2581" s="2">
        <v>60</v>
      </c>
      <c r="G2581" s="2" t="s">
        <v>6652</v>
      </c>
      <c r="H2581" s="2" t="s">
        <v>3754</v>
      </c>
      <c r="I2581" s="2" t="s">
        <v>124</v>
      </c>
      <c r="J2581" s="3">
        <v>44681</v>
      </c>
      <c r="K2581" s="2">
        <v>34</v>
      </c>
      <c r="L2581" s="2" t="s">
        <v>101</v>
      </c>
      <c r="M2581" s="3"/>
    </row>
    <row r="2582" spans="1:13" x14ac:dyDescent="0.3">
      <c r="A2582" s="2">
        <v>2581</v>
      </c>
      <c r="B2582" s="2" t="s">
        <v>6653</v>
      </c>
      <c r="C2582" s="2" t="s">
        <v>1717</v>
      </c>
      <c r="D2582" s="2" t="s">
        <v>15</v>
      </c>
      <c r="E2582" s="2" t="s">
        <v>16</v>
      </c>
      <c r="F2582" s="2">
        <v>30</v>
      </c>
      <c r="G2582" s="2" t="s">
        <v>6654</v>
      </c>
      <c r="H2582" s="2" t="s">
        <v>2212</v>
      </c>
      <c r="I2582" s="2" t="s">
        <v>32</v>
      </c>
      <c r="J2582" s="3">
        <v>44674</v>
      </c>
      <c r="K2582" s="2">
        <v>57</v>
      </c>
      <c r="L2582" s="2" t="s">
        <v>20</v>
      </c>
      <c r="M2582" s="3"/>
    </row>
    <row r="2583" spans="1:13" x14ac:dyDescent="0.3">
      <c r="A2583" s="2">
        <v>2582</v>
      </c>
      <c r="B2583" s="2" t="s">
        <v>6655</v>
      </c>
      <c r="C2583" s="2" t="s">
        <v>4504</v>
      </c>
      <c r="D2583" s="2" t="s">
        <v>51</v>
      </c>
      <c r="E2583" s="2" t="s">
        <v>16</v>
      </c>
      <c r="F2583" s="2">
        <v>30</v>
      </c>
      <c r="G2583" s="2" t="s">
        <v>6656</v>
      </c>
      <c r="H2583" s="2" t="s">
        <v>3240</v>
      </c>
      <c r="I2583" s="2" t="s">
        <v>187</v>
      </c>
      <c r="J2583" s="3">
        <v>44924</v>
      </c>
      <c r="K2583" s="2">
        <v>22</v>
      </c>
      <c r="L2583" s="2" t="s">
        <v>101</v>
      </c>
      <c r="M2583" s="3"/>
    </row>
    <row r="2584" spans="1:13" x14ac:dyDescent="0.3">
      <c r="A2584" s="2">
        <v>2583</v>
      </c>
      <c r="B2584" s="2" t="s">
        <v>6655</v>
      </c>
      <c r="C2584" s="2" t="s">
        <v>4504</v>
      </c>
      <c r="D2584" s="2" t="s">
        <v>51</v>
      </c>
      <c r="E2584" s="2" t="s">
        <v>16</v>
      </c>
      <c r="F2584" s="2">
        <v>30</v>
      </c>
      <c r="G2584" s="2" t="s">
        <v>6656</v>
      </c>
      <c r="H2584" s="2" t="s">
        <v>3240</v>
      </c>
      <c r="I2584" s="2" t="s">
        <v>187</v>
      </c>
      <c r="J2584" s="3">
        <v>44924</v>
      </c>
      <c r="K2584" s="2">
        <v>22</v>
      </c>
      <c r="L2584" s="2" t="s">
        <v>101</v>
      </c>
      <c r="M2584" s="3"/>
    </row>
    <row r="2585" spans="1:13" x14ac:dyDescent="0.3">
      <c r="A2585" s="2">
        <v>2584</v>
      </c>
      <c r="B2585" s="2" t="s">
        <v>6371</v>
      </c>
      <c r="C2585" s="2" t="s">
        <v>6657</v>
      </c>
      <c r="D2585" s="2" t="s">
        <v>15</v>
      </c>
      <c r="E2585" s="2" t="s">
        <v>16</v>
      </c>
      <c r="F2585" s="2">
        <v>30</v>
      </c>
      <c r="G2585" s="2" t="s">
        <v>6658</v>
      </c>
      <c r="H2585" s="2" t="s">
        <v>6659</v>
      </c>
      <c r="I2585" s="2" t="s">
        <v>208</v>
      </c>
      <c r="J2585" s="3">
        <v>44310</v>
      </c>
      <c r="K2585" s="2">
        <v>23</v>
      </c>
      <c r="L2585" s="2" t="s">
        <v>64</v>
      </c>
      <c r="M2585" s="3"/>
    </row>
    <row r="2586" spans="1:13" x14ac:dyDescent="0.3">
      <c r="A2586" s="2">
        <v>2585</v>
      </c>
      <c r="B2586" s="2" t="s">
        <v>6660</v>
      </c>
      <c r="C2586" s="2" t="s">
        <v>6661</v>
      </c>
      <c r="D2586" s="2" t="s">
        <v>28</v>
      </c>
      <c r="E2586" s="2" t="s">
        <v>29</v>
      </c>
      <c r="F2586" s="2">
        <v>90</v>
      </c>
      <c r="G2586" s="2" t="s">
        <v>6662</v>
      </c>
      <c r="H2586" s="2" t="s">
        <v>702</v>
      </c>
      <c r="I2586" s="2" t="s">
        <v>703</v>
      </c>
      <c r="J2586" s="3">
        <v>44349</v>
      </c>
      <c r="K2586" s="2">
        <v>31</v>
      </c>
      <c r="L2586" s="2" t="s">
        <v>39</v>
      </c>
      <c r="M2586" s="3"/>
    </row>
    <row r="2587" spans="1:13" x14ac:dyDescent="0.3">
      <c r="A2587" s="2">
        <v>2586</v>
      </c>
      <c r="B2587" s="2" t="s">
        <v>1656</v>
      </c>
      <c r="C2587" s="2" t="s">
        <v>6663</v>
      </c>
      <c r="D2587" s="2" t="s">
        <v>28</v>
      </c>
      <c r="E2587" s="2" t="s">
        <v>29</v>
      </c>
      <c r="F2587" s="2">
        <v>60</v>
      </c>
      <c r="G2587" s="2" t="s">
        <v>6662</v>
      </c>
      <c r="H2587" s="2" t="s">
        <v>534</v>
      </c>
      <c r="I2587" s="2" t="s">
        <v>32</v>
      </c>
      <c r="J2587" s="3">
        <v>44795</v>
      </c>
      <c r="K2587" s="2">
        <v>7</v>
      </c>
      <c r="L2587" s="2" t="s">
        <v>33</v>
      </c>
      <c r="M2587" s="3"/>
    </row>
    <row r="2588" spans="1:13" x14ac:dyDescent="0.3">
      <c r="A2588" s="2">
        <v>2587</v>
      </c>
      <c r="B2588" s="2" t="s">
        <v>6664</v>
      </c>
      <c r="C2588" s="2" t="s">
        <v>76</v>
      </c>
      <c r="D2588" s="2" t="s">
        <v>92</v>
      </c>
      <c r="E2588" s="2" t="s">
        <v>16</v>
      </c>
      <c r="F2588" s="2">
        <v>60</v>
      </c>
      <c r="G2588" s="2" t="s">
        <v>6662</v>
      </c>
      <c r="H2588" s="2" t="s">
        <v>1306</v>
      </c>
      <c r="I2588" s="2" t="s">
        <v>32</v>
      </c>
      <c r="J2588" s="3">
        <v>44642</v>
      </c>
      <c r="K2588" s="2">
        <v>98</v>
      </c>
      <c r="L2588" s="2" t="s">
        <v>64</v>
      </c>
      <c r="M2588" s="3"/>
    </row>
    <row r="2589" spans="1:13" x14ac:dyDescent="0.3">
      <c r="A2589" s="2">
        <v>2588</v>
      </c>
      <c r="B2589" s="2" t="s">
        <v>6664</v>
      </c>
      <c r="C2589" s="2" t="s">
        <v>76</v>
      </c>
      <c r="D2589" s="2" t="s">
        <v>92</v>
      </c>
      <c r="E2589" s="2" t="s">
        <v>16</v>
      </c>
      <c r="F2589" s="2">
        <v>60</v>
      </c>
      <c r="G2589" s="2" t="s">
        <v>6662</v>
      </c>
      <c r="H2589" s="2" t="s">
        <v>1306</v>
      </c>
      <c r="I2589" s="2" t="s">
        <v>32</v>
      </c>
      <c r="J2589" s="3">
        <v>44642</v>
      </c>
      <c r="K2589" s="2">
        <v>98</v>
      </c>
      <c r="L2589" s="2" t="s">
        <v>64</v>
      </c>
      <c r="M2589" s="3"/>
    </row>
    <row r="2590" spans="1:13" x14ac:dyDescent="0.3">
      <c r="A2590" s="2">
        <v>2589</v>
      </c>
      <c r="B2590" s="2" t="s">
        <v>6665</v>
      </c>
      <c r="C2590" s="2" t="s">
        <v>2747</v>
      </c>
      <c r="D2590" s="2" t="s">
        <v>51</v>
      </c>
      <c r="E2590" s="2" t="s">
        <v>16</v>
      </c>
      <c r="F2590" s="2">
        <v>30</v>
      </c>
      <c r="G2590" s="2" t="s">
        <v>6666</v>
      </c>
      <c r="H2590" s="2" t="s">
        <v>3299</v>
      </c>
      <c r="I2590" s="2" t="s">
        <v>32</v>
      </c>
      <c r="J2590" s="3">
        <v>44434</v>
      </c>
      <c r="K2590" s="2">
        <v>52</v>
      </c>
      <c r="L2590" s="2" t="s">
        <v>33</v>
      </c>
      <c r="M2590" s="3"/>
    </row>
    <row r="2591" spans="1:13" x14ac:dyDescent="0.3">
      <c r="A2591" s="2">
        <v>2590</v>
      </c>
      <c r="B2591" s="2" t="s">
        <v>2409</v>
      </c>
      <c r="C2591" s="2" t="s">
        <v>4558</v>
      </c>
      <c r="D2591" s="2" t="s">
        <v>28</v>
      </c>
      <c r="E2591" s="2" t="s">
        <v>29</v>
      </c>
      <c r="F2591" s="2">
        <v>60</v>
      </c>
      <c r="G2591" s="2" t="s">
        <v>6667</v>
      </c>
      <c r="H2591" s="2" t="s">
        <v>1336</v>
      </c>
      <c r="I2591" s="2" t="s">
        <v>129</v>
      </c>
      <c r="J2591" s="3">
        <v>44307</v>
      </c>
      <c r="K2591" s="2">
        <v>26</v>
      </c>
      <c r="L2591" s="2" t="s">
        <v>159</v>
      </c>
      <c r="M2591" s="3"/>
    </row>
    <row r="2592" spans="1:13" x14ac:dyDescent="0.3">
      <c r="A2592" s="2">
        <v>2591</v>
      </c>
      <c r="B2592" s="2" t="s">
        <v>6668</v>
      </c>
      <c r="C2592" s="2" t="s">
        <v>6669</v>
      </c>
      <c r="D2592" s="2" t="s">
        <v>28</v>
      </c>
      <c r="E2592" s="2" t="s">
        <v>29</v>
      </c>
      <c r="F2592" s="2">
        <v>60</v>
      </c>
      <c r="G2592" s="2" t="s">
        <v>6667</v>
      </c>
      <c r="H2592" s="2" t="s">
        <v>3428</v>
      </c>
      <c r="I2592" s="2" t="s">
        <v>38</v>
      </c>
      <c r="J2592" s="3">
        <v>44251</v>
      </c>
      <c r="K2592" s="2">
        <v>47</v>
      </c>
      <c r="L2592" s="2" t="s">
        <v>64</v>
      </c>
      <c r="M2592" s="3"/>
    </row>
    <row r="2593" spans="1:13" x14ac:dyDescent="0.3">
      <c r="A2593" s="2">
        <v>2592</v>
      </c>
      <c r="B2593" s="2" t="s">
        <v>6670</v>
      </c>
      <c r="C2593" s="2" t="s">
        <v>6439</v>
      </c>
      <c r="D2593" s="2" t="s">
        <v>15</v>
      </c>
      <c r="E2593" s="2" t="s">
        <v>16</v>
      </c>
      <c r="F2593" s="2">
        <v>90</v>
      </c>
      <c r="G2593" s="2" t="s">
        <v>6671</v>
      </c>
      <c r="H2593" s="2" t="s">
        <v>338</v>
      </c>
      <c r="I2593" s="2" t="s">
        <v>173</v>
      </c>
      <c r="J2593" s="3">
        <v>44584</v>
      </c>
      <c r="K2593" s="2">
        <v>73</v>
      </c>
      <c r="L2593" s="2" t="s">
        <v>159</v>
      </c>
      <c r="M2593" s="3"/>
    </row>
    <row r="2594" spans="1:13" x14ac:dyDescent="0.3">
      <c r="A2594" s="2">
        <v>2593</v>
      </c>
      <c r="B2594" s="2" t="s">
        <v>4315</v>
      </c>
      <c r="C2594" s="2" t="s">
        <v>2033</v>
      </c>
      <c r="D2594" s="2" t="s">
        <v>28</v>
      </c>
      <c r="E2594" s="2" t="s">
        <v>29</v>
      </c>
      <c r="F2594" s="2">
        <v>30</v>
      </c>
      <c r="G2594" s="2" t="s">
        <v>6672</v>
      </c>
      <c r="H2594" s="2" t="s">
        <v>4066</v>
      </c>
      <c r="I2594" s="2" t="s">
        <v>4067</v>
      </c>
      <c r="J2594" s="3">
        <v>43937</v>
      </c>
      <c r="K2594" s="2">
        <v>73</v>
      </c>
      <c r="L2594" s="2" t="s">
        <v>101</v>
      </c>
      <c r="M2594" s="3"/>
    </row>
    <row r="2595" spans="1:13" x14ac:dyDescent="0.3">
      <c r="A2595" s="2">
        <v>2594</v>
      </c>
      <c r="B2595" s="2" t="s">
        <v>1352</v>
      </c>
      <c r="C2595" s="2" t="s">
        <v>4858</v>
      </c>
      <c r="D2595" s="2" t="s">
        <v>117</v>
      </c>
      <c r="E2595" s="2" t="s">
        <v>16</v>
      </c>
      <c r="F2595" s="2">
        <v>90</v>
      </c>
      <c r="G2595" s="2" t="s">
        <v>6673</v>
      </c>
      <c r="H2595" s="2" t="s">
        <v>3579</v>
      </c>
      <c r="I2595" s="2" t="s">
        <v>1576</v>
      </c>
      <c r="J2595" s="3">
        <v>44842</v>
      </c>
      <c r="K2595" s="2">
        <v>41</v>
      </c>
      <c r="L2595" s="2" t="s">
        <v>45</v>
      </c>
      <c r="M2595" s="3"/>
    </row>
    <row r="2596" spans="1:13" x14ac:dyDescent="0.3">
      <c r="A2596" s="2">
        <v>2595</v>
      </c>
      <c r="B2596" s="2" t="s">
        <v>1352</v>
      </c>
      <c r="C2596" s="2" t="s">
        <v>4858</v>
      </c>
      <c r="D2596" s="2" t="s">
        <v>117</v>
      </c>
      <c r="E2596" s="2" t="s">
        <v>16</v>
      </c>
      <c r="F2596" s="2">
        <v>90</v>
      </c>
      <c r="G2596" s="2" t="s">
        <v>6673</v>
      </c>
      <c r="H2596" s="2" t="s">
        <v>3579</v>
      </c>
      <c r="I2596" s="2" t="s">
        <v>1576</v>
      </c>
      <c r="J2596" s="3">
        <v>44842</v>
      </c>
      <c r="K2596" s="2">
        <v>41</v>
      </c>
      <c r="L2596" s="2" t="s">
        <v>45</v>
      </c>
      <c r="M2596" s="3"/>
    </row>
    <row r="2597" spans="1:13" x14ac:dyDescent="0.3">
      <c r="A2597" s="2">
        <v>2596</v>
      </c>
      <c r="B2597" s="2" t="s">
        <v>1792</v>
      </c>
      <c r="C2597" s="2" t="s">
        <v>3167</v>
      </c>
      <c r="D2597" s="2" t="s">
        <v>28</v>
      </c>
      <c r="E2597" s="2" t="s">
        <v>29</v>
      </c>
      <c r="F2597" s="2">
        <v>90</v>
      </c>
      <c r="G2597" s="2" t="s">
        <v>6674</v>
      </c>
      <c r="H2597" s="2" t="s">
        <v>6675</v>
      </c>
      <c r="I2597" s="2" t="s">
        <v>32</v>
      </c>
      <c r="J2597" s="3">
        <v>44068</v>
      </c>
      <c r="K2597" s="2">
        <v>80</v>
      </c>
      <c r="L2597" s="2" t="s">
        <v>70</v>
      </c>
      <c r="M2597" s="3"/>
    </row>
    <row r="2598" spans="1:13" x14ac:dyDescent="0.3">
      <c r="A2598" s="2">
        <v>2597</v>
      </c>
      <c r="B2598" s="2" t="s">
        <v>6676</v>
      </c>
      <c r="C2598" s="2" t="s">
        <v>2181</v>
      </c>
      <c r="D2598" s="2" t="s">
        <v>51</v>
      </c>
      <c r="E2598" s="2" t="s">
        <v>16</v>
      </c>
      <c r="F2598" s="2">
        <v>90</v>
      </c>
      <c r="G2598" s="2" t="s">
        <v>6677</v>
      </c>
      <c r="H2598" s="2" t="s">
        <v>1310</v>
      </c>
      <c r="I2598" s="2" t="s">
        <v>1311</v>
      </c>
      <c r="J2598" s="3">
        <v>44088</v>
      </c>
      <c r="K2598" s="2">
        <v>5</v>
      </c>
      <c r="L2598" s="2" t="s">
        <v>101</v>
      </c>
      <c r="M2598" s="3"/>
    </row>
    <row r="2599" spans="1:13" x14ac:dyDescent="0.3">
      <c r="A2599" s="2">
        <v>2598</v>
      </c>
      <c r="B2599" s="2" t="s">
        <v>6676</v>
      </c>
      <c r="C2599" s="2" t="s">
        <v>1596</v>
      </c>
      <c r="D2599" s="2" t="s">
        <v>41</v>
      </c>
      <c r="E2599" s="2" t="s">
        <v>16</v>
      </c>
      <c r="F2599" s="2">
        <v>30</v>
      </c>
      <c r="G2599" s="2" t="s">
        <v>6677</v>
      </c>
      <c r="H2599" s="2" t="s">
        <v>182</v>
      </c>
      <c r="I2599" s="2" t="s">
        <v>32</v>
      </c>
      <c r="J2599" s="3">
        <v>44046</v>
      </c>
      <c r="K2599" s="2">
        <v>77</v>
      </c>
      <c r="L2599" s="2" t="s">
        <v>64</v>
      </c>
      <c r="M2599" s="3"/>
    </row>
    <row r="2600" spans="1:13" x14ac:dyDescent="0.3">
      <c r="A2600" s="2">
        <v>2599</v>
      </c>
      <c r="B2600" s="2" t="s">
        <v>2556</v>
      </c>
      <c r="C2600" s="2" t="s">
        <v>1773</v>
      </c>
      <c r="D2600" s="2" t="s">
        <v>28</v>
      </c>
      <c r="E2600" s="2" t="s">
        <v>29</v>
      </c>
      <c r="F2600" s="2">
        <v>30</v>
      </c>
      <c r="G2600" s="2" t="s">
        <v>6678</v>
      </c>
      <c r="H2600" s="2" t="s">
        <v>4683</v>
      </c>
      <c r="I2600" s="2" t="s">
        <v>178</v>
      </c>
      <c r="J2600" s="3">
        <v>43909</v>
      </c>
      <c r="K2600" s="2">
        <v>30</v>
      </c>
      <c r="L2600" s="2" t="s">
        <v>39</v>
      </c>
      <c r="M2600" s="3"/>
    </row>
    <row r="2601" spans="1:13" x14ac:dyDescent="0.3">
      <c r="A2601" s="2">
        <v>2600</v>
      </c>
      <c r="B2601" s="2" t="s">
        <v>55</v>
      </c>
      <c r="C2601" s="2" t="s">
        <v>4121</v>
      </c>
      <c r="D2601" s="2" t="s">
        <v>28</v>
      </c>
      <c r="E2601" s="2" t="s">
        <v>29</v>
      </c>
      <c r="F2601" s="2">
        <v>60</v>
      </c>
      <c r="G2601" s="2" t="s">
        <v>6679</v>
      </c>
      <c r="H2601" s="2" t="s">
        <v>4432</v>
      </c>
      <c r="I2601" s="2" t="s">
        <v>32</v>
      </c>
      <c r="J2601" s="3">
        <v>44815</v>
      </c>
      <c r="K2601" s="2">
        <v>47</v>
      </c>
      <c r="L2601" s="2" t="s">
        <v>45</v>
      </c>
      <c r="M2601" s="3"/>
    </row>
    <row r="2602" spans="1:13" x14ac:dyDescent="0.3">
      <c r="A2602" s="2">
        <v>2601</v>
      </c>
      <c r="B2602" s="2" t="s">
        <v>657</v>
      </c>
      <c r="C2602" s="2" t="s">
        <v>795</v>
      </c>
      <c r="D2602" s="2" t="s">
        <v>28</v>
      </c>
      <c r="E2602" s="2" t="s">
        <v>29</v>
      </c>
      <c r="F2602" s="2">
        <v>30</v>
      </c>
      <c r="G2602" s="2" t="s">
        <v>6680</v>
      </c>
      <c r="H2602" s="2" t="s">
        <v>2667</v>
      </c>
      <c r="I2602" s="2" t="s">
        <v>187</v>
      </c>
      <c r="J2602" s="3">
        <v>44391</v>
      </c>
      <c r="K2602" s="2">
        <v>89</v>
      </c>
      <c r="L2602" s="2" t="s">
        <v>45</v>
      </c>
      <c r="M2602" s="3"/>
    </row>
    <row r="2603" spans="1:13" x14ac:dyDescent="0.3">
      <c r="A2603" s="2">
        <v>2602</v>
      </c>
      <c r="B2603" s="2" t="s">
        <v>2177</v>
      </c>
      <c r="C2603" s="2" t="s">
        <v>3130</v>
      </c>
      <c r="D2603" s="2" t="s">
        <v>15</v>
      </c>
      <c r="E2603" s="2" t="s">
        <v>16</v>
      </c>
      <c r="F2603" s="2">
        <v>90</v>
      </c>
      <c r="G2603" s="2" t="s">
        <v>6681</v>
      </c>
      <c r="H2603" s="2" t="s">
        <v>3224</v>
      </c>
      <c r="I2603" s="2" t="s">
        <v>2022</v>
      </c>
      <c r="J2603" s="3">
        <v>44665</v>
      </c>
      <c r="K2603" s="2">
        <v>99</v>
      </c>
      <c r="L2603" s="2" t="s">
        <v>20</v>
      </c>
      <c r="M2603" s="3"/>
    </row>
    <row r="2604" spans="1:13" x14ac:dyDescent="0.3">
      <c r="A2604" s="2">
        <v>2603</v>
      </c>
      <c r="B2604" s="2" t="s">
        <v>6682</v>
      </c>
      <c r="C2604" s="2" t="s">
        <v>6683</v>
      </c>
      <c r="D2604" s="2" t="s">
        <v>51</v>
      </c>
      <c r="E2604" s="2" t="s">
        <v>16</v>
      </c>
      <c r="F2604" s="2">
        <v>90</v>
      </c>
      <c r="G2604" s="2" t="s">
        <v>6684</v>
      </c>
      <c r="H2604" s="2" t="s">
        <v>4889</v>
      </c>
      <c r="I2604" s="2" t="s">
        <v>110</v>
      </c>
      <c r="J2604" s="3">
        <v>43944</v>
      </c>
      <c r="K2604" s="2">
        <v>50</v>
      </c>
      <c r="L2604" s="2" t="s">
        <v>54</v>
      </c>
      <c r="M2604" s="3"/>
    </row>
    <row r="2605" spans="1:13" x14ac:dyDescent="0.3">
      <c r="A2605" s="2">
        <v>2604</v>
      </c>
      <c r="B2605" s="2" t="s">
        <v>1392</v>
      </c>
      <c r="C2605" s="2" t="s">
        <v>6685</v>
      </c>
      <c r="D2605" s="2" t="s">
        <v>28</v>
      </c>
      <c r="E2605" s="2" t="s">
        <v>29</v>
      </c>
      <c r="F2605" s="2">
        <v>60</v>
      </c>
      <c r="G2605" s="2" t="s">
        <v>6686</v>
      </c>
      <c r="H2605" s="2" t="s">
        <v>6687</v>
      </c>
      <c r="I2605" s="2" t="s">
        <v>32</v>
      </c>
      <c r="J2605" s="3">
        <v>44377</v>
      </c>
      <c r="K2605" s="2">
        <v>60</v>
      </c>
      <c r="L2605" s="2" t="s">
        <v>159</v>
      </c>
      <c r="M2605" s="3"/>
    </row>
    <row r="2606" spans="1:13" x14ac:dyDescent="0.3">
      <c r="A2606" s="2">
        <v>2605</v>
      </c>
      <c r="B2606" s="2" t="s">
        <v>5878</v>
      </c>
      <c r="C2606" s="2" t="s">
        <v>4962</v>
      </c>
      <c r="D2606" s="2" t="s">
        <v>28</v>
      </c>
      <c r="E2606" s="2" t="s">
        <v>29</v>
      </c>
      <c r="F2606" s="2">
        <v>60</v>
      </c>
      <c r="G2606" s="2" t="s">
        <v>6688</v>
      </c>
      <c r="H2606" s="2" t="s">
        <v>1601</v>
      </c>
      <c r="I2606" s="2" t="s">
        <v>32</v>
      </c>
      <c r="J2606" s="3">
        <v>44213</v>
      </c>
      <c r="K2606" s="2">
        <v>53</v>
      </c>
      <c r="L2606" s="2" t="s">
        <v>101</v>
      </c>
      <c r="M2606" s="3"/>
    </row>
    <row r="2607" spans="1:13" x14ac:dyDescent="0.3">
      <c r="A2607" s="2">
        <v>2606</v>
      </c>
      <c r="B2607" s="2" t="s">
        <v>3483</v>
      </c>
      <c r="C2607" s="2" t="s">
        <v>2019</v>
      </c>
      <c r="D2607" s="2" t="s">
        <v>28</v>
      </c>
      <c r="E2607" s="2" t="s">
        <v>29</v>
      </c>
      <c r="F2607" s="2">
        <v>90</v>
      </c>
      <c r="G2607" s="2" t="s">
        <v>6689</v>
      </c>
      <c r="H2607" s="2" t="s">
        <v>6690</v>
      </c>
      <c r="I2607" s="2" t="s">
        <v>294</v>
      </c>
      <c r="J2607" s="3">
        <v>44839</v>
      </c>
      <c r="K2607" s="2">
        <v>70</v>
      </c>
      <c r="L2607" s="2" t="s">
        <v>159</v>
      </c>
      <c r="M2607" s="3"/>
    </row>
    <row r="2608" spans="1:13" x14ac:dyDescent="0.3">
      <c r="A2608" s="2">
        <v>2607</v>
      </c>
      <c r="B2608" s="2" t="s">
        <v>2367</v>
      </c>
      <c r="C2608" s="2" t="s">
        <v>457</v>
      </c>
      <c r="D2608" s="2" t="s">
        <v>28</v>
      </c>
      <c r="E2608" s="2" t="s">
        <v>29</v>
      </c>
      <c r="F2608" s="2">
        <v>60</v>
      </c>
      <c r="G2608" s="2" t="s">
        <v>6691</v>
      </c>
      <c r="H2608" s="2" t="s">
        <v>1299</v>
      </c>
      <c r="I2608" s="2" t="s">
        <v>1199</v>
      </c>
      <c r="J2608" s="3">
        <v>44107</v>
      </c>
      <c r="K2608" s="2">
        <v>31</v>
      </c>
      <c r="L2608" s="2" t="s">
        <v>70</v>
      </c>
      <c r="M2608" s="3"/>
    </row>
    <row r="2609" spans="1:13" x14ac:dyDescent="0.3">
      <c r="A2609" s="2">
        <v>2608</v>
      </c>
      <c r="B2609" s="2" t="s">
        <v>1563</v>
      </c>
      <c r="C2609" s="2" t="s">
        <v>1323</v>
      </c>
      <c r="D2609" s="2" t="s">
        <v>28</v>
      </c>
      <c r="E2609" s="2" t="s">
        <v>29</v>
      </c>
      <c r="F2609" s="2">
        <v>30</v>
      </c>
      <c r="G2609" s="2" t="s">
        <v>6692</v>
      </c>
      <c r="H2609" s="2" t="s">
        <v>6693</v>
      </c>
      <c r="I2609" s="2" t="s">
        <v>25</v>
      </c>
      <c r="J2609" s="3">
        <v>44264</v>
      </c>
      <c r="K2609" s="2">
        <v>68</v>
      </c>
      <c r="L2609" s="2" t="s">
        <v>64</v>
      </c>
      <c r="M2609" s="3"/>
    </row>
    <row r="2610" spans="1:13" x14ac:dyDescent="0.3">
      <c r="A2610" s="2">
        <v>2609</v>
      </c>
      <c r="B2610" s="2" t="s">
        <v>3005</v>
      </c>
      <c r="C2610" s="2" t="s">
        <v>1326</v>
      </c>
      <c r="D2610" s="2" t="s">
        <v>28</v>
      </c>
      <c r="E2610" s="2" t="s">
        <v>29</v>
      </c>
      <c r="F2610" s="2">
        <v>60</v>
      </c>
      <c r="G2610" s="2" t="s">
        <v>6694</v>
      </c>
      <c r="H2610" s="2" t="s">
        <v>3746</v>
      </c>
      <c r="I2610" s="2" t="s">
        <v>32</v>
      </c>
      <c r="J2610" s="3">
        <v>44918</v>
      </c>
      <c r="K2610" s="2">
        <v>70</v>
      </c>
      <c r="L2610" s="2" t="s">
        <v>39</v>
      </c>
      <c r="M2610" s="3"/>
    </row>
    <row r="2611" spans="1:13" x14ac:dyDescent="0.3">
      <c r="A2611" s="2">
        <v>2610</v>
      </c>
      <c r="B2611" s="2" t="s">
        <v>6695</v>
      </c>
      <c r="C2611" s="2" t="s">
        <v>5452</v>
      </c>
      <c r="D2611" s="2" t="s">
        <v>51</v>
      </c>
      <c r="E2611" s="2" t="s">
        <v>16</v>
      </c>
      <c r="F2611" s="2">
        <v>30</v>
      </c>
      <c r="G2611" s="2" t="s">
        <v>6696</v>
      </c>
      <c r="H2611" s="2" t="s">
        <v>3746</v>
      </c>
      <c r="I2611" s="2" t="s">
        <v>32</v>
      </c>
      <c r="J2611" s="3">
        <v>43966</v>
      </c>
      <c r="K2611" s="2">
        <v>43</v>
      </c>
      <c r="L2611" s="2" t="s">
        <v>20</v>
      </c>
      <c r="M2611" s="3"/>
    </row>
    <row r="2612" spans="1:13" x14ac:dyDescent="0.3">
      <c r="A2612" s="2">
        <v>2611</v>
      </c>
      <c r="B2612" s="2" t="s">
        <v>3429</v>
      </c>
      <c r="C2612" s="2" t="s">
        <v>5225</v>
      </c>
      <c r="D2612" s="2" t="s">
        <v>28</v>
      </c>
      <c r="E2612" s="2" t="s">
        <v>29</v>
      </c>
      <c r="F2612" s="2">
        <v>90</v>
      </c>
      <c r="G2612" s="2" t="s">
        <v>6697</v>
      </c>
      <c r="H2612" s="2" t="s">
        <v>2530</v>
      </c>
      <c r="I2612" s="2" t="s">
        <v>32</v>
      </c>
      <c r="J2612" s="3">
        <v>43901</v>
      </c>
      <c r="K2612" s="2">
        <v>14</v>
      </c>
      <c r="L2612" s="2" t="s">
        <v>70</v>
      </c>
      <c r="M2612" s="3"/>
    </row>
    <row r="2613" spans="1:13" x14ac:dyDescent="0.3">
      <c r="A2613" s="2">
        <v>2612</v>
      </c>
      <c r="B2613" s="2" t="s">
        <v>2815</v>
      </c>
      <c r="C2613" s="2" t="s">
        <v>2010</v>
      </c>
      <c r="D2613" s="2" t="s">
        <v>28</v>
      </c>
      <c r="E2613" s="2" t="s">
        <v>29</v>
      </c>
      <c r="F2613" s="2">
        <v>90</v>
      </c>
      <c r="G2613" s="2" t="s">
        <v>6698</v>
      </c>
      <c r="H2613" s="2" t="s">
        <v>1448</v>
      </c>
      <c r="I2613" s="2" t="s">
        <v>1449</v>
      </c>
      <c r="J2613" s="3">
        <v>44038</v>
      </c>
      <c r="K2613" s="2">
        <v>62</v>
      </c>
      <c r="L2613" s="2" t="s">
        <v>39</v>
      </c>
      <c r="M2613" s="3"/>
    </row>
    <row r="2614" spans="1:13" x14ac:dyDescent="0.3">
      <c r="A2614" s="2">
        <v>2613</v>
      </c>
      <c r="B2614" s="2" t="s">
        <v>6699</v>
      </c>
      <c r="C2614" s="2" t="s">
        <v>3911</v>
      </c>
      <c r="D2614" s="2" t="s">
        <v>28</v>
      </c>
      <c r="E2614" s="2" t="s">
        <v>29</v>
      </c>
      <c r="F2614" s="2">
        <v>30</v>
      </c>
      <c r="G2614" s="2" t="s">
        <v>6700</v>
      </c>
      <c r="H2614" s="2" t="s">
        <v>2380</v>
      </c>
      <c r="I2614" s="2" t="s">
        <v>173</v>
      </c>
      <c r="J2614" s="3">
        <v>44802</v>
      </c>
      <c r="K2614" s="2">
        <v>95</v>
      </c>
      <c r="L2614" s="2" t="s">
        <v>39</v>
      </c>
      <c r="M2614" s="3"/>
    </row>
    <row r="2615" spans="1:13" x14ac:dyDescent="0.3">
      <c r="A2615" s="2">
        <v>2614</v>
      </c>
      <c r="B2615" s="2" t="s">
        <v>2051</v>
      </c>
      <c r="C2615" s="2" t="s">
        <v>6701</v>
      </c>
      <c r="D2615" s="2" t="s">
        <v>28</v>
      </c>
      <c r="E2615" s="2" t="s">
        <v>29</v>
      </c>
      <c r="F2615" s="2">
        <v>90</v>
      </c>
      <c r="G2615" s="2" t="s">
        <v>6700</v>
      </c>
      <c r="H2615" s="2" t="s">
        <v>4878</v>
      </c>
      <c r="I2615" s="2" t="s">
        <v>187</v>
      </c>
      <c r="J2615" s="3">
        <v>44747</v>
      </c>
      <c r="K2615" s="2">
        <v>15</v>
      </c>
      <c r="L2615" s="2" t="s">
        <v>80</v>
      </c>
      <c r="M2615" s="3"/>
    </row>
    <row r="2616" spans="1:13" x14ac:dyDescent="0.3">
      <c r="A2616" s="2">
        <v>2615</v>
      </c>
      <c r="B2616" s="2" t="s">
        <v>4094</v>
      </c>
      <c r="C2616" s="2" t="s">
        <v>955</v>
      </c>
      <c r="D2616" s="2" t="s">
        <v>28</v>
      </c>
      <c r="E2616" s="2" t="s">
        <v>29</v>
      </c>
      <c r="F2616" s="2">
        <v>30</v>
      </c>
      <c r="G2616" s="2" t="s">
        <v>6700</v>
      </c>
      <c r="H2616" s="2" t="s">
        <v>4311</v>
      </c>
      <c r="I2616" s="2" t="s">
        <v>32</v>
      </c>
      <c r="J2616" s="3">
        <v>44344</v>
      </c>
      <c r="K2616" s="2">
        <v>10</v>
      </c>
      <c r="L2616" s="2" t="s">
        <v>39</v>
      </c>
      <c r="M2616" s="3"/>
    </row>
    <row r="2617" spans="1:13" x14ac:dyDescent="0.3">
      <c r="A2617" s="2">
        <v>2616</v>
      </c>
      <c r="B2617" s="2" t="s">
        <v>5502</v>
      </c>
      <c r="C2617" s="2" t="s">
        <v>3927</v>
      </c>
      <c r="D2617" s="2" t="s">
        <v>28</v>
      </c>
      <c r="E2617" s="2" t="s">
        <v>29</v>
      </c>
      <c r="F2617" s="2">
        <v>90</v>
      </c>
      <c r="G2617" s="2" t="s">
        <v>6702</v>
      </c>
      <c r="H2617" s="2" t="s">
        <v>538</v>
      </c>
      <c r="I2617" s="2" t="s">
        <v>32</v>
      </c>
      <c r="J2617" s="3">
        <v>44764</v>
      </c>
      <c r="K2617" s="2">
        <v>79</v>
      </c>
      <c r="L2617" s="2" t="s">
        <v>20</v>
      </c>
      <c r="M2617" s="3"/>
    </row>
    <row r="2618" spans="1:13" x14ac:dyDescent="0.3">
      <c r="A2618" s="2">
        <v>2617</v>
      </c>
      <c r="B2618" s="2" t="s">
        <v>6703</v>
      </c>
      <c r="C2618" s="2" t="s">
        <v>6704</v>
      </c>
      <c r="D2618" s="2" t="s">
        <v>51</v>
      </c>
      <c r="E2618" s="2" t="s">
        <v>16</v>
      </c>
      <c r="F2618" s="2">
        <v>90</v>
      </c>
      <c r="G2618" s="2" t="s">
        <v>6705</v>
      </c>
      <c r="H2618" s="2" t="s">
        <v>6312</v>
      </c>
      <c r="I2618" s="2" t="s">
        <v>173</v>
      </c>
      <c r="J2618" s="3">
        <v>44076</v>
      </c>
      <c r="K2618" s="2">
        <v>8</v>
      </c>
      <c r="L2618" s="2" t="s">
        <v>101</v>
      </c>
      <c r="M2618" s="3"/>
    </row>
    <row r="2619" spans="1:13" x14ac:dyDescent="0.3">
      <c r="A2619" s="2">
        <v>2618</v>
      </c>
      <c r="B2619" s="2" t="s">
        <v>4176</v>
      </c>
      <c r="C2619" s="2" t="s">
        <v>1072</v>
      </c>
      <c r="D2619" s="2" t="s">
        <v>117</v>
      </c>
      <c r="E2619" s="2" t="s">
        <v>16</v>
      </c>
      <c r="F2619" s="2">
        <v>60</v>
      </c>
      <c r="G2619" s="2" t="s">
        <v>6706</v>
      </c>
      <c r="H2619" s="2" t="s">
        <v>607</v>
      </c>
      <c r="I2619" s="2" t="s">
        <v>32</v>
      </c>
      <c r="J2619" s="3">
        <v>44602</v>
      </c>
      <c r="K2619" s="2">
        <v>45</v>
      </c>
      <c r="L2619" s="2" t="s">
        <v>80</v>
      </c>
      <c r="M2619" s="3"/>
    </row>
    <row r="2620" spans="1:13" x14ac:dyDescent="0.3">
      <c r="A2620" s="2">
        <v>2619</v>
      </c>
      <c r="B2620" s="2" t="s">
        <v>3176</v>
      </c>
      <c r="C2620" s="2" t="s">
        <v>2024</v>
      </c>
      <c r="D2620" s="2" t="s">
        <v>28</v>
      </c>
      <c r="E2620" s="2" t="s">
        <v>29</v>
      </c>
      <c r="F2620" s="2">
        <v>90</v>
      </c>
      <c r="G2620" s="2" t="s">
        <v>6707</v>
      </c>
      <c r="H2620" s="2" t="s">
        <v>641</v>
      </c>
      <c r="I2620" s="2" t="s">
        <v>294</v>
      </c>
      <c r="J2620" s="3">
        <v>44454</v>
      </c>
      <c r="K2620" s="2">
        <v>10</v>
      </c>
      <c r="L2620" s="2" t="s">
        <v>159</v>
      </c>
      <c r="M2620" s="3"/>
    </row>
    <row r="2621" spans="1:13" x14ac:dyDescent="0.3">
      <c r="A2621" s="2">
        <v>2620</v>
      </c>
      <c r="B2621" s="2" t="s">
        <v>567</v>
      </c>
      <c r="C2621" s="2" t="s">
        <v>6708</v>
      </c>
      <c r="D2621" s="2" t="s">
        <v>28</v>
      </c>
      <c r="E2621" s="2" t="s">
        <v>29</v>
      </c>
      <c r="F2621" s="2">
        <v>90</v>
      </c>
      <c r="G2621" s="2" t="s">
        <v>6709</v>
      </c>
      <c r="H2621" s="2" t="s">
        <v>6710</v>
      </c>
      <c r="I2621" s="2" t="s">
        <v>32</v>
      </c>
      <c r="J2621" s="3">
        <v>44116</v>
      </c>
      <c r="K2621" s="2">
        <v>37</v>
      </c>
      <c r="L2621" s="2" t="s">
        <v>80</v>
      </c>
      <c r="M2621" s="3"/>
    </row>
    <row r="2622" spans="1:13" x14ac:dyDescent="0.3">
      <c r="A2622" s="2">
        <v>2621</v>
      </c>
      <c r="B2622" s="2" t="s">
        <v>6711</v>
      </c>
      <c r="C2622" s="2" t="s">
        <v>6712</v>
      </c>
      <c r="D2622" s="2" t="s">
        <v>51</v>
      </c>
      <c r="E2622" s="2" t="s">
        <v>16</v>
      </c>
      <c r="F2622" s="2">
        <v>90</v>
      </c>
      <c r="G2622" s="2" t="s">
        <v>6713</v>
      </c>
      <c r="H2622" s="2" t="s">
        <v>6714</v>
      </c>
      <c r="I2622" s="2" t="s">
        <v>129</v>
      </c>
      <c r="J2622" s="3">
        <v>44368</v>
      </c>
      <c r="K2622" s="2">
        <v>91</v>
      </c>
      <c r="L2622" s="2" t="s">
        <v>33</v>
      </c>
      <c r="M2622" s="3"/>
    </row>
    <row r="2623" spans="1:13" x14ac:dyDescent="0.3">
      <c r="A2623" s="2">
        <v>2622</v>
      </c>
      <c r="B2623" s="2" t="s">
        <v>2295</v>
      </c>
      <c r="C2623" s="2" t="s">
        <v>5756</v>
      </c>
      <c r="D2623" s="2" t="s">
        <v>51</v>
      </c>
      <c r="E2623" s="2" t="s">
        <v>16</v>
      </c>
      <c r="F2623" s="2">
        <v>30</v>
      </c>
      <c r="G2623" s="2" t="s">
        <v>6713</v>
      </c>
      <c r="H2623" s="2" t="s">
        <v>1519</v>
      </c>
      <c r="I2623" s="2" t="s">
        <v>32</v>
      </c>
      <c r="J2623" s="3">
        <v>44355</v>
      </c>
      <c r="K2623" s="2">
        <v>31</v>
      </c>
      <c r="L2623" s="2" t="s">
        <v>39</v>
      </c>
      <c r="M2623" s="3"/>
    </row>
    <row r="2624" spans="1:13" x14ac:dyDescent="0.3">
      <c r="A2624" s="2">
        <v>2623</v>
      </c>
      <c r="B2624" s="2" t="s">
        <v>6715</v>
      </c>
      <c r="C2624" s="2" t="s">
        <v>5193</v>
      </c>
      <c r="D2624" s="2" t="s">
        <v>28</v>
      </c>
      <c r="E2624" s="2" t="s">
        <v>29</v>
      </c>
      <c r="F2624" s="2">
        <v>60</v>
      </c>
      <c r="G2624" s="2" t="s">
        <v>6716</v>
      </c>
      <c r="H2624" s="2" t="s">
        <v>3007</v>
      </c>
      <c r="I2624" s="2" t="s">
        <v>554</v>
      </c>
      <c r="J2624" s="3">
        <v>44483</v>
      </c>
      <c r="K2624" s="2">
        <v>41</v>
      </c>
      <c r="L2624" s="2" t="s">
        <v>80</v>
      </c>
      <c r="M2624" s="3"/>
    </row>
    <row r="2625" spans="1:13" x14ac:dyDescent="0.3">
      <c r="A2625" s="2">
        <v>2624</v>
      </c>
      <c r="B2625" s="2" t="s">
        <v>6717</v>
      </c>
      <c r="C2625" s="2" t="s">
        <v>1627</v>
      </c>
      <c r="D2625" s="2" t="s">
        <v>41</v>
      </c>
      <c r="E2625" s="2" t="s">
        <v>16</v>
      </c>
      <c r="F2625" s="2">
        <v>90</v>
      </c>
      <c r="G2625" s="2" t="s">
        <v>6718</v>
      </c>
      <c r="H2625" s="2" t="s">
        <v>2366</v>
      </c>
      <c r="I2625" s="2" t="s">
        <v>1367</v>
      </c>
      <c r="J2625" s="3">
        <v>44181</v>
      </c>
      <c r="K2625" s="2">
        <v>36</v>
      </c>
      <c r="L2625" s="2" t="s">
        <v>80</v>
      </c>
      <c r="M2625" s="3"/>
    </row>
    <row r="2626" spans="1:13" x14ac:dyDescent="0.3">
      <c r="A2626" s="2">
        <v>2625</v>
      </c>
      <c r="B2626" s="2" t="s">
        <v>1654</v>
      </c>
      <c r="C2626" s="2" t="s">
        <v>6719</v>
      </c>
      <c r="D2626" s="2" t="s">
        <v>51</v>
      </c>
      <c r="E2626" s="2" t="s">
        <v>16</v>
      </c>
      <c r="F2626" s="2">
        <v>90</v>
      </c>
      <c r="G2626" s="2" t="s">
        <v>6720</v>
      </c>
      <c r="H2626" s="2" t="s">
        <v>1690</v>
      </c>
      <c r="I2626" s="2" t="s">
        <v>208</v>
      </c>
      <c r="J2626" s="3">
        <v>43996</v>
      </c>
      <c r="K2626" s="2">
        <v>37</v>
      </c>
      <c r="L2626" s="2" t="s">
        <v>80</v>
      </c>
      <c r="M2626" s="3"/>
    </row>
    <row r="2627" spans="1:13" x14ac:dyDescent="0.3">
      <c r="A2627" s="2">
        <v>2626</v>
      </c>
      <c r="B2627" s="2" t="s">
        <v>6721</v>
      </c>
      <c r="C2627" s="2" t="s">
        <v>6722</v>
      </c>
      <c r="D2627" s="2" t="s">
        <v>51</v>
      </c>
      <c r="E2627" s="2" t="s">
        <v>16</v>
      </c>
      <c r="F2627" s="2">
        <v>30</v>
      </c>
      <c r="G2627" s="2" t="s">
        <v>6723</v>
      </c>
      <c r="H2627" s="2" t="s">
        <v>5079</v>
      </c>
      <c r="I2627" s="2" t="s">
        <v>294</v>
      </c>
      <c r="J2627" s="3">
        <v>44220</v>
      </c>
      <c r="K2627" s="2">
        <v>26</v>
      </c>
      <c r="L2627" s="2" t="s">
        <v>33</v>
      </c>
      <c r="M2627" s="3"/>
    </row>
    <row r="2628" spans="1:13" x14ac:dyDescent="0.3">
      <c r="A2628" s="2">
        <v>2627</v>
      </c>
      <c r="B2628" s="2" t="s">
        <v>61</v>
      </c>
      <c r="C2628" s="2" t="s">
        <v>4913</v>
      </c>
      <c r="D2628" s="2" t="s">
        <v>28</v>
      </c>
      <c r="E2628" s="2" t="s">
        <v>29</v>
      </c>
      <c r="F2628" s="2">
        <v>90</v>
      </c>
      <c r="G2628" s="2" t="s">
        <v>6724</v>
      </c>
      <c r="H2628" s="2" t="s">
        <v>5079</v>
      </c>
      <c r="I2628" s="2" t="s">
        <v>294</v>
      </c>
      <c r="J2628" s="3">
        <v>44217</v>
      </c>
      <c r="K2628" s="2">
        <v>27</v>
      </c>
      <c r="L2628" s="2" t="s">
        <v>70</v>
      </c>
      <c r="M2628" s="3"/>
    </row>
    <row r="2629" spans="1:13" x14ac:dyDescent="0.3">
      <c r="A2629" s="2">
        <v>2628</v>
      </c>
      <c r="B2629" s="2" t="s">
        <v>188</v>
      </c>
      <c r="C2629" s="2" t="s">
        <v>722</v>
      </c>
      <c r="D2629" s="2" t="s">
        <v>28</v>
      </c>
      <c r="E2629" s="2" t="s">
        <v>29</v>
      </c>
      <c r="F2629" s="2">
        <v>90</v>
      </c>
      <c r="G2629" s="2" t="s">
        <v>6725</v>
      </c>
      <c r="H2629" s="2" t="s">
        <v>2072</v>
      </c>
      <c r="I2629" s="2" t="s">
        <v>32</v>
      </c>
      <c r="J2629" s="3">
        <v>44702</v>
      </c>
      <c r="K2629" s="2">
        <v>103</v>
      </c>
      <c r="L2629" s="2" t="s">
        <v>80</v>
      </c>
      <c r="M2629" s="3"/>
    </row>
    <row r="2630" spans="1:13" x14ac:dyDescent="0.3">
      <c r="A2630" s="2">
        <v>2629</v>
      </c>
      <c r="B2630" s="2" t="s">
        <v>4844</v>
      </c>
      <c r="C2630" s="2" t="s">
        <v>5979</v>
      </c>
      <c r="D2630" s="2" t="s">
        <v>28</v>
      </c>
      <c r="E2630" s="2" t="s">
        <v>29</v>
      </c>
      <c r="F2630" s="2">
        <v>90</v>
      </c>
      <c r="G2630" s="2" t="s">
        <v>6726</v>
      </c>
      <c r="H2630" s="2" t="s">
        <v>420</v>
      </c>
      <c r="I2630" s="2" t="s">
        <v>32</v>
      </c>
      <c r="J2630" s="3">
        <v>44071</v>
      </c>
      <c r="K2630" s="2">
        <v>55</v>
      </c>
      <c r="L2630" s="2" t="s">
        <v>159</v>
      </c>
      <c r="M2630" s="3"/>
    </row>
    <row r="2631" spans="1:13" x14ac:dyDescent="0.3">
      <c r="A2631" s="2">
        <v>2630</v>
      </c>
      <c r="B2631" s="2" t="s">
        <v>2399</v>
      </c>
      <c r="C2631" s="2" t="s">
        <v>6727</v>
      </c>
      <c r="D2631" s="2" t="s">
        <v>15</v>
      </c>
      <c r="E2631" s="2" t="s">
        <v>16</v>
      </c>
      <c r="F2631" s="2">
        <v>60</v>
      </c>
      <c r="G2631" s="2" t="s">
        <v>6728</v>
      </c>
      <c r="H2631" s="2" t="s">
        <v>4996</v>
      </c>
      <c r="I2631" s="2" t="s">
        <v>32</v>
      </c>
      <c r="J2631" s="3">
        <v>43972</v>
      </c>
      <c r="K2631" s="2">
        <v>58</v>
      </c>
      <c r="L2631" s="2" t="s">
        <v>101</v>
      </c>
      <c r="M2631" s="3"/>
    </row>
    <row r="2632" spans="1:13" x14ac:dyDescent="0.3">
      <c r="A2632" s="2">
        <v>2631</v>
      </c>
      <c r="B2632" s="2" t="s">
        <v>6729</v>
      </c>
      <c r="C2632" s="2" t="s">
        <v>6730</v>
      </c>
      <c r="D2632" s="2" t="s">
        <v>15</v>
      </c>
      <c r="E2632" s="2" t="s">
        <v>16</v>
      </c>
      <c r="F2632" s="2">
        <v>60</v>
      </c>
      <c r="G2632" s="2" t="s">
        <v>6731</v>
      </c>
      <c r="H2632" s="2" t="s">
        <v>6732</v>
      </c>
      <c r="I2632" s="2" t="s">
        <v>32</v>
      </c>
      <c r="J2632" s="3">
        <v>44471</v>
      </c>
      <c r="K2632" s="2">
        <v>48</v>
      </c>
      <c r="L2632" s="2" t="s">
        <v>70</v>
      </c>
      <c r="M2632" s="3"/>
    </row>
    <row r="2633" spans="1:13" x14ac:dyDescent="0.3">
      <c r="A2633" s="2">
        <v>2632</v>
      </c>
      <c r="B2633" s="2" t="s">
        <v>2437</v>
      </c>
      <c r="C2633" s="2" t="s">
        <v>4149</v>
      </c>
      <c r="D2633" s="2" t="s">
        <v>28</v>
      </c>
      <c r="E2633" s="2" t="s">
        <v>29</v>
      </c>
      <c r="F2633" s="2">
        <v>90</v>
      </c>
      <c r="G2633" s="2" t="s">
        <v>6733</v>
      </c>
      <c r="H2633" s="2" t="s">
        <v>3169</v>
      </c>
      <c r="I2633" s="2" t="s">
        <v>110</v>
      </c>
      <c r="J2633" s="3">
        <v>43942</v>
      </c>
      <c r="K2633" s="2">
        <v>11</v>
      </c>
      <c r="L2633" s="2" t="s">
        <v>101</v>
      </c>
      <c r="M2633" s="3"/>
    </row>
    <row r="2634" spans="1:13" x14ac:dyDescent="0.3">
      <c r="A2634" s="2">
        <v>2633</v>
      </c>
      <c r="B2634" s="2" t="s">
        <v>6734</v>
      </c>
      <c r="C2634" s="2" t="s">
        <v>6436</v>
      </c>
      <c r="D2634" s="2" t="s">
        <v>51</v>
      </c>
      <c r="E2634" s="2" t="s">
        <v>16</v>
      </c>
      <c r="F2634" s="2">
        <v>30</v>
      </c>
      <c r="G2634" s="2" t="s">
        <v>6735</v>
      </c>
      <c r="H2634" s="2" t="s">
        <v>6736</v>
      </c>
      <c r="I2634" s="2" t="s">
        <v>32</v>
      </c>
      <c r="J2634" s="3">
        <v>44435</v>
      </c>
      <c r="K2634" s="2">
        <v>16</v>
      </c>
      <c r="L2634" s="2" t="s">
        <v>80</v>
      </c>
      <c r="M2634" s="3"/>
    </row>
    <row r="2635" spans="1:13" x14ac:dyDescent="0.3">
      <c r="A2635" s="2">
        <v>2634</v>
      </c>
      <c r="B2635" s="2" t="s">
        <v>6737</v>
      </c>
      <c r="C2635" s="2" t="s">
        <v>2677</v>
      </c>
      <c r="D2635" s="2" t="s">
        <v>51</v>
      </c>
      <c r="E2635" s="2" t="s">
        <v>16</v>
      </c>
      <c r="F2635" s="2">
        <v>60</v>
      </c>
      <c r="G2635" s="2" t="s">
        <v>6738</v>
      </c>
      <c r="H2635" s="2" t="s">
        <v>319</v>
      </c>
      <c r="I2635" s="2" t="s">
        <v>208</v>
      </c>
      <c r="J2635" s="3">
        <v>44672</v>
      </c>
      <c r="K2635" s="2">
        <v>21</v>
      </c>
      <c r="L2635" s="2" t="s">
        <v>39</v>
      </c>
      <c r="M2635" s="3"/>
    </row>
    <row r="2636" spans="1:13" x14ac:dyDescent="0.3">
      <c r="A2636" s="2">
        <v>2635</v>
      </c>
      <c r="B2636" s="2" t="s">
        <v>6739</v>
      </c>
      <c r="C2636" s="2" t="s">
        <v>5702</v>
      </c>
      <c r="D2636" s="2" t="s">
        <v>15</v>
      </c>
      <c r="E2636" s="2" t="s">
        <v>16</v>
      </c>
      <c r="F2636" s="2">
        <v>30</v>
      </c>
      <c r="G2636" s="2" t="s">
        <v>6740</v>
      </c>
      <c r="H2636" s="2" t="s">
        <v>2804</v>
      </c>
      <c r="I2636" s="2" t="s">
        <v>124</v>
      </c>
      <c r="J2636" s="3">
        <v>43963</v>
      </c>
      <c r="K2636" s="2">
        <v>57</v>
      </c>
      <c r="L2636" s="2" t="s">
        <v>33</v>
      </c>
      <c r="M2636" s="3"/>
    </row>
    <row r="2637" spans="1:13" x14ac:dyDescent="0.3">
      <c r="A2637" s="2">
        <v>2636</v>
      </c>
      <c r="B2637" s="2" t="s">
        <v>6286</v>
      </c>
      <c r="C2637" s="2" t="s">
        <v>6741</v>
      </c>
      <c r="D2637" s="2" t="s">
        <v>51</v>
      </c>
      <c r="E2637" s="2" t="s">
        <v>16</v>
      </c>
      <c r="F2637" s="2">
        <v>90</v>
      </c>
      <c r="G2637" s="2" t="s">
        <v>6742</v>
      </c>
      <c r="H2637" s="2" t="s">
        <v>1011</v>
      </c>
      <c r="I2637" s="2" t="s">
        <v>32</v>
      </c>
      <c r="J2637" s="3">
        <v>44398</v>
      </c>
      <c r="K2637" s="2">
        <v>83</v>
      </c>
      <c r="L2637" s="2" t="s">
        <v>39</v>
      </c>
      <c r="M2637" s="3"/>
    </row>
    <row r="2638" spans="1:13" x14ac:dyDescent="0.3">
      <c r="A2638" s="2">
        <v>2637</v>
      </c>
      <c r="B2638" s="2" t="s">
        <v>6743</v>
      </c>
      <c r="C2638" s="2" t="s">
        <v>4960</v>
      </c>
      <c r="D2638" s="2" t="s">
        <v>15</v>
      </c>
      <c r="E2638" s="2" t="s">
        <v>16</v>
      </c>
      <c r="F2638" s="2">
        <v>30</v>
      </c>
      <c r="G2638" s="2" t="s">
        <v>6744</v>
      </c>
      <c r="H2638" s="2" t="s">
        <v>6675</v>
      </c>
      <c r="I2638" s="2" t="s">
        <v>32</v>
      </c>
      <c r="J2638" s="3">
        <v>44400</v>
      </c>
      <c r="K2638" s="2">
        <v>95</v>
      </c>
      <c r="L2638" s="2" t="s">
        <v>39</v>
      </c>
      <c r="M2638" s="3"/>
    </row>
    <row r="2639" spans="1:13" x14ac:dyDescent="0.3">
      <c r="A2639" s="2">
        <v>2638</v>
      </c>
      <c r="B2639" s="2" t="s">
        <v>6745</v>
      </c>
      <c r="C2639" s="2" t="s">
        <v>5067</v>
      </c>
      <c r="D2639" s="2" t="s">
        <v>15</v>
      </c>
      <c r="E2639" s="2" t="s">
        <v>16</v>
      </c>
      <c r="F2639" s="2">
        <v>90</v>
      </c>
      <c r="G2639" s="2" t="s">
        <v>6746</v>
      </c>
      <c r="H2639" s="2" t="s">
        <v>2772</v>
      </c>
      <c r="I2639" s="2" t="s">
        <v>32</v>
      </c>
      <c r="J2639" s="3">
        <v>44092</v>
      </c>
      <c r="K2639" s="2">
        <v>19</v>
      </c>
      <c r="L2639" s="2" t="s">
        <v>45</v>
      </c>
      <c r="M2639" s="3"/>
    </row>
    <row r="2640" spans="1:13" x14ac:dyDescent="0.3">
      <c r="A2640" s="2">
        <v>2639</v>
      </c>
      <c r="B2640" s="2" t="s">
        <v>6747</v>
      </c>
      <c r="C2640" s="2" t="s">
        <v>6748</v>
      </c>
      <c r="D2640" s="2" t="s">
        <v>28</v>
      </c>
      <c r="E2640" s="2" t="s">
        <v>29</v>
      </c>
      <c r="F2640" s="2">
        <v>90</v>
      </c>
      <c r="G2640" s="2" t="s">
        <v>6749</v>
      </c>
      <c r="H2640" s="2" t="s">
        <v>1556</v>
      </c>
      <c r="I2640" s="2" t="s">
        <v>1311</v>
      </c>
      <c r="J2640" s="3">
        <v>44787</v>
      </c>
      <c r="K2640" s="2">
        <v>96</v>
      </c>
      <c r="L2640" s="2" t="s">
        <v>64</v>
      </c>
      <c r="M2640" s="3"/>
    </row>
    <row r="2641" spans="1:13" x14ac:dyDescent="0.3">
      <c r="A2641" s="2">
        <v>2640</v>
      </c>
      <c r="B2641" s="2" t="s">
        <v>3111</v>
      </c>
      <c r="C2641" s="2" t="s">
        <v>1121</v>
      </c>
      <c r="D2641" s="2" t="s">
        <v>28</v>
      </c>
      <c r="E2641" s="2" t="s">
        <v>29</v>
      </c>
      <c r="F2641" s="2">
        <v>30</v>
      </c>
      <c r="G2641" s="2" t="s">
        <v>6750</v>
      </c>
      <c r="H2641" s="2" t="s">
        <v>4849</v>
      </c>
      <c r="I2641" s="2" t="s">
        <v>294</v>
      </c>
      <c r="J2641" s="3">
        <v>44188</v>
      </c>
      <c r="K2641" s="2">
        <v>54</v>
      </c>
      <c r="L2641" s="2" t="s">
        <v>45</v>
      </c>
      <c r="M2641" s="3"/>
    </row>
    <row r="2642" spans="1:13" x14ac:dyDescent="0.3">
      <c r="A2642" s="2">
        <v>2641</v>
      </c>
      <c r="B2642" s="2" t="s">
        <v>5303</v>
      </c>
      <c r="C2642" s="2" t="s">
        <v>1297</v>
      </c>
      <c r="D2642" s="2" t="s">
        <v>41</v>
      </c>
      <c r="E2642" s="2" t="s">
        <v>16</v>
      </c>
      <c r="F2642" s="2">
        <v>90</v>
      </c>
      <c r="G2642" s="2" t="s">
        <v>6751</v>
      </c>
      <c r="H2642" s="2" t="s">
        <v>2026</v>
      </c>
      <c r="I2642" s="2" t="s">
        <v>1078</v>
      </c>
      <c r="J2642" s="3">
        <v>44513</v>
      </c>
      <c r="K2642" s="2">
        <v>12</v>
      </c>
      <c r="L2642" s="2" t="s">
        <v>159</v>
      </c>
      <c r="M2642" s="3"/>
    </row>
    <row r="2643" spans="1:13" x14ac:dyDescent="0.3">
      <c r="A2643" s="2">
        <v>2642</v>
      </c>
      <c r="B2643" s="2" t="s">
        <v>1788</v>
      </c>
      <c r="C2643" s="2" t="s">
        <v>6752</v>
      </c>
      <c r="D2643" s="2" t="s">
        <v>28</v>
      </c>
      <c r="E2643" s="2" t="s">
        <v>29</v>
      </c>
      <c r="F2643" s="2">
        <v>90</v>
      </c>
      <c r="G2643" s="2" t="s">
        <v>6753</v>
      </c>
      <c r="H2643" s="2" t="s">
        <v>6754</v>
      </c>
      <c r="I2643" s="2" t="s">
        <v>32</v>
      </c>
      <c r="J2643" s="3">
        <v>44017</v>
      </c>
      <c r="K2643" s="2">
        <v>82</v>
      </c>
      <c r="L2643" s="2" t="s">
        <v>54</v>
      </c>
      <c r="M2643" s="3"/>
    </row>
    <row r="2644" spans="1:13" x14ac:dyDescent="0.3">
      <c r="A2644" s="2">
        <v>2643</v>
      </c>
      <c r="B2644" s="2" t="s">
        <v>6755</v>
      </c>
      <c r="C2644" s="2" t="s">
        <v>5090</v>
      </c>
      <c r="D2644" s="2" t="s">
        <v>51</v>
      </c>
      <c r="E2644" s="2" t="s">
        <v>16</v>
      </c>
      <c r="F2644" s="2">
        <v>90</v>
      </c>
      <c r="G2644" s="2" t="s">
        <v>6756</v>
      </c>
      <c r="H2644" s="2" t="s">
        <v>655</v>
      </c>
      <c r="I2644" s="2" t="s">
        <v>32</v>
      </c>
      <c r="J2644" s="3">
        <v>44707</v>
      </c>
      <c r="K2644" s="2">
        <v>47</v>
      </c>
      <c r="L2644" s="2" t="s">
        <v>45</v>
      </c>
      <c r="M2644" s="3"/>
    </row>
    <row r="2645" spans="1:13" x14ac:dyDescent="0.3">
      <c r="A2645" s="2">
        <v>2644</v>
      </c>
      <c r="B2645" s="2" t="s">
        <v>1792</v>
      </c>
      <c r="C2645" s="2" t="s">
        <v>580</v>
      </c>
      <c r="D2645" s="2" t="s">
        <v>28</v>
      </c>
      <c r="E2645" s="2" t="s">
        <v>29</v>
      </c>
      <c r="F2645" s="2">
        <v>60</v>
      </c>
      <c r="G2645" s="2" t="s">
        <v>6757</v>
      </c>
      <c r="H2645" s="2" t="s">
        <v>5652</v>
      </c>
      <c r="I2645" s="2" t="s">
        <v>32</v>
      </c>
      <c r="J2645" s="3">
        <v>44894</v>
      </c>
      <c r="K2645" s="2">
        <v>91</v>
      </c>
      <c r="L2645" s="2" t="s">
        <v>39</v>
      </c>
      <c r="M2645" s="3"/>
    </row>
    <row r="2646" spans="1:13" x14ac:dyDescent="0.3">
      <c r="A2646" s="2">
        <v>2645</v>
      </c>
      <c r="B2646" s="2" t="s">
        <v>4599</v>
      </c>
      <c r="C2646" s="2" t="s">
        <v>3467</v>
      </c>
      <c r="D2646" s="2" t="s">
        <v>51</v>
      </c>
      <c r="E2646" s="2" t="s">
        <v>16</v>
      </c>
      <c r="F2646" s="2">
        <v>60</v>
      </c>
      <c r="G2646" s="2" t="s">
        <v>6758</v>
      </c>
      <c r="H2646" s="2" t="s">
        <v>868</v>
      </c>
      <c r="I2646" s="2" t="s">
        <v>32</v>
      </c>
      <c r="J2646" s="3">
        <v>44697</v>
      </c>
      <c r="K2646" s="2">
        <v>14</v>
      </c>
      <c r="L2646" s="2" t="s">
        <v>159</v>
      </c>
      <c r="M2646" s="3"/>
    </row>
    <row r="2647" spans="1:13" x14ac:dyDescent="0.3">
      <c r="A2647" s="2">
        <v>2646</v>
      </c>
      <c r="B2647" s="2" t="s">
        <v>6759</v>
      </c>
      <c r="C2647" s="2" t="s">
        <v>3171</v>
      </c>
      <c r="D2647" s="2" t="s">
        <v>51</v>
      </c>
      <c r="E2647" s="2" t="s">
        <v>16</v>
      </c>
      <c r="F2647" s="2">
        <v>30</v>
      </c>
      <c r="G2647" s="2" t="s">
        <v>6760</v>
      </c>
      <c r="H2647" s="2" t="s">
        <v>235</v>
      </c>
      <c r="I2647" s="2" t="s">
        <v>146</v>
      </c>
      <c r="J2647" s="3">
        <v>44910</v>
      </c>
      <c r="K2647" s="2">
        <v>85</v>
      </c>
      <c r="L2647" s="2" t="s">
        <v>159</v>
      </c>
      <c r="M2647" s="3"/>
    </row>
    <row r="2648" spans="1:13" x14ac:dyDescent="0.3">
      <c r="A2648" s="2">
        <v>2647</v>
      </c>
      <c r="B2648" s="2" t="s">
        <v>6761</v>
      </c>
      <c r="C2648" s="2" t="s">
        <v>6762</v>
      </c>
      <c r="D2648" s="2" t="s">
        <v>15</v>
      </c>
      <c r="E2648" s="2" t="s">
        <v>16</v>
      </c>
      <c r="F2648" s="2">
        <v>60</v>
      </c>
      <c r="G2648" s="2" t="s">
        <v>6760</v>
      </c>
      <c r="H2648" s="2" t="s">
        <v>5248</v>
      </c>
      <c r="I2648" s="2" t="s">
        <v>32</v>
      </c>
      <c r="J2648" s="3">
        <v>44286</v>
      </c>
      <c r="K2648" s="2">
        <v>25</v>
      </c>
      <c r="L2648" s="2" t="s">
        <v>20</v>
      </c>
      <c r="M2648" s="3"/>
    </row>
    <row r="2649" spans="1:13" x14ac:dyDescent="0.3">
      <c r="A2649" s="2">
        <v>2648</v>
      </c>
      <c r="B2649" s="2" t="s">
        <v>5954</v>
      </c>
      <c r="C2649" s="2" t="s">
        <v>6635</v>
      </c>
      <c r="D2649" s="2" t="s">
        <v>28</v>
      </c>
      <c r="E2649" s="2" t="s">
        <v>29</v>
      </c>
      <c r="F2649" s="2">
        <v>90</v>
      </c>
      <c r="G2649" s="2" t="s">
        <v>6763</v>
      </c>
      <c r="H2649" s="2" t="s">
        <v>6249</v>
      </c>
      <c r="I2649" s="2" t="s">
        <v>38</v>
      </c>
      <c r="J2649" s="3">
        <v>44237</v>
      </c>
      <c r="K2649" s="2">
        <v>90</v>
      </c>
      <c r="L2649" s="2" t="s">
        <v>80</v>
      </c>
      <c r="M2649" s="3"/>
    </row>
    <row r="2650" spans="1:13" x14ac:dyDescent="0.3">
      <c r="A2650" s="2">
        <v>2649</v>
      </c>
      <c r="B2650" s="2" t="s">
        <v>6764</v>
      </c>
      <c r="C2650" s="2" t="s">
        <v>3253</v>
      </c>
      <c r="D2650" s="2" t="s">
        <v>28</v>
      </c>
      <c r="E2650" s="2" t="s">
        <v>29</v>
      </c>
      <c r="F2650" s="2">
        <v>30</v>
      </c>
      <c r="G2650" s="2" t="s">
        <v>6765</v>
      </c>
      <c r="H2650" s="2" t="s">
        <v>221</v>
      </c>
      <c r="I2650" s="2" t="s">
        <v>32</v>
      </c>
      <c r="J2650" s="3">
        <v>44403</v>
      </c>
      <c r="K2650" s="2">
        <v>38</v>
      </c>
      <c r="L2650" s="2" t="s">
        <v>33</v>
      </c>
      <c r="M2650" s="3"/>
    </row>
    <row r="2651" spans="1:13" x14ac:dyDescent="0.3">
      <c r="A2651" s="2">
        <v>2650</v>
      </c>
      <c r="B2651" s="2" t="s">
        <v>2556</v>
      </c>
      <c r="C2651" s="2" t="s">
        <v>540</v>
      </c>
      <c r="D2651" s="2" t="s">
        <v>28</v>
      </c>
      <c r="E2651" s="2" t="s">
        <v>29</v>
      </c>
      <c r="F2651" s="2">
        <v>30</v>
      </c>
      <c r="G2651" s="2" t="s">
        <v>6766</v>
      </c>
      <c r="H2651" s="2" t="s">
        <v>1621</v>
      </c>
      <c r="I2651" s="2" t="s">
        <v>146</v>
      </c>
      <c r="J2651" s="3">
        <v>44170</v>
      </c>
      <c r="K2651" s="2">
        <v>31</v>
      </c>
      <c r="L2651" s="2" t="s">
        <v>39</v>
      </c>
      <c r="M2651" s="3"/>
    </row>
    <row r="2652" spans="1:13" x14ac:dyDescent="0.3">
      <c r="A2652" s="2">
        <v>2651</v>
      </c>
      <c r="B2652" s="2" t="s">
        <v>5400</v>
      </c>
      <c r="C2652" s="2" t="s">
        <v>1237</v>
      </c>
      <c r="D2652" s="2" t="s">
        <v>15</v>
      </c>
      <c r="E2652" s="2" t="s">
        <v>16</v>
      </c>
      <c r="F2652" s="2">
        <v>30</v>
      </c>
      <c r="G2652" s="2" t="s">
        <v>6767</v>
      </c>
      <c r="H2652" s="2" t="s">
        <v>4585</v>
      </c>
      <c r="I2652" s="2" t="s">
        <v>25</v>
      </c>
      <c r="J2652" s="3">
        <v>44394</v>
      </c>
      <c r="K2652" s="2">
        <v>19</v>
      </c>
      <c r="L2652" s="2" t="s">
        <v>54</v>
      </c>
      <c r="M2652" s="3"/>
    </row>
    <row r="2653" spans="1:13" x14ac:dyDescent="0.3">
      <c r="A2653" s="2">
        <v>2652</v>
      </c>
      <c r="B2653" s="2" t="s">
        <v>1572</v>
      </c>
      <c r="C2653" s="2" t="s">
        <v>267</v>
      </c>
      <c r="D2653" s="2" t="s">
        <v>28</v>
      </c>
      <c r="E2653" s="2" t="s">
        <v>29</v>
      </c>
      <c r="F2653" s="2">
        <v>30</v>
      </c>
      <c r="G2653" s="2" t="s">
        <v>6768</v>
      </c>
      <c r="H2653" s="2" t="s">
        <v>5778</v>
      </c>
      <c r="I2653" s="2" t="s">
        <v>1311</v>
      </c>
      <c r="J2653" s="3">
        <v>44508</v>
      </c>
      <c r="K2653" s="2">
        <v>16</v>
      </c>
      <c r="L2653" s="2" t="s">
        <v>39</v>
      </c>
      <c r="M2653" s="3"/>
    </row>
    <row r="2654" spans="1:13" x14ac:dyDescent="0.3">
      <c r="A2654" s="2">
        <v>2653</v>
      </c>
      <c r="B2654" s="2" t="s">
        <v>111</v>
      </c>
      <c r="C2654" s="2" t="s">
        <v>3965</v>
      </c>
      <c r="D2654" s="2" t="s">
        <v>28</v>
      </c>
      <c r="E2654" s="2" t="s">
        <v>29</v>
      </c>
      <c r="F2654" s="2">
        <v>30</v>
      </c>
      <c r="G2654" s="2" t="s">
        <v>6769</v>
      </c>
      <c r="H2654" s="2" t="s">
        <v>6770</v>
      </c>
      <c r="I2654" s="2" t="s">
        <v>124</v>
      </c>
      <c r="J2654" s="3">
        <v>44741</v>
      </c>
      <c r="K2654" s="2">
        <v>42</v>
      </c>
      <c r="L2654" s="2" t="s">
        <v>64</v>
      </c>
      <c r="M2654" s="3"/>
    </row>
    <row r="2655" spans="1:13" x14ac:dyDescent="0.3">
      <c r="A2655" s="2">
        <v>2654</v>
      </c>
      <c r="B2655" s="2" t="s">
        <v>4742</v>
      </c>
      <c r="C2655" s="2" t="s">
        <v>1304</v>
      </c>
      <c r="D2655" s="2" t="s">
        <v>51</v>
      </c>
      <c r="E2655" s="2" t="s">
        <v>16</v>
      </c>
      <c r="F2655" s="2">
        <v>30</v>
      </c>
      <c r="G2655" s="2" t="s">
        <v>6771</v>
      </c>
      <c r="H2655" s="2" t="s">
        <v>6772</v>
      </c>
      <c r="I2655" s="2" t="s">
        <v>32</v>
      </c>
      <c r="J2655" s="3">
        <v>44217</v>
      </c>
      <c r="K2655" s="2">
        <v>41</v>
      </c>
      <c r="L2655" s="2" t="s">
        <v>70</v>
      </c>
      <c r="M2655" s="3"/>
    </row>
    <row r="2656" spans="1:13" x14ac:dyDescent="0.3">
      <c r="A2656" s="2">
        <v>2655</v>
      </c>
      <c r="B2656" s="2" t="s">
        <v>6773</v>
      </c>
      <c r="C2656" s="2" t="s">
        <v>2449</v>
      </c>
      <c r="D2656" s="2" t="s">
        <v>41</v>
      </c>
      <c r="E2656" s="2" t="s">
        <v>16</v>
      </c>
      <c r="F2656" s="2">
        <v>30</v>
      </c>
      <c r="G2656" s="2" t="s">
        <v>6774</v>
      </c>
      <c r="H2656" s="2" t="s">
        <v>6775</v>
      </c>
      <c r="I2656" s="2" t="s">
        <v>25</v>
      </c>
      <c r="J2656" s="3">
        <v>44577</v>
      </c>
      <c r="K2656" s="2">
        <v>54</v>
      </c>
      <c r="L2656" s="2" t="s">
        <v>80</v>
      </c>
      <c r="M2656" s="3"/>
    </row>
    <row r="2657" spans="1:13" x14ac:dyDescent="0.3">
      <c r="A2657" s="2">
        <v>2656</v>
      </c>
      <c r="B2657" s="2" t="s">
        <v>4372</v>
      </c>
      <c r="C2657" s="2" t="s">
        <v>6776</v>
      </c>
      <c r="D2657" s="2" t="s">
        <v>28</v>
      </c>
      <c r="E2657" s="2" t="s">
        <v>29</v>
      </c>
      <c r="F2657" s="2">
        <v>90</v>
      </c>
      <c r="G2657" s="2" t="s">
        <v>6777</v>
      </c>
      <c r="H2657" s="2" t="s">
        <v>6778</v>
      </c>
      <c r="I2657" s="2" t="s">
        <v>38</v>
      </c>
      <c r="J2657" s="3">
        <v>44262</v>
      </c>
      <c r="K2657" s="2">
        <v>36</v>
      </c>
      <c r="L2657" s="2" t="s">
        <v>45</v>
      </c>
      <c r="M2657" s="3"/>
    </row>
    <row r="2658" spans="1:13" x14ac:dyDescent="0.3">
      <c r="A2658" s="2">
        <v>2657</v>
      </c>
      <c r="B2658" s="2" t="s">
        <v>6779</v>
      </c>
      <c r="C2658" s="2" t="s">
        <v>6780</v>
      </c>
      <c r="D2658" s="2" t="s">
        <v>51</v>
      </c>
      <c r="E2658" s="2" t="s">
        <v>16</v>
      </c>
      <c r="F2658" s="2">
        <v>60</v>
      </c>
      <c r="G2658" s="2" t="s">
        <v>6781</v>
      </c>
      <c r="H2658" s="2" t="s">
        <v>6782</v>
      </c>
      <c r="I2658" s="2" t="s">
        <v>32</v>
      </c>
      <c r="J2658" s="3">
        <v>43839</v>
      </c>
      <c r="K2658" s="2">
        <v>15</v>
      </c>
      <c r="L2658" s="2" t="s">
        <v>20</v>
      </c>
      <c r="M2658" s="3"/>
    </row>
    <row r="2659" spans="1:13" x14ac:dyDescent="0.3">
      <c r="A2659" s="2">
        <v>2658</v>
      </c>
      <c r="B2659" s="2" t="s">
        <v>1622</v>
      </c>
      <c r="C2659" s="2" t="s">
        <v>6783</v>
      </c>
      <c r="D2659" s="2" t="s">
        <v>28</v>
      </c>
      <c r="E2659" s="2" t="s">
        <v>29</v>
      </c>
      <c r="F2659" s="2">
        <v>90</v>
      </c>
      <c r="G2659" s="2" t="s">
        <v>6784</v>
      </c>
      <c r="H2659" s="2" t="s">
        <v>2354</v>
      </c>
      <c r="I2659" s="2" t="s">
        <v>178</v>
      </c>
      <c r="J2659" s="3">
        <v>44919</v>
      </c>
      <c r="K2659" s="2">
        <v>104</v>
      </c>
      <c r="L2659" s="2" t="s">
        <v>54</v>
      </c>
      <c r="M2659" s="3"/>
    </row>
    <row r="2660" spans="1:13" x14ac:dyDescent="0.3">
      <c r="A2660" s="2">
        <v>2659</v>
      </c>
      <c r="B2660" s="2" t="s">
        <v>4452</v>
      </c>
      <c r="C2660" s="2" t="s">
        <v>6785</v>
      </c>
      <c r="D2660" s="2" t="s">
        <v>28</v>
      </c>
      <c r="E2660" s="2" t="s">
        <v>29</v>
      </c>
      <c r="F2660" s="2">
        <v>30</v>
      </c>
      <c r="G2660" s="2" t="s">
        <v>6786</v>
      </c>
      <c r="H2660" s="2" t="s">
        <v>6787</v>
      </c>
      <c r="I2660" s="2" t="s">
        <v>1035</v>
      </c>
      <c r="J2660" s="3">
        <v>44605</v>
      </c>
      <c r="K2660" s="2">
        <v>102</v>
      </c>
      <c r="L2660" s="2" t="s">
        <v>39</v>
      </c>
      <c r="M2660" s="3"/>
    </row>
    <row r="2661" spans="1:13" x14ac:dyDescent="0.3">
      <c r="A2661" s="2">
        <v>2660</v>
      </c>
      <c r="B2661" s="2" t="s">
        <v>6788</v>
      </c>
      <c r="C2661" s="2" t="s">
        <v>547</v>
      </c>
      <c r="D2661" s="2" t="s">
        <v>15</v>
      </c>
      <c r="E2661" s="2" t="s">
        <v>16</v>
      </c>
      <c r="F2661" s="2">
        <v>60</v>
      </c>
      <c r="G2661" s="2" t="s">
        <v>6786</v>
      </c>
      <c r="H2661" s="2" t="s">
        <v>4621</v>
      </c>
      <c r="I2661" s="2" t="s">
        <v>178</v>
      </c>
      <c r="J2661" s="3">
        <v>44149</v>
      </c>
      <c r="K2661" s="2">
        <v>25</v>
      </c>
      <c r="L2661" s="2" t="s">
        <v>39</v>
      </c>
      <c r="M2661" s="3"/>
    </row>
    <row r="2662" spans="1:13" x14ac:dyDescent="0.3">
      <c r="A2662" s="2">
        <v>2661</v>
      </c>
      <c r="B2662" s="2" t="s">
        <v>2898</v>
      </c>
      <c r="C2662" s="2" t="s">
        <v>6789</v>
      </c>
      <c r="D2662" s="2" t="s">
        <v>28</v>
      </c>
      <c r="E2662" s="2" t="s">
        <v>29</v>
      </c>
      <c r="F2662" s="2">
        <v>90</v>
      </c>
      <c r="G2662" s="2" t="s">
        <v>6786</v>
      </c>
      <c r="H2662" s="2" t="s">
        <v>1001</v>
      </c>
      <c r="I2662" s="2" t="s">
        <v>32</v>
      </c>
      <c r="J2662" s="3">
        <v>44358</v>
      </c>
      <c r="K2662" s="2">
        <v>18</v>
      </c>
      <c r="L2662" s="2" t="s">
        <v>45</v>
      </c>
      <c r="M2662" s="3"/>
    </row>
    <row r="2663" spans="1:13" x14ac:dyDescent="0.3">
      <c r="A2663" s="2">
        <v>2662</v>
      </c>
      <c r="B2663" s="2" t="s">
        <v>6790</v>
      </c>
      <c r="C2663" s="2" t="s">
        <v>3803</v>
      </c>
      <c r="D2663" s="2" t="s">
        <v>28</v>
      </c>
      <c r="E2663" s="2" t="s">
        <v>29</v>
      </c>
      <c r="F2663" s="2">
        <v>30</v>
      </c>
      <c r="G2663" s="2" t="s">
        <v>6791</v>
      </c>
      <c r="H2663" s="2" t="s">
        <v>3100</v>
      </c>
      <c r="I2663" s="2" t="s">
        <v>32</v>
      </c>
      <c r="J2663" s="3">
        <v>44654</v>
      </c>
      <c r="K2663" s="2">
        <v>3</v>
      </c>
      <c r="L2663" s="2" t="s">
        <v>33</v>
      </c>
      <c r="M2663" s="3"/>
    </row>
    <row r="2664" spans="1:13" x14ac:dyDescent="0.3">
      <c r="A2664" s="2">
        <v>2663</v>
      </c>
      <c r="B2664" s="2" t="s">
        <v>6792</v>
      </c>
      <c r="C2664" s="2" t="s">
        <v>6793</v>
      </c>
      <c r="D2664" s="2" t="s">
        <v>51</v>
      </c>
      <c r="E2664" s="2" t="s">
        <v>16</v>
      </c>
      <c r="F2664" s="2">
        <v>90</v>
      </c>
      <c r="G2664" s="2" t="s">
        <v>6794</v>
      </c>
      <c r="H2664" s="2" t="s">
        <v>6795</v>
      </c>
      <c r="I2664" s="2" t="s">
        <v>146</v>
      </c>
      <c r="J2664" s="3">
        <v>44449</v>
      </c>
      <c r="K2664" s="2">
        <v>35</v>
      </c>
      <c r="L2664" s="2" t="s">
        <v>45</v>
      </c>
      <c r="M2664" s="3"/>
    </row>
    <row r="2665" spans="1:13" x14ac:dyDescent="0.3">
      <c r="A2665" s="2">
        <v>2664</v>
      </c>
      <c r="B2665" s="2" t="s">
        <v>6792</v>
      </c>
      <c r="C2665" s="2" t="s">
        <v>6793</v>
      </c>
      <c r="D2665" s="2" t="s">
        <v>51</v>
      </c>
      <c r="E2665" s="2" t="s">
        <v>16</v>
      </c>
      <c r="F2665" s="2">
        <v>90</v>
      </c>
      <c r="G2665" s="2" t="s">
        <v>6794</v>
      </c>
      <c r="H2665" s="2" t="s">
        <v>6795</v>
      </c>
      <c r="I2665" s="2" t="s">
        <v>146</v>
      </c>
      <c r="J2665" s="3">
        <v>44449</v>
      </c>
      <c r="K2665" s="2">
        <v>35</v>
      </c>
      <c r="L2665" s="2" t="s">
        <v>45</v>
      </c>
      <c r="M2665" s="3"/>
    </row>
    <row r="2666" spans="1:13" x14ac:dyDescent="0.3">
      <c r="A2666" s="2">
        <v>2665</v>
      </c>
      <c r="B2666" s="2" t="s">
        <v>6796</v>
      </c>
      <c r="C2666" s="2" t="s">
        <v>4079</v>
      </c>
      <c r="D2666" s="2" t="s">
        <v>28</v>
      </c>
      <c r="E2666" s="2" t="s">
        <v>29</v>
      </c>
      <c r="F2666" s="2">
        <v>90</v>
      </c>
      <c r="G2666" s="2" t="s">
        <v>6797</v>
      </c>
      <c r="H2666" s="2" t="s">
        <v>3059</v>
      </c>
      <c r="I2666" s="2" t="s">
        <v>187</v>
      </c>
      <c r="J2666" s="3">
        <v>44630</v>
      </c>
      <c r="K2666" s="2">
        <v>86</v>
      </c>
      <c r="L2666" s="2" t="s">
        <v>33</v>
      </c>
      <c r="M2666" s="3"/>
    </row>
    <row r="2667" spans="1:13" x14ac:dyDescent="0.3">
      <c r="A2667" s="2">
        <v>2666</v>
      </c>
      <c r="B2667" s="2" t="s">
        <v>1002</v>
      </c>
      <c r="C2667" s="2" t="s">
        <v>6798</v>
      </c>
      <c r="D2667" s="2" t="s">
        <v>28</v>
      </c>
      <c r="E2667" s="2" t="s">
        <v>29</v>
      </c>
      <c r="F2667" s="2">
        <v>60</v>
      </c>
      <c r="G2667" s="2" t="s">
        <v>6799</v>
      </c>
      <c r="H2667" s="2" t="s">
        <v>3248</v>
      </c>
      <c r="I2667" s="2" t="s">
        <v>38</v>
      </c>
      <c r="J2667" s="3">
        <v>44027</v>
      </c>
      <c r="K2667" s="2">
        <v>41</v>
      </c>
      <c r="L2667" s="2" t="s">
        <v>45</v>
      </c>
      <c r="M2667" s="3"/>
    </row>
    <row r="2668" spans="1:13" x14ac:dyDescent="0.3">
      <c r="A2668" s="2">
        <v>2667</v>
      </c>
      <c r="B2668" s="2" t="s">
        <v>6800</v>
      </c>
      <c r="C2668" s="2" t="s">
        <v>3647</v>
      </c>
      <c r="D2668" s="2" t="s">
        <v>15</v>
      </c>
      <c r="E2668" s="2" t="s">
        <v>16</v>
      </c>
      <c r="F2668" s="2">
        <v>90</v>
      </c>
      <c r="G2668" s="2" t="s">
        <v>6801</v>
      </c>
      <c r="H2668" s="2" t="s">
        <v>802</v>
      </c>
      <c r="I2668" s="2" t="s">
        <v>294</v>
      </c>
      <c r="J2668" s="3">
        <v>44261</v>
      </c>
      <c r="K2668" s="2">
        <v>3</v>
      </c>
      <c r="L2668" s="2" t="s">
        <v>159</v>
      </c>
      <c r="M2668" s="3"/>
    </row>
    <row r="2669" spans="1:13" x14ac:dyDescent="0.3">
      <c r="A2669" s="2">
        <v>2668</v>
      </c>
      <c r="B2669" s="2" t="s">
        <v>735</v>
      </c>
      <c r="C2669" s="2" t="s">
        <v>6802</v>
      </c>
      <c r="D2669" s="2" t="s">
        <v>28</v>
      </c>
      <c r="E2669" s="2" t="s">
        <v>29</v>
      </c>
      <c r="F2669" s="2">
        <v>30</v>
      </c>
      <c r="G2669" s="2" t="s">
        <v>6803</v>
      </c>
      <c r="H2669" s="2" t="s">
        <v>5427</v>
      </c>
      <c r="I2669" s="2" t="s">
        <v>32</v>
      </c>
      <c r="J2669" s="3">
        <v>44155</v>
      </c>
      <c r="K2669" s="2">
        <v>3</v>
      </c>
      <c r="L2669" s="2" t="s">
        <v>39</v>
      </c>
      <c r="M2669" s="3"/>
    </row>
    <row r="2670" spans="1:13" x14ac:dyDescent="0.3">
      <c r="A2670" s="2">
        <v>2669</v>
      </c>
      <c r="B2670" s="2" t="s">
        <v>1856</v>
      </c>
      <c r="C2670" s="2" t="s">
        <v>6804</v>
      </c>
      <c r="D2670" s="2" t="s">
        <v>51</v>
      </c>
      <c r="E2670" s="2" t="s">
        <v>16</v>
      </c>
      <c r="F2670" s="2">
        <v>30</v>
      </c>
      <c r="G2670" s="2" t="s">
        <v>6805</v>
      </c>
      <c r="H2670" s="2" t="s">
        <v>810</v>
      </c>
      <c r="I2670" s="2" t="s">
        <v>32</v>
      </c>
      <c r="J2670" s="3">
        <v>44470</v>
      </c>
      <c r="K2670" s="2">
        <v>81</v>
      </c>
      <c r="L2670" s="2" t="s">
        <v>80</v>
      </c>
      <c r="M2670" s="3"/>
    </row>
    <row r="2671" spans="1:13" x14ac:dyDescent="0.3">
      <c r="A2671" s="2">
        <v>2670</v>
      </c>
      <c r="B2671" s="2" t="s">
        <v>600</v>
      </c>
      <c r="C2671" s="2" t="s">
        <v>468</v>
      </c>
      <c r="D2671" s="2" t="s">
        <v>15</v>
      </c>
      <c r="E2671" s="2" t="s">
        <v>16</v>
      </c>
      <c r="F2671" s="2">
        <v>30</v>
      </c>
      <c r="G2671" s="2" t="s">
        <v>6806</v>
      </c>
      <c r="H2671" s="2" t="s">
        <v>685</v>
      </c>
      <c r="I2671" s="2" t="s">
        <v>686</v>
      </c>
      <c r="J2671" s="3">
        <v>44774</v>
      </c>
      <c r="K2671" s="2">
        <v>98</v>
      </c>
      <c r="L2671" s="2" t="s">
        <v>101</v>
      </c>
      <c r="M2671" s="3"/>
    </row>
    <row r="2672" spans="1:13" x14ac:dyDescent="0.3">
      <c r="A2672" s="2">
        <v>2671</v>
      </c>
      <c r="B2672" s="2" t="s">
        <v>6807</v>
      </c>
      <c r="C2672" s="2" t="s">
        <v>547</v>
      </c>
      <c r="D2672" s="2" t="s">
        <v>15</v>
      </c>
      <c r="E2672" s="2" t="s">
        <v>16</v>
      </c>
      <c r="F2672" s="2">
        <v>30</v>
      </c>
      <c r="G2672" s="2" t="s">
        <v>6808</v>
      </c>
      <c r="H2672" s="2" t="s">
        <v>3175</v>
      </c>
      <c r="I2672" s="2" t="s">
        <v>1233</v>
      </c>
      <c r="J2672" s="3">
        <v>44543</v>
      </c>
      <c r="K2672" s="2">
        <v>67</v>
      </c>
      <c r="L2672" s="2" t="s">
        <v>159</v>
      </c>
      <c r="M2672" s="3"/>
    </row>
    <row r="2673" spans="1:13" x14ac:dyDescent="0.3">
      <c r="A2673" s="2">
        <v>2672</v>
      </c>
      <c r="B2673" s="2" t="s">
        <v>6809</v>
      </c>
      <c r="C2673" s="2" t="s">
        <v>6810</v>
      </c>
      <c r="D2673" s="2" t="s">
        <v>51</v>
      </c>
      <c r="E2673" s="2" t="s">
        <v>16</v>
      </c>
      <c r="F2673" s="2">
        <v>90</v>
      </c>
      <c r="G2673" s="2" t="s">
        <v>6811</v>
      </c>
      <c r="H2673" s="2" t="s">
        <v>4020</v>
      </c>
      <c r="I2673" s="2" t="s">
        <v>173</v>
      </c>
      <c r="J2673" s="3">
        <v>44914</v>
      </c>
      <c r="K2673" s="2">
        <v>7</v>
      </c>
      <c r="L2673" s="2" t="s">
        <v>64</v>
      </c>
      <c r="M2673" s="3"/>
    </row>
    <row r="2674" spans="1:13" x14ac:dyDescent="0.3">
      <c r="A2674" s="2">
        <v>2673</v>
      </c>
      <c r="B2674" s="2" t="s">
        <v>2647</v>
      </c>
      <c r="C2674" s="2" t="s">
        <v>6812</v>
      </c>
      <c r="D2674" s="2" t="s">
        <v>51</v>
      </c>
      <c r="E2674" s="2" t="s">
        <v>16</v>
      </c>
      <c r="F2674" s="2">
        <v>30</v>
      </c>
      <c r="G2674" s="2" t="s">
        <v>6813</v>
      </c>
      <c r="H2674" s="2" t="s">
        <v>4853</v>
      </c>
      <c r="I2674" s="2" t="s">
        <v>178</v>
      </c>
      <c r="J2674" s="3">
        <v>44214</v>
      </c>
      <c r="K2674" s="2">
        <v>12</v>
      </c>
      <c r="L2674" s="2" t="s">
        <v>64</v>
      </c>
      <c r="M2674" s="3"/>
    </row>
    <row r="2675" spans="1:13" x14ac:dyDescent="0.3">
      <c r="A2675" s="2">
        <v>2674</v>
      </c>
      <c r="B2675" s="2" t="s">
        <v>441</v>
      </c>
      <c r="C2675" s="2" t="s">
        <v>6814</v>
      </c>
      <c r="D2675" s="2" t="s">
        <v>28</v>
      </c>
      <c r="E2675" s="2" t="s">
        <v>29</v>
      </c>
      <c r="F2675" s="2">
        <v>60</v>
      </c>
      <c r="G2675" s="2" t="s">
        <v>6815</v>
      </c>
      <c r="H2675" s="2" t="s">
        <v>2045</v>
      </c>
      <c r="I2675" s="2" t="s">
        <v>38</v>
      </c>
      <c r="J2675" s="3">
        <v>44235</v>
      </c>
      <c r="K2675" s="2">
        <v>64</v>
      </c>
      <c r="L2675" s="2" t="s">
        <v>54</v>
      </c>
      <c r="M2675" s="3"/>
    </row>
    <row r="2676" spans="1:13" x14ac:dyDescent="0.3">
      <c r="A2676" s="2">
        <v>2675</v>
      </c>
      <c r="B2676" s="2" t="s">
        <v>5125</v>
      </c>
      <c r="C2676" s="2" t="s">
        <v>1175</v>
      </c>
      <c r="D2676" s="2" t="s">
        <v>28</v>
      </c>
      <c r="E2676" s="2" t="s">
        <v>29</v>
      </c>
      <c r="F2676" s="2">
        <v>30</v>
      </c>
      <c r="G2676" s="2" t="s">
        <v>6816</v>
      </c>
      <c r="H2676" s="2" t="s">
        <v>917</v>
      </c>
      <c r="I2676" s="2" t="s">
        <v>32</v>
      </c>
      <c r="J2676" s="3">
        <v>44551</v>
      </c>
      <c r="K2676" s="2">
        <v>7</v>
      </c>
      <c r="L2676" s="2" t="s">
        <v>159</v>
      </c>
      <c r="M2676" s="3"/>
    </row>
    <row r="2677" spans="1:13" x14ac:dyDescent="0.3">
      <c r="A2677" s="2">
        <v>2676</v>
      </c>
      <c r="B2677" s="2" t="s">
        <v>3716</v>
      </c>
      <c r="C2677" s="2" t="s">
        <v>6817</v>
      </c>
      <c r="D2677" s="2" t="s">
        <v>51</v>
      </c>
      <c r="E2677" s="2" t="s">
        <v>16</v>
      </c>
      <c r="F2677" s="2">
        <v>90</v>
      </c>
      <c r="G2677" s="2" t="s">
        <v>6818</v>
      </c>
      <c r="H2677" s="2" t="s">
        <v>2490</v>
      </c>
      <c r="I2677" s="2" t="s">
        <v>32</v>
      </c>
      <c r="J2677" s="3">
        <v>44345</v>
      </c>
      <c r="K2677" s="2">
        <v>4</v>
      </c>
      <c r="L2677" s="2" t="s">
        <v>33</v>
      </c>
      <c r="M2677" s="3"/>
    </row>
    <row r="2678" spans="1:13" x14ac:dyDescent="0.3">
      <c r="A2678" s="2">
        <v>2677</v>
      </c>
      <c r="B2678" s="2" t="s">
        <v>515</v>
      </c>
      <c r="C2678" s="2" t="s">
        <v>2561</v>
      </c>
      <c r="D2678" s="2" t="s">
        <v>51</v>
      </c>
      <c r="E2678" s="2" t="s">
        <v>16</v>
      </c>
      <c r="F2678" s="2">
        <v>60</v>
      </c>
      <c r="G2678" s="2" t="s">
        <v>6819</v>
      </c>
      <c r="H2678" s="2" t="s">
        <v>6820</v>
      </c>
      <c r="I2678" s="2" t="s">
        <v>294</v>
      </c>
      <c r="J2678" s="3">
        <v>43976</v>
      </c>
      <c r="K2678" s="2">
        <v>26</v>
      </c>
      <c r="L2678" s="2" t="s">
        <v>33</v>
      </c>
      <c r="M2678" s="3"/>
    </row>
    <row r="2679" spans="1:13" x14ac:dyDescent="0.3">
      <c r="A2679" s="2">
        <v>2678</v>
      </c>
      <c r="B2679" s="2" t="s">
        <v>3512</v>
      </c>
      <c r="C2679" s="2" t="s">
        <v>6821</v>
      </c>
      <c r="D2679" s="2" t="s">
        <v>15</v>
      </c>
      <c r="E2679" s="2" t="s">
        <v>16</v>
      </c>
      <c r="F2679" s="2">
        <v>90</v>
      </c>
      <c r="G2679" s="2" t="s">
        <v>6822</v>
      </c>
      <c r="H2679" s="2" t="s">
        <v>2717</v>
      </c>
      <c r="I2679" s="2" t="s">
        <v>1889</v>
      </c>
      <c r="J2679" s="3">
        <v>44538</v>
      </c>
      <c r="K2679" s="2">
        <v>54</v>
      </c>
      <c r="L2679" s="2" t="s">
        <v>101</v>
      </c>
      <c r="M2679" s="3"/>
    </row>
    <row r="2680" spans="1:13" x14ac:dyDescent="0.3">
      <c r="A2680" s="2">
        <v>2679</v>
      </c>
      <c r="B2680" s="2" t="s">
        <v>6823</v>
      </c>
      <c r="C2680" s="2" t="s">
        <v>6824</v>
      </c>
      <c r="D2680" s="2" t="s">
        <v>51</v>
      </c>
      <c r="E2680" s="2" t="s">
        <v>16</v>
      </c>
      <c r="F2680" s="2">
        <v>90</v>
      </c>
      <c r="G2680" s="2" t="s">
        <v>6825</v>
      </c>
      <c r="H2680" s="2" t="s">
        <v>6826</v>
      </c>
      <c r="I2680" s="2" t="s">
        <v>32</v>
      </c>
      <c r="J2680" s="3">
        <v>44794</v>
      </c>
      <c r="K2680" s="2">
        <v>41</v>
      </c>
      <c r="L2680" s="2" t="s">
        <v>70</v>
      </c>
      <c r="M2680" s="3"/>
    </row>
    <row r="2681" spans="1:13" x14ac:dyDescent="0.3">
      <c r="A2681" s="2">
        <v>2680</v>
      </c>
      <c r="B2681" s="2" t="s">
        <v>828</v>
      </c>
      <c r="C2681" s="2" t="s">
        <v>928</v>
      </c>
      <c r="D2681" s="2" t="s">
        <v>15</v>
      </c>
      <c r="E2681" s="2" t="s">
        <v>16</v>
      </c>
      <c r="F2681" s="2">
        <v>60</v>
      </c>
      <c r="G2681" s="2" t="s">
        <v>6827</v>
      </c>
      <c r="H2681" s="2" t="s">
        <v>224</v>
      </c>
      <c r="I2681" s="2" t="s">
        <v>124</v>
      </c>
      <c r="J2681" s="3">
        <v>44663</v>
      </c>
      <c r="K2681" s="2">
        <v>46</v>
      </c>
      <c r="L2681" s="2" t="s">
        <v>101</v>
      </c>
      <c r="M2681" s="3"/>
    </row>
    <row r="2682" spans="1:13" x14ac:dyDescent="0.3">
      <c r="A2682" s="2">
        <v>2681</v>
      </c>
      <c r="B2682" s="2" t="s">
        <v>3532</v>
      </c>
      <c r="C2682" s="2" t="s">
        <v>6828</v>
      </c>
      <c r="D2682" s="2" t="s">
        <v>28</v>
      </c>
      <c r="E2682" s="2" t="s">
        <v>29</v>
      </c>
      <c r="F2682" s="2">
        <v>90</v>
      </c>
      <c r="G2682" s="2" t="s">
        <v>6829</v>
      </c>
      <c r="H2682" s="2" t="s">
        <v>2354</v>
      </c>
      <c r="I2682" s="2" t="s">
        <v>178</v>
      </c>
      <c r="J2682" s="3">
        <v>44560</v>
      </c>
      <c r="K2682" s="2">
        <v>64</v>
      </c>
      <c r="L2682" s="2" t="s">
        <v>64</v>
      </c>
      <c r="M2682" s="3"/>
    </row>
    <row r="2683" spans="1:13" x14ac:dyDescent="0.3">
      <c r="A2683" s="2">
        <v>2682</v>
      </c>
      <c r="B2683" s="2" t="s">
        <v>4984</v>
      </c>
      <c r="C2683" s="2" t="s">
        <v>5850</v>
      </c>
      <c r="D2683" s="2" t="s">
        <v>28</v>
      </c>
      <c r="E2683" s="2" t="s">
        <v>29</v>
      </c>
      <c r="F2683" s="2">
        <v>60</v>
      </c>
      <c r="G2683" s="2" t="s">
        <v>6830</v>
      </c>
      <c r="H2683" s="2" t="s">
        <v>2498</v>
      </c>
      <c r="I2683" s="2" t="s">
        <v>913</v>
      </c>
      <c r="J2683" s="3">
        <v>44676</v>
      </c>
      <c r="K2683" s="2">
        <v>105</v>
      </c>
      <c r="L2683" s="2" t="s">
        <v>70</v>
      </c>
      <c r="M2683" s="3"/>
    </row>
    <row r="2684" spans="1:13" x14ac:dyDescent="0.3">
      <c r="A2684" s="2">
        <v>2683</v>
      </c>
      <c r="B2684" s="2" t="s">
        <v>3443</v>
      </c>
      <c r="C2684" s="2" t="s">
        <v>35</v>
      </c>
      <c r="D2684" s="2" t="s">
        <v>28</v>
      </c>
      <c r="E2684" s="2" t="s">
        <v>29</v>
      </c>
      <c r="F2684" s="2">
        <v>90</v>
      </c>
      <c r="G2684" s="2" t="s">
        <v>6831</v>
      </c>
      <c r="H2684" s="2" t="s">
        <v>1785</v>
      </c>
      <c r="I2684" s="2" t="s">
        <v>32</v>
      </c>
      <c r="J2684" s="3">
        <v>44748</v>
      </c>
      <c r="K2684" s="2">
        <v>68</v>
      </c>
      <c r="L2684" s="2" t="s">
        <v>45</v>
      </c>
      <c r="M2684" s="3"/>
    </row>
    <row r="2685" spans="1:13" x14ac:dyDescent="0.3">
      <c r="A2685" s="2">
        <v>2684</v>
      </c>
      <c r="B2685" s="2" t="s">
        <v>2750</v>
      </c>
      <c r="C2685" s="2" t="s">
        <v>4473</v>
      </c>
      <c r="D2685" s="2" t="s">
        <v>28</v>
      </c>
      <c r="E2685" s="2" t="s">
        <v>29</v>
      </c>
      <c r="F2685" s="2">
        <v>60</v>
      </c>
      <c r="G2685" s="2" t="s">
        <v>6832</v>
      </c>
      <c r="H2685" s="2" t="s">
        <v>2831</v>
      </c>
      <c r="I2685" s="2" t="s">
        <v>32</v>
      </c>
      <c r="J2685" s="3">
        <v>44293</v>
      </c>
      <c r="K2685" s="2">
        <v>73</v>
      </c>
      <c r="L2685" s="2" t="s">
        <v>20</v>
      </c>
      <c r="M2685" s="3"/>
    </row>
    <row r="2686" spans="1:13" x14ac:dyDescent="0.3">
      <c r="A2686" s="2">
        <v>2685</v>
      </c>
      <c r="B2686" s="2" t="s">
        <v>6833</v>
      </c>
      <c r="C2686" s="2" t="s">
        <v>3719</v>
      </c>
      <c r="D2686" s="2" t="s">
        <v>15</v>
      </c>
      <c r="E2686" s="2" t="s">
        <v>16</v>
      </c>
      <c r="F2686" s="2">
        <v>90</v>
      </c>
      <c r="G2686" s="2" t="s">
        <v>6832</v>
      </c>
      <c r="H2686" s="2" t="s">
        <v>1107</v>
      </c>
      <c r="I2686" s="2" t="s">
        <v>32</v>
      </c>
      <c r="J2686" s="3">
        <v>44098</v>
      </c>
      <c r="K2686" s="2">
        <v>44</v>
      </c>
      <c r="L2686" s="2" t="s">
        <v>159</v>
      </c>
      <c r="M2686" s="3"/>
    </row>
    <row r="2687" spans="1:13" x14ac:dyDescent="0.3">
      <c r="A2687" s="2">
        <v>2686</v>
      </c>
      <c r="B2687" s="2" t="s">
        <v>1312</v>
      </c>
      <c r="C2687" s="2" t="s">
        <v>4396</v>
      </c>
      <c r="D2687" s="2" t="s">
        <v>28</v>
      </c>
      <c r="E2687" s="2" t="s">
        <v>29</v>
      </c>
      <c r="F2687" s="2">
        <v>60</v>
      </c>
      <c r="G2687" s="2" t="s">
        <v>6834</v>
      </c>
      <c r="H2687" s="2" t="s">
        <v>4451</v>
      </c>
      <c r="I2687" s="2" t="s">
        <v>32</v>
      </c>
      <c r="J2687" s="3">
        <v>44554</v>
      </c>
      <c r="K2687" s="2">
        <v>14</v>
      </c>
      <c r="L2687" s="2" t="s">
        <v>54</v>
      </c>
      <c r="M2687" s="3"/>
    </row>
    <row r="2688" spans="1:13" x14ac:dyDescent="0.3">
      <c r="A2688" s="2">
        <v>2687</v>
      </c>
      <c r="B2688" s="2" t="s">
        <v>6835</v>
      </c>
      <c r="C2688" s="2" t="s">
        <v>6247</v>
      </c>
      <c r="D2688" s="2" t="s">
        <v>28</v>
      </c>
      <c r="E2688" s="2" t="s">
        <v>29</v>
      </c>
      <c r="F2688" s="2">
        <v>60</v>
      </c>
      <c r="G2688" s="2" t="s">
        <v>6836</v>
      </c>
      <c r="H2688" s="2" t="s">
        <v>746</v>
      </c>
      <c r="I2688" s="2" t="s">
        <v>32</v>
      </c>
      <c r="J2688" s="3">
        <v>44367</v>
      </c>
      <c r="K2688" s="2">
        <v>45</v>
      </c>
      <c r="L2688" s="2" t="s">
        <v>80</v>
      </c>
      <c r="M2688" s="3"/>
    </row>
    <row r="2689" spans="1:13" x14ac:dyDescent="0.3">
      <c r="A2689" s="2">
        <v>2688</v>
      </c>
      <c r="B2689" s="2" t="s">
        <v>6837</v>
      </c>
      <c r="C2689" s="2" t="s">
        <v>3808</v>
      </c>
      <c r="D2689" s="2" t="s">
        <v>28</v>
      </c>
      <c r="E2689" s="2" t="s">
        <v>29</v>
      </c>
      <c r="F2689" s="2">
        <v>90</v>
      </c>
      <c r="G2689" s="2" t="s">
        <v>6838</v>
      </c>
      <c r="H2689" s="2" t="s">
        <v>6839</v>
      </c>
      <c r="I2689" s="2" t="s">
        <v>187</v>
      </c>
      <c r="J2689" s="3">
        <v>44885</v>
      </c>
      <c r="K2689" s="2">
        <v>18</v>
      </c>
      <c r="L2689" s="2" t="s">
        <v>39</v>
      </c>
      <c r="M2689" s="3"/>
    </row>
    <row r="2690" spans="1:13" x14ac:dyDescent="0.3">
      <c r="A2690" s="2">
        <v>2689</v>
      </c>
      <c r="B2690" s="2" t="s">
        <v>6532</v>
      </c>
      <c r="C2690" s="2" t="s">
        <v>4960</v>
      </c>
      <c r="D2690" s="2" t="s">
        <v>28</v>
      </c>
      <c r="E2690" s="2" t="s">
        <v>29</v>
      </c>
      <c r="F2690" s="2">
        <v>30</v>
      </c>
      <c r="G2690" s="2" t="s">
        <v>6840</v>
      </c>
      <c r="H2690" s="2" t="s">
        <v>5794</v>
      </c>
      <c r="I2690" s="2" t="s">
        <v>294</v>
      </c>
      <c r="J2690" s="3">
        <v>44767</v>
      </c>
      <c r="K2690" s="2">
        <v>83</v>
      </c>
      <c r="L2690" s="2" t="s">
        <v>39</v>
      </c>
      <c r="M2690" s="3"/>
    </row>
    <row r="2691" spans="1:13" x14ac:dyDescent="0.3">
      <c r="A2691" s="2">
        <v>2690</v>
      </c>
      <c r="B2691" s="2" t="s">
        <v>6841</v>
      </c>
      <c r="C2691" s="2" t="s">
        <v>6651</v>
      </c>
      <c r="D2691" s="2" t="s">
        <v>28</v>
      </c>
      <c r="E2691" s="2" t="s">
        <v>29</v>
      </c>
      <c r="F2691" s="2">
        <v>30</v>
      </c>
      <c r="G2691" s="2" t="s">
        <v>6842</v>
      </c>
      <c r="H2691" s="2" t="s">
        <v>266</v>
      </c>
      <c r="I2691" s="2" t="s">
        <v>32</v>
      </c>
      <c r="J2691" s="3">
        <v>44444</v>
      </c>
      <c r="K2691" s="2">
        <v>41</v>
      </c>
      <c r="L2691" s="2" t="s">
        <v>159</v>
      </c>
      <c r="M2691" s="3"/>
    </row>
    <row r="2692" spans="1:13" x14ac:dyDescent="0.3">
      <c r="A2692" s="2">
        <v>2691</v>
      </c>
      <c r="B2692" s="2" t="s">
        <v>6843</v>
      </c>
      <c r="C2692" s="2" t="s">
        <v>3956</v>
      </c>
      <c r="D2692" s="2" t="s">
        <v>51</v>
      </c>
      <c r="E2692" s="2" t="s">
        <v>16</v>
      </c>
      <c r="F2692" s="2">
        <v>90</v>
      </c>
      <c r="G2692" s="2" t="s">
        <v>6844</v>
      </c>
      <c r="H2692" s="2" t="s">
        <v>2667</v>
      </c>
      <c r="I2692" s="2" t="s">
        <v>187</v>
      </c>
      <c r="J2692" s="3">
        <v>44468</v>
      </c>
      <c r="K2692" s="2">
        <v>73</v>
      </c>
      <c r="L2692" s="2" t="s">
        <v>80</v>
      </c>
      <c r="M2692" s="3"/>
    </row>
    <row r="2693" spans="1:13" x14ac:dyDescent="0.3">
      <c r="A2693" s="2">
        <v>2692</v>
      </c>
      <c r="B2693" s="2" t="s">
        <v>6845</v>
      </c>
      <c r="C2693" s="2" t="s">
        <v>1459</v>
      </c>
      <c r="D2693" s="2" t="s">
        <v>15</v>
      </c>
      <c r="E2693" s="2" t="s">
        <v>16</v>
      </c>
      <c r="F2693" s="2">
        <v>90</v>
      </c>
      <c r="G2693" s="2" t="s">
        <v>6846</v>
      </c>
      <c r="H2693" s="2" t="s">
        <v>685</v>
      </c>
      <c r="I2693" s="2" t="s">
        <v>686</v>
      </c>
      <c r="J2693" s="3">
        <v>44024</v>
      </c>
      <c r="K2693" s="2">
        <v>77</v>
      </c>
      <c r="L2693" s="2" t="s">
        <v>64</v>
      </c>
      <c r="M2693" s="3"/>
    </row>
    <row r="2694" spans="1:13" x14ac:dyDescent="0.3">
      <c r="A2694" s="2">
        <v>2693</v>
      </c>
      <c r="B2694" s="2" t="s">
        <v>6847</v>
      </c>
      <c r="C2694" s="2" t="s">
        <v>1428</v>
      </c>
      <c r="D2694" s="2" t="s">
        <v>51</v>
      </c>
      <c r="E2694" s="2" t="s">
        <v>16</v>
      </c>
      <c r="F2694" s="2">
        <v>30</v>
      </c>
      <c r="G2694" s="2" t="s">
        <v>6848</v>
      </c>
      <c r="H2694" s="2" t="s">
        <v>6849</v>
      </c>
      <c r="I2694" s="2" t="s">
        <v>32</v>
      </c>
      <c r="J2694" s="3">
        <v>44823</v>
      </c>
      <c r="K2694" s="2">
        <v>27</v>
      </c>
      <c r="L2694" s="2" t="s">
        <v>45</v>
      </c>
      <c r="M2694" s="3"/>
    </row>
    <row r="2695" spans="1:13" x14ac:dyDescent="0.3">
      <c r="A2695" s="2">
        <v>2694</v>
      </c>
      <c r="B2695" s="2" t="s">
        <v>127</v>
      </c>
      <c r="C2695" s="2" t="s">
        <v>3712</v>
      </c>
      <c r="D2695" s="2" t="s">
        <v>28</v>
      </c>
      <c r="E2695" s="2" t="s">
        <v>29</v>
      </c>
      <c r="F2695" s="2">
        <v>60</v>
      </c>
      <c r="G2695" s="2" t="s">
        <v>6850</v>
      </c>
      <c r="H2695" s="2" t="s">
        <v>3713</v>
      </c>
      <c r="I2695" s="2" t="s">
        <v>32</v>
      </c>
      <c r="J2695" s="3">
        <v>43965</v>
      </c>
      <c r="K2695" s="2">
        <v>55</v>
      </c>
      <c r="L2695" s="2" t="s">
        <v>64</v>
      </c>
      <c r="M2695" s="3"/>
    </row>
    <row r="2696" spans="1:13" x14ac:dyDescent="0.3">
      <c r="A2696" s="2">
        <v>2695</v>
      </c>
      <c r="B2696" s="2" t="s">
        <v>6492</v>
      </c>
      <c r="C2696" s="2" t="s">
        <v>4420</v>
      </c>
      <c r="D2696" s="2" t="s">
        <v>28</v>
      </c>
      <c r="E2696" s="2" t="s">
        <v>29</v>
      </c>
      <c r="F2696" s="2">
        <v>90</v>
      </c>
      <c r="G2696" s="2" t="s">
        <v>6851</v>
      </c>
      <c r="H2696" s="2" t="s">
        <v>4849</v>
      </c>
      <c r="I2696" s="2" t="s">
        <v>294</v>
      </c>
      <c r="J2696" s="3">
        <v>43933</v>
      </c>
      <c r="K2696" s="2">
        <v>35</v>
      </c>
      <c r="L2696" s="2" t="s">
        <v>33</v>
      </c>
      <c r="M2696" s="3"/>
    </row>
    <row r="2697" spans="1:13" x14ac:dyDescent="0.3">
      <c r="A2697" s="2">
        <v>2696</v>
      </c>
      <c r="B2697" s="2" t="s">
        <v>3366</v>
      </c>
      <c r="C2697" s="2" t="s">
        <v>6852</v>
      </c>
      <c r="D2697" s="2" t="s">
        <v>28</v>
      </c>
      <c r="E2697" s="2" t="s">
        <v>29</v>
      </c>
      <c r="F2697" s="2">
        <v>30</v>
      </c>
      <c r="G2697" s="2" t="s">
        <v>6853</v>
      </c>
      <c r="H2697" s="2" t="s">
        <v>5803</v>
      </c>
      <c r="I2697" s="2" t="s">
        <v>294</v>
      </c>
      <c r="J2697" s="3">
        <v>43969</v>
      </c>
      <c r="K2697" s="2">
        <v>33</v>
      </c>
      <c r="L2697" s="2" t="s">
        <v>64</v>
      </c>
      <c r="M2697" s="3"/>
    </row>
    <row r="2698" spans="1:13" x14ac:dyDescent="0.3">
      <c r="A2698" s="2">
        <v>2697</v>
      </c>
      <c r="B2698" s="2" t="s">
        <v>276</v>
      </c>
      <c r="C2698" s="2" t="s">
        <v>6190</v>
      </c>
      <c r="D2698" s="2" t="s">
        <v>51</v>
      </c>
      <c r="E2698" s="2" t="s">
        <v>16</v>
      </c>
      <c r="F2698" s="2">
        <v>30</v>
      </c>
      <c r="G2698" s="2" t="s">
        <v>6854</v>
      </c>
      <c r="H2698" s="2" t="s">
        <v>4277</v>
      </c>
      <c r="I2698" s="2" t="s">
        <v>32</v>
      </c>
      <c r="J2698" s="3">
        <v>44386</v>
      </c>
      <c r="K2698" s="2">
        <v>58</v>
      </c>
      <c r="L2698" s="2" t="s">
        <v>70</v>
      </c>
      <c r="M2698" s="3"/>
    </row>
    <row r="2699" spans="1:13" x14ac:dyDescent="0.3">
      <c r="A2699" s="2">
        <v>2698</v>
      </c>
      <c r="B2699" s="2" t="s">
        <v>1316</v>
      </c>
      <c r="C2699" s="2" t="s">
        <v>1278</v>
      </c>
      <c r="D2699" s="2" t="s">
        <v>28</v>
      </c>
      <c r="E2699" s="2" t="s">
        <v>29</v>
      </c>
      <c r="F2699" s="2">
        <v>60</v>
      </c>
      <c r="G2699" s="2" t="s">
        <v>6855</v>
      </c>
      <c r="H2699" s="2" t="s">
        <v>389</v>
      </c>
      <c r="I2699" s="2" t="s">
        <v>32</v>
      </c>
      <c r="J2699" s="3">
        <v>44778</v>
      </c>
      <c r="K2699" s="2">
        <v>14</v>
      </c>
      <c r="L2699" s="2" t="s">
        <v>80</v>
      </c>
      <c r="M2699" s="3"/>
    </row>
    <row r="2700" spans="1:13" x14ac:dyDescent="0.3">
      <c r="A2700" s="2">
        <v>2699</v>
      </c>
      <c r="B2700" s="2" t="s">
        <v>5659</v>
      </c>
      <c r="C2700" s="2" t="s">
        <v>2448</v>
      </c>
      <c r="D2700" s="2" t="s">
        <v>41</v>
      </c>
      <c r="E2700" s="2" t="s">
        <v>16</v>
      </c>
      <c r="F2700" s="2">
        <v>60</v>
      </c>
      <c r="G2700" s="2" t="s">
        <v>6856</v>
      </c>
      <c r="H2700" s="2" t="s">
        <v>1956</v>
      </c>
      <c r="I2700" s="2" t="s">
        <v>32</v>
      </c>
      <c r="J2700" s="3">
        <v>44915</v>
      </c>
      <c r="K2700" s="2">
        <v>72</v>
      </c>
      <c r="L2700" s="2" t="s">
        <v>45</v>
      </c>
      <c r="M2700" s="3"/>
    </row>
    <row r="2701" spans="1:13" x14ac:dyDescent="0.3">
      <c r="A2701" s="2">
        <v>2700</v>
      </c>
      <c r="B2701" s="2" t="s">
        <v>523</v>
      </c>
      <c r="C2701" s="2" t="s">
        <v>1746</v>
      </c>
      <c r="D2701" s="2" t="s">
        <v>51</v>
      </c>
      <c r="E2701" s="2" t="s">
        <v>16</v>
      </c>
      <c r="F2701" s="2">
        <v>30</v>
      </c>
      <c r="G2701" s="2" t="s">
        <v>6857</v>
      </c>
      <c r="H2701" s="2" t="s">
        <v>641</v>
      </c>
      <c r="I2701" s="2" t="s">
        <v>294</v>
      </c>
      <c r="J2701" s="3">
        <v>44435</v>
      </c>
      <c r="K2701" s="2">
        <v>81</v>
      </c>
      <c r="L2701" s="2" t="s">
        <v>39</v>
      </c>
      <c r="M2701" s="3"/>
    </row>
    <row r="2702" spans="1:13" x14ac:dyDescent="0.3">
      <c r="A2702" s="2">
        <v>2701</v>
      </c>
      <c r="B2702" s="2" t="s">
        <v>6858</v>
      </c>
      <c r="C2702" s="2" t="s">
        <v>1392</v>
      </c>
      <c r="D2702" s="2" t="s">
        <v>28</v>
      </c>
      <c r="E2702" s="2" t="s">
        <v>29</v>
      </c>
      <c r="F2702" s="2">
        <v>90</v>
      </c>
      <c r="G2702" s="2" t="s">
        <v>6859</v>
      </c>
      <c r="H2702" s="2" t="s">
        <v>2890</v>
      </c>
      <c r="I2702" s="2" t="s">
        <v>32</v>
      </c>
      <c r="J2702" s="3">
        <v>44718</v>
      </c>
      <c r="K2702" s="2">
        <v>27</v>
      </c>
      <c r="L2702" s="2" t="s">
        <v>80</v>
      </c>
      <c r="M2702" s="3"/>
    </row>
    <row r="2703" spans="1:13" x14ac:dyDescent="0.3">
      <c r="A2703" s="2">
        <v>2702</v>
      </c>
      <c r="B2703" s="2" t="s">
        <v>6860</v>
      </c>
      <c r="C2703" s="2" t="s">
        <v>2795</v>
      </c>
      <c r="D2703" s="2" t="s">
        <v>15</v>
      </c>
      <c r="E2703" s="2" t="s">
        <v>16</v>
      </c>
      <c r="F2703" s="2">
        <v>90</v>
      </c>
      <c r="G2703" s="2" t="s">
        <v>6861</v>
      </c>
      <c r="H2703" s="2" t="s">
        <v>5736</v>
      </c>
      <c r="I2703" s="2" t="s">
        <v>95</v>
      </c>
      <c r="J2703" s="3">
        <v>44803</v>
      </c>
      <c r="K2703" s="2">
        <v>76</v>
      </c>
      <c r="L2703" s="2" t="s">
        <v>39</v>
      </c>
      <c r="M2703" s="3"/>
    </row>
    <row r="2704" spans="1:13" x14ac:dyDescent="0.3">
      <c r="A2704" s="2">
        <v>2703</v>
      </c>
      <c r="B2704" s="2" t="s">
        <v>6862</v>
      </c>
      <c r="C2704" s="2" t="s">
        <v>2928</v>
      </c>
      <c r="D2704" s="2" t="s">
        <v>51</v>
      </c>
      <c r="E2704" s="2" t="s">
        <v>16</v>
      </c>
      <c r="F2704" s="2">
        <v>30</v>
      </c>
      <c r="G2704" s="2" t="s">
        <v>6863</v>
      </c>
      <c r="H2704" s="2" t="s">
        <v>881</v>
      </c>
      <c r="I2704" s="2" t="s">
        <v>178</v>
      </c>
      <c r="J2704" s="3">
        <v>44509</v>
      </c>
      <c r="K2704" s="2">
        <v>24</v>
      </c>
      <c r="L2704" s="2" t="s">
        <v>54</v>
      </c>
      <c r="M2704" s="3"/>
    </row>
    <row r="2705" spans="1:13" x14ac:dyDescent="0.3">
      <c r="A2705" s="2">
        <v>2704</v>
      </c>
      <c r="B2705" s="2" t="s">
        <v>6864</v>
      </c>
      <c r="C2705" s="2" t="s">
        <v>6865</v>
      </c>
      <c r="D2705" s="2" t="s">
        <v>51</v>
      </c>
      <c r="E2705" s="2" t="s">
        <v>16</v>
      </c>
      <c r="F2705" s="2">
        <v>60</v>
      </c>
      <c r="G2705" s="2" t="s">
        <v>6863</v>
      </c>
      <c r="H2705" s="2" t="s">
        <v>6050</v>
      </c>
      <c r="I2705" s="2" t="s">
        <v>1199</v>
      </c>
      <c r="J2705" s="3">
        <v>44856</v>
      </c>
      <c r="K2705" s="2">
        <v>53</v>
      </c>
      <c r="L2705" s="2" t="s">
        <v>33</v>
      </c>
      <c r="M2705" s="3"/>
    </row>
    <row r="2706" spans="1:13" x14ac:dyDescent="0.3">
      <c r="A2706" s="2">
        <v>2705</v>
      </c>
      <c r="B2706" s="2" t="s">
        <v>3902</v>
      </c>
      <c r="C2706" s="2" t="s">
        <v>14</v>
      </c>
      <c r="D2706" s="2" t="s">
        <v>28</v>
      </c>
      <c r="E2706" s="2" t="s">
        <v>29</v>
      </c>
      <c r="F2706" s="2">
        <v>30</v>
      </c>
      <c r="G2706" s="2" t="s">
        <v>6866</v>
      </c>
      <c r="H2706" s="2" t="s">
        <v>1494</v>
      </c>
      <c r="I2706" s="2" t="s">
        <v>32</v>
      </c>
      <c r="J2706" s="3">
        <v>44248</v>
      </c>
      <c r="K2706" s="2">
        <v>95</v>
      </c>
      <c r="L2706" s="2" t="s">
        <v>33</v>
      </c>
      <c r="M2706" s="3"/>
    </row>
    <row r="2707" spans="1:13" x14ac:dyDescent="0.3">
      <c r="A2707" s="2">
        <v>2706</v>
      </c>
      <c r="B2707" s="2" t="s">
        <v>5856</v>
      </c>
      <c r="C2707" s="2" t="s">
        <v>3938</v>
      </c>
      <c r="D2707" s="2" t="s">
        <v>28</v>
      </c>
      <c r="E2707" s="2" t="s">
        <v>29</v>
      </c>
      <c r="F2707" s="2">
        <v>90</v>
      </c>
      <c r="G2707" s="2" t="s">
        <v>6867</v>
      </c>
      <c r="H2707" s="2" t="s">
        <v>6659</v>
      </c>
      <c r="I2707" s="2" t="s">
        <v>208</v>
      </c>
      <c r="J2707" s="3">
        <v>44064</v>
      </c>
      <c r="K2707" s="2">
        <v>49</v>
      </c>
      <c r="L2707" s="2" t="s">
        <v>64</v>
      </c>
      <c r="M2707" s="3"/>
    </row>
    <row r="2708" spans="1:13" x14ac:dyDescent="0.3">
      <c r="A2708" s="2">
        <v>2707</v>
      </c>
      <c r="B2708" s="2" t="s">
        <v>5960</v>
      </c>
      <c r="C2708" s="2" t="s">
        <v>1721</v>
      </c>
      <c r="D2708" s="2" t="s">
        <v>28</v>
      </c>
      <c r="E2708" s="2" t="s">
        <v>29</v>
      </c>
      <c r="F2708" s="2">
        <v>90</v>
      </c>
      <c r="G2708" s="2" t="s">
        <v>6868</v>
      </c>
      <c r="H2708" s="2" t="s">
        <v>2851</v>
      </c>
      <c r="I2708" s="2" t="s">
        <v>32</v>
      </c>
      <c r="J2708" s="3">
        <v>44099</v>
      </c>
      <c r="K2708" s="2">
        <v>37</v>
      </c>
      <c r="L2708" s="2" t="s">
        <v>20</v>
      </c>
      <c r="M2708" s="3"/>
    </row>
    <row r="2709" spans="1:13" x14ac:dyDescent="0.3">
      <c r="A2709" s="2">
        <v>2708</v>
      </c>
      <c r="B2709" s="2" t="s">
        <v>6869</v>
      </c>
      <c r="C2709" s="2" t="s">
        <v>5645</v>
      </c>
      <c r="D2709" s="2" t="s">
        <v>51</v>
      </c>
      <c r="E2709" s="2" t="s">
        <v>16</v>
      </c>
      <c r="F2709" s="2">
        <v>60</v>
      </c>
      <c r="G2709" s="2" t="s">
        <v>6868</v>
      </c>
      <c r="H2709" s="2" t="s">
        <v>432</v>
      </c>
      <c r="I2709" s="2" t="s">
        <v>32</v>
      </c>
      <c r="J2709" s="3">
        <v>44124</v>
      </c>
      <c r="K2709" s="2">
        <v>13</v>
      </c>
      <c r="L2709" s="2" t="s">
        <v>33</v>
      </c>
      <c r="M2709" s="3"/>
    </row>
    <row r="2710" spans="1:13" x14ac:dyDescent="0.3">
      <c r="A2710" s="2">
        <v>2709</v>
      </c>
      <c r="B2710" s="2" t="s">
        <v>6870</v>
      </c>
      <c r="C2710" s="2" t="s">
        <v>1717</v>
      </c>
      <c r="D2710" s="2" t="s">
        <v>15</v>
      </c>
      <c r="E2710" s="2" t="s">
        <v>16</v>
      </c>
      <c r="F2710" s="2">
        <v>30</v>
      </c>
      <c r="G2710" s="2" t="s">
        <v>6871</v>
      </c>
      <c r="H2710" s="2" t="s">
        <v>1598</v>
      </c>
      <c r="I2710" s="2" t="s">
        <v>32</v>
      </c>
      <c r="J2710" s="3">
        <v>44786</v>
      </c>
      <c r="K2710" s="2">
        <v>71</v>
      </c>
      <c r="L2710" s="2" t="s">
        <v>54</v>
      </c>
      <c r="M2710" s="3"/>
    </row>
    <row r="2711" spans="1:13" x14ac:dyDescent="0.3">
      <c r="A2711" s="2">
        <v>2710</v>
      </c>
      <c r="B2711" s="2" t="s">
        <v>580</v>
      </c>
      <c r="C2711" s="2" t="s">
        <v>5138</v>
      </c>
      <c r="D2711" s="2" t="s">
        <v>28</v>
      </c>
      <c r="E2711" s="2" t="s">
        <v>29</v>
      </c>
      <c r="F2711" s="2">
        <v>30</v>
      </c>
      <c r="G2711" s="2" t="s">
        <v>6872</v>
      </c>
      <c r="H2711" s="2" t="s">
        <v>3248</v>
      </c>
      <c r="I2711" s="2" t="s">
        <v>38</v>
      </c>
      <c r="J2711" s="3">
        <v>44067</v>
      </c>
      <c r="K2711" s="2">
        <v>75</v>
      </c>
      <c r="L2711" s="2" t="s">
        <v>33</v>
      </c>
      <c r="M2711" s="3"/>
    </row>
    <row r="2712" spans="1:13" x14ac:dyDescent="0.3">
      <c r="A2712" s="2">
        <v>2711</v>
      </c>
      <c r="B2712" s="2" t="s">
        <v>714</v>
      </c>
      <c r="C2712" s="2" t="s">
        <v>929</v>
      </c>
      <c r="D2712" s="2" t="s">
        <v>28</v>
      </c>
      <c r="E2712" s="2" t="s">
        <v>29</v>
      </c>
      <c r="F2712" s="2">
        <v>60</v>
      </c>
      <c r="G2712" s="2" t="s">
        <v>6873</v>
      </c>
      <c r="H2712" s="2" t="s">
        <v>199</v>
      </c>
      <c r="I2712" s="2" t="s">
        <v>32</v>
      </c>
      <c r="J2712" s="3">
        <v>44801</v>
      </c>
      <c r="K2712" s="2">
        <v>7</v>
      </c>
      <c r="L2712" s="2" t="s">
        <v>64</v>
      </c>
      <c r="M2712" s="3"/>
    </row>
    <row r="2713" spans="1:13" x14ac:dyDescent="0.3">
      <c r="A2713" s="2">
        <v>2712</v>
      </c>
      <c r="B2713" s="2" t="s">
        <v>6874</v>
      </c>
      <c r="C2713" s="2" t="s">
        <v>1121</v>
      </c>
      <c r="D2713" s="2" t="s">
        <v>15</v>
      </c>
      <c r="E2713" s="2" t="s">
        <v>16</v>
      </c>
      <c r="F2713" s="2">
        <v>60</v>
      </c>
      <c r="G2713" s="2" t="s">
        <v>6875</v>
      </c>
      <c r="H2713" s="2" t="s">
        <v>1306</v>
      </c>
      <c r="I2713" s="2" t="s">
        <v>32</v>
      </c>
      <c r="J2713" s="3">
        <v>43984</v>
      </c>
      <c r="K2713" s="2">
        <v>57</v>
      </c>
      <c r="L2713" s="2" t="s">
        <v>20</v>
      </c>
      <c r="M2713" s="3"/>
    </row>
    <row r="2714" spans="1:13" x14ac:dyDescent="0.3">
      <c r="A2714" s="2">
        <v>2713</v>
      </c>
      <c r="B2714" s="2" t="s">
        <v>4241</v>
      </c>
      <c r="C2714" s="2" t="s">
        <v>808</v>
      </c>
      <c r="D2714" s="2" t="s">
        <v>51</v>
      </c>
      <c r="E2714" s="2" t="s">
        <v>16</v>
      </c>
      <c r="F2714" s="2">
        <v>60</v>
      </c>
      <c r="G2714" s="2" t="s">
        <v>6876</v>
      </c>
      <c r="H2714" s="2" t="s">
        <v>5025</v>
      </c>
      <c r="I2714" s="2" t="s">
        <v>32</v>
      </c>
      <c r="J2714" s="3">
        <v>44277</v>
      </c>
      <c r="K2714" s="2">
        <v>21</v>
      </c>
      <c r="L2714" s="2" t="s">
        <v>70</v>
      </c>
      <c r="M2714" s="3"/>
    </row>
    <row r="2715" spans="1:13" x14ac:dyDescent="0.3">
      <c r="A2715" s="2">
        <v>2714</v>
      </c>
      <c r="B2715" s="2" t="s">
        <v>6877</v>
      </c>
      <c r="C2715" s="2" t="s">
        <v>762</v>
      </c>
      <c r="D2715" s="2" t="s">
        <v>15</v>
      </c>
      <c r="E2715" s="2" t="s">
        <v>16</v>
      </c>
      <c r="F2715" s="2">
        <v>90</v>
      </c>
      <c r="G2715" s="2" t="s">
        <v>6878</v>
      </c>
      <c r="H2715" s="2" t="s">
        <v>1598</v>
      </c>
      <c r="I2715" s="2" t="s">
        <v>32</v>
      </c>
      <c r="J2715" s="3">
        <v>44496</v>
      </c>
      <c r="K2715" s="2">
        <v>2</v>
      </c>
      <c r="L2715" s="2" t="s">
        <v>33</v>
      </c>
      <c r="M2715" s="3"/>
    </row>
    <row r="2716" spans="1:13" x14ac:dyDescent="0.3">
      <c r="A2716" s="2">
        <v>2715</v>
      </c>
      <c r="B2716" s="2" t="s">
        <v>1816</v>
      </c>
      <c r="C2716" s="2" t="s">
        <v>1222</v>
      </c>
      <c r="D2716" s="2" t="s">
        <v>51</v>
      </c>
      <c r="E2716" s="2" t="s">
        <v>16</v>
      </c>
      <c r="F2716" s="2">
        <v>90</v>
      </c>
      <c r="G2716" s="2" t="s">
        <v>6879</v>
      </c>
      <c r="H2716" s="2" t="s">
        <v>6880</v>
      </c>
      <c r="I2716" s="2" t="s">
        <v>32</v>
      </c>
      <c r="J2716" s="3">
        <v>44087</v>
      </c>
      <c r="K2716" s="2">
        <v>69</v>
      </c>
      <c r="L2716" s="2" t="s">
        <v>39</v>
      </c>
      <c r="M2716" s="3"/>
    </row>
    <row r="2717" spans="1:13" x14ac:dyDescent="0.3">
      <c r="A2717" s="2">
        <v>2716</v>
      </c>
      <c r="B2717" s="2" t="s">
        <v>5015</v>
      </c>
      <c r="C2717" s="2" t="s">
        <v>61</v>
      </c>
      <c r="D2717" s="2" t="s">
        <v>28</v>
      </c>
      <c r="E2717" s="2" t="s">
        <v>29</v>
      </c>
      <c r="F2717" s="2">
        <v>30</v>
      </c>
      <c r="G2717" s="2" t="s">
        <v>6881</v>
      </c>
      <c r="H2717" s="2" t="s">
        <v>2069</v>
      </c>
      <c r="I2717" s="2" t="s">
        <v>1035</v>
      </c>
      <c r="J2717" s="3">
        <v>44050</v>
      </c>
      <c r="K2717" s="2">
        <v>62</v>
      </c>
      <c r="L2717" s="2" t="s">
        <v>45</v>
      </c>
      <c r="M2717" s="3"/>
    </row>
    <row r="2718" spans="1:13" x14ac:dyDescent="0.3">
      <c r="A2718" s="2">
        <v>2717</v>
      </c>
      <c r="B2718" s="2" t="s">
        <v>6882</v>
      </c>
      <c r="C2718" s="2" t="s">
        <v>1101</v>
      </c>
      <c r="D2718" s="2" t="s">
        <v>28</v>
      </c>
      <c r="E2718" s="2" t="s">
        <v>29</v>
      </c>
      <c r="F2718" s="2">
        <v>90</v>
      </c>
      <c r="G2718" s="2" t="s">
        <v>6883</v>
      </c>
      <c r="H2718" s="2" t="s">
        <v>738</v>
      </c>
      <c r="I2718" s="2" t="s">
        <v>38</v>
      </c>
      <c r="J2718" s="3">
        <v>44673</v>
      </c>
      <c r="K2718" s="2">
        <v>96</v>
      </c>
      <c r="L2718" s="2" t="s">
        <v>54</v>
      </c>
      <c r="M2718" s="3"/>
    </row>
    <row r="2719" spans="1:13" x14ac:dyDescent="0.3">
      <c r="A2719" s="2">
        <v>2718</v>
      </c>
      <c r="B2719" s="2" t="s">
        <v>6884</v>
      </c>
      <c r="C2719" s="2" t="s">
        <v>5215</v>
      </c>
      <c r="D2719" s="2" t="s">
        <v>51</v>
      </c>
      <c r="E2719" s="2" t="s">
        <v>16</v>
      </c>
      <c r="F2719" s="2">
        <v>30</v>
      </c>
      <c r="G2719" s="2" t="s">
        <v>6885</v>
      </c>
      <c r="H2719" s="2" t="s">
        <v>3558</v>
      </c>
      <c r="I2719" s="2" t="s">
        <v>32</v>
      </c>
      <c r="J2719" s="3">
        <v>44119</v>
      </c>
      <c r="K2719" s="2">
        <v>7</v>
      </c>
      <c r="L2719" s="2" t="s">
        <v>101</v>
      </c>
      <c r="M2719" s="3"/>
    </row>
    <row r="2720" spans="1:13" x14ac:dyDescent="0.3">
      <c r="A2720" s="2">
        <v>2719</v>
      </c>
      <c r="B2720" s="2" t="s">
        <v>471</v>
      </c>
      <c r="C2720" s="2" t="s">
        <v>1756</v>
      </c>
      <c r="D2720" s="2" t="s">
        <v>28</v>
      </c>
      <c r="E2720" s="2" t="s">
        <v>29</v>
      </c>
      <c r="F2720" s="2">
        <v>60</v>
      </c>
      <c r="G2720" s="2" t="s">
        <v>6886</v>
      </c>
      <c r="H2720" s="2" t="s">
        <v>4203</v>
      </c>
      <c r="I2720" s="2" t="s">
        <v>208</v>
      </c>
      <c r="J2720" s="3">
        <v>44680</v>
      </c>
      <c r="K2720" s="2">
        <v>55</v>
      </c>
      <c r="L2720" s="2" t="s">
        <v>70</v>
      </c>
      <c r="M2720" s="3"/>
    </row>
    <row r="2721" spans="1:13" x14ac:dyDescent="0.3">
      <c r="A2721" s="2">
        <v>2720</v>
      </c>
      <c r="B2721" s="2" t="s">
        <v>5607</v>
      </c>
      <c r="C2721" s="2" t="s">
        <v>653</v>
      </c>
      <c r="D2721" s="2" t="s">
        <v>15</v>
      </c>
      <c r="E2721" s="2" t="s">
        <v>16</v>
      </c>
      <c r="F2721" s="2">
        <v>60</v>
      </c>
      <c r="G2721" s="2" t="s">
        <v>6887</v>
      </c>
      <c r="H2721" s="2" t="s">
        <v>1911</v>
      </c>
      <c r="I2721" s="2" t="s">
        <v>32</v>
      </c>
      <c r="J2721" s="3">
        <v>44818</v>
      </c>
      <c r="K2721" s="2">
        <v>9</v>
      </c>
      <c r="L2721" s="2" t="s">
        <v>20</v>
      </c>
      <c r="M2721" s="3"/>
    </row>
    <row r="2722" spans="1:13" x14ac:dyDescent="0.3">
      <c r="A2722" s="2">
        <v>2721</v>
      </c>
      <c r="B2722" s="2" t="s">
        <v>6075</v>
      </c>
      <c r="C2722" s="2" t="s">
        <v>6888</v>
      </c>
      <c r="D2722" s="2" t="s">
        <v>28</v>
      </c>
      <c r="E2722" s="2" t="s">
        <v>29</v>
      </c>
      <c r="F2722" s="2">
        <v>90</v>
      </c>
      <c r="G2722" s="2" t="s">
        <v>4811</v>
      </c>
      <c r="H2722" s="2" t="s">
        <v>1276</v>
      </c>
      <c r="I2722" s="2" t="s">
        <v>32</v>
      </c>
      <c r="J2722" s="3">
        <v>44663</v>
      </c>
      <c r="K2722" s="2">
        <v>56</v>
      </c>
      <c r="L2722" s="2" t="s">
        <v>20</v>
      </c>
      <c r="M2722" s="3"/>
    </row>
    <row r="2723" spans="1:13" x14ac:dyDescent="0.3">
      <c r="A2723" s="2">
        <v>2722</v>
      </c>
      <c r="B2723" s="2" t="s">
        <v>6889</v>
      </c>
      <c r="C2723" s="2" t="s">
        <v>6890</v>
      </c>
      <c r="D2723" s="2" t="s">
        <v>51</v>
      </c>
      <c r="E2723" s="2" t="s">
        <v>16</v>
      </c>
      <c r="F2723" s="2">
        <v>90</v>
      </c>
      <c r="G2723" s="2" t="s">
        <v>6891</v>
      </c>
      <c r="H2723" s="2" t="s">
        <v>2265</v>
      </c>
      <c r="I2723" s="2" t="s">
        <v>1083</v>
      </c>
      <c r="J2723" s="3">
        <v>44446</v>
      </c>
      <c r="K2723" s="2">
        <v>6</v>
      </c>
      <c r="L2723" s="2" t="s">
        <v>64</v>
      </c>
      <c r="M2723" s="3"/>
    </row>
    <row r="2724" spans="1:13" x14ac:dyDescent="0.3">
      <c r="A2724" s="2">
        <v>2723</v>
      </c>
      <c r="B2724" s="2" t="s">
        <v>6892</v>
      </c>
      <c r="C2724" s="2" t="s">
        <v>4047</v>
      </c>
      <c r="D2724" s="2" t="s">
        <v>15</v>
      </c>
      <c r="E2724" s="2" t="s">
        <v>16</v>
      </c>
      <c r="F2724" s="2">
        <v>60</v>
      </c>
      <c r="G2724" s="2" t="s">
        <v>6893</v>
      </c>
      <c r="H2724" s="2" t="s">
        <v>615</v>
      </c>
      <c r="I2724" s="2" t="s">
        <v>32</v>
      </c>
      <c r="J2724" s="3">
        <v>44259</v>
      </c>
      <c r="K2724" s="2">
        <v>8</v>
      </c>
      <c r="L2724" s="2" t="s">
        <v>159</v>
      </c>
      <c r="M2724" s="3"/>
    </row>
    <row r="2725" spans="1:13" x14ac:dyDescent="0.3">
      <c r="A2725" s="2">
        <v>2724</v>
      </c>
      <c r="B2725" s="2" t="s">
        <v>6894</v>
      </c>
      <c r="C2725" s="2" t="s">
        <v>4755</v>
      </c>
      <c r="D2725" s="2" t="s">
        <v>15</v>
      </c>
      <c r="E2725" s="2" t="s">
        <v>16</v>
      </c>
      <c r="F2725" s="2">
        <v>60</v>
      </c>
      <c r="G2725" s="2" t="s">
        <v>6895</v>
      </c>
      <c r="H2725" s="2" t="s">
        <v>1001</v>
      </c>
      <c r="I2725" s="2" t="s">
        <v>32</v>
      </c>
      <c r="J2725" s="3">
        <v>43954</v>
      </c>
      <c r="K2725" s="2">
        <v>13</v>
      </c>
      <c r="L2725" s="2" t="s">
        <v>70</v>
      </c>
      <c r="M2725" s="3"/>
    </row>
    <row r="2726" spans="1:13" x14ac:dyDescent="0.3">
      <c r="A2726" s="2">
        <v>2725</v>
      </c>
      <c r="B2726" s="2" t="s">
        <v>6896</v>
      </c>
      <c r="C2726" s="2" t="s">
        <v>3201</v>
      </c>
      <c r="D2726" s="2" t="s">
        <v>41</v>
      </c>
      <c r="E2726" s="2" t="s">
        <v>16</v>
      </c>
      <c r="F2726" s="2">
        <v>30</v>
      </c>
      <c r="G2726" s="2" t="s">
        <v>6897</v>
      </c>
      <c r="H2726" s="2" t="s">
        <v>6551</v>
      </c>
      <c r="I2726" s="2" t="s">
        <v>178</v>
      </c>
      <c r="J2726" s="3">
        <v>44711</v>
      </c>
      <c r="K2726" s="2">
        <v>89</v>
      </c>
      <c r="L2726" s="2" t="s">
        <v>54</v>
      </c>
      <c r="M2726" s="3"/>
    </row>
    <row r="2727" spans="1:13" x14ac:dyDescent="0.3">
      <c r="A2727" s="2">
        <v>2726</v>
      </c>
      <c r="B2727" s="2" t="s">
        <v>1982</v>
      </c>
      <c r="C2727" s="2" t="s">
        <v>1301</v>
      </c>
      <c r="D2727" s="2" t="s">
        <v>28</v>
      </c>
      <c r="E2727" s="2" t="s">
        <v>29</v>
      </c>
      <c r="F2727" s="2">
        <v>60</v>
      </c>
      <c r="G2727" s="2" t="s">
        <v>6898</v>
      </c>
      <c r="H2727" s="2" t="s">
        <v>4853</v>
      </c>
      <c r="I2727" s="2" t="s">
        <v>178</v>
      </c>
      <c r="J2727" s="3">
        <v>44657</v>
      </c>
      <c r="K2727" s="2">
        <v>21</v>
      </c>
      <c r="L2727" s="2" t="s">
        <v>70</v>
      </c>
      <c r="M2727" s="3"/>
    </row>
    <row r="2728" spans="1:13" x14ac:dyDescent="0.3">
      <c r="A2728" s="2">
        <v>2727</v>
      </c>
      <c r="B2728" s="2" t="s">
        <v>6899</v>
      </c>
      <c r="C2728" s="2" t="s">
        <v>5156</v>
      </c>
      <c r="D2728" s="2" t="s">
        <v>28</v>
      </c>
      <c r="E2728" s="2" t="s">
        <v>29</v>
      </c>
      <c r="F2728" s="2">
        <v>30</v>
      </c>
      <c r="G2728" s="2" t="s">
        <v>6900</v>
      </c>
      <c r="H2728" s="2" t="s">
        <v>1005</v>
      </c>
      <c r="I2728" s="2" t="s">
        <v>178</v>
      </c>
      <c r="J2728" s="3">
        <v>44301</v>
      </c>
      <c r="K2728" s="2">
        <v>51</v>
      </c>
      <c r="L2728" s="2" t="s">
        <v>33</v>
      </c>
      <c r="M2728" s="3"/>
    </row>
    <row r="2729" spans="1:13" x14ac:dyDescent="0.3">
      <c r="A2729" s="2">
        <v>2728</v>
      </c>
      <c r="B2729" s="2" t="s">
        <v>1043</v>
      </c>
      <c r="C2729" s="2" t="s">
        <v>1182</v>
      </c>
      <c r="D2729" s="2" t="s">
        <v>51</v>
      </c>
      <c r="E2729" s="2" t="s">
        <v>16</v>
      </c>
      <c r="F2729" s="2">
        <v>30</v>
      </c>
      <c r="G2729" s="2" t="s">
        <v>6901</v>
      </c>
      <c r="H2729" s="2" t="s">
        <v>4100</v>
      </c>
      <c r="I2729" s="2" t="s">
        <v>294</v>
      </c>
      <c r="J2729" s="3">
        <v>44729</v>
      </c>
      <c r="K2729" s="2">
        <v>102</v>
      </c>
      <c r="L2729" s="2" t="s">
        <v>64</v>
      </c>
      <c r="M2729" s="3"/>
    </row>
    <row r="2730" spans="1:13" x14ac:dyDescent="0.3">
      <c r="A2730" s="2">
        <v>2729</v>
      </c>
      <c r="B2730" s="2" t="s">
        <v>6902</v>
      </c>
      <c r="C2730" s="2" t="s">
        <v>2945</v>
      </c>
      <c r="D2730" s="2" t="s">
        <v>15</v>
      </c>
      <c r="E2730" s="2" t="s">
        <v>16</v>
      </c>
      <c r="F2730" s="2">
        <v>90</v>
      </c>
      <c r="G2730" s="2" t="s">
        <v>6903</v>
      </c>
      <c r="H2730" s="2" t="s">
        <v>2133</v>
      </c>
      <c r="I2730" s="2" t="s">
        <v>32</v>
      </c>
      <c r="J2730" s="3">
        <v>44108</v>
      </c>
      <c r="K2730" s="2">
        <v>29</v>
      </c>
      <c r="L2730" s="2" t="s">
        <v>54</v>
      </c>
      <c r="M2730" s="3"/>
    </row>
    <row r="2731" spans="1:13" x14ac:dyDescent="0.3">
      <c r="A2731" s="2">
        <v>2730</v>
      </c>
      <c r="B2731" s="2" t="s">
        <v>2969</v>
      </c>
      <c r="C2731" s="2" t="s">
        <v>2309</v>
      </c>
      <c r="D2731" s="2" t="s">
        <v>15</v>
      </c>
      <c r="E2731" s="2" t="s">
        <v>16</v>
      </c>
      <c r="F2731" s="2">
        <v>90</v>
      </c>
      <c r="G2731" s="2" t="s">
        <v>6904</v>
      </c>
      <c r="H2731" s="2" t="s">
        <v>1206</v>
      </c>
      <c r="I2731" s="2" t="s">
        <v>294</v>
      </c>
      <c r="J2731" s="3">
        <v>43990</v>
      </c>
      <c r="K2731" s="2">
        <v>7</v>
      </c>
      <c r="L2731" s="2" t="s">
        <v>70</v>
      </c>
      <c r="M2731" s="3"/>
    </row>
    <row r="2732" spans="1:13" x14ac:dyDescent="0.3">
      <c r="A2732" s="2">
        <v>2731</v>
      </c>
      <c r="B2732" s="2" t="s">
        <v>2312</v>
      </c>
      <c r="C2732" s="2" t="s">
        <v>5907</v>
      </c>
      <c r="D2732" s="2" t="s">
        <v>28</v>
      </c>
      <c r="E2732" s="2" t="s">
        <v>29</v>
      </c>
      <c r="F2732" s="2">
        <v>30</v>
      </c>
      <c r="G2732" s="2" t="s">
        <v>6905</v>
      </c>
      <c r="H2732" s="2" t="s">
        <v>2376</v>
      </c>
      <c r="I2732" s="2" t="s">
        <v>32</v>
      </c>
      <c r="J2732" s="3">
        <v>44923</v>
      </c>
      <c r="K2732" s="2">
        <v>104</v>
      </c>
      <c r="L2732" s="2" t="s">
        <v>39</v>
      </c>
      <c r="M2732" s="3"/>
    </row>
    <row r="2733" spans="1:13" x14ac:dyDescent="0.3">
      <c r="A2733" s="2">
        <v>2732</v>
      </c>
      <c r="B2733" s="2" t="s">
        <v>6906</v>
      </c>
      <c r="C2733" s="2" t="s">
        <v>1148</v>
      </c>
      <c r="D2733" s="2" t="s">
        <v>28</v>
      </c>
      <c r="E2733" s="2" t="s">
        <v>29</v>
      </c>
      <c r="F2733" s="2">
        <v>60</v>
      </c>
      <c r="G2733" s="2" t="s">
        <v>6905</v>
      </c>
      <c r="H2733" s="2" t="s">
        <v>6907</v>
      </c>
      <c r="I2733" s="2" t="s">
        <v>32</v>
      </c>
      <c r="J2733" s="3">
        <v>44534</v>
      </c>
      <c r="K2733" s="2">
        <v>15</v>
      </c>
      <c r="L2733" s="2" t="s">
        <v>80</v>
      </c>
      <c r="M2733" s="3"/>
    </row>
    <row r="2734" spans="1:13" x14ac:dyDescent="0.3">
      <c r="A2734" s="2">
        <v>2733</v>
      </c>
      <c r="B2734" s="2" t="s">
        <v>6908</v>
      </c>
      <c r="C2734" s="2" t="s">
        <v>97</v>
      </c>
      <c r="D2734" s="2" t="s">
        <v>15</v>
      </c>
      <c r="E2734" s="2" t="s">
        <v>16</v>
      </c>
      <c r="F2734" s="2">
        <v>90</v>
      </c>
      <c r="G2734" s="2" t="s">
        <v>6909</v>
      </c>
      <c r="H2734" s="2" t="s">
        <v>6181</v>
      </c>
      <c r="I2734" s="2" t="s">
        <v>32</v>
      </c>
      <c r="J2734" s="3">
        <v>44565</v>
      </c>
      <c r="K2734" s="2">
        <v>101</v>
      </c>
      <c r="L2734" s="2" t="s">
        <v>80</v>
      </c>
      <c r="M2734" s="3"/>
    </row>
    <row r="2735" spans="1:13" x14ac:dyDescent="0.3">
      <c r="A2735" s="2">
        <v>2734</v>
      </c>
      <c r="B2735" s="2" t="s">
        <v>6910</v>
      </c>
      <c r="C2735" s="2" t="s">
        <v>6730</v>
      </c>
      <c r="D2735" s="2" t="s">
        <v>15</v>
      </c>
      <c r="E2735" s="2" t="s">
        <v>16</v>
      </c>
      <c r="F2735" s="2">
        <v>30</v>
      </c>
      <c r="G2735" s="2" t="s">
        <v>6911</v>
      </c>
      <c r="H2735" s="2" t="s">
        <v>6154</v>
      </c>
      <c r="I2735" s="2" t="s">
        <v>38</v>
      </c>
      <c r="J2735" s="3">
        <v>44119</v>
      </c>
      <c r="K2735" s="2">
        <v>16</v>
      </c>
      <c r="L2735" s="2" t="s">
        <v>70</v>
      </c>
      <c r="M2735" s="3"/>
    </row>
    <row r="2736" spans="1:13" x14ac:dyDescent="0.3">
      <c r="A2736" s="2">
        <v>2735</v>
      </c>
      <c r="B2736" s="2" t="s">
        <v>6912</v>
      </c>
      <c r="C2736" s="2" t="s">
        <v>4416</v>
      </c>
      <c r="D2736" s="2" t="s">
        <v>41</v>
      </c>
      <c r="E2736" s="2" t="s">
        <v>16</v>
      </c>
      <c r="F2736" s="2">
        <v>60</v>
      </c>
      <c r="G2736" s="2" t="s">
        <v>6913</v>
      </c>
      <c r="H2736" s="2" t="s">
        <v>3033</v>
      </c>
      <c r="I2736" s="2" t="s">
        <v>32</v>
      </c>
      <c r="J2736" s="3">
        <v>44496</v>
      </c>
      <c r="K2736" s="2">
        <v>43</v>
      </c>
      <c r="L2736" s="2" t="s">
        <v>45</v>
      </c>
      <c r="M2736" s="3"/>
    </row>
    <row r="2737" spans="1:13" x14ac:dyDescent="0.3">
      <c r="A2737" s="2">
        <v>2736</v>
      </c>
      <c r="B2737" s="2" t="s">
        <v>6091</v>
      </c>
      <c r="C2737" s="2" t="s">
        <v>6793</v>
      </c>
      <c r="D2737" s="2" t="s">
        <v>41</v>
      </c>
      <c r="E2737" s="2" t="s">
        <v>16</v>
      </c>
      <c r="F2737" s="2">
        <v>60</v>
      </c>
      <c r="G2737" s="2" t="s">
        <v>6914</v>
      </c>
      <c r="H2737" s="2" t="s">
        <v>2831</v>
      </c>
      <c r="I2737" s="2" t="s">
        <v>32</v>
      </c>
      <c r="J2737" s="3">
        <v>44880</v>
      </c>
      <c r="K2737" s="2">
        <v>72</v>
      </c>
      <c r="L2737" s="2" t="s">
        <v>159</v>
      </c>
      <c r="M2737" s="3"/>
    </row>
    <row r="2738" spans="1:13" x14ac:dyDescent="0.3">
      <c r="A2738" s="2">
        <v>2737</v>
      </c>
      <c r="B2738" s="2" t="s">
        <v>6915</v>
      </c>
      <c r="C2738" s="2" t="s">
        <v>3848</v>
      </c>
      <c r="D2738" s="2" t="s">
        <v>28</v>
      </c>
      <c r="E2738" s="2" t="s">
        <v>29</v>
      </c>
      <c r="F2738" s="2">
        <v>30</v>
      </c>
      <c r="G2738" s="2" t="s">
        <v>6916</v>
      </c>
      <c r="H2738" s="2" t="s">
        <v>6259</v>
      </c>
      <c r="I2738" s="2" t="s">
        <v>6260</v>
      </c>
      <c r="J2738" s="3">
        <v>44181</v>
      </c>
      <c r="K2738" s="2">
        <v>43</v>
      </c>
      <c r="L2738" s="2" t="s">
        <v>159</v>
      </c>
      <c r="M2738" s="3"/>
    </row>
    <row r="2739" spans="1:13" x14ac:dyDescent="0.3">
      <c r="A2739" s="2">
        <v>2738</v>
      </c>
      <c r="B2739" s="2" t="s">
        <v>4596</v>
      </c>
      <c r="C2739" s="2" t="s">
        <v>6917</v>
      </c>
      <c r="D2739" s="2" t="s">
        <v>28</v>
      </c>
      <c r="E2739" s="2" t="s">
        <v>29</v>
      </c>
      <c r="F2739" s="2">
        <v>90</v>
      </c>
      <c r="G2739" s="2" t="s">
        <v>6918</v>
      </c>
      <c r="H2739" s="2" t="s">
        <v>3682</v>
      </c>
      <c r="I2739" s="2" t="s">
        <v>178</v>
      </c>
      <c r="J2739" s="3">
        <v>44712</v>
      </c>
      <c r="K2739" s="2">
        <v>73</v>
      </c>
      <c r="L2739" s="2" t="s">
        <v>20</v>
      </c>
      <c r="M2739" s="3"/>
    </row>
    <row r="2740" spans="1:13" x14ac:dyDescent="0.3">
      <c r="A2740" s="2">
        <v>2739</v>
      </c>
      <c r="B2740" s="2" t="s">
        <v>3463</v>
      </c>
      <c r="C2740" s="2" t="s">
        <v>6890</v>
      </c>
      <c r="D2740" s="2" t="s">
        <v>28</v>
      </c>
      <c r="E2740" s="2" t="s">
        <v>29</v>
      </c>
      <c r="F2740" s="2">
        <v>60</v>
      </c>
      <c r="G2740" s="2" t="s">
        <v>6918</v>
      </c>
      <c r="H2740" s="2" t="s">
        <v>595</v>
      </c>
      <c r="I2740" s="2" t="s">
        <v>124</v>
      </c>
      <c r="J2740" s="3">
        <v>43894</v>
      </c>
      <c r="K2740" s="2">
        <v>47</v>
      </c>
      <c r="L2740" s="2" t="s">
        <v>101</v>
      </c>
      <c r="M2740" s="3"/>
    </row>
    <row r="2741" spans="1:13" x14ac:dyDescent="0.3">
      <c r="A2741" s="2">
        <v>2740</v>
      </c>
      <c r="B2741" s="2" t="s">
        <v>503</v>
      </c>
      <c r="C2741" s="2" t="s">
        <v>304</v>
      </c>
      <c r="D2741" s="2" t="s">
        <v>51</v>
      </c>
      <c r="E2741" s="2" t="s">
        <v>16</v>
      </c>
      <c r="F2741" s="2">
        <v>90</v>
      </c>
      <c r="G2741" s="2" t="s">
        <v>6919</v>
      </c>
      <c r="H2741" s="2" t="s">
        <v>1915</v>
      </c>
      <c r="I2741" s="2" t="s">
        <v>19</v>
      </c>
      <c r="J2741" s="3">
        <v>44839</v>
      </c>
      <c r="K2741" s="2">
        <v>58</v>
      </c>
      <c r="L2741" s="2" t="s">
        <v>39</v>
      </c>
      <c r="M2741" s="3"/>
    </row>
    <row r="2742" spans="1:13" x14ac:dyDescent="0.3">
      <c r="A2742" s="2">
        <v>2741</v>
      </c>
      <c r="B2742" s="2" t="s">
        <v>714</v>
      </c>
      <c r="C2742" s="2" t="s">
        <v>2995</v>
      </c>
      <c r="D2742" s="2" t="s">
        <v>28</v>
      </c>
      <c r="E2742" s="2" t="s">
        <v>29</v>
      </c>
      <c r="F2742" s="2">
        <v>60</v>
      </c>
      <c r="G2742" s="2" t="s">
        <v>6920</v>
      </c>
      <c r="H2742" s="2" t="s">
        <v>2559</v>
      </c>
      <c r="I2742" s="2" t="s">
        <v>124</v>
      </c>
      <c r="J2742" s="3">
        <v>43850</v>
      </c>
      <c r="K2742" s="2">
        <v>16</v>
      </c>
      <c r="L2742" s="2" t="s">
        <v>159</v>
      </c>
      <c r="M2742" s="3"/>
    </row>
    <row r="2743" spans="1:13" x14ac:dyDescent="0.3">
      <c r="A2743" s="2">
        <v>2742</v>
      </c>
      <c r="B2743" s="2" t="s">
        <v>6921</v>
      </c>
      <c r="C2743" s="2" t="s">
        <v>6922</v>
      </c>
      <c r="D2743" s="2" t="s">
        <v>41</v>
      </c>
      <c r="E2743" s="2" t="s">
        <v>16</v>
      </c>
      <c r="F2743" s="2">
        <v>90</v>
      </c>
      <c r="G2743" s="2" t="s">
        <v>6923</v>
      </c>
      <c r="H2743" s="2" t="s">
        <v>1299</v>
      </c>
      <c r="I2743" s="2" t="s">
        <v>1199</v>
      </c>
      <c r="J2743" s="3">
        <v>44917</v>
      </c>
      <c r="K2743" s="2">
        <v>97</v>
      </c>
      <c r="L2743" s="2" t="s">
        <v>70</v>
      </c>
      <c r="M2743" s="3"/>
    </row>
    <row r="2744" spans="1:13" x14ac:dyDescent="0.3">
      <c r="A2744" s="2">
        <v>2743</v>
      </c>
      <c r="B2744" s="2" t="s">
        <v>2445</v>
      </c>
      <c r="C2744" s="2" t="s">
        <v>6924</v>
      </c>
      <c r="D2744" s="2" t="s">
        <v>28</v>
      </c>
      <c r="E2744" s="2" t="s">
        <v>29</v>
      </c>
      <c r="F2744" s="2">
        <v>30</v>
      </c>
      <c r="G2744" s="2" t="s">
        <v>6925</v>
      </c>
      <c r="H2744" s="2" t="s">
        <v>495</v>
      </c>
      <c r="I2744" s="2" t="s">
        <v>173</v>
      </c>
      <c r="J2744" s="3">
        <v>44832</v>
      </c>
      <c r="K2744" s="2">
        <v>62</v>
      </c>
      <c r="L2744" s="2" t="s">
        <v>33</v>
      </c>
      <c r="M2744" s="3"/>
    </row>
    <row r="2745" spans="1:13" x14ac:dyDescent="0.3">
      <c r="A2745" s="2">
        <v>2744</v>
      </c>
      <c r="B2745" s="2" t="s">
        <v>3537</v>
      </c>
      <c r="C2745" s="2" t="s">
        <v>116</v>
      </c>
      <c r="D2745" s="2" t="s">
        <v>15</v>
      </c>
      <c r="E2745" s="2" t="s">
        <v>16</v>
      </c>
      <c r="F2745" s="2">
        <v>30</v>
      </c>
      <c r="G2745" s="2" t="s">
        <v>6926</v>
      </c>
      <c r="H2745" s="2" t="s">
        <v>2305</v>
      </c>
      <c r="I2745" s="2" t="s">
        <v>25</v>
      </c>
      <c r="J2745" s="3">
        <v>44326</v>
      </c>
      <c r="K2745" s="2">
        <v>5</v>
      </c>
      <c r="L2745" s="2" t="s">
        <v>45</v>
      </c>
      <c r="M2745" s="3"/>
    </row>
    <row r="2746" spans="1:13" x14ac:dyDescent="0.3">
      <c r="A2746" s="2">
        <v>2745</v>
      </c>
      <c r="B2746" s="2" t="s">
        <v>865</v>
      </c>
      <c r="C2746" s="2" t="s">
        <v>6927</v>
      </c>
      <c r="D2746" s="2" t="s">
        <v>28</v>
      </c>
      <c r="E2746" s="2" t="s">
        <v>29</v>
      </c>
      <c r="F2746" s="2">
        <v>90</v>
      </c>
      <c r="G2746" s="2" t="s">
        <v>6928</v>
      </c>
      <c r="H2746" s="2" t="s">
        <v>2411</v>
      </c>
      <c r="I2746" s="2" t="s">
        <v>25</v>
      </c>
      <c r="J2746" s="3">
        <v>44605</v>
      </c>
      <c r="K2746" s="2">
        <v>49</v>
      </c>
      <c r="L2746" s="2" t="s">
        <v>101</v>
      </c>
      <c r="M2746" s="3"/>
    </row>
    <row r="2747" spans="1:13" x14ac:dyDescent="0.3">
      <c r="A2747" s="2">
        <v>2746</v>
      </c>
      <c r="B2747" s="2" t="s">
        <v>4193</v>
      </c>
      <c r="C2747" s="2" t="s">
        <v>1219</v>
      </c>
      <c r="D2747" s="2" t="s">
        <v>28</v>
      </c>
      <c r="E2747" s="2" t="s">
        <v>29</v>
      </c>
      <c r="F2747" s="2">
        <v>60</v>
      </c>
      <c r="G2747" s="2" t="s">
        <v>6929</v>
      </c>
      <c r="H2747" s="2" t="s">
        <v>957</v>
      </c>
      <c r="I2747" s="2" t="s">
        <v>95</v>
      </c>
      <c r="J2747" s="3">
        <v>44165</v>
      </c>
      <c r="K2747" s="2">
        <v>55</v>
      </c>
      <c r="L2747" s="2" t="s">
        <v>64</v>
      </c>
      <c r="M2747" s="3"/>
    </row>
    <row r="2748" spans="1:13" x14ac:dyDescent="0.3">
      <c r="A2748" s="2">
        <v>2747</v>
      </c>
      <c r="B2748" s="2" t="s">
        <v>4652</v>
      </c>
      <c r="C2748" s="2" t="s">
        <v>3074</v>
      </c>
      <c r="D2748" s="2" t="s">
        <v>28</v>
      </c>
      <c r="E2748" s="2" t="s">
        <v>29</v>
      </c>
      <c r="F2748" s="2">
        <v>30</v>
      </c>
      <c r="G2748" s="2" t="s">
        <v>6930</v>
      </c>
      <c r="H2748" s="2" t="s">
        <v>1537</v>
      </c>
      <c r="I2748" s="2" t="s">
        <v>294</v>
      </c>
      <c r="J2748" s="3">
        <v>44581</v>
      </c>
      <c r="K2748" s="2">
        <v>7</v>
      </c>
      <c r="L2748" s="2" t="s">
        <v>80</v>
      </c>
      <c r="M2748" s="3"/>
    </row>
    <row r="2749" spans="1:13" x14ac:dyDescent="0.3">
      <c r="A2749" s="2">
        <v>2748</v>
      </c>
      <c r="B2749" s="2" t="s">
        <v>1191</v>
      </c>
      <c r="C2749" s="2" t="s">
        <v>1853</v>
      </c>
      <c r="D2749" s="2" t="s">
        <v>28</v>
      </c>
      <c r="E2749" s="2" t="s">
        <v>29</v>
      </c>
      <c r="F2749" s="2">
        <v>30</v>
      </c>
      <c r="G2749" s="2" t="s">
        <v>6931</v>
      </c>
      <c r="H2749" s="2" t="s">
        <v>1378</v>
      </c>
      <c r="I2749" s="2" t="s">
        <v>32</v>
      </c>
      <c r="J2749" s="3">
        <v>44836</v>
      </c>
      <c r="K2749" s="2">
        <v>29</v>
      </c>
      <c r="L2749" s="2" t="s">
        <v>64</v>
      </c>
      <c r="M2749" s="3"/>
    </row>
    <row r="2750" spans="1:13" x14ac:dyDescent="0.3">
      <c r="A2750" s="2">
        <v>2749</v>
      </c>
      <c r="B2750" s="2" t="s">
        <v>6932</v>
      </c>
      <c r="C2750" s="2" t="s">
        <v>6933</v>
      </c>
      <c r="D2750" s="2" t="s">
        <v>28</v>
      </c>
      <c r="E2750" s="2" t="s">
        <v>29</v>
      </c>
      <c r="F2750" s="2">
        <v>30</v>
      </c>
      <c r="G2750" s="2" t="s">
        <v>6934</v>
      </c>
      <c r="H2750" s="2" t="s">
        <v>1911</v>
      </c>
      <c r="I2750" s="2" t="s">
        <v>32</v>
      </c>
      <c r="J2750" s="3">
        <v>44895</v>
      </c>
      <c r="K2750" s="2">
        <v>30</v>
      </c>
      <c r="L2750" s="2" t="s">
        <v>159</v>
      </c>
      <c r="M2750" s="3"/>
    </row>
    <row r="2751" spans="1:13" x14ac:dyDescent="0.3">
      <c r="A2751" s="2">
        <v>2750</v>
      </c>
      <c r="B2751" s="2" t="s">
        <v>6935</v>
      </c>
      <c r="C2751" s="2" t="s">
        <v>5199</v>
      </c>
      <c r="D2751" s="2" t="s">
        <v>28</v>
      </c>
      <c r="E2751" s="2" t="s">
        <v>29</v>
      </c>
      <c r="F2751" s="2">
        <v>90</v>
      </c>
      <c r="G2751" s="2" t="s">
        <v>6936</v>
      </c>
      <c r="H2751" s="2" t="s">
        <v>3387</v>
      </c>
      <c r="I2751" s="2" t="s">
        <v>2878</v>
      </c>
      <c r="J2751" s="3">
        <v>44733</v>
      </c>
      <c r="K2751" s="2">
        <v>80</v>
      </c>
      <c r="L2751" s="2" t="s">
        <v>80</v>
      </c>
      <c r="M2751" s="3"/>
    </row>
    <row r="2752" spans="1:13" x14ac:dyDescent="0.3">
      <c r="A2752" s="2">
        <v>2751</v>
      </c>
      <c r="B2752" s="2" t="s">
        <v>5495</v>
      </c>
      <c r="C2752" s="2" t="s">
        <v>5362</v>
      </c>
      <c r="D2752" s="2" t="s">
        <v>41</v>
      </c>
      <c r="E2752" s="2" t="s">
        <v>16</v>
      </c>
      <c r="F2752" s="2">
        <v>90</v>
      </c>
      <c r="G2752" s="2" t="s">
        <v>6937</v>
      </c>
      <c r="H2752" s="2" t="s">
        <v>2908</v>
      </c>
      <c r="I2752" s="2" t="s">
        <v>25</v>
      </c>
      <c r="J2752" s="3">
        <v>44500</v>
      </c>
      <c r="K2752" s="2">
        <v>68</v>
      </c>
      <c r="L2752" s="2" t="s">
        <v>159</v>
      </c>
      <c r="M2752" s="3"/>
    </row>
    <row r="2753" spans="1:13" x14ac:dyDescent="0.3">
      <c r="A2753" s="2">
        <v>2752</v>
      </c>
      <c r="B2753" s="2" t="s">
        <v>2898</v>
      </c>
      <c r="C2753" s="2" t="s">
        <v>3504</v>
      </c>
      <c r="D2753" s="2" t="s">
        <v>28</v>
      </c>
      <c r="E2753" s="2" t="s">
        <v>29</v>
      </c>
      <c r="F2753" s="2">
        <v>90</v>
      </c>
      <c r="G2753" s="2" t="s">
        <v>6938</v>
      </c>
      <c r="H2753" s="2" t="s">
        <v>3670</v>
      </c>
      <c r="I2753" s="2" t="s">
        <v>3671</v>
      </c>
      <c r="J2753" s="3">
        <v>44842</v>
      </c>
      <c r="K2753" s="2">
        <v>40</v>
      </c>
      <c r="L2753" s="2" t="s">
        <v>45</v>
      </c>
      <c r="M2753" s="3"/>
    </row>
    <row r="2754" spans="1:13" x14ac:dyDescent="0.3">
      <c r="A2754" s="2">
        <v>2753</v>
      </c>
      <c r="B2754" s="2" t="s">
        <v>6939</v>
      </c>
      <c r="C2754" s="2" t="s">
        <v>304</v>
      </c>
      <c r="D2754" s="2" t="s">
        <v>15</v>
      </c>
      <c r="E2754" s="2" t="s">
        <v>16</v>
      </c>
      <c r="F2754" s="2">
        <v>60</v>
      </c>
      <c r="G2754" s="2" t="s">
        <v>6940</v>
      </c>
      <c r="H2754" s="2" t="s">
        <v>6714</v>
      </c>
      <c r="I2754" s="2" t="s">
        <v>129</v>
      </c>
      <c r="J2754" s="3">
        <v>44921</v>
      </c>
      <c r="K2754" s="2">
        <v>71</v>
      </c>
      <c r="L2754" s="2" t="s">
        <v>54</v>
      </c>
      <c r="M2754" s="3"/>
    </row>
    <row r="2755" spans="1:13" x14ac:dyDescent="0.3">
      <c r="A2755" s="2">
        <v>2754</v>
      </c>
      <c r="B2755" s="2" t="s">
        <v>2246</v>
      </c>
      <c r="C2755" s="2" t="s">
        <v>3727</v>
      </c>
      <c r="D2755" s="2" t="s">
        <v>28</v>
      </c>
      <c r="E2755" s="2" t="s">
        <v>29</v>
      </c>
      <c r="F2755" s="2">
        <v>60</v>
      </c>
      <c r="G2755" s="2" t="s">
        <v>6941</v>
      </c>
      <c r="H2755" s="2" t="s">
        <v>1583</v>
      </c>
      <c r="I2755" s="2" t="s">
        <v>178</v>
      </c>
      <c r="J2755" s="3">
        <v>44872</v>
      </c>
      <c r="K2755" s="2">
        <v>40</v>
      </c>
      <c r="L2755" s="2" t="s">
        <v>33</v>
      </c>
      <c r="M2755" s="3"/>
    </row>
    <row r="2756" spans="1:13" x14ac:dyDescent="0.3">
      <c r="A2756" s="2">
        <v>2755</v>
      </c>
      <c r="B2756" s="2" t="s">
        <v>1613</v>
      </c>
      <c r="C2756" s="2" t="s">
        <v>6942</v>
      </c>
      <c r="D2756" s="2" t="s">
        <v>28</v>
      </c>
      <c r="E2756" s="2" t="s">
        <v>29</v>
      </c>
      <c r="F2756" s="2">
        <v>60</v>
      </c>
      <c r="G2756" s="2" t="s">
        <v>6943</v>
      </c>
      <c r="H2756" s="2" t="s">
        <v>221</v>
      </c>
      <c r="I2756" s="2" t="s">
        <v>32</v>
      </c>
      <c r="J2756" s="3">
        <v>44476</v>
      </c>
      <c r="K2756" s="2">
        <v>25</v>
      </c>
      <c r="L2756" s="2" t="s">
        <v>64</v>
      </c>
      <c r="M2756" s="3"/>
    </row>
    <row r="2757" spans="1:13" x14ac:dyDescent="0.3">
      <c r="A2757" s="2">
        <v>2756</v>
      </c>
      <c r="B2757" s="2" t="s">
        <v>2823</v>
      </c>
      <c r="C2757" s="2" t="s">
        <v>5168</v>
      </c>
      <c r="D2757" s="2" t="s">
        <v>28</v>
      </c>
      <c r="E2757" s="2" t="s">
        <v>29</v>
      </c>
      <c r="F2757" s="2">
        <v>30</v>
      </c>
      <c r="G2757" s="2" t="s">
        <v>6944</v>
      </c>
      <c r="H2757" s="2" t="s">
        <v>4463</v>
      </c>
      <c r="I2757" s="2" t="s">
        <v>32</v>
      </c>
      <c r="J2757" s="3">
        <v>43927</v>
      </c>
      <c r="K2757" s="2">
        <v>49</v>
      </c>
      <c r="L2757" s="2" t="s">
        <v>33</v>
      </c>
      <c r="M2757" s="3"/>
    </row>
    <row r="2758" spans="1:13" x14ac:dyDescent="0.3">
      <c r="A2758" s="2">
        <v>2757</v>
      </c>
      <c r="B2758" s="2" t="s">
        <v>6945</v>
      </c>
      <c r="C2758" s="2" t="s">
        <v>1503</v>
      </c>
      <c r="D2758" s="2" t="s">
        <v>15</v>
      </c>
      <c r="E2758" s="2" t="s">
        <v>16</v>
      </c>
      <c r="F2758" s="2">
        <v>30</v>
      </c>
      <c r="G2758" s="2" t="s">
        <v>6946</v>
      </c>
      <c r="H2758" s="2" t="s">
        <v>3480</v>
      </c>
      <c r="I2758" s="2" t="s">
        <v>187</v>
      </c>
      <c r="J2758" s="3">
        <v>44552</v>
      </c>
      <c r="K2758" s="2">
        <v>84</v>
      </c>
      <c r="L2758" s="2" t="s">
        <v>39</v>
      </c>
      <c r="M2758" s="3"/>
    </row>
    <row r="2759" spans="1:13" x14ac:dyDescent="0.3">
      <c r="A2759" s="2">
        <v>2758</v>
      </c>
      <c r="B2759" s="2" t="s">
        <v>6947</v>
      </c>
      <c r="C2759" s="2" t="s">
        <v>759</v>
      </c>
      <c r="D2759" s="2" t="s">
        <v>15</v>
      </c>
      <c r="E2759" s="2" t="s">
        <v>16</v>
      </c>
      <c r="F2759" s="2">
        <v>90</v>
      </c>
      <c r="G2759" s="2" t="s">
        <v>6948</v>
      </c>
      <c r="H2759" s="2" t="s">
        <v>885</v>
      </c>
      <c r="I2759" s="2" t="s">
        <v>886</v>
      </c>
      <c r="J2759" s="3">
        <v>44889</v>
      </c>
      <c r="K2759" s="2">
        <v>99</v>
      </c>
      <c r="L2759" s="2" t="s">
        <v>80</v>
      </c>
      <c r="M2759" s="3"/>
    </row>
    <row r="2760" spans="1:13" x14ac:dyDescent="0.3">
      <c r="A2760" s="2">
        <v>2759</v>
      </c>
      <c r="B2760" s="2" t="s">
        <v>6947</v>
      </c>
      <c r="C2760" s="2" t="s">
        <v>759</v>
      </c>
      <c r="D2760" s="2" t="s">
        <v>15</v>
      </c>
      <c r="E2760" s="2" t="s">
        <v>16</v>
      </c>
      <c r="F2760" s="2">
        <v>90</v>
      </c>
      <c r="G2760" s="2" t="s">
        <v>6948</v>
      </c>
      <c r="H2760" s="2" t="s">
        <v>885</v>
      </c>
      <c r="I2760" s="2" t="s">
        <v>886</v>
      </c>
      <c r="J2760" s="3">
        <v>44889</v>
      </c>
      <c r="K2760" s="2">
        <v>99</v>
      </c>
      <c r="L2760" s="2" t="s">
        <v>80</v>
      </c>
      <c r="M2760" s="3"/>
    </row>
    <row r="2761" spans="1:13" x14ac:dyDescent="0.3">
      <c r="A2761" s="2">
        <v>2760</v>
      </c>
      <c r="B2761" s="2" t="s">
        <v>6949</v>
      </c>
      <c r="C2761" s="2" t="s">
        <v>272</v>
      </c>
      <c r="D2761" s="2" t="s">
        <v>15</v>
      </c>
      <c r="E2761" s="2" t="s">
        <v>16</v>
      </c>
      <c r="F2761" s="2">
        <v>60</v>
      </c>
      <c r="G2761" s="2" t="s">
        <v>6950</v>
      </c>
      <c r="H2761" s="2" t="s">
        <v>6951</v>
      </c>
      <c r="I2761" s="2" t="s">
        <v>38</v>
      </c>
      <c r="J2761" s="3">
        <v>44660</v>
      </c>
      <c r="K2761" s="2">
        <v>9</v>
      </c>
      <c r="L2761" s="2" t="s">
        <v>33</v>
      </c>
      <c r="M2761" s="3"/>
    </row>
    <row r="2762" spans="1:13" x14ac:dyDescent="0.3">
      <c r="A2762" s="2">
        <v>2761</v>
      </c>
      <c r="B2762" s="2" t="s">
        <v>271</v>
      </c>
      <c r="C2762" s="2" t="s">
        <v>4847</v>
      </c>
      <c r="D2762" s="2" t="s">
        <v>15</v>
      </c>
      <c r="E2762" s="2" t="s">
        <v>16</v>
      </c>
      <c r="F2762" s="2">
        <v>60</v>
      </c>
      <c r="G2762" s="2" t="s">
        <v>6950</v>
      </c>
      <c r="H2762" s="2" t="s">
        <v>5025</v>
      </c>
      <c r="I2762" s="2" t="s">
        <v>32</v>
      </c>
      <c r="J2762" s="3">
        <v>44604</v>
      </c>
      <c r="K2762" s="2">
        <v>32</v>
      </c>
      <c r="L2762" s="2" t="s">
        <v>20</v>
      </c>
      <c r="M2762" s="3"/>
    </row>
    <row r="2763" spans="1:13" x14ac:dyDescent="0.3">
      <c r="A2763" s="2">
        <v>2762</v>
      </c>
      <c r="B2763" s="2" t="s">
        <v>6952</v>
      </c>
      <c r="C2763" s="2" t="s">
        <v>1765</v>
      </c>
      <c r="D2763" s="2" t="s">
        <v>41</v>
      </c>
      <c r="E2763" s="2" t="s">
        <v>16</v>
      </c>
      <c r="F2763" s="2">
        <v>60</v>
      </c>
      <c r="G2763" s="2" t="s">
        <v>6953</v>
      </c>
      <c r="H2763" s="2" t="s">
        <v>5643</v>
      </c>
      <c r="I2763" s="2" t="s">
        <v>886</v>
      </c>
      <c r="J2763" s="3">
        <v>44478</v>
      </c>
      <c r="K2763" s="2">
        <v>25</v>
      </c>
      <c r="L2763" s="2" t="s">
        <v>64</v>
      </c>
      <c r="M2763" s="3"/>
    </row>
    <row r="2764" spans="1:13" x14ac:dyDescent="0.3">
      <c r="A2764" s="2">
        <v>2763</v>
      </c>
      <c r="B2764" s="2" t="s">
        <v>5916</v>
      </c>
      <c r="C2764" s="2" t="s">
        <v>639</v>
      </c>
      <c r="D2764" s="2" t="s">
        <v>28</v>
      </c>
      <c r="E2764" s="2" t="s">
        <v>29</v>
      </c>
      <c r="F2764" s="2">
        <v>30</v>
      </c>
      <c r="G2764" s="2" t="s">
        <v>6954</v>
      </c>
      <c r="H2764" s="2" t="s">
        <v>1168</v>
      </c>
      <c r="I2764" s="2" t="s">
        <v>32</v>
      </c>
      <c r="J2764" s="3">
        <v>44686</v>
      </c>
      <c r="K2764" s="2">
        <v>11</v>
      </c>
      <c r="L2764" s="2" t="s">
        <v>159</v>
      </c>
      <c r="M2764" s="3"/>
    </row>
    <row r="2765" spans="1:13" x14ac:dyDescent="0.3">
      <c r="A2765" s="2">
        <v>2764</v>
      </c>
      <c r="B2765" s="2" t="s">
        <v>6955</v>
      </c>
      <c r="C2765" s="2" t="s">
        <v>4342</v>
      </c>
      <c r="D2765" s="2" t="s">
        <v>51</v>
      </c>
      <c r="E2765" s="2" t="s">
        <v>16</v>
      </c>
      <c r="F2765" s="2">
        <v>90</v>
      </c>
      <c r="G2765" s="2" t="s">
        <v>6956</v>
      </c>
      <c r="H2765" s="2" t="s">
        <v>591</v>
      </c>
      <c r="I2765" s="2" t="s">
        <v>32</v>
      </c>
      <c r="J2765" s="3">
        <v>44243</v>
      </c>
      <c r="K2765" s="2">
        <v>93</v>
      </c>
      <c r="L2765" s="2" t="s">
        <v>45</v>
      </c>
      <c r="M2765" s="3"/>
    </row>
    <row r="2766" spans="1:13" x14ac:dyDescent="0.3">
      <c r="A2766" s="2">
        <v>2765</v>
      </c>
      <c r="B2766" s="2" t="s">
        <v>6957</v>
      </c>
      <c r="C2766" s="2" t="s">
        <v>188</v>
      </c>
      <c r="D2766" s="2" t="s">
        <v>41</v>
      </c>
      <c r="E2766" s="2" t="s">
        <v>16</v>
      </c>
      <c r="F2766" s="2">
        <v>90</v>
      </c>
      <c r="G2766" s="2" t="s">
        <v>6958</v>
      </c>
      <c r="H2766" s="2" t="s">
        <v>1490</v>
      </c>
      <c r="I2766" s="2" t="s">
        <v>294</v>
      </c>
      <c r="J2766" s="3">
        <v>44307</v>
      </c>
      <c r="K2766" s="2">
        <v>87</v>
      </c>
      <c r="L2766" s="2" t="s">
        <v>20</v>
      </c>
      <c r="M2766" s="3"/>
    </row>
    <row r="2767" spans="1:13" x14ac:dyDescent="0.3">
      <c r="A2767" s="2">
        <v>2766</v>
      </c>
      <c r="B2767" s="2" t="s">
        <v>3325</v>
      </c>
      <c r="C2767" s="2" t="s">
        <v>193</v>
      </c>
      <c r="D2767" s="2" t="s">
        <v>28</v>
      </c>
      <c r="E2767" s="2" t="s">
        <v>29</v>
      </c>
      <c r="F2767" s="2">
        <v>30</v>
      </c>
      <c r="G2767" s="2" t="s">
        <v>6959</v>
      </c>
      <c r="H2767" s="2" t="s">
        <v>2354</v>
      </c>
      <c r="I2767" s="2" t="s">
        <v>178</v>
      </c>
      <c r="J2767" s="3">
        <v>44298</v>
      </c>
      <c r="K2767" s="2">
        <v>50</v>
      </c>
      <c r="L2767" s="2" t="s">
        <v>159</v>
      </c>
      <c r="M2767" s="3"/>
    </row>
    <row r="2768" spans="1:13" x14ac:dyDescent="0.3">
      <c r="A2768" s="2">
        <v>2767</v>
      </c>
      <c r="B2768" s="2" t="s">
        <v>256</v>
      </c>
      <c r="C2768" s="2" t="s">
        <v>3673</v>
      </c>
      <c r="D2768" s="2" t="s">
        <v>28</v>
      </c>
      <c r="E2768" s="2" t="s">
        <v>29</v>
      </c>
      <c r="F2768" s="2">
        <v>90</v>
      </c>
      <c r="G2768" s="2" t="s">
        <v>6960</v>
      </c>
      <c r="H2768" s="2" t="s">
        <v>5441</v>
      </c>
      <c r="I2768" s="2" t="s">
        <v>178</v>
      </c>
      <c r="J2768" s="3">
        <v>43843</v>
      </c>
      <c r="K2768" s="2">
        <v>81</v>
      </c>
      <c r="L2768" s="2" t="s">
        <v>159</v>
      </c>
      <c r="M2768" s="3"/>
    </row>
    <row r="2769" spans="1:13" x14ac:dyDescent="0.3">
      <c r="A2769" s="2">
        <v>2768</v>
      </c>
      <c r="B2769" s="2" t="s">
        <v>1527</v>
      </c>
      <c r="C2769" s="2" t="s">
        <v>5161</v>
      </c>
      <c r="D2769" s="2" t="s">
        <v>15</v>
      </c>
      <c r="E2769" s="2" t="s">
        <v>16</v>
      </c>
      <c r="F2769" s="2">
        <v>60</v>
      </c>
      <c r="G2769" s="2" t="s">
        <v>6961</v>
      </c>
      <c r="H2769" s="2" t="s">
        <v>4283</v>
      </c>
      <c r="I2769" s="2" t="s">
        <v>178</v>
      </c>
      <c r="J2769" s="3">
        <v>44580</v>
      </c>
      <c r="K2769" s="2">
        <v>65</v>
      </c>
      <c r="L2769" s="2" t="s">
        <v>33</v>
      </c>
      <c r="M2769" s="3"/>
    </row>
    <row r="2770" spans="1:13" x14ac:dyDescent="0.3">
      <c r="A2770" s="2">
        <v>2769</v>
      </c>
      <c r="B2770" s="2" t="s">
        <v>5500</v>
      </c>
      <c r="C2770" s="2" t="s">
        <v>3738</v>
      </c>
      <c r="D2770" s="2" t="s">
        <v>28</v>
      </c>
      <c r="E2770" s="2" t="s">
        <v>29</v>
      </c>
      <c r="F2770" s="2">
        <v>60</v>
      </c>
      <c r="G2770" s="2" t="s">
        <v>6962</v>
      </c>
      <c r="H2770" s="2" t="s">
        <v>4046</v>
      </c>
      <c r="I2770" s="2" t="s">
        <v>173</v>
      </c>
      <c r="J2770" s="3">
        <v>44619</v>
      </c>
      <c r="K2770" s="2">
        <v>48</v>
      </c>
      <c r="L2770" s="2" t="s">
        <v>45</v>
      </c>
      <c r="M2770" s="3"/>
    </row>
    <row r="2771" spans="1:13" x14ac:dyDescent="0.3">
      <c r="A2771" s="2">
        <v>2770</v>
      </c>
      <c r="B2771" s="2" t="s">
        <v>2565</v>
      </c>
      <c r="C2771" s="2" t="s">
        <v>3051</v>
      </c>
      <c r="D2771" s="2" t="s">
        <v>92</v>
      </c>
      <c r="E2771" s="2" t="s">
        <v>29</v>
      </c>
      <c r="F2771" s="2">
        <v>90</v>
      </c>
      <c r="G2771" s="2" t="s">
        <v>6963</v>
      </c>
      <c r="H2771" s="2" t="s">
        <v>2667</v>
      </c>
      <c r="I2771" s="2" t="s">
        <v>187</v>
      </c>
      <c r="J2771" s="3">
        <v>43921</v>
      </c>
      <c r="K2771" s="2">
        <v>75</v>
      </c>
      <c r="L2771" s="2" t="s">
        <v>101</v>
      </c>
      <c r="M2771" s="3"/>
    </row>
    <row r="2772" spans="1:13" x14ac:dyDescent="0.3">
      <c r="A2772" s="2">
        <v>2771</v>
      </c>
      <c r="B2772" s="2" t="s">
        <v>6964</v>
      </c>
      <c r="C2772" s="2" t="s">
        <v>5370</v>
      </c>
      <c r="D2772" s="2" t="s">
        <v>51</v>
      </c>
      <c r="E2772" s="2" t="s">
        <v>16</v>
      </c>
      <c r="F2772" s="2">
        <v>90</v>
      </c>
      <c r="G2772" s="2" t="s">
        <v>6963</v>
      </c>
      <c r="H2772" s="2" t="s">
        <v>3770</v>
      </c>
      <c r="I2772" s="2" t="s">
        <v>32</v>
      </c>
      <c r="J2772" s="3">
        <v>44697</v>
      </c>
      <c r="K2772" s="2">
        <v>2</v>
      </c>
      <c r="L2772" s="2" t="s">
        <v>70</v>
      </c>
      <c r="M2772" s="3"/>
    </row>
    <row r="2773" spans="1:13" x14ac:dyDescent="0.3">
      <c r="A2773" s="2">
        <v>2772</v>
      </c>
      <c r="B2773" s="2" t="s">
        <v>1998</v>
      </c>
      <c r="C2773" s="2" t="s">
        <v>6965</v>
      </c>
      <c r="D2773" s="2" t="s">
        <v>28</v>
      </c>
      <c r="E2773" s="2" t="s">
        <v>29</v>
      </c>
      <c r="F2773" s="2">
        <v>30</v>
      </c>
      <c r="G2773" s="2" t="s">
        <v>6966</v>
      </c>
      <c r="H2773" s="2" t="s">
        <v>1920</v>
      </c>
      <c r="I2773" s="2" t="s">
        <v>1921</v>
      </c>
      <c r="J2773" s="3">
        <v>43944</v>
      </c>
      <c r="K2773" s="2">
        <v>36</v>
      </c>
      <c r="L2773" s="2" t="s">
        <v>33</v>
      </c>
      <c r="M2773" s="3"/>
    </row>
    <row r="2774" spans="1:13" x14ac:dyDescent="0.3">
      <c r="A2774" s="2">
        <v>2773</v>
      </c>
      <c r="B2774" s="2" t="s">
        <v>6967</v>
      </c>
      <c r="C2774" s="2" t="s">
        <v>2177</v>
      </c>
      <c r="D2774" s="2" t="s">
        <v>15</v>
      </c>
      <c r="E2774" s="2" t="s">
        <v>16</v>
      </c>
      <c r="F2774" s="2">
        <v>90</v>
      </c>
      <c r="G2774" s="2" t="s">
        <v>6968</v>
      </c>
      <c r="H2774" s="2" t="s">
        <v>793</v>
      </c>
      <c r="I2774" s="2" t="s">
        <v>178</v>
      </c>
      <c r="J2774" s="3">
        <v>44444</v>
      </c>
      <c r="K2774" s="2">
        <v>94</v>
      </c>
      <c r="L2774" s="2" t="s">
        <v>39</v>
      </c>
      <c r="M2774" s="3"/>
    </row>
    <row r="2775" spans="1:13" x14ac:dyDescent="0.3">
      <c r="A2775" s="2">
        <v>2774</v>
      </c>
      <c r="B2775" s="2" t="s">
        <v>4489</v>
      </c>
      <c r="C2775" s="2" t="s">
        <v>5029</v>
      </c>
      <c r="D2775" s="2" t="s">
        <v>28</v>
      </c>
      <c r="E2775" s="2" t="s">
        <v>29</v>
      </c>
      <c r="F2775" s="2">
        <v>90</v>
      </c>
      <c r="G2775" s="2" t="s">
        <v>6969</v>
      </c>
      <c r="H2775" s="2" t="s">
        <v>1888</v>
      </c>
      <c r="I2775" s="2" t="s">
        <v>1889</v>
      </c>
      <c r="J2775" s="3">
        <v>43972</v>
      </c>
      <c r="K2775" s="2">
        <v>54</v>
      </c>
      <c r="L2775" s="2" t="s">
        <v>70</v>
      </c>
      <c r="M2775" s="3"/>
    </row>
    <row r="2776" spans="1:13" x14ac:dyDescent="0.3">
      <c r="A2776" s="2">
        <v>2775</v>
      </c>
      <c r="B2776" s="2" t="s">
        <v>6970</v>
      </c>
      <c r="C2776" s="2" t="s">
        <v>6971</v>
      </c>
      <c r="D2776" s="2" t="s">
        <v>15</v>
      </c>
      <c r="E2776" s="2" t="s">
        <v>16</v>
      </c>
      <c r="F2776" s="2">
        <v>90</v>
      </c>
      <c r="G2776" s="2" t="s">
        <v>6972</v>
      </c>
      <c r="H2776" s="2" t="s">
        <v>1272</v>
      </c>
      <c r="I2776" s="2" t="s">
        <v>59</v>
      </c>
      <c r="J2776" s="3">
        <v>44132</v>
      </c>
      <c r="K2776" s="2">
        <v>83</v>
      </c>
      <c r="L2776" s="2" t="s">
        <v>64</v>
      </c>
      <c r="M2776" s="3"/>
    </row>
    <row r="2777" spans="1:13" x14ac:dyDescent="0.3">
      <c r="A2777" s="2">
        <v>2776</v>
      </c>
      <c r="B2777" s="2" t="s">
        <v>6973</v>
      </c>
      <c r="C2777" s="2" t="s">
        <v>2453</v>
      </c>
      <c r="D2777" s="2" t="s">
        <v>15</v>
      </c>
      <c r="E2777" s="2" t="s">
        <v>16</v>
      </c>
      <c r="F2777" s="2">
        <v>90</v>
      </c>
      <c r="G2777" s="2" t="s">
        <v>6974</v>
      </c>
      <c r="H2777" s="2" t="s">
        <v>4334</v>
      </c>
      <c r="I2777" s="2" t="s">
        <v>1199</v>
      </c>
      <c r="J2777" s="3">
        <v>44427</v>
      </c>
      <c r="K2777" s="2">
        <v>85</v>
      </c>
      <c r="L2777" s="2" t="s">
        <v>159</v>
      </c>
      <c r="M2777" s="3"/>
    </row>
    <row r="2778" spans="1:13" x14ac:dyDescent="0.3">
      <c r="A2778" s="2">
        <v>2777</v>
      </c>
      <c r="B2778" s="2" t="s">
        <v>6975</v>
      </c>
      <c r="C2778" s="2" t="s">
        <v>2528</v>
      </c>
      <c r="D2778" s="2" t="s">
        <v>51</v>
      </c>
      <c r="E2778" s="2" t="s">
        <v>16</v>
      </c>
      <c r="F2778" s="2">
        <v>30</v>
      </c>
      <c r="G2778" s="2" t="s">
        <v>6976</v>
      </c>
      <c r="H2778" s="2" t="s">
        <v>2393</v>
      </c>
      <c r="I2778" s="2" t="s">
        <v>1449</v>
      </c>
      <c r="J2778" s="3">
        <v>43910</v>
      </c>
      <c r="K2778" s="2">
        <v>50</v>
      </c>
      <c r="L2778" s="2" t="s">
        <v>80</v>
      </c>
      <c r="M2778" s="3"/>
    </row>
    <row r="2779" spans="1:13" x14ac:dyDescent="0.3">
      <c r="A2779" s="2">
        <v>2778</v>
      </c>
      <c r="B2779" s="2" t="s">
        <v>6977</v>
      </c>
      <c r="C2779" s="2" t="s">
        <v>4803</v>
      </c>
      <c r="D2779" s="2" t="s">
        <v>15</v>
      </c>
      <c r="E2779" s="2" t="s">
        <v>16</v>
      </c>
      <c r="F2779" s="2">
        <v>60</v>
      </c>
      <c r="G2779" s="2" t="s">
        <v>6976</v>
      </c>
      <c r="H2779" s="2" t="s">
        <v>637</v>
      </c>
      <c r="I2779" s="2" t="s">
        <v>32</v>
      </c>
      <c r="J2779" s="3">
        <v>44104</v>
      </c>
      <c r="K2779" s="2">
        <v>62</v>
      </c>
      <c r="L2779" s="2" t="s">
        <v>33</v>
      </c>
      <c r="M2779" s="3"/>
    </row>
    <row r="2780" spans="1:13" x14ac:dyDescent="0.3">
      <c r="A2780" s="2">
        <v>2779</v>
      </c>
      <c r="B2780" s="2" t="s">
        <v>3039</v>
      </c>
      <c r="C2780" s="2" t="s">
        <v>6978</v>
      </c>
      <c r="D2780" s="2" t="s">
        <v>51</v>
      </c>
      <c r="E2780" s="2" t="s">
        <v>16</v>
      </c>
      <c r="F2780" s="2">
        <v>30</v>
      </c>
      <c r="G2780" s="2" t="s">
        <v>6979</v>
      </c>
      <c r="H2780" s="2" t="s">
        <v>1453</v>
      </c>
      <c r="I2780" s="2" t="s">
        <v>1454</v>
      </c>
      <c r="J2780" s="3">
        <v>44063</v>
      </c>
      <c r="K2780" s="2">
        <v>60</v>
      </c>
      <c r="L2780" s="2" t="s">
        <v>70</v>
      </c>
      <c r="M2780" s="3"/>
    </row>
    <row r="2781" spans="1:13" x14ac:dyDescent="0.3">
      <c r="A2781" s="2">
        <v>2780</v>
      </c>
      <c r="B2781" s="2" t="s">
        <v>6980</v>
      </c>
      <c r="C2781" s="2" t="s">
        <v>5174</v>
      </c>
      <c r="D2781" s="2" t="s">
        <v>28</v>
      </c>
      <c r="E2781" s="2" t="s">
        <v>29</v>
      </c>
      <c r="F2781" s="2">
        <v>30</v>
      </c>
      <c r="G2781" s="2" t="s">
        <v>6981</v>
      </c>
      <c r="H2781" s="2" t="s">
        <v>3200</v>
      </c>
      <c r="I2781" s="2" t="s">
        <v>32</v>
      </c>
      <c r="J2781" s="3">
        <v>44271</v>
      </c>
      <c r="K2781" s="2">
        <v>93</v>
      </c>
      <c r="L2781" s="2" t="s">
        <v>80</v>
      </c>
      <c r="M2781" s="3"/>
    </row>
    <row r="2782" spans="1:13" x14ac:dyDescent="0.3">
      <c r="A2782" s="2">
        <v>2781</v>
      </c>
      <c r="B2782" s="2" t="s">
        <v>2009</v>
      </c>
      <c r="C2782" s="2" t="s">
        <v>6982</v>
      </c>
      <c r="D2782" s="2" t="s">
        <v>28</v>
      </c>
      <c r="E2782" s="2" t="s">
        <v>29</v>
      </c>
      <c r="F2782" s="2">
        <v>90</v>
      </c>
      <c r="G2782" s="2" t="s">
        <v>6983</v>
      </c>
      <c r="H2782" s="2" t="s">
        <v>5170</v>
      </c>
      <c r="I2782" s="2" t="s">
        <v>294</v>
      </c>
      <c r="J2782" s="3">
        <v>44764</v>
      </c>
      <c r="K2782" s="2">
        <v>67</v>
      </c>
      <c r="L2782" s="2" t="s">
        <v>54</v>
      </c>
      <c r="M2782" s="3"/>
    </row>
    <row r="2783" spans="1:13" x14ac:dyDescent="0.3">
      <c r="A2783" s="2">
        <v>2782</v>
      </c>
      <c r="B2783" s="2" t="s">
        <v>6984</v>
      </c>
      <c r="C2783" s="2" t="s">
        <v>5653</v>
      </c>
      <c r="D2783" s="2" t="s">
        <v>28</v>
      </c>
      <c r="E2783" s="2" t="s">
        <v>29</v>
      </c>
      <c r="F2783" s="2">
        <v>30</v>
      </c>
      <c r="G2783" s="2" t="s">
        <v>6985</v>
      </c>
      <c r="H2783" s="2" t="s">
        <v>5477</v>
      </c>
      <c r="I2783" s="2" t="s">
        <v>187</v>
      </c>
      <c r="J2783" s="3">
        <v>44462</v>
      </c>
      <c r="K2783" s="2">
        <v>60</v>
      </c>
      <c r="L2783" s="2" t="s">
        <v>70</v>
      </c>
      <c r="M2783" s="3"/>
    </row>
    <row r="2784" spans="1:13" x14ac:dyDescent="0.3">
      <c r="A2784" s="2">
        <v>2783</v>
      </c>
      <c r="B2784" s="2" t="s">
        <v>1140</v>
      </c>
      <c r="C2784" s="2" t="s">
        <v>3884</v>
      </c>
      <c r="D2784" s="2" t="s">
        <v>28</v>
      </c>
      <c r="E2784" s="2" t="s">
        <v>29</v>
      </c>
      <c r="F2784" s="2">
        <v>30</v>
      </c>
      <c r="G2784" s="2" t="s">
        <v>6986</v>
      </c>
      <c r="H2784" s="2" t="s">
        <v>3790</v>
      </c>
      <c r="I2784" s="2" t="s">
        <v>32</v>
      </c>
      <c r="J2784" s="3">
        <v>44083</v>
      </c>
      <c r="K2784" s="2">
        <v>80</v>
      </c>
      <c r="L2784" s="2" t="s">
        <v>45</v>
      </c>
      <c r="M2784" s="3"/>
    </row>
    <row r="2785" spans="1:13" x14ac:dyDescent="0.3">
      <c r="A2785" s="2">
        <v>2784</v>
      </c>
      <c r="B2785" s="2" t="s">
        <v>6987</v>
      </c>
      <c r="C2785" s="2" t="s">
        <v>961</v>
      </c>
      <c r="D2785" s="2" t="s">
        <v>15</v>
      </c>
      <c r="E2785" s="2" t="s">
        <v>16</v>
      </c>
      <c r="F2785" s="2">
        <v>30</v>
      </c>
      <c r="G2785" s="2" t="s">
        <v>6988</v>
      </c>
      <c r="H2785" s="2" t="s">
        <v>356</v>
      </c>
      <c r="I2785" s="2" t="s">
        <v>178</v>
      </c>
      <c r="J2785" s="3">
        <v>44579</v>
      </c>
      <c r="K2785" s="2">
        <v>30</v>
      </c>
      <c r="L2785" s="2" t="s">
        <v>54</v>
      </c>
      <c r="M2785" s="3"/>
    </row>
    <row r="2786" spans="1:13" x14ac:dyDescent="0.3">
      <c r="A2786" s="2">
        <v>2785</v>
      </c>
      <c r="B2786" s="2" t="s">
        <v>1554</v>
      </c>
      <c r="C2786" s="2" t="s">
        <v>6390</v>
      </c>
      <c r="D2786" s="2" t="s">
        <v>28</v>
      </c>
      <c r="E2786" s="2" t="s">
        <v>29</v>
      </c>
      <c r="F2786" s="2">
        <v>30</v>
      </c>
      <c r="G2786" s="2" t="s">
        <v>6989</v>
      </c>
      <c r="H2786" s="2" t="s">
        <v>1333</v>
      </c>
      <c r="I2786" s="2" t="s">
        <v>294</v>
      </c>
      <c r="J2786" s="3">
        <v>44528</v>
      </c>
      <c r="K2786" s="2">
        <v>29</v>
      </c>
      <c r="L2786" s="2" t="s">
        <v>159</v>
      </c>
      <c r="M2786" s="3"/>
    </row>
    <row r="2787" spans="1:13" x14ac:dyDescent="0.3">
      <c r="A2787" s="2">
        <v>2786</v>
      </c>
      <c r="B2787" s="2" t="s">
        <v>6990</v>
      </c>
      <c r="C2787" s="2" t="s">
        <v>4009</v>
      </c>
      <c r="D2787" s="2" t="s">
        <v>41</v>
      </c>
      <c r="E2787" s="2" t="s">
        <v>16</v>
      </c>
      <c r="F2787" s="2">
        <v>90</v>
      </c>
      <c r="G2787" s="2" t="s">
        <v>6991</v>
      </c>
      <c r="H2787" s="2" t="s">
        <v>2893</v>
      </c>
      <c r="I2787" s="2" t="s">
        <v>32</v>
      </c>
      <c r="J2787" s="3">
        <v>44414</v>
      </c>
      <c r="K2787" s="2">
        <v>56</v>
      </c>
      <c r="L2787" s="2" t="s">
        <v>20</v>
      </c>
      <c r="M2787" s="3"/>
    </row>
    <row r="2788" spans="1:13" x14ac:dyDescent="0.3">
      <c r="A2788" s="2">
        <v>2787</v>
      </c>
      <c r="B2788" s="2" t="s">
        <v>2603</v>
      </c>
      <c r="C2788" s="2" t="s">
        <v>2198</v>
      </c>
      <c r="D2788" s="2" t="s">
        <v>28</v>
      </c>
      <c r="E2788" s="2" t="s">
        <v>29</v>
      </c>
      <c r="F2788" s="2">
        <v>30</v>
      </c>
      <c r="G2788" s="2" t="s">
        <v>6992</v>
      </c>
      <c r="H2788" s="2" t="s">
        <v>2834</v>
      </c>
      <c r="I2788" s="2" t="s">
        <v>19</v>
      </c>
      <c r="J2788" s="3">
        <v>44061</v>
      </c>
      <c r="K2788" s="2">
        <v>14</v>
      </c>
      <c r="L2788" s="2" t="s">
        <v>80</v>
      </c>
      <c r="M2788" s="3"/>
    </row>
    <row r="2789" spans="1:13" x14ac:dyDescent="0.3">
      <c r="A2789" s="2">
        <v>2788</v>
      </c>
      <c r="B2789" s="2" t="s">
        <v>6111</v>
      </c>
      <c r="C2789" s="2" t="s">
        <v>135</v>
      </c>
      <c r="D2789" s="2" t="s">
        <v>51</v>
      </c>
      <c r="E2789" s="2" t="s">
        <v>16</v>
      </c>
      <c r="F2789" s="2">
        <v>90</v>
      </c>
      <c r="G2789" s="2" t="s">
        <v>6993</v>
      </c>
      <c r="H2789" s="2" t="s">
        <v>3384</v>
      </c>
      <c r="I2789" s="2" t="s">
        <v>32</v>
      </c>
      <c r="J2789" s="3">
        <v>44431</v>
      </c>
      <c r="K2789" s="2">
        <v>33</v>
      </c>
      <c r="L2789" s="2" t="s">
        <v>54</v>
      </c>
      <c r="M2789" s="3"/>
    </row>
    <row r="2790" spans="1:13" x14ac:dyDescent="0.3">
      <c r="A2790" s="2">
        <v>2789</v>
      </c>
      <c r="B2790" s="2" t="s">
        <v>6994</v>
      </c>
      <c r="C2790" s="2" t="s">
        <v>4949</v>
      </c>
      <c r="D2790" s="2" t="s">
        <v>51</v>
      </c>
      <c r="E2790" s="2" t="s">
        <v>16</v>
      </c>
      <c r="F2790" s="2">
        <v>90</v>
      </c>
      <c r="G2790" s="2" t="s">
        <v>6995</v>
      </c>
      <c r="H2790" s="2" t="s">
        <v>1915</v>
      </c>
      <c r="I2790" s="2" t="s">
        <v>19</v>
      </c>
      <c r="J2790" s="3">
        <v>44478</v>
      </c>
      <c r="K2790" s="2">
        <v>26</v>
      </c>
      <c r="L2790" s="2" t="s">
        <v>64</v>
      </c>
      <c r="M2790" s="3"/>
    </row>
    <row r="2791" spans="1:13" x14ac:dyDescent="0.3">
      <c r="A2791" s="2">
        <v>2790</v>
      </c>
      <c r="B2791" s="2" t="s">
        <v>6796</v>
      </c>
      <c r="C2791" s="2" t="s">
        <v>2900</v>
      </c>
      <c r="D2791" s="2" t="s">
        <v>28</v>
      </c>
      <c r="E2791" s="2" t="s">
        <v>29</v>
      </c>
      <c r="F2791" s="2">
        <v>90</v>
      </c>
      <c r="G2791" s="2" t="s">
        <v>6995</v>
      </c>
      <c r="H2791" s="2" t="s">
        <v>1228</v>
      </c>
      <c r="I2791" s="2" t="s">
        <v>25</v>
      </c>
      <c r="J2791" s="3">
        <v>44298</v>
      </c>
      <c r="K2791" s="2">
        <v>31</v>
      </c>
      <c r="L2791" s="2" t="s">
        <v>20</v>
      </c>
      <c r="M2791" s="3"/>
    </row>
    <row r="2792" spans="1:13" x14ac:dyDescent="0.3">
      <c r="A2792" s="2">
        <v>2791</v>
      </c>
      <c r="B2792" s="2" t="s">
        <v>2300</v>
      </c>
      <c r="C2792" s="2" t="s">
        <v>5955</v>
      </c>
      <c r="D2792" s="2" t="s">
        <v>28</v>
      </c>
      <c r="E2792" s="2" t="s">
        <v>29</v>
      </c>
      <c r="F2792" s="2">
        <v>90</v>
      </c>
      <c r="G2792" s="2" t="s">
        <v>6996</v>
      </c>
      <c r="H2792" s="2" t="s">
        <v>2997</v>
      </c>
      <c r="I2792" s="2" t="s">
        <v>32</v>
      </c>
      <c r="J2792" s="3">
        <v>44762</v>
      </c>
      <c r="K2792" s="2">
        <v>97</v>
      </c>
      <c r="L2792" s="2" t="s">
        <v>101</v>
      </c>
      <c r="M2792" s="3"/>
    </row>
    <row r="2793" spans="1:13" x14ac:dyDescent="0.3">
      <c r="A2793" s="2">
        <v>2792</v>
      </c>
      <c r="B2793" s="2" t="s">
        <v>5548</v>
      </c>
      <c r="C2793" s="2" t="s">
        <v>6997</v>
      </c>
      <c r="D2793" s="2" t="s">
        <v>41</v>
      </c>
      <c r="E2793" s="2" t="s">
        <v>16</v>
      </c>
      <c r="F2793" s="2">
        <v>60</v>
      </c>
      <c r="G2793" s="2" t="s">
        <v>6998</v>
      </c>
      <c r="H2793" s="2" t="s">
        <v>1764</v>
      </c>
      <c r="I2793" s="2" t="s">
        <v>124</v>
      </c>
      <c r="J2793" s="3">
        <v>44155</v>
      </c>
      <c r="K2793" s="2">
        <v>79</v>
      </c>
      <c r="L2793" s="2" t="s">
        <v>45</v>
      </c>
      <c r="M2793" s="3"/>
    </row>
    <row r="2794" spans="1:13" x14ac:dyDescent="0.3">
      <c r="A2794" s="2">
        <v>2793</v>
      </c>
      <c r="B2794" s="2" t="s">
        <v>6999</v>
      </c>
      <c r="C2794" s="2" t="s">
        <v>7000</v>
      </c>
      <c r="D2794" s="2" t="s">
        <v>51</v>
      </c>
      <c r="E2794" s="2" t="s">
        <v>16</v>
      </c>
      <c r="F2794" s="2">
        <v>90</v>
      </c>
      <c r="G2794" s="2" t="s">
        <v>6998</v>
      </c>
      <c r="H2794" s="2" t="s">
        <v>7001</v>
      </c>
      <c r="I2794" s="2" t="s">
        <v>32</v>
      </c>
      <c r="J2794" s="3">
        <v>44280</v>
      </c>
      <c r="K2794" s="2">
        <v>63</v>
      </c>
      <c r="L2794" s="2" t="s">
        <v>101</v>
      </c>
      <c r="M2794" s="3"/>
    </row>
    <row r="2795" spans="1:13" x14ac:dyDescent="0.3">
      <c r="A2795" s="2">
        <v>2794</v>
      </c>
      <c r="B2795" s="2" t="s">
        <v>1736</v>
      </c>
      <c r="C2795" s="2" t="s">
        <v>5727</v>
      </c>
      <c r="D2795" s="2" t="s">
        <v>51</v>
      </c>
      <c r="E2795" s="2" t="s">
        <v>16</v>
      </c>
      <c r="F2795" s="2">
        <v>90</v>
      </c>
      <c r="G2795" s="2" t="s">
        <v>7002</v>
      </c>
      <c r="H2795" s="2" t="s">
        <v>4180</v>
      </c>
      <c r="I2795" s="2" t="s">
        <v>187</v>
      </c>
      <c r="J2795" s="3">
        <v>44802</v>
      </c>
      <c r="K2795" s="2">
        <v>48</v>
      </c>
      <c r="L2795" s="2" t="s">
        <v>54</v>
      </c>
      <c r="M2795" s="3"/>
    </row>
    <row r="2796" spans="1:13" x14ac:dyDescent="0.3">
      <c r="A2796" s="2">
        <v>2795</v>
      </c>
      <c r="B2796" s="2" t="s">
        <v>5292</v>
      </c>
      <c r="C2796" s="2" t="s">
        <v>4218</v>
      </c>
      <c r="D2796" s="2" t="s">
        <v>28</v>
      </c>
      <c r="E2796" s="2" t="s">
        <v>29</v>
      </c>
      <c r="F2796" s="2">
        <v>90</v>
      </c>
      <c r="G2796" s="2" t="s">
        <v>7003</v>
      </c>
      <c r="H2796" s="2" t="s">
        <v>7004</v>
      </c>
      <c r="I2796" s="2" t="s">
        <v>208</v>
      </c>
      <c r="J2796" s="3">
        <v>44153</v>
      </c>
      <c r="K2796" s="2">
        <v>59</v>
      </c>
      <c r="L2796" s="2" t="s">
        <v>45</v>
      </c>
      <c r="M2796" s="3"/>
    </row>
    <row r="2797" spans="1:13" x14ac:dyDescent="0.3">
      <c r="A2797" s="2">
        <v>2796</v>
      </c>
      <c r="B2797" s="2" t="s">
        <v>5928</v>
      </c>
      <c r="C2797" s="2" t="s">
        <v>2431</v>
      </c>
      <c r="D2797" s="2" t="s">
        <v>28</v>
      </c>
      <c r="E2797" s="2" t="s">
        <v>29</v>
      </c>
      <c r="F2797" s="2">
        <v>30</v>
      </c>
      <c r="G2797" s="2" t="s">
        <v>7005</v>
      </c>
      <c r="H2797" s="2" t="s">
        <v>1354</v>
      </c>
      <c r="I2797" s="2" t="s">
        <v>294</v>
      </c>
      <c r="J2797" s="3">
        <v>44769</v>
      </c>
      <c r="K2797" s="2">
        <v>44</v>
      </c>
      <c r="L2797" s="2" t="s">
        <v>101</v>
      </c>
      <c r="M2797" s="3"/>
    </row>
    <row r="2798" spans="1:13" x14ac:dyDescent="0.3">
      <c r="A2798" s="2">
        <v>2797</v>
      </c>
      <c r="B2798" s="2" t="s">
        <v>7006</v>
      </c>
      <c r="C2798" s="2" t="s">
        <v>1857</v>
      </c>
      <c r="D2798" s="2" t="s">
        <v>28</v>
      </c>
      <c r="E2798" s="2" t="s">
        <v>29</v>
      </c>
      <c r="F2798" s="2">
        <v>60</v>
      </c>
      <c r="G2798" s="2" t="s">
        <v>7007</v>
      </c>
      <c r="H2798" s="2" t="s">
        <v>7008</v>
      </c>
      <c r="I2798" s="2" t="s">
        <v>25</v>
      </c>
      <c r="J2798" s="3">
        <v>44040</v>
      </c>
      <c r="K2798" s="2">
        <v>78</v>
      </c>
      <c r="L2798" s="2" t="s">
        <v>101</v>
      </c>
      <c r="M2798" s="3"/>
    </row>
    <row r="2799" spans="1:13" x14ac:dyDescent="0.3">
      <c r="A2799" s="2">
        <v>2798</v>
      </c>
      <c r="B2799" s="2" t="s">
        <v>7009</v>
      </c>
      <c r="C2799" s="2" t="s">
        <v>4865</v>
      </c>
      <c r="D2799" s="2" t="s">
        <v>28</v>
      </c>
      <c r="E2799" s="2" t="s">
        <v>29</v>
      </c>
      <c r="F2799" s="2">
        <v>30</v>
      </c>
      <c r="G2799" s="2" t="s">
        <v>7010</v>
      </c>
      <c r="H2799" s="2" t="s">
        <v>2622</v>
      </c>
      <c r="I2799" s="2" t="s">
        <v>294</v>
      </c>
      <c r="J2799" s="3">
        <v>44259</v>
      </c>
      <c r="K2799" s="2">
        <v>49</v>
      </c>
      <c r="L2799" s="2" t="s">
        <v>80</v>
      </c>
      <c r="M2799" s="3"/>
    </row>
    <row r="2800" spans="1:13" x14ac:dyDescent="0.3">
      <c r="A2800" s="2">
        <v>2799</v>
      </c>
      <c r="B2800" s="2" t="s">
        <v>7011</v>
      </c>
      <c r="C2800" s="2" t="s">
        <v>5318</v>
      </c>
      <c r="D2800" s="2" t="s">
        <v>51</v>
      </c>
      <c r="E2800" s="2" t="s">
        <v>16</v>
      </c>
      <c r="F2800" s="2">
        <v>60</v>
      </c>
      <c r="G2800" s="2" t="s">
        <v>7010</v>
      </c>
      <c r="H2800" s="2" t="s">
        <v>3511</v>
      </c>
      <c r="I2800" s="2" t="s">
        <v>32</v>
      </c>
      <c r="J2800" s="3">
        <v>44272</v>
      </c>
      <c r="K2800" s="2">
        <v>15</v>
      </c>
      <c r="L2800" s="2" t="s">
        <v>33</v>
      </c>
      <c r="M2800" s="3"/>
    </row>
    <row r="2801" spans="1:13" x14ac:dyDescent="0.3">
      <c r="A2801" s="2">
        <v>2800</v>
      </c>
      <c r="B2801" s="2" t="s">
        <v>2110</v>
      </c>
      <c r="C2801" s="2" t="s">
        <v>317</v>
      </c>
      <c r="D2801" s="2" t="s">
        <v>28</v>
      </c>
      <c r="E2801" s="2" t="s">
        <v>29</v>
      </c>
      <c r="F2801" s="2">
        <v>90</v>
      </c>
      <c r="G2801" s="2" t="s">
        <v>7012</v>
      </c>
      <c r="H2801" s="2" t="s">
        <v>3036</v>
      </c>
      <c r="I2801" s="2" t="s">
        <v>32</v>
      </c>
      <c r="J2801" s="3">
        <v>44639</v>
      </c>
      <c r="K2801" s="2">
        <v>74</v>
      </c>
      <c r="L2801" s="2" t="s">
        <v>64</v>
      </c>
      <c r="M2801" s="3"/>
    </row>
    <row r="2802" spans="1:13" x14ac:dyDescent="0.3">
      <c r="A2802" s="2">
        <v>2801</v>
      </c>
      <c r="B2802" s="2" t="s">
        <v>3374</v>
      </c>
      <c r="C2802" s="2" t="s">
        <v>6247</v>
      </c>
      <c r="D2802" s="2" t="s">
        <v>15</v>
      </c>
      <c r="E2802" s="2" t="s">
        <v>16</v>
      </c>
      <c r="F2802" s="2">
        <v>60</v>
      </c>
      <c r="G2802" s="2" t="s">
        <v>7013</v>
      </c>
      <c r="H2802" s="2" t="s">
        <v>3498</v>
      </c>
      <c r="I2802" s="2" t="s">
        <v>32</v>
      </c>
      <c r="J2802" s="3">
        <v>44657</v>
      </c>
      <c r="K2802" s="2">
        <v>93</v>
      </c>
      <c r="L2802" s="2" t="s">
        <v>54</v>
      </c>
      <c r="M2802" s="3"/>
    </row>
    <row r="2803" spans="1:13" x14ac:dyDescent="0.3">
      <c r="A2803" s="2">
        <v>2802</v>
      </c>
      <c r="B2803" s="2" t="s">
        <v>6600</v>
      </c>
      <c r="C2803" s="2" t="s">
        <v>7014</v>
      </c>
      <c r="D2803" s="2" t="s">
        <v>28</v>
      </c>
      <c r="E2803" s="2" t="s">
        <v>29</v>
      </c>
      <c r="F2803" s="2">
        <v>30</v>
      </c>
      <c r="G2803" s="2" t="s">
        <v>7015</v>
      </c>
      <c r="H2803" s="2" t="s">
        <v>123</v>
      </c>
      <c r="I2803" s="2" t="s">
        <v>124</v>
      </c>
      <c r="J2803" s="3">
        <v>43875</v>
      </c>
      <c r="K2803" s="2">
        <v>9</v>
      </c>
      <c r="L2803" s="2" t="s">
        <v>70</v>
      </c>
      <c r="M2803" s="3"/>
    </row>
    <row r="2804" spans="1:13" x14ac:dyDescent="0.3">
      <c r="A2804" s="2">
        <v>2803</v>
      </c>
      <c r="B2804" s="2" t="s">
        <v>6133</v>
      </c>
      <c r="C2804" s="2" t="s">
        <v>7016</v>
      </c>
      <c r="D2804" s="2" t="s">
        <v>28</v>
      </c>
      <c r="E2804" s="2" t="s">
        <v>29</v>
      </c>
      <c r="F2804" s="2">
        <v>90</v>
      </c>
      <c r="G2804" s="2" t="s">
        <v>7017</v>
      </c>
      <c r="H2804" s="2" t="s">
        <v>742</v>
      </c>
      <c r="I2804" s="2" t="s">
        <v>124</v>
      </c>
      <c r="J2804" s="3">
        <v>44734</v>
      </c>
      <c r="K2804" s="2">
        <v>22</v>
      </c>
      <c r="L2804" s="2" t="s">
        <v>33</v>
      </c>
      <c r="M2804" s="3"/>
    </row>
    <row r="2805" spans="1:13" x14ac:dyDescent="0.3">
      <c r="A2805" s="2">
        <v>2804</v>
      </c>
      <c r="B2805" s="2" t="s">
        <v>7018</v>
      </c>
      <c r="C2805" s="2" t="s">
        <v>4653</v>
      </c>
      <c r="D2805" s="2" t="s">
        <v>15</v>
      </c>
      <c r="E2805" s="2" t="s">
        <v>16</v>
      </c>
      <c r="F2805" s="2">
        <v>30</v>
      </c>
      <c r="G2805" s="2" t="s">
        <v>7019</v>
      </c>
      <c r="H2805" s="2" t="s">
        <v>7020</v>
      </c>
      <c r="I2805" s="2" t="s">
        <v>32</v>
      </c>
      <c r="J2805" s="3">
        <v>44351</v>
      </c>
      <c r="K2805" s="2">
        <v>27</v>
      </c>
      <c r="L2805" s="2" t="s">
        <v>101</v>
      </c>
      <c r="M2805" s="3"/>
    </row>
    <row r="2806" spans="1:13" x14ac:dyDescent="0.3">
      <c r="A2806" s="2">
        <v>2805</v>
      </c>
      <c r="B2806" s="2" t="s">
        <v>4871</v>
      </c>
      <c r="C2806" s="2" t="s">
        <v>1340</v>
      </c>
      <c r="D2806" s="2" t="s">
        <v>51</v>
      </c>
      <c r="E2806" s="2" t="s">
        <v>16</v>
      </c>
      <c r="F2806" s="2">
        <v>60</v>
      </c>
      <c r="G2806" s="2" t="s">
        <v>7021</v>
      </c>
      <c r="H2806" s="2" t="s">
        <v>1568</v>
      </c>
      <c r="I2806" s="2" t="s">
        <v>32</v>
      </c>
      <c r="J2806" s="3">
        <v>44266</v>
      </c>
      <c r="K2806" s="2">
        <v>71</v>
      </c>
      <c r="L2806" s="2" t="s">
        <v>80</v>
      </c>
      <c r="M2806" s="3"/>
    </row>
    <row r="2807" spans="1:13" x14ac:dyDescent="0.3">
      <c r="A2807" s="2">
        <v>2806</v>
      </c>
      <c r="B2807" s="2" t="s">
        <v>7022</v>
      </c>
      <c r="C2807" s="2" t="s">
        <v>2362</v>
      </c>
      <c r="D2807" s="2" t="s">
        <v>15</v>
      </c>
      <c r="E2807" s="2" t="s">
        <v>16</v>
      </c>
      <c r="F2807" s="2">
        <v>60</v>
      </c>
      <c r="G2807" s="2" t="s">
        <v>7023</v>
      </c>
      <c r="H2807" s="2" t="s">
        <v>7024</v>
      </c>
      <c r="I2807" s="2" t="s">
        <v>178</v>
      </c>
      <c r="J2807" s="3">
        <v>44286</v>
      </c>
      <c r="K2807" s="2">
        <v>5</v>
      </c>
      <c r="L2807" s="2" t="s">
        <v>45</v>
      </c>
      <c r="M2807" s="3"/>
    </row>
    <row r="2808" spans="1:13" x14ac:dyDescent="0.3">
      <c r="A2808" s="2">
        <v>2807</v>
      </c>
      <c r="B2808" s="2" t="s">
        <v>5849</v>
      </c>
      <c r="C2808" s="2" t="s">
        <v>983</v>
      </c>
      <c r="D2808" s="2" t="s">
        <v>28</v>
      </c>
      <c r="E2808" s="2" t="s">
        <v>29</v>
      </c>
      <c r="F2808" s="2">
        <v>30</v>
      </c>
      <c r="G2808" s="2" t="s">
        <v>7025</v>
      </c>
      <c r="H2808" s="2" t="s">
        <v>4915</v>
      </c>
      <c r="I2808" s="2" t="s">
        <v>32</v>
      </c>
      <c r="J2808" s="3">
        <v>44447</v>
      </c>
      <c r="K2808" s="2">
        <v>90</v>
      </c>
      <c r="L2808" s="2" t="s">
        <v>101</v>
      </c>
      <c r="M2808" s="3"/>
    </row>
    <row r="2809" spans="1:13" x14ac:dyDescent="0.3">
      <c r="A2809" s="2">
        <v>2808</v>
      </c>
      <c r="B2809" s="2" t="s">
        <v>3441</v>
      </c>
      <c r="C2809" s="2" t="s">
        <v>5568</v>
      </c>
      <c r="D2809" s="2" t="s">
        <v>28</v>
      </c>
      <c r="E2809" s="2" t="s">
        <v>29</v>
      </c>
      <c r="F2809" s="2">
        <v>30</v>
      </c>
      <c r="G2809" s="2" t="s">
        <v>7026</v>
      </c>
      <c r="H2809" s="2" t="s">
        <v>7027</v>
      </c>
      <c r="I2809" s="2" t="s">
        <v>173</v>
      </c>
      <c r="J2809" s="3">
        <v>44542</v>
      </c>
      <c r="K2809" s="2">
        <v>77</v>
      </c>
      <c r="L2809" s="2" t="s">
        <v>80</v>
      </c>
      <c r="M2809" s="3"/>
    </row>
    <row r="2810" spans="1:13" x14ac:dyDescent="0.3">
      <c r="A2810" s="2">
        <v>2809</v>
      </c>
      <c r="B2810" s="2" t="s">
        <v>2138</v>
      </c>
      <c r="C2810" s="2" t="s">
        <v>300</v>
      </c>
      <c r="D2810" s="2" t="s">
        <v>28</v>
      </c>
      <c r="E2810" s="2" t="s">
        <v>29</v>
      </c>
      <c r="F2810" s="2">
        <v>60</v>
      </c>
      <c r="G2810" s="2" t="s">
        <v>7028</v>
      </c>
      <c r="H2810" s="2" t="s">
        <v>4935</v>
      </c>
      <c r="I2810" s="2" t="s">
        <v>124</v>
      </c>
      <c r="J2810" s="3">
        <v>44810</v>
      </c>
      <c r="K2810" s="2">
        <v>49</v>
      </c>
      <c r="L2810" s="2" t="s">
        <v>45</v>
      </c>
      <c r="M2810" s="3"/>
    </row>
    <row r="2811" spans="1:13" x14ac:dyDescent="0.3">
      <c r="A2811" s="2">
        <v>2810</v>
      </c>
      <c r="B2811" s="2" t="s">
        <v>7029</v>
      </c>
      <c r="C2811" s="2" t="s">
        <v>332</v>
      </c>
      <c r="D2811" s="2" t="s">
        <v>28</v>
      </c>
      <c r="E2811" s="2" t="s">
        <v>29</v>
      </c>
      <c r="F2811" s="2">
        <v>60</v>
      </c>
      <c r="G2811" s="2" t="s">
        <v>7030</v>
      </c>
      <c r="H2811" s="2" t="s">
        <v>7031</v>
      </c>
      <c r="I2811" s="2" t="s">
        <v>294</v>
      </c>
      <c r="J2811" s="3">
        <v>44861</v>
      </c>
      <c r="K2811" s="2">
        <v>61</v>
      </c>
      <c r="L2811" s="2" t="s">
        <v>70</v>
      </c>
      <c r="M2811" s="3"/>
    </row>
    <row r="2812" spans="1:13" x14ac:dyDescent="0.3">
      <c r="A2812" s="2">
        <v>2811</v>
      </c>
      <c r="B2812" s="2" t="s">
        <v>1104</v>
      </c>
      <c r="C2812" s="2" t="s">
        <v>7032</v>
      </c>
      <c r="D2812" s="2" t="s">
        <v>28</v>
      </c>
      <c r="E2812" s="2" t="s">
        <v>29</v>
      </c>
      <c r="F2812" s="2">
        <v>60</v>
      </c>
      <c r="G2812" s="2" t="s">
        <v>7033</v>
      </c>
      <c r="H2812" s="2" t="s">
        <v>655</v>
      </c>
      <c r="I2812" s="2" t="s">
        <v>32</v>
      </c>
      <c r="J2812" s="3">
        <v>44378</v>
      </c>
      <c r="K2812" s="2">
        <v>36</v>
      </c>
      <c r="L2812" s="2" t="s">
        <v>64</v>
      </c>
      <c r="M2812" s="3"/>
    </row>
    <row r="2813" spans="1:13" x14ac:dyDescent="0.3">
      <c r="A2813" s="2">
        <v>2812</v>
      </c>
      <c r="B2813" s="2" t="s">
        <v>7034</v>
      </c>
      <c r="C2813" s="2" t="s">
        <v>7035</v>
      </c>
      <c r="D2813" s="2" t="s">
        <v>28</v>
      </c>
      <c r="E2813" s="2" t="s">
        <v>29</v>
      </c>
      <c r="F2813" s="2">
        <v>60</v>
      </c>
      <c r="G2813" s="2" t="s">
        <v>7036</v>
      </c>
      <c r="H2813" s="2" t="s">
        <v>2834</v>
      </c>
      <c r="I2813" s="2" t="s">
        <v>19</v>
      </c>
      <c r="J2813" s="3">
        <v>44688</v>
      </c>
      <c r="K2813" s="2">
        <v>89</v>
      </c>
      <c r="L2813" s="2" t="s">
        <v>45</v>
      </c>
      <c r="M2813" s="3"/>
    </row>
    <row r="2814" spans="1:13" x14ac:dyDescent="0.3">
      <c r="A2814" s="2">
        <v>2813</v>
      </c>
      <c r="B2814" s="2" t="s">
        <v>7037</v>
      </c>
      <c r="C2814" s="2" t="s">
        <v>6587</v>
      </c>
      <c r="D2814" s="2" t="s">
        <v>28</v>
      </c>
      <c r="E2814" s="2" t="s">
        <v>29</v>
      </c>
      <c r="F2814" s="2">
        <v>60</v>
      </c>
      <c r="G2814" s="2" t="s">
        <v>7038</v>
      </c>
      <c r="H2814" s="2" t="s">
        <v>3859</v>
      </c>
      <c r="I2814" s="2" t="s">
        <v>124</v>
      </c>
      <c r="J2814" s="3">
        <v>44112</v>
      </c>
      <c r="K2814" s="2">
        <v>66</v>
      </c>
      <c r="L2814" s="2" t="s">
        <v>45</v>
      </c>
      <c r="M2814" s="3"/>
    </row>
    <row r="2815" spans="1:13" x14ac:dyDescent="0.3">
      <c r="A2815" s="2">
        <v>2814</v>
      </c>
      <c r="B2815" s="2" t="s">
        <v>7039</v>
      </c>
      <c r="C2815" s="2" t="s">
        <v>2223</v>
      </c>
      <c r="D2815" s="2" t="s">
        <v>51</v>
      </c>
      <c r="E2815" s="2" t="s">
        <v>16</v>
      </c>
      <c r="F2815" s="2">
        <v>90</v>
      </c>
      <c r="G2815" s="2" t="s">
        <v>7040</v>
      </c>
      <c r="H2815" s="2" t="s">
        <v>5464</v>
      </c>
      <c r="I2815" s="2" t="s">
        <v>124</v>
      </c>
      <c r="J2815" s="3">
        <v>44136</v>
      </c>
      <c r="K2815" s="2">
        <v>58</v>
      </c>
      <c r="L2815" s="2" t="s">
        <v>33</v>
      </c>
      <c r="M2815" s="3"/>
    </row>
    <row r="2816" spans="1:13" x14ac:dyDescent="0.3">
      <c r="A2816" s="2">
        <v>2815</v>
      </c>
      <c r="B2816" s="2" t="s">
        <v>6894</v>
      </c>
      <c r="C2816" s="2" t="s">
        <v>4456</v>
      </c>
      <c r="D2816" s="2" t="s">
        <v>15</v>
      </c>
      <c r="E2816" s="2" t="s">
        <v>16</v>
      </c>
      <c r="F2816" s="2">
        <v>90</v>
      </c>
      <c r="G2816" s="2" t="s">
        <v>7041</v>
      </c>
      <c r="H2816" s="2" t="s">
        <v>7042</v>
      </c>
      <c r="I2816" s="2" t="s">
        <v>1885</v>
      </c>
      <c r="J2816" s="3">
        <v>44612</v>
      </c>
      <c r="K2816" s="2">
        <v>90</v>
      </c>
      <c r="L2816" s="2" t="s">
        <v>54</v>
      </c>
      <c r="M2816" s="3"/>
    </row>
    <row r="2817" spans="1:13" x14ac:dyDescent="0.3">
      <c r="A2817" s="2">
        <v>2816</v>
      </c>
      <c r="B2817" s="2" t="s">
        <v>6804</v>
      </c>
      <c r="C2817" s="2" t="s">
        <v>7043</v>
      </c>
      <c r="D2817" s="2" t="s">
        <v>28</v>
      </c>
      <c r="E2817" s="2" t="s">
        <v>29</v>
      </c>
      <c r="F2817" s="2">
        <v>90</v>
      </c>
      <c r="G2817" s="2" t="s">
        <v>7044</v>
      </c>
      <c r="H2817" s="2" t="s">
        <v>6659</v>
      </c>
      <c r="I2817" s="2" t="s">
        <v>208</v>
      </c>
      <c r="J2817" s="3">
        <v>44540</v>
      </c>
      <c r="K2817" s="2">
        <v>10</v>
      </c>
      <c r="L2817" s="2" t="s">
        <v>20</v>
      </c>
      <c r="M2817" s="3"/>
    </row>
    <row r="2818" spans="1:13" x14ac:dyDescent="0.3">
      <c r="A2818" s="2">
        <v>2817</v>
      </c>
      <c r="B2818" s="2" t="s">
        <v>5958</v>
      </c>
      <c r="C2818" s="2" t="s">
        <v>259</v>
      </c>
      <c r="D2818" s="2" t="s">
        <v>28</v>
      </c>
      <c r="E2818" s="2" t="s">
        <v>29</v>
      </c>
      <c r="F2818" s="2">
        <v>60</v>
      </c>
      <c r="G2818" s="2" t="s">
        <v>7045</v>
      </c>
      <c r="H2818" s="2" t="s">
        <v>1412</v>
      </c>
      <c r="I2818" s="2" t="s">
        <v>1413</v>
      </c>
      <c r="J2818" s="3">
        <v>44189</v>
      </c>
      <c r="K2818" s="2">
        <v>67</v>
      </c>
      <c r="L2818" s="2" t="s">
        <v>80</v>
      </c>
      <c r="M2818" s="3"/>
    </row>
    <row r="2819" spans="1:13" x14ac:dyDescent="0.3">
      <c r="A2819" s="2">
        <v>2818</v>
      </c>
      <c r="B2819" s="2" t="s">
        <v>7046</v>
      </c>
      <c r="C2819" s="2" t="s">
        <v>929</v>
      </c>
      <c r="D2819" s="2" t="s">
        <v>92</v>
      </c>
      <c r="E2819" s="2" t="s">
        <v>16</v>
      </c>
      <c r="F2819" s="2">
        <v>60</v>
      </c>
      <c r="G2819" s="2" t="s">
        <v>7047</v>
      </c>
      <c r="H2819" s="2" t="s">
        <v>2931</v>
      </c>
      <c r="I2819" s="2" t="s">
        <v>32</v>
      </c>
      <c r="J2819" s="3">
        <v>44301</v>
      </c>
      <c r="K2819" s="2">
        <v>85</v>
      </c>
      <c r="L2819" s="2" t="s">
        <v>45</v>
      </c>
      <c r="M2819" s="3"/>
    </row>
    <row r="2820" spans="1:13" x14ac:dyDescent="0.3">
      <c r="A2820" s="2">
        <v>2819</v>
      </c>
      <c r="B2820" s="2" t="s">
        <v>2523</v>
      </c>
      <c r="C2820" s="2" t="s">
        <v>2521</v>
      </c>
      <c r="D2820" s="2" t="s">
        <v>28</v>
      </c>
      <c r="E2820" s="2" t="s">
        <v>29</v>
      </c>
      <c r="F2820" s="2">
        <v>90</v>
      </c>
      <c r="G2820" s="2" t="s">
        <v>7048</v>
      </c>
      <c r="H2820" s="2" t="s">
        <v>7049</v>
      </c>
      <c r="I2820" s="2" t="s">
        <v>32</v>
      </c>
      <c r="J2820" s="3">
        <v>43895</v>
      </c>
      <c r="K2820" s="2">
        <v>32</v>
      </c>
      <c r="L2820" s="2" t="s">
        <v>64</v>
      </c>
      <c r="M2820" s="3"/>
    </row>
    <row r="2821" spans="1:13" x14ac:dyDescent="0.3">
      <c r="A2821" s="2">
        <v>2820</v>
      </c>
      <c r="B2821" s="2" t="s">
        <v>3113</v>
      </c>
      <c r="C2821" s="2" t="s">
        <v>2453</v>
      </c>
      <c r="D2821" s="2" t="s">
        <v>51</v>
      </c>
      <c r="E2821" s="2" t="s">
        <v>16</v>
      </c>
      <c r="F2821" s="2">
        <v>90</v>
      </c>
      <c r="G2821" s="2" t="s">
        <v>7050</v>
      </c>
      <c r="H2821" s="2" t="s">
        <v>1265</v>
      </c>
      <c r="I2821" s="2" t="s">
        <v>32</v>
      </c>
      <c r="J2821" s="3">
        <v>44798</v>
      </c>
      <c r="K2821" s="2">
        <v>51</v>
      </c>
      <c r="L2821" s="2" t="s">
        <v>54</v>
      </c>
      <c r="M2821" s="3"/>
    </row>
    <row r="2822" spans="1:13" x14ac:dyDescent="0.3">
      <c r="A2822" s="2">
        <v>2821</v>
      </c>
      <c r="B2822" s="2" t="s">
        <v>7051</v>
      </c>
      <c r="C2822" s="2" t="s">
        <v>3192</v>
      </c>
      <c r="D2822" s="2" t="s">
        <v>15</v>
      </c>
      <c r="E2822" s="2" t="s">
        <v>16</v>
      </c>
      <c r="F2822" s="2">
        <v>60</v>
      </c>
      <c r="G2822" s="2" t="s">
        <v>7052</v>
      </c>
      <c r="H2822" s="2" t="s">
        <v>917</v>
      </c>
      <c r="I2822" s="2" t="s">
        <v>32</v>
      </c>
      <c r="J2822" s="3">
        <v>44006</v>
      </c>
      <c r="K2822" s="2">
        <v>68</v>
      </c>
      <c r="L2822" s="2" t="s">
        <v>39</v>
      </c>
      <c r="M2822" s="3"/>
    </row>
    <row r="2823" spans="1:13" x14ac:dyDescent="0.3">
      <c r="A2823" s="2">
        <v>2822</v>
      </c>
      <c r="B2823" s="2" t="s">
        <v>7053</v>
      </c>
      <c r="C2823" s="2" t="s">
        <v>4960</v>
      </c>
      <c r="D2823" s="2" t="s">
        <v>51</v>
      </c>
      <c r="E2823" s="2" t="s">
        <v>16</v>
      </c>
      <c r="F2823" s="2">
        <v>60</v>
      </c>
      <c r="G2823" s="2" t="s">
        <v>7054</v>
      </c>
      <c r="H2823" s="2" t="s">
        <v>3610</v>
      </c>
      <c r="I2823" s="2" t="s">
        <v>32</v>
      </c>
      <c r="J2823" s="3">
        <v>44248</v>
      </c>
      <c r="K2823" s="2">
        <v>59</v>
      </c>
      <c r="L2823" s="2" t="s">
        <v>101</v>
      </c>
      <c r="M2823" s="3"/>
    </row>
    <row r="2824" spans="1:13" x14ac:dyDescent="0.3">
      <c r="A2824" s="2">
        <v>2823</v>
      </c>
      <c r="B2824" s="2" t="s">
        <v>2263</v>
      </c>
      <c r="C2824" s="2" t="s">
        <v>3612</v>
      </c>
      <c r="D2824" s="2" t="s">
        <v>15</v>
      </c>
      <c r="E2824" s="2" t="s">
        <v>16</v>
      </c>
      <c r="F2824" s="2">
        <v>30</v>
      </c>
      <c r="G2824" s="2" t="s">
        <v>7055</v>
      </c>
      <c r="H2824" s="2" t="s">
        <v>7056</v>
      </c>
      <c r="I2824" s="2" t="s">
        <v>95</v>
      </c>
      <c r="J2824" s="3">
        <v>44536</v>
      </c>
      <c r="K2824" s="2">
        <v>37</v>
      </c>
      <c r="L2824" s="2" t="s">
        <v>70</v>
      </c>
      <c r="M2824" s="3"/>
    </row>
    <row r="2825" spans="1:13" x14ac:dyDescent="0.3">
      <c r="A2825" s="2">
        <v>2824</v>
      </c>
      <c r="B2825" s="2" t="s">
        <v>1776</v>
      </c>
      <c r="C2825" s="2" t="s">
        <v>1585</v>
      </c>
      <c r="D2825" s="2" t="s">
        <v>28</v>
      </c>
      <c r="E2825" s="2" t="s">
        <v>29</v>
      </c>
      <c r="F2825" s="2">
        <v>90</v>
      </c>
      <c r="G2825" s="2" t="s">
        <v>7055</v>
      </c>
      <c r="H2825" s="2" t="s">
        <v>724</v>
      </c>
      <c r="I2825" s="2" t="s">
        <v>240</v>
      </c>
      <c r="J2825" s="3">
        <v>43996</v>
      </c>
      <c r="K2825" s="2">
        <v>46</v>
      </c>
      <c r="L2825" s="2" t="s">
        <v>64</v>
      </c>
      <c r="M2825" s="3"/>
    </row>
    <row r="2826" spans="1:13" x14ac:dyDescent="0.3">
      <c r="A2826" s="2">
        <v>2825</v>
      </c>
      <c r="B2826" s="2" t="s">
        <v>4912</v>
      </c>
      <c r="C2826" s="2" t="s">
        <v>5012</v>
      </c>
      <c r="D2826" s="2" t="s">
        <v>15</v>
      </c>
      <c r="E2826" s="2" t="s">
        <v>16</v>
      </c>
      <c r="F2826" s="2">
        <v>30</v>
      </c>
      <c r="G2826" s="2" t="s">
        <v>7057</v>
      </c>
      <c r="H2826" s="2" t="s">
        <v>5036</v>
      </c>
      <c r="I2826" s="2" t="s">
        <v>32</v>
      </c>
      <c r="J2826" s="3">
        <v>44600</v>
      </c>
      <c r="K2826" s="2">
        <v>92</v>
      </c>
      <c r="L2826" s="2" t="s">
        <v>70</v>
      </c>
      <c r="M2826" s="3"/>
    </row>
    <row r="2827" spans="1:13" x14ac:dyDescent="0.3">
      <c r="A2827" s="2">
        <v>2826</v>
      </c>
      <c r="B2827" s="2" t="s">
        <v>7058</v>
      </c>
      <c r="C2827" s="2" t="s">
        <v>2427</v>
      </c>
      <c r="D2827" s="2" t="s">
        <v>15</v>
      </c>
      <c r="E2827" s="2" t="s">
        <v>16</v>
      </c>
      <c r="F2827" s="2">
        <v>30</v>
      </c>
      <c r="G2827" s="2" t="s">
        <v>7059</v>
      </c>
      <c r="H2827" s="2" t="s">
        <v>1242</v>
      </c>
      <c r="I2827" s="2" t="s">
        <v>38</v>
      </c>
      <c r="J2827" s="3">
        <v>44092</v>
      </c>
      <c r="K2827" s="2">
        <v>25</v>
      </c>
      <c r="L2827" s="2" t="s">
        <v>33</v>
      </c>
      <c r="M2827" s="3"/>
    </row>
    <row r="2828" spans="1:13" x14ac:dyDescent="0.3">
      <c r="A2828" s="2">
        <v>2827</v>
      </c>
      <c r="B2828" s="2" t="s">
        <v>2088</v>
      </c>
      <c r="C2828" s="2" t="s">
        <v>3071</v>
      </c>
      <c r="D2828" s="2" t="s">
        <v>51</v>
      </c>
      <c r="E2828" s="2" t="s">
        <v>16</v>
      </c>
      <c r="F2828" s="2">
        <v>60</v>
      </c>
      <c r="G2828" s="2" t="s">
        <v>7059</v>
      </c>
      <c r="H2828" s="2" t="s">
        <v>330</v>
      </c>
      <c r="I2828" s="2" t="s">
        <v>32</v>
      </c>
      <c r="J2828" s="3">
        <v>44785</v>
      </c>
      <c r="K2828" s="2">
        <v>27</v>
      </c>
      <c r="L2828" s="2" t="s">
        <v>70</v>
      </c>
      <c r="M2828" s="3"/>
    </row>
    <row r="2829" spans="1:13" x14ac:dyDescent="0.3">
      <c r="A2829" s="2">
        <v>2828</v>
      </c>
      <c r="B2829" s="2" t="s">
        <v>5147</v>
      </c>
      <c r="C2829" s="2" t="s">
        <v>258</v>
      </c>
      <c r="D2829" s="2" t="s">
        <v>28</v>
      </c>
      <c r="E2829" s="2" t="s">
        <v>29</v>
      </c>
      <c r="F2829" s="2">
        <v>60</v>
      </c>
      <c r="G2829" s="2" t="s">
        <v>7060</v>
      </c>
      <c r="H2829" s="2" t="s">
        <v>1280</v>
      </c>
      <c r="I2829" s="2" t="s">
        <v>95</v>
      </c>
      <c r="J2829" s="3">
        <v>44911</v>
      </c>
      <c r="K2829" s="2">
        <v>77</v>
      </c>
      <c r="L2829" s="2" t="s">
        <v>70</v>
      </c>
      <c r="M2829" s="3"/>
    </row>
    <row r="2830" spans="1:13" x14ac:dyDescent="0.3">
      <c r="A2830" s="2">
        <v>2829</v>
      </c>
      <c r="B2830" s="2" t="s">
        <v>7061</v>
      </c>
      <c r="C2830" s="2" t="s">
        <v>7000</v>
      </c>
      <c r="D2830" s="2" t="s">
        <v>28</v>
      </c>
      <c r="E2830" s="2" t="s">
        <v>29</v>
      </c>
      <c r="F2830" s="2">
        <v>90</v>
      </c>
      <c r="G2830" s="2" t="s">
        <v>7060</v>
      </c>
      <c r="H2830" s="2" t="s">
        <v>1173</v>
      </c>
      <c r="I2830" s="2" t="s">
        <v>32</v>
      </c>
      <c r="J2830" s="3">
        <v>44632</v>
      </c>
      <c r="K2830" s="2">
        <v>92</v>
      </c>
      <c r="L2830" s="2" t="s">
        <v>159</v>
      </c>
      <c r="M2830" s="3"/>
    </row>
    <row r="2831" spans="1:13" x14ac:dyDescent="0.3">
      <c r="A2831" s="2">
        <v>2830</v>
      </c>
      <c r="B2831" s="2" t="s">
        <v>3438</v>
      </c>
      <c r="C2831" s="2" t="s">
        <v>7062</v>
      </c>
      <c r="D2831" s="2" t="s">
        <v>28</v>
      </c>
      <c r="E2831" s="2" t="s">
        <v>29</v>
      </c>
      <c r="F2831" s="2">
        <v>60</v>
      </c>
      <c r="G2831" s="2" t="s">
        <v>7063</v>
      </c>
      <c r="H2831" s="2" t="s">
        <v>1712</v>
      </c>
      <c r="I2831" s="2" t="s">
        <v>187</v>
      </c>
      <c r="J2831" s="3">
        <v>44701</v>
      </c>
      <c r="K2831" s="2">
        <v>50</v>
      </c>
      <c r="L2831" s="2" t="s">
        <v>64</v>
      </c>
      <c r="M2831" s="3"/>
    </row>
    <row r="2832" spans="1:13" x14ac:dyDescent="0.3">
      <c r="A2832" s="2">
        <v>2831</v>
      </c>
      <c r="B2832" s="2" t="s">
        <v>7064</v>
      </c>
      <c r="C2832" s="2" t="s">
        <v>6226</v>
      </c>
      <c r="D2832" s="2" t="s">
        <v>51</v>
      </c>
      <c r="E2832" s="2" t="s">
        <v>16</v>
      </c>
      <c r="F2832" s="2">
        <v>60</v>
      </c>
      <c r="G2832" s="2" t="s">
        <v>7065</v>
      </c>
      <c r="H2832" s="2" t="s">
        <v>2418</v>
      </c>
      <c r="I2832" s="2" t="s">
        <v>32</v>
      </c>
      <c r="J2832" s="3">
        <v>44562</v>
      </c>
      <c r="K2832" s="2">
        <v>6</v>
      </c>
      <c r="L2832" s="2" t="s">
        <v>39</v>
      </c>
      <c r="M2832" s="3"/>
    </row>
    <row r="2833" spans="1:13" x14ac:dyDescent="0.3">
      <c r="A2833" s="2">
        <v>2832</v>
      </c>
      <c r="B2833" s="2" t="s">
        <v>7066</v>
      </c>
      <c r="C2833" s="2" t="s">
        <v>3137</v>
      </c>
      <c r="D2833" s="2" t="s">
        <v>41</v>
      </c>
      <c r="E2833" s="2" t="s">
        <v>16</v>
      </c>
      <c r="F2833" s="2">
        <v>30</v>
      </c>
      <c r="G2833" s="2" t="s">
        <v>7067</v>
      </c>
      <c r="H2833" s="2" t="s">
        <v>3288</v>
      </c>
      <c r="I2833" s="2" t="s">
        <v>32</v>
      </c>
      <c r="J2833" s="3">
        <v>44401</v>
      </c>
      <c r="K2833" s="2">
        <v>9</v>
      </c>
      <c r="L2833" s="2" t="s">
        <v>64</v>
      </c>
      <c r="M2833" s="3"/>
    </row>
    <row r="2834" spans="1:13" x14ac:dyDescent="0.3">
      <c r="A2834" s="2">
        <v>2833</v>
      </c>
      <c r="B2834" s="2" t="s">
        <v>2679</v>
      </c>
      <c r="C2834" s="2" t="s">
        <v>3439</v>
      </c>
      <c r="D2834" s="2" t="s">
        <v>28</v>
      </c>
      <c r="E2834" s="2" t="s">
        <v>29</v>
      </c>
      <c r="F2834" s="2">
        <v>60</v>
      </c>
      <c r="G2834" s="2" t="s">
        <v>7068</v>
      </c>
      <c r="H2834" s="2" t="s">
        <v>6770</v>
      </c>
      <c r="I2834" s="2" t="s">
        <v>124</v>
      </c>
      <c r="J2834" s="3">
        <v>43837</v>
      </c>
      <c r="K2834" s="2">
        <v>72</v>
      </c>
      <c r="L2834" s="2" t="s">
        <v>101</v>
      </c>
      <c r="M2834" s="3"/>
    </row>
    <row r="2835" spans="1:13" x14ac:dyDescent="0.3">
      <c r="A2835" s="2">
        <v>2834</v>
      </c>
      <c r="B2835" s="2" t="s">
        <v>7069</v>
      </c>
      <c r="C2835" s="2" t="s">
        <v>7070</v>
      </c>
      <c r="D2835" s="2" t="s">
        <v>28</v>
      </c>
      <c r="E2835" s="2" t="s">
        <v>29</v>
      </c>
      <c r="F2835" s="2">
        <v>30</v>
      </c>
      <c r="G2835" s="2" t="s">
        <v>7071</v>
      </c>
      <c r="H2835" s="2" t="s">
        <v>1221</v>
      </c>
      <c r="I2835" s="2" t="s">
        <v>124</v>
      </c>
      <c r="J2835" s="3">
        <v>44776</v>
      </c>
      <c r="K2835" s="2">
        <v>25</v>
      </c>
      <c r="L2835" s="2" t="s">
        <v>39</v>
      </c>
      <c r="M2835" s="3"/>
    </row>
    <row r="2836" spans="1:13" x14ac:dyDescent="0.3">
      <c r="A2836" s="2">
        <v>2835</v>
      </c>
      <c r="B2836" s="2" t="s">
        <v>3310</v>
      </c>
      <c r="C2836" s="2" t="s">
        <v>2637</v>
      </c>
      <c r="D2836" s="2" t="s">
        <v>28</v>
      </c>
      <c r="E2836" s="2" t="s">
        <v>29</v>
      </c>
      <c r="F2836" s="2">
        <v>90</v>
      </c>
      <c r="G2836" s="2" t="s">
        <v>7072</v>
      </c>
      <c r="H2836" s="2" t="s">
        <v>1052</v>
      </c>
      <c r="I2836" s="2" t="s">
        <v>32</v>
      </c>
      <c r="J2836" s="3">
        <v>44845</v>
      </c>
      <c r="K2836" s="2">
        <v>87</v>
      </c>
      <c r="L2836" s="2" t="s">
        <v>80</v>
      </c>
      <c r="M2836" s="3"/>
    </row>
    <row r="2837" spans="1:13" x14ac:dyDescent="0.3">
      <c r="A2837" s="2">
        <v>2836</v>
      </c>
      <c r="B2837" s="2" t="s">
        <v>5497</v>
      </c>
      <c r="C2837" s="2" t="s">
        <v>7073</v>
      </c>
      <c r="D2837" s="2" t="s">
        <v>28</v>
      </c>
      <c r="E2837" s="2" t="s">
        <v>29</v>
      </c>
      <c r="F2837" s="2">
        <v>60</v>
      </c>
      <c r="G2837" s="2" t="s">
        <v>7074</v>
      </c>
      <c r="H2837" s="2" t="s">
        <v>599</v>
      </c>
      <c r="I2837" s="2" t="s">
        <v>32</v>
      </c>
      <c r="J2837" s="3">
        <v>44851</v>
      </c>
      <c r="K2837" s="2">
        <v>78</v>
      </c>
      <c r="L2837" s="2" t="s">
        <v>70</v>
      </c>
      <c r="M2837" s="3"/>
    </row>
    <row r="2838" spans="1:13" x14ac:dyDescent="0.3">
      <c r="A2838" s="2">
        <v>2837</v>
      </c>
      <c r="B2838" s="2" t="s">
        <v>5916</v>
      </c>
      <c r="C2838" s="2" t="s">
        <v>3621</v>
      </c>
      <c r="D2838" s="2" t="s">
        <v>28</v>
      </c>
      <c r="E2838" s="2" t="s">
        <v>29</v>
      </c>
      <c r="F2838" s="2">
        <v>90</v>
      </c>
      <c r="G2838" s="2" t="s">
        <v>7075</v>
      </c>
      <c r="H2838" s="2" t="s">
        <v>3545</v>
      </c>
      <c r="I2838" s="2" t="s">
        <v>32</v>
      </c>
      <c r="J2838" s="3">
        <v>44296</v>
      </c>
      <c r="K2838" s="2">
        <v>9</v>
      </c>
      <c r="L2838" s="2" t="s">
        <v>39</v>
      </c>
      <c r="M2838" s="3"/>
    </row>
    <row r="2839" spans="1:13" x14ac:dyDescent="0.3">
      <c r="A2839" s="2">
        <v>2838</v>
      </c>
      <c r="B2839" s="2" t="s">
        <v>7076</v>
      </c>
      <c r="C2839" s="2" t="s">
        <v>365</v>
      </c>
      <c r="D2839" s="2" t="s">
        <v>28</v>
      </c>
      <c r="E2839" s="2" t="s">
        <v>29</v>
      </c>
      <c r="F2839" s="2">
        <v>30</v>
      </c>
      <c r="G2839" s="2" t="s">
        <v>7077</v>
      </c>
      <c r="H2839" s="2" t="s">
        <v>2035</v>
      </c>
      <c r="I2839" s="2" t="s">
        <v>32</v>
      </c>
      <c r="J2839" s="3">
        <v>44743</v>
      </c>
      <c r="K2839" s="2">
        <v>40</v>
      </c>
      <c r="L2839" s="2" t="s">
        <v>45</v>
      </c>
      <c r="M2839" s="3"/>
    </row>
    <row r="2840" spans="1:13" x14ac:dyDescent="0.3">
      <c r="A2840" s="2">
        <v>2839</v>
      </c>
      <c r="B2840" s="2" t="s">
        <v>305</v>
      </c>
      <c r="C2840" s="2" t="s">
        <v>7078</v>
      </c>
      <c r="D2840" s="2" t="s">
        <v>28</v>
      </c>
      <c r="E2840" s="2" t="s">
        <v>29</v>
      </c>
      <c r="F2840" s="2">
        <v>90</v>
      </c>
      <c r="G2840" s="2" t="s">
        <v>7079</v>
      </c>
      <c r="H2840" s="2" t="s">
        <v>2336</v>
      </c>
      <c r="I2840" s="2" t="s">
        <v>32</v>
      </c>
      <c r="J2840" s="3">
        <v>44403</v>
      </c>
      <c r="K2840" s="2">
        <v>74</v>
      </c>
      <c r="L2840" s="2" t="s">
        <v>33</v>
      </c>
      <c r="M2840" s="3"/>
    </row>
    <row r="2841" spans="1:13" x14ac:dyDescent="0.3">
      <c r="A2841" s="2">
        <v>2840</v>
      </c>
      <c r="B2841" s="2" t="s">
        <v>7080</v>
      </c>
      <c r="C2841" s="2" t="s">
        <v>2643</v>
      </c>
      <c r="D2841" s="2" t="s">
        <v>15</v>
      </c>
      <c r="E2841" s="2" t="s">
        <v>16</v>
      </c>
      <c r="F2841" s="2">
        <v>90</v>
      </c>
      <c r="G2841" s="2" t="s">
        <v>7081</v>
      </c>
      <c r="H2841" s="2" t="s">
        <v>447</v>
      </c>
      <c r="I2841" s="2" t="s">
        <v>32</v>
      </c>
      <c r="J2841" s="3">
        <v>44654</v>
      </c>
      <c r="K2841" s="2">
        <v>85</v>
      </c>
      <c r="L2841" s="2" t="s">
        <v>45</v>
      </c>
      <c r="M2841" s="3"/>
    </row>
    <row r="2842" spans="1:13" x14ac:dyDescent="0.3">
      <c r="A2842" s="2">
        <v>2841</v>
      </c>
      <c r="B2842" s="2" t="s">
        <v>6578</v>
      </c>
      <c r="C2842" s="2" t="s">
        <v>4695</v>
      </c>
      <c r="D2842" s="2" t="s">
        <v>28</v>
      </c>
      <c r="E2842" s="2" t="s">
        <v>29</v>
      </c>
      <c r="F2842" s="2">
        <v>60</v>
      </c>
      <c r="G2842" s="2" t="s">
        <v>7082</v>
      </c>
      <c r="H2842" s="2" t="s">
        <v>912</v>
      </c>
      <c r="I2842" s="2" t="s">
        <v>913</v>
      </c>
      <c r="J2842" s="3">
        <v>43951</v>
      </c>
      <c r="K2842" s="2">
        <v>55</v>
      </c>
      <c r="L2842" s="2" t="s">
        <v>64</v>
      </c>
      <c r="M2842" s="3"/>
    </row>
    <row r="2843" spans="1:13" x14ac:dyDescent="0.3">
      <c r="A2843" s="2">
        <v>2842</v>
      </c>
      <c r="B2843" s="2" t="s">
        <v>4724</v>
      </c>
      <c r="C2843" s="2" t="s">
        <v>1669</v>
      </c>
      <c r="D2843" s="2" t="s">
        <v>28</v>
      </c>
      <c r="E2843" s="2" t="s">
        <v>29</v>
      </c>
      <c r="F2843" s="2">
        <v>90</v>
      </c>
      <c r="G2843" s="2" t="s">
        <v>7082</v>
      </c>
      <c r="H2843" s="2" t="s">
        <v>7083</v>
      </c>
      <c r="I2843" s="2" t="s">
        <v>294</v>
      </c>
      <c r="J2843" s="3">
        <v>44256</v>
      </c>
      <c r="K2843" s="2">
        <v>31</v>
      </c>
      <c r="L2843" s="2" t="s">
        <v>20</v>
      </c>
      <c r="M2843" s="3"/>
    </row>
    <row r="2844" spans="1:13" x14ac:dyDescent="0.3">
      <c r="A2844" s="2">
        <v>2843</v>
      </c>
      <c r="B2844" s="2" t="s">
        <v>1644</v>
      </c>
      <c r="C2844" s="2" t="s">
        <v>3600</v>
      </c>
      <c r="D2844" s="2" t="s">
        <v>15</v>
      </c>
      <c r="E2844" s="2" t="s">
        <v>16</v>
      </c>
      <c r="F2844" s="2">
        <v>90</v>
      </c>
      <c r="G2844" s="2" t="s">
        <v>7084</v>
      </c>
      <c r="H2844" s="2" t="s">
        <v>2357</v>
      </c>
      <c r="I2844" s="2" t="s">
        <v>32</v>
      </c>
      <c r="J2844" s="3">
        <v>44790</v>
      </c>
      <c r="K2844" s="2">
        <v>21</v>
      </c>
      <c r="L2844" s="2" t="s">
        <v>80</v>
      </c>
      <c r="M2844" s="3"/>
    </row>
    <row r="2845" spans="1:13" x14ac:dyDescent="0.3">
      <c r="A2845" s="2">
        <v>2844</v>
      </c>
      <c r="B2845" s="2" t="s">
        <v>7085</v>
      </c>
      <c r="C2845" s="2" t="s">
        <v>7086</v>
      </c>
      <c r="D2845" s="2" t="s">
        <v>15</v>
      </c>
      <c r="E2845" s="2" t="s">
        <v>16</v>
      </c>
      <c r="F2845" s="2">
        <v>60</v>
      </c>
      <c r="G2845" s="2" t="s">
        <v>7087</v>
      </c>
      <c r="H2845" s="2" t="s">
        <v>4924</v>
      </c>
      <c r="I2845" s="2" t="s">
        <v>32</v>
      </c>
      <c r="J2845" s="3">
        <v>44275</v>
      </c>
      <c r="K2845" s="2">
        <v>95</v>
      </c>
      <c r="L2845" s="2" t="s">
        <v>80</v>
      </c>
      <c r="M2845" s="3"/>
    </row>
    <row r="2846" spans="1:13" x14ac:dyDescent="0.3">
      <c r="A2846" s="2">
        <v>2845</v>
      </c>
      <c r="B2846" s="2" t="s">
        <v>4986</v>
      </c>
      <c r="C2846" s="2" t="s">
        <v>1296</v>
      </c>
      <c r="D2846" s="2" t="s">
        <v>51</v>
      </c>
      <c r="E2846" s="2" t="s">
        <v>16</v>
      </c>
      <c r="F2846" s="2">
        <v>30</v>
      </c>
      <c r="G2846" s="2" t="s">
        <v>7088</v>
      </c>
      <c r="H2846" s="2" t="s">
        <v>2526</v>
      </c>
      <c r="I2846" s="2" t="s">
        <v>95</v>
      </c>
      <c r="J2846" s="3">
        <v>44410</v>
      </c>
      <c r="K2846" s="2">
        <v>8</v>
      </c>
      <c r="L2846" s="2" t="s">
        <v>64</v>
      </c>
      <c r="M2846" s="3"/>
    </row>
    <row r="2847" spans="1:13" x14ac:dyDescent="0.3">
      <c r="A2847" s="2">
        <v>2846</v>
      </c>
      <c r="B2847" s="2" t="s">
        <v>7089</v>
      </c>
      <c r="C2847" s="2" t="s">
        <v>6439</v>
      </c>
      <c r="D2847" s="2" t="s">
        <v>92</v>
      </c>
      <c r="E2847" s="2" t="s">
        <v>16</v>
      </c>
      <c r="F2847" s="2">
        <v>60</v>
      </c>
      <c r="G2847" s="2" t="s">
        <v>7090</v>
      </c>
      <c r="H2847" s="2" t="s">
        <v>138</v>
      </c>
      <c r="I2847" s="2" t="s">
        <v>294</v>
      </c>
      <c r="J2847" s="3">
        <v>44405</v>
      </c>
      <c r="K2847" s="2">
        <v>16</v>
      </c>
      <c r="L2847" s="2" t="s">
        <v>70</v>
      </c>
      <c r="M2847" s="3"/>
    </row>
    <row r="2848" spans="1:13" x14ac:dyDescent="0.3">
      <c r="A2848" s="2">
        <v>2847</v>
      </c>
      <c r="B2848" s="2" t="s">
        <v>3696</v>
      </c>
      <c r="C2848" s="2" t="s">
        <v>4226</v>
      </c>
      <c r="D2848" s="2" t="s">
        <v>15</v>
      </c>
      <c r="E2848" s="2" t="s">
        <v>16</v>
      </c>
      <c r="F2848" s="2">
        <v>60</v>
      </c>
      <c r="G2848" s="2" t="s">
        <v>7091</v>
      </c>
      <c r="H2848" s="2" t="s">
        <v>7092</v>
      </c>
      <c r="I2848" s="2" t="s">
        <v>32</v>
      </c>
      <c r="J2848" s="3">
        <v>44183</v>
      </c>
      <c r="K2848" s="2">
        <v>71</v>
      </c>
      <c r="L2848" s="2" t="s">
        <v>39</v>
      </c>
      <c r="M2848" s="3"/>
    </row>
    <row r="2849" spans="1:13" x14ac:dyDescent="0.3">
      <c r="A2849" s="2">
        <v>2848</v>
      </c>
      <c r="B2849" s="2" t="s">
        <v>34</v>
      </c>
      <c r="C2849" s="2" t="s">
        <v>2474</v>
      </c>
      <c r="D2849" s="2" t="s">
        <v>28</v>
      </c>
      <c r="E2849" s="2" t="s">
        <v>29</v>
      </c>
      <c r="F2849" s="2">
        <v>30</v>
      </c>
      <c r="G2849" s="2" t="s">
        <v>7093</v>
      </c>
      <c r="H2849" s="2" t="s">
        <v>145</v>
      </c>
      <c r="I2849" s="2" t="s">
        <v>146</v>
      </c>
      <c r="J2849" s="3">
        <v>43867</v>
      </c>
      <c r="K2849" s="2">
        <v>17</v>
      </c>
      <c r="L2849" s="2" t="s">
        <v>64</v>
      </c>
      <c r="M2849" s="3"/>
    </row>
    <row r="2850" spans="1:13" x14ac:dyDescent="0.3">
      <c r="A2850" s="2">
        <v>2849</v>
      </c>
      <c r="B2850" s="2" t="s">
        <v>3388</v>
      </c>
      <c r="C2850" s="2" t="s">
        <v>1746</v>
      </c>
      <c r="D2850" s="2" t="s">
        <v>15</v>
      </c>
      <c r="E2850" s="2" t="s">
        <v>16</v>
      </c>
      <c r="F2850" s="2">
        <v>60</v>
      </c>
      <c r="G2850" s="2" t="s">
        <v>7094</v>
      </c>
      <c r="H2850" s="2" t="s">
        <v>793</v>
      </c>
      <c r="I2850" s="2" t="s">
        <v>178</v>
      </c>
      <c r="J2850" s="3">
        <v>44705</v>
      </c>
      <c r="K2850" s="2">
        <v>46</v>
      </c>
      <c r="L2850" s="2" t="s">
        <v>54</v>
      </c>
      <c r="M2850" s="3"/>
    </row>
    <row r="2851" spans="1:13" x14ac:dyDescent="0.3">
      <c r="A2851" s="2">
        <v>2850</v>
      </c>
      <c r="B2851" s="2" t="s">
        <v>7095</v>
      </c>
      <c r="C2851" s="2" t="s">
        <v>418</v>
      </c>
      <c r="D2851" s="2" t="s">
        <v>28</v>
      </c>
      <c r="E2851" s="2" t="s">
        <v>29</v>
      </c>
      <c r="F2851" s="2">
        <v>60</v>
      </c>
      <c r="G2851" s="2" t="s">
        <v>7096</v>
      </c>
      <c r="H2851" s="2" t="s">
        <v>3271</v>
      </c>
      <c r="I2851" s="2" t="s">
        <v>173</v>
      </c>
      <c r="J2851" s="3">
        <v>44906</v>
      </c>
      <c r="K2851" s="2">
        <v>84</v>
      </c>
      <c r="L2851" s="2" t="s">
        <v>45</v>
      </c>
      <c r="M2851" s="3"/>
    </row>
    <row r="2852" spans="1:13" x14ac:dyDescent="0.3">
      <c r="A2852" s="2">
        <v>2851</v>
      </c>
      <c r="B2852" s="2" t="s">
        <v>929</v>
      </c>
      <c r="C2852" s="2" t="s">
        <v>2355</v>
      </c>
      <c r="D2852" s="2" t="s">
        <v>28</v>
      </c>
      <c r="E2852" s="2" t="s">
        <v>29</v>
      </c>
      <c r="F2852" s="2">
        <v>60</v>
      </c>
      <c r="G2852" s="2" t="s">
        <v>7097</v>
      </c>
      <c r="H2852" s="2" t="s">
        <v>1194</v>
      </c>
      <c r="I2852" s="2" t="s">
        <v>38</v>
      </c>
      <c r="J2852" s="3">
        <v>44357</v>
      </c>
      <c r="K2852" s="2">
        <v>53</v>
      </c>
      <c r="L2852" s="2" t="s">
        <v>45</v>
      </c>
      <c r="M2852" s="3"/>
    </row>
    <row r="2853" spans="1:13" x14ac:dyDescent="0.3">
      <c r="A2853" s="2">
        <v>2852</v>
      </c>
      <c r="B2853" s="2" t="s">
        <v>7098</v>
      </c>
      <c r="C2853" s="2" t="s">
        <v>7099</v>
      </c>
      <c r="D2853" s="2" t="s">
        <v>15</v>
      </c>
      <c r="E2853" s="2" t="s">
        <v>16</v>
      </c>
      <c r="F2853" s="2">
        <v>90</v>
      </c>
      <c r="G2853" s="2" t="s">
        <v>7100</v>
      </c>
      <c r="H2853" s="2" t="s">
        <v>145</v>
      </c>
      <c r="I2853" s="2" t="s">
        <v>146</v>
      </c>
      <c r="J2853" s="3">
        <v>44268</v>
      </c>
      <c r="K2853" s="2">
        <v>83</v>
      </c>
      <c r="L2853" s="2" t="s">
        <v>64</v>
      </c>
      <c r="M2853" s="3"/>
    </row>
    <row r="2854" spans="1:13" x14ac:dyDescent="0.3">
      <c r="A2854" s="2">
        <v>2853</v>
      </c>
      <c r="B2854" s="2" t="s">
        <v>7101</v>
      </c>
      <c r="C2854" s="2" t="s">
        <v>6436</v>
      </c>
      <c r="D2854" s="2" t="s">
        <v>51</v>
      </c>
      <c r="E2854" s="2" t="s">
        <v>16</v>
      </c>
      <c r="F2854" s="2">
        <v>60</v>
      </c>
      <c r="G2854" s="2" t="s">
        <v>7102</v>
      </c>
      <c r="H2854" s="2" t="s">
        <v>2896</v>
      </c>
      <c r="I2854" s="2" t="s">
        <v>110</v>
      </c>
      <c r="J2854" s="3">
        <v>43833</v>
      </c>
      <c r="K2854" s="2">
        <v>51</v>
      </c>
      <c r="L2854" s="2" t="s">
        <v>70</v>
      </c>
      <c r="M2854" s="3"/>
    </row>
    <row r="2855" spans="1:13" x14ac:dyDescent="0.3">
      <c r="A2855" s="2">
        <v>2854</v>
      </c>
      <c r="B2855" s="2" t="s">
        <v>6072</v>
      </c>
      <c r="C2855" s="2" t="s">
        <v>2488</v>
      </c>
      <c r="D2855" s="2" t="s">
        <v>28</v>
      </c>
      <c r="E2855" s="2" t="s">
        <v>29</v>
      </c>
      <c r="F2855" s="2">
        <v>30</v>
      </c>
      <c r="G2855" s="2" t="s">
        <v>7103</v>
      </c>
      <c r="H2855" s="2" t="s">
        <v>1206</v>
      </c>
      <c r="I2855" s="2" t="s">
        <v>294</v>
      </c>
      <c r="J2855" s="3">
        <v>44158</v>
      </c>
      <c r="K2855" s="2">
        <v>34</v>
      </c>
      <c r="L2855" s="2" t="s">
        <v>39</v>
      </c>
      <c r="M2855" s="3"/>
    </row>
    <row r="2856" spans="1:13" x14ac:dyDescent="0.3">
      <c r="A2856" s="2">
        <v>2855</v>
      </c>
      <c r="B2856" s="2" t="s">
        <v>7104</v>
      </c>
      <c r="C2856" s="2" t="s">
        <v>4558</v>
      </c>
      <c r="D2856" s="2" t="s">
        <v>28</v>
      </c>
      <c r="E2856" s="2" t="s">
        <v>29</v>
      </c>
      <c r="F2856" s="2">
        <v>60</v>
      </c>
      <c r="G2856" s="2" t="s">
        <v>7105</v>
      </c>
      <c r="H2856" s="2" t="s">
        <v>4924</v>
      </c>
      <c r="I2856" s="2" t="s">
        <v>32</v>
      </c>
      <c r="J2856" s="3">
        <v>44386</v>
      </c>
      <c r="K2856" s="2">
        <v>3</v>
      </c>
      <c r="L2856" s="2" t="s">
        <v>159</v>
      </c>
      <c r="M2856" s="3"/>
    </row>
    <row r="2857" spans="1:13" x14ac:dyDescent="0.3">
      <c r="A2857" s="2">
        <v>2856</v>
      </c>
      <c r="B2857" s="2" t="s">
        <v>7106</v>
      </c>
      <c r="C2857" s="2" t="s">
        <v>391</v>
      </c>
      <c r="D2857" s="2" t="s">
        <v>15</v>
      </c>
      <c r="E2857" s="2" t="s">
        <v>16</v>
      </c>
      <c r="F2857" s="2">
        <v>30</v>
      </c>
      <c r="G2857" s="2" t="s">
        <v>7107</v>
      </c>
      <c r="H2857" s="2" t="s">
        <v>917</v>
      </c>
      <c r="I2857" s="2" t="s">
        <v>32</v>
      </c>
      <c r="J2857" s="3">
        <v>43841</v>
      </c>
      <c r="K2857" s="2">
        <v>28</v>
      </c>
      <c r="L2857" s="2" t="s">
        <v>33</v>
      </c>
      <c r="M2857" s="3"/>
    </row>
    <row r="2858" spans="1:13" x14ac:dyDescent="0.3">
      <c r="A2858" s="2">
        <v>2857</v>
      </c>
      <c r="B2858" s="2" t="s">
        <v>7108</v>
      </c>
      <c r="C2858" s="2" t="s">
        <v>1543</v>
      </c>
      <c r="D2858" s="2" t="s">
        <v>92</v>
      </c>
      <c r="E2858" s="2" t="s">
        <v>29</v>
      </c>
      <c r="F2858" s="2">
        <v>90</v>
      </c>
      <c r="G2858" s="2" t="s">
        <v>7109</v>
      </c>
      <c r="H2858" s="2" t="s">
        <v>3064</v>
      </c>
      <c r="I2858" s="2" t="s">
        <v>32</v>
      </c>
      <c r="J2858" s="3">
        <v>44443</v>
      </c>
      <c r="K2858" s="2">
        <v>57</v>
      </c>
      <c r="L2858" s="2" t="s">
        <v>54</v>
      </c>
      <c r="M2858" s="3"/>
    </row>
    <row r="2859" spans="1:13" x14ac:dyDescent="0.3">
      <c r="A2859" s="2">
        <v>2858</v>
      </c>
      <c r="B2859" s="2" t="s">
        <v>4286</v>
      </c>
      <c r="C2859" s="2" t="s">
        <v>5862</v>
      </c>
      <c r="D2859" s="2" t="s">
        <v>28</v>
      </c>
      <c r="E2859" s="2" t="s">
        <v>29</v>
      </c>
      <c r="F2859" s="2">
        <v>30</v>
      </c>
      <c r="G2859" s="2" t="s">
        <v>7110</v>
      </c>
      <c r="H2859" s="2" t="s">
        <v>7049</v>
      </c>
      <c r="I2859" s="2" t="s">
        <v>32</v>
      </c>
      <c r="J2859" s="3">
        <v>44774</v>
      </c>
      <c r="K2859" s="2">
        <v>98</v>
      </c>
      <c r="L2859" s="2" t="s">
        <v>101</v>
      </c>
      <c r="M2859" s="3"/>
    </row>
    <row r="2860" spans="1:13" x14ac:dyDescent="0.3">
      <c r="A2860" s="2">
        <v>2859</v>
      </c>
      <c r="B2860" s="2" t="s">
        <v>1316</v>
      </c>
      <c r="C2860" s="2" t="s">
        <v>7111</v>
      </c>
      <c r="D2860" s="2" t="s">
        <v>28</v>
      </c>
      <c r="E2860" s="2" t="s">
        <v>29</v>
      </c>
      <c r="F2860" s="2">
        <v>90</v>
      </c>
      <c r="G2860" s="2" t="s">
        <v>7112</v>
      </c>
      <c r="H2860" s="2" t="s">
        <v>3446</v>
      </c>
      <c r="I2860" s="2" t="s">
        <v>32</v>
      </c>
      <c r="J2860" s="3">
        <v>44290</v>
      </c>
      <c r="K2860" s="2">
        <v>59</v>
      </c>
      <c r="L2860" s="2" t="s">
        <v>80</v>
      </c>
      <c r="M2860" s="3"/>
    </row>
    <row r="2861" spans="1:13" x14ac:dyDescent="0.3">
      <c r="A2861" s="2">
        <v>2860</v>
      </c>
      <c r="B2861" s="2" t="s">
        <v>692</v>
      </c>
      <c r="C2861" s="2" t="s">
        <v>6661</v>
      </c>
      <c r="D2861" s="2" t="s">
        <v>28</v>
      </c>
      <c r="E2861" s="2" t="s">
        <v>29</v>
      </c>
      <c r="F2861" s="2">
        <v>90</v>
      </c>
      <c r="G2861" s="2" t="s">
        <v>7113</v>
      </c>
      <c r="H2861" s="2" t="s">
        <v>2172</v>
      </c>
      <c r="I2861" s="2" t="s">
        <v>32</v>
      </c>
      <c r="J2861" s="3">
        <v>44673</v>
      </c>
      <c r="K2861" s="2">
        <v>31</v>
      </c>
      <c r="L2861" s="2" t="s">
        <v>45</v>
      </c>
      <c r="M2861" s="3"/>
    </row>
    <row r="2862" spans="1:13" x14ac:dyDescent="0.3">
      <c r="A2862" s="2">
        <v>2861</v>
      </c>
      <c r="B2862" s="2" t="s">
        <v>7114</v>
      </c>
      <c r="C2862" s="2" t="s">
        <v>520</v>
      </c>
      <c r="D2862" s="2" t="s">
        <v>28</v>
      </c>
      <c r="E2862" s="2" t="s">
        <v>29</v>
      </c>
      <c r="F2862" s="2">
        <v>60</v>
      </c>
      <c r="G2862" s="2" t="s">
        <v>7115</v>
      </c>
      <c r="H2862" s="2" t="s">
        <v>2717</v>
      </c>
      <c r="I2862" s="2" t="s">
        <v>1889</v>
      </c>
      <c r="J2862" s="3">
        <v>44327</v>
      </c>
      <c r="K2862" s="2">
        <v>33</v>
      </c>
      <c r="L2862" s="2" t="s">
        <v>70</v>
      </c>
      <c r="M2862" s="3"/>
    </row>
    <row r="2863" spans="1:13" x14ac:dyDescent="0.3">
      <c r="A2863" s="2">
        <v>2862</v>
      </c>
      <c r="B2863" s="2" t="s">
        <v>7116</v>
      </c>
      <c r="C2863" s="2" t="s">
        <v>3394</v>
      </c>
      <c r="D2863" s="2" t="s">
        <v>51</v>
      </c>
      <c r="E2863" s="2" t="s">
        <v>16</v>
      </c>
      <c r="F2863" s="2">
        <v>90</v>
      </c>
      <c r="G2863" s="2" t="s">
        <v>7117</v>
      </c>
      <c r="H2863" s="2" t="s">
        <v>7118</v>
      </c>
      <c r="I2863" s="2" t="s">
        <v>2022</v>
      </c>
      <c r="J2863" s="3">
        <v>44790</v>
      </c>
      <c r="K2863" s="2">
        <v>98</v>
      </c>
      <c r="L2863" s="2" t="s">
        <v>64</v>
      </c>
      <c r="M2863" s="3"/>
    </row>
    <row r="2864" spans="1:13" x14ac:dyDescent="0.3">
      <c r="A2864" s="2">
        <v>2863</v>
      </c>
      <c r="B2864" s="2" t="s">
        <v>61</v>
      </c>
      <c r="C2864" s="2" t="s">
        <v>3407</v>
      </c>
      <c r="D2864" s="2" t="s">
        <v>28</v>
      </c>
      <c r="E2864" s="2" t="s">
        <v>29</v>
      </c>
      <c r="F2864" s="2">
        <v>90</v>
      </c>
      <c r="G2864" s="2" t="s">
        <v>7119</v>
      </c>
      <c r="H2864" s="2" t="s">
        <v>7120</v>
      </c>
      <c r="I2864" s="2" t="s">
        <v>294</v>
      </c>
      <c r="J2864" s="3">
        <v>44284</v>
      </c>
      <c r="K2864" s="2">
        <v>38</v>
      </c>
      <c r="L2864" s="2" t="s">
        <v>39</v>
      </c>
      <c r="M2864" s="3"/>
    </row>
    <row r="2865" spans="1:13" x14ac:dyDescent="0.3">
      <c r="A2865" s="2">
        <v>2864</v>
      </c>
      <c r="B2865" s="2" t="s">
        <v>7121</v>
      </c>
      <c r="C2865" s="2" t="s">
        <v>2909</v>
      </c>
      <c r="D2865" s="2" t="s">
        <v>28</v>
      </c>
      <c r="E2865" s="2" t="s">
        <v>29</v>
      </c>
      <c r="F2865" s="2">
        <v>60</v>
      </c>
      <c r="G2865" s="2" t="s">
        <v>7122</v>
      </c>
      <c r="H2865" s="2" t="s">
        <v>4358</v>
      </c>
      <c r="I2865" s="2" t="s">
        <v>146</v>
      </c>
      <c r="J2865" s="3">
        <v>44664</v>
      </c>
      <c r="K2865" s="2">
        <v>30</v>
      </c>
      <c r="L2865" s="2" t="s">
        <v>54</v>
      </c>
      <c r="M2865" s="3"/>
    </row>
    <row r="2866" spans="1:13" x14ac:dyDescent="0.3">
      <c r="A2866" s="2">
        <v>2865</v>
      </c>
      <c r="B2866" s="2" t="s">
        <v>492</v>
      </c>
      <c r="C2866" s="2" t="s">
        <v>7123</v>
      </c>
      <c r="D2866" s="2" t="s">
        <v>28</v>
      </c>
      <c r="E2866" s="2" t="s">
        <v>29</v>
      </c>
      <c r="F2866" s="2">
        <v>90</v>
      </c>
      <c r="G2866" s="2" t="s">
        <v>7122</v>
      </c>
      <c r="H2866" s="2" t="s">
        <v>1674</v>
      </c>
      <c r="I2866" s="2" t="s">
        <v>25</v>
      </c>
      <c r="J2866" s="3">
        <v>44233</v>
      </c>
      <c r="K2866" s="2">
        <v>29</v>
      </c>
      <c r="L2866" s="2" t="s">
        <v>54</v>
      </c>
      <c r="M2866" s="3"/>
    </row>
    <row r="2867" spans="1:13" x14ac:dyDescent="0.3">
      <c r="A2867" s="2">
        <v>2866</v>
      </c>
      <c r="B2867" s="2" t="s">
        <v>7124</v>
      </c>
      <c r="C2867" s="2" t="s">
        <v>2467</v>
      </c>
      <c r="D2867" s="2" t="s">
        <v>51</v>
      </c>
      <c r="E2867" s="2" t="s">
        <v>16</v>
      </c>
      <c r="F2867" s="2">
        <v>30</v>
      </c>
      <c r="G2867" s="2" t="s">
        <v>7125</v>
      </c>
      <c r="H2867" s="2" t="s">
        <v>710</v>
      </c>
      <c r="I2867" s="2" t="s">
        <v>187</v>
      </c>
      <c r="J2867" s="3">
        <v>44376</v>
      </c>
      <c r="K2867" s="2">
        <v>16</v>
      </c>
      <c r="L2867" s="2" t="s">
        <v>45</v>
      </c>
      <c r="M2867" s="3"/>
    </row>
    <row r="2868" spans="1:13" x14ac:dyDescent="0.3">
      <c r="A2868" s="2">
        <v>2867</v>
      </c>
      <c r="B2868" s="2" t="s">
        <v>1828</v>
      </c>
      <c r="C2868" s="2" t="s">
        <v>2669</v>
      </c>
      <c r="D2868" s="2" t="s">
        <v>28</v>
      </c>
      <c r="E2868" s="2" t="s">
        <v>29</v>
      </c>
      <c r="F2868" s="2">
        <v>60</v>
      </c>
      <c r="G2868" s="2" t="s">
        <v>7126</v>
      </c>
      <c r="H2868" s="2" t="s">
        <v>4090</v>
      </c>
      <c r="I2868" s="2" t="s">
        <v>32</v>
      </c>
      <c r="J2868" s="3">
        <v>44548</v>
      </c>
      <c r="K2868" s="2">
        <v>2</v>
      </c>
      <c r="L2868" s="2" t="s">
        <v>70</v>
      </c>
      <c r="M2868" s="3"/>
    </row>
    <row r="2869" spans="1:13" x14ac:dyDescent="0.3">
      <c r="A2869" s="2">
        <v>2868</v>
      </c>
      <c r="B2869" s="2" t="s">
        <v>7127</v>
      </c>
      <c r="C2869" s="2" t="s">
        <v>4548</v>
      </c>
      <c r="D2869" s="2" t="s">
        <v>15</v>
      </c>
      <c r="E2869" s="2" t="s">
        <v>16</v>
      </c>
      <c r="F2869" s="2">
        <v>60</v>
      </c>
      <c r="G2869" s="2" t="s">
        <v>7128</v>
      </c>
      <c r="H2869" s="2" t="s">
        <v>3288</v>
      </c>
      <c r="I2869" s="2" t="s">
        <v>32</v>
      </c>
      <c r="J2869" s="3">
        <v>44330</v>
      </c>
      <c r="K2869" s="2">
        <v>45</v>
      </c>
      <c r="L2869" s="2" t="s">
        <v>54</v>
      </c>
      <c r="M2869" s="3"/>
    </row>
    <row r="2870" spans="1:13" x14ac:dyDescent="0.3">
      <c r="A2870" s="2">
        <v>2869</v>
      </c>
      <c r="B2870" s="2" t="s">
        <v>7129</v>
      </c>
      <c r="C2870" s="2" t="s">
        <v>116</v>
      </c>
      <c r="D2870" s="2" t="s">
        <v>15</v>
      </c>
      <c r="E2870" s="2" t="s">
        <v>16</v>
      </c>
      <c r="F2870" s="2">
        <v>30</v>
      </c>
      <c r="G2870" s="2" t="s">
        <v>7130</v>
      </c>
      <c r="H2870" s="2" t="s">
        <v>3291</v>
      </c>
      <c r="I2870" s="2" t="s">
        <v>124</v>
      </c>
      <c r="J2870" s="3">
        <v>44443</v>
      </c>
      <c r="K2870" s="2">
        <v>14</v>
      </c>
      <c r="L2870" s="2" t="s">
        <v>45</v>
      </c>
      <c r="M2870" s="3"/>
    </row>
    <row r="2871" spans="1:13" x14ac:dyDescent="0.3">
      <c r="A2871" s="2">
        <v>2870</v>
      </c>
      <c r="B2871" s="2" t="s">
        <v>7131</v>
      </c>
      <c r="C2871" s="2" t="s">
        <v>4974</v>
      </c>
      <c r="D2871" s="2" t="s">
        <v>15</v>
      </c>
      <c r="E2871" s="2" t="s">
        <v>16</v>
      </c>
      <c r="F2871" s="2">
        <v>90</v>
      </c>
      <c r="G2871" s="2" t="s">
        <v>7132</v>
      </c>
      <c r="H2871" s="2" t="s">
        <v>4611</v>
      </c>
      <c r="I2871" s="2" t="s">
        <v>38</v>
      </c>
      <c r="J2871" s="3">
        <v>43979</v>
      </c>
      <c r="K2871" s="2">
        <v>62</v>
      </c>
      <c r="L2871" s="2" t="s">
        <v>64</v>
      </c>
      <c r="M2871" s="3"/>
    </row>
    <row r="2872" spans="1:13" x14ac:dyDescent="0.3">
      <c r="A2872" s="2">
        <v>2871</v>
      </c>
      <c r="B2872" s="2" t="s">
        <v>2721</v>
      </c>
      <c r="C2872" s="2" t="s">
        <v>1240</v>
      </c>
      <c r="D2872" s="2" t="s">
        <v>28</v>
      </c>
      <c r="E2872" s="2" t="s">
        <v>29</v>
      </c>
      <c r="F2872" s="2">
        <v>60</v>
      </c>
      <c r="G2872" s="2" t="s">
        <v>7133</v>
      </c>
      <c r="H2872" s="2" t="s">
        <v>495</v>
      </c>
      <c r="I2872" s="2" t="s">
        <v>173</v>
      </c>
      <c r="J2872" s="3">
        <v>44730</v>
      </c>
      <c r="K2872" s="2">
        <v>81</v>
      </c>
      <c r="L2872" s="2" t="s">
        <v>54</v>
      </c>
      <c r="M2872" s="3"/>
    </row>
    <row r="2873" spans="1:13" x14ac:dyDescent="0.3">
      <c r="A2873" s="2">
        <v>2872</v>
      </c>
      <c r="B2873" s="2" t="s">
        <v>7134</v>
      </c>
      <c r="C2873" s="2" t="s">
        <v>4600</v>
      </c>
      <c r="D2873" s="2" t="s">
        <v>51</v>
      </c>
      <c r="E2873" s="2" t="s">
        <v>16</v>
      </c>
      <c r="F2873" s="2">
        <v>30</v>
      </c>
      <c r="G2873" s="2" t="s">
        <v>7135</v>
      </c>
      <c r="H2873" s="2" t="s">
        <v>360</v>
      </c>
      <c r="I2873" s="2" t="s">
        <v>25</v>
      </c>
      <c r="J2873" s="3">
        <v>44913</v>
      </c>
      <c r="K2873" s="2">
        <v>100</v>
      </c>
      <c r="L2873" s="2" t="s">
        <v>80</v>
      </c>
      <c r="M2873" s="3"/>
    </row>
    <row r="2874" spans="1:13" x14ac:dyDescent="0.3">
      <c r="A2874" s="2">
        <v>2873</v>
      </c>
      <c r="B2874" s="2" t="s">
        <v>7136</v>
      </c>
      <c r="C2874" s="2" t="s">
        <v>3366</v>
      </c>
      <c r="D2874" s="2" t="s">
        <v>117</v>
      </c>
      <c r="E2874" s="2" t="s">
        <v>16</v>
      </c>
      <c r="F2874" s="2">
        <v>90</v>
      </c>
      <c r="G2874" s="2" t="s">
        <v>7137</v>
      </c>
      <c r="H2874" s="2" t="s">
        <v>2097</v>
      </c>
      <c r="I2874" s="2" t="s">
        <v>178</v>
      </c>
      <c r="J2874" s="3">
        <v>44021</v>
      </c>
      <c r="K2874" s="2">
        <v>38</v>
      </c>
      <c r="L2874" s="2" t="s">
        <v>39</v>
      </c>
      <c r="M2874" s="3"/>
    </row>
    <row r="2875" spans="1:13" x14ac:dyDescent="0.3">
      <c r="A2875" s="2">
        <v>2874</v>
      </c>
      <c r="B2875" s="2" t="s">
        <v>4939</v>
      </c>
      <c r="C2875" s="2" t="s">
        <v>7138</v>
      </c>
      <c r="D2875" s="2" t="s">
        <v>28</v>
      </c>
      <c r="E2875" s="2" t="s">
        <v>29</v>
      </c>
      <c r="F2875" s="2">
        <v>60</v>
      </c>
      <c r="G2875" s="2" t="s">
        <v>7139</v>
      </c>
      <c r="H2875" s="2" t="s">
        <v>7140</v>
      </c>
      <c r="I2875" s="2" t="s">
        <v>294</v>
      </c>
      <c r="J2875" s="3">
        <v>44599</v>
      </c>
      <c r="K2875" s="2">
        <v>60</v>
      </c>
      <c r="L2875" s="2" t="s">
        <v>45</v>
      </c>
      <c r="M2875" s="3"/>
    </row>
    <row r="2876" spans="1:13" x14ac:dyDescent="0.3">
      <c r="A2876" s="2">
        <v>2875</v>
      </c>
      <c r="B2876" s="2" t="s">
        <v>7141</v>
      </c>
      <c r="C2876" s="2" t="s">
        <v>296</v>
      </c>
      <c r="D2876" s="2" t="s">
        <v>15</v>
      </c>
      <c r="E2876" s="2" t="s">
        <v>16</v>
      </c>
      <c r="F2876" s="2">
        <v>60</v>
      </c>
      <c r="G2876" s="2" t="s">
        <v>7142</v>
      </c>
      <c r="H2876" s="2" t="s">
        <v>2908</v>
      </c>
      <c r="I2876" s="2" t="s">
        <v>25</v>
      </c>
      <c r="J2876" s="3">
        <v>44539</v>
      </c>
      <c r="K2876" s="2">
        <v>72</v>
      </c>
      <c r="L2876" s="2" t="s">
        <v>39</v>
      </c>
      <c r="M2876" s="3"/>
    </row>
    <row r="2877" spans="1:13" x14ac:dyDescent="0.3">
      <c r="A2877" s="2">
        <v>2876</v>
      </c>
      <c r="B2877" s="2" t="s">
        <v>7143</v>
      </c>
      <c r="C2877" s="2" t="s">
        <v>4264</v>
      </c>
      <c r="D2877" s="2" t="s">
        <v>51</v>
      </c>
      <c r="E2877" s="2" t="s">
        <v>16</v>
      </c>
      <c r="F2877" s="2">
        <v>60</v>
      </c>
      <c r="G2877" s="2" t="s">
        <v>7142</v>
      </c>
      <c r="H2877" s="2" t="s">
        <v>3024</v>
      </c>
      <c r="I2877" s="2" t="s">
        <v>32</v>
      </c>
      <c r="J2877" s="3">
        <v>44805</v>
      </c>
      <c r="K2877" s="2">
        <v>102</v>
      </c>
      <c r="L2877" s="2" t="s">
        <v>33</v>
      </c>
      <c r="M2877" s="3"/>
    </row>
    <row r="2878" spans="1:13" x14ac:dyDescent="0.3">
      <c r="A2878" s="2">
        <v>2877</v>
      </c>
      <c r="B2878" s="2" t="s">
        <v>5506</v>
      </c>
      <c r="C2878" s="2" t="s">
        <v>7144</v>
      </c>
      <c r="D2878" s="2" t="s">
        <v>28</v>
      </c>
      <c r="E2878" s="2" t="s">
        <v>29</v>
      </c>
      <c r="F2878" s="2">
        <v>90</v>
      </c>
      <c r="G2878" s="2" t="s">
        <v>7145</v>
      </c>
      <c r="H2878" s="2" t="s">
        <v>7049</v>
      </c>
      <c r="I2878" s="2" t="s">
        <v>32</v>
      </c>
      <c r="J2878" s="3">
        <v>44880</v>
      </c>
      <c r="K2878" s="2">
        <v>103</v>
      </c>
      <c r="L2878" s="2" t="s">
        <v>101</v>
      </c>
      <c r="M2878" s="3"/>
    </row>
    <row r="2879" spans="1:13" x14ac:dyDescent="0.3">
      <c r="A2879" s="2">
        <v>2878</v>
      </c>
      <c r="B2879" s="2" t="s">
        <v>7146</v>
      </c>
      <c r="C2879" s="2" t="s">
        <v>4534</v>
      </c>
      <c r="D2879" s="2" t="s">
        <v>28</v>
      </c>
      <c r="E2879" s="2" t="s">
        <v>29</v>
      </c>
      <c r="F2879" s="2">
        <v>90</v>
      </c>
      <c r="G2879" s="2" t="s">
        <v>7147</v>
      </c>
      <c r="H2879" s="2" t="s">
        <v>4203</v>
      </c>
      <c r="I2879" s="2" t="s">
        <v>208</v>
      </c>
      <c r="J2879" s="3">
        <v>44648</v>
      </c>
      <c r="K2879" s="2">
        <v>99</v>
      </c>
      <c r="L2879" s="2" t="s">
        <v>70</v>
      </c>
      <c r="M2879" s="3"/>
    </row>
    <row r="2880" spans="1:13" x14ac:dyDescent="0.3">
      <c r="A2880" s="2">
        <v>2879</v>
      </c>
      <c r="B2880" s="2" t="s">
        <v>2384</v>
      </c>
      <c r="C2880" s="2" t="s">
        <v>1658</v>
      </c>
      <c r="D2880" s="2" t="s">
        <v>28</v>
      </c>
      <c r="E2880" s="2" t="s">
        <v>29</v>
      </c>
      <c r="F2880" s="2">
        <v>90</v>
      </c>
      <c r="G2880" s="2" t="s">
        <v>7147</v>
      </c>
      <c r="H2880" s="2" t="s">
        <v>5059</v>
      </c>
      <c r="I2880" s="2" t="s">
        <v>294</v>
      </c>
      <c r="J2880" s="3">
        <v>44521</v>
      </c>
      <c r="K2880" s="2">
        <v>9</v>
      </c>
      <c r="L2880" s="2" t="s">
        <v>54</v>
      </c>
      <c r="M2880" s="3"/>
    </row>
    <row r="2881" spans="1:13" x14ac:dyDescent="0.3">
      <c r="A2881" s="2">
        <v>2880</v>
      </c>
      <c r="B2881" s="2" t="s">
        <v>7148</v>
      </c>
      <c r="C2881" s="2" t="s">
        <v>7149</v>
      </c>
      <c r="D2881" s="2" t="s">
        <v>51</v>
      </c>
      <c r="E2881" s="2" t="s">
        <v>16</v>
      </c>
      <c r="F2881" s="2">
        <v>90</v>
      </c>
      <c r="G2881" s="2" t="s">
        <v>7150</v>
      </c>
      <c r="H2881" s="2" t="s">
        <v>7151</v>
      </c>
      <c r="I2881" s="2" t="s">
        <v>38</v>
      </c>
      <c r="J2881" s="3">
        <v>44280</v>
      </c>
      <c r="K2881" s="2">
        <v>9</v>
      </c>
      <c r="L2881" s="2" t="s">
        <v>101</v>
      </c>
      <c r="M2881" s="3"/>
    </row>
    <row r="2882" spans="1:13" x14ac:dyDescent="0.3">
      <c r="A2882" s="2">
        <v>2881</v>
      </c>
      <c r="B2882" s="2" t="s">
        <v>6271</v>
      </c>
      <c r="C2882" s="2" t="s">
        <v>800</v>
      </c>
      <c r="D2882" s="2" t="s">
        <v>15</v>
      </c>
      <c r="E2882" s="2" t="s">
        <v>16</v>
      </c>
      <c r="F2882" s="2">
        <v>90</v>
      </c>
      <c r="G2882" s="2" t="s">
        <v>7150</v>
      </c>
      <c r="H2882" s="2" t="s">
        <v>2199</v>
      </c>
      <c r="I2882" s="2" t="s">
        <v>32</v>
      </c>
      <c r="J2882" s="3">
        <v>44239</v>
      </c>
      <c r="K2882" s="2">
        <v>8</v>
      </c>
      <c r="L2882" s="2" t="s">
        <v>45</v>
      </c>
      <c r="M2882" s="3"/>
    </row>
    <row r="2883" spans="1:13" x14ac:dyDescent="0.3">
      <c r="A2883" s="2">
        <v>2882</v>
      </c>
      <c r="B2883" s="2" t="s">
        <v>2647</v>
      </c>
      <c r="C2883" s="2" t="s">
        <v>7152</v>
      </c>
      <c r="D2883" s="2" t="s">
        <v>28</v>
      </c>
      <c r="E2883" s="2" t="s">
        <v>29</v>
      </c>
      <c r="F2883" s="2">
        <v>30</v>
      </c>
      <c r="G2883" s="2" t="s">
        <v>7153</v>
      </c>
      <c r="H2883" s="2" t="s">
        <v>7154</v>
      </c>
      <c r="I2883" s="2" t="s">
        <v>32</v>
      </c>
      <c r="J2883" s="3">
        <v>44865</v>
      </c>
      <c r="K2883" s="2">
        <v>73</v>
      </c>
      <c r="L2883" s="2" t="s">
        <v>80</v>
      </c>
      <c r="M2883" s="3"/>
    </row>
    <row r="2884" spans="1:13" x14ac:dyDescent="0.3">
      <c r="A2884" s="2">
        <v>2883</v>
      </c>
      <c r="B2884" s="2" t="s">
        <v>1375</v>
      </c>
      <c r="C2884" s="2" t="s">
        <v>3371</v>
      </c>
      <c r="D2884" s="2" t="s">
        <v>28</v>
      </c>
      <c r="E2884" s="2" t="s">
        <v>29</v>
      </c>
      <c r="F2884" s="2">
        <v>30</v>
      </c>
      <c r="G2884" s="2" t="s">
        <v>7155</v>
      </c>
      <c r="H2884" s="2" t="s">
        <v>2993</v>
      </c>
      <c r="I2884" s="2" t="s">
        <v>32</v>
      </c>
      <c r="J2884" s="3">
        <v>44436</v>
      </c>
      <c r="K2884" s="2">
        <v>38</v>
      </c>
      <c r="L2884" s="2" t="s">
        <v>54</v>
      </c>
      <c r="M2884" s="3"/>
    </row>
    <row r="2885" spans="1:13" x14ac:dyDescent="0.3">
      <c r="A2885" s="2">
        <v>2884</v>
      </c>
      <c r="B2885" s="2" t="s">
        <v>2523</v>
      </c>
      <c r="C2885" s="2" t="s">
        <v>5417</v>
      </c>
      <c r="D2885" s="2" t="s">
        <v>28</v>
      </c>
      <c r="E2885" s="2" t="s">
        <v>29</v>
      </c>
      <c r="F2885" s="2">
        <v>30</v>
      </c>
      <c r="G2885" s="2" t="s">
        <v>7156</v>
      </c>
      <c r="H2885" s="2" t="s">
        <v>4100</v>
      </c>
      <c r="I2885" s="2" t="s">
        <v>294</v>
      </c>
      <c r="J2885" s="3">
        <v>44844</v>
      </c>
      <c r="K2885" s="2">
        <v>24</v>
      </c>
      <c r="L2885" s="2" t="s">
        <v>64</v>
      </c>
      <c r="M2885" s="3"/>
    </row>
    <row r="2886" spans="1:13" x14ac:dyDescent="0.3">
      <c r="A2886" s="2">
        <v>2885</v>
      </c>
      <c r="B2886" s="2" t="s">
        <v>7157</v>
      </c>
      <c r="C2886" s="2" t="s">
        <v>2690</v>
      </c>
      <c r="D2886" s="2" t="s">
        <v>15</v>
      </c>
      <c r="E2886" s="2" t="s">
        <v>16</v>
      </c>
      <c r="F2886" s="2">
        <v>60</v>
      </c>
      <c r="G2886" s="2" t="s">
        <v>7158</v>
      </c>
      <c r="H2886" s="2" t="s">
        <v>6224</v>
      </c>
      <c r="I2886" s="2" t="s">
        <v>294</v>
      </c>
      <c r="J2886" s="3">
        <v>44071</v>
      </c>
      <c r="K2886" s="2">
        <v>76</v>
      </c>
      <c r="L2886" s="2" t="s">
        <v>54</v>
      </c>
      <c r="M2886" s="3"/>
    </row>
    <row r="2887" spans="1:13" x14ac:dyDescent="0.3">
      <c r="A2887" s="2">
        <v>2886</v>
      </c>
      <c r="B2887" s="2" t="s">
        <v>5656</v>
      </c>
      <c r="C2887" s="2" t="s">
        <v>3564</v>
      </c>
      <c r="D2887" s="2" t="s">
        <v>92</v>
      </c>
      <c r="E2887" s="2" t="s">
        <v>16</v>
      </c>
      <c r="F2887" s="2">
        <v>90</v>
      </c>
      <c r="G2887" s="2" t="s">
        <v>7159</v>
      </c>
      <c r="H2887" s="2" t="s">
        <v>3391</v>
      </c>
      <c r="I2887" s="2" t="s">
        <v>3392</v>
      </c>
      <c r="J2887" s="3">
        <v>44415</v>
      </c>
      <c r="K2887" s="2">
        <v>64</v>
      </c>
      <c r="L2887" s="2" t="s">
        <v>70</v>
      </c>
      <c r="M2887" s="3"/>
    </row>
    <row r="2888" spans="1:13" x14ac:dyDescent="0.3">
      <c r="A2888" s="2">
        <v>2887</v>
      </c>
      <c r="B2888" s="2" t="s">
        <v>516</v>
      </c>
      <c r="C2888" s="2" t="s">
        <v>1148</v>
      </c>
      <c r="D2888" s="2" t="s">
        <v>28</v>
      </c>
      <c r="E2888" s="2" t="s">
        <v>29</v>
      </c>
      <c r="F2888" s="2">
        <v>30</v>
      </c>
      <c r="G2888" s="2" t="s">
        <v>7160</v>
      </c>
      <c r="H2888" s="2" t="s">
        <v>7161</v>
      </c>
      <c r="I2888" s="2" t="s">
        <v>32</v>
      </c>
      <c r="J2888" s="3">
        <v>44739</v>
      </c>
      <c r="K2888" s="2">
        <v>36</v>
      </c>
      <c r="L2888" s="2" t="s">
        <v>39</v>
      </c>
      <c r="M2888" s="3"/>
    </row>
    <row r="2889" spans="1:13" x14ac:dyDescent="0.3">
      <c r="A2889" s="2">
        <v>2888</v>
      </c>
      <c r="B2889" s="2" t="s">
        <v>5856</v>
      </c>
      <c r="C2889" s="2" t="s">
        <v>4637</v>
      </c>
      <c r="D2889" s="2" t="s">
        <v>28</v>
      </c>
      <c r="E2889" s="2" t="s">
        <v>29</v>
      </c>
      <c r="F2889" s="2">
        <v>60</v>
      </c>
      <c r="G2889" s="2" t="s">
        <v>7162</v>
      </c>
      <c r="H2889" s="2" t="s">
        <v>2212</v>
      </c>
      <c r="I2889" s="2" t="s">
        <v>32</v>
      </c>
      <c r="J2889" s="3">
        <v>44759</v>
      </c>
      <c r="K2889" s="2">
        <v>21</v>
      </c>
      <c r="L2889" s="2" t="s">
        <v>20</v>
      </c>
      <c r="M2889" s="3"/>
    </row>
    <row r="2890" spans="1:13" x14ac:dyDescent="0.3">
      <c r="A2890" s="2">
        <v>2889</v>
      </c>
      <c r="B2890" s="2" t="s">
        <v>7163</v>
      </c>
      <c r="C2890" s="2" t="s">
        <v>126</v>
      </c>
      <c r="D2890" s="2" t="s">
        <v>28</v>
      </c>
      <c r="E2890" s="2" t="s">
        <v>29</v>
      </c>
      <c r="F2890" s="2">
        <v>90</v>
      </c>
      <c r="G2890" s="2" t="s">
        <v>7164</v>
      </c>
      <c r="H2890" s="2" t="s">
        <v>1457</v>
      </c>
      <c r="I2890" s="2" t="s">
        <v>187</v>
      </c>
      <c r="J2890" s="3">
        <v>44351</v>
      </c>
      <c r="K2890" s="2">
        <v>89</v>
      </c>
      <c r="L2890" s="2" t="s">
        <v>54</v>
      </c>
      <c r="M2890" s="3"/>
    </row>
    <row r="2891" spans="1:13" x14ac:dyDescent="0.3">
      <c r="A2891" s="2">
        <v>2890</v>
      </c>
      <c r="B2891" s="2" t="s">
        <v>7165</v>
      </c>
      <c r="C2891" s="2" t="s">
        <v>1488</v>
      </c>
      <c r="D2891" s="2" t="s">
        <v>51</v>
      </c>
      <c r="E2891" s="2" t="s">
        <v>16</v>
      </c>
      <c r="F2891" s="2">
        <v>30</v>
      </c>
      <c r="G2891" s="2" t="s">
        <v>7166</v>
      </c>
      <c r="H2891" s="2" t="s">
        <v>802</v>
      </c>
      <c r="I2891" s="2" t="s">
        <v>294</v>
      </c>
      <c r="J2891" s="3">
        <v>44781</v>
      </c>
      <c r="K2891" s="2">
        <v>58</v>
      </c>
      <c r="L2891" s="2" t="s">
        <v>70</v>
      </c>
      <c r="M2891" s="3"/>
    </row>
    <row r="2892" spans="1:13" x14ac:dyDescent="0.3">
      <c r="A2892" s="2">
        <v>2891</v>
      </c>
      <c r="B2892" s="2" t="s">
        <v>7167</v>
      </c>
      <c r="C2892" s="2" t="s">
        <v>7168</v>
      </c>
      <c r="D2892" s="2" t="s">
        <v>51</v>
      </c>
      <c r="E2892" s="2" t="s">
        <v>16</v>
      </c>
      <c r="F2892" s="2">
        <v>90</v>
      </c>
      <c r="G2892" s="2" t="s">
        <v>7169</v>
      </c>
      <c r="H2892" s="2" t="s">
        <v>2311</v>
      </c>
      <c r="I2892" s="2" t="s">
        <v>32</v>
      </c>
      <c r="J2892" s="3">
        <v>44467</v>
      </c>
      <c r="K2892" s="2">
        <v>69</v>
      </c>
      <c r="L2892" s="2" t="s">
        <v>101</v>
      </c>
      <c r="M2892" s="3"/>
    </row>
    <row r="2893" spans="1:13" x14ac:dyDescent="0.3">
      <c r="A2893" s="2">
        <v>2892</v>
      </c>
      <c r="B2893" s="2" t="s">
        <v>6192</v>
      </c>
      <c r="C2893" s="2" t="s">
        <v>7170</v>
      </c>
      <c r="D2893" s="2" t="s">
        <v>28</v>
      </c>
      <c r="E2893" s="2" t="s">
        <v>29</v>
      </c>
      <c r="F2893" s="2">
        <v>60</v>
      </c>
      <c r="G2893" s="2" t="s">
        <v>7171</v>
      </c>
      <c r="H2893" s="2" t="s">
        <v>1519</v>
      </c>
      <c r="I2893" s="2" t="s">
        <v>32</v>
      </c>
      <c r="J2893" s="3">
        <v>44365</v>
      </c>
      <c r="K2893" s="2">
        <v>73</v>
      </c>
      <c r="L2893" s="2" t="s">
        <v>33</v>
      </c>
      <c r="M2893" s="3"/>
    </row>
    <row r="2894" spans="1:13" x14ac:dyDescent="0.3">
      <c r="A2894" s="2">
        <v>2893</v>
      </c>
      <c r="B2894" s="2" t="s">
        <v>7172</v>
      </c>
      <c r="C2894" s="2" t="s">
        <v>5096</v>
      </c>
      <c r="D2894" s="2" t="s">
        <v>51</v>
      </c>
      <c r="E2894" s="2" t="s">
        <v>16</v>
      </c>
      <c r="F2894" s="2">
        <v>60</v>
      </c>
      <c r="G2894" s="2" t="s">
        <v>7173</v>
      </c>
      <c r="H2894" s="2" t="s">
        <v>4283</v>
      </c>
      <c r="I2894" s="2" t="s">
        <v>178</v>
      </c>
      <c r="J2894" s="3">
        <v>44473</v>
      </c>
      <c r="K2894" s="2">
        <v>78</v>
      </c>
      <c r="L2894" s="2" t="s">
        <v>54</v>
      </c>
      <c r="M2894" s="3"/>
    </row>
    <row r="2895" spans="1:13" x14ac:dyDescent="0.3">
      <c r="A2895" s="2">
        <v>2894</v>
      </c>
      <c r="B2895" s="2" t="s">
        <v>2828</v>
      </c>
      <c r="C2895" s="2" t="s">
        <v>5923</v>
      </c>
      <c r="D2895" s="2" t="s">
        <v>28</v>
      </c>
      <c r="E2895" s="2" t="s">
        <v>29</v>
      </c>
      <c r="F2895" s="2">
        <v>60</v>
      </c>
      <c r="G2895" s="2" t="s">
        <v>7174</v>
      </c>
      <c r="H2895" s="2" t="s">
        <v>7175</v>
      </c>
      <c r="I2895" s="2" t="s">
        <v>32</v>
      </c>
      <c r="J2895" s="3">
        <v>44153</v>
      </c>
      <c r="K2895" s="2">
        <v>8</v>
      </c>
      <c r="L2895" s="2" t="s">
        <v>33</v>
      </c>
      <c r="M2895" s="3"/>
    </row>
    <row r="2896" spans="1:13" x14ac:dyDescent="0.3">
      <c r="A2896" s="2">
        <v>2895</v>
      </c>
      <c r="B2896" s="2" t="s">
        <v>7176</v>
      </c>
      <c r="C2896" s="2" t="s">
        <v>7177</v>
      </c>
      <c r="D2896" s="2" t="s">
        <v>28</v>
      </c>
      <c r="E2896" s="2" t="s">
        <v>29</v>
      </c>
      <c r="F2896" s="2">
        <v>30</v>
      </c>
      <c r="G2896" s="2" t="s">
        <v>7178</v>
      </c>
      <c r="H2896" s="2" t="s">
        <v>685</v>
      </c>
      <c r="I2896" s="2" t="s">
        <v>686</v>
      </c>
      <c r="J2896" s="3">
        <v>44449</v>
      </c>
      <c r="K2896" s="2">
        <v>53</v>
      </c>
      <c r="L2896" s="2" t="s">
        <v>80</v>
      </c>
      <c r="M2896" s="3"/>
    </row>
    <row r="2897" spans="1:13" x14ac:dyDescent="0.3">
      <c r="A2897" s="2">
        <v>2896</v>
      </c>
      <c r="B2897" s="2" t="s">
        <v>4714</v>
      </c>
      <c r="C2897" s="2" t="s">
        <v>1861</v>
      </c>
      <c r="D2897" s="2" t="s">
        <v>15</v>
      </c>
      <c r="E2897" s="2" t="s">
        <v>16</v>
      </c>
      <c r="F2897" s="2">
        <v>90</v>
      </c>
      <c r="G2897" s="2" t="s">
        <v>7179</v>
      </c>
      <c r="H2897" s="2" t="s">
        <v>2710</v>
      </c>
      <c r="I2897" s="2" t="s">
        <v>294</v>
      </c>
      <c r="J2897" s="3">
        <v>44716</v>
      </c>
      <c r="K2897" s="2">
        <v>94</v>
      </c>
      <c r="L2897" s="2" t="s">
        <v>39</v>
      </c>
      <c r="M2897" s="3"/>
    </row>
    <row r="2898" spans="1:13" x14ac:dyDescent="0.3">
      <c r="A2898" s="2">
        <v>2897</v>
      </c>
      <c r="B2898" s="2" t="s">
        <v>6211</v>
      </c>
      <c r="C2898" s="2" t="s">
        <v>7180</v>
      </c>
      <c r="D2898" s="2" t="s">
        <v>51</v>
      </c>
      <c r="E2898" s="2" t="s">
        <v>16</v>
      </c>
      <c r="F2898" s="2">
        <v>60</v>
      </c>
      <c r="G2898" s="2" t="s">
        <v>7181</v>
      </c>
      <c r="H2898" s="2" t="s">
        <v>7182</v>
      </c>
      <c r="I2898" s="2" t="s">
        <v>294</v>
      </c>
      <c r="J2898" s="3">
        <v>44255</v>
      </c>
      <c r="K2898" s="2">
        <v>11</v>
      </c>
      <c r="L2898" s="2" t="s">
        <v>20</v>
      </c>
      <c r="M2898" s="3"/>
    </row>
    <row r="2899" spans="1:13" x14ac:dyDescent="0.3">
      <c r="A2899" s="2">
        <v>2898</v>
      </c>
      <c r="B2899" s="2" t="s">
        <v>7183</v>
      </c>
      <c r="C2899" s="2" t="s">
        <v>1730</v>
      </c>
      <c r="D2899" s="2" t="s">
        <v>15</v>
      </c>
      <c r="E2899" s="2" t="s">
        <v>16</v>
      </c>
      <c r="F2899" s="2">
        <v>30</v>
      </c>
      <c r="G2899" s="2" t="s">
        <v>7184</v>
      </c>
      <c r="H2899" s="2" t="s">
        <v>3343</v>
      </c>
      <c r="I2899" s="2" t="s">
        <v>1199</v>
      </c>
      <c r="J2899" s="3">
        <v>43832</v>
      </c>
      <c r="K2899" s="2">
        <v>77</v>
      </c>
      <c r="L2899" s="2" t="s">
        <v>45</v>
      </c>
      <c r="M2899" s="3"/>
    </row>
    <row r="2900" spans="1:13" x14ac:dyDescent="0.3">
      <c r="A2900" s="2">
        <v>2899</v>
      </c>
      <c r="B2900" s="2" t="s">
        <v>1239</v>
      </c>
      <c r="C2900" s="2" t="s">
        <v>7185</v>
      </c>
      <c r="D2900" s="2" t="s">
        <v>28</v>
      </c>
      <c r="E2900" s="2" t="s">
        <v>29</v>
      </c>
      <c r="F2900" s="2">
        <v>90</v>
      </c>
      <c r="G2900" s="2" t="s">
        <v>7186</v>
      </c>
      <c r="H2900" s="2" t="s">
        <v>1358</v>
      </c>
      <c r="I2900" s="2" t="s">
        <v>1359</v>
      </c>
      <c r="J2900" s="3">
        <v>44245</v>
      </c>
      <c r="K2900" s="2">
        <v>80</v>
      </c>
      <c r="L2900" s="2" t="s">
        <v>159</v>
      </c>
      <c r="M2900" s="3"/>
    </row>
    <row r="2901" spans="1:13" x14ac:dyDescent="0.3">
      <c r="A2901" s="2">
        <v>2900</v>
      </c>
      <c r="B2901" s="2" t="s">
        <v>5199</v>
      </c>
      <c r="C2901" s="2" t="s">
        <v>7187</v>
      </c>
      <c r="D2901" s="2" t="s">
        <v>15</v>
      </c>
      <c r="E2901" s="2" t="s">
        <v>16</v>
      </c>
      <c r="F2901" s="2">
        <v>30</v>
      </c>
      <c r="G2901" s="2" t="s">
        <v>7188</v>
      </c>
      <c r="H2901" s="2" t="s">
        <v>1382</v>
      </c>
      <c r="I2901" s="2" t="s">
        <v>32</v>
      </c>
      <c r="J2901" s="3">
        <v>44746</v>
      </c>
      <c r="K2901" s="2">
        <v>83</v>
      </c>
      <c r="L2901" s="2" t="s">
        <v>45</v>
      </c>
      <c r="M2901" s="3"/>
    </row>
    <row r="2902" spans="1:13" x14ac:dyDescent="0.3">
      <c r="A2902" s="2">
        <v>2901</v>
      </c>
      <c r="B2902" s="2" t="s">
        <v>1923</v>
      </c>
      <c r="C2902" s="2" t="s">
        <v>2547</v>
      </c>
      <c r="D2902" s="2" t="s">
        <v>28</v>
      </c>
      <c r="E2902" s="2" t="s">
        <v>29</v>
      </c>
      <c r="F2902" s="2">
        <v>90</v>
      </c>
      <c r="G2902" s="2" t="s">
        <v>7189</v>
      </c>
      <c r="H2902" s="2" t="s">
        <v>68</v>
      </c>
      <c r="I2902" s="2" t="s">
        <v>69</v>
      </c>
      <c r="J2902" s="3">
        <v>44868</v>
      </c>
      <c r="K2902" s="2">
        <v>103</v>
      </c>
      <c r="L2902" s="2" t="s">
        <v>20</v>
      </c>
      <c r="M2902" s="3"/>
    </row>
    <row r="2903" spans="1:13" x14ac:dyDescent="0.3">
      <c r="A2903" s="2">
        <v>2902</v>
      </c>
      <c r="B2903" s="2" t="s">
        <v>390</v>
      </c>
      <c r="C2903" s="2" t="s">
        <v>5670</v>
      </c>
      <c r="D2903" s="2" t="s">
        <v>28</v>
      </c>
      <c r="E2903" s="2" t="s">
        <v>29</v>
      </c>
      <c r="F2903" s="2">
        <v>30</v>
      </c>
      <c r="G2903" s="2" t="s">
        <v>7190</v>
      </c>
      <c r="H2903" s="2" t="s">
        <v>1884</v>
      </c>
      <c r="I2903" s="2" t="s">
        <v>1885</v>
      </c>
      <c r="J2903" s="3">
        <v>44311</v>
      </c>
      <c r="K2903" s="2">
        <v>44</v>
      </c>
      <c r="L2903" s="2" t="s">
        <v>159</v>
      </c>
      <c r="M2903" s="3"/>
    </row>
    <row r="2904" spans="1:13" x14ac:dyDescent="0.3">
      <c r="A2904" s="2">
        <v>2903</v>
      </c>
      <c r="B2904" s="2" t="s">
        <v>7191</v>
      </c>
      <c r="C2904" s="2" t="s">
        <v>5853</v>
      </c>
      <c r="D2904" s="2" t="s">
        <v>15</v>
      </c>
      <c r="E2904" s="2" t="s">
        <v>16</v>
      </c>
      <c r="F2904" s="2">
        <v>30</v>
      </c>
      <c r="G2904" s="2" t="s">
        <v>7192</v>
      </c>
      <c r="H2904" s="2" t="s">
        <v>3059</v>
      </c>
      <c r="I2904" s="2" t="s">
        <v>187</v>
      </c>
      <c r="J2904" s="3">
        <v>44018</v>
      </c>
      <c r="K2904" s="2">
        <v>46</v>
      </c>
      <c r="L2904" s="2" t="s">
        <v>45</v>
      </c>
      <c r="M2904" s="3"/>
    </row>
    <row r="2905" spans="1:13" x14ac:dyDescent="0.3">
      <c r="A2905" s="2">
        <v>2904</v>
      </c>
      <c r="B2905" s="2" t="s">
        <v>7193</v>
      </c>
      <c r="C2905" s="2" t="s">
        <v>1282</v>
      </c>
      <c r="D2905" s="2" t="s">
        <v>51</v>
      </c>
      <c r="E2905" s="2" t="s">
        <v>16</v>
      </c>
      <c r="F2905" s="2">
        <v>90</v>
      </c>
      <c r="G2905" s="2" t="s">
        <v>7194</v>
      </c>
      <c r="H2905" s="2" t="s">
        <v>3263</v>
      </c>
      <c r="I2905" s="2" t="s">
        <v>32</v>
      </c>
      <c r="J2905" s="3">
        <v>44312</v>
      </c>
      <c r="K2905" s="2">
        <v>67</v>
      </c>
      <c r="L2905" s="2" t="s">
        <v>159</v>
      </c>
      <c r="M2905" s="3"/>
    </row>
    <row r="2906" spans="1:13" x14ac:dyDescent="0.3">
      <c r="A2906" s="2">
        <v>2905</v>
      </c>
      <c r="B2906" s="2" t="s">
        <v>7195</v>
      </c>
      <c r="C2906" s="2" t="s">
        <v>902</v>
      </c>
      <c r="D2906" s="2" t="s">
        <v>117</v>
      </c>
      <c r="E2906" s="2" t="s">
        <v>16</v>
      </c>
      <c r="F2906" s="2">
        <v>60</v>
      </c>
      <c r="G2906" s="2" t="s">
        <v>7196</v>
      </c>
      <c r="H2906" s="2" t="s">
        <v>5406</v>
      </c>
      <c r="I2906" s="2" t="s">
        <v>32</v>
      </c>
      <c r="J2906" s="3">
        <v>44392</v>
      </c>
      <c r="K2906" s="2">
        <v>78</v>
      </c>
      <c r="L2906" s="2" t="s">
        <v>39</v>
      </c>
      <c r="M2906" s="3"/>
    </row>
    <row r="2907" spans="1:13" x14ac:dyDescent="0.3">
      <c r="A2907" s="2">
        <v>2906</v>
      </c>
      <c r="B2907" s="2" t="s">
        <v>7197</v>
      </c>
      <c r="C2907" s="2" t="s">
        <v>7198</v>
      </c>
      <c r="D2907" s="2" t="s">
        <v>28</v>
      </c>
      <c r="E2907" s="2" t="s">
        <v>29</v>
      </c>
      <c r="F2907" s="2">
        <v>90</v>
      </c>
      <c r="G2907" s="2" t="s">
        <v>7199</v>
      </c>
      <c r="H2907" s="2" t="s">
        <v>2972</v>
      </c>
      <c r="I2907" s="2" t="s">
        <v>32</v>
      </c>
      <c r="J2907" s="3">
        <v>44270</v>
      </c>
      <c r="K2907" s="2">
        <v>25</v>
      </c>
      <c r="L2907" s="2" t="s">
        <v>101</v>
      </c>
      <c r="M2907" s="3"/>
    </row>
    <row r="2908" spans="1:13" x14ac:dyDescent="0.3">
      <c r="A2908" s="2">
        <v>2907</v>
      </c>
      <c r="B2908" s="2" t="s">
        <v>7200</v>
      </c>
      <c r="C2908" s="2" t="s">
        <v>305</v>
      </c>
      <c r="D2908" s="2" t="s">
        <v>28</v>
      </c>
      <c r="E2908" s="2" t="s">
        <v>29</v>
      </c>
      <c r="F2908" s="2">
        <v>90</v>
      </c>
      <c r="G2908" s="2" t="s">
        <v>7201</v>
      </c>
      <c r="H2908" s="2" t="s">
        <v>5751</v>
      </c>
      <c r="I2908" s="2" t="s">
        <v>178</v>
      </c>
      <c r="J2908" s="3">
        <v>44356</v>
      </c>
      <c r="K2908" s="2">
        <v>10</v>
      </c>
      <c r="L2908" s="2" t="s">
        <v>45</v>
      </c>
      <c r="M2908" s="3"/>
    </row>
    <row r="2909" spans="1:13" x14ac:dyDescent="0.3">
      <c r="A2909" s="2">
        <v>2908</v>
      </c>
      <c r="B2909" s="2" t="s">
        <v>7202</v>
      </c>
      <c r="C2909" s="2" t="s">
        <v>2431</v>
      </c>
      <c r="D2909" s="2" t="s">
        <v>28</v>
      </c>
      <c r="E2909" s="2" t="s">
        <v>29</v>
      </c>
      <c r="F2909" s="2">
        <v>90</v>
      </c>
      <c r="G2909" s="2" t="s">
        <v>7201</v>
      </c>
      <c r="H2909" s="2" t="s">
        <v>7203</v>
      </c>
      <c r="I2909" s="2" t="s">
        <v>32</v>
      </c>
      <c r="J2909" s="3">
        <v>44022</v>
      </c>
      <c r="K2909" s="2">
        <v>40</v>
      </c>
      <c r="L2909" s="2" t="s">
        <v>20</v>
      </c>
      <c r="M2909" s="3"/>
    </row>
    <row r="2910" spans="1:13" x14ac:dyDescent="0.3">
      <c r="A2910" s="2">
        <v>2909</v>
      </c>
      <c r="B2910" s="2" t="s">
        <v>7204</v>
      </c>
      <c r="C2910" s="2" t="s">
        <v>414</v>
      </c>
      <c r="D2910" s="2" t="s">
        <v>28</v>
      </c>
      <c r="E2910" s="2" t="s">
        <v>29</v>
      </c>
      <c r="F2910" s="2">
        <v>30</v>
      </c>
      <c r="G2910" s="2" t="s">
        <v>7205</v>
      </c>
      <c r="H2910" s="2" t="s">
        <v>2846</v>
      </c>
      <c r="I2910" s="2" t="s">
        <v>32</v>
      </c>
      <c r="J2910" s="3">
        <v>43931</v>
      </c>
      <c r="K2910" s="2">
        <v>78</v>
      </c>
      <c r="L2910" s="2" t="s">
        <v>20</v>
      </c>
      <c r="M2910" s="3"/>
    </row>
    <row r="2911" spans="1:13" x14ac:dyDescent="0.3">
      <c r="A2911" s="2">
        <v>2910</v>
      </c>
      <c r="B2911" s="2" t="s">
        <v>592</v>
      </c>
      <c r="C2911" s="2" t="s">
        <v>7206</v>
      </c>
      <c r="D2911" s="2" t="s">
        <v>28</v>
      </c>
      <c r="E2911" s="2" t="s">
        <v>29</v>
      </c>
      <c r="F2911" s="2">
        <v>60</v>
      </c>
      <c r="G2911" s="2" t="s">
        <v>7207</v>
      </c>
      <c r="H2911" s="2" t="s">
        <v>6618</v>
      </c>
      <c r="I2911" s="2" t="s">
        <v>32</v>
      </c>
      <c r="J2911" s="3">
        <v>44844</v>
      </c>
      <c r="K2911" s="2">
        <v>5</v>
      </c>
      <c r="L2911" s="2" t="s">
        <v>20</v>
      </c>
      <c r="M2911" s="3"/>
    </row>
    <row r="2912" spans="1:13" x14ac:dyDescent="0.3">
      <c r="A2912" s="2">
        <v>2911</v>
      </c>
      <c r="B2912" s="2" t="s">
        <v>7208</v>
      </c>
      <c r="C2912" s="2" t="s">
        <v>2970</v>
      </c>
      <c r="D2912" s="2" t="s">
        <v>15</v>
      </c>
      <c r="E2912" s="2" t="s">
        <v>16</v>
      </c>
      <c r="F2912" s="2">
        <v>60</v>
      </c>
      <c r="G2912" s="2" t="s">
        <v>7209</v>
      </c>
      <c r="H2912" s="2" t="s">
        <v>1186</v>
      </c>
      <c r="I2912" s="2" t="s">
        <v>32</v>
      </c>
      <c r="J2912" s="3">
        <v>44535</v>
      </c>
      <c r="K2912" s="2">
        <v>7</v>
      </c>
      <c r="L2912" s="2" t="s">
        <v>33</v>
      </c>
      <c r="M2912" s="3"/>
    </row>
    <row r="2913" spans="1:13" x14ac:dyDescent="0.3">
      <c r="A2913" s="2">
        <v>2912</v>
      </c>
      <c r="B2913" s="2" t="s">
        <v>3094</v>
      </c>
      <c r="C2913" s="2" t="s">
        <v>2349</v>
      </c>
      <c r="D2913" s="2" t="s">
        <v>15</v>
      </c>
      <c r="E2913" s="2" t="s">
        <v>16</v>
      </c>
      <c r="F2913" s="2">
        <v>60</v>
      </c>
      <c r="G2913" s="2" t="s">
        <v>7210</v>
      </c>
      <c r="H2913" s="2" t="s">
        <v>6880</v>
      </c>
      <c r="I2913" s="2" t="s">
        <v>32</v>
      </c>
      <c r="J2913" s="3">
        <v>44388</v>
      </c>
      <c r="K2913" s="2">
        <v>28</v>
      </c>
      <c r="L2913" s="2" t="s">
        <v>64</v>
      </c>
      <c r="M2913" s="3"/>
    </row>
    <row r="2914" spans="1:13" x14ac:dyDescent="0.3">
      <c r="A2914" s="2">
        <v>2913</v>
      </c>
      <c r="B2914" s="2" t="s">
        <v>7211</v>
      </c>
      <c r="C2914" s="2" t="s">
        <v>644</v>
      </c>
      <c r="D2914" s="2" t="s">
        <v>28</v>
      </c>
      <c r="E2914" s="2" t="s">
        <v>29</v>
      </c>
      <c r="F2914" s="2">
        <v>90</v>
      </c>
      <c r="G2914" s="2" t="s">
        <v>7212</v>
      </c>
      <c r="H2914" s="2" t="s">
        <v>1082</v>
      </c>
      <c r="I2914" s="2" t="s">
        <v>1083</v>
      </c>
      <c r="J2914" s="3">
        <v>43834</v>
      </c>
      <c r="K2914" s="2">
        <v>22</v>
      </c>
      <c r="L2914" s="2" t="s">
        <v>70</v>
      </c>
      <c r="M2914" s="3"/>
    </row>
    <row r="2915" spans="1:13" x14ac:dyDescent="0.3">
      <c r="A2915" s="2">
        <v>2914</v>
      </c>
      <c r="B2915" s="2" t="s">
        <v>7211</v>
      </c>
      <c r="C2915" s="2" t="s">
        <v>644</v>
      </c>
      <c r="D2915" s="2" t="s">
        <v>28</v>
      </c>
      <c r="E2915" s="2" t="s">
        <v>29</v>
      </c>
      <c r="F2915" s="2">
        <v>90</v>
      </c>
      <c r="G2915" s="2" t="s">
        <v>7212</v>
      </c>
      <c r="H2915" s="2" t="s">
        <v>1082</v>
      </c>
      <c r="I2915" s="2" t="s">
        <v>1083</v>
      </c>
      <c r="J2915" s="3">
        <v>43834</v>
      </c>
      <c r="K2915" s="2">
        <v>22</v>
      </c>
      <c r="L2915" s="2" t="s">
        <v>70</v>
      </c>
      <c r="M2915" s="3"/>
    </row>
    <row r="2916" spans="1:13" x14ac:dyDescent="0.3">
      <c r="A2916" s="2">
        <v>2915</v>
      </c>
      <c r="B2916" s="2" t="s">
        <v>656</v>
      </c>
      <c r="C2916" s="2" t="s">
        <v>2220</v>
      </c>
      <c r="D2916" s="2" t="s">
        <v>51</v>
      </c>
      <c r="E2916" s="2" t="s">
        <v>16</v>
      </c>
      <c r="F2916" s="2">
        <v>90</v>
      </c>
      <c r="G2916" s="2" t="s">
        <v>7212</v>
      </c>
      <c r="H2916" s="2" t="s">
        <v>5148</v>
      </c>
      <c r="I2916" s="2" t="s">
        <v>32</v>
      </c>
      <c r="J2916" s="3">
        <v>44764</v>
      </c>
      <c r="K2916" s="2">
        <v>7</v>
      </c>
      <c r="L2916" s="2" t="s">
        <v>39</v>
      </c>
      <c r="M2916" s="3"/>
    </row>
    <row r="2917" spans="1:13" x14ac:dyDescent="0.3">
      <c r="A2917" s="2">
        <v>2916</v>
      </c>
      <c r="B2917" s="2" t="s">
        <v>1842</v>
      </c>
      <c r="C2917" s="2" t="s">
        <v>5862</v>
      </c>
      <c r="D2917" s="2" t="s">
        <v>28</v>
      </c>
      <c r="E2917" s="2" t="s">
        <v>29</v>
      </c>
      <c r="F2917" s="2">
        <v>90</v>
      </c>
      <c r="G2917" s="2" t="s">
        <v>7213</v>
      </c>
      <c r="H2917" s="2" t="s">
        <v>2717</v>
      </c>
      <c r="I2917" s="2" t="s">
        <v>1889</v>
      </c>
      <c r="J2917" s="3">
        <v>44770</v>
      </c>
      <c r="K2917" s="2">
        <v>44</v>
      </c>
      <c r="L2917" s="2" t="s">
        <v>80</v>
      </c>
      <c r="M2917" s="3"/>
    </row>
    <row r="2918" spans="1:13" x14ac:dyDescent="0.3">
      <c r="A2918" s="2">
        <v>2917</v>
      </c>
      <c r="B2918" s="2" t="s">
        <v>982</v>
      </c>
      <c r="C2918" s="2" t="s">
        <v>7214</v>
      </c>
      <c r="D2918" s="2" t="s">
        <v>28</v>
      </c>
      <c r="E2918" s="2" t="s">
        <v>29</v>
      </c>
      <c r="F2918" s="2">
        <v>60</v>
      </c>
      <c r="G2918" s="2" t="s">
        <v>7215</v>
      </c>
      <c r="H2918" s="2" t="s">
        <v>599</v>
      </c>
      <c r="I2918" s="2" t="s">
        <v>32</v>
      </c>
      <c r="J2918" s="3">
        <v>43870</v>
      </c>
      <c r="K2918" s="2">
        <v>31</v>
      </c>
      <c r="L2918" s="2" t="s">
        <v>64</v>
      </c>
      <c r="M2918" s="3"/>
    </row>
    <row r="2919" spans="1:13" x14ac:dyDescent="0.3">
      <c r="A2919" s="2">
        <v>2918</v>
      </c>
      <c r="B2919" s="2" t="s">
        <v>5348</v>
      </c>
      <c r="C2919" s="2" t="s">
        <v>948</v>
      </c>
      <c r="D2919" s="2" t="s">
        <v>28</v>
      </c>
      <c r="E2919" s="2" t="s">
        <v>29</v>
      </c>
      <c r="F2919" s="2">
        <v>60</v>
      </c>
      <c r="G2919" s="2" t="s">
        <v>7216</v>
      </c>
      <c r="H2919" s="2" t="s">
        <v>682</v>
      </c>
      <c r="I2919" s="2" t="s">
        <v>32</v>
      </c>
      <c r="J2919" s="3">
        <v>44842</v>
      </c>
      <c r="K2919" s="2">
        <v>72</v>
      </c>
      <c r="L2919" s="2" t="s">
        <v>70</v>
      </c>
      <c r="M2919" s="3"/>
    </row>
    <row r="2920" spans="1:13" x14ac:dyDescent="0.3">
      <c r="A2920" s="2">
        <v>2919</v>
      </c>
      <c r="B2920" s="2" t="s">
        <v>2103</v>
      </c>
      <c r="C2920" s="2" t="s">
        <v>5998</v>
      </c>
      <c r="D2920" s="2" t="s">
        <v>15</v>
      </c>
      <c r="E2920" s="2" t="s">
        <v>16</v>
      </c>
      <c r="F2920" s="2">
        <v>60</v>
      </c>
      <c r="G2920" s="2" t="s">
        <v>7217</v>
      </c>
      <c r="H2920" s="2" t="s">
        <v>2706</v>
      </c>
      <c r="I2920" s="2" t="s">
        <v>294</v>
      </c>
      <c r="J2920" s="3">
        <v>44666</v>
      </c>
      <c r="K2920" s="2">
        <v>76</v>
      </c>
      <c r="L2920" s="2" t="s">
        <v>64</v>
      </c>
      <c r="M2920" s="3"/>
    </row>
    <row r="2921" spans="1:13" x14ac:dyDescent="0.3">
      <c r="A2921" s="2">
        <v>2920</v>
      </c>
      <c r="B2921" s="2" t="s">
        <v>7218</v>
      </c>
      <c r="C2921" s="2" t="s">
        <v>7144</v>
      </c>
      <c r="D2921" s="2" t="s">
        <v>28</v>
      </c>
      <c r="E2921" s="2" t="s">
        <v>29</v>
      </c>
      <c r="F2921" s="2">
        <v>30</v>
      </c>
      <c r="G2921" s="2" t="s">
        <v>7219</v>
      </c>
      <c r="H2921" s="2" t="s">
        <v>1541</v>
      </c>
      <c r="I2921" s="2" t="s">
        <v>32</v>
      </c>
      <c r="J2921" s="3">
        <v>44170</v>
      </c>
      <c r="K2921" s="2">
        <v>28</v>
      </c>
      <c r="L2921" s="2" t="s">
        <v>70</v>
      </c>
      <c r="M2921" s="3"/>
    </row>
    <row r="2922" spans="1:13" x14ac:dyDescent="0.3">
      <c r="A2922" s="2">
        <v>2921</v>
      </c>
      <c r="B2922" s="2" t="s">
        <v>6249</v>
      </c>
      <c r="C2922" s="2" t="s">
        <v>156</v>
      </c>
      <c r="D2922" s="2" t="s">
        <v>92</v>
      </c>
      <c r="E2922" s="2" t="s">
        <v>29</v>
      </c>
      <c r="F2922" s="2">
        <v>60</v>
      </c>
      <c r="G2922" s="2" t="s">
        <v>7220</v>
      </c>
      <c r="H2922" s="2" t="s">
        <v>583</v>
      </c>
      <c r="I2922" s="2" t="s">
        <v>32</v>
      </c>
      <c r="J2922" s="3">
        <v>44918</v>
      </c>
      <c r="K2922" s="2">
        <v>21</v>
      </c>
      <c r="L2922" s="2" t="s">
        <v>45</v>
      </c>
      <c r="M2922" s="3"/>
    </row>
    <row r="2923" spans="1:13" x14ac:dyDescent="0.3">
      <c r="A2923" s="2">
        <v>2922</v>
      </c>
      <c r="B2923" s="2" t="s">
        <v>7221</v>
      </c>
      <c r="C2923" s="2" t="s">
        <v>6701</v>
      </c>
      <c r="D2923" s="2" t="s">
        <v>51</v>
      </c>
      <c r="E2923" s="2" t="s">
        <v>16</v>
      </c>
      <c r="F2923" s="2">
        <v>60</v>
      </c>
      <c r="G2923" s="2" t="s">
        <v>7222</v>
      </c>
      <c r="H2923" s="2" t="s">
        <v>4924</v>
      </c>
      <c r="I2923" s="2" t="s">
        <v>32</v>
      </c>
      <c r="J2923" s="3">
        <v>44531</v>
      </c>
      <c r="K2923" s="2">
        <v>46</v>
      </c>
      <c r="L2923" s="2" t="s">
        <v>54</v>
      </c>
      <c r="M2923" s="3"/>
    </row>
    <row r="2924" spans="1:13" x14ac:dyDescent="0.3">
      <c r="A2924" s="2">
        <v>2923</v>
      </c>
      <c r="B2924" s="2" t="s">
        <v>75</v>
      </c>
      <c r="C2924" s="2" t="s">
        <v>4237</v>
      </c>
      <c r="D2924" s="2" t="s">
        <v>28</v>
      </c>
      <c r="E2924" s="2" t="s">
        <v>29</v>
      </c>
      <c r="F2924" s="2">
        <v>30</v>
      </c>
      <c r="G2924" s="2" t="s">
        <v>7223</v>
      </c>
      <c r="H2924" s="2" t="s">
        <v>3637</v>
      </c>
      <c r="I2924" s="2" t="s">
        <v>38</v>
      </c>
      <c r="J2924" s="3">
        <v>43851</v>
      </c>
      <c r="K2924" s="2">
        <v>24</v>
      </c>
      <c r="L2924" s="2" t="s">
        <v>64</v>
      </c>
      <c r="M2924" s="3"/>
    </row>
    <row r="2925" spans="1:13" x14ac:dyDescent="0.3">
      <c r="A2925" s="2">
        <v>2924</v>
      </c>
      <c r="B2925" s="2" t="s">
        <v>4016</v>
      </c>
      <c r="C2925" s="2" t="s">
        <v>2844</v>
      </c>
      <c r="D2925" s="2" t="s">
        <v>28</v>
      </c>
      <c r="E2925" s="2" t="s">
        <v>29</v>
      </c>
      <c r="F2925" s="2">
        <v>60</v>
      </c>
      <c r="G2925" s="2" t="s">
        <v>7224</v>
      </c>
      <c r="H2925" s="2" t="s">
        <v>4729</v>
      </c>
      <c r="I2925" s="2" t="s">
        <v>32</v>
      </c>
      <c r="J2925" s="3">
        <v>43875</v>
      </c>
      <c r="K2925" s="2">
        <v>16</v>
      </c>
      <c r="L2925" s="2" t="s">
        <v>70</v>
      </c>
      <c r="M2925" s="3"/>
    </row>
    <row r="2926" spans="1:13" x14ac:dyDescent="0.3">
      <c r="A2926" s="2">
        <v>2925</v>
      </c>
      <c r="B2926" s="2" t="s">
        <v>7225</v>
      </c>
      <c r="C2926" s="2" t="s">
        <v>7226</v>
      </c>
      <c r="D2926" s="2" t="s">
        <v>51</v>
      </c>
      <c r="E2926" s="2" t="s">
        <v>16</v>
      </c>
      <c r="F2926" s="2">
        <v>60</v>
      </c>
      <c r="G2926" s="2" t="s">
        <v>7227</v>
      </c>
      <c r="H2926" s="2" t="s">
        <v>1269</v>
      </c>
      <c r="I2926" s="2" t="s">
        <v>187</v>
      </c>
      <c r="J2926" s="3">
        <v>44864</v>
      </c>
      <c r="K2926" s="2">
        <v>59</v>
      </c>
      <c r="L2926" s="2" t="s">
        <v>45</v>
      </c>
      <c r="M2926" s="3"/>
    </row>
    <row r="2927" spans="1:13" x14ac:dyDescent="0.3">
      <c r="A2927" s="2">
        <v>2926</v>
      </c>
      <c r="B2927" s="2" t="s">
        <v>7228</v>
      </c>
      <c r="C2927" s="2" t="s">
        <v>953</v>
      </c>
      <c r="D2927" s="2" t="s">
        <v>15</v>
      </c>
      <c r="E2927" s="2" t="s">
        <v>16</v>
      </c>
      <c r="F2927" s="2">
        <v>30</v>
      </c>
      <c r="G2927" s="2" t="s">
        <v>7229</v>
      </c>
      <c r="H2927" s="2" t="s">
        <v>2506</v>
      </c>
      <c r="I2927" s="2" t="s">
        <v>32</v>
      </c>
      <c r="J2927" s="3">
        <v>44500</v>
      </c>
      <c r="K2927" s="2">
        <v>36</v>
      </c>
      <c r="L2927" s="2" t="s">
        <v>20</v>
      </c>
      <c r="M2927" s="3"/>
    </row>
    <row r="2928" spans="1:13" x14ac:dyDescent="0.3">
      <c r="A2928" s="2">
        <v>2927</v>
      </c>
      <c r="B2928" s="2" t="s">
        <v>1262</v>
      </c>
      <c r="C2928" s="2" t="s">
        <v>3029</v>
      </c>
      <c r="D2928" s="2" t="s">
        <v>51</v>
      </c>
      <c r="E2928" s="2" t="s">
        <v>16</v>
      </c>
      <c r="F2928" s="2">
        <v>30</v>
      </c>
      <c r="G2928" s="2" t="s">
        <v>7230</v>
      </c>
      <c r="H2928" s="2" t="s">
        <v>1830</v>
      </c>
      <c r="I2928" s="2" t="s">
        <v>32</v>
      </c>
      <c r="J2928" s="3">
        <v>44676</v>
      </c>
      <c r="K2928" s="2">
        <v>29</v>
      </c>
      <c r="L2928" s="2" t="s">
        <v>33</v>
      </c>
      <c r="M2928" s="3"/>
    </row>
    <row r="2929" spans="1:13" x14ac:dyDescent="0.3">
      <c r="A2929" s="2">
        <v>2928</v>
      </c>
      <c r="B2929" s="2" t="s">
        <v>492</v>
      </c>
      <c r="C2929" s="2" t="s">
        <v>7231</v>
      </c>
      <c r="D2929" s="2" t="s">
        <v>28</v>
      </c>
      <c r="E2929" s="2" t="s">
        <v>29</v>
      </c>
      <c r="F2929" s="2">
        <v>60</v>
      </c>
      <c r="G2929" s="2" t="s">
        <v>7232</v>
      </c>
      <c r="H2929" s="2" t="s">
        <v>7233</v>
      </c>
      <c r="I2929" s="2" t="s">
        <v>32</v>
      </c>
      <c r="J2929" s="3">
        <v>44227</v>
      </c>
      <c r="K2929" s="2">
        <v>95</v>
      </c>
      <c r="L2929" s="2" t="s">
        <v>45</v>
      </c>
      <c r="M2929" s="3"/>
    </row>
    <row r="2930" spans="1:13" x14ac:dyDescent="0.3">
      <c r="A2930" s="2">
        <v>2929</v>
      </c>
      <c r="B2930" s="2" t="s">
        <v>7234</v>
      </c>
      <c r="C2930" s="2" t="s">
        <v>1414</v>
      </c>
      <c r="D2930" s="2" t="s">
        <v>51</v>
      </c>
      <c r="E2930" s="2" t="s">
        <v>16</v>
      </c>
      <c r="F2930" s="2">
        <v>90</v>
      </c>
      <c r="G2930" s="2" t="s">
        <v>7235</v>
      </c>
      <c r="H2930" s="2" t="s">
        <v>1781</v>
      </c>
      <c r="I2930" s="2" t="s">
        <v>32</v>
      </c>
      <c r="J2930" s="3">
        <v>43899</v>
      </c>
      <c r="K2930" s="2">
        <v>4</v>
      </c>
      <c r="L2930" s="2" t="s">
        <v>101</v>
      </c>
      <c r="M2930" s="3"/>
    </row>
    <row r="2931" spans="1:13" x14ac:dyDescent="0.3">
      <c r="A2931" s="2">
        <v>2930</v>
      </c>
      <c r="B2931" s="2" t="s">
        <v>1337</v>
      </c>
      <c r="C2931" s="2" t="s">
        <v>4790</v>
      </c>
      <c r="D2931" s="2" t="s">
        <v>28</v>
      </c>
      <c r="E2931" s="2" t="s">
        <v>29</v>
      </c>
      <c r="F2931" s="2">
        <v>60</v>
      </c>
      <c r="G2931" s="2" t="s">
        <v>7236</v>
      </c>
      <c r="H2931" s="2" t="s">
        <v>838</v>
      </c>
      <c r="I2931" s="2" t="s">
        <v>839</v>
      </c>
      <c r="J2931" s="3">
        <v>44560</v>
      </c>
      <c r="K2931" s="2">
        <v>73</v>
      </c>
      <c r="L2931" s="2" t="s">
        <v>33</v>
      </c>
      <c r="M2931" s="3"/>
    </row>
    <row r="2932" spans="1:13" x14ac:dyDescent="0.3">
      <c r="A2932" s="2">
        <v>2931</v>
      </c>
      <c r="B2932" s="2" t="s">
        <v>3927</v>
      </c>
      <c r="C2932" s="2" t="s">
        <v>1392</v>
      </c>
      <c r="D2932" s="2" t="s">
        <v>28</v>
      </c>
      <c r="E2932" s="2" t="s">
        <v>29</v>
      </c>
      <c r="F2932" s="2">
        <v>60</v>
      </c>
      <c r="G2932" s="2" t="s">
        <v>7237</v>
      </c>
      <c r="H2932" s="2" t="s">
        <v>2990</v>
      </c>
      <c r="I2932" s="2" t="s">
        <v>38</v>
      </c>
      <c r="J2932" s="3">
        <v>44066</v>
      </c>
      <c r="K2932" s="2">
        <v>25</v>
      </c>
      <c r="L2932" s="2" t="s">
        <v>70</v>
      </c>
      <c r="M2932" s="3"/>
    </row>
    <row r="2933" spans="1:13" x14ac:dyDescent="0.3">
      <c r="A2933" s="2">
        <v>2932</v>
      </c>
      <c r="B2933" s="2" t="s">
        <v>2430</v>
      </c>
      <c r="C2933" s="2" t="s">
        <v>3322</v>
      </c>
      <c r="D2933" s="2" t="s">
        <v>28</v>
      </c>
      <c r="E2933" s="2" t="s">
        <v>29</v>
      </c>
      <c r="F2933" s="2">
        <v>30</v>
      </c>
      <c r="G2933" s="2" t="s">
        <v>7238</v>
      </c>
      <c r="H2933" s="2" t="s">
        <v>4924</v>
      </c>
      <c r="I2933" s="2" t="s">
        <v>32</v>
      </c>
      <c r="J2933" s="3">
        <v>44095</v>
      </c>
      <c r="K2933" s="2">
        <v>84</v>
      </c>
      <c r="L2933" s="2" t="s">
        <v>70</v>
      </c>
      <c r="M2933" s="3"/>
    </row>
    <row r="2934" spans="1:13" x14ac:dyDescent="0.3">
      <c r="A2934" s="2">
        <v>2933</v>
      </c>
      <c r="B2934" s="2" t="s">
        <v>7239</v>
      </c>
      <c r="C2934" s="2" t="s">
        <v>3839</v>
      </c>
      <c r="D2934" s="2" t="s">
        <v>28</v>
      </c>
      <c r="E2934" s="2" t="s">
        <v>29</v>
      </c>
      <c r="F2934" s="2">
        <v>90</v>
      </c>
      <c r="G2934" s="2" t="s">
        <v>7240</v>
      </c>
      <c r="H2934" s="2" t="s">
        <v>2866</v>
      </c>
      <c r="I2934" s="2" t="s">
        <v>32</v>
      </c>
      <c r="J2934" s="3">
        <v>44710</v>
      </c>
      <c r="K2934" s="2">
        <v>16</v>
      </c>
      <c r="L2934" s="2" t="s">
        <v>64</v>
      </c>
      <c r="M2934" s="3"/>
    </row>
    <row r="2935" spans="1:13" x14ac:dyDescent="0.3">
      <c r="A2935" s="2">
        <v>2934</v>
      </c>
      <c r="B2935" s="2" t="s">
        <v>4301</v>
      </c>
      <c r="C2935" s="2" t="s">
        <v>328</v>
      </c>
      <c r="D2935" s="2" t="s">
        <v>28</v>
      </c>
      <c r="E2935" s="2" t="s">
        <v>29</v>
      </c>
      <c r="F2935" s="2">
        <v>90</v>
      </c>
      <c r="G2935" s="2" t="s">
        <v>7241</v>
      </c>
      <c r="H2935" s="2" t="s">
        <v>730</v>
      </c>
      <c r="I2935" s="2" t="s">
        <v>187</v>
      </c>
      <c r="J2935" s="3">
        <v>44913</v>
      </c>
      <c r="K2935" s="2">
        <v>8</v>
      </c>
      <c r="L2935" s="2" t="s">
        <v>54</v>
      </c>
      <c r="M2935" s="3"/>
    </row>
    <row r="2936" spans="1:13" x14ac:dyDescent="0.3">
      <c r="A2936" s="2">
        <v>2935</v>
      </c>
      <c r="B2936" s="2" t="s">
        <v>6566</v>
      </c>
      <c r="C2936" s="2" t="s">
        <v>6042</v>
      </c>
      <c r="D2936" s="2" t="s">
        <v>41</v>
      </c>
      <c r="E2936" s="2" t="s">
        <v>16</v>
      </c>
      <c r="F2936" s="2">
        <v>90</v>
      </c>
      <c r="G2936" s="2" t="s">
        <v>7242</v>
      </c>
      <c r="H2936" s="2" t="s">
        <v>2334</v>
      </c>
      <c r="I2936" s="2" t="s">
        <v>32</v>
      </c>
      <c r="J2936" s="3">
        <v>44307</v>
      </c>
      <c r="K2936" s="2">
        <v>48</v>
      </c>
      <c r="L2936" s="2" t="s">
        <v>80</v>
      </c>
      <c r="M2936" s="3"/>
    </row>
    <row r="2937" spans="1:13" x14ac:dyDescent="0.3">
      <c r="A2937" s="2">
        <v>2936</v>
      </c>
      <c r="B2937" s="2" t="s">
        <v>7243</v>
      </c>
      <c r="C2937" s="2" t="s">
        <v>4913</v>
      </c>
      <c r="D2937" s="2" t="s">
        <v>51</v>
      </c>
      <c r="E2937" s="2" t="s">
        <v>16</v>
      </c>
      <c r="F2937" s="2">
        <v>90</v>
      </c>
      <c r="G2937" s="2" t="s">
        <v>7244</v>
      </c>
      <c r="H2937" s="2" t="s">
        <v>4277</v>
      </c>
      <c r="I2937" s="2" t="s">
        <v>32</v>
      </c>
      <c r="J2937" s="3">
        <v>44613</v>
      </c>
      <c r="K2937" s="2">
        <v>52</v>
      </c>
      <c r="L2937" s="2" t="s">
        <v>159</v>
      </c>
      <c r="M2937" s="3"/>
    </row>
    <row r="2938" spans="1:13" x14ac:dyDescent="0.3">
      <c r="A2938" s="2">
        <v>2937</v>
      </c>
      <c r="B2938" s="2" t="s">
        <v>7245</v>
      </c>
      <c r="C2938" s="2" t="s">
        <v>999</v>
      </c>
      <c r="D2938" s="2" t="s">
        <v>15</v>
      </c>
      <c r="E2938" s="2" t="s">
        <v>16</v>
      </c>
      <c r="F2938" s="2">
        <v>30</v>
      </c>
      <c r="G2938" s="2" t="s">
        <v>7246</v>
      </c>
      <c r="H2938" s="2" t="s">
        <v>5992</v>
      </c>
      <c r="I2938" s="2" t="s">
        <v>25</v>
      </c>
      <c r="J2938" s="3">
        <v>44688</v>
      </c>
      <c r="K2938" s="2">
        <v>105</v>
      </c>
      <c r="L2938" s="2" t="s">
        <v>20</v>
      </c>
      <c r="M2938" s="3"/>
    </row>
    <row r="2939" spans="1:13" x14ac:dyDescent="0.3">
      <c r="A2939" s="2">
        <v>2938</v>
      </c>
      <c r="B2939" s="2" t="s">
        <v>7247</v>
      </c>
      <c r="C2939" s="2" t="s">
        <v>7248</v>
      </c>
      <c r="D2939" s="2" t="s">
        <v>15</v>
      </c>
      <c r="E2939" s="2" t="s">
        <v>16</v>
      </c>
      <c r="F2939" s="2">
        <v>30</v>
      </c>
      <c r="G2939" s="2" t="s">
        <v>7249</v>
      </c>
      <c r="H2939" s="2" t="s">
        <v>5874</v>
      </c>
      <c r="I2939" s="2" t="s">
        <v>839</v>
      </c>
      <c r="J2939" s="3">
        <v>43838</v>
      </c>
      <c r="K2939" s="2">
        <v>53</v>
      </c>
      <c r="L2939" s="2" t="s">
        <v>20</v>
      </c>
      <c r="M2939" s="3"/>
    </row>
    <row r="2940" spans="1:13" x14ac:dyDescent="0.3">
      <c r="A2940" s="2">
        <v>2939</v>
      </c>
      <c r="B2940" s="2" t="s">
        <v>7250</v>
      </c>
      <c r="C2940" s="2" t="s">
        <v>7251</v>
      </c>
      <c r="D2940" s="2" t="s">
        <v>15</v>
      </c>
      <c r="E2940" s="2" t="s">
        <v>16</v>
      </c>
      <c r="F2940" s="2">
        <v>30</v>
      </c>
      <c r="G2940" s="2" t="s">
        <v>7252</v>
      </c>
      <c r="H2940" s="2" t="s">
        <v>1370</v>
      </c>
      <c r="I2940" s="2" t="s">
        <v>32</v>
      </c>
      <c r="J2940" s="3">
        <v>44256</v>
      </c>
      <c r="K2940" s="2">
        <v>15</v>
      </c>
      <c r="L2940" s="2" t="s">
        <v>70</v>
      </c>
      <c r="M2940" s="3"/>
    </row>
    <row r="2941" spans="1:13" x14ac:dyDescent="0.3">
      <c r="A2941" s="2">
        <v>2940</v>
      </c>
      <c r="B2941" s="2" t="s">
        <v>5444</v>
      </c>
      <c r="C2941" s="2" t="s">
        <v>7253</v>
      </c>
      <c r="D2941" s="2" t="s">
        <v>28</v>
      </c>
      <c r="E2941" s="2" t="s">
        <v>29</v>
      </c>
      <c r="F2941" s="2">
        <v>90</v>
      </c>
      <c r="G2941" s="2" t="s">
        <v>7254</v>
      </c>
      <c r="H2941" s="2" t="s">
        <v>5222</v>
      </c>
      <c r="I2941" s="2" t="s">
        <v>32</v>
      </c>
      <c r="J2941" s="3">
        <v>44599</v>
      </c>
      <c r="K2941" s="2">
        <v>40</v>
      </c>
      <c r="L2941" s="2" t="s">
        <v>45</v>
      </c>
      <c r="M2941" s="3"/>
    </row>
    <row r="2942" spans="1:13" x14ac:dyDescent="0.3">
      <c r="A2942" s="2">
        <v>2941</v>
      </c>
      <c r="B2942" s="2" t="s">
        <v>7255</v>
      </c>
      <c r="C2942" s="2" t="s">
        <v>1340</v>
      </c>
      <c r="D2942" s="2" t="s">
        <v>51</v>
      </c>
      <c r="E2942" s="2" t="s">
        <v>16</v>
      </c>
      <c r="F2942" s="2">
        <v>90</v>
      </c>
      <c r="G2942" s="2" t="s">
        <v>7256</v>
      </c>
      <c r="H2942" s="2" t="s">
        <v>5652</v>
      </c>
      <c r="I2942" s="2" t="s">
        <v>32</v>
      </c>
      <c r="J2942" s="3">
        <v>44723</v>
      </c>
      <c r="K2942" s="2">
        <v>72</v>
      </c>
      <c r="L2942" s="2" t="s">
        <v>20</v>
      </c>
      <c r="M2942" s="3"/>
    </row>
    <row r="2943" spans="1:13" x14ac:dyDescent="0.3">
      <c r="A2943" s="2">
        <v>2942</v>
      </c>
      <c r="B2943" s="2" t="s">
        <v>4296</v>
      </c>
      <c r="C2943" s="2" t="s">
        <v>6040</v>
      </c>
      <c r="D2943" s="2" t="s">
        <v>51</v>
      </c>
      <c r="E2943" s="2" t="s">
        <v>16</v>
      </c>
      <c r="F2943" s="2">
        <v>90</v>
      </c>
      <c r="G2943" s="2" t="s">
        <v>7257</v>
      </c>
      <c r="H2943" s="2" t="s">
        <v>6</v>
      </c>
      <c r="I2943" s="2" t="s">
        <v>32</v>
      </c>
      <c r="J2943" s="3">
        <v>44041</v>
      </c>
      <c r="K2943" s="2">
        <v>63</v>
      </c>
      <c r="L2943" s="2" t="s">
        <v>70</v>
      </c>
      <c r="M2943" s="3"/>
    </row>
    <row r="2944" spans="1:13" x14ac:dyDescent="0.3">
      <c r="A2944" s="2">
        <v>2943</v>
      </c>
      <c r="B2944" s="2" t="s">
        <v>4750</v>
      </c>
      <c r="C2944" s="2" t="s">
        <v>7258</v>
      </c>
      <c r="D2944" s="2" t="s">
        <v>28</v>
      </c>
      <c r="E2944" s="2" t="s">
        <v>29</v>
      </c>
      <c r="F2944" s="2">
        <v>90</v>
      </c>
      <c r="G2944" s="2" t="s">
        <v>7259</v>
      </c>
      <c r="H2944" s="2" t="s">
        <v>970</v>
      </c>
      <c r="I2944" s="2" t="s">
        <v>187</v>
      </c>
      <c r="J2944" s="3">
        <v>43986</v>
      </c>
      <c r="K2944" s="2">
        <v>51</v>
      </c>
      <c r="L2944" s="2" t="s">
        <v>70</v>
      </c>
      <c r="M2944" s="3"/>
    </row>
    <row r="2945" spans="1:13" x14ac:dyDescent="0.3">
      <c r="A2945" s="2">
        <v>2944</v>
      </c>
      <c r="B2945" s="2" t="s">
        <v>7061</v>
      </c>
      <c r="C2945" s="2" t="s">
        <v>4580</v>
      </c>
      <c r="D2945" s="2" t="s">
        <v>28</v>
      </c>
      <c r="E2945" s="2" t="s">
        <v>29</v>
      </c>
      <c r="F2945" s="2">
        <v>90</v>
      </c>
      <c r="G2945" s="2" t="s">
        <v>7260</v>
      </c>
      <c r="H2945" s="2" t="s">
        <v>7261</v>
      </c>
      <c r="I2945" s="2" t="s">
        <v>32</v>
      </c>
      <c r="J2945" s="3">
        <v>44131</v>
      </c>
      <c r="K2945" s="2">
        <v>33</v>
      </c>
      <c r="L2945" s="2" t="s">
        <v>39</v>
      </c>
      <c r="M2945" s="3"/>
    </row>
    <row r="2946" spans="1:13" x14ac:dyDescent="0.3">
      <c r="A2946" s="2">
        <v>2945</v>
      </c>
      <c r="B2946" s="2" t="s">
        <v>3111</v>
      </c>
      <c r="C2946" s="2" t="s">
        <v>5568</v>
      </c>
      <c r="D2946" s="2" t="s">
        <v>28</v>
      </c>
      <c r="E2946" s="2" t="s">
        <v>29</v>
      </c>
      <c r="F2946" s="2">
        <v>30</v>
      </c>
      <c r="G2946" s="2" t="s">
        <v>7262</v>
      </c>
      <c r="H2946" s="2" t="s">
        <v>2212</v>
      </c>
      <c r="I2946" s="2" t="s">
        <v>32</v>
      </c>
      <c r="J2946" s="3">
        <v>44910</v>
      </c>
      <c r="K2946" s="2">
        <v>65</v>
      </c>
      <c r="L2946" s="2" t="s">
        <v>64</v>
      </c>
      <c r="M2946" s="3"/>
    </row>
    <row r="2947" spans="1:13" x14ac:dyDescent="0.3">
      <c r="A2947" s="2">
        <v>2946</v>
      </c>
      <c r="B2947" s="2" t="s">
        <v>6557</v>
      </c>
      <c r="C2947" s="2" t="s">
        <v>6888</v>
      </c>
      <c r="D2947" s="2" t="s">
        <v>28</v>
      </c>
      <c r="E2947" s="2" t="s">
        <v>29</v>
      </c>
      <c r="F2947" s="2">
        <v>60</v>
      </c>
      <c r="G2947" s="2" t="s">
        <v>7263</v>
      </c>
      <c r="H2947" s="2" t="s">
        <v>2579</v>
      </c>
      <c r="I2947" s="2" t="s">
        <v>425</v>
      </c>
      <c r="J2947" s="3">
        <v>44389</v>
      </c>
      <c r="K2947" s="2">
        <v>91</v>
      </c>
      <c r="L2947" s="2" t="s">
        <v>159</v>
      </c>
      <c r="M2947" s="3"/>
    </row>
    <row r="2948" spans="1:13" x14ac:dyDescent="0.3">
      <c r="A2948" s="2">
        <v>2947</v>
      </c>
      <c r="B2948" s="2" t="s">
        <v>7264</v>
      </c>
      <c r="C2948" s="2" t="s">
        <v>4570</v>
      </c>
      <c r="D2948" s="2" t="s">
        <v>51</v>
      </c>
      <c r="E2948" s="2" t="s">
        <v>16</v>
      </c>
      <c r="F2948" s="2">
        <v>60</v>
      </c>
      <c r="G2948" s="2" t="s">
        <v>7263</v>
      </c>
      <c r="H2948" s="2" t="s">
        <v>1026</v>
      </c>
      <c r="I2948" s="2" t="s">
        <v>32</v>
      </c>
      <c r="J2948" s="3">
        <v>44168</v>
      </c>
      <c r="K2948" s="2">
        <v>37</v>
      </c>
      <c r="L2948" s="2" t="s">
        <v>80</v>
      </c>
      <c r="M2948" s="3"/>
    </row>
    <row r="2949" spans="1:13" x14ac:dyDescent="0.3">
      <c r="A2949" s="2">
        <v>2948</v>
      </c>
      <c r="B2949" s="2" t="s">
        <v>2246</v>
      </c>
      <c r="C2949" s="2" t="s">
        <v>2955</v>
      </c>
      <c r="D2949" s="2" t="s">
        <v>28</v>
      </c>
      <c r="E2949" s="2" t="s">
        <v>29</v>
      </c>
      <c r="F2949" s="2">
        <v>30</v>
      </c>
      <c r="G2949" s="2" t="s">
        <v>7265</v>
      </c>
      <c r="H2949" s="2" t="s">
        <v>2720</v>
      </c>
      <c r="I2949" s="2" t="s">
        <v>32</v>
      </c>
      <c r="J2949" s="3">
        <v>43980</v>
      </c>
      <c r="K2949" s="2">
        <v>13</v>
      </c>
      <c r="L2949" s="2" t="s">
        <v>101</v>
      </c>
      <c r="M2949" s="3"/>
    </row>
    <row r="2950" spans="1:13" x14ac:dyDescent="0.3">
      <c r="A2950" s="2">
        <v>2949</v>
      </c>
      <c r="B2950" s="2" t="s">
        <v>2177</v>
      </c>
      <c r="C2950" s="2" t="s">
        <v>6351</v>
      </c>
      <c r="D2950" s="2" t="s">
        <v>15</v>
      </c>
      <c r="E2950" s="2" t="s">
        <v>16</v>
      </c>
      <c r="F2950" s="2">
        <v>90</v>
      </c>
      <c r="G2950" s="2" t="s">
        <v>7265</v>
      </c>
      <c r="H2950" s="2" t="s">
        <v>1751</v>
      </c>
      <c r="I2950" s="2" t="s">
        <v>32</v>
      </c>
      <c r="J2950" s="3">
        <v>43951</v>
      </c>
      <c r="K2950" s="2">
        <v>17</v>
      </c>
      <c r="L2950" s="2" t="s">
        <v>101</v>
      </c>
      <c r="M2950" s="3"/>
    </row>
    <row r="2951" spans="1:13" x14ac:dyDescent="0.3">
      <c r="A2951" s="2">
        <v>2950</v>
      </c>
      <c r="B2951" s="2" t="s">
        <v>1886</v>
      </c>
      <c r="C2951" s="2" t="s">
        <v>7266</v>
      </c>
      <c r="D2951" s="2" t="s">
        <v>51</v>
      </c>
      <c r="E2951" s="2" t="s">
        <v>16</v>
      </c>
      <c r="F2951" s="2">
        <v>60</v>
      </c>
      <c r="G2951" s="2" t="s">
        <v>7267</v>
      </c>
      <c r="H2951" s="2" t="s">
        <v>7120</v>
      </c>
      <c r="I2951" s="2" t="s">
        <v>294</v>
      </c>
      <c r="J2951" s="3">
        <v>44507</v>
      </c>
      <c r="K2951" s="2">
        <v>5</v>
      </c>
      <c r="L2951" s="2" t="s">
        <v>54</v>
      </c>
      <c r="M2951" s="3"/>
    </row>
    <row r="2952" spans="1:13" x14ac:dyDescent="0.3">
      <c r="A2952" s="2">
        <v>2951</v>
      </c>
      <c r="B2952" s="2" t="s">
        <v>2335</v>
      </c>
      <c r="C2952" s="2" t="s">
        <v>536</v>
      </c>
      <c r="D2952" s="2" t="s">
        <v>28</v>
      </c>
      <c r="E2952" s="2" t="s">
        <v>29</v>
      </c>
      <c r="F2952" s="2">
        <v>90</v>
      </c>
      <c r="G2952" s="2" t="s">
        <v>7268</v>
      </c>
      <c r="H2952" s="2" t="s">
        <v>7269</v>
      </c>
      <c r="I2952" s="2" t="s">
        <v>187</v>
      </c>
      <c r="J2952" s="3">
        <v>43967</v>
      </c>
      <c r="K2952" s="2">
        <v>81</v>
      </c>
      <c r="L2952" s="2" t="s">
        <v>159</v>
      </c>
      <c r="M2952" s="3"/>
    </row>
    <row r="2953" spans="1:13" x14ac:dyDescent="0.3">
      <c r="A2953" s="2">
        <v>2952</v>
      </c>
      <c r="B2953" s="2" t="s">
        <v>6557</v>
      </c>
      <c r="C2953" s="2" t="s">
        <v>7270</v>
      </c>
      <c r="D2953" s="2" t="s">
        <v>28</v>
      </c>
      <c r="E2953" s="2" t="s">
        <v>29</v>
      </c>
      <c r="F2953" s="2">
        <v>60</v>
      </c>
      <c r="G2953" s="2" t="s">
        <v>7271</v>
      </c>
      <c r="H2953" s="2" t="s">
        <v>4100</v>
      </c>
      <c r="I2953" s="2" t="s">
        <v>294</v>
      </c>
      <c r="J2953" s="3">
        <v>44558</v>
      </c>
      <c r="K2953" s="2">
        <v>15</v>
      </c>
      <c r="L2953" s="2" t="s">
        <v>20</v>
      </c>
      <c r="M2953" s="3"/>
    </row>
    <row r="2954" spans="1:13" x14ac:dyDescent="0.3">
      <c r="A2954" s="2">
        <v>2953</v>
      </c>
      <c r="B2954" s="2" t="s">
        <v>2231</v>
      </c>
      <c r="C2954" s="2" t="s">
        <v>2505</v>
      </c>
      <c r="D2954" s="2" t="s">
        <v>28</v>
      </c>
      <c r="E2954" s="2" t="s">
        <v>29</v>
      </c>
      <c r="F2954" s="2">
        <v>60</v>
      </c>
      <c r="G2954" s="2" t="s">
        <v>7272</v>
      </c>
      <c r="H2954" s="2" t="s">
        <v>534</v>
      </c>
      <c r="I2954" s="2" t="s">
        <v>32</v>
      </c>
      <c r="J2954" s="3">
        <v>44475</v>
      </c>
      <c r="K2954" s="2">
        <v>66</v>
      </c>
      <c r="L2954" s="2" t="s">
        <v>39</v>
      </c>
      <c r="M2954" s="3"/>
    </row>
    <row r="2955" spans="1:13" x14ac:dyDescent="0.3">
      <c r="A2955" s="2">
        <v>2954</v>
      </c>
      <c r="B2955" s="2" t="s">
        <v>1678</v>
      </c>
      <c r="C2955" s="2" t="s">
        <v>1145</v>
      </c>
      <c r="D2955" s="2" t="s">
        <v>28</v>
      </c>
      <c r="E2955" s="2" t="s">
        <v>29</v>
      </c>
      <c r="F2955" s="2">
        <v>60</v>
      </c>
      <c r="G2955" s="2" t="s">
        <v>7273</v>
      </c>
      <c r="H2955" s="2" t="s">
        <v>566</v>
      </c>
      <c r="I2955" s="2" t="s">
        <v>110</v>
      </c>
      <c r="J2955" s="3">
        <v>44034</v>
      </c>
      <c r="K2955" s="2">
        <v>27</v>
      </c>
      <c r="L2955" s="2" t="s">
        <v>159</v>
      </c>
      <c r="M2955" s="3"/>
    </row>
    <row r="2956" spans="1:13" x14ac:dyDescent="0.3">
      <c r="A2956" s="2">
        <v>2955</v>
      </c>
      <c r="B2956" s="2" t="s">
        <v>2371</v>
      </c>
      <c r="C2956" s="2" t="s">
        <v>4629</v>
      </c>
      <c r="D2956" s="2" t="s">
        <v>28</v>
      </c>
      <c r="E2956" s="2" t="s">
        <v>29</v>
      </c>
      <c r="F2956" s="2">
        <v>90</v>
      </c>
      <c r="G2956" s="2" t="s">
        <v>7274</v>
      </c>
      <c r="H2956" s="2" t="s">
        <v>4386</v>
      </c>
      <c r="I2956" s="2" t="s">
        <v>32</v>
      </c>
      <c r="J2956" s="3">
        <v>44107</v>
      </c>
      <c r="K2956" s="2">
        <v>44</v>
      </c>
      <c r="L2956" s="2" t="s">
        <v>45</v>
      </c>
      <c r="M2956" s="3"/>
    </row>
    <row r="2957" spans="1:13" x14ac:dyDescent="0.3">
      <c r="A2957" s="2">
        <v>2956</v>
      </c>
      <c r="B2957" s="2" t="s">
        <v>563</v>
      </c>
      <c r="C2957" s="2" t="s">
        <v>3352</v>
      </c>
      <c r="D2957" s="2" t="s">
        <v>15</v>
      </c>
      <c r="E2957" s="2" t="s">
        <v>16</v>
      </c>
      <c r="F2957" s="2">
        <v>60</v>
      </c>
      <c r="G2957" s="2" t="s">
        <v>7275</v>
      </c>
      <c r="H2957" s="2" t="s">
        <v>1901</v>
      </c>
      <c r="I2957" s="2" t="s">
        <v>178</v>
      </c>
      <c r="J2957" s="3">
        <v>44114</v>
      </c>
      <c r="K2957" s="2">
        <v>63</v>
      </c>
      <c r="L2957" s="2" t="s">
        <v>101</v>
      </c>
      <c r="M2957" s="3"/>
    </row>
    <row r="2958" spans="1:13" x14ac:dyDescent="0.3">
      <c r="A2958" s="2">
        <v>2957</v>
      </c>
      <c r="B2958" s="2" t="s">
        <v>7276</v>
      </c>
      <c r="C2958" s="2" t="s">
        <v>441</v>
      </c>
      <c r="D2958" s="2" t="s">
        <v>15</v>
      </c>
      <c r="E2958" s="2" t="s">
        <v>16</v>
      </c>
      <c r="F2958" s="2">
        <v>90</v>
      </c>
      <c r="G2958" s="2" t="s">
        <v>7277</v>
      </c>
      <c r="H2958" s="2" t="s">
        <v>5316</v>
      </c>
      <c r="I2958" s="2" t="s">
        <v>25</v>
      </c>
      <c r="J2958" s="3">
        <v>44456</v>
      </c>
      <c r="K2958" s="2">
        <v>79</v>
      </c>
      <c r="L2958" s="2" t="s">
        <v>80</v>
      </c>
      <c r="M2958" s="3"/>
    </row>
    <row r="2959" spans="1:13" x14ac:dyDescent="0.3">
      <c r="A2959" s="2">
        <v>2958</v>
      </c>
      <c r="B2959" s="2" t="s">
        <v>4359</v>
      </c>
      <c r="C2959" s="2" t="s">
        <v>7278</v>
      </c>
      <c r="D2959" s="2" t="s">
        <v>28</v>
      </c>
      <c r="E2959" s="2" t="s">
        <v>29</v>
      </c>
      <c r="F2959" s="2">
        <v>90</v>
      </c>
      <c r="G2959" s="2" t="s">
        <v>7279</v>
      </c>
      <c r="H2959" s="2" t="s">
        <v>1168</v>
      </c>
      <c r="I2959" s="2" t="s">
        <v>32</v>
      </c>
      <c r="J2959" s="3">
        <v>44706</v>
      </c>
      <c r="K2959" s="2">
        <v>53</v>
      </c>
      <c r="L2959" s="2" t="s">
        <v>70</v>
      </c>
      <c r="M2959" s="3"/>
    </row>
    <row r="2960" spans="1:13" x14ac:dyDescent="0.3">
      <c r="A2960" s="2">
        <v>2959</v>
      </c>
      <c r="B2960" s="2" t="s">
        <v>4644</v>
      </c>
      <c r="C2960" s="2" t="s">
        <v>2585</v>
      </c>
      <c r="D2960" s="2" t="s">
        <v>117</v>
      </c>
      <c r="E2960" s="2" t="s">
        <v>29</v>
      </c>
      <c r="F2960" s="2">
        <v>30</v>
      </c>
      <c r="G2960" s="2" t="s">
        <v>7280</v>
      </c>
      <c r="H2960" s="2" t="s">
        <v>7281</v>
      </c>
      <c r="I2960" s="2" t="s">
        <v>25</v>
      </c>
      <c r="J2960" s="3">
        <v>44010</v>
      </c>
      <c r="K2960" s="2">
        <v>52</v>
      </c>
      <c r="L2960" s="2" t="s">
        <v>64</v>
      </c>
      <c r="M2960" s="3"/>
    </row>
    <row r="2961" spans="1:13" x14ac:dyDescent="0.3">
      <c r="A2961" s="2">
        <v>2960</v>
      </c>
      <c r="B2961" s="2" t="s">
        <v>1928</v>
      </c>
      <c r="C2961" s="2" t="s">
        <v>1967</v>
      </c>
      <c r="D2961" s="2" t="s">
        <v>51</v>
      </c>
      <c r="E2961" s="2" t="s">
        <v>16</v>
      </c>
      <c r="F2961" s="2">
        <v>30</v>
      </c>
      <c r="G2961" s="2" t="s">
        <v>7282</v>
      </c>
      <c r="H2961" s="2" t="s">
        <v>4870</v>
      </c>
      <c r="I2961" s="2" t="s">
        <v>146</v>
      </c>
      <c r="J2961" s="3">
        <v>44743</v>
      </c>
      <c r="K2961" s="2">
        <v>102</v>
      </c>
      <c r="L2961" s="2" t="s">
        <v>64</v>
      </c>
      <c r="M2961" s="3"/>
    </row>
    <row r="2962" spans="1:13" x14ac:dyDescent="0.3">
      <c r="A2962" s="2">
        <v>2961</v>
      </c>
      <c r="B2962" s="2" t="s">
        <v>7283</v>
      </c>
      <c r="C2962" s="2" t="s">
        <v>5870</v>
      </c>
      <c r="D2962" s="2" t="s">
        <v>51</v>
      </c>
      <c r="E2962" s="2" t="s">
        <v>16</v>
      </c>
      <c r="F2962" s="2">
        <v>60</v>
      </c>
      <c r="G2962" s="2" t="s">
        <v>7284</v>
      </c>
      <c r="H2962" s="2" t="s">
        <v>1643</v>
      </c>
      <c r="I2962" s="2" t="s">
        <v>124</v>
      </c>
      <c r="J2962" s="3">
        <v>44329</v>
      </c>
      <c r="K2962" s="2">
        <v>82</v>
      </c>
      <c r="L2962" s="2" t="s">
        <v>39</v>
      </c>
      <c r="M2962" s="3"/>
    </row>
    <row r="2963" spans="1:13" x14ac:dyDescent="0.3">
      <c r="A2963" s="2">
        <v>2962</v>
      </c>
      <c r="B2963" s="2" t="s">
        <v>7283</v>
      </c>
      <c r="C2963" s="2" t="s">
        <v>5670</v>
      </c>
      <c r="D2963" s="2" t="s">
        <v>51</v>
      </c>
      <c r="E2963" s="2" t="s">
        <v>16</v>
      </c>
      <c r="F2963" s="2">
        <v>90</v>
      </c>
      <c r="G2963" s="2" t="s">
        <v>7285</v>
      </c>
      <c r="H2963" s="2" t="s">
        <v>1325</v>
      </c>
      <c r="I2963" s="2" t="s">
        <v>187</v>
      </c>
      <c r="J2963" s="3">
        <v>43895</v>
      </c>
      <c r="K2963" s="2">
        <v>56</v>
      </c>
      <c r="L2963" s="2" t="s">
        <v>33</v>
      </c>
      <c r="M2963" s="3"/>
    </row>
    <row r="2964" spans="1:13" x14ac:dyDescent="0.3">
      <c r="A2964" s="2">
        <v>2963</v>
      </c>
      <c r="B2964" s="2" t="s">
        <v>3910</v>
      </c>
      <c r="C2964" s="2" t="s">
        <v>3680</v>
      </c>
      <c r="D2964" s="2" t="s">
        <v>28</v>
      </c>
      <c r="E2964" s="2" t="s">
        <v>29</v>
      </c>
      <c r="F2964" s="2">
        <v>90</v>
      </c>
      <c r="G2964" s="2" t="s">
        <v>7286</v>
      </c>
      <c r="H2964" s="2" t="s">
        <v>1052</v>
      </c>
      <c r="I2964" s="2" t="s">
        <v>32</v>
      </c>
      <c r="J2964" s="3">
        <v>43899</v>
      </c>
      <c r="K2964" s="2">
        <v>75</v>
      </c>
      <c r="L2964" s="2" t="s">
        <v>20</v>
      </c>
      <c r="M2964" s="3"/>
    </row>
    <row r="2965" spans="1:13" x14ac:dyDescent="0.3">
      <c r="A2965" s="2">
        <v>2964</v>
      </c>
      <c r="B2965" s="2" t="s">
        <v>2200</v>
      </c>
      <c r="C2965" s="2" t="s">
        <v>6997</v>
      </c>
      <c r="D2965" s="2" t="s">
        <v>28</v>
      </c>
      <c r="E2965" s="2" t="s">
        <v>29</v>
      </c>
      <c r="F2965" s="2">
        <v>30</v>
      </c>
      <c r="G2965" s="2" t="s">
        <v>7287</v>
      </c>
      <c r="H2965" s="2" t="s">
        <v>4145</v>
      </c>
      <c r="I2965" s="2" t="s">
        <v>32</v>
      </c>
      <c r="J2965" s="3">
        <v>44417</v>
      </c>
      <c r="K2965" s="2">
        <v>25</v>
      </c>
      <c r="L2965" s="2" t="s">
        <v>45</v>
      </c>
      <c r="M2965" s="3"/>
    </row>
    <row r="2966" spans="1:13" x14ac:dyDescent="0.3">
      <c r="A2966" s="2">
        <v>2965</v>
      </c>
      <c r="B2966" s="2" t="s">
        <v>2721</v>
      </c>
      <c r="C2966" s="2" t="s">
        <v>4603</v>
      </c>
      <c r="D2966" s="2" t="s">
        <v>28</v>
      </c>
      <c r="E2966" s="2" t="s">
        <v>29</v>
      </c>
      <c r="F2966" s="2">
        <v>60</v>
      </c>
      <c r="G2966" s="2" t="s">
        <v>7288</v>
      </c>
      <c r="H2966" s="2" t="s">
        <v>1276</v>
      </c>
      <c r="I2966" s="2" t="s">
        <v>32</v>
      </c>
      <c r="J2966" s="3">
        <v>44596</v>
      </c>
      <c r="K2966" s="2">
        <v>82</v>
      </c>
      <c r="L2966" s="2" t="s">
        <v>64</v>
      </c>
      <c r="M2966" s="3"/>
    </row>
    <row r="2967" spans="1:13" x14ac:dyDescent="0.3">
      <c r="A2967" s="2">
        <v>2966</v>
      </c>
      <c r="B2967" s="2" t="s">
        <v>7289</v>
      </c>
      <c r="C2967" s="2" t="s">
        <v>7290</v>
      </c>
      <c r="D2967" s="2" t="s">
        <v>15</v>
      </c>
      <c r="E2967" s="2" t="s">
        <v>16</v>
      </c>
      <c r="F2967" s="2">
        <v>30</v>
      </c>
      <c r="G2967" s="2" t="s">
        <v>7291</v>
      </c>
      <c r="H2967" s="2" t="s">
        <v>5624</v>
      </c>
      <c r="I2967" s="2" t="s">
        <v>32</v>
      </c>
      <c r="J2967" s="3">
        <v>44817</v>
      </c>
      <c r="K2967" s="2">
        <v>53</v>
      </c>
      <c r="L2967" s="2" t="s">
        <v>20</v>
      </c>
      <c r="M2967" s="3"/>
    </row>
    <row r="2968" spans="1:13" x14ac:dyDescent="0.3">
      <c r="A2968" s="2">
        <v>2967</v>
      </c>
      <c r="B2968" s="2" t="s">
        <v>1654</v>
      </c>
      <c r="C2968" s="2" t="s">
        <v>7292</v>
      </c>
      <c r="D2968" s="2" t="s">
        <v>15</v>
      </c>
      <c r="E2968" s="2" t="s">
        <v>16</v>
      </c>
      <c r="F2968" s="2">
        <v>60</v>
      </c>
      <c r="G2968" s="2" t="s">
        <v>7293</v>
      </c>
      <c r="H2968" s="2" t="s">
        <v>2934</v>
      </c>
      <c r="I2968" s="2" t="s">
        <v>32</v>
      </c>
      <c r="J2968" s="3">
        <v>44841</v>
      </c>
      <c r="K2968" s="2">
        <v>62</v>
      </c>
      <c r="L2968" s="2" t="s">
        <v>33</v>
      </c>
      <c r="M2968" s="3"/>
    </row>
    <row r="2969" spans="1:13" x14ac:dyDescent="0.3">
      <c r="A2969" s="2">
        <v>2968</v>
      </c>
      <c r="B2969" s="2" t="s">
        <v>7294</v>
      </c>
      <c r="C2969" s="2" t="s">
        <v>2815</v>
      </c>
      <c r="D2969" s="2" t="s">
        <v>15</v>
      </c>
      <c r="E2969" s="2" t="s">
        <v>16</v>
      </c>
      <c r="F2969" s="2">
        <v>60</v>
      </c>
      <c r="G2969" s="2" t="s">
        <v>7295</v>
      </c>
      <c r="H2969" s="2" t="s">
        <v>3635</v>
      </c>
      <c r="I2969" s="2" t="s">
        <v>1157</v>
      </c>
      <c r="J2969" s="3">
        <v>44565</v>
      </c>
      <c r="K2969" s="2">
        <v>83</v>
      </c>
      <c r="L2969" s="2" t="s">
        <v>70</v>
      </c>
      <c r="M2969" s="3"/>
    </row>
    <row r="2970" spans="1:13" x14ac:dyDescent="0.3">
      <c r="A2970" s="2">
        <v>2969</v>
      </c>
      <c r="B2970" s="2" t="s">
        <v>4218</v>
      </c>
      <c r="C2970" s="2" t="s">
        <v>3127</v>
      </c>
      <c r="D2970" s="2" t="s">
        <v>28</v>
      </c>
      <c r="E2970" s="2" t="s">
        <v>29</v>
      </c>
      <c r="F2970" s="2">
        <v>60</v>
      </c>
      <c r="G2970" s="2" t="s">
        <v>7296</v>
      </c>
      <c r="H2970" s="2" t="s">
        <v>7297</v>
      </c>
      <c r="I2970" s="2" t="s">
        <v>178</v>
      </c>
      <c r="J2970" s="3">
        <v>44123</v>
      </c>
      <c r="K2970" s="2">
        <v>52</v>
      </c>
      <c r="L2970" s="2" t="s">
        <v>101</v>
      </c>
      <c r="M2970" s="3"/>
    </row>
    <row r="2971" spans="1:13" x14ac:dyDescent="0.3">
      <c r="A2971" s="2">
        <v>2970</v>
      </c>
      <c r="B2971" s="2" t="s">
        <v>7298</v>
      </c>
      <c r="C2971" s="2" t="s">
        <v>3098</v>
      </c>
      <c r="D2971" s="2" t="s">
        <v>28</v>
      </c>
      <c r="E2971" s="2" t="s">
        <v>29</v>
      </c>
      <c r="F2971" s="2">
        <v>60</v>
      </c>
      <c r="G2971" s="2" t="s">
        <v>7299</v>
      </c>
      <c r="H2971" s="2" t="s">
        <v>3433</v>
      </c>
      <c r="I2971" s="2" t="s">
        <v>1199</v>
      </c>
      <c r="J2971" s="3">
        <v>44459</v>
      </c>
      <c r="K2971" s="2">
        <v>34</v>
      </c>
      <c r="L2971" s="2" t="s">
        <v>39</v>
      </c>
      <c r="M2971" s="3"/>
    </row>
    <row r="2972" spans="1:13" x14ac:dyDescent="0.3">
      <c r="A2972" s="2">
        <v>2971</v>
      </c>
      <c r="B2972" s="2" t="s">
        <v>952</v>
      </c>
      <c r="C2972" s="2" t="s">
        <v>961</v>
      </c>
      <c r="D2972" s="2" t="s">
        <v>15</v>
      </c>
      <c r="E2972" s="2" t="s">
        <v>16</v>
      </c>
      <c r="F2972" s="2">
        <v>60</v>
      </c>
      <c r="G2972" s="2" t="s">
        <v>7300</v>
      </c>
      <c r="H2972" s="2" t="s">
        <v>2418</v>
      </c>
      <c r="I2972" s="2" t="s">
        <v>32</v>
      </c>
      <c r="J2972" s="3">
        <v>44279</v>
      </c>
      <c r="K2972" s="2">
        <v>57</v>
      </c>
      <c r="L2972" s="2" t="s">
        <v>39</v>
      </c>
      <c r="M2972" s="3"/>
    </row>
    <row r="2973" spans="1:13" x14ac:dyDescent="0.3">
      <c r="A2973" s="2">
        <v>2972</v>
      </c>
      <c r="B2973" s="2" t="s">
        <v>7301</v>
      </c>
      <c r="C2973" s="2" t="s">
        <v>1072</v>
      </c>
      <c r="D2973" s="2" t="s">
        <v>51</v>
      </c>
      <c r="E2973" s="2" t="s">
        <v>16</v>
      </c>
      <c r="F2973" s="2">
        <v>30</v>
      </c>
      <c r="G2973" s="2" t="s">
        <v>7302</v>
      </c>
      <c r="H2973" s="2" t="s">
        <v>4941</v>
      </c>
      <c r="I2973" s="2" t="s">
        <v>32</v>
      </c>
      <c r="J2973" s="3">
        <v>44851</v>
      </c>
      <c r="K2973" s="2">
        <v>85</v>
      </c>
      <c r="L2973" s="2" t="s">
        <v>20</v>
      </c>
      <c r="M2973" s="3"/>
    </row>
    <row r="2974" spans="1:13" x14ac:dyDescent="0.3">
      <c r="A2974" s="2">
        <v>2973</v>
      </c>
      <c r="B2974" s="2" t="s">
        <v>7303</v>
      </c>
      <c r="C2974" s="2" t="s">
        <v>5258</v>
      </c>
      <c r="D2974" s="2" t="s">
        <v>28</v>
      </c>
      <c r="E2974" s="2" t="s">
        <v>29</v>
      </c>
      <c r="F2974" s="2">
        <v>60</v>
      </c>
      <c r="G2974" s="2" t="s">
        <v>7304</v>
      </c>
      <c r="H2974" s="2" t="s">
        <v>2570</v>
      </c>
      <c r="I2974" s="2" t="s">
        <v>32</v>
      </c>
      <c r="J2974" s="3">
        <v>44339</v>
      </c>
      <c r="K2974" s="2">
        <v>87</v>
      </c>
      <c r="L2974" s="2" t="s">
        <v>101</v>
      </c>
      <c r="M2974" s="3"/>
    </row>
    <row r="2975" spans="1:13" x14ac:dyDescent="0.3">
      <c r="A2975" s="2">
        <v>2974</v>
      </c>
      <c r="B2975" s="2" t="s">
        <v>7305</v>
      </c>
      <c r="C2975" s="2" t="s">
        <v>5727</v>
      </c>
      <c r="D2975" s="2" t="s">
        <v>15</v>
      </c>
      <c r="E2975" s="2" t="s">
        <v>16</v>
      </c>
      <c r="F2975" s="2">
        <v>60</v>
      </c>
      <c r="G2975" s="2" t="s">
        <v>7306</v>
      </c>
      <c r="H2975" s="2" t="s">
        <v>7307</v>
      </c>
      <c r="I2975" s="2" t="s">
        <v>25</v>
      </c>
      <c r="J2975" s="3">
        <v>44730</v>
      </c>
      <c r="K2975" s="2">
        <v>66</v>
      </c>
      <c r="L2975" s="2" t="s">
        <v>45</v>
      </c>
      <c r="M2975" s="3"/>
    </row>
    <row r="2976" spans="1:13" x14ac:dyDescent="0.3">
      <c r="A2976" s="2">
        <v>2975</v>
      </c>
      <c r="B2976" s="2" t="s">
        <v>115</v>
      </c>
      <c r="C2976" s="2" t="s">
        <v>6355</v>
      </c>
      <c r="D2976" s="2" t="s">
        <v>28</v>
      </c>
      <c r="E2976" s="2" t="s">
        <v>29</v>
      </c>
      <c r="F2976" s="2">
        <v>30</v>
      </c>
      <c r="G2976" s="2" t="s">
        <v>7308</v>
      </c>
      <c r="H2976" s="2" t="s">
        <v>1804</v>
      </c>
      <c r="I2976" s="2" t="s">
        <v>32</v>
      </c>
      <c r="J2976" s="3">
        <v>44088</v>
      </c>
      <c r="K2976" s="2">
        <v>65</v>
      </c>
      <c r="L2976" s="2" t="s">
        <v>33</v>
      </c>
      <c r="M2976" s="3"/>
    </row>
    <row r="2977" spans="1:13" x14ac:dyDescent="0.3">
      <c r="A2977" s="2">
        <v>2976</v>
      </c>
      <c r="B2977" s="2" t="s">
        <v>6192</v>
      </c>
      <c r="C2977" s="2" t="s">
        <v>5487</v>
      </c>
      <c r="D2977" s="2" t="s">
        <v>51</v>
      </c>
      <c r="E2977" s="2" t="s">
        <v>16</v>
      </c>
      <c r="F2977" s="2">
        <v>60</v>
      </c>
      <c r="G2977" s="2" t="s">
        <v>7309</v>
      </c>
      <c r="H2977" s="2" t="s">
        <v>3169</v>
      </c>
      <c r="I2977" s="2" t="s">
        <v>110</v>
      </c>
      <c r="J2977" s="3">
        <v>44048</v>
      </c>
      <c r="K2977" s="2">
        <v>85</v>
      </c>
      <c r="L2977" s="2" t="s">
        <v>54</v>
      </c>
      <c r="M2977" s="3"/>
    </row>
    <row r="2978" spans="1:13" x14ac:dyDescent="0.3">
      <c r="A2978" s="2">
        <v>2977</v>
      </c>
      <c r="B2978" s="2" t="s">
        <v>7310</v>
      </c>
      <c r="C2978" s="2" t="s">
        <v>6509</v>
      </c>
      <c r="D2978" s="2" t="s">
        <v>15</v>
      </c>
      <c r="E2978" s="2" t="s">
        <v>16</v>
      </c>
      <c r="F2978" s="2">
        <v>30</v>
      </c>
      <c r="G2978" s="2" t="s">
        <v>7309</v>
      </c>
      <c r="H2978" s="2" t="s">
        <v>2084</v>
      </c>
      <c r="I2978" s="2" t="s">
        <v>294</v>
      </c>
      <c r="J2978" s="3">
        <v>44270</v>
      </c>
      <c r="K2978" s="2">
        <v>50</v>
      </c>
      <c r="L2978" s="2" t="s">
        <v>33</v>
      </c>
      <c r="M2978" s="3"/>
    </row>
    <row r="2979" spans="1:13" x14ac:dyDescent="0.3">
      <c r="A2979" s="2">
        <v>2978</v>
      </c>
      <c r="B2979" s="2" t="s">
        <v>7311</v>
      </c>
      <c r="C2979" s="2" t="s">
        <v>6436</v>
      </c>
      <c r="D2979" s="2" t="s">
        <v>15</v>
      </c>
      <c r="E2979" s="2" t="s">
        <v>16</v>
      </c>
      <c r="F2979" s="2">
        <v>90</v>
      </c>
      <c r="G2979" s="2" t="s">
        <v>7309</v>
      </c>
      <c r="H2979" s="2" t="s">
        <v>2742</v>
      </c>
      <c r="I2979" s="2" t="s">
        <v>124</v>
      </c>
      <c r="J2979" s="3">
        <v>44741</v>
      </c>
      <c r="K2979" s="2">
        <v>101</v>
      </c>
      <c r="L2979" s="2" t="s">
        <v>101</v>
      </c>
      <c r="M2979" s="3"/>
    </row>
    <row r="2980" spans="1:13" x14ac:dyDescent="0.3">
      <c r="A2980" s="2">
        <v>2979</v>
      </c>
      <c r="B2980" s="2" t="s">
        <v>7312</v>
      </c>
      <c r="C2980" s="2" t="s">
        <v>1656</v>
      </c>
      <c r="D2980" s="2" t="s">
        <v>15</v>
      </c>
      <c r="E2980" s="2" t="s">
        <v>16</v>
      </c>
      <c r="F2980" s="2">
        <v>90</v>
      </c>
      <c r="G2980" s="2" t="s">
        <v>7313</v>
      </c>
      <c r="H2980" s="2" t="s">
        <v>1537</v>
      </c>
      <c r="I2980" s="2" t="s">
        <v>294</v>
      </c>
      <c r="J2980" s="3">
        <v>44403</v>
      </c>
      <c r="K2980" s="2">
        <v>28</v>
      </c>
      <c r="L2980" s="2" t="s">
        <v>101</v>
      </c>
      <c r="M2980" s="3"/>
    </row>
    <row r="2981" spans="1:13" x14ac:dyDescent="0.3">
      <c r="A2981" s="2">
        <v>2980</v>
      </c>
      <c r="B2981" s="2" t="s">
        <v>7314</v>
      </c>
      <c r="C2981" s="2" t="s">
        <v>7315</v>
      </c>
      <c r="D2981" s="2" t="s">
        <v>28</v>
      </c>
      <c r="E2981" s="2" t="s">
        <v>29</v>
      </c>
      <c r="F2981" s="2">
        <v>90</v>
      </c>
      <c r="G2981" s="2" t="s">
        <v>7316</v>
      </c>
      <c r="H2981" s="2" t="s">
        <v>389</v>
      </c>
      <c r="I2981" s="2" t="s">
        <v>32</v>
      </c>
      <c r="J2981" s="3">
        <v>44639</v>
      </c>
      <c r="K2981" s="2">
        <v>80</v>
      </c>
      <c r="L2981" s="2" t="s">
        <v>33</v>
      </c>
      <c r="M2981" s="3"/>
    </row>
    <row r="2982" spans="1:13" x14ac:dyDescent="0.3">
      <c r="A2982" s="2">
        <v>2981</v>
      </c>
      <c r="B2982" s="2" t="s">
        <v>5457</v>
      </c>
      <c r="C2982" s="2" t="s">
        <v>7231</v>
      </c>
      <c r="D2982" s="2" t="s">
        <v>28</v>
      </c>
      <c r="E2982" s="2" t="s">
        <v>29</v>
      </c>
      <c r="F2982" s="2">
        <v>90</v>
      </c>
      <c r="G2982" s="2" t="s">
        <v>7317</v>
      </c>
      <c r="H2982" s="2" t="s">
        <v>7318</v>
      </c>
      <c r="I2982" s="2" t="s">
        <v>32</v>
      </c>
      <c r="J2982" s="3">
        <v>44053</v>
      </c>
      <c r="K2982" s="2">
        <v>26</v>
      </c>
      <c r="L2982" s="2" t="s">
        <v>159</v>
      </c>
      <c r="M2982" s="3"/>
    </row>
    <row r="2983" spans="1:13" x14ac:dyDescent="0.3">
      <c r="A2983" s="2">
        <v>2982</v>
      </c>
      <c r="B2983" s="2" t="s">
        <v>7319</v>
      </c>
      <c r="C2983" s="2" t="s">
        <v>3971</v>
      </c>
      <c r="D2983" s="2" t="s">
        <v>51</v>
      </c>
      <c r="E2983" s="2" t="s">
        <v>16</v>
      </c>
      <c r="F2983" s="2">
        <v>90</v>
      </c>
      <c r="G2983" s="2" t="s">
        <v>7320</v>
      </c>
      <c r="H2983" s="2" t="s">
        <v>1556</v>
      </c>
      <c r="I2983" s="2" t="s">
        <v>1311</v>
      </c>
      <c r="J2983" s="3">
        <v>44653</v>
      </c>
      <c r="K2983" s="2">
        <v>16</v>
      </c>
      <c r="L2983" s="2" t="s">
        <v>101</v>
      </c>
      <c r="M2983" s="3"/>
    </row>
    <row r="2984" spans="1:13" x14ac:dyDescent="0.3">
      <c r="A2984" s="2">
        <v>2983</v>
      </c>
      <c r="B2984" s="2" t="s">
        <v>1788</v>
      </c>
      <c r="C2984" s="2" t="s">
        <v>665</v>
      </c>
      <c r="D2984" s="2" t="s">
        <v>28</v>
      </c>
      <c r="E2984" s="2" t="s">
        <v>29</v>
      </c>
      <c r="F2984" s="2">
        <v>60</v>
      </c>
      <c r="G2984" s="2" t="s">
        <v>7321</v>
      </c>
      <c r="H2984" s="2" t="s">
        <v>674</v>
      </c>
      <c r="I2984" s="2" t="s">
        <v>32</v>
      </c>
      <c r="J2984" s="3">
        <v>43959</v>
      </c>
      <c r="K2984" s="2">
        <v>27</v>
      </c>
      <c r="L2984" s="2" t="s">
        <v>54</v>
      </c>
      <c r="M2984" s="3"/>
    </row>
    <row r="2985" spans="1:13" x14ac:dyDescent="0.3">
      <c r="A2985" s="2">
        <v>2984</v>
      </c>
      <c r="B2985" s="2" t="s">
        <v>7322</v>
      </c>
      <c r="C2985" s="2" t="s">
        <v>5862</v>
      </c>
      <c r="D2985" s="2" t="s">
        <v>41</v>
      </c>
      <c r="E2985" s="2" t="s">
        <v>16</v>
      </c>
      <c r="F2985" s="2">
        <v>60</v>
      </c>
      <c r="G2985" s="2" t="s">
        <v>7323</v>
      </c>
      <c r="H2985" s="2" t="s">
        <v>2877</v>
      </c>
      <c r="I2985" s="2" t="s">
        <v>2878</v>
      </c>
      <c r="J2985" s="3">
        <v>44739</v>
      </c>
      <c r="K2985" s="2">
        <v>65</v>
      </c>
      <c r="L2985" s="2" t="s">
        <v>45</v>
      </c>
      <c r="M2985" s="3"/>
    </row>
    <row r="2986" spans="1:13" x14ac:dyDescent="0.3">
      <c r="A2986" s="2">
        <v>2985</v>
      </c>
      <c r="B2986" s="2" t="s">
        <v>71</v>
      </c>
      <c r="C2986" s="2" t="s">
        <v>1215</v>
      </c>
      <c r="D2986" s="2" t="s">
        <v>15</v>
      </c>
      <c r="E2986" s="2" t="s">
        <v>16</v>
      </c>
      <c r="F2986" s="2">
        <v>60</v>
      </c>
      <c r="G2986" s="2" t="s">
        <v>7324</v>
      </c>
      <c r="H2986" s="2" t="s">
        <v>4123</v>
      </c>
      <c r="I2986" s="2" t="s">
        <v>187</v>
      </c>
      <c r="J2986" s="3">
        <v>44594</v>
      </c>
      <c r="K2986" s="2">
        <v>17</v>
      </c>
      <c r="L2986" s="2" t="s">
        <v>45</v>
      </c>
      <c r="M2986" s="3"/>
    </row>
    <row r="2987" spans="1:13" x14ac:dyDescent="0.3">
      <c r="A2987" s="2">
        <v>2986</v>
      </c>
      <c r="B2987" s="2" t="s">
        <v>7325</v>
      </c>
      <c r="C2987" s="2" t="s">
        <v>7206</v>
      </c>
      <c r="D2987" s="2" t="s">
        <v>51</v>
      </c>
      <c r="E2987" s="2" t="s">
        <v>16</v>
      </c>
      <c r="F2987" s="2">
        <v>30</v>
      </c>
      <c r="G2987" s="2" t="s">
        <v>7326</v>
      </c>
      <c r="H2987" s="2" t="s">
        <v>4337</v>
      </c>
      <c r="I2987" s="2" t="s">
        <v>25</v>
      </c>
      <c r="J2987" s="3">
        <v>44794</v>
      </c>
      <c r="K2987" s="2">
        <v>17</v>
      </c>
      <c r="L2987" s="2" t="s">
        <v>159</v>
      </c>
      <c r="M2987" s="3"/>
    </row>
    <row r="2988" spans="1:13" x14ac:dyDescent="0.3">
      <c r="A2988" s="2">
        <v>2987</v>
      </c>
      <c r="B2988" s="2" t="s">
        <v>1755</v>
      </c>
      <c r="C2988" s="2" t="s">
        <v>1866</v>
      </c>
      <c r="D2988" s="2" t="s">
        <v>28</v>
      </c>
      <c r="E2988" s="2" t="s">
        <v>29</v>
      </c>
      <c r="F2988" s="2">
        <v>60</v>
      </c>
      <c r="G2988" s="2" t="s">
        <v>7327</v>
      </c>
      <c r="H2988" s="2" t="s">
        <v>927</v>
      </c>
      <c r="I2988" s="2" t="s">
        <v>129</v>
      </c>
      <c r="J2988" s="3">
        <v>44033</v>
      </c>
      <c r="K2988" s="2">
        <v>46</v>
      </c>
      <c r="L2988" s="2" t="s">
        <v>70</v>
      </c>
      <c r="M2988" s="3"/>
    </row>
    <row r="2989" spans="1:13" x14ac:dyDescent="0.3">
      <c r="A2989" s="2">
        <v>2988</v>
      </c>
      <c r="B2989" s="2" t="s">
        <v>6843</v>
      </c>
      <c r="C2989" s="2" t="s">
        <v>418</v>
      </c>
      <c r="D2989" s="2" t="s">
        <v>51</v>
      </c>
      <c r="E2989" s="2" t="s">
        <v>16</v>
      </c>
      <c r="F2989" s="2">
        <v>60</v>
      </c>
      <c r="G2989" s="2" t="s">
        <v>7328</v>
      </c>
      <c r="H2989" s="2" t="s">
        <v>4066</v>
      </c>
      <c r="I2989" s="2" t="s">
        <v>4067</v>
      </c>
      <c r="J2989" s="3">
        <v>44246</v>
      </c>
      <c r="K2989" s="2">
        <v>16</v>
      </c>
      <c r="L2989" s="2" t="s">
        <v>159</v>
      </c>
      <c r="M2989" s="3"/>
    </row>
    <row r="2990" spans="1:13" x14ac:dyDescent="0.3">
      <c r="A2990" s="2">
        <v>2989</v>
      </c>
      <c r="B2990" s="2" t="s">
        <v>4737</v>
      </c>
      <c r="C2990" s="2" t="s">
        <v>1662</v>
      </c>
      <c r="D2990" s="2" t="s">
        <v>28</v>
      </c>
      <c r="E2990" s="2" t="s">
        <v>29</v>
      </c>
      <c r="F2990" s="2">
        <v>90</v>
      </c>
      <c r="G2990" s="2" t="s">
        <v>7329</v>
      </c>
      <c r="H2990" s="2" t="s">
        <v>7330</v>
      </c>
      <c r="I2990" s="2" t="s">
        <v>5820</v>
      </c>
      <c r="J2990" s="3">
        <v>44665</v>
      </c>
      <c r="K2990" s="2">
        <v>47</v>
      </c>
      <c r="L2990" s="2" t="s">
        <v>39</v>
      </c>
      <c r="M2990" s="3"/>
    </row>
    <row r="2991" spans="1:13" x14ac:dyDescent="0.3">
      <c r="A2991" s="2">
        <v>2990</v>
      </c>
      <c r="B2991" s="2" t="s">
        <v>7331</v>
      </c>
      <c r="C2991" s="2" t="s">
        <v>3614</v>
      </c>
      <c r="D2991" s="2" t="s">
        <v>51</v>
      </c>
      <c r="E2991" s="2" t="s">
        <v>16</v>
      </c>
      <c r="F2991" s="2">
        <v>90</v>
      </c>
      <c r="G2991" s="2" t="s">
        <v>7332</v>
      </c>
      <c r="I2991" s="2" t="s">
        <v>366</v>
      </c>
      <c r="J2991" s="3">
        <v>44856</v>
      </c>
      <c r="K2991" s="2">
        <v>70</v>
      </c>
      <c r="L2991" s="2" t="s">
        <v>80</v>
      </c>
      <c r="M2991" s="3"/>
    </row>
    <row r="2992" spans="1:13" x14ac:dyDescent="0.3">
      <c r="A2992" s="2">
        <v>2991</v>
      </c>
      <c r="B2992" s="2" t="s">
        <v>7331</v>
      </c>
      <c r="C2992" s="2" t="s">
        <v>3614</v>
      </c>
      <c r="D2992" s="2" t="s">
        <v>51</v>
      </c>
      <c r="E2992" s="2" t="s">
        <v>16</v>
      </c>
      <c r="F2992" s="2">
        <v>90</v>
      </c>
      <c r="G2992" s="2" t="s">
        <v>7332</v>
      </c>
      <c r="I2992" s="2" t="s">
        <v>366</v>
      </c>
      <c r="J2992" s="3">
        <v>44856</v>
      </c>
      <c r="K2992" s="2">
        <v>70</v>
      </c>
      <c r="L2992" s="2" t="s">
        <v>80</v>
      </c>
      <c r="M2992" s="3"/>
    </row>
    <row r="2993" spans="1:13" x14ac:dyDescent="0.3">
      <c r="A2993" s="2">
        <v>2992</v>
      </c>
      <c r="B2993" s="2" t="s">
        <v>1998</v>
      </c>
      <c r="C2993" s="2" t="s">
        <v>139</v>
      </c>
      <c r="D2993" s="2" t="s">
        <v>28</v>
      </c>
      <c r="E2993" s="2" t="s">
        <v>29</v>
      </c>
      <c r="F2993" s="2">
        <v>90</v>
      </c>
      <c r="G2993" s="2" t="s">
        <v>7333</v>
      </c>
      <c r="H2993" s="2" t="s">
        <v>2655</v>
      </c>
      <c r="I2993" s="2" t="s">
        <v>1083</v>
      </c>
      <c r="J2993" s="3">
        <v>44672</v>
      </c>
      <c r="K2993" s="2">
        <v>70</v>
      </c>
      <c r="L2993" s="2" t="s">
        <v>80</v>
      </c>
      <c r="M2993" s="3"/>
    </row>
    <row r="2994" spans="1:13" x14ac:dyDescent="0.3">
      <c r="A2994" s="2">
        <v>2993</v>
      </c>
      <c r="B2994" s="2" t="s">
        <v>7334</v>
      </c>
      <c r="C2994" s="2" t="s">
        <v>3447</v>
      </c>
      <c r="D2994" s="2" t="s">
        <v>28</v>
      </c>
      <c r="E2994" s="2" t="s">
        <v>29</v>
      </c>
      <c r="F2994" s="2">
        <v>60</v>
      </c>
      <c r="G2994" s="2" t="s">
        <v>7335</v>
      </c>
      <c r="H2994" s="2" t="s">
        <v>1674</v>
      </c>
      <c r="I2994" s="2" t="s">
        <v>25</v>
      </c>
      <c r="J2994" s="3">
        <v>44788</v>
      </c>
      <c r="K2994" s="2">
        <v>105</v>
      </c>
      <c r="L2994" s="2" t="s">
        <v>101</v>
      </c>
      <c r="M2994" s="3"/>
    </row>
    <row r="2995" spans="1:13" x14ac:dyDescent="0.3">
      <c r="A2995" s="2">
        <v>2994</v>
      </c>
      <c r="B2995" s="2" t="s">
        <v>650</v>
      </c>
      <c r="C2995" s="2" t="s">
        <v>1878</v>
      </c>
      <c r="D2995" s="2" t="s">
        <v>41</v>
      </c>
      <c r="E2995" s="2" t="s">
        <v>16</v>
      </c>
      <c r="F2995" s="2">
        <v>90</v>
      </c>
      <c r="G2995" s="2" t="s">
        <v>7336</v>
      </c>
      <c r="H2995" s="2" t="s">
        <v>3859</v>
      </c>
      <c r="I2995" s="2" t="s">
        <v>124</v>
      </c>
      <c r="J2995" s="3">
        <v>44561</v>
      </c>
      <c r="K2995" s="2">
        <v>7</v>
      </c>
      <c r="L2995" s="2" t="s">
        <v>33</v>
      </c>
      <c r="M2995" s="3"/>
    </row>
    <row r="2996" spans="1:13" x14ac:dyDescent="0.3">
      <c r="A2996" s="2">
        <v>2995</v>
      </c>
      <c r="B2996" s="2" t="s">
        <v>7337</v>
      </c>
      <c r="C2996" s="2" t="s">
        <v>2795</v>
      </c>
      <c r="D2996" s="2" t="s">
        <v>51</v>
      </c>
      <c r="E2996" s="2" t="s">
        <v>16</v>
      </c>
      <c r="F2996" s="2">
        <v>90</v>
      </c>
      <c r="G2996" s="2" t="s">
        <v>7338</v>
      </c>
      <c r="H2996" s="2" t="s">
        <v>901</v>
      </c>
      <c r="I2996" s="2" t="s">
        <v>146</v>
      </c>
      <c r="J2996" s="3">
        <v>44424</v>
      </c>
      <c r="K2996" s="2">
        <v>2</v>
      </c>
      <c r="L2996" s="2" t="s">
        <v>101</v>
      </c>
      <c r="M2996" s="3"/>
    </row>
    <row r="2997" spans="1:13" x14ac:dyDescent="0.3">
      <c r="A2997" s="2">
        <v>2996</v>
      </c>
      <c r="B2997" s="2" t="s">
        <v>4349</v>
      </c>
      <c r="C2997" s="2" t="s">
        <v>2697</v>
      </c>
      <c r="D2997" s="2" t="s">
        <v>51</v>
      </c>
      <c r="E2997" s="2" t="s">
        <v>16</v>
      </c>
      <c r="F2997" s="2">
        <v>30</v>
      </c>
      <c r="G2997" s="2" t="s">
        <v>7339</v>
      </c>
      <c r="H2997" s="2" t="s">
        <v>3070</v>
      </c>
      <c r="I2997" s="2" t="s">
        <v>575</v>
      </c>
      <c r="J2997" s="3">
        <v>44845</v>
      </c>
      <c r="K2997" s="2">
        <v>4</v>
      </c>
      <c r="L2997" s="2" t="s">
        <v>45</v>
      </c>
      <c r="M2997" s="3"/>
    </row>
    <row r="2998" spans="1:13" x14ac:dyDescent="0.3">
      <c r="A2998" s="2">
        <v>2997</v>
      </c>
      <c r="B2998" s="2" t="s">
        <v>7340</v>
      </c>
      <c r="C2998" s="2" t="s">
        <v>5788</v>
      </c>
      <c r="D2998" s="2" t="s">
        <v>28</v>
      </c>
      <c r="E2998" s="2" t="s">
        <v>29</v>
      </c>
      <c r="F2998" s="2">
        <v>30</v>
      </c>
      <c r="G2998" s="2" t="s">
        <v>7341</v>
      </c>
      <c r="H2998" s="2" t="s">
        <v>663</v>
      </c>
      <c r="I2998" s="2" t="s">
        <v>32</v>
      </c>
      <c r="J2998" s="3">
        <v>44775</v>
      </c>
      <c r="K2998" s="2">
        <v>105</v>
      </c>
      <c r="L2998" s="2" t="s">
        <v>70</v>
      </c>
      <c r="M2998" s="3"/>
    </row>
    <row r="2999" spans="1:13" x14ac:dyDescent="0.3">
      <c r="A2999" s="2">
        <v>2998</v>
      </c>
      <c r="B2999" s="2" t="s">
        <v>4318</v>
      </c>
      <c r="C2999" s="2" t="s">
        <v>3016</v>
      </c>
      <c r="D2999" s="2" t="s">
        <v>28</v>
      </c>
      <c r="E2999" s="2" t="s">
        <v>29</v>
      </c>
      <c r="F2999" s="2">
        <v>30</v>
      </c>
      <c r="G2999" s="2" t="s">
        <v>7341</v>
      </c>
      <c r="H2999" s="2" t="s">
        <v>4049</v>
      </c>
      <c r="I2999" s="2" t="s">
        <v>32</v>
      </c>
      <c r="J2999" s="3">
        <v>44789</v>
      </c>
      <c r="K2999" s="2">
        <v>22</v>
      </c>
      <c r="L2999" s="2" t="s">
        <v>39</v>
      </c>
      <c r="M2999" s="3"/>
    </row>
    <row r="3000" spans="1:13" x14ac:dyDescent="0.3">
      <c r="A3000" s="2">
        <v>2999</v>
      </c>
      <c r="B3000" s="2" t="s">
        <v>3967</v>
      </c>
      <c r="C3000" s="2" t="s">
        <v>3735</v>
      </c>
      <c r="D3000" s="2" t="s">
        <v>28</v>
      </c>
      <c r="E3000" s="2" t="s">
        <v>29</v>
      </c>
      <c r="F3000" s="2">
        <v>30</v>
      </c>
      <c r="G3000" s="2" t="s">
        <v>7342</v>
      </c>
      <c r="H3000" s="2" t="s">
        <v>7343</v>
      </c>
      <c r="I3000" s="2" t="s">
        <v>1126</v>
      </c>
      <c r="J3000" s="3">
        <v>44792</v>
      </c>
      <c r="K3000" s="2">
        <v>92</v>
      </c>
      <c r="L3000" s="2" t="s">
        <v>101</v>
      </c>
      <c r="M3000" s="3"/>
    </row>
    <row r="3001" spans="1:13" x14ac:dyDescent="0.3">
      <c r="A3001" s="2">
        <v>3000</v>
      </c>
      <c r="B3001" s="2" t="s">
        <v>7344</v>
      </c>
      <c r="C3001" s="2" t="s">
        <v>7345</v>
      </c>
      <c r="D3001" s="2" t="s">
        <v>15</v>
      </c>
      <c r="E3001" s="2" t="s">
        <v>16</v>
      </c>
      <c r="F3001" s="2">
        <v>60</v>
      </c>
      <c r="G3001" s="2" t="s">
        <v>7346</v>
      </c>
      <c r="H3001" s="2" t="s">
        <v>7056</v>
      </c>
      <c r="I3001" s="2" t="s">
        <v>95</v>
      </c>
      <c r="J3001" s="3">
        <v>44728</v>
      </c>
      <c r="K3001" s="2">
        <v>87</v>
      </c>
      <c r="L3001" s="2" t="s">
        <v>39</v>
      </c>
      <c r="M3001" s="3"/>
    </row>
    <row r="3002" spans="1:13" x14ac:dyDescent="0.3">
      <c r="A3002" s="2">
        <v>3001</v>
      </c>
      <c r="B3002" s="2" t="s">
        <v>1363</v>
      </c>
      <c r="C3002" s="2" t="s">
        <v>1950</v>
      </c>
      <c r="D3002" s="2" t="s">
        <v>28</v>
      </c>
      <c r="E3002" s="2" t="s">
        <v>29</v>
      </c>
      <c r="F3002" s="2">
        <v>90</v>
      </c>
      <c r="G3002" s="2" t="s">
        <v>7347</v>
      </c>
      <c r="H3002" s="2" t="s">
        <v>4285</v>
      </c>
      <c r="I3002" s="2" t="s">
        <v>124</v>
      </c>
      <c r="J3002" s="3">
        <v>43859</v>
      </c>
      <c r="K3002" s="2">
        <v>13</v>
      </c>
      <c r="L3002" s="2" t="s">
        <v>70</v>
      </c>
      <c r="M3002" s="3"/>
    </row>
    <row r="3003" spans="1:13" x14ac:dyDescent="0.3">
      <c r="A3003" s="2">
        <v>3002</v>
      </c>
      <c r="B3003" s="2" t="s">
        <v>3742</v>
      </c>
      <c r="C3003" s="2" t="s">
        <v>3564</v>
      </c>
      <c r="D3003" s="2" t="s">
        <v>28</v>
      </c>
      <c r="E3003" s="2" t="s">
        <v>29</v>
      </c>
      <c r="F3003" s="2">
        <v>60</v>
      </c>
      <c r="G3003" s="2" t="s">
        <v>7348</v>
      </c>
      <c r="H3003" s="2" t="s">
        <v>2629</v>
      </c>
      <c r="I3003" s="2" t="s">
        <v>95</v>
      </c>
      <c r="J3003" s="3">
        <v>44118</v>
      </c>
      <c r="K3003" s="2">
        <v>34</v>
      </c>
      <c r="L3003" s="2" t="s">
        <v>45</v>
      </c>
      <c r="M3003" s="3"/>
    </row>
    <row r="3004" spans="1:13" x14ac:dyDescent="0.3">
      <c r="A3004" s="2">
        <v>3003</v>
      </c>
      <c r="B3004" s="2" t="s">
        <v>7349</v>
      </c>
      <c r="C3004" s="2" t="s">
        <v>1041</v>
      </c>
      <c r="D3004" s="2" t="s">
        <v>28</v>
      </c>
      <c r="E3004" s="2" t="s">
        <v>29</v>
      </c>
      <c r="F3004" s="2">
        <v>60</v>
      </c>
      <c r="G3004" s="2" t="s">
        <v>7350</v>
      </c>
      <c r="H3004" s="2" t="s">
        <v>2236</v>
      </c>
      <c r="I3004" s="2" t="s">
        <v>2237</v>
      </c>
      <c r="J3004" s="3">
        <v>44737</v>
      </c>
      <c r="K3004" s="2">
        <v>38</v>
      </c>
      <c r="L3004" s="2" t="s">
        <v>54</v>
      </c>
      <c r="M3004" s="3"/>
    </row>
    <row r="3005" spans="1:13" x14ac:dyDescent="0.3">
      <c r="A3005" s="2">
        <v>3004</v>
      </c>
      <c r="B3005" s="2" t="s">
        <v>7351</v>
      </c>
      <c r="C3005" s="2" t="s">
        <v>7290</v>
      </c>
      <c r="D3005" s="2" t="s">
        <v>15</v>
      </c>
      <c r="E3005" s="2" t="s">
        <v>16</v>
      </c>
      <c r="F3005" s="2">
        <v>60</v>
      </c>
      <c r="G3005" s="2" t="s">
        <v>7352</v>
      </c>
      <c r="H3005" s="2" t="s">
        <v>7353</v>
      </c>
      <c r="I3005" s="2" t="s">
        <v>19</v>
      </c>
      <c r="J3005" s="3">
        <v>44826</v>
      </c>
      <c r="K3005" s="2">
        <v>91</v>
      </c>
      <c r="L3005" s="2" t="s">
        <v>39</v>
      </c>
      <c r="M3005" s="3"/>
    </row>
    <row r="3006" spans="1:13" x14ac:dyDescent="0.3">
      <c r="A3006" s="2">
        <v>3005</v>
      </c>
      <c r="B3006" s="2" t="s">
        <v>7354</v>
      </c>
      <c r="C3006" s="2" t="s">
        <v>665</v>
      </c>
      <c r="D3006" s="2" t="s">
        <v>41</v>
      </c>
      <c r="E3006" s="2" t="s">
        <v>16</v>
      </c>
      <c r="F3006" s="2">
        <v>60</v>
      </c>
      <c r="G3006" s="2" t="s">
        <v>7355</v>
      </c>
      <c r="H3006" s="2" t="s">
        <v>203</v>
      </c>
      <c r="I3006" s="2" t="s">
        <v>32</v>
      </c>
      <c r="J3006" s="3">
        <v>44031</v>
      </c>
      <c r="K3006" s="2">
        <v>80</v>
      </c>
      <c r="L3006" s="2" t="s">
        <v>101</v>
      </c>
      <c r="M3006" s="3"/>
    </row>
    <row r="3007" spans="1:13" x14ac:dyDescent="0.3">
      <c r="A3007" s="2">
        <v>3006</v>
      </c>
      <c r="B3007" s="2" t="s">
        <v>7356</v>
      </c>
      <c r="C3007" s="2" t="s">
        <v>2344</v>
      </c>
      <c r="D3007" s="2" t="s">
        <v>15</v>
      </c>
      <c r="E3007" s="2" t="s">
        <v>16</v>
      </c>
      <c r="F3007" s="2">
        <v>30</v>
      </c>
      <c r="G3007" s="2" t="s">
        <v>7357</v>
      </c>
      <c r="H3007" s="2" t="s">
        <v>655</v>
      </c>
      <c r="I3007" s="2" t="s">
        <v>32</v>
      </c>
      <c r="J3007" s="3">
        <v>44171</v>
      </c>
      <c r="K3007" s="2">
        <v>7</v>
      </c>
      <c r="L3007" s="2" t="s">
        <v>159</v>
      </c>
      <c r="M3007" s="3"/>
    </row>
    <row r="3008" spans="1:13" x14ac:dyDescent="0.3">
      <c r="A3008" s="2">
        <v>3007</v>
      </c>
      <c r="B3008" s="2" t="s">
        <v>7358</v>
      </c>
      <c r="C3008" s="2" t="s">
        <v>7359</v>
      </c>
      <c r="D3008" s="2" t="s">
        <v>15</v>
      </c>
      <c r="E3008" s="2" t="s">
        <v>16</v>
      </c>
      <c r="F3008" s="2">
        <v>90</v>
      </c>
      <c r="G3008" s="2" t="s">
        <v>7360</v>
      </c>
      <c r="H3008" s="2" t="s">
        <v>2401</v>
      </c>
      <c r="I3008" s="2" t="s">
        <v>178</v>
      </c>
      <c r="J3008" s="3">
        <v>44730</v>
      </c>
      <c r="K3008" s="2">
        <v>49</v>
      </c>
      <c r="L3008" s="2" t="s">
        <v>20</v>
      </c>
      <c r="M3008" s="3"/>
    </row>
    <row r="3009" spans="1:13" x14ac:dyDescent="0.3">
      <c r="A3009" s="2">
        <v>3008</v>
      </c>
      <c r="B3009" s="2" t="s">
        <v>7361</v>
      </c>
      <c r="C3009" s="2" t="s">
        <v>376</v>
      </c>
      <c r="D3009" s="2" t="s">
        <v>51</v>
      </c>
      <c r="E3009" s="2" t="s">
        <v>16</v>
      </c>
      <c r="F3009" s="2">
        <v>60</v>
      </c>
      <c r="G3009" s="2" t="s">
        <v>7362</v>
      </c>
      <c r="H3009" s="2" t="s">
        <v>685</v>
      </c>
      <c r="I3009" s="2" t="s">
        <v>686</v>
      </c>
      <c r="J3009" s="3">
        <v>44898</v>
      </c>
      <c r="K3009" s="2">
        <v>23</v>
      </c>
      <c r="L3009" s="2" t="s">
        <v>80</v>
      </c>
      <c r="M3009" s="3"/>
    </row>
    <row r="3010" spans="1:13" x14ac:dyDescent="0.3">
      <c r="A3010" s="2">
        <v>3009</v>
      </c>
      <c r="B3010" s="2" t="s">
        <v>7363</v>
      </c>
      <c r="C3010" s="2" t="s">
        <v>5671</v>
      </c>
      <c r="D3010" s="2" t="s">
        <v>51</v>
      </c>
      <c r="E3010" s="2" t="s">
        <v>16</v>
      </c>
      <c r="F3010" s="2">
        <v>60</v>
      </c>
      <c r="G3010" s="2" t="s">
        <v>7364</v>
      </c>
      <c r="H3010" s="2" t="s">
        <v>4944</v>
      </c>
      <c r="I3010" s="2" t="s">
        <v>839</v>
      </c>
      <c r="J3010" s="3">
        <v>44007</v>
      </c>
      <c r="K3010" s="2">
        <v>69</v>
      </c>
      <c r="L3010" s="2" t="s">
        <v>20</v>
      </c>
      <c r="M3010" s="3"/>
    </row>
    <row r="3011" spans="1:13" x14ac:dyDescent="0.3">
      <c r="A3011" s="2">
        <v>3010</v>
      </c>
      <c r="B3011" s="2" t="s">
        <v>7365</v>
      </c>
      <c r="C3011" s="2" t="s">
        <v>3564</v>
      </c>
      <c r="D3011" s="2" t="s">
        <v>15</v>
      </c>
      <c r="E3011" s="2" t="s">
        <v>16</v>
      </c>
      <c r="F3011" s="2">
        <v>60</v>
      </c>
      <c r="G3011" s="2" t="s">
        <v>7366</v>
      </c>
      <c r="H3011" s="2" t="s">
        <v>2509</v>
      </c>
      <c r="I3011" s="2" t="s">
        <v>32</v>
      </c>
      <c r="J3011" s="3">
        <v>44900</v>
      </c>
      <c r="K3011" s="2">
        <v>4</v>
      </c>
      <c r="L3011" s="2" t="s">
        <v>54</v>
      </c>
      <c r="M3011" s="3"/>
    </row>
    <row r="3012" spans="1:13" x14ac:dyDescent="0.3">
      <c r="A3012" s="2">
        <v>3011</v>
      </c>
      <c r="B3012" s="2" t="s">
        <v>7367</v>
      </c>
      <c r="C3012" s="2" t="s">
        <v>1117</v>
      </c>
      <c r="D3012" s="2" t="s">
        <v>15</v>
      </c>
      <c r="E3012" s="2" t="s">
        <v>16</v>
      </c>
      <c r="F3012" s="2">
        <v>60</v>
      </c>
      <c r="G3012" s="2" t="s">
        <v>7368</v>
      </c>
      <c r="H3012" s="2" t="s">
        <v>6693</v>
      </c>
      <c r="I3012" s="2" t="s">
        <v>25</v>
      </c>
      <c r="J3012" s="3">
        <v>44683</v>
      </c>
      <c r="K3012" s="2">
        <v>5</v>
      </c>
      <c r="L3012" s="2" t="s">
        <v>39</v>
      </c>
      <c r="M3012" s="3"/>
    </row>
    <row r="3013" spans="1:13" x14ac:dyDescent="0.3">
      <c r="A3013" s="2">
        <v>3012</v>
      </c>
      <c r="B3013" s="2" t="s">
        <v>6715</v>
      </c>
      <c r="C3013" s="2" t="s">
        <v>7369</v>
      </c>
      <c r="D3013" s="2" t="s">
        <v>28</v>
      </c>
      <c r="E3013" s="2" t="s">
        <v>29</v>
      </c>
      <c r="F3013" s="2">
        <v>60</v>
      </c>
      <c r="G3013" s="2" t="s">
        <v>7370</v>
      </c>
      <c r="H3013" s="2" t="s">
        <v>3628</v>
      </c>
      <c r="I3013" s="2" t="s">
        <v>32</v>
      </c>
      <c r="J3013" s="3">
        <v>43993</v>
      </c>
      <c r="K3013" s="2">
        <v>59</v>
      </c>
      <c r="L3013" s="2" t="s">
        <v>80</v>
      </c>
      <c r="M3013" s="3"/>
    </row>
    <row r="3014" spans="1:13" x14ac:dyDescent="0.3">
      <c r="A3014" s="2">
        <v>3013</v>
      </c>
      <c r="B3014" s="2" t="s">
        <v>7371</v>
      </c>
      <c r="C3014" s="2" t="s">
        <v>5923</v>
      </c>
      <c r="D3014" s="2" t="s">
        <v>51</v>
      </c>
      <c r="E3014" s="2" t="s">
        <v>16</v>
      </c>
      <c r="F3014" s="2">
        <v>30</v>
      </c>
      <c r="G3014" s="2" t="s">
        <v>7370</v>
      </c>
      <c r="H3014" s="2" t="s">
        <v>7001</v>
      </c>
      <c r="I3014" s="2" t="s">
        <v>32</v>
      </c>
      <c r="J3014" s="3">
        <v>44797</v>
      </c>
      <c r="K3014" s="2">
        <v>22</v>
      </c>
      <c r="L3014" s="2" t="s">
        <v>20</v>
      </c>
      <c r="M3014" s="3"/>
    </row>
    <row r="3015" spans="1:13" x14ac:dyDescent="0.3">
      <c r="A3015" s="2">
        <v>3014</v>
      </c>
      <c r="B3015" s="2" t="s">
        <v>7372</v>
      </c>
      <c r="C3015" s="2" t="s">
        <v>7373</v>
      </c>
      <c r="D3015" s="2" t="s">
        <v>51</v>
      </c>
      <c r="E3015" s="2" t="s">
        <v>16</v>
      </c>
      <c r="F3015" s="2">
        <v>60</v>
      </c>
      <c r="G3015" s="2" t="s">
        <v>7374</v>
      </c>
      <c r="H3015" s="2" t="s">
        <v>5647</v>
      </c>
      <c r="I3015" s="2" t="s">
        <v>38</v>
      </c>
      <c r="J3015" s="3">
        <v>44316</v>
      </c>
      <c r="K3015" s="2">
        <v>54</v>
      </c>
      <c r="L3015" s="2" t="s">
        <v>20</v>
      </c>
      <c r="M3015" s="3"/>
    </row>
    <row r="3016" spans="1:13" x14ac:dyDescent="0.3">
      <c r="A3016" s="2">
        <v>3015</v>
      </c>
      <c r="B3016" s="2" t="s">
        <v>5772</v>
      </c>
      <c r="C3016" s="2" t="s">
        <v>4994</v>
      </c>
      <c r="D3016" s="2" t="s">
        <v>28</v>
      </c>
      <c r="E3016" s="2" t="s">
        <v>29</v>
      </c>
      <c r="F3016" s="2">
        <v>30</v>
      </c>
      <c r="G3016" s="2" t="s">
        <v>7374</v>
      </c>
      <c r="H3016" s="2" t="s">
        <v>768</v>
      </c>
      <c r="I3016" s="2" t="s">
        <v>124</v>
      </c>
      <c r="J3016" s="3">
        <v>44483</v>
      </c>
      <c r="K3016" s="2">
        <v>83</v>
      </c>
      <c r="L3016" s="2" t="s">
        <v>70</v>
      </c>
      <c r="M3016" s="3"/>
    </row>
    <row r="3017" spans="1:13" x14ac:dyDescent="0.3">
      <c r="A3017" s="2">
        <v>3016</v>
      </c>
      <c r="B3017" s="2" t="s">
        <v>872</v>
      </c>
      <c r="C3017" s="2" t="s">
        <v>2928</v>
      </c>
      <c r="D3017" s="2" t="s">
        <v>28</v>
      </c>
      <c r="E3017" s="2" t="s">
        <v>29</v>
      </c>
      <c r="F3017" s="2">
        <v>30</v>
      </c>
      <c r="G3017" s="2" t="s">
        <v>7375</v>
      </c>
      <c r="H3017" s="2" t="s">
        <v>412</v>
      </c>
      <c r="I3017" s="2" t="s">
        <v>187</v>
      </c>
      <c r="J3017" s="3">
        <v>44201</v>
      </c>
      <c r="K3017" s="2">
        <v>34</v>
      </c>
      <c r="L3017" s="2" t="s">
        <v>101</v>
      </c>
      <c r="M3017" s="3"/>
    </row>
    <row r="3018" spans="1:13" x14ac:dyDescent="0.3">
      <c r="A3018" s="2">
        <v>3017</v>
      </c>
      <c r="B3018" s="2" t="s">
        <v>4828</v>
      </c>
      <c r="C3018" s="2" t="s">
        <v>5668</v>
      </c>
      <c r="D3018" s="2" t="s">
        <v>28</v>
      </c>
      <c r="E3018" s="2" t="s">
        <v>29</v>
      </c>
      <c r="F3018" s="2">
        <v>30</v>
      </c>
      <c r="G3018" s="2" t="s">
        <v>7376</v>
      </c>
      <c r="H3018" s="2" t="s">
        <v>663</v>
      </c>
      <c r="I3018" s="2" t="s">
        <v>32</v>
      </c>
      <c r="J3018" s="3">
        <v>44047</v>
      </c>
      <c r="K3018" s="2">
        <v>74</v>
      </c>
      <c r="L3018" s="2" t="s">
        <v>20</v>
      </c>
      <c r="M3018" s="3"/>
    </row>
    <row r="3019" spans="1:13" x14ac:dyDescent="0.3">
      <c r="A3019" s="2">
        <v>3018</v>
      </c>
      <c r="B3019" s="2" t="s">
        <v>4075</v>
      </c>
      <c r="C3019" s="2" t="s">
        <v>375</v>
      </c>
      <c r="D3019" s="2" t="s">
        <v>28</v>
      </c>
      <c r="E3019" s="2" t="s">
        <v>29</v>
      </c>
      <c r="F3019" s="2">
        <v>30</v>
      </c>
      <c r="G3019" s="2" t="s">
        <v>7377</v>
      </c>
      <c r="H3019" s="2" t="s">
        <v>7378</v>
      </c>
      <c r="I3019" s="2" t="s">
        <v>178</v>
      </c>
      <c r="J3019" s="3">
        <v>44480</v>
      </c>
      <c r="K3019" s="2">
        <v>92</v>
      </c>
      <c r="L3019" s="2" t="s">
        <v>39</v>
      </c>
      <c r="M3019" s="3"/>
    </row>
    <row r="3020" spans="1:13" x14ac:dyDescent="0.3">
      <c r="A3020" s="2">
        <v>3019</v>
      </c>
      <c r="B3020" s="2" t="s">
        <v>6044</v>
      </c>
      <c r="C3020" s="2" t="s">
        <v>7379</v>
      </c>
      <c r="D3020" s="2" t="s">
        <v>28</v>
      </c>
      <c r="E3020" s="2" t="s">
        <v>29</v>
      </c>
      <c r="F3020" s="2">
        <v>60</v>
      </c>
      <c r="G3020" s="2" t="s">
        <v>7380</v>
      </c>
      <c r="H3020" s="2" t="s">
        <v>5327</v>
      </c>
      <c r="I3020" s="2" t="s">
        <v>187</v>
      </c>
      <c r="J3020" s="3">
        <v>43944</v>
      </c>
      <c r="K3020" s="2">
        <v>78</v>
      </c>
      <c r="L3020" s="2" t="s">
        <v>159</v>
      </c>
      <c r="M3020" s="3"/>
    </row>
    <row r="3021" spans="1:13" x14ac:dyDescent="0.3">
      <c r="A3021" s="2">
        <v>3020</v>
      </c>
      <c r="B3021" s="2" t="s">
        <v>7381</v>
      </c>
      <c r="C3021" s="2" t="s">
        <v>647</v>
      </c>
      <c r="D3021" s="2" t="s">
        <v>28</v>
      </c>
      <c r="E3021" s="2" t="s">
        <v>29</v>
      </c>
      <c r="F3021" s="2">
        <v>30</v>
      </c>
      <c r="G3021" s="2" t="s">
        <v>7382</v>
      </c>
      <c r="H3021" s="2" t="s">
        <v>7383</v>
      </c>
      <c r="I3021" s="2" t="s">
        <v>110</v>
      </c>
      <c r="J3021" s="3">
        <v>44352</v>
      </c>
      <c r="K3021" s="2">
        <v>29</v>
      </c>
      <c r="L3021" s="2" t="s">
        <v>45</v>
      </c>
      <c r="M3021" s="3"/>
    </row>
    <row r="3022" spans="1:13" x14ac:dyDescent="0.3">
      <c r="A3022" s="2">
        <v>3021</v>
      </c>
      <c r="B3022" s="2" t="s">
        <v>7384</v>
      </c>
      <c r="C3022" s="2" t="s">
        <v>6360</v>
      </c>
      <c r="D3022" s="2" t="s">
        <v>15</v>
      </c>
      <c r="E3022" s="2" t="s">
        <v>16</v>
      </c>
      <c r="F3022" s="2">
        <v>60</v>
      </c>
      <c r="G3022" s="2" t="s">
        <v>7385</v>
      </c>
      <c r="H3022" s="2" t="s">
        <v>5158</v>
      </c>
      <c r="I3022" s="2" t="s">
        <v>5159</v>
      </c>
      <c r="J3022" s="3">
        <v>44127</v>
      </c>
      <c r="K3022" s="2">
        <v>62</v>
      </c>
      <c r="L3022" s="2" t="s">
        <v>70</v>
      </c>
      <c r="M3022" s="3"/>
    </row>
    <row r="3023" spans="1:13" x14ac:dyDescent="0.3">
      <c r="A3023" s="2">
        <v>3022</v>
      </c>
      <c r="B3023" s="2" t="s">
        <v>160</v>
      </c>
      <c r="C3023" s="2" t="s">
        <v>4803</v>
      </c>
      <c r="D3023" s="2" t="s">
        <v>28</v>
      </c>
      <c r="E3023" s="2" t="s">
        <v>29</v>
      </c>
      <c r="F3023" s="2">
        <v>90</v>
      </c>
      <c r="G3023" s="2" t="s">
        <v>7386</v>
      </c>
      <c r="H3023" s="2" t="s">
        <v>877</v>
      </c>
      <c r="I3023" s="2" t="s">
        <v>32</v>
      </c>
      <c r="J3023" s="3">
        <v>43876</v>
      </c>
      <c r="K3023" s="2">
        <v>39</v>
      </c>
      <c r="L3023" s="2" t="s">
        <v>80</v>
      </c>
      <c r="M3023" s="3"/>
    </row>
    <row r="3024" spans="1:13" x14ac:dyDescent="0.3">
      <c r="A3024" s="2">
        <v>3023</v>
      </c>
      <c r="B3024" s="2" t="s">
        <v>7106</v>
      </c>
      <c r="C3024" s="2" t="s">
        <v>7187</v>
      </c>
      <c r="D3024" s="2" t="s">
        <v>51</v>
      </c>
      <c r="E3024" s="2" t="s">
        <v>16</v>
      </c>
      <c r="F3024" s="2">
        <v>60</v>
      </c>
      <c r="G3024" s="2" t="s">
        <v>7387</v>
      </c>
      <c r="H3024" s="2" t="s">
        <v>938</v>
      </c>
      <c r="I3024" s="2" t="s">
        <v>25</v>
      </c>
      <c r="J3024" s="3">
        <v>43911</v>
      </c>
      <c r="K3024" s="2">
        <v>74</v>
      </c>
      <c r="L3024" s="2" t="s">
        <v>159</v>
      </c>
      <c r="M3024" s="3"/>
    </row>
    <row r="3025" spans="1:13" x14ac:dyDescent="0.3">
      <c r="A3025" s="2">
        <v>3024</v>
      </c>
      <c r="B3025" s="2" t="s">
        <v>550</v>
      </c>
      <c r="C3025" s="2" t="s">
        <v>6661</v>
      </c>
      <c r="D3025" s="2" t="s">
        <v>51</v>
      </c>
      <c r="E3025" s="2" t="s">
        <v>16</v>
      </c>
      <c r="F3025" s="2">
        <v>60</v>
      </c>
      <c r="G3025" s="2" t="s">
        <v>7388</v>
      </c>
      <c r="H3025" s="2" t="s">
        <v>3122</v>
      </c>
      <c r="I3025" s="2" t="s">
        <v>1035</v>
      </c>
      <c r="J3025" s="3">
        <v>43988</v>
      </c>
      <c r="K3025" s="2">
        <v>26</v>
      </c>
      <c r="L3025" s="2" t="s">
        <v>45</v>
      </c>
      <c r="M3025" s="3"/>
    </row>
    <row r="3026" spans="1:13" x14ac:dyDescent="0.3">
      <c r="A3026" s="2">
        <v>3025</v>
      </c>
      <c r="B3026" s="2" t="s">
        <v>7389</v>
      </c>
      <c r="C3026" s="2" t="s">
        <v>6298</v>
      </c>
      <c r="D3026" s="2" t="s">
        <v>15</v>
      </c>
      <c r="E3026" s="2" t="s">
        <v>16</v>
      </c>
      <c r="F3026" s="2">
        <v>90</v>
      </c>
      <c r="G3026" s="2" t="s">
        <v>7388</v>
      </c>
      <c r="H3026" s="2" t="s">
        <v>694</v>
      </c>
      <c r="I3026" s="2" t="s">
        <v>32</v>
      </c>
      <c r="J3026" s="3">
        <v>44527</v>
      </c>
      <c r="K3026" s="2">
        <v>56</v>
      </c>
      <c r="L3026" s="2" t="s">
        <v>64</v>
      </c>
      <c r="M3026" s="3"/>
    </row>
    <row r="3027" spans="1:13" x14ac:dyDescent="0.3">
      <c r="A3027" s="2">
        <v>3026</v>
      </c>
      <c r="B3027" s="2" t="s">
        <v>7390</v>
      </c>
      <c r="C3027" s="2" t="s">
        <v>7391</v>
      </c>
      <c r="D3027" s="2" t="s">
        <v>15</v>
      </c>
      <c r="E3027" s="2" t="s">
        <v>16</v>
      </c>
      <c r="F3027" s="2">
        <v>30</v>
      </c>
      <c r="G3027" s="2" t="s">
        <v>7392</v>
      </c>
      <c r="H3027" s="2" t="s">
        <v>5934</v>
      </c>
      <c r="I3027" s="2" t="s">
        <v>173</v>
      </c>
      <c r="J3027" s="3">
        <v>44766</v>
      </c>
      <c r="K3027" s="2">
        <v>103</v>
      </c>
      <c r="L3027" s="2" t="s">
        <v>159</v>
      </c>
      <c r="M3027" s="3"/>
    </row>
    <row r="3028" spans="1:13" x14ac:dyDescent="0.3">
      <c r="A3028" s="2">
        <v>3027</v>
      </c>
      <c r="B3028" s="2" t="s">
        <v>6906</v>
      </c>
      <c r="C3028" s="2" t="s">
        <v>2167</v>
      </c>
      <c r="D3028" s="2" t="s">
        <v>28</v>
      </c>
      <c r="E3028" s="2" t="s">
        <v>29</v>
      </c>
      <c r="F3028" s="2">
        <v>90</v>
      </c>
      <c r="G3028" s="2" t="s">
        <v>7393</v>
      </c>
      <c r="H3028" s="2" t="s">
        <v>1168</v>
      </c>
      <c r="I3028" s="2" t="s">
        <v>32</v>
      </c>
      <c r="J3028" s="3">
        <v>44305</v>
      </c>
      <c r="K3028" s="2">
        <v>43</v>
      </c>
      <c r="L3028" s="2" t="s">
        <v>80</v>
      </c>
      <c r="M3028" s="3"/>
    </row>
    <row r="3029" spans="1:13" x14ac:dyDescent="0.3">
      <c r="A3029" s="2">
        <v>3028</v>
      </c>
      <c r="B3029" s="2" t="s">
        <v>7394</v>
      </c>
      <c r="C3029" s="2" t="s">
        <v>2051</v>
      </c>
      <c r="D3029" s="2" t="s">
        <v>28</v>
      </c>
      <c r="E3029" s="2" t="s">
        <v>29</v>
      </c>
      <c r="F3029" s="2">
        <v>60</v>
      </c>
      <c r="G3029" s="2" t="s">
        <v>7395</v>
      </c>
      <c r="H3029" s="2" t="s">
        <v>1761</v>
      </c>
      <c r="I3029" s="2" t="s">
        <v>38</v>
      </c>
      <c r="J3029" s="3">
        <v>43962</v>
      </c>
      <c r="K3029" s="2">
        <v>10</v>
      </c>
      <c r="L3029" s="2" t="s">
        <v>45</v>
      </c>
      <c r="M3029" s="3"/>
    </row>
    <row r="3030" spans="1:13" x14ac:dyDescent="0.3">
      <c r="A3030" s="2">
        <v>3029</v>
      </c>
      <c r="B3030" s="2" t="s">
        <v>2973</v>
      </c>
      <c r="C3030" s="2" t="s">
        <v>4026</v>
      </c>
      <c r="D3030" s="2" t="s">
        <v>51</v>
      </c>
      <c r="E3030" s="2" t="s">
        <v>16</v>
      </c>
      <c r="F3030" s="2">
        <v>30</v>
      </c>
      <c r="G3030" s="2" t="s">
        <v>7396</v>
      </c>
      <c r="H3030" s="2" t="s">
        <v>182</v>
      </c>
      <c r="I3030" s="2" t="s">
        <v>32</v>
      </c>
      <c r="J3030" s="3">
        <v>44425</v>
      </c>
      <c r="K3030" s="2">
        <v>44</v>
      </c>
      <c r="L3030" s="2" t="s">
        <v>39</v>
      </c>
      <c r="M3030" s="3"/>
    </row>
    <row r="3031" spans="1:13" x14ac:dyDescent="0.3">
      <c r="A3031" s="2">
        <v>3030</v>
      </c>
      <c r="B3031" s="2" t="s">
        <v>800</v>
      </c>
      <c r="C3031" s="2" t="s">
        <v>1898</v>
      </c>
      <c r="D3031" s="2" t="s">
        <v>28</v>
      </c>
      <c r="E3031" s="2" t="s">
        <v>29</v>
      </c>
      <c r="F3031" s="2">
        <v>60</v>
      </c>
      <c r="G3031" s="2" t="s">
        <v>7397</v>
      </c>
      <c r="H3031" s="2" t="s">
        <v>5473</v>
      </c>
      <c r="I3031" s="2" t="s">
        <v>240</v>
      </c>
      <c r="J3031" s="3">
        <v>44671</v>
      </c>
      <c r="K3031" s="2">
        <v>9</v>
      </c>
      <c r="L3031" s="2" t="s">
        <v>39</v>
      </c>
      <c r="M3031" s="3"/>
    </row>
    <row r="3032" spans="1:13" x14ac:dyDescent="0.3">
      <c r="A3032" s="2">
        <v>3031</v>
      </c>
      <c r="B3032" s="2" t="s">
        <v>2837</v>
      </c>
      <c r="C3032" s="2" t="s">
        <v>7398</v>
      </c>
      <c r="D3032" s="2" t="s">
        <v>28</v>
      </c>
      <c r="E3032" s="2" t="s">
        <v>29</v>
      </c>
      <c r="F3032" s="2">
        <v>30</v>
      </c>
      <c r="G3032" s="2" t="s">
        <v>7399</v>
      </c>
      <c r="H3032" s="2" t="s">
        <v>7400</v>
      </c>
      <c r="I3032" s="2" t="s">
        <v>178</v>
      </c>
      <c r="J3032" s="3">
        <v>44375</v>
      </c>
      <c r="K3032" s="2">
        <v>64</v>
      </c>
      <c r="L3032" s="2" t="s">
        <v>80</v>
      </c>
      <c r="M3032" s="3"/>
    </row>
    <row r="3033" spans="1:13" x14ac:dyDescent="0.3">
      <c r="A3033" s="2">
        <v>3032</v>
      </c>
      <c r="B3033" s="2" t="s">
        <v>5567</v>
      </c>
      <c r="C3033" s="2" t="s">
        <v>800</v>
      </c>
      <c r="D3033" s="2" t="s">
        <v>28</v>
      </c>
      <c r="E3033" s="2" t="s">
        <v>29</v>
      </c>
      <c r="F3033" s="2">
        <v>30</v>
      </c>
      <c r="G3033" s="2" t="s">
        <v>7401</v>
      </c>
      <c r="H3033" s="2" t="s">
        <v>1005</v>
      </c>
      <c r="I3033" s="2" t="s">
        <v>178</v>
      </c>
      <c r="J3033" s="3">
        <v>44787</v>
      </c>
      <c r="K3033" s="2">
        <v>92</v>
      </c>
      <c r="L3033" s="2" t="s">
        <v>33</v>
      </c>
      <c r="M3033" s="3"/>
    </row>
    <row r="3034" spans="1:13" x14ac:dyDescent="0.3">
      <c r="A3034" s="2">
        <v>3033</v>
      </c>
      <c r="B3034" s="2" t="s">
        <v>935</v>
      </c>
      <c r="C3034" s="2" t="s">
        <v>1424</v>
      </c>
      <c r="D3034" s="2" t="s">
        <v>28</v>
      </c>
      <c r="E3034" s="2" t="s">
        <v>29</v>
      </c>
      <c r="F3034" s="2">
        <v>90</v>
      </c>
      <c r="G3034" s="2" t="s">
        <v>7402</v>
      </c>
      <c r="H3034" s="2" t="s">
        <v>3324</v>
      </c>
      <c r="I3034" s="2" t="s">
        <v>32</v>
      </c>
      <c r="J3034" s="3">
        <v>43969</v>
      </c>
      <c r="K3034" s="2">
        <v>62</v>
      </c>
      <c r="L3034" s="2" t="s">
        <v>45</v>
      </c>
      <c r="M3034" s="3"/>
    </row>
    <row r="3035" spans="1:13" x14ac:dyDescent="0.3">
      <c r="A3035" s="2">
        <v>3034</v>
      </c>
      <c r="B3035" s="2" t="s">
        <v>26</v>
      </c>
      <c r="C3035" s="2" t="s">
        <v>7403</v>
      </c>
      <c r="D3035" s="2" t="s">
        <v>28</v>
      </c>
      <c r="E3035" s="2" t="s">
        <v>29</v>
      </c>
      <c r="F3035" s="2">
        <v>60</v>
      </c>
      <c r="G3035" s="2" t="s">
        <v>7404</v>
      </c>
      <c r="H3035" s="2" t="s">
        <v>4874</v>
      </c>
      <c r="I3035" s="2" t="s">
        <v>32</v>
      </c>
      <c r="J3035" s="3">
        <v>44351</v>
      </c>
      <c r="K3035" s="2">
        <v>81</v>
      </c>
      <c r="L3035" s="2" t="s">
        <v>80</v>
      </c>
      <c r="M3035" s="3"/>
    </row>
    <row r="3036" spans="1:13" x14ac:dyDescent="0.3">
      <c r="A3036" s="2">
        <v>3035</v>
      </c>
      <c r="B3036" s="2" t="s">
        <v>7405</v>
      </c>
      <c r="C3036" s="2" t="s">
        <v>7292</v>
      </c>
      <c r="D3036" s="2" t="s">
        <v>15</v>
      </c>
      <c r="E3036" s="2" t="s">
        <v>16</v>
      </c>
      <c r="F3036" s="2">
        <v>60</v>
      </c>
      <c r="G3036" s="2" t="s">
        <v>7406</v>
      </c>
      <c r="H3036" s="2" t="s">
        <v>4958</v>
      </c>
      <c r="I3036" s="2" t="s">
        <v>95</v>
      </c>
      <c r="J3036" s="3">
        <v>44861</v>
      </c>
      <c r="K3036" s="2">
        <v>41</v>
      </c>
      <c r="L3036" s="2" t="s">
        <v>101</v>
      </c>
      <c r="M3036" s="3"/>
    </row>
    <row r="3037" spans="1:13" x14ac:dyDescent="0.3">
      <c r="A3037" s="2">
        <v>3036</v>
      </c>
      <c r="B3037" s="2" t="s">
        <v>357</v>
      </c>
      <c r="C3037" s="2" t="s">
        <v>1573</v>
      </c>
      <c r="D3037" s="2" t="s">
        <v>15</v>
      </c>
      <c r="E3037" s="2" t="s">
        <v>16</v>
      </c>
      <c r="F3037" s="2">
        <v>30</v>
      </c>
      <c r="G3037" s="2" t="s">
        <v>7407</v>
      </c>
      <c r="H3037" s="2" t="s">
        <v>2354</v>
      </c>
      <c r="I3037" s="2" t="s">
        <v>178</v>
      </c>
      <c r="J3037" s="3">
        <v>44541</v>
      </c>
      <c r="K3037" s="2">
        <v>85</v>
      </c>
      <c r="L3037" s="2" t="s">
        <v>70</v>
      </c>
      <c r="M3037" s="3"/>
    </row>
    <row r="3038" spans="1:13" x14ac:dyDescent="0.3">
      <c r="A3038" s="2">
        <v>3037</v>
      </c>
      <c r="B3038" s="2" t="s">
        <v>1805</v>
      </c>
      <c r="C3038" s="2" t="s">
        <v>4237</v>
      </c>
      <c r="D3038" s="2" t="s">
        <v>28</v>
      </c>
      <c r="E3038" s="2" t="s">
        <v>29</v>
      </c>
      <c r="F3038" s="2">
        <v>60</v>
      </c>
      <c r="G3038" s="2" t="s">
        <v>7408</v>
      </c>
      <c r="H3038" s="2" t="s">
        <v>186</v>
      </c>
      <c r="I3038" s="2" t="s">
        <v>187</v>
      </c>
      <c r="J3038" s="3">
        <v>43853</v>
      </c>
      <c r="K3038" s="2">
        <v>82</v>
      </c>
      <c r="L3038" s="2" t="s">
        <v>45</v>
      </c>
      <c r="M3038" s="3"/>
    </row>
    <row r="3039" spans="1:13" x14ac:dyDescent="0.3">
      <c r="A3039" s="2">
        <v>3038</v>
      </c>
      <c r="B3039" s="2" t="s">
        <v>7409</v>
      </c>
      <c r="C3039" s="2" t="s">
        <v>3706</v>
      </c>
      <c r="D3039" s="2" t="s">
        <v>51</v>
      </c>
      <c r="E3039" s="2" t="s">
        <v>16</v>
      </c>
      <c r="F3039" s="2">
        <v>60</v>
      </c>
      <c r="G3039" s="2" t="s">
        <v>7410</v>
      </c>
      <c r="H3039" s="2" t="s">
        <v>1177</v>
      </c>
      <c r="I3039" s="2" t="s">
        <v>32</v>
      </c>
      <c r="J3039" s="3">
        <v>44252</v>
      </c>
      <c r="K3039" s="2">
        <v>91</v>
      </c>
      <c r="L3039" s="2" t="s">
        <v>20</v>
      </c>
      <c r="M3039" s="3"/>
    </row>
    <row r="3040" spans="1:13" x14ac:dyDescent="0.3">
      <c r="A3040" s="2">
        <v>3039</v>
      </c>
      <c r="B3040" s="2" t="s">
        <v>7411</v>
      </c>
      <c r="C3040" s="2" t="s">
        <v>7412</v>
      </c>
      <c r="D3040" s="2" t="s">
        <v>15</v>
      </c>
      <c r="E3040" s="2" t="s">
        <v>16</v>
      </c>
      <c r="F3040" s="2">
        <v>90</v>
      </c>
      <c r="G3040" s="2" t="s">
        <v>7413</v>
      </c>
      <c r="H3040" s="2" t="s">
        <v>334</v>
      </c>
      <c r="I3040" s="2" t="s">
        <v>124</v>
      </c>
      <c r="J3040" s="3">
        <v>44915</v>
      </c>
      <c r="K3040" s="2">
        <v>59</v>
      </c>
      <c r="L3040" s="2" t="s">
        <v>64</v>
      </c>
      <c r="M3040" s="3"/>
    </row>
    <row r="3041" spans="1:13" x14ac:dyDescent="0.3">
      <c r="A3041" s="2">
        <v>3040</v>
      </c>
      <c r="B3041" s="2" t="s">
        <v>3967</v>
      </c>
      <c r="C3041" s="2" t="s">
        <v>6574</v>
      </c>
      <c r="D3041" s="2" t="s">
        <v>28</v>
      </c>
      <c r="E3041" s="2" t="s">
        <v>29</v>
      </c>
      <c r="F3041" s="2">
        <v>60</v>
      </c>
      <c r="G3041" s="2" t="s">
        <v>7414</v>
      </c>
      <c r="H3041" s="2" t="s">
        <v>6775</v>
      </c>
      <c r="I3041" s="2" t="s">
        <v>25</v>
      </c>
      <c r="J3041" s="3">
        <v>44482</v>
      </c>
      <c r="K3041" s="2">
        <v>15</v>
      </c>
      <c r="L3041" s="2" t="s">
        <v>54</v>
      </c>
      <c r="M3041" s="3"/>
    </row>
    <row r="3042" spans="1:13" x14ac:dyDescent="0.3">
      <c r="A3042" s="2">
        <v>3041</v>
      </c>
      <c r="B3042" s="2" t="s">
        <v>7415</v>
      </c>
      <c r="C3042" s="2" t="s">
        <v>7416</v>
      </c>
      <c r="D3042" s="2" t="s">
        <v>15</v>
      </c>
      <c r="E3042" s="2" t="s">
        <v>16</v>
      </c>
      <c r="F3042" s="2">
        <v>60</v>
      </c>
      <c r="G3042" s="2" t="s">
        <v>7417</v>
      </c>
      <c r="H3042" s="2" t="s">
        <v>436</v>
      </c>
      <c r="I3042" s="2" t="s">
        <v>32</v>
      </c>
      <c r="J3042" s="3">
        <v>44119</v>
      </c>
      <c r="K3042" s="2">
        <v>45</v>
      </c>
      <c r="L3042" s="2" t="s">
        <v>70</v>
      </c>
      <c r="M3042" s="3"/>
    </row>
    <row r="3043" spans="1:13" x14ac:dyDescent="0.3">
      <c r="A3043" s="2">
        <v>3042</v>
      </c>
      <c r="B3043" s="2" t="s">
        <v>7418</v>
      </c>
      <c r="C3043" s="2" t="s">
        <v>5021</v>
      </c>
      <c r="D3043" s="2" t="s">
        <v>28</v>
      </c>
      <c r="E3043" s="2" t="s">
        <v>29</v>
      </c>
      <c r="F3043" s="2">
        <v>30</v>
      </c>
      <c r="G3043" s="2" t="s">
        <v>7419</v>
      </c>
      <c r="H3043" s="2" t="s">
        <v>908</v>
      </c>
      <c r="I3043" s="2" t="s">
        <v>575</v>
      </c>
      <c r="J3043" s="3">
        <v>44607</v>
      </c>
      <c r="K3043" s="2">
        <v>3</v>
      </c>
      <c r="L3043" s="2" t="s">
        <v>70</v>
      </c>
      <c r="M3043" s="3"/>
    </row>
    <row r="3044" spans="1:13" x14ac:dyDescent="0.3">
      <c r="A3044" s="2">
        <v>3043</v>
      </c>
      <c r="B3044" s="2" t="s">
        <v>7420</v>
      </c>
      <c r="C3044" s="2" t="s">
        <v>2900</v>
      </c>
      <c r="D3044" s="2" t="s">
        <v>51</v>
      </c>
      <c r="E3044" s="2" t="s">
        <v>16</v>
      </c>
      <c r="F3044" s="2">
        <v>30</v>
      </c>
      <c r="G3044" s="2" t="s">
        <v>7421</v>
      </c>
      <c r="H3044" s="2" t="s">
        <v>6033</v>
      </c>
      <c r="I3044" s="2" t="s">
        <v>32</v>
      </c>
      <c r="J3044" s="3">
        <v>44177</v>
      </c>
      <c r="K3044" s="2">
        <v>5</v>
      </c>
      <c r="L3044" s="2" t="s">
        <v>54</v>
      </c>
      <c r="M3044" s="3"/>
    </row>
    <row r="3045" spans="1:13" x14ac:dyDescent="0.3">
      <c r="A3045" s="2">
        <v>3044</v>
      </c>
      <c r="B3045" s="2" t="s">
        <v>7422</v>
      </c>
      <c r="C3045" s="2" t="s">
        <v>7423</v>
      </c>
      <c r="D3045" s="2" t="s">
        <v>28</v>
      </c>
      <c r="E3045" s="2" t="s">
        <v>29</v>
      </c>
      <c r="F3045" s="2">
        <v>90</v>
      </c>
      <c r="G3045" s="2" t="s">
        <v>7424</v>
      </c>
      <c r="H3045" s="2" t="s">
        <v>3206</v>
      </c>
      <c r="I3045" s="2" t="s">
        <v>1199</v>
      </c>
      <c r="J3045" s="3">
        <v>44810</v>
      </c>
      <c r="K3045" s="2">
        <v>67</v>
      </c>
      <c r="L3045" s="2" t="s">
        <v>45</v>
      </c>
      <c r="M3045" s="3"/>
    </row>
    <row r="3046" spans="1:13" x14ac:dyDescent="0.3">
      <c r="A3046" s="2">
        <v>3045</v>
      </c>
      <c r="B3046" s="2" t="s">
        <v>7425</v>
      </c>
      <c r="C3046" s="2" t="s">
        <v>188</v>
      </c>
      <c r="D3046" s="2" t="s">
        <v>28</v>
      </c>
      <c r="E3046" s="2" t="s">
        <v>29</v>
      </c>
      <c r="F3046" s="2">
        <v>90</v>
      </c>
      <c r="G3046" s="2" t="s">
        <v>7426</v>
      </c>
      <c r="H3046" s="2" t="s">
        <v>186</v>
      </c>
      <c r="I3046" s="2" t="s">
        <v>187</v>
      </c>
      <c r="J3046" s="3">
        <v>44655</v>
      </c>
      <c r="K3046" s="2">
        <v>36</v>
      </c>
      <c r="L3046" s="2" t="s">
        <v>45</v>
      </c>
      <c r="M3046" s="3"/>
    </row>
    <row r="3047" spans="1:13" x14ac:dyDescent="0.3">
      <c r="A3047" s="2">
        <v>3046</v>
      </c>
      <c r="B3047" s="2" t="s">
        <v>7427</v>
      </c>
      <c r="C3047" s="2" t="s">
        <v>6708</v>
      </c>
      <c r="D3047" s="2" t="s">
        <v>51</v>
      </c>
      <c r="E3047" s="2" t="s">
        <v>16</v>
      </c>
      <c r="F3047" s="2">
        <v>90</v>
      </c>
      <c r="G3047" s="2" t="s">
        <v>7428</v>
      </c>
      <c r="H3047" s="2" t="s">
        <v>3651</v>
      </c>
      <c r="I3047" s="2" t="s">
        <v>294</v>
      </c>
      <c r="J3047" s="3">
        <v>44892</v>
      </c>
      <c r="K3047" s="2">
        <v>7</v>
      </c>
      <c r="L3047" s="2" t="s">
        <v>70</v>
      </c>
      <c r="M3047" s="3"/>
    </row>
    <row r="3048" spans="1:13" x14ac:dyDescent="0.3">
      <c r="A3048" s="2">
        <v>3047</v>
      </c>
      <c r="B3048" s="2" t="s">
        <v>7429</v>
      </c>
      <c r="C3048" s="2" t="s">
        <v>2640</v>
      </c>
      <c r="D3048" s="2" t="s">
        <v>51</v>
      </c>
      <c r="E3048" s="2" t="s">
        <v>16</v>
      </c>
      <c r="F3048" s="2">
        <v>90</v>
      </c>
      <c r="G3048" s="2" t="s">
        <v>7430</v>
      </c>
      <c r="H3048" s="2" t="s">
        <v>7431</v>
      </c>
      <c r="I3048" s="2" t="s">
        <v>32</v>
      </c>
      <c r="J3048" s="3">
        <v>44065</v>
      </c>
      <c r="K3048" s="2">
        <v>44</v>
      </c>
      <c r="L3048" s="2" t="s">
        <v>54</v>
      </c>
      <c r="M3048" s="3"/>
    </row>
    <row r="3049" spans="1:13" x14ac:dyDescent="0.3">
      <c r="A3049" s="2">
        <v>3048</v>
      </c>
      <c r="B3049" s="2" t="s">
        <v>7432</v>
      </c>
      <c r="C3049" s="2" t="s">
        <v>7433</v>
      </c>
      <c r="D3049" s="2" t="s">
        <v>51</v>
      </c>
      <c r="E3049" s="2" t="s">
        <v>16</v>
      </c>
      <c r="F3049" s="2">
        <v>60</v>
      </c>
      <c r="G3049" s="2" t="s">
        <v>7434</v>
      </c>
      <c r="H3049" s="2" t="s">
        <v>1505</v>
      </c>
      <c r="I3049" s="2" t="s">
        <v>32</v>
      </c>
      <c r="J3049" s="3">
        <v>44567</v>
      </c>
      <c r="K3049" s="2">
        <v>23</v>
      </c>
      <c r="L3049" s="2" t="s">
        <v>20</v>
      </c>
      <c r="M3049" s="3"/>
    </row>
    <row r="3050" spans="1:13" x14ac:dyDescent="0.3">
      <c r="A3050" s="2">
        <v>3049</v>
      </c>
      <c r="B3050" s="2" t="s">
        <v>550</v>
      </c>
      <c r="C3050" s="2" t="s">
        <v>7435</v>
      </c>
      <c r="D3050" s="2" t="s">
        <v>15</v>
      </c>
      <c r="E3050" s="2" t="s">
        <v>16</v>
      </c>
      <c r="F3050" s="2">
        <v>30</v>
      </c>
      <c r="G3050" s="2" t="s">
        <v>7436</v>
      </c>
      <c r="H3050" s="2" t="s">
        <v>5957</v>
      </c>
      <c r="I3050" s="2" t="s">
        <v>187</v>
      </c>
      <c r="J3050" s="3">
        <v>44660</v>
      </c>
      <c r="K3050" s="2">
        <v>28</v>
      </c>
      <c r="L3050" s="2" t="s">
        <v>20</v>
      </c>
      <c r="M3050" s="3"/>
    </row>
    <row r="3051" spans="1:13" x14ac:dyDescent="0.3">
      <c r="A3051" s="2">
        <v>3050</v>
      </c>
      <c r="B3051" s="2" t="s">
        <v>550</v>
      </c>
      <c r="C3051" s="2" t="s">
        <v>7435</v>
      </c>
      <c r="D3051" s="2" t="s">
        <v>15</v>
      </c>
      <c r="E3051" s="2" t="s">
        <v>16</v>
      </c>
      <c r="F3051" s="2">
        <v>30</v>
      </c>
      <c r="G3051" s="2" t="s">
        <v>7436</v>
      </c>
      <c r="H3051" s="2" t="s">
        <v>5957</v>
      </c>
      <c r="I3051" s="2" t="s">
        <v>187</v>
      </c>
      <c r="J3051" s="3">
        <v>44660</v>
      </c>
      <c r="K3051" s="2">
        <v>28</v>
      </c>
      <c r="L3051" s="2" t="s">
        <v>20</v>
      </c>
      <c r="M3051" s="3"/>
    </row>
    <row r="3052" spans="1:13" x14ac:dyDescent="0.3">
      <c r="A3052" s="2">
        <v>3051</v>
      </c>
      <c r="B3052" s="2" t="s">
        <v>7437</v>
      </c>
      <c r="C3052" s="2" t="s">
        <v>3009</v>
      </c>
      <c r="D3052" s="2" t="s">
        <v>28</v>
      </c>
      <c r="E3052" s="2" t="s">
        <v>29</v>
      </c>
      <c r="F3052" s="2">
        <v>60</v>
      </c>
      <c r="G3052" s="2" t="s">
        <v>7438</v>
      </c>
      <c r="H3052" s="2" t="s">
        <v>1228</v>
      </c>
      <c r="I3052" s="2" t="s">
        <v>25</v>
      </c>
      <c r="J3052" s="3">
        <v>44709</v>
      </c>
      <c r="K3052" s="2">
        <v>47</v>
      </c>
      <c r="L3052" s="2" t="s">
        <v>54</v>
      </c>
      <c r="M3052" s="3"/>
    </row>
    <row r="3053" spans="1:13" x14ac:dyDescent="0.3">
      <c r="A3053" s="2">
        <v>3052</v>
      </c>
      <c r="B3053" s="2" t="s">
        <v>6446</v>
      </c>
      <c r="C3053" s="2" t="s">
        <v>7439</v>
      </c>
      <c r="D3053" s="2" t="s">
        <v>51</v>
      </c>
      <c r="E3053" s="2" t="s">
        <v>16</v>
      </c>
      <c r="F3053" s="2">
        <v>60</v>
      </c>
      <c r="G3053" s="2" t="s">
        <v>7440</v>
      </c>
      <c r="H3053" s="2" t="s">
        <v>7441</v>
      </c>
      <c r="I3053" s="2" t="s">
        <v>32</v>
      </c>
      <c r="J3053" s="3">
        <v>44656</v>
      </c>
      <c r="K3053" s="2">
        <v>38</v>
      </c>
      <c r="L3053" s="2" t="s">
        <v>64</v>
      </c>
      <c r="M3053" s="3"/>
    </row>
    <row r="3054" spans="1:13" x14ac:dyDescent="0.3">
      <c r="A3054" s="2">
        <v>3053</v>
      </c>
      <c r="B3054" s="2" t="s">
        <v>7442</v>
      </c>
      <c r="C3054" s="2" t="s">
        <v>7443</v>
      </c>
      <c r="D3054" s="2" t="s">
        <v>28</v>
      </c>
      <c r="E3054" s="2" t="s">
        <v>29</v>
      </c>
      <c r="F3054" s="2">
        <v>30</v>
      </c>
      <c r="G3054" s="2" t="s">
        <v>7444</v>
      </c>
      <c r="H3054" s="2" t="s">
        <v>2990</v>
      </c>
      <c r="I3054" s="2" t="s">
        <v>38</v>
      </c>
      <c r="J3054" s="3">
        <v>44214</v>
      </c>
      <c r="K3054" s="2">
        <v>35</v>
      </c>
      <c r="L3054" s="2" t="s">
        <v>101</v>
      </c>
      <c r="M3054" s="3"/>
    </row>
    <row r="3055" spans="1:13" x14ac:dyDescent="0.3">
      <c r="A3055" s="2">
        <v>3054</v>
      </c>
      <c r="B3055" s="2" t="s">
        <v>7445</v>
      </c>
      <c r="C3055" s="2" t="s">
        <v>791</v>
      </c>
      <c r="D3055" s="2" t="s">
        <v>41</v>
      </c>
      <c r="E3055" s="2" t="s">
        <v>16</v>
      </c>
      <c r="F3055" s="2">
        <v>30</v>
      </c>
      <c r="G3055" s="2" t="s">
        <v>7446</v>
      </c>
      <c r="H3055" s="2" t="s">
        <v>4567</v>
      </c>
      <c r="I3055" s="2" t="s">
        <v>38</v>
      </c>
      <c r="J3055" s="3">
        <v>44301</v>
      </c>
      <c r="K3055" s="2">
        <v>48</v>
      </c>
      <c r="L3055" s="2" t="s">
        <v>20</v>
      </c>
      <c r="M3055" s="3"/>
    </row>
    <row r="3056" spans="1:13" x14ac:dyDescent="0.3">
      <c r="A3056" s="2">
        <v>3055</v>
      </c>
      <c r="B3056" s="2" t="s">
        <v>7197</v>
      </c>
      <c r="C3056" s="2" t="s">
        <v>5575</v>
      </c>
      <c r="D3056" s="2" t="s">
        <v>28</v>
      </c>
      <c r="E3056" s="2" t="s">
        <v>29</v>
      </c>
      <c r="F3056" s="2">
        <v>60</v>
      </c>
      <c r="G3056" s="2" t="s">
        <v>7447</v>
      </c>
      <c r="H3056" s="2" t="s">
        <v>6775</v>
      </c>
      <c r="I3056" s="2" t="s">
        <v>25</v>
      </c>
      <c r="J3056" s="3">
        <v>44039</v>
      </c>
      <c r="K3056" s="2">
        <v>60</v>
      </c>
      <c r="L3056" s="2" t="s">
        <v>54</v>
      </c>
      <c r="M3056" s="3"/>
    </row>
    <row r="3057" spans="1:13" x14ac:dyDescent="0.3">
      <c r="A3057" s="2">
        <v>3056</v>
      </c>
      <c r="B3057" s="2" t="s">
        <v>3013</v>
      </c>
      <c r="C3057" s="2" t="s">
        <v>7448</v>
      </c>
      <c r="D3057" s="2" t="s">
        <v>41</v>
      </c>
      <c r="E3057" s="2" t="s">
        <v>16</v>
      </c>
      <c r="F3057" s="2">
        <v>60</v>
      </c>
      <c r="G3057" s="2" t="s">
        <v>7449</v>
      </c>
      <c r="H3057" s="2" t="s">
        <v>6607</v>
      </c>
      <c r="I3057" s="2" t="s">
        <v>32</v>
      </c>
      <c r="J3057" s="3">
        <v>44196</v>
      </c>
      <c r="K3057" s="2">
        <v>85</v>
      </c>
      <c r="L3057" s="2" t="s">
        <v>54</v>
      </c>
      <c r="M3057" s="3"/>
    </row>
    <row r="3058" spans="1:13" x14ac:dyDescent="0.3">
      <c r="A3058" s="2">
        <v>3057</v>
      </c>
      <c r="B3058" s="2" t="s">
        <v>7450</v>
      </c>
      <c r="C3058" s="2" t="s">
        <v>4880</v>
      </c>
      <c r="D3058" s="2" t="s">
        <v>28</v>
      </c>
      <c r="E3058" s="2" t="s">
        <v>29</v>
      </c>
      <c r="F3058" s="2">
        <v>30</v>
      </c>
      <c r="G3058" s="2" t="s">
        <v>7451</v>
      </c>
      <c r="H3058" s="2" t="s">
        <v>2713</v>
      </c>
      <c r="I3058" s="2" t="s">
        <v>38</v>
      </c>
      <c r="J3058" s="3">
        <v>44676</v>
      </c>
      <c r="K3058" s="2">
        <v>30</v>
      </c>
      <c r="L3058" s="2" t="s">
        <v>101</v>
      </c>
      <c r="M3058" s="3"/>
    </row>
    <row r="3059" spans="1:13" x14ac:dyDescent="0.3">
      <c r="A3059" s="2">
        <v>3058</v>
      </c>
      <c r="B3059" s="2" t="s">
        <v>6088</v>
      </c>
      <c r="C3059" s="2" t="s">
        <v>2509</v>
      </c>
      <c r="D3059" s="2" t="s">
        <v>28</v>
      </c>
      <c r="E3059" s="2" t="s">
        <v>29</v>
      </c>
      <c r="F3059" s="2">
        <v>30</v>
      </c>
      <c r="G3059" s="2" t="s">
        <v>7451</v>
      </c>
      <c r="H3059" s="2" t="s">
        <v>2490</v>
      </c>
      <c r="I3059" s="2" t="s">
        <v>32</v>
      </c>
      <c r="J3059" s="3">
        <v>43994</v>
      </c>
      <c r="K3059" s="2">
        <v>71</v>
      </c>
      <c r="L3059" s="2" t="s">
        <v>64</v>
      </c>
      <c r="M3059" s="3"/>
    </row>
    <row r="3060" spans="1:13" x14ac:dyDescent="0.3">
      <c r="A3060" s="2">
        <v>3059</v>
      </c>
      <c r="B3060" s="2" t="s">
        <v>7452</v>
      </c>
      <c r="C3060" s="2" t="s">
        <v>3089</v>
      </c>
      <c r="D3060" s="2" t="s">
        <v>15</v>
      </c>
      <c r="E3060" s="2" t="s">
        <v>16</v>
      </c>
      <c r="F3060" s="2">
        <v>60</v>
      </c>
      <c r="G3060" s="2" t="s">
        <v>7453</v>
      </c>
      <c r="H3060" s="2" t="s">
        <v>685</v>
      </c>
      <c r="I3060" s="2" t="s">
        <v>686</v>
      </c>
      <c r="J3060" s="3">
        <v>44255</v>
      </c>
      <c r="K3060" s="2">
        <v>2</v>
      </c>
      <c r="L3060" s="2" t="s">
        <v>54</v>
      </c>
      <c r="M3060" s="3"/>
    </row>
    <row r="3061" spans="1:13" x14ac:dyDescent="0.3">
      <c r="A3061" s="2">
        <v>3060</v>
      </c>
      <c r="B3061" s="2" t="s">
        <v>1682</v>
      </c>
      <c r="C3061" s="2" t="s">
        <v>2789</v>
      </c>
      <c r="D3061" s="2" t="s">
        <v>28</v>
      </c>
      <c r="E3061" s="2" t="s">
        <v>29</v>
      </c>
      <c r="F3061" s="2">
        <v>60</v>
      </c>
      <c r="G3061" s="2" t="s">
        <v>7453</v>
      </c>
      <c r="H3061" s="2" t="s">
        <v>2577</v>
      </c>
      <c r="I3061" s="2" t="s">
        <v>645</v>
      </c>
      <c r="J3061" s="3">
        <v>44438</v>
      </c>
      <c r="K3061" s="2">
        <v>61</v>
      </c>
      <c r="L3061" s="2" t="s">
        <v>54</v>
      </c>
      <c r="M3061" s="3"/>
    </row>
    <row r="3062" spans="1:13" x14ac:dyDescent="0.3">
      <c r="A3062" s="2">
        <v>3061</v>
      </c>
      <c r="B3062" s="2" t="s">
        <v>7454</v>
      </c>
      <c r="C3062" s="2" t="s">
        <v>1703</v>
      </c>
      <c r="D3062" s="2" t="s">
        <v>15</v>
      </c>
      <c r="E3062" s="2" t="s">
        <v>16</v>
      </c>
      <c r="F3062" s="2">
        <v>90</v>
      </c>
      <c r="G3062" s="2" t="s">
        <v>7455</v>
      </c>
      <c r="H3062" s="2" t="s">
        <v>2720</v>
      </c>
      <c r="I3062" s="2" t="s">
        <v>32</v>
      </c>
      <c r="J3062" s="3">
        <v>43880</v>
      </c>
      <c r="K3062" s="2">
        <v>27</v>
      </c>
      <c r="L3062" s="2" t="s">
        <v>45</v>
      </c>
      <c r="M3062" s="3"/>
    </row>
    <row r="3063" spans="1:13" x14ac:dyDescent="0.3">
      <c r="A3063" s="2">
        <v>3062</v>
      </c>
      <c r="B3063" s="2" t="s">
        <v>7456</v>
      </c>
      <c r="C3063" s="2" t="s">
        <v>2054</v>
      </c>
      <c r="D3063" s="2" t="s">
        <v>28</v>
      </c>
      <c r="E3063" s="2" t="s">
        <v>29</v>
      </c>
      <c r="F3063" s="2">
        <v>30</v>
      </c>
      <c r="G3063" s="2" t="s">
        <v>7457</v>
      </c>
      <c r="H3063" s="2" t="s">
        <v>7458</v>
      </c>
      <c r="I3063" s="2" t="s">
        <v>124</v>
      </c>
      <c r="J3063" s="3">
        <v>44195</v>
      </c>
      <c r="K3063" s="2">
        <v>34</v>
      </c>
      <c r="L3063" s="2" t="s">
        <v>54</v>
      </c>
      <c r="M3063" s="3"/>
    </row>
    <row r="3064" spans="1:13" x14ac:dyDescent="0.3">
      <c r="A3064" s="2">
        <v>3063</v>
      </c>
      <c r="B3064" s="2" t="s">
        <v>102</v>
      </c>
      <c r="C3064" s="2" t="s">
        <v>2708</v>
      </c>
      <c r="D3064" s="2" t="s">
        <v>51</v>
      </c>
      <c r="E3064" s="2" t="s">
        <v>16</v>
      </c>
      <c r="F3064" s="2">
        <v>90</v>
      </c>
      <c r="G3064" s="2" t="s">
        <v>7459</v>
      </c>
      <c r="H3064" s="2" t="s">
        <v>1981</v>
      </c>
      <c r="I3064" s="2" t="s">
        <v>187</v>
      </c>
      <c r="J3064" s="3">
        <v>44245</v>
      </c>
      <c r="K3064" s="2">
        <v>53</v>
      </c>
      <c r="L3064" s="2" t="s">
        <v>45</v>
      </c>
      <c r="M3064" s="3"/>
    </row>
    <row r="3065" spans="1:13" x14ac:dyDescent="0.3">
      <c r="A3065" s="2">
        <v>3064</v>
      </c>
      <c r="B3065" s="2" t="s">
        <v>46</v>
      </c>
      <c r="C3065" s="2" t="s">
        <v>3120</v>
      </c>
      <c r="D3065" s="2" t="s">
        <v>28</v>
      </c>
      <c r="E3065" s="2" t="s">
        <v>29</v>
      </c>
      <c r="F3065" s="2">
        <v>60</v>
      </c>
      <c r="G3065" s="2" t="s">
        <v>7460</v>
      </c>
      <c r="H3065" s="2" t="s">
        <v>3730</v>
      </c>
      <c r="I3065" s="2" t="s">
        <v>32</v>
      </c>
      <c r="J3065" s="3">
        <v>44128</v>
      </c>
      <c r="K3065" s="2">
        <v>73</v>
      </c>
      <c r="L3065" s="2" t="s">
        <v>39</v>
      </c>
      <c r="M3065" s="3"/>
    </row>
    <row r="3066" spans="1:13" x14ac:dyDescent="0.3">
      <c r="A3066" s="2">
        <v>3065</v>
      </c>
      <c r="B3066" s="2" t="s">
        <v>4167</v>
      </c>
      <c r="C3066" s="2" t="s">
        <v>7461</v>
      </c>
      <c r="D3066" s="2" t="s">
        <v>28</v>
      </c>
      <c r="E3066" s="2" t="s">
        <v>29</v>
      </c>
      <c r="F3066" s="2">
        <v>60</v>
      </c>
      <c r="G3066" s="2" t="s">
        <v>7462</v>
      </c>
      <c r="H3066" s="2" t="s">
        <v>370</v>
      </c>
      <c r="I3066" s="2" t="s">
        <v>32</v>
      </c>
      <c r="J3066" s="3">
        <v>44748</v>
      </c>
      <c r="K3066" s="2">
        <v>85</v>
      </c>
      <c r="L3066" s="2" t="s">
        <v>80</v>
      </c>
      <c r="M3066" s="3"/>
    </row>
    <row r="3067" spans="1:13" x14ac:dyDescent="0.3">
      <c r="A3067" s="2">
        <v>3066</v>
      </c>
      <c r="B3067" s="2" t="s">
        <v>7463</v>
      </c>
      <c r="C3067" s="2" t="s">
        <v>1599</v>
      </c>
      <c r="D3067" s="2" t="s">
        <v>28</v>
      </c>
      <c r="E3067" s="2" t="s">
        <v>29</v>
      </c>
      <c r="F3067" s="2">
        <v>30</v>
      </c>
      <c r="G3067" s="2" t="s">
        <v>7464</v>
      </c>
      <c r="H3067" s="2" t="s">
        <v>3814</v>
      </c>
      <c r="I3067" s="2" t="s">
        <v>32</v>
      </c>
      <c r="J3067" s="3">
        <v>44423</v>
      </c>
      <c r="K3067" s="2">
        <v>44</v>
      </c>
      <c r="L3067" s="2" t="s">
        <v>64</v>
      </c>
      <c r="M3067" s="3"/>
    </row>
    <row r="3068" spans="1:13" x14ac:dyDescent="0.3">
      <c r="A3068" s="2">
        <v>3067</v>
      </c>
      <c r="B3068" s="2" t="s">
        <v>7465</v>
      </c>
      <c r="C3068" s="2" t="s">
        <v>5021</v>
      </c>
      <c r="D3068" s="2" t="s">
        <v>28</v>
      </c>
      <c r="E3068" s="2" t="s">
        <v>29</v>
      </c>
      <c r="F3068" s="2">
        <v>30</v>
      </c>
      <c r="G3068" s="2" t="s">
        <v>7466</v>
      </c>
      <c r="H3068" s="2" t="s">
        <v>7118</v>
      </c>
      <c r="I3068" s="2" t="s">
        <v>2022</v>
      </c>
      <c r="J3068" s="3">
        <v>44362</v>
      </c>
      <c r="K3068" s="2">
        <v>27</v>
      </c>
      <c r="L3068" s="2" t="s">
        <v>70</v>
      </c>
      <c r="M3068" s="3"/>
    </row>
    <row r="3069" spans="1:13" x14ac:dyDescent="0.3">
      <c r="A3069" s="2">
        <v>3068</v>
      </c>
      <c r="B3069" s="2" t="s">
        <v>1468</v>
      </c>
      <c r="C3069" s="2" t="s">
        <v>5671</v>
      </c>
      <c r="D3069" s="2" t="s">
        <v>28</v>
      </c>
      <c r="E3069" s="2" t="s">
        <v>29</v>
      </c>
      <c r="F3069" s="2">
        <v>60</v>
      </c>
      <c r="G3069" s="2" t="s">
        <v>7467</v>
      </c>
      <c r="H3069" s="2" t="s">
        <v>4996</v>
      </c>
      <c r="I3069" s="2" t="s">
        <v>32</v>
      </c>
      <c r="J3069" s="3">
        <v>44462</v>
      </c>
      <c r="K3069" s="2">
        <v>24</v>
      </c>
      <c r="L3069" s="2" t="s">
        <v>45</v>
      </c>
      <c r="M3069" s="3"/>
    </row>
    <row r="3070" spans="1:13" x14ac:dyDescent="0.3">
      <c r="A3070" s="2">
        <v>3069</v>
      </c>
      <c r="B3070" s="2" t="s">
        <v>7468</v>
      </c>
      <c r="C3070" s="2" t="s">
        <v>6040</v>
      </c>
      <c r="D3070" s="2" t="s">
        <v>15</v>
      </c>
      <c r="E3070" s="2" t="s">
        <v>282</v>
      </c>
      <c r="F3070" s="2">
        <v>90</v>
      </c>
      <c r="G3070" s="2" t="s">
        <v>7469</v>
      </c>
      <c r="H3070" s="2" t="s">
        <v>2045</v>
      </c>
      <c r="I3070" s="2" t="s">
        <v>38</v>
      </c>
      <c r="J3070" s="3">
        <v>44546</v>
      </c>
      <c r="K3070" s="2">
        <v>91</v>
      </c>
      <c r="L3070" s="2" t="s">
        <v>159</v>
      </c>
      <c r="M3070" s="3"/>
    </row>
    <row r="3071" spans="1:13" x14ac:dyDescent="0.3">
      <c r="A3071" s="2">
        <v>3070</v>
      </c>
      <c r="B3071" s="2" t="s">
        <v>7470</v>
      </c>
      <c r="C3071" s="2" t="s">
        <v>4880</v>
      </c>
      <c r="D3071" s="2" t="s">
        <v>51</v>
      </c>
      <c r="E3071" s="2" t="s">
        <v>16</v>
      </c>
      <c r="F3071" s="2">
        <v>90</v>
      </c>
      <c r="G3071" s="2" t="s">
        <v>7471</v>
      </c>
      <c r="H3071" s="2" t="s">
        <v>2685</v>
      </c>
      <c r="I3071" s="2" t="s">
        <v>32</v>
      </c>
      <c r="J3071" s="3">
        <v>44481</v>
      </c>
      <c r="K3071" s="2">
        <v>88</v>
      </c>
      <c r="L3071" s="2" t="s">
        <v>54</v>
      </c>
      <c r="M3071" s="3"/>
    </row>
    <row r="3072" spans="1:13" x14ac:dyDescent="0.3">
      <c r="A3072" s="2">
        <v>3071</v>
      </c>
      <c r="B3072" s="2" t="s">
        <v>3832</v>
      </c>
      <c r="C3072" s="2" t="s">
        <v>7472</v>
      </c>
      <c r="D3072" s="2" t="s">
        <v>51</v>
      </c>
      <c r="E3072" s="2" t="s">
        <v>16</v>
      </c>
      <c r="F3072" s="2">
        <v>60</v>
      </c>
      <c r="G3072" s="2" t="s">
        <v>7473</v>
      </c>
      <c r="H3072" s="2" t="s">
        <v>7004</v>
      </c>
      <c r="I3072" s="2" t="s">
        <v>208</v>
      </c>
      <c r="J3072" s="3">
        <v>44821</v>
      </c>
      <c r="K3072" s="2">
        <v>69</v>
      </c>
      <c r="L3072" s="2" t="s">
        <v>159</v>
      </c>
      <c r="M3072" s="3"/>
    </row>
    <row r="3073" spans="1:13" x14ac:dyDescent="0.3">
      <c r="A3073" s="2">
        <v>3072</v>
      </c>
      <c r="B3073" s="2" t="s">
        <v>4572</v>
      </c>
      <c r="C3073" s="2" t="s">
        <v>4732</v>
      </c>
      <c r="D3073" s="2" t="s">
        <v>28</v>
      </c>
      <c r="E3073" s="2" t="s">
        <v>29</v>
      </c>
      <c r="F3073" s="2">
        <v>30</v>
      </c>
      <c r="G3073" s="2" t="s">
        <v>7474</v>
      </c>
      <c r="H3073" s="2" t="s">
        <v>3433</v>
      </c>
      <c r="I3073" s="2" t="s">
        <v>1199</v>
      </c>
      <c r="J3073" s="3">
        <v>44793</v>
      </c>
      <c r="K3073" s="2">
        <v>3</v>
      </c>
      <c r="L3073" s="2" t="s">
        <v>70</v>
      </c>
      <c r="M3073" s="3"/>
    </row>
    <row r="3074" spans="1:13" x14ac:dyDescent="0.3">
      <c r="A3074" s="2">
        <v>3073</v>
      </c>
      <c r="B3074" s="2" t="s">
        <v>4572</v>
      </c>
      <c r="C3074" s="2" t="s">
        <v>4732</v>
      </c>
      <c r="D3074" s="2" t="s">
        <v>28</v>
      </c>
      <c r="E3074" s="2" t="s">
        <v>29</v>
      </c>
      <c r="F3074" s="2">
        <v>30</v>
      </c>
      <c r="G3074" s="2" t="s">
        <v>7474</v>
      </c>
      <c r="H3074" s="2" t="s">
        <v>3433</v>
      </c>
      <c r="I3074" s="2" t="s">
        <v>1199</v>
      </c>
      <c r="J3074" s="3">
        <v>44793</v>
      </c>
      <c r="K3074" s="2">
        <v>3</v>
      </c>
      <c r="L3074" s="2" t="s">
        <v>70</v>
      </c>
      <c r="M3074" s="3"/>
    </row>
    <row r="3075" spans="1:13" x14ac:dyDescent="0.3">
      <c r="A3075" s="2">
        <v>3074</v>
      </c>
      <c r="B3075" s="2" t="s">
        <v>7475</v>
      </c>
      <c r="C3075" s="2" t="s">
        <v>2177</v>
      </c>
      <c r="D3075" s="2" t="s">
        <v>51</v>
      </c>
      <c r="E3075" s="2" t="s">
        <v>16</v>
      </c>
      <c r="F3075" s="2">
        <v>60</v>
      </c>
      <c r="G3075" s="2" t="s">
        <v>7476</v>
      </c>
      <c r="H3075" s="2" t="s">
        <v>583</v>
      </c>
      <c r="I3075" s="2" t="s">
        <v>32</v>
      </c>
      <c r="J3075" s="3">
        <v>44597</v>
      </c>
      <c r="K3075" s="2">
        <v>100</v>
      </c>
      <c r="L3075" s="2" t="s">
        <v>101</v>
      </c>
      <c r="M3075" s="3"/>
    </row>
    <row r="3076" spans="1:13" x14ac:dyDescent="0.3">
      <c r="A3076" s="2">
        <v>3075</v>
      </c>
      <c r="B3076" s="2" t="s">
        <v>6557</v>
      </c>
      <c r="C3076" s="2" t="s">
        <v>1129</v>
      </c>
      <c r="D3076" s="2" t="s">
        <v>28</v>
      </c>
      <c r="E3076" s="2" t="s">
        <v>29</v>
      </c>
      <c r="F3076" s="2">
        <v>60</v>
      </c>
      <c r="G3076" s="2" t="s">
        <v>7477</v>
      </c>
      <c r="H3076" s="2" t="s">
        <v>5714</v>
      </c>
      <c r="I3076" s="2" t="s">
        <v>187</v>
      </c>
      <c r="J3076" s="3">
        <v>44890</v>
      </c>
      <c r="K3076" s="2">
        <v>54</v>
      </c>
      <c r="L3076" s="2" t="s">
        <v>64</v>
      </c>
      <c r="M3076" s="3"/>
    </row>
    <row r="3077" spans="1:13" x14ac:dyDescent="0.3">
      <c r="A3077" s="2">
        <v>3076</v>
      </c>
      <c r="B3077" s="2" t="s">
        <v>2303</v>
      </c>
      <c r="C3077" s="2" t="s">
        <v>2663</v>
      </c>
      <c r="D3077" s="2" t="s">
        <v>28</v>
      </c>
      <c r="E3077" s="2" t="s">
        <v>29</v>
      </c>
      <c r="F3077" s="2">
        <v>90</v>
      </c>
      <c r="G3077" s="2" t="s">
        <v>7478</v>
      </c>
      <c r="H3077" s="2" t="s">
        <v>5047</v>
      </c>
      <c r="I3077" s="2" t="s">
        <v>178</v>
      </c>
      <c r="J3077" s="3">
        <v>44420</v>
      </c>
      <c r="K3077" s="2">
        <v>7</v>
      </c>
      <c r="L3077" s="2" t="s">
        <v>101</v>
      </c>
      <c r="M3077" s="3"/>
    </row>
    <row r="3078" spans="1:13" x14ac:dyDescent="0.3">
      <c r="A3078" s="2">
        <v>3077</v>
      </c>
      <c r="B3078" s="2" t="s">
        <v>1049</v>
      </c>
      <c r="C3078" s="2" t="s">
        <v>2823</v>
      </c>
      <c r="D3078" s="2" t="s">
        <v>28</v>
      </c>
      <c r="E3078" s="2" t="s">
        <v>29</v>
      </c>
      <c r="F3078" s="2">
        <v>90</v>
      </c>
      <c r="G3078" s="2" t="s">
        <v>7479</v>
      </c>
      <c r="H3078" s="2" t="s">
        <v>7480</v>
      </c>
      <c r="I3078" s="2" t="s">
        <v>129</v>
      </c>
      <c r="J3078" s="3">
        <v>43950</v>
      </c>
      <c r="K3078" s="2">
        <v>80</v>
      </c>
      <c r="L3078" s="2" t="s">
        <v>64</v>
      </c>
      <c r="M3078" s="3"/>
    </row>
    <row r="3079" spans="1:13" x14ac:dyDescent="0.3">
      <c r="A3079" s="2">
        <v>3078</v>
      </c>
      <c r="B3079" s="2" t="s">
        <v>6446</v>
      </c>
      <c r="D3079" s="2" t="s">
        <v>28</v>
      </c>
      <c r="E3079" s="2" t="s">
        <v>29</v>
      </c>
      <c r="F3079" s="2">
        <v>30</v>
      </c>
      <c r="G3079" s="2" t="s">
        <v>7481</v>
      </c>
      <c r="H3079" s="2" t="s">
        <v>506</v>
      </c>
      <c r="I3079" s="2" t="s">
        <v>32</v>
      </c>
      <c r="J3079" s="3">
        <v>44379</v>
      </c>
      <c r="K3079" s="2">
        <v>94</v>
      </c>
      <c r="L3079" s="2" t="s">
        <v>33</v>
      </c>
      <c r="M3079" s="3"/>
    </row>
    <row r="3080" spans="1:13" x14ac:dyDescent="0.3">
      <c r="A3080" s="2">
        <v>3079</v>
      </c>
      <c r="B3080" s="2" t="s">
        <v>4315</v>
      </c>
      <c r="C3080" s="2" t="s">
        <v>7482</v>
      </c>
      <c r="D3080" s="2" t="s">
        <v>28</v>
      </c>
      <c r="E3080" s="2" t="s">
        <v>29</v>
      </c>
      <c r="F3080" s="2">
        <v>60</v>
      </c>
      <c r="G3080" s="2" t="s">
        <v>7483</v>
      </c>
      <c r="H3080" s="2" t="s">
        <v>538</v>
      </c>
      <c r="I3080" s="2" t="s">
        <v>32</v>
      </c>
      <c r="J3080" s="3">
        <v>44374</v>
      </c>
      <c r="K3080" s="2">
        <v>37</v>
      </c>
      <c r="L3080" s="2" t="s">
        <v>70</v>
      </c>
      <c r="M3080" s="3"/>
    </row>
    <row r="3081" spans="1:13" x14ac:dyDescent="0.3">
      <c r="A3081" s="2">
        <v>3080</v>
      </c>
      <c r="B3081" s="2" t="s">
        <v>7484</v>
      </c>
      <c r="C3081" s="2" t="s">
        <v>7485</v>
      </c>
      <c r="D3081" s="2" t="s">
        <v>51</v>
      </c>
      <c r="E3081" s="2" t="s">
        <v>16</v>
      </c>
      <c r="F3081" s="2">
        <v>60</v>
      </c>
      <c r="G3081" s="2" t="s">
        <v>7486</v>
      </c>
      <c r="H3081" s="2" t="s">
        <v>6000</v>
      </c>
      <c r="I3081" s="2" t="s">
        <v>178</v>
      </c>
      <c r="J3081" s="3">
        <v>44434</v>
      </c>
      <c r="K3081" s="2">
        <v>38</v>
      </c>
      <c r="L3081" s="2" t="s">
        <v>70</v>
      </c>
      <c r="M3081" s="3"/>
    </row>
    <row r="3082" spans="1:13" x14ac:dyDescent="0.3">
      <c r="A3082" s="2">
        <v>3081</v>
      </c>
      <c r="B3082" s="2" t="s">
        <v>7487</v>
      </c>
      <c r="C3082" s="2" t="s">
        <v>5267</v>
      </c>
      <c r="D3082" s="2" t="s">
        <v>51</v>
      </c>
      <c r="E3082" s="2" t="s">
        <v>16</v>
      </c>
      <c r="F3082" s="2">
        <v>90</v>
      </c>
      <c r="G3082" s="2" t="s">
        <v>7488</v>
      </c>
      <c r="H3082" s="2" t="s">
        <v>526</v>
      </c>
      <c r="I3082" s="2" t="s">
        <v>32</v>
      </c>
      <c r="J3082" s="3">
        <v>44840</v>
      </c>
      <c r="K3082" s="2">
        <v>70</v>
      </c>
      <c r="L3082" s="2" t="s">
        <v>20</v>
      </c>
      <c r="M3082" s="3"/>
    </row>
    <row r="3083" spans="1:13" x14ac:dyDescent="0.3">
      <c r="A3083" s="2">
        <v>3082</v>
      </c>
      <c r="B3083" s="2" t="s">
        <v>1661</v>
      </c>
      <c r="C3083" s="2" t="s">
        <v>7489</v>
      </c>
      <c r="D3083" s="2" t="s">
        <v>28</v>
      </c>
      <c r="E3083" s="2" t="s">
        <v>29</v>
      </c>
      <c r="F3083" s="2">
        <v>90</v>
      </c>
      <c r="G3083" s="2" t="s">
        <v>7490</v>
      </c>
      <c r="H3083" s="2" t="s">
        <v>7491</v>
      </c>
      <c r="I3083" s="2" t="s">
        <v>124</v>
      </c>
      <c r="J3083" s="3">
        <v>44400</v>
      </c>
      <c r="K3083" s="2">
        <v>75</v>
      </c>
      <c r="L3083" s="2" t="s">
        <v>80</v>
      </c>
      <c r="M3083" s="3"/>
    </row>
    <row r="3084" spans="1:13" x14ac:dyDescent="0.3">
      <c r="A3084" s="2">
        <v>3083</v>
      </c>
      <c r="B3084" s="2" t="s">
        <v>7492</v>
      </c>
      <c r="C3084" s="2" t="s">
        <v>1263</v>
      </c>
      <c r="D3084" s="2" t="s">
        <v>92</v>
      </c>
      <c r="E3084" s="2" t="s">
        <v>29</v>
      </c>
      <c r="F3084" s="2">
        <v>60</v>
      </c>
      <c r="G3084" s="2" t="s">
        <v>7493</v>
      </c>
      <c r="H3084" s="2" t="s">
        <v>974</v>
      </c>
      <c r="I3084" s="2" t="s">
        <v>32</v>
      </c>
      <c r="J3084" s="3">
        <v>44343</v>
      </c>
      <c r="K3084" s="2">
        <v>68</v>
      </c>
      <c r="L3084" s="2" t="s">
        <v>70</v>
      </c>
      <c r="M3084" s="3"/>
    </row>
    <row r="3085" spans="1:13" x14ac:dyDescent="0.3">
      <c r="A3085" s="2">
        <v>3084</v>
      </c>
      <c r="B3085" s="2" t="s">
        <v>7494</v>
      </c>
      <c r="C3085" s="2" t="s">
        <v>1175</v>
      </c>
      <c r="D3085" s="2" t="s">
        <v>51</v>
      </c>
      <c r="E3085" s="2" t="s">
        <v>16</v>
      </c>
      <c r="F3085" s="2">
        <v>90</v>
      </c>
      <c r="G3085" s="2" t="s">
        <v>7495</v>
      </c>
      <c r="H3085" s="2" t="s">
        <v>1690</v>
      </c>
      <c r="I3085" s="2" t="s">
        <v>208</v>
      </c>
      <c r="J3085" s="3">
        <v>44851</v>
      </c>
      <c r="K3085" s="2">
        <v>92</v>
      </c>
      <c r="L3085" s="2" t="s">
        <v>39</v>
      </c>
      <c r="M3085" s="3"/>
    </row>
    <row r="3086" spans="1:13" x14ac:dyDescent="0.3">
      <c r="A3086" s="2">
        <v>3085</v>
      </c>
      <c r="B3086" s="2" t="s">
        <v>7496</v>
      </c>
      <c r="C3086" s="2" t="s">
        <v>3037</v>
      </c>
      <c r="D3086" s="2" t="s">
        <v>28</v>
      </c>
      <c r="E3086" s="2" t="s">
        <v>29</v>
      </c>
      <c r="F3086" s="2">
        <v>90</v>
      </c>
      <c r="G3086" s="2" t="s">
        <v>7497</v>
      </c>
      <c r="H3086" s="2" t="s">
        <v>3387</v>
      </c>
      <c r="I3086" s="2" t="s">
        <v>2878</v>
      </c>
      <c r="J3086" s="3">
        <v>44747</v>
      </c>
      <c r="K3086" s="2">
        <v>84</v>
      </c>
      <c r="L3086" s="2" t="s">
        <v>64</v>
      </c>
      <c r="M3086" s="3"/>
    </row>
    <row r="3087" spans="1:13" x14ac:dyDescent="0.3">
      <c r="A3087" s="2">
        <v>3086</v>
      </c>
      <c r="B3087" s="2" t="s">
        <v>7498</v>
      </c>
      <c r="C3087" s="2" t="s">
        <v>5168</v>
      </c>
      <c r="D3087" s="2" t="s">
        <v>28</v>
      </c>
      <c r="E3087" s="2" t="s">
        <v>29</v>
      </c>
      <c r="F3087" s="2">
        <v>60</v>
      </c>
      <c r="G3087" s="2" t="s">
        <v>7499</v>
      </c>
      <c r="H3087" s="2" t="s">
        <v>2469</v>
      </c>
      <c r="I3087" s="2" t="s">
        <v>32</v>
      </c>
      <c r="J3087" s="3">
        <v>44142</v>
      </c>
      <c r="K3087" s="2">
        <v>72</v>
      </c>
      <c r="L3087" s="2" t="s">
        <v>20</v>
      </c>
      <c r="M3087" s="3"/>
    </row>
    <row r="3088" spans="1:13" x14ac:dyDescent="0.3">
      <c r="A3088" s="2">
        <v>3087</v>
      </c>
      <c r="B3088" s="2" t="s">
        <v>3616</v>
      </c>
      <c r="C3088" s="2" t="s">
        <v>722</v>
      </c>
      <c r="D3088" s="2" t="s">
        <v>28</v>
      </c>
      <c r="E3088" s="2" t="s">
        <v>29</v>
      </c>
      <c r="F3088" s="2">
        <v>90</v>
      </c>
      <c r="G3088" s="2" t="s">
        <v>7500</v>
      </c>
      <c r="H3088" s="2" t="s">
        <v>31</v>
      </c>
      <c r="I3088" s="2" t="s">
        <v>32</v>
      </c>
      <c r="J3088" s="3">
        <v>44919</v>
      </c>
      <c r="K3088" s="2">
        <v>96</v>
      </c>
      <c r="L3088" s="2" t="s">
        <v>54</v>
      </c>
      <c r="M3088" s="3"/>
    </row>
    <row r="3089" spans="1:13" x14ac:dyDescent="0.3">
      <c r="A3089" s="2">
        <v>3088</v>
      </c>
      <c r="B3089" s="2" t="s">
        <v>7501</v>
      </c>
      <c r="C3089" s="2" t="s">
        <v>7231</v>
      </c>
      <c r="D3089" s="2" t="s">
        <v>15</v>
      </c>
      <c r="E3089" s="2" t="s">
        <v>16</v>
      </c>
      <c r="F3089" s="2">
        <v>90</v>
      </c>
      <c r="G3089" s="2" t="s">
        <v>7502</v>
      </c>
      <c r="H3089" s="2" t="s">
        <v>4415</v>
      </c>
      <c r="I3089" s="2" t="s">
        <v>32</v>
      </c>
      <c r="J3089" s="3">
        <v>44462</v>
      </c>
      <c r="K3089" s="2">
        <v>27</v>
      </c>
      <c r="L3089" s="2" t="s">
        <v>159</v>
      </c>
      <c r="M3089" s="3"/>
    </row>
    <row r="3090" spans="1:13" x14ac:dyDescent="0.3">
      <c r="A3090" s="2">
        <v>3089</v>
      </c>
      <c r="B3090" s="2" t="s">
        <v>7503</v>
      </c>
      <c r="C3090" s="2" t="s">
        <v>7412</v>
      </c>
      <c r="D3090" s="2" t="s">
        <v>51</v>
      </c>
      <c r="E3090" s="2" t="s">
        <v>16</v>
      </c>
      <c r="F3090" s="2">
        <v>60</v>
      </c>
      <c r="G3090" s="2" t="s">
        <v>7504</v>
      </c>
      <c r="H3090" s="2" t="s">
        <v>4770</v>
      </c>
      <c r="I3090" s="2" t="s">
        <v>294</v>
      </c>
      <c r="J3090" s="3">
        <v>44750</v>
      </c>
      <c r="K3090" s="2">
        <v>39</v>
      </c>
      <c r="L3090" s="2" t="s">
        <v>33</v>
      </c>
      <c r="M3090" s="3"/>
    </row>
    <row r="3091" spans="1:13" x14ac:dyDescent="0.3">
      <c r="A3091" s="2">
        <v>3090</v>
      </c>
      <c r="B3091" s="2" t="s">
        <v>7505</v>
      </c>
      <c r="C3091" s="2" t="s">
        <v>2368</v>
      </c>
      <c r="D3091" s="2" t="s">
        <v>28</v>
      </c>
      <c r="E3091" s="2" t="s">
        <v>29</v>
      </c>
      <c r="F3091" s="2">
        <v>90</v>
      </c>
      <c r="G3091" s="2" t="s">
        <v>7506</v>
      </c>
      <c r="H3091" s="2" t="s">
        <v>1973</v>
      </c>
      <c r="I3091" s="2" t="s">
        <v>110</v>
      </c>
      <c r="J3091" s="3">
        <v>44463</v>
      </c>
      <c r="K3091" s="2">
        <v>58</v>
      </c>
      <c r="L3091" s="2" t="s">
        <v>54</v>
      </c>
      <c r="M3091" s="3"/>
    </row>
    <row r="3092" spans="1:13" x14ac:dyDescent="0.3">
      <c r="A3092" s="2">
        <v>3091</v>
      </c>
      <c r="B3092" s="2" t="s">
        <v>4278</v>
      </c>
      <c r="C3092" s="2" t="s">
        <v>2453</v>
      </c>
      <c r="D3092" s="2" t="s">
        <v>28</v>
      </c>
      <c r="E3092" s="2" t="s">
        <v>29</v>
      </c>
      <c r="F3092" s="2">
        <v>90</v>
      </c>
      <c r="G3092" s="2" t="s">
        <v>7507</v>
      </c>
      <c r="H3092" s="2" t="s">
        <v>7508</v>
      </c>
      <c r="I3092" s="2" t="s">
        <v>240</v>
      </c>
      <c r="J3092" s="3">
        <v>44551</v>
      </c>
      <c r="K3092" s="2">
        <v>54</v>
      </c>
      <c r="L3092" s="2" t="s">
        <v>101</v>
      </c>
      <c r="M3092" s="3"/>
    </row>
    <row r="3093" spans="1:13" x14ac:dyDescent="0.3">
      <c r="A3093" s="2">
        <v>3092</v>
      </c>
      <c r="B3093" s="2" t="s">
        <v>2887</v>
      </c>
      <c r="C3093" s="2" t="s">
        <v>7509</v>
      </c>
      <c r="D3093" s="2" t="s">
        <v>28</v>
      </c>
      <c r="E3093" s="2" t="s">
        <v>29</v>
      </c>
      <c r="F3093" s="2">
        <v>90</v>
      </c>
      <c r="G3093" s="2" t="s">
        <v>7507</v>
      </c>
      <c r="H3093" s="2" t="s">
        <v>3466</v>
      </c>
      <c r="I3093" s="2" t="s">
        <v>32</v>
      </c>
      <c r="J3093" s="3">
        <v>43857</v>
      </c>
      <c r="K3093" s="2">
        <v>4</v>
      </c>
      <c r="L3093" s="2" t="s">
        <v>80</v>
      </c>
      <c r="M3093" s="3"/>
    </row>
    <row r="3094" spans="1:13" x14ac:dyDescent="0.3">
      <c r="A3094" s="2">
        <v>3093</v>
      </c>
      <c r="B3094" s="2" t="s">
        <v>7510</v>
      </c>
      <c r="C3094" s="2" t="s">
        <v>7423</v>
      </c>
      <c r="D3094" s="2" t="s">
        <v>15</v>
      </c>
      <c r="E3094" s="2" t="s">
        <v>16</v>
      </c>
      <c r="F3094" s="2">
        <v>60</v>
      </c>
      <c r="G3094" s="2" t="s">
        <v>7511</v>
      </c>
      <c r="H3094" s="2" t="s">
        <v>3002</v>
      </c>
      <c r="I3094" s="2" t="s">
        <v>32</v>
      </c>
      <c r="J3094" s="3">
        <v>44276</v>
      </c>
      <c r="K3094" s="2">
        <v>66</v>
      </c>
      <c r="L3094" s="2" t="s">
        <v>39</v>
      </c>
      <c r="M3094" s="3"/>
    </row>
    <row r="3095" spans="1:13" x14ac:dyDescent="0.3">
      <c r="A3095" s="2">
        <v>3094</v>
      </c>
      <c r="B3095" s="2" t="s">
        <v>4317</v>
      </c>
      <c r="C3095" s="2" t="s">
        <v>987</v>
      </c>
      <c r="D3095" s="2" t="s">
        <v>28</v>
      </c>
      <c r="E3095" s="2" t="s">
        <v>29</v>
      </c>
      <c r="F3095" s="2">
        <v>30</v>
      </c>
      <c r="G3095" s="2" t="s">
        <v>7512</v>
      </c>
      <c r="H3095" s="2" t="s">
        <v>2105</v>
      </c>
      <c r="I3095" s="2" t="s">
        <v>110</v>
      </c>
      <c r="J3095" s="3">
        <v>44444</v>
      </c>
      <c r="K3095" s="2">
        <v>72</v>
      </c>
      <c r="L3095" s="2" t="s">
        <v>70</v>
      </c>
      <c r="M3095" s="3"/>
    </row>
    <row r="3096" spans="1:13" x14ac:dyDescent="0.3">
      <c r="A3096" s="2">
        <v>3095</v>
      </c>
      <c r="B3096" s="2" t="s">
        <v>7193</v>
      </c>
      <c r="C3096" s="2" t="s">
        <v>4753</v>
      </c>
      <c r="D3096" s="2" t="s">
        <v>51</v>
      </c>
      <c r="E3096" s="2" t="s">
        <v>16</v>
      </c>
      <c r="F3096" s="2">
        <v>90</v>
      </c>
      <c r="G3096" s="2" t="s">
        <v>7513</v>
      </c>
      <c r="H3096" s="2" t="s">
        <v>641</v>
      </c>
      <c r="I3096" s="2" t="s">
        <v>294</v>
      </c>
      <c r="J3096" s="3">
        <v>44682</v>
      </c>
      <c r="K3096" s="2">
        <v>10</v>
      </c>
      <c r="L3096" s="2" t="s">
        <v>80</v>
      </c>
      <c r="M3096" s="3"/>
    </row>
    <row r="3097" spans="1:13" x14ac:dyDescent="0.3">
      <c r="A3097" s="2">
        <v>3096</v>
      </c>
      <c r="B3097" s="2" t="s">
        <v>7514</v>
      </c>
      <c r="C3097" s="2" t="s">
        <v>2883</v>
      </c>
      <c r="D3097" s="2" t="s">
        <v>15</v>
      </c>
      <c r="E3097" s="2" t="s">
        <v>16</v>
      </c>
      <c r="F3097" s="2">
        <v>60</v>
      </c>
      <c r="G3097" s="2" t="s">
        <v>7515</v>
      </c>
      <c r="H3097" s="2" t="s">
        <v>158</v>
      </c>
      <c r="I3097" s="2" t="s">
        <v>32</v>
      </c>
      <c r="J3097" s="3">
        <v>44683</v>
      </c>
      <c r="K3097" s="2">
        <v>68</v>
      </c>
      <c r="L3097" s="2" t="s">
        <v>54</v>
      </c>
      <c r="M3097" s="3"/>
    </row>
    <row r="3098" spans="1:13" x14ac:dyDescent="0.3">
      <c r="A3098" s="2">
        <v>3097</v>
      </c>
      <c r="B3098" s="2" t="s">
        <v>580</v>
      </c>
      <c r="C3098" s="2" t="s">
        <v>4286</v>
      </c>
      <c r="D3098" s="2" t="s">
        <v>28</v>
      </c>
      <c r="E3098" s="2" t="s">
        <v>29</v>
      </c>
      <c r="F3098" s="2">
        <v>30</v>
      </c>
      <c r="G3098" s="2" t="s">
        <v>7516</v>
      </c>
      <c r="H3098" s="2" t="s">
        <v>2902</v>
      </c>
      <c r="I3098" s="2" t="s">
        <v>32</v>
      </c>
      <c r="J3098" s="3">
        <v>44164</v>
      </c>
      <c r="K3098" s="2">
        <v>40</v>
      </c>
      <c r="L3098" s="2" t="s">
        <v>54</v>
      </c>
      <c r="M3098" s="3"/>
    </row>
    <row r="3099" spans="1:13" x14ac:dyDescent="0.3">
      <c r="A3099" s="2">
        <v>3098</v>
      </c>
      <c r="B3099" s="2" t="s">
        <v>4897</v>
      </c>
      <c r="C3099" s="2" t="s">
        <v>7517</v>
      </c>
      <c r="D3099" s="2" t="s">
        <v>28</v>
      </c>
      <c r="E3099" s="2" t="s">
        <v>29</v>
      </c>
      <c r="F3099" s="2">
        <v>30</v>
      </c>
      <c r="G3099" s="2" t="s">
        <v>7518</v>
      </c>
      <c r="H3099" s="2" t="s">
        <v>2633</v>
      </c>
      <c r="I3099" s="2" t="s">
        <v>32</v>
      </c>
      <c r="J3099" s="3">
        <v>44188</v>
      </c>
      <c r="K3099" s="2">
        <v>48</v>
      </c>
      <c r="L3099" s="2" t="s">
        <v>101</v>
      </c>
      <c r="M3099" s="3"/>
    </row>
    <row r="3100" spans="1:13" x14ac:dyDescent="0.3">
      <c r="A3100" s="2">
        <v>3099</v>
      </c>
      <c r="B3100" s="2" t="s">
        <v>7202</v>
      </c>
      <c r="C3100" s="2" t="s">
        <v>6555</v>
      </c>
      <c r="D3100" s="2" t="s">
        <v>28</v>
      </c>
      <c r="E3100" s="2" t="s">
        <v>29</v>
      </c>
      <c r="F3100" s="2">
        <v>60</v>
      </c>
      <c r="G3100" s="2" t="s">
        <v>7519</v>
      </c>
      <c r="H3100" s="2" t="s">
        <v>440</v>
      </c>
      <c r="I3100" s="2" t="s">
        <v>25</v>
      </c>
      <c r="J3100" s="3">
        <v>44834</v>
      </c>
      <c r="K3100" s="2">
        <v>83</v>
      </c>
      <c r="L3100" s="2" t="s">
        <v>80</v>
      </c>
      <c r="M3100" s="3"/>
    </row>
    <row r="3101" spans="1:13" x14ac:dyDescent="0.3">
      <c r="A3101" s="2">
        <v>3100</v>
      </c>
      <c r="B3101" s="2" t="s">
        <v>1769</v>
      </c>
      <c r="C3101" s="2" t="s">
        <v>7520</v>
      </c>
      <c r="D3101" s="2" t="s">
        <v>28</v>
      </c>
      <c r="E3101" s="2" t="s">
        <v>29</v>
      </c>
      <c r="F3101" s="2">
        <v>30</v>
      </c>
      <c r="G3101" s="2" t="s">
        <v>7521</v>
      </c>
      <c r="H3101" s="2" t="s">
        <v>4794</v>
      </c>
      <c r="I3101" s="2" t="s">
        <v>32</v>
      </c>
      <c r="J3101" s="3">
        <v>44745</v>
      </c>
      <c r="K3101" s="2">
        <v>4</v>
      </c>
      <c r="L3101" s="2" t="s">
        <v>54</v>
      </c>
      <c r="M3101" s="3"/>
    </row>
    <row r="3102" spans="1:13" x14ac:dyDescent="0.3">
      <c r="A3102" s="2">
        <v>3101</v>
      </c>
      <c r="B3102" s="2" t="s">
        <v>320</v>
      </c>
      <c r="C3102" s="2" t="s">
        <v>2618</v>
      </c>
      <c r="D3102" s="2" t="s">
        <v>51</v>
      </c>
      <c r="E3102" s="2" t="s">
        <v>16</v>
      </c>
      <c r="F3102" s="2">
        <v>30</v>
      </c>
      <c r="G3102" s="2" t="s">
        <v>7522</v>
      </c>
      <c r="H3102" s="2" t="s">
        <v>172</v>
      </c>
      <c r="I3102" s="2" t="s">
        <v>173</v>
      </c>
      <c r="J3102" s="3">
        <v>44646</v>
      </c>
      <c r="K3102" s="2">
        <v>53</v>
      </c>
      <c r="L3102" s="2" t="s">
        <v>101</v>
      </c>
      <c r="M3102" s="3"/>
    </row>
    <row r="3103" spans="1:13" x14ac:dyDescent="0.3">
      <c r="A3103" s="2">
        <v>3102</v>
      </c>
      <c r="B3103" s="2" t="s">
        <v>7523</v>
      </c>
      <c r="C3103" s="2" t="s">
        <v>1857</v>
      </c>
      <c r="D3103" s="2" t="s">
        <v>51</v>
      </c>
      <c r="E3103" s="2" t="s">
        <v>16</v>
      </c>
      <c r="F3103" s="2">
        <v>60</v>
      </c>
      <c r="G3103" s="2" t="s">
        <v>7524</v>
      </c>
      <c r="H3103" s="2" t="s">
        <v>1206</v>
      </c>
      <c r="I3103" s="2" t="s">
        <v>294</v>
      </c>
      <c r="J3103" s="3">
        <v>43832</v>
      </c>
      <c r="K3103" s="2">
        <v>51</v>
      </c>
      <c r="L3103" s="2" t="s">
        <v>80</v>
      </c>
      <c r="M3103" s="3"/>
    </row>
    <row r="3104" spans="1:13" x14ac:dyDescent="0.3">
      <c r="A3104" s="2">
        <v>3103</v>
      </c>
      <c r="B3104" s="2" t="s">
        <v>7525</v>
      </c>
      <c r="C3104" s="2" t="s">
        <v>106</v>
      </c>
      <c r="D3104" s="2" t="s">
        <v>15</v>
      </c>
      <c r="E3104" s="2" t="s">
        <v>16</v>
      </c>
      <c r="F3104" s="2">
        <v>90</v>
      </c>
      <c r="G3104" s="2" t="s">
        <v>7524</v>
      </c>
      <c r="H3104" s="2" t="s">
        <v>7526</v>
      </c>
      <c r="I3104" s="2" t="s">
        <v>32</v>
      </c>
      <c r="J3104" s="3">
        <v>43873</v>
      </c>
      <c r="K3104" s="2">
        <v>52</v>
      </c>
      <c r="L3104" s="2" t="s">
        <v>64</v>
      </c>
      <c r="M3104" s="3"/>
    </row>
    <row r="3105" spans="1:13" x14ac:dyDescent="0.3">
      <c r="A3105" s="2">
        <v>3104</v>
      </c>
      <c r="B3105" s="2" t="s">
        <v>4644</v>
      </c>
      <c r="C3105" s="2" t="s">
        <v>7527</v>
      </c>
      <c r="D3105" s="2" t="s">
        <v>28</v>
      </c>
      <c r="E3105" s="2" t="s">
        <v>29</v>
      </c>
      <c r="F3105" s="2">
        <v>60</v>
      </c>
      <c r="G3105" s="2" t="s">
        <v>7528</v>
      </c>
      <c r="H3105" s="2" t="s">
        <v>2667</v>
      </c>
      <c r="I3105" s="2" t="s">
        <v>187</v>
      </c>
      <c r="J3105" s="3">
        <v>44484</v>
      </c>
      <c r="K3105" s="2">
        <v>41</v>
      </c>
      <c r="L3105" s="2" t="s">
        <v>70</v>
      </c>
      <c r="M3105" s="3"/>
    </row>
    <row r="3106" spans="1:13" x14ac:dyDescent="0.3">
      <c r="A3106" s="2">
        <v>3105</v>
      </c>
      <c r="B3106" s="2" t="s">
        <v>7529</v>
      </c>
      <c r="C3106" s="2" t="s">
        <v>7530</v>
      </c>
      <c r="D3106" s="2" t="s">
        <v>15</v>
      </c>
      <c r="E3106" s="2" t="s">
        <v>16</v>
      </c>
      <c r="F3106" s="2">
        <v>60</v>
      </c>
      <c r="G3106" s="2" t="s">
        <v>7531</v>
      </c>
      <c r="H3106" s="2" t="s">
        <v>710</v>
      </c>
      <c r="I3106" s="2" t="s">
        <v>187</v>
      </c>
      <c r="J3106" s="3">
        <v>44857</v>
      </c>
      <c r="K3106" s="2">
        <v>94</v>
      </c>
      <c r="L3106" s="2" t="s">
        <v>20</v>
      </c>
      <c r="M3106" s="3"/>
    </row>
    <row r="3107" spans="1:13" x14ac:dyDescent="0.3">
      <c r="A3107" s="2">
        <v>3106</v>
      </c>
      <c r="B3107" s="2" t="s">
        <v>1966</v>
      </c>
      <c r="C3107" s="2" t="s">
        <v>5993</v>
      </c>
      <c r="D3107" s="2" t="s">
        <v>51</v>
      </c>
      <c r="E3107" s="2" t="s">
        <v>16</v>
      </c>
      <c r="F3107" s="2">
        <v>60</v>
      </c>
      <c r="G3107" s="2" t="s">
        <v>7532</v>
      </c>
      <c r="H3107" s="2" t="s">
        <v>558</v>
      </c>
      <c r="I3107" s="2" t="s">
        <v>32</v>
      </c>
      <c r="J3107" s="3">
        <v>43874</v>
      </c>
      <c r="K3107" s="2">
        <v>85</v>
      </c>
      <c r="L3107" s="2" t="s">
        <v>159</v>
      </c>
      <c r="M3107" s="3"/>
    </row>
    <row r="3108" spans="1:13" x14ac:dyDescent="0.3">
      <c r="A3108" s="2">
        <v>3107</v>
      </c>
      <c r="B3108" s="2" t="s">
        <v>7533</v>
      </c>
      <c r="C3108" s="2" t="s">
        <v>6249</v>
      </c>
      <c r="D3108" s="2" t="s">
        <v>28</v>
      </c>
      <c r="E3108" s="2" t="s">
        <v>29</v>
      </c>
      <c r="F3108" s="2">
        <v>90</v>
      </c>
      <c r="G3108" s="2" t="s">
        <v>7534</v>
      </c>
      <c r="H3108" s="2" t="s">
        <v>4424</v>
      </c>
      <c r="I3108" s="2" t="s">
        <v>25</v>
      </c>
      <c r="J3108" s="3">
        <v>44686</v>
      </c>
      <c r="K3108" s="2">
        <v>77</v>
      </c>
      <c r="L3108" s="2" t="s">
        <v>39</v>
      </c>
      <c r="M3108" s="3"/>
    </row>
    <row r="3109" spans="1:13" x14ac:dyDescent="0.3">
      <c r="A3109" s="2">
        <v>3108</v>
      </c>
      <c r="B3109" s="2" t="s">
        <v>7535</v>
      </c>
      <c r="C3109" s="2" t="s">
        <v>1376</v>
      </c>
      <c r="D3109" s="2" t="s">
        <v>15</v>
      </c>
      <c r="E3109" s="2" t="s">
        <v>16</v>
      </c>
      <c r="F3109" s="2">
        <v>90</v>
      </c>
      <c r="G3109" s="2" t="s">
        <v>7536</v>
      </c>
      <c r="H3109" s="2" t="s">
        <v>1091</v>
      </c>
      <c r="I3109" s="2" t="s">
        <v>32</v>
      </c>
      <c r="J3109" s="3">
        <v>44877</v>
      </c>
      <c r="K3109" s="2">
        <v>99</v>
      </c>
      <c r="L3109" s="2" t="s">
        <v>159</v>
      </c>
      <c r="M3109" s="3"/>
    </row>
    <row r="3110" spans="1:13" x14ac:dyDescent="0.3">
      <c r="A3110" s="2">
        <v>3109</v>
      </c>
      <c r="B3110" s="2" t="s">
        <v>7537</v>
      </c>
      <c r="C3110" s="2" t="s">
        <v>5391</v>
      </c>
      <c r="D3110" s="2" t="s">
        <v>28</v>
      </c>
      <c r="E3110" s="2" t="s">
        <v>29</v>
      </c>
      <c r="F3110" s="2">
        <v>60</v>
      </c>
      <c r="G3110" s="2" t="s">
        <v>7538</v>
      </c>
      <c r="H3110" s="2" t="s">
        <v>2875</v>
      </c>
      <c r="I3110" s="2" t="s">
        <v>32</v>
      </c>
      <c r="J3110" s="3">
        <v>44595</v>
      </c>
      <c r="K3110" s="2">
        <v>83</v>
      </c>
      <c r="L3110" s="2" t="s">
        <v>39</v>
      </c>
      <c r="M3110" s="3"/>
    </row>
    <row r="3111" spans="1:13" x14ac:dyDescent="0.3">
      <c r="A3111" s="2">
        <v>3110</v>
      </c>
      <c r="B3111" s="2" t="s">
        <v>6643</v>
      </c>
      <c r="C3111" s="2" t="s">
        <v>3262</v>
      </c>
      <c r="D3111" s="2" t="s">
        <v>51</v>
      </c>
      <c r="E3111" s="2" t="s">
        <v>16</v>
      </c>
      <c r="F3111" s="2">
        <v>90</v>
      </c>
      <c r="G3111" s="2" t="s">
        <v>7539</v>
      </c>
      <c r="H3111" s="2" t="s">
        <v>595</v>
      </c>
      <c r="I3111" s="2" t="s">
        <v>124</v>
      </c>
      <c r="J3111" s="3">
        <v>43984</v>
      </c>
      <c r="K3111" s="2">
        <v>69</v>
      </c>
      <c r="L3111" s="2" t="s">
        <v>20</v>
      </c>
      <c r="M3111" s="3"/>
    </row>
    <row r="3112" spans="1:13" x14ac:dyDescent="0.3">
      <c r="A3112" s="2">
        <v>3111</v>
      </c>
      <c r="B3112" s="2" t="s">
        <v>7540</v>
      </c>
      <c r="C3112" s="2" t="s">
        <v>1874</v>
      </c>
      <c r="D3112" s="2" t="s">
        <v>28</v>
      </c>
      <c r="E3112" s="2" t="s">
        <v>29</v>
      </c>
      <c r="F3112" s="2">
        <v>90</v>
      </c>
      <c r="G3112" s="2" t="s">
        <v>7541</v>
      </c>
      <c r="H3112" s="2" t="s">
        <v>5505</v>
      </c>
      <c r="I3112" s="2" t="s">
        <v>240</v>
      </c>
      <c r="J3112" s="3">
        <v>44408</v>
      </c>
      <c r="K3112" s="2">
        <v>25</v>
      </c>
      <c r="L3112" s="2" t="s">
        <v>45</v>
      </c>
      <c r="M3112" s="3"/>
    </row>
    <row r="3113" spans="1:13" x14ac:dyDescent="0.3">
      <c r="A3113" s="2">
        <v>3112</v>
      </c>
      <c r="B3113" s="2" t="s">
        <v>1049</v>
      </c>
      <c r="C3113" s="2" t="s">
        <v>6712</v>
      </c>
      <c r="D3113" s="2" t="s">
        <v>28</v>
      </c>
      <c r="E3113" s="2" t="s">
        <v>29</v>
      </c>
      <c r="F3113" s="2">
        <v>90</v>
      </c>
      <c r="G3113" s="2" t="s">
        <v>7542</v>
      </c>
      <c r="H3113" s="2" t="s">
        <v>2336</v>
      </c>
      <c r="I3113" s="2" t="s">
        <v>32</v>
      </c>
      <c r="J3113" s="3">
        <v>44813</v>
      </c>
      <c r="K3113" s="2">
        <v>95</v>
      </c>
      <c r="L3113" s="2" t="s">
        <v>101</v>
      </c>
      <c r="M3113" s="3"/>
    </row>
    <row r="3114" spans="1:13" x14ac:dyDescent="0.3">
      <c r="A3114" s="2">
        <v>3113</v>
      </c>
      <c r="B3114" s="2" t="s">
        <v>882</v>
      </c>
      <c r="C3114" s="2" t="s">
        <v>7543</v>
      </c>
      <c r="D3114" s="2" t="s">
        <v>28</v>
      </c>
      <c r="E3114" s="2" t="s">
        <v>29</v>
      </c>
      <c r="F3114" s="2">
        <v>30</v>
      </c>
      <c r="G3114" s="2" t="s">
        <v>7544</v>
      </c>
      <c r="H3114" s="2" t="s">
        <v>4748</v>
      </c>
      <c r="I3114" s="2" t="s">
        <v>32</v>
      </c>
      <c r="J3114" s="3">
        <v>43940</v>
      </c>
      <c r="K3114" s="2">
        <v>84</v>
      </c>
      <c r="L3114" s="2" t="s">
        <v>159</v>
      </c>
      <c r="M3114" s="3"/>
    </row>
    <row r="3115" spans="1:13" x14ac:dyDescent="0.3">
      <c r="A3115" s="2">
        <v>3114</v>
      </c>
      <c r="B3115" s="2" t="s">
        <v>6407</v>
      </c>
      <c r="C3115" s="2" t="s">
        <v>1573</v>
      </c>
      <c r="D3115" s="2" t="s">
        <v>51</v>
      </c>
      <c r="E3115" s="2" t="s">
        <v>16</v>
      </c>
      <c r="F3115" s="2">
        <v>90</v>
      </c>
      <c r="G3115" s="2" t="s">
        <v>7545</v>
      </c>
      <c r="H3115" s="2" t="s">
        <v>7546</v>
      </c>
      <c r="I3115" s="2" t="s">
        <v>187</v>
      </c>
      <c r="J3115" s="3">
        <v>44293</v>
      </c>
      <c r="K3115" s="2">
        <v>58</v>
      </c>
      <c r="L3115" s="2" t="s">
        <v>101</v>
      </c>
      <c r="M3115" s="3"/>
    </row>
    <row r="3116" spans="1:13" x14ac:dyDescent="0.3">
      <c r="A3116" s="2">
        <v>3115</v>
      </c>
      <c r="B3116" s="2" t="s">
        <v>6407</v>
      </c>
      <c r="C3116" s="2" t="s">
        <v>1573</v>
      </c>
      <c r="D3116" s="2" t="s">
        <v>51</v>
      </c>
      <c r="E3116" s="2" t="s">
        <v>16</v>
      </c>
      <c r="F3116" s="2">
        <v>90</v>
      </c>
      <c r="G3116" s="2" t="s">
        <v>7545</v>
      </c>
      <c r="H3116" s="2" t="s">
        <v>7546</v>
      </c>
      <c r="I3116" s="2" t="s">
        <v>187</v>
      </c>
      <c r="J3116" s="3">
        <v>44293</v>
      </c>
      <c r="K3116" s="2">
        <v>58</v>
      </c>
      <c r="L3116" s="2" t="s">
        <v>101</v>
      </c>
      <c r="M3116" s="3"/>
    </row>
    <row r="3117" spans="1:13" x14ac:dyDescent="0.3">
      <c r="A3117" s="2">
        <v>3116</v>
      </c>
      <c r="B3117" s="2" t="s">
        <v>1027</v>
      </c>
      <c r="C3117" s="2" t="s">
        <v>3664</v>
      </c>
      <c r="D3117" s="2" t="s">
        <v>28</v>
      </c>
      <c r="E3117" s="2" t="s">
        <v>29</v>
      </c>
      <c r="F3117" s="2">
        <v>30</v>
      </c>
      <c r="G3117" s="2" t="s">
        <v>7547</v>
      </c>
      <c r="H3117" s="2" t="s">
        <v>4567</v>
      </c>
      <c r="I3117" s="2" t="s">
        <v>38</v>
      </c>
      <c r="J3117" s="3">
        <v>44888</v>
      </c>
      <c r="K3117" s="2">
        <v>44</v>
      </c>
      <c r="L3117" s="2" t="s">
        <v>159</v>
      </c>
      <c r="M3117" s="3"/>
    </row>
    <row r="3118" spans="1:13" x14ac:dyDescent="0.3">
      <c r="A3118" s="2">
        <v>3117</v>
      </c>
      <c r="B3118" s="2" t="s">
        <v>3501</v>
      </c>
      <c r="C3118" s="2" t="s">
        <v>4018</v>
      </c>
      <c r="D3118" s="2" t="s">
        <v>28</v>
      </c>
      <c r="E3118" s="2" t="s">
        <v>29</v>
      </c>
      <c r="F3118" s="2">
        <v>90</v>
      </c>
      <c r="G3118" s="2" t="s">
        <v>7548</v>
      </c>
      <c r="H3118" s="2" t="s">
        <v>6618</v>
      </c>
      <c r="I3118" s="2" t="s">
        <v>32</v>
      </c>
      <c r="J3118" s="3">
        <v>44848</v>
      </c>
      <c r="K3118" s="2">
        <v>94</v>
      </c>
      <c r="L3118" s="2" t="s">
        <v>39</v>
      </c>
      <c r="M3118" s="3"/>
    </row>
    <row r="3119" spans="1:13" x14ac:dyDescent="0.3">
      <c r="A3119" s="2">
        <v>3118</v>
      </c>
      <c r="B3119" s="2" t="s">
        <v>4988</v>
      </c>
      <c r="C3119" s="2" t="s">
        <v>1278</v>
      </c>
      <c r="D3119" s="2" t="s">
        <v>15</v>
      </c>
      <c r="E3119" s="2" t="s">
        <v>16</v>
      </c>
      <c r="F3119" s="2">
        <v>30</v>
      </c>
      <c r="G3119" s="2" t="s">
        <v>7549</v>
      </c>
      <c r="H3119" s="2" t="s">
        <v>2506</v>
      </c>
      <c r="I3119" s="2" t="s">
        <v>32</v>
      </c>
      <c r="J3119" s="3">
        <v>44798</v>
      </c>
      <c r="K3119" s="2">
        <v>91</v>
      </c>
      <c r="L3119" s="2" t="s">
        <v>80</v>
      </c>
      <c r="M3119" s="3"/>
    </row>
    <row r="3120" spans="1:13" x14ac:dyDescent="0.3">
      <c r="A3120" s="2">
        <v>3119</v>
      </c>
      <c r="B3120" s="2" t="s">
        <v>7550</v>
      </c>
      <c r="C3120" s="2" t="s">
        <v>205</v>
      </c>
      <c r="D3120" s="2" t="s">
        <v>41</v>
      </c>
      <c r="E3120" s="2" t="s">
        <v>16</v>
      </c>
      <c r="F3120" s="2">
        <v>30</v>
      </c>
      <c r="G3120" s="2" t="s">
        <v>7551</v>
      </c>
      <c r="H3120" s="2" t="s">
        <v>2130</v>
      </c>
      <c r="I3120" s="2" t="s">
        <v>32</v>
      </c>
      <c r="J3120" s="3">
        <v>44799</v>
      </c>
      <c r="K3120" s="2">
        <v>7</v>
      </c>
      <c r="L3120" s="2" t="s">
        <v>54</v>
      </c>
      <c r="M3120" s="3"/>
    </row>
    <row r="3121" spans="1:13" x14ac:dyDescent="0.3">
      <c r="A3121" s="2">
        <v>3120</v>
      </c>
      <c r="B3121" s="2" t="s">
        <v>5072</v>
      </c>
      <c r="C3121" s="2" t="s">
        <v>6275</v>
      </c>
      <c r="D3121" s="2" t="s">
        <v>92</v>
      </c>
      <c r="E3121" s="2" t="s">
        <v>29</v>
      </c>
      <c r="F3121" s="2">
        <v>90</v>
      </c>
      <c r="G3121" s="2" t="s">
        <v>7552</v>
      </c>
      <c r="H3121" s="2" t="s">
        <v>6612</v>
      </c>
      <c r="I3121" s="2" t="s">
        <v>25</v>
      </c>
      <c r="J3121" s="3">
        <v>44300</v>
      </c>
      <c r="K3121" s="2">
        <v>41</v>
      </c>
      <c r="L3121" s="2" t="s">
        <v>20</v>
      </c>
      <c r="M3121" s="3"/>
    </row>
    <row r="3122" spans="1:13" x14ac:dyDescent="0.3">
      <c r="A3122" s="2">
        <v>3121</v>
      </c>
      <c r="B3122" s="2" t="s">
        <v>4016</v>
      </c>
      <c r="C3122" s="2" t="s">
        <v>2326</v>
      </c>
      <c r="D3122" s="2" t="s">
        <v>28</v>
      </c>
      <c r="E3122" s="2" t="s">
        <v>29</v>
      </c>
      <c r="F3122" s="2">
        <v>60</v>
      </c>
      <c r="G3122" s="2" t="s">
        <v>7553</v>
      </c>
      <c r="H3122" s="2" t="s">
        <v>4867</v>
      </c>
      <c r="I3122" s="2" t="s">
        <v>294</v>
      </c>
      <c r="J3122" s="3">
        <v>44892</v>
      </c>
      <c r="K3122" s="2">
        <v>84</v>
      </c>
      <c r="L3122" s="2" t="s">
        <v>80</v>
      </c>
      <c r="M3122" s="3"/>
    </row>
    <row r="3123" spans="1:13" x14ac:dyDescent="0.3">
      <c r="A3123" s="2">
        <v>3122</v>
      </c>
      <c r="B3123" s="2" t="s">
        <v>1765</v>
      </c>
      <c r="C3123" s="2" t="s">
        <v>1286</v>
      </c>
      <c r="D3123" s="2" t="s">
        <v>28</v>
      </c>
      <c r="E3123" s="2" t="s">
        <v>29</v>
      </c>
      <c r="F3123" s="2">
        <v>30</v>
      </c>
      <c r="G3123" s="2" t="s">
        <v>7554</v>
      </c>
      <c r="H3123" s="2" t="s">
        <v>7555</v>
      </c>
      <c r="I3123" s="2" t="s">
        <v>129</v>
      </c>
      <c r="J3123" s="3">
        <v>43927</v>
      </c>
      <c r="K3123" s="2">
        <v>76</v>
      </c>
      <c r="L3123" s="2" t="s">
        <v>64</v>
      </c>
      <c r="M3123" s="3"/>
    </row>
    <row r="3124" spans="1:13" x14ac:dyDescent="0.3">
      <c r="A3124" s="2">
        <v>3123</v>
      </c>
      <c r="B3124" s="2" t="s">
        <v>5239</v>
      </c>
      <c r="C3124" s="2" t="s">
        <v>7556</v>
      </c>
      <c r="D3124" s="2" t="s">
        <v>15</v>
      </c>
      <c r="E3124" s="2" t="s">
        <v>16</v>
      </c>
      <c r="F3124" s="2">
        <v>30</v>
      </c>
      <c r="G3124" s="2" t="s">
        <v>7554</v>
      </c>
      <c r="H3124" s="2" t="s">
        <v>5000</v>
      </c>
      <c r="I3124" s="2" t="s">
        <v>32</v>
      </c>
      <c r="J3124" s="3">
        <v>44511</v>
      </c>
      <c r="K3124" s="2">
        <v>94</v>
      </c>
      <c r="L3124" s="2" t="s">
        <v>20</v>
      </c>
      <c r="M3124" s="3"/>
    </row>
    <row r="3125" spans="1:13" x14ac:dyDescent="0.3">
      <c r="A3125" s="2">
        <v>3124</v>
      </c>
      <c r="B3125" s="2" t="s">
        <v>7557</v>
      </c>
      <c r="C3125" s="2" t="s">
        <v>3009</v>
      </c>
      <c r="D3125" s="2" t="s">
        <v>28</v>
      </c>
      <c r="E3125" s="2" t="s">
        <v>29</v>
      </c>
      <c r="F3125" s="2">
        <v>90</v>
      </c>
      <c r="G3125" s="2" t="s">
        <v>7558</v>
      </c>
      <c r="H3125" s="2" t="s">
        <v>1977</v>
      </c>
      <c r="I3125" s="2" t="s">
        <v>124</v>
      </c>
      <c r="J3125" s="3">
        <v>44050</v>
      </c>
      <c r="K3125" s="2">
        <v>23</v>
      </c>
      <c r="L3125" s="2" t="s">
        <v>64</v>
      </c>
      <c r="M3125" s="3"/>
    </row>
    <row r="3126" spans="1:13" x14ac:dyDescent="0.3">
      <c r="A3126" s="2">
        <v>3125</v>
      </c>
      <c r="B3126" s="2" t="s">
        <v>5163</v>
      </c>
      <c r="C3126" s="2" t="s">
        <v>2715</v>
      </c>
      <c r="D3126" s="2" t="s">
        <v>28</v>
      </c>
      <c r="E3126" s="2" t="s">
        <v>29</v>
      </c>
      <c r="F3126" s="2">
        <v>90</v>
      </c>
      <c r="G3126" s="2" t="s">
        <v>7559</v>
      </c>
      <c r="H3126" s="2" t="s">
        <v>1884</v>
      </c>
      <c r="I3126" s="2" t="s">
        <v>1885</v>
      </c>
      <c r="J3126" s="3">
        <v>44684</v>
      </c>
      <c r="K3126" s="2">
        <v>18</v>
      </c>
      <c r="L3126" s="2" t="s">
        <v>70</v>
      </c>
      <c r="M3126" s="3"/>
    </row>
    <row r="3127" spans="1:13" x14ac:dyDescent="0.3">
      <c r="A3127" s="2">
        <v>3126</v>
      </c>
      <c r="B3127" s="2" t="s">
        <v>5975</v>
      </c>
      <c r="C3127" s="2" t="s">
        <v>134</v>
      </c>
      <c r="D3127" s="2" t="s">
        <v>28</v>
      </c>
      <c r="E3127" s="2" t="s">
        <v>29</v>
      </c>
      <c r="F3127" s="2">
        <v>90</v>
      </c>
      <c r="G3127" s="2" t="s">
        <v>7560</v>
      </c>
      <c r="H3127" s="2" t="s">
        <v>3056</v>
      </c>
      <c r="I3127" s="2" t="s">
        <v>187</v>
      </c>
      <c r="J3127" s="3">
        <v>44189</v>
      </c>
      <c r="K3127" s="2">
        <v>28</v>
      </c>
      <c r="L3127" s="2" t="s">
        <v>101</v>
      </c>
      <c r="M3127" s="3"/>
    </row>
    <row r="3128" spans="1:13" x14ac:dyDescent="0.3">
      <c r="A3128" s="2">
        <v>3127</v>
      </c>
      <c r="B3128" s="2" t="s">
        <v>7561</v>
      </c>
      <c r="C3128" s="2" t="s">
        <v>2458</v>
      </c>
      <c r="D3128" s="2" t="s">
        <v>28</v>
      </c>
      <c r="E3128" s="2" t="s">
        <v>29</v>
      </c>
      <c r="F3128" s="2">
        <v>30</v>
      </c>
      <c r="G3128" s="2" t="s">
        <v>7562</v>
      </c>
      <c r="H3128" s="2" t="s">
        <v>4760</v>
      </c>
      <c r="I3128" s="2" t="s">
        <v>32</v>
      </c>
      <c r="J3128" s="3">
        <v>44455</v>
      </c>
      <c r="K3128" s="2">
        <v>65</v>
      </c>
      <c r="L3128" s="2" t="s">
        <v>64</v>
      </c>
      <c r="M3128" s="3"/>
    </row>
    <row r="3129" spans="1:13" x14ac:dyDescent="0.3">
      <c r="A3129" s="2">
        <v>3128</v>
      </c>
      <c r="B3129" s="2" t="s">
        <v>339</v>
      </c>
      <c r="C3129" s="2" t="s">
        <v>6651</v>
      </c>
      <c r="D3129" s="2" t="s">
        <v>15</v>
      </c>
      <c r="E3129" s="2" t="s">
        <v>16</v>
      </c>
      <c r="F3129" s="2">
        <v>30</v>
      </c>
      <c r="G3129" s="2" t="s">
        <v>7563</v>
      </c>
      <c r="H3129" s="2" t="s">
        <v>5232</v>
      </c>
      <c r="I3129" s="2" t="s">
        <v>146</v>
      </c>
      <c r="J3129" s="3">
        <v>44796</v>
      </c>
      <c r="K3129" s="2">
        <v>102</v>
      </c>
      <c r="L3129" s="2" t="s">
        <v>45</v>
      </c>
      <c r="M3129" s="3"/>
    </row>
    <row r="3130" spans="1:13" x14ac:dyDescent="0.3">
      <c r="A3130" s="2">
        <v>3129</v>
      </c>
      <c r="B3130" s="2" t="s">
        <v>218</v>
      </c>
      <c r="C3130" s="2" t="s">
        <v>340</v>
      </c>
      <c r="D3130" s="2" t="s">
        <v>92</v>
      </c>
      <c r="E3130" s="2" t="s">
        <v>16</v>
      </c>
      <c r="F3130" s="2">
        <v>90</v>
      </c>
      <c r="G3130" s="2" t="s">
        <v>7564</v>
      </c>
      <c r="H3130" s="2" t="s">
        <v>2875</v>
      </c>
      <c r="I3130" s="2" t="s">
        <v>32</v>
      </c>
      <c r="J3130" s="3">
        <v>44551</v>
      </c>
      <c r="K3130" s="2">
        <v>5</v>
      </c>
      <c r="L3130" s="2" t="s">
        <v>33</v>
      </c>
      <c r="M3130" s="3"/>
    </row>
    <row r="3131" spans="1:13" x14ac:dyDescent="0.3">
      <c r="A3131" s="2">
        <v>3130</v>
      </c>
      <c r="B3131" s="2" t="s">
        <v>869</v>
      </c>
      <c r="C3131" s="2" t="s">
        <v>795</v>
      </c>
      <c r="D3131" s="2" t="s">
        <v>28</v>
      </c>
      <c r="E3131" s="2" t="s">
        <v>29</v>
      </c>
      <c r="F3131" s="2">
        <v>90</v>
      </c>
      <c r="G3131" s="2" t="s">
        <v>7565</v>
      </c>
      <c r="H3131" s="2" t="s">
        <v>4161</v>
      </c>
      <c r="I3131" s="2" t="s">
        <v>32</v>
      </c>
      <c r="J3131" s="3">
        <v>44312</v>
      </c>
      <c r="K3131" s="2">
        <v>62</v>
      </c>
      <c r="L3131" s="2" t="s">
        <v>20</v>
      </c>
      <c r="M3131" s="3"/>
    </row>
    <row r="3132" spans="1:13" x14ac:dyDescent="0.3">
      <c r="A3132" s="2">
        <v>3131</v>
      </c>
      <c r="B3132" s="2" t="s">
        <v>7566</v>
      </c>
      <c r="C3132" s="2" t="s">
        <v>5145</v>
      </c>
      <c r="D3132" s="2" t="s">
        <v>28</v>
      </c>
      <c r="E3132" s="2" t="s">
        <v>29</v>
      </c>
      <c r="F3132" s="2">
        <v>60</v>
      </c>
      <c r="G3132" s="2" t="s">
        <v>7567</v>
      </c>
      <c r="H3132" s="2" t="s">
        <v>382</v>
      </c>
      <c r="I3132" s="2" t="s">
        <v>32</v>
      </c>
      <c r="J3132" s="3">
        <v>44640</v>
      </c>
      <c r="K3132" s="2">
        <v>13</v>
      </c>
      <c r="L3132" s="2" t="s">
        <v>33</v>
      </c>
      <c r="M3132" s="3"/>
    </row>
    <row r="3133" spans="1:13" x14ac:dyDescent="0.3">
      <c r="A3133" s="2">
        <v>3132</v>
      </c>
      <c r="B3133" s="2" t="s">
        <v>3597</v>
      </c>
      <c r="C3133" s="2" t="s">
        <v>4485</v>
      </c>
      <c r="D3133" s="2" t="s">
        <v>15</v>
      </c>
      <c r="E3133" s="2" t="s">
        <v>16</v>
      </c>
      <c r="F3133" s="2">
        <v>90</v>
      </c>
      <c r="G3133" s="2" t="s">
        <v>7568</v>
      </c>
      <c r="H3133" s="2" t="s">
        <v>1723</v>
      </c>
      <c r="I3133" s="2" t="s">
        <v>173</v>
      </c>
      <c r="J3133" s="3">
        <v>44895</v>
      </c>
      <c r="K3133" s="2">
        <v>60</v>
      </c>
      <c r="L3133" s="2" t="s">
        <v>39</v>
      </c>
      <c r="M3133" s="3"/>
    </row>
    <row r="3134" spans="1:13" x14ac:dyDescent="0.3">
      <c r="A3134" s="2">
        <v>3133</v>
      </c>
      <c r="B3134" s="2" t="s">
        <v>6378</v>
      </c>
      <c r="C3134" s="2" t="s">
        <v>6933</v>
      </c>
      <c r="D3134" s="2" t="s">
        <v>28</v>
      </c>
      <c r="E3134" s="2" t="s">
        <v>29</v>
      </c>
      <c r="F3134" s="2">
        <v>60</v>
      </c>
      <c r="G3134" s="2" t="s">
        <v>7569</v>
      </c>
      <c r="H3134" s="2" t="s">
        <v>1609</v>
      </c>
      <c r="I3134" s="2" t="s">
        <v>32</v>
      </c>
      <c r="J3134" s="3">
        <v>44407</v>
      </c>
      <c r="K3134" s="2">
        <v>2</v>
      </c>
      <c r="L3134" s="2" t="s">
        <v>101</v>
      </c>
      <c r="M3134" s="3"/>
    </row>
    <row r="3135" spans="1:13" x14ac:dyDescent="0.3">
      <c r="A3135" s="2">
        <v>3134</v>
      </c>
      <c r="B3135" s="2" t="s">
        <v>1946</v>
      </c>
      <c r="C3135" s="2" t="s">
        <v>138</v>
      </c>
      <c r="D3135" s="2" t="s">
        <v>28</v>
      </c>
      <c r="E3135" s="2" t="s">
        <v>29</v>
      </c>
      <c r="F3135" s="2">
        <v>60</v>
      </c>
      <c r="G3135" s="2" t="s">
        <v>7570</v>
      </c>
      <c r="H3135" s="2" t="s">
        <v>3774</v>
      </c>
      <c r="I3135" s="2" t="s">
        <v>187</v>
      </c>
      <c r="J3135" s="3">
        <v>44099</v>
      </c>
      <c r="K3135" s="2">
        <v>72</v>
      </c>
      <c r="L3135" s="2" t="s">
        <v>20</v>
      </c>
      <c r="M3135" s="3"/>
    </row>
    <row r="3136" spans="1:13" x14ac:dyDescent="0.3">
      <c r="A3136" s="2">
        <v>3135</v>
      </c>
      <c r="B3136" s="2" t="s">
        <v>4775</v>
      </c>
      <c r="C3136" s="2" t="s">
        <v>2832</v>
      </c>
      <c r="D3136" s="2" t="s">
        <v>28</v>
      </c>
      <c r="E3136" s="2" t="s">
        <v>29</v>
      </c>
      <c r="F3136" s="2">
        <v>90</v>
      </c>
      <c r="G3136" s="2" t="s">
        <v>7571</v>
      </c>
      <c r="H3136" s="2" t="s">
        <v>7572</v>
      </c>
      <c r="I3136" s="2" t="s">
        <v>886</v>
      </c>
      <c r="J3136" s="3">
        <v>44236</v>
      </c>
      <c r="K3136" s="2">
        <v>81</v>
      </c>
      <c r="L3136" s="2" t="s">
        <v>54</v>
      </c>
      <c r="M3136" s="3"/>
    </row>
    <row r="3137" spans="1:13" x14ac:dyDescent="0.3">
      <c r="A3137" s="2">
        <v>3136</v>
      </c>
      <c r="B3137" s="2" t="s">
        <v>7573</v>
      </c>
      <c r="C3137" s="2" t="s">
        <v>1023</v>
      </c>
      <c r="D3137" s="2" t="s">
        <v>15</v>
      </c>
      <c r="E3137" s="2" t="s">
        <v>16</v>
      </c>
      <c r="F3137" s="2">
        <v>60</v>
      </c>
      <c r="G3137" s="2" t="s">
        <v>7574</v>
      </c>
      <c r="H3137" s="2" t="s">
        <v>558</v>
      </c>
      <c r="I3137" s="2" t="s">
        <v>32</v>
      </c>
      <c r="J3137" s="3">
        <v>44354</v>
      </c>
      <c r="K3137" s="2">
        <v>82</v>
      </c>
      <c r="L3137" s="2" t="s">
        <v>54</v>
      </c>
      <c r="M3137" s="3"/>
    </row>
    <row r="3138" spans="1:13" x14ac:dyDescent="0.3">
      <c r="A3138" s="2">
        <v>3137</v>
      </c>
      <c r="B3138" s="2" t="s">
        <v>960</v>
      </c>
      <c r="C3138" s="2" t="s">
        <v>3366</v>
      </c>
      <c r="D3138" s="2" t="s">
        <v>28</v>
      </c>
      <c r="E3138" s="2" t="s">
        <v>29</v>
      </c>
      <c r="F3138" s="2">
        <v>90</v>
      </c>
      <c r="G3138" s="2" t="s">
        <v>7575</v>
      </c>
      <c r="H3138" s="2" t="s">
        <v>2917</v>
      </c>
      <c r="I3138" s="2" t="s">
        <v>95</v>
      </c>
      <c r="J3138" s="3">
        <v>44768</v>
      </c>
      <c r="K3138" s="2">
        <v>38</v>
      </c>
      <c r="L3138" s="2" t="s">
        <v>33</v>
      </c>
      <c r="M3138" s="3"/>
    </row>
    <row r="3139" spans="1:13" x14ac:dyDescent="0.3">
      <c r="A3139" s="2">
        <v>3138</v>
      </c>
      <c r="B3139" s="2" t="s">
        <v>1140</v>
      </c>
      <c r="C3139" s="2" t="s">
        <v>928</v>
      </c>
      <c r="D3139" s="2" t="s">
        <v>28</v>
      </c>
      <c r="E3139" s="2" t="s">
        <v>29</v>
      </c>
      <c r="F3139" s="2">
        <v>90</v>
      </c>
      <c r="G3139" s="2" t="s">
        <v>7576</v>
      </c>
      <c r="H3139" s="2" t="s">
        <v>3579</v>
      </c>
      <c r="I3139" s="2" t="s">
        <v>1576</v>
      </c>
      <c r="J3139" s="3">
        <v>44313</v>
      </c>
      <c r="K3139" s="2">
        <v>75</v>
      </c>
      <c r="L3139" s="2" t="s">
        <v>20</v>
      </c>
      <c r="M3139" s="3"/>
    </row>
    <row r="3140" spans="1:13" x14ac:dyDescent="0.3">
      <c r="A3140" s="2">
        <v>3139</v>
      </c>
      <c r="B3140" s="2" t="s">
        <v>1563</v>
      </c>
      <c r="C3140" s="2" t="s">
        <v>7577</v>
      </c>
      <c r="D3140" s="2" t="s">
        <v>28</v>
      </c>
      <c r="E3140" s="2" t="s">
        <v>29</v>
      </c>
      <c r="F3140" s="2">
        <v>60</v>
      </c>
      <c r="G3140" s="2" t="s">
        <v>7578</v>
      </c>
      <c r="H3140" s="2" t="s">
        <v>5811</v>
      </c>
      <c r="I3140" s="2" t="s">
        <v>294</v>
      </c>
      <c r="J3140" s="3">
        <v>44667</v>
      </c>
      <c r="K3140" s="2">
        <v>55</v>
      </c>
      <c r="L3140" s="2" t="s">
        <v>159</v>
      </c>
      <c r="M3140" s="3"/>
    </row>
    <row r="3141" spans="1:13" x14ac:dyDescent="0.3">
      <c r="A3141" s="2">
        <v>3140</v>
      </c>
      <c r="B3141" s="2" t="s">
        <v>1351</v>
      </c>
      <c r="C3141" s="2" t="s">
        <v>4416</v>
      </c>
      <c r="D3141" s="2" t="s">
        <v>28</v>
      </c>
      <c r="E3141" s="2" t="s">
        <v>29</v>
      </c>
      <c r="F3141" s="2">
        <v>60</v>
      </c>
      <c r="G3141" s="2" t="s">
        <v>7579</v>
      </c>
      <c r="H3141" s="2" t="s">
        <v>4111</v>
      </c>
      <c r="I3141" s="2" t="s">
        <v>95</v>
      </c>
      <c r="J3141" s="3">
        <v>44771</v>
      </c>
      <c r="K3141" s="2">
        <v>82</v>
      </c>
      <c r="L3141" s="2" t="s">
        <v>45</v>
      </c>
      <c r="M3141" s="3"/>
    </row>
    <row r="3142" spans="1:13" x14ac:dyDescent="0.3">
      <c r="A3142" s="2">
        <v>3141</v>
      </c>
      <c r="B3142" s="2" t="s">
        <v>3469</v>
      </c>
      <c r="C3142" s="2" t="s">
        <v>2557</v>
      </c>
      <c r="D3142" s="2" t="s">
        <v>28</v>
      </c>
      <c r="E3142" s="2" t="s">
        <v>29</v>
      </c>
      <c r="F3142" s="2">
        <v>60</v>
      </c>
      <c r="G3142" s="2" t="s">
        <v>7579</v>
      </c>
      <c r="H3142" s="2" t="s">
        <v>4049</v>
      </c>
      <c r="I3142" s="2" t="s">
        <v>32</v>
      </c>
      <c r="J3142" s="3">
        <v>44647</v>
      </c>
      <c r="K3142" s="2">
        <v>64</v>
      </c>
      <c r="L3142" s="2" t="s">
        <v>33</v>
      </c>
      <c r="M3142" s="3"/>
    </row>
    <row r="3143" spans="1:13" x14ac:dyDescent="0.3">
      <c r="A3143" s="2">
        <v>3142</v>
      </c>
      <c r="B3143" s="2" t="s">
        <v>7580</v>
      </c>
      <c r="C3143" s="2" t="s">
        <v>3322</v>
      </c>
      <c r="D3143" s="2" t="s">
        <v>51</v>
      </c>
      <c r="E3143" s="2" t="s">
        <v>16</v>
      </c>
      <c r="F3143" s="2">
        <v>60</v>
      </c>
      <c r="G3143" s="2" t="s">
        <v>7581</v>
      </c>
      <c r="H3143" s="2" t="s">
        <v>5867</v>
      </c>
      <c r="I3143" s="2" t="s">
        <v>32</v>
      </c>
      <c r="J3143" s="3">
        <v>44694</v>
      </c>
      <c r="K3143" s="2">
        <v>57</v>
      </c>
      <c r="L3143" s="2" t="s">
        <v>54</v>
      </c>
      <c r="M3143" s="3"/>
    </row>
    <row r="3144" spans="1:13" x14ac:dyDescent="0.3">
      <c r="A3144" s="2">
        <v>3143</v>
      </c>
      <c r="B3144" s="2" t="s">
        <v>7582</v>
      </c>
      <c r="C3144" s="2" t="s">
        <v>4237</v>
      </c>
      <c r="D3144" s="2" t="s">
        <v>28</v>
      </c>
      <c r="E3144" s="2" t="s">
        <v>29</v>
      </c>
      <c r="F3144" s="2">
        <v>60</v>
      </c>
      <c r="G3144" s="2" t="s">
        <v>7583</v>
      </c>
      <c r="H3144" s="2" t="s">
        <v>7584</v>
      </c>
      <c r="I3144" s="2" t="s">
        <v>32</v>
      </c>
      <c r="J3144" s="3">
        <v>44707</v>
      </c>
      <c r="K3144" s="2">
        <v>97</v>
      </c>
      <c r="L3144" s="2" t="s">
        <v>64</v>
      </c>
      <c r="M3144" s="3"/>
    </row>
    <row r="3145" spans="1:13" x14ac:dyDescent="0.3">
      <c r="A3145" s="2">
        <v>3144</v>
      </c>
      <c r="B3145" s="2" t="s">
        <v>7585</v>
      </c>
      <c r="C3145" s="2" t="s">
        <v>1851</v>
      </c>
      <c r="D3145" s="2" t="s">
        <v>51</v>
      </c>
      <c r="E3145" s="2" t="s">
        <v>16</v>
      </c>
      <c r="F3145" s="2">
        <v>90</v>
      </c>
      <c r="G3145" s="2" t="s">
        <v>7586</v>
      </c>
      <c r="H3145" s="2" t="s">
        <v>3666</v>
      </c>
      <c r="I3145" s="2" t="s">
        <v>1483</v>
      </c>
      <c r="J3145" s="3">
        <v>44445</v>
      </c>
      <c r="K3145" s="2">
        <v>13</v>
      </c>
      <c r="L3145" s="2" t="s">
        <v>39</v>
      </c>
      <c r="M3145" s="3"/>
    </row>
    <row r="3146" spans="1:13" x14ac:dyDescent="0.3">
      <c r="A3146" s="2">
        <v>3145</v>
      </c>
      <c r="B3146" s="2" t="s">
        <v>7587</v>
      </c>
      <c r="C3146" s="2" t="s">
        <v>7588</v>
      </c>
      <c r="D3146" s="2" t="s">
        <v>51</v>
      </c>
      <c r="E3146" s="2" t="s">
        <v>16</v>
      </c>
      <c r="F3146" s="2">
        <v>30</v>
      </c>
      <c r="G3146" s="2" t="s">
        <v>7589</v>
      </c>
      <c r="H3146" s="2" t="s">
        <v>974</v>
      </c>
      <c r="I3146" s="2" t="s">
        <v>32</v>
      </c>
      <c r="J3146" s="3">
        <v>44642</v>
      </c>
      <c r="K3146" s="2">
        <v>99</v>
      </c>
      <c r="L3146" s="2" t="s">
        <v>159</v>
      </c>
      <c r="M3146" s="3"/>
    </row>
    <row r="3147" spans="1:13" x14ac:dyDescent="0.3">
      <c r="A3147" s="2">
        <v>3146</v>
      </c>
      <c r="B3147" s="2" t="s">
        <v>504</v>
      </c>
      <c r="C3147" s="2" t="s">
        <v>1047</v>
      </c>
      <c r="D3147" s="2" t="s">
        <v>28</v>
      </c>
      <c r="E3147" s="2" t="s">
        <v>29</v>
      </c>
      <c r="F3147" s="2">
        <v>30</v>
      </c>
      <c r="G3147" s="2" t="s">
        <v>7590</v>
      </c>
      <c r="H3147" s="2" t="s">
        <v>834</v>
      </c>
      <c r="I3147" s="2" t="s">
        <v>32</v>
      </c>
      <c r="J3147" s="3">
        <v>44747</v>
      </c>
      <c r="K3147" s="2">
        <v>54</v>
      </c>
      <c r="L3147" s="2" t="s">
        <v>20</v>
      </c>
      <c r="M3147" s="3"/>
    </row>
    <row r="3148" spans="1:13" x14ac:dyDescent="0.3">
      <c r="A3148" s="2">
        <v>3147</v>
      </c>
      <c r="B3148" s="2" t="s">
        <v>4625</v>
      </c>
      <c r="C3148" s="2" t="s">
        <v>3968</v>
      </c>
      <c r="D3148" s="2" t="s">
        <v>28</v>
      </c>
      <c r="E3148" s="2" t="s">
        <v>29</v>
      </c>
      <c r="F3148" s="2">
        <v>30</v>
      </c>
      <c r="G3148" s="2" t="s">
        <v>7591</v>
      </c>
      <c r="H3148" s="2" t="s">
        <v>1615</v>
      </c>
      <c r="I3148" s="2" t="s">
        <v>32</v>
      </c>
      <c r="J3148" s="3">
        <v>44164</v>
      </c>
      <c r="K3148" s="2">
        <v>62</v>
      </c>
      <c r="L3148" s="2" t="s">
        <v>33</v>
      </c>
      <c r="M3148" s="3"/>
    </row>
    <row r="3149" spans="1:13" x14ac:dyDescent="0.3">
      <c r="A3149" s="2">
        <v>3148</v>
      </c>
      <c r="B3149" s="2" t="s">
        <v>7592</v>
      </c>
      <c r="C3149" s="2" t="s">
        <v>7593</v>
      </c>
      <c r="D3149" s="2" t="s">
        <v>15</v>
      </c>
      <c r="E3149" s="2" t="s">
        <v>16</v>
      </c>
      <c r="F3149" s="2">
        <v>90</v>
      </c>
      <c r="G3149" s="2" t="s">
        <v>7594</v>
      </c>
      <c r="H3149" s="2" t="s">
        <v>1210</v>
      </c>
      <c r="I3149" s="2" t="s">
        <v>294</v>
      </c>
      <c r="J3149" s="3">
        <v>44547</v>
      </c>
      <c r="K3149" s="2">
        <v>15</v>
      </c>
      <c r="L3149" s="2" t="s">
        <v>80</v>
      </c>
      <c r="M3149" s="3"/>
    </row>
    <row r="3150" spans="1:13" x14ac:dyDescent="0.3">
      <c r="A3150" s="2">
        <v>3149</v>
      </c>
      <c r="B3150" s="2" t="s">
        <v>7595</v>
      </c>
      <c r="C3150" s="2" t="s">
        <v>414</v>
      </c>
      <c r="D3150" s="2" t="s">
        <v>28</v>
      </c>
      <c r="E3150" s="2" t="s">
        <v>29</v>
      </c>
      <c r="F3150" s="2">
        <v>60</v>
      </c>
      <c r="G3150" s="2" t="s">
        <v>7596</v>
      </c>
      <c r="H3150" s="2" t="s">
        <v>1667</v>
      </c>
      <c r="I3150" s="2" t="s">
        <v>32</v>
      </c>
      <c r="J3150" s="3">
        <v>44762</v>
      </c>
      <c r="K3150" s="2">
        <v>75</v>
      </c>
      <c r="L3150" s="2" t="s">
        <v>80</v>
      </c>
      <c r="M3150" s="3"/>
    </row>
    <row r="3151" spans="1:13" x14ac:dyDescent="0.3">
      <c r="A3151" s="2">
        <v>3150</v>
      </c>
      <c r="B3151" s="2" t="s">
        <v>7176</v>
      </c>
      <c r="C3151" s="2" t="s">
        <v>277</v>
      </c>
      <c r="D3151" s="2" t="s">
        <v>28</v>
      </c>
      <c r="E3151" s="2" t="s">
        <v>29</v>
      </c>
      <c r="F3151" s="2">
        <v>60</v>
      </c>
      <c r="G3151" s="2" t="s">
        <v>7597</v>
      </c>
      <c r="H3151" s="2" t="s">
        <v>4098</v>
      </c>
      <c r="I3151" s="2" t="s">
        <v>1889</v>
      </c>
      <c r="J3151" s="3">
        <v>44164</v>
      </c>
      <c r="K3151" s="2">
        <v>15</v>
      </c>
      <c r="L3151" s="2" t="s">
        <v>64</v>
      </c>
      <c r="M3151" s="3"/>
    </row>
    <row r="3152" spans="1:13" x14ac:dyDescent="0.3">
      <c r="A3152" s="2">
        <v>3151</v>
      </c>
      <c r="B3152" s="2" t="s">
        <v>3655</v>
      </c>
      <c r="C3152" s="2" t="s">
        <v>4399</v>
      </c>
      <c r="D3152" s="2" t="s">
        <v>28</v>
      </c>
      <c r="E3152" s="2" t="s">
        <v>29</v>
      </c>
      <c r="F3152" s="2">
        <v>60</v>
      </c>
      <c r="G3152" s="2" t="s">
        <v>7597</v>
      </c>
      <c r="H3152" s="2" t="s">
        <v>7598</v>
      </c>
      <c r="I3152" s="2" t="s">
        <v>187</v>
      </c>
      <c r="J3152" s="3">
        <v>44123</v>
      </c>
      <c r="K3152" s="2">
        <v>50</v>
      </c>
      <c r="L3152" s="2" t="s">
        <v>54</v>
      </c>
      <c r="M3152" s="3"/>
    </row>
    <row r="3153" spans="1:13" x14ac:dyDescent="0.3">
      <c r="A3153" s="2">
        <v>3152</v>
      </c>
      <c r="B3153" s="2" t="s">
        <v>1703</v>
      </c>
      <c r="C3153" s="2" t="s">
        <v>131</v>
      </c>
      <c r="D3153" s="2" t="s">
        <v>28</v>
      </c>
      <c r="E3153" s="2" t="s">
        <v>29</v>
      </c>
      <c r="F3153" s="2">
        <v>30</v>
      </c>
      <c r="G3153" s="2" t="s">
        <v>7599</v>
      </c>
      <c r="H3153" s="2" t="s">
        <v>607</v>
      </c>
      <c r="I3153" s="2" t="s">
        <v>32</v>
      </c>
      <c r="J3153" s="3">
        <v>44368</v>
      </c>
      <c r="K3153" s="2">
        <v>44</v>
      </c>
      <c r="L3153" s="2" t="s">
        <v>54</v>
      </c>
      <c r="M3153" s="3"/>
    </row>
    <row r="3154" spans="1:13" x14ac:dyDescent="0.3">
      <c r="A3154" s="2">
        <v>3153</v>
      </c>
      <c r="B3154" s="2" t="s">
        <v>7245</v>
      </c>
      <c r="C3154" s="2" t="s">
        <v>161</v>
      </c>
      <c r="D3154" s="2" t="s">
        <v>51</v>
      </c>
      <c r="E3154" s="2" t="s">
        <v>16</v>
      </c>
      <c r="F3154" s="2">
        <v>30</v>
      </c>
      <c r="G3154" s="2" t="s">
        <v>7600</v>
      </c>
      <c r="H3154" s="2" t="s">
        <v>1515</v>
      </c>
      <c r="I3154" s="2" t="s">
        <v>124</v>
      </c>
      <c r="J3154" s="3">
        <v>44116</v>
      </c>
      <c r="K3154" s="2">
        <v>53</v>
      </c>
      <c r="L3154" s="2" t="s">
        <v>101</v>
      </c>
      <c r="M3154" s="3"/>
    </row>
    <row r="3155" spans="1:13" x14ac:dyDescent="0.3">
      <c r="A3155" s="2">
        <v>3154</v>
      </c>
      <c r="B3155" s="2" t="s">
        <v>6616</v>
      </c>
      <c r="C3155" s="2" t="s">
        <v>2518</v>
      </c>
      <c r="D3155" s="2" t="s">
        <v>15</v>
      </c>
      <c r="E3155" s="2" t="s">
        <v>16</v>
      </c>
      <c r="F3155" s="2">
        <v>60</v>
      </c>
      <c r="G3155" s="2" t="s">
        <v>7601</v>
      </c>
      <c r="H3155" s="2" t="s">
        <v>3206</v>
      </c>
      <c r="I3155" s="2" t="s">
        <v>1199</v>
      </c>
      <c r="J3155" s="3">
        <v>44342</v>
      </c>
      <c r="K3155" s="2">
        <v>89</v>
      </c>
      <c r="L3155" s="2" t="s">
        <v>159</v>
      </c>
      <c r="M3155" s="3"/>
    </row>
    <row r="3156" spans="1:13" x14ac:dyDescent="0.3">
      <c r="A3156" s="2">
        <v>3155</v>
      </c>
      <c r="B3156" s="2" t="s">
        <v>4224</v>
      </c>
      <c r="C3156" s="2" t="s">
        <v>210</v>
      </c>
      <c r="D3156" s="2" t="s">
        <v>28</v>
      </c>
      <c r="E3156" s="2" t="s">
        <v>29</v>
      </c>
      <c r="F3156" s="2">
        <v>60</v>
      </c>
      <c r="G3156" s="2" t="s">
        <v>7602</v>
      </c>
      <c r="H3156" s="2" t="s">
        <v>1845</v>
      </c>
      <c r="I3156" s="2" t="s">
        <v>294</v>
      </c>
      <c r="J3156" s="3">
        <v>44492</v>
      </c>
      <c r="K3156" s="2">
        <v>67</v>
      </c>
      <c r="L3156" s="2" t="s">
        <v>54</v>
      </c>
      <c r="M3156" s="3"/>
    </row>
    <row r="3157" spans="1:13" x14ac:dyDescent="0.3">
      <c r="A3157" s="2">
        <v>3156</v>
      </c>
      <c r="B3157" s="2" t="s">
        <v>3973</v>
      </c>
      <c r="C3157" s="2" t="s">
        <v>5145</v>
      </c>
      <c r="D3157" s="2" t="s">
        <v>28</v>
      </c>
      <c r="E3157" s="2" t="s">
        <v>29</v>
      </c>
      <c r="F3157" s="2">
        <v>30</v>
      </c>
      <c r="G3157" s="2" t="s">
        <v>7603</v>
      </c>
      <c r="H3157" s="2" t="s">
        <v>4441</v>
      </c>
      <c r="I3157" s="2" t="s">
        <v>146</v>
      </c>
      <c r="J3157" s="3">
        <v>44715</v>
      </c>
      <c r="K3157" s="2">
        <v>31</v>
      </c>
      <c r="L3157" s="2" t="s">
        <v>64</v>
      </c>
      <c r="M3157" s="3"/>
    </row>
    <row r="3158" spans="1:13" x14ac:dyDescent="0.3">
      <c r="A3158" s="2">
        <v>3157</v>
      </c>
      <c r="B3158" s="2" t="s">
        <v>921</v>
      </c>
      <c r="C3158" s="2" t="s">
        <v>5712</v>
      </c>
      <c r="D3158" s="2" t="s">
        <v>28</v>
      </c>
      <c r="E3158" s="2" t="s">
        <v>29</v>
      </c>
      <c r="F3158" s="2">
        <v>90</v>
      </c>
      <c r="G3158" s="2" t="s">
        <v>7604</v>
      </c>
      <c r="H3158" s="2" t="s">
        <v>2822</v>
      </c>
      <c r="I3158" s="2" t="s">
        <v>32</v>
      </c>
      <c r="J3158" s="3">
        <v>44787</v>
      </c>
      <c r="K3158" s="2">
        <v>8</v>
      </c>
      <c r="L3158" s="2" t="s">
        <v>20</v>
      </c>
      <c r="M3158" s="3"/>
    </row>
    <row r="3159" spans="1:13" x14ac:dyDescent="0.3">
      <c r="A3159" s="2">
        <v>3158</v>
      </c>
      <c r="B3159" s="2" t="s">
        <v>1211</v>
      </c>
      <c r="C3159" s="2" t="s">
        <v>2438</v>
      </c>
      <c r="D3159" s="2" t="s">
        <v>28</v>
      </c>
      <c r="E3159" s="2" t="s">
        <v>29</v>
      </c>
      <c r="F3159" s="2">
        <v>90</v>
      </c>
      <c r="G3159" s="2" t="s">
        <v>7605</v>
      </c>
      <c r="H3159" s="2" t="s">
        <v>1329</v>
      </c>
      <c r="I3159" s="2" t="s">
        <v>95</v>
      </c>
      <c r="J3159" s="3">
        <v>44546</v>
      </c>
      <c r="K3159" s="2">
        <v>89</v>
      </c>
      <c r="L3159" s="2" t="s">
        <v>20</v>
      </c>
      <c r="M3159" s="3"/>
    </row>
    <row r="3160" spans="1:13" x14ac:dyDescent="0.3">
      <c r="A3160" s="2">
        <v>3159</v>
      </c>
      <c r="B3160" s="2" t="s">
        <v>7606</v>
      </c>
      <c r="C3160" s="2" t="s">
        <v>7607</v>
      </c>
      <c r="D3160" s="2" t="s">
        <v>15</v>
      </c>
      <c r="E3160" s="2" t="s">
        <v>16</v>
      </c>
      <c r="F3160" s="2">
        <v>60</v>
      </c>
      <c r="G3160" s="2" t="s">
        <v>7608</v>
      </c>
      <c r="H3160" s="2" t="s">
        <v>5521</v>
      </c>
      <c r="I3160" s="2" t="s">
        <v>25</v>
      </c>
      <c r="J3160" s="3">
        <v>44107</v>
      </c>
      <c r="K3160" s="2">
        <v>58</v>
      </c>
      <c r="L3160" s="2" t="s">
        <v>159</v>
      </c>
      <c r="M3160" s="3"/>
    </row>
    <row r="3161" spans="1:13" x14ac:dyDescent="0.3">
      <c r="A3161" s="2">
        <v>3160</v>
      </c>
      <c r="B3161" s="2" t="s">
        <v>2371</v>
      </c>
      <c r="C3161" s="2" t="s">
        <v>7187</v>
      </c>
      <c r="D3161" s="2" t="s">
        <v>51</v>
      </c>
      <c r="E3161" s="2" t="s">
        <v>16</v>
      </c>
      <c r="F3161" s="2">
        <v>30</v>
      </c>
      <c r="G3161" s="2" t="s">
        <v>7609</v>
      </c>
      <c r="H3161" s="2" t="s">
        <v>6259</v>
      </c>
      <c r="I3161" s="2" t="s">
        <v>6260</v>
      </c>
      <c r="J3161" s="3">
        <v>44452</v>
      </c>
      <c r="K3161" s="2">
        <v>2</v>
      </c>
      <c r="L3161" s="2" t="s">
        <v>20</v>
      </c>
      <c r="M3161" s="3"/>
    </row>
    <row r="3162" spans="1:13" x14ac:dyDescent="0.3">
      <c r="A3162" s="2">
        <v>3161</v>
      </c>
      <c r="B3162" s="2" t="s">
        <v>5272</v>
      </c>
      <c r="C3162" s="2" t="s">
        <v>2563</v>
      </c>
      <c r="D3162" s="2" t="s">
        <v>28</v>
      </c>
      <c r="E3162" s="2" t="s">
        <v>29</v>
      </c>
      <c r="F3162" s="2">
        <v>30</v>
      </c>
      <c r="G3162" s="2" t="s">
        <v>7610</v>
      </c>
      <c r="H3162" s="2" t="s">
        <v>1732</v>
      </c>
      <c r="I3162" s="2" t="s">
        <v>1733</v>
      </c>
      <c r="J3162" s="3">
        <v>44434</v>
      </c>
      <c r="K3162" s="2">
        <v>74</v>
      </c>
      <c r="L3162" s="2" t="s">
        <v>39</v>
      </c>
      <c r="M3162" s="3"/>
    </row>
    <row r="3163" spans="1:13" x14ac:dyDescent="0.3">
      <c r="A3163" s="2">
        <v>3162</v>
      </c>
      <c r="B3163" s="2" t="s">
        <v>7611</v>
      </c>
      <c r="C3163" s="2" t="s">
        <v>472</v>
      </c>
      <c r="D3163" s="2" t="s">
        <v>51</v>
      </c>
      <c r="E3163" s="2" t="s">
        <v>16</v>
      </c>
      <c r="F3163" s="2">
        <v>90</v>
      </c>
      <c r="G3163" s="2" t="s">
        <v>7610</v>
      </c>
      <c r="H3163" s="2" t="s">
        <v>412</v>
      </c>
      <c r="I3163" s="2" t="s">
        <v>187</v>
      </c>
      <c r="J3163" s="3">
        <v>44198</v>
      </c>
      <c r="K3163" s="2">
        <v>6</v>
      </c>
      <c r="L3163" s="2" t="s">
        <v>70</v>
      </c>
      <c r="M3163" s="3"/>
    </row>
    <row r="3164" spans="1:13" x14ac:dyDescent="0.3">
      <c r="A3164" s="2">
        <v>3163</v>
      </c>
      <c r="B3164" s="2" t="s">
        <v>7612</v>
      </c>
      <c r="C3164" s="2" t="s">
        <v>3535</v>
      </c>
      <c r="D3164" s="2" t="s">
        <v>92</v>
      </c>
      <c r="E3164" s="2" t="s">
        <v>16</v>
      </c>
      <c r="F3164" s="2">
        <v>90</v>
      </c>
      <c r="G3164" s="2" t="s">
        <v>7613</v>
      </c>
      <c r="H3164" s="2" t="s">
        <v>4413</v>
      </c>
      <c r="I3164" s="2" t="s">
        <v>32</v>
      </c>
      <c r="J3164" s="3">
        <v>44106</v>
      </c>
      <c r="K3164" s="2">
        <v>33</v>
      </c>
      <c r="L3164" s="2" t="s">
        <v>54</v>
      </c>
      <c r="M3164" s="3"/>
    </row>
    <row r="3165" spans="1:13" x14ac:dyDescent="0.3">
      <c r="A3165" s="2">
        <v>3164</v>
      </c>
      <c r="B3165" s="2" t="s">
        <v>7614</v>
      </c>
      <c r="C3165" s="2" t="s">
        <v>5290</v>
      </c>
      <c r="D3165" s="2" t="s">
        <v>41</v>
      </c>
      <c r="E3165" s="2" t="s">
        <v>16</v>
      </c>
      <c r="F3165" s="2">
        <v>90</v>
      </c>
      <c r="G3165" s="2" t="s">
        <v>7615</v>
      </c>
      <c r="H3165" s="2" t="s">
        <v>868</v>
      </c>
      <c r="I3165" s="2" t="s">
        <v>32</v>
      </c>
      <c r="J3165" s="3">
        <v>44496</v>
      </c>
      <c r="K3165" s="2">
        <v>93</v>
      </c>
      <c r="L3165" s="2" t="s">
        <v>101</v>
      </c>
      <c r="M3165" s="3"/>
    </row>
    <row r="3166" spans="1:13" x14ac:dyDescent="0.3">
      <c r="A3166" s="2">
        <v>3165</v>
      </c>
      <c r="B3166" s="2" t="s">
        <v>7614</v>
      </c>
      <c r="C3166" s="2" t="s">
        <v>5290</v>
      </c>
      <c r="D3166" s="2" t="s">
        <v>41</v>
      </c>
      <c r="E3166" s="2" t="s">
        <v>16</v>
      </c>
      <c r="F3166" s="2">
        <v>90</v>
      </c>
      <c r="G3166" s="2" t="s">
        <v>7615</v>
      </c>
      <c r="H3166" s="2" t="s">
        <v>868</v>
      </c>
      <c r="I3166" s="2" t="s">
        <v>32</v>
      </c>
      <c r="J3166" s="3">
        <v>44496</v>
      </c>
      <c r="K3166" s="2">
        <v>93</v>
      </c>
      <c r="L3166" s="2" t="s">
        <v>101</v>
      </c>
      <c r="M3166" s="3"/>
    </row>
    <row r="3167" spans="1:13" x14ac:dyDescent="0.3">
      <c r="A3167" s="2">
        <v>3166</v>
      </c>
      <c r="B3167" s="2" t="s">
        <v>2251</v>
      </c>
      <c r="C3167" s="2" t="s">
        <v>791</v>
      </c>
      <c r="D3167" s="2" t="s">
        <v>28</v>
      </c>
      <c r="E3167" s="2" t="s">
        <v>29</v>
      </c>
      <c r="F3167" s="2">
        <v>60</v>
      </c>
      <c r="G3167" s="2" t="s">
        <v>7616</v>
      </c>
      <c r="H3167" s="2" t="s">
        <v>1754</v>
      </c>
      <c r="I3167" s="2" t="s">
        <v>25</v>
      </c>
      <c r="J3167" s="3">
        <v>44540</v>
      </c>
      <c r="K3167" s="2">
        <v>23</v>
      </c>
      <c r="L3167" s="2" t="s">
        <v>70</v>
      </c>
      <c r="M3167" s="3"/>
    </row>
    <row r="3168" spans="1:13" x14ac:dyDescent="0.3">
      <c r="A3168" s="2">
        <v>3167</v>
      </c>
      <c r="B3168" s="2" t="s">
        <v>1828</v>
      </c>
      <c r="C3168" s="2" t="s">
        <v>5788</v>
      </c>
      <c r="D3168" s="2" t="s">
        <v>92</v>
      </c>
      <c r="E3168" s="2" t="s">
        <v>29</v>
      </c>
      <c r="F3168" s="2">
        <v>30</v>
      </c>
      <c r="G3168" s="2" t="s">
        <v>7617</v>
      </c>
      <c r="H3168" s="2" t="s">
        <v>5992</v>
      </c>
      <c r="I3168" s="2" t="s">
        <v>25</v>
      </c>
      <c r="J3168" s="3">
        <v>44774</v>
      </c>
      <c r="K3168" s="2">
        <v>4</v>
      </c>
      <c r="L3168" s="2" t="s">
        <v>101</v>
      </c>
      <c r="M3168" s="3"/>
    </row>
    <row r="3169" spans="1:13" x14ac:dyDescent="0.3">
      <c r="A3169" s="2">
        <v>3168</v>
      </c>
      <c r="B3169" s="2" t="s">
        <v>5083</v>
      </c>
      <c r="C3169" s="2" t="s">
        <v>7618</v>
      </c>
      <c r="D3169" s="2" t="s">
        <v>28</v>
      </c>
      <c r="E3169" s="2" t="s">
        <v>29</v>
      </c>
      <c r="F3169" s="2">
        <v>60</v>
      </c>
      <c r="G3169" s="2" t="s">
        <v>7619</v>
      </c>
      <c r="H3169" s="2" t="s">
        <v>1022</v>
      </c>
      <c r="I3169" s="2" t="s">
        <v>164</v>
      </c>
      <c r="J3169" s="3">
        <v>44221</v>
      </c>
      <c r="K3169" s="2">
        <v>5</v>
      </c>
      <c r="L3169" s="2" t="s">
        <v>45</v>
      </c>
      <c r="M3169" s="3"/>
    </row>
    <row r="3170" spans="1:13" x14ac:dyDescent="0.3">
      <c r="A3170" s="2">
        <v>3169</v>
      </c>
      <c r="B3170" s="2" t="s">
        <v>5410</v>
      </c>
      <c r="C3170" s="2" t="s">
        <v>2594</v>
      </c>
      <c r="D3170" s="2" t="s">
        <v>15</v>
      </c>
      <c r="E3170" s="2" t="s">
        <v>16</v>
      </c>
      <c r="F3170" s="2">
        <v>30</v>
      </c>
      <c r="G3170" s="2" t="s">
        <v>7620</v>
      </c>
      <c r="H3170" s="2" t="s">
        <v>3428</v>
      </c>
      <c r="I3170" s="2" t="s">
        <v>38</v>
      </c>
      <c r="J3170" s="3">
        <v>44752</v>
      </c>
      <c r="K3170" s="2">
        <v>26</v>
      </c>
      <c r="L3170" s="2" t="s">
        <v>80</v>
      </c>
      <c r="M3170" s="3"/>
    </row>
    <row r="3171" spans="1:13" x14ac:dyDescent="0.3">
      <c r="A3171" s="2">
        <v>3170</v>
      </c>
      <c r="B3171" s="2" t="s">
        <v>735</v>
      </c>
      <c r="C3171" s="2" t="s">
        <v>4913</v>
      </c>
      <c r="D3171" s="2" t="s">
        <v>28</v>
      </c>
      <c r="E3171" s="2" t="s">
        <v>29</v>
      </c>
      <c r="F3171" s="2">
        <v>30</v>
      </c>
      <c r="G3171" s="2" t="s">
        <v>7621</v>
      </c>
      <c r="H3171" s="2" t="s">
        <v>1210</v>
      </c>
      <c r="I3171" s="2" t="s">
        <v>294</v>
      </c>
      <c r="J3171" s="3">
        <v>44365</v>
      </c>
      <c r="K3171" s="2">
        <v>50</v>
      </c>
      <c r="L3171" s="2" t="s">
        <v>64</v>
      </c>
      <c r="M3171" s="3"/>
    </row>
    <row r="3172" spans="1:13" x14ac:dyDescent="0.3">
      <c r="A3172" s="2">
        <v>3171</v>
      </c>
      <c r="B3172" s="2" t="s">
        <v>2701</v>
      </c>
      <c r="C3172" s="2" t="s">
        <v>7622</v>
      </c>
      <c r="D3172" s="2" t="s">
        <v>28</v>
      </c>
      <c r="E3172" s="2" t="s">
        <v>29</v>
      </c>
      <c r="F3172" s="2">
        <v>30</v>
      </c>
      <c r="G3172" s="2" t="s">
        <v>7623</v>
      </c>
      <c r="H3172" s="2" t="s">
        <v>400</v>
      </c>
      <c r="I3172" s="2" t="s">
        <v>401</v>
      </c>
      <c r="J3172" s="3">
        <v>44853</v>
      </c>
      <c r="K3172" s="2">
        <v>101</v>
      </c>
      <c r="L3172" s="2" t="s">
        <v>70</v>
      </c>
      <c r="M3172" s="3"/>
    </row>
    <row r="3173" spans="1:13" x14ac:dyDescent="0.3">
      <c r="A3173" s="2">
        <v>3172</v>
      </c>
      <c r="B3173" s="2" t="s">
        <v>7624</v>
      </c>
      <c r="C3173" s="2" t="s">
        <v>1470</v>
      </c>
      <c r="D3173" s="2" t="s">
        <v>15</v>
      </c>
      <c r="E3173" s="2" t="s">
        <v>16</v>
      </c>
      <c r="F3173" s="2">
        <v>60</v>
      </c>
      <c r="G3173" s="2" t="s">
        <v>7625</v>
      </c>
      <c r="H3173" s="2" t="s">
        <v>768</v>
      </c>
      <c r="I3173" s="2" t="s">
        <v>124</v>
      </c>
      <c r="J3173" s="3">
        <v>43902</v>
      </c>
      <c r="K3173" s="2">
        <v>69</v>
      </c>
      <c r="L3173" s="2" t="s">
        <v>54</v>
      </c>
      <c r="M3173" s="3"/>
    </row>
    <row r="3174" spans="1:13" x14ac:dyDescent="0.3">
      <c r="A3174" s="2">
        <v>3173</v>
      </c>
      <c r="B3174" s="2" t="s">
        <v>7626</v>
      </c>
      <c r="C3174" s="2" t="s">
        <v>7627</v>
      </c>
      <c r="D3174" s="2" t="s">
        <v>28</v>
      </c>
      <c r="E3174" s="2" t="s">
        <v>29</v>
      </c>
      <c r="F3174" s="2">
        <v>90</v>
      </c>
      <c r="G3174" s="2" t="s">
        <v>7628</v>
      </c>
      <c r="H3174" s="2" t="s">
        <v>3391</v>
      </c>
      <c r="I3174" s="2" t="s">
        <v>3392</v>
      </c>
      <c r="J3174" s="3">
        <v>44248</v>
      </c>
      <c r="K3174" s="2">
        <v>43</v>
      </c>
      <c r="L3174" s="2" t="s">
        <v>33</v>
      </c>
      <c r="M3174" s="3"/>
    </row>
    <row r="3175" spans="1:13" x14ac:dyDescent="0.3">
      <c r="A3175" s="2">
        <v>3174</v>
      </c>
      <c r="B3175" s="2" t="s">
        <v>5725</v>
      </c>
      <c r="C3175" s="2" t="s">
        <v>7629</v>
      </c>
      <c r="D3175" s="2" t="s">
        <v>28</v>
      </c>
      <c r="E3175" s="2" t="s">
        <v>29</v>
      </c>
      <c r="F3175" s="2">
        <v>60</v>
      </c>
      <c r="G3175" s="2" t="s">
        <v>7630</v>
      </c>
      <c r="H3175" s="2" t="s">
        <v>133</v>
      </c>
      <c r="I3175" s="2" t="s">
        <v>124</v>
      </c>
      <c r="J3175" s="3">
        <v>44447</v>
      </c>
      <c r="K3175" s="2">
        <v>37</v>
      </c>
      <c r="L3175" s="2" t="s">
        <v>39</v>
      </c>
      <c r="M3175" s="3"/>
    </row>
    <row r="3176" spans="1:13" x14ac:dyDescent="0.3">
      <c r="A3176" s="2">
        <v>3175</v>
      </c>
      <c r="B3176" s="2" t="s">
        <v>4236</v>
      </c>
      <c r="C3176" s="2" t="s">
        <v>3917</v>
      </c>
      <c r="D3176" s="2" t="s">
        <v>51</v>
      </c>
      <c r="E3176" s="2" t="s">
        <v>16</v>
      </c>
      <c r="F3176" s="2">
        <v>60</v>
      </c>
      <c r="G3176" s="2" t="s">
        <v>7631</v>
      </c>
      <c r="H3176" s="2" t="s">
        <v>3116</v>
      </c>
      <c r="I3176" s="2" t="s">
        <v>32</v>
      </c>
      <c r="J3176" s="3">
        <v>43991</v>
      </c>
      <c r="K3176" s="2">
        <v>39</v>
      </c>
      <c r="L3176" s="2" t="s">
        <v>39</v>
      </c>
      <c r="M3176" s="3"/>
    </row>
    <row r="3177" spans="1:13" x14ac:dyDescent="0.3">
      <c r="A3177" s="2">
        <v>3176</v>
      </c>
      <c r="B3177" s="2" t="s">
        <v>4099</v>
      </c>
      <c r="C3177" s="2" t="s">
        <v>7632</v>
      </c>
      <c r="D3177" s="2" t="s">
        <v>15</v>
      </c>
      <c r="E3177" s="2" t="s">
        <v>16</v>
      </c>
      <c r="F3177" s="2">
        <v>30</v>
      </c>
      <c r="G3177" s="2" t="s">
        <v>7631</v>
      </c>
      <c r="H3177" s="2" t="s">
        <v>6516</v>
      </c>
      <c r="I3177" s="2" t="s">
        <v>32</v>
      </c>
      <c r="J3177" s="3">
        <v>44612</v>
      </c>
      <c r="K3177" s="2">
        <v>35</v>
      </c>
      <c r="L3177" s="2" t="s">
        <v>70</v>
      </c>
      <c r="M3177" s="3"/>
    </row>
    <row r="3178" spans="1:13" x14ac:dyDescent="0.3">
      <c r="A3178" s="2">
        <v>3177</v>
      </c>
      <c r="B3178" s="2" t="s">
        <v>3140</v>
      </c>
      <c r="C3178" s="2" t="s">
        <v>961</v>
      </c>
      <c r="D3178" s="2" t="s">
        <v>28</v>
      </c>
      <c r="E3178" s="2" t="s">
        <v>29</v>
      </c>
      <c r="F3178" s="2">
        <v>90</v>
      </c>
      <c r="G3178" s="2" t="s">
        <v>7633</v>
      </c>
      <c r="H3178" s="2" t="s">
        <v>2305</v>
      </c>
      <c r="I3178" s="2" t="s">
        <v>25</v>
      </c>
      <c r="J3178" s="3">
        <v>44304</v>
      </c>
      <c r="K3178" s="2">
        <v>87</v>
      </c>
      <c r="L3178" s="2" t="s">
        <v>159</v>
      </c>
      <c r="M3178" s="3"/>
    </row>
    <row r="3179" spans="1:13" x14ac:dyDescent="0.3">
      <c r="A3179" s="2">
        <v>3178</v>
      </c>
      <c r="B3179" s="2" t="s">
        <v>7634</v>
      </c>
      <c r="C3179" s="2" t="s">
        <v>2650</v>
      </c>
      <c r="D3179" s="2" t="s">
        <v>51</v>
      </c>
      <c r="E3179" s="2" t="s">
        <v>16</v>
      </c>
      <c r="F3179" s="2">
        <v>30</v>
      </c>
      <c r="G3179" s="2" t="s">
        <v>7635</v>
      </c>
      <c r="H3179" s="2" t="s">
        <v>7636</v>
      </c>
      <c r="I3179" s="2" t="s">
        <v>32</v>
      </c>
      <c r="J3179" s="3">
        <v>44080</v>
      </c>
      <c r="K3179" s="2">
        <v>56</v>
      </c>
      <c r="L3179" s="2" t="s">
        <v>20</v>
      </c>
      <c r="M3179" s="3"/>
    </row>
    <row r="3180" spans="1:13" x14ac:dyDescent="0.3">
      <c r="A3180" s="2">
        <v>3179</v>
      </c>
      <c r="B3180" s="2" t="s">
        <v>7637</v>
      </c>
      <c r="C3180" s="2" t="s">
        <v>1558</v>
      </c>
      <c r="D3180" s="2" t="s">
        <v>15</v>
      </c>
      <c r="E3180" s="2" t="s">
        <v>16</v>
      </c>
      <c r="F3180" s="2">
        <v>90</v>
      </c>
      <c r="G3180" s="2" t="s">
        <v>7638</v>
      </c>
      <c r="H3180" s="2" t="s">
        <v>1548</v>
      </c>
      <c r="I3180" s="2" t="s">
        <v>1549</v>
      </c>
      <c r="J3180" s="3">
        <v>44528</v>
      </c>
      <c r="K3180" s="2">
        <v>24</v>
      </c>
      <c r="L3180" s="2" t="s">
        <v>33</v>
      </c>
      <c r="M3180" s="3"/>
    </row>
    <row r="3181" spans="1:13" x14ac:dyDescent="0.3">
      <c r="A3181" s="2">
        <v>3180</v>
      </c>
      <c r="B3181" s="2" t="s">
        <v>6896</v>
      </c>
      <c r="C3181" s="2" t="s">
        <v>3111</v>
      </c>
      <c r="D3181" s="2" t="s">
        <v>15</v>
      </c>
      <c r="E3181" s="2" t="s">
        <v>7639</v>
      </c>
      <c r="F3181" s="2">
        <v>90</v>
      </c>
      <c r="G3181" s="2" t="s">
        <v>7640</v>
      </c>
      <c r="H3181" s="2" t="s">
        <v>99</v>
      </c>
      <c r="I3181" s="2" t="s">
        <v>100</v>
      </c>
      <c r="J3181" s="3">
        <v>44429</v>
      </c>
      <c r="K3181" s="2">
        <v>51</v>
      </c>
      <c r="L3181" s="2" t="s">
        <v>159</v>
      </c>
      <c r="M3181" s="3"/>
    </row>
    <row r="3182" spans="1:13" x14ac:dyDescent="0.3">
      <c r="A3182" s="2">
        <v>3181</v>
      </c>
      <c r="B3182" s="2" t="s">
        <v>2455</v>
      </c>
      <c r="C3182" s="2" t="s">
        <v>651</v>
      </c>
      <c r="D3182" s="2" t="s">
        <v>15</v>
      </c>
      <c r="E3182" s="2" t="s">
        <v>16</v>
      </c>
      <c r="F3182" s="2">
        <v>90</v>
      </c>
      <c r="G3182" s="2" t="s">
        <v>7640</v>
      </c>
      <c r="H3182" s="2" t="s">
        <v>3551</v>
      </c>
      <c r="I3182" s="2" t="s">
        <v>32</v>
      </c>
      <c r="J3182" s="3">
        <v>44805</v>
      </c>
      <c r="K3182" s="2">
        <v>78</v>
      </c>
      <c r="L3182" s="2" t="s">
        <v>64</v>
      </c>
      <c r="M3182" s="3"/>
    </row>
    <row r="3183" spans="1:13" x14ac:dyDescent="0.3">
      <c r="A3183" s="2">
        <v>3182</v>
      </c>
      <c r="B3183" s="2" t="s">
        <v>5045</v>
      </c>
      <c r="C3183" s="2" t="s">
        <v>3529</v>
      </c>
      <c r="D3183" s="2" t="s">
        <v>15</v>
      </c>
      <c r="E3183" s="2" t="s">
        <v>16</v>
      </c>
      <c r="F3183" s="2">
        <v>60</v>
      </c>
      <c r="G3183" s="2" t="s">
        <v>7641</v>
      </c>
      <c r="H3183" s="2" t="s">
        <v>7642</v>
      </c>
      <c r="I3183" s="2" t="s">
        <v>32</v>
      </c>
      <c r="J3183" s="3">
        <v>44812</v>
      </c>
      <c r="K3183" s="2">
        <v>17</v>
      </c>
      <c r="L3183" s="2" t="s">
        <v>20</v>
      </c>
      <c r="M3183" s="3"/>
    </row>
    <row r="3184" spans="1:13" x14ac:dyDescent="0.3">
      <c r="A3184" s="2">
        <v>3183</v>
      </c>
      <c r="B3184" s="2" t="s">
        <v>7643</v>
      </c>
      <c r="C3184" s="2" t="s">
        <v>3589</v>
      </c>
      <c r="D3184" s="2" t="s">
        <v>28</v>
      </c>
      <c r="E3184" s="2" t="s">
        <v>29</v>
      </c>
      <c r="F3184" s="2">
        <v>90</v>
      </c>
      <c r="G3184" s="2" t="s">
        <v>7644</v>
      </c>
      <c r="H3184" s="2" t="s">
        <v>641</v>
      </c>
      <c r="I3184" s="2" t="s">
        <v>294</v>
      </c>
      <c r="J3184" s="3">
        <v>44246</v>
      </c>
      <c r="K3184" s="2">
        <v>23</v>
      </c>
      <c r="L3184" s="2" t="s">
        <v>54</v>
      </c>
      <c r="M3184" s="3"/>
    </row>
    <row r="3185" spans="1:13" x14ac:dyDescent="0.3">
      <c r="A3185" s="2">
        <v>3184</v>
      </c>
      <c r="B3185" s="2" t="s">
        <v>1577</v>
      </c>
      <c r="C3185" s="2" t="s">
        <v>7645</v>
      </c>
      <c r="D3185" s="2" t="s">
        <v>15</v>
      </c>
      <c r="E3185" s="2" t="s">
        <v>16</v>
      </c>
      <c r="F3185" s="2">
        <v>60</v>
      </c>
      <c r="G3185" s="2" t="s">
        <v>7646</v>
      </c>
      <c r="H3185" s="2" t="s">
        <v>2536</v>
      </c>
      <c r="I3185" s="2" t="s">
        <v>124</v>
      </c>
      <c r="J3185" s="3">
        <v>44553</v>
      </c>
      <c r="K3185" s="2">
        <v>69</v>
      </c>
      <c r="L3185" s="2" t="s">
        <v>54</v>
      </c>
      <c r="M3185" s="3"/>
    </row>
    <row r="3186" spans="1:13" x14ac:dyDescent="0.3">
      <c r="A3186" s="2">
        <v>3185</v>
      </c>
      <c r="B3186" s="2" t="s">
        <v>1584</v>
      </c>
      <c r="C3186" s="2" t="s">
        <v>5792</v>
      </c>
      <c r="D3186" s="2" t="s">
        <v>117</v>
      </c>
      <c r="E3186" s="2" t="s">
        <v>16</v>
      </c>
      <c r="F3186" s="2">
        <v>30</v>
      </c>
      <c r="G3186" s="2" t="s">
        <v>7647</v>
      </c>
      <c r="H3186" s="2" t="s">
        <v>5189</v>
      </c>
      <c r="I3186" s="2" t="s">
        <v>32</v>
      </c>
      <c r="J3186" s="3">
        <v>44133</v>
      </c>
      <c r="K3186" s="2">
        <v>7</v>
      </c>
      <c r="L3186" s="2" t="s">
        <v>70</v>
      </c>
      <c r="M3186" s="3"/>
    </row>
    <row r="3187" spans="1:13" x14ac:dyDescent="0.3">
      <c r="A3187" s="2">
        <v>3186</v>
      </c>
      <c r="B3187" s="2" t="s">
        <v>4004</v>
      </c>
      <c r="C3187" s="2" t="s">
        <v>2995</v>
      </c>
      <c r="D3187" s="2" t="s">
        <v>28</v>
      </c>
      <c r="E3187" s="2" t="s">
        <v>29</v>
      </c>
      <c r="F3187" s="2">
        <v>30</v>
      </c>
      <c r="G3187" s="2" t="s">
        <v>7648</v>
      </c>
      <c r="H3187" s="2" t="s">
        <v>182</v>
      </c>
      <c r="I3187" s="2" t="s">
        <v>32</v>
      </c>
      <c r="J3187" s="3">
        <v>43846</v>
      </c>
      <c r="K3187" s="2">
        <v>33</v>
      </c>
      <c r="L3187" s="2" t="s">
        <v>39</v>
      </c>
      <c r="M3187" s="3"/>
    </row>
    <row r="3188" spans="1:13" x14ac:dyDescent="0.3">
      <c r="A3188" s="2">
        <v>3187</v>
      </c>
      <c r="B3188" s="2" t="s">
        <v>7649</v>
      </c>
      <c r="C3188" s="2" t="s">
        <v>597</v>
      </c>
      <c r="D3188" s="2" t="s">
        <v>15</v>
      </c>
      <c r="E3188" s="2" t="s">
        <v>16</v>
      </c>
      <c r="F3188" s="2">
        <v>90</v>
      </c>
      <c r="G3188" s="2" t="s">
        <v>7650</v>
      </c>
      <c r="H3188" s="2" t="s">
        <v>3897</v>
      </c>
      <c r="I3188" s="2" t="s">
        <v>3898</v>
      </c>
      <c r="J3188" s="3">
        <v>43840</v>
      </c>
      <c r="K3188" s="2">
        <v>35</v>
      </c>
      <c r="L3188" s="2" t="s">
        <v>20</v>
      </c>
      <c r="M3188" s="3"/>
    </row>
    <row r="3189" spans="1:13" x14ac:dyDescent="0.3">
      <c r="A3189" s="2">
        <v>3188</v>
      </c>
      <c r="B3189" s="2" t="s">
        <v>6316</v>
      </c>
      <c r="C3189" s="2" t="s">
        <v>2273</v>
      </c>
      <c r="D3189" s="2" t="s">
        <v>51</v>
      </c>
      <c r="E3189" s="2" t="s">
        <v>16</v>
      </c>
      <c r="F3189" s="2">
        <v>60</v>
      </c>
      <c r="G3189" s="2" t="s">
        <v>7651</v>
      </c>
      <c r="H3189" s="2" t="s">
        <v>970</v>
      </c>
      <c r="I3189" s="2" t="s">
        <v>187</v>
      </c>
      <c r="J3189" s="3">
        <v>44470</v>
      </c>
      <c r="K3189" s="2">
        <v>31</v>
      </c>
      <c r="L3189" s="2" t="s">
        <v>159</v>
      </c>
      <c r="M3189" s="3"/>
    </row>
    <row r="3190" spans="1:13" x14ac:dyDescent="0.3">
      <c r="A3190" s="2">
        <v>3189</v>
      </c>
      <c r="B3190" s="2" t="s">
        <v>5015</v>
      </c>
      <c r="C3190" s="2" t="s">
        <v>7652</v>
      </c>
      <c r="D3190" s="2" t="s">
        <v>28</v>
      </c>
      <c r="E3190" s="2" t="s">
        <v>29</v>
      </c>
      <c r="F3190" s="2">
        <v>60</v>
      </c>
      <c r="G3190" s="2" t="s">
        <v>7653</v>
      </c>
      <c r="H3190" s="2" t="s">
        <v>7654</v>
      </c>
      <c r="I3190" s="2" t="s">
        <v>32</v>
      </c>
      <c r="J3190" s="3">
        <v>44481</v>
      </c>
      <c r="K3190" s="2">
        <v>3</v>
      </c>
      <c r="L3190" s="2" t="s">
        <v>45</v>
      </c>
      <c r="M3190" s="3"/>
    </row>
    <row r="3191" spans="1:13" x14ac:dyDescent="0.3">
      <c r="A3191" s="2">
        <v>3190</v>
      </c>
      <c r="B3191" s="2" t="s">
        <v>5746</v>
      </c>
      <c r="C3191" s="2" t="s">
        <v>229</v>
      </c>
      <c r="D3191" s="2" t="s">
        <v>15</v>
      </c>
      <c r="E3191" s="2" t="s">
        <v>16</v>
      </c>
      <c r="F3191" s="2">
        <v>90</v>
      </c>
      <c r="G3191" s="2" t="s">
        <v>7655</v>
      </c>
      <c r="H3191" s="2" t="s">
        <v>2875</v>
      </c>
      <c r="I3191" s="2" t="s">
        <v>32</v>
      </c>
      <c r="J3191" s="3">
        <v>44041</v>
      </c>
      <c r="K3191" s="2">
        <v>82</v>
      </c>
      <c r="L3191" s="2" t="s">
        <v>159</v>
      </c>
      <c r="M3191" s="3"/>
    </row>
    <row r="3192" spans="1:13" x14ac:dyDescent="0.3">
      <c r="A3192" s="2">
        <v>3191</v>
      </c>
      <c r="B3192" s="2" t="s">
        <v>2523</v>
      </c>
      <c r="C3192" s="2" t="s">
        <v>5749</v>
      </c>
      <c r="D3192" s="2" t="s">
        <v>28</v>
      </c>
      <c r="E3192" s="2" t="s">
        <v>29</v>
      </c>
      <c r="F3192" s="2">
        <v>60</v>
      </c>
      <c r="G3192" s="2" t="s">
        <v>7656</v>
      </c>
      <c r="H3192" s="2" t="s">
        <v>4389</v>
      </c>
      <c r="I3192" s="2" t="s">
        <v>32</v>
      </c>
      <c r="J3192" s="3">
        <v>44307</v>
      </c>
      <c r="K3192" s="2">
        <v>89</v>
      </c>
      <c r="L3192" s="2" t="s">
        <v>39</v>
      </c>
      <c r="M3192" s="3"/>
    </row>
    <row r="3193" spans="1:13" x14ac:dyDescent="0.3">
      <c r="A3193" s="2">
        <v>3192</v>
      </c>
      <c r="B3193" s="2" t="s">
        <v>7657</v>
      </c>
      <c r="C3193" s="2" t="s">
        <v>5979</v>
      </c>
      <c r="D3193" s="2" t="s">
        <v>28</v>
      </c>
      <c r="E3193" s="2" t="s">
        <v>29</v>
      </c>
      <c r="F3193" s="2">
        <v>60</v>
      </c>
      <c r="G3193" s="2" t="s">
        <v>7658</v>
      </c>
      <c r="H3193" s="2" t="s">
        <v>1977</v>
      </c>
      <c r="I3193" s="2" t="s">
        <v>124</v>
      </c>
      <c r="J3193" s="3">
        <v>44892</v>
      </c>
      <c r="K3193" s="2">
        <v>4</v>
      </c>
      <c r="L3193" s="2" t="s">
        <v>54</v>
      </c>
      <c r="M3193" s="3"/>
    </row>
    <row r="3194" spans="1:13" x14ac:dyDescent="0.3">
      <c r="A3194" s="2">
        <v>3193</v>
      </c>
      <c r="B3194" s="2" t="s">
        <v>313</v>
      </c>
      <c r="C3194" s="2" t="s">
        <v>1596</v>
      </c>
      <c r="D3194" s="2" t="s">
        <v>28</v>
      </c>
      <c r="E3194" s="2" t="s">
        <v>29</v>
      </c>
      <c r="F3194" s="2">
        <v>60</v>
      </c>
      <c r="G3194" s="2" t="s">
        <v>7659</v>
      </c>
      <c r="H3194" s="2" t="s">
        <v>3651</v>
      </c>
      <c r="I3194" s="2" t="s">
        <v>294</v>
      </c>
      <c r="J3194" s="3">
        <v>44495</v>
      </c>
      <c r="K3194" s="2">
        <v>58</v>
      </c>
      <c r="L3194" s="2" t="s">
        <v>54</v>
      </c>
      <c r="M3194" s="3"/>
    </row>
    <row r="3195" spans="1:13" x14ac:dyDescent="0.3">
      <c r="A3195" s="2">
        <v>3194</v>
      </c>
      <c r="B3195" s="2" t="s">
        <v>7660</v>
      </c>
      <c r="C3195" s="2" t="s">
        <v>6762</v>
      </c>
      <c r="D3195" s="2" t="s">
        <v>15</v>
      </c>
      <c r="E3195" s="2" t="s">
        <v>16</v>
      </c>
      <c r="F3195" s="2">
        <v>90</v>
      </c>
      <c r="G3195" s="2" t="s">
        <v>7661</v>
      </c>
      <c r="H3195" s="2" t="s">
        <v>3774</v>
      </c>
      <c r="I3195" s="2" t="s">
        <v>187</v>
      </c>
      <c r="J3195" s="3">
        <v>44136</v>
      </c>
      <c r="K3195" s="2">
        <v>23</v>
      </c>
      <c r="L3195" s="2" t="s">
        <v>159</v>
      </c>
      <c r="M3195" s="3"/>
    </row>
    <row r="3196" spans="1:13" x14ac:dyDescent="0.3">
      <c r="A3196" s="2">
        <v>3195</v>
      </c>
      <c r="B3196" s="2" t="s">
        <v>5195</v>
      </c>
      <c r="C3196" s="2" t="s">
        <v>1678</v>
      </c>
      <c r="D3196" s="2" t="s">
        <v>28</v>
      </c>
      <c r="E3196" s="2" t="s">
        <v>29</v>
      </c>
      <c r="F3196" s="2">
        <v>30</v>
      </c>
      <c r="G3196" s="2" t="s">
        <v>7662</v>
      </c>
      <c r="H3196" s="2" t="s">
        <v>4158</v>
      </c>
      <c r="I3196" s="2" t="s">
        <v>32</v>
      </c>
      <c r="J3196" s="3">
        <v>44248</v>
      </c>
      <c r="K3196" s="2">
        <v>30</v>
      </c>
      <c r="L3196" s="2" t="s">
        <v>39</v>
      </c>
      <c r="M3196" s="3"/>
    </row>
    <row r="3197" spans="1:13" x14ac:dyDescent="0.3">
      <c r="A3197" s="2">
        <v>3196</v>
      </c>
      <c r="B3197" s="2" t="s">
        <v>7663</v>
      </c>
      <c r="C3197" s="2" t="s">
        <v>1116</v>
      </c>
      <c r="D3197" s="2" t="s">
        <v>51</v>
      </c>
      <c r="E3197" s="2" t="s">
        <v>16</v>
      </c>
      <c r="F3197" s="2">
        <v>60</v>
      </c>
      <c r="G3197" s="2" t="s">
        <v>7664</v>
      </c>
      <c r="H3197" s="2" t="s">
        <v>7665</v>
      </c>
      <c r="I3197" s="2" t="s">
        <v>7666</v>
      </c>
      <c r="J3197" s="3">
        <v>44250</v>
      </c>
      <c r="K3197" s="2">
        <v>41</v>
      </c>
      <c r="L3197" s="2" t="s">
        <v>39</v>
      </c>
      <c r="M3197" s="3"/>
    </row>
    <row r="3198" spans="1:13" x14ac:dyDescent="0.3">
      <c r="A3198" s="2">
        <v>3197</v>
      </c>
      <c r="B3198" s="2" t="s">
        <v>7667</v>
      </c>
      <c r="C3198" s="2" t="s">
        <v>1894</v>
      </c>
      <c r="D3198" s="2" t="s">
        <v>51</v>
      </c>
      <c r="E3198" s="2" t="s">
        <v>16</v>
      </c>
      <c r="F3198" s="2">
        <v>60</v>
      </c>
      <c r="G3198" s="2" t="s">
        <v>7668</v>
      </c>
      <c r="H3198" s="2" t="s">
        <v>5819</v>
      </c>
      <c r="I3198" s="2" t="s">
        <v>5820</v>
      </c>
      <c r="J3198" s="3">
        <v>44789</v>
      </c>
      <c r="K3198" s="2">
        <v>69</v>
      </c>
      <c r="L3198" s="2" t="s">
        <v>64</v>
      </c>
      <c r="M3198" s="3"/>
    </row>
    <row r="3199" spans="1:13" x14ac:dyDescent="0.3">
      <c r="A3199" s="2">
        <v>3198</v>
      </c>
      <c r="B3199" s="2" t="s">
        <v>2796</v>
      </c>
      <c r="C3199" s="2" t="s">
        <v>205</v>
      </c>
      <c r="D3199" s="2" t="s">
        <v>28</v>
      </c>
      <c r="E3199" s="2" t="s">
        <v>29</v>
      </c>
      <c r="F3199" s="2">
        <v>60</v>
      </c>
      <c r="G3199" s="2" t="s">
        <v>7669</v>
      </c>
      <c r="H3199" s="2" t="s">
        <v>6736</v>
      </c>
      <c r="I3199" s="2" t="s">
        <v>32</v>
      </c>
      <c r="J3199" s="3">
        <v>44563</v>
      </c>
      <c r="K3199" s="2">
        <v>10</v>
      </c>
      <c r="L3199" s="2" t="s">
        <v>54</v>
      </c>
      <c r="M3199" s="3"/>
    </row>
    <row r="3200" spans="1:13" x14ac:dyDescent="0.3">
      <c r="A3200" s="2">
        <v>3199</v>
      </c>
      <c r="B3200" s="2" t="s">
        <v>7670</v>
      </c>
      <c r="C3200" s="2" t="s">
        <v>3911</v>
      </c>
      <c r="D3200" s="2" t="s">
        <v>51</v>
      </c>
      <c r="E3200" s="2" t="s">
        <v>16</v>
      </c>
      <c r="F3200" s="2">
        <v>90</v>
      </c>
      <c r="G3200" s="2" t="s">
        <v>7671</v>
      </c>
      <c r="H3200" s="2" t="s">
        <v>6736</v>
      </c>
      <c r="I3200" s="2" t="s">
        <v>32</v>
      </c>
      <c r="J3200" s="3">
        <v>44417</v>
      </c>
      <c r="K3200" s="2">
        <v>25</v>
      </c>
      <c r="L3200" s="2" t="s">
        <v>70</v>
      </c>
      <c r="M3200" s="3"/>
    </row>
    <row r="3201" spans="1:13" x14ac:dyDescent="0.3">
      <c r="A3201" s="2">
        <v>3200</v>
      </c>
      <c r="B3201" s="2" t="s">
        <v>7670</v>
      </c>
      <c r="C3201" s="2" t="s">
        <v>3911</v>
      </c>
      <c r="D3201" s="2" t="s">
        <v>51</v>
      </c>
      <c r="E3201" s="2" t="s">
        <v>16</v>
      </c>
      <c r="F3201" s="2">
        <v>90</v>
      </c>
      <c r="G3201" s="2" t="s">
        <v>7671</v>
      </c>
      <c r="H3201" s="2" t="s">
        <v>6736</v>
      </c>
      <c r="I3201" s="2" t="s">
        <v>32</v>
      </c>
      <c r="J3201" s="3">
        <v>44417</v>
      </c>
      <c r="K3201" s="2">
        <v>25</v>
      </c>
      <c r="L3201" s="2" t="s">
        <v>70</v>
      </c>
      <c r="M3201" s="3"/>
    </row>
    <row r="3202" spans="1:13" x14ac:dyDescent="0.3">
      <c r="A3202" s="2">
        <v>3201</v>
      </c>
      <c r="B3202" s="2" t="s">
        <v>7672</v>
      </c>
      <c r="C3202" s="2" t="s">
        <v>4679</v>
      </c>
      <c r="D3202" s="2" t="s">
        <v>51</v>
      </c>
      <c r="E3202" s="2" t="s">
        <v>16</v>
      </c>
      <c r="F3202" s="2">
        <v>30</v>
      </c>
      <c r="G3202" s="2" t="s">
        <v>7673</v>
      </c>
      <c r="H3202" s="2" t="s">
        <v>2953</v>
      </c>
      <c r="I3202" s="2" t="s">
        <v>124</v>
      </c>
      <c r="J3202" s="3">
        <v>44037</v>
      </c>
      <c r="K3202" s="2">
        <v>2</v>
      </c>
      <c r="L3202" s="2" t="s">
        <v>20</v>
      </c>
      <c r="M3202" s="3"/>
    </row>
    <row r="3203" spans="1:13" x14ac:dyDescent="0.3">
      <c r="A3203" s="2">
        <v>3202</v>
      </c>
      <c r="B3203" s="2" t="s">
        <v>1997</v>
      </c>
      <c r="C3203" s="2" t="s">
        <v>7674</v>
      </c>
      <c r="D3203" s="2" t="s">
        <v>28</v>
      </c>
      <c r="E3203" s="2" t="s">
        <v>29</v>
      </c>
      <c r="F3203" s="2">
        <v>60</v>
      </c>
      <c r="G3203" s="2" t="s">
        <v>7673</v>
      </c>
      <c r="H3203" s="2" t="s">
        <v>3396</v>
      </c>
      <c r="I3203" s="2" t="s">
        <v>32</v>
      </c>
      <c r="J3203" s="3">
        <v>44633</v>
      </c>
      <c r="K3203" s="2">
        <v>66</v>
      </c>
      <c r="L3203" s="2" t="s">
        <v>159</v>
      </c>
      <c r="M3203" s="3"/>
    </row>
    <row r="3204" spans="1:13" x14ac:dyDescent="0.3">
      <c r="A3204" s="2">
        <v>3203</v>
      </c>
      <c r="B3204" s="2" t="s">
        <v>7675</v>
      </c>
      <c r="C3204" s="2" t="s">
        <v>547</v>
      </c>
      <c r="D3204" s="2" t="s">
        <v>51</v>
      </c>
      <c r="E3204" s="2" t="s">
        <v>16</v>
      </c>
      <c r="F3204" s="2">
        <v>90</v>
      </c>
      <c r="G3204" s="2" t="s">
        <v>7676</v>
      </c>
      <c r="H3204" s="2" t="s">
        <v>3399</v>
      </c>
      <c r="I3204" s="2" t="s">
        <v>124</v>
      </c>
      <c r="J3204" s="3">
        <v>44197</v>
      </c>
      <c r="K3204" s="2">
        <v>5</v>
      </c>
      <c r="L3204" s="2" t="s">
        <v>39</v>
      </c>
      <c r="M3204" s="3"/>
    </row>
    <row r="3205" spans="1:13" x14ac:dyDescent="0.3">
      <c r="A3205" s="2">
        <v>3204</v>
      </c>
      <c r="B3205" s="2" t="s">
        <v>7195</v>
      </c>
      <c r="C3205" s="2" t="s">
        <v>2216</v>
      </c>
      <c r="D3205" s="2" t="s">
        <v>28</v>
      </c>
      <c r="E3205" s="2" t="s">
        <v>29</v>
      </c>
      <c r="F3205" s="2">
        <v>60</v>
      </c>
      <c r="G3205" s="2" t="s">
        <v>7677</v>
      </c>
      <c r="H3205" s="2" t="s">
        <v>3834</v>
      </c>
      <c r="I3205" s="2" t="s">
        <v>32</v>
      </c>
      <c r="J3205" s="3">
        <v>44102</v>
      </c>
      <c r="K3205" s="2">
        <v>11</v>
      </c>
      <c r="L3205" s="2" t="s">
        <v>39</v>
      </c>
      <c r="M3205" s="3"/>
    </row>
    <row r="3206" spans="1:13" x14ac:dyDescent="0.3">
      <c r="A3206" s="2">
        <v>3205</v>
      </c>
      <c r="B3206" s="2" t="s">
        <v>7678</v>
      </c>
      <c r="C3206" s="2" t="s">
        <v>7679</v>
      </c>
      <c r="D3206" s="2" t="s">
        <v>28</v>
      </c>
      <c r="E3206" s="2" t="s">
        <v>29</v>
      </c>
      <c r="F3206" s="2">
        <v>30</v>
      </c>
      <c r="G3206" s="2" t="s">
        <v>7680</v>
      </c>
      <c r="H3206" s="2" t="s">
        <v>5214</v>
      </c>
      <c r="I3206" s="2" t="s">
        <v>95</v>
      </c>
      <c r="J3206" s="3">
        <v>44009</v>
      </c>
      <c r="K3206" s="2">
        <v>43</v>
      </c>
      <c r="L3206" s="2" t="s">
        <v>45</v>
      </c>
      <c r="M3206" s="3"/>
    </row>
    <row r="3207" spans="1:13" x14ac:dyDescent="0.3">
      <c r="A3207" s="2">
        <v>3206</v>
      </c>
      <c r="B3207" s="2" t="s">
        <v>1405</v>
      </c>
      <c r="C3207" s="2" t="s">
        <v>422</v>
      </c>
      <c r="D3207" s="2" t="s">
        <v>28</v>
      </c>
      <c r="E3207" s="2" t="s">
        <v>29</v>
      </c>
      <c r="F3207" s="2">
        <v>90</v>
      </c>
      <c r="G3207" s="2" t="s">
        <v>7681</v>
      </c>
      <c r="H3207" s="2" t="s">
        <v>3206</v>
      </c>
      <c r="I3207" s="2" t="s">
        <v>1199</v>
      </c>
      <c r="J3207" s="3">
        <v>44069</v>
      </c>
      <c r="K3207" s="2">
        <v>44</v>
      </c>
      <c r="L3207" s="2" t="s">
        <v>45</v>
      </c>
      <c r="M3207" s="3"/>
    </row>
    <row r="3208" spans="1:13" x14ac:dyDescent="0.3">
      <c r="A3208" s="2">
        <v>3207</v>
      </c>
      <c r="B3208" s="2" t="s">
        <v>1979</v>
      </c>
      <c r="C3208" s="2" t="s">
        <v>1817</v>
      </c>
      <c r="D3208" s="2" t="s">
        <v>28</v>
      </c>
      <c r="E3208" s="2" t="s">
        <v>29</v>
      </c>
      <c r="F3208" s="2">
        <v>30</v>
      </c>
      <c r="G3208" s="2" t="s">
        <v>7682</v>
      </c>
      <c r="H3208" s="2" t="s">
        <v>1643</v>
      </c>
      <c r="I3208" s="2" t="s">
        <v>124</v>
      </c>
      <c r="J3208" s="3">
        <v>44407</v>
      </c>
      <c r="K3208" s="2">
        <v>89</v>
      </c>
      <c r="L3208" s="2" t="s">
        <v>45</v>
      </c>
      <c r="M3208" s="3"/>
    </row>
    <row r="3209" spans="1:13" x14ac:dyDescent="0.3">
      <c r="A3209" s="2">
        <v>3208</v>
      </c>
      <c r="B3209" s="2" t="s">
        <v>7683</v>
      </c>
      <c r="C3209" s="2" t="s">
        <v>7684</v>
      </c>
      <c r="D3209" s="2" t="s">
        <v>28</v>
      </c>
      <c r="E3209" s="2" t="s">
        <v>29</v>
      </c>
      <c r="F3209" s="2">
        <v>90</v>
      </c>
      <c r="G3209" s="2" t="s">
        <v>7685</v>
      </c>
      <c r="H3209" s="2" t="s">
        <v>522</v>
      </c>
      <c r="I3209" s="2" t="s">
        <v>32</v>
      </c>
      <c r="J3209" s="3">
        <v>44033</v>
      </c>
      <c r="K3209" s="2">
        <v>72</v>
      </c>
      <c r="L3209" s="2" t="s">
        <v>64</v>
      </c>
      <c r="M3209" s="3"/>
    </row>
    <row r="3210" spans="1:13" x14ac:dyDescent="0.3">
      <c r="A3210" s="2">
        <v>3209</v>
      </c>
      <c r="B3210" s="2" t="s">
        <v>7686</v>
      </c>
      <c r="C3210" s="2" t="s">
        <v>7687</v>
      </c>
      <c r="D3210" s="2" t="s">
        <v>51</v>
      </c>
      <c r="E3210" s="2" t="s">
        <v>16</v>
      </c>
      <c r="F3210" s="2">
        <v>30</v>
      </c>
      <c r="G3210" s="2" t="s">
        <v>7688</v>
      </c>
      <c r="H3210" s="2" t="s">
        <v>7689</v>
      </c>
      <c r="I3210" s="2" t="s">
        <v>38</v>
      </c>
      <c r="J3210" s="3">
        <v>43962</v>
      </c>
      <c r="K3210" s="2">
        <v>60</v>
      </c>
      <c r="L3210" s="2" t="s">
        <v>54</v>
      </c>
      <c r="M3210" s="3"/>
    </row>
    <row r="3211" spans="1:13" x14ac:dyDescent="0.3">
      <c r="A3211" s="2">
        <v>3210</v>
      </c>
      <c r="B3211" s="2" t="s">
        <v>7690</v>
      </c>
      <c r="C3211" s="2" t="s">
        <v>7691</v>
      </c>
      <c r="D3211" s="2" t="s">
        <v>28</v>
      </c>
      <c r="E3211" s="2" t="s">
        <v>29</v>
      </c>
      <c r="F3211" s="2">
        <v>60</v>
      </c>
      <c r="G3211" s="2" t="s">
        <v>7692</v>
      </c>
      <c r="H3211" s="2" t="s">
        <v>678</v>
      </c>
      <c r="I3211" s="2" t="s">
        <v>32</v>
      </c>
      <c r="J3211" s="3">
        <v>44235</v>
      </c>
      <c r="K3211" s="2">
        <v>91</v>
      </c>
      <c r="L3211" s="2" t="s">
        <v>80</v>
      </c>
      <c r="M3211" s="3"/>
    </row>
    <row r="3212" spans="1:13" x14ac:dyDescent="0.3">
      <c r="A3212" s="2">
        <v>3211</v>
      </c>
      <c r="B3212" s="2" t="s">
        <v>4471</v>
      </c>
      <c r="C3212" s="2" t="s">
        <v>6922</v>
      </c>
      <c r="D3212" s="2" t="s">
        <v>15</v>
      </c>
      <c r="E3212" s="2" t="s">
        <v>16</v>
      </c>
      <c r="F3212" s="2">
        <v>90</v>
      </c>
      <c r="G3212" s="2" t="s">
        <v>7693</v>
      </c>
      <c r="H3212" s="2" t="s">
        <v>993</v>
      </c>
      <c r="I3212" s="2" t="s">
        <v>32</v>
      </c>
      <c r="J3212" s="3">
        <v>44742</v>
      </c>
      <c r="K3212" s="2">
        <v>80</v>
      </c>
      <c r="L3212" s="2" t="s">
        <v>45</v>
      </c>
      <c r="M3212" s="3"/>
    </row>
    <row r="3213" spans="1:13" x14ac:dyDescent="0.3">
      <c r="A3213" s="2">
        <v>3212</v>
      </c>
      <c r="B3213" s="2" t="s">
        <v>1225</v>
      </c>
      <c r="C3213" s="2" t="s">
        <v>1243</v>
      </c>
      <c r="D3213" s="2" t="s">
        <v>28</v>
      </c>
      <c r="E3213" s="2" t="s">
        <v>29</v>
      </c>
      <c r="F3213" s="2">
        <v>30</v>
      </c>
      <c r="G3213" s="2" t="s">
        <v>6190</v>
      </c>
      <c r="H3213" s="2" t="s">
        <v>4111</v>
      </c>
      <c r="I3213" s="2" t="s">
        <v>95</v>
      </c>
      <c r="J3213" s="3">
        <v>44778</v>
      </c>
      <c r="K3213" s="2">
        <v>39</v>
      </c>
      <c r="L3213" s="2" t="s">
        <v>20</v>
      </c>
      <c r="M3213" s="3"/>
    </row>
    <row r="3214" spans="1:13" x14ac:dyDescent="0.3">
      <c r="A3214" s="2">
        <v>3213</v>
      </c>
      <c r="B3214" s="2" t="s">
        <v>304</v>
      </c>
      <c r="C3214" s="2" t="s">
        <v>4561</v>
      </c>
      <c r="D3214" s="2" t="s">
        <v>15</v>
      </c>
      <c r="E3214" s="2" t="s">
        <v>16</v>
      </c>
      <c r="F3214" s="2">
        <v>90</v>
      </c>
      <c r="G3214" s="2" t="s">
        <v>7694</v>
      </c>
      <c r="H3214" s="2" t="s">
        <v>1590</v>
      </c>
      <c r="I3214" s="2" t="s">
        <v>32</v>
      </c>
      <c r="J3214" s="3">
        <v>44259</v>
      </c>
      <c r="K3214" s="2">
        <v>18</v>
      </c>
      <c r="L3214" s="2" t="s">
        <v>20</v>
      </c>
      <c r="M3214" s="3"/>
    </row>
    <row r="3215" spans="1:13" x14ac:dyDescent="0.3">
      <c r="A3215" s="2">
        <v>3214</v>
      </c>
      <c r="B3215" s="2" t="s">
        <v>7695</v>
      </c>
      <c r="C3215" s="2" t="s">
        <v>1003</v>
      </c>
      <c r="D3215" s="2" t="s">
        <v>51</v>
      </c>
      <c r="E3215" s="2" t="s">
        <v>16</v>
      </c>
      <c r="F3215" s="2">
        <v>90</v>
      </c>
      <c r="G3215" s="2" t="s">
        <v>7696</v>
      </c>
      <c r="H3215" s="2" t="s">
        <v>4979</v>
      </c>
      <c r="I3215" s="2" t="s">
        <v>294</v>
      </c>
      <c r="J3215" s="3">
        <v>44886</v>
      </c>
      <c r="K3215" s="2">
        <v>19</v>
      </c>
      <c r="L3215" s="2" t="s">
        <v>70</v>
      </c>
      <c r="M3215" s="3"/>
    </row>
    <row r="3216" spans="1:13" x14ac:dyDescent="0.3">
      <c r="A3216" s="2">
        <v>3215</v>
      </c>
      <c r="B3216" s="2" t="s">
        <v>4710</v>
      </c>
      <c r="C3216" s="2" t="s">
        <v>7433</v>
      </c>
      <c r="D3216" s="2" t="s">
        <v>92</v>
      </c>
      <c r="E3216" s="2" t="s">
        <v>16</v>
      </c>
      <c r="F3216" s="2">
        <v>90</v>
      </c>
      <c r="G3216" s="2" t="s">
        <v>7697</v>
      </c>
      <c r="H3216" s="2" t="s">
        <v>1621</v>
      </c>
      <c r="I3216" s="2" t="s">
        <v>146</v>
      </c>
      <c r="J3216" s="3">
        <v>44301</v>
      </c>
      <c r="K3216" s="2">
        <v>26</v>
      </c>
      <c r="L3216" s="2" t="s">
        <v>54</v>
      </c>
      <c r="M3216" s="3"/>
    </row>
    <row r="3217" spans="1:13" x14ac:dyDescent="0.3">
      <c r="A3217" s="2">
        <v>3216</v>
      </c>
      <c r="B3217" s="2" t="s">
        <v>7698</v>
      </c>
      <c r="C3217" s="2" t="s">
        <v>1861</v>
      </c>
      <c r="D3217" s="2" t="s">
        <v>51</v>
      </c>
      <c r="E3217" s="2" t="s">
        <v>16</v>
      </c>
      <c r="F3217" s="2">
        <v>90</v>
      </c>
      <c r="G3217" s="2" t="s">
        <v>7699</v>
      </c>
      <c r="H3217" s="2" t="s">
        <v>7700</v>
      </c>
      <c r="I3217" s="2" t="s">
        <v>32</v>
      </c>
      <c r="J3217" s="3">
        <v>44370</v>
      </c>
      <c r="K3217" s="2">
        <v>40</v>
      </c>
      <c r="L3217" s="2" t="s">
        <v>159</v>
      </c>
      <c r="M3217" s="3"/>
    </row>
    <row r="3218" spans="1:13" x14ac:dyDescent="0.3">
      <c r="A3218" s="2">
        <v>3217</v>
      </c>
      <c r="B3218" s="2" t="s">
        <v>2166</v>
      </c>
      <c r="C3218" s="2" t="s">
        <v>229</v>
      </c>
      <c r="D3218" s="2" t="s">
        <v>28</v>
      </c>
      <c r="E3218" s="2" t="s">
        <v>29</v>
      </c>
      <c r="F3218" s="2">
        <v>90</v>
      </c>
      <c r="G3218" s="2" t="s">
        <v>7701</v>
      </c>
      <c r="H3218" s="2" t="s">
        <v>5803</v>
      </c>
      <c r="I3218" s="2" t="s">
        <v>294</v>
      </c>
      <c r="J3218" s="3">
        <v>44610</v>
      </c>
      <c r="K3218" s="2">
        <v>40</v>
      </c>
      <c r="L3218" s="2" t="s">
        <v>54</v>
      </c>
      <c r="M3218" s="3"/>
    </row>
    <row r="3219" spans="1:13" x14ac:dyDescent="0.3">
      <c r="A3219" s="2">
        <v>3218</v>
      </c>
      <c r="B3219" s="2" t="s">
        <v>34</v>
      </c>
      <c r="C3219" s="2" t="s">
        <v>1496</v>
      </c>
      <c r="D3219" s="2" t="s">
        <v>28</v>
      </c>
      <c r="E3219" s="2" t="s">
        <v>29</v>
      </c>
      <c r="F3219" s="2">
        <v>30</v>
      </c>
      <c r="G3219" s="2" t="s">
        <v>7702</v>
      </c>
      <c r="H3219" s="2" t="s">
        <v>2768</v>
      </c>
      <c r="I3219" s="2" t="s">
        <v>554</v>
      </c>
      <c r="J3219" s="3">
        <v>44189</v>
      </c>
      <c r="K3219" s="2">
        <v>10</v>
      </c>
      <c r="L3219" s="2" t="s">
        <v>70</v>
      </c>
      <c r="M3219" s="3"/>
    </row>
    <row r="3220" spans="1:13" x14ac:dyDescent="0.3">
      <c r="A3220" s="2">
        <v>3219</v>
      </c>
      <c r="B3220" s="2" t="s">
        <v>7294</v>
      </c>
      <c r="C3220" s="2" t="s">
        <v>6719</v>
      </c>
      <c r="D3220" s="2" t="s">
        <v>15</v>
      </c>
      <c r="E3220" s="2" t="s">
        <v>16</v>
      </c>
      <c r="F3220" s="2">
        <v>90</v>
      </c>
      <c r="G3220" s="2" t="s">
        <v>7702</v>
      </c>
      <c r="H3220" s="2" t="s">
        <v>5427</v>
      </c>
      <c r="I3220" s="2" t="s">
        <v>32</v>
      </c>
      <c r="J3220" s="3">
        <v>44175</v>
      </c>
      <c r="K3220" s="2">
        <v>78</v>
      </c>
      <c r="L3220" s="2" t="s">
        <v>101</v>
      </c>
      <c r="M3220" s="3"/>
    </row>
    <row r="3221" spans="1:13" x14ac:dyDescent="0.3">
      <c r="A3221" s="2">
        <v>3220</v>
      </c>
      <c r="B3221" s="2" t="s">
        <v>6790</v>
      </c>
      <c r="C3221" s="2" t="s">
        <v>872</v>
      </c>
      <c r="D3221" s="2" t="s">
        <v>28</v>
      </c>
      <c r="E3221" s="2" t="s">
        <v>29</v>
      </c>
      <c r="F3221" s="2">
        <v>60</v>
      </c>
      <c r="G3221" s="2" t="s">
        <v>7089</v>
      </c>
      <c r="H3221" s="2" t="s">
        <v>746</v>
      </c>
      <c r="I3221" s="2" t="s">
        <v>32</v>
      </c>
      <c r="J3221" s="3">
        <v>44022</v>
      </c>
      <c r="K3221" s="2">
        <v>41</v>
      </c>
      <c r="L3221" s="2" t="s">
        <v>45</v>
      </c>
      <c r="M3221" s="3"/>
    </row>
    <row r="3222" spans="1:13" x14ac:dyDescent="0.3">
      <c r="A3222" s="2">
        <v>3221</v>
      </c>
      <c r="B3222" s="2" t="s">
        <v>3515</v>
      </c>
      <c r="C3222" s="2" t="s">
        <v>7703</v>
      </c>
      <c r="D3222" s="2" t="s">
        <v>28</v>
      </c>
      <c r="E3222" s="2" t="s">
        <v>29</v>
      </c>
      <c r="F3222" s="2">
        <v>90</v>
      </c>
      <c r="G3222" s="2" t="s">
        <v>7704</v>
      </c>
      <c r="H3222" s="2" t="s">
        <v>3551</v>
      </c>
      <c r="I3222" s="2" t="s">
        <v>32</v>
      </c>
      <c r="J3222" s="3">
        <v>44188</v>
      </c>
      <c r="K3222" s="2">
        <v>53</v>
      </c>
      <c r="L3222" s="2" t="s">
        <v>54</v>
      </c>
      <c r="M3222" s="3"/>
    </row>
    <row r="3223" spans="1:13" x14ac:dyDescent="0.3">
      <c r="A3223" s="2">
        <v>3222</v>
      </c>
      <c r="B3223" s="2" t="s">
        <v>4489</v>
      </c>
      <c r="C3223" s="2" t="s">
        <v>7577</v>
      </c>
      <c r="D3223" s="2" t="s">
        <v>28</v>
      </c>
      <c r="E3223" s="2" t="s">
        <v>29</v>
      </c>
      <c r="F3223" s="2">
        <v>90</v>
      </c>
      <c r="G3223" s="2" t="s">
        <v>7705</v>
      </c>
      <c r="H3223" s="2" t="s">
        <v>1052</v>
      </c>
      <c r="I3223" s="2" t="s">
        <v>32</v>
      </c>
      <c r="J3223" s="3">
        <v>44637</v>
      </c>
      <c r="K3223" s="2">
        <v>50</v>
      </c>
      <c r="L3223" s="2" t="s">
        <v>101</v>
      </c>
      <c r="M3223" s="3"/>
    </row>
    <row r="3224" spans="1:13" x14ac:dyDescent="0.3">
      <c r="A3224" s="2">
        <v>3223</v>
      </c>
      <c r="B3224" s="2" t="s">
        <v>7706</v>
      </c>
      <c r="C3224" s="2" t="s">
        <v>5883</v>
      </c>
      <c r="D3224" s="2" t="s">
        <v>51</v>
      </c>
      <c r="E3224" s="2" t="s">
        <v>16</v>
      </c>
      <c r="F3224" s="2">
        <v>30</v>
      </c>
      <c r="G3224" s="2" t="s">
        <v>7707</v>
      </c>
      <c r="H3224" s="2" t="s">
        <v>7708</v>
      </c>
      <c r="I3224" s="2" t="s">
        <v>686</v>
      </c>
      <c r="J3224" s="3">
        <v>44556</v>
      </c>
      <c r="K3224" s="2">
        <v>18</v>
      </c>
      <c r="L3224" s="2" t="s">
        <v>80</v>
      </c>
      <c r="M3224" s="3"/>
    </row>
    <row r="3225" spans="1:13" x14ac:dyDescent="0.3">
      <c r="A3225" s="2">
        <v>3224</v>
      </c>
      <c r="B3225" s="2" t="s">
        <v>7709</v>
      </c>
      <c r="C3225" s="2" t="s">
        <v>1788</v>
      </c>
      <c r="D3225" s="2" t="s">
        <v>92</v>
      </c>
      <c r="E3225" s="2" t="s">
        <v>29</v>
      </c>
      <c r="F3225" s="2">
        <v>90</v>
      </c>
      <c r="G3225" s="2" t="s">
        <v>7710</v>
      </c>
      <c r="H3225" s="2" t="s">
        <v>3511</v>
      </c>
      <c r="I3225" s="2" t="s">
        <v>32</v>
      </c>
      <c r="J3225" s="3">
        <v>43992</v>
      </c>
      <c r="K3225" s="2">
        <v>17</v>
      </c>
      <c r="L3225" s="2" t="s">
        <v>64</v>
      </c>
      <c r="M3225" s="3"/>
    </row>
    <row r="3226" spans="1:13" x14ac:dyDescent="0.3">
      <c r="A3226" s="2">
        <v>3225</v>
      </c>
      <c r="B3226" s="2" t="s">
        <v>7711</v>
      </c>
      <c r="C3226" s="2" t="s">
        <v>2293</v>
      </c>
      <c r="D3226" s="2" t="s">
        <v>28</v>
      </c>
      <c r="E3226" s="2" t="s">
        <v>29</v>
      </c>
      <c r="F3226" s="2">
        <v>90</v>
      </c>
      <c r="G3226" s="2" t="s">
        <v>7712</v>
      </c>
      <c r="H3226" s="2" t="s">
        <v>2035</v>
      </c>
      <c r="I3226" s="2" t="s">
        <v>32</v>
      </c>
      <c r="J3226" s="3">
        <v>44394</v>
      </c>
      <c r="K3226" s="2">
        <v>16</v>
      </c>
      <c r="L3226" s="2" t="s">
        <v>20</v>
      </c>
      <c r="M3226" s="3"/>
    </row>
    <row r="3227" spans="1:13" x14ac:dyDescent="0.3">
      <c r="A3227" s="2">
        <v>3226</v>
      </c>
      <c r="B3227" s="2" t="s">
        <v>504</v>
      </c>
      <c r="C3227" s="2" t="s">
        <v>6469</v>
      </c>
      <c r="D3227" s="2" t="s">
        <v>28</v>
      </c>
      <c r="E3227" s="2" t="s">
        <v>29</v>
      </c>
      <c r="F3227" s="2">
        <v>60</v>
      </c>
      <c r="G3227" s="2" t="s">
        <v>7713</v>
      </c>
      <c r="H3227" s="2" t="s">
        <v>4285</v>
      </c>
      <c r="I3227" s="2" t="s">
        <v>124</v>
      </c>
      <c r="J3227" s="3">
        <v>44381</v>
      </c>
      <c r="K3227" s="2">
        <v>63</v>
      </c>
      <c r="L3227" s="2" t="s">
        <v>159</v>
      </c>
      <c r="M3227" s="3"/>
    </row>
    <row r="3228" spans="1:13" x14ac:dyDescent="0.3">
      <c r="A3228" s="2">
        <v>3227</v>
      </c>
      <c r="B3228" s="2" t="s">
        <v>1755</v>
      </c>
      <c r="C3228" s="2" t="s">
        <v>3887</v>
      </c>
      <c r="D3228" s="2" t="s">
        <v>28</v>
      </c>
      <c r="E3228" s="2" t="s">
        <v>29</v>
      </c>
      <c r="F3228" s="2">
        <v>60</v>
      </c>
      <c r="G3228" s="2" t="s">
        <v>7714</v>
      </c>
      <c r="H3228" s="2" t="s">
        <v>248</v>
      </c>
      <c r="I3228" s="2" t="s">
        <v>178</v>
      </c>
      <c r="J3228" s="3">
        <v>44414</v>
      </c>
      <c r="K3228" s="2">
        <v>15</v>
      </c>
      <c r="L3228" s="2" t="s">
        <v>70</v>
      </c>
      <c r="M3228" s="3"/>
    </row>
    <row r="3229" spans="1:13" x14ac:dyDescent="0.3">
      <c r="A3229" s="2">
        <v>3228</v>
      </c>
      <c r="B3229" s="2" t="s">
        <v>61</v>
      </c>
      <c r="C3229" s="2" t="s">
        <v>1352</v>
      </c>
      <c r="D3229" s="2" t="s">
        <v>28</v>
      </c>
      <c r="E3229" s="2" t="s">
        <v>29</v>
      </c>
      <c r="F3229" s="2">
        <v>60</v>
      </c>
      <c r="G3229" s="2" t="s">
        <v>7715</v>
      </c>
      <c r="H3229" s="2" t="s">
        <v>3070</v>
      </c>
      <c r="I3229" s="2" t="s">
        <v>575</v>
      </c>
      <c r="J3229" s="3">
        <v>44813</v>
      </c>
      <c r="K3229" s="2">
        <v>9</v>
      </c>
      <c r="L3229" s="2" t="s">
        <v>70</v>
      </c>
      <c r="M3229" s="3"/>
    </row>
    <row r="3230" spans="1:13" x14ac:dyDescent="0.3">
      <c r="A3230" s="2">
        <v>3229</v>
      </c>
      <c r="B3230" s="2" t="s">
        <v>7657</v>
      </c>
      <c r="C3230" s="2" t="s">
        <v>7716</v>
      </c>
      <c r="D3230" s="2" t="s">
        <v>28</v>
      </c>
      <c r="E3230" s="2" t="s">
        <v>29</v>
      </c>
      <c r="F3230" s="2">
        <v>30</v>
      </c>
      <c r="G3230" s="2" t="s">
        <v>7717</v>
      </c>
      <c r="H3230" s="2" t="s">
        <v>172</v>
      </c>
      <c r="I3230" s="2" t="s">
        <v>173</v>
      </c>
      <c r="J3230" s="3">
        <v>44542</v>
      </c>
      <c r="K3230" s="2">
        <v>66</v>
      </c>
      <c r="L3230" s="2" t="s">
        <v>64</v>
      </c>
      <c r="M3230" s="3"/>
    </row>
    <row r="3231" spans="1:13" x14ac:dyDescent="0.3">
      <c r="A3231" s="2">
        <v>3230</v>
      </c>
      <c r="B3231" s="2" t="s">
        <v>2994</v>
      </c>
      <c r="C3231" s="2" t="s">
        <v>3173</v>
      </c>
      <c r="D3231" s="2" t="s">
        <v>51</v>
      </c>
      <c r="E3231" s="2" t="s">
        <v>16</v>
      </c>
      <c r="F3231" s="2">
        <v>60</v>
      </c>
      <c r="G3231" s="2" t="s">
        <v>7718</v>
      </c>
      <c r="H3231" s="2" t="s">
        <v>1791</v>
      </c>
      <c r="I3231" s="2" t="s">
        <v>32</v>
      </c>
      <c r="J3231" s="3">
        <v>44803</v>
      </c>
      <c r="K3231" s="2">
        <v>92</v>
      </c>
      <c r="L3231" s="2" t="s">
        <v>101</v>
      </c>
      <c r="M3231" s="3"/>
    </row>
    <row r="3232" spans="1:13" x14ac:dyDescent="0.3">
      <c r="A3232" s="2">
        <v>3231</v>
      </c>
      <c r="B3232" s="2" t="s">
        <v>1961</v>
      </c>
      <c r="C3232" s="2" t="s">
        <v>3439</v>
      </c>
      <c r="D3232" s="2" t="s">
        <v>15</v>
      </c>
      <c r="E3232" s="2" t="s">
        <v>16</v>
      </c>
      <c r="F3232" s="2">
        <v>30</v>
      </c>
      <c r="G3232" s="2" t="s">
        <v>7719</v>
      </c>
      <c r="H3232" s="2" t="s">
        <v>7720</v>
      </c>
      <c r="I3232" s="2" t="s">
        <v>38</v>
      </c>
      <c r="J3232" s="3">
        <v>44132</v>
      </c>
      <c r="K3232" s="2">
        <v>75</v>
      </c>
      <c r="L3232" s="2" t="s">
        <v>101</v>
      </c>
      <c r="M3232" s="3"/>
    </row>
    <row r="3233" spans="1:13" x14ac:dyDescent="0.3">
      <c r="A3233" s="2">
        <v>3232</v>
      </c>
      <c r="B3233" s="2" t="s">
        <v>2244</v>
      </c>
      <c r="C3233" s="2" t="s">
        <v>7721</v>
      </c>
      <c r="D3233" s="2" t="s">
        <v>28</v>
      </c>
      <c r="E3233" s="2" t="s">
        <v>29</v>
      </c>
      <c r="F3233" s="2">
        <v>30</v>
      </c>
      <c r="G3233" s="2" t="s">
        <v>7722</v>
      </c>
      <c r="H3233" s="2" t="s">
        <v>5706</v>
      </c>
      <c r="I3233" s="2" t="s">
        <v>32</v>
      </c>
      <c r="J3233" s="3">
        <v>43913</v>
      </c>
      <c r="K3233" s="2">
        <v>4</v>
      </c>
      <c r="L3233" s="2" t="s">
        <v>20</v>
      </c>
      <c r="M3233" s="3"/>
    </row>
    <row r="3234" spans="1:13" x14ac:dyDescent="0.3">
      <c r="A3234" s="2">
        <v>3233</v>
      </c>
      <c r="B3234" s="2" t="s">
        <v>7276</v>
      </c>
      <c r="C3234" s="2" t="s">
        <v>7723</v>
      </c>
      <c r="D3234" s="2" t="s">
        <v>15</v>
      </c>
      <c r="E3234" s="2" t="s">
        <v>16</v>
      </c>
      <c r="F3234" s="2">
        <v>90</v>
      </c>
      <c r="G3234" s="2" t="s">
        <v>7724</v>
      </c>
      <c r="H3234" s="2" t="s">
        <v>2354</v>
      </c>
      <c r="I3234" s="2" t="s">
        <v>178</v>
      </c>
      <c r="J3234" s="3">
        <v>44206</v>
      </c>
      <c r="K3234" s="2">
        <v>74</v>
      </c>
      <c r="L3234" s="2" t="s">
        <v>159</v>
      </c>
      <c r="M3234" s="3"/>
    </row>
    <row r="3235" spans="1:13" x14ac:dyDescent="0.3">
      <c r="A3235" s="2">
        <v>3234</v>
      </c>
      <c r="B3235" s="2" t="s">
        <v>2487</v>
      </c>
      <c r="C3235" s="2" t="s">
        <v>422</v>
      </c>
      <c r="D3235" s="2" t="s">
        <v>15</v>
      </c>
      <c r="E3235" s="2" t="s">
        <v>16</v>
      </c>
      <c r="F3235" s="2">
        <v>30</v>
      </c>
      <c r="G3235" s="2" t="s">
        <v>7724</v>
      </c>
      <c r="H3235" s="2" t="s">
        <v>3774</v>
      </c>
      <c r="I3235" s="2" t="s">
        <v>187</v>
      </c>
      <c r="J3235" s="3">
        <v>44468</v>
      </c>
      <c r="K3235" s="2">
        <v>31</v>
      </c>
      <c r="L3235" s="2" t="s">
        <v>101</v>
      </c>
      <c r="M3235" s="3"/>
    </row>
    <row r="3236" spans="1:13" x14ac:dyDescent="0.3">
      <c r="A3236" s="2">
        <v>3235</v>
      </c>
      <c r="B3236" s="2" t="s">
        <v>5928</v>
      </c>
      <c r="C3236" s="2" t="s">
        <v>2336</v>
      </c>
      <c r="D3236" s="2" t="s">
        <v>28</v>
      </c>
      <c r="E3236" s="2" t="s">
        <v>29</v>
      </c>
      <c r="F3236" s="2">
        <v>30</v>
      </c>
      <c r="G3236" s="2" t="s">
        <v>7725</v>
      </c>
      <c r="H3236" s="2" t="s">
        <v>4932</v>
      </c>
      <c r="I3236" s="2" t="s">
        <v>38</v>
      </c>
      <c r="J3236" s="3">
        <v>44459</v>
      </c>
      <c r="K3236" s="2">
        <v>88</v>
      </c>
      <c r="L3236" s="2" t="s">
        <v>33</v>
      </c>
      <c r="M3236" s="3"/>
    </row>
    <row r="3237" spans="1:13" x14ac:dyDescent="0.3">
      <c r="A3237" s="2">
        <v>3236</v>
      </c>
      <c r="B3237" s="2" t="s">
        <v>6994</v>
      </c>
      <c r="C3237" s="2" t="s">
        <v>268</v>
      </c>
      <c r="D3237" s="2" t="s">
        <v>15</v>
      </c>
      <c r="E3237" s="2" t="s">
        <v>16</v>
      </c>
      <c r="F3237" s="2">
        <v>60</v>
      </c>
      <c r="G3237" s="2" t="s">
        <v>7725</v>
      </c>
      <c r="H3237" s="2" t="s">
        <v>663</v>
      </c>
      <c r="I3237" s="2" t="s">
        <v>32</v>
      </c>
      <c r="J3237" s="3">
        <v>44458</v>
      </c>
      <c r="K3237" s="2">
        <v>35</v>
      </c>
      <c r="L3237" s="2" t="s">
        <v>64</v>
      </c>
      <c r="M3237" s="3"/>
    </row>
    <row r="3238" spans="1:13" x14ac:dyDescent="0.3">
      <c r="A3238" s="2">
        <v>3237</v>
      </c>
      <c r="B3238" s="2" t="s">
        <v>7726</v>
      </c>
      <c r="C3238" s="2" t="s">
        <v>3162</v>
      </c>
      <c r="D3238" s="2" t="s">
        <v>15</v>
      </c>
      <c r="E3238" s="2" t="s">
        <v>16</v>
      </c>
      <c r="F3238" s="2">
        <v>30</v>
      </c>
      <c r="G3238" s="2" t="s">
        <v>7727</v>
      </c>
      <c r="H3238" s="2" t="s">
        <v>2678</v>
      </c>
      <c r="I3238" s="2" t="s">
        <v>32</v>
      </c>
      <c r="J3238" s="3">
        <v>44171</v>
      </c>
      <c r="K3238" s="2">
        <v>36</v>
      </c>
      <c r="L3238" s="2" t="s">
        <v>54</v>
      </c>
      <c r="M3238" s="3"/>
    </row>
    <row r="3239" spans="1:13" x14ac:dyDescent="0.3">
      <c r="A3239" s="2">
        <v>3238</v>
      </c>
      <c r="B3239" s="2" t="s">
        <v>6326</v>
      </c>
      <c r="C3239" s="2" t="s">
        <v>7728</v>
      </c>
      <c r="D3239" s="2" t="s">
        <v>41</v>
      </c>
      <c r="E3239" s="2" t="s">
        <v>16</v>
      </c>
      <c r="F3239" s="2">
        <v>60</v>
      </c>
      <c r="G3239" s="2" t="s">
        <v>7729</v>
      </c>
      <c r="H3239" s="2" t="s">
        <v>3862</v>
      </c>
      <c r="I3239" s="2" t="s">
        <v>2543</v>
      </c>
      <c r="J3239" s="3">
        <v>43898</v>
      </c>
      <c r="K3239" s="2">
        <v>31</v>
      </c>
      <c r="L3239" s="2" t="s">
        <v>54</v>
      </c>
      <c r="M3239" s="3"/>
    </row>
    <row r="3240" spans="1:13" x14ac:dyDescent="0.3">
      <c r="A3240" s="2">
        <v>3239</v>
      </c>
      <c r="B3240" s="2" t="s">
        <v>7730</v>
      </c>
      <c r="C3240" s="2" t="s">
        <v>4876</v>
      </c>
      <c r="D3240" s="2" t="s">
        <v>28</v>
      </c>
      <c r="E3240" s="2" t="s">
        <v>29</v>
      </c>
      <c r="F3240" s="2">
        <v>90</v>
      </c>
      <c r="G3240" s="2" t="s">
        <v>7731</v>
      </c>
      <c r="H3240" s="2" t="s">
        <v>293</v>
      </c>
      <c r="I3240" s="2" t="s">
        <v>294</v>
      </c>
      <c r="J3240" s="3">
        <v>43938</v>
      </c>
      <c r="K3240" s="2">
        <v>44</v>
      </c>
      <c r="L3240" s="2" t="s">
        <v>70</v>
      </c>
      <c r="M3240" s="3"/>
    </row>
    <row r="3241" spans="1:13" x14ac:dyDescent="0.3">
      <c r="A3241" s="2">
        <v>3240</v>
      </c>
      <c r="B3241" s="2" t="s">
        <v>1851</v>
      </c>
      <c r="C3241" s="2" t="s">
        <v>1846</v>
      </c>
      <c r="D3241" s="2" t="s">
        <v>28</v>
      </c>
      <c r="E3241" s="2" t="s">
        <v>29</v>
      </c>
      <c r="F3241" s="2">
        <v>60</v>
      </c>
      <c r="G3241" s="2" t="s">
        <v>7732</v>
      </c>
      <c r="H3241" s="2" t="s">
        <v>1325</v>
      </c>
      <c r="I3241" s="2" t="s">
        <v>187</v>
      </c>
      <c r="J3241" s="3">
        <v>44598</v>
      </c>
      <c r="K3241" s="2">
        <v>45</v>
      </c>
      <c r="L3241" s="2" t="s">
        <v>101</v>
      </c>
      <c r="M3241" s="3"/>
    </row>
    <row r="3242" spans="1:13" x14ac:dyDescent="0.3">
      <c r="A3242" s="2">
        <v>3241</v>
      </c>
      <c r="B3242" s="2" t="s">
        <v>1427</v>
      </c>
      <c r="C3242" s="2" t="s">
        <v>3621</v>
      </c>
      <c r="D3242" s="2" t="s">
        <v>28</v>
      </c>
      <c r="E3242" s="2" t="s">
        <v>29</v>
      </c>
      <c r="F3242" s="2">
        <v>30</v>
      </c>
      <c r="G3242" s="2" t="s">
        <v>7733</v>
      </c>
      <c r="H3242" s="2" t="s">
        <v>1791</v>
      </c>
      <c r="I3242" s="2" t="s">
        <v>32</v>
      </c>
      <c r="J3242" s="3">
        <v>44367</v>
      </c>
      <c r="K3242" s="2">
        <v>37</v>
      </c>
      <c r="L3242" s="2" t="s">
        <v>70</v>
      </c>
      <c r="M3242" s="3"/>
    </row>
    <row r="3243" spans="1:13" x14ac:dyDescent="0.3">
      <c r="A3243" s="2">
        <v>3242</v>
      </c>
      <c r="B3243" s="2" t="s">
        <v>7734</v>
      </c>
      <c r="C3243" s="2" t="s">
        <v>5002</v>
      </c>
      <c r="D3243" s="2" t="s">
        <v>28</v>
      </c>
      <c r="E3243" s="2" t="s">
        <v>29</v>
      </c>
      <c r="F3243" s="2">
        <v>30</v>
      </c>
      <c r="G3243" s="2" t="s">
        <v>7735</v>
      </c>
      <c r="H3243" s="2" t="s">
        <v>7736</v>
      </c>
      <c r="I3243" s="2" t="s">
        <v>1889</v>
      </c>
      <c r="J3243" s="3">
        <v>44789</v>
      </c>
      <c r="K3243" s="2">
        <v>101</v>
      </c>
      <c r="L3243" s="2" t="s">
        <v>80</v>
      </c>
      <c r="M3243" s="3"/>
    </row>
    <row r="3244" spans="1:13" x14ac:dyDescent="0.3">
      <c r="A3244" s="2">
        <v>3243</v>
      </c>
      <c r="B3244" s="2" t="s">
        <v>7737</v>
      </c>
      <c r="C3244" s="2" t="s">
        <v>3488</v>
      </c>
      <c r="D3244" s="2" t="s">
        <v>15</v>
      </c>
      <c r="E3244" s="2" t="s">
        <v>16</v>
      </c>
      <c r="F3244" s="2">
        <v>60</v>
      </c>
      <c r="G3244" s="2" t="s">
        <v>7738</v>
      </c>
      <c r="H3244" s="2" t="s">
        <v>7739</v>
      </c>
      <c r="I3244" s="2" t="s">
        <v>146</v>
      </c>
      <c r="J3244" s="3">
        <v>44171</v>
      </c>
      <c r="K3244" s="2">
        <v>28</v>
      </c>
      <c r="L3244" s="2" t="s">
        <v>101</v>
      </c>
      <c r="M3244" s="3"/>
    </row>
    <row r="3245" spans="1:13" x14ac:dyDescent="0.3">
      <c r="A3245" s="2">
        <v>3244</v>
      </c>
      <c r="B3245" s="2" t="s">
        <v>3079</v>
      </c>
      <c r="C3245" s="2" t="s">
        <v>6082</v>
      </c>
      <c r="D3245" s="2" t="s">
        <v>28</v>
      </c>
      <c r="E3245" s="2" t="s">
        <v>29</v>
      </c>
      <c r="F3245" s="2">
        <v>60</v>
      </c>
      <c r="G3245" s="2" t="s">
        <v>7740</v>
      </c>
      <c r="H3245" s="2" t="s">
        <v>1864</v>
      </c>
      <c r="I3245" s="2" t="s">
        <v>294</v>
      </c>
      <c r="J3245" s="3">
        <v>44630</v>
      </c>
      <c r="K3245" s="2">
        <v>94</v>
      </c>
      <c r="L3245" s="2" t="s">
        <v>45</v>
      </c>
      <c r="M3245" s="3"/>
    </row>
    <row r="3246" spans="1:13" x14ac:dyDescent="0.3">
      <c r="A3246" s="2">
        <v>3245</v>
      </c>
      <c r="B3246" s="2" t="s">
        <v>7741</v>
      </c>
      <c r="C3246" s="2" t="s">
        <v>7742</v>
      </c>
      <c r="D3246" s="2" t="s">
        <v>28</v>
      </c>
      <c r="E3246" s="2" t="s">
        <v>29</v>
      </c>
      <c r="F3246" s="2">
        <v>60</v>
      </c>
      <c r="G3246" s="2" t="s">
        <v>7743</v>
      </c>
      <c r="H3246" s="2" t="s">
        <v>1060</v>
      </c>
      <c r="I3246" s="2" t="s">
        <v>38</v>
      </c>
      <c r="J3246" s="3">
        <v>44405</v>
      </c>
      <c r="K3246" s="2">
        <v>78</v>
      </c>
      <c r="L3246" s="2" t="s">
        <v>54</v>
      </c>
      <c r="M3246" s="3"/>
    </row>
    <row r="3247" spans="1:13" x14ac:dyDescent="0.3">
      <c r="A3247" s="2">
        <v>3246</v>
      </c>
      <c r="B3247" s="2" t="s">
        <v>5309</v>
      </c>
      <c r="C3247" s="2" t="s">
        <v>1406</v>
      </c>
      <c r="D3247" s="2" t="s">
        <v>15</v>
      </c>
      <c r="E3247" s="2" t="s">
        <v>16</v>
      </c>
      <c r="F3247" s="2">
        <v>30</v>
      </c>
      <c r="G3247" s="2" t="s">
        <v>7744</v>
      </c>
      <c r="H3247" s="2" t="s">
        <v>3790</v>
      </c>
      <c r="I3247" s="2" t="s">
        <v>32</v>
      </c>
      <c r="J3247" s="3">
        <v>44247</v>
      </c>
      <c r="K3247" s="2">
        <v>5</v>
      </c>
      <c r="L3247" s="2" t="s">
        <v>101</v>
      </c>
      <c r="M3247" s="3"/>
    </row>
    <row r="3248" spans="1:13" x14ac:dyDescent="0.3">
      <c r="A3248" s="2">
        <v>3247</v>
      </c>
      <c r="B3248" s="2" t="s">
        <v>7745</v>
      </c>
      <c r="C3248" s="2" t="s">
        <v>6527</v>
      </c>
      <c r="D3248" s="2" t="s">
        <v>15</v>
      </c>
      <c r="E3248" s="2" t="s">
        <v>16</v>
      </c>
      <c r="F3248" s="2">
        <v>30</v>
      </c>
      <c r="G3248" s="2" t="s">
        <v>7746</v>
      </c>
      <c r="H3248" s="2" t="s">
        <v>7546</v>
      </c>
      <c r="I3248" s="2" t="s">
        <v>187</v>
      </c>
      <c r="J3248" s="3">
        <v>44438</v>
      </c>
      <c r="K3248" s="2">
        <v>66</v>
      </c>
      <c r="L3248" s="2" t="s">
        <v>80</v>
      </c>
      <c r="M3248" s="3"/>
    </row>
    <row r="3249" spans="1:13" x14ac:dyDescent="0.3">
      <c r="A3249" s="2">
        <v>3248</v>
      </c>
      <c r="B3249" s="2" t="s">
        <v>6580</v>
      </c>
      <c r="C3249" s="2" t="s">
        <v>1710</v>
      </c>
      <c r="D3249" s="2" t="s">
        <v>28</v>
      </c>
      <c r="E3249" s="2" t="s">
        <v>29</v>
      </c>
      <c r="F3249" s="2">
        <v>90</v>
      </c>
      <c r="G3249" s="2" t="s">
        <v>7747</v>
      </c>
      <c r="H3249" s="2" t="s">
        <v>1948</v>
      </c>
      <c r="I3249" s="2" t="s">
        <v>25</v>
      </c>
      <c r="J3249" s="3">
        <v>43845</v>
      </c>
      <c r="K3249" s="2">
        <v>64</v>
      </c>
      <c r="L3249" s="2" t="s">
        <v>45</v>
      </c>
      <c r="M3249" s="3"/>
    </row>
    <row r="3250" spans="1:13" x14ac:dyDescent="0.3">
      <c r="A3250" s="2">
        <v>3249</v>
      </c>
      <c r="B3250" s="2" t="s">
        <v>6578</v>
      </c>
      <c r="C3250" s="2" t="s">
        <v>4596</v>
      </c>
      <c r="D3250" s="2" t="s">
        <v>28</v>
      </c>
      <c r="E3250" s="2" t="s">
        <v>29</v>
      </c>
      <c r="F3250" s="2">
        <v>90</v>
      </c>
      <c r="G3250" s="2" t="s">
        <v>7748</v>
      </c>
      <c r="H3250" s="2" t="s">
        <v>655</v>
      </c>
      <c r="I3250" s="2" t="s">
        <v>32</v>
      </c>
      <c r="J3250" s="3">
        <v>44873</v>
      </c>
      <c r="K3250" s="2">
        <v>95</v>
      </c>
      <c r="L3250" s="2" t="s">
        <v>64</v>
      </c>
      <c r="M3250" s="3"/>
    </row>
    <row r="3251" spans="1:13" x14ac:dyDescent="0.3">
      <c r="A3251" s="2">
        <v>3250</v>
      </c>
      <c r="B3251" s="2" t="s">
        <v>7749</v>
      </c>
      <c r="C3251" s="2" t="s">
        <v>661</v>
      </c>
      <c r="D3251" s="2" t="s">
        <v>51</v>
      </c>
      <c r="E3251" s="2" t="s">
        <v>16</v>
      </c>
      <c r="F3251" s="2">
        <v>30</v>
      </c>
      <c r="G3251" s="2" t="s">
        <v>7750</v>
      </c>
      <c r="H3251" s="2" t="s">
        <v>7353</v>
      </c>
      <c r="I3251" s="2" t="s">
        <v>19</v>
      </c>
      <c r="J3251" s="3">
        <v>43922</v>
      </c>
      <c r="K3251" s="2">
        <v>80</v>
      </c>
      <c r="L3251" s="2" t="s">
        <v>54</v>
      </c>
      <c r="M3251" s="3"/>
    </row>
    <row r="3252" spans="1:13" x14ac:dyDescent="0.3">
      <c r="A3252" s="2">
        <v>3251</v>
      </c>
      <c r="B3252" s="2" t="s">
        <v>1116</v>
      </c>
      <c r="C3252" s="2" t="s">
        <v>1274</v>
      </c>
      <c r="D3252" s="2" t="s">
        <v>28</v>
      </c>
      <c r="E3252" s="2" t="s">
        <v>29</v>
      </c>
      <c r="F3252" s="2">
        <v>30</v>
      </c>
      <c r="G3252" s="2" t="s">
        <v>7751</v>
      </c>
      <c r="H3252" s="2" t="s">
        <v>7752</v>
      </c>
      <c r="I3252" s="2" t="s">
        <v>32</v>
      </c>
      <c r="J3252" s="3">
        <v>43977</v>
      </c>
      <c r="K3252" s="2">
        <v>77</v>
      </c>
      <c r="L3252" s="2" t="s">
        <v>39</v>
      </c>
      <c r="M3252" s="3"/>
    </row>
    <row r="3253" spans="1:13" x14ac:dyDescent="0.3">
      <c r="A3253" s="2">
        <v>3252</v>
      </c>
      <c r="B3253" s="2" t="s">
        <v>7753</v>
      </c>
      <c r="C3253" s="2" t="s">
        <v>111</v>
      </c>
      <c r="D3253" s="2" t="s">
        <v>28</v>
      </c>
      <c r="E3253" s="2" t="s">
        <v>29</v>
      </c>
      <c r="F3253" s="2">
        <v>30</v>
      </c>
      <c r="G3253" s="2" t="s">
        <v>7754</v>
      </c>
      <c r="H3253" s="2" t="s">
        <v>2745</v>
      </c>
      <c r="I3253" s="2" t="s">
        <v>32</v>
      </c>
      <c r="J3253" s="3">
        <v>44855</v>
      </c>
      <c r="K3253" s="2">
        <v>65</v>
      </c>
      <c r="L3253" s="2" t="s">
        <v>20</v>
      </c>
      <c r="M3253" s="3"/>
    </row>
    <row r="3254" spans="1:13" x14ac:dyDescent="0.3">
      <c r="A3254" s="2">
        <v>3253</v>
      </c>
      <c r="B3254" s="2" t="s">
        <v>7755</v>
      </c>
      <c r="C3254" s="2" t="s">
        <v>4971</v>
      </c>
      <c r="D3254" s="2" t="s">
        <v>51</v>
      </c>
      <c r="E3254" s="2" t="s">
        <v>16</v>
      </c>
      <c r="F3254" s="2">
        <v>30</v>
      </c>
      <c r="G3254" s="2" t="s">
        <v>7756</v>
      </c>
      <c r="H3254" s="2" t="s">
        <v>7056</v>
      </c>
      <c r="I3254" s="2" t="s">
        <v>95</v>
      </c>
      <c r="J3254" s="3">
        <v>44227</v>
      </c>
      <c r="K3254" s="2">
        <v>54</v>
      </c>
      <c r="L3254" s="2" t="s">
        <v>54</v>
      </c>
      <c r="M3254" s="3"/>
    </row>
    <row r="3255" spans="1:13" x14ac:dyDescent="0.3">
      <c r="A3255" s="2">
        <v>3254</v>
      </c>
      <c r="B3255" s="2" t="s">
        <v>4591</v>
      </c>
      <c r="C3255" s="2" t="s">
        <v>3953</v>
      </c>
      <c r="D3255" s="2" t="s">
        <v>28</v>
      </c>
      <c r="E3255" s="2" t="s">
        <v>29</v>
      </c>
      <c r="F3255" s="2">
        <v>30</v>
      </c>
      <c r="G3255" s="2" t="s">
        <v>7757</v>
      </c>
      <c r="H3255" s="2" t="s">
        <v>7758</v>
      </c>
      <c r="I3255" s="2" t="s">
        <v>819</v>
      </c>
      <c r="J3255" s="3">
        <v>44152</v>
      </c>
      <c r="K3255" s="2">
        <v>17</v>
      </c>
      <c r="L3255" s="2" t="s">
        <v>20</v>
      </c>
      <c r="M3255" s="3"/>
    </row>
    <row r="3256" spans="1:13" x14ac:dyDescent="0.3">
      <c r="A3256" s="2">
        <v>3255</v>
      </c>
      <c r="B3256" s="2" t="s">
        <v>6190</v>
      </c>
      <c r="C3256" s="2" t="s">
        <v>277</v>
      </c>
      <c r="D3256" s="2" t="s">
        <v>28</v>
      </c>
      <c r="E3256" s="2" t="s">
        <v>29</v>
      </c>
      <c r="F3256" s="2">
        <v>30</v>
      </c>
      <c r="G3256" s="2" t="s">
        <v>7759</v>
      </c>
      <c r="H3256" s="2" t="s">
        <v>5222</v>
      </c>
      <c r="I3256" s="2" t="s">
        <v>32</v>
      </c>
      <c r="J3256" s="3">
        <v>44792</v>
      </c>
      <c r="K3256" s="2">
        <v>7</v>
      </c>
      <c r="L3256" s="2" t="s">
        <v>45</v>
      </c>
      <c r="M3256" s="3"/>
    </row>
    <row r="3257" spans="1:13" x14ac:dyDescent="0.3">
      <c r="A3257" s="2">
        <v>3256</v>
      </c>
      <c r="B3257" s="2" t="s">
        <v>6192</v>
      </c>
      <c r="C3257" s="2" t="s">
        <v>5195</v>
      </c>
      <c r="D3257" s="2" t="s">
        <v>28</v>
      </c>
      <c r="E3257" s="2" t="s">
        <v>29</v>
      </c>
      <c r="F3257" s="2">
        <v>90</v>
      </c>
      <c r="G3257" s="2" t="s">
        <v>7760</v>
      </c>
      <c r="H3257" s="2" t="s">
        <v>1056</v>
      </c>
      <c r="I3257" s="2" t="s">
        <v>129</v>
      </c>
      <c r="J3257" s="3">
        <v>44375</v>
      </c>
      <c r="K3257" s="2">
        <v>21</v>
      </c>
      <c r="L3257" s="2" t="s">
        <v>39</v>
      </c>
      <c r="M3257" s="3"/>
    </row>
    <row r="3258" spans="1:13" x14ac:dyDescent="0.3">
      <c r="A3258" s="2">
        <v>3257</v>
      </c>
      <c r="B3258" s="2" t="s">
        <v>1313</v>
      </c>
      <c r="C3258" s="2" t="s">
        <v>7761</v>
      </c>
      <c r="D3258" s="2" t="s">
        <v>28</v>
      </c>
      <c r="E3258" s="2" t="s">
        <v>29</v>
      </c>
      <c r="F3258" s="2">
        <v>60</v>
      </c>
      <c r="G3258" s="2" t="s">
        <v>7762</v>
      </c>
      <c r="H3258" s="2" t="s">
        <v>7763</v>
      </c>
      <c r="I3258" s="2" t="s">
        <v>129</v>
      </c>
      <c r="J3258" s="3">
        <v>44133</v>
      </c>
      <c r="K3258" s="2">
        <v>29</v>
      </c>
      <c r="L3258" s="2" t="s">
        <v>39</v>
      </c>
      <c r="M3258" s="3"/>
    </row>
    <row r="3259" spans="1:13" x14ac:dyDescent="0.3">
      <c r="A3259" s="2">
        <v>3258</v>
      </c>
      <c r="B3259" s="2" t="s">
        <v>7764</v>
      </c>
      <c r="C3259" s="2" t="s">
        <v>5174</v>
      </c>
      <c r="D3259" s="2" t="s">
        <v>15</v>
      </c>
      <c r="E3259" s="2" t="s">
        <v>16</v>
      </c>
      <c r="F3259" s="2">
        <v>30</v>
      </c>
      <c r="G3259" s="2" t="s">
        <v>7765</v>
      </c>
      <c r="H3259" s="2" t="s">
        <v>7526</v>
      </c>
      <c r="I3259" s="2" t="s">
        <v>32</v>
      </c>
      <c r="J3259" s="3">
        <v>44249</v>
      </c>
      <c r="K3259" s="2">
        <v>64</v>
      </c>
      <c r="L3259" s="2" t="s">
        <v>45</v>
      </c>
      <c r="M3259" s="3"/>
    </row>
    <row r="3260" spans="1:13" x14ac:dyDescent="0.3">
      <c r="A3260" s="2">
        <v>3259</v>
      </c>
      <c r="B3260" s="2" t="s">
        <v>6306</v>
      </c>
      <c r="C3260" s="2" t="s">
        <v>7766</v>
      </c>
      <c r="D3260" s="2" t="s">
        <v>28</v>
      </c>
      <c r="E3260" s="2" t="s">
        <v>29</v>
      </c>
      <c r="F3260" s="2">
        <v>90</v>
      </c>
      <c r="G3260" s="2" t="s">
        <v>7767</v>
      </c>
      <c r="H3260" s="2" t="s">
        <v>7768</v>
      </c>
      <c r="I3260" s="2" t="s">
        <v>19</v>
      </c>
      <c r="J3260" s="3">
        <v>44228</v>
      </c>
      <c r="K3260" s="2">
        <v>90</v>
      </c>
      <c r="L3260" s="2" t="s">
        <v>54</v>
      </c>
      <c r="M3260" s="3"/>
    </row>
    <row r="3261" spans="1:13" x14ac:dyDescent="0.3">
      <c r="A3261" s="2">
        <v>3260</v>
      </c>
      <c r="B3261" s="2" t="s">
        <v>7769</v>
      </c>
      <c r="C3261" s="2" t="s">
        <v>672</v>
      </c>
      <c r="D3261" s="2" t="s">
        <v>15</v>
      </c>
      <c r="E3261" s="2" t="s">
        <v>16</v>
      </c>
      <c r="F3261" s="2">
        <v>30</v>
      </c>
      <c r="G3261" s="2" t="s">
        <v>7770</v>
      </c>
      <c r="H3261" s="2" t="s">
        <v>3148</v>
      </c>
      <c r="I3261" s="2" t="s">
        <v>146</v>
      </c>
      <c r="J3261" s="3">
        <v>44687</v>
      </c>
      <c r="K3261" s="2">
        <v>54</v>
      </c>
      <c r="L3261" s="2" t="s">
        <v>54</v>
      </c>
      <c r="M3261" s="3"/>
    </row>
    <row r="3262" spans="1:13" x14ac:dyDescent="0.3">
      <c r="A3262" s="2">
        <v>3261</v>
      </c>
      <c r="B3262" s="2" t="s">
        <v>485</v>
      </c>
      <c r="C3262" s="2" t="s">
        <v>6452</v>
      </c>
      <c r="D3262" s="2" t="s">
        <v>28</v>
      </c>
      <c r="E3262" s="2" t="s">
        <v>29</v>
      </c>
      <c r="F3262" s="2">
        <v>90</v>
      </c>
      <c r="G3262" s="2" t="s">
        <v>7771</v>
      </c>
      <c r="H3262" s="2" t="s">
        <v>641</v>
      </c>
      <c r="I3262" s="2" t="s">
        <v>294</v>
      </c>
      <c r="J3262" s="3">
        <v>44551</v>
      </c>
      <c r="K3262" s="2">
        <v>77</v>
      </c>
      <c r="L3262" s="2" t="s">
        <v>45</v>
      </c>
      <c r="M3262" s="3"/>
    </row>
    <row r="3263" spans="1:13" x14ac:dyDescent="0.3">
      <c r="A3263" s="2">
        <v>3262</v>
      </c>
      <c r="B3263" s="2" t="s">
        <v>7772</v>
      </c>
      <c r="C3263" s="2" t="s">
        <v>762</v>
      </c>
      <c r="D3263" s="2" t="s">
        <v>51</v>
      </c>
      <c r="E3263" s="2" t="s">
        <v>16</v>
      </c>
      <c r="F3263" s="2">
        <v>30</v>
      </c>
      <c r="G3263" s="2" t="s">
        <v>7773</v>
      </c>
      <c r="H3263" s="2" t="s">
        <v>7161</v>
      </c>
      <c r="I3263" s="2" t="s">
        <v>32</v>
      </c>
      <c r="J3263" s="3">
        <v>43989</v>
      </c>
      <c r="K3263" s="2">
        <v>38</v>
      </c>
      <c r="L3263" s="2" t="s">
        <v>54</v>
      </c>
      <c r="M3263" s="3"/>
    </row>
    <row r="3264" spans="1:13" x14ac:dyDescent="0.3">
      <c r="A3264" s="2">
        <v>3263</v>
      </c>
      <c r="B3264" s="2" t="s">
        <v>1065</v>
      </c>
      <c r="C3264" s="2" t="s">
        <v>7774</v>
      </c>
      <c r="D3264" s="2" t="s">
        <v>28</v>
      </c>
      <c r="E3264" s="2" t="s">
        <v>29</v>
      </c>
      <c r="F3264" s="2">
        <v>30</v>
      </c>
      <c r="G3264" s="2" t="s">
        <v>7775</v>
      </c>
      <c r="H3264" s="2" t="s">
        <v>3790</v>
      </c>
      <c r="I3264" s="2" t="s">
        <v>32</v>
      </c>
      <c r="J3264" s="3">
        <v>44909</v>
      </c>
      <c r="K3264" s="2">
        <v>56</v>
      </c>
      <c r="L3264" s="2" t="s">
        <v>70</v>
      </c>
      <c r="M3264" s="3"/>
    </row>
    <row r="3265" spans="1:13" x14ac:dyDescent="0.3">
      <c r="A3265" s="2">
        <v>3264</v>
      </c>
      <c r="B3265" s="2" t="s">
        <v>2782</v>
      </c>
      <c r="C3265" s="2" t="s">
        <v>5483</v>
      </c>
      <c r="D3265" s="2" t="s">
        <v>28</v>
      </c>
      <c r="E3265" s="2" t="s">
        <v>29</v>
      </c>
      <c r="F3265" s="2">
        <v>90</v>
      </c>
      <c r="G3265" s="2" t="s">
        <v>7776</v>
      </c>
      <c r="H3265" s="2" t="s">
        <v>7777</v>
      </c>
      <c r="I3265" s="2" t="s">
        <v>32</v>
      </c>
      <c r="J3265" s="3">
        <v>44213</v>
      </c>
      <c r="K3265" s="2">
        <v>79</v>
      </c>
      <c r="L3265" s="2" t="s">
        <v>33</v>
      </c>
      <c r="M3265" s="3"/>
    </row>
    <row r="3266" spans="1:13" x14ac:dyDescent="0.3">
      <c r="A3266" s="2">
        <v>3265</v>
      </c>
      <c r="B3266" s="2" t="s">
        <v>4939</v>
      </c>
      <c r="C3266" s="2" t="s">
        <v>5032</v>
      </c>
      <c r="D3266" s="2" t="s">
        <v>28</v>
      </c>
      <c r="E3266" s="2" t="s">
        <v>29</v>
      </c>
      <c r="F3266" s="2">
        <v>60</v>
      </c>
      <c r="G3266" s="2" t="s">
        <v>7778</v>
      </c>
      <c r="H3266" s="2" t="s">
        <v>1184</v>
      </c>
      <c r="I3266" s="2" t="s">
        <v>886</v>
      </c>
      <c r="J3266" s="3">
        <v>43865</v>
      </c>
      <c r="K3266" s="2">
        <v>18</v>
      </c>
      <c r="L3266" s="2" t="s">
        <v>101</v>
      </c>
      <c r="M3266" s="3"/>
    </row>
    <row r="3267" spans="1:13" x14ac:dyDescent="0.3">
      <c r="A3267" s="2">
        <v>3266</v>
      </c>
      <c r="B3267" s="2" t="s">
        <v>4536</v>
      </c>
      <c r="C3267" s="2" t="s">
        <v>7779</v>
      </c>
      <c r="D3267" s="2" t="s">
        <v>28</v>
      </c>
      <c r="E3267" s="2" t="s">
        <v>29</v>
      </c>
      <c r="F3267" s="2">
        <v>30</v>
      </c>
      <c r="G3267" s="2" t="s">
        <v>7780</v>
      </c>
      <c r="H3267" s="2" t="s">
        <v>1819</v>
      </c>
      <c r="I3267" s="2" t="s">
        <v>89</v>
      </c>
      <c r="J3267" s="3">
        <v>44403</v>
      </c>
      <c r="K3267" s="2">
        <v>43</v>
      </c>
      <c r="L3267" s="2" t="s">
        <v>33</v>
      </c>
      <c r="M3267" s="3"/>
    </row>
    <row r="3268" spans="1:13" x14ac:dyDescent="0.3">
      <c r="A3268" s="2">
        <v>3267</v>
      </c>
      <c r="B3268" s="2" t="s">
        <v>2157</v>
      </c>
      <c r="C3268" s="2" t="s">
        <v>1923</v>
      </c>
      <c r="D3268" s="2" t="s">
        <v>41</v>
      </c>
      <c r="E3268" s="2" t="s">
        <v>16</v>
      </c>
      <c r="F3268" s="2">
        <v>90</v>
      </c>
      <c r="G3268" s="2" t="s">
        <v>7781</v>
      </c>
      <c r="H3268" s="2" t="s">
        <v>84</v>
      </c>
      <c r="I3268" s="2" t="s">
        <v>32</v>
      </c>
      <c r="J3268" s="3">
        <v>44342</v>
      </c>
      <c r="K3268" s="2">
        <v>66</v>
      </c>
      <c r="L3268" s="2" t="s">
        <v>33</v>
      </c>
      <c r="M3268" s="3"/>
    </row>
    <row r="3269" spans="1:13" x14ac:dyDescent="0.3">
      <c r="A3269" s="2">
        <v>3268</v>
      </c>
      <c r="B3269" s="2" t="s">
        <v>7782</v>
      </c>
      <c r="C3269" s="2" t="s">
        <v>1304</v>
      </c>
      <c r="D3269" s="2" t="s">
        <v>15</v>
      </c>
      <c r="E3269" s="2" t="s">
        <v>16</v>
      </c>
      <c r="F3269" s="2">
        <v>90</v>
      </c>
      <c r="G3269" s="2" t="s">
        <v>7783</v>
      </c>
      <c r="H3269" s="2" t="s">
        <v>266</v>
      </c>
      <c r="I3269" s="2" t="s">
        <v>32</v>
      </c>
      <c r="J3269" s="3">
        <v>43875</v>
      </c>
      <c r="K3269" s="2">
        <v>5</v>
      </c>
      <c r="L3269" s="2" t="s">
        <v>70</v>
      </c>
      <c r="M3269" s="3"/>
    </row>
    <row r="3270" spans="1:13" x14ac:dyDescent="0.3">
      <c r="A3270" s="2">
        <v>3269</v>
      </c>
      <c r="B3270" s="2" t="s">
        <v>2919</v>
      </c>
      <c r="C3270" s="2" t="s">
        <v>5913</v>
      </c>
      <c r="D3270" s="2" t="s">
        <v>28</v>
      </c>
      <c r="E3270" s="2" t="s">
        <v>29</v>
      </c>
      <c r="F3270" s="2">
        <v>60</v>
      </c>
      <c r="G3270" s="2" t="s">
        <v>7784</v>
      </c>
      <c r="H3270" s="2" t="s">
        <v>7785</v>
      </c>
      <c r="I3270" s="2" t="s">
        <v>32</v>
      </c>
      <c r="J3270" s="3">
        <v>44585</v>
      </c>
      <c r="K3270" s="2">
        <v>92</v>
      </c>
      <c r="L3270" s="2" t="s">
        <v>64</v>
      </c>
      <c r="M3270" s="3"/>
    </row>
    <row r="3271" spans="1:13" x14ac:dyDescent="0.3">
      <c r="A3271" s="2">
        <v>3270</v>
      </c>
      <c r="B3271" s="2" t="s">
        <v>6715</v>
      </c>
      <c r="C3271" s="2" t="s">
        <v>7520</v>
      </c>
      <c r="D3271" s="2" t="s">
        <v>28</v>
      </c>
      <c r="E3271" s="2" t="s">
        <v>29</v>
      </c>
      <c r="F3271" s="2">
        <v>60</v>
      </c>
      <c r="G3271" s="2" t="s">
        <v>7786</v>
      </c>
      <c r="H3271" s="2" t="s">
        <v>5581</v>
      </c>
      <c r="I3271" s="2" t="s">
        <v>187</v>
      </c>
      <c r="J3271" s="3">
        <v>44425</v>
      </c>
      <c r="K3271" s="2">
        <v>4</v>
      </c>
      <c r="L3271" s="2" t="s">
        <v>70</v>
      </c>
      <c r="M3271" s="3"/>
    </row>
    <row r="3272" spans="1:13" x14ac:dyDescent="0.3">
      <c r="A3272" s="2">
        <v>3271</v>
      </c>
      <c r="B3272" s="2" t="s">
        <v>7787</v>
      </c>
      <c r="C3272" s="2" t="s">
        <v>2269</v>
      </c>
      <c r="D3272" s="2" t="s">
        <v>51</v>
      </c>
      <c r="E3272" s="2" t="s">
        <v>16</v>
      </c>
      <c r="F3272" s="2">
        <v>60</v>
      </c>
      <c r="G3272" s="2" t="s">
        <v>7788</v>
      </c>
      <c r="H3272" s="2" t="s">
        <v>1077</v>
      </c>
      <c r="I3272" s="2" t="s">
        <v>1078</v>
      </c>
      <c r="J3272" s="3">
        <v>43902</v>
      </c>
      <c r="K3272" s="2">
        <v>6</v>
      </c>
      <c r="L3272" s="2" t="s">
        <v>80</v>
      </c>
      <c r="M3272" s="3"/>
    </row>
    <row r="3273" spans="1:13" x14ac:dyDescent="0.3">
      <c r="A3273" s="2">
        <v>3272</v>
      </c>
      <c r="B3273" s="2" t="s">
        <v>6492</v>
      </c>
      <c r="C3273" s="2" t="s">
        <v>7789</v>
      </c>
      <c r="D3273" s="2" t="s">
        <v>28</v>
      </c>
      <c r="E3273" s="2" t="s">
        <v>29</v>
      </c>
      <c r="F3273" s="2">
        <v>60</v>
      </c>
      <c r="G3273" s="2" t="s">
        <v>7790</v>
      </c>
      <c r="H3273" s="2" t="s">
        <v>6479</v>
      </c>
      <c r="I3273" s="2" t="s">
        <v>187</v>
      </c>
      <c r="J3273" s="3">
        <v>44724</v>
      </c>
      <c r="K3273" s="2">
        <v>99</v>
      </c>
      <c r="L3273" s="2" t="s">
        <v>101</v>
      </c>
      <c r="M3273" s="3"/>
    </row>
    <row r="3274" spans="1:13" x14ac:dyDescent="0.3">
      <c r="A3274" s="2">
        <v>3273</v>
      </c>
      <c r="B3274" s="2" t="s">
        <v>7791</v>
      </c>
      <c r="C3274" s="2" t="s">
        <v>5452</v>
      </c>
      <c r="D3274" s="2" t="s">
        <v>28</v>
      </c>
      <c r="E3274" s="2" t="s">
        <v>29</v>
      </c>
      <c r="F3274" s="2">
        <v>30</v>
      </c>
      <c r="G3274" s="2" t="s">
        <v>7792</v>
      </c>
      <c r="H3274" s="2" t="s">
        <v>105</v>
      </c>
      <c r="I3274" s="2" t="s">
        <v>32</v>
      </c>
      <c r="J3274" s="3">
        <v>44263</v>
      </c>
      <c r="K3274" s="2">
        <v>4</v>
      </c>
      <c r="L3274" s="2" t="s">
        <v>45</v>
      </c>
      <c r="M3274" s="3"/>
    </row>
    <row r="3275" spans="1:13" x14ac:dyDescent="0.3">
      <c r="A3275" s="2">
        <v>3274</v>
      </c>
      <c r="B3275" s="2" t="s">
        <v>1108</v>
      </c>
      <c r="C3275" s="2" t="s">
        <v>3111</v>
      </c>
      <c r="D3275" s="2" t="s">
        <v>28</v>
      </c>
      <c r="E3275" s="2" t="s">
        <v>29</v>
      </c>
      <c r="F3275" s="2">
        <v>30</v>
      </c>
      <c r="G3275" s="2" t="s">
        <v>7793</v>
      </c>
      <c r="H3275" s="2" t="s">
        <v>7794</v>
      </c>
      <c r="I3275" s="2" t="s">
        <v>32</v>
      </c>
      <c r="J3275" s="3">
        <v>44631</v>
      </c>
      <c r="K3275" s="2">
        <v>101</v>
      </c>
      <c r="L3275" s="2" t="s">
        <v>20</v>
      </c>
      <c r="M3275" s="3"/>
    </row>
    <row r="3276" spans="1:13" x14ac:dyDescent="0.3">
      <c r="A3276" s="2">
        <v>3275</v>
      </c>
      <c r="B3276" s="2" t="s">
        <v>7795</v>
      </c>
      <c r="C3276" s="2" t="s">
        <v>5837</v>
      </c>
      <c r="D3276" s="2" t="s">
        <v>28</v>
      </c>
      <c r="E3276" s="2" t="s">
        <v>29</v>
      </c>
      <c r="F3276" s="2">
        <v>30</v>
      </c>
      <c r="G3276" s="2" t="s">
        <v>7796</v>
      </c>
      <c r="H3276" s="2" t="s">
        <v>6693</v>
      </c>
      <c r="I3276" s="2" t="s">
        <v>25</v>
      </c>
      <c r="J3276" s="3">
        <v>44034</v>
      </c>
      <c r="K3276" s="2">
        <v>83</v>
      </c>
      <c r="L3276" s="2" t="s">
        <v>54</v>
      </c>
      <c r="M3276" s="3"/>
    </row>
    <row r="3277" spans="1:13" x14ac:dyDescent="0.3">
      <c r="A3277" s="2">
        <v>3276</v>
      </c>
      <c r="B3277" s="2" t="s">
        <v>7797</v>
      </c>
      <c r="C3277" s="2" t="s">
        <v>5193</v>
      </c>
      <c r="D3277" s="2" t="s">
        <v>15</v>
      </c>
      <c r="E3277" s="2" t="s">
        <v>16</v>
      </c>
      <c r="F3277" s="2">
        <v>30</v>
      </c>
      <c r="G3277" s="2" t="s">
        <v>7798</v>
      </c>
      <c r="H3277" s="2" t="s">
        <v>7799</v>
      </c>
      <c r="I3277" s="2" t="s">
        <v>173</v>
      </c>
      <c r="J3277" s="3">
        <v>44794</v>
      </c>
      <c r="K3277" s="2">
        <v>19</v>
      </c>
      <c r="L3277" s="2" t="s">
        <v>54</v>
      </c>
      <c r="M3277" s="3"/>
    </row>
    <row r="3278" spans="1:13" x14ac:dyDescent="0.3">
      <c r="A3278" s="2">
        <v>3277</v>
      </c>
      <c r="B3278" s="2" t="s">
        <v>7800</v>
      </c>
      <c r="C3278" s="2" t="s">
        <v>7801</v>
      </c>
      <c r="D3278" s="2" t="s">
        <v>15</v>
      </c>
      <c r="E3278" s="2" t="s">
        <v>16</v>
      </c>
      <c r="F3278" s="2">
        <v>90</v>
      </c>
      <c r="G3278" s="2" t="s">
        <v>7798</v>
      </c>
      <c r="H3278" s="2" t="s">
        <v>1333</v>
      </c>
      <c r="I3278" s="2" t="s">
        <v>294</v>
      </c>
      <c r="J3278" s="3">
        <v>43961</v>
      </c>
      <c r="K3278" s="2">
        <v>24</v>
      </c>
      <c r="L3278" s="2" t="s">
        <v>45</v>
      </c>
      <c r="M3278" s="3"/>
    </row>
    <row r="3279" spans="1:13" x14ac:dyDescent="0.3">
      <c r="A3279" s="2">
        <v>3278</v>
      </c>
      <c r="B3279" s="2" t="s">
        <v>7802</v>
      </c>
      <c r="C3279" s="2" t="s">
        <v>928</v>
      </c>
      <c r="D3279" s="2" t="s">
        <v>51</v>
      </c>
      <c r="E3279" s="2" t="s">
        <v>16</v>
      </c>
      <c r="F3279" s="2">
        <v>90</v>
      </c>
      <c r="G3279" s="2" t="s">
        <v>7803</v>
      </c>
      <c r="H3279" s="2" t="s">
        <v>6507</v>
      </c>
      <c r="I3279" s="2" t="s">
        <v>187</v>
      </c>
      <c r="J3279" s="3">
        <v>43952</v>
      </c>
      <c r="K3279" s="2">
        <v>49</v>
      </c>
      <c r="L3279" s="2" t="s">
        <v>159</v>
      </c>
      <c r="M3279" s="3"/>
    </row>
    <row r="3280" spans="1:13" x14ac:dyDescent="0.3">
      <c r="A3280" s="2">
        <v>3279</v>
      </c>
      <c r="B3280" s="2" t="s">
        <v>7804</v>
      </c>
      <c r="C3280" s="2" t="s">
        <v>1846</v>
      </c>
      <c r="D3280" s="2" t="s">
        <v>28</v>
      </c>
      <c r="E3280" s="2" t="s">
        <v>29</v>
      </c>
      <c r="F3280" s="2">
        <v>30</v>
      </c>
      <c r="G3280" s="2" t="s">
        <v>7805</v>
      </c>
      <c r="H3280" s="2" t="s">
        <v>7806</v>
      </c>
      <c r="I3280" s="2" t="s">
        <v>294</v>
      </c>
      <c r="J3280" s="3">
        <v>44851</v>
      </c>
      <c r="K3280" s="2">
        <v>99</v>
      </c>
      <c r="L3280" s="2" t="s">
        <v>101</v>
      </c>
      <c r="M3280" s="3"/>
    </row>
    <row r="3281" spans="1:13" x14ac:dyDescent="0.3">
      <c r="A3281" s="2">
        <v>3280</v>
      </c>
      <c r="B3281" s="2" t="s">
        <v>7412</v>
      </c>
      <c r="C3281" s="2" t="s">
        <v>336</v>
      </c>
      <c r="D3281" s="2" t="s">
        <v>28</v>
      </c>
      <c r="E3281" s="2" t="s">
        <v>29</v>
      </c>
      <c r="F3281" s="2">
        <v>60</v>
      </c>
      <c r="G3281" s="2" t="s">
        <v>7807</v>
      </c>
      <c r="H3281" s="2" t="s">
        <v>1242</v>
      </c>
      <c r="I3281" s="2" t="s">
        <v>38</v>
      </c>
      <c r="J3281" s="3">
        <v>44843</v>
      </c>
      <c r="K3281" s="2">
        <v>70</v>
      </c>
      <c r="L3281" s="2" t="s">
        <v>33</v>
      </c>
      <c r="M3281" s="3"/>
    </row>
    <row r="3282" spans="1:13" x14ac:dyDescent="0.3">
      <c r="A3282" s="2">
        <v>3281</v>
      </c>
      <c r="B3282" s="2" t="s">
        <v>3410</v>
      </c>
      <c r="C3282" s="2" t="s">
        <v>5090</v>
      </c>
      <c r="D3282" s="2" t="s">
        <v>28</v>
      </c>
      <c r="E3282" s="2" t="s">
        <v>29</v>
      </c>
      <c r="F3282" s="2">
        <v>90</v>
      </c>
      <c r="G3282" s="2" t="s">
        <v>7808</v>
      </c>
      <c r="H3282" s="2" t="s">
        <v>2542</v>
      </c>
      <c r="I3282" s="2" t="s">
        <v>2543</v>
      </c>
      <c r="J3282" s="3">
        <v>44802</v>
      </c>
      <c r="K3282" s="2">
        <v>62</v>
      </c>
      <c r="L3282" s="2" t="s">
        <v>80</v>
      </c>
      <c r="M3282" s="3"/>
    </row>
    <row r="3283" spans="1:13" x14ac:dyDescent="0.3">
      <c r="A3283" s="2">
        <v>3282</v>
      </c>
      <c r="B3283" s="2" t="s">
        <v>7809</v>
      </c>
      <c r="C3283" s="2" t="s">
        <v>4762</v>
      </c>
      <c r="D3283" s="2" t="s">
        <v>41</v>
      </c>
      <c r="E3283" s="2" t="s">
        <v>16</v>
      </c>
      <c r="F3283" s="2">
        <v>60</v>
      </c>
      <c r="G3283" s="2" t="s">
        <v>7810</v>
      </c>
      <c r="H3283" s="2" t="s">
        <v>3234</v>
      </c>
      <c r="I3283" s="2" t="s">
        <v>25</v>
      </c>
      <c r="J3283" s="3">
        <v>44185</v>
      </c>
      <c r="K3283" s="2">
        <v>59</v>
      </c>
      <c r="L3283" s="2" t="s">
        <v>101</v>
      </c>
      <c r="M3283" s="3"/>
    </row>
    <row r="3284" spans="1:13" x14ac:dyDescent="0.3">
      <c r="A3284" s="2">
        <v>3283</v>
      </c>
      <c r="B3284" s="2" t="s">
        <v>2005</v>
      </c>
      <c r="C3284" s="2" t="s">
        <v>7527</v>
      </c>
      <c r="D3284" s="2" t="s">
        <v>117</v>
      </c>
      <c r="E3284" s="2" t="s">
        <v>16</v>
      </c>
      <c r="F3284" s="2">
        <v>30</v>
      </c>
      <c r="G3284" s="2" t="s">
        <v>7810</v>
      </c>
      <c r="H3284" s="2" t="s">
        <v>3236</v>
      </c>
      <c r="I3284" s="2" t="s">
        <v>32</v>
      </c>
      <c r="J3284" s="3">
        <v>44631</v>
      </c>
      <c r="K3284" s="2">
        <v>45</v>
      </c>
      <c r="L3284" s="2" t="s">
        <v>64</v>
      </c>
      <c r="M3284" s="3"/>
    </row>
    <row r="3285" spans="1:13" x14ac:dyDescent="0.3">
      <c r="A3285" s="2">
        <v>3284</v>
      </c>
      <c r="B3285" s="2" t="s">
        <v>7811</v>
      </c>
      <c r="C3285" s="2" t="s">
        <v>3535</v>
      </c>
      <c r="D3285" s="2" t="s">
        <v>15</v>
      </c>
      <c r="E3285" s="2" t="s">
        <v>282</v>
      </c>
      <c r="F3285" s="2">
        <v>90</v>
      </c>
      <c r="G3285" s="2" t="s">
        <v>7812</v>
      </c>
      <c r="H3285" s="2" t="s">
        <v>2076</v>
      </c>
      <c r="I3285" s="2" t="s">
        <v>2077</v>
      </c>
      <c r="J3285" s="3">
        <v>44396</v>
      </c>
      <c r="K3285" s="2">
        <v>25</v>
      </c>
      <c r="L3285" s="2" t="s">
        <v>101</v>
      </c>
      <c r="M3285" s="3"/>
    </row>
    <row r="3286" spans="1:13" x14ac:dyDescent="0.3">
      <c r="A3286" s="2">
        <v>3285</v>
      </c>
      <c r="B3286" s="2" t="s">
        <v>6290</v>
      </c>
      <c r="C3286" s="2" t="s">
        <v>3717</v>
      </c>
      <c r="D3286" s="2" t="s">
        <v>51</v>
      </c>
      <c r="E3286" s="2" t="s">
        <v>16</v>
      </c>
      <c r="F3286" s="2">
        <v>90</v>
      </c>
      <c r="G3286" s="2" t="s">
        <v>7813</v>
      </c>
      <c r="H3286" s="2" t="s">
        <v>682</v>
      </c>
      <c r="I3286" s="2" t="s">
        <v>32</v>
      </c>
      <c r="J3286" s="3">
        <v>44121</v>
      </c>
      <c r="K3286" s="2">
        <v>55</v>
      </c>
      <c r="L3286" s="2" t="s">
        <v>20</v>
      </c>
      <c r="M3286" s="3"/>
    </row>
    <row r="3287" spans="1:13" x14ac:dyDescent="0.3">
      <c r="A3287" s="2">
        <v>3286</v>
      </c>
      <c r="B3287" s="2" t="s">
        <v>7505</v>
      </c>
      <c r="C3287" s="2" t="s">
        <v>3375</v>
      </c>
      <c r="D3287" s="2" t="s">
        <v>28</v>
      </c>
      <c r="E3287" s="2" t="s">
        <v>29</v>
      </c>
      <c r="F3287" s="2">
        <v>60</v>
      </c>
      <c r="G3287" s="2" t="s">
        <v>7814</v>
      </c>
      <c r="H3287" s="2" t="s">
        <v>4835</v>
      </c>
      <c r="I3287" s="2" t="s">
        <v>32</v>
      </c>
      <c r="J3287" s="3">
        <v>43861</v>
      </c>
      <c r="K3287" s="2">
        <v>82</v>
      </c>
      <c r="L3287" s="2" t="s">
        <v>54</v>
      </c>
      <c r="M3287" s="3"/>
    </row>
    <row r="3288" spans="1:13" x14ac:dyDescent="0.3">
      <c r="A3288" s="2">
        <v>3287</v>
      </c>
      <c r="B3288" s="2" t="s">
        <v>3544</v>
      </c>
      <c r="C3288" s="2" t="s">
        <v>2862</v>
      </c>
      <c r="D3288" s="2" t="s">
        <v>28</v>
      </c>
      <c r="E3288" s="2" t="s">
        <v>29</v>
      </c>
      <c r="F3288" s="2">
        <v>60</v>
      </c>
      <c r="G3288" s="2" t="s">
        <v>7815</v>
      </c>
      <c r="H3288" s="2" t="s">
        <v>5748</v>
      </c>
      <c r="I3288" s="2" t="s">
        <v>124</v>
      </c>
      <c r="J3288" s="3">
        <v>44586</v>
      </c>
      <c r="K3288" s="2">
        <v>32</v>
      </c>
      <c r="L3288" s="2" t="s">
        <v>39</v>
      </c>
      <c r="M3288" s="3"/>
    </row>
    <row r="3289" spans="1:13" x14ac:dyDescent="0.3">
      <c r="A3289" s="2">
        <v>3288</v>
      </c>
      <c r="B3289" s="2" t="s">
        <v>496</v>
      </c>
      <c r="C3289" s="2" t="s">
        <v>2449</v>
      </c>
      <c r="D3289" s="2" t="s">
        <v>28</v>
      </c>
      <c r="E3289" s="2" t="s">
        <v>29</v>
      </c>
      <c r="F3289" s="2">
        <v>30</v>
      </c>
      <c r="G3289" s="2" t="s">
        <v>7816</v>
      </c>
      <c r="H3289" s="2" t="s">
        <v>5962</v>
      </c>
      <c r="I3289" s="2" t="s">
        <v>32</v>
      </c>
      <c r="J3289" s="3">
        <v>44278</v>
      </c>
      <c r="K3289" s="2">
        <v>84</v>
      </c>
      <c r="L3289" s="2" t="s">
        <v>101</v>
      </c>
      <c r="M3289" s="3"/>
    </row>
    <row r="3290" spans="1:13" x14ac:dyDescent="0.3">
      <c r="A3290" s="2">
        <v>3289</v>
      </c>
      <c r="B3290" s="2" t="s">
        <v>895</v>
      </c>
      <c r="C3290" s="2" t="s">
        <v>121</v>
      </c>
      <c r="D3290" s="2" t="s">
        <v>15</v>
      </c>
      <c r="E3290" s="2" t="s">
        <v>16</v>
      </c>
      <c r="F3290" s="2">
        <v>60</v>
      </c>
      <c r="G3290" s="2" t="s">
        <v>7817</v>
      </c>
      <c r="H3290" s="2" t="s">
        <v>7818</v>
      </c>
      <c r="I3290" s="2" t="s">
        <v>1311</v>
      </c>
      <c r="J3290" s="3">
        <v>44532</v>
      </c>
      <c r="K3290" s="2">
        <v>33</v>
      </c>
      <c r="L3290" s="2" t="s">
        <v>54</v>
      </c>
      <c r="M3290" s="3"/>
    </row>
    <row r="3291" spans="1:13" x14ac:dyDescent="0.3">
      <c r="A3291" s="2">
        <v>3290</v>
      </c>
      <c r="B3291" s="2" t="s">
        <v>204</v>
      </c>
      <c r="C3291" s="2" t="s">
        <v>7819</v>
      </c>
      <c r="D3291" s="2" t="s">
        <v>28</v>
      </c>
      <c r="E3291" s="2" t="s">
        <v>29</v>
      </c>
      <c r="F3291" s="2">
        <v>90</v>
      </c>
      <c r="G3291" s="2" t="s">
        <v>7820</v>
      </c>
      <c r="H3291" s="2" t="s">
        <v>5603</v>
      </c>
      <c r="I3291" s="2" t="s">
        <v>32</v>
      </c>
      <c r="J3291" s="3">
        <v>43901</v>
      </c>
      <c r="K3291" s="2">
        <v>22</v>
      </c>
      <c r="L3291" s="2" t="s">
        <v>70</v>
      </c>
      <c r="M3291" s="3"/>
    </row>
    <row r="3292" spans="1:13" x14ac:dyDescent="0.3">
      <c r="A3292" s="2">
        <v>3291</v>
      </c>
      <c r="B3292" s="2" t="s">
        <v>7821</v>
      </c>
      <c r="C3292" s="2" t="s">
        <v>6748</v>
      </c>
      <c r="D3292" s="2" t="s">
        <v>51</v>
      </c>
      <c r="E3292" s="2" t="s">
        <v>16</v>
      </c>
      <c r="F3292" s="2">
        <v>90</v>
      </c>
      <c r="G3292" s="2" t="s">
        <v>7822</v>
      </c>
      <c r="H3292" s="2" t="s">
        <v>4520</v>
      </c>
      <c r="I3292" s="2" t="s">
        <v>32</v>
      </c>
      <c r="J3292" s="3">
        <v>44130</v>
      </c>
      <c r="K3292" s="2">
        <v>68</v>
      </c>
      <c r="L3292" s="2" t="s">
        <v>101</v>
      </c>
      <c r="M3292" s="3"/>
    </row>
    <row r="3293" spans="1:13" x14ac:dyDescent="0.3">
      <c r="A3293" s="2">
        <v>3292</v>
      </c>
      <c r="B3293" s="2" t="s">
        <v>6274</v>
      </c>
      <c r="C3293" s="2" t="s">
        <v>7823</v>
      </c>
      <c r="D3293" s="2" t="s">
        <v>28</v>
      </c>
      <c r="E3293" s="2" t="s">
        <v>29</v>
      </c>
      <c r="F3293" s="2">
        <v>90</v>
      </c>
      <c r="G3293" s="2" t="s">
        <v>7824</v>
      </c>
      <c r="H3293" s="2" t="s">
        <v>6036</v>
      </c>
      <c r="I3293" s="2" t="s">
        <v>32</v>
      </c>
      <c r="J3293" s="3">
        <v>44692</v>
      </c>
      <c r="K3293" s="2">
        <v>85</v>
      </c>
      <c r="L3293" s="2" t="s">
        <v>159</v>
      </c>
      <c r="M3293" s="3"/>
    </row>
    <row r="3294" spans="1:13" x14ac:dyDescent="0.3">
      <c r="A3294" s="2">
        <v>3293</v>
      </c>
      <c r="B3294" s="2" t="s">
        <v>1524</v>
      </c>
      <c r="C3294" s="2" t="s">
        <v>7825</v>
      </c>
      <c r="D3294" s="2" t="s">
        <v>15</v>
      </c>
      <c r="E3294" s="2" t="s">
        <v>16</v>
      </c>
      <c r="F3294" s="2">
        <v>90</v>
      </c>
      <c r="G3294" s="2" t="s">
        <v>7826</v>
      </c>
      <c r="H3294" s="2" t="s">
        <v>48</v>
      </c>
      <c r="I3294" s="2" t="s">
        <v>25</v>
      </c>
      <c r="J3294" s="3">
        <v>44806</v>
      </c>
      <c r="K3294" s="2">
        <v>4</v>
      </c>
      <c r="L3294" s="2" t="s">
        <v>54</v>
      </c>
      <c r="M3294" s="3"/>
    </row>
    <row r="3295" spans="1:13" x14ac:dyDescent="0.3">
      <c r="A3295" s="2">
        <v>3294</v>
      </c>
      <c r="B3295" s="2" t="s">
        <v>2292</v>
      </c>
      <c r="C3295" s="2" t="s">
        <v>5174</v>
      </c>
      <c r="D3295" s="2" t="s">
        <v>28</v>
      </c>
      <c r="E3295" s="2" t="s">
        <v>29</v>
      </c>
      <c r="F3295" s="2">
        <v>30</v>
      </c>
      <c r="G3295" s="2" t="s">
        <v>7826</v>
      </c>
      <c r="H3295" s="2" t="s">
        <v>2512</v>
      </c>
      <c r="I3295" s="2" t="s">
        <v>32</v>
      </c>
      <c r="J3295" s="3">
        <v>44823</v>
      </c>
      <c r="K3295" s="2">
        <v>95</v>
      </c>
      <c r="L3295" s="2" t="s">
        <v>64</v>
      </c>
      <c r="M3295" s="3"/>
    </row>
    <row r="3296" spans="1:13" x14ac:dyDescent="0.3">
      <c r="A3296" s="2">
        <v>3295</v>
      </c>
      <c r="B3296" s="2" t="s">
        <v>7827</v>
      </c>
      <c r="C3296" s="2" t="s">
        <v>825</v>
      </c>
      <c r="D3296" s="2" t="s">
        <v>51</v>
      </c>
      <c r="E3296" s="2" t="s">
        <v>16</v>
      </c>
      <c r="F3296" s="2">
        <v>30</v>
      </c>
      <c r="G3296" s="2" t="s">
        <v>7828</v>
      </c>
      <c r="H3296" s="2" t="s">
        <v>7829</v>
      </c>
      <c r="I3296" s="2" t="s">
        <v>934</v>
      </c>
      <c r="J3296" s="3">
        <v>44708</v>
      </c>
      <c r="K3296" s="2">
        <v>86</v>
      </c>
      <c r="L3296" s="2" t="s">
        <v>20</v>
      </c>
      <c r="M3296" s="3"/>
    </row>
    <row r="3297" spans="1:13" x14ac:dyDescent="0.3">
      <c r="A3297" s="2">
        <v>3296</v>
      </c>
      <c r="B3297" s="2" t="s">
        <v>7830</v>
      </c>
      <c r="C3297" s="2" t="s">
        <v>7721</v>
      </c>
      <c r="D3297" s="2" t="s">
        <v>15</v>
      </c>
      <c r="E3297" s="2" t="s">
        <v>16</v>
      </c>
      <c r="F3297" s="2">
        <v>90</v>
      </c>
      <c r="G3297" s="2" t="s">
        <v>7831</v>
      </c>
      <c r="H3297" s="2" t="s">
        <v>6732</v>
      </c>
      <c r="I3297" s="2" t="s">
        <v>32</v>
      </c>
      <c r="J3297" s="3">
        <v>44533</v>
      </c>
      <c r="K3297" s="2">
        <v>40</v>
      </c>
      <c r="L3297" s="2" t="s">
        <v>39</v>
      </c>
      <c r="M3297" s="3"/>
    </row>
    <row r="3298" spans="1:13" x14ac:dyDescent="0.3">
      <c r="A3298" s="2">
        <v>3297</v>
      </c>
      <c r="B3298" s="2" t="s">
        <v>5774</v>
      </c>
      <c r="C3298" s="2" t="s">
        <v>841</v>
      </c>
      <c r="D3298" s="2" t="s">
        <v>28</v>
      </c>
      <c r="E3298" s="2" t="s">
        <v>3276</v>
      </c>
      <c r="F3298" s="2">
        <v>30</v>
      </c>
      <c r="G3298" s="2" t="s">
        <v>7832</v>
      </c>
      <c r="H3298" s="2" t="s">
        <v>4056</v>
      </c>
      <c r="I3298" s="2" t="s">
        <v>124</v>
      </c>
      <c r="J3298" s="3">
        <v>44397</v>
      </c>
      <c r="K3298" s="2">
        <v>16</v>
      </c>
      <c r="L3298" s="2" t="s">
        <v>64</v>
      </c>
      <c r="M3298" s="3"/>
    </row>
    <row r="3299" spans="1:13" x14ac:dyDescent="0.3">
      <c r="A3299" s="2">
        <v>3298</v>
      </c>
      <c r="B3299" s="2" t="s">
        <v>4411</v>
      </c>
      <c r="C3299" s="2" t="s">
        <v>3009</v>
      </c>
      <c r="D3299" s="2" t="s">
        <v>28</v>
      </c>
      <c r="E3299" s="2" t="s">
        <v>29</v>
      </c>
      <c r="F3299" s="2">
        <v>60</v>
      </c>
      <c r="G3299" s="2" t="s">
        <v>7833</v>
      </c>
      <c r="H3299" s="2" t="s">
        <v>2236</v>
      </c>
      <c r="I3299" s="2" t="s">
        <v>2237</v>
      </c>
      <c r="J3299" s="3">
        <v>44163</v>
      </c>
      <c r="K3299" s="2">
        <v>43</v>
      </c>
      <c r="L3299" s="2" t="s">
        <v>45</v>
      </c>
      <c r="M3299" s="3"/>
    </row>
    <row r="3300" spans="1:13" x14ac:dyDescent="0.3">
      <c r="A3300" s="2">
        <v>3299</v>
      </c>
      <c r="B3300" s="2" t="s">
        <v>305</v>
      </c>
      <c r="C3300" s="2" t="s">
        <v>7834</v>
      </c>
      <c r="D3300" s="2" t="s">
        <v>28</v>
      </c>
      <c r="E3300" s="2" t="s">
        <v>29</v>
      </c>
      <c r="F3300" s="2">
        <v>60</v>
      </c>
      <c r="G3300" s="2" t="s">
        <v>7835</v>
      </c>
      <c r="H3300" s="2" t="s">
        <v>2418</v>
      </c>
      <c r="I3300" s="2" t="s">
        <v>32</v>
      </c>
      <c r="J3300" s="3">
        <v>44470</v>
      </c>
      <c r="K3300" s="2">
        <v>29</v>
      </c>
      <c r="L3300" s="2" t="s">
        <v>39</v>
      </c>
      <c r="M3300" s="3"/>
    </row>
    <row r="3301" spans="1:13" x14ac:dyDescent="0.3">
      <c r="A3301" s="2">
        <v>3300</v>
      </c>
      <c r="B3301" s="2" t="s">
        <v>4200</v>
      </c>
      <c r="C3301" s="2" t="s">
        <v>406</v>
      </c>
      <c r="D3301" s="2" t="s">
        <v>51</v>
      </c>
      <c r="E3301" s="2" t="s">
        <v>16</v>
      </c>
      <c r="F3301" s="2">
        <v>60</v>
      </c>
      <c r="G3301" s="2" t="s">
        <v>7836</v>
      </c>
      <c r="H3301" s="2" t="s">
        <v>2727</v>
      </c>
      <c r="I3301" s="2" t="s">
        <v>2330</v>
      </c>
      <c r="J3301" s="3">
        <v>44106</v>
      </c>
      <c r="K3301" s="2">
        <v>31</v>
      </c>
      <c r="L3301" s="2" t="s">
        <v>101</v>
      </c>
      <c r="M3301" s="3"/>
    </row>
    <row r="3302" spans="1:13" x14ac:dyDescent="0.3">
      <c r="A3302" s="2">
        <v>3301</v>
      </c>
      <c r="B3302" s="2" t="s">
        <v>4554</v>
      </c>
      <c r="C3302" s="2" t="s">
        <v>3652</v>
      </c>
      <c r="D3302" s="2" t="s">
        <v>51</v>
      </c>
      <c r="E3302" s="2" t="s">
        <v>16</v>
      </c>
      <c r="F3302" s="2">
        <v>30</v>
      </c>
      <c r="G3302" s="2" t="s">
        <v>7837</v>
      </c>
      <c r="H3302" s="2" t="s">
        <v>6795</v>
      </c>
      <c r="I3302" s="2" t="s">
        <v>146</v>
      </c>
      <c r="J3302" s="3">
        <v>44292</v>
      </c>
      <c r="K3302" s="2">
        <v>22</v>
      </c>
      <c r="L3302" s="2" t="s">
        <v>101</v>
      </c>
      <c r="M3302" s="3"/>
    </row>
    <row r="3303" spans="1:13" x14ac:dyDescent="0.3">
      <c r="A3303" s="2">
        <v>3302</v>
      </c>
      <c r="B3303" s="2" t="s">
        <v>7838</v>
      </c>
      <c r="C3303" s="2" t="s">
        <v>3831</v>
      </c>
      <c r="D3303" s="2" t="s">
        <v>28</v>
      </c>
      <c r="E3303" s="2" t="s">
        <v>29</v>
      </c>
      <c r="F3303" s="2">
        <v>90</v>
      </c>
      <c r="G3303" s="2" t="s">
        <v>7839</v>
      </c>
      <c r="H3303" s="2" t="s">
        <v>974</v>
      </c>
      <c r="I3303" s="2" t="s">
        <v>32</v>
      </c>
      <c r="J3303" s="3">
        <v>44752</v>
      </c>
      <c r="K3303" s="2">
        <v>24</v>
      </c>
      <c r="L3303" s="2" t="s">
        <v>39</v>
      </c>
      <c r="M3303" s="3"/>
    </row>
    <row r="3304" spans="1:13" x14ac:dyDescent="0.3">
      <c r="A3304" s="2">
        <v>3303</v>
      </c>
      <c r="B3304" s="2" t="s">
        <v>1424</v>
      </c>
      <c r="C3304" s="2" t="s">
        <v>3435</v>
      </c>
      <c r="D3304" s="2" t="s">
        <v>28</v>
      </c>
      <c r="E3304" s="2" t="s">
        <v>29</v>
      </c>
      <c r="F3304" s="2">
        <v>60</v>
      </c>
      <c r="G3304" s="2" t="s">
        <v>7840</v>
      </c>
      <c r="H3304" s="2" t="s">
        <v>3462</v>
      </c>
      <c r="I3304" s="2" t="s">
        <v>32</v>
      </c>
      <c r="J3304" s="3">
        <v>44785</v>
      </c>
      <c r="K3304" s="2">
        <v>101</v>
      </c>
      <c r="L3304" s="2" t="s">
        <v>54</v>
      </c>
      <c r="M3304" s="3"/>
    </row>
    <row r="3305" spans="1:13" x14ac:dyDescent="0.3">
      <c r="A3305" s="2">
        <v>3304</v>
      </c>
      <c r="B3305" s="2" t="s">
        <v>4101</v>
      </c>
      <c r="C3305" s="2" t="s">
        <v>2148</v>
      </c>
      <c r="D3305" s="2" t="s">
        <v>28</v>
      </c>
      <c r="E3305" s="2" t="s">
        <v>29</v>
      </c>
      <c r="F3305" s="2">
        <v>60</v>
      </c>
      <c r="G3305" s="2" t="s">
        <v>7841</v>
      </c>
      <c r="H3305" s="2" t="s">
        <v>5173</v>
      </c>
      <c r="I3305" s="2" t="s">
        <v>686</v>
      </c>
      <c r="J3305" s="3">
        <v>44716</v>
      </c>
      <c r="K3305" s="2">
        <v>78</v>
      </c>
      <c r="L3305" s="2" t="s">
        <v>45</v>
      </c>
      <c r="M3305" s="3"/>
    </row>
    <row r="3306" spans="1:13" x14ac:dyDescent="0.3">
      <c r="A3306" s="2">
        <v>3305</v>
      </c>
      <c r="B3306" s="2" t="s">
        <v>7842</v>
      </c>
      <c r="C3306" s="2" t="s">
        <v>2898</v>
      </c>
      <c r="D3306" s="2" t="s">
        <v>28</v>
      </c>
      <c r="E3306" s="2" t="s">
        <v>29</v>
      </c>
      <c r="F3306" s="2">
        <v>90</v>
      </c>
      <c r="G3306" s="2" t="s">
        <v>7843</v>
      </c>
      <c r="H3306" s="2" t="s">
        <v>7844</v>
      </c>
      <c r="I3306" s="2" t="s">
        <v>124</v>
      </c>
      <c r="J3306" s="3">
        <v>44681</v>
      </c>
      <c r="K3306" s="2">
        <v>87</v>
      </c>
      <c r="L3306" s="2" t="s">
        <v>64</v>
      </c>
      <c r="M3306" s="3"/>
    </row>
    <row r="3307" spans="1:13" x14ac:dyDescent="0.3">
      <c r="A3307" s="2">
        <v>3306</v>
      </c>
      <c r="B3307" s="2" t="s">
        <v>1029</v>
      </c>
      <c r="C3307" s="2" t="s">
        <v>5381</v>
      </c>
      <c r="D3307" s="2" t="s">
        <v>51</v>
      </c>
      <c r="E3307" s="2" t="s">
        <v>16</v>
      </c>
      <c r="F3307" s="2">
        <v>90</v>
      </c>
      <c r="G3307" s="2" t="s">
        <v>7845</v>
      </c>
      <c r="H3307" s="2" t="s">
        <v>5886</v>
      </c>
      <c r="I3307" s="2" t="s">
        <v>187</v>
      </c>
      <c r="J3307" s="3">
        <v>44840</v>
      </c>
      <c r="K3307" s="2">
        <v>91</v>
      </c>
      <c r="L3307" s="2" t="s">
        <v>45</v>
      </c>
      <c r="M3307" s="3"/>
    </row>
    <row r="3308" spans="1:13" x14ac:dyDescent="0.3">
      <c r="A3308" s="2">
        <v>3307</v>
      </c>
      <c r="B3308" s="2" t="s">
        <v>7846</v>
      </c>
      <c r="C3308" s="2" t="s">
        <v>7180</v>
      </c>
      <c r="D3308" s="2" t="s">
        <v>15</v>
      </c>
      <c r="E3308" s="2" t="s">
        <v>16</v>
      </c>
      <c r="F3308" s="2">
        <v>30</v>
      </c>
      <c r="G3308" s="2" t="s">
        <v>7847</v>
      </c>
      <c r="H3308" s="2" t="s">
        <v>933</v>
      </c>
      <c r="I3308" s="2" t="s">
        <v>934</v>
      </c>
      <c r="J3308" s="3">
        <v>44028</v>
      </c>
      <c r="K3308" s="2">
        <v>70</v>
      </c>
      <c r="L3308" s="2" t="s">
        <v>80</v>
      </c>
      <c r="M3308" s="3"/>
    </row>
    <row r="3309" spans="1:13" x14ac:dyDescent="0.3">
      <c r="A3309" s="2">
        <v>3308</v>
      </c>
      <c r="B3309" s="2" t="s">
        <v>7848</v>
      </c>
      <c r="C3309" s="2" t="s">
        <v>7849</v>
      </c>
      <c r="D3309" s="2" t="s">
        <v>51</v>
      </c>
      <c r="E3309" s="2" t="s">
        <v>16</v>
      </c>
      <c r="F3309" s="2">
        <v>30</v>
      </c>
      <c r="G3309" s="2" t="s">
        <v>7850</v>
      </c>
      <c r="H3309" s="2" t="s">
        <v>479</v>
      </c>
      <c r="I3309" s="2" t="s">
        <v>303</v>
      </c>
      <c r="J3309" s="3">
        <v>44132</v>
      </c>
      <c r="K3309" s="2">
        <v>71</v>
      </c>
      <c r="L3309" s="2" t="s">
        <v>64</v>
      </c>
      <c r="M3309" s="3"/>
    </row>
    <row r="3310" spans="1:13" x14ac:dyDescent="0.3">
      <c r="A3310" s="2">
        <v>3309</v>
      </c>
      <c r="B3310" s="2" t="s">
        <v>7851</v>
      </c>
      <c r="C3310" s="2" t="s">
        <v>1810</v>
      </c>
      <c r="D3310" s="2" t="s">
        <v>15</v>
      </c>
      <c r="E3310" s="2" t="s">
        <v>16</v>
      </c>
      <c r="F3310" s="2">
        <v>90</v>
      </c>
      <c r="G3310" s="2" t="s">
        <v>7852</v>
      </c>
      <c r="H3310" s="2" t="s">
        <v>3334</v>
      </c>
      <c r="I3310" s="2" t="s">
        <v>32</v>
      </c>
      <c r="J3310" s="3">
        <v>44360</v>
      </c>
      <c r="K3310" s="2">
        <v>27</v>
      </c>
      <c r="L3310" s="2" t="s">
        <v>39</v>
      </c>
      <c r="M3310" s="3"/>
    </row>
    <row r="3311" spans="1:13" x14ac:dyDescent="0.3">
      <c r="A3311" s="2">
        <v>3310</v>
      </c>
      <c r="B3311" s="2" t="s">
        <v>1273</v>
      </c>
      <c r="C3311" s="2" t="s">
        <v>4026</v>
      </c>
      <c r="D3311" s="2" t="s">
        <v>28</v>
      </c>
      <c r="E3311" s="2" t="s">
        <v>29</v>
      </c>
      <c r="F3311" s="2">
        <v>60</v>
      </c>
      <c r="G3311" s="2" t="s">
        <v>7853</v>
      </c>
      <c r="H3311" s="2" t="s">
        <v>37</v>
      </c>
      <c r="I3311" s="2" t="s">
        <v>38</v>
      </c>
      <c r="J3311" s="3">
        <v>44753</v>
      </c>
      <c r="K3311" s="2">
        <v>12</v>
      </c>
      <c r="L3311" s="2" t="s">
        <v>20</v>
      </c>
      <c r="M3311" s="3"/>
    </row>
    <row r="3312" spans="1:13" x14ac:dyDescent="0.3">
      <c r="A3312" s="2">
        <v>3311</v>
      </c>
      <c r="B3312" s="2" t="s">
        <v>921</v>
      </c>
      <c r="C3312" s="2" t="s">
        <v>3051</v>
      </c>
      <c r="D3312" s="2" t="s">
        <v>28</v>
      </c>
      <c r="E3312" s="2" t="s">
        <v>29</v>
      </c>
      <c r="F3312" s="2">
        <v>30</v>
      </c>
      <c r="G3312" s="2" t="s">
        <v>7854</v>
      </c>
      <c r="H3312" s="2" t="s">
        <v>3500</v>
      </c>
      <c r="I3312" s="2" t="s">
        <v>25</v>
      </c>
      <c r="J3312" s="3">
        <v>44874</v>
      </c>
      <c r="K3312" s="2">
        <v>84</v>
      </c>
      <c r="L3312" s="2" t="s">
        <v>45</v>
      </c>
      <c r="M3312" s="3"/>
    </row>
    <row r="3313" spans="1:13" x14ac:dyDescent="0.3">
      <c r="A3313" s="2">
        <v>3312</v>
      </c>
      <c r="B3313" s="2" t="s">
        <v>2484</v>
      </c>
      <c r="C3313" s="2" t="s">
        <v>3872</v>
      </c>
      <c r="D3313" s="2" t="s">
        <v>15</v>
      </c>
      <c r="E3313" s="2" t="s">
        <v>16</v>
      </c>
      <c r="F3313" s="2">
        <v>30</v>
      </c>
      <c r="G3313" s="2" t="s">
        <v>7855</v>
      </c>
      <c r="H3313" s="2" t="s">
        <v>6087</v>
      </c>
      <c r="I3313" s="2" t="s">
        <v>124</v>
      </c>
      <c r="J3313" s="3">
        <v>44038</v>
      </c>
      <c r="K3313" s="2">
        <v>73</v>
      </c>
      <c r="L3313" s="2" t="s">
        <v>70</v>
      </c>
      <c r="M3313" s="3"/>
    </row>
    <row r="3314" spans="1:13" x14ac:dyDescent="0.3">
      <c r="A3314" s="2">
        <v>3313</v>
      </c>
      <c r="B3314" s="2" t="s">
        <v>7856</v>
      </c>
      <c r="C3314" s="2" t="s">
        <v>3673</v>
      </c>
      <c r="D3314" s="2" t="s">
        <v>15</v>
      </c>
      <c r="E3314" s="2" t="s">
        <v>16</v>
      </c>
      <c r="F3314" s="2">
        <v>30</v>
      </c>
      <c r="G3314" s="2" t="s">
        <v>7857</v>
      </c>
      <c r="H3314" s="2" t="s">
        <v>4941</v>
      </c>
      <c r="I3314" s="2" t="s">
        <v>32</v>
      </c>
      <c r="J3314" s="3">
        <v>44606</v>
      </c>
      <c r="K3314" s="2">
        <v>4</v>
      </c>
      <c r="L3314" s="2" t="s">
        <v>39</v>
      </c>
      <c r="M3314" s="3"/>
    </row>
    <row r="3315" spans="1:13" x14ac:dyDescent="0.3">
      <c r="A3315" s="2">
        <v>3314</v>
      </c>
      <c r="B3315" s="2" t="s">
        <v>527</v>
      </c>
      <c r="C3315" s="2" t="s">
        <v>5359</v>
      </c>
      <c r="D3315" s="2" t="s">
        <v>28</v>
      </c>
      <c r="E3315" s="2" t="s">
        <v>29</v>
      </c>
      <c r="F3315" s="2">
        <v>30</v>
      </c>
      <c r="G3315" s="2" t="s">
        <v>7858</v>
      </c>
      <c r="H3315" s="2" t="s">
        <v>641</v>
      </c>
      <c r="I3315" s="2" t="s">
        <v>294</v>
      </c>
      <c r="J3315" s="3">
        <v>44871</v>
      </c>
      <c r="K3315" s="2">
        <v>99</v>
      </c>
      <c r="L3315" s="2" t="s">
        <v>64</v>
      </c>
      <c r="M3315" s="3"/>
    </row>
    <row r="3316" spans="1:13" x14ac:dyDescent="0.3">
      <c r="A3316" s="2">
        <v>3315</v>
      </c>
      <c r="B3316" s="2" t="s">
        <v>7859</v>
      </c>
      <c r="C3316" s="2" t="s">
        <v>7860</v>
      </c>
      <c r="D3316" s="2" t="s">
        <v>51</v>
      </c>
      <c r="E3316" s="2" t="s">
        <v>16</v>
      </c>
      <c r="F3316" s="2">
        <v>30</v>
      </c>
      <c r="G3316" s="2" t="s">
        <v>7861</v>
      </c>
      <c r="H3316" s="2" t="s">
        <v>5464</v>
      </c>
      <c r="I3316" s="2" t="s">
        <v>124</v>
      </c>
      <c r="J3316" s="3">
        <v>44923</v>
      </c>
      <c r="K3316" s="2">
        <v>53</v>
      </c>
      <c r="L3316" s="2" t="s">
        <v>80</v>
      </c>
      <c r="M3316" s="3"/>
    </row>
    <row r="3317" spans="1:13" x14ac:dyDescent="0.3">
      <c r="A3317" s="2">
        <v>3316</v>
      </c>
      <c r="B3317" s="2" t="s">
        <v>3791</v>
      </c>
      <c r="C3317" s="2" t="s">
        <v>2030</v>
      </c>
      <c r="D3317" s="2" t="s">
        <v>28</v>
      </c>
      <c r="E3317" s="2" t="s">
        <v>29</v>
      </c>
      <c r="F3317" s="2">
        <v>60</v>
      </c>
      <c r="G3317" s="2" t="s">
        <v>7862</v>
      </c>
      <c r="H3317" s="2" t="s">
        <v>5000</v>
      </c>
      <c r="I3317" s="2" t="s">
        <v>32</v>
      </c>
      <c r="J3317" s="3">
        <v>43862</v>
      </c>
      <c r="K3317" s="2">
        <v>26</v>
      </c>
      <c r="L3317" s="2" t="s">
        <v>80</v>
      </c>
      <c r="M3317" s="3"/>
    </row>
    <row r="3318" spans="1:13" x14ac:dyDescent="0.3">
      <c r="A3318" s="2">
        <v>3317</v>
      </c>
      <c r="B3318" s="2" t="s">
        <v>5004</v>
      </c>
      <c r="C3318" s="2" t="s">
        <v>1188</v>
      </c>
      <c r="D3318" s="2" t="s">
        <v>15</v>
      </c>
      <c r="E3318" s="2" t="s">
        <v>16</v>
      </c>
      <c r="F3318" s="2">
        <v>90</v>
      </c>
      <c r="G3318" s="2" t="s">
        <v>7862</v>
      </c>
      <c r="H3318" s="2" t="s">
        <v>7863</v>
      </c>
      <c r="I3318" s="2" t="s">
        <v>32</v>
      </c>
      <c r="J3318" s="3">
        <v>44183</v>
      </c>
      <c r="K3318" s="2">
        <v>25</v>
      </c>
      <c r="L3318" s="2" t="s">
        <v>20</v>
      </c>
      <c r="M3318" s="3"/>
    </row>
    <row r="3319" spans="1:13" x14ac:dyDescent="0.3">
      <c r="A3319" s="2">
        <v>3318</v>
      </c>
      <c r="B3319" s="2" t="s">
        <v>7864</v>
      </c>
      <c r="C3319" s="2" t="s">
        <v>1546</v>
      </c>
      <c r="D3319" s="2" t="s">
        <v>41</v>
      </c>
      <c r="E3319" s="2" t="s">
        <v>16</v>
      </c>
      <c r="F3319" s="2">
        <v>30</v>
      </c>
      <c r="G3319" s="2" t="s">
        <v>7865</v>
      </c>
      <c r="H3319" s="2" t="s">
        <v>2250</v>
      </c>
      <c r="I3319" s="2" t="s">
        <v>187</v>
      </c>
      <c r="J3319" s="3">
        <v>44062</v>
      </c>
      <c r="K3319" s="2">
        <v>9</v>
      </c>
      <c r="L3319" s="2" t="s">
        <v>45</v>
      </c>
      <c r="M3319" s="3"/>
    </row>
    <row r="3320" spans="1:13" x14ac:dyDescent="0.3">
      <c r="A3320" s="2">
        <v>3319</v>
      </c>
      <c r="B3320" s="2" t="s">
        <v>4614</v>
      </c>
      <c r="C3320" s="2" t="s">
        <v>237</v>
      </c>
      <c r="D3320" s="2" t="s">
        <v>51</v>
      </c>
      <c r="E3320" s="2" t="s">
        <v>16</v>
      </c>
      <c r="F3320" s="2">
        <v>60</v>
      </c>
      <c r="G3320" s="2" t="s">
        <v>7866</v>
      </c>
      <c r="H3320" s="2" t="s">
        <v>2483</v>
      </c>
      <c r="I3320" s="2" t="s">
        <v>1199</v>
      </c>
      <c r="J3320" s="3">
        <v>43965</v>
      </c>
      <c r="K3320" s="2">
        <v>43</v>
      </c>
      <c r="L3320" s="2" t="s">
        <v>33</v>
      </c>
      <c r="M3320" s="3"/>
    </row>
    <row r="3321" spans="1:13" x14ac:dyDescent="0.3">
      <c r="A3321" s="2">
        <v>3320</v>
      </c>
      <c r="B3321" s="2" t="s">
        <v>7867</v>
      </c>
      <c r="C3321" s="2" t="s">
        <v>2145</v>
      </c>
      <c r="D3321" s="2" t="s">
        <v>51</v>
      </c>
      <c r="E3321" s="2" t="s">
        <v>16</v>
      </c>
      <c r="F3321" s="2">
        <v>60</v>
      </c>
      <c r="G3321" s="2" t="s">
        <v>7868</v>
      </c>
      <c r="H3321" s="2" t="s">
        <v>3632</v>
      </c>
      <c r="I3321" s="2" t="s">
        <v>32</v>
      </c>
      <c r="J3321" s="3">
        <v>44347</v>
      </c>
      <c r="K3321" s="2">
        <v>95</v>
      </c>
      <c r="L3321" s="2" t="s">
        <v>101</v>
      </c>
      <c r="M3321" s="3"/>
    </row>
    <row r="3322" spans="1:13" x14ac:dyDescent="0.3">
      <c r="A3322" s="2">
        <v>3321</v>
      </c>
      <c r="B3322" s="2" t="s">
        <v>7412</v>
      </c>
      <c r="C3322" s="2" t="s">
        <v>7869</v>
      </c>
      <c r="D3322" s="2" t="s">
        <v>28</v>
      </c>
      <c r="E3322" s="2" t="s">
        <v>29</v>
      </c>
      <c r="F3322" s="2">
        <v>90</v>
      </c>
      <c r="G3322" s="2" t="s">
        <v>7870</v>
      </c>
      <c r="H3322" s="2" t="s">
        <v>1619</v>
      </c>
      <c r="I3322" s="2" t="s">
        <v>44</v>
      </c>
      <c r="J3322" s="3">
        <v>44312</v>
      </c>
      <c r="K3322" s="2">
        <v>62</v>
      </c>
      <c r="L3322" s="2" t="s">
        <v>20</v>
      </c>
      <c r="M3322" s="3"/>
    </row>
    <row r="3323" spans="1:13" x14ac:dyDescent="0.3">
      <c r="A3323" s="2">
        <v>3322</v>
      </c>
      <c r="B3323" s="2" t="s">
        <v>2540</v>
      </c>
      <c r="C3323" s="2" t="s">
        <v>5321</v>
      </c>
      <c r="D3323" s="2" t="s">
        <v>15</v>
      </c>
      <c r="E3323" s="2" t="s">
        <v>16</v>
      </c>
      <c r="F3323" s="2">
        <v>30</v>
      </c>
      <c r="G3323" s="2" t="s">
        <v>7871</v>
      </c>
      <c r="H3323" s="2" t="s">
        <v>3673</v>
      </c>
      <c r="I3323" s="2" t="s">
        <v>777</v>
      </c>
      <c r="J3323" s="3">
        <v>44431</v>
      </c>
      <c r="K3323" s="2">
        <v>34</v>
      </c>
      <c r="L3323" s="2" t="s">
        <v>45</v>
      </c>
      <c r="M3323" s="3"/>
    </row>
    <row r="3324" spans="1:13" x14ac:dyDescent="0.3">
      <c r="A3324" s="2">
        <v>3323</v>
      </c>
      <c r="B3324" s="2" t="s">
        <v>7872</v>
      </c>
      <c r="C3324" s="2" t="s">
        <v>4384</v>
      </c>
      <c r="D3324" s="2" t="s">
        <v>51</v>
      </c>
      <c r="E3324" s="2" t="s">
        <v>16</v>
      </c>
      <c r="F3324" s="2">
        <v>60</v>
      </c>
      <c r="G3324" s="2" t="s">
        <v>7873</v>
      </c>
      <c r="H3324" s="2" t="s">
        <v>634</v>
      </c>
      <c r="I3324" s="2" t="s">
        <v>32</v>
      </c>
      <c r="J3324" s="3">
        <v>44461</v>
      </c>
      <c r="K3324" s="2">
        <v>58</v>
      </c>
      <c r="L3324" s="2" t="s">
        <v>33</v>
      </c>
      <c r="M3324" s="3"/>
    </row>
    <row r="3325" spans="1:13" x14ac:dyDescent="0.3">
      <c r="A3325" s="2">
        <v>3324</v>
      </c>
      <c r="B3325" s="2" t="s">
        <v>921</v>
      </c>
      <c r="C3325" s="2" t="s">
        <v>4603</v>
      </c>
      <c r="D3325" s="2" t="s">
        <v>28</v>
      </c>
      <c r="E3325" s="2" t="s">
        <v>29</v>
      </c>
      <c r="F3325" s="2">
        <v>30</v>
      </c>
      <c r="G3325" s="2" t="s">
        <v>7874</v>
      </c>
      <c r="H3325" s="2" t="s">
        <v>607</v>
      </c>
      <c r="I3325" s="2" t="s">
        <v>32</v>
      </c>
      <c r="J3325" s="3">
        <v>44157</v>
      </c>
      <c r="K3325" s="2">
        <v>21</v>
      </c>
      <c r="L3325" s="2" t="s">
        <v>33</v>
      </c>
      <c r="M3325" s="3"/>
    </row>
    <row r="3326" spans="1:13" x14ac:dyDescent="0.3">
      <c r="A3326" s="2">
        <v>3325</v>
      </c>
      <c r="B3326" s="2" t="s">
        <v>1243</v>
      </c>
      <c r="C3326" s="2" t="s">
        <v>5295</v>
      </c>
      <c r="D3326" s="2" t="s">
        <v>28</v>
      </c>
      <c r="E3326" s="2" t="s">
        <v>29</v>
      </c>
      <c r="F3326" s="2">
        <v>90</v>
      </c>
      <c r="G3326" s="2" t="s">
        <v>7875</v>
      </c>
      <c r="H3326" s="2" t="s">
        <v>7876</v>
      </c>
      <c r="I3326" s="2" t="s">
        <v>187</v>
      </c>
      <c r="J3326" s="3">
        <v>43915</v>
      </c>
      <c r="K3326" s="2">
        <v>68</v>
      </c>
      <c r="L3326" s="2" t="s">
        <v>64</v>
      </c>
      <c r="M3326" s="3"/>
    </row>
    <row r="3327" spans="1:13" x14ac:dyDescent="0.3">
      <c r="A3327" s="2">
        <v>3326</v>
      </c>
      <c r="B3327" s="2" t="s">
        <v>7877</v>
      </c>
      <c r="C3327" s="2" t="s">
        <v>4444</v>
      </c>
      <c r="D3327" s="2" t="s">
        <v>28</v>
      </c>
      <c r="E3327" s="2" t="s">
        <v>29</v>
      </c>
      <c r="F3327" s="2">
        <v>90</v>
      </c>
      <c r="G3327" s="2" t="s">
        <v>7878</v>
      </c>
      <c r="H3327" s="2" t="s">
        <v>94</v>
      </c>
      <c r="I3327" s="2" t="s">
        <v>95</v>
      </c>
      <c r="J3327" s="3">
        <v>44227</v>
      </c>
      <c r="K3327" s="2">
        <v>14</v>
      </c>
      <c r="L3327" s="2" t="s">
        <v>45</v>
      </c>
      <c r="M3327" s="3"/>
    </row>
    <row r="3328" spans="1:13" x14ac:dyDescent="0.3">
      <c r="A3328" s="2">
        <v>3327</v>
      </c>
      <c r="B3328" s="2" t="s">
        <v>967</v>
      </c>
      <c r="C3328" s="2" t="s">
        <v>7391</v>
      </c>
      <c r="D3328" s="2" t="s">
        <v>28</v>
      </c>
      <c r="E3328" s="2" t="s">
        <v>29</v>
      </c>
      <c r="F3328" s="2">
        <v>90</v>
      </c>
      <c r="G3328" s="2" t="s">
        <v>7879</v>
      </c>
      <c r="H3328" s="2" t="s">
        <v>579</v>
      </c>
      <c r="I3328" s="2" t="s">
        <v>32</v>
      </c>
      <c r="J3328" s="3">
        <v>44215</v>
      </c>
      <c r="K3328" s="2">
        <v>7</v>
      </c>
      <c r="L3328" s="2" t="s">
        <v>159</v>
      </c>
      <c r="M3328" s="3"/>
    </row>
    <row r="3329" spans="1:13" x14ac:dyDescent="0.3">
      <c r="A3329" s="2">
        <v>3328</v>
      </c>
      <c r="B3329" s="2" t="s">
        <v>998</v>
      </c>
      <c r="C3329" s="2" t="s">
        <v>422</v>
      </c>
      <c r="D3329" s="2" t="s">
        <v>15</v>
      </c>
      <c r="E3329" s="2" t="s">
        <v>16</v>
      </c>
      <c r="F3329" s="2">
        <v>60</v>
      </c>
      <c r="G3329" s="2" t="s">
        <v>7880</v>
      </c>
      <c r="H3329" s="2" t="s">
        <v>1253</v>
      </c>
      <c r="I3329" s="2" t="s">
        <v>32</v>
      </c>
      <c r="J3329" s="3">
        <v>44425</v>
      </c>
      <c r="K3329" s="2">
        <v>8</v>
      </c>
      <c r="L3329" s="2" t="s">
        <v>70</v>
      </c>
      <c r="M3329" s="3"/>
    </row>
    <row r="3330" spans="1:13" x14ac:dyDescent="0.3">
      <c r="A3330" s="2">
        <v>3329</v>
      </c>
      <c r="B3330" s="2" t="s">
        <v>7881</v>
      </c>
      <c r="C3330" s="2" t="s">
        <v>6712</v>
      </c>
      <c r="D3330" s="2" t="s">
        <v>51</v>
      </c>
      <c r="E3330" s="2" t="s">
        <v>16</v>
      </c>
      <c r="F3330" s="2">
        <v>90</v>
      </c>
      <c r="G3330" s="2" t="s">
        <v>7882</v>
      </c>
      <c r="H3330" s="2" t="s">
        <v>1754</v>
      </c>
      <c r="I3330" s="2" t="s">
        <v>25</v>
      </c>
      <c r="J3330" s="3">
        <v>44768</v>
      </c>
      <c r="K3330" s="2">
        <v>51</v>
      </c>
      <c r="L3330" s="2" t="s">
        <v>33</v>
      </c>
      <c r="M3330" s="3"/>
    </row>
    <row r="3331" spans="1:13" x14ac:dyDescent="0.3">
      <c r="A3331" s="2">
        <v>3330</v>
      </c>
      <c r="B3331" s="2" t="s">
        <v>7883</v>
      </c>
      <c r="C3331" s="2" t="s">
        <v>2618</v>
      </c>
      <c r="D3331" s="2" t="s">
        <v>51</v>
      </c>
      <c r="E3331" s="2" t="s">
        <v>16</v>
      </c>
      <c r="F3331" s="2">
        <v>30</v>
      </c>
      <c r="G3331" s="2" t="s">
        <v>7882</v>
      </c>
      <c r="H3331" s="2" t="s">
        <v>2624</v>
      </c>
      <c r="I3331" s="2" t="s">
        <v>32</v>
      </c>
      <c r="J3331" s="3">
        <v>44324</v>
      </c>
      <c r="K3331" s="2">
        <v>41</v>
      </c>
      <c r="L3331" s="2" t="s">
        <v>101</v>
      </c>
      <c r="M3331" s="3"/>
    </row>
    <row r="3332" spans="1:13" x14ac:dyDescent="0.3">
      <c r="A3332" s="2">
        <v>3331</v>
      </c>
      <c r="B3332" s="2" t="s">
        <v>7884</v>
      </c>
      <c r="C3332" s="2" t="s">
        <v>2371</v>
      </c>
      <c r="D3332" s="2" t="s">
        <v>15</v>
      </c>
      <c r="E3332" s="2" t="s">
        <v>16</v>
      </c>
      <c r="F3332" s="2">
        <v>90</v>
      </c>
      <c r="G3332" s="2" t="s">
        <v>7885</v>
      </c>
      <c r="H3332" s="2" t="s">
        <v>4935</v>
      </c>
      <c r="I3332" s="2" t="s">
        <v>124</v>
      </c>
      <c r="J3332" s="3">
        <v>44460</v>
      </c>
      <c r="K3332" s="2">
        <v>49</v>
      </c>
      <c r="L3332" s="2" t="s">
        <v>70</v>
      </c>
      <c r="M3332" s="3"/>
    </row>
    <row r="3333" spans="1:13" x14ac:dyDescent="0.3">
      <c r="A3333" s="2">
        <v>3332</v>
      </c>
      <c r="B3333" s="2" t="s">
        <v>7886</v>
      </c>
      <c r="C3333" s="2" t="s">
        <v>4102</v>
      </c>
      <c r="D3333" s="2" t="s">
        <v>28</v>
      </c>
      <c r="E3333" s="2" t="s">
        <v>29</v>
      </c>
      <c r="F3333" s="2">
        <v>30</v>
      </c>
      <c r="G3333" s="2" t="s">
        <v>7887</v>
      </c>
      <c r="H3333" s="2" t="s">
        <v>1150</v>
      </c>
      <c r="I3333" s="2" t="s">
        <v>32</v>
      </c>
      <c r="J3333" s="3">
        <v>44896</v>
      </c>
      <c r="K3333" s="2">
        <v>44</v>
      </c>
      <c r="L3333" s="2" t="s">
        <v>64</v>
      </c>
      <c r="M3333" s="3"/>
    </row>
    <row r="3334" spans="1:13" x14ac:dyDescent="0.3">
      <c r="A3334" s="2">
        <v>3333</v>
      </c>
      <c r="B3334" s="2" t="s">
        <v>7888</v>
      </c>
      <c r="C3334" s="2" t="s">
        <v>7889</v>
      </c>
      <c r="D3334" s="2" t="s">
        <v>51</v>
      </c>
      <c r="E3334" s="2" t="s">
        <v>16</v>
      </c>
      <c r="F3334" s="2">
        <v>60</v>
      </c>
      <c r="G3334" s="2" t="s">
        <v>7890</v>
      </c>
      <c r="H3334" s="2" t="s">
        <v>5934</v>
      </c>
      <c r="I3334" s="2" t="s">
        <v>173</v>
      </c>
      <c r="J3334" s="3">
        <v>44703</v>
      </c>
      <c r="K3334" s="2">
        <v>87</v>
      </c>
      <c r="L3334" s="2" t="s">
        <v>80</v>
      </c>
      <c r="M3334" s="3"/>
    </row>
    <row r="3335" spans="1:13" x14ac:dyDescent="0.3">
      <c r="A3335" s="2">
        <v>3334</v>
      </c>
      <c r="B3335" s="2" t="s">
        <v>7891</v>
      </c>
      <c r="C3335" s="2" t="s">
        <v>3077</v>
      </c>
      <c r="D3335" s="2" t="s">
        <v>51</v>
      </c>
      <c r="E3335" s="2" t="s">
        <v>16</v>
      </c>
      <c r="F3335" s="2">
        <v>30</v>
      </c>
      <c r="G3335" s="2" t="s">
        <v>7892</v>
      </c>
      <c r="H3335" s="2" t="s">
        <v>2172</v>
      </c>
      <c r="I3335" s="2" t="s">
        <v>32</v>
      </c>
      <c r="J3335" s="3">
        <v>44142</v>
      </c>
      <c r="K3335" s="2">
        <v>7</v>
      </c>
      <c r="L3335" s="2" t="s">
        <v>45</v>
      </c>
      <c r="M3335" s="3"/>
    </row>
    <row r="3336" spans="1:13" x14ac:dyDescent="0.3">
      <c r="A3336" s="2">
        <v>3335</v>
      </c>
      <c r="B3336" s="2" t="s">
        <v>7893</v>
      </c>
      <c r="C3336" s="2" t="s">
        <v>1219</v>
      </c>
      <c r="D3336" s="2" t="s">
        <v>28</v>
      </c>
      <c r="E3336" s="2" t="s">
        <v>29</v>
      </c>
      <c r="F3336" s="2">
        <v>60</v>
      </c>
      <c r="G3336" s="2" t="s">
        <v>7894</v>
      </c>
      <c r="H3336" s="2" t="s">
        <v>7895</v>
      </c>
      <c r="I3336" s="2" t="s">
        <v>25</v>
      </c>
      <c r="J3336" s="3">
        <v>44251</v>
      </c>
      <c r="K3336" s="2">
        <v>42</v>
      </c>
      <c r="L3336" s="2" t="s">
        <v>70</v>
      </c>
      <c r="M3336" s="3"/>
    </row>
    <row r="3337" spans="1:13" x14ac:dyDescent="0.3">
      <c r="A3337" s="2">
        <v>3336</v>
      </c>
      <c r="B3337" s="2" t="s">
        <v>7896</v>
      </c>
      <c r="C3337" s="2" t="s">
        <v>3779</v>
      </c>
      <c r="D3337" s="2" t="s">
        <v>15</v>
      </c>
      <c r="E3337" s="2" t="s">
        <v>16</v>
      </c>
      <c r="F3337" s="2">
        <v>30</v>
      </c>
      <c r="G3337" s="2" t="s">
        <v>7897</v>
      </c>
      <c r="H3337" s="2" t="s">
        <v>7898</v>
      </c>
      <c r="I3337" s="2" t="s">
        <v>425</v>
      </c>
      <c r="J3337" s="3">
        <v>44837</v>
      </c>
      <c r="K3337" s="2">
        <v>11</v>
      </c>
      <c r="L3337" s="2" t="s">
        <v>33</v>
      </c>
      <c r="M3337" s="3"/>
    </row>
    <row r="3338" spans="1:13" x14ac:dyDescent="0.3">
      <c r="A3338" s="2">
        <v>3337</v>
      </c>
      <c r="B3338" s="2" t="s">
        <v>2399</v>
      </c>
      <c r="C3338" s="2" t="s">
        <v>1109</v>
      </c>
      <c r="D3338" s="2" t="s">
        <v>28</v>
      </c>
      <c r="E3338" s="2" t="s">
        <v>3276</v>
      </c>
      <c r="F3338" s="2">
        <v>30</v>
      </c>
      <c r="G3338" s="2" t="s">
        <v>7899</v>
      </c>
      <c r="H3338" s="2" t="s">
        <v>2772</v>
      </c>
      <c r="I3338" s="2" t="s">
        <v>32</v>
      </c>
      <c r="J3338" s="3">
        <v>44225</v>
      </c>
      <c r="K3338" s="2">
        <v>35</v>
      </c>
      <c r="L3338" s="2" t="s">
        <v>70</v>
      </c>
      <c r="M3338" s="3"/>
    </row>
    <row r="3339" spans="1:13" x14ac:dyDescent="0.3">
      <c r="A3339" s="2">
        <v>3338</v>
      </c>
      <c r="B3339" s="2" t="s">
        <v>3855</v>
      </c>
      <c r="C3339" s="2" t="s">
        <v>7900</v>
      </c>
      <c r="D3339" s="2" t="s">
        <v>28</v>
      </c>
      <c r="E3339" s="2" t="s">
        <v>29</v>
      </c>
      <c r="G3339" s="2" t="s">
        <v>7901</v>
      </c>
      <c r="H3339" s="2" t="s">
        <v>2552</v>
      </c>
      <c r="I3339" s="2" t="s">
        <v>32</v>
      </c>
      <c r="J3339" s="3">
        <v>43985</v>
      </c>
      <c r="K3339" s="2">
        <v>51</v>
      </c>
      <c r="L3339" s="2" t="s">
        <v>33</v>
      </c>
      <c r="M3339" s="3"/>
    </row>
    <row r="3340" spans="1:13" x14ac:dyDescent="0.3">
      <c r="A3340" s="2">
        <v>3339</v>
      </c>
      <c r="B3340" s="2" t="s">
        <v>7902</v>
      </c>
      <c r="C3340" s="2" t="s">
        <v>588</v>
      </c>
      <c r="D3340" s="2" t="s">
        <v>51</v>
      </c>
      <c r="E3340" s="2" t="s">
        <v>16</v>
      </c>
      <c r="F3340" s="2">
        <v>60</v>
      </c>
      <c r="G3340" s="2" t="s">
        <v>7903</v>
      </c>
      <c r="H3340" s="2" t="s">
        <v>2357</v>
      </c>
      <c r="I3340" s="2" t="s">
        <v>32</v>
      </c>
      <c r="J3340" s="3">
        <v>44078</v>
      </c>
      <c r="K3340" s="2">
        <v>30</v>
      </c>
      <c r="L3340" s="2" t="s">
        <v>64</v>
      </c>
      <c r="M3340" s="3"/>
    </row>
    <row r="3341" spans="1:13" x14ac:dyDescent="0.3">
      <c r="A3341" s="2">
        <v>3340</v>
      </c>
      <c r="B3341" s="2" t="s">
        <v>7904</v>
      </c>
      <c r="C3341" s="2" t="s">
        <v>143</v>
      </c>
      <c r="D3341" s="2" t="s">
        <v>51</v>
      </c>
      <c r="E3341" s="2" t="s">
        <v>16</v>
      </c>
      <c r="F3341" s="2">
        <v>60</v>
      </c>
      <c r="G3341" s="2" t="s">
        <v>7905</v>
      </c>
      <c r="H3341" s="2" t="s">
        <v>3915</v>
      </c>
      <c r="I3341" s="2" t="s">
        <v>173</v>
      </c>
      <c r="J3341" s="3">
        <v>44592</v>
      </c>
      <c r="K3341" s="2">
        <v>45</v>
      </c>
      <c r="L3341" s="2" t="s">
        <v>159</v>
      </c>
      <c r="M3341" s="3"/>
    </row>
    <row r="3342" spans="1:13" x14ac:dyDescent="0.3">
      <c r="A3342" s="2">
        <v>3341</v>
      </c>
      <c r="B3342" s="2" t="s">
        <v>967</v>
      </c>
      <c r="C3342" s="2" t="s">
        <v>4753</v>
      </c>
      <c r="D3342" s="2" t="s">
        <v>28</v>
      </c>
      <c r="E3342" s="2" t="s">
        <v>29</v>
      </c>
      <c r="F3342" s="2">
        <v>30</v>
      </c>
      <c r="G3342" s="2" t="s">
        <v>7906</v>
      </c>
      <c r="H3342" s="2" t="s">
        <v>3396</v>
      </c>
      <c r="I3342" s="2" t="s">
        <v>32</v>
      </c>
      <c r="J3342" s="3">
        <v>44349</v>
      </c>
      <c r="K3342" s="2">
        <v>17</v>
      </c>
      <c r="L3342" s="2" t="s">
        <v>159</v>
      </c>
      <c r="M3342" s="3"/>
    </row>
    <row r="3343" spans="1:13" x14ac:dyDescent="0.3">
      <c r="A3343" s="2">
        <v>3342</v>
      </c>
      <c r="B3343" s="2" t="s">
        <v>7907</v>
      </c>
      <c r="C3343" s="2" t="s">
        <v>7908</v>
      </c>
      <c r="D3343" s="2" t="s">
        <v>51</v>
      </c>
      <c r="E3343" s="2" t="s">
        <v>16</v>
      </c>
      <c r="F3343" s="2">
        <v>60</v>
      </c>
      <c r="G3343" s="2" t="s">
        <v>7909</v>
      </c>
      <c r="H3343" s="2" t="s">
        <v>4651</v>
      </c>
      <c r="I3343" s="2" t="s">
        <v>32</v>
      </c>
      <c r="J3343" s="3">
        <v>44241</v>
      </c>
      <c r="K3343" s="2">
        <v>19</v>
      </c>
      <c r="L3343" s="2" t="s">
        <v>20</v>
      </c>
      <c r="M3343" s="3"/>
    </row>
    <row r="3344" spans="1:13" x14ac:dyDescent="0.3">
      <c r="A3344" s="2">
        <v>3343</v>
      </c>
      <c r="B3344" s="2" t="s">
        <v>7910</v>
      </c>
      <c r="C3344" s="2" t="s">
        <v>1627</v>
      </c>
      <c r="D3344" s="2" t="s">
        <v>41</v>
      </c>
      <c r="E3344" s="2" t="s">
        <v>16</v>
      </c>
      <c r="F3344" s="2">
        <v>30</v>
      </c>
      <c r="G3344" s="2" t="s">
        <v>7911</v>
      </c>
      <c r="H3344" s="2" t="s">
        <v>3764</v>
      </c>
      <c r="I3344" s="2" t="s">
        <v>32</v>
      </c>
      <c r="J3344" s="3">
        <v>43936</v>
      </c>
      <c r="K3344" s="2">
        <v>23</v>
      </c>
      <c r="L3344" s="2" t="s">
        <v>45</v>
      </c>
      <c r="M3344" s="3"/>
    </row>
    <row r="3345" spans="1:13" x14ac:dyDescent="0.3">
      <c r="A3345" s="2">
        <v>3344</v>
      </c>
      <c r="B3345" s="2" t="s">
        <v>2367</v>
      </c>
      <c r="C3345" s="2" t="s">
        <v>3217</v>
      </c>
      <c r="D3345" s="2" t="s">
        <v>28</v>
      </c>
      <c r="E3345" s="2" t="s">
        <v>29</v>
      </c>
      <c r="F3345" s="2">
        <v>60</v>
      </c>
      <c r="G3345" s="2" t="s">
        <v>7912</v>
      </c>
      <c r="H3345" s="2" t="s">
        <v>2834</v>
      </c>
      <c r="I3345" s="2" t="s">
        <v>19</v>
      </c>
      <c r="J3345" s="3">
        <v>44593</v>
      </c>
      <c r="K3345" s="2">
        <v>79</v>
      </c>
      <c r="L3345" s="2" t="s">
        <v>54</v>
      </c>
      <c r="M3345" s="3"/>
    </row>
    <row r="3346" spans="1:13" x14ac:dyDescent="0.3">
      <c r="A3346" s="2">
        <v>3345</v>
      </c>
      <c r="B3346" s="2" t="s">
        <v>7913</v>
      </c>
      <c r="C3346" s="2" t="s">
        <v>5417</v>
      </c>
      <c r="D3346" s="2" t="s">
        <v>28</v>
      </c>
      <c r="E3346" s="2" t="s">
        <v>29</v>
      </c>
      <c r="F3346" s="2">
        <v>60</v>
      </c>
      <c r="G3346" s="2" t="s">
        <v>7914</v>
      </c>
      <c r="H3346" s="2" t="s">
        <v>2008</v>
      </c>
      <c r="I3346" s="2" t="s">
        <v>129</v>
      </c>
      <c r="J3346" s="3">
        <v>44263</v>
      </c>
      <c r="K3346" s="2">
        <v>11</v>
      </c>
      <c r="L3346" s="2" t="s">
        <v>159</v>
      </c>
      <c r="M3346" s="3"/>
    </row>
    <row r="3347" spans="1:13" x14ac:dyDescent="0.3">
      <c r="A3347" s="2">
        <v>3346</v>
      </c>
      <c r="B3347" s="2" t="s">
        <v>7915</v>
      </c>
      <c r="C3347" s="2" t="s">
        <v>7000</v>
      </c>
      <c r="D3347" s="2" t="s">
        <v>15</v>
      </c>
      <c r="E3347" s="2" t="s">
        <v>16</v>
      </c>
      <c r="F3347" s="2">
        <v>60</v>
      </c>
      <c r="G3347" s="2" t="s">
        <v>7916</v>
      </c>
      <c r="H3347" s="2" t="s">
        <v>3059</v>
      </c>
      <c r="I3347" s="2" t="s">
        <v>187</v>
      </c>
      <c r="J3347" s="3">
        <v>44510</v>
      </c>
      <c r="K3347" s="2">
        <v>10</v>
      </c>
      <c r="L3347" s="2" t="s">
        <v>64</v>
      </c>
      <c r="M3347" s="3"/>
    </row>
    <row r="3348" spans="1:13" x14ac:dyDescent="0.3">
      <c r="A3348" s="2">
        <v>3347</v>
      </c>
      <c r="B3348" s="2" t="s">
        <v>3988</v>
      </c>
      <c r="C3348" s="2" t="s">
        <v>6477</v>
      </c>
      <c r="D3348" s="2" t="s">
        <v>15</v>
      </c>
      <c r="E3348" s="2" t="s">
        <v>16</v>
      </c>
      <c r="F3348" s="2">
        <v>90</v>
      </c>
      <c r="G3348" s="2" t="s">
        <v>7917</v>
      </c>
      <c r="H3348" s="2" t="s">
        <v>5406</v>
      </c>
      <c r="I3348" s="2" t="s">
        <v>32</v>
      </c>
      <c r="J3348" s="3">
        <v>44884</v>
      </c>
      <c r="K3348" s="2">
        <v>40</v>
      </c>
      <c r="L3348" s="2" t="s">
        <v>20</v>
      </c>
      <c r="M3348" s="3"/>
    </row>
    <row r="3349" spans="1:13" x14ac:dyDescent="0.3">
      <c r="A3349" s="2">
        <v>3348</v>
      </c>
      <c r="B3349" s="2" t="s">
        <v>7918</v>
      </c>
      <c r="C3349" s="2" t="s">
        <v>1928</v>
      </c>
      <c r="D3349" s="2" t="s">
        <v>15</v>
      </c>
      <c r="E3349" s="2" t="s">
        <v>16</v>
      </c>
      <c r="F3349" s="2">
        <v>30</v>
      </c>
      <c r="G3349" s="2" t="s">
        <v>7919</v>
      </c>
      <c r="H3349" s="2" t="s">
        <v>1716</v>
      </c>
      <c r="I3349" s="2" t="s">
        <v>425</v>
      </c>
      <c r="J3349" s="3">
        <v>44347</v>
      </c>
      <c r="K3349" s="2">
        <v>91</v>
      </c>
      <c r="L3349" s="2" t="s">
        <v>80</v>
      </c>
      <c r="M3349" s="3"/>
    </row>
    <row r="3350" spans="1:13" x14ac:dyDescent="0.3">
      <c r="A3350" s="2">
        <v>3349</v>
      </c>
      <c r="B3350" s="2" t="s">
        <v>7920</v>
      </c>
      <c r="C3350" s="2" t="s">
        <v>6465</v>
      </c>
      <c r="D3350" s="2" t="s">
        <v>51</v>
      </c>
      <c r="E3350" s="2" t="s">
        <v>16</v>
      </c>
      <c r="F3350" s="2">
        <v>30</v>
      </c>
      <c r="G3350" s="2" t="s">
        <v>7921</v>
      </c>
      <c r="H3350" s="2" t="s">
        <v>4794</v>
      </c>
      <c r="I3350" s="2" t="s">
        <v>32</v>
      </c>
      <c r="J3350" s="3">
        <v>44532</v>
      </c>
      <c r="K3350" s="2">
        <v>43</v>
      </c>
      <c r="L3350" s="2" t="s">
        <v>80</v>
      </c>
      <c r="M3350" s="3"/>
    </row>
    <row r="3351" spans="1:13" x14ac:dyDescent="0.3">
      <c r="A3351" s="2">
        <v>3350</v>
      </c>
      <c r="B3351" s="2" t="s">
        <v>2424</v>
      </c>
      <c r="C3351" s="2" t="s">
        <v>3785</v>
      </c>
      <c r="D3351" s="2" t="s">
        <v>28</v>
      </c>
      <c r="E3351" s="2" t="s">
        <v>29</v>
      </c>
      <c r="F3351" s="2">
        <v>30</v>
      </c>
      <c r="G3351" s="2" t="s">
        <v>7922</v>
      </c>
      <c r="H3351" s="2" t="s">
        <v>1615</v>
      </c>
      <c r="I3351" s="2" t="s">
        <v>32</v>
      </c>
      <c r="J3351" s="3">
        <v>44026</v>
      </c>
      <c r="K3351" s="2">
        <v>62</v>
      </c>
      <c r="L3351" s="2" t="s">
        <v>159</v>
      </c>
      <c r="M3351" s="3"/>
    </row>
    <row r="3352" spans="1:13" x14ac:dyDescent="0.3">
      <c r="A3352" s="2">
        <v>3351</v>
      </c>
      <c r="B3352" s="2" t="s">
        <v>7923</v>
      </c>
      <c r="C3352" s="2" t="s">
        <v>4681</v>
      </c>
      <c r="D3352" s="2" t="s">
        <v>51</v>
      </c>
      <c r="E3352" s="2" t="s">
        <v>16</v>
      </c>
      <c r="F3352" s="2">
        <v>30</v>
      </c>
      <c r="G3352" s="2" t="s">
        <v>7924</v>
      </c>
      <c r="H3352" s="2" t="s">
        <v>1830</v>
      </c>
      <c r="I3352" s="2" t="s">
        <v>32</v>
      </c>
      <c r="J3352" s="3">
        <v>44511</v>
      </c>
      <c r="K3352" s="2">
        <v>29</v>
      </c>
      <c r="L3352" s="2" t="s">
        <v>54</v>
      </c>
      <c r="M3352" s="3"/>
    </row>
    <row r="3353" spans="1:13" x14ac:dyDescent="0.3">
      <c r="A3353" s="2">
        <v>3352</v>
      </c>
      <c r="B3353" s="2" t="s">
        <v>4460</v>
      </c>
      <c r="C3353" s="2" t="s">
        <v>4342</v>
      </c>
      <c r="D3353" s="2" t="s">
        <v>28</v>
      </c>
      <c r="E3353" s="2" t="s">
        <v>29</v>
      </c>
      <c r="F3353" s="2">
        <v>90</v>
      </c>
      <c r="G3353" s="2" t="s">
        <v>7925</v>
      </c>
      <c r="H3353" s="2" t="s">
        <v>3343</v>
      </c>
      <c r="I3353" s="2" t="s">
        <v>1199</v>
      </c>
      <c r="J3353" s="3">
        <v>43883</v>
      </c>
      <c r="K3353" s="2">
        <v>2</v>
      </c>
      <c r="L3353" s="2" t="s">
        <v>64</v>
      </c>
      <c r="M3353" s="3"/>
    </row>
    <row r="3354" spans="1:13" x14ac:dyDescent="0.3">
      <c r="A3354" s="2">
        <v>3353</v>
      </c>
      <c r="B3354" s="2" t="s">
        <v>7926</v>
      </c>
      <c r="C3354" s="2" t="s">
        <v>7231</v>
      </c>
      <c r="D3354" s="2" t="s">
        <v>51</v>
      </c>
      <c r="E3354" s="2" t="s">
        <v>16</v>
      </c>
      <c r="F3354" s="2">
        <v>90</v>
      </c>
      <c r="G3354" s="2" t="s">
        <v>7927</v>
      </c>
      <c r="H3354" s="2" t="s">
        <v>7400</v>
      </c>
      <c r="I3354" s="2" t="s">
        <v>178</v>
      </c>
      <c r="J3354" s="3">
        <v>44828</v>
      </c>
      <c r="K3354" s="2">
        <v>21</v>
      </c>
      <c r="L3354" s="2" t="s">
        <v>64</v>
      </c>
      <c r="M3354" s="3"/>
    </row>
    <row r="3355" spans="1:13" x14ac:dyDescent="0.3">
      <c r="A3355" s="2">
        <v>3354</v>
      </c>
      <c r="B3355" s="2" t="s">
        <v>785</v>
      </c>
      <c r="C3355" s="2" t="s">
        <v>5142</v>
      </c>
      <c r="D3355" s="2" t="s">
        <v>117</v>
      </c>
      <c r="E3355" s="2" t="s">
        <v>29</v>
      </c>
      <c r="F3355" s="2">
        <v>60</v>
      </c>
      <c r="G3355" s="2" t="s">
        <v>7928</v>
      </c>
      <c r="H3355" s="2" t="s">
        <v>1272</v>
      </c>
      <c r="I3355" s="2" t="s">
        <v>59</v>
      </c>
      <c r="J3355" s="3">
        <v>44485</v>
      </c>
      <c r="K3355" s="2">
        <v>87</v>
      </c>
      <c r="L3355" s="2" t="s">
        <v>159</v>
      </c>
      <c r="M3355" s="3"/>
    </row>
    <row r="3356" spans="1:13" x14ac:dyDescent="0.3">
      <c r="A3356" s="2">
        <v>3355</v>
      </c>
      <c r="B3356" s="2" t="s">
        <v>7929</v>
      </c>
      <c r="C3356" s="2" t="s">
        <v>97</v>
      </c>
      <c r="D3356" s="2" t="s">
        <v>41</v>
      </c>
      <c r="E3356" s="2" t="s">
        <v>16</v>
      </c>
      <c r="F3356" s="2">
        <v>90</v>
      </c>
      <c r="G3356" s="2" t="s">
        <v>7930</v>
      </c>
      <c r="H3356" s="2" t="s">
        <v>6607</v>
      </c>
      <c r="I3356" s="2" t="s">
        <v>32</v>
      </c>
      <c r="J3356" s="3">
        <v>44168</v>
      </c>
      <c r="K3356" s="2">
        <v>56</v>
      </c>
      <c r="L3356" s="2" t="s">
        <v>45</v>
      </c>
      <c r="M3356" s="3"/>
    </row>
    <row r="3357" spans="1:13" x14ac:dyDescent="0.3">
      <c r="A3357" s="2">
        <v>3356</v>
      </c>
      <c r="B3357" s="2" t="s">
        <v>7931</v>
      </c>
      <c r="C3357" s="2" t="s">
        <v>2715</v>
      </c>
      <c r="D3357" s="2" t="s">
        <v>51</v>
      </c>
      <c r="E3357" s="2" t="s">
        <v>16</v>
      </c>
      <c r="F3357" s="2">
        <v>30</v>
      </c>
      <c r="G3357" s="2" t="s">
        <v>7932</v>
      </c>
      <c r="H3357" s="2" t="s">
        <v>288</v>
      </c>
      <c r="I3357" s="2" t="s">
        <v>32</v>
      </c>
      <c r="J3357" s="3">
        <v>44140</v>
      </c>
      <c r="K3357" s="2">
        <v>40</v>
      </c>
      <c r="L3357" s="2" t="s">
        <v>45</v>
      </c>
      <c r="M3357" s="3"/>
    </row>
    <row r="3358" spans="1:13" x14ac:dyDescent="0.3">
      <c r="A3358" s="2">
        <v>3357</v>
      </c>
      <c r="B3358" s="2" t="s">
        <v>6511</v>
      </c>
      <c r="C3358" s="2" t="s">
        <v>112</v>
      </c>
      <c r="D3358" s="2" t="s">
        <v>28</v>
      </c>
      <c r="E3358" s="2" t="s">
        <v>29</v>
      </c>
      <c r="F3358" s="2">
        <v>30</v>
      </c>
      <c r="G3358" s="2" t="s">
        <v>7933</v>
      </c>
      <c r="H3358" s="2" t="s">
        <v>2348</v>
      </c>
      <c r="I3358" s="2" t="s">
        <v>32</v>
      </c>
      <c r="J3358" s="3">
        <v>44712</v>
      </c>
      <c r="K3358" s="2">
        <v>72</v>
      </c>
      <c r="L3358" s="2" t="s">
        <v>64</v>
      </c>
      <c r="M3358" s="3"/>
    </row>
    <row r="3359" spans="1:13" x14ac:dyDescent="0.3">
      <c r="A3359" s="2">
        <v>3358</v>
      </c>
      <c r="B3359" s="2" t="s">
        <v>7934</v>
      </c>
      <c r="C3359" s="2" t="s">
        <v>2014</v>
      </c>
      <c r="D3359" s="2" t="s">
        <v>15</v>
      </c>
      <c r="E3359" s="2" t="s">
        <v>16</v>
      </c>
      <c r="F3359" s="2">
        <v>90</v>
      </c>
      <c r="G3359" s="2" t="s">
        <v>7935</v>
      </c>
      <c r="H3359" s="2" t="s">
        <v>7936</v>
      </c>
      <c r="I3359" s="2" t="s">
        <v>32</v>
      </c>
      <c r="J3359" s="3">
        <v>44053</v>
      </c>
      <c r="K3359" s="2">
        <v>49</v>
      </c>
      <c r="L3359" s="2" t="s">
        <v>39</v>
      </c>
      <c r="M3359" s="3"/>
    </row>
    <row r="3360" spans="1:13" x14ac:dyDescent="0.3">
      <c r="A3360" s="2">
        <v>3359</v>
      </c>
      <c r="B3360" s="2" t="s">
        <v>7937</v>
      </c>
      <c r="C3360" s="2" t="s">
        <v>3469</v>
      </c>
      <c r="D3360" s="2" t="s">
        <v>15</v>
      </c>
      <c r="E3360" s="2" t="s">
        <v>16</v>
      </c>
      <c r="F3360" s="2">
        <v>90</v>
      </c>
      <c r="G3360" s="2" t="s">
        <v>7938</v>
      </c>
      <c r="H3360" s="2" t="s">
        <v>4992</v>
      </c>
      <c r="I3360" s="2" t="s">
        <v>294</v>
      </c>
      <c r="J3360" s="3">
        <v>44475</v>
      </c>
      <c r="K3360" s="2">
        <v>15</v>
      </c>
      <c r="L3360" s="2" t="s">
        <v>45</v>
      </c>
      <c r="M3360" s="3"/>
    </row>
    <row r="3361" spans="1:13" x14ac:dyDescent="0.3">
      <c r="A3361" s="2">
        <v>3360</v>
      </c>
      <c r="B3361" s="2" t="s">
        <v>7939</v>
      </c>
      <c r="C3361" s="2" t="s">
        <v>4998</v>
      </c>
      <c r="D3361" s="2" t="s">
        <v>15</v>
      </c>
      <c r="E3361" s="2" t="s">
        <v>16</v>
      </c>
      <c r="F3361" s="2">
        <v>30</v>
      </c>
      <c r="G3361" s="2" t="s">
        <v>7940</v>
      </c>
      <c r="H3361" s="2" t="s">
        <v>34</v>
      </c>
      <c r="I3361" s="2" t="s">
        <v>1454</v>
      </c>
      <c r="J3361" s="3">
        <v>44704</v>
      </c>
      <c r="K3361" s="2">
        <v>17</v>
      </c>
      <c r="L3361" s="2" t="s">
        <v>70</v>
      </c>
      <c r="M3361" s="3"/>
    </row>
    <row r="3362" spans="1:13" x14ac:dyDescent="0.3">
      <c r="A3362" s="2">
        <v>3361</v>
      </c>
      <c r="B3362" s="2" t="s">
        <v>7741</v>
      </c>
      <c r="C3362" s="2" t="s">
        <v>2195</v>
      </c>
      <c r="D3362" s="2" t="s">
        <v>28</v>
      </c>
      <c r="E3362" s="2" t="s">
        <v>29</v>
      </c>
      <c r="F3362" s="2">
        <v>30</v>
      </c>
      <c r="G3362" s="2" t="s">
        <v>7941</v>
      </c>
      <c r="H3362" s="2" t="s">
        <v>966</v>
      </c>
      <c r="I3362" s="2" t="s">
        <v>187</v>
      </c>
      <c r="J3362" s="3">
        <v>44131</v>
      </c>
      <c r="K3362" s="2">
        <v>65</v>
      </c>
      <c r="L3362" s="2" t="s">
        <v>64</v>
      </c>
      <c r="M3362" s="3"/>
    </row>
    <row r="3363" spans="1:13" x14ac:dyDescent="0.3">
      <c r="A3363" s="2">
        <v>3362</v>
      </c>
      <c r="B3363" s="2" t="s">
        <v>7741</v>
      </c>
      <c r="C3363" s="2" t="s">
        <v>2195</v>
      </c>
      <c r="D3363" s="2" t="s">
        <v>28</v>
      </c>
      <c r="E3363" s="2" t="s">
        <v>29</v>
      </c>
      <c r="F3363" s="2">
        <v>30</v>
      </c>
      <c r="G3363" s="2" t="s">
        <v>7941</v>
      </c>
      <c r="H3363" s="2" t="s">
        <v>966</v>
      </c>
      <c r="I3363" s="2" t="s">
        <v>187</v>
      </c>
      <c r="J3363" s="3">
        <v>44131</v>
      </c>
      <c r="K3363" s="2">
        <v>65</v>
      </c>
      <c r="L3363" s="2" t="s">
        <v>64</v>
      </c>
      <c r="M3363" s="3"/>
    </row>
    <row r="3364" spans="1:13" x14ac:dyDescent="0.3">
      <c r="A3364" s="2">
        <v>3363</v>
      </c>
      <c r="B3364" s="2" t="s">
        <v>3268</v>
      </c>
      <c r="C3364" s="2" t="s">
        <v>5161</v>
      </c>
      <c r="D3364" s="2" t="s">
        <v>51</v>
      </c>
      <c r="E3364" s="2" t="s">
        <v>16</v>
      </c>
      <c r="F3364" s="2">
        <v>90</v>
      </c>
      <c r="G3364" s="2" t="s">
        <v>7942</v>
      </c>
      <c r="H3364" s="2" t="s">
        <v>974</v>
      </c>
      <c r="I3364" s="2" t="s">
        <v>32</v>
      </c>
      <c r="J3364" s="3">
        <v>44207</v>
      </c>
      <c r="K3364" s="2">
        <v>32</v>
      </c>
      <c r="L3364" s="2" t="s">
        <v>101</v>
      </c>
      <c r="M3364" s="3"/>
    </row>
    <row r="3365" spans="1:13" x14ac:dyDescent="0.3">
      <c r="A3365" s="2">
        <v>3364</v>
      </c>
      <c r="B3365" s="2" t="s">
        <v>2118</v>
      </c>
      <c r="C3365" s="2" t="s">
        <v>3652</v>
      </c>
      <c r="D3365" s="2" t="s">
        <v>28</v>
      </c>
      <c r="E3365" s="2" t="s">
        <v>29</v>
      </c>
      <c r="F3365" s="2">
        <v>30</v>
      </c>
      <c r="G3365" s="2" t="s">
        <v>7943</v>
      </c>
      <c r="H3365" s="2" t="s">
        <v>7092</v>
      </c>
      <c r="I3365" s="2" t="s">
        <v>32</v>
      </c>
      <c r="J3365" s="3">
        <v>43977</v>
      </c>
      <c r="K3365" s="2">
        <v>61</v>
      </c>
      <c r="L3365" s="2" t="s">
        <v>159</v>
      </c>
      <c r="M3365" s="3"/>
    </row>
    <row r="3366" spans="1:13" x14ac:dyDescent="0.3">
      <c r="A3366" s="2">
        <v>3365</v>
      </c>
      <c r="B3366" s="2" t="s">
        <v>7944</v>
      </c>
      <c r="C3366" s="2" t="s">
        <v>5250</v>
      </c>
      <c r="D3366" s="2" t="s">
        <v>28</v>
      </c>
      <c r="E3366" s="2" t="s">
        <v>29</v>
      </c>
      <c r="F3366" s="2">
        <v>60</v>
      </c>
      <c r="G3366" s="2" t="s">
        <v>7945</v>
      </c>
      <c r="H3366" s="2" t="s">
        <v>7946</v>
      </c>
      <c r="I3366" s="2" t="s">
        <v>32</v>
      </c>
      <c r="J3366" s="3">
        <v>44635</v>
      </c>
      <c r="K3366" s="2">
        <v>2</v>
      </c>
      <c r="L3366" s="2" t="s">
        <v>39</v>
      </c>
      <c r="M3366" s="3"/>
    </row>
    <row r="3367" spans="1:13" x14ac:dyDescent="0.3">
      <c r="A3367" s="2">
        <v>3366</v>
      </c>
      <c r="B3367" s="2" t="s">
        <v>1572</v>
      </c>
      <c r="C3367" s="2" t="s">
        <v>7947</v>
      </c>
      <c r="D3367" s="2" t="s">
        <v>28</v>
      </c>
      <c r="E3367" s="2" t="s">
        <v>29</v>
      </c>
      <c r="F3367" s="2">
        <v>90</v>
      </c>
      <c r="G3367" s="2" t="s">
        <v>7948</v>
      </c>
      <c r="H3367" s="2" t="s">
        <v>2032</v>
      </c>
      <c r="I3367" s="2" t="s">
        <v>173</v>
      </c>
      <c r="J3367" s="3">
        <v>44581</v>
      </c>
      <c r="K3367" s="2">
        <v>84</v>
      </c>
      <c r="L3367" s="2" t="s">
        <v>54</v>
      </c>
      <c r="M3367" s="3"/>
    </row>
    <row r="3368" spans="1:13" x14ac:dyDescent="0.3">
      <c r="A3368" s="2">
        <v>3367</v>
      </c>
      <c r="B3368" s="2" t="s">
        <v>7319</v>
      </c>
      <c r="C3368" s="2" t="s">
        <v>3652</v>
      </c>
      <c r="D3368" s="2" t="s">
        <v>51</v>
      </c>
      <c r="E3368" s="2" t="s">
        <v>16</v>
      </c>
      <c r="F3368" s="2">
        <v>30</v>
      </c>
      <c r="G3368" s="2" t="s">
        <v>7949</v>
      </c>
      <c r="H3368" s="2" t="s">
        <v>875</v>
      </c>
      <c r="I3368" s="2" t="s">
        <v>187</v>
      </c>
      <c r="J3368" s="3">
        <v>44862</v>
      </c>
      <c r="K3368" s="2">
        <v>82</v>
      </c>
      <c r="L3368" s="2" t="s">
        <v>159</v>
      </c>
      <c r="M3368" s="3"/>
    </row>
    <row r="3369" spans="1:13" x14ac:dyDescent="0.3">
      <c r="A3369" s="2">
        <v>3368</v>
      </c>
      <c r="B3369" s="2" t="s">
        <v>2932</v>
      </c>
      <c r="C3369" s="2" t="s">
        <v>4218</v>
      </c>
      <c r="D3369" s="2" t="s">
        <v>28</v>
      </c>
      <c r="E3369" s="2" t="s">
        <v>29</v>
      </c>
      <c r="F3369" s="2">
        <v>30</v>
      </c>
      <c r="G3369" s="2" t="s">
        <v>7950</v>
      </c>
      <c r="H3369" s="2" t="s">
        <v>4285</v>
      </c>
      <c r="I3369" s="2" t="s">
        <v>124</v>
      </c>
      <c r="J3369" s="3">
        <v>43948</v>
      </c>
      <c r="K3369" s="2">
        <v>35</v>
      </c>
      <c r="L3369" s="2" t="s">
        <v>159</v>
      </c>
      <c r="M3369" s="3"/>
    </row>
    <row r="3370" spans="1:13" x14ac:dyDescent="0.3">
      <c r="A3370" s="2">
        <v>3369</v>
      </c>
      <c r="B3370" s="2" t="s">
        <v>7314</v>
      </c>
      <c r="C3370" s="2" t="s">
        <v>5318</v>
      </c>
      <c r="D3370" s="2" t="s">
        <v>28</v>
      </c>
      <c r="E3370" s="2" t="s">
        <v>29</v>
      </c>
      <c r="F3370" s="2">
        <v>30</v>
      </c>
      <c r="G3370" s="2" t="s">
        <v>7951</v>
      </c>
      <c r="H3370" s="2" t="s">
        <v>2169</v>
      </c>
      <c r="I3370" s="2" t="s">
        <v>32</v>
      </c>
      <c r="J3370" s="3">
        <v>43876</v>
      </c>
      <c r="K3370" s="2">
        <v>60</v>
      </c>
      <c r="L3370" s="2" t="s">
        <v>20</v>
      </c>
      <c r="M3370" s="3"/>
    </row>
    <row r="3371" spans="1:13" x14ac:dyDescent="0.3">
      <c r="A3371" s="2">
        <v>3370</v>
      </c>
      <c r="B3371" s="2" t="s">
        <v>7952</v>
      </c>
      <c r="C3371" s="2" t="s">
        <v>7953</v>
      </c>
      <c r="D3371" s="2" t="s">
        <v>51</v>
      </c>
      <c r="E3371" s="2" t="s">
        <v>16</v>
      </c>
      <c r="F3371" s="2">
        <v>30</v>
      </c>
      <c r="G3371" s="2" t="s">
        <v>7954</v>
      </c>
      <c r="H3371" s="2" t="s">
        <v>3010</v>
      </c>
      <c r="I3371" s="2" t="s">
        <v>187</v>
      </c>
      <c r="J3371" s="3">
        <v>44688</v>
      </c>
      <c r="K3371" s="2">
        <v>72</v>
      </c>
      <c r="L3371" s="2" t="s">
        <v>33</v>
      </c>
      <c r="M3371" s="3"/>
    </row>
    <row r="3372" spans="1:13" x14ac:dyDescent="0.3">
      <c r="A3372" s="2">
        <v>3371</v>
      </c>
      <c r="B3372" s="2" t="s">
        <v>2829</v>
      </c>
      <c r="C3372" s="2" t="s">
        <v>7955</v>
      </c>
      <c r="D3372" s="2" t="s">
        <v>28</v>
      </c>
      <c r="E3372" s="2" t="s">
        <v>29</v>
      </c>
      <c r="F3372" s="2">
        <v>60</v>
      </c>
      <c r="G3372" s="2" t="s">
        <v>7956</v>
      </c>
      <c r="H3372" s="2" t="s">
        <v>5243</v>
      </c>
      <c r="I3372" s="2" t="s">
        <v>25</v>
      </c>
      <c r="J3372" s="3">
        <v>43987</v>
      </c>
      <c r="K3372" s="2">
        <v>33</v>
      </c>
      <c r="L3372" s="2" t="s">
        <v>70</v>
      </c>
      <c r="M3372" s="3"/>
    </row>
    <row r="3373" spans="1:13" x14ac:dyDescent="0.3">
      <c r="A3373" s="2">
        <v>3372</v>
      </c>
      <c r="B3373" s="2" t="s">
        <v>5916</v>
      </c>
      <c r="C3373" s="2" t="s">
        <v>5502</v>
      </c>
      <c r="D3373" s="2" t="s">
        <v>28</v>
      </c>
      <c r="E3373" s="2" t="s">
        <v>29</v>
      </c>
      <c r="F3373" s="2">
        <v>60</v>
      </c>
      <c r="G3373" s="2" t="s">
        <v>7957</v>
      </c>
      <c r="H3373" s="2" t="s">
        <v>641</v>
      </c>
      <c r="I3373" s="2" t="s">
        <v>294</v>
      </c>
      <c r="J3373" s="3">
        <v>44688</v>
      </c>
      <c r="K3373" s="2">
        <v>60</v>
      </c>
      <c r="L3373" s="2" t="s">
        <v>70</v>
      </c>
      <c r="M3373" s="3"/>
    </row>
    <row r="3374" spans="1:13" x14ac:dyDescent="0.3">
      <c r="A3374" s="2">
        <v>3373</v>
      </c>
      <c r="B3374" s="2" t="s">
        <v>7958</v>
      </c>
      <c r="C3374" s="2" t="s">
        <v>4813</v>
      </c>
      <c r="D3374" s="2" t="s">
        <v>28</v>
      </c>
      <c r="E3374" s="2" t="s">
        <v>29</v>
      </c>
      <c r="F3374" s="2">
        <v>30</v>
      </c>
      <c r="G3374" s="2" t="s">
        <v>7959</v>
      </c>
      <c r="H3374" s="2" t="s">
        <v>4049</v>
      </c>
      <c r="I3374" s="2" t="s">
        <v>32</v>
      </c>
      <c r="J3374" s="3">
        <v>44183</v>
      </c>
      <c r="K3374" s="2">
        <v>13</v>
      </c>
      <c r="L3374" s="2" t="s">
        <v>45</v>
      </c>
      <c r="M3374" s="3"/>
    </row>
    <row r="3375" spans="1:13" x14ac:dyDescent="0.3">
      <c r="A3375" s="2">
        <v>3374</v>
      </c>
      <c r="B3375" s="2" t="s">
        <v>7960</v>
      </c>
      <c r="C3375" s="2" t="s">
        <v>2813</v>
      </c>
      <c r="D3375" s="2" t="s">
        <v>51</v>
      </c>
      <c r="E3375" s="2" t="s">
        <v>16</v>
      </c>
      <c r="F3375" s="2">
        <v>90</v>
      </c>
      <c r="G3375" s="2" t="s">
        <v>7961</v>
      </c>
      <c r="H3375" s="2" t="s">
        <v>3242</v>
      </c>
      <c r="I3375" s="2" t="s">
        <v>32</v>
      </c>
      <c r="J3375" s="3">
        <v>44892</v>
      </c>
      <c r="K3375" s="2">
        <v>64</v>
      </c>
      <c r="L3375" s="2" t="s">
        <v>80</v>
      </c>
      <c r="M3375" s="3"/>
    </row>
    <row r="3376" spans="1:13" x14ac:dyDescent="0.3">
      <c r="A3376" s="2">
        <v>3375</v>
      </c>
      <c r="B3376" s="2" t="s">
        <v>343</v>
      </c>
      <c r="C3376" s="2" t="s">
        <v>7962</v>
      </c>
      <c r="D3376" s="2" t="s">
        <v>28</v>
      </c>
      <c r="E3376" s="2" t="s">
        <v>29</v>
      </c>
      <c r="F3376" s="2">
        <v>30</v>
      </c>
      <c r="G3376" s="2" t="s">
        <v>7961</v>
      </c>
      <c r="H3376" s="2" t="s">
        <v>3263</v>
      </c>
      <c r="I3376" s="2" t="s">
        <v>32</v>
      </c>
      <c r="J3376" s="3">
        <v>44474</v>
      </c>
      <c r="K3376" s="2">
        <v>78</v>
      </c>
      <c r="L3376" s="2" t="s">
        <v>159</v>
      </c>
      <c r="M3376" s="3"/>
    </row>
    <row r="3377" spans="1:13" x14ac:dyDescent="0.3">
      <c r="A3377" s="2">
        <v>3376</v>
      </c>
      <c r="B3377" s="2" t="s">
        <v>7963</v>
      </c>
      <c r="C3377" s="2" t="s">
        <v>3872</v>
      </c>
      <c r="D3377" s="2" t="s">
        <v>51</v>
      </c>
      <c r="E3377" s="2" t="s">
        <v>16</v>
      </c>
      <c r="F3377" s="2">
        <v>30</v>
      </c>
      <c r="G3377" s="2" t="s">
        <v>7964</v>
      </c>
      <c r="H3377" s="2" t="s">
        <v>7965</v>
      </c>
      <c r="I3377" s="2" t="s">
        <v>38</v>
      </c>
      <c r="J3377" s="3">
        <v>44624</v>
      </c>
      <c r="K3377" s="2">
        <v>68</v>
      </c>
      <c r="L3377" s="2" t="s">
        <v>80</v>
      </c>
      <c r="M3377" s="3"/>
    </row>
    <row r="3378" spans="1:13" x14ac:dyDescent="0.3">
      <c r="A3378" s="2">
        <v>3377</v>
      </c>
      <c r="B3378" s="2" t="s">
        <v>990</v>
      </c>
      <c r="C3378" s="2" t="s">
        <v>1317</v>
      </c>
      <c r="D3378" s="2" t="s">
        <v>28</v>
      </c>
      <c r="E3378" s="2" t="s">
        <v>29</v>
      </c>
      <c r="F3378" s="2">
        <v>30</v>
      </c>
      <c r="G3378" s="2" t="s">
        <v>7966</v>
      </c>
      <c r="H3378" s="2" t="s">
        <v>1819</v>
      </c>
      <c r="I3378" s="2" t="s">
        <v>89</v>
      </c>
      <c r="J3378" s="3">
        <v>44594</v>
      </c>
      <c r="K3378" s="2">
        <v>30</v>
      </c>
      <c r="L3378" s="2" t="s">
        <v>54</v>
      </c>
      <c r="M3378" s="3"/>
    </row>
    <row r="3379" spans="1:13" x14ac:dyDescent="0.3">
      <c r="A3379" s="2">
        <v>3378</v>
      </c>
      <c r="B3379" s="2" t="s">
        <v>7365</v>
      </c>
      <c r="C3379" s="2" t="s">
        <v>3569</v>
      </c>
      <c r="D3379" s="2" t="s">
        <v>51</v>
      </c>
      <c r="E3379" s="2" t="s">
        <v>16</v>
      </c>
      <c r="F3379" s="2">
        <v>90</v>
      </c>
      <c r="G3379" s="2" t="s">
        <v>7967</v>
      </c>
      <c r="H3379" s="2" t="s">
        <v>4361</v>
      </c>
      <c r="I3379" s="2" t="s">
        <v>4362</v>
      </c>
      <c r="J3379" s="3">
        <v>43871</v>
      </c>
      <c r="K3379" s="2">
        <v>43</v>
      </c>
      <c r="L3379" s="2" t="s">
        <v>70</v>
      </c>
      <c r="M3379" s="3"/>
    </row>
    <row r="3380" spans="1:13" x14ac:dyDescent="0.3">
      <c r="A3380" s="2">
        <v>3379</v>
      </c>
      <c r="B3380" s="2" t="s">
        <v>3429</v>
      </c>
      <c r="C3380" s="2" t="s">
        <v>3549</v>
      </c>
      <c r="D3380" s="2" t="s">
        <v>92</v>
      </c>
      <c r="E3380" s="2" t="s">
        <v>29</v>
      </c>
      <c r="F3380" s="2">
        <v>30</v>
      </c>
      <c r="G3380" s="2" t="s">
        <v>7968</v>
      </c>
      <c r="H3380" s="2" t="s">
        <v>2866</v>
      </c>
      <c r="I3380" s="2" t="s">
        <v>32</v>
      </c>
      <c r="J3380" s="3">
        <v>43958</v>
      </c>
      <c r="K3380" s="2">
        <v>76</v>
      </c>
      <c r="L3380" s="2" t="s">
        <v>80</v>
      </c>
      <c r="M3380" s="3"/>
    </row>
    <row r="3381" spans="1:13" x14ac:dyDescent="0.3">
      <c r="A3381" s="2">
        <v>3380</v>
      </c>
      <c r="B3381" s="2" t="s">
        <v>2823</v>
      </c>
      <c r="C3381" s="2" t="s">
        <v>7622</v>
      </c>
      <c r="D3381" s="2" t="s">
        <v>51</v>
      </c>
      <c r="E3381" s="2" t="s">
        <v>16</v>
      </c>
      <c r="F3381" s="2">
        <v>90</v>
      </c>
      <c r="G3381" s="2" t="s">
        <v>7969</v>
      </c>
      <c r="H3381" s="2" t="s">
        <v>2678</v>
      </c>
      <c r="I3381" s="2" t="s">
        <v>32</v>
      </c>
      <c r="J3381" s="3">
        <v>44689</v>
      </c>
      <c r="K3381" s="2">
        <v>36</v>
      </c>
      <c r="L3381" s="2" t="s">
        <v>54</v>
      </c>
      <c r="M3381" s="3"/>
    </row>
    <row r="3382" spans="1:13" x14ac:dyDescent="0.3">
      <c r="A3382" s="2">
        <v>3381</v>
      </c>
      <c r="B3382" s="2" t="s">
        <v>7970</v>
      </c>
      <c r="C3382" s="2" t="s">
        <v>4131</v>
      </c>
      <c r="D3382" s="2" t="s">
        <v>51</v>
      </c>
      <c r="E3382" s="2" t="s">
        <v>16</v>
      </c>
      <c r="F3382" s="2">
        <v>60</v>
      </c>
      <c r="G3382" s="2" t="s">
        <v>7971</v>
      </c>
      <c r="H3382" s="2" t="s">
        <v>641</v>
      </c>
      <c r="I3382" s="2" t="s">
        <v>294</v>
      </c>
      <c r="J3382" s="3">
        <v>43863</v>
      </c>
      <c r="K3382" s="2">
        <v>31</v>
      </c>
      <c r="L3382" s="2" t="s">
        <v>39</v>
      </c>
      <c r="M3382" s="3"/>
    </row>
    <row r="3383" spans="1:13" x14ac:dyDescent="0.3">
      <c r="A3383" s="2">
        <v>3382</v>
      </c>
      <c r="B3383" s="2" t="s">
        <v>7972</v>
      </c>
      <c r="C3383" s="2" t="s">
        <v>7973</v>
      </c>
      <c r="D3383" s="2" t="s">
        <v>15</v>
      </c>
      <c r="E3383" s="2" t="s">
        <v>16</v>
      </c>
      <c r="F3383" s="2">
        <v>60</v>
      </c>
      <c r="G3383" s="2" t="s">
        <v>7974</v>
      </c>
      <c r="H3383" s="2" t="s">
        <v>163</v>
      </c>
      <c r="I3383" s="2" t="s">
        <v>164</v>
      </c>
      <c r="J3383" s="3">
        <v>44485</v>
      </c>
      <c r="K3383" s="2">
        <v>94</v>
      </c>
      <c r="L3383" s="2" t="s">
        <v>70</v>
      </c>
      <c r="M3383" s="3"/>
    </row>
    <row r="3384" spans="1:13" x14ac:dyDescent="0.3">
      <c r="A3384" s="2">
        <v>3383</v>
      </c>
      <c r="B3384" s="2" t="s">
        <v>375</v>
      </c>
      <c r="C3384" s="2" t="s">
        <v>2276</v>
      </c>
      <c r="D3384" s="2" t="s">
        <v>28</v>
      </c>
      <c r="E3384" s="2" t="s">
        <v>29</v>
      </c>
      <c r="F3384" s="2">
        <v>30</v>
      </c>
      <c r="G3384" s="2" t="s">
        <v>7975</v>
      </c>
      <c r="H3384" s="2" t="s">
        <v>1477</v>
      </c>
      <c r="I3384" s="2" t="s">
        <v>1478</v>
      </c>
      <c r="J3384" s="3">
        <v>44593</v>
      </c>
      <c r="K3384" s="2">
        <v>97</v>
      </c>
      <c r="L3384" s="2" t="s">
        <v>101</v>
      </c>
      <c r="M3384" s="3"/>
    </row>
    <row r="3385" spans="1:13" x14ac:dyDescent="0.3">
      <c r="A3385" s="2">
        <v>3384</v>
      </c>
      <c r="B3385" s="2" t="s">
        <v>7976</v>
      </c>
      <c r="C3385" s="2" t="s">
        <v>708</v>
      </c>
      <c r="D3385" s="2" t="s">
        <v>28</v>
      </c>
      <c r="E3385" s="2" t="s">
        <v>29</v>
      </c>
      <c r="F3385" s="2">
        <v>90</v>
      </c>
      <c r="G3385" s="2" t="s">
        <v>7977</v>
      </c>
      <c r="H3385" s="2" t="s">
        <v>2479</v>
      </c>
      <c r="I3385" s="2" t="s">
        <v>1233</v>
      </c>
      <c r="J3385" s="3">
        <v>44386</v>
      </c>
      <c r="K3385" s="2">
        <v>33</v>
      </c>
      <c r="L3385" s="2" t="s">
        <v>101</v>
      </c>
      <c r="M3385" s="3"/>
    </row>
    <row r="3386" spans="1:13" x14ac:dyDescent="0.3">
      <c r="A3386" s="2">
        <v>3385</v>
      </c>
      <c r="B3386" s="2" t="s">
        <v>7356</v>
      </c>
      <c r="C3386" s="2" t="s">
        <v>5659</v>
      </c>
      <c r="D3386" s="2" t="s">
        <v>51</v>
      </c>
      <c r="E3386" s="2" t="s">
        <v>16</v>
      </c>
      <c r="F3386" s="2">
        <v>60</v>
      </c>
      <c r="G3386" s="2" t="s">
        <v>7978</v>
      </c>
      <c r="H3386" s="2" t="s">
        <v>1956</v>
      </c>
      <c r="I3386" s="2" t="s">
        <v>32</v>
      </c>
      <c r="J3386" s="3">
        <v>44650</v>
      </c>
      <c r="K3386" s="2">
        <v>16</v>
      </c>
      <c r="L3386" s="2" t="s">
        <v>33</v>
      </c>
      <c r="M3386" s="3"/>
    </row>
    <row r="3387" spans="1:13" x14ac:dyDescent="0.3">
      <c r="A3387" s="2">
        <v>3386</v>
      </c>
      <c r="B3387" s="2" t="s">
        <v>6144</v>
      </c>
      <c r="C3387" s="2" t="s">
        <v>2970</v>
      </c>
      <c r="D3387" s="2" t="s">
        <v>28</v>
      </c>
      <c r="E3387" s="2" t="s">
        <v>29</v>
      </c>
      <c r="F3387" s="2">
        <v>90</v>
      </c>
      <c r="G3387" s="2" t="s">
        <v>7979</v>
      </c>
      <c r="H3387" s="2" t="s">
        <v>5819</v>
      </c>
      <c r="I3387" s="2" t="s">
        <v>5820</v>
      </c>
      <c r="J3387" s="3">
        <v>44536</v>
      </c>
      <c r="K3387" s="2">
        <v>64</v>
      </c>
      <c r="L3387" s="2" t="s">
        <v>101</v>
      </c>
      <c r="M3387" s="3"/>
    </row>
    <row r="3388" spans="1:13" x14ac:dyDescent="0.3">
      <c r="A3388" s="2">
        <v>3387</v>
      </c>
      <c r="B3388" s="2" t="s">
        <v>5920</v>
      </c>
      <c r="C3388" s="2" t="s">
        <v>7980</v>
      </c>
      <c r="D3388" s="2" t="s">
        <v>28</v>
      </c>
      <c r="E3388" s="2" t="s">
        <v>29</v>
      </c>
      <c r="F3388" s="2">
        <v>90</v>
      </c>
      <c r="G3388" s="2" t="s">
        <v>7981</v>
      </c>
      <c r="H3388" s="2" t="s">
        <v>881</v>
      </c>
      <c r="I3388" s="2" t="s">
        <v>178</v>
      </c>
      <c r="J3388" s="3">
        <v>44387</v>
      </c>
      <c r="K3388" s="2">
        <v>51</v>
      </c>
      <c r="L3388" s="2" t="s">
        <v>39</v>
      </c>
      <c r="M3388" s="3"/>
    </row>
    <row r="3389" spans="1:13" x14ac:dyDescent="0.3">
      <c r="A3389" s="2">
        <v>3388</v>
      </c>
      <c r="B3389" s="2" t="s">
        <v>7982</v>
      </c>
      <c r="C3389" s="2" t="s">
        <v>3089</v>
      </c>
      <c r="D3389" s="2" t="s">
        <v>15</v>
      </c>
      <c r="E3389" s="2" t="s">
        <v>16</v>
      </c>
      <c r="F3389" s="2">
        <v>90</v>
      </c>
      <c r="G3389" s="2" t="s">
        <v>7983</v>
      </c>
      <c r="H3389" s="2" t="s">
        <v>917</v>
      </c>
      <c r="I3389" s="2" t="s">
        <v>32</v>
      </c>
      <c r="J3389" s="3">
        <v>44569</v>
      </c>
      <c r="K3389" s="2">
        <v>32</v>
      </c>
      <c r="L3389" s="2" t="s">
        <v>20</v>
      </c>
      <c r="M3389" s="3"/>
    </row>
    <row r="3390" spans="1:13" x14ac:dyDescent="0.3">
      <c r="A3390" s="2">
        <v>3389</v>
      </c>
      <c r="B3390" s="2" t="s">
        <v>4318</v>
      </c>
      <c r="C3390" s="2" t="s">
        <v>1216</v>
      </c>
      <c r="D3390" s="2" t="s">
        <v>28</v>
      </c>
      <c r="E3390" s="2" t="s">
        <v>29</v>
      </c>
      <c r="F3390" s="2">
        <v>30</v>
      </c>
      <c r="G3390" s="2" t="s">
        <v>7984</v>
      </c>
      <c r="H3390" s="2" t="s">
        <v>1940</v>
      </c>
      <c r="I3390" s="2" t="s">
        <v>294</v>
      </c>
      <c r="J3390" s="3">
        <v>44414</v>
      </c>
      <c r="K3390" s="2">
        <v>24</v>
      </c>
      <c r="L3390" s="2" t="s">
        <v>20</v>
      </c>
      <c r="M3390" s="3"/>
    </row>
    <row r="3391" spans="1:13" x14ac:dyDescent="0.3">
      <c r="A3391" s="2">
        <v>3390</v>
      </c>
      <c r="B3391" s="2" t="s">
        <v>7239</v>
      </c>
      <c r="C3391" s="2" t="s">
        <v>6465</v>
      </c>
      <c r="D3391" s="2" t="s">
        <v>28</v>
      </c>
      <c r="E3391" s="2" t="s">
        <v>29</v>
      </c>
      <c r="F3391" s="2">
        <v>90</v>
      </c>
      <c r="G3391" s="2" t="s">
        <v>7985</v>
      </c>
      <c r="H3391" s="2" t="s">
        <v>1366</v>
      </c>
      <c r="I3391" s="2" t="s">
        <v>1367</v>
      </c>
      <c r="J3391" s="3">
        <v>44794</v>
      </c>
      <c r="K3391" s="2">
        <v>21</v>
      </c>
      <c r="L3391" s="2" t="s">
        <v>80</v>
      </c>
      <c r="M3391" s="3"/>
    </row>
    <row r="3392" spans="1:13" x14ac:dyDescent="0.3">
      <c r="A3392" s="2">
        <v>3391</v>
      </c>
      <c r="B3392" s="2" t="s">
        <v>7986</v>
      </c>
      <c r="C3392" s="2" t="s">
        <v>4971</v>
      </c>
      <c r="D3392" s="2" t="s">
        <v>51</v>
      </c>
      <c r="E3392" s="2" t="s">
        <v>16</v>
      </c>
      <c r="F3392" s="2">
        <v>30</v>
      </c>
      <c r="G3392" s="2" t="s">
        <v>7987</v>
      </c>
      <c r="H3392" s="2" t="s">
        <v>4326</v>
      </c>
      <c r="I3392" s="2" t="s">
        <v>1078</v>
      </c>
      <c r="J3392" s="3">
        <v>44039</v>
      </c>
      <c r="K3392" s="2">
        <v>21</v>
      </c>
      <c r="L3392" s="2" t="s">
        <v>159</v>
      </c>
      <c r="M3392" s="3"/>
    </row>
    <row r="3393" spans="1:13" x14ac:dyDescent="0.3">
      <c r="A3393" s="2">
        <v>3392</v>
      </c>
      <c r="B3393" s="2" t="s">
        <v>7988</v>
      </c>
      <c r="C3393" s="2" t="s">
        <v>2905</v>
      </c>
      <c r="D3393" s="2" t="s">
        <v>28</v>
      </c>
      <c r="E3393" s="2" t="s">
        <v>29</v>
      </c>
      <c r="F3393" s="2">
        <v>30</v>
      </c>
      <c r="G3393" s="2" t="s">
        <v>7989</v>
      </c>
      <c r="H3393" s="2" t="s">
        <v>3228</v>
      </c>
      <c r="I3393" s="2" t="s">
        <v>294</v>
      </c>
      <c r="J3393" s="3">
        <v>44319</v>
      </c>
      <c r="K3393" s="2">
        <v>38</v>
      </c>
      <c r="L3393" s="2" t="s">
        <v>64</v>
      </c>
      <c r="M3393" s="3"/>
    </row>
    <row r="3394" spans="1:13" x14ac:dyDescent="0.3">
      <c r="A3394" s="2">
        <v>3393</v>
      </c>
      <c r="B3394" s="2" t="s">
        <v>7990</v>
      </c>
      <c r="C3394" s="2" t="s">
        <v>1765</v>
      </c>
      <c r="D3394" s="2" t="s">
        <v>15</v>
      </c>
      <c r="E3394" s="2" t="s">
        <v>16</v>
      </c>
      <c r="F3394" s="2">
        <v>60</v>
      </c>
      <c r="G3394" s="2" t="s">
        <v>7991</v>
      </c>
      <c r="H3394" s="2" t="s">
        <v>2759</v>
      </c>
      <c r="I3394" s="2" t="s">
        <v>32</v>
      </c>
      <c r="J3394" s="3">
        <v>44355</v>
      </c>
      <c r="K3394" s="2">
        <v>36</v>
      </c>
      <c r="L3394" s="2" t="s">
        <v>33</v>
      </c>
      <c r="M3394" s="3"/>
    </row>
    <row r="3395" spans="1:13" x14ac:dyDescent="0.3">
      <c r="A3395" s="2">
        <v>3394</v>
      </c>
      <c r="B3395" s="2" t="s">
        <v>7992</v>
      </c>
      <c r="C3395" s="2" t="s">
        <v>2677</v>
      </c>
      <c r="D3395" s="2" t="s">
        <v>28</v>
      </c>
      <c r="E3395" s="2" t="s">
        <v>29</v>
      </c>
      <c r="F3395" s="2">
        <v>30</v>
      </c>
      <c r="G3395" s="2" t="s">
        <v>7993</v>
      </c>
      <c r="H3395" s="2" t="s">
        <v>7233</v>
      </c>
      <c r="I3395" s="2" t="s">
        <v>32</v>
      </c>
      <c r="J3395" s="3">
        <v>44389</v>
      </c>
      <c r="K3395" s="2">
        <v>12</v>
      </c>
      <c r="L3395" s="2" t="s">
        <v>45</v>
      </c>
      <c r="M3395" s="3"/>
    </row>
    <row r="3396" spans="1:13" x14ac:dyDescent="0.3">
      <c r="A3396" s="2">
        <v>3395</v>
      </c>
      <c r="B3396" s="2" t="s">
        <v>909</v>
      </c>
      <c r="C3396" s="2" t="s">
        <v>3079</v>
      </c>
      <c r="D3396" s="2" t="s">
        <v>51</v>
      </c>
      <c r="E3396" s="2" t="s">
        <v>16</v>
      </c>
      <c r="F3396" s="2">
        <v>60</v>
      </c>
      <c r="G3396" s="2" t="s">
        <v>7994</v>
      </c>
      <c r="H3396" s="2" t="s">
        <v>3215</v>
      </c>
      <c r="I3396" s="2" t="s">
        <v>32</v>
      </c>
      <c r="J3396" s="3">
        <v>44479</v>
      </c>
      <c r="K3396" s="2">
        <v>83</v>
      </c>
      <c r="L3396" s="2" t="s">
        <v>33</v>
      </c>
      <c r="M3396" s="3"/>
    </row>
    <row r="3397" spans="1:13" x14ac:dyDescent="0.3">
      <c r="A3397" s="2">
        <v>3396</v>
      </c>
      <c r="B3397" s="2" t="s">
        <v>7995</v>
      </c>
      <c r="C3397" s="2" t="s">
        <v>5907</v>
      </c>
      <c r="D3397" s="2" t="s">
        <v>51</v>
      </c>
      <c r="E3397" s="2" t="s">
        <v>16</v>
      </c>
      <c r="F3397" s="2">
        <v>90</v>
      </c>
      <c r="G3397" s="2" t="s">
        <v>7996</v>
      </c>
      <c r="H3397" s="2" t="s">
        <v>7997</v>
      </c>
      <c r="I3397" s="2" t="s">
        <v>645</v>
      </c>
      <c r="J3397" s="3">
        <v>44441</v>
      </c>
      <c r="K3397" s="2">
        <v>10</v>
      </c>
      <c r="L3397" s="2" t="s">
        <v>70</v>
      </c>
      <c r="M3397" s="3"/>
    </row>
    <row r="3398" spans="1:13" x14ac:dyDescent="0.3">
      <c r="A3398" s="2">
        <v>3397</v>
      </c>
      <c r="B3398" s="2" t="s">
        <v>6889</v>
      </c>
      <c r="C3398" s="2" t="s">
        <v>1085</v>
      </c>
      <c r="D3398" s="2" t="s">
        <v>15</v>
      </c>
      <c r="E3398" s="2" t="s">
        <v>16</v>
      </c>
      <c r="F3398" s="2">
        <v>60</v>
      </c>
      <c r="G3398" s="2" t="s">
        <v>7998</v>
      </c>
      <c r="H3398" s="2" t="s">
        <v>7281</v>
      </c>
      <c r="I3398" s="2" t="s">
        <v>25</v>
      </c>
      <c r="J3398" s="3">
        <v>44097</v>
      </c>
      <c r="K3398" s="2">
        <v>43</v>
      </c>
      <c r="L3398" s="2" t="s">
        <v>80</v>
      </c>
      <c r="M3398" s="3"/>
    </row>
    <row r="3399" spans="1:13" x14ac:dyDescent="0.3">
      <c r="A3399" s="2">
        <v>3398</v>
      </c>
      <c r="B3399" s="2" t="s">
        <v>3158</v>
      </c>
      <c r="C3399" s="2" t="s">
        <v>7423</v>
      </c>
      <c r="D3399" s="2" t="s">
        <v>28</v>
      </c>
      <c r="E3399" s="2" t="s">
        <v>29</v>
      </c>
      <c r="F3399" s="2">
        <v>60</v>
      </c>
      <c r="G3399" s="2" t="s">
        <v>7999</v>
      </c>
      <c r="H3399" s="2" t="s">
        <v>8000</v>
      </c>
      <c r="I3399" s="2" t="s">
        <v>32</v>
      </c>
      <c r="J3399" s="3">
        <v>43856</v>
      </c>
      <c r="K3399" s="2">
        <v>16</v>
      </c>
      <c r="L3399" s="2" t="s">
        <v>54</v>
      </c>
      <c r="M3399" s="3"/>
    </row>
    <row r="3400" spans="1:13" x14ac:dyDescent="0.3">
      <c r="A3400" s="2">
        <v>3399</v>
      </c>
      <c r="B3400" s="2" t="s">
        <v>2110</v>
      </c>
      <c r="C3400" s="2" t="s">
        <v>6661</v>
      </c>
      <c r="D3400" s="2" t="s">
        <v>28</v>
      </c>
      <c r="E3400" s="2" t="s">
        <v>29</v>
      </c>
      <c r="F3400" s="2">
        <v>30</v>
      </c>
      <c r="G3400" s="2" t="s">
        <v>8001</v>
      </c>
      <c r="H3400" s="2" t="s">
        <v>742</v>
      </c>
      <c r="I3400" s="2" t="s">
        <v>124</v>
      </c>
      <c r="J3400" s="3">
        <v>44501</v>
      </c>
      <c r="K3400" s="2">
        <v>81</v>
      </c>
      <c r="L3400" s="2" t="s">
        <v>70</v>
      </c>
      <c r="M3400" s="3"/>
    </row>
    <row r="3401" spans="1:13" x14ac:dyDescent="0.3">
      <c r="A3401" s="2">
        <v>3400</v>
      </c>
      <c r="B3401" s="2" t="s">
        <v>3318</v>
      </c>
      <c r="C3401" s="2" t="s">
        <v>5306</v>
      </c>
      <c r="D3401" s="2" t="s">
        <v>92</v>
      </c>
      <c r="E3401" s="2" t="s">
        <v>16</v>
      </c>
      <c r="F3401" s="2">
        <v>60</v>
      </c>
      <c r="G3401" s="2" t="s">
        <v>8002</v>
      </c>
      <c r="H3401" s="2" t="s">
        <v>495</v>
      </c>
      <c r="I3401" s="2" t="s">
        <v>173</v>
      </c>
      <c r="J3401" s="3">
        <v>43944</v>
      </c>
      <c r="K3401" s="2">
        <v>28</v>
      </c>
      <c r="L3401" s="2" t="s">
        <v>39</v>
      </c>
      <c r="M3401" s="3"/>
    </row>
    <row r="3402" spans="1:13" x14ac:dyDescent="0.3">
      <c r="A3402" s="2">
        <v>3401</v>
      </c>
      <c r="B3402" s="2" t="s">
        <v>8003</v>
      </c>
      <c r="C3402" s="2" t="s">
        <v>7032</v>
      </c>
      <c r="D3402" s="2" t="s">
        <v>28</v>
      </c>
      <c r="E3402" s="2" t="s">
        <v>29</v>
      </c>
      <c r="F3402" s="2">
        <v>60</v>
      </c>
      <c r="G3402" s="2" t="s">
        <v>8004</v>
      </c>
      <c r="H3402" s="2" t="s">
        <v>4944</v>
      </c>
      <c r="I3402" s="2" t="s">
        <v>839</v>
      </c>
      <c r="J3402" s="3">
        <v>44601</v>
      </c>
      <c r="K3402" s="2">
        <v>86</v>
      </c>
      <c r="L3402" s="2" t="s">
        <v>64</v>
      </c>
      <c r="M3402" s="3"/>
    </row>
    <row r="3403" spans="1:13" x14ac:dyDescent="0.3">
      <c r="A3403" s="2">
        <v>3402</v>
      </c>
      <c r="B3403" s="2" t="s">
        <v>8005</v>
      </c>
      <c r="C3403" s="2" t="s">
        <v>8006</v>
      </c>
      <c r="D3403" s="2" t="s">
        <v>51</v>
      </c>
      <c r="E3403" s="2" t="s">
        <v>16</v>
      </c>
      <c r="F3403" s="2">
        <v>60</v>
      </c>
      <c r="G3403" s="2" t="s">
        <v>8007</v>
      </c>
      <c r="H3403" s="2" t="s">
        <v>3673</v>
      </c>
      <c r="I3403" s="2" t="s">
        <v>777</v>
      </c>
      <c r="J3403" s="3">
        <v>44541</v>
      </c>
      <c r="K3403" s="2">
        <v>95</v>
      </c>
      <c r="L3403" s="2" t="s">
        <v>33</v>
      </c>
      <c r="M3403" s="3"/>
    </row>
    <row r="3404" spans="1:13" x14ac:dyDescent="0.3">
      <c r="A3404" s="2">
        <v>3403</v>
      </c>
      <c r="B3404" s="2" t="s">
        <v>2267</v>
      </c>
      <c r="C3404" s="2" t="s">
        <v>4695</v>
      </c>
      <c r="D3404" s="2" t="s">
        <v>28</v>
      </c>
      <c r="E3404" s="2" t="s">
        <v>29</v>
      </c>
      <c r="F3404" s="2">
        <v>90</v>
      </c>
      <c r="G3404" s="2" t="s">
        <v>8007</v>
      </c>
      <c r="H3404" s="2" t="s">
        <v>6659</v>
      </c>
      <c r="I3404" s="2" t="s">
        <v>208</v>
      </c>
      <c r="J3404" s="3">
        <v>44194</v>
      </c>
      <c r="K3404" s="2">
        <v>63</v>
      </c>
      <c r="L3404" s="2" t="s">
        <v>54</v>
      </c>
      <c r="M3404" s="3"/>
    </row>
    <row r="3405" spans="1:13" x14ac:dyDescent="0.3">
      <c r="A3405" s="2">
        <v>3404</v>
      </c>
      <c r="B3405" s="2" t="s">
        <v>8008</v>
      </c>
      <c r="C3405" s="2" t="s">
        <v>1793</v>
      </c>
      <c r="D3405" s="2" t="s">
        <v>28</v>
      </c>
      <c r="E3405" s="2" t="s">
        <v>29</v>
      </c>
      <c r="F3405" s="2">
        <v>90</v>
      </c>
      <c r="G3405" s="2" t="s">
        <v>8009</v>
      </c>
      <c r="H3405" s="2" t="s">
        <v>1018</v>
      </c>
      <c r="I3405" s="2" t="s">
        <v>294</v>
      </c>
      <c r="J3405" s="3">
        <v>44841</v>
      </c>
      <c r="K3405" s="2">
        <v>55</v>
      </c>
      <c r="L3405" s="2" t="s">
        <v>70</v>
      </c>
      <c r="M3405" s="3"/>
    </row>
    <row r="3406" spans="1:13" x14ac:dyDescent="0.3">
      <c r="A3406" s="2">
        <v>3405</v>
      </c>
      <c r="B3406" s="2" t="s">
        <v>1424</v>
      </c>
      <c r="C3406" s="2" t="s">
        <v>6657</v>
      </c>
      <c r="D3406" s="2" t="s">
        <v>28</v>
      </c>
      <c r="E3406" s="2" t="s">
        <v>29</v>
      </c>
      <c r="F3406" s="2">
        <v>90</v>
      </c>
      <c r="G3406" s="2" t="s">
        <v>8010</v>
      </c>
      <c r="H3406" s="2" t="s">
        <v>346</v>
      </c>
      <c r="I3406" s="2" t="s">
        <v>32</v>
      </c>
      <c r="J3406" s="3">
        <v>44009</v>
      </c>
      <c r="K3406" s="2">
        <v>12</v>
      </c>
      <c r="L3406" s="2" t="s">
        <v>101</v>
      </c>
      <c r="M3406" s="3"/>
    </row>
    <row r="3407" spans="1:13" x14ac:dyDescent="0.3">
      <c r="A3407" s="2">
        <v>3406</v>
      </c>
      <c r="B3407" s="2" t="s">
        <v>8011</v>
      </c>
      <c r="C3407" s="2" t="s">
        <v>2509</v>
      </c>
      <c r="D3407" s="2" t="s">
        <v>15</v>
      </c>
      <c r="E3407" s="2" t="s">
        <v>16</v>
      </c>
      <c r="F3407" s="2">
        <v>60</v>
      </c>
      <c r="G3407" s="2" t="s">
        <v>8012</v>
      </c>
      <c r="H3407" s="2" t="s">
        <v>1206</v>
      </c>
      <c r="I3407" s="2" t="s">
        <v>294</v>
      </c>
      <c r="J3407" s="3">
        <v>44289</v>
      </c>
      <c r="K3407" s="2">
        <v>29</v>
      </c>
      <c r="L3407" s="2" t="s">
        <v>54</v>
      </c>
      <c r="M3407" s="3"/>
    </row>
    <row r="3408" spans="1:13" x14ac:dyDescent="0.3">
      <c r="A3408" s="2">
        <v>3407</v>
      </c>
      <c r="B3408" s="2" t="s">
        <v>8013</v>
      </c>
      <c r="C3408" s="2" t="s">
        <v>556</v>
      </c>
      <c r="D3408" s="2" t="s">
        <v>15</v>
      </c>
      <c r="E3408" s="2" t="s">
        <v>16</v>
      </c>
      <c r="F3408" s="2">
        <v>90</v>
      </c>
      <c r="G3408" s="2" t="s">
        <v>8014</v>
      </c>
      <c r="H3408" s="2" t="s">
        <v>1306</v>
      </c>
      <c r="I3408" s="2" t="s">
        <v>32</v>
      </c>
      <c r="J3408" s="3">
        <v>43831</v>
      </c>
      <c r="K3408" s="2">
        <v>11</v>
      </c>
      <c r="L3408" s="2" t="s">
        <v>101</v>
      </c>
      <c r="M3408" s="3"/>
    </row>
    <row r="3409" spans="1:13" x14ac:dyDescent="0.3">
      <c r="A3409" s="2">
        <v>3408</v>
      </c>
      <c r="B3409" s="2" t="s">
        <v>323</v>
      </c>
      <c r="C3409" s="2" t="s">
        <v>3077</v>
      </c>
      <c r="D3409" s="2" t="s">
        <v>28</v>
      </c>
      <c r="E3409" s="2" t="s">
        <v>29</v>
      </c>
      <c r="F3409" s="2">
        <v>30</v>
      </c>
      <c r="G3409" s="2" t="s">
        <v>8015</v>
      </c>
      <c r="H3409" s="2" t="s">
        <v>7140</v>
      </c>
      <c r="I3409" s="2" t="s">
        <v>294</v>
      </c>
      <c r="J3409" s="3">
        <v>44619</v>
      </c>
      <c r="K3409" s="2">
        <v>48</v>
      </c>
      <c r="L3409" s="2" t="s">
        <v>20</v>
      </c>
      <c r="M3409" s="3"/>
    </row>
    <row r="3410" spans="1:13" x14ac:dyDescent="0.3">
      <c r="A3410" s="2">
        <v>3409</v>
      </c>
      <c r="B3410" s="2" t="s">
        <v>5266</v>
      </c>
      <c r="C3410" s="2" t="s">
        <v>5772</v>
      </c>
      <c r="D3410" s="2" t="s">
        <v>51</v>
      </c>
      <c r="E3410" s="2" t="s">
        <v>16</v>
      </c>
      <c r="F3410" s="2">
        <v>30</v>
      </c>
      <c r="G3410" s="2" t="s">
        <v>8016</v>
      </c>
      <c r="H3410" s="2" t="s">
        <v>1099</v>
      </c>
      <c r="I3410" s="2" t="s">
        <v>25</v>
      </c>
      <c r="J3410" s="3">
        <v>44360</v>
      </c>
      <c r="K3410" s="2">
        <v>85</v>
      </c>
      <c r="L3410" s="2" t="s">
        <v>70</v>
      </c>
      <c r="M3410" s="3"/>
    </row>
    <row r="3411" spans="1:13" x14ac:dyDescent="0.3">
      <c r="A3411" s="2">
        <v>3410</v>
      </c>
      <c r="B3411" s="2" t="s">
        <v>7037</v>
      </c>
      <c r="C3411" s="2" t="s">
        <v>4416</v>
      </c>
      <c r="D3411" s="2" t="s">
        <v>28</v>
      </c>
      <c r="E3411" s="2" t="s">
        <v>29</v>
      </c>
      <c r="F3411" s="2">
        <v>30</v>
      </c>
      <c r="G3411" s="2" t="s">
        <v>8017</v>
      </c>
      <c r="H3411" s="2" t="s">
        <v>793</v>
      </c>
      <c r="I3411" s="2" t="s">
        <v>178</v>
      </c>
      <c r="J3411" s="3">
        <v>43990</v>
      </c>
      <c r="K3411" s="2">
        <v>21</v>
      </c>
      <c r="L3411" s="2" t="s">
        <v>80</v>
      </c>
      <c r="M3411" s="3"/>
    </row>
    <row r="3412" spans="1:13" x14ac:dyDescent="0.3">
      <c r="A3412" s="2">
        <v>3411</v>
      </c>
      <c r="B3412" s="2" t="s">
        <v>3512</v>
      </c>
      <c r="C3412" s="2" t="s">
        <v>7043</v>
      </c>
      <c r="D3412" s="2" t="s">
        <v>51</v>
      </c>
      <c r="E3412" s="2" t="s">
        <v>16</v>
      </c>
      <c r="F3412" s="2">
        <v>30</v>
      </c>
      <c r="G3412" s="2" t="s">
        <v>8018</v>
      </c>
      <c r="H3412" s="2" t="s">
        <v>8019</v>
      </c>
      <c r="I3412" s="2" t="s">
        <v>32</v>
      </c>
      <c r="J3412" s="3">
        <v>44747</v>
      </c>
      <c r="K3412" s="2">
        <v>79</v>
      </c>
      <c r="L3412" s="2" t="s">
        <v>101</v>
      </c>
      <c r="M3412" s="3"/>
    </row>
    <row r="3413" spans="1:13" x14ac:dyDescent="0.3">
      <c r="A3413" s="2">
        <v>3412</v>
      </c>
      <c r="B3413" s="2" t="s">
        <v>8020</v>
      </c>
      <c r="C3413" s="2" t="s">
        <v>5215</v>
      </c>
      <c r="D3413" s="2" t="s">
        <v>15</v>
      </c>
      <c r="E3413" s="2" t="s">
        <v>16</v>
      </c>
      <c r="F3413" s="2">
        <v>90</v>
      </c>
      <c r="G3413" s="2" t="s">
        <v>8021</v>
      </c>
      <c r="H3413" s="2" t="s">
        <v>8022</v>
      </c>
      <c r="I3413" s="2" t="s">
        <v>294</v>
      </c>
      <c r="J3413" s="3">
        <v>44257</v>
      </c>
      <c r="K3413" s="2">
        <v>49</v>
      </c>
      <c r="L3413" s="2" t="s">
        <v>45</v>
      </c>
      <c r="M3413" s="3"/>
    </row>
    <row r="3414" spans="1:13" x14ac:dyDescent="0.3">
      <c r="A3414" s="2">
        <v>3413</v>
      </c>
      <c r="B3414" s="2" t="s">
        <v>8023</v>
      </c>
      <c r="C3414" s="2" t="s">
        <v>5306</v>
      </c>
      <c r="D3414" s="2" t="s">
        <v>15</v>
      </c>
      <c r="E3414" s="2" t="s">
        <v>16</v>
      </c>
      <c r="F3414" s="2">
        <v>90</v>
      </c>
      <c r="G3414" s="2" t="s">
        <v>8024</v>
      </c>
      <c r="H3414" s="2" t="s">
        <v>4046</v>
      </c>
      <c r="I3414" s="2" t="s">
        <v>173</v>
      </c>
      <c r="J3414" s="3">
        <v>43877</v>
      </c>
      <c r="K3414" s="2">
        <v>2</v>
      </c>
      <c r="L3414" s="2" t="s">
        <v>70</v>
      </c>
      <c r="M3414" s="3"/>
    </row>
    <row r="3415" spans="1:13" x14ac:dyDescent="0.3">
      <c r="A3415" s="2">
        <v>3414</v>
      </c>
      <c r="B3415" s="2" t="s">
        <v>2377</v>
      </c>
      <c r="C3415" s="2" t="s">
        <v>3162</v>
      </c>
      <c r="D3415" s="2" t="s">
        <v>117</v>
      </c>
      <c r="E3415" s="2" t="s">
        <v>16</v>
      </c>
      <c r="F3415" s="2">
        <v>90</v>
      </c>
      <c r="G3415" s="2" t="s">
        <v>8025</v>
      </c>
      <c r="H3415" s="2" t="s">
        <v>2890</v>
      </c>
      <c r="I3415" s="2" t="s">
        <v>32</v>
      </c>
      <c r="J3415" s="3">
        <v>44671</v>
      </c>
      <c r="K3415" s="2">
        <v>80</v>
      </c>
      <c r="L3415" s="2" t="s">
        <v>70</v>
      </c>
      <c r="M3415" s="3"/>
    </row>
    <row r="3416" spans="1:13" x14ac:dyDescent="0.3">
      <c r="A3416" s="2">
        <v>3415</v>
      </c>
      <c r="B3416" s="2" t="s">
        <v>4395</v>
      </c>
      <c r="C3416" s="2" t="s">
        <v>8026</v>
      </c>
      <c r="D3416" s="2" t="s">
        <v>28</v>
      </c>
      <c r="E3416" s="2" t="s">
        <v>29</v>
      </c>
      <c r="F3416" s="2">
        <v>30</v>
      </c>
      <c r="G3416" s="2" t="s">
        <v>8027</v>
      </c>
      <c r="H3416" s="2" t="s">
        <v>8028</v>
      </c>
      <c r="I3416" s="2" t="s">
        <v>294</v>
      </c>
      <c r="J3416" s="3">
        <v>43912</v>
      </c>
      <c r="K3416" s="2">
        <v>69</v>
      </c>
      <c r="L3416" s="2" t="s">
        <v>70</v>
      </c>
      <c r="M3416" s="3"/>
    </row>
    <row r="3417" spans="1:13" x14ac:dyDescent="0.3">
      <c r="A3417" s="2">
        <v>3416</v>
      </c>
      <c r="B3417" s="2" t="s">
        <v>430</v>
      </c>
      <c r="C3417" s="2" t="s">
        <v>644</v>
      </c>
      <c r="D3417" s="2" t="s">
        <v>28</v>
      </c>
      <c r="E3417" s="2" t="s">
        <v>29</v>
      </c>
      <c r="F3417" s="2">
        <v>30</v>
      </c>
      <c r="G3417" s="2" t="s">
        <v>8029</v>
      </c>
      <c r="H3417" s="2" t="s">
        <v>8030</v>
      </c>
      <c r="I3417" s="2" t="s">
        <v>32</v>
      </c>
      <c r="J3417" s="3">
        <v>44292</v>
      </c>
      <c r="K3417" s="2">
        <v>78</v>
      </c>
      <c r="L3417" s="2" t="s">
        <v>101</v>
      </c>
      <c r="M3417" s="3"/>
    </row>
    <row r="3418" spans="1:13" x14ac:dyDescent="0.3">
      <c r="A3418" s="2">
        <v>3417</v>
      </c>
      <c r="B3418" s="2" t="s">
        <v>8031</v>
      </c>
      <c r="C3418" s="2" t="s">
        <v>6003</v>
      </c>
      <c r="D3418" s="2" t="s">
        <v>15</v>
      </c>
      <c r="E3418" s="2" t="s">
        <v>16</v>
      </c>
      <c r="F3418" s="2">
        <v>60</v>
      </c>
      <c r="G3418" s="2" t="s">
        <v>8032</v>
      </c>
      <c r="H3418" s="2" t="s">
        <v>8033</v>
      </c>
      <c r="I3418" s="2" t="s">
        <v>32</v>
      </c>
      <c r="J3418" s="3">
        <v>43877</v>
      </c>
      <c r="K3418" s="2">
        <v>76</v>
      </c>
      <c r="L3418" s="2" t="s">
        <v>54</v>
      </c>
      <c r="M3418" s="3"/>
    </row>
    <row r="3419" spans="1:13" x14ac:dyDescent="0.3">
      <c r="A3419" s="2">
        <v>3418</v>
      </c>
      <c r="B3419" s="2" t="s">
        <v>8034</v>
      </c>
      <c r="C3419" s="2" t="s">
        <v>8035</v>
      </c>
      <c r="D3419" s="2" t="s">
        <v>15</v>
      </c>
      <c r="E3419" s="2" t="s">
        <v>16</v>
      </c>
      <c r="F3419" s="2">
        <v>60</v>
      </c>
      <c r="G3419" s="2" t="s">
        <v>8036</v>
      </c>
      <c r="H3419" s="2" t="s">
        <v>2872</v>
      </c>
      <c r="I3419" s="2" t="s">
        <v>294</v>
      </c>
      <c r="J3419" s="3">
        <v>44924</v>
      </c>
      <c r="K3419" s="2">
        <v>103</v>
      </c>
      <c r="L3419" s="2" t="s">
        <v>33</v>
      </c>
      <c r="M3419" s="3"/>
    </row>
    <row r="3420" spans="1:13" x14ac:dyDescent="0.3">
      <c r="A3420" s="2">
        <v>3419</v>
      </c>
      <c r="B3420" s="2" t="s">
        <v>8037</v>
      </c>
      <c r="C3420" s="2" t="s">
        <v>556</v>
      </c>
      <c r="D3420" s="2" t="s">
        <v>15</v>
      </c>
      <c r="E3420" s="2" t="s">
        <v>16</v>
      </c>
      <c r="F3420" s="2">
        <v>60</v>
      </c>
      <c r="G3420" s="2" t="s">
        <v>8038</v>
      </c>
      <c r="H3420" s="2" t="s">
        <v>5631</v>
      </c>
      <c r="I3420" s="2" t="s">
        <v>129</v>
      </c>
      <c r="J3420" s="3">
        <v>44670</v>
      </c>
      <c r="K3420" s="2">
        <v>81</v>
      </c>
      <c r="L3420" s="2" t="s">
        <v>54</v>
      </c>
      <c r="M3420" s="3"/>
    </row>
    <row r="3421" spans="1:13" x14ac:dyDescent="0.3">
      <c r="A3421" s="2">
        <v>3420</v>
      </c>
      <c r="B3421" s="2" t="s">
        <v>4757</v>
      </c>
      <c r="C3421" s="2" t="s">
        <v>5604</v>
      </c>
      <c r="D3421" s="2" t="s">
        <v>28</v>
      </c>
      <c r="E3421" s="2" t="s">
        <v>29</v>
      </c>
      <c r="F3421" s="2">
        <v>90</v>
      </c>
      <c r="G3421" s="2" t="s">
        <v>8039</v>
      </c>
      <c r="H3421" s="2" t="s">
        <v>4675</v>
      </c>
      <c r="I3421" s="2" t="s">
        <v>178</v>
      </c>
      <c r="J3421" s="3">
        <v>44388</v>
      </c>
      <c r="K3421" s="2">
        <v>83</v>
      </c>
      <c r="L3421" s="2" t="s">
        <v>101</v>
      </c>
      <c r="M3421" s="3"/>
    </row>
    <row r="3422" spans="1:13" x14ac:dyDescent="0.3">
      <c r="A3422" s="2">
        <v>3421</v>
      </c>
      <c r="B3422" s="2" t="s">
        <v>1671</v>
      </c>
      <c r="C3422" s="2" t="s">
        <v>7908</v>
      </c>
      <c r="D3422" s="2" t="s">
        <v>28</v>
      </c>
      <c r="E3422" s="2" t="s">
        <v>29</v>
      </c>
      <c r="F3422" s="2">
        <v>30</v>
      </c>
      <c r="G3422" s="2" t="s">
        <v>8040</v>
      </c>
      <c r="H3422" s="2" t="s">
        <v>1026</v>
      </c>
      <c r="I3422" s="2" t="s">
        <v>32</v>
      </c>
      <c r="J3422" s="3">
        <v>44617</v>
      </c>
      <c r="K3422" s="2">
        <v>92</v>
      </c>
      <c r="L3422" s="2" t="s">
        <v>70</v>
      </c>
      <c r="M3422" s="3"/>
    </row>
    <row r="3423" spans="1:13" x14ac:dyDescent="0.3">
      <c r="A3423" s="2">
        <v>3422</v>
      </c>
      <c r="B3423" s="2" t="s">
        <v>4419</v>
      </c>
      <c r="C3423" s="2" t="s">
        <v>7908</v>
      </c>
      <c r="D3423" s="2" t="s">
        <v>51</v>
      </c>
      <c r="E3423" s="2" t="s">
        <v>16</v>
      </c>
      <c r="F3423" s="2">
        <v>90</v>
      </c>
      <c r="G3423" s="2" t="s">
        <v>8041</v>
      </c>
      <c r="H3423" s="2" t="s">
        <v>8042</v>
      </c>
      <c r="I3423" s="2" t="s">
        <v>124</v>
      </c>
      <c r="J3423" s="3">
        <v>44570</v>
      </c>
      <c r="K3423" s="2">
        <v>73</v>
      </c>
      <c r="L3423" s="2" t="s">
        <v>20</v>
      </c>
      <c r="M3423" s="3"/>
    </row>
    <row r="3424" spans="1:13" x14ac:dyDescent="0.3">
      <c r="A3424" s="2">
        <v>3423</v>
      </c>
      <c r="B3424" s="2" t="s">
        <v>2256</v>
      </c>
      <c r="C3424" s="2" t="s">
        <v>232</v>
      </c>
      <c r="D3424" s="2" t="s">
        <v>28</v>
      </c>
      <c r="E3424" s="2" t="s">
        <v>29</v>
      </c>
      <c r="F3424" s="2">
        <v>30</v>
      </c>
      <c r="G3424" s="2" t="s">
        <v>8043</v>
      </c>
      <c r="H3424" s="2" t="s">
        <v>5643</v>
      </c>
      <c r="I3424" s="2" t="s">
        <v>886</v>
      </c>
      <c r="J3424" s="3">
        <v>44796</v>
      </c>
      <c r="K3424" s="2">
        <v>2</v>
      </c>
      <c r="L3424" s="2" t="s">
        <v>70</v>
      </c>
      <c r="M3424" s="3"/>
    </row>
    <row r="3425" spans="1:13" x14ac:dyDescent="0.3">
      <c r="A3425" s="2">
        <v>3424</v>
      </c>
      <c r="B3425" s="2" t="s">
        <v>8044</v>
      </c>
      <c r="C3425" s="2" t="s">
        <v>1062</v>
      </c>
      <c r="D3425" s="2" t="s">
        <v>92</v>
      </c>
      <c r="E3425" s="2" t="s">
        <v>16</v>
      </c>
      <c r="F3425" s="2">
        <v>30</v>
      </c>
      <c r="G3425" s="2" t="s">
        <v>8045</v>
      </c>
      <c r="H3425" s="2" t="s">
        <v>2685</v>
      </c>
      <c r="I3425" s="2" t="s">
        <v>32</v>
      </c>
      <c r="J3425" s="3">
        <v>44186</v>
      </c>
      <c r="K3425" s="2">
        <v>34</v>
      </c>
      <c r="L3425" s="2" t="s">
        <v>54</v>
      </c>
      <c r="M3425" s="3"/>
    </row>
    <row r="3426" spans="1:13" x14ac:dyDescent="0.3">
      <c r="A3426" s="2">
        <v>3425</v>
      </c>
      <c r="B3426" s="2" t="s">
        <v>2919</v>
      </c>
      <c r="C3426" s="2" t="s">
        <v>8046</v>
      </c>
      <c r="D3426" s="2" t="s">
        <v>28</v>
      </c>
      <c r="E3426" s="2" t="s">
        <v>29</v>
      </c>
      <c r="F3426" s="2">
        <v>60</v>
      </c>
      <c r="G3426" s="2" t="s">
        <v>8047</v>
      </c>
      <c r="H3426" s="2" t="s">
        <v>8048</v>
      </c>
      <c r="I3426" s="2" t="s">
        <v>89</v>
      </c>
      <c r="J3426" s="3">
        <v>43903</v>
      </c>
      <c r="K3426" s="2">
        <v>58</v>
      </c>
      <c r="L3426" s="2" t="s">
        <v>39</v>
      </c>
      <c r="M3426" s="3"/>
    </row>
    <row r="3427" spans="1:13" x14ac:dyDescent="0.3">
      <c r="A3427" s="2">
        <v>3426</v>
      </c>
      <c r="B3427" s="2" t="s">
        <v>8049</v>
      </c>
      <c r="C3427" s="2" t="s">
        <v>1044</v>
      </c>
      <c r="D3427" s="2" t="s">
        <v>51</v>
      </c>
      <c r="E3427" s="2" t="s">
        <v>16</v>
      </c>
      <c r="F3427" s="2">
        <v>90</v>
      </c>
      <c r="G3427" s="2" t="s">
        <v>8050</v>
      </c>
      <c r="H3427" s="2" t="s">
        <v>2444</v>
      </c>
      <c r="I3427" s="2" t="s">
        <v>32</v>
      </c>
      <c r="J3427" s="3">
        <v>44296</v>
      </c>
      <c r="K3427" s="2">
        <v>49</v>
      </c>
      <c r="L3427" s="2" t="s">
        <v>20</v>
      </c>
      <c r="M3427" s="3"/>
    </row>
    <row r="3428" spans="1:13" x14ac:dyDescent="0.3">
      <c r="A3428" s="2">
        <v>3427</v>
      </c>
      <c r="B3428" s="2" t="s">
        <v>183</v>
      </c>
      <c r="C3428" s="2" t="s">
        <v>4121</v>
      </c>
      <c r="D3428" s="2" t="s">
        <v>28</v>
      </c>
      <c r="E3428" s="2" t="s">
        <v>29</v>
      </c>
      <c r="F3428" s="2">
        <v>30</v>
      </c>
      <c r="G3428" s="2" t="s">
        <v>8051</v>
      </c>
      <c r="H3428" s="2" t="s">
        <v>8019</v>
      </c>
      <c r="I3428" s="2" t="s">
        <v>32</v>
      </c>
      <c r="J3428" s="3">
        <v>44167</v>
      </c>
      <c r="K3428" s="2">
        <v>37</v>
      </c>
      <c r="L3428" s="2" t="s">
        <v>70</v>
      </c>
      <c r="M3428" s="3"/>
    </row>
    <row r="3429" spans="1:13" x14ac:dyDescent="0.3">
      <c r="A3429" s="2">
        <v>3428</v>
      </c>
      <c r="B3429" s="2" t="s">
        <v>155</v>
      </c>
      <c r="C3429" s="2" t="s">
        <v>4504</v>
      </c>
      <c r="D3429" s="2" t="s">
        <v>28</v>
      </c>
      <c r="E3429" s="2" t="s">
        <v>29</v>
      </c>
      <c r="F3429" s="2">
        <v>60</v>
      </c>
      <c r="G3429" s="2" t="s">
        <v>8052</v>
      </c>
      <c r="H3429" s="2" t="s">
        <v>1221</v>
      </c>
      <c r="I3429" s="2" t="s">
        <v>124</v>
      </c>
      <c r="J3429" s="3">
        <v>44139</v>
      </c>
      <c r="K3429" s="2">
        <v>20</v>
      </c>
      <c r="L3429" s="2" t="s">
        <v>33</v>
      </c>
      <c r="M3429" s="3"/>
    </row>
    <row r="3430" spans="1:13" x14ac:dyDescent="0.3">
      <c r="A3430" s="2">
        <v>3429</v>
      </c>
      <c r="B3430" s="2" t="s">
        <v>8053</v>
      </c>
      <c r="C3430" s="2" t="s">
        <v>4088</v>
      </c>
      <c r="D3430" s="2" t="s">
        <v>51</v>
      </c>
      <c r="E3430" s="2" t="s">
        <v>16</v>
      </c>
      <c r="F3430" s="2">
        <v>30</v>
      </c>
      <c r="G3430" s="2" t="s">
        <v>8054</v>
      </c>
      <c r="H3430" s="2" t="s">
        <v>3365</v>
      </c>
      <c r="I3430" s="2" t="s">
        <v>146</v>
      </c>
      <c r="J3430" s="3">
        <v>44561</v>
      </c>
      <c r="K3430" s="2">
        <v>54</v>
      </c>
      <c r="L3430" s="2" t="s">
        <v>159</v>
      </c>
      <c r="M3430" s="3"/>
    </row>
    <row r="3431" spans="1:13" x14ac:dyDescent="0.3">
      <c r="A3431" s="2">
        <v>3430</v>
      </c>
      <c r="B3431" s="2" t="s">
        <v>8055</v>
      </c>
      <c r="C3431" s="2" t="s">
        <v>8056</v>
      </c>
      <c r="D3431" s="2" t="s">
        <v>28</v>
      </c>
      <c r="E3431" s="2" t="s">
        <v>29</v>
      </c>
      <c r="F3431" s="2">
        <v>30</v>
      </c>
      <c r="G3431" s="2" t="s">
        <v>8057</v>
      </c>
      <c r="H3431" s="2" t="s">
        <v>3206</v>
      </c>
      <c r="I3431" s="2" t="s">
        <v>1199</v>
      </c>
      <c r="J3431" s="3">
        <v>44605</v>
      </c>
      <c r="K3431" s="2">
        <v>27</v>
      </c>
      <c r="L3431" s="2" t="s">
        <v>20</v>
      </c>
      <c r="M3431" s="3"/>
    </row>
    <row r="3432" spans="1:13" x14ac:dyDescent="0.3">
      <c r="A3432" s="2">
        <v>3431</v>
      </c>
      <c r="B3432" s="2" t="s">
        <v>3450</v>
      </c>
      <c r="C3432" s="2" t="s">
        <v>953</v>
      </c>
      <c r="D3432" s="2" t="s">
        <v>51</v>
      </c>
      <c r="E3432" s="2" t="s">
        <v>16</v>
      </c>
      <c r="F3432" s="2">
        <v>30</v>
      </c>
      <c r="G3432" s="2" t="s">
        <v>8058</v>
      </c>
      <c r="H3432" s="2" t="s">
        <v>2261</v>
      </c>
      <c r="I3432" s="2" t="s">
        <v>32</v>
      </c>
      <c r="J3432" s="3">
        <v>44162</v>
      </c>
      <c r="K3432" s="2">
        <v>65</v>
      </c>
      <c r="L3432" s="2" t="s">
        <v>80</v>
      </c>
      <c r="M3432" s="3"/>
    </row>
    <row r="3433" spans="1:13" x14ac:dyDescent="0.3">
      <c r="A3433" s="2">
        <v>3432</v>
      </c>
      <c r="B3433" s="2" t="s">
        <v>785</v>
      </c>
      <c r="C3433" s="2" t="s">
        <v>418</v>
      </c>
      <c r="D3433" s="2" t="s">
        <v>28</v>
      </c>
      <c r="E3433" s="2" t="s">
        <v>29</v>
      </c>
      <c r="F3433" s="2">
        <v>60</v>
      </c>
      <c r="G3433" s="2" t="s">
        <v>8059</v>
      </c>
      <c r="H3433" s="2" t="s">
        <v>8060</v>
      </c>
      <c r="I3433" s="2" t="s">
        <v>32</v>
      </c>
      <c r="J3433" s="3">
        <v>44598</v>
      </c>
      <c r="K3433" s="2">
        <v>56</v>
      </c>
      <c r="L3433" s="2" t="s">
        <v>33</v>
      </c>
      <c r="M3433" s="3"/>
    </row>
    <row r="3434" spans="1:13" x14ac:dyDescent="0.3">
      <c r="A3434" s="2">
        <v>3433</v>
      </c>
      <c r="B3434" s="2" t="s">
        <v>304</v>
      </c>
      <c r="C3434" s="2" t="s">
        <v>6477</v>
      </c>
      <c r="D3434" s="2" t="s">
        <v>51</v>
      </c>
      <c r="E3434" s="2" t="s">
        <v>16</v>
      </c>
      <c r="F3434" s="2">
        <v>90</v>
      </c>
      <c r="G3434" s="2" t="s">
        <v>8061</v>
      </c>
      <c r="H3434" s="2" t="s">
        <v>2305</v>
      </c>
      <c r="I3434" s="2" t="s">
        <v>25</v>
      </c>
      <c r="J3434" s="3">
        <v>44461</v>
      </c>
      <c r="K3434" s="2">
        <v>18</v>
      </c>
      <c r="L3434" s="2" t="s">
        <v>20</v>
      </c>
      <c r="M3434" s="3"/>
    </row>
    <row r="3435" spans="1:13" x14ac:dyDescent="0.3">
      <c r="A3435" s="2">
        <v>3434</v>
      </c>
      <c r="B3435" s="2" t="s">
        <v>8062</v>
      </c>
      <c r="C3435" s="2" t="s">
        <v>2885</v>
      </c>
      <c r="D3435" s="2" t="s">
        <v>51</v>
      </c>
      <c r="E3435" s="2" t="s">
        <v>16</v>
      </c>
      <c r="F3435" s="2">
        <v>90</v>
      </c>
      <c r="G3435" s="2" t="s">
        <v>8063</v>
      </c>
      <c r="H3435" s="2" t="s">
        <v>702</v>
      </c>
      <c r="I3435" s="2" t="s">
        <v>703</v>
      </c>
      <c r="J3435" s="3">
        <v>44021</v>
      </c>
      <c r="K3435" s="2">
        <v>32</v>
      </c>
      <c r="L3435" s="2" t="s">
        <v>70</v>
      </c>
      <c r="M3435" s="3"/>
    </row>
    <row r="3436" spans="1:13" x14ac:dyDescent="0.3">
      <c r="A3436" s="2">
        <v>3435</v>
      </c>
      <c r="B3436" s="2" t="s">
        <v>6984</v>
      </c>
      <c r="C3436" s="2" t="s">
        <v>8064</v>
      </c>
      <c r="D3436" s="2" t="s">
        <v>28</v>
      </c>
      <c r="E3436" s="2" t="s">
        <v>8065</v>
      </c>
      <c r="F3436" s="2">
        <v>30</v>
      </c>
      <c r="G3436" s="2" t="s">
        <v>8066</v>
      </c>
      <c r="H3436" s="2" t="s">
        <v>4272</v>
      </c>
      <c r="I3436" s="2" t="s">
        <v>1652</v>
      </c>
      <c r="J3436" s="3">
        <v>43862</v>
      </c>
      <c r="K3436" s="2">
        <v>8</v>
      </c>
      <c r="L3436" s="2" t="s">
        <v>101</v>
      </c>
      <c r="M3436" s="3"/>
    </row>
    <row r="3437" spans="1:13" x14ac:dyDescent="0.3">
      <c r="A3437" s="2">
        <v>3436</v>
      </c>
      <c r="B3437" s="2" t="s">
        <v>2976</v>
      </c>
      <c r="C3437" s="2" t="s">
        <v>2223</v>
      </c>
      <c r="D3437" s="2" t="s">
        <v>28</v>
      </c>
      <c r="E3437" s="2" t="s">
        <v>29</v>
      </c>
      <c r="F3437" s="2">
        <v>30</v>
      </c>
      <c r="G3437" s="2" t="s">
        <v>8067</v>
      </c>
      <c r="H3437" s="2" t="s">
        <v>3571</v>
      </c>
      <c r="I3437" s="2" t="s">
        <v>32</v>
      </c>
      <c r="J3437" s="3">
        <v>44232</v>
      </c>
      <c r="K3437" s="2">
        <v>54</v>
      </c>
      <c r="L3437" s="2" t="s">
        <v>54</v>
      </c>
      <c r="M3437" s="3"/>
    </row>
    <row r="3438" spans="1:13" x14ac:dyDescent="0.3">
      <c r="A3438" s="2">
        <v>3437</v>
      </c>
      <c r="B3438" s="2" t="s">
        <v>8068</v>
      </c>
      <c r="C3438" s="2" t="s">
        <v>6982</v>
      </c>
      <c r="D3438" s="2" t="s">
        <v>15</v>
      </c>
      <c r="E3438" s="2" t="s">
        <v>16</v>
      </c>
      <c r="F3438" s="2">
        <v>60</v>
      </c>
      <c r="G3438" s="2" t="s">
        <v>8069</v>
      </c>
      <c r="H3438" s="2" t="s">
        <v>4996</v>
      </c>
      <c r="I3438" s="2" t="s">
        <v>32</v>
      </c>
      <c r="J3438" s="3">
        <v>44549</v>
      </c>
      <c r="K3438" s="2">
        <v>50</v>
      </c>
      <c r="L3438" s="2" t="s">
        <v>33</v>
      </c>
      <c r="M3438" s="3"/>
    </row>
    <row r="3439" spans="1:13" x14ac:dyDescent="0.3">
      <c r="A3439" s="2">
        <v>3438</v>
      </c>
      <c r="B3439" s="2" t="s">
        <v>8070</v>
      </c>
      <c r="C3439" s="2" t="s">
        <v>1656</v>
      </c>
      <c r="D3439" s="2" t="s">
        <v>51</v>
      </c>
      <c r="E3439" s="2" t="s">
        <v>16</v>
      </c>
      <c r="F3439" s="2">
        <v>90</v>
      </c>
      <c r="G3439" s="2" t="s">
        <v>8071</v>
      </c>
      <c r="H3439" s="2" t="s">
        <v>518</v>
      </c>
      <c r="I3439" s="2" t="s">
        <v>32</v>
      </c>
      <c r="J3439" s="3">
        <v>44386</v>
      </c>
      <c r="K3439" s="2">
        <v>42</v>
      </c>
      <c r="L3439" s="2" t="s">
        <v>80</v>
      </c>
      <c r="M3439" s="3"/>
    </row>
    <row r="3440" spans="1:13" x14ac:dyDescent="0.3">
      <c r="A3440" s="2">
        <v>3439</v>
      </c>
      <c r="B3440" s="2" t="s">
        <v>902</v>
      </c>
      <c r="C3440" s="2" t="s">
        <v>2813</v>
      </c>
      <c r="D3440" s="2" t="s">
        <v>51</v>
      </c>
      <c r="E3440" s="2" t="s">
        <v>16</v>
      </c>
      <c r="F3440" s="2">
        <v>90</v>
      </c>
      <c r="G3440" s="2" t="s">
        <v>8072</v>
      </c>
      <c r="H3440" s="2" t="s">
        <v>432</v>
      </c>
      <c r="I3440" s="2" t="s">
        <v>32</v>
      </c>
      <c r="J3440" s="3">
        <v>44301</v>
      </c>
      <c r="K3440" s="2">
        <v>64</v>
      </c>
      <c r="L3440" s="2" t="s">
        <v>70</v>
      </c>
      <c r="M3440" s="3"/>
    </row>
    <row r="3441" spans="1:13" x14ac:dyDescent="0.3">
      <c r="A3441" s="2">
        <v>3440</v>
      </c>
      <c r="B3441" s="2" t="s">
        <v>8073</v>
      </c>
      <c r="C3441" s="2" t="s">
        <v>8074</v>
      </c>
      <c r="D3441" s="2" t="s">
        <v>15</v>
      </c>
      <c r="E3441" s="2" t="s">
        <v>16</v>
      </c>
      <c r="F3441" s="2">
        <v>60</v>
      </c>
      <c r="G3441" s="2" t="s">
        <v>8075</v>
      </c>
      <c r="H3441" s="2" t="s">
        <v>8076</v>
      </c>
      <c r="I3441" s="2" t="s">
        <v>178</v>
      </c>
      <c r="J3441" s="3">
        <v>44092</v>
      </c>
      <c r="K3441" s="2">
        <v>77</v>
      </c>
      <c r="L3441" s="2" t="s">
        <v>159</v>
      </c>
      <c r="M3441" s="3"/>
    </row>
    <row r="3442" spans="1:13" x14ac:dyDescent="0.3">
      <c r="A3442" s="2">
        <v>3441</v>
      </c>
      <c r="B3442" s="2" t="s">
        <v>3818</v>
      </c>
      <c r="C3442" s="2" t="s">
        <v>1994</v>
      </c>
      <c r="D3442" s="2" t="s">
        <v>15</v>
      </c>
      <c r="E3442" s="2" t="s">
        <v>16</v>
      </c>
      <c r="F3442" s="2">
        <v>30</v>
      </c>
      <c r="G3442" s="2" t="s">
        <v>8077</v>
      </c>
      <c r="H3442" s="2" t="s">
        <v>5609</v>
      </c>
      <c r="I3442" s="2" t="s">
        <v>19</v>
      </c>
      <c r="J3442" s="3">
        <v>44141</v>
      </c>
      <c r="K3442" s="2">
        <v>60</v>
      </c>
      <c r="L3442" s="2" t="s">
        <v>39</v>
      </c>
      <c r="M3442" s="3"/>
    </row>
    <row r="3443" spans="1:13" x14ac:dyDescent="0.3">
      <c r="A3443" s="2">
        <v>3442</v>
      </c>
      <c r="B3443" s="2" t="s">
        <v>567</v>
      </c>
      <c r="C3443" s="2" t="s">
        <v>3077</v>
      </c>
      <c r="D3443" s="2" t="s">
        <v>15</v>
      </c>
      <c r="E3443" s="2" t="s">
        <v>16</v>
      </c>
      <c r="F3443" s="2">
        <v>90</v>
      </c>
      <c r="G3443" s="2" t="s">
        <v>8078</v>
      </c>
      <c r="H3443" s="2" t="s">
        <v>2875</v>
      </c>
      <c r="I3443" s="2" t="s">
        <v>32</v>
      </c>
      <c r="J3443" s="3">
        <v>44433</v>
      </c>
      <c r="K3443" s="2">
        <v>14</v>
      </c>
      <c r="L3443" s="2" t="s">
        <v>70</v>
      </c>
      <c r="M3443" s="3"/>
    </row>
    <row r="3444" spans="1:13" x14ac:dyDescent="0.3">
      <c r="A3444" s="2">
        <v>3443</v>
      </c>
      <c r="B3444" s="2" t="s">
        <v>3246</v>
      </c>
      <c r="C3444" s="2" t="s">
        <v>7078</v>
      </c>
      <c r="D3444" s="2" t="s">
        <v>28</v>
      </c>
      <c r="E3444" s="2" t="s">
        <v>29</v>
      </c>
      <c r="F3444" s="2">
        <v>90</v>
      </c>
      <c r="G3444" s="2" t="s">
        <v>8079</v>
      </c>
      <c r="H3444" s="2" t="s">
        <v>2100</v>
      </c>
      <c r="I3444" s="2" t="s">
        <v>819</v>
      </c>
      <c r="J3444" s="3">
        <v>44075</v>
      </c>
      <c r="K3444" s="2">
        <v>78</v>
      </c>
      <c r="L3444" s="2" t="s">
        <v>45</v>
      </c>
      <c r="M3444" s="3"/>
    </row>
    <row r="3445" spans="1:13" x14ac:dyDescent="0.3">
      <c r="A3445" s="2">
        <v>3444</v>
      </c>
      <c r="B3445" s="2" t="s">
        <v>1734</v>
      </c>
      <c r="C3445" s="2" t="s">
        <v>1554</v>
      </c>
      <c r="D3445" s="2" t="s">
        <v>28</v>
      </c>
      <c r="E3445" s="2" t="s">
        <v>29</v>
      </c>
      <c r="F3445" s="2">
        <v>90</v>
      </c>
      <c r="G3445" s="2" t="s">
        <v>8080</v>
      </c>
      <c r="H3445" s="2" t="s">
        <v>2008</v>
      </c>
      <c r="I3445" s="2" t="s">
        <v>129</v>
      </c>
      <c r="J3445" s="3">
        <v>44048</v>
      </c>
      <c r="K3445" s="2">
        <v>25</v>
      </c>
      <c r="L3445" s="2" t="s">
        <v>20</v>
      </c>
      <c r="M3445" s="3"/>
    </row>
    <row r="3446" spans="1:13" x14ac:dyDescent="0.3">
      <c r="A3446" s="2">
        <v>3445</v>
      </c>
      <c r="B3446" s="2" t="s">
        <v>8081</v>
      </c>
      <c r="C3446" s="2" t="s">
        <v>4079</v>
      </c>
      <c r="D3446" s="2" t="s">
        <v>51</v>
      </c>
      <c r="E3446" s="2" t="s">
        <v>16</v>
      </c>
      <c r="F3446" s="2">
        <v>60</v>
      </c>
      <c r="G3446" s="2" t="s">
        <v>8082</v>
      </c>
      <c r="H3446" s="2" t="s">
        <v>1206</v>
      </c>
      <c r="I3446" s="2" t="s">
        <v>294</v>
      </c>
      <c r="J3446" s="3">
        <v>44316</v>
      </c>
      <c r="K3446" s="2">
        <v>90</v>
      </c>
      <c r="L3446" s="2" t="s">
        <v>39</v>
      </c>
      <c r="M3446" s="3"/>
    </row>
    <row r="3447" spans="1:13" x14ac:dyDescent="0.3">
      <c r="A3447" s="2">
        <v>3446</v>
      </c>
      <c r="B3447" s="2" t="s">
        <v>6072</v>
      </c>
      <c r="C3447" s="2" t="s">
        <v>97</v>
      </c>
      <c r="D3447" s="2" t="s">
        <v>15</v>
      </c>
      <c r="E3447" s="2" t="s">
        <v>16</v>
      </c>
      <c r="F3447" s="2">
        <v>90</v>
      </c>
      <c r="G3447" s="2" t="s">
        <v>8082</v>
      </c>
      <c r="H3447" s="2" t="s">
        <v>3402</v>
      </c>
      <c r="I3447" s="2" t="s">
        <v>32</v>
      </c>
      <c r="J3447" s="3">
        <v>44607</v>
      </c>
      <c r="K3447" s="2">
        <v>47</v>
      </c>
      <c r="L3447" s="2" t="s">
        <v>64</v>
      </c>
      <c r="M3447" s="3"/>
    </row>
    <row r="3448" spans="1:13" x14ac:dyDescent="0.3">
      <c r="A3448" s="2">
        <v>3447</v>
      </c>
      <c r="B3448" s="2" t="s">
        <v>8083</v>
      </c>
      <c r="C3448" s="2" t="s">
        <v>4264</v>
      </c>
      <c r="D3448" s="2" t="s">
        <v>51</v>
      </c>
      <c r="E3448" s="2" t="s">
        <v>16</v>
      </c>
      <c r="F3448" s="2">
        <v>90</v>
      </c>
      <c r="G3448" s="2" t="s">
        <v>8084</v>
      </c>
      <c r="H3448" s="2" t="s">
        <v>4779</v>
      </c>
      <c r="I3448" s="2" t="s">
        <v>686</v>
      </c>
      <c r="J3448" s="3">
        <v>43841</v>
      </c>
      <c r="K3448" s="2">
        <v>13</v>
      </c>
      <c r="L3448" s="2" t="s">
        <v>101</v>
      </c>
      <c r="M3448" s="3"/>
    </row>
    <row r="3449" spans="1:13" x14ac:dyDescent="0.3">
      <c r="A3449" s="2">
        <v>3448</v>
      </c>
      <c r="B3449" s="2" t="s">
        <v>1211</v>
      </c>
      <c r="C3449" s="2" t="s">
        <v>1853</v>
      </c>
      <c r="D3449" s="2" t="s">
        <v>28</v>
      </c>
      <c r="E3449" s="2" t="s">
        <v>29</v>
      </c>
      <c r="F3449" s="2">
        <v>30</v>
      </c>
      <c r="G3449" s="2" t="s">
        <v>8085</v>
      </c>
      <c r="H3449" s="2" t="s">
        <v>2026</v>
      </c>
      <c r="I3449" s="2" t="s">
        <v>1078</v>
      </c>
      <c r="J3449" s="3">
        <v>43997</v>
      </c>
      <c r="K3449" s="2">
        <v>80</v>
      </c>
      <c r="L3449" s="2" t="s">
        <v>101</v>
      </c>
      <c r="M3449" s="3"/>
    </row>
    <row r="3450" spans="1:13" x14ac:dyDescent="0.3">
      <c r="A3450" s="2">
        <v>3449</v>
      </c>
      <c r="B3450" s="2" t="s">
        <v>8086</v>
      </c>
      <c r="C3450" s="2" t="s">
        <v>4762</v>
      </c>
      <c r="D3450" s="2" t="s">
        <v>51</v>
      </c>
      <c r="E3450" s="2" t="s">
        <v>16</v>
      </c>
      <c r="F3450" s="2">
        <v>60</v>
      </c>
      <c r="G3450" s="2" t="s">
        <v>8087</v>
      </c>
      <c r="H3450" s="2" t="s">
        <v>6105</v>
      </c>
      <c r="I3450" s="2" t="s">
        <v>32</v>
      </c>
      <c r="J3450" s="3">
        <v>44099</v>
      </c>
      <c r="K3450" s="2">
        <v>8</v>
      </c>
      <c r="L3450" s="2" t="s">
        <v>70</v>
      </c>
      <c r="M3450" s="3"/>
    </row>
    <row r="3451" spans="1:13" x14ac:dyDescent="0.3">
      <c r="A3451" s="2">
        <v>3450</v>
      </c>
      <c r="B3451" s="2" t="s">
        <v>4649</v>
      </c>
      <c r="C3451" s="2" t="s">
        <v>3365</v>
      </c>
      <c r="D3451" s="2" t="s">
        <v>28</v>
      </c>
      <c r="E3451" s="2" t="s">
        <v>29</v>
      </c>
      <c r="F3451" s="2">
        <v>30</v>
      </c>
      <c r="G3451" s="2" t="s">
        <v>8088</v>
      </c>
      <c r="H3451" s="2" t="s">
        <v>7572</v>
      </c>
      <c r="I3451" s="2" t="s">
        <v>886</v>
      </c>
      <c r="J3451" s="3">
        <v>44835</v>
      </c>
      <c r="K3451" s="2">
        <v>21</v>
      </c>
      <c r="L3451" s="2" t="s">
        <v>33</v>
      </c>
      <c r="M3451" s="3"/>
    </row>
    <row r="3452" spans="1:13" x14ac:dyDescent="0.3">
      <c r="A3452" s="2">
        <v>3451</v>
      </c>
      <c r="B3452" s="2" t="s">
        <v>8089</v>
      </c>
      <c r="C3452" s="2" t="s">
        <v>3744</v>
      </c>
      <c r="D3452" s="2" t="s">
        <v>15</v>
      </c>
      <c r="E3452" s="2" t="s">
        <v>16</v>
      </c>
      <c r="F3452" s="2">
        <v>60</v>
      </c>
      <c r="G3452" s="2" t="s">
        <v>8090</v>
      </c>
      <c r="H3452" s="2" t="s">
        <v>1448</v>
      </c>
      <c r="I3452" s="2" t="s">
        <v>1449</v>
      </c>
      <c r="J3452" s="3">
        <v>44547</v>
      </c>
      <c r="K3452" s="2">
        <v>89</v>
      </c>
      <c r="L3452" s="2" t="s">
        <v>101</v>
      </c>
      <c r="M3452" s="3"/>
    </row>
    <row r="3453" spans="1:13" x14ac:dyDescent="0.3">
      <c r="A3453" s="2">
        <v>3452</v>
      </c>
      <c r="B3453" s="2" t="s">
        <v>8091</v>
      </c>
      <c r="C3453" s="2" t="s">
        <v>4387</v>
      </c>
      <c r="D3453" s="2" t="s">
        <v>15</v>
      </c>
      <c r="E3453" s="2" t="s">
        <v>16</v>
      </c>
      <c r="F3453" s="2">
        <v>90</v>
      </c>
      <c r="G3453" s="2" t="s">
        <v>8090</v>
      </c>
      <c r="H3453" s="2" t="s">
        <v>5748</v>
      </c>
      <c r="I3453" s="2" t="s">
        <v>124</v>
      </c>
      <c r="J3453" s="3">
        <v>44922</v>
      </c>
      <c r="K3453" s="2">
        <v>61</v>
      </c>
      <c r="L3453" s="2" t="s">
        <v>159</v>
      </c>
      <c r="M3453" s="3"/>
    </row>
    <row r="3454" spans="1:13" x14ac:dyDescent="0.3">
      <c r="A3454" s="2">
        <v>3453</v>
      </c>
      <c r="B3454" s="2" t="s">
        <v>8092</v>
      </c>
      <c r="C3454" s="2" t="s">
        <v>8093</v>
      </c>
      <c r="D3454" s="2" t="s">
        <v>51</v>
      </c>
      <c r="E3454" s="2" t="s">
        <v>16</v>
      </c>
      <c r="F3454" s="2">
        <v>30</v>
      </c>
      <c r="G3454" s="2" t="s">
        <v>8094</v>
      </c>
      <c r="H3454" s="2" t="s">
        <v>8095</v>
      </c>
      <c r="I3454" s="2" t="s">
        <v>38</v>
      </c>
      <c r="J3454" s="3">
        <v>44920</v>
      </c>
      <c r="K3454" s="2">
        <v>69</v>
      </c>
      <c r="L3454" s="2" t="s">
        <v>54</v>
      </c>
      <c r="M3454" s="3"/>
    </row>
    <row r="3455" spans="1:13" x14ac:dyDescent="0.3">
      <c r="A3455" s="2">
        <v>3454</v>
      </c>
      <c r="B3455" s="2" t="s">
        <v>8096</v>
      </c>
      <c r="C3455" s="2" t="s">
        <v>791</v>
      </c>
      <c r="D3455" s="2" t="s">
        <v>51</v>
      </c>
      <c r="E3455" s="2" t="s">
        <v>16</v>
      </c>
      <c r="F3455" s="2">
        <v>30</v>
      </c>
      <c r="G3455" s="2" t="s">
        <v>8097</v>
      </c>
      <c r="H3455" s="2" t="s">
        <v>2608</v>
      </c>
      <c r="I3455" s="2" t="s">
        <v>38</v>
      </c>
      <c r="J3455" s="3">
        <v>44723</v>
      </c>
      <c r="K3455" s="2">
        <v>62</v>
      </c>
      <c r="L3455" s="2" t="s">
        <v>45</v>
      </c>
      <c r="M3455" s="3"/>
    </row>
    <row r="3456" spans="1:13" x14ac:dyDescent="0.3">
      <c r="A3456" s="2">
        <v>3455</v>
      </c>
      <c r="B3456" s="2" t="s">
        <v>2346</v>
      </c>
      <c r="C3456" s="2" t="s">
        <v>1364</v>
      </c>
      <c r="D3456" s="2" t="s">
        <v>28</v>
      </c>
      <c r="E3456" s="2" t="s">
        <v>29</v>
      </c>
      <c r="F3456" s="2">
        <v>30</v>
      </c>
      <c r="G3456" s="2" t="s">
        <v>8098</v>
      </c>
      <c r="H3456" s="2" t="s">
        <v>2645</v>
      </c>
      <c r="I3456" s="2" t="s">
        <v>32</v>
      </c>
      <c r="J3456" s="3">
        <v>44764</v>
      </c>
      <c r="K3456" s="2">
        <v>84</v>
      </c>
      <c r="L3456" s="2" t="s">
        <v>80</v>
      </c>
      <c r="M3456" s="3"/>
    </row>
    <row r="3457" spans="1:13" x14ac:dyDescent="0.3">
      <c r="A3457" s="2">
        <v>3456</v>
      </c>
      <c r="B3457" s="2" t="s">
        <v>160</v>
      </c>
      <c r="C3457" s="2" t="s">
        <v>6169</v>
      </c>
      <c r="D3457" s="2" t="s">
        <v>28</v>
      </c>
      <c r="E3457" s="2" t="s">
        <v>29</v>
      </c>
      <c r="F3457" s="2">
        <v>90</v>
      </c>
      <c r="G3457" s="2" t="s">
        <v>8099</v>
      </c>
      <c r="H3457" s="2" t="s">
        <v>7008</v>
      </c>
      <c r="I3457" s="2" t="s">
        <v>25</v>
      </c>
      <c r="J3457" s="3">
        <v>44097</v>
      </c>
      <c r="K3457" s="2">
        <v>73</v>
      </c>
      <c r="L3457" s="2" t="s">
        <v>54</v>
      </c>
      <c r="M3457" s="3"/>
    </row>
    <row r="3458" spans="1:13" x14ac:dyDescent="0.3">
      <c r="A3458" s="2">
        <v>3457</v>
      </c>
      <c r="B3458" s="2" t="s">
        <v>8100</v>
      </c>
      <c r="C3458" s="2" t="s">
        <v>3444</v>
      </c>
      <c r="D3458" s="2" t="s">
        <v>15</v>
      </c>
      <c r="E3458" s="2" t="s">
        <v>16</v>
      </c>
      <c r="F3458" s="2">
        <v>30</v>
      </c>
      <c r="G3458" s="2" t="s">
        <v>8101</v>
      </c>
      <c r="H3458" s="2" t="s">
        <v>682</v>
      </c>
      <c r="I3458" s="2" t="s">
        <v>32</v>
      </c>
      <c r="J3458" s="3">
        <v>44311</v>
      </c>
      <c r="K3458" s="2">
        <v>10</v>
      </c>
      <c r="L3458" s="2" t="s">
        <v>80</v>
      </c>
      <c r="M3458" s="3"/>
    </row>
    <row r="3459" spans="1:13" x14ac:dyDescent="0.3">
      <c r="A3459" s="2">
        <v>3458</v>
      </c>
      <c r="B3459" s="2" t="s">
        <v>787</v>
      </c>
      <c r="C3459" s="2" t="s">
        <v>2637</v>
      </c>
      <c r="D3459" s="2" t="s">
        <v>28</v>
      </c>
      <c r="E3459" s="2" t="s">
        <v>29</v>
      </c>
      <c r="F3459" s="2">
        <v>30</v>
      </c>
      <c r="G3459" s="2" t="s">
        <v>8102</v>
      </c>
      <c r="H3459" s="2" t="s">
        <v>1594</v>
      </c>
      <c r="I3459" s="2" t="s">
        <v>178</v>
      </c>
      <c r="J3459" s="3">
        <v>44477</v>
      </c>
      <c r="K3459" s="2">
        <v>76</v>
      </c>
      <c r="L3459" s="2" t="s">
        <v>33</v>
      </c>
      <c r="M3459" s="3"/>
    </row>
    <row r="3460" spans="1:13" x14ac:dyDescent="0.3">
      <c r="A3460" s="2">
        <v>3459</v>
      </c>
      <c r="B3460" s="2" t="s">
        <v>3599</v>
      </c>
      <c r="C3460" s="2" t="s">
        <v>2761</v>
      </c>
      <c r="D3460" s="2" t="s">
        <v>28</v>
      </c>
      <c r="E3460" s="2" t="s">
        <v>29</v>
      </c>
      <c r="F3460" s="2">
        <v>60</v>
      </c>
      <c r="G3460" s="2" t="s">
        <v>8103</v>
      </c>
      <c r="H3460" s="2" t="s">
        <v>2804</v>
      </c>
      <c r="I3460" s="2" t="s">
        <v>124</v>
      </c>
      <c r="J3460" s="3">
        <v>44507</v>
      </c>
      <c r="K3460" s="2">
        <v>65</v>
      </c>
      <c r="L3460" s="2" t="s">
        <v>159</v>
      </c>
      <c r="M3460" s="3"/>
    </row>
    <row r="3461" spans="1:13" x14ac:dyDescent="0.3">
      <c r="A3461" s="2">
        <v>3460</v>
      </c>
      <c r="B3461" s="2" t="s">
        <v>8104</v>
      </c>
      <c r="C3461" s="2" t="s">
        <v>812</v>
      </c>
      <c r="D3461" s="2" t="s">
        <v>51</v>
      </c>
      <c r="E3461" s="2" t="s">
        <v>16</v>
      </c>
      <c r="F3461" s="2">
        <v>60</v>
      </c>
      <c r="G3461" s="2" t="s">
        <v>8105</v>
      </c>
      <c r="H3461" s="2" t="s">
        <v>806</v>
      </c>
      <c r="I3461" s="2" t="s">
        <v>178</v>
      </c>
      <c r="J3461" s="3">
        <v>44905</v>
      </c>
      <c r="K3461" s="2">
        <v>105</v>
      </c>
      <c r="L3461" s="2" t="s">
        <v>159</v>
      </c>
      <c r="M3461" s="3"/>
    </row>
    <row r="3462" spans="1:13" x14ac:dyDescent="0.3">
      <c r="A3462" s="2">
        <v>3461</v>
      </c>
      <c r="B3462" s="2" t="s">
        <v>8104</v>
      </c>
      <c r="C3462" s="2" t="s">
        <v>812</v>
      </c>
      <c r="D3462" s="2" t="s">
        <v>51</v>
      </c>
      <c r="E3462" s="2" t="s">
        <v>16</v>
      </c>
      <c r="F3462" s="2">
        <v>60</v>
      </c>
      <c r="G3462" s="2" t="s">
        <v>8105</v>
      </c>
      <c r="H3462" s="2" t="s">
        <v>806</v>
      </c>
      <c r="I3462" s="2" t="s">
        <v>178</v>
      </c>
      <c r="J3462" s="3">
        <v>44905</v>
      </c>
      <c r="K3462" s="2">
        <v>105</v>
      </c>
      <c r="L3462" s="2" t="s">
        <v>159</v>
      </c>
      <c r="M3462" s="3"/>
    </row>
    <row r="3463" spans="1:13" x14ac:dyDescent="0.3">
      <c r="A3463" s="2">
        <v>3462</v>
      </c>
      <c r="B3463" s="2" t="s">
        <v>8106</v>
      </c>
      <c r="C3463" s="2" t="s">
        <v>27</v>
      </c>
      <c r="D3463" s="2" t="s">
        <v>51</v>
      </c>
      <c r="E3463" s="2" t="s">
        <v>16</v>
      </c>
      <c r="F3463" s="2">
        <v>60</v>
      </c>
      <c r="G3463" s="2" t="s">
        <v>8107</v>
      </c>
      <c r="H3463" s="2" t="s">
        <v>518</v>
      </c>
      <c r="I3463" s="2" t="s">
        <v>32</v>
      </c>
      <c r="J3463" s="3">
        <v>44060</v>
      </c>
      <c r="K3463" s="2">
        <v>82</v>
      </c>
      <c r="L3463" s="2" t="s">
        <v>64</v>
      </c>
      <c r="M3463" s="3"/>
    </row>
    <row r="3464" spans="1:13" x14ac:dyDescent="0.3">
      <c r="A3464" s="2">
        <v>3463</v>
      </c>
      <c r="B3464" s="2" t="s">
        <v>8108</v>
      </c>
      <c r="C3464" s="2" t="s">
        <v>5452</v>
      </c>
      <c r="D3464" s="2" t="s">
        <v>28</v>
      </c>
      <c r="E3464" s="2" t="s">
        <v>29</v>
      </c>
      <c r="F3464" s="2">
        <v>30</v>
      </c>
      <c r="G3464" s="2" t="s">
        <v>8109</v>
      </c>
      <c r="H3464" s="2" t="s">
        <v>8110</v>
      </c>
      <c r="I3464" s="2" t="s">
        <v>173</v>
      </c>
      <c r="J3464" s="3">
        <v>43966</v>
      </c>
      <c r="K3464" s="2">
        <v>5</v>
      </c>
      <c r="L3464" s="2" t="s">
        <v>64</v>
      </c>
      <c r="M3464" s="3"/>
    </row>
    <row r="3465" spans="1:13" x14ac:dyDescent="0.3">
      <c r="A3465" s="2">
        <v>3464</v>
      </c>
      <c r="B3465" s="2" t="s">
        <v>7982</v>
      </c>
      <c r="C3465" s="2" t="s">
        <v>7144</v>
      </c>
      <c r="D3465" s="2" t="s">
        <v>41</v>
      </c>
      <c r="E3465" s="2" t="s">
        <v>16</v>
      </c>
      <c r="F3465" s="2">
        <v>90</v>
      </c>
      <c r="G3465" s="2" t="s">
        <v>8111</v>
      </c>
      <c r="H3465" s="2" t="s">
        <v>4479</v>
      </c>
      <c r="I3465" s="2" t="s">
        <v>32</v>
      </c>
      <c r="J3465" s="3">
        <v>44704</v>
      </c>
      <c r="K3465" s="2">
        <v>3</v>
      </c>
      <c r="L3465" s="2" t="s">
        <v>45</v>
      </c>
      <c r="M3465" s="3"/>
    </row>
    <row r="3466" spans="1:13" x14ac:dyDescent="0.3">
      <c r="A3466" s="2">
        <v>3465</v>
      </c>
      <c r="B3466" s="2" t="s">
        <v>8112</v>
      </c>
      <c r="C3466" s="2" t="s">
        <v>8113</v>
      </c>
      <c r="D3466" s="2" t="s">
        <v>41</v>
      </c>
      <c r="E3466" s="2" t="s">
        <v>16</v>
      </c>
      <c r="F3466" s="2">
        <v>60</v>
      </c>
      <c r="G3466" s="2" t="s">
        <v>8114</v>
      </c>
      <c r="H3466" s="2" t="s">
        <v>938</v>
      </c>
      <c r="I3466" s="2" t="s">
        <v>25</v>
      </c>
      <c r="J3466" s="3">
        <v>44114</v>
      </c>
      <c r="K3466" s="2">
        <v>65</v>
      </c>
      <c r="L3466" s="2" t="s">
        <v>159</v>
      </c>
      <c r="M3466" s="3"/>
    </row>
    <row r="3467" spans="1:13" x14ac:dyDescent="0.3">
      <c r="A3467" s="2">
        <v>3466</v>
      </c>
      <c r="B3467" s="2" t="s">
        <v>8115</v>
      </c>
      <c r="C3467" s="2" t="s">
        <v>5979</v>
      </c>
      <c r="D3467" s="2" t="s">
        <v>51</v>
      </c>
      <c r="E3467" s="2" t="s">
        <v>16</v>
      </c>
      <c r="F3467" s="2">
        <v>90</v>
      </c>
      <c r="G3467" s="2" t="s">
        <v>8116</v>
      </c>
      <c r="H3467" s="2" t="s">
        <v>275</v>
      </c>
      <c r="I3467" s="2" t="s">
        <v>32</v>
      </c>
      <c r="J3467" s="3">
        <v>44753</v>
      </c>
      <c r="K3467" s="2">
        <v>8</v>
      </c>
      <c r="L3467" s="2" t="s">
        <v>159</v>
      </c>
      <c r="M3467" s="3"/>
    </row>
    <row r="3468" spans="1:13" x14ac:dyDescent="0.3">
      <c r="A3468" s="2">
        <v>3467</v>
      </c>
      <c r="B3468" s="2" t="s">
        <v>245</v>
      </c>
      <c r="C3468" s="2" t="s">
        <v>8117</v>
      </c>
      <c r="D3468" s="2" t="s">
        <v>28</v>
      </c>
      <c r="E3468" s="2" t="s">
        <v>29</v>
      </c>
      <c r="F3468" s="2">
        <v>90</v>
      </c>
      <c r="G3468" s="2" t="s">
        <v>8118</v>
      </c>
      <c r="H3468" s="2" t="s">
        <v>1131</v>
      </c>
      <c r="I3468" s="2" t="s">
        <v>32</v>
      </c>
      <c r="J3468" s="3">
        <v>43856</v>
      </c>
      <c r="K3468" s="2">
        <v>85</v>
      </c>
      <c r="L3468" s="2" t="s">
        <v>45</v>
      </c>
      <c r="M3468" s="3"/>
    </row>
    <row r="3469" spans="1:13" x14ac:dyDescent="0.3">
      <c r="A3469" s="2">
        <v>3468</v>
      </c>
      <c r="B3469" s="2" t="s">
        <v>8119</v>
      </c>
      <c r="C3469" s="2" t="s">
        <v>983</v>
      </c>
      <c r="D3469" s="2" t="s">
        <v>28</v>
      </c>
      <c r="E3469" s="2" t="s">
        <v>29</v>
      </c>
      <c r="F3469" s="2">
        <v>30</v>
      </c>
      <c r="G3469" s="2" t="s">
        <v>8120</v>
      </c>
      <c r="H3469" s="2" t="s">
        <v>8121</v>
      </c>
      <c r="I3469" s="2" t="s">
        <v>44</v>
      </c>
      <c r="J3469" s="3">
        <v>43833</v>
      </c>
      <c r="K3469" s="2">
        <v>83</v>
      </c>
      <c r="L3469" s="2" t="s">
        <v>39</v>
      </c>
      <c r="M3469" s="3"/>
    </row>
    <row r="3470" spans="1:13" x14ac:dyDescent="0.3">
      <c r="A3470" s="2">
        <v>3469</v>
      </c>
      <c r="B3470" s="2" t="s">
        <v>1132</v>
      </c>
      <c r="C3470" s="2" t="s">
        <v>5968</v>
      </c>
      <c r="D3470" s="2" t="s">
        <v>28</v>
      </c>
      <c r="E3470" s="2" t="s">
        <v>29</v>
      </c>
      <c r="F3470" s="2">
        <v>60</v>
      </c>
      <c r="G3470" s="2" t="s">
        <v>8120</v>
      </c>
      <c r="H3470" s="2" t="s">
        <v>1258</v>
      </c>
      <c r="I3470" s="2" t="s">
        <v>32</v>
      </c>
      <c r="J3470" s="3">
        <v>44237</v>
      </c>
      <c r="K3470" s="2">
        <v>54</v>
      </c>
      <c r="L3470" s="2" t="s">
        <v>70</v>
      </c>
      <c r="M3470" s="3"/>
    </row>
    <row r="3471" spans="1:13" x14ac:dyDescent="0.3">
      <c r="A3471" s="2">
        <v>3470</v>
      </c>
      <c r="B3471" s="2" t="s">
        <v>8122</v>
      </c>
      <c r="C3471" s="2" t="s">
        <v>2071</v>
      </c>
      <c r="D3471" s="2" t="s">
        <v>51</v>
      </c>
      <c r="E3471" s="2" t="s">
        <v>16</v>
      </c>
      <c r="F3471" s="2">
        <v>60</v>
      </c>
      <c r="G3471" s="2" t="s">
        <v>8123</v>
      </c>
      <c r="H3471" s="2" t="s">
        <v>3157</v>
      </c>
      <c r="I3471" s="2" t="s">
        <v>32</v>
      </c>
      <c r="J3471" s="3">
        <v>44446</v>
      </c>
      <c r="K3471" s="2">
        <v>3</v>
      </c>
      <c r="L3471" s="2" t="s">
        <v>54</v>
      </c>
      <c r="M3471" s="3"/>
    </row>
    <row r="3472" spans="1:13" x14ac:dyDescent="0.3">
      <c r="A3472" s="2">
        <v>3471</v>
      </c>
      <c r="B3472" s="2" t="s">
        <v>8124</v>
      </c>
      <c r="C3472" s="2" t="s">
        <v>7069</v>
      </c>
      <c r="D3472" s="2" t="s">
        <v>28</v>
      </c>
      <c r="E3472" s="2" t="s">
        <v>29</v>
      </c>
      <c r="F3472" s="2">
        <v>60</v>
      </c>
      <c r="G3472" s="2" t="s">
        <v>8125</v>
      </c>
      <c r="H3472" s="2" t="s">
        <v>1056</v>
      </c>
      <c r="I3472" s="2" t="s">
        <v>129</v>
      </c>
      <c r="J3472" s="3">
        <v>44897</v>
      </c>
      <c r="K3472" s="2">
        <v>77</v>
      </c>
      <c r="L3472" s="2" t="s">
        <v>101</v>
      </c>
      <c r="M3472" s="3"/>
    </row>
    <row r="3473" spans="1:13" x14ac:dyDescent="0.3">
      <c r="A3473" s="2">
        <v>3472</v>
      </c>
      <c r="B3473" s="2" t="s">
        <v>3629</v>
      </c>
      <c r="C3473" s="2" t="s">
        <v>8126</v>
      </c>
      <c r="D3473" s="2" t="s">
        <v>28</v>
      </c>
      <c r="E3473" s="2" t="s">
        <v>29</v>
      </c>
      <c r="F3473" s="2">
        <v>30</v>
      </c>
      <c r="G3473" s="2" t="s">
        <v>8127</v>
      </c>
      <c r="H3473" s="2" t="s">
        <v>6430</v>
      </c>
      <c r="I3473" s="2" t="s">
        <v>32</v>
      </c>
      <c r="J3473" s="3">
        <v>44874</v>
      </c>
      <c r="K3473" s="2">
        <v>88</v>
      </c>
      <c r="L3473" s="2" t="s">
        <v>80</v>
      </c>
      <c r="M3473" s="3"/>
    </row>
    <row r="3474" spans="1:13" x14ac:dyDescent="0.3">
      <c r="A3474" s="2">
        <v>3473</v>
      </c>
      <c r="B3474" s="2" t="s">
        <v>5014</v>
      </c>
      <c r="C3474" s="2" t="s">
        <v>8128</v>
      </c>
      <c r="D3474" s="2" t="s">
        <v>15</v>
      </c>
      <c r="E3474" s="2" t="s">
        <v>16</v>
      </c>
      <c r="F3474" s="2">
        <v>60</v>
      </c>
      <c r="G3474" s="2" t="s">
        <v>8129</v>
      </c>
      <c r="H3474" s="2" t="s">
        <v>5521</v>
      </c>
      <c r="I3474" s="2" t="s">
        <v>25</v>
      </c>
      <c r="J3474" s="3">
        <v>44703</v>
      </c>
      <c r="K3474" s="2">
        <v>5</v>
      </c>
      <c r="L3474" s="2" t="s">
        <v>64</v>
      </c>
      <c r="M3474" s="3"/>
    </row>
    <row r="3475" spans="1:13" x14ac:dyDescent="0.3">
      <c r="A3475" s="2">
        <v>3474</v>
      </c>
      <c r="B3475" s="2" t="s">
        <v>6274</v>
      </c>
      <c r="C3475" s="2" t="s">
        <v>5764</v>
      </c>
      <c r="D3475" s="2" t="s">
        <v>28</v>
      </c>
      <c r="E3475" s="2" t="s">
        <v>29</v>
      </c>
      <c r="F3475" s="2">
        <v>60</v>
      </c>
      <c r="G3475" s="2" t="s">
        <v>8130</v>
      </c>
      <c r="H3475" s="2" t="s">
        <v>458</v>
      </c>
      <c r="I3475" s="2" t="s">
        <v>294</v>
      </c>
      <c r="J3475" s="3">
        <v>44257</v>
      </c>
      <c r="K3475" s="2">
        <v>48</v>
      </c>
      <c r="L3475" s="2" t="s">
        <v>20</v>
      </c>
      <c r="M3475" s="3"/>
    </row>
    <row r="3476" spans="1:13" x14ac:dyDescent="0.3">
      <c r="A3476" s="2">
        <v>3475</v>
      </c>
      <c r="B3476" s="2" t="s">
        <v>4124</v>
      </c>
      <c r="C3476" s="2" t="s">
        <v>4422</v>
      </c>
      <c r="D3476" s="2" t="s">
        <v>51</v>
      </c>
      <c r="E3476" s="2" t="s">
        <v>16</v>
      </c>
      <c r="F3476" s="2">
        <v>30</v>
      </c>
      <c r="G3476" s="2" t="s">
        <v>8131</v>
      </c>
      <c r="H3476" s="2" t="s">
        <v>2552</v>
      </c>
      <c r="I3476" s="2" t="s">
        <v>32</v>
      </c>
      <c r="J3476" s="3">
        <v>44248</v>
      </c>
      <c r="K3476" s="2">
        <v>63</v>
      </c>
      <c r="L3476" s="2" t="s">
        <v>33</v>
      </c>
      <c r="M3476" s="3"/>
    </row>
    <row r="3477" spans="1:13" x14ac:dyDescent="0.3">
      <c r="A3477" s="2">
        <v>3476</v>
      </c>
      <c r="B3477" s="2" t="s">
        <v>1002</v>
      </c>
      <c r="C3477" s="2" t="s">
        <v>3831</v>
      </c>
      <c r="D3477" s="2" t="s">
        <v>28</v>
      </c>
      <c r="E3477" s="2" t="s">
        <v>29</v>
      </c>
      <c r="F3477" s="2">
        <v>90</v>
      </c>
      <c r="G3477" s="2" t="s">
        <v>8132</v>
      </c>
      <c r="H3477" s="2" t="s">
        <v>2494</v>
      </c>
      <c r="I3477" s="2" t="s">
        <v>25</v>
      </c>
      <c r="J3477" s="3">
        <v>44376</v>
      </c>
      <c r="K3477" s="2">
        <v>7</v>
      </c>
      <c r="L3477" s="2" t="s">
        <v>45</v>
      </c>
      <c r="M3477" s="3"/>
    </row>
    <row r="3478" spans="1:13" x14ac:dyDescent="0.3">
      <c r="A3478" s="2">
        <v>3477</v>
      </c>
      <c r="B3478" s="2" t="s">
        <v>4290</v>
      </c>
      <c r="C3478" s="2" t="s">
        <v>3485</v>
      </c>
      <c r="D3478" s="2" t="s">
        <v>51</v>
      </c>
      <c r="E3478" s="2" t="s">
        <v>16</v>
      </c>
      <c r="F3478" s="2">
        <v>60</v>
      </c>
      <c r="G3478" s="2" t="s">
        <v>8133</v>
      </c>
      <c r="H3478" s="2" t="s">
        <v>288</v>
      </c>
      <c r="I3478" s="2" t="s">
        <v>32</v>
      </c>
      <c r="J3478" s="3">
        <v>44443</v>
      </c>
      <c r="K3478" s="2">
        <v>29</v>
      </c>
      <c r="L3478" s="2" t="s">
        <v>101</v>
      </c>
      <c r="M3478" s="3"/>
    </row>
    <row r="3479" spans="1:13" x14ac:dyDescent="0.3">
      <c r="A3479" s="2">
        <v>3478</v>
      </c>
      <c r="B3479" s="2" t="s">
        <v>4572</v>
      </c>
      <c r="C3479" s="2" t="s">
        <v>8134</v>
      </c>
      <c r="D3479" s="2" t="s">
        <v>28</v>
      </c>
      <c r="E3479" s="2" t="s">
        <v>29</v>
      </c>
      <c r="F3479" s="2">
        <v>30</v>
      </c>
      <c r="G3479" s="2" t="s">
        <v>8135</v>
      </c>
      <c r="H3479" s="2" t="s">
        <v>7572</v>
      </c>
      <c r="I3479" s="2" t="s">
        <v>886</v>
      </c>
      <c r="J3479" s="3">
        <v>44104</v>
      </c>
      <c r="K3479" s="2">
        <v>7</v>
      </c>
      <c r="L3479" s="2" t="s">
        <v>20</v>
      </c>
      <c r="M3479" s="3"/>
    </row>
    <row r="3480" spans="1:13" x14ac:dyDescent="0.3">
      <c r="A3480" s="2">
        <v>3479</v>
      </c>
      <c r="B3480" s="2" t="s">
        <v>872</v>
      </c>
      <c r="C3480" s="2" t="s">
        <v>8136</v>
      </c>
      <c r="D3480" s="2" t="s">
        <v>28</v>
      </c>
      <c r="E3480" s="2" t="s">
        <v>29</v>
      </c>
      <c r="F3480" s="2">
        <v>30</v>
      </c>
      <c r="G3480" s="2" t="s">
        <v>8137</v>
      </c>
      <c r="H3480" s="2" t="s">
        <v>412</v>
      </c>
      <c r="I3480" s="2" t="s">
        <v>187</v>
      </c>
      <c r="J3480" s="3">
        <v>44747</v>
      </c>
      <c r="K3480" s="2">
        <v>65</v>
      </c>
      <c r="L3480" s="2" t="s">
        <v>20</v>
      </c>
      <c r="M3480" s="3"/>
    </row>
    <row r="3481" spans="1:13" x14ac:dyDescent="0.3">
      <c r="A3481" s="2">
        <v>3480</v>
      </c>
      <c r="B3481" s="2" t="s">
        <v>872</v>
      </c>
      <c r="C3481" s="2" t="s">
        <v>8136</v>
      </c>
      <c r="D3481" s="2" t="s">
        <v>28</v>
      </c>
      <c r="E3481" s="2" t="s">
        <v>29</v>
      </c>
      <c r="F3481" s="2">
        <v>30</v>
      </c>
      <c r="G3481" s="2" t="s">
        <v>8137</v>
      </c>
      <c r="H3481" s="2" t="s">
        <v>412</v>
      </c>
      <c r="I3481" s="2" t="s">
        <v>187</v>
      </c>
      <c r="J3481" s="3">
        <v>44747</v>
      </c>
      <c r="K3481" s="2">
        <v>65</v>
      </c>
      <c r="L3481" s="2" t="s">
        <v>20</v>
      </c>
      <c r="M3481" s="3"/>
    </row>
    <row r="3482" spans="1:13" x14ac:dyDescent="0.3">
      <c r="A3482" s="2">
        <v>3481</v>
      </c>
      <c r="B3482" s="2" t="s">
        <v>8138</v>
      </c>
      <c r="C3482" s="2" t="s">
        <v>906</v>
      </c>
      <c r="D3482" s="2" t="s">
        <v>15</v>
      </c>
      <c r="E3482" s="2" t="s">
        <v>16</v>
      </c>
      <c r="F3482" s="2">
        <v>30</v>
      </c>
      <c r="G3482" s="2" t="s">
        <v>8139</v>
      </c>
      <c r="H3482" s="2" t="s">
        <v>2742</v>
      </c>
      <c r="I3482" s="2" t="s">
        <v>124</v>
      </c>
      <c r="J3482" s="3">
        <v>44429</v>
      </c>
      <c r="K3482" s="2">
        <v>76</v>
      </c>
      <c r="L3482" s="2" t="s">
        <v>70</v>
      </c>
      <c r="M3482" s="3"/>
    </row>
    <row r="3483" spans="1:13" x14ac:dyDescent="0.3">
      <c r="A3483" s="2">
        <v>3482</v>
      </c>
      <c r="B3483" s="2" t="s">
        <v>2384</v>
      </c>
      <c r="C3483" s="2" t="s">
        <v>6727</v>
      </c>
      <c r="D3483" s="2" t="s">
        <v>28</v>
      </c>
      <c r="E3483" s="2" t="s">
        <v>8140</v>
      </c>
      <c r="F3483" s="2">
        <v>60</v>
      </c>
      <c r="G3483" s="2" t="s">
        <v>8141</v>
      </c>
      <c r="H3483" s="2" t="s">
        <v>5886</v>
      </c>
      <c r="I3483" s="2" t="s">
        <v>187</v>
      </c>
      <c r="J3483" s="3">
        <v>44195</v>
      </c>
      <c r="K3483" s="2">
        <v>13</v>
      </c>
      <c r="L3483" s="2" t="s">
        <v>33</v>
      </c>
      <c r="M3483" s="3"/>
    </row>
    <row r="3484" spans="1:13" x14ac:dyDescent="0.3">
      <c r="A3484" s="2">
        <v>3483</v>
      </c>
      <c r="B3484" s="2" t="s">
        <v>8142</v>
      </c>
      <c r="C3484" s="2" t="s">
        <v>2492</v>
      </c>
      <c r="D3484" s="2" t="s">
        <v>51</v>
      </c>
      <c r="E3484" s="2" t="s">
        <v>16</v>
      </c>
      <c r="F3484" s="2">
        <v>60</v>
      </c>
      <c r="G3484" s="2" t="s">
        <v>8143</v>
      </c>
      <c r="H3484" s="2" t="s">
        <v>750</v>
      </c>
      <c r="I3484" s="2" t="s">
        <v>25</v>
      </c>
      <c r="J3484" s="3">
        <v>44097</v>
      </c>
      <c r="K3484" s="2">
        <v>36</v>
      </c>
      <c r="L3484" s="2" t="s">
        <v>159</v>
      </c>
      <c r="M3484" s="3"/>
    </row>
    <row r="3485" spans="1:13" x14ac:dyDescent="0.3">
      <c r="A3485" s="2">
        <v>3484</v>
      </c>
      <c r="B3485" s="2" t="s">
        <v>6476</v>
      </c>
      <c r="C3485" s="2" t="s">
        <v>8144</v>
      </c>
      <c r="D3485" s="2" t="s">
        <v>28</v>
      </c>
      <c r="E3485" s="2" t="s">
        <v>29</v>
      </c>
      <c r="F3485" s="2">
        <v>30</v>
      </c>
      <c r="G3485" s="2" t="s">
        <v>8145</v>
      </c>
      <c r="H3485" s="2" t="s">
        <v>3531</v>
      </c>
      <c r="I3485" s="2" t="s">
        <v>32</v>
      </c>
      <c r="J3485" s="3">
        <v>44386</v>
      </c>
      <c r="K3485" s="2">
        <v>65</v>
      </c>
      <c r="L3485" s="2" t="s">
        <v>45</v>
      </c>
      <c r="M3485" s="3"/>
    </row>
    <row r="3486" spans="1:13" x14ac:dyDescent="0.3">
      <c r="A3486" s="2">
        <v>3485</v>
      </c>
      <c r="B3486" s="2" t="s">
        <v>8146</v>
      </c>
      <c r="C3486" s="2" t="s">
        <v>8147</v>
      </c>
      <c r="D3486" s="2" t="s">
        <v>15</v>
      </c>
      <c r="E3486" s="2" t="s">
        <v>16</v>
      </c>
      <c r="F3486" s="2">
        <v>60</v>
      </c>
      <c r="G3486" s="2" t="s">
        <v>8148</v>
      </c>
      <c r="H3486" s="2" t="s">
        <v>4299</v>
      </c>
      <c r="I3486" s="2" t="s">
        <v>32</v>
      </c>
      <c r="J3486" s="3">
        <v>43871</v>
      </c>
      <c r="K3486" s="2">
        <v>63</v>
      </c>
      <c r="L3486" s="2" t="s">
        <v>45</v>
      </c>
      <c r="M3486" s="3"/>
    </row>
    <row r="3487" spans="1:13" x14ac:dyDescent="0.3">
      <c r="A3487" s="2">
        <v>3486</v>
      </c>
      <c r="B3487" s="2" t="s">
        <v>8149</v>
      </c>
      <c r="C3487" s="2" t="s">
        <v>281</v>
      </c>
      <c r="D3487" s="2" t="s">
        <v>28</v>
      </c>
      <c r="E3487" s="2" t="s">
        <v>29</v>
      </c>
      <c r="F3487" s="2">
        <v>90</v>
      </c>
      <c r="G3487" s="2" t="s">
        <v>8150</v>
      </c>
      <c r="H3487" s="2" t="s">
        <v>3909</v>
      </c>
      <c r="I3487" s="2" t="s">
        <v>32</v>
      </c>
      <c r="J3487" s="3">
        <v>44433</v>
      </c>
      <c r="K3487" s="2">
        <v>76</v>
      </c>
      <c r="L3487" s="2" t="s">
        <v>70</v>
      </c>
      <c r="M3487" s="3"/>
    </row>
    <row r="3488" spans="1:13" x14ac:dyDescent="0.3">
      <c r="A3488" s="2">
        <v>3487</v>
      </c>
      <c r="B3488" s="2" t="s">
        <v>8151</v>
      </c>
      <c r="C3488" s="2" t="s">
        <v>5534</v>
      </c>
      <c r="D3488" s="2" t="s">
        <v>28</v>
      </c>
      <c r="E3488" s="2" t="s">
        <v>29</v>
      </c>
      <c r="F3488" s="2">
        <v>90</v>
      </c>
      <c r="G3488" s="2" t="s">
        <v>8152</v>
      </c>
      <c r="H3488" s="2" t="s">
        <v>6618</v>
      </c>
      <c r="I3488" s="2" t="s">
        <v>32</v>
      </c>
      <c r="J3488" s="3">
        <v>44789</v>
      </c>
      <c r="K3488" s="2">
        <v>37</v>
      </c>
      <c r="L3488" s="2" t="s">
        <v>101</v>
      </c>
      <c r="M3488" s="3"/>
    </row>
    <row r="3489" spans="1:13" x14ac:dyDescent="0.3">
      <c r="A3489" s="2">
        <v>3488</v>
      </c>
      <c r="B3489" s="2" t="s">
        <v>8153</v>
      </c>
      <c r="C3489" s="2" t="s">
        <v>7180</v>
      </c>
      <c r="D3489" s="2" t="s">
        <v>51</v>
      </c>
      <c r="E3489" s="2" t="s">
        <v>16</v>
      </c>
      <c r="F3489" s="2">
        <v>30</v>
      </c>
      <c r="G3489" s="2" t="s">
        <v>8154</v>
      </c>
      <c r="H3489" s="2" t="s">
        <v>8155</v>
      </c>
      <c r="I3489" s="2" t="s">
        <v>32</v>
      </c>
      <c r="J3489" s="3">
        <v>43973</v>
      </c>
      <c r="K3489" s="2">
        <v>28</v>
      </c>
      <c r="L3489" s="2" t="s">
        <v>80</v>
      </c>
      <c r="M3489" s="3"/>
    </row>
    <row r="3490" spans="1:13" x14ac:dyDescent="0.3">
      <c r="A3490" s="2">
        <v>3489</v>
      </c>
      <c r="B3490" s="2" t="s">
        <v>567</v>
      </c>
      <c r="C3490" s="2" t="s">
        <v>8156</v>
      </c>
      <c r="D3490" s="2" t="s">
        <v>28</v>
      </c>
      <c r="E3490" s="2" t="s">
        <v>29</v>
      </c>
      <c r="F3490" s="2">
        <v>60</v>
      </c>
      <c r="G3490" s="2" t="s">
        <v>8157</v>
      </c>
      <c r="H3490" s="2" t="s">
        <v>4673</v>
      </c>
      <c r="I3490" s="2" t="s">
        <v>294</v>
      </c>
      <c r="J3490" s="3">
        <v>44230</v>
      </c>
      <c r="K3490" s="2">
        <v>44</v>
      </c>
      <c r="L3490" s="2" t="s">
        <v>33</v>
      </c>
      <c r="M3490" s="3"/>
    </row>
    <row r="3491" spans="1:13" x14ac:dyDescent="0.3">
      <c r="A3491" s="2">
        <v>3490</v>
      </c>
      <c r="B3491" s="2" t="s">
        <v>8158</v>
      </c>
      <c r="C3491" s="2" t="s">
        <v>4603</v>
      </c>
      <c r="D3491" s="2" t="s">
        <v>15</v>
      </c>
      <c r="E3491" s="2" t="s">
        <v>16</v>
      </c>
      <c r="F3491" s="2">
        <v>60</v>
      </c>
      <c r="G3491" s="2" t="s">
        <v>8159</v>
      </c>
      <c r="H3491" s="2" t="s">
        <v>917</v>
      </c>
      <c r="I3491" s="2" t="s">
        <v>32</v>
      </c>
      <c r="J3491" s="3">
        <v>44726</v>
      </c>
      <c r="K3491" s="2">
        <v>25</v>
      </c>
      <c r="L3491" s="2" t="s">
        <v>45</v>
      </c>
      <c r="M3491" s="3"/>
    </row>
    <row r="3492" spans="1:13" x14ac:dyDescent="0.3">
      <c r="A3492" s="2">
        <v>3491</v>
      </c>
      <c r="B3492" s="2" t="s">
        <v>1165</v>
      </c>
      <c r="C3492" s="2" t="s">
        <v>3336</v>
      </c>
      <c r="D3492" s="2" t="s">
        <v>41</v>
      </c>
      <c r="E3492" s="2" t="s">
        <v>16</v>
      </c>
      <c r="F3492" s="2">
        <v>60</v>
      </c>
      <c r="G3492" s="2" t="s">
        <v>8160</v>
      </c>
      <c r="H3492" s="2" t="s">
        <v>1022</v>
      </c>
      <c r="I3492" s="2" t="s">
        <v>164</v>
      </c>
      <c r="J3492" s="3">
        <v>44530</v>
      </c>
      <c r="K3492" s="2">
        <v>69</v>
      </c>
      <c r="L3492" s="2" t="s">
        <v>70</v>
      </c>
      <c r="M3492" s="3"/>
    </row>
    <row r="3493" spans="1:13" x14ac:dyDescent="0.3">
      <c r="A3493" s="2">
        <v>3492</v>
      </c>
      <c r="B3493" s="2" t="s">
        <v>2828</v>
      </c>
      <c r="C3493" s="2" t="s">
        <v>1301</v>
      </c>
      <c r="D3493" s="2" t="s">
        <v>117</v>
      </c>
      <c r="E3493" s="2" t="s">
        <v>16</v>
      </c>
      <c r="F3493" s="2">
        <v>90</v>
      </c>
      <c r="G3493" s="2" t="s">
        <v>8161</v>
      </c>
      <c r="H3493" s="2" t="s">
        <v>7665</v>
      </c>
      <c r="I3493" s="2" t="s">
        <v>7666</v>
      </c>
      <c r="J3493" s="3">
        <v>44333</v>
      </c>
      <c r="K3493" s="2">
        <v>10</v>
      </c>
      <c r="L3493" s="2" t="s">
        <v>20</v>
      </c>
      <c r="M3493" s="3"/>
    </row>
    <row r="3494" spans="1:13" x14ac:dyDescent="0.3">
      <c r="A3494" s="2">
        <v>3493</v>
      </c>
      <c r="B3494" s="2" t="s">
        <v>8162</v>
      </c>
      <c r="C3494" s="2" t="s">
        <v>5689</v>
      </c>
      <c r="D3494" s="2" t="s">
        <v>28</v>
      </c>
      <c r="E3494" s="2" t="s">
        <v>29</v>
      </c>
      <c r="F3494" s="2">
        <v>90</v>
      </c>
      <c r="G3494" s="2" t="s">
        <v>8163</v>
      </c>
      <c r="H3494" s="2" t="s">
        <v>7763</v>
      </c>
      <c r="I3494" s="2" t="s">
        <v>129</v>
      </c>
      <c r="J3494" s="3">
        <v>44476</v>
      </c>
      <c r="K3494" s="2">
        <v>20</v>
      </c>
      <c r="L3494" s="2" t="s">
        <v>70</v>
      </c>
      <c r="M3494" s="3"/>
    </row>
    <row r="3495" spans="1:13" x14ac:dyDescent="0.3">
      <c r="A3495" s="2">
        <v>3494</v>
      </c>
      <c r="B3495" s="2" t="s">
        <v>4644</v>
      </c>
      <c r="C3495" s="2" t="s">
        <v>7290</v>
      </c>
      <c r="D3495" s="2" t="s">
        <v>28</v>
      </c>
      <c r="E3495" s="2" t="s">
        <v>29</v>
      </c>
      <c r="F3495" s="2">
        <v>30</v>
      </c>
      <c r="G3495" s="2" t="s">
        <v>8164</v>
      </c>
      <c r="H3495" s="2" t="s">
        <v>145</v>
      </c>
      <c r="I3495" s="2" t="s">
        <v>146</v>
      </c>
      <c r="J3495" s="3">
        <v>44219</v>
      </c>
      <c r="K3495" s="2">
        <v>73</v>
      </c>
      <c r="L3495" s="2" t="s">
        <v>101</v>
      </c>
      <c r="M3495" s="3"/>
    </row>
    <row r="3496" spans="1:13" x14ac:dyDescent="0.3">
      <c r="A3496" s="2">
        <v>3495</v>
      </c>
      <c r="B3496" s="2" t="s">
        <v>1591</v>
      </c>
      <c r="C3496" s="2" t="s">
        <v>2431</v>
      </c>
      <c r="D3496" s="2" t="s">
        <v>28</v>
      </c>
      <c r="E3496" s="2" t="s">
        <v>29</v>
      </c>
      <c r="F3496" s="2">
        <v>30</v>
      </c>
      <c r="G3496" s="2" t="s">
        <v>8165</v>
      </c>
      <c r="H3496" s="2" t="s">
        <v>1490</v>
      </c>
      <c r="I3496" s="2" t="s">
        <v>294</v>
      </c>
      <c r="J3496" s="3">
        <v>44225</v>
      </c>
      <c r="K3496" s="2">
        <v>59</v>
      </c>
      <c r="L3496" s="2" t="s">
        <v>54</v>
      </c>
      <c r="M3496" s="3"/>
    </row>
    <row r="3497" spans="1:13" x14ac:dyDescent="0.3">
      <c r="A3497" s="2">
        <v>3496</v>
      </c>
      <c r="B3497" s="2" t="s">
        <v>4419</v>
      </c>
      <c r="C3497" s="2" t="s">
        <v>7889</v>
      </c>
      <c r="D3497" s="2" t="s">
        <v>28</v>
      </c>
      <c r="E3497" s="2" t="s">
        <v>29</v>
      </c>
      <c r="F3497" s="2">
        <v>30</v>
      </c>
      <c r="G3497" s="2" t="s">
        <v>8166</v>
      </c>
      <c r="H3497" s="2" t="s">
        <v>1228</v>
      </c>
      <c r="I3497" s="2" t="s">
        <v>25</v>
      </c>
      <c r="J3497" s="3">
        <v>44393</v>
      </c>
      <c r="K3497" s="2">
        <v>65</v>
      </c>
      <c r="L3497" s="2" t="s">
        <v>64</v>
      </c>
      <c r="M3497" s="3"/>
    </row>
    <row r="3498" spans="1:13" x14ac:dyDescent="0.3">
      <c r="A3498" s="2">
        <v>3497</v>
      </c>
      <c r="B3498" s="2" t="s">
        <v>1464</v>
      </c>
      <c r="C3498" s="2" t="s">
        <v>2197</v>
      </c>
      <c r="D3498" s="2" t="s">
        <v>28</v>
      </c>
      <c r="E3498" s="2" t="s">
        <v>29</v>
      </c>
      <c r="F3498" s="2">
        <v>90</v>
      </c>
      <c r="G3498" s="2" t="s">
        <v>8167</v>
      </c>
      <c r="H3498" s="2" t="s">
        <v>2848</v>
      </c>
      <c r="I3498" s="2" t="s">
        <v>129</v>
      </c>
      <c r="J3498" s="3">
        <v>44578</v>
      </c>
      <c r="K3498" s="2">
        <v>77</v>
      </c>
      <c r="L3498" s="2" t="s">
        <v>20</v>
      </c>
      <c r="M3498" s="3"/>
    </row>
    <row r="3499" spans="1:13" x14ac:dyDescent="0.3">
      <c r="A3499" s="2">
        <v>3498</v>
      </c>
      <c r="B3499" s="2" t="s">
        <v>8168</v>
      </c>
      <c r="C3499" s="2" t="s">
        <v>2139</v>
      </c>
      <c r="D3499" s="2" t="s">
        <v>92</v>
      </c>
      <c r="E3499" s="2" t="s">
        <v>16</v>
      </c>
      <c r="F3499" s="2">
        <v>90</v>
      </c>
      <c r="G3499" s="2" t="s">
        <v>8169</v>
      </c>
      <c r="H3499" s="2" t="s">
        <v>7269</v>
      </c>
      <c r="I3499" s="2" t="s">
        <v>187</v>
      </c>
      <c r="J3499" s="3">
        <v>43983</v>
      </c>
      <c r="K3499" s="2">
        <v>74</v>
      </c>
      <c r="L3499" s="2" t="s">
        <v>54</v>
      </c>
      <c r="M3499" s="3"/>
    </row>
    <row r="3500" spans="1:13" x14ac:dyDescent="0.3">
      <c r="A3500" s="2">
        <v>3499</v>
      </c>
      <c r="B3500" s="2" t="s">
        <v>1881</v>
      </c>
      <c r="C3500" s="2" t="s">
        <v>2017</v>
      </c>
      <c r="D3500" s="2" t="s">
        <v>28</v>
      </c>
      <c r="E3500" s="2" t="s">
        <v>29</v>
      </c>
      <c r="F3500" s="2">
        <v>30</v>
      </c>
      <c r="G3500" s="2" t="s">
        <v>8170</v>
      </c>
      <c r="H3500" s="2" t="s">
        <v>6602</v>
      </c>
      <c r="I3500" s="2" t="s">
        <v>32</v>
      </c>
      <c r="J3500" s="3">
        <v>44110</v>
      </c>
      <c r="K3500" s="2">
        <v>41</v>
      </c>
      <c r="L3500" s="2" t="s">
        <v>54</v>
      </c>
      <c r="M3500" s="3"/>
    </row>
    <row r="3501" spans="1:13" x14ac:dyDescent="0.3">
      <c r="A3501" s="2">
        <v>3500</v>
      </c>
      <c r="B3501" s="2" t="s">
        <v>8171</v>
      </c>
      <c r="C3501" s="2" t="s">
        <v>2014</v>
      </c>
      <c r="D3501" s="2" t="s">
        <v>51</v>
      </c>
      <c r="E3501" s="2" t="s">
        <v>16</v>
      </c>
      <c r="F3501" s="2">
        <v>90</v>
      </c>
      <c r="G3501" s="2" t="s">
        <v>8172</v>
      </c>
      <c r="H3501" s="2" t="s">
        <v>8173</v>
      </c>
      <c r="I3501" s="2" t="s">
        <v>25</v>
      </c>
      <c r="J3501" s="3">
        <v>44201</v>
      </c>
      <c r="K3501" s="2">
        <v>5</v>
      </c>
      <c r="L3501" s="2" t="s">
        <v>54</v>
      </c>
      <c r="M3501" s="3"/>
    </row>
    <row r="3502" spans="1:13" x14ac:dyDescent="0.3">
      <c r="A3502" s="2">
        <v>3501</v>
      </c>
      <c r="B3502" s="2" t="s">
        <v>8174</v>
      </c>
      <c r="C3502" s="2" t="s">
        <v>6465</v>
      </c>
      <c r="D3502" s="2" t="s">
        <v>51</v>
      </c>
      <c r="E3502" s="2" t="s">
        <v>16</v>
      </c>
      <c r="F3502" s="2">
        <v>90</v>
      </c>
      <c r="G3502" s="2" t="s">
        <v>8175</v>
      </c>
      <c r="H3502" s="2" t="s">
        <v>7665</v>
      </c>
      <c r="I3502" s="2" t="s">
        <v>7666</v>
      </c>
      <c r="J3502" s="3">
        <v>43899</v>
      </c>
      <c r="K3502" s="2">
        <v>51</v>
      </c>
      <c r="L3502" s="2" t="s">
        <v>80</v>
      </c>
      <c r="M3502" s="3"/>
    </row>
    <row r="3503" spans="1:13" x14ac:dyDescent="0.3">
      <c r="A3503" s="2">
        <v>3502</v>
      </c>
      <c r="B3503" s="2" t="s">
        <v>357</v>
      </c>
      <c r="C3503" s="2" t="s">
        <v>1162</v>
      </c>
      <c r="D3503" s="2" t="s">
        <v>28</v>
      </c>
      <c r="E3503" s="2" t="s">
        <v>29</v>
      </c>
      <c r="F3503" s="2">
        <v>60</v>
      </c>
      <c r="G3503" s="2" t="s">
        <v>8176</v>
      </c>
      <c r="H3503" s="2" t="s">
        <v>5327</v>
      </c>
      <c r="I3503" s="2" t="s">
        <v>187</v>
      </c>
      <c r="J3503" s="3">
        <v>44219</v>
      </c>
      <c r="K3503" s="2">
        <v>4</v>
      </c>
      <c r="L3503" s="2" t="s">
        <v>45</v>
      </c>
      <c r="M3503" s="3"/>
    </row>
    <row r="3504" spans="1:13" x14ac:dyDescent="0.3">
      <c r="A3504" s="2">
        <v>3503</v>
      </c>
      <c r="B3504" s="2" t="s">
        <v>8177</v>
      </c>
      <c r="C3504" s="2" t="s">
        <v>1749</v>
      </c>
      <c r="D3504" s="2" t="s">
        <v>15</v>
      </c>
      <c r="E3504" s="2" t="s">
        <v>16</v>
      </c>
      <c r="F3504" s="2">
        <v>90</v>
      </c>
      <c r="G3504" s="2" t="s">
        <v>8178</v>
      </c>
      <c r="H3504" s="2" t="s">
        <v>5132</v>
      </c>
      <c r="I3504" s="2" t="s">
        <v>32</v>
      </c>
      <c r="J3504" s="3">
        <v>44866</v>
      </c>
      <c r="K3504" s="2">
        <v>60</v>
      </c>
      <c r="L3504" s="2" t="s">
        <v>101</v>
      </c>
      <c r="M3504" s="3"/>
    </row>
    <row r="3505" spans="1:13" x14ac:dyDescent="0.3">
      <c r="A3505" s="2">
        <v>3504</v>
      </c>
      <c r="B3505" s="2" t="s">
        <v>8179</v>
      </c>
      <c r="C3505" s="2" t="s">
        <v>1932</v>
      </c>
      <c r="D3505" s="2" t="s">
        <v>51</v>
      </c>
      <c r="E3505" s="2" t="s">
        <v>16</v>
      </c>
      <c r="F3505" s="2">
        <v>30</v>
      </c>
      <c r="G3505" s="2" t="s">
        <v>8180</v>
      </c>
      <c r="H3505" s="2" t="s">
        <v>7004</v>
      </c>
      <c r="I3505" s="2" t="s">
        <v>208</v>
      </c>
      <c r="J3505" s="3">
        <v>44655</v>
      </c>
      <c r="K3505" s="2">
        <v>72</v>
      </c>
      <c r="L3505" s="2" t="s">
        <v>39</v>
      </c>
      <c r="M3505" s="3"/>
    </row>
    <row r="3506" spans="1:13" x14ac:dyDescent="0.3">
      <c r="A3506" s="2">
        <v>3505</v>
      </c>
      <c r="B3506" s="2" t="s">
        <v>2571</v>
      </c>
      <c r="C3506" s="2" t="s">
        <v>1191</v>
      </c>
      <c r="D3506" s="2" t="s">
        <v>28</v>
      </c>
      <c r="E3506" s="2" t="s">
        <v>29</v>
      </c>
      <c r="F3506" s="2">
        <v>90</v>
      </c>
      <c r="G3506" s="2" t="s">
        <v>8181</v>
      </c>
      <c r="H3506" s="2" t="s">
        <v>1819</v>
      </c>
      <c r="I3506" s="2" t="s">
        <v>89</v>
      </c>
      <c r="J3506" s="3">
        <v>44197</v>
      </c>
      <c r="K3506" s="2">
        <v>78</v>
      </c>
      <c r="L3506" s="2" t="s">
        <v>101</v>
      </c>
      <c r="M3506" s="3"/>
    </row>
    <row r="3507" spans="1:13" x14ac:dyDescent="0.3">
      <c r="A3507" s="2">
        <v>3506</v>
      </c>
      <c r="B3507" s="2" t="s">
        <v>8182</v>
      </c>
      <c r="C3507" s="2" t="s">
        <v>5764</v>
      </c>
      <c r="D3507" s="2" t="s">
        <v>51</v>
      </c>
      <c r="E3507" s="2" t="s">
        <v>16</v>
      </c>
      <c r="F3507" s="2">
        <v>90</v>
      </c>
      <c r="G3507" s="2" t="s">
        <v>8183</v>
      </c>
      <c r="H3507" s="2" t="s">
        <v>7642</v>
      </c>
      <c r="I3507" s="2" t="s">
        <v>32</v>
      </c>
      <c r="J3507" s="3">
        <v>44021</v>
      </c>
      <c r="K3507" s="2">
        <v>73</v>
      </c>
      <c r="L3507" s="2" t="s">
        <v>39</v>
      </c>
      <c r="M3507" s="3"/>
    </row>
    <row r="3508" spans="1:13" x14ac:dyDescent="0.3">
      <c r="A3508" s="2">
        <v>3507</v>
      </c>
      <c r="B3508" s="2" t="s">
        <v>8184</v>
      </c>
      <c r="C3508" s="2" t="s">
        <v>2507</v>
      </c>
      <c r="D3508" s="2" t="s">
        <v>51</v>
      </c>
      <c r="E3508" s="2" t="s">
        <v>16</v>
      </c>
      <c r="F3508" s="2">
        <v>90</v>
      </c>
      <c r="G3508" s="2" t="s">
        <v>8185</v>
      </c>
      <c r="H3508" s="2" t="s">
        <v>3866</v>
      </c>
      <c r="I3508" s="2" t="s">
        <v>32</v>
      </c>
      <c r="J3508" s="3">
        <v>44459</v>
      </c>
      <c r="K3508" s="2">
        <v>48</v>
      </c>
      <c r="L3508" s="2" t="s">
        <v>70</v>
      </c>
      <c r="M3508" s="3"/>
    </row>
    <row r="3509" spans="1:13" x14ac:dyDescent="0.3">
      <c r="A3509" s="2">
        <v>3508</v>
      </c>
      <c r="B3509" s="2" t="s">
        <v>555</v>
      </c>
      <c r="C3509" s="2" t="s">
        <v>1204</v>
      </c>
      <c r="D3509" s="2" t="s">
        <v>28</v>
      </c>
      <c r="E3509" s="2" t="s">
        <v>29</v>
      </c>
      <c r="F3509" s="2">
        <v>90</v>
      </c>
      <c r="G3509" s="2" t="s">
        <v>8186</v>
      </c>
      <c r="H3509" s="2" t="s">
        <v>1249</v>
      </c>
      <c r="I3509" s="2" t="s">
        <v>146</v>
      </c>
      <c r="J3509" s="3">
        <v>43900</v>
      </c>
      <c r="K3509" s="2">
        <v>73</v>
      </c>
      <c r="L3509" s="2" t="s">
        <v>39</v>
      </c>
      <c r="M3509" s="3"/>
    </row>
    <row r="3510" spans="1:13" x14ac:dyDescent="0.3">
      <c r="A3510" s="2">
        <v>3509</v>
      </c>
      <c r="B3510" s="2" t="s">
        <v>8187</v>
      </c>
      <c r="C3510" s="2" t="s">
        <v>2339</v>
      </c>
      <c r="D3510" s="2" t="s">
        <v>117</v>
      </c>
      <c r="E3510" s="2" t="s">
        <v>29</v>
      </c>
      <c r="F3510" s="2">
        <v>90</v>
      </c>
      <c r="G3510" s="2" t="s">
        <v>8188</v>
      </c>
      <c r="H3510" s="2" t="s">
        <v>8121</v>
      </c>
      <c r="I3510" s="2" t="s">
        <v>44</v>
      </c>
      <c r="J3510" s="3">
        <v>44714</v>
      </c>
      <c r="K3510" s="2">
        <v>55</v>
      </c>
      <c r="L3510" s="2" t="s">
        <v>45</v>
      </c>
      <c r="M3510" s="3"/>
    </row>
    <row r="3511" spans="1:13" x14ac:dyDescent="0.3">
      <c r="A3511" s="2">
        <v>3510</v>
      </c>
      <c r="B3511" s="2" t="s">
        <v>8189</v>
      </c>
      <c r="C3511" s="2" t="s">
        <v>1247</v>
      </c>
      <c r="D3511" s="2" t="s">
        <v>51</v>
      </c>
      <c r="E3511" s="2" t="s">
        <v>16</v>
      </c>
      <c r="F3511" s="2">
        <v>30</v>
      </c>
      <c r="G3511" s="2" t="s">
        <v>8188</v>
      </c>
      <c r="H3511" s="2" t="s">
        <v>1575</v>
      </c>
      <c r="I3511" s="2" t="s">
        <v>1576</v>
      </c>
      <c r="J3511" s="3">
        <v>44533</v>
      </c>
      <c r="K3511" s="2">
        <v>2</v>
      </c>
      <c r="L3511" s="2" t="s">
        <v>45</v>
      </c>
      <c r="M3511" s="3"/>
    </row>
    <row r="3512" spans="1:13" x14ac:dyDescent="0.3">
      <c r="A3512" s="2">
        <v>3511</v>
      </c>
      <c r="B3512" s="2" t="s">
        <v>6837</v>
      </c>
      <c r="C3512" s="2" t="s">
        <v>5328</v>
      </c>
      <c r="D3512" s="2" t="s">
        <v>28</v>
      </c>
      <c r="E3512" s="2" t="s">
        <v>29</v>
      </c>
      <c r="F3512" s="2">
        <v>30</v>
      </c>
      <c r="G3512" s="2" t="s">
        <v>8190</v>
      </c>
      <c r="H3512" s="2" t="s">
        <v>8191</v>
      </c>
      <c r="I3512" s="2" t="s">
        <v>886</v>
      </c>
      <c r="J3512" s="3">
        <v>44414</v>
      </c>
      <c r="K3512" s="2">
        <v>37</v>
      </c>
      <c r="L3512" s="2" t="s">
        <v>101</v>
      </c>
      <c r="M3512" s="3"/>
    </row>
    <row r="3513" spans="1:13" x14ac:dyDescent="0.3">
      <c r="A3513" s="2">
        <v>3512</v>
      </c>
      <c r="B3513" s="2" t="s">
        <v>967</v>
      </c>
      <c r="C3513" s="2" t="s">
        <v>940</v>
      </c>
      <c r="D3513" s="2" t="s">
        <v>28</v>
      </c>
      <c r="E3513" s="2" t="s">
        <v>29</v>
      </c>
      <c r="F3513" s="2">
        <v>60</v>
      </c>
      <c r="G3513" s="2" t="s">
        <v>8192</v>
      </c>
      <c r="H3513" s="2" t="s">
        <v>1743</v>
      </c>
      <c r="I3513" s="2" t="s">
        <v>1744</v>
      </c>
      <c r="J3513" s="3">
        <v>44095</v>
      </c>
      <c r="K3513" s="2">
        <v>81</v>
      </c>
      <c r="L3513" s="2" t="s">
        <v>159</v>
      </c>
      <c r="M3513" s="3"/>
    </row>
    <row r="3514" spans="1:13" x14ac:dyDescent="0.3">
      <c r="A3514" s="2">
        <v>3513</v>
      </c>
      <c r="B3514" s="2" t="s">
        <v>4916</v>
      </c>
      <c r="C3514" s="2" t="s">
        <v>5081</v>
      </c>
      <c r="D3514" s="2" t="s">
        <v>28</v>
      </c>
      <c r="E3514" s="2" t="s">
        <v>29</v>
      </c>
      <c r="F3514" s="2">
        <v>90</v>
      </c>
      <c r="G3514" s="2" t="s">
        <v>8193</v>
      </c>
      <c r="H3514" s="2" t="s">
        <v>2577</v>
      </c>
      <c r="I3514" s="2" t="s">
        <v>645</v>
      </c>
      <c r="J3514" s="3">
        <v>44781</v>
      </c>
      <c r="K3514" s="2">
        <v>41</v>
      </c>
      <c r="L3514" s="2" t="s">
        <v>45</v>
      </c>
      <c r="M3514" s="3"/>
    </row>
    <row r="3515" spans="1:13" x14ac:dyDescent="0.3">
      <c r="A3515" s="2">
        <v>3514</v>
      </c>
      <c r="B3515" s="2" t="s">
        <v>6630</v>
      </c>
      <c r="C3515" s="2" t="s">
        <v>3719</v>
      </c>
      <c r="D3515" s="2" t="s">
        <v>51</v>
      </c>
      <c r="E3515" s="2" t="s">
        <v>16</v>
      </c>
      <c r="F3515" s="2">
        <v>30</v>
      </c>
      <c r="G3515" s="2" t="s">
        <v>8194</v>
      </c>
      <c r="H3515" s="2" t="s">
        <v>8195</v>
      </c>
      <c r="I3515" s="2" t="s">
        <v>32</v>
      </c>
      <c r="J3515" s="3">
        <v>44609</v>
      </c>
      <c r="K3515" s="2">
        <v>95</v>
      </c>
      <c r="L3515" s="2" t="s">
        <v>80</v>
      </c>
      <c r="M3515" s="3"/>
    </row>
    <row r="3516" spans="1:13" x14ac:dyDescent="0.3">
      <c r="A3516" s="2">
        <v>3515</v>
      </c>
      <c r="B3516" s="2" t="s">
        <v>8196</v>
      </c>
      <c r="C3516" s="2" t="s">
        <v>1072</v>
      </c>
      <c r="D3516" s="2" t="s">
        <v>28</v>
      </c>
      <c r="E3516" s="2" t="s">
        <v>29</v>
      </c>
      <c r="F3516" s="2">
        <v>60</v>
      </c>
      <c r="G3516" s="2" t="s">
        <v>8197</v>
      </c>
      <c r="H3516" s="2" t="s">
        <v>3882</v>
      </c>
      <c r="I3516" s="2" t="s">
        <v>38</v>
      </c>
      <c r="J3516" s="3">
        <v>44154</v>
      </c>
      <c r="K3516" s="2">
        <v>24</v>
      </c>
      <c r="L3516" s="2" t="s">
        <v>54</v>
      </c>
      <c r="M3516" s="3"/>
    </row>
    <row r="3517" spans="1:13" x14ac:dyDescent="0.3">
      <c r="A3517" s="2">
        <v>3516</v>
      </c>
      <c r="B3517" s="2" t="s">
        <v>8198</v>
      </c>
      <c r="C3517" s="2" t="s">
        <v>4422</v>
      </c>
      <c r="D3517" s="2" t="s">
        <v>15</v>
      </c>
      <c r="E3517" s="2" t="s">
        <v>16</v>
      </c>
      <c r="F3517" s="2">
        <v>60</v>
      </c>
      <c r="G3517" s="2" t="s">
        <v>8199</v>
      </c>
      <c r="H3517" s="2" t="s">
        <v>3651</v>
      </c>
      <c r="I3517" s="2" t="s">
        <v>294</v>
      </c>
      <c r="J3517" s="3">
        <v>44658</v>
      </c>
      <c r="K3517" s="2">
        <v>48</v>
      </c>
      <c r="L3517" s="2" t="s">
        <v>20</v>
      </c>
      <c r="M3517" s="3"/>
    </row>
    <row r="3518" spans="1:13" x14ac:dyDescent="0.3">
      <c r="A3518" s="2">
        <v>3517</v>
      </c>
      <c r="B3518" s="2" t="s">
        <v>7498</v>
      </c>
      <c r="C3518" s="2" t="s">
        <v>8113</v>
      </c>
      <c r="D3518" s="2" t="s">
        <v>28</v>
      </c>
      <c r="E3518" s="2" t="s">
        <v>29</v>
      </c>
      <c r="F3518" s="2">
        <v>60</v>
      </c>
      <c r="G3518" s="2" t="s">
        <v>8200</v>
      </c>
      <c r="H3518" s="2" t="s">
        <v>1969</v>
      </c>
      <c r="I3518" s="2" t="s">
        <v>32</v>
      </c>
      <c r="J3518" s="3">
        <v>43865</v>
      </c>
      <c r="K3518" s="2">
        <v>19</v>
      </c>
      <c r="L3518" s="2" t="s">
        <v>33</v>
      </c>
      <c r="M3518" s="3"/>
    </row>
    <row r="3519" spans="1:13" x14ac:dyDescent="0.3">
      <c r="A3519" s="2">
        <v>3518</v>
      </c>
      <c r="B3519" s="2" t="s">
        <v>7136</v>
      </c>
      <c r="C3519" s="2" t="s">
        <v>5325</v>
      </c>
      <c r="D3519" s="2" t="s">
        <v>51</v>
      </c>
      <c r="E3519" s="2" t="s">
        <v>16</v>
      </c>
      <c r="F3519" s="2">
        <v>60</v>
      </c>
      <c r="G3519" s="2" t="s">
        <v>8201</v>
      </c>
      <c r="H3519" s="2" t="s">
        <v>3770</v>
      </c>
      <c r="I3519" s="2" t="s">
        <v>32</v>
      </c>
      <c r="J3519" s="3">
        <v>44031</v>
      </c>
      <c r="K3519" s="2">
        <v>36</v>
      </c>
      <c r="L3519" s="2" t="s">
        <v>101</v>
      </c>
      <c r="M3519" s="3"/>
    </row>
    <row r="3520" spans="1:13" x14ac:dyDescent="0.3">
      <c r="A3520" s="2">
        <v>3519</v>
      </c>
      <c r="B3520" s="2" t="s">
        <v>7657</v>
      </c>
      <c r="C3520" s="2" t="s">
        <v>5211</v>
      </c>
      <c r="D3520" s="2" t="s">
        <v>28</v>
      </c>
      <c r="E3520" s="2" t="s">
        <v>29</v>
      </c>
      <c r="F3520" s="2">
        <v>30</v>
      </c>
      <c r="G3520" s="2" t="s">
        <v>8202</v>
      </c>
      <c r="H3520" s="2" t="s">
        <v>3673</v>
      </c>
      <c r="I3520" s="2" t="s">
        <v>777</v>
      </c>
      <c r="J3520" s="3">
        <v>44036</v>
      </c>
      <c r="K3520" s="2">
        <v>44</v>
      </c>
      <c r="L3520" s="2" t="s">
        <v>54</v>
      </c>
      <c r="M3520" s="3"/>
    </row>
    <row r="3521" spans="1:13" x14ac:dyDescent="0.3">
      <c r="A3521" s="2">
        <v>3520</v>
      </c>
      <c r="B3521" s="2" t="s">
        <v>8203</v>
      </c>
      <c r="C3521" s="2" t="s">
        <v>1826</v>
      </c>
      <c r="D3521" s="2" t="s">
        <v>28</v>
      </c>
      <c r="E3521" s="2" t="s">
        <v>29</v>
      </c>
      <c r="F3521" s="2">
        <v>60</v>
      </c>
      <c r="G3521" s="2" t="s">
        <v>8204</v>
      </c>
      <c r="H3521" s="2" t="s">
        <v>8205</v>
      </c>
      <c r="I3521" s="2" t="s">
        <v>25</v>
      </c>
      <c r="J3521" s="3">
        <v>44855</v>
      </c>
      <c r="K3521" s="2">
        <v>17</v>
      </c>
      <c r="L3521" s="2" t="s">
        <v>39</v>
      </c>
      <c r="M3521" s="3"/>
    </row>
    <row r="3522" spans="1:13" x14ac:dyDescent="0.3">
      <c r="A3522" s="2">
        <v>3521</v>
      </c>
      <c r="B3522" s="2" t="s">
        <v>3370</v>
      </c>
      <c r="C3522" s="2" t="s">
        <v>551</v>
      </c>
      <c r="D3522" s="2" t="s">
        <v>28</v>
      </c>
      <c r="E3522" s="2" t="s">
        <v>29</v>
      </c>
      <c r="F3522" s="2">
        <v>60</v>
      </c>
      <c r="G3522" s="2" t="s">
        <v>8206</v>
      </c>
      <c r="H3522" s="2" t="s">
        <v>1937</v>
      </c>
      <c r="I3522" s="2" t="s">
        <v>25</v>
      </c>
      <c r="J3522" s="3">
        <v>44769</v>
      </c>
      <c r="K3522" s="2">
        <v>87</v>
      </c>
      <c r="L3522" s="2" t="s">
        <v>80</v>
      </c>
      <c r="M3522" s="3"/>
    </row>
    <row r="3523" spans="1:13" x14ac:dyDescent="0.3">
      <c r="A3523" s="2">
        <v>3522</v>
      </c>
      <c r="B3523" s="2" t="s">
        <v>835</v>
      </c>
      <c r="C3523" s="2" t="s">
        <v>3019</v>
      </c>
      <c r="D3523" s="2" t="s">
        <v>51</v>
      </c>
      <c r="E3523" s="2" t="s">
        <v>16</v>
      </c>
      <c r="F3523" s="2">
        <v>30</v>
      </c>
      <c r="G3523" s="2" t="s">
        <v>8207</v>
      </c>
      <c r="H3523" s="2" t="s">
        <v>8030</v>
      </c>
      <c r="I3523" s="2" t="s">
        <v>32</v>
      </c>
      <c r="J3523" s="3">
        <v>44223</v>
      </c>
      <c r="K3523" s="2">
        <v>78</v>
      </c>
      <c r="L3523" s="2" t="s">
        <v>80</v>
      </c>
      <c r="M3523" s="3"/>
    </row>
    <row r="3524" spans="1:13" x14ac:dyDescent="0.3">
      <c r="A3524" s="2">
        <v>3523</v>
      </c>
      <c r="B3524" s="2" t="s">
        <v>8208</v>
      </c>
      <c r="C3524" s="2" t="s">
        <v>8209</v>
      </c>
      <c r="D3524" s="2" t="s">
        <v>15</v>
      </c>
      <c r="E3524" s="2" t="s">
        <v>16</v>
      </c>
      <c r="F3524" s="2">
        <v>30</v>
      </c>
      <c r="G3524" s="2" t="s">
        <v>8210</v>
      </c>
      <c r="H3524" s="2" t="s">
        <v>1042</v>
      </c>
      <c r="I3524" s="2" t="s">
        <v>32</v>
      </c>
      <c r="J3524" s="3">
        <v>44541</v>
      </c>
      <c r="K3524" s="2">
        <v>32</v>
      </c>
      <c r="L3524" s="2" t="s">
        <v>20</v>
      </c>
      <c r="M3524" s="3"/>
    </row>
    <row r="3525" spans="1:13" x14ac:dyDescent="0.3">
      <c r="A3525" s="2">
        <v>3524</v>
      </c>
      <c r="B3525" s="2" t="s">
        <v>8211</v>
      </c>
      <c r="C3525" s="2" t="s">
        <v>2874</v>
      </c>
      <c r="D3525" s="2" t="s">
        <v>28</v>
      </c>
      <c r="E3525" s="2" t="s">
        <v>29</v>
      </c>
      <c r="F3525" s="2">
        <v>30</v>
      </c>
      <c r="G3525" s="2" t="s">
        <v>8212</v>
      </c>
      <c r="H3525" s="2" t="s">
        <v>8000</v>
      </c>
      <c r="I3525" s="2" t="s">
        <v>32</v>
      </c>
      <c r="J3525" s="3">
        <v>44299</v>
      </c>
      <c r="K3525" s="2">
        <v>84</v>
      </c>
      <c r="L3525" s="2" t="s">
        <v>45</v>
      </c>
      <c r="M3525" s="3"/>
    </row>
    <row r="3526" spans="1:13" x14ac:dyDescent="0.3">
      <c r="A3526" s="2">
        <v>3525</v>
      </c>
      <c r="B3526" s="2" t="s">
        <v>4909</v>
      </c>
      <c r="C3526" s="2" t="s">
        <v>4574</v>
      </c>
      <c r="D3526" s="2" t="s">
        <v>51</v>
      </c>
      <c r="E3526" s="2" t="s">
        <v>16</v>
      </c>
      <c r="F3526" s="2">
        <v>90</v>
      </c>
      <c r="G3526" s="2" t="s">
        <v>8213</v>
      </c>
      <c r="H3526" s="2" t="s">
        <v>191</v>
      </c>
      <c r="I3526" s="2" t="s">
        <v>89</v>
      </c>
      <c r="J3526" s="3">
        <v>44215</v>
      </c>
      <c r="K3526" s="2">
        <v>64</v>
      </c>
      <c r="L3526" s="2" t="s">
        <v>101</v>
      </c>
      <c r="M3526" s="3"/>
    </row>
    <row r="3527" spans="1:13" x14ac:dyDescent="0.3">
      <c r="A3527" s="2">
        <v>3526</v>
      </c>
      <c r="B3527" s="2" t="s">
        <v>8214</v>
      </c>
      <c r="C3527" s="2" t="s">
        <v>1810</v>
      </c>
      <c r="D3527" s="2" t="s">
        <v>15</v>
      </c>
      <c r="E3527" s="2" t="s">
        <v>16</v>
      </c>
      <c r="F3527" s="2">
        <v>90</v>
      </c>
      <c r="G3527" s="2" t="s">
        <v>8213</v>
      </c>
      <c r="H3527" s="2" t="s">
        <v>4874</v>
      </c>
      <c r="I3527" s="2" t="s">
        <v>32</v>
      </c>
      <c r="J3527" s="3">
        <v>44339</v>
      </c>
      <c r="K3527" s="2">
        <v>28</v>
      </c>
      <c r="L3527" s="2" t="s">
        <v>101</v>
      </c>
      <c r="M3527" s="3"/>
    </row>
    <row r="3528" spans="1:13" x14ac:dyDescent="0.3">
      <c r="A3528" s="2">
        <v>3527</v>
      </c>
      <c r="B3528" s="2" t="s">
        <v>3443</v>
      </c>
      <c r="C3528" s="2" t="s">
        <v>6314</v>
      </c>
      <c r="D3528" s="2" t="s">
        <v>28</v>
      </c>
      <c r="E3528" s="2" t="s">
        <v>29</v>
      </c>
      <c r="F3528" s="2">
        <v>90</v>
      </c>
      <c r="G3528" s="2" t="s">
        <v>8215</v>
      </c>
      <c r="H3528" s="2" t="s">
        <v>726</v>
      </c>
      <c r="I3528" s="2" t="s">
        <v>32</v>
      </c>
      <c r="J3528" s="3">
        <v>44301</v>
      </c>
      <c r="K3528" s="2">
        <v>90</v>
      </c>
      <c r="L3528" s="2" t="s">
        <v>20</v>
      </c>
      <c r="M3528" s="3"/>
    </row>
    <row r="3529" spans="1:13" x14ac:dyDescent="0.3">
      <c r="A3529" s="2">
        <v>3528</v>
      </c>
      <c r="B3529" s="2" t="s">
        <v>8216</v>
      </c>
      <c r="C3529" s="2" t="s">
        <v>2453</v>
      </c>
      <c r="D3529" s="2" t="s">
        <v>41</v>
      </c>
      <c r="E3529" s="2" t="s">
        <v>16</v>
      </c>
      <c r="F3529" s="2">
        <v>90</v>
      </c>
      <c r="G3529" s="2" t="s">
        <v>8217</v>
      </c>
      <c r="H3529" s="2" t="s">
        <v>7343</v>
      </c>
      <c r="I3529" s="2" t="s">
        <v>1126</v>
      </c>
      <c r="J3529" s="3">
        <v>44704</v>
      </c>
      <c r="K3529" s="2">
        <v>77</v>
      </c>
      <c r="L3529" s="2" t="s">
        <v>39</v>
      </c>
      <c r="M3529" s="3"/>
    </row>
    <row r="3530" spans="1:13" x14ac:dyDescent="0.3">
      <c r="A3530" s="2">
        <v>3529</v>
      </c>
      <c r="B3530" s="2" t="s">
        <v>3003</v>
      </c>
      <c r="C3530" s="2" t="s">
        <v>6216</v>
      </c>
      <c r="D3530" s="2" t="s">
        <v>51</v>
      </c>
      <c r="E3530" s="2" t="s">
        <v>16</v>
      </c>
      <c r="F3530" s="2">
        <v>60</v>
      </c>
      <c r="G3530" s="2" t="s">
        <v>8218</v>
      </c>
      <c r="H3530" s="2" t="s">
        <v>6</v>
      </c>
      <c r="I3530" s="2" t="s">
        <v>32</v>
      </c>
      <c r="J3530" s="3">
        <v>43840</v>
      </c>
      <c r="K3530" s="2">
        <v>19</v>
      </c>
      <c r="L3530" s="2" t="s">
        <v>64</v>
      </c>
      <c r="M3530" s="3"/>
    </row>
    <row r="3531" spans="1:13" x14ac:dyDescent="0.3">
      <c r="A3531" s="2">
        <v>3530</v>
      </c>
      <c r="B3531" s="2" t="s">
        <v>8219</v>
      </c>
      <c r="C3531" s="2" t="s">
        <v>6789</v>
      </c>
      <c r="D3531" s="2" t="s">
        <v>15</v>
      </c>
      <c r="E3531" s="2" t="s">
        <v>16</v>
      </c>
      <c r="F3531" s="2">
        <v>30</v>
      </c>
      <c r="G3531" s="2" t="s">
        <v>8220</v>
      </c>
      <c r="H3531" s="2" t="s">
        <v>7642</v>
      </c>
      <c r="I3531" s="2" t="s">
        <v>32</v>
      </c>
      <c r="J3531" s="3">
        <v>43985</v>
      </c>
      <c r="K3531" s="2">
        <v>6</v>
      </c>
      <c r="L3531" s="2" t="s">
        <v>159</v>
      </c>
      <c r="M3531" s="3"/>
    </row>
    <row r="3532" spans="1:13" x14ac:dyDescent="0.3">
      <c r="A3532" s="2">
        <v>3531</v>
      </c>
      <c r="B3532" s="2" t="s">
        <v>8221</v>
      </c>
      <c r="C3532" s="2" t="s">
        <v>3413</v>
      </c>
      <c r="D3532" s="2" t="s">
        <v>15</v>
      </c>
      <c r="E3532" s="2" t="s">
        <v>16</v>
      </c>
      <c r="F3532" s="2">
        <v>90</v>
      </c>
      <c r="G3532" s="2" t="s">
        <v>8222</v>
      </c>
      <c r="H3532" s="2" t="s">
        <v>7700</v>
      </c>
      <c r="I3532" s="2" t="s">
        <v>32</v>
      </c>
      <c r="J3532" s="3">
        <v>44420</v>
      </c>
      <c r="K3532" s="2">
        <v>26</v>
      </c>
      <c r="L3532" s="2" t="s">
        <v>64</v>
      </c>
      <c r="M3532" s="3"/>
    </row>
    <row r="3533" spans="1:13" x14ac:dyDescent="0.3">
      <c r="A3533" s="2">
        <v>3532</v>
      </c>
      <c r="B3533" s="2" t="s">
        <v>4803</v>
      </c>
      <c r="C3533" s="2" t="s">
        <v>372</v>
      </c>
      <c r="D3533" s="2" t="s">
        <v>28</v>
      </c>
      <c r="E3533" s="2" t="s">
        <v>29</v>
      </c>
      <c r="F3533" s="2">
        <v>60</v>
      </c>
      <c r="G3533" s="2" t="s">
        <v>8223</v>
      </c>
      <c r="H3533" s="2" t="s">
        <v>1541</v>
      </c>
      <c r="I3533" s="2" t="s">
        <v>32</v>
      </c>
      <c r="J3533" s="3">
        <v>44739</v>
      </c>
      <c r="K3533" s="2">
        <v>36</v>
      </c>
      <c r="L3533" s="2" t="s">
        <v>101</v>
      </c>
      <c r="M3533" s="3"/>
    </row>
    <row r="3534" spans="1:13" x14ac:dyDescent="0.3">
      <c r="A3534" s="2">
        <v>3533</v>
      </c>
      <c r="B3534" s="2" t="s">
        <v>364</v>
      </c>
      <c r="C3534" s="2" t="s">
        <v>5100</v>
      </c>
      <c r="D3534" s="2" t="s">
        <v>15</v>
      </c>
      <c r="E3534" s="2" t="s">
        <v>16</v>
      </c>
      <c r="F3534" s="2">
        <v>90</v>
      </c>
      <c r="G3534" s="2" t="s">
        <v>8224</v>
      </c>
      <c r="H3534" s="2" t="s">
        <v>2875</v>
      </c>
      <c r="I3534" s="2" t="s">
        <v>32</v>
      </c>
      <c r="J3534" s="3">
        <v>44315</v>
      </c>
      <c r="K3534" s="2">
        <v>79</v>
      </c>
      <c r="L3534" s="2" t="s">
        <v>54</v>
      </c>
      <c r="M3534" s="3"/>
    </row>
    <row r="3535" spans="1:13" x14ac:dyDescent="0.3">
      <c r="A3535" s="2">
        <v>3534</v>
      </c>
      <c r="B3535" s="2" t="s">
        <v>6401</v>
      </c>
      <c r="C3535" s="2" t="s">
        <v>4603</v>
      </c>
      <c r="D3535" s="2" t="s">
        <v>28</v>
      </c>
      <c r="E3535" s="2" t="s">
        <v>29</v>
      </c>
      <c r="F3535" s="2">
        <v>30</v>
      </c>
      <c r="G3535" s="2" t="s">
        <v>8225</v>
      </c>
      <c r="H3535" s="2" t="s">
        <v>2931</v>
      </c>
      <c r="I3535" s="2" t="s">
        <v>32</v>
      </c>
      <c r="J3535" s="3">
        <v>44803</v>
      </c>
      <c r="K3535" s="2">
        <v>94</v>
      </c>
      <c r="L3535" s="2" t="s">
        <v>80</v>
      </c>
      <c r="M3535" s="3"/>
    </row>
    <row r="3536" spans="1:13" x14ac:dyDescent="0.3">
      <c r="A3536" s="2">
        <v>3535</v>
      </c>
      <c r="B3536" s="2" t="s">
        <v>8226</v>
      </c>
      <c r="C3536" s="2" t="s">
        <v>8227</v>
      </c>
      <c r="D3536" s="2" t="s">
        <v>15</v>
      </c>
      <c r="E3536" s="2" t="s">
        <v>16</v>
      </c>
      <c r="F3536" s="2">
        <v>30</v>
      </c>
      <c r="G3536" s="2" t="s">
        <v>8228</v>
      </c>
      <c r="H3536" s="2" t="s">
        <v>2599</v>
      </c>
      <c r="I3536" s="2" t="s">
        <v>25</v>
      </c>
      <c r="J3536" s="3">
        <v>43940</v>
      </c>
      <c r="K3536" s="2">
        <v>11</v>
      </c>
      <c r="L3536" s="2" t="s">
        <v>45</v>
      </c>
      <c r="M3536" s="3"/>
    </row>
    <row r="3537" spans="1:13" x14ac:dyDescent="0.3">
      <c r="A3537" s="2">
        <v>3536</v>
      </c>
      <c r="B3537" s="2" t="s">
        <v>8229</v>
      </c>
      <c r="C3537" s="2" t="s">
        <v>5332</v>
      </c>
      <c r="D3537" s="2" t="s">
        <v>15</v>
      </c>
      <c r="E3537" s="2" t="s">
        <v>16</v>
      </c>
      <c r="F3537" s="2">
        <v>60</v>
      </c>
      <c r="G3537" s="2" t="s">
        <v>8230</v>
      </c>
      <c r="H3537" s="2" t="s">
        <v>1082</v>
      </c>
      <c r="I3537" s="2" t="s">
        <v>1083</v>
      </c>
      <c r="J3537" s="3">
        <v>43971</v>
      </c>
      <c r="K3537" s="2">
        <v>64</v>
      </c>
      <c r="L3537" s="2" t="s">
        <v>20</v>
      </c>
      <c r="M3537" s="3"/>
    </row>
    <row r="3538" spans="1:13" x14ac:dyDescent="0.3">
      <c r="A3538" s="2">
        <v>3537</v>
      </c>
      <c r="B3538" s="2" t="s">
        <v>1128</v>
      </c>
      <c r="C3538" s="2" t="s">
        <v>6296</v>
      </c>
      <c r="D3538" s="2" t="s">
        <v>28</v>
      </c>
      <c r="E3538" s="2" t="s">
        <v>29</v>
      </c>
      <c r="F3538" s="2">
        <v>30</v>
      </c>
      <c r="G3538" s="2" t="s">
        <v>8231</v>
      </c>
      <c r="H3538" s="2" t="s">
        <v>3666</v>
      </c>
      <c r="I3538" s="2" t="s">
        <v>1483</v>
      </c>
      <c r="J3538" s="3">
        <v>44497</v>
      </c>
      <c r="K3538" s="2">
        <v>56</v>
      </c>
      <c r="L3538" s="2" t="s">
        <v>101</v>
      </c>
      <c r="M3538" s="3"/>
    </row>
    <row r="3539" spans="1:13" x14ac:dyDescent="0.3">
      <c r="A3539" s="2">
        <v>3538</v>
      </c>
      <c r="B3539" s="2" t="s">
        <v>8232</v>
      </c>
      <c r="C3539" s="2" t="s">
        <v>2824</v>
      </c>
      <c r="D3539" s="2" t="s">
        <v>15</v>
      </c>
      <c r="E3539" s="2" t="s">
        <v>16</v>
      </c>
      <c r="F3539" s="2">
        <v>90</v>
      </c>
      <c r="G3539" s="2" t="s">
        <v>8233</v>
      </c>
      <c r="H3539" s="2" t="s">
        <v>1272</v>
      </c>
      <c r="I3539" s="2" t="s">
        <v>59</v>
      </c>
      <c r="J3539" s="3">
        <v>44415</v>
      </c>
      <c r="K3539" s="2">
        <v>53</v>
      </c>
      <c r="L3539" s="2" t="s">
        <v>159</v>
      </c>
      <c r="M3539" s="3"/>
    </row>
    <row r="3540" spans="1:13" x14ac:dyDescent="0.3">
      <c r="A3540" s="2">
        <v>3539</v>
      </c>
      <c r="B3540" s="2" t="s">
        <v>5737</v>
      </c>
      <c r="C3540" s="2" t="s">
        <v>4583</v>
      </c>
      <c r="D3540" s="2" t="s">
        <v>28</v>
      </c>
      <c r="E3540" s="2" t="s">
        <v>29</v>
      </c>
      <c r="F3540" s="2">
        <v>90</v>
      </c>
      <c r="G3540" s="2" t="s">
        <v>8234</v>
      </c>
      <c r="H3540" s="2" t="s">
        <v>2408</v>
      </c>
      <c r="I3540" s="2" t="s">
        <v>187</v>
      </c>
      <c r="J3540" s="3">
        <v>44347</v>
      </c>
      <c r="K3540" s="2">
        <v>62</v>
      </c>
      <c r="L3540" s="2" t="s">
        <v>101</v>
      </c>
      <c r="M3540" s="3"/>
    </row>
    <row r="3541" spans="1:13" x14ac:dyDescent="0.3">
      <c r="A3541" s="2">
        <v>3540</v>
      </c>
      <c r="B3541" s="2" t="s">
        <v>3946</v>
      </c>
      <c r="C3541" s="2" t="s">
        <v>2561</v>
      </c>
      <c r="D3541" s="2" t="s">
        <v>28</v>
      </c>
      <c r="E3541" s="2" t="s">
        <v>29</v>
      </c>
      <c r="F3541" s="2">
        <v>30</v>
      </c>
      <c r="G3541" s="2" t="s">
        <v>8235</v>
      </c>
      <c r="H3541" s="2" t="s">
        <v>5420</v>
      </c>
      <c r="I3541" s="2" t="s">
        <v>32</v>
      </c>
      <c r="J3541" s="3">
        <v>43939</v>
      </c>
      <c r="K3541" s="2">
        <v>39</v>
      </c>
      <c r="L3541" s="2" t="s">
        <v>33</v>
      </c>
      <c r="M3541" s="3"/>
    </row>
    <row r="3542" spans="1:13" x14ac:dyDescent="0.3">
      <c r="A3542" s="2">
        <v>3541</v>
      </c>
      <c r="B3542" s="2" t="s">
        <v>496</v>
      </c>
      <c r="C3542" s="2" t="s">
        <v>2928</v>
      </c>
      <c r="D3542" s="2" t="s">
        <v>28</v>
      </c>
      <c r="E3542" s="2" t="s">
        <v>29</v>
      </c>
      <c r="F3542" s="2">
        <v>90</v>
      </c>
      <c r="G3542" s="2" t="s">
        <v>3222</v>
      </c>
      <c r="H3542" s="2" t="s">
        <v>5736</v>
      </c>
      <c r="I3542" s="2" t="s">
        <v>95</v>
      </c>
      <c r="J3542" s="3">
        <v>44246</v>
      </c>
      <c r="K3542" s="2">
        <v>73</v>
      </c>
      <c r="L3542" s="2" t="s">
        <v>64</v>
      </c>
      <c r="M3542" s="3"/>
    </row>
    <row r="3543" spans="1:13" x14ac:dyDescent="0.3">
      <c r="A3543" s="2">
        <v>3542</v>
      </c>
      <c r="B3543" s="2" t="s">
        <v>7864</v>
      </c>
      <c r="C3543" s="2" t="s">
        <v>8236</v>
      </c>
      <c r="D3543" s="2" t="s">
        <v>51</v>
      </c>
      <c r="E3543" s="2" t="s">
        <v>16</v>
      </c>
      <c r="F3543" s="2">
        <v>60</v>
      </c>
      <c r="G3543" s="2" t="s">
        <v>8237</v>
      </c>
      <c r="H3543" s="2" t="s">
        <v>4293</v>
      </c>
      <c r="I3543" s="2" t="s">
        <v>38</v>
      </c>
      <c r="J3543" s="3">
        <v>44158</v>
      </c>
      <c r="K3543" s="2">
        <v>5</v>
      </c>
      <c r="L3543" s="2" t="s">
        <v>45</v>
      </c>
      <c r="M3543" s="3"/>
    </row>
    <row r="3544" spans="1:13" x14ac:dyDescent="0.3">
      <c r="A3544" s="2">
        <v>3543</v>
      </c>
      <c r="B3544" s="2" t="s">
        <v>8238</v>
      </c>
      <c r="C3544" s="2" t="s">
        <v>3732</v>
      </c>
      <c r="D3544" s="2" t="s">
        <v>28</v>
      </c>
      <c r="E3544" s="2" t="s">
        <v>29</v>
      </c>
      <c r="F3544" s="2">
        <v>30</v>
      </c>
      <c r="G3544" s="2" t="s">
        <v>8239</v>
      </c>
      <c r="H3544" s="2" t="s">
        <v>3651</v>
      </c>
      <c r="I3544" s="2" t="s">
        <v>294</v>
      </c>
      <c r="J3544" s="3">
        <v>44767</v>
      </c>
      <c r="K3544" s="2">
        <v>52</v>
      </c>
      <c r="L3544" s="2" t="s">
        <v>20</v>
      </c>
      <c r="M3544" s="3"/>
    </row>
    <row r="3545" spans="1:13" x14ac:dyDescent="0.3">
      <c r="A3545" s="2">
        <v>3544</v>
      </c>
      <c r="B3545" s="2" t="s">
        <v>8240</v>
      </c>
      <c r="C3545" s="2" t="s">
        <v>2257</v>
      </c>
      <c r="D3545" s="2" t="s">
        <v>51</v>
      </c>
      <c r="E3545" s="2" t="s">
        <v>16</v>
      </c>
      <c r="F3545" s="2">
        <v>90</v>
      </c>
      <c r="G3545" s="2" t="s">
        <v>8241</v>
      </c>
      <c r="H3545" s="2" t="s">
        <v>1612</v>
      </c>
      <c r="I3545" s="2" t="s">
        <v>240</v>
      </c>
      <c r="J3545" s="3">
        <v>44717</v>
      </c>
      <c r="K3545" s="2">
        <v>67</v>
      </c>
      <c r="L3545" s="2" t="s">
        <v>54</v>
      </c>
      <c r="M3545" s="3"/>
    </row>
    <row r="3546" spans="1:13" x14ac:dyDescent="0.3">
      <c r="A3546" s="2">
        <v>3545</v>
      </c>
      <c r="B3546" s="2" t="s">
        <v>8242</v>
      </c>
      <c r="C3546" s="2" t="s">
        <v>2037</v>
      </c>
      <c r="D3546" s="2" t="s">
        <v>15</v>
      </c>
      <c r="E3546" s="2" t="s">
        <v>16</v>
      </c>
      <c r="F3546" s="2">
        <v>30</v>
      </c>
      <c r="G3546" s="2" t="s">
        <v>8243</v>
      </c>
      <c r="H3546" s="2" t="s">
        <v>6687</v>
      </c>
      <c r="I3546" s="2" t="s">
        <v>32</v>
      </c>
      <c r="J3546" s="3">
        <v>43897</v>
      </c>
      <c r="K3546" s="2">
        <v>43</v>
      </c>
      <c r="L3546" s="2" t="s">
        <v>80</v>
      </c>
      <c r="M3546" s="3"/>
    </row>
    <row r="3547" spans="1:13" x14ac:dyDescent="0.3">
      <c r="A3547" s="2">
        <v>3546</v>
      </c>
      <c r="B3547" s="2" t="s">
        <v>6459</v>
      </c>
      <c r="C3547" s="2" t="s">
        <v>7779</v>
      </c>
      <c r="D3547" s="2" t="s">
        <v>28</v>
      </c>
      <c r="E3547" s="2" t="s">
        <v>3085</v>
      </c>
      <c r="F3547" s="2">
        <v>60</v>
      </c>
      <c r="G3547" s="2" t="s">
        <v>8244</v>
      </c>
      <c r="H3547" s="2" t="s">
        <v>894</v>
      </c>
      <c r="I3547" s="2" t="s">
        <v>38</v>
      </c>
      <c r="J3547" s="3">
        <v>44402</v>
      </c>
      <c r="K3547" s="2">
        <v>65</v>
      </c>
      <c r="L3547" s="2" t="s">
        <v>45</v>
      </c>
      <c r="M3547" s="3"/>
    </row>
    <row r="3548" spans="1:13" x14ac:dyDescent="0.3">
      <c r="A3548" s="2">
        <v>3547</v>
      </c>
      <c r="B3548" s="2" t="s">
        <v>8245</v>
      </c>
      <c r="C3548" s="2" t="s">
        <v>4340</v>
      </c>
      <c r="D3548" s="2" t="s">
        <v>15</v>
      </c>
      <c r="E3548" s="2" t="s">
        <v>16</v>
      </c>
      <c r="F3548" s="2">
        <v>60</v>
      </c>
      <c r="G3548" s="2" t="s">
        <v>8246</v>
      </c>
      <c r="H3548" s="2" t="s">
        <v>3261</v>
      </c>
      <c r="I3548" s="2" t="s">
        <v>124</v>
      </c>
      <c r="J3548" s="3">
        <v>44882</v>
      </c>
      <c r="K3548" s="2">
        <v>75</v>
      </c>
      <c r="L3548" s="2" t="s">
        <v>159</v>
      </c>
      <c r="M3548" s="3"/>
    </row>
    <row r="3549" spans="1:13" x14ac:dyDescent="0.3">
      <c r="A3549" s="2">
        <v>3548</v>
      </c>
      <c r="B3549" s="2" t="s">
        <v>6847</v>
      </c>
      <c r="C3549" s="2" t="s">
        <v>6810</v>
      </c>
      <c r="D3549" s="2" t="s">
        <v>51</v>
      </c>
      <c r="E3549" s="2" t="s">
        <v>16</v>
      </c>
      <c r="F3549" s="2">
        <v>30</v>
      </c>
      <c r="G3549" s="2" t="s">
        <v>8247</v>
      </c>
      <c r="H3549" s="2" t="s">
        <v>1992</v>
      </c>
      <c r="I3549" s="2" t="s">
        <v>32</v>
      </c>
      <c r="J3549" s="3">
        <v>43959</v>
      </c>
      <c r="K3549" s="2">
        <v>28</v>
      </c>
      <c r="L3549" s="2" t="s">
        <v>101</v>
      </c>
      <c r="M3549" s="3"/>
    </row>
    <row r="3550" spans="1:13" x14ac:dyDescent="0.3">
      <c r="A3550" s="2">
        <v>3549</v>
      </c>
      <c r="B3550" s="2" t="s">
        <v>4233</v>
      </c>
      <c r="C3550" s="2" t="s">
        <v>2210</v>
      </c>
      <c r="D3550" s="2" t="s">
        <v>28</v>
      </c>
      <c r="E3550" s="2" t="s">
        <v>29</v>
      </c>
      <c r="F3550" s="2">
        <v>60</v>
      </c>
      <c r="G3550" s="2" t="s">
        <v>8248</v>
      </c>
      <c r="H3550" s="2" t="s">
        <v>8249</v>
      </c>
      <c r="I3550" s="2" t="s">
        <v>19</v>
      </c>
      <c r="J3550" s="3">
        <v>44868</v>
      </c>
      <c r="K3550" s="2">
        <v>69</v>
      </c>
      <c r="L3550" s="2" t="s">
        <v>39</v>
      </c>
      <c r="M3550" s="3"/>
    </row>
    <row r="3551" spans="1:13" x14ac:dyDescent="0.3">
      <c r="A3551" s="2">
        <v>3550</v>
      </c>
      <c r="B3551" s="2" t="s">
        <v>8250</v>
      </c>
      <c r="C3551" s="2" t="s">
        <v>2207</v>
      </c>
      <c r="D3551" s="2" t="s">
        <v>51</v>
      </c>
      <c r="E3551" s="2" t="s">
        <v>16</v>
      </c>
      <c r="F3551" s="2">
        <v>30</v>
      </c>
      <c r="G3551" s="2" t="s">
        <v>8248</v>
      </c>
      <c r="H3551" s="2" t="s">
        <v>350</v>
      </c>
      <c r="I3551" s="2" t="s">
        <v>25</v>
      </c>
      <c r="J3551" s="3">
        <v>44842</v>
      </c>
      <c r="K3551" s="2">
        <v>41</v>
      </c>
      <c r="L3551" s="2" t="s">
        <v>101</v>
      </c>
      <c r="M3551" s="3"/>
    </row>
    <row r="3552" spans="1:13" x14ac:dyDescent="0.3">
      <c r="A3552" s="2">
        <v>3551</v>
      </c>
      <c r="B3552" s="2" t="s">
        <v>8251</v>
      </c>
      <c r="C3552" s="2" t="s">
        <v>1384</v>
      </c>
      <c r="D3552" s="2" t="s">
        <v>51</v>
      </c>
      <c r="E3552" s="2" t="s">
        <v>16</v>
      </c>
      <c r="F3552" s="2">
        <v>90</v>
      </c>
      <c r="G3552" s="2" t="s">
        <v>8252</v>
      </c>
      <c r="H3552" s="2" t="s">
        <v>2982</v>
      </c>
      <c r="I3552" s="2" t="s">
        <v>2983</v>
      </c>
      <c r="J3552" s="3">
        <v>44907</v>
      </c>
      <c r="K3552" s="2">
        <v>46</v>
      </c>
      <c r="L3552" s="2" t="s">
        <v>80</v>
      </c>
      <c r="M3552" s="3"/>
    </row>
    <row r="3553" spans="1:13" x14ac:dyDescent="0.3">
      <c r="A3553" s="2">
        <v>3552</v>
      </c>
      <c r="B3553" s="2" t="s">
        <v>8253</v>
      </c>
      <c r="C3553" s="2" t="s">
        <v>665</v>
      </c>
      <c r="D3553" s="2" t="s">
        <v>28</v>
      </c>
      <c r="E3553" s="2" t="s">
        <v>29</v>
      </c>
      <c r="F3553" s="2">
        <v>90</v>
      </c>
      <c r="G3553" s="2" t="s">
        <v>8254</v>
      </c>
      <c r="H3553" s="2" t="s">
        <v>288</v>
      </c>
      <c r="I3553" s="2" t="s">
        <v>32</v>
      </c>
      <c r="J3553" s="3">
        <v>44289</v>
      </c>
      <c r="K3553" s="2">
        <v>12</v>
      </c>
      <c r="L3553" s="2" t="s">
        <v>33</v>
      </c>
      <c r="M3553" s="3"/>
    </row>
    <row r="3554" spans="1:13" x14ac:dyDescent="0.3">
      <c r="A3554" s="2">
        <v>3553</v>
      </c>
      <c r="B3554" s="2" t="s">
        <v>1682</v>
      </c>
      <c r="C3554" s="2" t="s">
        <v>4352</v>
      </c>
      <c r="D3554" s="2" t="s">
        <v>28</v>
      </c>
      <c r="E3554" s="2" t="s">
        <v>29</v>
      </c>
      <c r="F3554" s="2">
        <v>30</v>
      </c>
      <c r="G3554" s="2" t="s">
        <v>8255</v>
      </c>
      <c r="H3554" s="2" t="s">
        <v>5214</v>
      </c>
      <c r="I3554" s="2" t="s">
        <v>95</v>
      </c>
      <c r="J3554" s="3">
        <v>44135</v>
      </c>
      <c r="K3554" s="2">
        <v>49</v>
      </c>
      <c r="L3554" s="2" t="s">
        <v>70</v>
      </c>
      <c r="M3554" s="3"/>
    </row>
    <row r="3555" spans="1:13" x14ac:dyDescent="0.3">
      <c r="A3555" s="2">
        <v>3554</v>
      </c>
      <c r="B3555" s="2" t="s">
        <v>8256</v>
      </c>
      <c r="C3555" s="2" t="s">
        <v>5891</v>
      </c>
      <c r="D3555" s="2" t="s">
        <v>51</v>
      </c>
      <c r="E3555" s="2" t="s">
        <v>16</v>
      </c>
      <c r="F3555" s="2">
        <v>60</v>
      </c>
      <c r="G3555" s="2" t="s">
        <v>8257</v>
      </c>
      <c r="H3555" s="2" t="s">
        <v>2742</v>
      </c>
      <c r="I3555" s="2" t="s">
        <v>124</v>
      </c>
      <c r="J3555" s="3">
        <v>44431</v>
      </c>
      <c r="K3555" s="2">
        <v>40</v>
      </c>
      <c r="L3555" s="2" t="s">
        <v>80</v>
      </c>
      <c r="M3555" s="3"/>
    </row>
    <row r="3556" spans="1:13" x14ac:dyDescent="0.3">
      <c r="A3556" s="2">
        <v>3555</v>
      </c>
      <c r="B3556" s="2" t="s">
        <v>6274</v>
      </c>
      <c r="C3556" s="2" t="s">
        <v>5653</v>
      </c>
      <c r="D3556" s="2" t="s">
        <v>28</v>
      </c>
      <c r="E3556" s="2" t="s">
        <v>29</v>
      </c>
      <c r="F3556" s="2">
        <v>60</v>
      </c>
      <c r="G3556" s="2" t="s">
        <v>8258</v>
      </c>
      <c r="H3556" s="2" t="s">
        <v>3462</v>
      </c>
      <c r="I3556" s="2" t="s">
        <v>32</v>
      </c>
      <c r="J3556" s="3">
        <v>44140</v>
      </c>
      <c r="K3556" s="2">
        <v>74</v>
      </c>
      <c r="L3556" s="2" t="s">
        <v>64</v>
      </c>
      <c r="M3556" s="3"/>
    </row>
    <row r="3557" spans="1:13" x14ac:dyDescent="0.3">
      <c r="A3557" s="2">
        <v>3556</v>
      </c>
      <c r="B3557" s="2" t="s">
        <v>8259</v>
      </c>
      <c r="C3557" s="2" t="s">
        <v>5359</v>
      </c>
      <c r="D3557" s="2" t="s">
        <v>51</v>
      </c>
      <c r="E3557" s="2" t="s">
        <v>16</v>
      </c>
      <c r="F3557" s="2">
        <v>90</v>
      </c>
      <c r="G3557" s="2" t="s">
        <v>8260</v>
      </c>
      <c r="H3557" s="2" t="s">
        <v>1764</v>
      </c>
      <c r="I3557" s="2" t="s">
        <v>124</v>
      </c>
      <c r="J3557" s="3">
        <v>44148</v>
      </c>
      <c r="K3557" s="2">
        <v>71</v>
      </c>
      <c r="L3557" s="2" t="s">
        <v>45</v>
      </c>
      <c r="M3557" s="3"/>
    </row>
    <row r="3558" spans="1:13" x14ac:dyDescent="0.3">
      <c r="A3558" s="2">
        <v>3557</v>
      </c>
      <c r="B3558" s="2" t="s">
        <v>8261</v>
      </c>
      <c r="C3558" s="2" t="s">
        <v>5926</v>
      </c>
      <c r="D3558" s="2" t="s">
        <v>28</v>
      </c>
      <c r="E3558" s="2" t="s">
        <v>29</v>
      </c>
      <c r="F3558" s="2">
        <v>30</v>
      </c>
      <c r="G3558" s="2" t="s">
        <v>8262</v>
      </c>
      <c r="H3558" s="2" t="s">
        <v>5603</v>
      </c>
      <c r="I3558" s="2" t="s">
        <v>32</v>
      </c>
      <c r="J3558" s="3">
        <v>43913</v>
      </c>
      <c r="K3558" s="2">
        <v>58</v>
      </c>
      <c r="L3558" s="2" t="s">
        <v>54</v>
      </c>
      <c r="M3558" s="3"/>
    </row>
    <row r="3559" spans="1:13" x14ac:dyDescent="0.3">
      <c r="A3559" s="2">
        <v>3558</v>
      </c>
      <c r="B3559" s="2" t="s">
        <v>8263</v>
      </c>
      <c r="C3559" s="2" t="s">
        <v>1072</v>
      </c>
      <c r="D3559" s="2" t="s">
        <v>15</v>
      </c>
      <c r="E3559" s="2" t="s">
        <v>16</v>
      </c>
      <c r="F3559" s="2">
        <v>60</v>
      </c>
      <c r="G3559" s="2" t="s">
        <v>8264</v>
      </c>
      <c r="H3559" s="2" t="s">
        <v>3387</v>
      </c>
      <c r="I3559" s="2" t="s">
        <v>2878</v>
      </c>
      <c r="J3559" s="3">
        <v>44650</v>
      </c>
      <c r="K3559" s="2">
        <v>10</v>
      </c>
      <c r="L3559" s="2" t="s">
        <v>80</v>
      </c>
      <c r="M3559" s="3"/>
    </row>
    <row r="3560" spans="1:13" x14ac:dyDescent="0.3">
      <c r="A3560" s="2">
        <v>3559</v>
      </c>
      <c r="B3560" s="2" t="s">
        <v>8265</v>
      </c>
      <c r="C3560" s="2" t="s">
        <v>736</v>
      </c>
      <c r="D3560" s="2" t="s">
        <v>41</v>
      </c>
      <c r="E3560" s="2" t="s">
        <v>16</v>
      </c>
      <c r="F3560" s="2">
        <v>60</v>
      </c>
      <c r="G3560" s="2" t="s">
        <v>8266</v>
      </c>
      <c r="H3560" s="2" t="s">
        <v>2649</v>
      </c>
      <c r="I3560" s="2" t="s">
        <v>32</v>
      </c>
      <c r="J3560" s="3">
        <v>44212</v>
      </c>
      <c r="K3560" s="2">
        <v>37</v>
      </c>
      <c r="L3560" s="2" t="s">
        <v>20</v>
      </c>
      <c r="M3560" s="3"/>
    </row>
    <row r="3561" spans="1:13" x14ac:dyDescent="0.3">
      <c r="A3561" s="2">
        <v>3560</v>
      </c>
      <c r="B3561" s="2" t="s">
        <v>8267</v>
      </c>
      <c r="C3561" s="2" t="s">
        <v>759</v>
      </c>
      <c r="D3561" s="2" t="s">
        <v>15</v>
      </c>
      <c r="E3561" s="2" t="s">
        <v>16</v>
      </c>
      <c r="F3561" s="2">
        <v>60</v>
      </c>
      <c r="G3561" s="2" t="s">
        <v>8268</v>
      </c>
      <c r="H3561" s="2" t="s">
        <v>1901</v>
      </c>
      <c r="I3561" s="2" t="s">
        <v>178</v>
      </c>
      <c r="J3561" s="3">
        <v>44717</v>
      </c>
      <c r="K3561" s="2">
        <v>60</v>
      </c>
      <c r="L3561" s="2" t="s">
        <v>159</v>
      </c>
      <c r="M3561" s="3"/>
    </row>
    <row r="3562" spans="1:13" x14ac:dyDescent="0.3">
      <c r="A3562" s="2">
        <v>3561</v>
      </c>
      <c r="B3562" s="2" t="s">
        <v>3469</v>
      </c>
      <c r="C3562" s="2" t="s">
        <v>3430</v>
      </c>
      <c r="D3562" s="2" t="s">
        <v>28</v>
      </c>
      <c r="E3562" s="2" t="s">
        <v>29</v>
      </c>
      <c r="F3562" s="2">
        <v>30</v>
      </c>
      <c r="G3562" s="2" t="s">
        <v>8268</v>
      </c>
      <c r="H3562" s="2" t="s">
        <v>8269</v>
      </c>
      <c r="I3562" s="2" t="s">
        <v>146</v>
      </c>
      <c r="J3562" s="3">
        <v>43885</v>
      </c>
      <c r="K3562" s="2">
        <v>20</v>
      </c>
      <c r="L3562" s="2" t="s">
        <v>54</v>
      </c>
      <c r="M3562" s="3"/>
    </row>
    <row r="3563" spans="1:13" x14ac:dyDescent="0.3">
      <c r="A3563" s="2">
        <v>3562</v>
      </c>
      <c r="B3563" s="2" t="s">
        <v>8270</v>
      </c>
      <c r="C3563" s="2" t="s">
        <v>4444</v>
      </c>
      <c r="D3563" s="2" t="s">
        <v>28</v>
      </c>
      <c r="E3563" s="2" t="s">
        <v>29</v>
      </c>
      <c r="F3563" s="2">
        <v>30</v>
      </c>
      <c r="G3563" s="2" t="s">
        <v>8271</v>
      </c>
      <c r="H3563" s="2" t="s">
        <v>4111</v>
      </c>
      <c r="I3563" s="2" t="s">
        <v>95</v>
      </c>
      <c r="J3563" s="3">
        <v>44495</v>
      </c>
      <c r="K3563" s="2">
        <v>75</v>
      </c>
      <c r="L3563" s="2" t="s">
        <v>80</v>
      </c>
      <c r="M3563" s="3"/>
    </row>
    <row r="3564" spans="1:13" x14ac:dyDescent="0.3">
      <c r="A3564" s="2">
        <v>3563</v>
      </c>
      <c r="B3564" s="2" t="s">
        <v>6932</v>
      </c>
      <c r="C3564" s="2" t="s">
        <v>508</v>
      </c>
      <c r="D3564" s="2" t="s">
        <v>28</v>
      </c>
      <c r="E3564" s="2" t="s">
        <v>29</v>
      </c>
      <c r="F3564" s="2">
        <v>60</v>
      </c>
      <c r="G3564" s="2" t="s">
        <v>8272</v>
      </c>
      <c r="H3564" s="2" t="s">
        <v>611</v>
      </c>
      <c r="I3564" s="2" t="s">
        <v>32</v>
      </c>
      <c r="J3564" s="3">
        <v>44157</v>
      </c>
      <c r="K3564" s="2">
        <v>11</v>
      </c>
      <c r="L3564" s="2" t="s">
        <v>39</v>
      </c>
      <c r="M3564" s="3"/>
    </row>
    <row r="3565" spans="1:13" x14ac:dyDescent="0.3">
      <c r="A3565" s="2">
        <v>3564</v>
      </c>
      <c r="B3565" s="2" t="s">
        <v>8273</v>
      </c>
      <c r="C3565" s="2" t="s">
        <v>4609</v>
      </c>
      <c r="D3565" s="2" t="s">
        <v>15</v>
      </c>
      <c r="E3565" s="2" t="s">
        <v>16</v>
      </c>
      <c r="F3565" s="2">
        <v>30</v>
      </c>
      <c r="G3565" s="2" t="s">
        <v>8274</v>
      </c>
      <c r="H3565" s="2" t="s">
        <v>7004</v>
      </c>
      <c r="I3565" s="2" t="s">
        <v>208</v>
      </c>
      <c r="J3565" s="3">
        <v>44146</v>
      </c>
      <c r="K3565" s="2">
        <v>52</v>
      </c>
      <c r="L3565" s="2" t="s">
        <v>64</v>
      </c>
      <c r="M3565" s="3"/>
    </row>
    <row r="3566" spans="1:13" x14ac:dyDescent="0.3">
      <c r="A3566" s="2">
        <v>3565</v>
      </c>
      <c r="B3566" s="2" t="s">
        <v>8275</v>
      </c>
      <c r="C3566" s="2" t="s">
        <v>620</v>
      </c>
      <c r="D3566" s="2" t="s">
        <v>41</v>
      </c>
      <c r="E3566" s="2" t="s">
        <v>16</v>
      </c>
      <c r="F3566" s="2">
        <v>90</v>
      </c>
      <c r="G3566" s="2" t="s">
        <v>8276</v>
      </c>
      <c r="H3566" s="2" t="s">
        <v>4662</v>
      </c>
      <c r="I3566" s="2" t="s">
        <v>32</v>
      </c>
      <c r="J3566" s="3">
        <v>43942</v>
      </c>
      <c r="K3566" s="2">
        <v>6</v>
      </c>
      <c r="L3566" s="2" t="s">
        <v>39</v>
      </c>
      <c r="M3566" s="3"/>
    </row>
    <row r="3567" spans="1:13" x14ac:dyDescent="0.3">
      <c r="A3567" s="2">
        <v>3566</v>
      </c>
      <c r="B3567" s="2" t="s">
        <v>7611</v>
      </c>
      <c r="C3567" s="2" t="s">
        <v>152</v>
      </c>
      <c r="D3567" s="2" t="s">
        <v>15</v>
      </c>
      <c r="E3567" s="2" t="s">
        <v>16</v>
      </c>
      <c r="F3567" s="2">
        <v>60</v>
      </c>
      <c r="G3567" s="2" t="s">
        <v>8277</v>
      </c>
      <c r="H3567" s="2" t="s">
        <v>6000</v>
      </c>
      <c r="I3567" s="2" t="s">
        <v>178</v>
      </c>
      <c r="J3567" s="3">
        <v>44049</v>
      </c>
      <c r="K3567" s="2">
        <v>85</v>
      </c>
      <c r="L3567" s="2" t="s">
        <v>70</v>
      </c>
      <c r="M3567" s="3"/>
    </row>
    <row r="3568" spans="1:13" x14ac:dyDescent="0.3">
      <c r="A3568" s="2">
        <v>3567</v>
      </c>
      <c r="B3568" s="2" t="s">
        <v>1850</v>
      </c>
      <c r="C3568" s="2" t="s">
        <v>4750</v>
      </c>
      <c r="D3568" s="2" t="s">
        <v>28</v>
      </c>
      <c r="E3568" s="2" t="s">
        <v>29</v>
      </c>
      <c r="F3568" s="2">
        <v>30</v>
      </c>
      <c r="G3568" s="2" t="s">
        <v>8278</v>
      </c>
      <c r="H3568" s="2" t="s">
        <v>2834</v>
      </c>
      <c r="I3568" s="2" t="s">
        <v>19</v>
      </c>
      <c r="J3568" s="3">
        <v>44712</v>
      </c>
      <c r="K3568" s="2">
        <v>63</v>
      </c>
      <c r="L3568" s="2" t="s">
        <v>80</v>
      </c>
      <c r="M3568" s="3"/>
    </row>
    <row r="3569" spans="1:13" x14ac:dyDescent="0.3">
      <c r="A3569" s="2">
        <v>3568</v>
      </c>
      <c r="B3569" s="2" t="s">
        <v>8279</v>
      </c>
      <c r="C3569" s="2" t="s">
        <v>2191</v>
      </c>
      <c r="D3569" s="2" t="s">
        <v>51</v>
      </c>
      <c r="E3569" s="2" t="s">
        <v>16</v>
      </c>
      <c r="F3569" s="2">
        <v>60</v>
      </c>
      <c r="G3569" s="2" t="s">
        <v>8278</v>
      </c>
      <c r="H3569" s="2" t="s">
        <v>5915</v>
      </c>
      <c r="I3569" s="2" t="s">
        <v>32</v>
      </c>
      <c r="J3569" s="3">
        <v>43990</v>
      </c>
      <c r="K3569" s="2">
        <v>59</v>
      </c>
      <c r="L3569" s="2" t="s">
        <v>159</v>
      </c>
      <c r="M3569" s="3"/>
    </row>
    <row r="3570" spans="1:13" x14ac:dyDescent="0.3">
      <c r="A3570" s="2">
        <v>3569</v>
      </c>
      <c r="B3570" s="2" t="s">
        <v>8280</v>
      </c>
      <c r="C3570" s="2" t="s">
        <v>2367</v>
      </c>
      <c r="D3570" s="2" t="s">
        <v>15</v>
      </c>
      <c r="E3570" s="2" t="s">
        <v>16</v>
      </c>
      <c r="F3570" s="2">
        <v>60</v>
      </c>
      <c r="G3570" s="2" t="s">
        <v>8281</v>
      </c>
      <c r="H3570" s="2" t="s">
        <v>570</v>
      </c>
      <c r="I3570" s="2" t="s">
        <v>187</v>
      </c>
      <c r="J3570" s="3">
        <v>43995</v>
      </c>
      <c r="K3570" s="2">
        <v>20</v>
      </c>
      <c r="L3570" s="2" t="s">
        <v>33</v>
      </c>
      <c r="M3570" s="3"/>
    </row>
    <row r="3571" spans="1:13" x14ac:dyDescent="0.3">
      <c r="A3571" s="2">
        <v>3570</v>
      </c>
      <c r="B3571" s="2" t="s">
        <v>8282</v>
      </c>
      <c r="C3571" s="2" t="s">
        <v>237</v>
      </c>
      <c r="D3571" s="2" t="s">
        <v>51</v>
      </c>
      <c r="E3571" s="2" t="s">
        <v>16</v>
      </c>
      <c r="F3571" s="2">
        <v>30</v>
      </c>
      <c r="G3571" s="2" t="s">
        <v>8283</v>
      </c>
      <c r="H3571" s="2" t="s">
        <v>474</v>
      </c>
      <c r="I3571" s="2" t="s">
        <v>475</v>
      </c>
      <c r="J3571" s="3">
        <v>44924</v>
      </c>
      <c r="K3571" s="2">
        <v>90</v>
      </c>
      <c r="L3571" s="2" t="s">
        <v>101</v>
      </c>
      <c r="M3571" s="3"/>
    </row>
    <row r="3572" spans="1:13" x14ac:dyDescent="0.3">
      <c r="A3572" s="2">
        <v>3571</v>
      </c>
      <c r="B3572" s="2" t="s">
        <v>8284</v>
      </c>
      <c r="C3572" s="2" t="s">
        <v>1692</v>
      </c>
      <c r="D3572" s="2" t="s">
        <v>51</v>
      </c>
      <c r="E3572" s="2" t="s">
        <v>16</v>
      </c>
      <c r="F3572" s="2">
        <v>30</v>
      </c>
      <c r="G3572" s="2" t="s">
        <v>8285</v>
      </c>
      <c r="H3572" s="2" t="s">
        <v>2179</v>
      </c>
      <c r="I3572" s="2" t="s">
        <v>294</v>
      </c>
      <c r="J3572" s="3">
        <v>44803</v>
      </c>
      <c r="K3572" s="2">
        <v>96</v>
      </c>
      <c r="L3572" s="2" t="s">
        <v>39</v>
      </c>
      <c r="M3572" s="3"/>
    </row>
    <row r="3573" spans="1:13" x14ac:dyDescent="0.3">
      <c r="A3573" s="2">
        <v>3572</v>
      </c>
      <c r="B3573" s="2" t="s">
        <v>8286</v>
      </c>
      <c r="C3573" s="2" t="s">
        <v>3037</v>
      </c>
      <c r="D3573" s="2" t="s">
        <v>92</v>
      </c>
      <c r="E3573" s="2" t="s">
        <v>16</v>
      </c>
      <c r="F3573" s="2">
        <v>90</v>
      </c>
      <c r="G3573" s="2" t="s">
        <v>8287</v>
      </c>
      <c r="H3573" s="2" t="s">
        <v>4081</v>
      </c>
      <c r="I3573" s="2" t="s">
        <v>32</v>
      </c>
      <c r="J3573" s="3">
        <v>43906</v>
      </c>
      <c r="K3573" s="2">
        <v>42</v>
      </c>
      <c r="L3573" s="2" t="s">
        <v>159</v>
      </c>
      <c r="M3573" s="3"/>
    </row>
    <row r="3574" spans="1:13" x14ac:dyDescent="0.3">
      <c r="A3574" s="2">
        <v>3573</v>
      </c>
      <c r="B3574" s="2" t="s">
        <v>8288</v>
      </c>
      <c r="C3574" s="2" t="s">
        <v>367</v>
      </c>
      <c r="D3574" s="2" t="s">
        <v>28</v>
      </c>
      <c r="E3574" s="2" t="s">
        <v>29</v>
      </c>
      <c r="F3574" s="2">
        <v>30</v>
      </c>
      <c r="G3574" s="2" t="s">
        <v>8289</v>
      </c>
      <c r="H3574" s="2" t="s">
        <v>2218</v>
      </c>
      <c r="I3574" s="2" t="s">
        <v>173</v>
      </c>
      <c r="J3574" s="3">
        <v>44560</v>
      </c>
      <c r="K3574" s="2">
        <v>58</v>
      </c>
      <c r="L3574" s="2" t="s">
        <v>101</v>
      </c>
      <c r="M3574" s="3"/>
    </row>
    <row r="3575" spans="1:13" x14ac:dyDescent="0.3">
      <c r="A3575" s="2">
        <v>3574</v>
      </c>
      <c r="B3575" s="2" t="s">
        <v>8290</v>
      </c>
      <c r="C3575" s="2" t="s">
        <v>8291</v>
      </c>
      <c r="D3575" s="2" t="s">
        <v>15</v>
      </c>
      <c r="E3575" s="2" t="s">
        <v>16</v>
      </c>
      <c r="F3575" s="2">
        <v>30</v>
      </c>
      <c r="G3575" s="2" t="s">
        <v>8292</v>
      </c>
      <c r="H3575" s="2" t="s">
        <v>1973</v>
      </c>
      <c r="I3575" s="2" t="s">
        <v>110</v>
      </c>
      <c r="J3575" s="3">
        <v>44078</v>
      </c>
      <c r="K3575" s="2">
        <v>19</v>
      </c>
      <c r="L3575" s="2" t="s">
        <v>54</v>
      </c>
      <c r="M3575" s="3"/>
    </row>
    <row r="3576" spans="1:13" x14ac:dyDescent="0.3">
      <c r="A3576" s="2">
        <v>3575</v>
      </c>
      <c r="B3576" s="2" t="s">
        <v>8293</v>
      </c>
      <c r="C3576" s="2" t="s">
        <v>8294</v>
      </c>
      <c r="D3576" s="2" t="s">
        <v>15</v>
      </c>
      <c r="E3576" s="2" t="s">
        <v>16</v>
      </c>
      <c r="F3576" s="2">
        <v>60</v>
      </c>
      <c r="G3576" s="2" t="s">
        <v>8295</v>
      </c>
      <c r="H3576" s="2" t="s">
        <v>3746</v>
      </c>
      <c r="I3576" s="2" t="s">
        <v>32</v>
      </c>
      <c r="J3576" s="3">
        <v>44660</v>
      </c>
      <c r="K3576" s="2">
        <v>61</v>
      </c>
      <c r="L3576" s="2" t="s">
        <v>80</v>
      </c>
      <c r="M3576" s="3"/>
    </row>
    <row r="3577" spans="1:13" x14ac:dyDescent="0.3">
      <c r="A3577" s="2">
        <v>3576</v>
      </c>
      <c r="B3577" s="2" t="s">
        <v>5168</v>
      </c>
      <c r="C3577" s="2" t="s">
        <v>931</v>
      </c>
      <c r="D3577" s="2" t="s">
        <v>28</v>
      </c>
      <c r="E3577" s="2" t="s">
        <v>29</v>
      </c>
      <c r="F3577" s="2">
        <v>30</v>
      </c>
      <c r="G3577" s="2" t="s">
        <v>8296</v>
      </c>
      <c r="H3577" s="2" t="s">
        <v>1378</v>
      </c>
      <c r="I3577" s="2" t="s">
        <v>32</v>
      </c>
      <c r="J3577" s="3">
        <v>44317</v>
      </c>
      <c r="K3577" s="2">
        <v>11</v>
      </c>
      <c r="L3577" s="2" t="s">
        <v>101</v>
      </c>
      <c r="M3577" s="3"/>
    </row>
    <row r="3578" spans="1:13" x14ac:dyDescent="0.3">
      <c r="A3578" s="2">
        <v>3577</v>
      </c>
      <c r="B3578" s="2" t="s">
        <v>3300</v>
      </c>
      <c r="C3578" s="2" t="s">
        <v>6073</v>
      </c>
      <c r="D3578" s="2" t="s">
        <v>28</v>
      </c>
      <c r="E3578" s="2" t="s">
        <v>29</v>
      </c>
      <c r="F3578" s="2">
        <v>30</v>
      </c>
      <c r="G3578" s="2" t="s">
        <v>8297</v>
      </c>
      <c r="H3578" s="2" t="s">
        <v>5376</v>
      </c>
      <c r="I3578" s="2" t="s">
        <v>32</v>
      </c>
      <c r="J3578" s="3">
        <v>43984</v>
      </c>
      <c r="K3578" s="2">
        <v>16</v>
      </c>
      <c r="L3578" s="2" t="s">
        <v>101</v>
      </c>
      <c r="M3578" s="3"/>
    </row>
    <row r="3579" spans="1:13" x14ac:dyDescent="0.3">
      <c r="A3579" s="2">
        <v>3578</v>
      </c>
      <c r="B3579" s="2" t="s">
        <v>1379</v>
      </c>
      <c r="C3579" s="2" t="s">
        <v>3014</v>
      </c>
      <c r="D3579" s="2" t="s">
        <v>28</v>
      </c>
      <c r="E3579" s="2" t="s">
        <v>29</v>
      </c>
      <c r="F3579" s="2">
        <v>30</v>
      </c>
      <c r="G3579" s="2" t="s">
        <v>8297</v>
      </c>
      <c r="H3579" s="2" t="s">
        <v>5686</v>
      </c>
      <c r="I3579" s="2" t="s">
        <v>32</v>
      </c>
      <c r="J3579" s="3">
        <v>43913</v>
      </c>
      <c r="K3579" s="2">
        <v>56</v>
      </c>
      <c r="L3579" s="2" t="s">
        <v>33</v>
      </c>
      <c r="M3579" s="3"/>
    </row>
    <row r="3580" spans="1:13" x14ac:dyDescent="0.3">
      <c r="A3580" s="2">
        <v>3579</v>
      </c>
      <c r="B3580" s="2" t="s">
        <v>8298</v>
      </c>
      <c r="C3580" s="2" t="s">
        <v>7652</v>
      </c>
      <c r="D3580" s="2" t="s">
        <v>15</v>
      </c>
      <c r="E3580" s="2" t="s">
        <v>16</v>
      </c>
      <c r="F3580" s="2">
        <v>30</v>
      </c>
      <c r="G3580" s="2" t="s">
        <v>8299</v>
      </c>
      <c r="H3580" s="2" t="s">
        <v>5995</v>
      </c>
      <c r="I3580" s="2" t="s">
        <v>187</v>
      </c>
      <c r="J3580" s="3">
        <v>44244</v>
      </c>
      <c r="K3580" s="2">
        <v>70</v>
      </c>
      <c r="L3580" s="2" t="s">
        <v>70</v>
      </c>
      <c r="M3580" s="3"/>
    </row>
    <row r="3581" spans="1:13" x14ac:dyDescent="0.3">
      <c r="A3581" s="2">
        <v>3580</v>
      </c>
      <c r="B3581" s="2" t="s">
        <v>7484</v>
      </c>
      <c r="C3581" s="2" t="s">
        <v>6534</v>
      </c>
      <c r="D3581" s="2" t="s">
        <v>41</v>
      </c>
      <c r="E3581" s="2" t="s">
        <v>16</v>
      </c>
      <c r="F3581" s="2">
        <v>90</v>
      </c>
      <c r="G3581" s="2" t="s">
        <v>8300</v>
      </c>
      <c r="H3581" s="2" t="s">
        <v>3984</v>
      </c>
      <c r="I3581" s="2" t="s">
        <v>32</v>
      </c>
      <c r="J3581" s="3">
        <v>44265</v>
      </c>
      <c r="K3581" s="2">
        <v>39</v>
      </c>
      <c r="L3581" s="2" t="s">
        <v>80</v>
      </c>
      <c r="M3581" s="3"/>
    </row>
    <row r="3582" spans="1:13" x14ac:dyDescent="0.3">
      <c r="A3582" s="2">
        <v>3581</v>
      </c>
      <c r="B3582" s="2" t="s">
        <v>8301</v>
      </c>
      <c r="C3582" s="2" t="s">
        <v>4903</v>
      </c>
      <c r="D3582" s="2" t="s">
        <v>51</v>
      </c>
      <c r="E3582" s="2" t="s">
        <v>16</v>
      </c>
      <c r="F3582" s="2">
        <v>30</v>
      </c>
      <c r="G3582" s="2" t="s">
        <v>8302</v>
      </c>
      <c r="H3582" s="2" t="s">
        <v>2583</v>
      </c>
      <c r="I3582" s="2" t="s">
        <v>32</v>
      </c>
      <c r="J3582" s="3">
        <v>44562</v>
      </c>
      <c r="K3582" s="2">
        <v>26</v>
      </c>
      <c r="L3582" s="2" t="s">
        <v>45</v>
      </c>
      <c r="M3582" s="3"/>
    </row>
    <row r="3583" spans="1:13" x14ac:dyDescent="0.3">
      <c r="A3583" s="2">
        <v>3582</v>
      </c>
      <c r="B3583" s="2" t="s">
        <v>232</v>
      </c>
      <c r="C3583" s="2" t="s">
        <v>3493</v>
      </c>
      <c r="D3583" s="2" t="s">
        <v>28</v>
      </c>
      <c r="E3583" s="2" t="s">
        <v>29</v>
      </c>
      <c r="F3583" s="2">
        <v>30</v>
      </c>
      <c r="G3583" s="2" t="s">
        <v>8303</v>
      </c>
      <c r="H3583" s="2" t="s">
        <v>109</v>
      </c>
      <c r="I3583" s="2" t="s">
        <v>110</v>
      </c>
      <c r="J3583" s="3">
        <v>44225</v>
      </c>
      <c r="K3583" s="2">
        <v>13</v>
      </c>
      <c r="L3583" s="2" t="s">
        <v>20</v>
      </c>
      <c r="M3583" s="3"/>
    </row>
    <row r="3584" spans="1:13" x14ac:dyDescent="0.3">
      <c r="A3584" s="2">
        <v>3583</v>
      </c>
      <c r="B3584" s="2" t="s">
        <v>8304</v>
      </c>
      <c r="C3584" s="2" t="s">
        <v>3102</v>
      </c>
      <c r="D3584" s="2" t="s">
        <v>15</v>
      </c>
      <c r="E3584" s="2" t="s">
        <v>16</v>
      </c>
      <c r="F3584" s="2">
        <v>30</v>
      </c>
      <c r="G3584" s="2" t="s">
        <v>8303</v>
      </c>
      <c r="H3584" s="2" t="s">
        <v>6228</v>
      </c>
      <c r="I3584" s="2" t="s">
        <v>187</v>
      </c>
      <c r="J3584" s="3">
        <v>44141</v>
      </c>
      <c r="K3584" s="2">
        <v>83</v>
      </c>
      <c r="L3584" s="2" t="s">
        <v>101</v>
      </c>
      <c r="M3584" s="3"/>
    </row>
    <row r="3585" spans="1:13" x14ac:dyDescent="0.3">
      <c r="A3585" s="2">
        <v>3584</v>
      </c>
      <c r="B3585" s="2" t="s">
        <v>752</v>
      </c>
      <c r="C3585" s="2" t="s">
        <v>1923</v>
      </c>
      <c r="D3585" s="2" t="s">
        <v>117</v>
      </c>
      <c r="E3585" s="2" t="s">
        <v>29</v>
      </c>
      <c r="F3585" s="2">
        <v>60</v>
      </c>
      <c r="G3585" s="2" t="s">
        <v>8305</v>
      </c>
      <c r="H3585" s="2" t="s">
        <v>1519</v>
      </c>
      <c r="I3585" s="2" t="s">
        <v>32</v>
      </c>
      <c r="J3585" s="3">
        <v>43936</v>
      </c>
      <c r="K3585" s="2">
        <v>2</v>
      </c>
      <c r="L3585" s="2" t="s">
        <v>54</v>
      </c>
      <c r="M3585" s="3"/>
    </row>
    <row r="3586" spans="1:13" x14ac:dyDescent="0.3">
      <c r="A3586" s="2">
        <v>3585</v>
      </c>
      <c r="B3586" s="2" t="s">
        <v>752</v>
      </c>
      <c r="C3586" s="2" t="s">
        <v>1923</v>
      </c>
      <c r="D3586" s="2" t="s">
        <v>117</v>
      </c>
      <c r="E3586" s="2" t="s">
        <v>29</v>
      </c>
      <c r="F3586" s="2">
        <v>60</v>
      </c>
      <c r="G3586" s="2" t="s">
        <v>8305</v>
      </c>
      <c r="H3586" s="2" t="s">
        <v>1519</v>
      </c>
      <c r="I3586" s="2" t="s">
        <v>32</v>
      </c>
      <c r="J3586" s="3">
        <v>43936</v>
      </c>
      <c r="K3586" s="2">
        <v>2</v>
      </c>
      <c r="L3586" s="2" t="s">
        <v>54</v>
      </c>
      <c r="M3586" s="3"/>
    </row>
    <row r="3587" spans="1:13" x14ac:dyDescent="0.3">
      <c r="A3587" s="2">
        <v>3586</v>
      </c>
      <c r="B3587" s="2" t="s">
        <v>6172</v>
      </c>
      <c r="C3587" s="2" t="s">
        <v>8306</v>
      </c>
      <c r="D3587" s="2" t="s">
        <v>28</v>
      </c>
      <c r="E3587" s="2" t="s">
        <v>29</v>
      </c>
      <c r="F3587" s="2">
        <v>30</v>
      </c>
      <c r="G3587" s="2" t="s">
        <v>8307</v>
      </c>
      <c r="H3587" s="2" t="s">
        <v>7844</v>
      </c>
      <c r="I3587" s="2" t="s">
        <v>124</v>
      </c>
      <c r="J3587" s="3">
        <v>44545</v>
      </c>
      <c r="K3587" s="2">
        <v>43</v>
      </c>
      <c r="L3587" s="2" t="s">
        <v>80</v>
      </c>
      <c r="M3587" s="3"/>
    </row>
    <row r="3588" spans="1:13" x14ac:dyDescent="0.3">
      <c r="A3588" s="2">
        <v>3587</v>
      </c>
      <c r="B3588" s="2" t="s">
        <v>8308</v>
      </c>
      <c r="C3588" s="2" t="s">
        <v>858</v>
      </c>
      <c r="D3588" s="2" t="s">
        <v>51</v>
      </c>
      <c r="E3588" s="2" t="s">
        <v>16</v>
      </c>
      <c r="F3588" s="2">
        <v>60</v>
      </c>
      <c r="G3588" s="2" t="s">
        <v>8309</v>
      </c>
      <c r="H3588" s="2" t="s">
        <v>4484</v>
      </c>
      <c r="I3588" s="2" t="s">
        <v>32</v>
      </c>
      <c r="J3588" s="3">
        <v>44848</v>
      </c>
      <c r="K3588" s="2">
        <v>22</v>
      </c>
      <c r="L3588" s="2" t="s">
        <v>80</v>
      </c>
      <c r="M3588" s="3"/>
    </row>
    <row r="3589" spans="1:13" x14ac:dyDescent="0.3">
      <c r="A3589" s="2">
        <v>3588</v>
      </c>
      <c r="B3589" s="2" t="s">
        <v>7595</v>
      </c>
      <c r="C3589" s="2" t="s">
        <v>7204</v>
      </c>
      <c r="D3589" s="2" t="s">
        <v>28</v>
      </c>
      <c r="E3589" s="2" t="s">
        <v>29</v>
      </c>
      <c r="F3589" s="2">
        <v>90</v>
      </c>
      <c r="G3589" s="2" t="s">
        <v>8310</v>
      </c>
      <c r="H3589" s="2" t="s">
        <v>2696</v>
      </c>
      <c r="I3589" s="2" t="s">
        <v>95</v>
      </c>
      <c r="J3589" s="3">
        <v>44725</v>
      </c>
      <c r="K3589" s="2">
        <v>16</v>
      </c>
      <c r="L3589" s="2" t="s">
        <v>101</v>
      </c>
      <c r="M3589" s="3"/>
    </row>
    <row r="3590" spans="1:13" x14ac:dyDescent="0.3">
      <c r="A3590" s="2">
        <v>3589</v>
      </c>
      <c r="B3590" s="2" t="s">
        <v>5764</v>
      </c>
      <c r="C3590" s="2" t="s">
        <v>5258</v>
      </c>
      <c r="D3590" s="2" t="s">
        <v>28</v>
      </c>
      <c r="E3590" s="2" t="s">
        <v>29</v>
      </c>
      <c r="F3590" s="2">
        <v>60</v>
      </c>
      <c r="G3590" s="2" t="s">
        <v>8311</v>
      </c>
      <c r="H3590" s="2" t="s">
        <v>6951</v>
      </c>
      <c r="I3590" s="2" t="s">
        <v>38</v>
      </c>
      <c r="J3590" s="3">
        <v>44544</v>
      </c>
      <c r="K3590" s="2">
        <v>56</v>
      </c>
      <c r="L3590" s="2" t="s">
        <v>39</v>
      </c>
      <c r="M3590" s="3"/>
    </row>
    <row r="3591" spans="1:13" x14ac:dyDescent="0.3">
      <c r="A3591" s="2">
        <v>3590</v>
      </c>
      <c r="B3591" s="2" t="s">
        <v>2203</v>
      </c>
      <c r="C3591" s="2" t="s">
        <v>8312</v>
      </c>
      <c r="D3591" s="2" t="s">
        <v>51</v>
      </c>
      <c r="E3591" s="2" t="s">
        <v>16</v>
      </c>
      <c r="F3591" s="2">
        <v>60</v>
      </c>
      <c r="G3591" s="2" t="s">
        <v>8313</v>
      </c>
      <c r="H3591" s="2" t="s">
        <v>2053</v>
      </c>
      <c r="I3591" s="2" t="s">
        <v>187</v>
      </c>
      <c r="J3591" s="3">
        <v>44647</v>
      </c>
      <c r="K3591" s="2">
        <v>31</v>
      </c>
      <c r="L3591" s="2" t="s">
        <v>70</v>
      </c>
      <c r="M3591" s="3"/>
    </row>
    <row r="3592" spans="1:13" x14ac:dyDescent="0.3">
      <c r="A3592" s="2">
        <v>3591</v>
      </c>
      <c r="B3592" s="2" t="s">
        <v>6271</v>
      </c>
      <c r="C3592" s="2" t="s">
        <v>5428</v>
      </c>
      <c r="D3592" s="2" t="s">
        <v>15</v>
      </c>
      <c r="E3592" s="2" t="s">
        <v>16</v>
      </c>
      <c r="F3592" s="2">
        <v>90</v>
      </c>
      <c r="G3592" s="2" t="s">
        <v>8314</v>
      </c>
      <c r="H3592" s="2" t="s">
        <v>1295</v>
      </c>
      <c r="I3592" s="2" t="s">
        <v>32</v>
      </c>
      <c r="J3592" s="3">
        <v>44678</v>
      </c>
      <c r="K3592" s="2">
        <v>95</v>
      </c>
      <c r="L3592" s="2" t="s">
        <v>159</v>
      </c>
      <c r="M3592" s="3"/>
    </row>
    <row r="3593" spans="1:13" x14ac:dyDescent="0.3">
      <c r="A3593" s="2">
        <v>3592</v>
      </c>
      <c r="B3593" s="2" t="s">
        <v>8315</v>
      </c>
      <c r="C3593" s="2" t="s">
        <v>4819</v>
      </c>
      <c r="D3593" s="2" t="s">
        <v>15</v>
      </c>
      <c r="E3593" s="2" t="s">
        <v>16</v>
      </c>
      <c r="F3593" s="2">
        <v>90</v>
      </c>
      <c r="G3593" s="2" t="s">
        <v>8316</v>
      </c>
      <c r="H3593" s="2" t="s">
        <v>1834</v>
      </c>
      <c r="I3593" s="2" t="s">
        <v>32</v>
      </c>
      <c r="J3593" s="3">
        <v>43853</v>
      </c>
      <c r="K3593" s="2">
        <v>42</v>
      </c>
      <c r="L3593" s="2" t="s">
        <v>159</v>
      </c>
      <c r="M3593" s="3"/>
    </row>
    <row r="3594" spans="1:13" x14ac:dyDescent="0.3">
      <c r="A3594" s="2">
        <v>3593</v>
      </c>
      <c r="B3594" s="2" t="s">
        <v>8317</v>
      </c>
      <c r="C3594" s="2" t="s">
        <v>7412</v>
      </c>
      <c r="D3594" s="2" t="s">
        <v>15</v>
      </c>
      <c r="E3594" s="2" t="s">
        <v>16</v>
      </c>
      <c r="F3594" s="2">
        <v>90</v>
      </c>
      <c r="G3594" s="2" t="s">
        <v>8318</v>
      </c>
      <c r="H3594" s="2" t="s">
        <v>6612</v>
      </c>
      <c r="I3594" s="2" t="s">
        <v>25</v>
      </c>
      <c r="J3594" s="3">
        <v>44356</v>
      </c>
      <c r="K3594" s="2">
        <v>47</v>
      </c>
      <c r="L3594" s="2" t="s">
        <v>20</v>
      </c>
      <c r="M3594" s="3"/>
    </row>
    <row r="3595" spans="1:13" x14ac:dyDescent="0.3">
      <c r="A3595" s="2">
        <v>3594</v>
      </c>
      <c r="B3595" s="2" t="s">
        <v>8319</v>
      </c>
      <c r="C3595" s="2" t="s">
        <v>4439</v>
      </c>
      <c r="D3595" s="2" t="s">
        <v>51</v>
      </c>
      <c r="E3595" s="2" t="s">
        <v>16</v>
      </c>
      <c r="F3595" s="2">
        <v>90</v>
      </c>
      <c r="G3595" s="2" t="s">
        <v>8320</v>
      </c>
      <c r="H3595" s="2" t="s">
        <v>137</v>
      </c>
      <c r="I3595" s="2" t="s">
        <v>32</v>
      </c>
      <c r="J3595" s="3">
        <v>44909</v>
      </c>
      <c r="K3595" s="2">
        <v>95</v>
      </c>
      <c r="L3595" s="2" t="s">
        <v>101</v>
      </c>
      <c r="M3595" s="3"/>
    </row>
    <row r="3596" spans="1:13" x14ac:dyDescent="0.3">
      <c r="A3596" s="2">
        <v>3595</v>
      </c>
      <c r="B3596" s="2" t="s">
        <v>4596</v>
      </c>
      <c r="C3596" s="2" t="s">
        <v>7359</v>
      </c>
      <c r="D3596" s="2" t="s">
        <v>28</v>
      </c>
      <c r="E3596" s="2" t="s">
        <v>29</v>
      </c>
      <c r="F3596" s="2">
        <v>60</v>
      </c>
      <c r="G3596" s="2" t="s">
        <v>8321</v>
      </c>
      <c r="H3596" s="2" t="s">
        <v>279</v>
      </c>
      <c r="I3596" s="2" t="s">
        <v>213</v>
      </c>
      <c r="J3596" s="3">
        <v>44370</v>
      </c>
      <c r="K3596" s="2">
        <v>59</v>
      </c>
      <c r="L3596" s="2" t="s">
        <v>54</v>
      </c>
      <c r="M3596" s="3"/>
    </row>
    <row r="3597" spans="1:13" x14ac:dyDescent="0.3">
      <c r="A3597" s="2">
        <v>3596</v>
      </c>
      <c r="B3597" s="2" t="s">
        <v>8322</v>
      </c>
      <c r="C3597" s="2" t="s">
        <v>791</v>
      </c>
      <c r="D3597" s="2" t="s">
        <v>51</v>
      </c>
      <c r="E3597" s="2" t="s">
        <v>16</v>
      </c>
      <c r="F3597" s="2">
        <v>90</v>
      </c>
      <c r="G3597" s="2" t="s">
        <v>8323</v>
      </c>
      <c r="H3597" s="2" t="s">
        <v>1206</v>
      </c>
      <c r="I3597" s="2" t="s">
        <v>294</v>
      </c>
      <c r="J3597" s="3">
        <v>44235</v>
      </c>
      <c r="K3597" s="2">
        <v>47</v>
      </c>
      <c r="L3597" s="2" t="s">
        <v>20</v>
      </c>
      <c r="M3597" s="3"/>
    </row>
    <row r="3598" spans="1:13" x14ac:dyDescent="0.3">
      <c r="A3598" s="2">
        <v>3597</v>
      </c>
      <c r="B3598" s="2" t="s">
        <v>8168</v>
      </c>
      <c r="C3598" s="2" t="s">
        <v>1765</v>
      </c>
      <c r="D3598" s="2" t="s">
        <v>51</v>
      </c>
      <c r="E3598" s="2" t="s">
        <v>16</v>
      </c>
      <c r="F3598" s="2">
        <v>30</v>
      </c>
      <c r="G3598" s="2" t="s">
        <v>8324</v>
      </c>
      <c r="H3598" s="2" t="s">
        <v>429</v>
      </c>
      <c r="I3598" s="2" t="s">
        <v>32</v>
      </c>
      <c r="J3598" s="3">
        <v>44740</v>
      </c>
      <c r="K3598" s="2">
        <v>70</v>
      </c>
      <c r="L3598" s="2" t="s">
        <v>159</v>
      </c>
      <c r="M3598" s="3"/>
    </row>
    <row r="3599" spans="1:13" x14ac:dyDescent="0.3">
      <c r="A3599" s="2">
        <v>3598</v>
      </c>
      <c r="B3599" s="2" t="s">
        <v>8325</v>
      </c>
      <c r="C3599" s="2" t="s">
        <v>5944</v>
      </c>
      <c r="D3599" s="2" t="s">
        <v>51</v>
      </c>
      <c r="E3599" s="2" t="s">
        <v>16</v>
      </c>
      <c r="F3599" s="2">
        <v>30</v>
      </c>
      <c r="G3599" s="2" t="s">
        <v>8326</v>
      </c>
      <c r="H3599" s="2" t="s">
        <v>8327</v>
      </c>
      <c r="I3599" s="2" t="s">
        <v>32</v>
      </c>
      <c r="J3599" s="3">
        <v>44842</v>
      </c>
      <c r="K3599" s="2">
        <v>40</v>
      </c>
      <c r="L3599" s="2" t="s">
        <v>20</v>
      </c>
      <c r="M3599" s="3"/>
    </row>
    <row r="3600" spans="1:13" x14ac:dyDescent="0.3">
      <c r="A3600" s="2">
        <v>3599</v>
      </c>
      <c r="B3600" s="2" t="s">
        <v>3166</v>
      </c>
      <c r="C3600" s="2" t="s">
        <v>4876</v>
      </c>
      <c r="D3600" s="2" t="s">
        <v>28</v>
      </c>
      <c r="E3600" s="2" t="s">
        <v>29</v>
      </c>
      <c r="F3600" s="2">
        <v>60</v>
      </c>
      <c r="G3600" s="2" t="s">
        <v>8328</v>
      </c>
      <c r="H3600" s="2" t="s">
        <v>750</v>
      </c>
      <c r="I3600" s="2" t="s">
        <v>25</v>
      </c>
      <c r="J3600" s="3">
        <v>44864</v>
      </c>
      <c r="K3600" s="2">
        <v>63</v>
      </c>
      <c r="L3600" s="2" t="s">
        <v>70</v>
      </c>
      <c r="M3600" s="3"/>
    </row>
    <row r="3601" spans="1:13" x14ac:dyDescent="0.3">
      <c r="A3601" s="2">
        <v>3600</v>
      </c>
      <c r="B3601" s="2" t="s">
        <v>3443</v>
      </c>
      <c r="C3601" s="2" t="s">
        <v>3279</v>
      </c>
      <c r="D3601" s="2" t="s">
        <v>28</v>
      </c>
      <c r="E3601" s="2" t="s">
        <v>29</v>
      </c>
      <c r="F3601" s="2">
        <v>30</v>
      </c>
      <c r="G3601" s="2" t="s">
        <v>8329</v>
      </c>
      <c r="H3601" s="2" t="s">
        <v>3134</v>
      </c>
      <c r="I3601" s="2" t="s">
        <v>294</v>
      </c>
      <c r="J3601" s="3">
        <v>43967</v>
      </c>
      <c r="K3601" s="2">
        <v>46</v>
      </c>
      <c r="L3601" s="2" t="s">
        <v>39</v>
      </c>
      <c r="M3601" s="3"/>
    </row>
    <row r="3602" spans="1:13" x14ac:dyDescent="0.3">
      <c r="A3602" s="2">
        <v>3601</v>
      </c>
      <c r="B3602" s="2" t="s">
        <v>7657</v>
      </c>
      <c r="C3602" s="2" t="s">
        <v>4623</v>
      </c>
      <c r="D3602" s="2" t="s">
        <v>117</v>
      </c>
      <c r="E3602" s="2" t="s">
        <v>29</v>
      </c>
      <c r="F3602" s="2">
        <v>90</v>
      </c>
      <c r="G3602" s="2" t="s">
        <v>8330</v>
      </c>
      <c r="H3602" s="2" t="s">
        <v>8331</v>
      </c>
      <c r="I3602" s="2" t="s">
        <v>32</v>
      </c>
      <c r="J3602" s="3">
        <v>44115</v>
      </c>
      <c r="K3602" s="2">
        <v>5</v>
      </c>
      <c r="L3602" s="2" t="s">
        <v>45</v>
      </c>
      <c r="M3602" s="3"/>
    </row>
    <row r="3603" spans="1:13" x14ac:dyDescent="0.3">
      <c r="A3603" s="2">
        <v>3602</v>
      </c>
      <c r="B3603" s="2" t="s">
        <v>6198</v>
      </c>
      <c r="C3603" s="2" t="s">
        <v>35</v>
      </c>
      <c r="D3603" s="2" t="s">
        <v>28</v>
      </c>
      <c r="E3603" s="2" t="s">
        <v>29</v>
      </c>
      <c r="F3603" s="2">
        <v>60</v>
      </c>
      <c r="G3603" s="2" t="s">
        <v>8332</v>
      </c>
      <c r="H3603" s="2" t="s">
        <v>6675</v>
      </c>
      <c r="I3603" s="2" t="s">
        <v>32</v>
      </c>
      <c r="J3603" s="3">
        <v>44578</v>
      </c>
      <c r="K3603" s="2">
        <v>42</v>
      </c>
      <c r="L3603" s="2" t="s">
        <v>39</v>
      </c>
      <c r="M3603" s="3"/>
    </row>
    <row r="3604" spans="1:13" x14ac:dyDescent="0.3">
      <c r="A3604" s="2">
        <v>3603</v>
      </c>
      <c r="B3604" s="2" t="s">
        <v>2371</v>
      </c>
      <c r="C3604" s="2" t="s">
        <v>669</v>
      </c>
      <c r="D3604" s="2" t="s">
        <v>28</v>
      </c>
      <c r="E3604" s="2" t="s">
        <v>29</v>
      </c>
      <c r="F3604" s="2">
        <v>60</v>
      </c>
      <c r="G3604" s="2" t="s">
        <v>8333</v>
      </c>
      <c r="H3604" s="2" t="s">
        <v>4851</v>
      </c>
      <c r="I3604" s="2" t="s">
        <v>2543</v>
      </c>
      <c r="J3604" s="3">
        <v>44781</v>
      </c>
      <c r="K3604" s="2">
        <v>80</v>
      </c>
      <c r="L3604" s="2" t="s">
        <v>33</v>
      </c>
      <c r="M3604" s="3"/>
    </row>
    <row r="3605" spans="1:13" x14ac:dyDescent="0.3">
      <c r="A3605" s="2">
        <v>3604</v>
      </c>
      <c r="B3605" s="2" t="s">
        <v>232</v>
      </c>
      <c r="C3605" s="2" t="s">
        <v>6360</v>
      </c>
      <c r="D3605" s="2" t="s">
        <v>28</v>
      </c>
      <c r="E3605" s="2" t="s">
        <v>29</v>
      </c>
      <c r="F3605" s="2">
        <v>90</v>
      </c>
      <c r="G3605" s="2" t="s">
        <v>8334</v>
      </c>
      <c r="H3605" s="2" t="s">
        <v>2341</v>
      </c>
      <c r="I3605" s="2" t="s">
        <v>2342</v>
      </c>
      <c r="J3605" s="3">
        <v>43834</v>
      </c>
      <c r="K3605" s="2">
        <v>4</v>
      </c>
      <c r="L3605" s="2" t="s">
        <v>159</v>
      </c>
      <c r="M3605" s="3"/>
    </row>
    <row r="3606" spans="1:13" x14ac:dyDescent="0.3">
      <c r="A3606" s="2">
        <v>3605</v>
      </c>
      <c r="B3606" s="2" t="s">
        <v>4031</v>
      </c>
      <c r="C3606" s="2" t="s">
        <v>692</v>
      </c>
      <c r="D3606" s="2" t="s">
        <v>28</v>
      </c>
      <c r="E3606" s="2" t="s">
        <v>29</v>
      </c>
      <c r="F3606" s="2">
        <v>30</v>
      </c>
      <c r="G3606" s="2" t="s">
        <v>8335</v>
      </c>
      <c r="H3606" s="2" t="s">
        <v>3424</v>
      </c>
      <c r="I3606" s="2" t="s">
        <v>32</v>
      </c>
      <c r="J3606" s="3">
        <v>44760</v>
      </c>
      <c r="K3606" s="2">
        <v>25</v>
      </c>
      <c r="L3606" s="2" t="s">
        <v>45</v>
      </c>
      <c r="M3606" s="3"/>
    </row>
    <row r="3607" spans="1:13" x14ac:dyDescent="0.3">
      <c r="A3607" s="2">
        <v>3606</v>
      </c>
      <c r="B3607" s="2" t="s">
        <v>869</v>
      </c>
      <c r="C3607" s="2" t="s">
        <v>3803</v>
      </c>
      <c r="D3607" s="2" t="s">
        <v>28</v>
      </c>
      <c r="E3607" s="2" t="s">
        <v>29</v>
      </c>
      <c r="F3607" s="2">
        <v>60</v>
      </c>
      <c r="G3607" s="2" t="s">
        <v>8336</v>
      </c>
      <c r="H3607" s="2" t="s">
        <v>917</v>
      </c>
      <c r="I3607" s="2" t="s">
        <v>32</v>
      </c>
      <c r="J3607" s="3">
        <v>44805</v>
      </c>
      <c r="K3607" s="2">
        <v>6</v>
      </c>
      <c r="L3607" s="2" t="s">
        <v>80</v>
      </c>
      <c r="M3607" s="3"/>
    </row>
    <row r="3608" spans="1:13" x14ac:dyDescent="0.3">
      <c r="A3608" s="2">
        <v>3607</v>
      </c>
      <c r="B3608" s="2" t="s">
        <v>5567</v>
      </c>
      <c r="C3608" s="2" t="s">
        <v>5161</v>
      </c>
      <c r="D3608" s="2" t="s">
        <v>28</v>
      </c>
      <c r="E3608" s="2" t="s">
        <v>29</v>
      </c>
      <c r="F3608" s="2">
        <v>30</v>
      </c>
      <c r="G3608" s="2" t="s">
        <v>8337</v>
      </c>
      <c r="H3608" s="2" t="s">
        <v>3882</v>
      </c>
      <c r="I3608" s="2" t="s">
        <v>38</v>
      </c>
      <c r="J3608" s="3">
        <v>44700</v>
      </c>
      <c r="K3608" s="2">
        <v>44</v>
      </c>
      <c r="L3608" s="2" t="s">
        <v>20</v>
      </c>
      <c r="M3608" s="3"/>
    </row>
    <row r="3609" spans="1:13" x14ac:dyDescent="0.3">
      <c r="A3609" s="2">
        <v>3608</v>
      </c>
      <c r="B3609" s="2" t="s">
        <v>8338</v>
      </c>
      <c r="C3609" s="2" t="s">
        <v>8339</v>
      </c>
      <c r="D3609" s="2" t="s">
        <v>41</v>
      </c>
      <c r="E3609" s="2" t="s">
        <v>16</v>
      </c>
      <c r="F3609" s="2">
        <v>60</v>
      </c>
      <c r="G3609" s="2" t="s">
        <v>8340</v>
      </c>
      <c r="H3609" s="2" t="s">
        <v>2212</v>
      </c>
      <c r="I3609" s="2" t="s">
        <v>32</v>
      </c>
      <c r="J3609" s="3">
        <v>44456</v>
      </c>
      <c r="K3609" s="2">
        <v>82</v>
      </c>
      <c r="L3609" s="2" t="s">
        <v>45</v>
      </c>
      <c r="M3609" s="3"/>
    </row>
    <row r="3610" spans="1:13" x14ac:dyDescent="0.3">
      <c r="A3610" s="2">
        <v>3609</v>
      </c>
      <c r="B3610" s="2" t="s">
        <v>5975</v>
      </c>
      <c r="C3610" s="2" t="s">
        <v>5665</v>
      </c>
      <c r="D3610" s="2" t="s">
        <v>28</v>
      </c>
      <c r="E3610" s="2" t="s">
        <v>29</v>
      </c>
      <c r="F3610" s="2">
        <v>90</v>
      </c>
      <c r="G3610" s="2" t="s">
        <v>8341</v>
      </c>
      <c r="H3610" s="2" t="s">
        <v>5643</v>
      </c>
      <c r="I3610" s="2" t="s">
        <v>886</v>
      </c>
      <c r="J3610" s="3">
        <v>44329</v>
      </c>
      <c r="K3610" s="2">
        <v>90</v>
      </c>
      <c r="L3610" s="2" t="s">
        <v>33</v>
      </c>
      <c r="M3610" s="3"/>
    </row>
    <row r="3611" spans="1:13" x14ac:dyDescent="0.3">
      <c r="A3611" s="2">
        <v>3610</v>
      </c>
      <c r="B3611" s="2" t="s">
        <v>8008</v>
      </c>
      <c r="C3611" s="2" t="s">
        <v>111</v>
      </c>
      <c r="D3611" s="2" t="s">
        <v>28</v>
      </c>
      <c r="E3611" s="2" t="s">
        <v>29</v>
      </c>
      <c r="F3611" s="2">
        <v>30</v>
      </c>
      <c r="G3611" s="2" t="s">
        <v>8342</v>
      </c>
      <c r="H3611" s="2" t="s">
        <v>7001</v>
      </c>
      <c r="I3611" s="2" t="s">
        <v>32</v>
      </c>
      <c r="J3611" s="3">
        <v>44747</v>
      </c>
      <c r="K3611" s="2">
        <v>51</v>
      </c>
      <c r="L3611" s="2" t="s">
        <v>54</v>
      </c>
      <c r="M3611" s="3"/>
    </row>
    <row r="3612" spans="1:13" x14ac:dyDescent="0.3">
      <c r="A3612" s="2">
        <v>3611</v>
      </c>
      <c r="B3612" s="2" t="s">
        <v>4438</v>
      </c>
      <c r="C3612" s="2" t="s">
        <v>4366</v>
      </c>
      <c r="D3612" s="2" t="s">
        <v>28</v>
      </c>
      <c r="E3612" s="2" t="s">
        <v>29</v>
      </c>
      <c r="F3612" s="2">
        <v>30</v>
      </c>
      <c r="G3612" s="2" t="s">
        <v>8343</v>
      </c>
      <c r="H3612" s="2" t="s">
        <v>293</v>
      </c>
      <c r="I3612" s="2" t="s">
        <v>294</v>
      </c>
      <c r="J3612" s="3">
        <v>44864</v>
      </c>
      <c r="K3612" s="2">
        <v>98</v>
      </c>
      <c r="L3612" s="2" t="s">
        <v>39</v>
      </c>
      <c r="M3612" s="3"/>
    </row>
    <row r="3613" spans="1:13" x14ac:dyDescent="0.3">
      <c r="A3613" s="2">
        <v>3612</v>
      </c>
      <c r="B3613" s="2" t="s">
        <v>1769</v>
      </c>
      <c r="C3613" s="2" t="s">
        <v>2991</v>
      </c>
      <c r="D3613" s="2" t="s">
        <v>28</v>
      </c>
      <c r="E3613" s="2" t="s">
        <v>29</v>
      </c>
      <c r="F3613" s="2">
        <v>90</v>
      </c>
      <c r="G3613" s="2" t="s">
        <v>8344</v>
      </c>
      <c r="H3613" s="2" t="s">
        <v>2265</v>
      </c>
      <c r="I3613" s="2" t="s">
        <v>1083</v>
      </c>
      <c r="J3613" s="3">
        <v>44367</v>
      </c>
      <c r="K3613" s="2">
        <v>93</v>
      </c>
      <c r="L3613" s="2" t="s">
        <v>20</v>
      </c>
      <c r="M3613" s="3"/>
    </row>
    <row r="3614" spans="1:13" x14ac:dyDescent="0.3">
      <c r="A3614" s="2">
        <v>3613</v>
      </c>
      <c r="B3614" s="2" t="s">
        <v>8345</v>
      </c>
      <c r="C3614" s="2" t="s">
        <v>3527</v>
      </c>
      <c r="D3614" s="2" t="s">
        <v>15</v>
      </c>
      <c r="E3614" s="2" t="s">
        <v>16</v>
      </c>
      <c r="F3614" s="2">
        <v>60</v>
      </c>
      <c r="G3614" s="2" t="s">
        <v>8346</v>
      </c>
      <c r="H3614" s="2" t="s">
        <v>3224</v>
      </c>
      <c r="I3614" s="2" t="s">
        <v>2022</v>
      </c>
      <c r="J3614" s="3">
        <v>44338</v>
      </c>
      <c r="K3614" s="2">
        <v>22</v>
      </c>
      <c r="L3614" s="2" t="s">
        <v>45</v>
      </c>
      <c r="M3614" s="3"/>
    </row>
    <row r="3615" spans="1:13" x14ac:dyDescent="0.3">
      <c r="A3615" s="2">
        <v>3614</v>
      </c>
      <c r="B3615" s="2" t="s">
        <v>4635</v>
      </c>
      <c r="C3615" s="2" t="s">
        <v>8347</v>
      </c>
      <c r="D3615" s="2" t="s">
        <v>15</v>
      </c>
      <c r="E3615" s="2" t="s">
        <v>16</v>
      </c>
      <c r="F3615" s="2">
        <v>30</v>
      </c>
      <c r="G3615" s="2" t="s">
        <v>8348</v>
      </c>
      <c r="H3615" s="2" t="s">
        <v>2291</v>
      </c>
      <c r="I3615" s="2" t="s">
        <v>25</v>
      </c>
      <c r="J3615" s="3">
        <v>44495</v>
      </c>
      <c r="K3615" s="2">
        <v>56</v>
      </c>
      <c r="L3615" s="2" t="s">
        <v>20</v>
      </c>
      <c r="M3615" s="3"/>
    </row>
    <row r="3616" spans="1:13" x14ac:dyDescent="0.3">
      <c r="A3616" s="2">
        <v>3615</v>
      </c>
      <c r="B3616" s="2" t="s">
        <v>8349</v>
      </c>
      <c r="C3616" s="2" t="s">
        <v>4420</v>
      </c>
      <c r="D3616" s="2" t="s">
        <v>15</v>
      </c>
      <c r="E3616" s="2" t="s">
        <v>16</v>
      </c>
      <c r="F3616" s="2">
        <v>90</v>
      </c>
      <c r="G3616" s="2" t="s">
        <v>8350</v>
      </c>
      <c r="H3616" s="2" t="s">
        <v>4517</v>
      </c>
      <c r="I3616" s="2" t="s">
        <v>173</v>
      </c>
      <c r="J3616" s="3">
        <v>44360</v>
      </c>
      <c r="K3616" s="2">
        <v>43</v>
      </c>
      <c r="L3616" s="2" t="s">
        <v>159</v>
      </c>
      <c r="M3616" s="3"/>
    </row>
    <row r="3617" spans="1:13" x14ac:dyDescent="0.3">
      <c r="A3617" s="2">
        <v>3616</v>
      </c>
      <c r="B3617" s="2" t="s">
        <v>5364</v>
      </c>
      <c r="C3617" s="2" t="s">
        <v>7416</v>
      </c>
      <c r="D3617" s="2" t="s">
        <v>28</v>
      </c>
      <c r="E3617" s="2" t="s">
        <v>29</v>
      </c>
      <c r="F3617" s="2">
        <v>30</v>
      </c>
      <c r="G3617" s="2" t="s">
        <v>8351</v>
      </c>
      <c r="H3617" s="2" t="s">
        <v>6787</v>
      </c>
      <c r="I3617" s="2" t="s">
        <v>1035</v>
      </c>
      <c r="J3617" s="3">
        <v>43982</v>
      </c>
      <c r="K3617" s="2">
        <v>2</v>
      </c>
      <c r="L3617" s="2" t="s">
        <v>39</v>
      </c>
      <c r="M3617" s="3"/>
    </row>
    <row r="3618" spans="1:13" x14ac:dyDescent="0.3">
      <c r="A3618" s="2">
        <v>3617</v>
      </c>
      <c r="B3618" s="2" t="s">
        <v>2118</v>
      </c>
      <c r="C3618" s="2" t="s">
        <v>936</v>
      </c>
      <c r="D3618" s="2" t="s">
        <v>28</v>
      </c>
      <c r="E3618" s="2" t="s">
        <v>29</v>
      </c>
      <c r="F3618" s="2">
        <v>90</v>
      </c>
      <c r="G3618" s="2" t="s">
        <v>8352</v>
      </c>
      <c r="H3618" s="2" t="s">
        <v>2418</v>
      </c>
      <c r="I3618" s="2" t="s">
        <v>32</v>
      </c>
      <c r="J3618" s="3">
        <v>43862</v>
      </c>
      <c r="K3618" s="2">
        <v>54</v>
      </c>
      <c r="L3618" s="2" t="s">
        <v>39</v>
      </c>
      <c r="M3618" s="3"/>
    </row>
    <row r="3619" spans="1:13" x14ac:dyDescent="0.3">
      <c r="A3619" s="2">
        <v>3618</v>
      </c>
      <c r="B3619" s="2" t="s">
        <v>3623</v>
      </c>
      <c r="C3619" s="2" t="s">
        <v>5797</v>
      </c>
      <c r="D3619" s="2" t="s">
        <v>28</v>
      </c>
      <c r="E3619" s="2" t="s">
        <v>29</v>
      </c>
      <c r="F3619" s="2">
        <v>90</v>
      </c>
      <c r="G3619" s="2" t="s">
        <v>8353</v>
      </c>
      <c r="H3619" s="2" t="s">
        <v>5803</v>
      </c>
      <c r="I3619" s="2" t="s">
        <v>294</v>
      </c>
      <c r="J3619" s="3">
        <v>44659</v>
      </c>
      <c r="K3619" s="2">
        <v>90</v>
      </c>
      <c r="L3619" s="2" t="s">
        <v>80</v>
      </c>
      <c r="M3619" s="3"/>
    </row>
    <row r="3620" spans="1:13" x14ac:dyDescent="0.3">
      <c r="A3620" s="2">
        <v>3619</v>
      </c>
      <c r="B3620" s="2" t="s">
        <v>3623</v>
      </c>
      <c r="C3620" s="2" t="s">
        <v>5797</v>
      </c>
      <c r="D3620" s="2" t="s">
        <v>28</v>
      </c>
      <c r="E3620" s="2" t="s">
        <v>29</v>
      </c>
      <c r="F3620" s="2">
        <v>90</v>
      </c>
      <c r="G3620" s="2" t="s">
        <v>8353</v>
      </c>
      <c r="H3620" s="2" t="s">
        <v>5803</v>
      </c>
      <c r="I3620" s="2" t="s">
        <v>294</v>
      </c>
      <c r="J3620" s="3">
        <v>44659</v>
      </c>
      <c r="K3620" s="2">
        <v>90</v>
      </c>
      <c r="L3620" s="2" t="s">
        <v>80</v>
      </c>
      <c r="M3620" s="3"/>
    </row>
    <row r="3621" spans="1:13" x14ac:dyDescent="0.3">
      <c r="A3621" s="2">
        <v>3620</v>
      </c>
      <c r="B3621" s="2" t="s">
        <v>3108</v>
      </c>
      <c r="C3621" s="2" t="s">
        <v>175</v>
      </c>
      <c r="D3621" s="2" t="s">
        <v>15</v>
      </c>
      <c r="E3621" s="2" t="s">
        <v>16</v>
      </c>
      <c r="F3621" s="2">
        <v>90</v>
      </c>
      <c r="G3621" s="2" t="s">
        <v>8354</v>
      </c>
      <c r="H3621" s="2" t="s">
        <v>1022</v>
      </c>
      <c r="I3621" s="2" t="s">
        <v>164</v>
      </c>
      <c r="J3621" s="3">
        <v>43912</v>
      </c>
      <c r="K3621" s="2">
        <v>21</v>
      </c>
      <c r="L3621" s="2" t="s">
        <v>64</v>
      </c>
      <c r="M3621" s="3"/>
    </row>
    <row r="3622" spans="1:13" x14ac:dyDescent="0.3">
      <c r="A3622" s="2">
        <v>3621</v>
      </c>
      <c r="B3622" s="2" t="s">
        <v>8355</v>
      </c>
      <c r="C3622" s="2" t="s">
        <v>1215</v>
      </c>
      <c r="D3622" s="2" t="s">
        <v>51</v>
      </c>
      <c r="E3622" s="2" t="s">
        <v>16</v>
      </c>
      <c r="F3622" s="2">
        <v>90</v>
      </c>
      <c r="G3622" s="2" t="s">
        <v>8354</v>
      </c>
      <c r="H3622" s="2" t="s">
        <v>8022</v>
      </c>
      <c r="I3622" s="2" t="s">
        <v>294</v>
      </c>
      <c r="J3622" s="3">
        <v>43897</v>
      </c>
      <c r="K3622" s="2">
        <v>42</v>
      </c>
      <c r="L3622" s="2" t="s">
        <v>54</v>
      </c>
      <c r="M3622" s="3"/>
    </row>
    <row r="3623" spans="1:13" x14ac:dyDescent="0.3">
      <c r="A3623" s="2">
        <v>3622</v>
      </c>
      <c r="B3623" s="2" t="s">
        <v>8356</v>
      </c>
      <c r="C3623" s="2" t="s">
        <v>8357</v>
      </c>
      <c r="D3623" s="2" t="s">
        <v>15</v>
      </c>
      <c r="E3623" s="2" t="s">
        <v>8358</v>
      </c>
      <c r="G3623" s="2" t="s">
        <v>8359</v>
      </c>
      <c r="H3623" s="2" t="s">
        <v>8360</v>
      </c>
      <c r="I3623" s="2" t="s">
        <v>7281</v>
      </c>
      <c r="J3623" s="3"/>
      <c r="L3623" s="2" t="s">
        <v>8361</v>
      </c>
      <c r="M3623" s="3"/>
    </row>
    <row r="3624" spans="1:13" x14ac:dyDescent="0.3">
      <c r="A3624" s="2">
        <v>3623</v>
      </c>
      <c r="B3624" s="2" t="s">
        <v>3726</v>
      </c>
      <c r="C3624" s="2" t="s">
        <v>915</v>
      </c>
      <c r="D3624" s="2" t="s">
        <v>15</v>
      </c>
      <c r="E3624" s="2" t="s">
        <v>16</v>
      </c>
      <c r="F3624" s="2">
        <v>30</v>
      </c>
      <c r="G3624" s="2" t="s">
        <v>8362</v>
      </c>
      <c r="H3624" s="2" t="s">
        <v>3826</v>
      </c>
      <c r="I3624" s="2" t="s">
        <v>20</v>
      </c>
      <c r="J3624" s="3">
        <v>43900</v>
      </c>
      <c r="K3624" s="2">
        <v>78</v>
      </c>
      <c r="L3624" s="2" t="s">
        <v>80</v>
      </c>
      <c r="M3624" s="3"/>
    </row>
    <row r="3625" spans="1:13" x14ac:dyDescent="0.3">
      <c r="A3625" s="2">
        <v>3624</v>
      </c>
      <c r="B3625" s="2" t="s">
        <v>2036</v>
      </c>
      <c r="C3625" s="2" t="s">
        <v>1891</v>
      </c>
      <c r="D3625" s="2" t="s">
        <v>15</v>
      </c>
      <c r="E3625" s="2" t="s">
        <v>16</v>
      </c>
      <c r="F3625" s="2">
        <v>90</v>
      </c>
      <c r="G3625" s="2" t="s">
        <v>8363</v>
      </c>
      <c r="H3625" s="2" t="s">
        <v>1082</v>
      </c>
      <c r="I3625" s="2" t="s">
        <v>1083</v>
      </c>
      <c r="J3625" s="3">
        <v>43971</v>
      </c>
      <c r="K3625" s="2">
        <v>33</v>
      </c>
      <c r="L3625" s="2" t="s">
        <v>159</v>
      </c>
      <c r="M3625" s="3"/>
    </row>
    <row r="3626" spans="1:13" x14ac:dyDescent="0.3">
      <c r="A3626" s="2">
        <v>3625</v>
      </c>
      <c r="B3626" s="2" t="s">
        <v>2750</v>
      </c>
      <c r="C3626" s="2" t="s">
        <v>2399</v>
      </c>
      <c r="D3626" s="2" t="s">
        <v>28</v>
      </c>
      <c r="E3626" s="2" t="s">
        <v>29</v>
      </c>
      <c r="F3626" s="2">
        <v>30</v>
      </c>
      <c r="G3626" s="2" t="s">
        <v>8364</v>
      </c>
      <c r="H3626" s="2" t="s">
        <v>641</v>
      </c>
      <c r="I3626" s="2" t="s">
        <v>294</v>
      </c>
      <c r="J3626" s="3">
        <v>44209</v>
      </c>
      <c r="K3626" s="2">
        <v>68</v>
      </c>
      <c r="L3626" s="2" t="s">
        <v>54</v>
      </c>
      <c r="M3626" s="3"/>
    </row>
    <row r="3627" spans="1:13" x14ac:dyDescent="0.3">
      <c r="A3627" s="2">
        <v>3626</v>
      </c>
      <c r="B3627" s="2" t="s">
        <v>8365</v>
      </c>
      <c r="C3627" s="2" t="s">
        <v>4828</v>
      </c>
      <c r="D3627" s="2" t="s">
        <v>41</v>
      </c>
      <c r="E3627" s="2" t="s">
        <v>16</v>
      </c>
      <c r="F3627" s="2">
        <v>90</v>
      </c>
      <c r="G3627" s="2" t="s">
        <v>8364</v>
      </c>
      <c r="H3627" s="2" t="s">
        <v>4729</v>
      </c>
      <c r="I3627" s="2" t="s">
        <v>32</v>
      </c>
      <c r="J3627" s="3">
        <v>44305</v>
      </c>
      <c r="K3627" s="2">
        <v>90</v>
      </c>
      <c r="L3627" s="2" t="s">
        <v>159</v>
      </c>
      <c r="M3627" s="3"/>
    </row>
    <row r="3628" spans="1:13" x14ac:dyDescent="0.3">
      <c r="A3628" s="2">
        <v>3627</v>
      </c>
      <c r="B3628" s="2" t="s">
        <v>612</v>
      </c>
      <c r="C3628" s="2" t="s">
        <v>4635</v>
      </c>
      <c r="D3628" s="2" t="s">
        <v>28</v>
      </c>
      <c r="E3628" s="2" t="s">
        <v>29</v>
      </c>
      <c r="F3628" s="2">
        <v>30</v>
      </c>
      <c r="G3628" s="2" t="s">
        <v>8366</v>
      </c>
      <c r="H3628" s="2" t="s">
        <v>634</v>
      </c>
      <c r="I3628" s="2" t="s">
        <v>32</v>
      </c>
      <c r="J3628" s="3">
        <v>44179</v>
      </c>
      <c r="K3628" s="2">
        <v>35</v>
      </c>
      <c r="L3628" s="2" t="s">
        <v>54</v>
      </c>
      <c r="M3628" s="3"/>
    </row>
    <row r="3629" spans="1:13" x14ac:dyDescent="0.3">
      <c r="A3629" s="2">
        <v>3628</v>
      </c>
      <c r="B3629" s="2" t="s">
        <v>964</v>
      </c>
      <c r="C3629" s="2" t="s">
        <v>3369</v>
      </c>
      <c r="D3629" s="2" t="s">
        <v>28</v>
      </c>
      <c r="E3629" s="2" t="s">
        <v>29</v>
      </c>
      <c r="F3629" s="2">
        <v>30</v>
      </c>
      <c r="G3629" s="2" t="s">
        <v>8367</v>
      </c>
      <c r="H3629" s="2" t="s">
        <v>7898</v>
      </c>
      <c r="I3629" s="2" t="s">
        <v>425</v>
      </c>
      <c r="J3629" s="3">
        <v>43895</v>
      </c>
      <c r="K3629" s="2">
        <v>33</v>
      </c>
      <c r="L3629" s="2" t="s">
        <v>101</v>
      </c>
      <c r="M3629" s="3"/>
    </row>
    <row r="3630" spans="1:13" x14ac:dyDescent="0.3">
      <c r="A3630" s="2">
        <v>3629</v>
      </c>
      <c r="B3630" s="2" t="s">
        <v>3886</v>
      </c>
      <c r="C3630" s="2" t="s">
        <v>4396</v>
      </c>
      <c r="D3630" s="2" t="s">
        <v>51</v>
      </c>
      <c r="E3630" s="2" t="s">
        <v>16</v>
      </c>
      <c r="F3630" s="2">
        <v>60</v>
      </c>
      <c r="G3630" s="2" t="s">
        <v>8368</v>
      </c>
      <c r="H3630" s="2" t="s">
        <v>4030</v>
      </c>
      <c r="I3630" s="2" t="s">
        <v>32</v>
      </c>
      <c r="J3630" s="3">
        <v>44017</v>
      </c>
      <c r="K3630" s="2">
        <v>54</v>
      </c>
      <c r="L3630" s="2" t="s">
        <v>45</v>
      </c>
      <c r="M3630" s="3"/>
    </row>
    <row r="3631" spans="1:13" x14ac:dyDescent="0.3">
      <c r="A3631" s="2">
        <v>3630</v>
      </c>
      <c r="B3631" s="2" t="s">
        <v>8369</v>
      </c>
      <c r="C3631" s="2" t="s">
        <v>4797</v>
      </c>
      <c r="D3631" s="2" t="s">
        <v>41</v>
      </c>
      <c r="E3631" s="2" t="s">
        <v>16</v>
      </c>
      <c r="F3631" s="2">
        <v>90</v>
      </c>
      <c r="G3631" s="2" t="s">
        <v>8370</v>
      </c>
      <c r="H3631" s="2" t="s">
        <v>574</v>
      </c>
      <c r="I3631" s="2" t="s">
        <v>575</v>
      </c>
      <c r="J3631" s="3">
        <v>43903</v>
      </c>
      <c r="K3631" s="2">
        <v>15</v>
      </c>
      <c r="L3631" s="2" t="s">
        <v>80</v>
      </c>
      <c r="M3631" s="3"/>
    </row>
    <row r="3632" spans="1:13" x14ac:dyDescent="0.3">
      <c r="A3632" s="2">
        <v>3631</v>
      </c>
      <c r="B3632" s="2" t="s">
        <v>8371</v>
      </c>
      <c r="C3632" s="2" t="s">
        <v>2431</v>
      </c>
      <c r="D3632" s="2" t="s">
        <v>51</v>
      </c>
      <c r="E3632" s="2" t="s">
        <v>16</v>
      </c>
      <c r="F3632" s="2">
        <v>30</v>
      </c>
      <c r="G3632" s="2" t="s">
        <v>8372</v>
      </c>
      <c r="H3632" s="2" t="s">
        <v>603</v>
      </c>
      <c r="I3632" s="2" t="s">
        <v>187</v>
      </c>
      <c r="J3632" s="3">
        <v>44765</v>
      </c>
      <c r="K3632" s="2">
        <v>53</v>
      </c>
      <c r="L3632" s="2" t="s">
        <v>159</v>
      </c>
      <c r="M3632" s="3"/>
    </row>
    <row r="3633" spans="1:13" x14ac:dyDescent="0.3">
      <c r="A3633" s="2">
        <v>3632</v>
      </c>
      <c r="B3633" s="2" t="s">
        <v>5916</v>
      </c>
      <c r="C3633" s="2" t="s">
        <v>949</v>
      </c>
      <c r="D3633" s="2" t="s">
        <v>28</v>
      </c>
      <c r="E3633" s="2" t="s">
        <v>29</v>
      </c>
      <c r="F3633" s="2">
        <v>90</v>
      </c>
      <c r="G3633" s="2" t="s">
        <v>8373</v>
      </c>
      <c r="H3633" s="2" t="s">
        <v>6080</v>
      </c>
      <c r="I3633" s="2" t="s">
        <v>32</v>
      </c>
      <c r="J3633" s="3">
        <v>44170</v>
      </c>
      <c r="K3633" s="2">
        <v>34</v>
      </c>
      <c r="L3633" s="2" t="s">
        <v>20</v>
      </c>
      <c r="M3633" s="3"/>
    </row>
    <row r="3634" spans="1:13" x14ac:dyDescent="0.3">
      <c r="A3634" s="2">
        <v>3633</v>
      </c>
      <c r="B3634" s="2" t="s">
        <v>5878</v>
      </c>
      <c r="C3634" s="2" t="s">
        <v>2378</v>
      </c>
      <c r="D3634" s="2" t="s">
        <v>28</v>
      </c>
      <c r="E3634" s="2" t="s">
        <v>29</v>
      </c>
      <c r="F3634" s="2">
        <v>90</v>
      </c>
      <c r="G3634" s="2" t="s">
        <v>8374</v>
      </c>
      <c r="H3634" s="2" t="s">
        <v>6714</v>
      </c>
      <c r="I3634" s="2" t="s">
        <v>129</v>
      </c>
      <c r="J3634" s="3">
        <v>44734</v>
      </c>
      <c r="K3634" s="2">
        <v>61</v>
      </c>
      <c r="L3634" s="2" t="s">
        <v>159</v>
      </c>
      <c r="M3634" s="3"/>
    </row>
    <row r="3635" spans="1:13" x14ac:dyDescent="0.3">
      <c r="A3635" s="2">
        <v>3634</v>
      </c>
      <c r="B3635" s="2" t="s">
        <v>6557</v>
      </c>
      <c r="C3635" s="2" t="s">
        <v>6663</v>
      </c>
      <c r="D3635" s="2" t="s">
        <v>28</v>
      </c>
      <c r="E3635" s="2" t="s">
        <v>29</v>
      </c>
      <c r="F3635" s="2">
        <v>90</v>
      </c>
      <c r="G3635" s="2" t="s">
        <v>8375</v>
      </c>
      <c r="H3635" s="2" t="s">
        <v>3206</v>
      </c>
      <c r="I3635" s="2" t="s">
        <v>1199</v>
      </c>
      <c r="J3635" s="3">
        <v>44349</v>
      </c>
      <c r="K3635" s="2">
        <v>92</v>
      </c>
      <c r="L3635" s="2" t="s">
        <v>64</v>
      </c>
      <c r="M3635" s="3"/>
    </row>
    <row r="3636" spans="1:13" x14ac:dyDescent="0.3">
      <c r="A3636" s="2">
        <v>3635</v>
      </c>
      <c r="B3636" s="2" t="s">
        <v>8376</v>
      </c>
      <c r="C3636" s="2" t="s">
        <v>8377</v>
      </c>
      <c r="D3636" s="2" t="s">
        <v>51</v>
      </c>
      <c r="E3636" s="2" t="s">
        <v>16</v>
      </c>
      <c r="F3636" s="2">
        <v>60</v>
      </c>
      <c r="G3636" s="2" t="s">
        <v>8378</v>
      </c>
      <c r="H3636" s="2" t="s">
        <v>908</v>
      </c>
      <c r="I3636" s="2" t="s">
        <v>575</v>
      </c>
      <c r="J3636" s="3">
        <v>44045</v>
      </c>
      <c r="K3636" s="2">
        <v>51</v>
      </c>
      <c r="L3636" s="2" t="s">
        <v>64</v>
      </c>
      <c r="M3636" s="3"/>
    </row>
    <row r="3637" spans="1:13" x14ac:dyDescent="0.3">
      <c r="A3637" s="2">
        <v>3636</v>
      </c>
      <c r="B3637" s="2" t="s">
        <v>8379</v>
      </c>
      <c r="C3637" s="2" t="s">
        <v>770</v>
      </c>
      <c r="D3637" s="2" t="s">
        <v>15</v>
      </c>
      <c r="E3637" s="2" t="s">
        <v>16</v>
      </c>
      <c r="F3637" s="2">
        <v>90</v>
      </c>
      <c r="G3637" s="2" t="s">
        <v>8380</v>
      </c>
      <c r="H3637" s="2" t="s">
        <v>172</v>
      </c>
      <c r="I3637" s="2" t="s">
        <v>173</v>
      </c>
      <c r="J3637" s="3">
        <v>44596</v>
      </c>
      <c r="K3637" s="2">
        <v>16</v>
      </c>
      <c r="L3637" s="2" t="s">
        <v>20</v>
      </c>
      <c r="M3637" s="3"/>
    </row>
    <row r="3638" spans="1:13" x14ac:dyDescent="0.3">
      <c r="A3638" s="2">
        <v>3637</v>
      </c>
      <c r="B3638" s="2" t="s">
        <v>6717</v>
      </c>
      <c r="C3638" s="2" t="s">
        <v>4306</v>
      </c>
      <c r="D3638" s="2" t="s">
        <v>51</v>
      </c>
      <c r="E3638" s="2" t="s">
        <v>16</v>
      </c>
      <c r="F3638" s="2">
        <v>90</v>
      </c>
      <c r="G3638" s="2" t="s">
        <v>8381</v>
      </c>
      <c r="H3638" s="2" t="s">
        <v>4924</v>
      </c>
      <c r="I3638" s="2" t="s">
        <v>32</v>
      </c>
      <c r="J3638" s="3">
        <v>44119</v>
      </c>
      <c r="K3638" s="2">
        <v>10</v>
      </c>
      <c r="L3638" s="2" t="s">
        <v>39</v>
      </c>
      <c r="M3638" s="3"/>
    </row>
    <row r="3639" spans="1:13" x14ac:dyDescent="0.3">
      <c r="A3639" s="2">
        <v>3638</v>
      </c>
      <c r="B3639" s="2" t="s">
        <v>2922</v>
      </c>
      <c r="C3639" s="2" t="s">
        <v>858</v>
      </c>
      <c r="D3639" s="2" t="s">
        <v>15</v>
      </c>
      <c r="E3639" s="2" t="s">
        <v>16</v>
      </c>
      <c r="F3639" s="2">
        <v>60</v>
      </c>
      <c r="G3639" s="2" t="s">
        <v>8382</v>
      </c>
      <c r="H3639" s="2" t="s">
        <v>244</v>
      </c>
      <c r="I3639" s="2" t="s">
        <v>240</v>
      </c>
      <c r="J3639" s="3">
        <v>44016</v>
      </c>
      <c r="K3639" s="2">
        <v>51</v>
      </c>
      <c r="L3639" s="2" t="s">
        <v>33</v>
      </c>
      <c r="M3639" s="3"/>
    </row>
    <row r="3640" spans="1:13" x14ac:dyDescent="0.3">
      <c r="A3640" s="2">
        <v>3639</v>
      </c>
      <c r="B3640" s="2" t="s">
        <v>2164</v>
      </c>
      <c r="C3640" s="2" t="s">
        <v>3435</v>
      </c>
      <c r="D3640" s="2" t="s">
        <v>51</v>
      </c>
      <c r="E3640" s="2" t="s">
        <v>16</v>
      </c>
      <c r="F3640" s="2">
        <v>90</v>
      </c>
      <c r="G3640" s="2" t="s">
        <v>8383</v>
      </c>
      <c r="H3640" s="2" t="s">
        <v>7598</v>
      </c>
      <c r="I3640" s="2" t="s">
        <v>187</v>
      </c>
      <c r="J3640" s="3">
        <v>43886</v>
      </c>
      <c r="K3640" s="2">
        <v>85</v>
      </c>
      <c r="L3640" s="2" t="s">
        <v>70</v>
      </c>
      <c r="M3640" s="3"/>
    </row>
    <row r="3641" spans="1:13" x14ac:dyDescent="0.3">
      <c r="A3641" s="2">
        <v>3640</v>
      </c>
      <c r="B3641" s="2" t="s">
        <v>2164</v>
      </c>
      <c r="C3641" s="2" t="s">
        <v>3435</v>
      </c>
      <c r="D3641" s="2" t="s">
        <v>51</v>
      </c>
      <c r="E3641" s="2" t="s">
        <v>16</v>
      </c>
      <c r="F3641" s="2">
        <v>90</v>
      </c>
      <c r="G3641" s="2" t="s">
        <v>8383</v>
      </c>
      <c r="H3641" s="2" t="s">
        <v>7598</v>
      </c>
      <c r="I3641" s="2" t="s">
        <v>187</v>
      </c>
      <c r="J3641" s="3">
        <v>43886</v>
      </c>
      <c r="K3641" s="2">
        <v>85</v>
      </c>
      <c r="L3641" s="2" t="s">
        <v>70</v>
      </c>
      <c r="M3641" s="3"/>
    </row>
    <row r="3642" spans="1:13" x14ac:dyDescent="0.3">
      <c r="A3642" s="2">
        <v>3641</v>
      </c>
      <c r="B3642" s="2" t="s">
        <v>3805</v>
      </c>
      <c r="C3642" s="2" t="s">
        <v>1212</v>
      </c>
      <c r="D3642" s="2" t="s">
        <v>28</v>
      </c>
      <c r="E3642" s="2" t="s">
        <v>29</v>
      </c>
      <c r="F3642" s="2">
        <v>60</v>
      </c>
      <c r="G3642" s="2" t="s">
        <v>8383</v>
      </c>
      <c r="H3642" s="2" t="s">
        <v>957</v>
      </c>
      <c r="I3642" s="2" t="s">
        <v>95</v>
      </c>
      <c r="J3642" s="3">
        <v>44883</v>
      </c>
      <c r="K3642" s="2">
        <v>57</v>
      </c>
      <c r="L3642" s="2" t="s">
        <v>80</v>
      </c>
      <c r="M3642" s="3"/>
    </row>
    <row r="3643" spans="1:13" x14ac:dyDescent="0.3">
      <c r="A3643" s="2">
        <v>3642</v>
      </c>
      <c r="B3643" s="2" t="s">
        <v>6419</v>
      </c>
      <c r="C3643" s="2" t="s">
        <v>2246</v>
      </c>
      <c r="D3643" s="2" t="s">
        <v>28</v>
      </c>
      <c r="E3643" s="2" t="s">
        <v>29</v>
      </c>
      <c r="F3643" s="2">
        <v>90</v>
      </c>
      <c r="G3643" s="2" t="s">
        <v>8384</v>
      </c>
      <c r="H3643" s="2" t="s">
        <v>694</v>
      </c>
      <c r="I3643" s="2" t="s">
        <v>32</v>
      </c>
      <c r="J3643" s="3">
        <v>44873</v>
      </c>
      <c r="K3643" s="2">
        <v>61</v>
      </c>
      <c r="L3643" s="2" t="s">
        <v>20</v>
      </c>
      <c r="M3643" s="3"/>
    </row>
    <row r="3644" spans="1:13" x14ac:dyDescent="0.3">
      <c r="A3644" s="2">
        <v>3643</v>
      </c>
      <c r="B3644" s="2" t="s">
        <v>3519</v>
      </c>
      <c r="C3644" s="2" t="s">
        <v>8385</v>
      </c>
      <c r="D3644" s="2" t="s">
        <v>28</v>
      </c>
      <c r="E3644" s="2" t="s">
        <v>29</v>
      </c>
      <c r="F3644" s="2">
        <v>90</v>
      </c>
      <c r="G3644" s="2" t="s">
        <v>8386</v>
      </c>
      <c r="H3644" s="2" t="s">
        <v>5427</v>
      </c>
      <c r="I3644" s="2" t="s">
        <v>32</v>
      </c>
      <c r="J3644" s="3">
        <v>44335</v>
      </c>
      <c r="K3644" s="2">
        <v>39</v>
      </c>
      <c r="L3644" s="2" t="s">
        <v>39</v>
      </c>
      <c r="M3644" s="3"/>
    </row>
    <row r="3645" spans="1:13" x14ac:dyDescent="0.3">
      <c r="A3645" s="2">
        <v>3644</v>
      </c>
      <c r="B3645" s="2" t="s">
        <v>612</v>
      </c>
      <c r="C3645" s="2" t="s">
        <v>972</v>
      </c>
      <c r="D3645" s="2" t="s">
        <v>15</v>
      </c>
      <c r="E3645" s="2" t="s">
        <v>16</v>
      </c>
      <c r="F3645" s="2">
        <v>90</v>
      </c>
      <c r="G3645" s="2" t="s">
        <v>8387</v>
      </c>
      <c r="H3645" s="2" t="s">
        <v>4631</v>
      </c>
      <c r="I3645" s="2" t="s">
        <v>187</v>
      </c>
      <c r="J3645" s="3">
        <v>44573</v>
      </c>
      <c r="K3645" s="2">
        <v>86</v>
      </c>
      <c r="L3645" s="2" t="s">
        <v>20</v>
      </c>
      <c r="M3645" s="3"/>
    </row>
    <row r="3646" spans="1:13" x14ac:dyDescent="0.3">
      <c r="A3646" s="2">
        <v>3645</v>
      </c>
      <c r="B3646" s="2" t="s">
        <v>612</v>
      </c>
      <c r="C3646" s="2" t="s">
        <v>972</v>
      </c>
      <c r="D3646" s="2" t="s">
        <v>15</v>
      </c>
      <c r="E3646" s="2" t="s">
        <v>16</v>
      </c>
      <c r="F3646" s="2">
        <v>90</v>
      </c>
      <c r="G3646" s="2" t="s">
        <v>8387</v>
      </c>
      <c r="H3646" s="2" t="s">
        <v>4631</v>
      </c>
      <c r="I3646" s="2" t="s">
        <v>187</v>
      </c>
      <c r="J3646" s="3">
        <v>44573</v>
      </c>
      <c r="K3646" s="2">
        <v>86</v>
      </c>
      <c r="L3646" s="2" t="s">
        <v>20</v>
      </c>
      <c r="M3646" s="3"/>
    </row>
    <row r="3647" spans="1:13" x14ac:dyDescent="0.3">
      <c r="A3647" s="2">
        <v>3646</v>
      </c>
      <c r="B3647" s="2" t="s">
        <v>8388</v>
      </c>
      <c r="C3647" s="2" t="s">
        <v>5431</v>
      </c>
      <c r="D3647" s="2" t="s">
        <v>51</v>
      </c>
      <c r="E3647" s="2" t="s">
        <v>16</v>
      </c>
      <c r="F3647" s="2">
        <v>30</v>
      </c>
      <c r="G3647" s="2" t="s">
        <v>8389</v>
      </c>
      <c r="H3647" s="2" t="s">
        <v>6249</v>
      </c>
      <c r="I3647" s="2" t="s">
        <v>38</v>
      </c>
      <c r="J3647" s="3">
        <v>44497</v>
      </c>
      <c r="K3647" s="2">
        <v>50</v>
      </c>
      <c r="L3647" s="2" t="s">
        <v>101</v>
      </c>
      <c r="M3647" s="3"/>
    </row>
    <row r="3648" spans="1:13" x14ac:dyDescent="0.3">
      <c r="A3648" s="2">
        <v>3647</v>
      </c>
      <c r="B3648" s="2" t="s">
        <v>3811</v>
      </c>
      <c r="C3648" s="2" t="s">
        <v>2829</v>
      </c>
      <c r="D3648" s="2" t="s">
        <v>28</v>
      </c>
      <c r="E3648" s="2" t="s">
        <v>29</v>
      </c>
      <c r="F3648" s="2">
        <v>30</v>
      </c>
      <c r="G3648" s="2" t="s">
        <v>8390</v>
      </c>
      <c r="H3648" s="2" t="s">
        <v>3433</v>
      </c>
      <c r="I3648" s="2" t="s">
        <v>1199</v>
      </c>
      <c r="J3648" s="3">
        <v>44670</v>
      </c>
      <c r="K3648" s="2">
        <v>8</v>
      </c>
      <c r="L3648" s="2" t="s">
        <v>64</v>
      </c>
      <c r="M3648" s="3"/>
    </row>
    <row r="3649" spans="1:13" x14ac:dyDescent="0.3">
      <c r="A3649" s="2">
        <v>3648</v>
      </c>
      <c r="B3649" s="2" t="s">
        <v>3811</v>
      </c>
      <c r="C3649" s="2" t="s">
        <v>2829</v>
      </c>
      <c r="D3649" s="2" t="s">
        <v>28</v>
      </c>
      <c r="E3649" s="2" t="s">
        <v>29</v>
      </c>
      <c r="F3649" s="2">
        <v>30</v>
      </c>
      <c r="G3649" s="2" t="s">
        <v>8390</v>
      </c>
      <c r="H3649" s="2" t="s">
        <v>3433</v>
      </c>
      <c r="I3649" s="2" t="s">
        <v>1199</v>
      </c>
      <c r="J3649" s="3">
        <v>44670</v>
      </c>
      <c r="K3649" s="2">
        <v>8</v>
      </c>
      <c r="L3649" s="2" t="s">
        <v>64</v>
      </c>
      <c r="M3649" s="3"/>
    </row>
    <row r="3650" spans="1:13" x14ac:dyDescent="0.3">
      <c r="A3650" s="2">
        <v>3649</v>
      </c>
      <c r="B3650" s="2" t="s">
        <v>657</v>
      </c>
      <c r="C3650" s="2" t="s">
        <v>8377</v>
      </c>
      <c r="D3650" s="2" t="s">
        <v>28</v>
      </c>
      <c r="E3650" s="2" t="s">
        <v>29</v>
      </c>
      <c r="F3650" s="2">
        <v>30</v>
      </c>
      <c r="G3650" s="2" t="s">
        <v>8391</v>
      </c>
      <c r="H3650" s="2" t="s">
        <v>8392</v>
      </c>
      <c r="I3650" s="2" t="s">
        <v>32</v>
      </c>
      <c r="J3650" s="3">
        <v>43951</v>
      </c>
      <c r="K3650" s="2">
        <v>9</v>
      </c>
      <c r="L3650" s="2" t="s">
        <v>39</v>
      </c>
      <c r="M3650" s="3"/>
    </row>
    <row r="3651" spans="1:13" x14ac:dyDescent="0.3">
      <c r="A3651" s="2">
        <v>3650</v>
      </c>
      <c r="B3651" s="2" t="s">
        <v>8393</v>
      </c>
      <c r="C3651" s="2" t="s">
        <v>1700</v>
      </c>
      <c r="D3651" s="2" t="s">
        <v>51</v>
      </c>
      <c r="E3651" s="2" t="s">
        <v>16</v>
      </c>
      <c r="F3651" s="2">
        <v>60</v>
      </c>
      <c r="G3651" s="2" t="s">
        <v>8394</v>
      </c>
      <c r="H3651" s="2" t="s">
        <v>4955</v>
      </c>
      <c r="I3651" s="2" t="s">
        <v>645</v>
      </c>
      <c r="J3651" s="3">
        <v>44018</v>
      </c>
      <c r="K3651" s="2">
        <v>52</v>
      </c>
      <c r="L3651" s="2" t="s">
        <v>33</v>
      </c>
      <c r="M3651" s="3"/>
    </row>
    <row r="3652" spans="1:13" x14ac:dyDescent="0.3">
      <c r="A3652" s="2">
        <v>3651</v>
      </c>
      <c r="B3652" s="2" t="s">
        <v>6605</v>
      </c>
      <c r="C3652" s="2" t="s">
        <v>840</v>
      </c>
      <c r="D3652" s="2" t="s">
        <v>28</v>
      </c>
      <c r="E3652" s="2" t="s">
        <v>29</v>
      </c>
      <c r="F3652" s="2">
        <v>90</v>
      </c>
      <c r="G3652" s="2" t="s">
        <v>8395</v>
      </c>
      <c r="H3652" s="2" t="s">
        <v>526</v>
      </c>
      <c r="I3652" s="2" t="s">
        <v>32</v>
      </c>
      <c r="J3652" s="3">
        <v>44378</v>
      </c>
      <c r="K3652" s="2">
        <v>43</v>
      </c>
      <c r="L3652" s="2" t="s">
        <v>159</v>
      </c>
      <c r="M3652" s="3"/>
    </row>
    <row r="3653" spans="1:13" x14ac:dyDescent="0.3">
      <c r="A3653" s="2">
        <v>3652</v>
      </c>
      <c r="B3653" s="2" t="s">
        <v>7992</v>
      </c>
      <c r="C3653" s="2" t="s">
        <v>131</v>
      </c>
      <c r="D3653" s="2" t="s">
        <v>28</v>
      </c>
      <c r="E3653" s="2" t="s">
        <v>29</v>
      </c>
      <c r="F3653" s="2">
        <v>90</v>
      </c>
      <c r="G3653" s="2" t="s">
        <v>8396</v>
      </c>
      <c r="H3653" s="2" t="s">
        <v>2233</v>
      </c>
      <c r="I3653" s="2" t="s">
        <v>187</v>
      </c>
      <c r="J3653" s="3">
        <v>44376</v>
      </c>
      <c r="K3653" s="2">
        <v>44</v>
      </c>
      <c r="L3653" s="2" t="s">
        <v>159</v>
      </c>
      <c r="M3653" s="3"/>
    </row>
    <row r="3654" spans="1:13" x14ac:dyDescent="0.3">
      <c r="A3654" s="2">
        <v>3653</v>
      </c>
      <c r="B3654" s="2" t="s">
        <v>8397</v>
      </c>
      <c r="C3654" s="2" t="s">
        <v>3416</v>
      </c>
      <c r="D3654" s="2" t="s">
        <v>51</v>
      </c>
      <c r="E3654" s="2" t="s">
        <v>16</v>
      </c>
      <c r="F3654" s="2">
        <v>60</v>
      </c>
      <c r="G3654" s="2" t="s">
        <v>8398</v>
      </c>
      <c r="H3654" s="2" t="s">
        <v>1819</v>
      </c>
      <c r="I3654" s="2" t="s">
        <v>89</v>
      </c>
      <c r="J3654" s="3">
        <v>44014</v>
      </c>
      <c r="K3654" s="2">
        <v>50</v>
      </c>
      <c r="L3654" s="2" t="s">
        <v>159</v>
      </c>
      <c r="M3654" s="3"/>
    </row>
    <row r="3655" spans="1:13" x14ac:dyDescent="0.3">
      <c r="A3655" s="2">
        <v>3654</v>
      </c>
      <c r="B3655" s="2" t="s">
        <v>5662</v>
      </c>
      <c r="C3655" s="2" t="s">
        <v>629</v>
      </c>
      <c r="D3655" s="2" t="s">
        <v>28</v>
      </c>
      <c r="E3655" s="2" t="s">
        <v>29</v>
      </c>
      <c r="F3655" s="2">
        <v>90</v>
      </c>
      <c r="G3655" s="2" t="s">
        <v>8399</v>
      </c>
      <c r="H3655" s="2" t="s">
        <v>3730</v>
      </c>
      <c r="I3655" s="2" t="s">
        <v>32</v>
      </c>
      <c r="J3655" s="3">
        <v>44847</v>
      </c>
      <c r="K3655" s="2">
        <v>82</v>
      </c>
      <c r="L3655" s="2" t="s">
        <v>33</v>
      </c>
      <c r="M3655" s="3"/>
    </row>
    <row r="3656" spans="1:13" x14ac:dyDescent="0.3">
      <c r="A3656" s="2">
        <v>3655</v>
      </c>
      <c r="B3656" s="2" t="s">
        <v>8400</v>
      </c>
      <c r="C3656" s="2" t="s">
        <v>2054</v>
      </c>
      <c r="D3656" s="2" t="s">
        <v>28</v>
      </c>
      <c r="E3656" s="2" t="s">
        <v>29</v>
      </c>
      <c r="F3656" s="2">
        <v>30</v>
      </c>
      <c r="G3656" s="2" t="s">
        <v>8401</v>
      </c>
      <c r="H3656" s="2" t="s">
        <v>4030</v>
      </c>
      <c r="I3656" s="2" t="s">
        <v>32</v>
      </c>
      <c r="J3656" s="3">
        <v>44565</v>
      </c>
      <c r="K3656" s="2">
        <v>93</v>
      </c>
      <c r="L3656" s="2" t="s">
        <v>70</v>
      </c>
      <c r="M3656" s="3"/>
    </row>
    <row r="3657" spans="1:13" x14ac:dyDescent="0.3">
      <c r="A3657" s="2">
        <v>3656</v>
      </c>
      <c r="B3657" s="2" t="s">
        <v>2746</v>
      </c>
      <c r="C3657" s="2" t="s">
        <v>1131</v>
      </c>
      <c r="D3657" s="2" t="s">
        <v>51</v>
      </c>
      <c r="E3657" s="2" t="s">
        <v>16</v>
      </c>
      <c r="F3657" s="2">
        <v>60</v>
      </c>
      <c r="G3657" s="2" t="s">
        <v>8402</v>
      </c>
      <c r="H3657" s="2" t="s">
        <v>1834</v>
      </c>
      <c r="I3657" s="2" t="s">
        <v>32</v>
      </c>
      <c r="J3657" s="3">
        <v>44215</v>
      </c>
      <c r="K3657" s="2">
        <v>14</v>
      </c>
      <c r="L3657" s="2" t="s">
        <v>45</v>
      </c>
      <c r="M3657" s="3"/>
    </row>
    <row r="3658" spans="1:13" x14ac:dyDescent="0.3">
      <c r="A3658" s="2">
        <v>3657</v>
      </c>
      <c r="B3658" s="2" t="s">
        <v>8403</v>
      </c>
      <c r="C3658" s="2" t="s">
        <v>1840</v>
      </c>
      <c r="D3658" s="2" t="s">
        <v>51</v>
      </c>
      <c r="E3658" s="2" t="s">
        <v>16</v>
      </c>
      <c r="F3658" s="2">
        <v>30</v>
      </c>
      <c r="G3658" s="2" t="s">
        <v>8404</v>
      </c>
      <c r="H3658" s="2" t="s">
        <v>1625</v>
      </c>
      <c r="I3658" s="2" t="s">
        <v>32</v>
      </c>
      <c r="J3658" s="3">
        <v>44149</v>
      </c>
      <c r="K3658" s="2">
        <v>14</v>
      </c>
      <c r="L3658" s="2" t="s">
        <v>64</v>
      </c>
      <c r="M3658" s="3"/>
    </row>
    <row r="3659" spans="1:13" x14ac:dyDescent="0.3">
      <c r="A3659" s="2">
        <v>3658</v>
      </c>
      <c r="B3659" s="2" t="s">
        <v>8405</v>
      </c>
      <c r="C3659" s="2" t="s">
        <v>5786</v>
      </c>
      <c r="D3659" s="2" t="s">
        <v>15</v>
      </c>
      <c r="E3659" s="2" t="s">
        <v>16</v>
      </c>
      <c r="F3659" s="2">
        <v>60</v>
      </c>
      <c r="G3659" s="2" t="s">
        <v>8406</v>
      </c>
      <c r="H3659" s="2" t="s">
        <v>3261</v>
      </c>
      <c r="I3659" s="2" t="s">
        <v>124</v>
      </c>
      <c r="J3659" s="3">
        <v>44742</v>
      </c>
      <c r="K3659" s="2">
        <v>25</v>
      </c>
      <c r="L3659" s="2" t="s">
        <v>39</v>
      </c>
      <c r="M3659" s="3"/>
    </row>
    <row r="3660" spans="1:13" x14ac:dyDescent="0.3">
      <c r="A3660" s="2">
        <v>3659</v>
      </c>
      <c r="B3660" s="2" t="s">
        <v>8407</v>
      </c>
      <c r="C3660" s="2" t="s">
        <v>1392</v>
      </c>
      <c r="D3660" s="2" t="s">
        <v>28</v>
      </c>
      <c r="E3660" s="2" t="s">
        <v>29</v>
      </c>
      <c r="F3660" s="2">
        <v>90</v>
      </c>
      <c r="G3660" s="2" t="s">
        <v>8408</v>
      </c>
      <c r="H3660" s="2" t="s">
        <v>793</v>
      </c>
      <c r="I3660" s="2" t="s">
        <v>178</v>
      </c>
      <c r="J3660" s="3">
        <v>44291</v>
      </c>
      <c r="K3660" s="2">
        <v>44</v>
      </c>
      <c r="L3660" s="2" t="s">
        <v>54</v>
      </c>
      <c r="M3660" s="3"/>
    </row>
    <row r="3661" spans="1:13" x14ac:dyDescent="0.3">
      <c r="A3661" s="2">
        <v>3660</v>
      </c>
      <c r="B3661" s="2" t="s">
        <v>6378</v>
      </c>
      <c r="C3661" s="2" t="s">
        <v>6425</v>
      </c>
      <c r="D3661" s="2" t="s">
        <v>28</v>
      </c>
      <c r="E3661" s="2" t="s">
        <v>29</v>
      </c>
      <c r="F3661" s="2">
        <v>90</v>
      </c>
      <c r="G3661" s="2" t="s">
        <v>8409</v>
      </c>
      <c r="H3661" s="2" t="s">
        <v>3854</v>
      </c>
      <c r="I3661" s="2" t="s">
        <v>38</v>
      </c>
      <c r="J3661" s="3">
        <v>44363</v>
      </c>
      <c r="K3661" s="2">
        <v>17</v>
      </c>
      <c r="L3661" s="2" t="s">
        <v>33</v>
      </c>
      <c r="M3661" s="3"/>
    </row>
    <row r="3662" spans="1:13" x14ac:dyDescent="0.3">
      <c r="A3662" s="2">
        <v>3661</v>
      </c>
      <c r="B3662" s="2" t="s">
        <v>8410</v>
      </c>
      <c r="C3662" s="2" t="s">
        <v>5928</v>
      </c>
      <c r="D3662" s="2" t="s">
        <v>51</v>
      </c>
      <c r="E3662" s="2" t="s">
        <v>16</v>
      </c>
      <c r="F3662" s="2">
        <v>90</v>
      </c>
      <c r="G3662" s="2" t="s">
        <v>8411</v>
      </c>
      <c r="H3662" s="2" t="s">
        <v>1070</v>
      </c>
      <c r="I3662" s="2" t="s">
        <v>32</v>
      </c>
      <c r="J3662" s="3">
        <v>43837</v>
      </c>
      <c r="K3662" s="2">
        <v>45</v>
      </c>
      <c r="L3662" s="2" t="s">
        <v>54</v>
      </c>
      <c r="M3662" s="3"/>
    </row>
    <row r="3663" spans="1:13" x14ac:dyDescent="0.3">
      <c r="A3663" s="2">
        <v>3662</v>
      </c>
      <c r="B3663" s="2" t="s">
        <v>7690</v>
      </c>
      <c r="C3663" s="2" t="s">
        <v>8412</v>
      </c>
      <c r="D3663" s="2" t="s">
        <v>28</v>
      </c>
      <c r="E3663" s="2" t="s">
        <v>29</v>
      </c>
      <c r="F3663" s="2">
        <v>60</v>
      </c>
      <c r="G3663" s="2" t="s">
        <v>8413</v>
      </c>
      <c r="H3663" s="2" t="s">
        <v>5867</v>
      </c>
      <c r="I3663" s="2" t="s">
        <v>32</v>
      </c>
      <c r="J3663" s="3">
        <v>44308</v>
      </c>
      <c r="K3663" s="2">
        <v>85</v>
      </c>
      <c r="L3663" s="2" t="s">
        <v>33</v>
      </c>
      <c r="M3663" s="3"/>
    </row>
    <row r="3664" spans="1:13" x14ac:dyDescent="0.3">
      <c r="A3664" s="2">
        <v>3663</v>
      </c>
      <c r="B3664" s="2" t="s">
        <v>1616</v>
      </c>
      <c r="C3664" s="2" t="s">
        <v>680</v>
      </c>
      <c r="D3664" s="2" t="s">
        <v>15</v>
      </c>
      <c r="E3664" s="2" t="s">
        <v>16</v>
      </c>
      <c r="F3664" s="2">
        <v>30</v>
      </c>
      <c r="G3664" s="2" t="s">
        <v>8414</v>
      </c>
      <c r="H3664" s="2" t="s">
        <v>1422</v>
      </c>
      <c r="I3664" s="2" t="s">
        <v>575</v>
      </c>
      <c r="J3664" s="3">
        <v>43939</v>
      </c>
      <c r="K3664" s="2">
        <v>15</v>
      </c>
      <c r="L3664" s="2" t="s">
        <v>33</v>
      </c>
      <c r="M3664" s="3"/>
    </row>
    <row r="3665" spans="1:13" x14ac:dyDescent="0.3">
      <c r="A3665" s="2">
        <v>3664</v>
      </c>
      <c r="B3665" s="2" t="s">
        <v>8415</v>
      </c>
      <c r="C3665" s="2" t="s">
        <v>354</v>
      </c>
      <c r="D3665" s="2" t="s">
        <v>41</v>
      </c>
      <c r="E3665" s="2" t="s">
        <v>16</v>
      </c>
      <c r="F3665" s="2">
        <v>30</v>
      </c>
      <c r="G3665" s="2" t="s">
        <v>8416</v>
      </c>
      <c r="H3665" s="2" t="s">
        <v>1292</v>
      </c>
      <c r="I3665" s="2" t="s">
        <v>32</v>
      </c>
      <c r="J3665" s="3">
        <v>44051</v>
      </c>
      <c r="K3665" s="2">
        <v>51</v>
      </c>
      <c r="L3665" s="2" t="s">
        <v>54</v>
      </c>
      <c r="M3665" s="3"/>
    </row>
    <row r="3666" spans="1:13" x14ac:dyDescent="0.3">
      <c r="A3666" s="2">
        <v>3665</v>
      </c>
      <c r="B3666" s="2" t="s">
        <v>4257</v>
      </c>
      <c r="C3666" s="2" t="s">
        <v>1688</v>
      </c>
      <c r="D3666" s="2" t="s">
        <v>28</v>
      </c>
      <c r="E3666" s="2" t="s">
        <v>29</v>
      </c>
      <c r="F3666" s="2">
        <v>30</v>
      </c>
      <c r="G3666" s="2" t="s">
        <v>8417</v>
      </c>
      <c r="H3666" s="2" t="s">
        <v>5473</v>
      </c>
      <c r="I3666" s="2" t="s">
        <v>240</v>
      </c>
      <c r="J3666" s="3">
        <v>43888</v>
      </c>
      <c r="K3666" s="2">
        <v>7</v>
      </c>
      <c r="L3666" s="2" t="s">
        <v>45</v>
      </c>
      <c r="M3666" s="3"/>
    </row>
    <row r="3667" spans="1:13" x14ac:dyDescent="0.3">
      <c r="A3667" s="2">
        <v>3666</v>
      </c>
      <c r="B3667" s="2" t="s">
        <v>8418</v>
      </c>
      <c r="C3667" s="2" t="s">
        <v>8419</v>
      </c>
      <c r="D3667" s="2" t="s">
        <v>28</v>
      </c>
      <c r="E3667" s="2" t="s">
        <v>29</v>
      </c>
      <c r="F3667" s="2">
        <v>30</v>
      </c>
      <c r="G3667" s="2" t="s">
        <v>8420</v>
      </c>
      <c r="H3667" s="2" t="s">
        <v>6080</v>
      </c>
      <c r="I3667" s="2" t="s">
        <v>32</v>
      </c>
      <c r="J3667" s="3">
        <v>43877</v>
      </c>
      <c r="K3667" s="2">
        <v>43</v>
      </c>
      <c r="L3667" s="2" t="s">
        <v>159</v>
      </c>
      <c r="M3667" s="3"/>
    </row>
    <row r="3668" spans="1:13" x14ac:dyDescent="0.3">
      <c r="A3668" s="2">
        <v>3667</v>
      </c>
      <c r="B3668" s="2" t="s">
        <v>8421</v>
      </c>
      <c r="C3668" s="2" t="s">
        <v>6477</v>
      </c>
      <c r="D3668" s="2" t="s">
        <v>15</v>
      </c>
      <c r="E3668" s="2" t="s">
        <v>16</v>
      </c>
      <c r="F3668" s="2">
        <v>60</v>
      </c>
      <c r="G3668" s="2" t="s">
        <v>8420</v>
      </c>
      <c r="H3668" s="2" t="s">
        <v>8422</v>
      </c>
      <c r="I3668" s="2" t="s">
        <v>32</v>
      </c>
      <c r="J3668" s="3">
        <v>43834</v>
      </c>
      <c r="K3668" s="2">
        <v>31</v>
      </c>
      <c r="L3668" s="2" t="s">
        <v>39</v>
      </c>
      <c r="M3668" s="3"/>
    </row>
    <row r="3669" spans="1:13" x14ac:dyDescent="0.3">
      <c r="A3669" s="2">
        <v>3668</v>
      </c>
      <c r="B3669" s="2" t="s">
        <v>5623</v>
      </c>
      <c r="C3669" s="2" t="s">
        <v>2051</v>
      </c>
      <c r="D3669" s="2" t="s">
        <v>28</v>
      </c>
      <c r="E3669" s="2" t="s">
        <v>29</v>
      </c>
      <c r="F3669" s="2">
        <v>60</v>
      </c>
      <c r="G3669" s="2" t="s">
        <v>8423</v>
      </c>
      <c r="H3669" s="2" t="s">
        <v>514</v>
      </c>
      <c r="I3669" s="2" t="s">
        <v>19</v>
      </c>
      <c r="J3669" s="3">
        <v>44508</v>
      </c>
      <c r="K3669" s="2">
        <v>92</v>
      </c>
      <c r="L3669" s="2" t="s">
        <v>39</v>
      </c>
      <c r="M3669" s="3"/>
    </row>
    <row r="3670" spans="1:13" x14ac:dyDescent="0.3">
      <c r="A3670" s="2">
        <v>3669</v>
      </c>
      <c r="B3670" s="2" t="s">
        <v>4494</v>
      </c>
      <c r="C3670" s="2" t="s">
        <v>5876</v>
      </c>
      <c r="D3670" s="2" t="s">
        <v>117</v>
      </c>
      <c r="E3670" s="2" t="s">
        <v>29</v>
      </c>
      <c r="F3670" s="2">
        <v>90</v>
      </c>
      <c r="G3670" s="2" t="s">
        <v>8424</v>
      </c>
      <c r="H3670" s="2" t="s">
        <v>3449</v>
      </c>
      <c r="I3670" s="2" t="s">
        <v>187</v>
      </c>
      <c r="J3670" s="3">
        <v>44054</v>
      </c>
      <c r="K3670" s="2">
        <v>82</v>
      </c>
      <c r="L3670" s="2" t="s">
        <v>54</v>
      </c>
      <c r="M3670" s="3"/>
    </row>
    <row r="3671" spans="1:13" x14ac:dyDescent="0.3">
      <c r="A3671" s="2">
        <v>3670</v>
      </c>
      <c r="B3671" s="2" t="s">
        <v>8425</v>
      </c>
      <c r="C3671" s="2" t="s">
        <v>8426</v>
      </c>
      <c r="D3671" s="2" t="s">
        <v>15</v>
      </c>
      <c r="E3671" s="2" t="s">
        <v>16</v>
      </c>
      <c r="F3671" s="2">
        <v>30</v>
      </c>
      <c r="G3671" s="2" t="s">
        <v>8427</v>
      </c>
      <c r="H3671" s="2" t="s">
        <v>412</v>
      </c>
      <c r="I3671" s="2" t="s">
        <v>187</v>
      </c>
      <c r="J3671" s="3">
        <v>44253</v>
      </c>
      <c r="K3671" s="2">
        <v>44</v>
      </c>
      <c r="L3671" s="2" t="s">
        <v>64</v>
      </c>
      <c r="M3671" s="3"/>
    </row>
    <row r="3672" spans="1:13" x14ac:dyDescent="0.3">
      <c r="A3672" s="2">
        <v>3671</v>
      </c>
      <c r="B3672" s="2" t="s">
        <v>8428</v>
      </c>
      <c r="C3672" s="2" t="s">
        <v>3301</v>
      </c>
      <c r="D3672" s="2" t="s">
        <v>51</v>
      </c>
      <c r="E3672" s="2" t="s">
        <v>16</v>
      </c>
      <c r="F3672" s="2">
        <v>90</v>
      </c>
      <c r="G3672" s="2" t="s">
        <v>8429</v>
      </c>
      <c r="H3672" s="2" t="s">
        <v>2997</v>
      </c>
      <c r="I3672" s="2" t="s">
        <v>32</v>
      </c>
      <c r="J3672" s="3">
        <v>44756</v>
      </c>
      <c r="K3672" s="2">
        <v>22</v>
      </c>
      <c r="L3672" s="2" t="s">
        <v>80</v>
      </c>
      <c r="M3672" s="3"/>
    </row>
    <row r="3673" spans="1:13" x14ac:dyDescent="0.3">
      <c r="A3673" s="2">
        <v>3672</v>
      </c>
      <c r="B3673" s="2" t="s">
        <v>3904</v>
      </c>
      <c r="C3673" s="2" t="s">
        <v>1172</v>
      </c>
      <c r="D3673" s="2" t="s">
        <v>15</v>
      </c>
      <c r="E3673" s="2" t="s">
        <v>16</v>
      </c>
      <c r="F3673" s="2">
        <v>30</v>
      </c>
      <c r="G3673" s="2" t="s">
        <v>8430</v>
      </c>
      <c r="H3673" s="2" t="s">
        <v>4870</v>
      </c>
      <c r="I3673" s="2" t="s">
        <v>146</v>
      </c>
      <c r="J3673" s="3">
        <v>43850</v>
      </c>
      <c r="K3673" s="2">
        <v>43</v>
      </c>
      <c r="L3673" s="2" t="s">
        <v>70</v>
      </c>
      <c r="M3673" s="3"/>
    </row>
    <row r="3674" spans="1:13" x14ac:dyDescent="0.3">
      <c r="A3674" s="2">
        <v>3673</v>
      </c>
      <c r="B3674" s="2" t="s">
        <v>7243</v>
      </c>
      <c r="C3674" s="2" t="s">
        <v>2977</v>
      </c>
      <c r="D3674" s="2" t="s">
        <v>15</v>
      </c>
      <c r="E3674" s="2" t="s">
        <v>16</v>
      </c>
      <c r="F3674" s="2">
        <v>60</v>
      </c>
      <c r="G3674" s="2" t="s">
        <v>8431</v>
      </c>
      <c r="H3674" s="2" t="s">
        <v>1575</v>
      </c>
      <c r="I3674" s="2" t="s">
        <v>1576</v>
      </c>
      <c r="J3674" s="3">
        <v>44861</v>
      </c>
      <c r="K3674" s="2">
        <v>50</v>
      </c>
      <c r="L3674" s="2" t="s">
        <v>159</v>
      </c>
      <c r="M3674" s="3"/>
    </row>
    <row r="3675" spans="1:13" x14ac:dyDescent="0.3">
      <c r="A3675" s="2">
        <v>3674</v>
      </c>
      <c r="B3675" s="2" t="s">
        <v>8432</v>
      </c>
      <c r="C3675" s="2" t="s">
        <v>3173</v>
      </c>
      <c r="D3675" s="2" t="s">
        <v>41</v>
      </c>
      <c r="E3675" s="2" t="s">
        <v>16</v>
      </c>
      <c r="F3675" s="2">
        <v>30</v>
      </c>
      <c r="G3675" s="2" t="s">
        <v>8433</v>
      </c>
      <c r="H3675" s="2" t="s">
        <v>5477</v>
      </c>
      <c r="I3675" s="2" t="s">
        <v>187</v>
      </c>
      <c r="J3675" s="3">
        <v>44566</v>
      </c>
      <c r="K3675" s="2">
        <v>98</v>
      </c>
      <c r="L3675" s="2" t="s">
        <v>45</v>
      </c>
      <c r="M3675" s="3"/>
    </row>
    <row r="3676" spans="1:13" x14ac:dyDescent="0.3">
      <c r="A3676" s="2">
        <v>3675</v>
      </c>
      <c r="B3676" s="2" t="s">
        <v>4247</v>
      </c>
      <c r="C3676" s="2" t="s">
        <v>581</v>
      </c>
      <c r="D3676" s="2" t="s">
        <v>51</v>
      </c>
      <c r="E3676" s="2" t="s">
        <v>16</v>
      </c>
      <c r="F3676" s="2">
        <v>30</v>
      </c>
      <c r="G3676" s="2" t="s">
        <v>8434</v>
      </c>
      <c r="H3676" s="2" t="s">
        <v>738</v>
      </c>
      <c r="I3676" s="2" t="s">
        <v>38</v>
      </c>
      <c r="J3676" s="3">
        <v>44381</v>
      </c>
      <c r="K3676" s="2">
        <v>14</v>
      </c>
      <c r="L3676" s="2" t="s">
        <v>33</v>
      </c>
      <c r="M3676" s="3"/>
    </row>
    <row r="3677" spans="1:13" x14ac:dyDescent="0.3">
      <c r="A3677" s="2">
        <v>3676</v>
      </c>
      <c r="B3677" s="2" t="s">
        <v>5287</v>
      </c>
      <c r="C3677" s="2" t="s">
        <v>4005</v>
      </c>
      <c r="D3677" s="2" t="s">
        <v>51</v>
      </c>
      <c r="E3677" s="2" t="s">
        <v>16</v>
      </c>
      <c r="F3677" s="2">
        <v>30</v>
      </c>
      <c r="G3677" s="2" t="s">
        <v>8435</v>
      </c>
      <c r="H3677" s="2" t="s">
        <v>5148</v>
      </c>
      <c r="I3677" s="2" t="s">
        <v>32</v>
      </c>
      <c r="J3677" s="3">
        <v>44575</v>
      </c>
      <c r="K3677" s="2">
        <v>49</v>
      </c>
      <c r="L3677" s="2" t="s">
        <v>39</v>
      </c>
      <c r="M3677" s="3"/>
    </row>
    <row r="3678" spans="1:13" x14ac:dyDescent="0.3">
      <c r="A3678" s="2">
        <v>3677</v>
      </c>
      <c r="B3678" s="2" t="s">
        <v>1405</v>
      </c>
      <c r="C3678" s="2" t="s">
        <v>1109</v>
      </c>
      <c r="D3678" s="2" t="s">
        <v>28</v>
      </c>
      <c r="E3678" s="2" t="s">
        <v>29</v>
      </c>
      <c r="F3678" s="2">
        <v>60</v>
      </c>
      <c r="G3678" s="2" t="s">
        <v>8436</v>
      </c>
      <c r="H3678" s="2" t="s">
        <v>3208</v>
      </c>
      <c r="I3678" s="2" t="s">
        <v>32</v>
      </c>
      <c r="J3678" s="3">
        <v>43940</v>
      </c>
      <c r="K3678" s="2">
        <v>60</v>
      </c>
      <c r="L3678" s="2" t="s">
        <v>54</v>
      </c>
      <c r="M3678" s="3"/>
    </row>
    <row r="3679" spans="1:13" x14ac:dyDescent="0.3">
      <c r="A3679" s="2">
        <v>3678</v>
      </c>
      <c r="B3679" s="2" t="s">
        <v>5147</v>
      </c>
      <c r="C3679" s="2" t="s">
        <v>5534</v>
      </c>
      <c r="D3679" s="2" t="s">
        <v>28</v>
      </c>
      <c r="E3679" s="2" t="s">
        <v>29</v>
      </c>
      <c r="F3679" s="2">
        <v>60</v>
      </c>
      <c r="G3679" s="2" t="s">
        <v>8437</v>
      </c>
      <c r="H3679" s="2" t="s">
        <v>3396</v>
      </c>
      <c r="I3679" s="2" t="s">
        <v>32</v>
      </c>
      <c r="J3679" s="3">
        <v>44323</v>
      </c>
      <c r="K3679" s="2">
        <v>54</v>
      </c>
      <c r="L3679" s="2" t="s">
        <v>64</v>
      </c>
      <c r="M3679" s="3"/>
    </row>
    <row r="3680" spans="1:13" x14ac:dyDescent="0.3">
      <c r="A3680" s="2">
        <v>3679</v>
      </c>
      <c r="B3680" s="2" t="s">
        <v>402</v>
      </c>
      <c r="C3680" s="2" t="s">
        <v>1105</v>
      </c>
      <c r="D3680" s="2" t="s">
        <v>15</v>
      </c>
      <c r="E3680" s="2" t="s">
        <v>16</v>
      </c>
      <c r="F3680" s="2">
        <v>60</v>
      </c>
      <c r="G3680" s="2" t="s">
        <v>8437</v>
      </c>
      <c r="H3680" s="2" t="s">
        <v>5099</v>
      </c>
      <c r="I3680" s="2" t="s">
        <v>32</v>
      </c>
      <c r="J3680" s="3">
        <v>44350</v>
      </c>
      <c r="K3680" s="2">
        <v>38</v>
      </c>
      <c r="L3680" s="2" t="s">
        <v>64</v>
      </c>
      <c r="M3680" s="3"/>
    </row>
    <row r="3681" spans="1:13" x14ac:dyDescent="0.3">
      <c r="A3681" s="2">
        <v>3680</v>
      </c>
      <c r="B3681" s="2" t="s">
        <v>8438</v>
      </c>
      <c r="C3681" s="2" t="s">
        <v>3621</v>
      </c>
      <c r="D3681" s="2" t="s">
        <v>51</v>
      </c>
      <c r="E3681" s="2" t="s">
        <v>16</v>
      </c>
      <c r="F3681" s="2">
        <v>60</v>
      </c>
      <c r="G3681" s="2" t="s">
        <v>8439</v>
      </c>
      <c r="H3681" s="2" t="s">
        <v>2183</v>
      </c>
      <c r="I3681" s="2" t="s">
        <v>124</v>
      </c>
      <c r="J3681" s="3">
        <v>44450</v>
      </c>
      <c r="K3681" s="2">
        <v>41</v>
      </c>
      <c r="L3681" s="2" t="s">
        <v>45</v>
      </c>
      <c r="M3681" s="3"/>
    </row>
    <row r="3682" spans="1:13" x14ac:dyDescent="0.3">
      <c r="A3682" s="2">
        <v>3681</v>
      </c>
      <c r="B3682" s="2" t="s">
        <v>1333</v>
      </c>
      <c r="C3682" s="2" t="s">
        <v>4974</v>
      </c>
      <c r="D3682" s="2" t="s">
        <v>28</v>
      </c>
      <c r="E3682" s="2" t="s">
        <v>29</v>
      </c>
      <c r="F3682" s="2">
        <v>30</v>
      </c>
      <c r="G3682" s="2" t="s">
        <v>8440</v>
      </c>
      <c r="H3682" s="2" t="s">
        <v>793</v>
      </c>
      <c r="I3682" s="2" t="s">
        <v>178</v>
      </c>
      <c r="J3682" s="3">
        <v>44110</v>
      </c>
      <c r="K3682" s="2">
        <v>70</v>
      </c>
      <c r="L3682" s="2" t="s">
        <v>33</v>
      </c>
      <c r="M3682" s="3"/>
    </row>
    <row r="3683" spans="1:13" x14ac:dyDescent="0.3">
      <c r="A3683" s="2">
        <v>3682</v>
      </c>
      <c r="B3683" s="2" t="s">
        <v>8441</v>
      </c>
      <c r="C3683" s="2" t="s">
        <v>5970</v>
      </c>
      <c r="D3683" s="2" t="s">
        <v>15</v>
      </c>
      <c r="E3683" s="2" t="s">
        <v>16</v>
      </c>
      <c r="F3683" s="2">
        <v>30</v>
      </c>
      <c r="G3683" s="2" t="s">
        <v>8442</v>
      </c>
      <c r="H3683" s="2" t="s">
        <v>6080</v>
      </c>
      <c r="I3683" s="2" t="s">
        <v>32</v>
      </c>
      <c r="J3683" s="3">
        <v>43987</v>
      </c>
      <c r="K3683" s="2">
        <v>44</v>
      </c>
      <c r="L3683" s="2" t="s">
        <v>64</v>
      </c>
      <c r="M3683" s="3"/>
    </row>
    <row r="3684" spans="1:13" x14ac:dyDescent="0.3">
      <c r="A3684" s="2">
        <v>3683</v>
      </c>
      <c r="B3684" s="2" t="s">
        <v>2442</v>
      </c>
      <c r="C3684" s="2" t="s">
        <v>5211</v>
      </c>
      <c r="D3684" s="2" t="s">
        <v>51</v>
      </c>
      <c r="E3684" s="2" t="s">
        <v>16</v>
      </c>
      <c r="F3684" s="2">
        <v>90</v>
      </c>
      <c r="G3684" s="2" t="s">
        <v>8443</v>
      </c>
      <c r="H3684" s="2" t="s">
        <v>2351</v>
      </c>
      <c r="I3684" s="2" t="s">
        <v>32</v>
      </c>
      <c r="J3684" s="3">
        <v>44126</v>
      </c>
      <c r="K3684" s="2">
        <v>54</v>
      </c>
      <c r="L3684" s="2" t="s">
        <v>39</v>
      </c>
      <c r="M3684" s="3"/>
    </row>
    <row r="3685" spans="1:13" x14ac:dyDescent="0.3">
      <c r="A3685" s="2">
        <v>3684</v>
      </c>
      <c r="B3685" s="2" t="s">
        <v>3378</v>
      </c>
      <c r="C3685" s="2" t="s">
        <v>5267</v>
      </c>
      <c r="D3685" s="2" t="s">
        <v>15</v>
      </c>
      <c r="E3685" s="2" t="s">
        <v>16</v>
      </c>
      <c r="F3685" s="2">
        <v>30</v>
      </c>
      <c r="G3685" s="2" t="s">
        <v>8444</v>
      </c>
      <c r="H3685" s="2" t="s">
        <v>659</v>
      </c>
      <c r="I3685" s="2" t="s">
        <v>32</v>
      </c>
      <c r="J3685" s="3">
        <v>43840</v>
      </c>
      <c r="K3685" s="2">
        <v>59</v>
      </c>
      <c r="L3685" s="2" t="s">
        <v>64</v>
      </c>
      <c r="M3685" s="3"/>
    </row>
    <row r="3686" spans="1:13" x14ac:dyDescent="0.3">
      <c r="A3686" s="2">
        <v>3685</v>
      </c>
      <c r="B3686" s="2" t="s">
        <v>2823</v>
      </c>
      <c r="C3686" s="2" t="s">
        <v>4181</v>
      </c>
      <c r="D3686" s="2" t="s">
        <v>92</v>
      </c>
      <c r="E3686" s="2" t="s">
        <v>29</v>
      </c>
      <c r="F3686" s="2">
        <v>30</v>
      </c>
      <c r="G3686" s="2" t="s">
        <v>8445</v>
      </c>
      <c r="H3686" s="2" t="s">
        <v>5069</v>
      </c>
      <c r="I3686" s="2" t="s">
        <v>32</v>
      </c>
      <c r="J3686" s="3">
        <v>43972</v>
      </c>
      <c r="K3686" s="2">
        <v>50</v>
      </c>
      <c r="L3686" s="2" t="s">
        <v>39</v>
      </c>
      <c r="M3686" s="3"/>
    </row>
    <row r="3687" spans="1:13" x14ac:dyDescent="0.3">
      <c r="A3687" s="2">
        <v>3686</v>
      </c>
      <c r="B3687" s="2" t="s">
        <v>7314</v>
      </c>
      <c r="C3687" s="2" t="s">
        <v>5716</v>
      </c>
      <c r="D3687" s="2" t="s">
        <v>28</v>
      </c>
      <c r="E3687" s="2" t="s">
        <v>29</v>
      </c>
      <c r="F3687" s="2">
        <v>90</v>
      </c>
      <c r="G3687" s="2" t="s">
        <v>8446</v>
      </c>
      <c r="H3687" s="2" t="s">
        <v>985</v>
      </c>
      <c r="I3687" s="2" t="s">
        <v>38</v>
      </c>
      <c r="J3687" s="3">
        <v>43845</v>
      </c>
      <c r="K3687" s="2">
        <v>79</v>
      </c>
      <c r="L3687" s="2" t="s">
        <v>45</v>
      </c>
      <c r="M3687" s="3"/>
    </row>
    <row r="3688" spans="1:13" x14ac:dyDescent="0.3">
      <c r="A3688" s="2">
        <v>3687</v>
      </c>
      <c r="B3688" s="2" t="s">
        <v>550</v>
      </c>
      <c r="C3688" s="2" t="s">
        <v>1774</v>
      </c>
      <c r="D3688" s="2" t="s">
        <v>28</v>
      </c>
      <c r="E3688" s="2" t="s">
        <v>29</v>
      </c>
      <c r="F3688" s="2">
        <v>90</v>
      </c>
      <c r="G3688" s="2" t="s">
        <v>8447</v>
      </c>
      <c r="H3688" s="2" t="s">
        <v>4594</v>
      </c>
      <c r="I3688" s="2" t="s">
        <v>38</v>
      </c>
      <c r="J3688" s="3">
        <v>44838</v>
      </c>
      <c r="K3688" s="2">
        <v>96</v>
      </c>
      <c r="L3688" s="2" t="s">
        <v>80</v>
      </c>
      <c r="M3688" s="3"/>
    </row>
    <row r="3689" spans="1:13" x14ac:dyDescent="0.3">
      <c r="A3689" s="2">
        <v>3688</v>
      </c>
      <c r="B3689" s="2" t="s">
        <v>1356</v>
      </c>
      <c r="C3689" s="2" t="s">
        <v>7168</v>
      </c>
      <c r="D3689" s="2" t="s">
        <v>28</v>
      </c>
      <c r="E3689" s="2" t="s">
        <v>29</v>
      </c>
      <c r="F3689" s="2">
        <v>30</v>
      </c>
      <c r="G3689" s="2" t="s">
        <v>8448</v>
      </c>
      <c r="H3689" s="2" t="s">
        <v>5158</v>
      </c>
      <c r="I3689" s="2" t="s">
        <v>5159</v>
      </c>
      <c r="J3689" s="3">
        <v>44551</v>
      </c>
      <c r="K3689" s="2">
        <v>63</v>
      </c>
      <c r="L3689" s="2" t="s">
        <v>20</v>
      </c>
      <c r="M3689" s="3"/>
    </row>
    <row r="3690" spans="1:13" x14ac:dyDescent="0.3">
      <c r="A3690" s="2">
        <v>3689</v>
      </c>
      <c r="B3690" s="2" t="s">
        <v>2513</v>
      </c>
      <c r="C3690" s="2" t="s">
        <v>4173</v>
      </c>
      <c r="D3690" s="2" t="s">
        <v>28</v>
      </c>
      <c r="E3690" s="2" t="s">
        <v>29</v>
      </c>
      <c r="F3690" s="2">
        <v>60</v>
      </c>
      <c r="G3690" s="2" t="s">
        <v>8449</v>
      </c>
      <c r="H3690" s="2" t="s">
        <v>2696</v>
      </c>
      <c r="I3690" s="2" t="s">
        <v>95</v>
      </c>
      <c r="J3690" s="3">
        <v>43917</v>
      </c>
      <c r="K3690" s="2">
        <v>18</v>
      </c>
      <c r="L3690" s="2" t="s">
        <v>39</v>
      </c>
      <c r="M3690" s="3"/>
    </row>
    <row r="3691" spans="1:13" x14ac:dyDescent="0.3">
      <c r="A3691" s="2">
        <v>3690</v>
      </c>
      <c r="B3691" s="2" t="s">
        <v>1371</v>
      </c>
      <c r="C3691" s="2" t="s">
        <v>1826</v>
      </c>
      <c r="D3691" s="2" t="s">
        <v>28</v>
      </c>
      <c r="E3691" s="2" t="s">
        <v>29</v>
      </c>
      <c r="F3691" s="2">
        <v>90</v>
      </c>
      <c r="G3691" s="2" t="s">
        <v>8450</v>
      </c>
      <c r="H3691" s="2" t="s">
        <v>1336</v>
      </c>
      <c r="I3691" s="2" t="s">
        <v>129</v>
      </c>
      <c r="J3691" s="3">
        <v>43873</v>
      </c>
      <c r="K3691" s="2">
        <v>76</v>
      </c>
      <c r="L3691" s="2" t="s">
        <v>159</v>
      </c>
      <c r="M3691" s="3"/>
    </row>
    <row r="3692" spans="1:13" x14ac:dyDescent="0.3">
      <c r="A3692" s="2">
        <v>3691</v>
      </c>
      <c r="B3692" s="2" t="s">
        <v>8451</v>
      </c>
      <c r="C3692" s="2" t="s">
        <v>1222</v>
      </c>
      <c r="D3692" s="2" t="s">
        <v>15</v>
      </c>
      <c r="E3692" s="2" t="s">
        <v>16</v>
      </c>
      <c r="F3692" s="2">
        <v>30</v>
      </c>
      <c r="G3692" s="2" t="s">
        <v>8452</v>
      </c>
      <c r="H3692" s="2" t="s">
        <v>1768</v>
      </c>
      <c r="I3692" s="2" t="s">
        <v>32</v>
      </c>
      <c r="J3692" s="3">
        <v>44755</v>
      </c>
      <c r="K3692" s="2">
        <v>42</v>
      </c>
      <c r="L3692" s="2" t="s">
        <v>70</v>
      </c>
      <c r="M3692" s="3"/>
    </row>
    <row r="3693" spans="1:13" x14ac:dyDescent="0.3">
      <c r="A3693" s="2">
        <v>3692</v>
      </c>
      <c r="B3693" s="2" t="s">
        <v>8453</v>
      </c>
      <c r="C3693" s="2" t="s">
        <v>35</v>
      </c>
      <c r="D3693" s="2" t="s">
        <v>117</v>
      </c>
      <c r="E3693" s="2" t="s">
        <v>16</v>
      </c>
      <c r="F3693" s="2">
        <v>90</v>
      </c>
      <c r="G3693" s="2" t="s">
        <v>8454</v>
      </c>
      <c r="H3693" s="2" t="s">
        <v>2533</v>
      </c>
      <c r="I3693" s="2" t="s">
        <v>2534</v>
      </c>
      <c r="J3693" s="3">
        <v>44649</v>
      </c>
      <c r="K3693" s="2">
        <v>22</v>
      </c>
      <c r="L3693" s="2" t="s">
        <v>39</v>
      </c>
      <c r="M3693" s="3"/>
    </row>
    <row r="3694" spans="1:13" x14ac:dyDescent="0.3">
      <c r="A3694" s="2">
        <v>3693</v>
      </c>
      <c r="B3694" s="2" t="s">
        <v>8455</v>
      </c>
      <c r="C3694" s="2" t="s">
        <v>6016</v>
      </c>
      <c r="D3694" s="2" t="s">
        <v>15</v>
      </c>
      <c r="E3694" s="2" t="s">
        <v>16</v>
      </c>
      <c r="F3694" s="2">
        <v>30</v>
      </c>
      <c r="G3694" s="2" t="s">
        <v>8456</v>
      </c>
      <c r="H3694" s="2" t="s">
        <v>2766</v>
      </c>
      <c r="I3694" s="2" t="s">
        <v>294</v>
      </c>
      <c r="J3694" s="3">
        <v>44863</v>
      </c>
      <c r="K3694" s="2">
        <v>47</v>
      </c>
      <c r="L3694" s="2" t="s">
        <v>101</v>
      </c>
      <c r="M3694" s="3"/>
    </row>
    <row r="3695" spans="1:13" x14ac:dyDescent="0.3">
      <c r="A3695" s="2">
        <v>3694</v>
      </c>
      <c r="B3695" s="2" t="s">
        <v>758</v>
      </c>
      <c r="C3695" s="2" t="s">
        <v>653</v>
      </c>
      <c r="D3695" s="2" t="s">
        <v>15</v>
      </c>
      <c r="E3695" s="2" t="s">
        <v>16</v>
      </c>
      <c r="F3695" s="2">
        <v>30</v>
      </c>
      <c r="G3695" s="2" t="s">
        <v>8457</v>
      </c>
      <c r="H3695" s="2" t="s">
        <v>4028</v>
      </c>
      <c r="I3695" s="2" t="s">
        <v>32</v>
      </c>
      <c r="J3695" s="3">
        <v>43902</v>
      </c>
      <c r="K3695" s="2">
        <v>29</v>
      </c>
      <c r="L3695" s="2" t="s">
        <v>159</v>
      </c>
      <c r="M3695" s="3"/>
    </row>
    <row r="3696" spans="1:13" x14ac:dyDescent="0.3">
      <c r="A3696" s="2">
        <v>3695</v>
      </c>
      <c r="B3696" s="2" t="s">
        <v>8458</v>
      </c>
      <c r="C3696" s="2" t="s">
        <v>472</v>
      </c>
      <c r="D3696" s="2" t="s">
        <v>92</v>
      </c>
      <c r="E3696" s="2" t="s">
        <v>16</v>
      </c>
      <c r="F3696" s="2">
        <v>60</v>
      </c>
      <c r="G3696" s="2" t="s">
        <v>8459</v>
      </c>
      <c r="H3696" s="2" t="s">
        <v>8460</v>
      </c>
      <c r="I3696" s="2" t="s">
        <v>19</v>
      </c>
      <c r="J3696" s="3">
        <v>44489</v>
      </c>
      <c r="K3696" s="2">
        <v>53</v>
      </c>
      <c r="L3696" s="2" t="s">
        <v>33</v>
      </c>
      <c r="M3696" s="3"/>
    </row>
    <row r="3697" spans="1:13" x14ac:dyDescent="0.3">
      <c r="A3697" s="2">
        <v>3696</v>
      </c>
      <c r="B3697" s="2" t="s">
        <v>8461</v>
      </c>
      <c r="C3697" s="2" t="s">
        <v>3066</v>
      </c>
      <c r="D3697" s="2" t="s">
        <v>51</v>
      </c>
      <c r="E3697" s="2" t="s">
        <v>16</v>
      </c>
      <c r="F3697" s="2">
        <v>30</v>
      </c>
      <c r="G3697" s="2" t="s">
        <v>8462</v>
      </c>
      <c r="H3697" s="2" t="s">
        <v>1729</v>
      </c>
      <c r="I3697" s="2" t="s">
        <v>32</v>
      </c>
      <c r="J3697" s="3">
        <v>44212</v>
      </c>
      <c r="K3697" s="2">
        <v>77</v>
      </c>
      <c r="L3697" s="2" t="s">
        <v>64</v>
      </c>
      <c r="M3697" s="3"/>
    </row>
    <row r="3698" spans="1:13" x14ac:dyDescent="0.3">
      <c r="A3698" s="2">
        <v>3697</v>
      </c>
      <c r="B3698" s="2" t="s">
        <v>7643</v>
      </c>
      <c r="C3698" s="2" t="s">
        <v>5359</v>
      </c>
      <c r="D3698" s="2" t="s">
        <v>28</v>
      </c>
      <c r="E3698" s="2" t="s">
        <v>29</v>
      </c>
      <c r="F3698" s="2">
        <v>30</v>
      </c>
      <c r="G3698" s="2" t="s">
        <v>8463</v>
      </c>
      <c r="H3698" s="2" t="s">
        <v>781</v>
      </c>
      <c r="I3698" s="2" t="s">
        <v>294</v>
      </c>
      <c r="J3698" s="3">
        <v>43916</v>
      </c>
      <c r="K3698" s="2">
        <v>61</v>
      </c>
      <c r="L3698" s="2" t="s">
        <v>20</v>
      </c>
      <c r="M3698" s="3"/>
    </row>
    <row r="3699" spans="1:13" x14ac:dyDescent="0.3">
      <c r="A3699" s="2">
        <v>3698</v>
      </c>
      <c r="B3699" s="2" t="s">
        <v>8464</v>
      </c>
      <c r="C3699" s="2" t="s">
        <v>3930</v>
      </c>
      <c r="D3699" s="2" t="s">
        <v>15</v>
      </c>
      <c r="E3699" s="2" t="s">
        <v>16</v>
      </c>
      <c r="F3699" s="2">
        <v>60</v>
      </c>
      <c r="G3699" s="2" t="s">
        <v>8465</v>
      </c>
      <c r="H3699" s="2" t="s">
        <v>270</v>
      </c>
      <c r="I3699" s="2" t="s">
        <v>187</v>
      </c>
      <c r="J3699" s="3">
        <v>44494</v>
      </c>
      <c r="K3699" s="2">
        <v>10</v>
      </c>
      <c r="L3699" s="2" t="s">
        <v>45</v>
      </c>
      <c r="M3699" s="3"/>
    </row>
    <row r="3700" spans="1:13" x14ac:dyDescent="0.3">
      <c r="A3700" s="2">
        <v>3699</v>
      </c>
      <c r="B3700" s="2" t="s">
        <v>8466</v>
      </c>
      <c r="C3700" s="2" t="s">
        <v>8467</v>
      </c>
      <c r="D3700" s="2" t="s">
        <v>51</v>
      </c>
      <c r="E3700" s="2" t="s">
        <v>16</v>
      </c>
      <c r="F3700" s="2">
        <v>90</v>
      </c>
      <c r="G3700" s="2" t="s">
        <v>8468</v>
      </c>
      <c r="H3700" s="2" t="s">
        <v>1168</v>
      </c>
      <c r="I3700" s="2" t="s">
        <v>32</v>
      </c>
      <c r="J3700" s="3">
        <v>44137</v>
      </c>
      <c r="K3700" s="2">
        <v>12</v>
      </c>
      <c r="L3700" s="2" t="s">
        <v>39</v>
      </c>
      <c r="M3700" s="3"/>
    </row>
    <row r="3701" spans="1:13" x14ac:dyDescent="0.3">
      <c r="A3701" s="2">
        <v>3700</v>
      </c>
      <c r="B3701" s="2" t="s">
        <v>798</v>
      </c>
      <c r="C3701" s="2" t="s">
        <v>2064</v>
      </c>
      <c r="D3701" s="2" t="s">
        <v>28</v>
      </c>
      <c r="E3701" s="2" t="s">
        <v>29</v>
      </c>
      <c r="F3701" s="2">
        <v>60</v>
      </c>
      <c r="G3701" s="2" t="s">
        <v>8469</v>
      </c>
      <c r="H3701" s="2" t="s">
        <v>2397</v>
      </c>
      <c r="I3701" s="2" t="s">
        <v>187</v>
      </c>
      <c r="J3701" s="3">
        <v>44785</v>
      </c>
      <c r="K3701" s="2">
        <v>50</v>
      </c>
      <c r="L3701" s="2" t="s">
        <v>54</v>
      </c>
      <c r="M3701" s="3"/>
    </row>
    <row r="3702" spans="1:13" x14ac:dyDescent="0.3">
      <c r="A3702" s="2">
        <v>3701</v>
      </c>
      <c r="B3702" s="2" t="s">
        <v>4407</v>
      </c>
      <c r="C3702" s="2" t="s">
        <v>5742</v>
      </c>
      <c r="D3702" s="2" t="s">
        <v>15</v>
      </c>
      <c r="E3702" s="2" t="s">
        <v>16</v>
      </c>
      <c r="F3702" s="2">
        <v>30</v>
      </c>
      <c r="G3702" s="2" t="s">
        <v>8470</v>
      </c>
      <c r="H3702" s="2" t="s">
        <v>518</v>
      </c>
      <c r="I3702" s="2" t="s">
        <v>32</v>
      </c>
      <c r="J3702" s="3">
        <v>43848</v>
      </c>
      <c r="K3702" s="2">
        <v>43</v>
      </c>
      <c r="L3702" s="2" t="s">
        <v>70</v>
      </c>
      <c r="M3702" s="3"/>
    </row>
    <row r="3703" spans="1:13" x14ac:dyDescent="0.3">
      <c r="A3703" s="2">
        <v>3702</v>
      </c>
      <c r="B3703" s="2" t="s">
        <v>828</v>
      </c>
      <c r="C3703" s="2" t="s">
        <v>1101</v>
      </c>
      <c r="D3703" s="2" t="s">
        <v>28</v>
      </c>
      <c r="E3703" s="2" t="s">
        <v>29</v>
      </c>
      <c r="F3703" s="2">
        <v>30</v>
      </c>
      <c r="G3703" s="2" t="s">
        <v>8471</v>
      </c>
      <c r="H3703" s="2" t="s">
        <v>3991</v>
      </c>
      <c r="I3703" s="2" t="s">
        <v>32</v>
      </c>
      <c r="J3703" s="3">
        <v>43865</v>
      </c>
      <c r="K3703" s="2">
        <v>23</v>
      </c>
      <c r="L3703" s="2" t="s">
        <v>101</v>
      </c>
      <c r="M3703" s="3"/>
    </row>
    <row r="3704" spans="1:13" x14ac:dyDescent="0.3">
      <c r="A3704" s="2">
        <v>3703</v>
      </c>
      <c r="B3704" s="2" t="s">
        <v>8472</v>
      </c>
      <c r="C3704" s="2" t="s">
        <v>1212</v>
      </c>
      <c r="D3704" s="2" t="s">
        <v>28</v>
      </c>
      <c r="E3704" s="2" t="s">
        <v>29</v>
      </c>
      <c r="F3704" s="2">
        <v>30</v>
      </c>
      <c r="G3704" s="2" t="s">
        <v>8473</v>
      </c>
      <c r="H3704" s="2" t="s">
        <v>2552</v>
      </c>
      <c r="I3704" s="2" t="s">
        <v>32</v>
      </c>
      <c r="J3704" s="3">
        <v>44729</v>
      </c>
      <c r="K3704" s="2">
        <v>55</v>
      </c>
      <c r="L3704" s="2" t="s">
        <v>80</v>
      </c>
      <c r="M3704" s="3"/>
    </row>
    <row r="3705" spans="1:13" x14ac:dyDescent="0.3">
      <c r="A3705" s="2">
        <v>3704</v>
      </c>
      <c r="B3705" s="2" t="s">
        <v>8474</v>
      </c>
      <c r="C3705" s="2" t="s">
        <v>3171</v>
      </c>
      <c r="D3705" s="2" t="s">
        <v>51</v>
      </c>
      <c r="E3705" s="2" t="s">
        <v>16</v>
      </c>
      <c r="F3705" s="2">
        <v>60</v>
      </c>
      <c r="G3705" s="2" t="s">
        <v>8475</v>
      </c>
      <c r="H3705" s="2" t="s">
        <v>963</v>
      </c>
      <c r="I3705" s="2" t="s">
        <v>25</v>
      </c>
      <c r="J3705" s="3">
        <v>44647</v>
      </c>
      <c r="K3705" s="2">
        <v>71</v>
      </c>
      <c r="L3705" s="2" t="s">
        <v>64</v>
      </c>
      <c r="M3705" s="3"/>
    </row>
    <row r="3706" spans="1:13" x14ac:dyDescent="0.3">
      <c r="A3706" s="2">
        <v>3705</v>
      </c>
      <c r="B3706" s="2" t="s">
        <v>2523</v>
      </c>
      <c r="C3706" s="2" t="s">
        <v>4504</v>
      </c>
      <c r="D3706" s="2" t="s">
        <v>28</v>
      </c>
      <c r="E3706" s="2" t="s">
        <v>29</v>
      </c>
      <c r="F3706" s="2">
        <v>60</v>
      </c>
      <c r="G3706" s="2" t="s">
        <v>8476</v>
      </c>
      <c r="H3706" s="2" t="s">
        <v>2893</v>
      </c>
      <c r="I3706" s="2" t="s">
        <v>32</v>
      </c>
      <c r="J3706" s="3">
        <v>44191</v>
      </c>
      <c r="K3706" s="2">
        <v>37</v>
      </c>
      <c r="L3706" s="2" t="s">
        <v>70</v>
      </c>
      <c r="M3706" s="3"/>
    </row>
    <row r="3707" spans="1:13" x14ac:dyDescent="0.3">
      <c r="A3707" s="2">
        <v>3706</v>
      </c>
      <c r="B3707" s="2" t="s">
        <v>8477</v>
      </c>
      <c r="C3707" s="2" t="s">
        <v>3429</v>
      </c>
      <c r="D3707" s="2" t="s">
        <v>51</v>
      </c>
      <c r="E3707" s="2" t="s">
        <v>16</v>
      </c>
      <c r="F3707" s="2">
        <v>30</v>
      </c>
      <c r="G3707" s="2" t="s">
        <v>8478</v>
      </c>
      <c r="H3707" s="2" t="s">
        <v>2284</v>
      </c>
      <c r="I3707" s="2" t="s">
        <v>32</v>
      </c>
      <c r="J3707" s="3">
        <v>44534</v>
      </c>
      <c r="K3707" s="2">
        <v>62</v>
      </c>
      <c r="L3707" s="2" t="s">
        <v>45</v>
      </c>
      <c r="M3707" s="3"/>
    </row>
    <row r="3708" spans="1:13" x14ac:dyDescent="0.3">
      <c r="A3708" s="2">
        <v>3707</v>
      </c>
      <c r="B3708" s="2" t="s">
        <v>8479</v>
      </c>
      <c r="C3708" s="2" t="s">
        <v>6635</v>
      </c>
      <c r="D3708" s="2" t="s">
        <v>15</v>
      </c>
      <c r="E3708" s="2" t="s">
        <v>16</v>
      </c>
      <c r="F3708" s="2">
        <v>90</v>
      </c>
      <c r="G3708" s="2" t="s">
        <v>8480</v>
      </c>
      <c r="H3708" s="2" t="s">
        <v>5376</v>
      </c>
      <c r="I3708" s="2" t="s">
        <v>32</v>
      </c>
      <c r="J3708" s="3">
        <v>43949</v>
      </c>
      <c r="K3708" s="2">
        <v>63</v>
      </c>
      <c r="L3708" s="2" t="s">
        <v>159</v>
      </c>
      <c r="M3708" s="3"/>
    </row>
    <row r="3709" spans="1:13" x14ac:dyDescent="0.3">
      <c r="A3709" s="2">
        <v>3708</v>
      </c>
      <c r="B3709" s="2" t="s">
        <v>8481</v>
      </c>
      <c r="C3709" s="2" t="s">
        <v>376</v>
      </c>
      <c r="D3709" s="2" t="s">
        <v>15</v>
      </c>
      <c r="E3709" s="2" t="s">
        <v>16</v>
      </c>
      <c r="F3709" s="2">
        <v>60</v>
      </c>
      <c r="G3709" s="2" t="s">
        <v>8482</v>
      </c>
      <c r="H3709" s="2" t="s">
        <v>8483</v>
      </c>
      <c r="I3709" s="2" t="s">
        <v>32</v>
      </c>
      <c r="J3709" s="3">
        <v>44111</v>
      </c>
      <c r="K3709" s="2">
        <v>13</v>
      </c>
      <c r="L3709" s="2" t="s">
        <v>45</v>
      </c>
      <c r="M3709" s="3"/>
    </row>
    <row r="3710" spans="1:13" x14ac:dyDescent="0.3">
      <c r="A3710" s="2">
        <v>3709</v>
      </c>
      <c r="B3710" s="2" t="s">
        <v>8484</v>
      </c>
      <c r="C3710" s="2" t="s">
        <v>4410</v>
      </c>
      <c r="E3710" s="2" t="s">
        <v>16</v>
      </c>
      <c r="F3710" s="2">
        <v>30</v>
      </c>
      <c r="G3710" s="2" t="s">
        <v>8485</v>
      </c>
      <c r="H3710" s="2" t="s">
        <v>3987</v>
      </c>
      <c r="I3710" s="2" t="s">
        <v>554</v>
      </c>
      <c r="J3710" s="3">
        <v>44861</v>
      </c>
      <c r="K3710" s="2">
        <v>21</v>
      </c>
      <c r="L3710" s="2" t="s">
        <v>70</v>
      </c>
      <c r="M3710" s="3"/>
    </row>
    <row r="3711" spans="1:13" x14ac:dyDescent="0.3">
      <c r="A3711" s="2">
        <v>3710</v>
      </c>
      <c r="B3711" s="2" t="s">
        <v>8486</v>
      </c>
      <c r="C3711" s="2" t="s">
        <v>8487</v>
      </c>
      <c r="D3711" s="2" t="s">
        <v>51</v>
      </c>
      <c r="E3711" s="2" t="s">
        <v>16</v>
      </c>
      <c r="F3711" s="2">
        <v>90</v>
      </c>
      <c r="G3711" s="2" t="s">
        <v>8488</v>
      </c>
      <c r="H3711" s="2" t="s">
        <v>3100</v>
      </c>
      <c r="I3711" s="2" t="s">
        <v>32</v>
      </c>
      <c r="J3711" s="3">
        <v>44869</v>
      </c>
      <c r="K3711" s="2">
        <v>64</v>
      </c>
      <c r="L3711" s="2" t="s">
        <v>64</v>
      </c>
      <c r="M3711" s="3"/>
    </row>
    <row r="3712" spans="1:13" x14ac:dyDescent="0.3">
      <c r="A3712" s="2">
        <v>3711</v>
      </c>
      <c r="B3712" s="2" t="s">
        <v>8489</v>
      </c>
      <c r="C3712" s="2" t="s">
        <v>8490</v>
      </c>
      <c r="D3712" s="2" t="s">
        <v>28</v>
      </c>
      <c r="E3712" s="2" t="s">
        <v>29</v>
      </c>
      <c r="F3712" s="2">
        <v>60</v>
      </c>
      <c r="G3712" s="2" t="s">
        <v>8491</v>
      </c>
      <c r="H3712" s="2" t="s">
        <v>2049</v>
      </c>
      <c r="I3712" s="2" t="s">
        <v>32</v>
      </c>
      <c r="J3712" s="3">
        <v>44550</v>
      </c>
      <c r="K3712" s="2">
        <v>46</v>
      </c>
      <c r="M3712" s="3"/>
    </row>
    <row r="3713" spans="1:13" x14ac:dyDescent="0.3">
      <c r="A3713" s="2">
        <v>3712</v>
      </c>
      <c r="B3713" s="2" t="s">
        <v>8492</v>
      </c>
      <c r="C3713" s="2" t="s">
        <v>8493</v>
      </c>
      <c r="D3713" s="2" t="s">
        <v>51</v>
      </c>
      <c r="E3713" s="2" t="s">
        <v>16</v>
      </c>
      <c r="F3713" s="2">
        <v>60</v>
      </c>
      <c r="G3713" s="2" t="s">
        <v>8494</v>
      </c>
      <c r="H3713" s="2" t="s">
        <v>5379</v>
      </c>
      <c r="I3713" s="2" t="s">
        <v>1199</v>
      </c>
      <c r="J3713" s="3">
        <v>44294</v>
      </c>
      <c r="K3713" s="2">
        <v>57</v>
      </c>
      <c r="L3713" s="2" t="s">
        <v>33</v>
      </c>
      <c r="M3713" s="3"/>
    </row>
    <row r="3714" spans="1:13" x14ac:dyDescent="0.3">
      <c r="A3714" s="2">
        <v>3713</v>
      </c>
      <c r="B3714" s="2" t="s">
        <v>4438</v>
      </c>
      <c r="C3714" s="2" t="s">
        <v>2692</v>
      </c>
      <c r="D3714" s="2" t="s">
        <v>28</v>
      </c>
      <c r="E3714" s="2" t="s">
        <v>29</v>
      </c>
      <c r="F3714" s="2">
        <v>60</v>
      </c>
      <c r="G3714" s="2" t="s">
        <v>8495</v>
      </c>
      <c r="H3714" s="2" t="s">
        <v>4196</v>
      </c>
      <c r="I3714" s="2" t="s">
        <v>240</v>
      </c>
      <c r="J3714" s="3">
        <v>43838</v>
      </c>
      <c r="K3714" s="2">
        <v>56</v>
      </c>
      <c r="L3714" s="2" t="s">
        <v>33</v>
      </c>
      <c r="M3714" s="3"/>
    </row>
    <row r="3715" spans="1:13" x14ac:dyDescent="0.3">
      <c r="A3715" s="2">
        <v>3714</v>
      </c>
      <c r="B3715" s="2" t="s">
        <v>4550</v>
      </c>
      <c r="C3715" s="2" t="s">
        <v>8496</v>
      </c>
      <c r="D3715" s="2" t="s">
        <v>28</v>
      </c>
      <c r="E3715" s="2" t="s">
        <v>29</v>
      </c>
      <c r="F3715" s="2">
        <v>30</v>
      </c>
      <c r="G3715" s="2" t="s">
        <v>8497</v>
      </c>
      <c r="H3715" s="2" t="s">
        <v>2673</v>
      </c>
      <c r="I3715" s="2" t="s">
        <v>19</v>
      </c>
      <c r="J3715" s="3">
        <v>44480</v>
      </c>
      <c r="K3715" s="2">
        <v>62</v>
      </c>
      <c r="L3715" s="2" t="s">
        <v>64</v>
      </c>
      <c r="M3715" s="3"/>
    </row>
    <row r="3716" spans="1:13" x14ac:dyDescent="0.3">
      <c r="A3716" s="2">
        <v>3715</v>
      </c>
      <c r="B3716" s="2" t="s">
        <v>8498</v>
      </c>
      <c r="C3716" s="2" t="s">
        <v>6594</v>
      </c>
      <c r="D3716" s="2" t="s">
        <v>28</v>
      </c>
      <c r="E3716" s="2" t="s">
        <v>29</v>
      </c>
      <c r="F3716" s="2">
        <v>60</v>
      </c>
      <c r="G3716" s="2" t="s">
        <v>8499</v>
      </c>
      <c r="H3716" s="2" t="s">
        <v>4587</v>
      </c>
      <c r="I3716" s="2" t="s">
        <v>32</v>
      </c>
      <c r="J3716" s="3">
        <v>44621</v>
      </c>
      <c r="K3716" s="2">
        <v>21</v>
      </c>
      <c r="L3716" s="2" t="s">
        <v>54</v>
      </c>
      <c r="M3716" s="3"/>
    </row>
    <row r="3717" spans="1:13" x14ac:dyDescent="0.3">
      <c r="A3717" s="2">
        <v>3716</v>
      </c>
      <c r="B3717" s="2" t="s">
        <v>1894</v>
      </c>
      <c r="C3717" s="2" t="s">
        <v>7618</v>
      </c>
      <c r="D3717" s="2" t="s">
        <v>117</v>
      </c>
      <c r="E3717" s="2" t="s">
        <v>29</v>
      </c>
      <c r="F3717" s="2">
        <v>90</v>
      </c>
      <c r="G3717" s="2" t="s">
        <v>8500</v>
      </c>
      <c r="H3717" s="2" t="s">
        <v>5399</v>
      </c>
      <c r="I3717" s="2" t="s">
        <v>32</v>
      </c>
      <c r="J3717" s="3">
        <v>44688</v>
      </c>
      <c r="K3717" s="2">
        <v>65</v>
      </c>
      <c r="L3717" s="2" t="s">
        <v>159</v>
      </c>
      <c r="M3717" s="3"/>
    </row>
    <row r="3718" spans="1:13" x14ac:dyDescent="0.3">
      <c r="A3718" s="2">
        <v>3717</v>
      </c>
      <c r="B3718" s="2" t="s">
        <v>2367</v>
      </c>
      <c r="C3718" s="2" t="s">
        <v>1105</v>
      </c>
      <c r="D3718" s="2" t="s">
        <v>28</v>
      </c>
      <c r="E3718" s="2" t="s">
        <v>29</v>
      </c>
      <c r="F3718" s="2">
        <v>60</v>
      </c>
      <c r="G3718" s="2" t="s">
        <v>8501</v>
      </c>
      <c r="H3718" s="2" t="s">
        <v>3628</v>
      </c>
      <c r="I3718" s="2" t="s">
        <v>32</v>
      </c>
      <c r="J3718" s="3">
        <v>44343</v>
      </c>
      <c r="K3718" s="2">
        <v>4</v>
      </c>
      <c r="L3718" s="2" t="s">
        <v>101</v>
      </c>
      <c r="M3718" s="3"/>
    </row>
    <row r="3719" spans="1:13" x14ac:dyDescent="0.3">
      <c r="A3719" s="2">
        <v>3718</v>
      </c>
      <c r="B3719" s="2" t="s">
        <v>6072</v>
      </c>
      <c r="C3719" s="2" t="s">
        <v>2496</v>
      </c>
      <c r="D3719" s="2" t="s">
        <v>28</v>
      </c>
      <c r="E3719" s="2" t="s">
        <v>29</v>
      </c>
      <c r="F3719" s="2">
        <v>90</v>
      </c>
      <c r="G3719" s="2" t="s">
        <v>8501</v>
      </c>
      <c r="H3719" s="2" t="s">
        <v>1534</v>
      </c>
      <c r="I3719" s="2" t="s">
        <v>32</v>
      </c>
      <c r="J3719" s="3">
        <v>44815</v>
      </c>
      <c r="K3719" s="2">
        <v>49</v>
      </c>
      <c r="L3719" s="2" t="s">
        <v>64</v>
      </c>
      <c r="M3719" s="3"/>
    </row>
    <row r="3720" spans="1:13" x14ac:dyDescent="0.3">
      <c r="A3720" s="2">
        <v>3719</v>
      </c>
      <c r="B3720" s="2" t="s">
        <v>8502</v>
      </c>
      <c r="C3720" s="2" t="s">
        <v>5389</v>
      </c>
      <c r="D3720" s="2" t="s">
        <v>15</v>
      </c>
      <c r="E3720" s="2" t="s">
        <v>16</v>
      </c>
      <c r="F3720" s="2">
        <v>90</v>
      </c>
      <c r="G3720" s="2" t="s">
        <v>8503</v>
      </c>
      <c r="H3720" s="2" t="s">
        <v>2993</v>
      </c>
      <c r="I3720" s="2" t="s">
        <v>32</v>
      </c>
      <c r="J3720" s="3">
        <v>43839</v>
      </c>
      <c r="K3720" s="2">
        <v>67</v>
      </c>
      <c r="L3720" s="2" t="s">
        <v>70</v>
      </c>
      <c r="M3720" s="3"/>
    </row>
    <row r="3721" spans="1:13" x14ac:dyDescent="0.3">
      <c r="A3721" s="2">
        <v>3720</v>
      </c>
      <c r="B3721" s="2" t="s">
        <v>8504</v>
      </c>
      <c r="C3721" s="2" t="s">
        <v>7556</v>
      </c>
      <c r="D3721" s="2" t="s">
        <v>15</v>
      </c>
      <c r="E3721" s="2" t="s">
        <v>16</v>
      </c>
      <c r="F3721" s="2">
        <v>60</v>
      </c>
      <c r="G3721" s="2" t="s">
        <v>8505</v>
      </c>
      <c r="H3721" s="2" t="s">
        <v>1490</v>
      </c>
      <c r="I3721" s="2" t="s">
        <v>294</v>
      </c>
      <c r="J3721" s="3">
        <v>44562</v>
      </c>
      <c r="K3721" s="2">
        <v>68</v>
      </c>
      <c r="L3721" s="2" t="s">
        <v>39</v>
      </c>
      <c r="M3721" s="3"/>
    </row>
    <row r="3722" spans="1:13" x14ac:dyDescent="0.3">
      <c r="A3722" s="2">
        <v>3721</v>
      </c>
      <c r="B3722" s="2" t="s">
        <v>1946</v>
      </c>
      <c r="C3722" s="2" t="s">
        <v>1985</v>
      </c>
      <c r="D3722" s="2" t="s">
        <v>28</v>
      </c>
      <c r="E3722" s="2" t="s">
        <v>29</v>
      </c>
      <c r="F3722" s="2">
        <v>60</v>
      </c>
      <c r="G3722" s="2" t="s">
        <v>8506</v>
      </c>
      <c r="H3722" s="2" t="s">
        <v>6659</v>
      </c>
      <c r="I3722" s="2" t="s">
        <v>208</v>
      </c>
      <c r="J3722" s="3">
        <v>44896</v>
      </c>
      <c r="K3722" s="2">
        <v>29</v>
      </c>
      <c r="L3722" s="2" t="s">
        <v>101</v>
      </c>
      <c r="M3722" s="3"/>
    </row>
    <row r="3723" spans="1:13" x14ac:dyDescent="0.3">
      <c r="A3723" s="2">
        <v>3722</v>
      </c>
      <c r="B3723" s="2" t="s">
        <v>8507</v>
      </c>
      <c r="C3723" s="2" t="s">
        <v>3569</v>
      </c>
      <c r="D3723" s="2" t="s">
        <v>51</v>
      </c>
      <c r="E3723" s="2" t="s">
        <v>16</v>
      </c>
      <c r="F3723" s="2">
        <v>30</v>
      </c>
      <c r="G3723" s="2" t="s">
        <v>8508</v>
      </c>
      <c r="H3723" s="2" t="s">
        <v>4071</v>
      </c>
      <c r="I3723" s="2" t="s">
        <v>886</v>
      </c>
      <c r="J3723" s="3">
        <v>44381</v>
      </c>
      <c r="K3723" s="2">
        <v>8</v>
      </c>
      <c r="L3723" s="2" t="s">
        <v>101</v>
      </c>
      <c r="M3723" s="3"/>
    </row>
    <row r="3724" spans="1:13" x14ac:dyDescent="0.3">
      <c r="A3724" s="2">
        <v>3723</v>
      </c>
      <c r="B3724" s="2" t="s">
        <v>7675</v>
      </c>
      <c r="C3724" s="2" t="s">
        <v>1798</v>
      </c>
      <c r="D3724" s="2" t="s">
        <v>51</v>
      </c>
      <c r="E3724" s="2" t="s">
        <v>16</v>
      </c>
      <c r="F3724" s="2">
        <v>90</v>
      </c>
      <c r="G3724" s="2" t="s">
        <v>8509</v>
      </c>
      <c r="H3724" s="2" t="s">
        <v>1173</v>
      </c>
      <c r="I3724" s="2" t="s">
        <v>32</v>
      </c>
      <c r="J3724" s="3">
        <v>44046</v>
      </c>
      <c r="K3724" s="2">
        <v>71</v>
      </c>
      <c r="L3724" s="2" t="s">
        <v>39</v>
      </c>
      <c r="M3724" s="3"/>
    </row>
    <row r="3725" spans="1:13" x14ac:dyDescent="0.3">
      <c r="A3725" s="2">
        <v>3724</v>
      </c>
      <c r="B3725" s="2" t="s">
        <v>4808</v>
      </c>
      <c r="C3725" s="2" t="s">
        <v>1749</v>
      </c>
      <c r="D3725" s="2" t="s">
        <v>15</v>
      </c>
      <c r="E3725" s="2" t="s">
        <v>16</v>
      </c>
      <c r="F3725" s="2">
        <v>60</v>
      </c>
      <c r="G3725" s="2" t="s">
        <v>8510</v>
      </c>
      <c r="H3725" s="2" t="s">
        <v>1785</v>
      </c>
      <c r="I3725" s="2" t="s">
        <v>32</v>
      </c>
      <c r="J3725" s="3">
        <v>44566</v>
      </c>
      <c r="K3725" s="2">
        <v>54</v>
      </c>
      <c r="L3725" s="2" t="s">
        <v>39</v>
      </c>
      <c r="M3725" s="3"/>
    </row>
    <row r="3726" spans="1:13" x14ac:dyDescent="0.3">
      <c r="A3726" s="2">
        <v>3725</v>
      </c>
      <c r="B3726" s="2" t="s">
        <v>6967</v>
      </c>
      <c r="C3726" s="2" t="s">
        <v>4473</v>
      </c>
      <c r="D3726" s="2" t="s">
        <v>15</v>
      </c>
      <c r="E3726" s="2" t="s">
        <v>16</v>
      </c>
      <c r="F3726" s="2">
        <v>60</v>
      </c>
      <c r="G3726" s="2" t="s">
        <v>8511</v>
      </c>
      <c r="H3726" s="2" t="s">
        <v>8512</v>
      </c>
      <c r="I3726" s="2" t="s">
        <v>32</v>
      </c>
      <c r="J3726" s="3">
        <v>44279</v>
      </c>
      <c r="K3726" s="2">
        <v>78</v>
      </c>
      <c r="L3726" s="2" t="s">
        <v>64</v>
      </c>
      <c r="M3726" s="3"/>
    </row>
    <row r="3727" spans="1:13" x14ac:dyDescent="0.3">
      <c r="A3727" s="2">
        <v>3726</v>
      </c>
      <c r="B3727" s="2" t="s">
        <v>8513</v>
      </c>
      <c r="C3727" s="2" t="s">
        <v>8514</v>
      </c>
      <c r="D3727" s="2" t="s">
        <v>15</v>
      </c>
      <c r="E3727" s="2" t="s">
        <v>16</v>
      </c>
      <c r="F3727" s="2">
        <v>90</v>
      </c>
      <c r="G3727" s="2" t="s">
        <v>8515</v>
      </c>
      <c r="H3727" s="2" t="s">
        <v>2411</v>
      </c>
      <c r="I3727" s="2" t="s">
        <v>25</v>
      </c>
      <c r="J3727" s="3">
        <v>44127</v>
      </c>
      <c r="K3727" s="2">
        <v>8</v>
      </c>
      <c r="L3727" s="2" t="s">
        <v>70</v>
      </c>
      <c r="M3727" s="3"/>
    </row>
    <row r="3728" spans="1:13" x14ac:dyDescent="0.3">
      <c r="A3728" s="2">
        <v>3727</v>
      </c>
      <c r="B3728" s="2" t="s">
        <v>1207</v>
      </c>
      <c r="C3728" s="2" t="s">
        <v>7078</v>
      </c>
      <c r="D3728" s="2" t="s">
        <v>28</v>
      </c>
      <c r="E3728" s="2" t="s">
        <v>29</v>
      </c>
      <c r="F3728" s="2">
        <v>60</v>
      </c>
      <c r="G3728" s="2" t="s">
        <v>8516</v>
      </c>
      <c r="H3728" s="2" t="s">
        <v>2035</v>
      </c>
      <c r="I3728" s="2" t="s">
        <v>32</v>
      </c>
      <c r="J3728" s="3">
        <v>44298</v>
      </c>
      <c r="K3728" s="2">
        <v>19</v>
      </c>
      <c r="L3728" s="2" t="s">
        <v>39</v>
      </c>
      <c r="M3728" s="3"/>
    </row>
    <row r="3729" spans="1:13" x14ac:dyDescent="0.3">
      <c r="A3729" s="2">
        <v>3728</v>
      </c>
      <c r="B3729" s="2" t="s">
        <v>4072</v>
      </c>
      <c r="C3729" s="2" t="s">
        <v>1326</v>
      </c>
      <c r="D3729" s="2" t="s">
        <v>28</v>
      </c>
      <c r="E3729" s="2" t="s">
        <v>29</v>
      </c>
      <c r="F3729" s="2">
        <v>60</v>
      </c>
      <c r="G3729" s="2" t="s">
        <v>8517</v>
      </c>
      <c r="H3729" s="2" t="s">
        <v>6087</v>
      </c>
      <c r="I3729" s="2" t="s">
        <v>124</v>
      </c>
      <c r="J3729" s="3">
        <v>44522</v>
      </c>
      <c r="K3729" s="2">
        <v>56</v>
      </c>
      <c r="L3729" s="2" t="s">
        <v>159</v>
      </c>
      <c r="M3729" s="3"/>
    </row>
    <row r="3730" spans="1:13" x14ac:dyDescent="0.3">
      <c r="A3730" s="2">
        <v>3729</v>
      </c>
      <c r="B3730" s="2" t="s">
        <v>6721</v>
      </c>
      <c r="C3730" s="2" t="s">
        <v>1532</v>
      </c>
      <c r="D3730" s="2" t="s">
        <v>15</v>
      </c>
      <c r="E3730" s="2" t="s">
        <v>16</v>
      </c>
      <c r="F3730" s="2">
        <v>90</v>
      </c>
      <c r="G3730" s="2" t="s">
        <v>8518</v>
      </c>
      <c r="H3730" s="2" t="s">
        <v>4320</v>
      </c>
      <c r="I3730" s="2" t="s">
        <v>240</v>
      </c>
      <c r="J3730" s="3">
        <v>44629</v>
      </c>
      <c r="K3730" s="2">
        <v>10</v>
      </c>
      <c r="L3730" s="2" t="s">
        <v>101</v>
      </c>
      <c r="M3730" s="3"/>
    </row>
    <row r="3731" spans="1:13" x14ac:dyDescent="0.3">
      <c r="A3731" s="2">
        <v>3730</v>
      </c>
      <c r="B3731" s="2" t="s">
        <v>4363</v>
      </c>
      <c r="C3731" s="2" t="s">
        <v>2509</v>
      </c>
      <c r="D3731" s="2" t="s">
        <v>28</v>
      </c>
      <c r="E3731" s="2" t="s">
        <v>29</v>
      </c>
      <c r="F3731" s="2">
        <v>30</v>
      </c>
      <c r="G3731" s="2" t="s">
        <v>8519</v>
      </c>
      <c r="H3731" s="2" t="s">
        <v>7118</v>
      </c>
      <c r="I3731" s="2" t="s">
        <v>2022</v>
      </c>
      <c r="J3731" s="3">
        <v>43978</v>
      </c>
      <c r="K3731" s="2">
        <v>76</v>
      </c>
      <c r="L3731" s="2" t="s">
        <v>70</v>
      </c>
      <c r="M3731" s="3"/>
    </row>
    <row r="3732" spans="1:13" x14ac:dyDescent="0.3">
      <c r="A3732" s="2">
        <v>3731</v>
      </c>
      <c r="B3732" s="2" t="s">
        <v>7800</v>
      </c>
      <c r="C3732" s="2" t="s">
        <v>1390</v>
      </c>
      <c r="D3732" s="2" t="s">
        <v>15</v>
      </c>
      <c r="E3732" s="2" t="s">
        <v>16</v>
      </c>
      <c r="F3732" s="2">
        <v>60</v>
      </c>
      <c r="G3732" s="2" t="s">
        <v>8520</v>
      </c>
      <c r="H3732" s="2" t="s">
        <v>7480</v>
      </c>
      <c r="I3732" s="2" t="s">
        <v>129</v>
      </c>
      <c r="J3732" s="3">
        <v>43860</v>
      </c>
      <c r="K3732" s="2">
        <v>16</v>
      </c>
      <c r="L3732" s="2" t="s">
        <v>64</v>
      </c>
      <c r="M3732" s="3"/>
    </row>
    <row r="3733" spans="1:13" x14ac:dyDescent="0.3">
      <c r="A3733" s="2">
        <v>3732</v>
      </c>
      <c r="B3733" s="2" t="s">
        <v>8521</v>
      </c>
      <c r="C3733" s="2" t="s">
        <v>748</v>
      </c>
      <c r="D3733" s="2" t="s">
        <v>15</v>
      </c>
      <c r="E3733" s="2" t="s">
        <v>16</v>
      </c>
      <c r="F3733" s="2">
        <v>30</v>
      </c>
      <c r="G3733" s="2" t="s">
        <v>8522</v>
      </c>
      <c r="H3733" s="2" t="s">
        <v>5957</v>
      </c>
      <c r="I3733" s="2" t="s">
        <v>187</v>
      </c>
      <c r="J3733" s="3">
        <v>44792</v>
      </c>
      <c r="K3733" s="2">
        <v>57</v>
      </c>
      <c r="L3733" s="2" t="s">
        <v>80</v>
      </c>
      <c r="M3733" s="3"/>
    </row>
    <row r="3734" spans="1:13" x14ac:dyDescent="0.3">
      <c r="A3734" s="2">
        <v>3733</v>
      </c>
      <c r="B3734" s="2" t="s">
        <v>3209</v>
      </c>
      <c r="C3734" s="2" t="s">
        <v>1013</v>
      </c>
      <c r="D3734" s="2" t="s">
        <v>51</v>
      </c>
      <c r="E3734" s="2" t="s">
        <v>16</v>
      </c>
      <c r="F3734" s="2">
        <v>90</v>
      </c>
      <c r="G3734" s="2" t="s">
        <v>8523</v>
      </c>
      <c r="H3734" s="2" t="s">
        <v>1761</v>
      </c>
      <c r="I3734" s="2" t="s">
        <v>38</v>
      </c>
      <c r="J3734" s="3">
        <v>44166</v>
      </c>
      <c r="K3734" s="2">
        <v>53</v>
      </c>
      <c r="L3734" s="2" t="s">
        <v>33</v>
      </c>
      <c r="M3734" s="3"/>
    </row>
    <row r="3735" spans="1:13" x14ac:dyDescent="0.3">
      <c r="A3735" s="2">
        <v>3734</v>
      </c>
      <c r="B3735" s="2" t="s">
        <v>7955</v>
      </c>
      <c r="C3735" s="2" t="s">
        <v>4173</v>
      </c>
      <c r="D3735" s="2" t="s">
        <v>28</v>
      </c>
      <c r="E3735" s="2" t="s">
        <v>29</v>
      </c>
      <c r="F3735" s="2">
        <v>90</v>
      </c>
      <c r="G3735" s="2" t="s">
        <v>8524</v>
      </c>
      <c r="H3735" s="2" t="s">
        <v>3446</v>
      </c>
      <c r="I3735" s="2" t="s">
        <v>32</v>
      </c>
      <c r="J3735" s="3">
        <v>43880</v>
      </c>
      <c r="K3735" s="2">
        <v>20</v>
      </c>
      <c r="L3735" s="2" t="s">
        <v>54</v>
      </c>
      <c r="M3735" s="3"/>
    </row>
    <row r="3736" spans="1:13" x14ac:dyDescent="0.3">
      <c r="A3736" s="2">
        <v>3735</v>
      </c>
      <c r="B3736" s="2" t="s">
        <v>1661</v>
      </c>
      <c r="C3736" s="2" t="s">
        <v>1496</v>
      </c>
      <c r="D3736" s="2" t="s">
        <v>621</v>
      </c>
      <c r="E3736" s="2" t="s">
        <v>29</v>
      </c>
      <c r="F3736" s="2">
        <v>60</v>
      </c>
      <c r="G3736" s="2" t="s">
        <v>8525</v>
      </c>
      <c r="H3736" s="2" t="s">
        <v>1915</v>
      </c>
      <c r="I3736" s="2" t="s">
        <v>19</v>
      </c>
      <c r="J3736" s="3">
        <v>43924</v>
      </c>
      <c r="K3736" s="2">
        <v>58</v>
      </c>
      <c r="L3736" s="2" t="s">
        <v>64</v>
      </c>
      <c r="M3736" s="3"/>
    </row>
    <row r="3737" spans="1:13" x14ac:dyDescent="0.3">
      <c r="A3737" s="2">
        <v>3736</v>
      </c>
      <c r="B3737" s="2" t="s">
        <v>3880</v>
      </c>
      <c r="C3737" s="2" t="s">
        <v>755</v>
      </c>
      <c r="D3737" s="2" t="s">
        <v>28</v>
      </c>
      <c r="E3737" s="2" t="s">
        <v>29</v>
      </c>
      <c r="F3737" s="2">
        <v>90</v>
      </c>
      <c r="G3737" s="2" t="s">
        <v>8526</v>
      </c>
      <c r="H3737" s="2" t="s">
        <v>1643</v>
      </c>
      <c r="I3737" s="2" t="s">
        <v>124</v>
      </c>
      <c r="J3737" s="3">
        <v>43988</v>
      </c>
      <c r="K3737" s="2">
        <v>41</v>
      </c>
      <c r="L3737" s="2" t="s">
        <v>20</v>
      </c>
      <c r="M3737" s="3"/>
    </row>
    <row r="3738" spans="1:13" x14ac:dyDescent="0.3">
      <c r="A3738" s="2">
        <v>3737</v>
      </c>
      <c r="B3738" s="2" t="s">
        <v>8226</v>
      </c>
      <c r="C3738" s="2" t="s">
        <v>4512</v>
      </c>
      <c r="D3738" s="2" t="s">
        <v>15</v>
      </c>
      <c r="E3738" s="2" t="s">
        <v>16</v>
      </c>
      <c r="F3738" s="2">
        <v>60</v>
      </c>
      <c r="G3738" s="2" t="s">
        <v>8527</v>
      </c>
      <c r="H3738" s="2" t="s">
        <v>3002</v>
      </c>
      <c r="I3738" s="2" t="s">
        <v>32</v>
      </c>
      <c r="J3738" s="3">
        <v>44474</v>
      </c>
      <c r="K3738" s="2">
        <v>58</v>
      </c>
      <c r="L3738" s="2" t="s">
        <v>33</v>
      </c>
      <c r="M3738" s="3"/>
    </row>
    <row r="3739" spans="1:13" x14ac:dyDescent="0.3">
      <c r="A3739" s="2">
        <v>3738</v>
      </c>
      <c r="B3739" s="2" t="s">
        <v>8528</v>
      </c>
      <c r="C3739" s="2" t="s">
        <v>449</v>
      </c>
      <c r="D3739" s="2" t="s">
        <v>15</v>
      </c>
      <c r="E3739" s="2" t="s">
        <v>16</v>
      </c>
      <c r="F3739" s="2">
        <v>30</v>
      </c>
      <c r="G3739" s="2" t="s">
        <v>8529</v>
      </c>
      <c r="H3739" s="2" t="s">
        <v>8110</v>
      </c>
      <c r="I3739" s="2" t="s">
        <v>173</v>
      </c>
      <c r="J3739" s="3">
        <v>43940</v>
      </c>
      <c r="K3739" s="2">
        <v>69</v>
      </c>
      <c r="L3739" s="2" t="s">
        <v>39</v>
      </c>
      <c r="M3739" s="3"/>
    </row>
    <row r="3740" spans="1:13" x14ac:dyDescent="0.3">
      <c r="A3740" s="2">
        <v>3739</v>
      </c>
      <c r="B3740" s="2" t="s">
        <v>7787</v>
      </c>
      <c r="C3740" s="2" t="s">
        <v>4131</v>
      </c>
      <c r="D3740" s="2" t="s">
        <v>51</v>
      </c>
      <c r="E3740" s="2" t="s">
        <v>16</v>
      </c>
      <c r="F3740" s="2">
        <v>60</v>
      </c>
      <c r="G3740" s="2" t="s">
        <v>8529</v>
      </c>
      <c r="H3740" s="2" t="s">
        <v>2121</v>
      </c>
      <c r="I3740" s="2" t="s">
        <v>38</v>
      </c>
      <c r="J3740" s="3">
        <v>44063</v>
      </c>
      <c r="K3740" s="2">
        <v>37</v>
      </c>
      <c r="L3740" s="2" t="s">
        <v>39</v>
      </c>
      <c r="M3740" s="3"/>
    </row>
    <row r="3741" spans="1:13" x14ac:dyDescent="0.3">
      <c r="A3741" s="2">
        <v>3740</v>
      </c>
      <c r="B3741" s="2" t="s">
        <v>6328</v>
      </c>
      <c r="C3741" s="2" t="s">
        <v>138</v>
      </c>
      <c r="D3741" s="2" t="s">
        <v>28</v>
      </c>
      <c r="E3741" s="2" t="s">
        <v>29</v>
      </c>
      <c r="F3741" s="2">
        <v>30</v>
      </c>
      <c r="G3741" s="2" t="s">
        <v>8529</v>
      </c>
      <c r="H3741" s="2" t="s">
        <v>1537</v>
      </c>
      <c r="I3741" s="2" t="s">
        <v>294</v>
      </c>
      <c r="J3741" s="3">
        <v>43952</v>
      </c>
      <c r="K3741" s="2">
        <v>75</v>
      </c>
      <c r="L3741" s="2" t="s">
        <v>159</v>
      </c>
      <c r="M3741" s="3"/>
    </row>
    <row r="3742" spans="1:13" x14ac:dyDescent="0.3">
      <c r="A3742" s="2">
        <v>3741</v>
      </c>
      <c r="B3742" s="2" t="s">
        <v>5749</v>
      </c>
      <c r="C3742" s="2" t="s">
        <v>3419</v>
      </c>
      <c r="D3742" s="2" t="s">
        <v>28</v>
      </c>
      <c r="E3742" s="2" t="s">
        <v>29</v>
      </c>
      <c r="F3742" s="2">
        <v>60</v>
      </c>
      <c r="G3742" s="2" t="s">
        <v>8530</v>
      </c>
      <c r="H3742" s="2" t="s">
        <v>4678</v>
      </c>
      <c r="I3742" s="2" t="s">
        <v>886</v>
      </c>
      <c r="J3742" s="3">
        <v>44458</v>
      </c>
      <c r="K3742" s="2">
        <v>18</v>
      </c>
      <c r="L3742" s="2" t="s">
        <v>101</v>
      </c>
      <c r="M3742" s="3"/>
    </row>
    <row r="3743" spans="1:13" x14ac:dyDescent="0.3">
      <c r="A3743" s="2">
        <v>3742</v>
      </c>
      <c r="B3743" s="2" t="s">
        <v>8531</v>
      </c>
      <c r="C3743" s="2" t="s">
        <v>2942</v>
      </c>
      <c r="D3743" s="2" t="s">
        <v>28</v>
      </c>
      <c r="E3743" s="2" t="s">
        <v>29</v>
      </c>
      <c r="F3743" s="2">
        <v>30</v>
      </c>
      <c r="G3743" s="2" t="s">
        <v>8532</v>
      </c>
      <c r="H3743" s="2" t="s">
        <v>864</v>
      </c>
      <c r="I3743" s="2" t="s">
        <v>19</v>
      </c>
      <c r="J3743" s="3">
        <v>44808</v>
      </c>
      <c r="K3743" s="2">
        <v>8</v>
      </c>
      <c r="L3743" s="2" t="s">
        <v>70</v>
      </c>
      <c r="M3743" s="3"/>
    </row>
    <row r="3744" spans="1:13" x14ac:dyDescent="0.3">
      <c r="A3744" s="2">
        <v>3743</v>
      </c>
      <c r="B3744" s="2" t="s">
        <v>6721</v>
      </c>
      <c r="C3744" s="2" t="s">
        <v>4469</v>
      </c>
      <c r="D3744" s="2" t="s">
        <v>15</v>
      </c>
      <c r="E3744" s="2" t="s">
        <v>16</v>
      </c>
      <c r="F3744" s="2">
        <v>60</v>
      </c>
      <c r="G3744" s="2" t="s">
        <v>8533</v>
      </c>
      <c r="H3744" s="2" t="s">
        <v>8534</v>
      </c>
      <c r="I3744" s="2" t="s">
        <v>294</v>
      </c>
      <c r="J3744" s="3">
        <v>44018</v>
      </c>
      <c r="K3744" s="2">
        <v>43</v>
      </c>
      <c r="L3744" s="2" t="s">
        <v>159</v>
      </c>
      <c r="M3744" s="3"/>
    </row>
    <row r="3745" spans="1:13" x14ac:dyDescent="0.3">
      <c r="A3745" s="2">
        <v>3744</v>
      </c>
      <c r="B3745" s="2" t="s">
        <v>5567</v>
      </c>
      <c r="C3745" s="2" t="s">
        <v>7073</v>
      </c>
      <c r="D3745" s="2" t="s">
        <v>28</v>
      </c>
      <c r="E3745" s="2" t="s">
        <v>29</v>
      </c>
      <c r="F3745" s="2">
        <v>60</v>
      </c>
      <c r="G3745" s="2" t="s">
        <v>8535</v>
      </c>
      <c r="H3745" s="2" t="s">
        <v>3695</v>
      </c>
      <c r="I3745" s="2" t="s">
        <v>173</v>
      </c>
      <c r="J3745" s="3">
        <v>43838</v>
      </c>
      <c r="K3745" s="2">
        <v>47</v>
      </c>
      <c r="L3745" s="2" t="s">
        <v>33</v>
      </c>
      <c r="M3745" s="3"/>
    </row>
    <row r="3746" spans="1:13" x14ac:dyDescent="0.3">
      <c r="A3746" s="2">
        <v>3745</v>
      </c>
      <c r="B3746" s="2" t="s">
        <v>3101</v>
      </c>
      <c r="C3746" s="2" t="s">
        <v>6139</v>
      </c>
      <c r="D3746" s="2" t="s">
        <v>28</v>
      </c>
      <c r="E3746" s="2" t="s">
        <v>29</v>
      </c>
      <c r="F3746" s="2">
        <v>30</v>
      </c>
      <c r="G3746" s="2" t="s">
        <v>8536</v>
      </c>
      <c r="H3746" s="2" t="s">
        <v>6621</v>
      </c>
      <c r="I3746" s="2" t="s">
        <v>38</v>
      </c>
      <c r="J3746" s="3">
        <v>44851</v>
      </c>
      <c r="K3746" s="2">
        <v>3</v>
      </c>
      <c r="L3746" s="2" t="s">
        <v>33</v>
      </c>
      <c r="M3746" s="3"/>
    </row>
    <row r="3747" spans="1:13" x14ac:dyDescent="0.3">
      <c r="A3747" s="2">
        <v>3746</v>
      </c>
      <c r="B3747" s="2" t="s">
        <v>7176</v>
      </c>
      <c r="C3747" s="2" t="s">
        <v>4583</v>
      </c>
      <c r="D3747" s="2" t="s">
        <v>28</v>
      </c>
      <c r="E3747" s="2" t="s">
        <v>29</v>
      </c>
      <c r="F3747" s="2">
        <v>60</v>
      </c>
      <c r="G3747" s="2" t="s">
        <v>8537</v>
      </c>
      <c r="H3747" s="2" t="s">
        <v>710</v>
      </c>
      <c r="I3747" s="2" t="s">
        <v>187</v>
      </c>
      <c r="J3747" s="3">
        <v>44913</v>
      </c>
      <c r="K3747" s="2">
        <v>62</v>
      </c>
      <c r="L3747" s="2" t="s">
        <v>159</v>
      </c>
      <c r="M3747" s="3"/>
    </row>
    <row r="3748" spans="1:13" x14ac:dyDescent="0.3">
      <c r="A3748" s="2">
        <v>3747</v>
      </c>
      <c r="B3748" s="2" t="s">
        <v>1170</v>
      </c>
      <c r="C3748" s="2" t="s">
        <v>5428</v>
      </c>
      <c r="D3748" s="2" t="s">
        <v>28</v>
      </c>
      <c r="E3748" s="2" t="s">
        <v>29</v>
      </c>
      <c r="F3748" s="2">
        <v>60</v>
      </c>
      <c r="G3748" s="2" t="s">
        <v>8538</v>
      </c>
      <c r="H3748" s="2" t="s">
        <v>378</v>
      </c>
      <c r="I3748" s="2" t="s">
        <v>146</v>
      </c>
      <c r="J3748" s="3">
        <v>44316</v>
      </c>
      <c r="K3748" s="2">
        <v>58</v>
      </c>
      <c r="L3748" s="2" t="s">
        <v>20</v>
      </c>
      <c r="M3748" s="3"/>
    </row>
    <row r="3749" spans="1:13" x14ac:dyDescent="0.3">
      <c r="A3749" s="2">
        <v>3748</v>
      </c>
      <c r="B3749" s="2" t="s">
        <v>8539</v>
      </c>
      <c r="C3749" s="2" t="s">
        <v>4998</v>
      </c>
      <c r="D3749" s="2" t="s">
        <v>15</v>
      </c>
      <c r="E3749" s="2" t="s">
        <v>16</v>
      </c>
      <c r="F3749" s="2">
        <v>90</v>
      </c>
      <c r="G3749" s="2" t="s">
        <v>8540</v>
      </c>
      <c r="H3749" s="2" t="s">
        <v>1719</v>
      </c>
      <c r="I3749" s="2" t="s">
        <v>38</v>
      </c>
      <c r="J3749" s="3">
        <v>44378</v>
      </c>
      <c r="K3749" s="2">
        <v>5</v>
      </c>
      <c r="L3749" s="2" t="s">
        <v>45</v>
      </c>
      <c r="M3749" s="3"/>
    </row>
    <row r="3750" spans="1:13" x14ac:dyDescent="0.3">
      <c r="A3750" s="2">
        <v>3749</v>
      </c>
      <c r="B3750" s="2" t="s">
        <v>7827</v>
      </c>
      <c r="C3750" s="2" t="s">
        <v>1259</v>
      </c>
      <c r="D3750" s="2" t="s">
        <v>15</v>
      </c>
      <c r="E3750" s="2" t="s">
        <v>16</v>
      </c>
      <c r="F3750" s="2">
        <v>90</v>
      </c>
      <c r="G3750" s="2" t="s">
        <v>8540</v>
      </c>
      <c r="H3750" s="2" t="s">
        <v>734</v>
      </c>
      <c r="I3750" s="2" t="s">
        <v>32</v>
      </c>
      <c r="J3750" s="3">
        <v>44656</v>
      </c>
      <c r="K3750" s="2">
        <v>36</v>
      </c>
      <c r="L3750" s="2" t="s">
        <v>101</v>
      </c>
      <c r="M3750" s="3"/>
    </row>
    <row r="3751" spans="1:13" x14ac:dyDescent="0.3">
      <c r="A3751" s="2">
        <v>3750</v>
      </c>
      <c r="B3751" s="2" t="s">
        <v>3216</v>
      </c>
      <c r="C3751" s="2" t="s">
        <v>4037</v>
      </c>
      <c r="D3751" s="2" t="s">
        <v>28</v>
      </c>
      <c r="E3751" s="2" t="s">
        <v>29</v>
      </c>
      <c r="F3751" s="2">
        <v>60</v>
      </c>
      <c r="G3751" s="2" t="s">
        <v>8541</v>
      </c>
      <c r="H3751" s="2" t="s">
        <v>1754</v>
      </c>
      <c r="I3751" s="2" t="s">
        <v>25</v>
      </c>
      <c r="J3751" s="3">
        <v>44299</v>
      </c>
      <c r="K3751" s="2">
        <v>65</v>
      </c>
      <c r="L3751" s="2" t="s">
        <v>54</v>
      </c>
      <c r="M3751" s="3"/>
    </row>
    <row r="3752" spans="1:13" x14ac:dyDescent="0.3">
      <c r="A3752" s="2">
        <v>3751</v>
      </c>
      <c r="B3752" s="2" t="s">
        <v>8542</v>
      </c>
      <c r="C3752" s="2" t="s">
        <v>946</v>
      </c>
      <c r="D3752" s="2" t="s">
        <v>51</v>
      </c>
      <c r="E3752" s="2" t="s">
        <v>16</v>
      </c>
      <c r="F3752" s="2">
        <v>60</v>
      </c>
      <c r="G3752" s="2" t="s">
        <v>8543</v>
      </c>
      <c r="H3752" s="2" t="s">
        <v>8028</v>
      </c>
      <c r="I3752" s="2" t="s">
        <v>294</v>
      </c>
      <c r="J3752" s="3">
        <v>44172</v>
      </c>
      <c r="K3752" s="2">
        <v>44</v>
      </c>
      <c r="L3752" s="2" t="s">
        <v>39</v>
      </c>
      <c r="M3752" s="3"/>
    </row>
    <row r="3753" spans="1:13" x14ac:dyDescent="0.3">
      <c r="A3753" s="2">
        <v>3752</v>
      </c>
      <c r="B3753" s="2" t="s">
        <v>3374</v>
      </c>
      <c r="C3753" s="2" t="s">
        <v>8544</v>
      </c>
      <c r="D3753" s="2" t="s">
        <v>15</v>
      </c>
      <c r="E3753" s="2" t="s">
        <v>16</v>
      </c>
      <c r="F3753" s="2">
        <v>30</v>
      </c>
      <c r="G3753" s="2" t="s">
        <v>8545</v>
      </c>
      <c r="H3753" s="2" t="s">
        <v>128</v>
      </c>
      <c r="I3753" s="2" t="s">
        <v>129</v>
      </c>
      <c r="J3753" s="3">
        <v>44867</v>
      </c>
      <c r="K3753" s="2">
        <v>63</v>
      </c>
      <c r="L3753" s="2" t="s">
        <v>20</v>
      </c>
      <c r="M3753" s="3"/>
    </row>
    <row r="3754" spans="1:13" x14ac:dyDescent="0.3">
      <c r="A3754" s="2">
        <v>3753</v>
      </c>
      <c r="B3754" s="2" t="s">
        <v>5594</v>
      </c>
      <c r="C3754" s="2" t="s">
        <v>3947</v>
      </c>
      <c r="D3754" s="2" t="s">
        <v>51</v>
      </c>
      <c r="E3754" s="2" t="s">
        <v>16</v>
      </c>
      <c r="F3754" s="2">
        <v>60</v>
      </c>
      <c r="G3754" s="2" t="s">
        <v>8546</v>
      </c>
      <c r="H3754" s="2" t="s">
        <v>8547</v>
      </c>
      <c r="I3754" s="2" t="s">
        <v>32</v>
      </c>
      <c r="J3754" s="3">
        <v>44343</v>
      </c>
      <c r="K3754" s="2">
        <v>7</v>
      </c>
      <c r="L3754" s="2" t="s">
        <v>33</v>
      </c>
      <c r="M3754" s="3"/>
    </row>
    <row r="3755" spans="1:13" x14ac:dyDescent="0.3">
      <c r="A3755" s="2">
        <v>3754</v>
      </c>
      <c r="B3755" s="2" t="s">
        <v>138</v>
      </c>
      <c r="C3755" s="2" t="s">
        <v>8548</v>
      </c>
      <c r="D3755" s="2" t="s">
        <v>28</v>
      </c>
      <c r="E3755" s="2" t="s">
        <v>29</v>
      </c>
      <c r="F3755" s="2">
        <v>60</v>
      </c>
      <c r="G3755" s="2" t="s">
        <v>8549</v>
      </c>
      <c r="H3755" s="2" t="s">
        <v>2084</v>
      </c>
      <c r="I3755" s="2" t="s">
        <v>294</v>
      </c>
      <c r="J3755" s="3">
        <v>44475</v>
      </c>
      <c r="K3755" s="2">
        <v>27</v>
      </c>
      <c r="L3755" s="2" t="s">
        <v>39</v>
      </c>
      <c r="M3755" s="3"/>
    </row>
    <row r="3756" spans="1:13" x14ac:dyDescent="0.3">
      <c r="A3756" s="2">
        <v>3755</v>
      </c>
      <c r="B3756" s="2" t="s">
        <v>5594</v>
      </c>
      <c r="C3756" s="2" t="s">
        <v>1023</v>
      </c>
      <c r="D3756" s="2" t="s">
        <v>28</v>
      </c>
      <c r="E3756" s="2" t="s">
        <v>29</v>
      </c>
      <c r="F3756" s="2">
        <v>60</v>
      </c>
      <c r="G3756" s="2" t="s">
        <v>8549</v>
      </c>
      <c r="H3756" s="2" t="s">
        <v>3200</v>
      </c>
      <c r="I3756" s="2" t="s">
        <v>32</v>
      </c>
      <c r="J3756" s="3">
        <v>44629</v>
      </c>
      <c r="K3756" s="2">
        <v>42</v>
      </c>
      <c r="L3756" s="2" t="s">
        <v>101</v>
      </c>
      <c r="M3756" s="3"/>
    </row>
    <row r="3757" spans="1:13" x14ac:dyDescent="0.3">
      <c r="A3757" s="2">
        <v>3756</v>
      </c>
      <c r="B3757" s="2" t="s">
        <v>6242</v>
      </c>
      <c r="C3757" s="2" t="s">
        <v>6638</v>
      </c>
      <c r="D3757" s="2" t="s">
        <v>15</v>
      </c>
      <c r="E3757" s="2" t="s">
        <v>16</v>
      </c>
      <c r="F3757" s="2">
        <v>90</v>
      </c>
      <c r="G3757" s="2" t="s">
        <v>8550</v>
      </c>
      <c r="H3757" s="2" t="s">
        <v>2613</v>
      </c>
      <c r="I3757" s="2" t="s">
        <v>32</v>
      </c>
      <c r="J3757" s="3">
        <v>44787</v>
      </c>
      <c r="K3757" s="2">
        <v>91</v>
      </c>
      <c r="L3757" s="2" t="s">
        <v>80</v>
      </c>
      <c r="M3757" s="3"/>
    </row>
    <row r="3758" spans="1:13" x14ac:dyDescent="0.3">
      <c r="A3758" s="2">
        <v>3757</v>
      </c>
      <c r="B3758" s="2" t="s">
        <v>6070</v>
      </c>
      <c r="C3758" s="2" t="s">
        <v>8551</v>
      </c>
      <c r="D3758" s="2" t="s">
        <v>51</v>
      </c>
      <c r="E3758" s="2" t="s">
        <v>16</v>
      </c>
      <c r="F3758" s="2">
        <v>60</v>
      </c>
      <c r="G3758" s="2" t="s">
        <v>8552</v>
      </c>
      <c r="H3758" s="2" t="s">
        <v>8022</v>
      </c>
      <c r="I3758" s="2" t="s">
        <v>294</v>
      </c>
      <c r="J3758" s="3">
        <v>44371</v>
      </c>
      <c r="K3758" s="2">
        <v>38</v>
      </c>
      <c r="L3758" s="2" t="s">
        <v>70</v>
      </c>
      <c r="M3758" s="3"/>
    </row>
    <row r="3759" spans="1:13" x14ac:dyDescent="0.3">
      <c r="A3759" s="2">
        <v>3758</v>
      </c>
      <c r="B3759" s="2" t="s">
        <v>8553</v>
      </c>
      <c r="C3759" s="2" t="s">
        <v>8554</v>
      </c>
      <c r="D3759" s="2" t="s">
        <v>15</v>
      </c>
      <c r="E3759" s="2" t="s">
        <v>16</v>
      </c>
      <c r="F3759" s="2">
        <v>60</v>
      </c>
      <c r="G3759" s="2" t="s">
        <v>8555</v>
      </c>
      <c r="H3759" s="2" t="s">
        <v>5167</v>
      </c>
      <c r="I3759" s="2" t="s">
        <v>32</v>
      </c>
      <c r="J3759" s="3">
        <v>44359</v>
      </c>
      <c r="K3759" s="2">
        <v>31</v>
      </c>
      <c r="L3759" s="2" t="s">
        <v>101</v>
      </c>
      <c r="M3759" s="3"/>
    </row>
    <row r="3760" spans="1:13" x14ac:dyDescent="0.3">
      <c r="A3760" s="2">
        <v>3759</v>
      </c>
      <c r="B3760" s="2" t="s">
        <v>4703</v>
      </c>
      <c r="C3760" s="2" t="s">
        <v>4570</v>
      </c>
      <c r="D3760" s="2" t="s">
        <v>28</v>
      </c>
      <c r="E3760" s="2" t="s">
        <v>29</v>
      </c>
      <c r="F3760" s="2">
        <v>60</v>
      </c>
      <c r="G3760" s="2" t="s">
        <v>8556</v>
      </c>
      <c r="H3760" s="2" t="s">
        <v>920</v>
      </c>
      <c r="I3760" s="2" t="s">
        <v>178</v>
      </c>
      <c r="J3760" s="3">
        <v>43835</v>
      </c>
      <c r="K3760" s="2">
        <v>30</v>
      </c>
      <c r="L3760" s="2" t="s">
        <v>20</v>
      </c>
      <c r="M3760" s="3"/>
    </row>
    <row r="3761" spans="1:13" x14ac:dyDescent="0.3">
      <c r="A3761" s="2">
        <v>3760</v>
      </c>
      <c r="B3761" s="2" t="s">
        <v>6411</v>
      </c>
      <c r="C3761" s="2" t="s">
        <v>197</v>
      </c>
      <c r="D3761" s="2" t="s">
        <v>28</v>
      </c>
      <c r="E3761" s="2" t="s">
        <v>29</v>
      </c>
      <c r="F3761" s="2">
        <v>90</v>
      </c>
      <c r="G3761" s="2" t="s">
        <v>8557</v>
      </c>
      <c r="H3761" s="2" t="s">
        <v>3261</v>
      </c>
      <c r="I3761" s="2" t="s">
        <v>124</v>
      </c>
      <c r="J3761" s="3">
        <v>44816</v>
      </c>
      <c r="K3761" s="2">
        <v>74</v>
      </c>
      <c r="L3761" s="2" t="s">
        <v>39</v>
      </c>
      <c r="M3761" s="3"/>
    </row>
    <row r="3762" spans="1:13" x14ac:dyDescent="0.3">
      <c r="A3762" s="2">
        <v>3761</v>
      </c>
      <c r="B3762" s="2" t="s">
        <v>8216</v>
      </c>
      <c r="C3762" s="2" t="s">
        <v>410</v>
      </c>
      <c r="D3762" s="2" t="s">
        <v>51</v>
      </c>
      <c r="E3762" s="2" t="s">
        <v>16</v>
      </c>
      <c r="F3762" s="2">
        <v>60</v>
      </c>
      <c r="G3762" s="2" t="s">
        <v>8558</v>
      </c>
      <c r="H3762" s="2" t="s">
        <v>920</v>
      </c>
      <c r="I3762" s="2" t="s">
        <v>178</v>
      </c>
      <c r="J3762" s="3">
        <v>44224</v>
      </c>
      <c r="K3762" s="2">
        <v>7</v>
      </c>
      <c r="L3762" s="2" t="s">
        <v>33</v>
      </c>
      <c r="M3762" s="3"/>
    </row>
    <row r="3763" spans="1:13" x14ac:dyDescent="0.3">
      <c r="A3763" s="2">
        <v>3762</v>
      </c>
      <c r="B3763" s="2" t="s">
        <v>8288</v>
      </c>
      <c r="C3763" s="2" t="s">
        <v>7226</v>
      </c>
      <c r="D3763" s="2" t="s">
        <v>28</v>
      </c>
      <c r="E3763" s="2" t="s">
        <v>29</v>
      </c>
      <c r="F3763" s="2">
        <v>30</v>
      </c>
      <c r="G3763" s="2" t="s">
        <v>8559</v>
      </c>
      <c r="H3763" s="2" t="s">
        <v>2745</v>
      </c>
      <c r="I3763" s="2" t="s">
        <v>32</v>
      </c>
      <c r="J3763" s="3">
        <v>44907</v>
      </c>
      <c r="K3763" s="2">
        <v>9</v>
      </c>
      <c r="L3763" s="2" t="s">
        <v>101</v>
      </c>
      <c r="M3763" s="3"/>
    </row>
    <row r="3764" spans="1:13" x14ac:dyDescent="0.3">
      <c r="A3764" s="2">
        <v>3763</v>
      </c>
      <c r="B3764" s="2" t="s">
        <v>8560</v>
      </c>
      <c r="C3764" s="2" t="s">
        <v>8561</v>
      </c>
      <c r="D3764" s="2" t="s">
        <v>51</v>
      </c>
      <c r="E3764" s="2" t="s">
        <v>16</v>
      </c>
      <c r="F3764" s="2">
        <v>60</v>
      </c>
      <c r="G3764" s="2" t="s">
        <v>8562</v>
      </c>
      <c r="H3764" s="2" t="s">
        <v>6353</v>
      </c>
      <c r="I3764" s="2" t="s">
        <v>32</v>
      </c>
      <c r="J3764" s="3">
        <v>44565</v>
      </c>
      <c r="K3764" s="2">
        <v>38</v>
      </c>
      <c r="L3764" s="2" t="s">
        <v>33</v>
      </c>
      <c r="M3764" s="3"/>
    </row>
    <row r="3765" spans="1:13" x14ac:dyDescent="0.3">
      <c r="A3765" s="2">
        <v>3764</v>
      </c>
      <c r="B3765" s="2" t="s">
        <v>5614</v>
      </c>
      <c r="C3765" s="2" t="s">
        <v>8563</v>
      </c>
      <c r="D3765" s="2" t="s">
        <v>28</v>
      </c>
      <c r="E3765" s="2" t="s">
        <v>29</v>
      </c>
      <c r="F3765" s="2">
        <v>90</v>
      </c>
      <c r="G3765" s="2" t="s">
        <v>8564</v>
      </c>
      <c r="H3765" s="2" t="s">
        <v>2397</v>
      </c>
      <c r="I3765" s="2" t="s">
        <v>187</v>
      </c>
      <c r="J3765" s="3">
        <v>44791</v>
      </c>
      <c r="K3765" s="2">
        <v>72</v>
      </c>
      <c r="L3765" s="2" t="s">
        <v>101</v>
      </c>
      <c r="M3765" s="3"/>
    </row>
    <row r="3766" spans="1:13" x14ac:dyDescent="0.3">
      <c r="A3766" s="2">
        <v>3765</v>
      </c>
      <c r="B3766" s="2" t="s">
        <v>1057</v>
      </c>
      <c r="C3766" s="2" t="s">
        <v>8565</v>
      </c>
      <c r="D3766" s="2" t="s">
        <v>51</v>
      </c>
      <c r="E3766" s="2" t="s">
        <v>16</v>
      </c>
      <c r="F3766" s="2">
        <v>30</v>
      </c>
      <c r="G3766" s="2" t="s">
        <v>8566</v>
      </c>
      <c r="H3766" s="2" t="s">
        <v>1272</v>
      </c>
      <c r="I3766" s="2" t="s">
        <v>59</v>
      </c>
      <c r="J3766" s="3">
        <v>44056</v>
      </c>
      <c r="K3766" s="2">
        <v>76</v>
      </c>
      <c r="L3766" s="2" t="s">
        <v>39</v>
      </c>
      <c r="M3766" s="3"/>
    </row>
    <row r="3767" spans="1:13" x14ac:dyDescent="0.3">
      <c r="A3767" s="2">
        <v>3766</v>
      </c>
      <c r="B3767" s="2" t="s">
        <v>1376</v>
      </c>
      <c r="C3767" s="2" t="s">
        <v>5391</v>
      </c>
      <c r="D3767" s="2" t="s">
        <v>92</v>
      </c>
      <c r="E3767" s="2" t="s">
        <v>29</v>
      </c>
      <c r="F3767" s="2">
        <v>90</v>
      </c>
      <c r="G3767" s="2" t="s">
        <v>8566</v>
      </c>
      <c r="H3767" s="2" t="s">
        <v>5934</v>
      </c>
      <c r="I3767" s="2" t="s">
        <v>173</v>
      </c>
      <c r="J3767" s="3">
        <v>44498</v>
      </c>
      <c r="K3767" s="2">
        <v>78</v>
      </c>
      <c r="L3767" s="2" t="s">
        <v>159</v>
      </c>
      <c r="M3767" s="3"/>
    </row>
    <row r="3768" spans="1:13" x14ac:dyDescent="0.3">
      <c r="A3768" s="2">
        <v>3767</v>
      </c>
      <c r="B3768" s="2" t="s">
        <v>8567</v>
      </c>
      <c r="C3768" s="2" t="s">
        <v>215</v>
      </c>
      <c r="D3768" s="2" t="s">
        <v>15</v>
      </c>
      <c r="E3768" s="2" t="s">
        <v>16</v>
      </c>
      <c r="F3768" s="2">
        <v>90</v>
      </c>
      <c r="G3768" s="2" t="s">
        <v>8568</v>
      </c>
      <c r="H3768" s="2" t="s">
        <v>1115</v>
      </c>
      <c r="I3768" s="2" t="s">
        <v>32</v>
      </c>
      <c r="J3768" s="3">
        <v>43856</v>
      </c>
      <c r="K3768" s="2">
        <v>3</v>
      </c>
      <c r="L3768" s="2" t="s">
        <v>159</v>
      </c>
      <c r="M3768" s="3"/>
    </row>
    <row r="3769" spans="1:13" x14ac:dyDescent="0.3">
      <c r="A3769" s="2">
        <v>3768</v>
      </c>
      <c r="B3769" s="2" t="s">
        <v>2605</v>
      </c>
      <c r="C3769" s="2" t="s">
        <v>4318</v>
      </c>
      <c r="D3769" s="2" t="s">
        <v>28</v>
      </c>
      <c r="E3769" s="2" t="s">
        <v>29</v>
      </c>
      <c r="F3769" s="2">
        <v>30</v>
      </c>
      <c r="G3769" s="2" t="s">
        <v>8569</v>
      </c>
      <c r="H3769" s="2" t="s">
        <v>1370</v>
      </c>
      <c r="I3769" s="2" t="s">
        <v>32</v>
      </c>
      <c r="J3769" s="3">
        <v>43950</v>
      </c>
      <c r="K3769" s="2">
        <v>71</v>
      </c>
      <c r="L3769" s="2" t="s">
        <v>159</v>
      </c>
      <c r="M3769" s="3"/>
    </row>
    <row r="3770" spans="1:13" x14ac:dyDescent="0.3">
      <c r="A3770" s="2">
        <v>3769</v>
      </c>
      <c r="B3770" s="2" t="s">
        <v>2734</v>
      </c>
      <c r="C3770" s="2" t="s">
        <v>3968</v>
      </c>
      <c r="D3770" s="2" t="s">
        <v>51</v>
      </c>
      <c r="E3770" s="2" t="s">
        <v>16</v>
      </c>
      <c r="F3770" s="2">
        <v>60</v>
      </c>
      <c r="G3770" s="2" t="s">
        <v>8570</v>
      </c>
      <c r="H3770" s="2" t="s">
        <v>2893</v>
      </c>
      <c r="I3770" s="2" t="s">
        <v>32</v>
      </c>
      <c r="J3770" s="3">
        <v>43935</v>
      </c>
      <c r="K3770" s="2">
        <v>71</v>
      </c>
      <c r="L3770" s="2" t="s">
        <v>45</v>
      </c>
      <c r="M3770" s="3"/>
    </row>
    <row r="3771" spans="1:13" x14ac:dyDescent="0.3">
      <c r="A3771" s="2">
        <v>3770</v>
      </c>
      <c r="B3771" s="2" t="s">
        <v>8571</v>
      </c>
      <c r="C3771" s="2" t="s">
        <v>788</v>
      </c>
      <c r="D3771" s="2" t="s">
        <v>51</v>
      </c>
      <c r="E3771" s="2" t="s">
        <v>16</v>
      </c>
      <c r="F3771" s="2">
        <v>30</v>
      </c>
      <c r="G3771" s="2" t="s">
        <v>8572</v>
      </c>
      <c r="H3771" s="2" t="s">
        <v>1292</v>
      </c>
      <c r="I3771" s="2" t="s">
        <v>32</v>
      </c>
      <c r="J3771" s="3">
        <v>44125</v>
      </c>
      <c r="K3771" s="2">
        <v>6</v>
      </c>
      <c r="L3771" s="2" t="s">
        <v>101</v>
      </c>
      <c r="M3771" s="3"/>
    </row>
    <row r="3772" spans="1:13" x14ac:dyDescent="0.3">
      <c r="A3772" s="2">
        <v>3771</v>
      </c>
      <c r="B3772" s="2" t="s">
        <v>8573</v>
      </c>
      <c r="C3772" s="2" t="s">
        <v>896</v>
      </c>
      <c r="D3772" s="2" t="s">
        <v>41</v>
      </c>
      <c r="E3772" s="2" t="s">
        <v>16</v>
      </c>
      <c r="F3772" s="2">
        <v>60</v>
      </c>
      <c r="G3772" s="2" t="s">
        <v>8574</v>
      </c>
      <c r="H3772" s="2" t="s">
        <v>2190</v>
      </c>
      <c r="I3772" s="2" t="s">
        <v>32</v>
      </c>
      <c r="J3772" s="3">
        <v>44768</v>
      </c>
      <c r="K3772" s="2">
        <v>98</v>
      </c>
      <c r="L3772" s="2" t="s">
        <v>39</v>
      </c>
      <c r="M3772" s="3"/>
    </row>
    <row r="3773" spans="1:13" x14ac:dyDescent="0.3">
      <c r="A3773" s="2">
        <v>3772</v>
      </c>
      <c r="B3773" s="2" t="s">
        <v>2405</v>
      </c>
      <c r="C3773" s="2" t="s">
        <v>8575</v>
      </c>
      <c r="D3773" s="2" t="s">
        <v>28</v>
      </c>
      <c r="E3773" s="2" t="s">
        <v>29</v>
      </c>
      <c r="F3773" s="2">
        <v>30</v>
      </c>
      <c r="G3773" s="2" t="s">
        <v>8576</v>
      </c>
      <c r="H3773" s="2" t="s">
        <v>5711</v>
      </c>
      <c r="I3773" s="2" t="s">
        <v>25</v>
      </c>
      <c r="J3773" s="3">
        <v>44669</v>
      </c>
      <c r="K3773" s="2">
        <v>43</v>
      </c>
      <c r="L3773" s="2" t="s">
        <v>33</v>
      </c>
      <c r="M3773" s="3"/>
    </row>
    <row r="3774" spans="1:13" x14ac:dyDescent="0.3">
      <c r="A3774" s="2">
        <v>3773</v>
      </c>
      <c r="B3774" s="2" t="s">
        <v>5425</v>
      </c>
      <c r="C3774" s="2" t="s">
        <v>8577</v>
      </c>
      <c r="D3774" s="2" t="s">
        <v>51</v>
      </c>
      <c r="E3774" s="2" t="s">
        <v>16</v>
      </c>
      <c r="F3774" s="2">
        <v>90</v>
      </c>
      <c r="G3774" s="2" t="s">
        <v>8578</v>
      </c>
      <c r="H3774" s="2" t="s">
        <v>3242</v>
      </c>
      <c r="I3774" s="2" t="s">
        <v>32</v>
      </c>
      <c r="J3774" s="3">
        <v>44060</v>
      </c>
      <c r="K3774" s="2">
        <v>77</v>
      </c>
      <c r="L3774" s="2" t="s">
        <v>33</v>
      </c>
      <c r="M3774" s="3"/>
    </row>
    <row r="3775" spans="1:13" x14ac:dyDescent="0.3">
      <c r="A3775" s="2">
        <v>3774</v>
      </c>
      <c r="B3775" s="2" t="s">
        <v>588</v>
      </c>
      <c r="C3775" s="2" t="s">
        <v>5428</v>
      </c>
      <c r="D3775" s="2" t="s">
        <v>28</v>
      </c>
      <c r="E3775" s="2" t="s">
        <v>29</v>
      </c>
      <c r="F3775" s="2">
        <v>60</v>
      </c>
      <c r="G3775" s="2" t="s">
        <v>8579</v>
      </c>
      <c r="H3775" s="2" t="s">
        <v>6772</v>
      </c>
      <c r="I3775" s="2" t="s">
        <v>32</v>
      </c>
      <c r="J3775" s="3">
        <v>44145</v>
      </c>
      <c r="K3775" s="2">
        <v>49</v>
      </c>
      <c r="L3775" s="2" t="s">
        <v>159</v>
      </c>
      <c r="M3775" s="3"/>
    </row>
    <row r="3776" spans="1:13" x14ac:dyDescent="0.3">
      <c r="A3776" s="2">
        <v>3775</v>
      </c>
      <c r="B3776" s="2" t="s">
        <v>899</v>
      </c>
      <c r="C3776" s="2" t="s">
        <v>3928</v>
      </c>
      <c r="D3776" s="2" t="s">
        <v>621</v>
      </c>
      <c r="E3776" s="2" t="s">
        <v>29</v>
      </c>
      <c r="F3776" s="2">
        <v>30</v>
      </c>
      <c r="G3776" s="2" t="s">
        <v>8580</v>
      </c>
      <c r="H3776" s="2" t="s">
        <v>3245</v>
      </c>
      <c r="I3776" s="2" t="s">
        <v>32</v>
      </c>
      <c r="J3776" s="3">
        <v>44452</v>
      </c>
      <c r="K3776" s="2">
        <v>25</v>
      </c>
      <c r="L3776" s="2" t="s">
        <v>70</v>
      </c>
      <c r="M3776" s="3"/>
    </row>
    <row r="3777" spans="1:13" x14ac:dyDescent="0.3">
      <c r="A3777" s="2">
        <v>3776</v>
      </c>
      <c r="B3777" s="2" t="s">
        <v>1371</v>
      </c>
      <c r="C3777" s="2" t="s">
        <v>8581</v>
      </c>
      <c r="D3777" s="2" t="s">
        <v>28</v>
      </c>
      <c r="E3777" s="2" t="s">
        <v>29</v>
      </c>
      <c r="F3777" s="2">
        <v>30</v>
      </c>
      <c r="G3777" s="2" t="s">
        <v>8582</v>
      </c>
      <c r="H3777" s="2" t="s">
        <v>1598</v>
      </c>
      <c r="I3777" s="2" t="s">
        <v>32</v>
      </c>
      <c r="J3777" s="3">
        <v>44129</v>
      </c>
      <c r="K3777" s="2">
        <v>76</v>
      </c>
      <c r="L3777" s="2" t="s">
        <v>20</v>
      </c>
      <c r="M3777" s="3"/>
    </row>
    <row r="3778" spans="1:13" x14ac:dyDescent="0.3">
      <c r="A3778" s="2">
        <v>3777</v>
      </c>
      <c r="B3778" s="2" t="s">
        <v>8369</v>
      </c>
      <c r="C3778" s="2" t="s">
        <v>4402</v>
      </c>
      <c r="D3778" s="2" t="s">
        <v>15</v>
      </c>
      <c r="E3778" s="2" t="s">
        <v>16</v>
      </c>
      <c r="F3778" s="2">
        <v>90</v>
      </c>
      <c r="G3778" s="2" t="s">
        <v>8583</v>
      </c>
      <c r="H3778" s="2" t="s">
        <v>2498</v>
      </c>
      <c r="I3778" s="2" t="s">
        <v>913</v>
      </c>
      <c r="J3778" s="3">
        <v>43979</v>
      </c>
      <c r="K3778" s="2">
        <v>38</v>
      </c>
      <c r="L3778" s="2" t="s">
        <v>20</v>
      </c>
      <c r="M3778" s="3"/>
    </row>
    <row r="3779" spans="1:13" x14ac:dyDescent="0.3">
      <c r="A3779" s="2">
        <v>3778</v>
      </c>
      <c r="B3779" s="2" t="s">
        <v>8584</v>
      </c>
      <c r="C3779" s="2" t="s">
        <v>5328</v>
      </c>
      <c r="D3779" s="2" t="s">
        <v>51</v>
      </c>
      <c r="E3779" s="2" t="s">
        <v>16</v>
      </c>
      <c r="F3779" s="2">
        <v>30</v>
      </c>
      <c r="G3779" s="2" t="s">
        <v>8585</v>
      </c>
      <c r="H3779" s="2" t="s">
        <v>7546</v>
      </c>
      <c r="I3779" s="2" t="s">
        <v>187</v>
      </c>
      <c r="J3779" s="3">
        <v>44164</v>
      </c>
      <c r="K3779" s="2">
        <v>59</v>
      </c>
      <c r="L3779" s="2" t="s">
        <v>20</v>
      </c>
      <c r="M3779" s="3"/>
    </row>
    <row r="3780" spans="1:13" x14ac:dyDescent="0.3">
      <c r="A3780" s="2">
        <v>3779</v>
      </c>
      <c r="B3780" s="2" t="s">
        <v>8586</v>
      </c>
      <c r="C3780" s="2" t="s">
        <v>7472</v>
      </c>
      <c r="D3780" s="2" t="s">
        <v>28</v>
      </c>
      <c r="E3780" s="2" t="s">
        <v>29</v>
      </c>
      <c r="F3780" s="2">
        <v>60</v>
      </c>
      <c r="G3780" s="2" t="s">
        <v>8587</v>
      </c>
      <c r="H3780" s="2" t="s">
        <v>4567</v>
      </c>
      <c r="I3780" s="2" t="s">
        <v>38</v>
      </c>
      <c r="J3780" s="3">
        <v>44071</v>
      </c>
      <c r="K3780" s="2">
        <v>12</v>
      </c>
      <c r="L3780" s="2" t="s">
        <v>20</v>
      </c>
      <c r="M3780" s="3"/>
    </row>
    <row r="3781" spans="1:13" x14ac:dyDescent="0.3">
      <c r="A3781" s="2">
        <v>3780</v>
      </c>
      <c r="B3781" s="2" t="s">
        <v>8588</v>
      </c>
      <c r="C3781" s="2" t="s">
        <v>305</v>
      </c>
      <c r="D3781" s="2" t="s">
        <v>15</v>
      </c>
      <c r="E3781" s="2" t="s">
        <v>16</v>
      </c>
      <c r="F3781" s="2">
        <v>30</v>
      </c>
      <c r="G3781" s="2" t="s">
        <v>8587</v>
      </c>
      <c r="H3781" s="2" t="s">
        <v>1347</v>
      </c>
      <c r="I3781" s="2" t="s">
        <v>32</v>
      </c>
      <c r="J3781" s="3">
        <v>44336</v>
      </c>
      <c r="K3781" s="2">
        <v>76</v>
      </c>
      <c r="L3781" s="2" t="s">
        <v>159</v>
      </c>
      <c r="M3781" s="3"/>
    </row>
    <row r="3782" spans="1:13" x14ac:dyDescent="0.3">
      <c r="A3782" s="2">
        <v>3781</v>
      </c>
      <c r="B3782" s="2" t="s">
        <v>8589</v>
      </c>
      <c r="C3782" s="2" t="s">
        <v>5199</v>
      </c>
      <c r="D3782" s="2" t="s">
        <v>15</v>
      </c>
      <c r="E3782" s="2" t="s">
        <v>16</v>
      </c>
      <c r="F3782" s="2">
        <v>30</v>
      </c>
      <c r="G3782" s="2" t="s">
        <v>8590</v>
      </c>
      <c r="H3782" s="2" t="s">
        <v>599</v>
      </c>
      <c r="I3782" s="2" t="s">
        <v>32</v>
      </c>
      <c r="J3782" s="3">
        <v>44299</v>
      </c>
      <c r="K3782" s="2">
        <v>73</v>
      </c>
      <c r="L3782" s="2" t="s">
        <v>80</v>
      </c>
      <c r="M3782" s="3"/>
    </row>
    <row r="3783" spans="1:13" x14ac:dyDescent="0.3">
      <c r="A3783" s="2">
        <v>3782</v>
      </c>
      <c r="B3783" s="2" t="s">
        <v>8591</v>
      </c>
      <c r="C3783" s="2" t="s">
        <v>4819</v>
      </c>
      <c r="D3783" s="2" t="s">
        <v>41</v>
      </c>
      <c r="E3783" s="2" t="s">
        <v>16</v>
      </c>
      <c r="F3783" s="2">
        <v>60</v>
      </c>
      <c r="G3783" s="2" t="s">
        <v>8592</v>
      </c>
      <c r="H3783" s="2" t="s">
        <v>6907</v>
      </c>
      <c r="I3783" s="2" t="s">
        <v>32</v>
      </c>
      <c r="J3783" s="3">
        <v>44606</v>
      </c>
      <c r="K3783" s="2">
        <v>54</v>
      </c>
      <c r="L3783" s="2" t="s">
        <v>80</v>
      </c>
      <c r="M3783" s="3"/>
    </row>
    <row r="3784" spans="1:13" x14ac:dyDescent="0.3">
      <c r="A3784" s="2">
        <v>3783</v>
      </c>
      <c r="B3784" s="2" t="s">
        <v>8593</v>
      </c>
      <c r="C3784" s="2" t="s">
        <v>4045</v>
      </c>
      <c r="D3784" s="2" t="s">
        <v>28</v>
      </c>
      <c r="E3784" s="2" t="s">
        <v>29</v>
      </c>
      <c r="F3784" s="2">
        <v>60</v>
      </c>
      <c r="G3784" s="2" t="s">
        <v>8594</v>
      </c>
      <c r="H3784" s="2" t="s">
        <v>7829</v>
      </c>
      <c r="I3784" s="2" t="s">
        <v>934</v>
      </c>
      <c r="J3784" s="3">
        <v>44098</v>
      </c>
      <c r="K3784" s="2">
        <v>67</v>
      </c>
      <c r="L3784" s="2" t="s">
        <v>159</v>
      </c>
      <c r="M3784" s="3"/>
    </row>
    <row r="3785" spans="1:13" x14ac:dyDescent="0.3">
      <c r="A3785" s="2">
        <v>3784</v>
      </c>
      <c r="B3785" s="2" t="s">
        <v>8595</v>
      </c>
      <c r="C3785" s="2" t="s">
        <v>188</v>
      </c>
      <c r="D3785" s="2" t="s">
        <v>51</v>
      </c>
      <c r="E3785" s="2" t="s">
        <v>16</v>
      </c>
      <c r="F3785" s="2">
        <v>60</v>
      </c>
      <c r="G3785" s="2" t="s">
        <v>8596</v>
      </c>
      <c r="H3785" s="2" t="s">
        <v>141</v>
      </c>
      <c r="I3785" s="2" t="s">
        <v>32</v>
      </c>
      <c r="J3785" s="3">
        <v>44001</v>
      </c>
      <c r="K3785" s="2">
        <v>7</v>
      </c>
      <c r="L3785" s="2" t="s">
        <v>54</v>
      </c>
      <c r="M3785" s="3"/>
    </row>
    <row r="3786" spans="1:13" x14ac:dyDescent="0.3">
      <c r="A3786" s="2">
        <v>3785</v>
      </c>
      <c r="B3786" s="2" t="s">
        <v>1748</v>
      </c>
      <c r="C3786" s="2" t="s">
        <v>2677</v>
      </c>
      <c r="D3786" s="2" t="s">
        <v>28</v>
      </c>
      <c r="E3786" s="2" t="s">
        <v>29</v>
      </c>
      <c r="F3786" s="2">
        <v>90</v>
      </c>
      <c r="G3786" s="2" t="s">
        <v>8597</v>
      </c>
      <c r="H3786" s="2" t="s">
        <v>6770</v>
      </c>
      <c r="I3786" s="2" t="s">
        <v>124</v>
      </c>
      <c r="J3786" s="3">
        <v>44230</v>
      </c>
      <c r="K3786" s="2">
        <v>7</v>
      </c>
      <c r="L3786" s="2" t="s">
        <v>33</v>
      </c>
      <c r="M3786" s="3"/>
    </row>
    <row r="3787" spans="1:13" x14ac:dyDescent="0.3">
      <c r="A3787" s="2">
        <v>3786</v>
      </c>
      <c r="B3787" s="2" t="s">
        <v>8598</v>
      </c>
      <c r="C3787" s="2" t="s">
        <v>3700</v>
      </c>
      <c r="D3787" s="2" t="s">
        <v>28</v>
      </c>
      <c r="E3787" s="2" t="s">
        <v>29</v>
      </c>
      <c r="F3787" s="2">
        <v>60</v>
      </c>
      <c r="G3787" s="2" t="s">
        <v>8599</v>
      </c>
      <c r="H3787" s="2" t="s">
        <v>5794</v>
      </c>
      <c r="I3787" s="2" t="s">
        <v>294</v>
      </c>
      <c r="J3787" s="3">
        <v>43929</v>
      </c>
      <c r="K3787" s="2">
        <v>32</v>
      </c>
      <c r="L3787" s="2" t="s">
        <v>45</v>
      </c>
      <c r="M3787" s="3"/>
    </row>
    <row r="3788" spans="1:13" x14ac:dyDescent="0.3">
      <c r="A3788" s="2">
        <v>3787</v>
      </c>
      <c r="B3788" s="2" t="s">
        <v>3400</v>
      </c>
      <c r="C3788" s="2" t="s">
        <v>1596</v>
      </c>
      <c r="D3788" s="2" t="s">
        <v>51</v>
      </c>
      <c r="E3788" s="2" t="s">
        <v>16</v>
      </c>
      <c r="F3788" s="2">
        <v>30</v>
      </c>
      <c r="G3788" s="2" t="s">
        <v>8600</v>
      </c>
      <c r="H3788" s="2" t="s">
        <v>1729</v>
      </c>
      <c r="I3788" s="2" t="s">
        <v>32</v>
      </c>
      <c r="J3788" s="3">
        <v>43881</v>
      </c>
      <c r="K3788" s="2">
        <v>54</v>
      </c>
      <c r="L3788" s="2" t="s">
        <v>80</v>
      </c>
      <c r="M3788" s="3"/>
    </row>
    <row r="3789" spans="1:13" x14ac:dyDescent="0.3">
      <c r="A3789" s="2">
        <v>3788</v>
      </c>
      <c r="B3789" s="2" t="s">
        <v>7804</v>
      </c>
      <c r="C3789" s="2" t="s">
        <v>2499</v>
      </c>
      <c r="D3789" s="2" t="s">
        <v>28</v>
      </c>
      <c r="E3789" s="2" t="s">
        <v>29</v>
      </c>
      <c r="F3789" s="2">
        <v>30</v>
      </c>
      <c r="G3789" s="2" t="s">
        <v>8601</v>
      </c>
      <c r="H3789" s="2" t="s">
        <v>5843</v>
      </c>
      <c r="I3789" s="2" t="s">
        <v>25</v>
      </c>
      <c r="J3789" s="3">
        <v>44653</v>
      </c>
      <c r="K3789" s="2">
        <v>94</v>
      </c>
      <c r="L3789" s="2" t="s">
        <v>64</v>
      </c>
      <c r="M3789" s="3"/>
    </row>
    <row r="3790" spans="1:13" x14ac:dyDescent="0.3">
      <c r="A3790" s="2">
        <v>3789</v>
      </c>
      <c r="B3790" s="2" t="s">
        <v>909</v>
      </c>
      <c r="C3790" s="2" t="s">
        <v>272</v>
      </c>
      <c r="D3790" s="2" t="s">
        <v>41</v>
      </c>
      <c r="E3790" s="2" t="s">
        <v>16</v>
      </c>
      <c r="F3790" s="2">
        <v>60</v>
      </c>
      <c r="G3790" s="2" t="s">
        <v>8602</v>
      </c>
      <c r="H3790" s="2" t="s">
        <v>685</v>
      </c>
      <c r="I3790" s="2" t="s">
        <v>686</v>
      </c>
      <c r="J3790" s="3">
        <v>44265</v>
      </c>
      <c r="K3790" s="2">
        <v>77</v>
      </c>
      <c r="L3790" s="2" t="s">
        <v>45</v>
      </c>
      <c r="M3790" s="3"/>
    </row>
    <row r="3791" spans="1:13" x14ac:dyDescent="0.3">
      <c r="A3791" s="2">
        <v>3790</v>
      </c>
      <c r="B3791" s="2" t="s">
        <v>8603</v>
      </c>
      <c r="C3791" s="2" t="s">
        <v>8604</v>
      </c>
      <c r="D3791" s="2" t="s">
        <v>41</v>
      </c>
      <c r="E3791" s="2" t="s">
        <v>16</v>
      </c>
      <c r="F3791" s="2">
        <v>30</v>
      </c>
      <c r="G3791" s="2" t="s">
        <v>8605</v>
      </c>
      <c r="H3791" s="2" t="s">
        <v>641</v>
      </c>
      <c r="I3791" s="2" t="s">
        <v>294</v>
      </c>
      <c r="J3791" s="3">
        <v>44287</v>
      </c>
      <c r="K3791" s="2">
        <v>74</v>
      </c>
      <c r="L3791" s="2" t="s">
        <v>159</v>
      </c>
      <c r="M3791" s="3"/>
    </row>
    <row r="3792" spans="1:13" x14ac:dyDescent="0.3">
      <c r="A3792" s="2">
        <v>3791</v>
      </c>
      <c r="B3792" s="2" t="s">
        <v>8606</v>
      </c>
      <c r="C3792" s="2" t="s">
        <v>2434</v>
      </c>
      <c r="D3792" s="2" t="s">
        <v>28</v>
      </c>
      <c r="E3792" s="2" t="s">
        <v>29</v>
      </c>
      <c r="F3792" s="2">
        <v>60</v>
      </c>
      <c r="G3792" s="2" t="s">
        <v>8607</v>
      </c>
      <c r="H3792" s="2" t="s">
        <v>3894</v>
      </c>
      <c r="I3792" s="2" t="s">
        <v>110</v>
      </c>
      <c r="J3792" s="3">
        <v>44005</v>
      </c>
      <c r="K3792" s="2">
        <v>75</v>
      </c>
      <c r="L3792" s="2" t="s">
        <v>80</v>
      </c>
      <c r="M3792" s="3"/>
    </row>
    <row r="3793" spans="1:13" x14ac:dyDescent="0.3">
      <c r="A3793" s="2">
        <v>3792</v>
      </c>
      <c r="B3793" s="2" t="s">
        <v>8608</v>
      </c>
      <c r="C3793" s="2" t="s">
        <v>481</v>
      </c>
      <c r="D3793" s="2" t="s">
        <v>51</v>
      </c>
      <c r="E3793" s="2" t="s">
        <v>16</v>
      </c>
      <c r="F3793" s="2">
        <v>60</v>
      </c>
      <c r="G3793" s="2" t="s">
        <v>8609</v>
      </c>
      <c r="H3793" s="2" t="s">
        <v>3666</v>
      </c>
      <c r="I3793" s="2" t="s">
        <v>1483</v>
      </c>
      <c r="J3793" s="3">
        <v>44209</v>
      </c>
      <c r="K3793" s="2">
        <v>17</v>
      </c>
      <c r="L3793" s="2" t="s">
        <v>45</v>
      </c>
      <c r="M3793" s="3"/>
    </row>
    <row r="3794" spans="1:13" x14ac:dyDescent="0.3">
      <c r="A3794" s="2">
        <v>3793</v>
      </c>
      <c r="B3794" s="2" t="s">
        <v>7311</v>
      </c>
      <c r="C3794" s="2" t="s">
        <v>2332</v>
      </c>
      <c r="D3794" s="2" t="s">
        <v>51</v>
      </c>
      <c r="E3794" s="2" t="s">
        <v>16</v>
      </c>
      <c r="F3794" s="2">
        <v>30</v>
      </c>
      <c r="G3794" s="2" t="s">
        <v>8610</v>
      </c>
      <c r="H3794" s="2" t="s">
        <v>5934</v>
      </c>
      <c r="I3794" s="2" t="s">
        <v>173</v>
      </c>
      <c r="J3794" s="3">
        <v>44427</v>
      </c>
      <c r="K3794" s="2">
        <v>21</v>
      </c>
      <c r="L3794" s="2" t="s">
        <v>101</v>
      </c>
      <c r="M3794" s="3"/>
    </row>
    <row r="3795" spans="1:13" x14ac:dyDescent="0.3">
      <c r="A3795" s="2">
        <v>3794</v>
      </c>
      <c r="B3795" s="2" t="s">
        <v>441</v>
      </c>
      <c r="C3795" s="2" t="s">
        <v>3467</v>
      </c>
      <c r="D3795" s="2" t="s">
        <v>28</v>
      </c>
      <c r="E3795" s="2" t="s">
        <v>29</v>
      </c>
      <c r="F3795" s="2">
        <v>60</v>
      </c>
      <c r="G3795" s="2" t="s">
        <v>8611</v>
      </c>
      <c r="H3795" s="2" t="s">
        <v>1859</v>
      </c>
      <c r="I3795" s="2" t="s">
        <v>89</v>
      </c>
      <c r="J3795" s="3">
        <v>44135</v>
      </c>
      <c r="K3795" s="2">
        <v>10</v>
      </c>
      <c r="L3795" s="2" t="s">
        <v>159</v>
      </c>
      <c r="M3795" s="3"/>
    </row>
    <row r="3796" spans="1:13" x14ac:dyDescent="0.3">
      <c r="A3796" s="2">
        <v>3795</v>
      </c>
      <c r="B3796" s="2" t="s">
        <v>8612</v>
      </c>
      <c r="C3796" s="2" t="s">
        <v>1851</v>
      </c>
      <c r="D3796" s="2" t="s">
        <v>51</v>
      </c>
      <c r="E3796" s="2" t="s">
        <v>16</v>
      </c>
      <c r="F3796" s="2">
        <v>90</v>
      </c>
      <c r="G3796" s="2" t="s">
        <v>8611</v>
      </c>
      <c r="H3796" s="2" t="s">
        <v>1382</v>
      </c>
      <c r="I3796" s="2" t="s">
        <v>32</v>
      </c>
      <c r="J3796" s="3">
        <v>44704</v>
      </c>
      <c r="K3796" s="2">
        <v>94</v>
      </c>
      <c r="L3796" s="2" t="s">
        <v>101</v>
      </c>
      <c r="M3796" s="3"/>
    </row>
    <row r="3797" spans="1:13" x14ac:dyDescent="0.3">
      <c r="A3797" s="2">
        <v>3796</v>
      </c>
      <c r="B3797" s="2" t="s">
        <v>7624</v>
      </c>
      <c r="C3797" s="2" t="s">
        <v>5032</v>
      </c>
      <c r="D3797" s="2" t="s">
        <v>15</v>
      </c>
      <c r="E3797" s="2" t="s">
        <v>16</v>
      </c>
      <c r="F3797" s="2">
        <v>90</v>
      </c>
      <c r="G3797" s="2" t="s">
        <v>8613</v>
      </c>
      <c r="H3797" s="2" t="s">
        <v>1077</v>
      </c>
      <c r="I3797" s="2" t="s">
        <v>1078</v>
      </c>
      <c r="J3797" s="3">
        <v>44863</v>
      </c>
      <c r="K3797" s="2">
        <v>97</v>
      </c>
      <c r="L3797" s="2" t="s">
        <v>54</v>
      </c>
      <c r="M3797" s="3"/>
    </row>
    <row r="3798" spans="1:13" x14ac:dyDescent="0.3">
      <c r="A3798" s="2">
        <v>3797</v>
      </c>
      <c r="B3798" s="2" t="s">
        <v>5849</v>
      </c>
      <c r="C3798" s="2" t="s">
        <v>841</v>
      </c>
      <c r="D3798" s="2" t="s">
        <v>28</v>
      </c>
      <c r="E3798" s="2" t="s">
        <v>29</v>
      </c>
      <c r="F3798" s="2">
        <v>90</v>
      </c>
      <c r="G3798" s="2" t="s">
        <v>8614</v>
      </c>
      <c r="H3798" s="2" t="s">
        <v>4081</v>
      </c>
      <c r="I3798" s="2" t="s">
        <v>32</v>
      </c>
      <c r="J3798" s="3">
        <v>44233</v>
      </c>
      <c r="K3798" s="2">
        <v>20</v>
      </c>
      <c r="L3798" s="2" t="s">
        <v>33</v>
      </c>
      <c r="M3798" s="3"/>
    </row>
    <row r="3799" spans="1:13" x14ac:dyDescent="0.3">
      <c r="A3799" s="2">
        <v>3798</v>
      </c>
      <c r="B3799" s="2" t="s">
        <v>8615</v>
      </c>
      <c r="C3799" s="2" t="s">
        <v>1054</v>
      </c>
      <c r="D3799" s="2" t="s">
        <v>51</v>
      </c>
      <c r="E3799" s="2" t="s">
        <v>16</v>
      </c>
      <c r="F3799" s="2">
        <v>30</v>
      </c>
      <c r="G3799" s="2" t="s">
        <v>8616</v>
      </c>
      <c r="H3799" s="2" t="s">
        <v>853</v>
      </c>
      <c r="I3799" s="2" t="s">
        <v>32</v>
      </c>
      <c r="J3799" s="3">
        <v>44042</v>
      </c>
      <c r="K3799" s="2">
        <v>42</v>
      </c>
      <c r="L3799" s="2" t="s">
        <v>54</v>
      </c>
      <c r="M3799" s="3"/>
    </row>
    <row r="3800" spans="1:13" x14ac:dyDescent="0.3">
      <c r="A3800" s="2">
        <v>3799</v>
      </c>
      <c r="B3800" s="2" t="s">
        <v>8617</v>
      </c>
      <c r="C3800" s="2" t="s">
        <v>97</v>
      </c>
      <c r="D3800" s="2" t="s">
        <v>51</v>
      </c>
      <c r="E3800" s="2" t="s">
        <v>16</v>
      </c>
      <c r="F3800" s="2">
        <v>90</v>
      </c>
      <c r="G3800" s="2" t="s">
        <v>8618</v>
      </c>
      <c r="H3800" s="2" t="s">
        <v>5723</v>
      </c>
      <c r="I3800" s="2" t="s">
        <v>187</v>
      </c>
      <c r="J3800" s="3">
        <v>43994</v>
      </c>
      <c r="K3800" s="2">
        <v>80</v>
      </c>
      <c r="L3800" s="2" t="s">
        <v>33</v>
      </c>
      <c r="M3800" s="3"/>
    </row>
    <row r="3801" spans="1:13" x14ac:dyDescent="0.3">
      <c r="A3801" s="2">
        <v>3800</v>
      </c>
      <c r="B3801" s="2" t="s">
        <v>8619</v>
      </c>
      <c r="D3801" s="2" t="s">
        <v>15</v>
      </c>
      <c r="E3801" s="2" t="s">
        <v>16</v>
      </c>
      <c r="F3801" s="2">
        <v>90</v>
      </c>
      <c r="G3801" s="2" t="s">
        <v>8620</v>
      </c>
      <c r="I3801" s="2" t="s">
        <v>366</v>
      </c>
      <c r="J3801" s="3">
        <v>44052</v>
      </c>
      <c r="K3801" s="2">
        <v>34</v>
      </c>
      <c r="L3801" s="2" t="s">
        <v>64</v>
      </c>
      <c r="M3801" s="3"/>
    </row>
    <row r="3802" spans="1:13" x14ac:dyDescent="0.3">
      <c r="A3802" s="2">
        <v>3801</v>
      </c>
      <c r="B3802" s="2" t="s">
        <v>3924</v>
      </c>
      <c r="C3802" s="2" t="s">
        <v>7860</v>
      </c>
      <c r="D3802" s="2" t="s">
        <v>15</v>
      </c>
      <c r="E3802" s="2" t="s">
        <v>16</v>
      </c>
      <c r="F3802" s="2">
        <v>60</v>
      </c>
      <c r="G3802" s="2" t="s">
        <v>8621</v>
      </c>
      <c r="H3802" s="2" t="s">
        <v>4587</v>
      </c>
      <c r="I3802" s="2" t="s">
        <v>32</v>
      </c>
      <c r="J3802" s="3">
        <v>44587</v>
      </c>
      <c r="K3802" s="2">
        <v>66</v>
      </c>
      <c r="L3802" s="2" t="s">
        <v>101</v>
      </c>
      <c r="M3802" s="3"/>
    </row>
    <row r="3803" spans="1:13" x14ac:dyDescent="0.3">
      <c r="A3803" s="2">
        <v>3802</v>
      </c>
      <c r="B3803" s="2" t="s">
        <v>4250</v>
      </c>
      <c r="C3803" s="2" t="s">
        <v>268</v>
      </c>
      <c r="D3803" s="2" t="s">
        <v>41</v>
      </c>
      <c r="E3803" s="2" t="s">
        <v>16</v>
      </c>
      <c r="F3803" s="2">
        <v>90</v>
      </c>
      <c r="G3803" s="2" t="s">
        <v>8622</v>
      </c>
      <c r="H3803" s="2" t="s">
        <v>6343</v>
      </c>
      <c r="I3803" s="2" t="s">
        <v>32</v>
      </c>
      <c r="J3803" s="3">
        <v>44925</v>
      </c>
      <c r="K3803" s="2">
        <v>26</v>
      </c>
      <c r="L3803" s="2" t="s">
        <v>80</v>
      </c>
      <c r="M3803" s="3"/>
    </row>
    <row r="3804" spans="1:13" x14ac:dyDescent="0.3">
      <c r="A3804" s="2">
        <v>3803</v>
      </c>
      <c r="B3804" s="2" t="s">
        <v>8623</v>
      </c>
      <c r="C3804" s="2" t="s">
        <v>5431</v>
      </c>
      <c r="D3804" s="2" t="s">
        <v>28</v>
      </c>
      <c r="E3804" s="2" t="s">
        <v>29</v>
      </c>
      <c r="F3804" s="2">
        <v>60</v>
      </c>
      <c r="G3804" s="2" t="s">
        <v>8624</v>
      </c>
      <c r="H3804" s="2" t="s">
        <v>1969</v>
      </c>
      <c r="I3804" s="2" t="s">
        <v>32</v>
      </c>
      <c r="J3804" s="3">
        <v>44496</v>
      </c>
      <c r="K3804" s="2">
        <v>14</v>
      </c>
      <c r="L3804" s="2" t="s">
        <v>39</v>
      </c>
      <c r="M3804" s="3"/>
    </row>
    <row r="3805" spans="1:13" x14ac:dyDescent="0.3">
      <c r="A3805" s="2">
        <v>3804</v>
      </c>
      <c r="B3805" s="2" t="s">
        <v>8625</v>
      </c>
      <c r="C3805" s="2" t="s">
        <v>605</v>
      </c>
      <c r="D3805" s="2" t="s">
        <v>51</v>
      </c>
      <c r="E3805" s="2" t="s">
        <v>16</v>
      </c>
      <c r="F3805" s="2">
        <v>60</v>
      </c>
      <c r="G3805" s="2" t="s">
        <v>8626</v>
      </c>
      <c r="H3805" s="2" t="s">
        <v>663</v>
      </c>
      <c r="I3805" s="2" t="s">
        <v>32</v>
      </c>
      <c r="J3805" s="3">
        <v>43962</v>
      </c>
      <c r="K3805" s="2">
        <v>81</v>
      </c>
      <c r="L3805" s="2" t="s">
        <v>159</v>
      </c>
      <c r="M3805" s="3"/>
    </row>
    <row r="3806" spans="1:13" x14ac:dyDescent="0.3">
      <c r="A3806" s="2">
        <v>3805</v>
      </c>
      <c r="B3806" s="2" t="s">
        <v>7566</v>
      </c>
      <c r="C3806" s="2" t="s">
        <v>8627</v>
      </c>
      <c r="D3806" s="2" t="s">
        <v>28</v>
      </c>
      <c r="E3806" s="2" t="s">
        <v>29</v>
      </c>
      <c r="F3806" s="2">
        <v>90</v>
      </c>
      <c r="G3806" s="2" t="s">
        <v>8628</v>
      </c>
      <c r="H3806" s="2" t="s">
        <v>2183</v>
      </c>
      <c r="I3806" s="2" t="s">
        <v>124</v>
      </c>
      <c r="J3806" s="3">
        <v>44745</v>
      </c>
      <c r="K3806" s="2">
        <v>98</v>
      </c>
      <c r="L3806" s="2" t="s">
        <v>54</v>
      </c>
      <c r="M3806" s="3"/>
    </row>
    <row r="3807" spans="1:13" x14ac:dyDescent="0.3">
      <c r="A3807" s="2">
        <v>3806</v>
      </c>
      <c r="B3807" s="2" t="s">
        <v>6203</v>
      </c>
      <c r="C3807" s="2" t="s">
        <v>3552</v>
      </c>
      <c r="D3807" s="2" t="s">
        <v>28</v>
      </c>
      <c r="E3807" s="2" t="s">
        <v>29</v>
      </c>
      <c r="F3807" s="2">
        <v>90</v>
      </c>
      <c r="G3807" s="2" t="s">
        <v>8629</v>
      </c>
      <c r="H3807" s="2" t="s">
        <v>1315</v>
      </c>
      <c r="I3807" s="2" t="s">
        <v>32</v>
      </c>
      <c r="J3807" s="3">
        <v>44020</v>
      </c>
      <c r="K3807" s="2">
        <v>62</v>
      </c>
      <c r="L3807" s="2" t="s">
        <v>80</v>
      </c>
      <c r="M3807" s="3"/>
    </row>
    <row r="3808" spans="1:13" x14ac:dyDescent="0.3">
      <c r="A3808" s="2">
        <v>3807</v>
      </c>
      <c r="B3808" s="2" t="s">
        <v>8630</v>
      </c>
      <c r="C3808" s="2" t="s">
        <v>6004</v>
      </c>
      <c r="D3808" s="2" t="s">
        <v>15</v>
      </c>
      <c r="E3808" s="2" t="s">
        <v>16</v>
      </c>
      <c r="F3808" s="2">
        <v>60</v>
      </c>
      <c r="G3808" s="2" t="s">
        <v>8631</v>
      </c>
      <c r="H3808" s="2" t="s">
        <v>1253</v>
      </c>
      <c r="I3808" s="2" t="s">
        <v>32</v>
      </c>
      <c r="J3808" s="3">
        <v>44253</v>
      </c>
      <c r="K3808" s="2">
        <v>50</v>
      </c>
      <c r="L3808" s="2" t="s">
        <v>20</v>
      </c>
      <c r="M3808" s="3"/>
    </row>
    <row r="3809" spans="1:13" x14ac:dyDescent="0.3">
      <c r="A3809" s="2">
        <v>3808</v>
      </c>
      <c r="B3809" s="2" t="s">
        <v>8630</v>
      </c>
      <c r="C3809" s="2" t="s">
        <v>6004</v>
      </c>
      <c r="D3809" s="2" t="s">
        <v>15</v>
      </c>
      <c r="E3809" s="2" t="s">
        <v>16</v>
      </c>
      <c r="F3809" s="2">
        <v>60</v>
      </c>
      <c r="G3809" s="2" t="s">
        <v>8631</v>
      </c>
      <c r="H3809" s="2" t="s">
        <v>1253</v>
      </c>
      <c r="I3809" s="2" t="s">
        <v>32</v>
      </c>
      <c r="J3809" s="3">
        <v>44253</v>
      </c>
      <c r="K3809" s="2">
        <v>50</v>
      </c>
      <c r="L3809" s="2" t="s">
        <v>20</v>
      </c>
      <c r="M3809" s="3"/>
    </row>
    <row r="3810" spans="1:13" x14ac:dyDescent="0.3">
      <c r="A3810" s="2">
        <v>3809</v>
      </c>
      <c r="B3810" s="2" t="s">
        <v>2174</v>
      </c>
      <c r="C3810" s="2" t="s">
        <v>8632</v>
      </c>
      <c r="D3810" s="2" t="s">
        <v>28</v>
      </c>
      <c r="E3810" s="2" t="s">
        <v>29</v>
      </c>
      <c r="F3810" s="2">
        <v>90</v>
      </c>
      <c r="G3810" s="2" t="s">
        <v>8633</v>
      </c>
      <c r="H3810" s="2" t="s">
        <v>8634</v>
      </c>
      <c r="I3810" s="2" t="s">
        <v>32</v>
      </c>
      <c r="J3810" s="3">
        <v>44496</v>
      </c>
      <c r="K3810" s="2">
        <v>86</v>
      </c>
      <c r="L3810" s="2" t="s">
        <v>20</v>
      </c>
      <c r="M3810" s="3"/>
    </row>
    <row r="3811" spans="1:13" x14ac:dyDescent="0.3">
      <c r="A3811" s="2">
        <v>3810</v>
      </c>
      <c r="B3811" s="2" t="s">
        <v>7802</v>
      </c>
      <c r="C3811" s="2" t="s">
        <v>8035</v>
      </c>
      <c r="D3811" s="2" t="s">
        <v>41</v>
      </c>
      <c r="E3811" s="2" t="s">
        <v>16</v>
      </c>
      <c r="F3811" s="2">
        <v>90</v>
      </c>
      <c r="G3811" s="2" t="s">
        <v>8635</v>
      </c>
      <c r="H3811" s="2" t="s">
        <v>4673</v>
      </c>
      <c r="I3811" s="2" t="s">
        <v>294</v>
      </c>
      <c r="J3811" s="3">
        <v>44382</v>
      </c>
      <c r="K3811" s="2">
        <v>13</v>
      </c>
      <c r="L3811" s="2" t="s">
        <v>39</v>
      </c>
      <c r="M3811" s="3"/>
    </row>
    <row r="3812" spans="1:13" x14ac:dyDescent="0.3">
      <c r="A3812" s="2">
        <v>3811</v>
      </c>
      <c r="B3812" s="2" t="s">
        <v>8636</v>
      </c>
      <c r="C3812" s="2" t="s">
        <v>4356</v>
      </c>
      <c r="D3812" s="2" t="s">
        <v>41</v>
      </c>
      <c r="E3812" s="2" t="s">
        <v>16</v>
      </c>
      <c r="F3812" s="2">
        <v>90</v>
      </c>
      <c r="G3812" s="2" t="s">
        <v>8637</v>
      </c>
      <c r="H3812" s="2" t="s">
        <v>1221</v>
      </c>
      <c r="I3812" s="2" t="s">
        <v>124</v>
      </c>
      <c r="J3812" s="3">
        <v>43892</v>
      </c>
      <c r="K3812" s="2">
        <v>71</v>
      </c>
      <c r="L3812" s="2" t="s">
        <v>45</v>
      </c>
      <c r="M3812" s="3"/>
    </row>
    <row r="3813" spans="1:13" x14ac:dyDescent="0.3">
      <c r="A3813" s="2">
        <v>3812</v>
      </c>
      <c r="B3813" s="2" t="s">
        <v>4721</v>
      </c>
      <c r="C3813" s="2" t="s">
        <v>3602</v>
      </c>
      <c r="D3813" s="2" t="s">
        <v>28</v>
      </c>
      <c r="E3813" s="2" t="s">
        <v>29</v>
      </c>
      <c r="F3813" s="2">
        <v>90</v>
      </c>
      <c r="G3813" s="2" t="s">
        <v>8638</v>
      </c>
      <c r="H3813" s="2" t="s">
        <v>4889</v>
      </c>
      <c r="I3813" s="2" t="s">
        <v>110</v>
      </c>
      <c r="J3813" s="3">
        <v>44785</v>
      </c>
      <c r="K3813" s="2">
        <v>77</v>
      </c>
      <c r="L3813" s="2" t="s">
        <v>101</v>
      </c>
      <c r="M3813" s="3"/>
    </row>
    <row r="3814" spans="1:13" x14ac:dyDescent="0.3">
      <c r="A3814" s="2">
        <v>3813</v>
      </c>
      <c r="B3814" s="2" t="s">
        <v>4224</v>
      </c>
      <c r="C3814" s="2" t="s">
        <v>3118</v>
      </c>
      <c r="D3814" s="2" t="s">
        <v>28</v>
      </c>
      <c r="E3814" s="2" t="s">
        <v>29</v>
      </c>
      <c r="F3814" s="2">
        <v>90</v>
      </c>
      <c r="G3814" s="2" t="s">
        <v>8639</v>
      </c>
      <c r="H3814" s="2" t="s">
        <v>1473</v>
      </c>
      <c r="I3814" s="2" t="s">
        <v>38</v>
      </c>
      <c r="J3814" s="3">
        <v>43964</v>
      </c>
      <c r="K3814" s="2">
        <v>5</v>
      </c>
      <c r="L3814" s="2" t="s">
        <v>101</v>
      </c>
      <c r="M3814" s="3"/>
    </row>
    <row r="3815" spans="1:13" x14ac:dyDescent="0.3">
      <c r="A3815" s="2">
        <v>3814</v>
      </c>
      <c r="B3815" s="2" t="s">
        <v>8640</v>
      </c>
      <c r="C3815" s="2" t="s">
        <v>2838</v>
      </c>
      <c r="D3815" s="2" t="s">
        <v>51</v>
      </c>
      <c r="E3815" s="2" t="s">
        <v>16</v>
      </c>
      <c r="F3815" s="2">
        <v>90</v>
      </c>
      <c r="G3815" s="2" t="s">
        <v>8641</v>
      </c>
      <c r="H3815" s="2" t="s">
        <v>8642</v>
      </c>
      <c r="I3815" s="2" t="s">
        <v>294</v>
      </c>
      <c r="J3815" s="3">
        <v>44330</v>
      </c>
      <c r="K3815" s="2">
        <v>29</v>
      </c>
      <c r="L3815" s="2" t="s">
        <v>101</v>
      </c>
      <c r="M3815" s="3"/>
    </row>
    <row r="3816" spans="1:13" x14ac:dyDescent="0.3">
      <c r="A3816" s="2">
        <v>3815</v>
      </c>
      <c r="B3816" s="2" t="s">
        <v>1403</v>
      </c>
      <c r="C3816" s="2" t="s">
        <v>8643</v>
      </c>
      <c r="D3816" s="2" t="s">
        <v>28</v>
      </c>
      <c r="E3816" s="2" t="s">
        <v>29</v>
      </c>
      <c r="F3816" s="2">
        <v>60</v>
      </c>
      <c r="G3816" s="2" t="s">
        <v>8644</v>
      </c>
      <c r="H3816" s="2" t="s">
        <v>7092</v>
      </c>
      <c r="I3816" s="2" t="s">
        <v>32</v>
      </c>
      <c r="J3816" s="3">
        <v>43994</v>
      </c>
      <c r="K3816" s="2">
        <v>63</v>
      </c>
      <c r="L3816" s="2" t="s">
        <v>101</v>
      </c>
      <c r="M3816" s="3"/>
    </row>
    <row r="3817" spans="1:13" x14ac:dyDescent="0.3">
      <c r="A3817" s="2">
        <v>3816</v>
      </c>
      <c r="B3817" s="2" t="s">
        <v>2911</v>
      </c>
      <c r="C3817" s="2" t="s">
        <v>6574</v>
      </c>
      <c r="D3817" s="2" t="s">
        <v>15</v>
      </c>
      <c r="E3817" s="2" t="s">
        <v>16</v>
      </c>
      <c r="F3817" s="2">
        <v>60</v>
      </c>
      <c r="G3817" s="2" t="s">
        <v>8645</v>
      </c>
      <c r="H3817" s="2" t="s">
        <v>5758</v>
      </c>
      <c r="I3817" s="2" t="s">
        <v>32</v>
      </c>
      <c r="J3817" s="3">
        <v>44897</v>
      </c>
      <c r="K3817" s="2">
        <v>76</v>
      </c>
      <c r="L3817" s="2" t="s">
        <v>33</v>
      </c>
      <c r="M3817" s="3"/>
    </row>
    <row r="3818" spans="1:13" x14ac:dyDescent="0.3">
      <c r="A3818" s="2">
        <v>3817</v>
      </c>
      <c r="B3818" s="2" t="s">
        <v>4044</v>
      </c>
      <c r="C3818" s="2" t="s">
        <v>715</v>
      </c>
      <c r="D3818" s="2" t="s">
        <v>51</v>
      </c>
      <c r="E3818" s="2" t="s">
        <v>16</v>
      </c>
      <c r="F3818" s="2">
        <v>30</v>
      </c>
      <c r="G3818" s="2" t="s">
        <v>8646</v>
      </c>
      <c r="H3818" s="2" t="s">
        <v>1848</v>
      </c>
      <c r="I3818" s="2" t="s">
        <v>839</v>
      </c>
      <c r="J3818" s="3">
        <v>44646</v>
      </c>
      <c r="K3818" s="2">
        <v>46</v>
      </c>
      <c r="L3818" s="2" t="s">
        <v>159</v>
      </c>
      <c r="M3818" s="3"/>
    </row>
    <row r="3819" spans="1:13" x14ac:dyDescent="0.3">
      <c r="A3819" s="2">
        <v>3818</v>
      </c>
      <c r="B3819" s="2" t="s">
        <v>8647</v>
      </c>
      <c r="C3819" s="2" t="s">
        <v>1517</v>
      </c>
      <c r="D3819" s="2" t="s">
        <v>28</v>
      </c>
      <c r="E3819" s="2" t="s">
        <v>29</v>
      </c>
      <c r="F3819" s="2">
        <v>90</v>
      </c>
      <c r="G3819" s="2" t="s">
        <v>8648</v>
      </c>
      <c r="H3819" s="2" t="s">
        <v>3053</v>
      </c>
      <c r="I3819" s="2" t="s">
        <v>32</v>
      </c>
      <c r="J3819" s="3">
        <v>44481</v>
      </c>
      <c r="K3819" s="2">
        <v>42</v>
      </c>
      <c r="L3819" s="2" t="s">
        <v>39</v>
      </c>
      <c r="M3819" s="3"/>
    </row>
    <row r="3820" spans="1:13" x14ac:dyDescent="0.3">
      <c r="A3820" s="2">
        <v>3819</v>
      </c>
      <c r="B3820" s="2" t="s">
        <v>8649</v>
      </c>
      <c r="C3820" s="2" t="s">
        <v>8650</v>
      </c>
      <c r="D3820" s="2" t="s">
        <v>51</v>
      </c>
      <c r="E3820" s="2" t="s">
        <v>16</v>
      </c>
      <c r="F3820" s="2">
        <v>30</v>
      </c>
      <c r="G3820" s="2" t="s">
        <v>8651</v>
      </c>
      <c r="H3820" s="2" t="s">
        <v>4567</v>
      </c>
      <c r="I3820" s="2" t="s">
        <v>38</v>
      </c>
      <c r="J3820" s="3">
        <v>44543</v>
      </c>
      <c r="K3820" s="2">
        <v>6</v>
      </c>
      <c r="L3820" s="2" t="s">
        <v>39</v>
      </c>
      <c r="M3820" s="3"/>
    </row>
    <row r="3821" spans="1:13" x14ac:dyDescent="0.3">
      <c r="A3821" s="2">
        <v>3820</v>
      </c>
      <c r="B3821" s="2" t="s">
        <v>3031</v>
      </c>
      <c r="C3821" s="2" t="s">
        <v>2252</v>
      </c>
      <c r="D3821" s="2" t="s">
        <v>51</v>
      </c>
      <c r="E3821" s="2" t="s">
        <v>16</v>
      </c>
      <c r="F3821" s="2">
        <v>30</v>
      </c>
      <c r="G3821" s="2" t="s">
        <v>8652</v>
      </c>
      <c r="H3821" s="2" t="s">
        <v>2591</v>
      </c>
      <c r="I3821" s="2" t="s">
        <v>38</v>
      </c>
      <c r="J3821" s="3">
        <v>44030</v>
      </c>
      <c r="K3821" s="2">
        <v>67</v>
      </c>
      <c r="L3821" s="2" t="s">
        <v>101</v>
      </c>
      <c r="M3821" s="3"/>
    </row>
    <row r="3822" spans="1:13" x14ac:dyDescent="0.3">
      <c r="A3822" s="2">
        <v>3821</v>
      </c>
      <c r="B3822" s="2" t="s">
        <v>3979</v>
      </c>
      <c r="C3822" s="2" t="s">
        <v>3046</v>
      </c>
      <c r="D3822" s="2" t="s">
        <v>15</v>
      </c>
      <c r="E3822" s="2" t="s">
        <v>16</v>
      </c>
      <c r="F3822" s="2">
        <v>90</v>
      </c>
      <c r="G3822" s="2" t="s">
        <v>8653</v>
      </c>
      <c r="H3822" s="2" t="s">
        <v>5603</v>
      </c>
      <c r="I3822" s="2" t="s">
        <v>32</v>
      </c>
      <c r="J3822" s="3">
        <v>44574</v>
      </c>
      <c r="K3822" s="2">
        <v>46</v>
      </c>
      <c r="L3822" s="2" t="s">
        <v>101</v>
      </c>
      <c r="M3822" s="3"/>
    </row>
    <row r="3823" spans="1:13" x14ac:dyDescent="0.3">
      <c r="A3823" s="2">
        <v>3822</v>
      </c>
      <c r="B3823" s="2" t="s">
        <v>2384</v>
      </c>
      <c r="C3823" s="2" t="s">
        <v>8654</v>
      </c>
      <c r="D3823" s="2" t="s">
        <v>28</v>
      </c>
      <c r="E3823" s="2" t="s">
        <v>29</v>
      </c>
      <c r="F3823" s="2">
        <v>60</v>
      </c>
      <c r="G3823" s="2" t="s">
        <v>8655</v>
      </c>
      <c r="H3823" s="2" t="s">
        <v>207</v>
      </c>
      <c r="I3823" s="2" t="s">
        <v>208</v>
      </c>
      <c r="J3823" s="3">
        <v>44371</v>
      </c>
      <c r="K3823" s="2">
        <v>85</v>
      </c>
      <c r="L3823" s="2" t="s">
        <v>80</v>
      </c>
      <c r="M3823" s="3"/>
    </row>
    <row r="3824" spans="1:13" x14ac:dyDescent="0.3">
      <c r="A3824" s="2">
        <v>3823</v>
      </c>
      <c r="B3824" s="2" t="s">
        <v>6161</v>
      </c>
      <c r="C3824" s="2" t="s">
        <v>5225</v>
      </c>
      <c r="D3824" s="2" t="s">
        <v>51</v>
      </c>
      <c r="E3824" s="2" t="s">
        <v>16</v>
      </c>
      <c r="F3824" s="2">
        <v>90</v>
      </c>
      <c r="G3824" s="2" t="s">
        <v>8656</v>
      </c>
      <c r="H3824" s="2" t="s">
        <v>48</v>
      </c>
      <c r="I3824" s="2" t="s">
        <v>25</v>
      </c>
      <c r="J3824" s="3">
        <v>43979</v>
      </c>
      <c r="K3824" s="2">
        <v>48</v>
      </c>
      <c r="L3824" s="2" t="s">
        <v>159</v>
      </c>
      <c r="M3824" s="3"/>
    </row>
    <row r="3825" spans="1:13" x14ac:dyDescent="0.3">
      <c r="A3825" s="2">
        <v>3824</v>
      </c>
      <c r="B3825" s="2" t="s">
        <v>8657</v>
      </c>
      <c r="C3825" s="2" t="s">
        <v>8658</v>
      </c>
      <c r="D3825" s="2" t="s">
        <v>28</v>
      </c>
      <c r="E3825" s="2" t="s">
        <v>29</v>
      </c>
      <c r="F3825" s="2">
        <v>60</v>
      </c>
      <c r="G3825" s="2" t="s">
        <v>8659</v>
      </c>
      <c r="H3825" s="2" t="s">
        <v>2334</v>
      </c>
      <c r="I3825" s="2" t="s">
        <v>32</v>
      </c>
      <c r="J3825" s="3">
        <v>44005</v>
      </c>
      <c r="K3825" s="2">
        <v>66</v>
      </c>
      <c r="L3825" s="2" t="s">
        <v>80</v>
      </c>
      <c r="M3825" s="3"/>
    </row>
    <row r="3826" spans="1:13" x14ac:dyDescent="0.3">
      <c r="A3826" s="2">
        <v>3825</v>
      </c>
      <c r="B3826" s="2" t="s">
        <v>8660</v>
      </c>
      <c r="C3826" s="2" t="s">
        <v>2751</v>
      </c>
      <c r="D3826" s="2" t="s">
        <v>15</v>
      </c>
      <c r="E3826" s="2" t="s">
        <v>16</v>
      </c>
      <c r="F3826" s="2">
        <v>30</v>
      </c>
      <c r="G3826" s="2" t="s">
        <v>8661</v>
      </c>
      <c r="H3826" s="2" t="s">
        <v>1605</v>
      </c>
      <c r="I3826" s="2" t="s">
        <v>32</v>
      </c>
      <c r="J3826" s="3">
        <v>44321</v>
      </c>
      <c r="K3826" s="2">
        <v>17</v>
      </c>
      <c r="L3826" s="2" t="s">
        <v>33</v>
      </c>
      <c r="M3826" s="3"/>
    </row>
    <row r="3827" spans="1:13" x14ac:dyDescent="0.3">
      <c r="A3827" s="2">
        <v>3826</v>
      </c>
      <c r="B3827" s="2" t="s">
        <v>1797</v>
      </c>
      <c r="C3827" s="2" t="s">
        <v>3812</v>
      </c>
      <c r="D3827" s="2" t="s">
        <v>41</v>
      </c>
      <c r="E3827" s="2" t="s">
        <v>16</v>
      </c>
      <c r="F3827" s="2">
        <v>30</v>
      </c>
      <c r="G3827" s="2" t="s">
        <v>8662</v>
      </c>
      <c r="H3827" s="2" t="s">
        <v>5207</v>
      </c>
      <c r="I3827" s="2" t="s">
        <v>38</v>
      </c>
      <c r="J3827" s="3">
        <v>43990</v>
      </c>
      <c r="K3827" s="2">
        <v>61</v>
      </c>
      <c r="L3827" s="2" t="s">
        <v>33</v>
      </c>
      <c r="M3827" s="3"/>
    </row>
    <row r="3828" spans="1:13" x14ac:dyDescent="0.3">
      <c r="A3828" s="2">
        <v>3827</v>
      </c>
      <c r="B3828" s="2" t="s">
        <v>638</v>
      </c>
      <c r="C3828" s="2" t="s">
        <v>7618</v>
      </c>
      <c r="D3828" s="2" t="s">
        <v>15</v>
      </c>
      <c r="E3828" s="2" t="s">
        <v>16</v>
      </c>
      <c r="F3828" s="2">
        <v>60</v>
      </c>
      <c r="G3828" s="2" t="s">
        <v>8663</v>
      </c>
      <c r="H3828" s="2" t="s">
        <v>1590</v>
      </c>
      <c r="I3828" s="2" t="s">
        <v>32</v>
      </c>
      <c r="J3828" s="3">
        <v>43939</v>
      </c>
      <c r="K3828" s="2">
        <v>63</v>
      </c>
      <c r="L3828" s="2" t="s">
        <v>101</v>
      </c>
      <c r="M3828" s="3"/>
    </row>
    <row r="3829" spans="1:13" x14ac:dyDescent="0.3">
      <c r="A3829" s="2">
        <v>3828</v>
      </c>
      <c r="B3829" s="2" t="s">
        <v>8664</v>
      </c>
      <c r="C3829" s="2" t="s">
        <v>1810</v>
      </c>
      <c r="D3829" s="2" t="s">
        <v>51</v>
      </c>
      <c r="E3829" s="2" t="s">
        <v>16</v>
      </c>
      <c r="F3829" s="2">
        <v>30</v>
      </c>
      <c r="G3829" s="2" t="s">
        <v>8665</v>
      </c>
      <c r="H3829" s="2" t="s">
        <v>7720</v>
      </c>
      <c r="I3829" s="2" t="s">
        <v>38</v>
      </c>
      <c r="J3829" s="3">
        <v>44261</v>
      </c>
      <c r="K3829" s="2">
        <v>17</v>
      </c>
      <c r="L3829" s="2" t="s">
        <v>70</v>
      </c>
      <c r="M3829" s="3"/>
    </row>
    <row r="3830" spans="1:13" x14ac:dyDescent="0.3">
      <c r="A3830" s="2">
        <v>3829</v>
      </c>
      <c r="B3830" s="2" t="s">
        <v>8664</v>
      </c>
      <c r="C3830" s="2" t="s">
        <v>1810</v>
      </c>
      <c r="D3830" s="2" t="s">
        <v>51</v>
      </c>
      <c r="E3830" s="2" t="s">
        <v>16</v>
      </c>
      <c r="F3830" s="2">
        <v>30</v>
      </c>
      <c r="G3830" s="2" t="s">
        <v>8665</v>
      </c>
      <c r="H3830" s="2" t="s">
        <v>7720</v>
      </c>
      <c r="I3830" s="2" t="s">
        <v>38</v>
      </c>
      <c r="J3830" s="3">
        <v>44261</v>
      </c>
      <c r="K3830" s="2">
        <v>17</v>
      </c>
      <c r="L3830" s="2" t="s">
        <v>70</v>
      </c>
      <c r="M3830" s="3"/>
    </row>
    <row r="3831" spans="1:13" x14ac:dyDescent="0.3">
      <c r="A3831" s="2">
        <v>3830</v>
      </c>
      <c r="B3831" s="2" t="s">
        <v>4469</v>
      </c>
      <c r="C3831" s="2" t="s">
        <v>7449</v>
      </c>
      <c r="D3831" s="2" t="s">
        <v>117</v>
      </c>
      <c r="E3831" s="2" t="s">
        <v>29</v>
      </c>
      <c r="F3831" s="2">
        <v>90</v>
      </c>
      <c r="G3831" s="2" t="s">
        <v>8665</v>
      </c>
      <c r="H3831" s="2" t="s">
        <v>3343</v>
      </c>
      <c r="I3831" s="2" t="s">
        <v>1199</v>
      </c>
      <c r="J3831" s="3">
        <v>43860</v>
      </c>
      <c r="K3831" s="2">
        <v>23</v>
      </c>
      <c r="L3831" s="2" t="s">
        <v>54</v>
      </c>
      <c r="M3831" s="3"/>
    </row>
    <row r="3832" spans="1:13" x14ac:dyDescent="0.3">
      <c r="A3832" s="2">
        <v>3831</v>
      </c>
      <c r="B3832" s="2" t="s">
        <v>4469</v>
      </c>
      <c r="C3832" s="2" t="s">
        <v>7449</v>
      </c>
      <c r="D3832" s="2" t="s">
        <v>117</v>
      </c>
      <c r="E3832" s="2" t="s">
        <v>29</v>
      </c>
      <c r="F3832" s="2">
        <v>90</v>
      </c>
      <c r="G3832" s="2" t="s">
        <v>8665</v>
      </c>
      <c r="H3832" s="2" t="s">
        <v>3343</v>
      </c>
      <c r="I3832" s="2" t="s">
        <v>1199</v>
      </c>
      <c r="J3832" s="3">
        <v>43860</v>
      </c>
      <c r="K3832" s="2">
        <v>23</v>
      </c>
      <c r="L3832" s="2" t="s">
        <v>54</v>
      </c>
      <c r="M3832" s="3"/>
    </row>
    <row r="3833" spans="1:13" x14ac:dyDescent="0.3">
      <c r="A3833" s="2">
        <v>3832</v>
      </c>
      <c r="B3833" s="2" t="s">
        <v>8666</v>
      </c>
      <c r="C3833" s="2" t="s">
        <v>1677</v>
      </c>
      <c r="D3833" s="2" t="s">
        <v>41</v>
      </c>
      <c r="E3833" s="2" t="s">
        <v>16</v>
      </c>
      <c r="F3833" s="2">
        <v>30</v>
      </c>
      <c r="G3833" s="2" t="s">
        <v>8667</v>
      </c>
      <c r="H3833" s="2" t="s">
        <v>1537</v>
      </c>
      <c r="I3833" s="2" t="s">
        <v>294</v>
      </c>
      <c r="J3833" s="3">
        <v>44726</v>
      </c>
      <c r="K3833" s="2">
        <v>68</v>
      </c>
      <c r="L3833" s="2" t="s">
        <v>64</v>
      </c>
      <c r="M3833" s="3"/>
    </row>
    <row r="3834" spans="1:13" x14ac:dyDescent="0.3">
      <c r="A3834" s="2">
        <v>3833</v>
      </c>
      <c r="B3834" s="2" t="s">
        <v>4307</v>
      </c>
      <c r="C3834" s="2" t="s">
        <v>8668</v>
      </c>
      <c r="D3834" s="2" t="s">
        <v>15</v>
      </c>
      <c r="E3834" s="2" t="s">
        <v>16</v>
      </c>
      <c r="F3834" s="2">
        <v>90</v>
      </c>
      <c r="G3834" s="2" t="s">
        <v>8667</v>
      </c>
      <c r="H3834" s="2" t="s">
        <v>5427</v>
      </c>
      <c r="I3834" s="2" t="s">
        <v>32</v>
      </c>
      <c r="J3834" s="3">
        <v>44269</v>
      </c>
      <c r="K3834" s="2">
        <v>38</v>
      </c>
      <c r="L3834" s="2" t="s">
        <v>33</v>
      </c>
      <c r="M3834" s="3"/>
    </row>
    <row r="3835" spans="1:13" x14ac:dyDescent="0.3">
      <c r="A3835" s="2">
        <v>3834</v>
      </c>
      <c r="B3835" s="2" t="s">
        <v>8669</v>
      </c>
      <c r="C3835" s="2" t="s">
        <v>4949</v>
      </c>
      <c r="D3835" s="2" t="s">
        <v>51</v>
      </c>
      <c r="E3835" s="2" t="s">
        <v>16</v>
      </c>
      <c r="F3835" s="2">
        <v>90</v>
      </c>
      <c r="G3835" s="2" t="s">
        <v>8670</v>
      </c>
      <c r="H3835" s="2" t="s">
        <v>2552</v>
      </c>
      <c r="I3835" s="2" t="s">
        <v>32</v>
      </c>
      <c r="J3835" s="3">
        <v>44329</v>
      </c>
      <c r="K3835" s="2">
        <v>68</v>
      </c>
      <c r="L3835" s="2" t="s">
        <v>64</v>
      </c>
      <c r="M3835" s="3"/>
    </row>
    <row r="3836" spans="1:13" x14ac:dyDescent="0.3">
      <c r="A3836" s="2">
        <v>3835</v>
      </c>
      <c r="B3836" s="2" t="s">
        <v>8671</v>
      </c>
      <c r="C3836" s="2" t="s">
        <v>6439</v>
      </c>
      <c r="D3836" s="2" t="s">
        <v>15</v>
      </c>
      <c r="E3836" s="2" t="s">
        <v>16</v>
      </c>
      <c r="F3836" s="2">
        <v>30</v>
      </c>
      <c r="G3836" s="2" t="s">
        <v>8672</v>
      </c>
      <c r="H3836" s="2" t="s">
        <v>6710</v>
      </c>
      <c r="I3836" s="2" t="s">
        <v>32</v>
      </c>
      <c r="J3836" s="3">
        <v>44811</v>
      </c>
      <c r="K3836" s="2">
        <v>78</v>
      </c>
      <c r="L3836" s="2" t="s">
        <v>80</v>
      </c>
      <c r="M3836" s="3"/>
    </row>
    <row r="3837" spans="1:13" x14ac:dyDescent="0.3">
      <c r="A3837" s="2">
        <v>3836</v>
      </c>
      <c r="B3837" s="2" t="s">
        <v>8673</v>
      </c>
      <c r="C3837" s="2" t="s">
        <v>267</v>
      </c>
      <c r="D3837" s="2" t="s">
        <v>28</v>
      </c>
      <c r="E3837" s="2" t="s">
        <v>29</v>
      </c>
      <c r="F3837" s="2">
        <v>90</v>
      </c>
      <c r="G3837" s="2" t="s">
        <v>8674</v>
      </c>
      <c r="H3837" s="2" t="s">
        <v>3274</v>
      </c>
      <c r="I3837" s="2" t="s">
        <v>32</v>
      </c>
      <c r="J3837" s="3">
        <v>44779</v>
      </c>
      <c r="K3837" s="2">
        <v>27</v>
      </c>
      <c r="L3837" s="2" t="s">
        <v>54</v>
      </c>
      <c r="M3837" s="3"/>
    </row>
    <row r="3838" spans="1:13" x14ac:dyDescent="0.3">
      <c r="A3838" s="2">
        <v>3837</v>
      </c>
      <c r="B3838" s="2" t="s">
        <v>6300</v>
      </c>
      <c r="C3838" s="2" t="s">
        <v>2883</v>
      </c>
      <c r="D3838" s="2" t="s">
        <v>51</v>
      </c>
      <c r="E3838" s="2" t="s">
        <v>16</v>
      </c>
      <c r="F3838" s="2">
        <v>90</v>
      </c>
      <c r="G3838" s="2" t="s">
        <v>8675</v>
      </c>
      <c r="H3838" s="2" t="s">
        <v>4484</v>
      </c>
      <c r="I3838" s="2" t="s">
        <v>32</v>
      </c>
      <c r="J3838" s="3">
        <v>44559</v>
      </c>
      <c r="K3838" s="2">
        <v>75</v>
      </c>
      <c r="L3838" s="2" t="s">
        <v>20</v>
      </c>
      <c r="M3838" s="3"/>
    </row>
    <row r="3839" spans="1:13" x14ac:dyDescent="0.3">
      <c r="A3839" s="2">
        <v>3838</v>
      </c>
      <c r="B3839" s="2" t="s">
        <v>8676</v>
      </c>
      <c r="C3839" s="2" t="s">
        <v>6534</v>
      </c>
      <c r="D3839" s="2" t="s">
        <v>28</v>
      </c>
      <c r="E3839" s="2" t="s">
        <v>29</v>
      </c>
      <c r="F3839" s="2">
        <v>30</v>
      </c>
      <c r="G3839" s="2" t="s">
        <v>8677</v>
      </c>
      <c r="H3839" s="2" t="s">
        <v>258</v>
      </c>
      <c r="I3839" s="2" t="s">
        <v>32</v>
      </c>
      <c r="J3839" s="3">
        <v>44874</v>
      </c>
      <c r="K3839" s="2">
        <v>91</v>
      </c>
      <c r="L3839" s="2" t="s">
        <v>80</v>
      </c>
      <c r="M3839" s="3"/>
    </row>
    <row r="3840" spans="1:13" x14ac:dyDescent="0.3">
      <c r="A3840" s="2">
        <v>3839</v>
      </c>
      <c r="B3840" s="2" t="s">
        <v>2650</v>
      </c>
      <c r="C3840" s="2" t="s">
        <v>8678</v>
      </c>
      <c r="D3840" s="2" t="s">
        <v>28</v>
      </c>
      <c r="E3840" s="2" t="s">
        <v>3085</v>
      </c>
      <c r="F3840" s="2">
        <v>30</v>
      </c>
      <c r="G3840" s="2" t="s">
        <v>8679</v>
      </c>
      <c r="H3840" s="2" t="s">
        <v>1896</v>
      </c>
      <c r="I3840" s="2" t="s">
        <v>294</v>
      </c>
      <c r="J3840" s="3">
        <v>44822</v>
      </c>
      <c r="K3840" s="2">
        <v>10</v>
      </c>
      <c r="L3840" s="2" t="s">
        <v>159</v>
      </c>
      <c r="M3840" s="3"/>
    </row>
    <row r="3841" spans="1:13" x14ac:dyDescent="0.3">
      <c r="A3841" s="2">
        <v>3840</v>
      </c>
      <c r="B3841" s="2" t="s">
        <v>8680</v>
      </c>
      <c r="C3841" s="2" t="s">
        <v>1710</v>
      </c>
      <c r="D3841" s="2" t="s">
        <v>51</v>
      </c>
      <c r="E3841" s="2" t="s">
        <v>16</v>
      </c>
      <c r="F3841" s="2">
        <v>90</v>
      </c>
      <c r="G3841" s="2" t="s">
        <v>8681</v>
      </c>
      <c r="H3841" s="2" t="s">
        <v>5025</v>
      </c>
      <c r="I3841" s="2" t="s">
        <v>32</v>
      </c>
      <c r="J3841" s="3">
        <v>44056</v>
      </c>
      <c r="K3841" s="2">
        <v>47</v>
      </c>
      <c r="L3841" s="2" t="s">
        <v>80</v>
      </c>
      <c r="M3841" s="3"/>
    </row>
    <row r="3842" spans="1:13" x14ac:dyDescent="0.3">
      <c r="A3842" s="2">
        <v>3841</v>
      </c>
      <c r="C3842" s="2" t="s">
        <v>6701</v>
      </c>
      <c r="D3842" s="2" t="s">
        <v>28</v>
      </c>
      <c r="E3842" s="2" t="s">
        <v>3565</v>
      </c>
      <c r="F3842" s="2">
        <v>90</v>
      </c>
      <c r="G3842" s="2" t="s">
        <v>8682</v>
      </c>
      <c r="H3842" s="2" t="s">
        <v>498</v>
      </c>
      <c r="I3842" s="2" t="s">
        <v>32</v>
      </c>
      <c r="J3842" s="3">
        <v>44215</v>
      </c>
      <c r="K3842" s="2">
        <v>56</v>
      </c>
      <c r="L3842" s="2" t="s">
        <v>159</v>
      </c>
      <c r="M3842" s="3"/>
    </row>
    <row r="3843" spans="1:13" x14ac:dyDescent="0.3">
      <c r="A3843" s="2">
        <v>3842</v>
      </c>
      <c r="B3843" s="2" t="s">
        <v>3021</v>
      </c>
      <c r="C3843" s="2" t="s">
        <v>6082</v>
      </c>
      <c r="D3843" s="2" t="s">
        <v>28</v>
      </c>
      <c r="E3843" s="2" t="s">
        <v>29</v>
      </c>
      <c r="F3843" s="2">
        <v>30</v>
      </c>
      <c r="G3843" s="2" t="s">
        <v>8683</v>
      </c>
      <c r="H3843" s="2" t="s">
        <v>168</v>
      </c>
      <c r="I3843" s="2" t="s">
        <v>32</v>
      </c>
      <c r="J3843" s="3">
        <v>44362</v>
      </c>
      <c r="K3843" s="2">
        <v>94</v>
      </c>
      <c r="L3843" s="2" t="s">
        <v>54</v>
      </c>
      <c r="M3843" s="3"/>
    </row>
    <row r="3844" spans="1:13" x14ac:dyDescent="0.3">
      <c r="A3844" s="2">
        <v>3843</v>
      </c>
      <c r="B3844" s="2" t="s">
        <v>4644</v>
      </c>
      <c r="C3844" s="2" t="s">
        <v>7123</v>
      </c>
      <c r="D3844" s="2" t="s">
        <v>28</v>
      </c>
      <c r="E3844" s="2" t="s">
        <v>29</v>
      </c>
      <c r="F3844" s="2">
        <v>90</v>
      </c>
      <c r="G3844" s="2" t="s">
        <v>8684</v>
      </c>
      <c r="H3844" s="2" t="s">
        <v>361</v>
      </c>
      <c r="I3844" s="2" t="s">
        <v>25</v>
      </c>
      <c r="J3844" s="3">
        <v>44770</v>
      </c>
      <c r="K3844" s="2">
        <v>40</v>
      </c>
      <c r="L3844" s="2" t="s">
        <v>33</v>
      </c>
      <c r="M3844" s="3"/>
    </row>
    <row r="3845" spans="1:13" x14ac:dyDescent="0.3">
      <c r="A3845" s="2">
        <v>3844</v>
      </c>
      <c r="B3845" s="2" t="s">
        <v>7540</v>
      </c>
      <c r="C3845" s="2" t="s">
        <v>8685</v>
      </c>
      <c r="D3845" s="2" t="s">
        <v>28</v>
      </c>
      <c r="E3845" s="2" t="s">
        <v>29</v>
      </c>
      <c r="F3845" s="2">
        <v>60</v>
      </c>
      <c r="G3845" s="2" t="s">
        <v>8686</v>
      </c>
      <c r="H3845" s="2" t="s">
        <v>3619</v>
      </c>
      <c r="I3845" s="2" t="s">
        <v>575</v>
      </c>
      <c r="J3845" s="3">
        <v>44164</v>
      </c>
      <c r="K3845" s="2">
        <v>17</v>
      </c>
      <c r="L3845" s="2" t="s">
        <v>64</v>
      </c>
      <c r="M3845" s="3"/>
    </row>
    <row r="3846" spans="1:13" x14ac:dyDescent="0.3">
      <c r="A3846" s="2">
        <v>3845</v>
      </c>
      <c r="B3846" s="2" t="s">
        <v>7037</v>
      </c>
      <c r="C3846" s="2" t="s">
        <v>8687</v>
      </c>
      <c r="D3846" s="2" t="s">
        <v>28</v>
      </c>
      <c r="E3846" s="2" t="s">
        <v>29</v>
      </c>
      <c r="F3846" s="2">
        <v>90</v>
      </c>
      <c r="G3846" s="2" t="s">
        <v>8688</v>
      </c>
      <c r="H3846" s="2" t="s">
        <v>4924</v>
      </c>
      <c r="I3846" s="2" t="s">
        <v>32</v>
      </c>
      <c r="J3846" s="3">
        <v>44420</v>
      </c>
      <c r="K3846" s="2">
        <v>90</v>
      </c>
      <c r="L3846" s="2" t="s">
        <v>39</v>
      </c>
      <c r="M3846" s="3"/>
    </row>
    <row r="3847" spans="1:13" x14ac:dyDescent="0.3">
      <c r="A3847" s="2">
        <v>3846</v>
      </c>
      <c r="B3847" s="2" t="s">
        <v>8689</v>
      </c>
      <c r="C3847" s="2" t="s">
        <v>6062</v>
      </c>
      <c r="D3847" s="2" t="s">
        <v>51</v>
      </c>
      <c r="E3847" s="2" t="s">
        <v>16</v>
      </c>
      <c r="F3847" s="2">
        <v>90</v>
      </c>
      <c r="G3847" s="2" t="s">
        <v>8690</v>
      </c>
      <c r="H3847" s="2" t="s">
        <v>5173</v>
      </c>
      <c r="I3847" s="2" t="s">
        <v>686</v>
      </c>
      <c r="J3847" s="3">
        <v>44260</v>
      </c>
      <c r="K3847" s="2">
        <v>11</v>
      </c>
      <c r="L3847" s="2" t="s">
        <v>64</v>
      </c>
      <c r="M3847" s="3"/>
    </row>
    <row r="3848" spans="1:13" x14ac:dyDescent="0.3">
      <c r="A3848" s="2">
        <v>3847</v>
      </c>
      <c r="B3848" s="2" t="s">
        <v>3501</v>
      </c>
      <c r="C3848" s="2" t="s">
        <v>8064</v>
      </c>
      <c r="D3848" s="2" t="s">
        <v>28</v>
      </c>
      <c r="E3848" s="2" t="s">
        <v>29</v>
      </c>
      <c r="F3848" s="2">
        <v>90</v>
      </c>
      <c r="G3848" s="2" t="s">
        <v>8691</v>
      </c>
      <c r="H3848" s="2" t="s">
        <v>334</v>
      </c>
      <c r="I3848" s="2" t="s">
        <v>124</v>
      </c>
      <c r="J3848" s="3">
        <v>44647</v>
      </c>
      <c r="K3848" s="2">
        <v>3</v>
      </c>
      <c r="L3848" s="2" t="s">
        <v>70</v>
      </c>
      <c r="M3848" s="3"/>
    </row>
    <row r="3849" spans="1:13" x14ac:dyDescent="0.3">
      <c r="A3849" s="2">
        <v>3848</v>
      </c>
      <c r="B3849" s="2" t="s">
        <v>828</v>
      </c>
      <c r="C3849" s="2" t="s">
        <v>8650</v>
      </c>
      <c r="D3849" s="2" t="s">
        <v>28</v>
      </c>
      <c r="E3849" s="2" t="s">
        <v>29</v>
      </c>
      <c r="F3849" s="2">
        <v>30</v>
      </c>
      <c r="G3849" s="2" t="s">
        <v>8692</v>
      </c>
      <c r="H3849" s="2" t="s">
        <v>3713</v>
      </c>
      <c r="I3849" s="2" t="s">
        <v>32</v>
      </c>
      <c r="J3849" s="3">
        <v>43968</v>
      </c>
      <c r="K3849" s="2">
        <v>85</v>
      </c>
      <c r="L3849" s="2" t="s">
        <v>39</v>
      </c>
      <c r="M3849" s="3"/>
    </row>
    <row r="3850" spans="1:13" x14ac:dyDescent="0.3">
      <c r="A3850" s="2">
        <v>3849</v>
      </c>
      <c r="B3850" s="2" t="s">
        <v>6837</v>
      </c>
      <c r="C3850" s="2" t="s">
        <v>3140</v>
      </c>
      <c r="D3850" s="2" t="s">
        <v>28</v>
      </c>
      <c r="E3850" s="2" t="s">
        <v>29</v>
      </c>
      <c r="F3850" s="2">
        <v>90</v>
      </c>
      <c r="G3850" s="2" t="s">
        <v>8693</v>
      </c>
      <c r="H3850" s="2" t="s">
        <v>5718</v>
      </c>
      <c r="I3850" s="2" t="s">
        <v>294</v>
      </c>
      <c r="J3850" s="3">
        <v>43913</v>
      </c>
      <c r="K3850" s="2">
        <v>67</v>
      </c>
      <c r="L3850" s="2" t="s">
        <v>54</v>
      </c>
      <c r="M3850" s="3"/>
    </row>
    <row r="3851" spans="1:13" x14ac:dyDescent="0.3">
      <c r="A3851" s="2">
        <v>3850</v>
      </c>
      <c r="B3851" s="2" t="s">
        <v>2160</v>
      </c>
      <c r="C3851" s="2" t="s">
        <v>3346</v>
      </c>
      <c r="D3851" s="2" t="s">
        <v>15</v>
      </c>
      <c r="E3851" s="2" t="s">
        <v>16</v>
      </c>
      <c r="F3851" s="2">
        <v>30</v>
      </c>
      <c r="G3851" s="2" t="s">
        <v>8694</v>
      </c>
      <c r="H3851" s="2" t="s">
        <v>8000</v>
      </c>
      <c r="I3851" s="2" t="s">
        <v>32</v>
      </c>
      <c r="J3851" s="3">
        <v>44705</v>
      </c>
      <c r="K3851" s="2">
        <v>44</v>
      </c>
      <c r="L3851" s="2" t="s">
        <v>54</v>
      </c>
      <c r="M3851" s="3"/>
    </row>
    <row r="3852" spans="1:13" x14ac:dyDescent="0.3">
      <c r="A3852" s="2">
        <v>3851</v>
      </c>
      <c r="B3852" s="2" t="s">
        <v>8695</v>
      </c>
      <c r="C3852" s="2" t="s">
        <v>4218</v>
      </c>
      <c r="D3852" s="2" t="s">
        <v>28</v>
      </c>
      <c r="E3852" s="2" t="s">
        <v>29</v>
      </c>
      <c r="F3852" s="2">
        <v>60</v>
      </c>
      <c r="G3852" s="2" t="s">
        <v>8696</v>
      </c>
      <c r="H3852" s="2" t="s">
        <v>6377</v>
      </c>
      <c r="I3852" s="2" t="s">
        <v>164</v>
      </c>
      <c r="J3852" s="3">
        <v>43938</v>
      </c>
      <c r="K3852" s="2">
        <v>38</v>
      </c>
      <c r="L3852" s="2" t="s">
        <v>39</v>
      </c>
      <c r="M3852" s="3"/>
    </row>
    <row r="3853" spans="1:13" x14ac:dyDescent="0.3">
      <c r="A3853" s="2">
        <v>3852</v>
      </c>
      <c r="B3853" s="2" t="s">
        <v>7250</v>
      </c>
      <c r="C3853" s="2" t="s">
        <v>6845</v>
      </c>
      <c r="D3853" s="2" t="s">
        <v>51</v>
      </c>
      <c r="E3853" s="2" t="s">
        <v>16</v>
      </c>
      <c r="F3853" s="2">
        <v>90</v>
      </c>
      <c r="G3853" s="2" t="s">
        <v>8697</v>
      </c>
      <c r="H3853" s="2" t="s">
        <v>386</v>
      </c>
      <c r="I3853" s="2" t="s">
        <v>294</v>
      </c>
      <c r="J3853" s="3">
        <v>44604</v>
      </c>
      <c r="K3853" s="2">
        <v>81</v>
      </c>
      <c r="L3853" s="2" t="s">
        <v>45</v>
      </c>
      <c r="M3853" s="3"/>
    </row>
    <row r="3854" spans="1:13" x14ac:dyDescent="0.3">
      <c r="A3854" s="2">
        <v>3853</v>
      </c>
      <c r="B3854" s="2" t="s">
        <v>8698</v>
      </c>
      <c r="C3854" s="2" t="s">
        <v>7099</v>
      </c>
      <c r="D3854" s="2" t="s">
        <v>15</v>
      </c>
      <c r="E3854" s="2" t="s">
        <v>16</v>
      </c>
      <c r="F3854" s="2">
        <v>60</v>
      </c>
      <c r="G3854" s="2" t="s">
        <v>8697</v>
      </c>
      <c r="H3854" s="2" t="s">
        <v>3116</v>
      </c>
      <c r="I3854" s="2" t="s">
        <v>32</v>
      </c>
      <c r="J3854" s="3">
        <v>44520</v>
      </c>
      <c r="K3854" s="2">
        <v>6</v>
      </c>
      <c r="L3854" s="2" t="s">
        <v>101</v>
      </c>
      <c r="M3854" s="3"/>
    </row>
    <row r="3855" spans="1:13" x14ac:dyDescent="0.3">
      <c r="A3855" s="2">
        <v>3854</v>
      </c>
      <c r="B3855" s="2" t="s">
        <v>8699</v>
      </c>
      <c r="C3855" s="2" t="s">
        <v>4577</v>
      </c>
      <c r="D3855" s="2" t="s">
        <v>51</v>
      </c>
      <c r="E3855" s="2" t="s">
        <v>16</v>
      </c>
      <c r="F3855" s="2">
        <v>90</v>
      </c>
      <c r="G3855" s="2" t="s">
        <v>8700</v>
      </c>
      <c r="H3855" s="2" t="s">
        <v>5277</v>
      </c>
      <c r="I3855" s="2" t="s">
        <v>32</v>
      </c>
      <c r="J3855" s="3">
        <v>44800</v>
      </c>
      <c r="K3855" s="2">
        <v>102</v>
      </c>
      <c r="L3855" s="2" t="s">
        <v>54</v>
      </c>
      <c r="M3855" s="3"/>
    </row>
    <row r="3856" spans="1:13" x14ac:dyDescent="0.3">
      <c r="A3856" s="2">
        <v>3855</v>
      </c>
      <c r="B3856" s="2" t="s">
        <v>2292</v>
      </c>
      <c r="C3856" s="2" t="s">
        <v>1243</v>
      </c>
      <c r="D3856" s="2" t="s">
        <v>28</v>
      </c>
      <c r="E3856" s="2" t="s">
        <v>29</v>
      </c>
      <c r="F3856" s="2">
        <v>60</v>
      </c>
      <c r="G3856" s="2" t="s">
        <v>8701</v>
      </c>
      <c r="H3856" s="2" t="s">
        <v>2950</v>
      </c>
      <c r="I3856" s="2" t="s">
        <v>38</v>
      </c>
      <c r="J3856" s="3">
        <v>44916</v>
      </c>
      <c r="K3856" s="2">
        <v>33</v>
      </c>
      <c r="L3856" s="2" t="s">
        <v>39</v>
      </c>
      <c r="M3856" s="3"/>
    </row>
    <row r="3857" spans="1:13" x14ac:dyDescent="0.3">
      <c r="A3857" s="2">
        <v>3856</v>
      </c>
      <c r="B3857" s="2" t="s">
        <v>8702</v>
      </c>
      <c r="C3857" s="2" t="s">
        <v>5932</v>
      </c>
      <c r="D3857" s="2" t="s">
        <v>15</v>
      </c>
      <c r="E3857" s="2" t="s">
        <v>16</v>
      </c>
      <c r="F3857" s="2">
        <v>90</v>
      </c>
      <c r="G3857" s="2" t="s">
        <v>8703</v>
      </c>
      <c r="H3857" s="2" t="s">
        <v>8512</v>
      </c>
      <c r="I3857" s="2" t="s">
        <v>32</v>
      </c>
      <c r="J3857" s="3">
        <v>44834</v>
      </c>
      <c r="K3857" s="2">
        <v>17</v>
      </c>
      <c r="L3857" s="2" t="s">
        <v>54</v>
      </c>
      <c r="M3857" s="3"/>
    </row>
    <row r="3858" spans="1:13" x14ac:dyDescent="0.3">
      <c r="A3858" s="2">
        <v>3857</v>
      </c>
      <c r="B3858" s="2" t="s">
        <v>8704</v>
      </c>
      <c r="C3858" s="2" t="s">
        <v>6134</v>
      </c>
      <c r="D3858" s="2" t="s">
        <v>51</v>
      </c>
      <c r="E3858" s="2" t="s">
        <v>16</v>
      </c>
      <c r="F3858" s="2">
        <v>90</v>
      </c>
      <c r="G3858" s="2" t="s">
        <v>8705</v>
      </c>
      <c r="H3858" s="2" t="s">
        <v>818</v>
      </c>
      <c r="I3858" s="2" t="s">
        <v>819</v>
      </c>
      <c r="J3858" s="3">
        <v>44766</v>
      </c>
      <c r="K3858" s="2">
        <v>99</v>
      </c>
      <c r="L3858" s="2" t="s">
        <v>101</v>
      </c>
      <c r="M3858" s="3"/>
    </row>
    <row r="3859" spans="1:13" x14ac:dyDescent="0.3">
      <c r="A3859" s="2">
        <v>3858</v>
      </c>
      <c r="B3859" s="2" t="s">
        <v>3068</v>
      </c>
      <c r="C3859" s="2" t="s">
        <v>2301</v>
      </c>
      <c r="D3859" s="2" t="s">
        <v>15</v>
      </c>
      <c r="E3859" s="2" t="s">
        <v>16</v>
      </c>
      <c r="F3859" s="2">
        <v>60</v>
      </c>
      <c r="G3859" s="2" t="s">
        <v>8706</v>
      </c>
      <c r="H3859" s="2" t="s">
        <v>3759</v>
      </c>
      <c r="I3859" s="2" t="s">
        <v>3760</v>
      </c>
      <c r="J3859" s="3">
        <v>44713</v>
      </c>
      <c r="K3859" s="2">
        <v>89</v>
      </c>
      <c r="L3859" s="2" t="s">
        <v>80</v>
      </c>
      <c r="M3859" s="3"/>
    </row>
    <row r="3860" spans="1:13" x14ac:dyDescent="0.3">
      <c r="A3860" s="2">
        <v>3859</v>
      </c>
      <c r="B3860" s="2" t="s">
        <v>6306</v>
      </c>
      <c r="C3860" s="2" t="s">
        <v>4410</v>
      </c>
      <c r="D3860" s="2" t="s">
        <v>28</v>
      </c>
      <c r="E3860" s="2" t="s">
        <v>29</v>
      </c>
      <c r="F3860" s="2">
        <v>90</v>
      </c>
      <c r="G3860" s="2" t="s">
        <v>8707</v>
      </c>
      <c r="H3860" s="2" t="s">
        <v>2664</v>
      </c>
      <c r="I3860" s="2" t="s">
        <v>32</v>
      </c>
      <c r="J3860" s="3">
        <v>44161</v>
      </c>
      <c r="K3860" s="2">
        <v>74</v>
      </c>
      <c r="L3860" s="2" t="s">
        <v>39</v>
      </c>
      <c r="M3860" s="3"/>
    </row>
    <row r="3861" spans="1:13" x14ac:dyDescent="0.3">
      <c r="A3861" s="2">
        <v>3860</v>
      </c>
      <c r="B3861" s="2" t="s">
        <v>8708</v>
      </c>
      <c r="C3861" s="2" t="s">
        <v>2181</v>
      </c>
      <c r="D3861" s="2" t="s">
        <v>51</v>
      </c>
      <c r="E3861" s="2" t="s">
        <v>16</v>
      </c>
      <c r="F3861" s="2">
        <v>30</v>
      </c>
      <c r="G3861" s="2" t="s">
        <v>8709</v>
      </c>
      <c r="H3861" s="2" t="s">
        <v>2664</v>
      </c>
      <c r="I3861" s="2" t="s">
        <v>32</v>
      </c>
      <c r="J3861" s="3">
        <v>44423</v>
      </c>
      <c r="K3861" s="2">
        <v>65</v>
      </c>
      <c r="L3861" s="2" t="s">
        <v>159</v>
      </c>
      <c r="M3861" s="3"/>
    </row>
    <row r="3862" spans="1:13" x14ac:dyDescent="0.3">
      <c r="A3862" s="2">
        <v>3861</v>
      </c>
      <c r="B3862" s="2" t="s">
        <v>902</v>
      </c>
      <c r="C3862" s="2" t="s">
        <v>8654</v>
      </c>
      <c r="D3862" s="2" t="s">
        <v>92</v>
      </c>
      <c r="E3862" s="2" t="s">
        <v>29</v>
      </c>
      <c r="F3862" s="2">
        <v>60</v>
      </c>
      <c r="G3862" s="2" t="s">
        <v>8710</v>
      </c>
      <c r="H3862" s="2" t="s">
        <v>2366</v>
      </c>
      <c r="I3862" s="2" t="s">
        <v>1367</v>
      </c>
      <c r="J3862" s="3">
        <v>43855</v>
      </c>
      <c r="K3862" s="2">
        <v>81</v>
      </c>
      <c r="L3862" s="2" t="s">
        <v>45</v>
      </c>
      <c r="M3862" s="3"/>
    </row>
    <row r="3863" spans="1:13" x14ac:dyDescent="0.3">
      <c r="A3863" s="2">
        <v>3862</v>
      </c>
      <c r="B3863" s="2" t="s">
        <v>6549</v>
      </c>
      <c r="C3863" s="2" t="s">
        <v>1270</v>
      </c>
      <c r="D3863" s="2" t="s">
        <v>51</v>
      </c>
      <c r="E3863" s="2" t="s">
        <v>16</v>
      </c>
      <c r="F3863" s="2">
        <v>30</v>
      </c>
      <c r="G3863" s="2" t="s">
        <v>8711</v>
      </c>
      <c r="H3863" s="2" t="s">
        <v>3373</v>
      </c>
      <c r="I3863" s="2" t="s">
        <v>32</v>
      </c>
      <c r="J3863" s="3">
        <v>44097</v>
      </c>
      <c r="K3863" s="2">
        <v>66</v>
      </c>
      <c r="L3863" s="2" t="s">
        <v>33</v>
      </c>
      <c r="M3863" s="3"/>
    </row>
    <row r="3864" spans="1:13" x14ac:dyDescent="0.3">
      <c r="A3864" s="2">
        <v>3863</v>
      </c>
      <c r="B3864" s="2" t="s">
        <v>3300</v>
      </c>
      <c r="C3864" s="2" t="s">
        <v>8712</v>
      </c>
      <c r="D3864" s="2" t="s">
        <v>28</v>
      </c>
      <c r="E3864" s="2" t="s">
        <v>29</v>
      </c>
      <c r="F3864" s="2">
        <v>30</v>
      </c>
      <c r="G3864" s="2" t="s">
        <v>8713</v>
      </c>
      <c r="H3864" s="2" t="s">
        <v>5952</v>
      </c>
      <c r="I3864" s="2" t="s">
        <v>32</v>
      </c>
      <c r="J3864" s="3">
        <v>44547</v>
      </c>
      <c r="K3864" s="2">
        <v>47</v>
      </c>
      <c r="L3864" s="2" t="s">
        <v>70</v>
      </c>
      <c r="M3864" s="3"/>
    </row>
    <row r="3865" spans="1:13" x14ac:dyDescent="0.3">
      <c r="A3865" s="2">
        <v>3864</v>
      </c>
      <c r="B3865" s="2" t="s">
        <v>8714</v>
      </c>
      <c r="C3865" s="2" t="s">
        <v>2920</v>
      </c>
      <c r="D3865" s="2" t="s">
        <v>51</v>
      </c>
      <c r="E3865" s="2" t="s">
        <v>16</v>
      </c>
      <c r="F3865" s="2">
        <v>90</v>
      </c>
      <c r="G3865" s="2" t="s">
        <v>8715</v>
      </c>
      <c r="H3865" s="2" t="s">
        <v>3206</v>
      </c>
      <c r="I3865" s="2" t="s">
        <v>1199</v>
      </c>
      <c r="J3865" s="3">
        <v>44746</v>
      </c>
      <c r="K3865" s="2">
        <v>97</v>
      </c>
      <c r="L3865" s="2" t="s">
        <v>20</v>
      </c>
      <c r="M3865" s="3"/>
    </row>
    <row r="3866" spans="1:13" x14ac:dyDescent="0.3">
      <c r="A3866" s="2">
        <v>3865</v>
      </c>
      <c r="B3866" s="2" t="s">
        <v>1721</v>
      </c>
      <c r="C3866" s="2" t="s">
        <v>2006</v>
      </c>
      <c r="D3866" s="2" t="s">
        <v>28</v>
      </c>
      <c r="E3866" s="2" t="s">
        <v>29</v>
      </c>
      <c r="F3866" s="2">
        <v>90</v>
      </c>
      <c r="G3866" s="2" t="s">
        <v>8716</v>
      </c>
      <c r="H3866" s="2" t="s">
        <v>451</v>
      </c>
      <c r="I3866" s="2" t="s">
        <v>294</v>
      </c>
      <c r="J3866" s="3">
        <v>44003</v>
      </c>
      <c r="K3866" s="2">
        <v>42</v>
      </c>
      <c r="L3866" s="2" t="s">
        <v>70</v>
      </c>
      <c r="M3866" s="3"/>
    </row>
    <row r="3867" spans="1:13" x14ac:dyDescent="0.3">
      <c r="A3867" s="2">
        <v>3866</v>
      </c>
      <c r="B3867" s="2" t="s">
        <v>4092</v>
      </c>
      <c r="C3867" s="2" t="s">
        <v>1428</v>
      </c>
      <c r="D3867" s="2" t="s">
        <v>28</v>
      </c>
      <c r="E3867" s="2" t="s">
        <v>29</v>
      </c>
      <c r="F3867" s="2">
        <v>60</v>
      </c>
      <c r="G3867" s="2" t="s">
        <v>8717</v>
      </c>
      <c r="H3867" s="2" t="s">
        <v>63</v>
      </c>
      <c r="I3867" s="2" t="s">
        <v>32</v>
      </c>
      <c r="J3867" s="3">
        <v>44547</v>
      </c>
      <c r="K3867" s="2">
        <v>54</v>
      </c>
      <c r="L3867" s="2" t="s">
        <v>80</v>
      </c>
      <c r="M3867" s="3"/>
    </row>
    <row r="3868" spans="1:13" x14ac:dyDescent="0.3">
      <c r="A3868" s="2">
        <v>3867</v>
      </c>
      <c r="B3868" s="2" t="s">
        <v>8162</v>
      </c>
      <c r="C3868" s="2" t="s">
        <v>6349</v>
      </c>
      <c r="D3868" s="2" t="s">
        <v>28</v>
      </c>
      <c r="E3868" s="2" t="s">
        <v>29</v>
      </c>
      <c r="F3868" s="2">
        <v>60</v>
      </c>
      <c r="G3868" s="2" t="s">
        <v>8718</v>
      </c>
      <c r="H3868" s="2" t="s">
        <v>8534</v>
      </c>
      <c r="I3868" s="2" t="s">
        <v>294</v>
      </c>
      <c r="J3868" s="3">
        <v>44165</v>
      </c>
      <c r="K3868" s="2">
        <v>18</v>
      </c>
      <c r="L3868" s="2" t="s">
        <v>45</v>
      </c>
      <c r="M3868" s="3"/>
    </row>
    <row r="3869" spans="1:13" x14ac:dyDescent="0.3">
      <c r="A3869" s="2">
        <v>3868</v>
      </c>
      <c r="B3869" s="2" t="s">
        <v>7595</v>
      </c>
      <c r="C3869" s="2" t="s">
        <v>205</v>
      </c>
      <c r="D3869" s="2" t="s">
        <v>117</v>
      </c>
      <c r="E3869" s="2" t="s">
        <v>29</v>
      </c>
      <c r="F3869" s="2">
        <v>90</v>
      </c>
      <c r="G3869" s="2" t="s">
        <v>8719</v>
      </c>
      <c r="H3869" s="2" t="s">
        <v>186</v>
      </c>
      <c r="I3869" s="2" t="s">
        <v>187</v>
      </c>
      <c r="J3869" s="3">
        <v>44351</v>
      </c>
      <c r="K3869" s="2">
        <v>95</v>
      </c>
      <c r="L3869" s="2" t="s">
        <v>20</v>
      </c>
      <c r="M3869" s="3"/>
    </row>
    <row r="3870" spans="1:13" x14ac:dyDescent="0.3">
      <c r="A3870" s="2">
        <v>3869</v>
      </c>
      <c r="B3870" s="2" t="s">
        <v>8720</v>
      </c>
      <c r="C3870" s="2" t="s">
        <v>8721</v>
      </c>
      <c r="D3870" s="2" t="s">
        <v>15</v>
      </c>
      <c r="E3870" s="2" t="s">
        <v>16</v>
      </c>
      <c r="F3870" s="2">
        <v>60</v>
      </c>
      <c r="G3870" s="2" t="s">
        <v>8722</v>
      </c>
      <c r="H3870" s="2" t="s">
        <v>1712</v>
      </c>
      <c r="I3870" s="2" t="s">
        <v>187</v>
      </c>
      <c r="J3870" s="3">
        <v>44224</v>
      </c>
      <c r="K3870" s="2">
        <v>33</v>
      </c>
      <c r="L3870" s="2" t="s">
        <v>64</v>
      </c>
      <c r="M3870" s="3"/>
    </row>
    <row r="3871" spans="1:13" x14ac:dyDescent="0.3">
      <c r="A3871" s="2">
        <v>3870</v>
      </c>
      <c r="B3871" s="2" t="s">
        <v>2051</v>
      </c>
      <c r="C3871" s="2" t="s">
        <v>8723</v>
      </c>
      <c r="D3871" s="2" t="s">
        <v>28</v>
      </c>
      <c r="E3871" s="2" t="s">
        <v>29</v>
      </c>
      <c r="F3871" s="2">
        <v>30</v>
      </c>
      <c r="G3871" s="2" t="s">
        <v>8724</v>
      </c>
      <c r="H3871" s="2" t="s">
        <v>2685</v>
      </c>
      <c r="I3871" s="2" t="s">
        <v>32</v>
      </c>
      <c r="J3871" s="3">
        <v>44201</v>
      </c>
      <c r="K3871" s="2">
        <v>42</v>
      </c>
      <c r="L3871" s="2" t="s">
        <v>20</v>
      </c>
      <c r="M3871" s="3"/>
    </row>
    <row r="3872" spans="1:13" x14ac:dyDescent="0.3">
      <c r="A3872" s="2">
        <v>3871</v>
      </c>
      <c r="B3872" s="2" t="s">
        <v>8725</v>
      </c>
      <c r="C3872" s="2" t="s">
        <v>3201</v>
      </c>
      <c r="D3872" s="2" t="s">
        <v>28</v>
      </c>
      <c r="E3872" s="2" t="s">
        <v>29</v>
      </c>
      <c r="F3872" s="2">
        <v>60</v>
      </c>
      <c r="G3872" s="2" t="s">
        <v>8726</v>
      </c>
      <c r="H3872" s="2" t="s">
        <v>5277</v>
      </c>
      <c r="I3872" s="2" t="s">
        <v>32</v>
      </c>
      <c r="J3872" s="3">
        <v>44472</v>
      </c>
      <c r="K3872" s="2">
        <v>49</v>
      </c>
      <c r="L3872" s="2" t="s">
        <v>33</v>
      </c>
      <c r="M3872" s="3"/>
    </row>
    <row r="3873" spans="1:13" x14ac:dyDescent="0.3">
      <c r="A3873" s="2">
        <v>3872</v>
      </c>
      <c r="B3873" s="2" t="s">
        <v>2184</v>
      </c>
      <c r="C3873" s="2" t="s">
        <v>3509</v>
      </c>
      <c r="D3873" s="2" t="s">
        <v>28</v>
      </c>
      <c r="E3873" s="2" t="s">
        <v>29</v>
      </c>
      <c r="F3873" s="2">
        <v>60</v>
      </c>
      <c r="G3873" s="2" t="s">
        <v>8727</v>
      </c>
      <c r="H3873" s="2" t="s">
        <v>1757</v>
      </c>
      <c r="I3873" s="2" t="s">
        <v>294</v>
      </c>
      <c r="J3873" s="3">
        <v>44828</v>
      </c>
      <c r="K3873" s="2">
        <v>59</v>
      </c>
      <c r="L3873" s="2" t="s">
        <v>54</v>
      </c>
      <c r="M3873" s="3"/>
    </row>
    <row r="3874" spans="1:13" x14ac:dyDescent="0.3">
      <c r="A3874" s="2">
        <v>3873</v>
      </c>
      <c r="B3874" s="2" t="s">
        <v>1104</v>
      </c>
      <c r="C3874" s="2" t="s">
        <v>7278</v>
      </c>
      <c r="D3874" s="2" t="s">
        <v>28</v>
      </c>
      <c r="E3874" s="2" t="s">
        <v>29</v>
      </c>
      <c r="F3874" s="2">
        <v>90</v>
      </c>
      <c r="G3874" s="2" t="s">
        <v>8728</v>
      </c>
      <c r="H3874" s="2" t="s">
        <v>8547</v>
      </c>
      <c r="I3874" s="2" t="s">
        <v>32</v>
      </c>
      <c r="J3874" s="3">
        <v>44637</v>
      </c>
      <c r="K3874" s="2">
        <v>101</v>
      </c>
      <c r="L3874" s="2" t="s">
        <v>101</v>
      </c>
      <c r="M3874" s="3"/>
    </row>
    <row r="3875" spans="1:13" x14ac:dyDescent="0.3">
      <c r="A3875" s="2">
        <v>3874</v>
      </c>
      <c r="B3875" s="2" t="s">
        <v>7958</v>
      </c>
      <c r="C3875" s="2" t="s">
        <v>4387</v>
      </c>
      <c r="D3875" s="2" t="s">
        <v>28</v>
      </c>
      <c r="E3875" s="2" t="s">
        <v>29</v>
      </c>
      <c r="F3875" s="2">
        <v>30</v>
      </c>
      <c r="G3875" s="2" t="s">
        <v>8729</v>
      </c>
      <c r="H3875" s="2" t="s">
        <v>1401</v>
      </c>
      <c r="I3875" s="2" t="s">
        <v>1402</v>
      </c>
      <c r="J3875" s="3">
        <v>44053</v>
      </c>
      <c r="K3875" s="2">
        <v>38</v>
      </c>
      <c r="L3875" s="2" t="s">
        <v>64</v>
      </c>
      <c r="M3875" s="3"/>
    </row>
    <row r="3876" spans="1:13" x14ac:dyDescent="0.3">
      <c r="A3876" s="2">
        <v>3875</v>
      </c>
      <c r="B3876" s="2" t="s">
        <v>1684</v>
      </c>
      <c r="C3876" s="2" t="s">
        <v>5968</v>
      </c>
      <c r="D3876" s="2" t="s">
        <v>28</v>
      </c>
      <c r="E3876" s="2" t="s">
        <v>29</v>
      </c>
      <c r="F3876" s="2">
        <v>90</v>
      </c>
      <c r="G3876" s="2" t="s">
        <v>8729</v>
      </c>
      <c r="H3876" s="2" t="s">
        <v>3882</v>
      </c>
      <c r="I3876" s="2" t="s">
        <v>38</v>
      </c>
      <c r="J3876" s="3">
        <v>44343</v>
      </c>
      <c r="K3876" s="2">
        <v>36</v>
      </c>
      <c r="L3876" s="2" t="s">
        <v>80</v>
      </c>
      <c r="M3876" s="3"/>
    </row>
    <row r="3877" spans="1:13" x14ac:dyDescent="0.3">
      <c r="A3877" s="2">
        <v>3876</v>
      </c>
      <c r="B3877" s="2" t="s">
        <v>8730</v>
      </c>
      <c r="C3877" s="2" t="s">
        <v>3700</v>
      </c>
      <c r="D3877" s="2" t="s">
        <v>92</v>
      </c>
      <c r="E3877" s="2" t="s">
        <v>29</v>
      </c>
      <c r="F3877" s="2">
        <v>30</v>
      </c>
      <c r="G3877" s="2" t="s">
        <v>8731</v>
      </c>
      <c r="H3877" s="2" t="s">
        <v>7642</v>
      </c>
      <c r="I3877" s="2" t="s">
        <v>32</v>
      </c>
      <c r="J3877" s="3">
        <v>44870</v>
      </c>
      <c r="K3877" s="2">
        <v>49</v>
      </c>
      <c r="L3877" s="2" t="s">
        <v>70</v>
      </c>
      <c r="M3877" s="3"/>
    </row>
    <row r="3878" spans="1:13" x14ac:dyDescent="0.3">
      <c r="A3878" s="2">
        <v>3877</v>
      </c>
      <c r="B3878" s="2" t="s">
        <v>8732</v>
      </c>
      <c r="C3878" s="2" t="s">
        <v>3394</v>
      </c>
      <c r="D3878" s="2" t="s">
        <v>28</v>
      </c>
      <c r="E3878" s="2" t="s">
        <v>29</v>
      </c>
      <c r="F3878" s="2">
        <v>30</v>
      </c>
      <c r="G3878" s="2" t="s">
        <v>8733</v>
      </c>
      <c r="H3878" s="2" t="s">
        <v>2261</v>
      </c>
      <c r="I3878" s="2" t="s">
        <v>32</v>
      </c>
      <c r="J3878" s="3">
        <v>44721</v>
      </c>
      <c r="K3878" s="2">
        <v>35</v>
      </c>
      <c r="L3878" s="2" t="s">
        <v>159</v>
      </c>
      <c r="M3878" s="3"/>
    </row>
    <row r="3879" spans="1:13" x14ac:dyDescent="0.3">
      <c r="A3879" s="2">
        <v>3878</v>
      </c>
      <c r="B3879" s="2" t="s">
        <v>2815</v>
      </c>
      <c r="C3879" s="2" t="s">
        <v>6594</v>
      </c>
      <c r="D3879" s="2" t="s">
        <v>28</v>
      </c>
      <c r="E3879" s="2" t="s">
        <v>29</v>
      </c>
      <c r="F3879" s="2">
        <v>60</v>
      </c>
      <c r="G3879" s="2" t="s">
        <v>8734</v>
      </c>
      <c r="H3879" s="2" t="s">
        <v>5609</v>
      </c>
      <c r="I3879" s="2" t="s">
        <v>19</v>
      </c>
      <c r="J3879" s="3">
        <v>44187</v>
      </c>
      <c r="K3879" s="2">
        <v>50</v>
      </c>
      <c r="L3879" s="2" t="s">
        <v>39</v>
      </c>
      <c r="M3879" s="3"/>
    </row>
    <row r="3880" spans="1:13" x14ac:dyDescent="0.3">
      <c r="A3880" s="2">
        <v>3879</v>
      </c>
      <c r="B3880" s="2" t="s">
        <v>8735</v>
      </c>
      <c r="C3880" s="2" t="s">
        <v>5214</v>
      </c>
      <c r="D3880" s="2" t="s">
        <v>51</v>
      </c>
      <c r="E3880" s="2" t="s">
        <v>16</v>
      </c>
      <c r="F3880" s="2">
        <v>90</v>
      </c>
      <c r="G3880" s="2" t="s">
        <v>8736</v>
      </c>
      <c r="H3880" s="2" t="s">
        <v>6249</v>
      </c>
      <c r="I3880" s="2" t="s">
        <v>38</v>
      </c>
      <c r="J3880" s="3">
        <v>44607</v>
      </c>
      <c r="K3880" s="2">
        <v>84</v>
      </c>
      <c r="L3880" s="2" t="s">
        <v>64</v>
      </c>
      <c r="M3880" s="3"/>
    </row>
    <row r="3881" spans="1:13" x14ac:dyDescent="0.3">
      <c r="A3881" s="2">
        <v>3880</v>
      </c>
      <c r="B3881" s="2" t="s">
        <v>8737</v>
      </c>
      <c r="C3881" s="2" t="s">
        <v>1821</v>
      </c>
      <c r="D3881" s="2" t="s">
        <v>15</v>
      </c>
      <c r="E3881" s="2" t="s">
        <v>16</v>
      </c>
      <c r="F3881" s="2">
        <v>60</v>
      </c>
      <c r="G3881" s="2" t="s">
        <v>8738</v>
      </c>
      <c r="H3881" s="2" t="s">
        <v>5751</v>
      </c>
      <c r="I3881" s="2" t="s">
        <v>178</v>
      </c>
      <c r="J3881" s="3">
        <v>44681</v>
      </c>
      <c r="K3881" s="2">
        <v>73</v>
      </c>
      <c r="L3881" s="2" t="s">
        <v>39</v>
      </c>
      <c r="M3881" s="3"/>
    </row>
    <row r="3882" spans="1:13" x14ac:dyDescent="0.3">
      <c r="A3882" s="2">
        <v>3881</v>
      </c>
      <c r="B3882" s="2" t="s">
        <v>4805</v>
      </c>
      <c r="C3882" s="2" t="s">
        <v>1692</v>
      </c>
      <c r="D3882" s="2" t="s">
        <v>28</v>
      </c>
      <c r="E3882" s="2" t="s">
        <v>29</v>
      </c>
      <c r="F3882" s="2">
        <v>60</v>
      </c>
      <c r="G3882" s="2" t="s">
        <v>8739</v>
      </c>
      <c r="H3882" s="2" t="s">
        <v>8740</v>
      </c>
      <c r="I3882" s="2" t="s">
        <v>913</v>
      </c>
      <c r="J3882" s="3">
        <v>44099</v>
      </c>
      <c r="K3882" s="2">
        <v>82</v>
      </c>
      <c r="L3882" s="2" t="s">
        <v>45</v>
      </c>
      <c r="M3882" s="3"/>
    </row>
    <row r="3883" spans="1:13" x14ac:dyDescent="0.3">
      <c r="A3883" s="2">
        <v>3882</v>
      </c>
      <c r="B3883" s="2" t="s">
        <v>6264</v>
      </c>
      <c r="C3883" s="2" t="s">
        <v>3111</v>
      </c>
      <c r="D3883" s="2" t="s">
        <v>28</v>
      </c>
      <c r="E3883" s="2" t="s">
        <v>29</v>
      </c>
      <c r="F3883" s="2">
        <v>90</v>
      </c>
      <c r="G3883" s="2" t="s">
        <v>8741</v>
      </c>
      <c r="H3883" s="2" t="s">
        <v>6951</v>
      </c>
      <c r="I3883" s="2" t="s">
        <v>38</v>
      </c>
      <c r="J3883" s="3">
        <v>44550</v>
      </c>
      <c r="K3883" s="2">
        <v>41</v>
      </c>
      <c r="L3883" s="2" t="s">
        <v>64</v>
      </c>
      <c r="M3883" s="3"/>
    </row>
    <row r="3884" spans="1:13" x14ac:dyDescent="0.3">
      <c r="A3884" s="2">
        <v>3883</v>
      </c>
      <c r="B3884" s="2" t="s">
        <v>831</v>
      </c>
      <c r="C3884" s="2" t="s">
        <v>4609</v>
      </c>
      <c r="D3884" s="2" t="s">
        <v>15</v>
      </c>
      <c r="E3884" s="2" t="s">
        <v>16</v>
      </c>
      <c r="F3884" s="2">
        <v>60</v>
      </c>
      <c r="G3884" s="2" t="s">
        <v>8742</v>
      </c>
      <c r="H3884" s="2" t="s">
        <v>5271</v>
      </c>
      <c r="I3884" s="2" t="s">
        <v>187</v>
      </c>
      <c r="J3884" s="3">
        <v>43851</v>
      </c>
      <c r="K3884" s="2">
        <v>21</v>
      </c>
      <c r="L3884" s="2" t="s">
        <v>64</v>
      </c>
      <c r="M3884" s="3"/>
    </row>
    <row r="3885" spans="1:13" x14ac:dyDescent="0.3">
      <c r="A3885" s="2">
        <v>3884</v>
      </c>
      <c r="B3885" s="2" t="s">
        <v>8743</v>
      </c>
      <c r="C3885" s="2" t="s">
        <v>3938</v>
      </c>
      <c r="D3885" s="2" t="s">
        <v>51</v>
      </c>
      <c r="E3885" s="2" t="s">
        <v>16</v>
      </c>
      <c r="F3885" s="2">
        <v>60</v>
      </c>
      <c r="G3885" s="2" t="s">
        <v>8744</v>
      </c>
      <c r="H3885" s="2" t="s">
        <v>3678</v>
      </c>
      <c r="I3885" s="2" t="s">
        <v>32</v>
      </c>
      <c r="J3885" s="3">
        <v>44532</v>
      </c>
      <c r="K3885" s="2">
        <v>8</v>
      </c>
      <c r="L3885" s="2" t="s">
        <v>45</v>
      </c>
      <c r="M3885" s="3"/>
    </row>
    <row r="3886" spans="1:13" x14ac:dyDescent="0.3">
      <c r="A3886" s="2">
        <v>3885</v>
      </c>
      <c r="B3886" s="2" t="s">
        <v>8745</v>
      </c>
      <c r="C3886" s="2" t="s">
        <v>8746</v>
      </c>
      <c r="D3886" s="2" t="s">
        <v>15</v>
      </c>
      <c r="E3886" s="2" t="s">
        <v>16</v>
      </c>
      <c r="F3886" s="2">
        <v>30</v>
      </c>
      <c r="G3886" s="2" t="s">
        <v>8747</v>
      </c>
      <c r="H3886" s="2" t="s">
        <v>443</v>
      </c>
      <c r="I3886" s="2" t="s">
        <v>294</v>
      </c>
      <c r="J3886" s="3">
        <v>44327</v>
      </c>
      <c r="K3886" s="2">
        <v>17</v>
      </c>
      <c r="L3886" s="2" t="s">
        <v>80</v>
      </c>
      <c r="M3886" s="3"/>
    </row>
    <row r="3887" spans="1:13" x14ac:dyDescent="0.3">
      <c r="A3887" s="2">
        <v>3886</v>
      </c>
      <c r="B3887" s="2" t="s">
        <v>2600</v>
      </c>
      <c r="C3887" s="2" t="s">
        <v>8748</v>
      </c>
      <c r="D3887" s="2" t="s">
        <v>51</v>
      </c>
      <c r="E3887" s="2" t="s">
        <v>16</v>
      </c>
      <c r="F3887" s="2">
        <v>60</v>
      </c>
      <c r="G3887" s="2" t="s">
        <v>8749</v>
      </c>
      <c r="H3887" s="2" t="s">
        <v>1764</v>
      </c>
      <c r="I3887" s="2" t="s">
        <v>124</v>
      </c>
      <c r="J3887" s="3">
        <v>44780</v>
      </c>
      <c r="K3887" s="2">
        <v>39</v>
      </c>
      <c r="L3887" s="2" t="s">
        <v>39</v>
      </c>
      <c r="M3887" s="3"/>
    </row>
    <row r="3888" spans="1:13" x14ac:dyDescent="0.3">
      <c r="A3888" s="2">
        <v>3887</v>
      </c>
      <c r="B3888" s="2" t="s">
        <v>5285</v>
      </c>
      <c r="C3888" s="2" t="s">
        <v>328</v>
      </c>
      <c r="D3888" s="2" t="s">
        <v>92</v>
      </c>
      <c r="E3888" s="2" t="s">
        <v>29</v>
      </c>
      <c r="F3888" s="2">
        <v>90</v>
      </c>
      <c r="G3888" s="2" t="s">
        <v>8750</v>
      </c>
      <c r="H3888" s="2" t="s">
        <v>1194</v>
      </c>
      <c r="I3888" s="2" t="s">
        <v>38</v>
      </c>
      <c r="J3888" s="3">
        <v>44683</v>
      </c>
      <c r="K3888" s="2">
        <v>81</v>
      </c>
      <c r="L3888" s="2" t="s">
        <v>45</v>
      </c>
      <c r="M3888" s="3"/>
    </row>
    <row r="3889" spans="1:13" x14ac:dyDescent="0.3">
      <c r="A3889" s="2">
        <v>3888</v>
      </c>
      <c r="B3889" s="2" t="s">
        <v>8317</v>
      </c>
      <c r="C3889" s="2" t="s">
        <v>4795</v>
      </c>
      <c r="D3889" s="2" t="s">
        <v>28</v>
      </c>
      <c r="E3889" s="2" t="s">
        <v>29</v>
      </c>
      <c r="F3889" s="2">
        <v>90</v>
      </c>
      <c r="G3889" s="2" t="s">
        <v>8751</v>
      </c>
      <c r="H3889" s="2" t="s">
        <v>7261</v>
      </c>
      <c r="I3889" s="2" t="s">
        <v>32</v>
      </c>
      <c r="J3889" s="3">
        <v>43832</v>
      </c>
      <c r="K3889" s="2">
        <v>24</v>
      </c>
      <c r="L3889" s="2" t="s">
        <v>45</v>
      </c>
      <c r="M3889" s="3"/>
    </row>
    <row r="3890" spans="1:13" x14ac:dyDescent="0.3">
      <c r="A3890" s="2">
        <v>3889</v>
      </c>
      <c r="B3890" s="2" t="s">
        <v>3345</v>
      </c>
      <c r="C3890" s="2" t="s">
        <v>3325</v>
      </c>
      <c r="D3890" s="2" t="s">
        <v>28</v>
      </c>
      <c r="E3890" s="2" t="s">
        <v>29</v>
      </c>
      <c r="F3890" s="2">
        <v>90</v>
      </c>
      <c r="G3890" s="2" t="s">
        <v>8752</v>
      </c>
      <c r="H3890" s="2" t="s">
        <v>6181</v>
      </c>
      <c r="I3890" s="2" t="s">
        <v>32</v>
      </c>
      <c r="J3890" s="3">
        <v>44672</v>
      </c>
      <c r="K3890" s="2">
        <v>41</v>
      </c>
      <c r="L3890" s="2" t="s">
        <v>70</v>
      </c>
      <c r="M3890" s="3"/>
    </row>
    <row r="3891" spans="1:13" x14ac:dyDescent="0.3">
      <c r="A3891" s="2">
        <v>3890</v>
      </c>
      <c r="B3891" s="2" t="s">
        <v>8753</v>
      </c>
      <c r="C3891" s="2" t="s">
        <v>4191</v>
      </c>
      <c r="D3891" s="2" t="s">
        <v>51</v>
      </c>
      <c r="E3891" s="2" t="s">
        <v>16</v>
      </c>
      <c r="F3891" s="2">
        <v>30</v>
      </c>
      <c r="G3891" s="2" t="s">
        <v>8754</v>
      </c>
      <c r="H3891" s="2" t="s">
        <v>641</v>
      </c>
      <c r="I3891" s="2" t="s">
        <v>294</v>
      </c>
      <c r="J3891" s="3">
        <v>43842</v>
      </c>
      <c r="K3891" s="2">
        <v>78</v>
      </c>
      <c r="L3891" s="2" t="s">
        <v>39</v>
      </c>
      <c r="M3891" s="3"/>
    </row>
    <row r="3892" spans="1:13" x14ac:dyDescent="0.3">
      <c r="A3892" s="2">
        <v>3891</v>
      </c>
      <c r="B3892" s="2" t="s">
        <v>8755</v>
      </c>
      <c r="C3892" s="2" t="s">
        <v>1451</v>
      </c>
      <c r="D3892" s="2" t="s">
        <v>28</v>
      </c>
      <c r="E3892" s="2" t="s">
        <v>29</v>
      </c>
      <c r="F3892" s="2">
        <v>90</v>
      </c>
      <c r="G3892" s="2" t="s">
        <v>8756</v>
      </c>
      <c r="H3892" s="2" t="s">
        <v>1008</v>
      </c>
      <c r="I3892" s="2" t="s">
        <v>32</v>
      </c>
      <c r="J3892" s="3">
        <v>44034</v>
      </c>
      <c r="K3892" s="2">
        <v>70</v>
      </c>
      <c r="L3892" s="2" t="s">
        <v>54</v>
      </c>
      <c r="M3892" s="3"/>
    </row>
    <row r="3893" spans="1:13" x14ac:dyDescent="0.3">
      <c r="A3893" s="2">
        <v>3892</v>
      </c>
      <c r="B3893" s="2" t="s">
        <v>5072</v>
      </c>
      <c r="C3893" s="2" t="s">
        <v>8117</v>
      </c>
      <c r="D3893" s="2" t="s">
        <v>28</v>
      </c>
      <c r="E3893" s="2" t="s">
        <v>29</v>
      </c>
      <c r="F3893" s="2">
        <v>90</v>
      </c>
      <c r="G3893" s="2" t="s">
        <v>8757</v>
      </c>
      <c r="H3893" s="2" t="s">
        <v>8758</v>
      </c>
      <c r="I3893" s="2" t="s">
        <v>178</v>
      </c>
      <c r="J3893" s="3">
        <v>44686</v>
      </c>
      <c r="K3893" s="2">
        <v>101</v>
      </c>
      <c r="L3893" s="2" t="s">
        <v>33</v>
      </c>
      <c r="M3893" s="3"/>
    </row>
    <row r="3894" spans="1:13" x14ac:dyDescent="0.3">
      <c r="A3894" s="2">
        <v>3893</v>
      </c>
      <c r="B3894" s="2" t="s">
        <v>8759</v>
      </c>
      <c r="C3894" s="2" t="s">
        <v>8760</v>
      </c>
      <c r="D3894" s="2" t="s">
        <v>28</v>
      </c>
      <c r="E3894" s="2" t="s">
        <v>29</v>
      </c>
      <c r="F3894" s="2">
        <v>60</v>
      </c>
      <c r="G3894" s="2" t="s">
        <v>8761</v>
      </c>
      <c r="H3894" s="2" t="s">
        <v>2133</v>
      </c>
      <c r="I3894" s="2" t="s">
        <v>32</v>
      </c>
      <c r="J3894" s="3">
        <v>43925</v>
      </c>
      <c r="K3894" s="2">
        <v>9</v>
      </c>
      <c r="L3894" s="2" t="s">
        <v>64</v>
      </c>
      <c r="M3894" s="3"/>
    </row>
    <row r="3895" spans="1:13" x14ac:dyDescent="0.3">
      <c r="A3895" s="2">
        <v>3894</v>
      </c>
      <c r="B3895" s="2" t="s">
        <v>3567</v>
      </c>
      <c r="C3895" s="2" t="s">
        <v>4399</v>
      </c>
      <c r="D3895" s="2" t="s">
        <v>28</v>
      </c>
      <c r="E3895" s="2" t="s">
        <v>29</v>
      </c>
      <c r="F3895" s="2">
        <v>60</v>
      </c>
      <c r="G3895" s="2" t="s">
        <v>8762</v>
      </c>
      <c r="H3895" s="2" t="s">
        <v>2555</v>
      </c>
      <c r="I3895" s="2" t="s">
        <v>32</v>
      </c>
      <c r="J3895" s="3">
        <v>43877</v>
      </c>
      <c r="K3895" s="2">
        <v>31</v>
      </c>
      <c r="L3895" s="2" t="s">
        <v>39</v>
      </c>
      <c r="M3895" s="3"/>
    </row>
    <row r="3896" spans="1:13" x14ac:dyDescent="0.3">
      <c r="A3896" s="2">
        <v>3895</v>
      </c>
      <c r="B3896" s="2" t="s">
        <v>8763</v>
      </c>
      <c r="C3896" s="2" t="s">
        <v>6216</v>
      </c>
      <c r="D3896" s="2" t="s">
        <v>51</v>
      </c>
      <c r="E3896" s="2" t="s">
        <v>16</v>
      </c>
      <c r="F3896" s="2">
        <v>90</v>
      </c>
      <c r="G3896" s="2" t="s">
        <v>8764</v>
      </c>
      <c r="H3896" s="2" t="s">
        <v>1206</v>
      </c>
      <c r="I3896" s="2" t="s">
        <v>294</v>
      </c>
      <c r="J3896" s="3">
        <v>43965</v>
      </c>
      <c r="K3896" s="2">
        <v>64</v>
      </c>
      <c r="L3896" s="2" t="s">
        <v>101</v>
      </c>
      <c r="M3896" s="3"/>
    </row>
    <row r="3897" spans="1:13" x14ac:dyDescent="0.3">
      <c r="A3897" s="2">
        <v>3896</v>
      </c>
      <c r="B3897" s="2" t="s">
        <v>6653</v>
      </c>
      <c r="C3897" s="2" t="s">
        <v>1459</v>
      </c>
      <c r="D3897" s="2" t="s">
        <v>15</v>
      </c>
      <c r="E3897" s="2" t="s">
        <v>16</v>
      </c>
      <c r="F3897" s="2">
        <v>90</v>
      </c>
      <c r="G3897" s="2" t="s">
        <v>8765</v>
      </c>
      <c r="H3897" s="2" t="s">
        <v>8000</v>
      </c>
      <c r="I3897" s="2" t="s">
        <v>32</v>
      </c>
      <c r="J3897" s="3">
        <v>44856</v>
      </c>
      <c r="K3897" s="2">
        <v>88</v>
      </c>
      <c r="L3897" s="2" t="s">
        <v>80</v>
      </c>
      <c r="M3897" s="3"/>
    </row>
    <row r="3898" spans="1:13" x14ac:dyDescent="0.3">
      <c r="A3898" s="2">
        <v>3897</v>
      </c>
      <c r="B3898" s="2" t="s">
        <v>8766</v>
      </c>
      <c r="C3898" s="2" t="s">
        <v>551</v>
      </c>
      <c r="D3898" s="2" t="s">
        <v>28</v>
      </c>
      <c r="E3898" s="2" t="s">
        <v>29</v>
      </c>
      <c r="F3898" s="2">
        <v>60</v>
      </c>
      <c r="G3898" s="2" t="s">
        <v>8767</v>
      </c>
      <c r="H3898" s="2" t="s">
        <v>1426</v>
      </c>
      <c r="I3898" s="2" t="s">
        <v>32</v>
      </c>
      <c r="J3898" s="3">
        <v>44096</v>
      </c>
      <c r="K3898" s="2">
        <v>29</v>
      </c>
      <c r="L3898" s="2" t="s">
        <v>54</v>
      </c>
      <c r="M3898" s="3"/>
    </row>
    <row r="3899" spans="1:13" x14ac:dyDescent="0.3">
      <c r="A3899" s="2">
        <v>3898</v>
      </c>
      <c r="B3899" s="2" t="s">
        <v>1464</v>
      </c>
      <c r="C3899" s="2" t="s">
        <v>2252</v>
      </c>
      <c r="D3899" s="2" t="s">
        <v>28</v>
      </c>
      <c r="E3899" s="2" t="s">
        <v>29</v>
      </c>
      <c r="F3899" s="2">
        <v>60</v>
      </c>
      <c r="G3899" s="2" t="s">
        <v>8767</v>
      </c>
      <c r="H3899" s="2" t="s">
        <v>3236</v>
      </c>
      <c r="I3899" s="2" t="s">
        <v>32</v>
      </c>
      <c r="J3899" s="3">
        <v>44427</v>
      </c>
      <c r="K3899" s="2">
        <v>28</v>
      </c>
      <c r="L3899" s="2" t="s">
        <v>101</v>
      </c>
      <c r="M3899" s="3"/>
    </row>
    <row r="3900" spans="1:13" x14ac:dyDescent="0.3">
      <c r="A3900" s="2">
        <v>3899</v>
      </c>
      <c r="B3900" s="2" t="s">
        <v>8768</v>
      </c>
      <c r="C3900" s="2" t="s">
        <v>1746</v>
      </c>
      <c r="D3900" s="2" t="s">
        <v>15</v>
      </c>
      <c r="E3900" s="2" t="s">
        <v>16</v>
      </c>
      <c r="F3900" s="2">
        <v>90</v>
      </c>
      <c r="G3900" s="2" t="s">
        <v>8769</v>
      </c>
      <c r="H3900" s="2" t="s">
        <v>611</v>
      </c>
      <c r="I3900" s="2" t="s">
        <v>32</v>
      </c>
      <c r="J3900" s="3">
        <v>44639</v>
      </c>
      <c r="K3900" s="2">
        <v>90</v>
      </c>
      <c r="L3900" s="2" t="s">
        <v>101</v>
      </c>
      <c r="M3900" s="3"/>
    </row>
    <row r="3901" spans="1:13" x14ac:dyDescent="0.3">
      <c r="A3901" s="2">
        <v>3900</v>
      </c>
      <c r="B3901" s="2" t="s">
        <v>2051</v>
      </c>
      <c r="C3901" s="2" t="s">
        <v>543</v>
      </c>
      <c r="D3901" s="2" t="s">
        <v>28</v>
      </c>
      <c r="E3901" s="2" t="s">
        <v>29</v>
      </c>
      <c r="F3901" s="2">
        <v>30</v>
      </c>
      <c r="G3901" s="2" t="s">
        <v>8770</v>
      </c>
      <c r="H3901" s="2" t="s">
        <v>7758</v>
      </c>
      <c r="I3901" s="2" t="s">
        <v>819</v>
      </c>
      <c r="J3901" s="3">
        <v>44170</v>
      </c>
      <c r="K3901" s="2">
        <v>9</v>
      </c>
      <c r="L3901" s="2" t="s">
        <v>64</v>
      </c>
      <c r="M3901" s="3"/>
    </row>
    <row r="3902" spans="1:13" x14ac:dyDescent="0.3">
      <c r="A3902" s="2">
        <v>3901</v>
      </c>
      <c r="B3902" s="2" t="s">
        <v>2346</v>
      </c>
      <c r="C3902" s="2" t="s">
        <v>8771</v>
      </c>
      <c r="D3902" s="2" t="s">
        <v>28</v>
      </c>
      <c r="E3902" s="2" t="s">
        <v>29</v>
      </c>
      <c r="F3902" s="2">
        <v>30</v>
      </c>
      <c r="G3902" s="2" t="s">
        <v>8770</v>
      </c>
      <c r="H3902" s="2" t="s">
        <v>538</v>
      </c>
      <c r="I3902" s="2" t="s">
        <v>32</v>
      </c>
      <c r="J3902" s="3">
        <v>44879</v>
      </c>
      <c r="K3902" s="2">
        <v>40</v>
      </c>
      <c r="L3902" s="2" t="s">
        <v>45</v>
      </c>
      <c r="M3902" s="3"/>
    </row>
    <row r="3903" spans="1:13" x14ac:dyDescent="0.3">
      <c r="A3903" s="2">
        <v>3902</v>
      </c>
      <c r="B3903" s="2" t="s">
        <v>5623</v>
      </c>
      <c r="C3903" s="2" t="s">
        <v>7435</v>
      </c>
      <c r="D3903" s="2" t="s">
        <v>28</v>
      </c>
      <c r="E3903" s="2" t="s">
        <v>29</v>
      </c>
      <c r="F3903" s="2">
        <v>30</v>
      </c>
      <c r="G3903" s="2" t="s">
        <v>8772</v>
      </c>
      <c r="H3903" s="2" t="s">
        <v>1868</v>
      </c>
      <c r="I3903" s="2" t="s">
        <v>1869</v>
      </c>
      <c r="J3903" s="3">
        <v>44357</v>
      </c>
      <c r="K3903" s="2">
        <v>44</v>
      </c>
      <c r="L3903" s="2" t="s">
        <v>64</v>
      </c>
      <c r="M3903" s="3"/>
    </row>
    <row r="3904" spans="1:13" x14ac:dyDescent="0.3">
      <c r="A3904" s="2">
        <v>3903</v>
      </c>
      <c r="B3904" s="2" t="s">
        <v>8773</v>
      </c>
      <c r="C3904" s="2" t="s">
        <v>472</v>
      </c>
      <c r="D3904" s="2" t="s">
        <v>15</v>
      </c>
      <c r="E3904" s="2" t="s">
        <v>16</v>
      </c>
      <c r="F3904" s="2">
        <v>30</v>
      </c>
      <c r="G3904" s="2" t="s">
        <v>8774</v>
      </c>
      <c r="H3904" s="2" t="s">
        <v>3334</v>
      </c>
      <c r="I3904" s="2" t="s">
        <v>32</v>
      </c>
      <c r="J3904" s="3">
        <v>44195</v>
      </c>
      <c r="K3904" s="2">
        <v>80</v>
      </c>
      <c r="L3904" s="2" t="s">
        <v>159</v>
      </c>
      <c r="M3904" s="3"/>
    </row>
    <row r="3905" spans="1:13" x14ac:dyDescent="0.3">
      <c r="A3905" s="2">
        <v>3904</v>
      </c>
      <c r="B3905" s="2" t="s">
        <v>4407</v>
      </c>
      <c r="C3905" s="2" t="s">
        <v>4596</v>
      </c>
      <c r="D3905" s="2" t="s">
        <v>15</v>
      </c>
      <c r="E3905" s="2" t="s">
        <v>16</v>
      </c>
      <c r="F3905" s="2">
        <v>30</v>
      </c>
      <c r="G3905" s="2" t="s">
        <v>8775</v>
      </c>
      <c r="H3905" s="2" t="s">
        <v>3882</v>
      </c>
      <c r="I3905" s="2" t="s">
        <v>38</v>
      </c>
      <c r="J3905" s="3">
        <v>44418</v>
      </c>
      <c r="K3905" s="2">
        <v>56</v>
      </c>
      <c r="L3905" s="2" t="s">
        <v>64</v>
      </c>
      <c r="M3905" s="3"/>
    </row>
    <row r="3906" spans="1:13" x14ac:dyDescent="0.3">
      <c r="A3906" s="2">
        <v>3905</v>
      </c>
      <c r="B3906" s="2" t="s">
        <v>665</v>
      </c>
      <c r="C3906" s="2" t="s">
        <v>3341</v>
      </c>
      <c r="D3906" s="2" t="s">
        <v>28</v>
      </c>
      <c r="E3906" s="2" t="s">
        <v>29</v>
      </c>
      <c r="F3906" s="2">
        <v>60</v>
      </c>
      <c r="G3906" s="2" t="s">
        <v>8775</v>
      </c>
      <c r="H3906" s="2" t="s">
        <v>1855</v>
      </c>
      <c r="I3906" s="2" t="s">
        <v>25</v>
      </c>
      <c r="J3906" s="3">
        <v>44878</v>
      </c>
      <c r="K3906" s="2">
        <v>53</v>
      </c>
      <c r="L3906" s="2" t="s">
        <v>45</v>
      </c>
      <c r="M3906" s="3"/>
    </row>
    <row r="3907" spans="1:13" x14ac:dyDescent="0.3">
      <c r="A3907" s="2">
        <v>3906</v>
      </c>
      <c r="B3907" s="2" t="s">
        <v>2788</v>
      </c>
      <c r="C3907" s="2" t="s">
        <v>4946</v>
      </c>
      <c r="D3907" s="2" t="s">
        <v>28</v>
      </c>
      <c r="E3907" s="2" t="s">
        <v>29</v>
      </c>
      <c r="G3907" s="2" t="s">
        <v>8776</v>
      </c>
      <c r="H3907" s="2" t="s">
        <v>8777</v>
      </c>
      <c r="I3907" s="2" t="s">
        <v>294</v>
      </c>
      <c r="J3907" s="3">
        <v>44894</v>
      </c>
      <c r="K3907" s="2">
        <v>100</v>
      </c>
      <c r="L3907" s="2" t="s">
        <v>54</v>
      </c>
      <c r="M3907" s="3"/>
    </row>
    <row r="3908" spans="1:13" x14ac:dyDescent="0.3">
      <c r="A3908" s="2">
        <v>3907</v>
      </c>
      <c r="B3908" s="2" t="s">
        <v>4329</v>
      </c>
      <c r="C3908" s="2" t="s">
        <v>1727</v>
      </c>
      <c r="D3908" s="2" t="s">
        <v>51</v>
      </c>
      <c r="E3908" s="2" t="s">
        <v>16</v>
      </c>
      <c r="F3908" s="2">
        <v>60</v>
      </c>
      <c r="G3908" s="2" t="s">
        <v>8778</v>
      </c>
      <c r="H3908" s="2" t="s">
        <v>3215</v>
      </c>
      <c r="I3908" s="2" t="s">
        <v>32</v>
      </c>
      <c r="J3908" s="3">
        <v>43951</v>
      </c>
      <c r="K3908" s="2">
        <v>2</v>
      </c>
      <c r="L3908" s="2" t="s">
        <v>54</v>
      </c>
      <c r="M3908" s="3"/>
    </row>
    <row r="3909" spans="1:13" x14ac:dyDescent="0.3">
      <c r="A3909" s="2">
        <v>3908</v>
      </c>
      <c r="B3909" s="2" t="s">
        <v>6947</v>
      </c>
      <c r="C3909" s="2" t="s">
        <v>3584</v>
      </c>
      <c r="D3909" s="2" t="s">
        <v>51</v>
      </c>
      <c r="E3909" s="2" t="s">
        <v>16</v>
      </c>
      <c r="F3909" s="2">
        <v>30</v>
      </c>
      <c r="G3909" s="2" t="s">
        <v>8779</v>
      </c>
      <c r="H3909" s="2" t="s">
        <v>8780</v>
      </c>
      <c r="I3909" s="2" t="s">
        <v>32</v>
      </c>
      <c r="J3909" s="3">
        <v>44873</v>
      </c>
      <c r="K3909" s="2">
        <v>102</v>
      </c>
      <c r="L3909" s="2" t="s">
        <v>70</v>
      </c>
      <c r="M3909" s="3"/>
    </row>
    <row r="3910" spans="1:13" x14ac:dyDescent="0.3">
      <c r="A3910" s="2">
        <v>3909</v>
      </c>
      <c r="B3910" s="2" t="s">
        <v>8781</v>
      </c>
      <c r="C3910" s="2" t="s">
        <v>3253</v>
      </c>
      <c r="D3910" s="2" t="s">
        <v>28</v>
      </c>
      <c r="E3910" s="2" t="s">
        <v>29</v>
      </c>
      <c r="F3910" s="2">
        <v>60</v>
      </c>
      <c r="G3910" s="2" t="s">
        <v>8782</v>
      </c>
      <c r="H3910" s="2" t="s">
        <v>5301</v>
      </c>
      <c r="I3910" s="2" t="s">
        <v>173</v>
      </c>
      <c r="J3910" s="3">
        <v>44443</v>
      </c>
      <c r="K3910" s="2">
        <v>95</v>
      </c>
      <c r="L3910" s="2" t="s">
        <v>54</v>
      </c>
      <c r="M3910" s="3"/>
    </row>
    <row r="3911" spans="1:13" x14ac:dyDescent="0.3">
      <c r="A3911" s="2">
        <v>3910</v>
      </c>
      <c r="B3911" s="2" t="s">
        <v>8783</v>
      </c>
      <c r="C3911" s="2" t="s">
        <v>4681</v>
      </c>
      <c r="D3911" s="2" t="s">
        <v>51</v>
      </c>
      <c r="E3911" s="2" t="s">
        <v>16</v>
      </c>
      <c r="F3911" s="2">
        <v>60</v>
      </c>
      <c r="G3911" s="2" t="s">
        <v>8784</v>
      </c>
      <c r="H3911" s="2" t="s">
        <v>5874</v>
      </c>
      <c r="I3911" s="2" t="s">
        <v>839</v>
      </c>
      <c r="J3911" s="3">
        <v>44709</v>
      </c>
      <c r="K3911" s="2">
        <v>76</v>
      </c>
      <c r="L3911" s="2" t="s">
        <v>101</v>
      </c>
      <c r="M3911" s="3"/>
    </row>
    <row r="3912" spans="1:13" x14ac:dyDescent="0.3">
      <c r="A3912" s="2">
        <v>3911</v>
      </c>
      <c r="B3912" s="2" t="s">
        <v>8785</v>
      </c>
      <c r="C3912" s="2" t="s">
        <v>6635</v>
      </c>
      <c r="D3912" s="2" t="s">
        <v>15</v>
      </c>
      <c r="E3912" s="2" t="s">
        <v>16</v>
      </c>
      <c r="F3912" s="2">
        <v>90</v>
      </c>
      <c r="G3912" s="2" t="s">
        <v>8786</v>
      </c>
      <c r="H3912" s="2" t="s">
        <v>1095</v>
      </c>
      <c r="I3912" s="2" t="s">
        <v>178</v>
      </c>
      <c r="J3912" s="3">
        <v>44239</v>
      </c>
      <c r="K3912" s="2">
        <v>33</v>
      </c>
      <c r="L3912" s="2" t="s">
        <v>159</v>
      </c>
      <c r="M3912" s="3"/>
    </row>
    <row r="3913" spans="1:13" x14ac:dyDescent="0.3">
      <c r="A3913" s="2">
        <v>3912</v>
      </c>
      <c r="B3913" s="2" t="s">
        <v>5034</v>
      </c>
      <c r="C3913" s="2" t="s">
        <v>3011</v>
      </c>
      <c r="D3913" s="2" t="s">
        <v>28</v>
      </c>
      <c r="E3913" s="2" t="s">
        <v>29</v>
      </c>
      <c r="F3913" s="2">
        <v>30</v>
      </c>
      <c r="G3913" s="2" t="s">
        <v>8787</v>
      </c>
      <c r="H3913" s="2" t="s">
        <v>1186</v>
      </c>
      <c r="I3913" s="2" t="s">
        <v>32</v>
      </c>
      <c r="J3913" s="3">
        <v>43981</v>
      </c>
      <c r="K3913" s="2">
        <v>62</v>
      </c>
      <c r="L3913" s="2" t="s">
        <v>45</v>
      </c>
      <c r="M3913" s="3"/>
    </row>
    <row r="3914" spans="1:13" x14ac:dyDescent="0.3">
      <c r="A3914" s="2">
        <v>3913</v>
      </c>
      <c r="B3914" s="2" t="s">
        <v>8788</v>
      </c>
      <c r="C3914" s="2" t="s">
        <v>4287</v>
      </c>
      <c r="D3914" s="2" t="s">
        <v>28</v>
      </c>
      <c r="E3914" s="2" t="s">
        <v>29</v>
      </c>
      <c r="F3914" s="2">
        <v>60</v>
      </c>
      <c r="G3914" s="2" t="s">
        <v>8789</v>
      </c>
      <c r="H3914" s="2" t="s">
        <v>6105</v>
      </c>
      <c r="I3914" s="2" t="s">
        <v>32</v>
      </c>
      <c r="J3914" s="3">
        <v>44481</v>
      </c>
      <c r="K3914" s="2">
        <v>94</v>
      </c>
      <c r="L3914" s="2" t="s">
        <v>80</v>
      </c>
      <c r="M3914" s="3"/>
    </row>
    <row r="3915" spans="1:13" x14ac:dyDescent="0.3">
      <c r="A3915" s="2">
        <v>3914</v>
      </c>
      <c r="B3915" s="2" t="s">
        <v>8790</v>
      </c>
      <c r="C3915" s="2" t="s">
        <v>3843</v>
      </c>
      <c r="D3915" s="2" t="s">
        <v>15</v>
      </c>
      <c r="E3915" s="2" t="s">
        <v>16</v>
      </c>
      <c r="F3915" s="2">
        <v>60</v>
      </c>
      <c r="G3915" s="2" t="s">
        <v>8791</v>
      </c>
      <c r="H3915" s="2" t="s">
        <v>1426</v>
      </c>
      <c r="I3915" s="2" t="s">
        <v>32</v>
      </c>
      <c r="J3915" s="3">
        <v>44058</v>
      </c>
      <c r="K3915" s="2">
        <v>47</v>
      </c>
      <c r="L3915" s="2" t="s">
        <v>54</v>
      </c>
      <c r="M3915" s="3"/>
    </row>
    <row r="3916" spans="1:13" x14ac:dyDescent="0.3">
      <c r="A3916" s="2">
        <v>3915</v>
      </c>
      <c r="B3916" s="2" t="s">
        <v>6003</v>
      </c>
      <c r="C3916" s="2" t="s">
        <v>7369</v>
      </c>
      <c r="D3916" s="2" t="s">
        <v>15</v>
      </c>
      <c r="E3916" s="2" t="s">
        <v>16</v>
      </c>
      <c r="F3916" s="2">
        <v>90</v>
      </c>
      <c r="G3916" s="2" t="s">
        <v>8792</v>
      </c>
      <c r="H3916" s="2" t="s">
        <v>3774</v>
      </c>
      <c r="I3916" s="2" t="s">
        <v>187</v>
      </c>
      <c r="J3916" s="3">
        <v>44121</v>
      </c>
      <c r="K3916" s="2">
        <v>83</v>
      </c>
      <c r="L3916" s="2" t="s">
        <v>80</v>
      </c>
      <c r="M3916" s="3"/>
    </row>
    <row r="3917" spans="1:13" x14ac:dyDescent="0.3">
      <c r="A3917" s="2">
        <v>3916</v>
      </c>
      <c r="B3917" s="2" t="s">
        <v>232</v>
      </c>
      <c r="C3917" s="2" t="s">
        <v>617</v>
      </c>
      <c r="D3917" s="2" t="s">
        <v>28</v>
      </c>
      <c r="E3917" s="2" t="s">
        <v>29</v>
      </c>
      <c r="F3917" s="2">
        <v>60</v>
      </c>
      <c r="G3917" s="2" t="s">
        <v>8793</v>
      </c>
      <c r="H3917" s="2" t="s">
        <v>105</v>
      </c>
      <c r="I3917" s="2" t="s">
        <v>32</v>
      </c>
      <c r="J3917" s="3">
        <v>44134</v>
      </c>
      <c r="K3917" s="2">
        <v>11</v>
      </c>
      <c r="L3917" s="2" t="s">
        <v>20</v>
      </c>
      <c r="M3917" s="3"/>
    </row>
    <row r="3918" spans="1:13" x14ac:dyDescent="0.3">
      <c r="A3918" s="2">
        <v>3917</v>
      </c>
      <c r="B3918" s="2" t="s">
        <v>5623</v>
      </c>
      <c r="C3918" s="2" t="s">
        <v>8794</v>
      </c>
      <c r="D3918" s="2" t="s">
        <v>28</v>
      </c>
      <c r="E3918" s="2" t="s">
        <v>29</v>
      </c>
      <c r="F3918" s="2">
        <v>90</v>
      </c>
      <c r="G3918" s="2" t="s">
        <v>8795</v>
      </c>
      <c r="H3918" s="2" t="s">
        <v>1444</v>
      </c>
      <c r="I3918" s="2" t="s">
        <v>1199</v>
      </c>
      <c r="J3918" s="3">
        <v>44536</v>
      </c>
      <c r="K3918" s="2">
        <v>51</v>
      </c>
      <c r="L3918" s="2" t="s">
        <v>20</v>
      </c>
      <c r="M3918" s="3"/>
    </row>
    <row r="3919" spans="1:13" x14ac:dyDescent="0.3">
      <c r="A3919" s="2">
        <v>3918</v>
      </c>
      <c r="B3919" s="2" t="s">
        <v>8796</v>
      </c>
      <c r="C3919" s="2" t="s">
        <v>736</v>
      </c>
      <c r="D3919" s="2" t="s">
        <v>51</v>
      </c>
      <c r="E3919" s="2" t="s">
        <v>16</v>
      </c>
      <c r="F3919" s="2">
        <v>60</v>
      </c>
      <c r="G3919" s="2" t="s">
        <v>8797</v>
      </c>
      <c r="H3919" s="2" t="s">
        <v>1834</v>
      </c>
      <c r="I3919" s="2" t="s">
        <v>32</v>
      </c>
      <c r="J3919" s="3">
        <v>44191</v>
      </c>
      <c r="K3919" s="2">
        <v>33</v>
      </c>
      <c r="L3919" s="2" t="s">
        <v>33</v>
      </c>
      <c r="M3919" s="3"/>
    </row>
    <row r="3920" spans="1:13" x14ac:dyDescent="0.3">
      <c r="A3920" s="2">
        <v>3919</v>
      </c>
      <c r="B3920" s="2" t="s">
        <v>8798</v>
      </c>
      <c r="C3920" s="2" t="s">
        <v>2082</v>
      </c>
      <c r="D3920" s="2" t="s">
        <v>51</v>
      </c>
      <c r="E3920" s="2" t="s">
        <v>16</v>
      </c>
      <c r="F3920" s="2">
        <v>30</v>
      </c>
      <c r="G3920" s="2" t="s">
        <v>8799</v>
      </c>
      <c r="H3920" s="2" t="s">
        <v>730</v>
      </c>
      <c r="I3920" s="2" t="s">
        <v>187</v>
      </c>
      <c r="J3920" s="3">
        <v>44106</v>
      </c>
      <c r="K3920" s="2">
        <v>73</v>
      </c>
      <c r="L3920" s="2" t="s">
        <v>64</v>
      </c>
      <c r="M3920" s="3"/>
    </row>
    <row r="3921" spans="1:13" x14ac:dyDescent="0.3">
      <c r="A3921" s="2">
        <v>3920</v>
      </c>
      <c r="B3921" s="2" t="s">
        <v>3532</v>
      </c>
      <c r="C3921" s="2" t="s">
        <v>2119</v>
      </c>
      <c r="D3921" s="2" t="s">
        <v>28</v>
      </c>
      <c r="E3921" s="2" t="s">
        <v>29</v>
      </c>
      <c r="F3921" s="2">
        <v>90</v>
      </c>
      <c r="G3921" s="2" t="s">
        <v>8800</v>
      </c>
      <c r="H3921" s="2" t="s">
        <v>8801</v>
      </c>
      <c r="I3921" s="2" t="s">
        <v>32</v>
      </c>
      <c r="J3921" s="3">
        <v>44837</v>
      </c>
      <c r="K3921" s="2">
        <v>12</v>
      </c>
      <c r="L3921" s="2" t="s">
        <v>64</v>
      </c>
      <c r="M3921" s="3"/>
    </row>
    <row r="3922" spans="1:13" x14ac:dyDescent="0.3">
      <c r="A3922" s="2">
        <v>3921</v>
      </c>
      <c r="B3922" s="2" t="s">
        <v>4842</v>
      </c>
      <c r="C3922" s="2" t="s">
        <v>1409</v>
      </c>
      <c r="D3922" s="2" t="s">
        <v>28</v>
      </c>
      <c r="E3922" s="2" t="s">
        <v>29</v>
      </c>
      <c r="F3922" s="2">
        <v>30</v>
      </c>
      <c r="G3922" s="2" t="s">
        <v>8802</v>
      </c>
      <c r="H3922" s="2" t="s">
        <v>8803</v>
      </c>
      <c r="I3922" s="2" t="s">
        <v>187</v>
      </c>
      <c r="J3922" s="3">
        <v>44832</v>
      </c>
      <c r="K3922" s="2">
        <v>54</v>
      </c>
      <c r="L3922" s="2" t="s">
        <v>64</v>
      </c>
      <c r="M3922" s="3"/>
    </row>
    <row r="3923" spans="1:13" x14ac:dyDescent="0.3">
      <c r="A3923" s="2">
        <v>3922</v>
      </c>
      <c r="B3923" s="2" t="s">
        <v>3443</v>
      </c>
      <c r="C3923" s="2" t="s">
        <v>6817</v>
      </c>
      <c r="D3923" s="2" t="s">
        <v>28</v>
      </c>
      <c r="E3923" s="2" t="s">
        <v>29</v>
      </c>
      <c r="F3923" s="2">
        <v>60</v>
      </c>
      <c r="G3923" s="2" t="s">
        <v>8804</v>
      </c>
      <c r="H3923" s="2" t="s">
        <v>2931</v>
      </c>
      <c r="I3923" s="2" t="s">
        <v>32</v>
      </c>
      <c r="J3923" s="3">
        <v>44629</v>
      </c>
      <c r="K3923" s="2">
        <v>76</v>
      </c>
      <c r="L3923" s="2" t="s">
        <v>20</v>
      </c>
      <c r="M3923" s="3"/>
    </row>
    <row r="3924" spans="1:13" x14ac:dyDescent="0.3">
      <c r="A3924" s="2">
        <v>3923</v>
      </c>
      <c r="B3924" s="2" t="s">
        <v>305</v>
      </c>
      <c r="C3924" s="2" t="s">
        <v>8227</v>
      </c>
      <c r="D3924" s="2" t="s">
        <v>28</v>
      </c>
      <c r="E3924" s="2" t="s">
        <v>29</v>
      </c>
      <c r="F3924" s="2">
        <v>90</v>
      </c>
      <c r="G3924" s="2" t="s">
        <v>8805</v>
      </c>
      <c r="H3924" s="2" t="s">
        <v>655</v>
      </c>
      <c r="I3924" s="2" t="s">
        <v>32</v>
      </c>
      <c r="J3924" s="3">
        <v>44417</v>
      </c>
      <c r="K3924" s="2">
        <v>51</v>
      </c>
      <c r="L3924" s="2" t="s">
        <v>20</v>
      </c>
      <c r="M3924" s="3"/>
    </row>
    <row r="3925" spans="1:13" x14ac:dyDescent="0.3">
      <c r="A3925" s="2">
        <v>3924</v>
      </c>
      <c r="B3925" s="2" t="s">
        <v>555</v>
      </c>
      <c r="C3925" s="2" t="s">
        <v>8678</v>
      </c>
      <c r="D3925" s="2" t="s">
        <v>28</v>
      </c>
      <c r="E3925" s="2" t="s">
        <v>29</v>
      </c>
      <c r="F3925" s="2">
        <v>30</v>
      </c>
      <c r="G3925" s="2" t="s">
        <v>8806</v>
      </c>
      <c r="H3925" s="2" t="s">
        <v>674</v>
      </c>
      <c r="I3925" s="2" t="s">
        <v>32</v>
      </c>
      <c r="J3925" s="3">
        <v>44873</v>
      </c>
      <c r="K3925" s="2">
        <v>19</v>
      </c>
      <c r="L3925" s="2" t="s">
        <v>64</v>
      </c>
      <c r="M3925" s="3"/>
    </row>
    <row r="3926" spans="1:13" x14ac:dyDescent="0.3">
      <c r="A3926" s="2">
        <v>3925</v>
      </c>
      <c r="B3926" s="2" t="s">
        <v>4318</v>
      </c>
      <c r="C3926" s="2" t="s">
        <v>2951</v>
      </c>
      <c r="D3926" s="2" t="s">
        <v>28</v>
      </c>
      <c r="E3926" s="2" t="s">
        <v>29</v>
      </c>
      <c r="F3926" s="2">
        <v>60</v>
      </c>
      <c r="G3926" s="2" t="s">
        <v>8807</v>
      </c>
      <c r="H3926" s="2" t="s">
        <v>5178</v>
      </c>
      <c r="I3926" s="2" t="s">
        <v>25</v>
      </c>
      <c r="J3926" s="3">
        <v>44839</v>
      </c>
      <c r="K3926" s="2">
        <v>66</v>
      </c>
      <c r="L3926" s="2" t="s">
        <v>159</v>
      </c>
      <c r="M3926" s="3"/>
    </row>
    <row r="3927" spans="1:13" x14ac:dyDescent="0.3">
      <c r="A3927" s="2">
        <v>3926</v>
      </c>
      <c r="B3927" s="2" t="s">
        <v>7425</v>
      </c>
      <c r="C3927" s="2" t="s">
        <v>4226</v>
      </c>
      <c r="D3927" s="2" t="s">
        <v>51</v>
      </c>
      <c r="E3927" s="2" t="s">
        <v>16</v>
      </c>
      <c r="F3927" s="2">
        <v>30</v>
      </c>
      <c r="G3927" s="2" t="s">
        <v>8808</v>
      </c>
      <c r="H3927" s="2" t="s">
        <v>3695</v>
      </c>
      <c r="I3927" s="2" t="s">
        <v>173</v>
      </c>
      <c r="J3927" s="3">
        <v>44246</v>
      </c>
      <c r="K3927" s="2">
        <v>66</v>
      </c>
      <c r="L3927" s="2" t="s">
        <v>101</v>
      </c>
      <c r="M3927" s="3"/>
    </row>
    <row r="3928" spans="1:13" x14ac:dyDescent="0.3">
      <c r="A3928" s="2">
        <v>3927</v>
      </c>
      <c r="B3928" s="2" t="s">
        <v>1239</v>
      </c>
      <c r="C3928" s="2" t="s">
        <v>7889</v>
      </c>
      <c r="D3928" s="2" t="s">
        <v>28</v>
      </c>
      <c r="E3928" s="2" t="s">
        <v>29</v>
      </c>
      <c r="F3928" s="2">
        <v>60</v>
      </c>
      <c r="G3928" s="2" t="s">
        <v>8809</v>
      </c>
      <c r="H3928" s="2" t="s">
        <v>842</v>
      </c>
      <c r="I3928" s="2" t="s">
        <v>32</v>
      </c>
      <c r="J3928" s="3">
        <v>44873</v>
      </c>
      <c r="K3928" s="2">
        <v>13</v>
      </c>
      <c r="L3928" s="2" t="s">
        <v>33</v>
      </c>
      <c r="M3928" s="3"/>
    </row>
    <row r="3929" spans="1:13" x14ac:dyDescent="0.3">
      <c r="A3929" s="2">
        <v>3928</v>
      </c>
      <c r="B3929" s="2" t="s">
        <v>5725</v>
      </c>
      <c r="C3929" s="2" t="s">
        <v>4609</v>
      </c>
      <c r="D3929" s="2" t="s">
        <v>28</v>
      </c>
      <c r="E3929" s="2" t="s">
        <v>29</v>
      </c>
      <c r="F3929" s="2">
        <v>30</v>
      </c>
      <c r="G3929" s="2" t="s">
        <v>8810</v>
      </c>
      <c r="H3929" s="2" t="s">
        <v>3002</v>
      </c>
      <c r="I3929" s="2" t="s">
        <v>32</v>
      </c>
      <c r="J3929" s="3">
        <v>44043</v>
      </c>
      <c r="K3929" s="2">
        <v>51</v>
      </c>
      <c r="L3929" s="2" t="s">
        <v>54</v>
      </c>
      <c r="M3929" s="3"/>
    </row>
    <row r="3930" spans="1:13" x14ac:dyDescent="0.3">
      <c r="A3930" s="2">
        <v>3929</v>
      </c>
      <c r="B3930" s="2" t="s">
        <v>5062</v>
      </c>
      <c r="C3930" s="2" t="s">
        <v>8811</v>
      </c>
      <c r="D3930" s="2" t="s">
        <v>28</v>
      </c>
      <c r="E3930" s="2" t="s">
        <v>29</v>
      </c>
      <c r="F3930" s="2">
        <v>30</v>
      </c>
      <c r="G3930" s="2" t="s">
        <v>8812</v>
      </c>
      <c r="H3930" s="2" t="s">
        <v>8033</v>
      </c>
      <c r="I3930" s="2" t="s">
        <v>32</v>
      </c>
      <c r="J3930" s="3">
        <v>44695</v>
      </c>
      <c r="K3930" s="2">
        <v>97</v>
      </c>
      <c r="L3930" s="2" t="s">
        <v>64</v>
      </c>
      <c r="M3930" s="3"/>
    </row>
    <row r="3931" spans="1:13" x14ac:dyDescent="0.3">
      <c r="A3931" s="2">
        <v>3930</v>
      </c>
      <c r="B3931" s="2" t="s">
        <v>8813</v>
      </c>
      <c r="C3931" s="2" t="s">
        <v>4181</v>
      </c>
      <c r="D3931" s="2" t="s">
        <v>51</v>
      </c>
      <c r="E3931" s="2" t="s">
        <v>16</v>
      </c>
      <c r="F3931" s="2">
        <v>60</v>
      </c>
      <c r="G3931" s="2" t="s">
        <v>8814</v>
      </c>
      <c r="H3931" s="2" t="s">
        <v>2622</v>
      </c>
      <c r="I3931" s="2" t="s">
        <v>294</v>
      </c>
      <c r="J3931" s="3">
        <v>44114</v>
      </c>
      <c r="K3931" s="2">
        <v>6</v>
      </c>
      <c r="L3931" s="2" t="s">
        <v>70</v>
      </c>
      <c r="M3931" s="3"/>
    </row>
    <row r="3932" spans="1:13" x14ac:dyDescent="0.3">
      <c r="A3932" s="2">
        <v>3931</v>
      </c>
      <c r="B3932" s="2" t="s">
        <v>4126</v>
      </c>
      <c r="C3932" s="2" t="s">
        <v>8347</v>
      </c>
      <c r="D3932" s="2" t="s">
        <v>28</v>
      </c>
      <c r="E3932" s="2" t="s">
        <v>29</v>
      </c>
      <c r="F3932" s="2">
        <v>90</v>
      </c>
      <c r="G3932" s="2" t="s">
        <v>8815</v>
      </c>
      <c r="H3932" s="2" t="s">
        <v>412</v>
      </c>
      <c r="I3932" s="2" t="s">
        <v>187</v>
      </c>
      <c r="J3932" s="3">
        <v>44774</v>
      </c>
      <c r="K3932" s="2">
        <v>25</v>
      </c>
      <c r="L3932" s="2" t="s">
        <v>101</v>
      </c>
      <c r="M3932" s="3"/>
    </row>
    <row r="3933" spans="1:13" x14ac:dyDescent="0.3">
      <c r="A3933" s="2">
        <v>3932</v>
      </c>
      <c r="B3933" s="2" t="s">
        <v>8816</v>
      </c>
      <c r="C3933" s="2" t="s">
        <v>2276</v>
      </c>
      <c r="D3933" s="2" t="s">
        <v>15</v>
      </c>
      <c r="E3933" s="2" t="s">
        <v>16</v>
      </c>
      <c r="F3933" s="2">
        <v>60</v>
      </c>
      <c r="G3933" s="2" t="s">
        <v>8815</v>
      </c>
      <c r="H3933" s="2" t="s">
        <v>655</v>
      </c>
      <c r="I3933" s="2" t="s">
        <v>32</v>
      </c>
      <c r="J3933" s="3">
        <v>43983</v>
      </c>
      <c r="K3933" s="2">
        <v>78</v>
      </c>
      <c r="L3933" s="2" t="s">
        <v>80</v>
      </c>
      <c r="M3933" s="3"/>
    </row>
    <row r="3934" spans="1:13" x14ac:dyDescent="0.3">
      <c r="A3934" s="2">
        <v>3933</v>
      </c>
      <c r="B3934" s="2" t="s">
        <v>8817</v>
      </c>
      <c r="C3934" s="2" t="s">
        <v>1488</v>
      </c>
      <c r="D3934" s="2" t="s">
        <v>28</v>
      </c>
      <c r="E3934" s="2" t="s">
        <v>29</v>
      </c>
      <c r="F3934" s="2">
        <v>30</v>
      </c>
      <c r="G3934" s="2" t="s">
        <v>8818</v>
      </c>
      <c r="H3934" s="2" t="s">
        <v>2250</v>
      </c>
      <c r="I3934" s="2" t="s">
        <v>187</v>
      </c>
      <c r="J3934" s="3">
        <v>44118</v>
      </c>
      <c r="K3934" s="2">
        <v>68</v>
      </c>
      <c r="L3934" s="2" t="s">
        <v>33</v>
      </c>
      <c r="M3934" s="3"/>
    </row>
    <row r="3935" spans="1:13" x14ac:dyDescent="0.3">
      <c r="A3935" s="2">
        <v>3934</v>
      </c>
      <c r="B3935" s="2" t="s">
        <v>1015</v>
      </c>
      <c r="C3935" s="2" t="s">
        <v>5330</v>
      </c>
      <c r="D3935" s="2" t="s">
        <v>28</v>
      </c>
      <c r="E3935" s="2" t="s">
        <v>29</v>
      </c>
      <c r="F3935" s="2">
        <v>60</v>
      </c>
      <c r="G3935" s="2" t="s">
        <v>8819</v>
      </c>
      <c r="H3935" s="2" t="s">
        <v>3396</v>
      </c>
      <c r="I3935" s="2" t="s">
        <v>32</v>
      </c>
      <c r="J3935" s="3">
        <v>44040</v>
      </c>
      <c r="K3935" s="2">
        <v>84</v>
      </c>
      <c r="L3935" s="2" t="s">
        <v>101</v>
      </c>
      <c r="M3935" s="3"/>
    </row>
    <row r="3936" spans="1:13" x14ac:dyDescent="0.3">
      <c r="A3936" s="2">
        <v>3935</v>
      </c>
      <c r="B3936" s="2" t="s">
        <v>960</v>
      </c>
      <c r="C3936" s="2" t="s">
        <v>391</v>
      </c>
      <c r="D3936" s="2" t="s">
        <v>28</v>
      </c>
      <c r="E3936" s="2" t="s">
        <v>29</v>
      </c>
      <c r="F3936" s="2">
        <v>30</v>
      </c>
      <c r="G3936" s="2" t="s">
        <v>8820</v>
      </c>
      <c r="H3936" s="2" t="s">
        <v>5736</v>
      </c>
      <c r="I3936" s="2" t="s">
        <v>95</v>
      </c>
      <c r="J3936" s="3">
        <v>44331</v>
      </c>
      <c r="K3936" s="2">
        <v>41</v>
      </c>
      <c r="L3936" s="2" t="s">
        <v>159</v>
      </c>
      <c r="M3936" s="3"/>
    </row>
    <row r="3937" spans="1:13" x14ac:dyDescent="0.3">
      <c r="A3937" s="2">
        <v>3936</v>
      </c>
      <c r="B3937" s="2" t="s">
        <v>707</v>
      </c>
      <c r="C3937" s="2" t="s">
        <v>1635</v>
      </c>
      <c r="D3937" s="2" t="s">
        <v>28</v>
      </c>
      <c r="E3937" s="2" t="s">
        <v>29</v>
      </c>
      <c r="F3937" s="2">
        <v>60</v>
      </c>
      <c r="G3937" s="2" t="s">
        <v>8820</v>
      </c>
      <c r="H3937" s="2" t="s">
        <v>5843</v>
      </c>
      <c r="I3937" s="2" t="s">
        <v>25</v>
      </c>
      <c r="J3937" s="3">
        <v>44732</v>
      </c>
      <c r="K3937" s="2">
        <v>36</v>
      </c>
      <c r="L3937" s="2" t="s">
        <v>64</v>
      </c>
      <c r="M3937" s="3"/>
    </row>
    <row r="3938" spans="1:13" x14ac:dyDescent="0.3">
      <c r="A3938" s="2">
        <v>3937</v>
      </c>
      <c r="B3938" s="2" t="s">
        <v>6295</v>
      </c>
      <c r="C3938" s="2" t="s">
        <v>588</v>
      </c>
      <c r="D3938" s="2" t="s">
        <v>28</v>
      </c>
      <c r="E3938" s="2" t="s">
        <v>29</v>
      </c>
      <c r="F3938" s="2">
        <v>30</v>
      </c>
      <c r="G3938" s="2" t="s">
        <v>8821</v>
      </c>
      <c r="H3938" s="2" t="s">
        <v>933</v>
      </c>
      <c r="I3938" s="2" t="s">
        <v>934</v>
      </c>
      <c r="J3938" s="3">
        <v>44598</v>
      </c>
      <c r="K3938" s="2">
        <v>22</v>
      </c>
      <c r="L3938" s="2" t="s">
        <v>54</v>
      </c>
      <c r="M3938" s="3"/>
    </row>
    <row r="3939" spans="1:13" x14ac:dyDescent="0.3">
      <c r="A3939" s="2">
        <v>3938</v>
      </c>
      <c r="B3939" s="2" t="s">
        <v>8822</v>
      </c>
      <c r="C3939" s="2" t="s">
        <v>1137</v>
      </c>
      <c r="D3939" s="2" t="s">
        <v>15</v>
      </c>
      <c r="E3939" s="2" t="s">
        <v>16</v>
      </c>
      <c r="F3939" s="2">
        <v>60</v>
      </c>
      <c r="G3939" s="2" t="s">
        <v>8823</v>
      </c>
      <c r="H3939" s="2" t="s">
        <v>8824</v>
      </c>
      <c r="I3939" s="2" t="s">
        <v>3898</v>
      </c>
      <c r="J3939" s="3">
        <v>44805</v>
      </c>
      <c r="K3939" s="2">
        <v>45</v>
      </c>
      <c r="L3939" s="2" t="s">
        <v>101</v>
      </c>
      <c r="M3939" s="3"/>
    </row>
    <row r="3940" spans="1:13" x14ac:dyDescent="0.3">
      <c r="A3940" s="2">
        <v>3939</v>
      </c>
      <c r="B3940" s="2" t="s">
        <v>8825</v>
      </c>
      <c r="C3940" s="2" t="s">
        <v>1058</v>
      </c>
      <c r="D3940" s="2" t="s">
        <v>15</v>
      </c>
      <c r="E3940" s="2" t="s">
        <v>16</v>
      </c>
      <c r="F3940" s="2">
        <v>30</v>
      </c>
      <c r="G3940" s="2" t="s">
        <v>8826</v>
      </c>
      <c r="H3940" s="2" t="s">
        <v>203</v>
      </c>
      <c r="I3940" s="2" t="s">
        <v>32</v>
      </c>
      <c r="J3940" s="3">
        <v>44280</v>
      </c>
      <c r="K3940" s="2">
        <v>32</v>
      </c>
      <c r="L3940" s="2" t="s">
        <v>33</v>
      </c>
      <c r="M3940" s="3"/>
    </row>
    <row r="3941" spans="1:13" x14ac:dyDescent="0.3">
      <c r="A3941" s="2">
        <v>3940</v>
      </c>
      <c r="B3941" s="2" t="s">
        <v>8827</v>
      </c>
      <c r="C3941" s="2" t="s">
        <v>3591</v>
      </c>
      <c r="D3941" s="2" t="s">
        <v>51</v>
      </c>
      <c r="E3941" s="2" t="s">
        <v>16</v>
      </c>
      <c r="F3941" s="2">
        <v>60</v>
      </c>
      <c r="G3941" s="2" t="s">
        <v>8828</v>
      </c>
      <c r="H3941" s="2" t="s">
        <v>1224</v>
      </c>
      <c r="I3941" s="2" t="s">
        <v>25</v>
      </c>
      <c r="J3941" s="3">
        <v>44891</v>
      </c>
      <c r="K3941" s="2">
        <v>22</v>
      </c>
      <c r="L3941" s="2" t="s">
        <v>20</v>
      </c>
      <c r="M3941" s="3"/>
    </row>
    <row r="3942" spans="1:13" x14ac:dyDescent="0.3">
      <c r="A3942" s="2">
        <v>3941</v>
      </c>
      <c r="B3942" s="2" t="s">
        <v>1319</v>
      </c>
      <c r="C3942" s="2" t="s">
        <v>4168</v>
      </c>
      <c r="D3942" s="2" t="s">
        <v>41</v>
      </c>
      <c r="E3942" s="2" t="s">
        <v>16</v>
      </c>
      <c r="F3942" s="2">
        <v>60</v>
      </c>
      <c r="G3942" s="2" t="s">
        <v>8829</v>
      </c>
      <c r="H3942" s="2" t="s">
        <v>920</v>
      </c>
      <c r="I3942" s="2" t="s">
        <v>178</v>
      </c>
      <c r="J3942" s="3">
        <v>44242</v>
      </c>
      <c r="K3942" s="2">
        <v>83</v>
      </c>
      <c r="L3942" s="2" t="s">
        <v>159</v>
      </c>
      <c r="M3942" s="3"/>
    </row>
    <row r="3943" spans="1:13" x14ac:dyDescent="0.3">
      <c r="A3943" s="2">
        <v>3942</v>
      </c>
      <c r="B3943" s="2" t="s">
        <v>5990</v>
      </c>
      <c r="C3943" s="2" t="s">
        <v>1030</v>
      </c>
      <c r="D3943" s="2" t="s">
        <v>28</v>
      </c>
      <c r="E3943" s="2" t="s">
        <v>29</v>
      </c>
      <c r="F3943" s="2">
        <v>60</v>
      </c>
      <c r="G3943" s="2" t="s">
        <v>8830</v>
      </c>
      <c r="H3943" s="2" t="s">
        <v>3449</v>
      </c>
      <c r="I3943" s="2" t="s">
        <v>187</v>
      </c>
      <c r="J3943" s="3">
        <v>44282</v>
      </c>
      <c r="K3943" s="2">
        <v>9</v>
      </c>
      <c r="L3943" s="2" t="s">
        <v>33</v>
      </c>
      <c r="M3943" s="3"/>
    </row>
    <row r="3944" spans="1:13" x14ac:dyDescent="0.3">
      <c r="A3944" s="2">
        <v>3943</v>
      </c>
      <c r="B3944" s="2" t="s">
        <v>8831</v>
      </c>
      <c r="C3944" s="2" t="s">
        <v>5526</v>
      </c>
      <c r="D3944" s="2" t="s">
        <v>51</v>
      </c>
      <c r="E3944" s="2" t="s">
        <v>16</v>
      </c>
      <c r="F3944" s="2">
        <v>60</v>
      </c>
      <c r="G3944" s="2" t="s">
        <v>8832</v>
      </c>
      <c r="H3944" s="2" t="s">
        <v>3053</v>
      </c>
      <c r="I3944" s="2" t="s">
        <v>32</v>
      </c>
      <c r="J3944" s="3">
        <v>44739</v>
      </c>
      <c r="K3944" s="2">
        <v>55</v>
      </c>
      <c r="L3944" s="2" t="s">
        <v>33</v>
      </c>
      <c r="M3944" s="3"/>
    </row>
    <row r="3945" spans="1:13" x14ac:dyDescent="0.3">
      <c r="A3945" s="2">
        <v>3944</v>
      </c>
      <c r="B3945" s="2" t="s">
        <v>8766</v>
      </c>
      <c r="C3945" s="2" t="s">
        <v>5383</v>
      </c>
      <c r="D3945" s="2" t="s">
        <v>28</v>
      </c>
      <c r="E3945" s="2" t="s">
        <v>29</v>
      </c>
      <c r="F3945" s="2">
        <v>60</v>
      </c>
      <c r="G3945" s="2" t="s">
        <v>8833</v>
      </c>
      <c r="H3945" s="2" t="s">
        <v>2542</v>
      </c>
      <c r="I3945" s="2" t="s">
        <v>2543</v>
      </c>
      <c r="J3945" s="3">
        <v>44493</v>
      </c>
      <c r="K3945" s="2">
        <v>4</v>
      </c>
      <c r="L3945" s="2" t="s">
        <v>33</v>
      </c>
      <c r="M3945" s="3"/>
    </row>
    <row r="3946" spans="1:13" x14ac:dyDescent="0.3">
      <c r="A3946" s="2">
        <v>3945</v>
      </c>
      <c r="B3946" s="2" t="s">
        <v>8834</v>
      </c>
      <c r="C3946" s="2" t="s">
        <v>3706</v>
      </c>
      <c r="D3946" s="2" t="s">
        <v>51</v>
      </c>
      <c r="E3946" s="2" t="s">
        <v>16</v>
      </c>
      <c r="F3946" s="2">
        <v>90</v>
      </c>
      <c r="G3946" s="2" t="s">
        <v>8835</v>
      </c>
      <c r="H3946" s="2" t="s">
        <v>3699</v>
      </c>
      <c r="I3946" s="2" t="s">
        <v>2983</v>
      </c>
      <c r="J3946" s="3">
        <v>44571</v>
      </c>
      <c r="K3946" s="2">
        <v>62</v>
      </c>
      <c r="L3946" s="2" t="s">
        <v>39</v>
      </c>
      <c r="M3946" s="3"/>
    </row>
    <row r="3947" spans="1:13" x14ac:dyDescent="0.3">
      <c r="A3947" s="2">
        <v>3946</v>
      </c>
      <c r="B3947" s="2" t="s">
        <v>7709</v>
      </c>
      <c r="C3947" s="2" t="s">
        <v>8836</v>
      </c>
      <c r="D3947" s="2" t="s">
        <v>28</v>
      </c>
      <c r="E3947" s="2" t="s">
        <v>29</v>
      </c>
      <c r="F3947" s="2">
        <v>30</v>
      </c>
      <c r="G3947" s="2" t="s">
        <v>8837</v>
      </c>
      <c r="H3947" s="2" t="s">
        <v>2121</v>
      </c>
      <c r="I3947" s="2" t="s">
        <v>38</v>
      </c>
      <c r="J3947" s="3">
        <v>44434</v>
      </c>
      <c r="K3947" s="2">
        <v>74</v>
      </c>
      <c r="L3947" s="2" t="s">
        <v>33</v>
      </c>
      <c r="M3947" s="3"/>
    </row>
    <row r="3948" spans="1:13" x14ac:dyDescent="0.3">
      <c r="A3948" s="2">
        <v>3947</v>
      </c>
      <c r="B3948" s="2" t="s">
        <v>929</v>
      </c>
      <c r="C3948" s="2" t="s">
        <v>4410</v>
      </c>
      <c r="D3948" s="2" t="s">
        <v>28</v>
      </c>
      <c r="E3948" s="2" t="s">
        <v>29</v>
      </c>
      <c r="F3948" s="2">
        <v>90</v>
      </c>
      <c r="G3948" s="2" t="s">
        <v>8838</v>
      </c>
      <c r="H3948" s="2" t="s">
        <v>6087</v>
      </c>
      <c r="I3948" s="2" t="s">
        <v>124</v>
      </c>
      <c r="J3948" s="3">
        <v>43912</v>
      </c>
      <c r="K3948" s="2">
        <v>78</v>
      </c>
      <c r="L3948" s="2" t="s">
        <v>159</v>
      </c>
      <c r="M3948" s="3"/>
    </row>
    <row r="3949" spans="1:13" x14ac:dyDescent="0.3">
      <c r="A3949" s="2">
        <v>3948</v>
      </c>
      <c r="B3949" s="2" t="s">
        <v>922</v>
      </c>
      <c r="C3949" s="2" t="s">
        <v>2154</v>
      </c>
      <c r="D3949" s="2" t="s">
        <v>28</v>
      </c>
      <c r="E3949" s="2" t="s">
        <v>29</v>
      </c>
      <c r="F3949" s="2">
        <v>60</v>
      </c>
      <c r="G3949" s="2" t="s">
        <v>8839</v>
      </c>
      <c r="H3949" s="2" t="s">
        <v>6516</v>
      </c>
      <c r="I3949" s="2" t="s">
        <v>32</v>
      </c>
      <c r="J3949" s="3">
        <v>44637</v>
      </c>
      <c r="K3949" s="2">
        <v>48</v>
      </c>
      <c r="L3949" s="2" t="s">
        <v>80</v>
      </c>
      <c r="M3949" s="3"/>
    </row>
    <row r="3950" spans="1:13" x14ac:dyDescent="0.3">
      <c r="A3950" s="2">
        <v>3949</v>
      </c>
      <c r="B3950" s="2" t="s">
        <v>8203</v>
      </c>
      <c r="C3950" s="2" t="s">
        <v>2019</v>
      </c>
      <c r="D3950" s="2" t="s">
        <v>28</v>
      </c>
      <c r="E3950" s="2" t="s">
        <v>29</v>
      </c>
      <c r="F3950" s="2">
        <v>30</v>
      </c>
      <c r="G3950" s="2" t="s">
        <v>8840</v>
      </c>
      <c r="H3950" s="2" t="s">
        <v>3987</v>
      </c>
      <c r="I3950" s="2" t="s">
        <v>554</v>
      </c>
      <c r="J3950" s="3">
        <v>43923</v>
      </c>
      <c r="K3950" s="2">
        <v>7</v>
      </c>
      <c r="L3950" s="2" t="s">
        <v>33</v>
      </c>
      <c r="M3950" s="3"/>
    </row>
    <row r="3951" spans="1:13" x14ac:dyDescent="0.3">
      <c r="A3951" s="2">
        <v>3950</v>
      </c>
      <c r="B3951" s="2" t="s">
        <v>8841</v>
      </c>
      <c r="C3951" s="2" t="s">
        <v>6449</v>
      </c>
      <c r="D3951" s="2" t="s">
        <v>51</v>
      </c>
      <c r="E3951" s="2" t="s">
        <v>16</v>
      </c>
      <c r="F3951" s="2">
        <v>30</v>
      </c>
      <c r="G3951" s="2" t="s">
        <v>8840</v>
      </c>
      <c r="H3951" s="2" t="s">
        <v>6202</v>
      </c>
      <c r="I3951" s="2" t="s">
        <v>294</v>
      </c>
      <c r="J3951" s="3">
        <v>44162</v>
      </c>
      <c r="K3951" s="2">
        <v>40</v>
      </c>
      <c r="L3951" s="2" t="s">
        <v>70</v>
      </c>
      <c r="M3951" s="3"/>
    </row>
    <row r="3952" spans="1:13" x14ac:dyDescent="0.3">
      <c r="A3952" s="2">
        <v>3951</v>
      </c>
      <c r="B3952" s="2" t="s">
        <v>8842</v>
      </c>
      <c r="C3952" s="2" t="s">
        <v>5668</v>
      </c>
      <c r="D3952" s="2" t="s">
        <v>15</v>
      </c>
      <c r="E3952" s="2" t="s">
        <v>16</v>
      </c>
      <c r="F3952" s="2">
        <v>60</v>
      </c>
      <c r="G3952" s="2" t="s">
        <v>8843</v>
      </c>
      <c r="H3952" s="2" t="s">
        <v>619</v>
      </c>
      <c r="I3952" s="2" t="s">
        <v>187</v>
      </c>
      <c r="J3952" s="3">
        <v>44497</v>
      </c>
      <c r="K3952" s="2">
        <v>34</v>
      </c>
      <c r="L3952" s="2" t="s">
        <v>159</v>
      </c>
      <c r="M3952" s="3"/>
    </row>
    <row r="3953" spans="1:13" x14ac:dyDescent="0.3">
      <c r="A3953" s="2">
        <v>3952</v>
      </c>
      <c r="B3953" s="2" t="s">
        <v>1591</v>
      </c>
      <c r="C3953" s="2" t="s">
        <v>367</v>
      </c>
      <c r="D3953" s="2" t="s">
        <v>28</v>
      </c>
      <c r="E3953" s="2" t="s">
        <v>29</v>
      </c>
      <c r="F3953" s="2">
        <v>90</v>
      </c>
      <c r="G3953" s="2" t="s">
        <v>8844</v>
      </c>
      <c r="H3953" s="2" t="s">
        <v>2336</v>
      </c>
      <c r="I3953" s="2" t="s">
        <v>32</v>
      </c>
      <c r="J3953" s="3">
        <v>44436</v>
      </c>
      <c r="K3953" s="2">
        <v>92</v>
      </c>
      <c r="L3953" s="2" t="s">
        <v>159</v>
      </c>
      <c r="M3953" s="3"/>
    </row>
    <row r="3954" spans="1:13" x14ac:dyDescent="0.3">
      <c r="A3954" s="2">
        <v>3953</v>
      </c>
      <c r="B3954" s="2" t="s">
        <v>8845</v>
      </c>
      <c r="C3954" s="2" t="s">
        <v>4558</v>
      </c>
      <c r="D3954" s="2" t="s">
        <v>41</v>
      </c>
      <c r="E3954" s="2" t="s">
        <v>16</v>
      </c>
      <c r="F3954" s="2">
        <v>90</v>
      </c>
      <c r="G3954" s="2" t="s">
        <v>8846</v>
      </c>
      <c r="H3954" s="2" t="s">
        <v>3399</v>
      </c>
      <c r="I3954" s="2" t="s">
        <v>124</v>
      </c>
      <c r="J3954" s="3">
        <v>44115</v>
      </c>
      <c r="K3954" s="2">
        <v>10</v>
      </c>
      <c r="L3954" s="2" t="s">
        <v>45</v>
      </c>
      <c r="M3954" s="3"/>
    </row>
    <row r="3955" spans="1:13" x14ac:dyDescent="0.3">
      <c r="A3955" s="2">
        <v>3954</v>
      </c>
      <c r="B3955" s="2" t="s">
        <v>8847</v>
      </c>
      <c r="C3955" s="2" t="s">
        <v>8848</v>
      </c>
      <c r="D3955" s="2" t="s">
        <v>51</v>
      </c>
      <c r="E3955" s="2" t="s">
        <v>5821</v>
      </c>
      <c r="F3955" s="2">
        <v>60</v>
      </c>
      <c r="G3955" s="2" t="s">
        <v>8849</v>
      </c>
      <c r="H3955" s="2" t="s">
        <v>4299</v>
      </c>
      <c r="I3955" s="2" t="s">
        <v>32</v>
      </c>
      <c r="J3955" s="3">
        <v>44908</v>
      </c>
      <c r="K3955" s="2">
        <v>20</v>
      </c>
      <c r="L3955" s="2" t="s">
        <v>20</v>
      </c>
      <c r="M3955" s="3"/>
    </row>
    <row r="3956" spans="1:13" x14ac:dyDescent="0.3">
      <c r="A3956" s="2">
        <v>3955</v>
      </c>
      <c r="B3956" s="2" t="s">
        <v>8850</v>
      </c>
      <c r="C3956" s="2" t="s">
        <v>4858</v>
      </c>
      <c r="D3956" s="2" t="s">
        <v>15</v>
      </c>
      <c r="E3956" s="2" t="s">
        <v>16</v>
      </c>
      <c r="F3956" s="2">
        <v>60</v>
      </c>
      <c r="G3956" s="2" t="s">
        <v>8851</v>
      </c>
      <c r="H3956" s="2" t="s">
        <v>1915</v>
      </c>
      <c r="I3956" s="2" t="s">
        <v>19</v>
      </c>
      <c r="J3956" s="3">
        <v>44259</v>
      </c>
      <c r="K3956" s="2">
        <v>22</v>
      </c>
      <c r="L3956" s="2" t="s">
        <v>159</v>
      </c>
      <c r="M3956" s="3"/>
    </row>
    <row r="3957" spans="1:13" x14ac:dyDescent="0.3">
      <c r="A3957" s="2">
        <v>3956</v>
      </c>
      <c r="B3957" s="2" t="s">
        <v>2523</v>
      </c>
      <c r="C3957" s="2" t="s">
        <v>8852</v>
      </c>
      <c r="D3957" s="2" t="s">
        <v>28</v>
      </c>
      <c r="E3957" s="2" t="s">
        <v>29</v>
      </c>
      <c r="F3957" s="2">
        <v>60</v>
      </c>
      <c r="G3957" s="2" t="s">
        <v>8853</v>
      </c>
      <c r="H3957" s="2" t="s">
        <v>298</v>
      </c>
      <c r="I3957" s="2" t="s">
        <v>25</v>
      </c>
      <c r="J3957" s="3">
        <v>44191</v>
      </c>
      <c r="K3957" s="2">
        <v>32</v>
      </c>
      <c r="L3957" s="2" t="s">
        <v>80</v>
      </c>
      <c r="M3957" s="3"/>
    </row>
    <row r="3958" spans="1:13" x14ac:dyDescent="0.3">
      <c r="A3958" s="2">
        <v>3957</v>
      </c>
      <c r="B3958" s="2" t="s">
        <v>7029</v>
      </c>
      <c r="C3958" s="2" t="s">
        <v>4373</v>
      </c>
      <c r="D3958" s="2" t="s">
        <v>28</v>
      </c>
      <c r="E3958" s="2" t="s">
        <v>29</v>
      </c>
      <c r="F3958" s="2">
        <v>90</v>
      </c>
      <c r="G3958" s="2" t="s">
        <v>8854</v>
      </c>
      <c r="H3958" s="2" t="s">
        <v>412</v>
      </c>
      <c r="I3958" s="2" t="s">
        <v>187</v>
      </c>
      <c r="J3958" s="3">
        <v>43894</v>
      </c>
      <c r="K3958" s="2">
        <v>61</v>
      </c>
      <c r="L3958" s="2" t="s">
        <v>159</v>
      </c>
      <c r="M3958" s="3"/>
    </row>
    <row r="3959" spans="1:13" x14ac:dyDescent="0.3">
      <c r="A3959" s="2">
        <v>3958</v>
      </c>
      <c r="B3959" s="2" t="s">
        <v>4313</v>
      </c>
      <c r="C3959" s="2" t="s">
        <v>3944</v>
      </c>
      <c r="D3959" s="2" t="s">
        <v>51</v>
      </c>
      <c r="E3959" s="2" t="s">
        <v>16</v>
      </c>
      <c r="F3959" s="2">
        <v>90</v>
      </c>
      <c r="G3959" s="2" t="s">
        <v>8854</v>
      </c>
      <c r="H3959" s="2" t="s">
        <v>6675</v>
      </c>
      <c r="I3959" s="2" t="s">
        <v>32</v>
      </c>
      <c r="J3959" s="3">
        <v>44296</v>
      </c>
      <c r="K3959" s="2">
        <v>19</v>
      </c>
      <c r="L3959" s="2" t="s">
        <v>33</v>
      </c>
      <c r="M3959" s="3"/>
    </row>
    <row r="3960" spans="1:13" x14ac:dyDescent="0.3">
      <c r="A3960" s="2">
        <v>3959</v>
      </c>
      <c r="B3960" s="2" t="s">
        <v>8855</v>
      </c>
      <c r="C3960" s="2" t="s">
        <v>7123</v>
      </c>
      <c r="D3960" s="2" t="s">
        <v>51</v>
      </c>
      <c r="E3960" s="2" t="s">
        <v>16</v>
      </c>
      <c r="F3960" s="2">
        <v>60</v>
      </c>
      <c r="G3960" s="2" t="s">
        <v>8856</v>
      </c>
      <c r="H3960" s="2" t="s">
        <v>772</v>
      </c>
      <c r="I3960" s="2" t="s">
        <v>32</v>
      </c>
      <c r="J3960" s="3">
        <v>44329</v>
      </c>
      <c r="K3960" s="2">
        <v>13</v>
      </c>
      <c r="L3960" s="2" t="s">
        <v>33</v>
      </c>
      <c r="M3960" s="3"/>
    </row>
    <row r="3961" spans="1:13" x14ac:dyDescent="0.3">
      <c r="A3961" s="2">
        <v>3960</v>
      </c>
      <c r="B3961" s="2" t="s">
        <v>8857</v>
      </c>
      <c r="C3961" s="2" t="s">
        <v>8858</v>
      </c>
      <c r="D3961" s="2" t="s">
        <v>51</v>
      </c>
      <c r="E3961" s="2" t="s">
        <v>16</v>
      </c>
      <c r="F3961" s="2">
        <v>30</v>
      </c>
      <c r="G3961" s="2" t="s">
        <v>8859</v>
      </c>
      <c r="H3961" s="2" t="s">
        <v>4944</v>
      </c>
      <c r="I3961" s="2" t="s">
        <v>839</v>
      </c>
      <c r="J3961" s="3">
        <v>44367</v>
      </c>
      <c r="K3961" s="2">
        <v>21</v>
      </c>
      <c r="L3961" s="2" t="s">
        <v>45</v>
      </c>
      <c r="M3961" s="3"/>
    </row>
    <row r="3962" spans="1:13" x14ac:dyDescent="0.3">
      <c r="A3962" s="2">
        <v>3961</v>
      </c>
      <c r="B3962" s="2" t="s">
        <v>8860</v>
      </c>
      <c r="C3962" s="2" t="s">
        <v>8551</v>
      </c>
      <c r="D3962" s="2" t="s">
        <v>15</v>
      </c>
      <c r="E3962" s="2" t="s">
        <v>16</v>
      </c>
      <c r="F3962" s="2">
        <v>60</v>
      </c>
      <c r="G3962" s="2" t="s">
        <v>8861</v>
      </c>
      <c r="H3962" s="2" t="s">
        <v>8862</v>
      </c>
      <c r="I3962" s="2" t="s">
        <v>187</v>
      </c>
      <c r="J3962" s="3">
        <v>43956</v>
      </c>
      <c r="K3962" s="2">
        <v>9</v>
      </c>
      <c r="L3962" s="2" t="s">
        <v>159</v>
      </c>
      <c r="M3962" s="3"/>
    </row>
    <row r="3963" spans="1:13" x14ac:dyDescent="0.3">
      <c r="A3963" s="2">
        <v>3962</v>
      </c>
      <c r="B3963" s="2" t="s">
        <v>8863</v>
      </c>
      <c r="C3963" s="2" t="s">
        <v>2197</v>
      </c>
      <c r="D3963" s="2" t="s">
        <v>15</v>
      </c>
      <c r="E3963" s="2" t="s">
        <v>16</v>
      </c>
      <c r="F3963" s="2">
        <v>30</v>
      </c>
      <c r="G3963" s="2" t="s">
        <v>8864</v>
      </c>
      <c r="H3963" s="2" t="s">
        <v>8865</v>
      </c>
      <c r="I3963" s="2" t="s">
        <v>32</v>
      </c>
      <c r="J3963" s="3">
        <v>44420</v>
      </c>
      <c r="K3963" s="2">
        <v>43</v>
      </c>
      <c r="L3963" s="2" t="s">
        <v>33</v>
      </c>
      <c r="M3963" s="3"/>
    </row>
    <row r="3964" spans="1:13" x14ac:dyDescent="0.3">
      <c r="A3964" s="2">
        <v>3963</v>
      </c>
      <c r="B3964" s="2" t="s">
        <v>7080</v>
      </c>
      <c r="C3964" s="2" t="s">
        <v>651</v>
      </c>
      <c r="D3964" s="2" t="s">
        <v>51</v>
      </c>
      <c r="E3964" s="2" t="s">
        <v>16</v>
      </c>
      <c r="F3964" s="2">
        <v>30</v>
      </c>
      <c r="G3964" s="2" t="s">
        <v>8866</v>
      </c>
      <c r="H3964" s="2" t="s">
        <v>659</v>
      </c>
      <c r="I3964" s="2" t="s">
        <v>32</v>
      </c>
      <c r="J3964" s="3">
        <v>44872</v>
      </c>
      <c r="K3964" s="2">
        <v>18</v>
      </c>
      <c r="L3964" s="2" t="s">
        <v>54</v>
      </c>
      <c r="M3964" s="3"/>
    </row>
    <row r="3965" spans="1:13" x14ac:dyDescent="0.3">
      <c r="A3965" s="2">
        <v>3964</v>
      </c>
      <c r="B3965" s="2" t="s">
        <v>8867</v>
      </c>
      <c r="C3965" s="2" t="s">
        <v>3572</v>
      </c>
      <c r="D3965" s="2" t="s">
        <v>51</v>
      </c>
      <c r="E3965" s="2" t="s">
        <v>16</v>
      </c>
      <c r="F3965" s="2">
        <v>90</v>
      </c>
      <c r="G3965" s="2" t="s">
        <v>8868</v>
      </c>
      <c r="H3965" s="2" t="s">
        <v>1265</v>
      </c>
      <c r="I3965" s="2" t="s">
        <v>32</v>
      </c>
      <c r="J3965" s="3">
        <v>44905</v>
      </c>
      <c r="K3965" s="2">
        <v>95</v>
      </c>
      <c r="L3965" s="2" t="s">
        <v>159</v>
      </c>
      <c r="M3965" s="3"/>
    </row>
    <row r="3966" spans="1:13" x14ac:dyDescent="0.3">
      <c r="A3966" s="2">
        <v>3965</v>
      </c>
      <c r="B3966" s="2" t="s">
        <v>921</v>
      </c>
      <c r="C3966" s="2" t="s">
        <v>8869</v>
      </c>
      <c r="D3966" s="2" t="s">
        <v>28</v>
      </c>
      <c r="E3966" s="2" t="s">
        <v>29</v>
      </c>
      <c r="F3966" s="2">
        <v>90</v>
      </c>
      <c r="G3966" s="2" t="s">
        <v>8868</v>
      </c>
      <c r="H3966" s="2" t="s">
        <v>1534</v>
      </c>
      <c r="I3966" s="2" t="s">
        <v>32</v>
      </c>
      <c r="J3966" s="3">
        <v>44680</v>
      </c>
      <c r="K3966" s="2">
        <v>74</v>
      </c>
      <c r="L3966" s="2" t="s">
        <v>101</v>
      </c>
      <c r="M3966" s="3"/>
    </row>
    <row r="3967" spans="1:13" x14ac:dyDescent="0.3">
      <c r="A3967" s="2">
        <v>3966</v>
      </c>
      <c r="B3967" s="2" t="s">
        <v>8870</v>
      </c>
      <c r="C3967" s="2" t="s">
        <v>1957</v>
      </c>
      <c r="D3967" s="2" t="s">
        <v>51</v>
      </c>
      <c r="E3967" s="2" t="s">
        <v>16</v>
      </c>
      <c r="F3967" s="2">
        <v>90</v>
      </c>
      <c r="G3967" s="2" t="s">
        <v>8871</v>
      </c>
      <c r="H3967" s="2" t="s">
        <v>2706</v>
      </c>
      <c r="I3967" s="2" t="s">
        <v>294</v>
      </c>
      <c r="J3967" s="3">
        <v>44411</v>
      </c>
      <c r="K3967" s="2">
        <v>60</v>
      </c>
      <c r="L3967" s="2" t="s">
        <v>101</v>
      </c>
      <c r="M3967" s="3"/>
    </row>
    <row r="3968" spans="1:13" x14ac:dyDescent="0.3">
      <c r="A3968" s="2">
        <v>3967</v>
      </c>
      <c r="B3968" s="2" t="s">
        <v>8872</v>
      </c>
      <c r="C3968" s="2" t="s">
        <v>4113</v>
      </c>
      <c r="D3968" s="2" t="s">
        <v>15</v>
      </c>
      <c r="E3968" s="2" t="s">
        <v>16</v>
      </c>
      <c r="F3968" s="2">
        <v>30</v>
      </c>
      <c r="G3968" s="2" t="s">
        <v>8873</v>
      </c>
      <c r="H3968" s="2" t="s">
        <v>8874</v>
      </c>
      <c r="I3968" s="2" t="s">
        <v>32</v>
      </c>
      <c r="J3968" s="3">
        <v>44096</v>
      </c>
      <c r="K3968" s="2">
        <v>46</v>
      </c>
      <c r="L3968" s="2" t="s">
        <v>45</v>
      </c>
      <c r="M3968" s="3"/>
    </row>
    <row r="3969" spans="1:13" x14ac:dyDescent="0.3">
      <c r="A3969" s="2">
        <v>3968</v>
      </c>
      <c r="B3969" s="2" t="s">
        <v>8875</v>
      </c>
      <c r="C3969" s="2" t="s">
        <v>4828</v>
      </c>
      <c r="D3969" s="2" t="s">
        <v>28</v>
      </c>
      <c r="E3969" s="2" t="s">
        <v>29</v>
      </c>
      <c r="F3969" s="2">
        <v>30</v>
      </c>
      <c r="G3969" s="2" t="s">
        <v>8876</v>
      </c>
      <c r="H3969" s="2" t="s">
        <v>641</v>
      </c>
      <c r="I3969" s="2" t="s">
        <v>294</v>
      </c>
      <c r="J3969" s="3">
        <v>44908</v>
      </c>
      <c r="K3969" s="2">
        <v>55</v>
      </c>
      <c r="L3969" s="2" t="s">
        <v>159</v>
      </c>
      <c r="M3969" s="3"/>
    </row>
    <row r="3970" spans="1:13" x14ac:dyDescent="0.3">
      <c r="A3970" s="2">
        <v>3969</v>
      </c>
      <c r="B3970" s="2" t="s">
        <v>7239</v>
      </c>
      <c r="C3970" s="2" t="s">
        <v>76</v>
      </c>
      <c r="D3970" s="2" t="s">
        <v>28</v>
      </c>
      <c r="E3970" s="2" t="s">
        <v>29</v>
      </c>
      <c r="F3970" s="2">
        <v>90</v>
      </c>
      <c r="G3970" s="2" t="s">
        <v>8877</v>
      </c>
      <c r="H3970" s="2" t="s">
        <v>8878</v>
      </c>
      <c r="I3970" s="2" t="s">
        <v>32</v>
      </c>
      <c r="J3970" s="3">
        <v>43992</v>
      </c>
      <c r="K3970" s="2">
        <v>20</v>
      </c>
      <c r="L3970" s="2" t="s">
        <v>54</v>
      </c>
      <c r="M3970" s="3"/>
    </row>
    <row r="3971" spans="1:13" x14ac:dyDescent="0.3">
      <c r="A3971" s="2">
        <v>3970</v>
      </c>
      <c r="B3971" s="2" t="s">
        <v>8879</v>
      </c>
      <c r="C3971" s="2" t="s">
        <v>5907</v>
      </c>
      <c r="D3971" s="2" t="s">
        <v>28</v>
      </c>
      <c r="E3971" s="2" t="s">
        <v>29</v>
      </c>
      <c r="F3971" s="2">
        <v>60</v>
      </c>
      <c r="G3971" s="2" t="s">
        <v>8880</v>
      </c>
      <c r="H3971" s="2" t="s">
        <v>1845</v>
      </c>
      <c r="I3971" s="2" t="s">
        <v>294</v>
      </c>
      <c r="J3971" s="3">
        <v>44702</v>
      </c>
      <c r="K3971" s="2">
        <v>7</v>
      </c>
      <c r="L3971" s="2" t="s">
        <v>64</v>
      </c>
      <c r="M3971" s="3"/>
    </row>
    <row r="3972" spans="1:13" x14ac:dyDescent="0.3">
      <c r="A3972" s="2">
        <v>3971</v>
      </c>
      <c r="B3972" s="2" t="s">
        <v>4858</v>
      </c>
      <c r="C3972" s="2" t="s">
        <v>295</v>
      </c>
      <c r="D3972" s="2" t="s">
        <v>28</v>
      </c>
      <c r="E3972" s="2" t="s">
        <v>29</v>
      </c>
      <c r="F3972" s="2">
        <v>30</v>
      </c>
      <c r="G3972" s="2" t="s">
        <v>8881</v>
      </c>
      <c r="H3972" s="2" t="s">
        <v>890</v>
      </c>
      <c r="I3972" s="2" t="s">
        <v>178</v>
      </c>
      <c r="J3972" s="3">
        <v>43837</v>
      </c>
      <c r="K3972" s="2">
        <v>15</v>
      </c>
      <c r="L3972" s="2" t="s">
        <v>54</v>
      </c>
      <c r="M3972" s="3"/>
    </row>
    <row r="3973" spans="1:13" x14ac:dyDescent="0.3">
      <c r="A3973" s="2">
        <v>3972</v>
      </c>
      <c r="B3973" s="2" t="s">
        <v>1581</v>
      </c>
      <c r="C3973" s="2" t="s">
        <v>6804</v>
      </c>
      <c r="D3973" s="2" t="s">
        <v>28</v>
      </c>
      <c r="E3973" s="2" t="s">
        <v>29</v>
      </c>
      <c r="F3973" s="2">
        <v>30</v>
      </c>
      <c r="G3973" s="2" t="s">
        <v>8882</v>
      </c>
      <c r="H3973" s="2" t="s">
        <v>288</v>
      </c>
      <c r="I3973" s="2" t="s">
        <v>32</v>
      </c>
      <c r="J3973" s="3">
        <v>44205</v>
      </c>
      <c r="K3973" s="2">
        <v>10</v>
      </c>
      <c r="L3973" s="2" t="s">
        <v>80</v>
      </c>
      <c r="M3973" s="3"/>
    </row>
    <row r="3974" spans="1:13" x14ac:dyDescent="0.3">
      <c r="A3974" s="2">
        <v>3973</v>
      </c>
      <c r="B3974" s="2" t="s">
        <v>312</v>
      </c>
      <c r="C3974" s="2" t="s">
        <v>2301</v>
      </c>
      <c r="D3974" s="2" t="s">
        <v>15</v>
      </c>
      <c r="E3974" s="2" t="s">
        <v>16</v>
      </c>
      <c r="F3974" s="2">
        <v>90</v>
      </c>
      <c r="G3974" s="2" t="s">
        <v>8883</v>
      </c>
      <c r="H3974" s="2" t="s">
        <v>3882</v>
      </c>
      <c r="I3974" s="2" t="s">
        <v>38</v>
      </c>
      <c r="J3974" s="3">
        <v>44677</v>
      </c>
      <c r="K3974" s="2">
        <v>5</v>
      </c>
      <c r="L3974" s="2" t="s">
        <v>33</v>
      </c>
      <c r="M3974" s="3"/>
    </row>
    <row r="3975" spans="1:13" x14ac:dyDescent="0.3">
      <c r="A3975" s="2">
        <v>3974</v>
      </c>
      <c r="B3975" s="2" t="s">
        <v>312</v>
      </c>
      <c r="C3975" s="2" t="s">
        <v>2301</v>
      </c>
      <c r="D3975" s="2" t="s">
        <v>15</v>
      </c>
      <c r="E3975" s="2" t="s">
        <v>16</v>
      </c>
      <c r="F3975" s="2">
        <v>90</v>
      </c>
      <c r="G3975" s="2" t="s">
        <v>8883</v>
      </c>
      <c r="H3975" s="2" t="s">
        <v>3882</v>
      </c>
      <c r="I3975" s="2" t="s">
        <v>38</v>
      </c>
      <c r="J3975" s="3">
        <v>44677</v>
      </c>
      <c r="K3975" s="2">
        <v>5</v>
      </c>
      <c r="L3975" s="2" t="s">
        <v>33</v>
      </c>
      <c r="M3975" s="3"/>
    </row>
    <row r="3976" spans="1:13" x14ac:dyDescent="0.3">
      <c r="A3976" s="2">
        <v>3975</v>
      </c>
      <c r="B3976" s="2" t="s">
        <v>1591</v>
      </c>
      <c r="C3976" s="2" t="s">
        <v>3090</v>
      </c>
      <c r="D3976" s="2" t="s">
        <v>28</v>
      </c>
      <c r="E3976" s="2" t="s">
        <v>29</v>
      </c>
      <c r="F3976" s="2">
        <v>30</v>
      </c>
      <c r="G3976" s="2" t="s">
        <v>8884</v>
      </c>
      <c r="H3976" s="2" t="s">
        <v>3245</v>
      </c>
      <c r="I3976" s="2" t="s">
        <v>32</v>
      </c>
      <c r="J3976" s="3">
        <v>44019</v>
      </c>
      <c r="K3976" s="2">
        <v>53</v>
      </c>
      <c r="L3976" s="2" t="s">
        <v>39</v>
      </c>
      <c r="M3976" s="3"/>
    </row>
    <row r="3977" spans="1:13" x14ac:dyDescent="0.3">
      <c r="A3977" s="2">
        <v>3976</v>
      </c>
      <c r="B3977" s="2" t="s">
        <v>4647</v>
      </c>
      <c r="C3977" s="2" t="s">
        <v>2279</v>
      </c>
      <c r="D3977" s="2" t="s">
        <v>28</v>
      </c>
      <c r="E3977" s="2" t="s">
        <v>29</v>
      </c>
      <c r="F3977" s="2">
        <v>60</v>
      </c>
      <c r="G3977" s="2" t="s">
        <v>8885</v>
      </c>
      <c r="H3977" s="2" t="s">
        <v>8886</v>
      </c>
      <c r="I3977" s="2" t="s">
        <v>1311</v>
      </c>
      <c r="J3977" s="3">
        <v>44606</v>
      </c>
      <c r="K3977" s="2">
        <v>88</v>
      </c>
      <c r="L3977" s="2" t="s">
        <v>54</v>
      </c>
      <c r="M3977" s="3"/>
    </row>
    <row r="3978" spans="1:13" x14ac:dyDescent="0.3">
      <c r="A3978" s="2">
        <v>3977</v>
      </c>
      <c r="B3978" s="2" t="s">
        <v>7018</v>
      </c>
      <c r="C3978" s="2" t="s">
        <v>8887</v>
      </c>
      <c r="D3978" s="2" t="s">
        <v>15</v>
      </c>
      <c r="E3978" s="2" t="s">
        <v>16</v>
      </c>
      <c r="F3978" s="2">
        <v>30</v>
      </c>
      <c r="G3978" s="2" t="s">
        <v>8888</v>
      </c>
      <c r="H3978" s="2" t="s">
        <v>927</v>
      </c>
      <c r="I3978" s="2" t="s">
        <v>129</v>
      </c>
      <c r="J3978" s="3">
        <v>44871</v>
      </c>
      <c r="K3978" s="2">
        <v>86</v>
      </c>
      <c r="L3978" s="2" t="s">
        <v>101</v>
      </c>
      <c r="M3978" s="3"/>
    </row>
    <row r="3979" spans="1:13" x14ac:dyDescent="0.3">
      <c r="A3979" s="2">
        <v>3978</v>
      </c>
      <c r="B3979" s="2" t="s">
        <v>7011</v>
      </c>
      <c r="C3979" s="2" t="s">
        <v>8236</v>
      </c>
      <c r="D3979" s="2" t="s">
        <v>15</v>
      </c>
      <c r="E3979" s="2" t="s">
        <v>16</v>
      </c>
      <c r="F3979" s="2">
        <v>90</v>
      </c>
      <c r="G3979" s="2" t="s">
        <v>8889</v>
      </c>
      <c r="H3979" s="2" t="s">
        <v>1708</v>
      </c>
      <c r="I3979" s="2" t="s">
        <v>124</v>
      </c>
      <c r="J3979" s="3">
        <v>44464</v>
      </c>
      <c r="K3979" s="2">
        <v>18</v>
      </c>
      <c r="L3979" s="2" t="s">
        <v>64</v>
      </c>
      <c r="M3979" s="3"/>
    </row>
    <row r="3980" spans="1:13" x14ac:dyDescent="0.3">
      <c r="A3980" s="2">
        <v>3979</v>
      </c>
      <c r="B3980" s="2" t="s">
        <v>3195</v>
      </c>
      <c r="C3980" s="2" t="s">
        <v>1465</v>
      </c>
      <c r="D3980" s="2" t="s">
        <v>15</v>
      </c>
      <c r="E3980" s="2" t="s">
        <v>16</v>
      </c>
      <c r="F3980" s="2">
        <v>30</v>
      </c>
      <c r="G3980" s="2" t="s">
        <v>8890</v>
      </c>
      <c r="H3980" s="2" t="s">
        <v>1486</v>
      </c>
      <c r="I3980" s="2" t="s">
        <v>32</v>
      </c>
      <c r="J3980" s="3">
        <v>44265</v>
      </c>
      <c r="K3980" s="2">
        <v>42</v>
      </c>
      <c r="L3980" s="2" t="s">
        <v>101</v>
      </c>
      <c r="M3980" s="3"/>
    </row>
    <row r="3981" spans="1:13" x14ac:dyDescent="0.3">
      <c r="A3981" s="2">
        <v>3980</v>
      </c>
      <c r="B3981" s="2" t="s">
        <v>8891</v>
      </c>
      <c r="C3981" s="2" t="s">
        <v>3419</v>
      </c>
      <c r="D3981" s="2" t="s">
        <v>51</v>
      </c>
      <c r="E3981" s="2" t="s">
        <v>16</v>
      </c>
      <c r="F3981" s="2">
        <v>30</v>
      </c>
      <c r="G3981" s="2" t="s">
        <v>8892</v>
      </c>
      <c r="H3981" s="2" t="s">
        <v>1827</v>
      </c>
      <c r="I3981" s="2" t="s">
        <v>25</v>
      </c>
      <c r="J3981" s="3">
        <v>44849</v>
      </c>
      <c r="K3981" s="2">
        <v>56</v>
      </c>
      <c r="L3981" s="2" t="s">
        <v>80</v>
      </c>
      <c r="M3981" s="3"/>
    </row>
    <row r="3982" spans="1:13" x14ac:dyDescent="0.3">
      <c r="A3982" s="2">
        <v>3981</v>
      </c>
      <c r="B3982" s="2" t="s">
        <v>1010</v>
      </c>
      <c r="C3982" s="2" t="s">
        <v>6447</v>
      </c>
      <c r="D3982" s="2" t="s">
        <v>28</v>
      </c>
      <c r="E3982" s="2" t="s">
        <v>29</v>
      </c>
      <c r="F3982" s="2">
        <v>60</v>
      </c>
      <c r="G3982" s="2" t="s">
        <v>8893</v>
      </c>
      <c r="H3982" s="2" t="s">
        <v>1969</v>
      </c>
      <c r="I3982" s="2" t="s">
        <v>32</v>
      </c>
      <c r="J3982" s="3">
        <v>44101</v>
      </c>
      <c r="K3982" s="2">
        <v>26</v>
      </c>
      <c r="L3982" s="2" t="s">
        <v>64</v>
      </c>
      <c r="M3982" s="3"/>
    </row>
    <row r="3983" spans="1:13" x14ac:dyDescent="0.3">
      <c r="A3983" s="2">
        <v>3982</v>
      </c>
      <c r="B3983" s="2" t="s">
        <v>6845</v>
      </c>
      <c r="C3983" s="2" t="s">
        <v>8514</v>
      </c>
      <c r="D3983" s="2" t="s">
        <v>51</v>
      </c>
      <c r="E3983" s="2" t="s">
        <v>16</v>
      </c>
      <c r="F3983" s="2">
        <v>90</v>
      </c>
      <c r="G3983" s="2" t="s">
        <v>8894</v>
      </c>
      <c r="H3983" s="2" t="s">
        <v>4034</v>
      </c>
      <c r="I3983" s="2" t="s">
        <v>178</v>
      </c>
      <c r="J3983" s="3">
        <v>44051</v>
      </c>
      <c r="K3983" s="2">
        <v>54</v>
      </c>
      <c r="L3983" s="2" t="s">
        <v>45</v>
      </c>
      <c r="M3983" s="3"/>
    </row>
    <row r="3984" spans="1:13" x14ac:dyDescent="0.3">
      <c r="A3984" s="2">
        <v>3983</v>
      </c>
      <c r="B3984" s="2" t="s">
        <v>6328</v>
      </c>
      <c r="C3984" s="2" t="s">
        <v>8685</v>
      </c>
      <c r="D3984" s="2" t="s">
        <v>28</v>
      </c>
      <c r="E3984" s="2" t="s">
        <v>29</v>
      </c>
      <c r="F3984" s="2">
        <v>90</v>
      </c>
      <c r="G3984" s="2" t="s">
        <v>8895</v>
      </c>
      <c r="H3984" s="2" t="s">
        <v>2875</v>
      </c>
      <c r="I3984" s="2" t="s">
        <v>32</v>
      </c>
      <c r="J3984" s="3">
        <v>43886</v>
      </c>
      <c r="K3984" s="2">
        <v>37</v>
      </c>
      <c r="L3984" s="2" t="s">
        <v>70</v>
      </c>
      <c r="M3984" s="3"/>
    </row>
    <row r="3985" spans="1:13" x14ac:dyDescent="0.3">
      <c r="A3985" s="2">
        <v>3984</v>
      </c>
      <c r="B3985" s="2" t="s">
        <v>1158</v>
      </c>
      <c r="C3985" s="2" t="s">
        <v>8896</v>
      </c>
      <c r="D3985" s="2" t="s">
        <v>28</v>
      </c>
      <c r="E3985" s="2" t="s">
        <v>29</v>
      </c>
      <c r="F3985" s="2">
        <v>60</v>
      </c>
      <c r="G3985" s="2" t="s">
        <v>8897</v>
      </c>
      <c r="H3985" s="2" t="s">
        <v>3157</v>
      </c>
      <c r="I3985" s="2" t="s">
        <v>32</v>
      </c>
      <c r="J3985" s="3">
        <v>44863</v>
      </c>
      <c r="K3985" s="2">
        <v>38</v>
      </c>
      <c r="L3985" s="2" t="s">
        <v>64</v>
      </c>
      <c r="M3985" s="3"/>
    </row>
    <row r="3986" spans="1:13" x14ac:dyDescent="0.3">
      <c r="A3986" s="2">
        <v>3985</v>
      </c>
      <c r="B3986" s="2" t="s">
        <v>1758</v>
      </c>
      <c r="C3986" s="2" t="s">
        <v>4994</v>
      </c>
      <c r="D3986" s="2" t="s">
        <v>15</v>
      </c>
      <c r="E3986" s="2" t="s">
        <v>16</v>
      </c>
      <c r="F3986" s="2">
        <v>30</v>
      </c>
      <c r="G3986" s="2" t="s">
        <v>8898</v>
      </c>
      <c r="H3986" s="2" t="s">
        <v>3666</v>
      </c>
      <c r="I3986" s="2" t="s">
        <v>1483</v>
      </c>
      <c r="J3986" s="3">
        <v>44068</v>
      </c>
      <c r="K3986" s="2">
        <v>17</v>
      </c>
      <c r="L3986" s="2" t="s">
        <v>70</v>
      </c>
      <c r="M3986" s="3"/>
    </row>
    <row r="3987" spans="1:13" x14ac:dyDescent="0.3">
      <c r="A3987" s="2">
        <v>3986</v>
      </c>
      <c r="B3987" s="2" t="s">
        <v>8899</v>
      </c>
      <c r="C3987" s="2" t="s">
        <v>1058</v>
      </c>
      <c r="D3987" s="2" t="s">
        <v>15</v>
      </c>
      <c r="E3987" s="2" t="s">
        <v>16</v>
      </c>
      <c r="F3987" s="2">
        <v>60</v>
      </c>
      <c r="G3987" s="2" t="s">
        <v>8900</v>
      </c>
      <c r="H3987" s="2" t="s">
        <v>1674</v>
      </c>
      <c r="I3987" s="2" t="s">
        <v>25</v>
      </c>
      <c r="J3987" s="3">
        <v>44669</v>
      </c>
      <c r="K3987" s="2">
        <v>18</v>
      </c>
      <c r="L3987" s="2" t="s">
        <v>80</v>
      </c>
      <c r="M3987" s="3"/>
    </row>
    <row r="3988" spans="1:13" x14ac:dyDescent="0.3">
      <c r="A3988" s="2">
        <v>3987</v>
      </c>
      <c r="B3988" s="2" t="s">
        <v>6540</v>
      </c>
      <c r="C3988" s="2" t="s">
        <v>358</v>
      </c>
      <c r="D3988" s="2" t="s">
        <v>28</v>
      </c>
      <c r="E3988" s="2" t="s">
        <v>29</v>
      </c>
      <c r="F3988" s="2">
        <v>90</v>
      </c>
      <c r="G3988" s="2" t="s">
        <v>8901</v>
      </c>
      <c r="H3988" s="2" t="s">
        <v>5974</v>
      </c>
      <c r="I3988" s="2" t="s">
        <v>19</v>
      </c>
      <c r="J3988" s="3">
        <v>44240</v>
      </c>
      <c r="K3988" s="2">
        <v>94</v>
      </c>
      <c r="L3988" s="2" t="s">
        <v>101</v>
      </c>
      <c r="M3988" s="3"/>
    </row>
    <row r="3989" spans="1:13" x14ac:dyDescent="0.3">
      <c r="A3989" s="2">
        <v>3988</v>
      </c>
      <c r="B3989" s="2" t="s">
        <v>6624</v>
      </c>
      <c r="C3989" s="2" t="s">
        <v>403</v>
      </c>
      <c r="D3989" s="2" t="s">
        <v>51</v>
      </c>
      <c r="E3989" s="2" t="s">
        <v>16</v>
      </c>
      <c r="F3989" s="2">
        <v>90</v>
      </c>
      <c r="G3989" s="2" t="s">
        <v>8901</v>
      </c>
      <c r="H3989" s="2" t="s">
        <v>526</v>
      </c>
      <c r="I3989" s="2" t="s">
        <v>32</v>
      </c>
      <c r="J3989" s="3">
        <v>44210</v>
      </c>
      <c r="K3989" s="2">
        <v>47</v>
      </c>
      <c r="L3989" s="2" t="s">
        <v>39</v>
      </c>
      <c r="M3989" s="3"/>
    </row>
    <row r="3990" spans="1:13" x14ac:dyDescent="0.3">
      <c r="A3990" s="2">
        <v>3989</v>
      </c>
      <c r="B3990" s="2" t="s">
        <v>4368</v>
      </c>
      <c r="C3990" s="2" t="s">
        <v>4469</v>
      </c>
      <c r="D3990" s="2" t="s">
        <v>117</v>
      </c>
      <c r="E3990" s="2" t="s">
        <v>29</v>
      </c>
      <c r="F3990" s="2">
        <v>60</v>
      </c>
      <c r="G3990" s="2" t="s">
        <v>8902</v>
      </c>
      <c r="H3990" s="2" t="s">
        <v>7642</v>
      </c>
      <c r="I3990" s="2" t="s">
        <v>32</v>
      </c>
      <c r="J3990" s="3">
        <v>44363</v>
      </c>
      <c r="K3990" s="2">
        <v>94</v>
      </c>
      <c r="L3990" s="2" t="s">
        <v>101</v>
      </c>
      <c r="M3990" s="3"/>
    </row>
    <row r="3991" spans="1:13" x14ac:dyDescent="0.3">
      <c r="A3991" s="2">
        <v>3990</v>
      </c>
      <c r="B3991" s="2" t="s">
        <v>1229</v>
      </c>
      <c r="C3991" s="2" t="s">
        <v>4143</v>
      </c>
      <c r="D3991" s="2" t="s">
        <v>28</v>
      </c>
      <c r="E3991" s="2" t="s">
        <v>29</v>
      </c>
      <c r="F3991" s="2">
        <v>60</v>
      </c>
      <c r="G3991" s="2" t="s">
        <v>8903</v>
      </c>
      <c r="H3991" s="2" t="s">
        <v>7763</v>
      </c>
      <c r="I3991" s="2" t="s">
        <v>129</v>
      </c>
      <c r="J3991" s="3">
        <v>44782</v>
      </c>
      <c r="K3991" s="2">
        <v>56</v>
      </c>
      <c r="L3991" s="2" t="s">
        <v>64</v>
      </c>
      <c r="M3991" s="3"/>
    </row>
    <row r="3992" spans="1:13" x14ac:dyDescent="0.3">
      <c r="A3992" s="2">
        <v>3991</v>
      </c>
      <c r="B3992" s="2" t="s">
        <v>5789</v>
      </c>
      <c r="C3992" s="2" t="s">
        <v>4994</v>
      </c>
      <c r="D3992" s="2" t="s">
        <v>28</v>
      </c>
      <c r="E3992" s="2" t="s">
        <v>29</v>
      </c>
      <c r="F3992" s="2">
        <v>90</v>
      </c>
      <c r="G3992" s="2" t="s">
        <v>8904</v>
      </c>
      <c r="H3992" s="2" t="s">
        <v>7008</v>
      </c>
      <c r="I3992" s="2" t="s">
        <v>25</v>
      </c>
      <c r="J3992" s="3">
        <v>44881</v>
      </c>
      <c r="K3992" s="2">
        <v>7</v>
      </c>
      <c r="L3992" s="2" t="s">
        <v>45</v>
      </c>
      <c r="M3992" s="3"/>
    </row>
    <row r="3993" spans="1:13" x14ac:dyDescent="0.3">
      <c r="A3993" s="2">
        <v>3992</v>
      </c>
      <c r="B3993" s="2" t="s">
        <v>3537</v>
      </c>
      <c r="C3993" s="2" t="s">
        <v>7138</v>
      </c>
      <c r="D3993" s="2" t="s">
        <v>15</v>
      </c>
      <c r="E3993" s="2" t="s">
        <v>16</v>
      </c>
      <c r="F3993" s="2">
        <v>60</v>
      </c>
      <c r="G3993" s="2" t="s">
        <v>8905</v>
      </c>
      <c r="H3993" s="2" t="s">
        <v>8906</v>
      </c>
      <c r="I3993" s="2" t="s">
        <v>240</v>
      </c>
      <c r="J3993" s="3">
        <v>43994</v>
      </c>
      <c r="K3993" s="2">
        <v>3</v>
      </c>
      <c r="L3993" s="2" t="s">
        <v>64</v>
      </c>
      <c r="M3993" s="3"/>
    </row>
    <row r="3994" spans="1:13" x14ac:dyDescent="0.3">
      <c r="A3994" s="2">
        <v>3993</v>
      </c>
      <c r="B3994" s="2" t="s">
        <v>4029</v>
      </c>
      <c r="C3994" s="2" t="s">
        <v>4949</v>
      </c>
      <c r="D3994" s="2" t="s">
        <v>28</v>
      </c>
      <c r="E3994" s="2" t="s">
        <v>29</v>
      </c>
      <c r="F3994" s="2">
        <v>90</v>
      </c>
      <c r="G3994" s="2" t="s">
        <v>8907</v>
      </c>
      <c r="H3994" s="2" t="s">
        <v>7269</v>
      </c>
      <c r="I3994" s="2" t="s">
        <v>187</v>
      </c>
      <c r="J3994" s="3">
        <v>44289</v>
      </c>
      <c r="L3994" s="2" t="s">
        <v>80</v>
      </c>
      <c r="M3994" s="3"/>
    </row>
    <row r="3995" spans="1:13" x14ac:dyDescent="0.3">
      <c r="A3995" s="2">
        <v>3994</v>
      </c>
      <c r="B3995" s="2" t="s">
        <v>8908</v>
      </c>
      <c r="C3995" s="2" t="s">
        <v>481</v>
      </c>
      <c r="D3995" s="2" t="s">
        <v>15</v>
      </c>
      <c r="E3995" s="2" t="s">
        <v>16</v>
      </c>
      <c r="F3995" s="2">
        <v>30</v>
      </c>
      <c r="G3995" s="2" t="s">
        <v>8909</v>
      </c>
      <c r="H3995" s="2" t="s">
        <v>917</v>
      </c>
      <c r="I3995" s="2" t="s">
        <v>32</v>
      </c>
      <c r="J3995" s="3">
        <v>44645</v>
      </c>
      <c r="K3995" s="2">
        <v>6</v>
      </c>
      <c r="L3995" s="2" t="s">
        <v>45</v>
      </c>
      <c r="M3995" s="3"/>
    </row>
    <row r="3996" spans="1:13" x14ac:dyDescent="0.3">
      <c r="A3996" s="2">
        <v>3995</v>
      </c>
      <c r="B3996" s="2" t="s">
        <v>8910</v>
      </c>
      <c r="C3996" s="2" t="s">
        <v>2773</v>
      </c>
      <c r="D3996" s="2" t="s">
        <v>15</v>
      </c>
      <c r="E3996" s="2" t="s">
        <v>16</v>
      </c>
      <c r="F3996" s="2">
        <v>60</v>
      </c>
      <c r="G3996" s="2" t="s">
        <v>8909</v>
      </c>
      <c r="H3996" s="2" t="s">
        <v>6826</v>
      </c>
      <c r="I3996" s="2" t="s">
        <v>32</v>
      </c>
      <c r="J3996" s="3">
        <v>44437</v>
      </c>
      <c r="K3996" s="2">
        <v>68</v>
      </c>
      <c r="L3996" s="2" t="s">
        <v>101</v>
      </c>
      <c r="M3996" s="3"/>
    </row>
    <row r="3997" spans="1:13" x14ac:dyDescent="0.3">
      <c r="A3997" s="2">
        <v>3996</v>
      </c>
      <c r="B3997" s="2" t="s">
        <v>8911</v>
      </c>
      <c r="C3997" s="2" t="s">
        <v>7226</v>
      </c>
      <c r="D3997" s="2" t="s">
        <v>28</v>
      </c>
      <c r="E3997" s="2" t="s">
        <v>29</v>
      </c>
      <c r="F3997" s="2">
        <v>30</v>
      </c>
      <c r="G3997" s="2" t="s">
        <v>8912</v>
      </c>
      <c r="H3997" s="2" t="s">
        <v>2380</v>
      </c>
      <c r="I3997" s="2" t="s">
        <v>173</v>
      </c>
      <c r="J3997" s="3">
        <v>44302</v>
      </c>
      <c r="K3997" s="2">
        <v>3</v>
      </c>
      <c r="L3997" s="2" t="s">
        <v>64</v>
      </c>
      <c r="M3997" s="3"/>
    </row>
    <row r="3998" spans="1:13" x14ac:dyDescent="0.3">
      <c r="A3998" s="2">
        <v>3997</v>
      </c>
      <c r="B3998" s="2" t="s">
        <v>1985</v>
      </c>
      <c r="C3998" s="2" t="s">
        <v>8913</v>
      </c>
      <c r="D3998" s="2" t="s">
        <v>28</v>
      </c>
      <c r="E3998" s="2" t="s">
        <v>29</v>
      </c>
      <c r="F3998" s="2">
        <v>60</v>
      </c>
      <c r="G3998" s="2" t="s">
        <v>8912</v>
      </c>
      <c r="H3998" s="2" t="s">
        <v>408</v>
      </c>
      <c r="I3998" s="2" t="s">
        <v>25</v>
      </c>
      <c r="J3998" s="3">
        <v>44038</v>
      </c>
      <c r="K3998" s="2">
        <v>78</v>
      </c>
      <c r="L3998" s="2" t="s">
        <v>101</v>
      </c>
      <c r="M3998" s="3"/>
    </row>
    <row r="3999" spans="1:13" x14ac:dyDescent="0.3">
      <c r="A3999" s="2">
        <v>3998</v>
      </c>
      <c r="B3999" s="2" t="s">
        <v>8914</v>
      </c>
      <c r="C3999" s="2" t="s">
        <v>8915</v>
      </c>
      <c r="D3999" s="2" t="s">
        <v>51</v>
      </c>
      <c r="E3999" s="2" t="s">
        <v>16</v>
      </c>
      <c r="F3999" s="2">
        <v>90</v>
      </c>
      <c r="G3999" s="2" t="s">
        <v>8916</v>
      </c>
      <c r="H3999" s="2" t="s">
        <v>6736</v>
      </c>
      <c r="I3999" s="2" t="s">
        <v>32</v>
      </c>
      <c r="J3999" s="3">
        <v>44116</v>
      </c>
      <c r="K3999" s="2">
        <v>77</v>
      </c>
      <c r="L3999" s="2" t="s">
        <v>159</v>
      </c>
      <c r="M3999" s="3"/>
    </row>
    <row r="4000" spans="1:13" x14ac:dyDescent="0.3">
      <c r="A4000" s="2">
        <v>3999</v>
      </c>
      <c r="B4000" s="2" t="s">
        <v>2650</v>
      </c>
      <c r="C4000" s="2" t="s">
        <v>8917</v>
      </c>
      <c r="D4000" s="2" t="s">
        <v>28</v>
      </c>
      <c r="E4000" s="2" t="s">
        <v>29</v>
      </c>
      <c r="F4000" s="2">
        <v>90</v>
      </c>
      <c r="G4000" s="2" t="s">
        <v>8918</v>
      </c>
      <c r="H4000" s="2" t="s">
        <v>2163</v>
      </c>
      <c r="I4000" s="2" t="s">
        <v>1824</v>
      </c>
      <c r="J4000" s="3">
        <v>44012</v>
      </c>
      <c r="K4000" s="2">
        <v>45</v>
      </c>
      <c r="L4000" s="2" t="s">
        <v>39</v>
      </c>
      <c r="M4000" s="3"/>
    </row>
    <row r="4001" spans="1:13" x14ac:dyDescent="0.3">
      <c r="A4001" s="2">
        <v>4000</v>
      </c>
      <c r="B4001" s="2" t="s">
        <v>8919</v>
      </c>
      <c r="C4001" s="2" t="s">
        <v>7485</v>
      </c>
      <c r="D4001" s="2" t="s">
        <v>15</v>
      </c>
      <c r="E4001" s="2" t="s">
        <v>16</v>
      </c>
      <c r="F4001" s="2">
        <v>60</v>
      </c>
      <c r="G4001" s="2" t="s">
        <v>8920</v>
      </c>
      <c r="H4001" s="2" t="s">
        <v>6787</v>
      </c>
      <c r="I4001" s="2" t="s">
        <v>1035</v>
      </c>
      <c r="J4001" s="3">
        <v>44063</v>
      </c>
      <c r="K4001" s="2">
        <v>59</v>
      </c>
      <c r="L4001" s="2" t="s">
        <v>33</v>
      </c>
      <c r="M4001" s="3"/>
    </row>
    <row r="4002" spans="1:13" x14ac:dyDescent="0.3">
      <c r="A4002" s="2">
        <v>4001</v>
      </c>
      <c r="B4002" s="2" t="s">
        <v>5559</v>
      </c>
      <c r="C4002" s="2" t="s">
        <v>3269</v>
      </c>
      <c r="D4002" s="2" t="s">
        <v>28</v>
      </c>
      <c r="E4002" s="2" t="s">
        <v>29</v>
      </c>
      <c r="F4002" s="2">
        <v>60</v>
      </c>
      <c r="G4002" s="2" t="s">
        <v>8921</v>
      </c>
      <c r="H4002" s="2" t="s">
        <v>4077</v>
      </c>
      <c r="I4002" s="2" t="s">
        <v>554</v>
      </c>
      <c r="J4002" s="3">
        <v>43902</v>
      </c>
      <c r="K4002" s="2">
        <v>11</v>
      </c>
      <c r="L4002" s="2" t="s">
        <v>80</v>
      </c>
      <c r="M4002" s="3"/>
    </row>
    <row r="4003" spans="1:13" x14ac:dyDescent="0.3">
      <c r="A4003" s="2">
        <v>4002</v>
      </c>
      <c r="B4003" s="2" t="s">
        <v>3696</v>
      </c>
      <c r="C4003" s="2" t="s">
        <v>7149</v>
      </c>
      <c r="D4003" s="2" t="s">
        <v>41</v>
      </c>
      <c r="E4003" s="2" t="s">
        <v>16</v>
      </c>
      <c r="F4003" s="2">
        <v>30</v>
      </c>
      <c r="G4003" s="2" t="s">
        <v>8922</v>
      </c>
      <c r="H4003" s="2" t="s">
        <v>917</v>
      </c>
      <c r="I4003" s="2" t="s">
        <v>32</v>
      </c>
      <c r="J4003" s="3">
        <v>44903</v>
      </c>
      <c r="K4003" s="2">
        <v>73</v>
      </c>
      <c r="L4003" s="2" t="s">
        <v>39</v>
      </c>
      <c r="M4003" s="3"/>
    </row>
    <row r="4004" spans="1:13" x14ac:dyDescent="0.3">
      <c r="A4004" s="2">
        <v>4003</v>
      </c>
      <c r="B4004" s="2" t="s">
        <v>8923</v>
      </c>
      <c r="C4004" s="2" t="s">
        <v>1765</v>
      </c>
      <c r="D4004" s="2" t="s">
        <v>51</v>
      </c>
      <c r="E4004" s="2" t="s">
        <v>16</v>
      </c>
      <c r="F4004" s="2">
        <v>90</v>
      </c>
      <c r="G4004" s="2" t="s">
        <v>8924</v>
      </c>
      <c r="H4004" s="2" t="s">
        <v>2893</v>
      </c>
      <c r="I4004" s="2" t="s">
        <v>32</v>
      </c>
      <c r="J4004" s="3">
        <v>44785</v>
      </c>
      <c r="K4004" s="2">
        <v>46</v>
      </c>
      <c r="L4004" s="2" t="s">
        <v>80</v>
      </c>
      <c r="M4004" s="3"/>
    </row>
    <row r="4005" spans="1:13" x14ac:dyDescent="0.3">
      <c r="A4005" s="2">
        <v>4004</v>
      </c>
      <c r="B4005" s="2" t="s">
        <v>4460</v>
      </c>
      <c r="C4005" s="2" t="s">
        <v>391</v>
      </c>
      <c r="D4005" s="2" t="s">
        <v>28</v>
      </c>
      <c r="E4005" s="2" t="s">
        <v>29</v>
      </c>
      <c r="F4005" s="2">
        <v>30</v>
      </c>
      <c r="G4005" s="2" t="s">
        <v>8925</v>
      </c>
      <c r="H4005" s="2" t="s">
        <v>1272</v>
      </c>
      <c r="I4005" s="2" t="s">
        <v>59</v>
      </c>
      <c r="J4005" s="3">
        <v>44213</v>
      </c>
      <c r="K4005" s="2">
        <v>16</v>
      </c>
      <c r="L4005" s="2" t="s">
        <v>70</v>
      </c>
      <c r="M4005" s="3"/>
    </row>
    <row r="4006" spans="1:13" x14ac:dyDescent="0.3">
      <c r="A4006" s="2">
        <v>4005</v>
      </c>
      <c r="B4006" s="2" t="s">
        <v>8926</v>
      </c>
      <c r="C4006" s="2" t="s">
        <v>1813</v>
      </c>
      <c r="D4006" s="2" t="s">
        <v>51</v>
      </c>
      <c r="E4006" s="2" t="s">
        <v>16</v>
      </c>
      <c r="F4006" s="2">
        <v>60</v>
      </c>
      <c r="G4006" s="2" t="s">
        <v>8925</v>
      </c>
      <c r="H4006" s="2" t="s">
        <v>2076</v>
      </c>
      <c r="I4006" s="2" t="s">
        <v>2077</v>
      </c>
      <c r="J4006" s="3">
        <v>44241</v>
      </c>
      <c r="K4006" s="2">
        <v>11</v>
      </c>
      <c r="L4006" s="2" t="s">
        <v>70</v>
      </c>
      <c r="M4006" s="3"/>
    </row>
    <row r="4007" spans="1:13" x14ac:dyDescent="0.3">
      <c r="A4007" s="2">
        <v>4006</v>
      </c>
      <c r="B4007" s="2" t="s">
        <v>7734</v>
      </c>
      <c r="C4007" s="2" t="s">
        <v>8134</v>
      </c>
      <c r="D4007" s="2" t="s">
        <v>15</v>
      </c>
      <c r="E4007" s="2" t="s">
        <v>16</v>
      </c>
      <c r="F4007" s="2">
        <v>90</v>
      </c>
      <c r="G4007" s="2" t="s">
        <v>8927</v>
      </c>
      <c r="H4007" s="2" t="s">
        <v>2831</v>
      </c>
      <c r="I4007" s="2" t="s">
        <v>32</v>
      </c>
      <c r="J4007" s="3">
        <v>44340</v>
      </c>
      <c r="K4007" s="2">
        <v>72</v>
      </c>
      <c r="L4007" s="2" t="s">
        <v>33</v>
      </c>
      <c r="M4007" s="3"/>
    </row>
    <row r="4008" spans="1:13" x14ac:dyDescent="0.3">
      <c r="A4008" s="2">
        <v>4007</v>
      </c>
      <c r="B4008" s="2" t="s">
        <v>7896</v>
      </c>
      <c r="C4008" s="2" t="s">
        <v>2480</v>
      </c>
      <c r="D4008" s="2" t="s">
        <v>92</v>
      </c>
      <c r="E4008" s="2" t="s">
        <v>16</v>
      </c>
      <c r="F4008" s="2">
        <v>30</v>
      </c>
      <c r="G4008" s="2" t="s">
        <v>8928</v>
      </c>
      <c r="H4008" s="2" t="s">
        <v>7689</v>
      </c>
      <c r="I4008" s="2" t="s">
        <v>38</v>
      </c>
      <c r="J4008" s="3">
        <v>44752</v>
      </c>
      <c r="K4008" s="2">
        <v>41</v>
      </c>
      <c r="L4008" s="2" t="s">
        <v>39</v>
      </c>
      <c r="M4008" s="3"/>
    </row>
    <row r="4009" spans="1:13" x14ac:dyDescent="0.3">
      <c r="A4009" s="2">
        <v>4008</v>
      </c>
      <c r="B4009" s="2" t="s">
        <v>7896</v>
      </c>
      <c r="C4009" s="2" t="s">
        <v>2480</v>
      </c>
      <c r="D4009" s="2" t="s">
        <v>92</v>
      </c>
      <c r="E4009" s="2" t="s">
        <v>16</v>
      </c>
      <c r="F4009" s="2">
        <v>30</v>
      </c>
      <c r="G4009" s="2" t="s">
        <v>8928</v>
      </c>
      <c r="H4009" s="2" t="s">
        <v>7689</v>
      </c>
      <c r="I4009" s="2" t="s">
        <v>38</v>
      </c>
      <c r="J4009" s="3">
        <v>44752</v>
      </c>
      <c r="K4009" s="2">
        <v>41</v>
      </c>
      <c r="L4009" s="2" t="s">
        <v>39</v>
      </c>
      <c r="M4009" s="3"/>
    </row>
    <row r="4010" spans="1:13" x14ac:dyDescent="0.3">
      <c r="A4010" s="2">
        <v>4009</v>
      </c>
      <c r="B4010" s="2" t="s">
        <v>8929</v>
      </c>
      <c r="C4010" s="2" t="s">
        <v>2125</v>
      </c>
      <c r="D4010" s="2" t="s">
        <v>51</v>
      </c>
      <c r="E4010" s="2" t="s">
        <v>16</v>
      </c>
      <c r="F4010" s="2">
        <v>60</v>
      </c>
      <c r="G4010" s="2" t="s">
        <v>8930</v>
      </c>
      <c r="H4010" s="2" t="s">
        <v>270</v>
      </c>
      <c r="I4010" s="2" t="s">
        <v>187</v>
      </c>
      <c r="J4010" s="3">
        <v>43961</v>
      </c>
      <c r="K4010" s="2">
        <v>23</v>
      </c>
      <c r="L4010" s="2" t="s">
        <v>39</v>
      </c>
      <c r="M4010" s="3"/>
    </row>
    <row r="4011" spans="1:13" x14ac:dyDescent="0.3">
      <c r="A4011" s="2">
        <v>4010</v>
      </c>
      <c r="B4011" s="2" t="s">
        <v>7006</v>
      </c>
      <c r="C4011" s="2" t="s">
        <v>328</v>
      </c>
      <c r="D4011" s="2" t="s">
        <v>28</v>
      </c>
      <c r="E4011" s="2" t="s">
        <v>29</v>
      </c>
      <c r="F4011" s="2">
        <v>90</v>
      </c>
      <c r="G4011" s="2" t="s">
        <v>8931</v>
      </c>
      <c r="H4011" s="2" t="s">
        <v>5778</v>
      </c>
      <c r="I4011" s="2" t="s">
        <v>1311</v>
      </c>
      <c r="J4011" s="3">
        <v>43932</v>
      </c>
      <c r="K4011" s="2">
        <v>7</v>
      </c>
      <c r="L4011" s="2" t="s">
        <v>39</v>
      </c>
      <c r="M4011" s="3"/>
    </row>
    <row r="4012" spans="1:13" x14ac:dyDescent="0.3">
      <c r="A4012" s="2">
        <v>4011</v>
      </c>
      <c r="B4012" s="2" t="s">
        <v>8932</v>
      </c>
      <c r="C4012" s="2" t="s">
        <v>4324</v>
      </c>
      <c r="D4012" s="2" t="s">
        <v>15</v>
      </c>
      <c r="E4012" s="2" t="s">
        <v>16</v>
      </c>
      <c r="F4012" s="2">
        <v>30</v>
      </c>
      <c r="G4012" s="2" t="s">
        <v>8933</v>
      </c>
      <c r="H4012" s="2" t="s">
        <v>8019</v>
      </c>
      <c r="I4012" s="2" t="s">
        <v>32</v>
      </c>
      <c r="J4012" s="3">
        <v>44037</v>
      </c>
      <c r="K4012" s="2">
        <v>76</v>
      </c>
      <c r="L4012" s="2" t="s">
        <v>33</v>
      </c>
      <c r="M4012" s="3"/>
    </row>
    <row r="4013" spans="1:13" x14ac:dyDescent="0.3">
      <c r="A4013" s="2">
        <v>4012</v>
      </c>
      <c r="B4013" s="2" t="s">
        <v>8934</v>
      </c>
      <c r="C4013" s="2" t="s">
        <v>34</v>
      </c>
      <c r="D4013" s="2" t="s">
        <v>51</v>
      </c>
      <c r="E4013" s="2" t="s">
        <v>16</v>
      </c>
      <c r="F4013" s="2">
        <v>60</v>
      </c>
      <c r="G4013" s="2" t="s">
        <v>8935</v>
      </c>
      <c r="H4013" s="2" t="s">
        <v>4678</v>
      </c>
      <c r="I4013" s="2" t="s">
        <v>886</v>
      </c>
      <c r="J4013" s="3">
        <v>44838</v>
      </c>
      <c r="K4013" s="2">
        <v>12</v>
      </c>
      <c r="L4013" s="2" t="s">
        <v>20</v>
      </c>
      <c r="M4013" s="3"/>
    </row>
    <row r="4014" spans="1:13" x14ac:dyDescent="0.3">
      <c r="A4014" s="2">
        <v>4013</v>
      </c>
      <c r="B4014" s="2" t="s">
        <v>8936</v>
      </c>
      <c r="C4014" s="2" t="s">
        <v>367</v>
      </c>
      <c r="D4014" s="2" t="s">
        <v>51</v>
      </c>
      <c r="E4014" s="2" t="s">
        <v>16</v>
      </c>
      <c r="F4014" s="2">
        <v>30</v>
      </c>
      <c r="G4014" s="2" t="s">
        <v>8937</v>
      </c>
      <c r="H4014" s="2" t="s">
        <v>4334</v>
      </c>
      <c r="I4014" s="2" t="s">
        <v>1199</v>
      </c>
      <c r="J4014" s="3">
        <v>44361</v>
      </c>
      <c r="K4014" s="2">
        <v>25</v>
      </c>
      <c r="L4014" s="2" t="s">
        <v>101</v>
      </c>
      <c r="M4014" s="3"/>
    </row>
    <row r="4015" spans="1:13" x14ac:dyDescent="0.3">
      <c r="A4015" s="2">
        <v>4014</v>
      </c>
      <c r="B4015" s="2" t="s">
        <v>6075</v>
      </c>
      <c r="C4015" s="2" t="s">
        <v>8551</v>
      </c>
      <c r="D4015" s="2" t="s">
        <v>28</v>
      </c>
      <c r="E4015" s="2" t="s">
        <v>29</v>
      </c>
      <c r="F4015" s="2">
        <v>90</v>
      </c>
      <c r="G4015" s="2" t="s">
        <v>8938</v>
      </c>
      <c r="H4015" s="2" t="s">
        <v>2179</v>
      </c>
      <c r="I4015" s="2" t="s">
        <v>294</v>
      </c>
      <c r="J4015" s="3">
        <v>44235</v>
      </c>
      <c r="K4015" s="2">
        <v>62</v>
      </c>
      <c r="L4015" s="2" t="s">
        <v>45</v>
      </c>
      <c r="M4015" s="3"/>
    </row>
    <row r="4016" spans="1:13" x14ac:dyDescent="0.3">
      <c r="A4016" s="2">
        <v>4015</v>
      </c>
      <c r="B4016" s="2" t="s">
        <v>8939</v>
      </c>
      <c r="C4016" s="2" t="s">
        <v>2903</v>
      </c>
      <c r="D4016" s="2" t="s">
        <v>51</v>
      </c>
      <c r="E4016" s="2" t="s">
        <v>16</v>
      </c>
      <c r="F4016" s="2">
        <v>90</v>
      </c>
      <c r="G4016" s="2" t="s">
        <v>8940</v>
      </c>
      <c r="H4016" s="2" t="s">
        <v>1609</v>
      </c>
      <c r="I4016" s="2" t="s">
        <v>32</v>
      </c>
      <c r="J4016" s="3">
        <v>44914</v>
      </c>
      <c r="K4016" s="2">
        <v>65</v>
      </c>
      <c r="L4016" s="2" t="s">
        <v>54</v>
      </c>
      <c r="M4016" s="3"/>
    </row>
    <row r="4017" spans="1:13" x14ac:dyDescent="0.3">
      <c r="A4017" s="2">
        <v>4016</v>
      </c>
      <c r="B4017" s="2" t="s">
        <v>5518</v>
      </c>
      <c r="C4017" s="2" t="s">
        <v>665</v>
      </c>
      <c r="D4017" s="2" t="s">
        <v>28</v>
      </c>
      <c r="E4017" s="2" t="s">
        <v>29</v>
      </c>
      <c r="F4017" s="2">
        <v>30</v>
      </c>
      <c r="G4017" s="2" t="s">
        <v>8941</v>
      </c>
      <c r="H4017" s="2" t="s">
        <v>7154</v>
      </c>
      <c r="I4017" s="2" t="s">
        <v>32</v>
      </c>
      <c r="J4017" s="3">
        <v>44319</v>
      </c>
      <c r="K4017" s="2">
        <v>53</v>
      </c>
      <c r="L4017" s="2" t="s">
        <v>33</v>
      </c>
      <c r="M4017" s="3"/>
    </row>
    <row r="4018" spans="1:13" x14ac:dyDescent="0.3">
      <c r="A4018" s="2">
        <v>4017</v>
      </c>
      <c r="B4018" s="2" t="s">
        <v>8942</v>
      </c>
      <c r="C4018" s="2" t="s">
        <v>8467</v>
      </c>
      <c r="D4018" s="2" t="s">
        <v>28</v>
      </c>
      <c r="E4018" s="2" t="s">
        <v>29</v>
      </c>
      <c r="F4018" s="2">
        <v>60</v>
      </c>
      <c r="G4018" s="2" t="s">
        <v>8943</v>
      </c>
      <c r="H4018" s="2" t="s">
        <v>43</v>
      </c>
      <c r="I4018" s="2" t="s">
        <v>44</v>
      </c>
      <c r="J4018" s="3">
        <v>44437</v>
      </c>
      <c r="K4018" s="2">
        <v>91</v>
      </c>
      <c r="L4018" s="2" t="s">
        <v>70</v>
      </c>
      <c r="M4018" s="3"/>
    </row>
    <row r="4019" spans="1:13" x14ac:dyDescent="0.3">
      <c r="A4019" s="2">
        <v>4018</v>
      </c>
      <c r="B4019" s="2" t="s">
        <v>8944</v>
      </c>
      <c r="C4019" s="2" t="s">
        <v>1386</v>
      </c>
      <c r="D4019" s="2" t="s">
        <v>41</v>
      </c>
      <c r="E4019" s="2" t="s">
        <v>16</v>
      </c>
      <c r="F4019" s="2">
        <v>60</v>
      </c>
      <c r="G4019" s="2" t="s">
        <v>8945</v>
      </c>
      <c r="H4019" s="2" t="s">
        <v>8946</v>
      </c>
      <c r="I4019" s="2" t="s">
        <v>95</v>
      </c>
      <c r="J4019" s="3">
        <v>44262</v>
      </c>
      <c r="K4019" s="2">
        <v>35</v>
      </c>
      <c r="L4019" s="2" t="s">
        <v>64</v>
      </c>
      <c r="M4019" s="3"/>
    </row>
    <row r="4020" spans="1:13" x14ac:dyDescent="0.3">
      <c r="A4020" s="2">
        <v>4019</v>
      </c>
      <c r="B4020" s="2" t="s">
        <v>2951</v>
      </c>
      <c r="C4020" s="2" t="s">
        <v>232</v>
      </c>
      <c r="D4020" s="2" t="s">
        <v>15</v>
      </c>
      <c r="E4020" s="2" t="s">
        <v>16</v>
      </c>
      <c r="F4020" s="2">
        <v>30</v>
      </c>
      <c r="G4020" s="2" t="s">
        <v>8947</v>
      </c>
      <c r="H4020" s="2" t="s">
        <v>764</v>
      </c>
      <c r="I4020" s="2" t="s">
        <v>32</v>
      </c>
      <c r="J4020" s="3">
        <v>43934</v>
      </c>
      <c r="K4020" s="2">
        <v>71</v>
      </c>
      <c r="L4020" s="2" t="s">
        <v>20</v>
      </c>
      <c r="M4020" s="3"/>
    </row>
    <row r="4021" spans="1:13" x14ac:dyDescent="0.3">
      <c r="A4021" s="2">
        <v>4020</v>
      </c>
      <c r="B4021" s="2" t="s">
        <v>3999</v>
      </c>
      <c r="C4021" s="2" t="s">
        <v>851</v>
      </c>
      <c r="D4021" s="2" t="s">
        <v>28</v>
      </c>
      <c r="E4021" s="2" t="s">
        <v>29</v>
      </c>
      <c r="F4021" s="2">
        <v>30</v>
      </c>
      <c r="G4021" s="2" t="s">
        <v>8948</v>
      </c>
      <c r="H4021" s="2" t="s">
        <v>5173</v>
      </c>
      <c r="I4021" s="2" t="s">
        <v>686</v>
      </c>
      <c r="J4021" s="3">
        <v>44707</v>
      </c>
      <c r="K4021" s="2">
        <v>44</v>
      </c>
      <c r="L4021" s="2" t="s">
        <v>54</v>
      </c>
      <c r="M4021" s="3"/>
    </row>
    <row r="4022" spans="1:13" x14ac:dyDescent="0.3">
      <c r="A4022" s="2">
        <v>4021</v>
      </c>
      <c r="B4022" s="2" t="s">
        <v>8949</v>
      </c>
      <c r="C4022" s="2" t="s">
        <v>4153</v>
      </c>
      <c r="D4022" s="2" t="s">
        <v>15</v>
      </c>
      <c r="E4022" s="2" t="s">
        <v>16</v>
      </c>
      <c r="F4022" s="2">
        <v>30</v>
      </c>
      <c r="G4022" s="2" t="s">
        <v>8948</v>
      </c>
      <c r="H4022" s="2" t="s">
        <v>1318</v>
      </c>
      <c r="I4022" s="2" t="s">
        <v>32</v>
      </c>
      <c r="J4022" s="3">
        <v>43933</v>
      </c>
      <c r="K4022" s="2">
        <v>82</v>
      </c>
      <c r="L4022" s="2" t="s">
        <v>20</v>
      </c>
      <c r="M4022" s="3"/>
    </row>
    <row r="4023" spans="1:13" x14ac:dyDescent="0.3">
      <c r="A4023" s="2">
        <v>4022</v>
      </c>
      <c r="B4023" s="2" t="s">
        <v>8950</v>
      </c>
      <c r="C4023" s="2" t="s">
        <v>2928</v>
      </c>
      <c r="D4023" s="2" t="s">
        <v>28</v>
      </c>
      <c r="E4023" s="2" t="s">
        <v>29</v>
      </c>
      <c r="F4023" s="2">
        <v>30</v>
      </c>
      <c r="G4023" s="2" t="s">
        <v>8951</v>
      </c>
      <c r="H4023" s="2" t="s">
        <v>389</v>
      </c>
      <c r="I4023" s="2" t="s">
        <v>32</v>
      </c>
      <c r="J4023" s="3">
        <v>44431</v>
      </c>
      <c r="K4023" s="2">
        <v>41</v>
      </c>
      <c r="L4023" s="2" t="s">
        <v>80</v>
      </c>
      <c r="M4023" s="3"/>
    </row>
    <row r="4024" spans="1:13" x14ac:dyDescent="0.3">
      <c r="A4024" s="2">
        <v>4023</v>
      </c>
      <c r="B4024" s="2" t="s">
        <v>6096</v>
      </c>
      <c r="C4024" s="2" t="s">
        <v>1212</v>
      </c>
      <c r="D4024" s="2" t="s">
        <v>28</v>
      </c>
      <c r="E4024" s="2" t="s">
        <v>29</v>
      </c>
      <c r="F4024" s="2">
        <v>60</v>
      </c>
      <c r="G4024" s="2" t="s">
        <v>8952</v>
      </c>
      <c r="H4024" s="2" t="s">
        <v>6069</v>
      </c>
      <c r="I4024" s="2" t="s">
        <v>294</v>
      </c>
      <c r="J4024" s="3">
        <v>44489</v>
      </c>
      <c r="K4024" s="2">
        <v>83</v>
      </c>
      <c r="L4024" s="2" t="s">
        <v>101</v>
      </c>
      <c r="M4024" s="3"/>
    </row>
    <row r="4025" spans="1:13" x14ac:dyDescent="0.3">
      <c r="A4025" s="2">
        <v>4024</v>
      </c>
      <c r="B4025" s="2" t="s">
        <v>2009</v>
      </c>
      <c r="C4025" s="2" t="s">
        <v>3941</v>
      </c>
      <c r="D4025" s="2" t="s">
        <v>28</v>
      </c>
      <c r="E4025" s="2" t="s">
        <v>29</v>
      </c>
      <c r="F4025" s="2">
        <v>90</v>
      </c>
      <c r="G4025" s="2" t="s">
        <v>8953</v>
      </c>
      <c r="H4025" s="2" t="s">
        <v>5664</v>
      </c>
      <c r="I4025" s="2" t="s">
        <v>187</v>
      </c>
      <c r="J4025" s="3">
        <v>44464</v>
      </c>
      <c r="K4025" s="2">
        <v>16</v>
      </c>
      <c r="L4025" s="2" t="s">
        <v>54</v>
      </c>
      <c r="M4025" s="3"/>
    </row>
    <row r="4026" spans="1:13" x14ac:dyDescent="0.3">
      <c r="A4026" s="2">
        <v>4025</v>
      </c>
      <c r="B4026" s="2" t="s">
        <v>2887</v>
      </c>
      <c r="C4026" s="2" t="s">
        <v>8954</v>
      </c>
      <c r="D4026" s="2" t="s">
        <v>28</v>
      </c>
      <c r="E4026" s="2" t="s">
        <v>29</v>
      </c>
      <c r="F4026" s="2">
        <v>90</v>
      </c>
      <c r="G4026" s="2" t="s">
        <v>8955</v>
      </c>
      <c r="H4026" s="2" t="s">
        <v>938</v>
      </c>
      <c r="I4026" s="2" t="s">
        <v>25</v>
      </c>
      <c r="J4026" s="3">
        <v>44863</v>
      </c>
      <c r="K4026" s="2">
        <v>17</v>
      </c>
      <c r="L4026" s="2" t="s">
        <v>80</v>
      </c>
      <c r="M4026" s="3"/>
    </row>
    <row r="4027" spans="1:13" x14ac:dyDescent="0.3">
      <c r="A4027" s="2">
        <v>4026</v>
      </c>
      <c r="B4027" s="2" t="s">
        <v>4775</v>
      </c>
      <c r="C4027" s="2" t="s">
        <v>5001</v>
      </c>
      <c r="D4027" s="2" t="s">
        <v>28</v>
      </c>
      <c r="E4027" s="2" t="s">
        <v>29</v>
      </c>
      <c r="F4027" s="2">
        <v>60</v>
      </c>
      <c r="G4027" s="2" t="s">
        <v>8956</v>
      </c>
      <c r="H4027" s="2" t="s">
        <v>8642</v>
      </c>
      <c r="I4027" s="2" t="s">
        <v>294</v>
      </c>
      <c r="J4027" s="3">
        <v>44703</v>
      </c>
      <c r="K4027" s="2">
        <v>105</v>
      </c>
      <c r="L4027" s="2" t="s">
        <v>39</v>
      </c>
      <c r="M4027" s="3"/>
    </row>
    <row r="4028" spans="1:13" x14ac:dyDescent="0.3">
      <c r="A4028" s="2">
        <v>4027</v>
      </c>
      <c r="B4028" s="2" t="s">
        <v>3501</v>
      </c>
      <c r="C4028" s="2" t="s">
        <v>4116</v>
      </c>
      <c r="D4028" s="2" t="s">
        <v>28</v>
      </c>
      <c r="E4028" s="2" t="s">
        <v>29</v>
      </c>
      <c r="F4028" s="2">
        <v>30</v>
      </c>
      <c r="G4028" s="2" t="s">
        <v>8957</v>
      </c>
      <c r="H4028" s="2" t="s">
        <v>389</v>
      </c>
      <c r="I4028" s="2" t="s">
        <v>32</v>
      </c>
      <c r="J4028" s="3">
        <v>43858</v>
      </c>
      <c r="K4028" s="2">
        <v>20</v>
      </c>
      <c r="L4028" s="2" t="s">
        <v>80</v>
      </c>
      <c r="M4028" s="3"/>
    </row>
    <row r="4029" spans="1:13" x14ac:dyDescent="0.3">
      <c r="A4029" s="2">
        <v>4028</v>
      </c>
      <c r="B4029" s="2" t="s">
        <v>3563</v>
      </c>
      <c r="C4029" s="2" t="s">
        <v>6291</v>
      </c>
      <c r="D4029" s="2" t="s">
        <v>28</v>
      </c>
      <c r="E4029" s="2" t="s">
        <v>29</v>
      </c>
      <c r="F4029" s="2">
        <v>30</v>
      </c>
      <c r="G4029" s="2" t="s">
        <v>8958</v>
      </c>
      <c r="H4029" s="2" t="s">
        <v>396</v>
      </c>
      <c r="I4029" s="2" t="s">
        <v>32</v>
      </c>
      <c r="J4029" s="3">
        <v>44283</v>
      </c>
      <c r="K4029" s="2">
        <v>46</v>
      </c>
      <c r="L4029" s="2" t="s">
        <v>39</v>
      </c>
      <c r="M4029" s="3"/>
    </row>
    <row r="4030" spans="1:13" x14ac:dyDescent="0.3">
      <c r="A4030" s="2">
        <v>4029</v>
      </c>
      <c r="B4030" s="2" t="s">
        <v>8959</v>
      </c>
      <c r="C4030" s="2" t="s">
        <v>3071</v>
      </c>
      <c r="D4030" s="2" t="s">
        <v>51</v>
      </c>
      <c r="E4030" s="2" t="s">
        <v>16</v>
      </c>
      <c r="F4030" s="2">
        <v>60</v>
      </c>
      <c r="G4030" s="2" t="s">
        <v>8960</v>
      </c>
      <c r="H4030" s="2" t="s">
        <v>4098</v>
      </c>
      <c r="I4030" s="2" t="s">
        <v>1889</v>
      </c>
      <c r="J4030" s="3">
        <v>44669</v>
      </c>
      <c r="K4030" s="2">
        <v>82</v>
      </c>
      <c r="L4030" s="2" t="s">
        <v>64</v>
      </c>
      <c r="M4030" s="3"/>
    </row>
    <row r="4031" spans="1:13" x14ac:dyDescent="0.3">
      <c r="A4031" s="2">
        <v>4030</v>
      </c>
      <c r="B4031" s="2" t="s">
        <v>6737</v>
      </c>
      <c r="C4031" s="2" t="s">
        <v>6793</v>
      </c>
      <c r="D4031" s="2" t="s">
        <v>51</v>
      </c>
      <c r="E4031" s="2" t="s">
        <v>16</v>
      </c>
      <c r="F4031" s="2">
        <v>30</v>
      </c>
      <c r="G4031" s="2" t="s">
        <v>8961</v>
      </c>
      <c r="H4031" s="2" t="s">
        <v>3194</v>
      </c>
      <c r="I4031" s="2" t="s">
        <v>819</v>
      </c>
      <c r="J4031" s="3">
        <v>44342</v>
      </c>
      <c r="K4031" s="2">
        <v>12</v>
      </c>
      <c r="L4031" s="2" t="s">
        <v>39</v>
      </c>
      <c r="M4031" s="3"/>
    </row>
    <row r="4032" spans="1:13" x14ac:dyDescent="0.3">
      <c r="A4032" s="2">
        <v>4031</v>
      </c>
      <c r="B4032" s="2" t="s">
        <v>6532</v>
      </c>
      <c r="C4032" s="2" t="s">
        <v>2750</v>
      </c>
      <c r="D4032" s="2" t="s">
        <v>28</v>
      </c>
      <c r="E4032" s="2" t="s">
        <v>29</v>
      </c>
      <c r="F4032" s="2">
        <v>30</v>
      </c>
      <c r="G4032" s="2" t="s">
        <v>8962</v>
      </c>
      <c r="H4032" s="2" t="s">
        <v>4090</v>
      </c>
      <c r="I4032" s="2" t="s">
        <v>32</v>
      </c>
      <c r="J4032" s="3">
        <v>44623</v>
      </c>
      <c r="K4032" s="2">
        <v>63</v>
      </c>
      <c r="L4032" s="2" t="s">
        <v>101</v>
      </c>
      <c r="M4032" s="3"/>
    </row>
    <row r="4033" spans="1:13" x14ac:dyDescent="0.3">
      <c r="A4033" s="2">
        <v>4032</v>
      </c>
      <c r="B4033" s="2" t="s">
        <v>4605</v>
      </c>
      <c r="C4033" s="2" t="s">
        <v>3584</v>
      </c>
      <c r="D4033" s="2" t="s">
        <v>28</v>
      </c>
      <c r="E4033" s="2" t="s">
        <v>29</v>
      </c>
      <c r="F4033" s="2">
        <v>60</v>
      </c>
      <c r="G4033" s="2" t="s">
        <v>8963</v>
      </c>
      <c r="H4033" s="2" t="s">
        <v>4911</v>
      </c>
      <c r="I4033" s="2" t="s">
        <v>95</v>
      </c>
      <c r="J4033" s="3">
        <v>44767</v>
      </c>
      <c r="K4033" s="2">
        <v>48</v>
      </c>
      <c r="L4033" s="2" t="s">
        <v>45</v>
      </c>
      <c r="M4033" s="3"/>
    </row>
    <row r="4034" spans="1:13" x14ac:dyDescent="0.3">
      <c r="A4034" s="2">
        <v>4033</v>
      </c>
      <c r="B4034" s="2" t="s">
        <v>8964</v>
      </c>
      <c r="C4034" s="2" t="s">
        <v>8156</v>
      </c>
      <c r="D4034" s="2" t="s">
        <v>51</v>
      </c>
      <c r="E4034" s="2" t="s">
        <v>16</v>
      </c>
      <c r="F4034" s="2">
        <v>30</v>
      </c>
      <c r="G4034" s="2" t="s">
        <v>8965</v>
      </c>
      <c r="H4034" s="2" t="s">
        <v>1448</v>
      </c>
      <c r="I4034" s="2" t="s">
        <v>1449</v>
      </c>
      <c r="J4034" s="3">
        <v>44560</v>
      </c>
      <c r="K4034" s="2">
        <v>23</v>
      </c>
      <c r="L4034" s="2" t="s">
        <v>101</v>
      </c>
      <c r="M4034" s="3"/>
    </row>
    <row r="4035" spans="1:13" x14ac:dyDescent="0.3">
      <c r="A4035" s="2">
        <v>4034</v>
      </c>
      <c r="B4035" s="2" t="s">
        <v>6411</v>
      </c>
      <c r="C4035" s="2" t="s">
        <v>8966</v>
      </c>
      <c r="D4035" s="2" t="s">
        <v>28</v>
      </c>
      <c r="E4035" s="2" t="s">
        <v>29</v>
      </c>
      <c r="F4035" s="2">
        <v>60</v>
      </c>
      <c r="G4035" s="2" t="s">
        <v>8967</v>
      </c>
      <c r="H4035" s="2" t="s">
        <v>3343</v>
      </c>
      <c r="I4035" s="2" t="s">
        <v>1199</v>
      </c>
      <c r="J4035" s="3">
        <v>44236</v>
      </c>
      <c r="K4035" s="2">
        <v>90</v>
      </c>
      <c r="L4035" s="2" t="s">
        <v>80</v>
      </c>
      <c r="M4035" s="3"/>
    </row>
    <row r="4036" spans="1:13" x14ac:dyDescent="0.3">
      <c r="A4036" s="2">
        <v>4035</v>
      </c>
      <c r="B4036" s="2" t="s">
        <v>7195</v>
      </c>
      <c r="C4036" s="2" t="s">
        <v>983</v>
      </c>
      <c r="D4036" s="2" t="s">
        <v>51</v>
      </c>
      <c r="E4036" s="2" t="s">
        <v>16</v>
      </c>
      <c r="F4036" s="2">
        <v>60</v>
      </c>
      <c r="G4036" s="2" t="s">
        <v>8968</v>
      </c>
      <c r="H4036" s="2" t="s">
        <v>8155</v>
      </c>
      <c r="I4036" s="2" t="s">
        <v>32</v>
      </c>
      <c r="J4036" s="3">
        <v>44319</v>
      </c>
      <c r="K4036" s="2">
        <v>6</v>
      </c>
      <c r="L4036" s="2" t="s">
        <v>39</v>
      </c>
      <c r="M4036" s="3"/>
    </row>
    <row r="4037" spans="1:13" x14ac:dyDescent="0.3">
      <c r="A4037" s="2">
        <v>4036</v>
      </c>
      <c r="B4037" s="2" t="s">
        <v>5042</v>
      </c>
      <c r="C4037" s="2" t="s">
        <v>6</v>
      </c>
      <c r="D4037" s="2" t="s">
        <v>28</v>
      </c>
      <c r="E4037" s="2" t="s">
        <v>29</v>
      </c>
      <c r="F4037" s="2">
        <v>30</v>
      </c>
      <c r="G4037" s="2" t="s">
        <v>8969</v>
      </c>
      <c r="H4037" s="2" t="s">
        <v>4621</v>
      </c>
      <c r="I4037" s="2" t="s">
        <v>178</v>
      </c>
      <c r="J4037" s="3">
        <v>44084</v>
      </c>
      <c r="K4037" s="2">
        <v>76</v>
      </c>
      <c r="L4037" s="2" t="s">
        <v>80</v>
      </c>
      <c r="M4037" s="3"/>
    </row>
    <row r="4038" spans="1:13" x14ac:dyDescent="0.3">
      <c r="A4038" s="2">
        <v>4037</v>
      </c>
      <c r="B4038" s="2" t="s">
        <v>1144</v>
      </c>
      <c r="C4038" s="2" t="s">
        <v>8970</v>
      </c>
      <c r="D4038" s="2" t="s">
        <v>15</v>
      </c>
      <c r="E4038" s="2" t="s">
        <v>16</v>
      </c>
      <c r="F4038" s="2">
        <v>30</v>
      </c>
      <c r="G4038" s="2" t="s">
        <v>8971</v>
      </c>
      <c r="H4038" s="2" t="s">
        <v>2093</v>
      </c>
      <c r="I4038" s="2" t="s">
        <v>32</v>
      </c>
      <c r="J4038" s="3">
        <v>44783</v>
      </c>
      <c r="K4038" s="2">
        <v>42</v>
      </c>
      <c r="L4038" s="2" t="s">
        <v>54</v>
      </c>
      <c r="M4038" s="3"/>
    </row>
    <row r="4039" spans="1:13" x14ac:dyDescent="0.3">
      <c r="A4039" s="2">
        <v>4038</v>
      </c>
      <c r="B4039" s="2" t="s">
        <v>6641</v>
      </c>
      <c r="C4039" s="2" t="s">
        <v>8852</v>
      </c>
      <c r="D4039" s="2" t="s">
        <v>28</v>
      </c>
      <c r="E4039" s="2" t="s">
        <v>29</v>
      </c>
      <c r="F4039" s="2">
        <v>30</v>
      </c>
      <c r="G4039" s="2" t="s">
        <v>8972</v>
      </c>
      <c r="H4039" s="2" t="s">
        <v>7400</v>
      </c>
      <c r="I4039" s="2" t="s">
        <v>178</v>
      </c>
      <c r="J4039" s="3">
        <v>44082</v>
      </c>
      <c r="K4039" s="2">
        <v>14</v>
      </c>
      <c r="L4039" s="2" t="s">
        <v>39</v>
      </c>
      <c r="M4039" s="3"/>
    </row>
    <row r="4040" spans="1:13" x14ac:dyDescent="0.3">
      <c r="A4040" s="2">
        <v>4039</v>
      </c>
      <c r="B4040" s="2" t="s">
        <v>6264</v>
      </c>
      <c r="C4040" s="2" t="s">
        <v>8760</v>
      </c>
      <c r="D4040" s="2" t="s">
        <v>28</v>
      </c>
      <c r="E4040" s="2" t="s">
        <v>29</v>
      </c>
      <c r="F4040" s="2">
        <v>60</v>
      </c>
      <c r="G4040" s="2" t="s">
        <v>8972</v>
      </c>
      <c r="H4040" s="2" t="s">
        <v>4967</v>
      </c>
      <c r="I4040" s="2" t="s">
        <v>32</v>
      </c>
      <c r="J4040" s="3">
        <v>44025</v>
      </c>
      <c r="K4040" s="2">
        <v>70</v>
      </c>
      <c r="L4040" s="2" t="s">
        <v>54</v>
      </c>
      <c r="M4040" s="3"/>
    </row>
    <row r="4041" spans="1:13" x14ac:dyDescent="0.3">
      <c r="A4041" s="2">
        <v>4040</v>
      </c>
      <c r="B4041" s="2" t="s">
        <v>3105</v>
      </c>
      <c r="C4041" s="2" t="s">
        <v>5295</v>
      </c>
      <c r="D4041" s="2" t="s">
        <v>15</v>
      </c>
      <c r="E4041" s="2" t="s">
        <v>16</v>
      </c>
      <c r="F4041" s="2">
        <v>90</v>
      </c>
      <c r="G4041" s="2" t="s">
        <v>8973</v>
      </c>
      <c r="H4041" s="2" t="s">
        <v>420</v>
      </c>
      <c r="I4041" s="2" t="s">
        <v>32</v>
      </c>
      <c r="J4041" s="3">
        <v>43938</v>
      </c>
      <c r="K4041" s="2">
        <v>53</v>
      </c>
      <c r="L4041" s="2" t="s">
        <v>70</v>
      </c>
      <c r="M4041" s="3"/>
    </row>
    <row r="4042" spans="1:13" x14ac:dyDescent="0.3">
      <c r="A4042" s="2">
        <v>4041</v>
      </c>
      <c r="B4042" s="2" t="s">
        <v>1752</v>
      </c>
      <c r="C4042" s="2" t="s">
        <v>4865</v>
      </c>
      <c r="D4042" s="2" t="s">
        <v>28</v>
      </c>
      <c r="E4042" s="2" t="s">
        <v>29</v>
      </c>
      <c r="F4042" s="2">
        <v>90</v>
      </c>
      <c r="G4042" s="2" t="s">
        <v>8974</v>
      </c>
      <c r="H4042" s="2" t="s">
        <v>3770</v>
      </c>
      <c r="I4042" s="2" t="s">
        <v>32</v>
      </c>
      <c r="J4042" s="3">
        <v>44561</v>
      </c>
      <c r="K4042" s="2">
        <v>72</v>
      </c>
      <c r="L4042" s="2" t="s">
        <v>45</v>
      </c>
      <c r="M4042" s="3"/>
    </row>
    <row r="4043" spans="1:13" x14ac:dyDescent="0.3">
      <c r="A4043" s="2">
        <v>4042</v>
      </c>
      <c r="B4043" s="2" t="s">
        <v>8975</v>
      </c>
      <c r="C4043" s="2" t="s">
        <v>1623</v>
      </c>
      <c r="D4043" s="2" t="s">
        <v>15</v>
      </c>
      <c r="F4043" s="2">
        <v>90</v>
      </c>
      <c r="G4043" s="2" t="s">
        <v>8976</v>
      </c>
      <c r="H4043" s="2" t="s">
        <v>2483</v>
      </c>
      <c r="I4043" s="2" t="s">
        <v>1199</v>
      </c>
      <c r="J4043" s="3">
        <v>43954</v>
      </c>
      <c r="K4043" s="2">
        <v>16</v>
      </c>
      <c r="L4043" s="2" t="s">
        <v>20</v>
      </c>
      <c r="M4043" s="3"/>
    </row>
    <row r="4044" spans="1:13" x14ac:dyDescent="0.3">
      <c r="A4044" s="2">
        <v>4043</v>
      </c>
      <c r="B4044" s="2" t="s">
        <v>8975</v>
      </c>
      <c r="C4044" s="2" t="s">
        <v>1623</v>
      </c>
      <c r="D4044" s="2" t="s">
        <v>15</v>
      </c>
      <c r="F4044" s="2">
        <v>90</v>
      </c>
      <c r="G4044" s="2" t="s">
        <v>8976</v>
      </c>
      <c r="H4044" s="2" t="s">
        <v>2483</v>
      </c>
      <c r="I4044" s="2" t="s">
        <v>1199</v>
      </c>
      <c r="J4044" s="3">
        <v>43954</v>
      </c>
      <c r="K4044" s="2">
        <v>16</v>
      </c>
      <c r="L4044" s="2" t="s">
        <v>20</v>
      </c>
      <c r="M4044" s="3"/>
    </row>
    <row r="4045" spans="1:13" x14ac:dyDescent="0.3">
      <c r="A4045" s="2">
        <v>4044</v>
      </c>
      <c r="B4045" s="2" t="s">
        <v>7245</v>
      </c>
      <c r="C4045" s="2" t="s">
        <v>2998</v>
      </c>
      <c r="D4045" s="2" t="s">
        <v>15</v>
      </c>
      <c r="E4045" s="2" t="s">
        <v>16</v>
      </c>
      <c r="F4045" s="2">
        <v>60</v>
      </c>
      <c r="G4045" s="2" t="s">
        <v>8977</v>
      </c>
      <c r="H4045" s="2" t="s">
        <v>5628</v>
      </c>
      <c r="I4045" s="2" t="s">
        <v>32</v>
      </c>
      <c r="J4045" s="3">
        <v>44277</v>
      </c>
      <c r="K4045" s="2">
        <v>29</v>
      </c>
      <c r="L4045" s="2" t="s">
        <v>70</v>
      </c>
      <c r="M4045" s="3"/>
    </row>
    <row r="4046" spans="1:13" x14ac:dyDescent="0.3">
      <c r="A4046" s="2">
        <v>4045</v>
      </c>
      <c r="B4046" s="2" t="s">
        <v>7245</v>
      </c>
      <c r="C4046" s="2" t="s">
        <v>2998</v>
      </c>
      <c r="D4046" s="2" t="s">
        <v>15</v>
      </c>
      <c r="E4046" s="2" t="s">
        <v>16</v>
      </c>
      <c r="F4046" s="2">
        <v>60</v>
      </c>
      <c r="G4046" s="2" t="s">
        <v>8977</v>
      </c>
      <c r="H4046" s="2" t="s">
        <v>5628</v>
      </c>
      <c r="I4046" s="2" t="s">
        <v>32</v>
      </c>
      <c r="J4046" s="3">
        <v>44277</v>
      </c>
      <c r="K4046" s="2">
        <v>29</v>
      </c>
      <c r="L4046" s="2" t="s">
        <v>70</v>
      </c>
      <c r="M4046" s="3"/>
    </row>
    <row r="4047" spans="1:13" x14ac:dyDescent="0.3">
      <c r="A4047" s="2">
        <v>4046</v>
      </c>
      <c r="B4047" s="2" t="s">
        <v>8149</v>
      </c>
      <c r="C4047" s="2" t="s">
        <v>1116</v>
      </c>
      <c r="D4047" s="2" t="s">
        <v>28</v>
      </c>
      <c r="E4047" s="2" t="s">
        <v>29</v>
      </c>
      <c r="F4047" s="2">
        <v>90</v>
      </c>
      <c r="G4047" s="2" t="s">
        <v>8978</v>
      </c>
      <c r="H4047" s="2" t="s">
        <v>8979</v>
      </c>
      <c r="I4047" s="2" t="s">
        <v>32</v>
      </c>
      <c r="J4047" s="3">
        <v>44825</v>
      </c>
      <c r="K4047" s="2">
        <v>19</v>
      </c>
      <c r="L4047" s="2" t="s">
        <v>70</v>
      </c>
      <c r="M4047" s="3"/>
    </row>
    <row r="4048" spans="1:13" x14ac:dyDescent="0.3">
      <c r="A4048" s="2">
        <v>4047</v>
      </c>
      <c r="B4048" s="2" t="s">
        <v>8149</v>
      </c>
      <c r="C4048" s="2" t="s">
        <v>1116</v>
      </c>
      <c r="D4048" s="2" t="s">
        <v>28</v>
      </c>
      <c r="E4048" s="2" t="s">
        <v>29</v>
      </c>
      <c r="F4048" s="2">
        <v>90</v>
      </c>
      <c r="G4048" s="2" t="s">
        <v>8978</v>
      </c>
      <c r="H4048" s="2" t="s">
        <v>8979</v>
      </c>
      <c r="I4048" s="2" t="s">
        <v>32</v>
      </c>
      <c r="J4048" s="3">
        <v>44825</v>
      </c>
      <c r="K4048" s="2">
        <v>19</v>
      </c>
      <c r="L4048" s="2" t="s">
        <v>70</v>
      </c>
      <c r="M4048" s="3"/>
    </row>
    <row r="4049" spans="1:13" x14ac:dyDescent="0.3">
      <c r="A4049" s="2">
        <v>4048</v>
      </c>
      <c r="B4049" s="2" t="s">
        <v>3731</v>
      </c>
      <c r="C4049" s="2" t="s">
        <v>7691</v>
      </c>
      <c r="D4049" s="2" t="s">
        <v>28</v>
      </c>
      <c r="E4049" s="2" t="s">
        <v>29</v>
      </c>
      <c r="F4049" s="2">
        <v>90</v>
      </c>
      <c r="G4049" s="2" t="s">
        <v>8980</v>
      </c>
      <c r="H4049" s="2" t="s">
        <v>5624</v>
      </c>
      <c r="I4049" s="2" t="s">
        <v>32</v>
      </c>
      <c r="J4049" s="3">
        <v>44526</v>
      </c>
      <c r="K4049" s="2">
        <v>57</v>
      </c>
      <c r="L4049" s="2" t="s">
        <v>64</v>
      </c>
      <c r="M4049" s="3"/>
    </row>
    <row r="4050" spans="1:13" x14ac:dyDescent="0.3">
      <c r="A4050" s="2">
        <v>4049</v>
      </c>
      <c r="B4050" s="2" t="s">
        <v>6719</v>
      </c>
      <c r="C4050" s="2" t="s">
        <v>2563</v>
      </c>
      <c r="D4050" s="2" t="s">
        <v>15</v>
      </c>
      <c r="E4050" s="2" t="s">
        <v>16</v>
      </c>
      <c r="F4050" s="2">
        <v>90</v>
      </c>
      <c r="G4050" s="2" t="s">
        <v>8981</v>
      </c>
      <c r="H4050" s="2" t="s">
        <v>5811</v>
      </c>
      <c r="I4050" s="2" t="s">
        <v>294</v>
      </c>
      <c r="J4050" s="3">
        <v>44443</v>
      </c>
      <c r="K4050" s="2">
        <v>94</v>
      </c>
      <c r="L4050" s="2" t="s">
        <v>45</v>
      </c>
      <c r="M4050" s="3"/>
    </row>
    <row r="4051" spans="1:13" x14ac:dyDescent="0.3">
      <c r="A4051" s="2">
        <v>4050</v>
      </c>
      <c r="B4051" s="2" t="s">
        <v>4628</v>
      </c>
      <c r="C4051" s="2" t="s">
        <v>2832</v>
      </c>
      <c r="D4051" s="2" t="s">
        <v>28</v>
      </c>
      <c r="E4051" s="2" t="s">
        <v>29</v>
      </c>
      <c r="F4051" s="2">
        <v>30</v>
      </c>
      <c r="G4051" s="2" t="s">
        <v>8982</v>
      </c>
      <c r="H4051" s="2" t="s">
        <v>3194</v>
      </c>
      <c r="I4051" s="2" t="s">
        <v>819</v>
      </c>
      <c r="J4051" s="3">
        <v>44453</v>
      </c>
      <c r="K4051" s="2">
        <v>14</v>
      </c>
      <c r="L4051" s="2" t="s">
        <v>80</v>
      </c>
      <c r="M4051" s="3"/>
    </row>
    <row r="4052" spans="1:13" x14ac:dyDescent="0.3">
      <c r="A4052" s="2">
        <v>4051</v>
      </c>
      <c r="B4052" s="2" t="s">
        <v>5364</v>
      </c>
      <c r="C4052" s="2" t="s">
        <v>5529</v>
      </c>
      <c r="D4052" s="2" t="s">
        <v>28</v>
      </c>
      <c r="E4052" s="2" t="s">
        <v>29</v>
      </c>
      <c r="F4052" s="2">
        <v>90</v>
      </c>
      <c r="G4052" s="2" t="s">
        <v>8983</v>
      </c>
      <c r="H4052" s="2" t="s">
        <v>4098</v>
      </c>
      <c r="I4052" s="2" t="s">
        <v>1889</v>
      </c>
      <c r="J4052" s="3">
        <v>44633</v>
      </c>
      <c r="K4052" s="2">
        <v>102</v>
      </c>
      <c r="L4052" s="2" t="s">
        <v>101</v>
      </c>
      <c r="M4052" s="3"/>
    </row>
    <row r="4053" spans="1:13" x14ac:dyDescent="0.3">
      <c r="A4053" s="2">
        <v>4052</v>
      </c>
      <c r="B4053" s="2" t="s">
        <v>3515</v>
      </c>
      <c r="C4053" s="2" t="s">
        <v>5972</v>
      </c>
      <c r="D4053" s="2" t="s">
        <v>28</v>
      </c>
      <c r="E4053" s="2" t="s">
        <v>29</v>
      </c>
      <c r="F4053" s="2">
        <v>60</v>
      </c>
      <c r="G4053" s="2" t="s">
        <v>8984</v>
      </c>
      <c r="H4053" s="2" t="s">
        <v>591</v>
      </c>
      <c r="I4053" s="2" t="s">
        <v>32</v>
      </c>
      <c r="J4053" s="3">
        <v>44214</v>
      </c>
      <c r="K4053" s="2">
        <v>73</v>
      </c>
      <c r="L4053" s="2" t="s">
        <v>80</v>
      </c>
      <c r="M4053" s="3"/>
    </row>
    <row r="4054" spans="1:13" x14ac:dyDescent="0.3">
      <c r="A4054" s="2">
        <v>4053</v>
      </c>
      <c r="B4054" s="2" t="s">
        <v>8985</v>
      </c>
      <c r="C4054" s="2" t="s">
        <v>5832</v>
      </c>
      <c r="D4054" s="2" t="s">
        <v>15</v>
      </c>
      <c r="E4054" s="2" t="s">
        <v>16</v>
      </c>
      <c r="F4054" s="2">
        <v>90</v>
      </c>
      <c r="G4054" s="2" t="s">
        <v>8986</v>
      </c>
      <c r="H4054" s="2" t="s">
        <v>483</v>
      </c>
      <c r="I4054" s="2" t="s">
        <v>32</v>
      </c>
      <c r="J4054" s="3">
        <v>44593</v>
      </c>
      <c r="K4054" s="2">
        <v>10</v>
      </c>
      <c r="L4054" s="2" t="s">
        <v>159</v>
      </c>
      <c r="M4054" s="3"/>
    </row>
    <row r="4055" spans="1:13" x14ac:dyDescent="0.3">
      <c r="A4055" s="2">
        <v>4054</v>
      </c>
      <c r="B4055" s="2" t="s">
        <v>8987</v>
      </c>
      <c r="C4055" s="2" t="s">
        <v>3057</v>
      </c>
      <c r="D4055" s="2" t="s">
        <v>15</v>
      </c>
      <c r="E4055" s="2" t="s">
        <v>16</v>
      </c>
      <c r="F4055" s="2">
        <v>30</v>
      </c>
      <c r="G4055" s="2" t="s">
        <v>8988</v>
      </c>
      <c r="H4055" s="2" t="s">
        <v>3495</v>
      </c>
      <c r="I4055" s="2" t="s">
        <v>1083</v>
      </c>
      <c r="J4055" s="3">
        <v>44131</v>
      </c>
      <c r="K4055" s="2">
        <v>43</v>
      </c>
      <c r="L4055" s="2" t="s">
        <v>101</v>
      </c>
      <c r="M4055" s="3"/>
    </row>
    <row r="4056" spans="1:13" x14ac:dyDescent="0.3">
      <c r="A4056" s="2">
        <v>4055</v>
      </c>
      <c r="B4056" s="2" t="s">
        <v>5314</v>
      </c>
      <c r="C4056" s="2" t="s">
        <v>4410</v>
      </c>
      <c r="D4056" s="2" t="s">
        <v>28</v>
      </c>
      <c r="E4056" s="2" t="s">
        <v>29</v>
      </c>
      <c r="F4056" s="2">
        <v>90</v>
      </c>
      <c r="G4056" s="2" t="s">
        <v>8988</v>
      </c>
      <c r="H4056" s="2" t="s">
        <v>3324</v>
      </c>
      <c r="I4056" s="2" t="s">
        <v>32</v>
      </c>
      <c r="J4056" s="3">
        <v>44880</v>
      </c>
      <c r="K4056" s="2">
        <v>26</v>
      </c>
      <c r="L4056" s="2" t="s">
        <v>64</v>
      </c>
      <c r="M4056" s="3"/>
    </row>
    <row r="4057" spans="1:13" x14ac:dyDescent="0.3">
      <c r="A4057" s="2">
        <v>4056</v>
      </c>
      <c r="B4057" s="2" t="s">
        <v>527</v>
      </c>
      <c r="C4057" s="2" t="s">
        <v>6814</v>
      </c>
      <c r="D4057" s="2" t="s">
        <v>28</v>
      </c>
      <c r="E4057" s="2" t="s">
        <v>29</v>
      </c>
      <c r="F4057" s="2">
        <v>30</v>
      </c>
      <c r="G4057" s="2" t="s">
        <v>8989</v>
      </c>
      <c r="H4057" s="2" t="s">
        <v>6770</v>
      </c>
      <c r="I4057" s="2" t="s">
        <v>124</v>
      </c>
      <c r="J4057" s="3">
        <v>44205</v>
      </c>
      <c r="K4057" s="2">
        <v>67</v>
      </c>
      <c r="L4057" s="2" t="s">
        <v>70</v>
      </c>
      <c r="M4057" s="3"/>
    </row>
    <row r="4058" spans="1:13" x14ac:dyDescent="0.3">
      <c r="A4058" s="2">
        <v>4057</v>
      </c>
      <c r="B4058" s="2" t="s">
        <v>8990</v>
      </c>
      <c r="C4058" s="2" t="s">
        <v>5215</v>
      </c>
      <c r="D4058" s="2" t="s">
        <v>51</v>
      </c>
      <c r="E4058" s="2" t="s">
        <v>16</v>
      </c>
      <c r="F4058" s="2">
        <v>30</v>
      </c>
      <c r="G4058" s="2" t="s">
        <v>8991</v>
      </c>
      <c r="H4058" s="2" t="s">
        <v>7829</v>
      </c>
      <c r="I4058" s="2" t="s">
        <v>934</v>
      </c>
      <c r="J4058" s="3">
        <v>43927</v>
      </c>
      <c r="K4058" s="2">
        <v>51</v>
      </c>
      <c r="L4058" s="2" t="s">
        <v>80</v>
      </c>
      <c r="M4058" s="3"/>
    </row>
    <row r="4059" spans="1:13" x14ac:dyDescent="0.3">
      <c r="A4059" s="2">
        <v>4058</v>
      </c>
      <c r="B4059" s="2" t="s">
        <v>7303</v>
      </c>
      <c r="C4059" s="2" t="s">
        <v>3389</v>
      </c>
      <c r="D4059" s="2" t="s">
        <v>28</v>
      </c>
      <c r="E4059" s="2" t="s">
        <v>29</v>
      </c>
      <c r="F4059" s="2">
        <v>90</v>
      </c>
      <c r="G4059" s="2" t="s">
        <v>8992</v>
      </c>
      <c r="H4059" s="2" t="s">
        <v>3876</v>
      </c>
      <c r="I4059" s="2" t="s">
        <v>32</v>
      </c>
      <c r="J4059" s="3">
        <v>44077</v>
      </c>
      <c r="K4059" s="2">
        <v>68</v>
      </c>
      <c r="L4059" s="2" t="s">
        <v>80</v>
      </c>
      <c r="M4059" s="3"/>
    </row>
    <row r="4060" spans="1:13" x14ac:dyDescent="0.3">
      <c r="A4060" s="2">
        <v>4059</v>
      </c>
      <c r="B4060" s="2" t="s">
        <v>4058</v>
      </c>
      <c r="C4060" s="2" t="s">
        <v>4137</v>
      </c>
      <c r="D4060" s="2" t="s">
        <v>15</v>
      </c>
      <c r="E4060" s="2" t="s">
        <v>16</v>
      </c>
      <c r="F4060" s="2">
        <v>90</v>
      </c>
      <c r="G4060" s="2" t="s">
        <v>8993</v>
      </c>
      <c r="H4060" s="2" t="s">
        <v>1318</v>
      </c>
      <c r="I4060" s="2" t="s">
        <v>32</v>
      </c>
      <c r="J4060" s="3">
        <v>44260</v>
      </c>
      <c r="K4060" s="2">
        <v>6</v>
      </c>
      <c r="L4060" s="2" t="s">
        <v>80</v>
      </c>
      <c r="M4060" s="3"/>
    </row>
    <row r="4061" spans="1:13" x14ac:dyDescent="0.3">
      <c r="A4061" s="2">
        <v>4060</v>
      </c>
      <c r="B4061" s="2" t="s">
        <v>2391</v>
      </c>
      <c r="C4061" s="2" t="s">
        <v>1003</v>
      </c>
      <c r="D4061" s="2" t="s">
        <v>51</v>
      </c>
      <c r="E4061" s="2" t="s">
        <v>16</v>
      </c>
      <c r="F4061" s="2">
        <v>30</v>
      </c>
      <c r="G4061" s="2" t="s">
        <v>8994</v>
      </c>
      <c r="H4061" s="2" t="s">
        <v>5301</v>
      </c>
      <c r="I4061" s="2" t="s">
        <v>173</v>
      </c>
      <c r="J4061" s="3">
        <v>44407</v>
      </c>
      <c r="K4061" s="2">
        <v>44</v>
      </c>
      <c r="L4061" s="2" t="s">
        <v>101</v>
      </c>
      <c r="M4061" s="3"/>
    </row>
    <row r="4062" spans="1:13" x14ac:dyDescent="0.3">
      <c r="A4062" s="2">
        <v>4061</v>
      </c>
      <c r="B4062" s="2" t="s">
        <v>120</v>
      </c>
      <c r="C4062" s="2" t="s">
        <v>3928</v>
      </c>
      <c r="D4062" s="2" t="s">
        <v>15</v>
      </c>
      <c r="E4062" s="2" t="s">
        <v>16</v>
      </c>
      <c r="F4062" s="2">
        <v>60</v>
      </c>
      <c r="G4062" s="2" t="s">
        <v>8995</v>
      </c>
      <c r="H4062" s="2" t="s">
        <v>3682</v>
      </c>
      <c r="I4062" s="2" t="s">
        <v>178</v>
      </c>
      <c r="J4062" s="3">
        <v>44063</v>
      </c>
      <c r="K4062" s="2">
        <v>32</v>
      </c>
      <c r="L4062" s="2" t="s">
        <v>33</v>
      </c>
      <c r="M4062" s="3"/>
    </row>
    <row r="4063" spans="1:13" x14ac:dyDescent="0.3">
      <c r="A4063" s="2">
        <v>4062</v>
      </c>
      <c r="B4063" s="2" t="s">
        <v>3967</v>
      </c>
      <c r="C4063" s="2" t="s">
        <v>5417</v>
      </c>
      <c r="D4063" s="2" t="s">
        <v>28</v>
      </c>
      <c r="E4063" s="2" t="s">
        <v>29</v>
      </c>
      <c r="F4063" s="2">
        <v>60</v>
      </c>
      <c r="G4063" s="2" t="s">
        <v>8996</v>
      </c>
      <c r="H4063" s="2" t="s">
        <v>4748</v>
      </c>
      <c r="I4063" s="2" t="s">
        <v>32</v>
      </c>
      <c r="J4063" s="3">
        <v>44442</v>
      </c>
      <c r="K4063" s="2">
        <v>25</v>
      </c>
      <c r="L4063" s="2" t="s">
        <v>101</v>
      </c>
      <c r="M4063" s="3"/>
    </row>
    <row r="4064" spans="1:13" x14ac:dyDescent="0.3">
      <c r="A4064" s="2">
        <v>4063</v>
      </c>
      <c r="B4064" s="2" t="s">
        <v>8788</v>
      </c>
      <c r="C4064" s="2" t="s">
        <v>1985</v>
      </c>
      <c r="D4064" s="2" t="s">
        <v>28</v>
      </c>
      <c r="E4064" s="2" t="s">
        <v>29</v>
      </c>
      <c r="F4064" s="2">
        <v>90</v>
      </c>
      <c r="G4064" s="2" t="s">
        <v>8996</v>
      </c>
      <c r="H4064" s="2" t="s">
        <v>1791</v>
      </c>
      <c r="I4064" s="2" t="s">
        <v>32</v>
      </c>
      <c r="J4064" s="3">
        <v>44426</v>
      </c>
      <c r="K4064" s="2">
        <v>89</v>
      </c>
      <c r="L4064" s="2" t="s">
        <v>159</v>
      </c>
      <c r="M4064" s="3"/>
    </row>
    <row r="4065" spans="1:13" x14ac:dyDescent="0.3">
      <c r="A4065" s="2">
        <v>4064</v>
      </c>
      <c r="B4065" s="2" t="s">
        <v>2223</v>
      </c>
      <c r="C4065" s="2" t="s">
        <v>1853</v>
      </c>
      <c r="D4065" s="2" t="s">
        <v>28</v>
      </c>
      <c r="E4065" s="2" t="s">
        <v>29</v>
      </c>
      <c r="F4065" s="2">
        <v>60</v>
      </c>
      <c r="G4065" s="2" t="s">
        <v>8996</v>
      </c>
      <c r="H4065" s="2" t="s">
        <v>3424</v>
      </c>
      <c r="I4065" s="2" t="s">
        <v>32</v>
      </c>
      <c r="J4065" s="3">
        <v>44149</v>
      </c>
      <c r="K4065" s="2">
        <v>18</v>
      </c>
      <c r="L4065" s="2" t="s">
        <v>70</v>
      </c>
      <c r="M4065" s="3"/>
    </row>
    <row r="4066" spans="1:13" x14ac:dyDescent="0.3">
      <c r="A4066" s="2">
        <v>4065</v>
      </c>
      <c r="B4066" s="2" t="s">
        <v>979</v>
      </c>
      <c r="C4066" s="2" t="s">
        <v>2228</v>
      </c>
      <c r="D4066" s="2" t="s">
        <v>28</v>
      </c>
      <c r="E4066" s="2" t="s">
        <v>29</v>
      </c>
      <c r="F4066" s="2">
        <v>60</v>
      </c>
      <c r="G4066" s="2" t="s">
        <v>8997</v>
      </c>
      <c r="H4066" s="2" t="s">
        <v>3361</v>
      </c>
      <c r="I4066" s="2" t="s">
        <v>95</v>
      </c>
      <c r="J4066" s="3">
        <v>43928</v>
      </c>
      <c r="K4066" s="2">
        <v>16</v>
      </c>
      <c r="L4066" s="2" t="s">
        <v>101</v>
      </c>
      <c r="M4066" s="3"/>
    </row>
    <row r="4067" spans="1:13" x14ac:dyDescent="0.3">
      <c r="A4067" s="2">
        <v>4066</v>
      </c>
      <c r="B4067" s="2" t="s">
        <v>8998</v>
      </c>
      <c r="C4067" s="2" t="s">
        <v>388</v>
      </c>
      <c r="D4067" s="2" t="s">
        <v>41</v>
      </c>
      <c r="E4067" s="2" t="s">
        <v>16</v>
      </c>
      <c r="F4067" s="2">
        <v>60</v>
      </c>
      <c r="G4067" s="2" t="s">
        <v>8999</v>
      </c>
      <c r="H4067" s="2" t="s">
        <v>2818</v>
      </c>
      <c r="I4067" s="2" t="s">
        <v>32</v>
      </c>
      <c r="J4067" s="3">
        <v>44214</v>
      </c>
      <c r="K4067" s="2">
        <v>48</v>
      </c>
      <c r="L4067" s="2" t="s">
        <v>159</v>
      </c>
      <c r="M4067" s="3"/>
    </row>
    <row r="4068" spans="1:13" x14ac:dyDescent="0.3">
      <c r="A4068" s="2">
        <v>4067</v>
      </c>
      <c r="B4068" s="2" t="s">
        <v>2415</v>
      </c>
      <c r="C4068" s="2" t="s">
        <v>1779</v>
      </c>
      <c r="D4068" s="2" t="s">
        <v>92</v>
      </c>
      <c r="E4068" s="2" t="s">
        <v>29</v>
      </c>
      <c r="F4068" s="2">
        <v>60</v>
      </c>
      <c r="G4068" s="2" t="s">
        <v>9000</v>
      </c>
      <c r="H4068" s="2" t="s">
        <v>53</v>
      </c>
      <c r="I4068" s="2" t="s">
        <v>32</v>
      </c>
      <c r="J4068" s="3">
        <v>44563</v>
      </c>
      <c r="K4068" s="2">
        <v>93</v>
      </c>
      <c r="L4068" s="2" t="s">
        <v>101</v>
      </c>
      <c r="M4068" s="3"/>
    </row>
    <row r="4069" spans="1:13" x14ac:dyDescent="0.3">
      <c r="A4069" s="2">
        <v>4068</v>
      </c>
      <c r="B4069" s="2" t="s">
        <v>3213</v>
      </c>
      <c r="C4069" s="2" t="s">
        <v>4933</v>
      </c>
      <c r="D4069" s="2" t="s">
        <v>15</v>
      </c>
      <c r="E4069" s="2" t="s">
        <v>16</v>
      </c>
      <c r="F4069" s="2">
        <v>60</v>
      </c>
      <c r="G4069" s="2" t="s">
        <v>9001</v>
      </c>
      <c r="H4069" s="2" t="s">
        <v>138</v>
      </c>
      <c r="I4069" s="2" t="s">
        <v>294</v>
      </c>
      <c r="J4069" s="3">
        <v>44775</v>
      </c>
      <c r="K4069" s="2">
        <v>2</v>
      </c>
      <c r="L4069" s="2" t="s">
        <v>20</v>
      </c>
      <c r="M4069" s="3"/>
    </row>
    <row r="4070" spans="1:13" x14ac:dyDescent="0.3">
      <c r="A4070" s="2">
        <v>4069</v>
      </c>
      <c r="B4070" s="2" t="s">
        <v>8293</v>
      </c>
      <c r="C4070" s="2" t="s">
        <v>5258</v>
      </c>
      <c r="D4070" s="2" t="s">
        <v>15</v>
      </c>
      <c r="E4070" s="2" t="s">
        <v>16</v>
      </c>
      <c r="F4070" s="2">
        <v>30</v>
      </c>
      <c r="G4070" s="2" t="s">
        <v>9002</v>
      </c>
      <c r="H4070" s="2" t="s">
        <v>5189</v>
      </c>
      <c r="I4070" s="2" t="s">
        <v>32</v>
      </c>
      <c r="J4070" s="3">
        <v>44002</v>
      </c>
      <c r="K4070" s="2">
        <v>12</v>
      </c>
      <c r="L4070" s="2" t="s">
        <v>70</v>
      </c>
      <c r="M4070" s="3"/>
    </row>
    <row r="4071" spans="1:13" x14ac:dyDescent="0.3">
      <c r="A4071" s="2">
        <v>4070</v>
      </c>
      <c r="B4071" s="2" t="s">
        <v>3716</v>
      </c>
      <c r="C4071" s="2" t="s">
        <v>9003</v>
      </c>
      <c r="D4071" s="2" t="s">
        <v>51</v>
      </c>
      <c r="E4071" s="2" t="s">
        <v>16</v>
      </c>
      <c r="F4071" s="2">
        <v>30</v>
      </c>
      <c r="G4071" s="2" t="s">
        <v>9004</v>
      </c>
      <c r="H4071" s="2" t="s">
        <v>6228</v>
      </c>
      <c r="I4071" s="2" t="s">
        <v>187</v>
      </c>
      <c r="J4071" s="3">
        <v>44447</v>
      </c>
      <c r="K4071" s="2">
        <v>29</v>
      </c>
      <c r="L4071" s="2" t="s">
        <v>80</v>
      </c>
      <c r="M4071" s="3"/>
    </row>
    <row r="4072" spans="1:13" x14ac:dyDescent="0.3">
      <c r="A4072" s="2">
        <v>4071</v>
      </c>
      <c r="B4072" s="2" t="s">
        <v>4151</v>
      </c>
      <c r="C4072" s="2" t="s">
        <v>2844</v>
      </c>
      <c r="D4072" s="2" t="s">
        <v>51</v>
      </c>
      <c r="E4072" s="2" t="s">
        <v>16</v>
      </c>
      <c r="F4072" s="2">
        <v>60</v>
      </c>
      <c r="G4072" s="2" t="s">
        <v>9005</v>
      </c>
      <c r="H4072" s="2" t="s">
        <v>6736</v>
      </c>
      <c r="I4072" s="2" t="s">
        <v>32</v>
      </c>
      <c r="J4072" s="3">
        <v>44523</v>
      </c>
      <c r="K4072" s="2">
        <v>17</v>
      </c>
      <c r="L4072" s="2" t="s">
        <v>33</v>
      </c>
      <c r="M4072" s="3"/>
    </row>
    <row r="4073" spans="1:13" x14ac:dyDescent="0.3">
      <c r="A4073" s="2">
        <v>4072</v>
      </c>
      <c r="B4073" s="2" t="s">
        <v>2584</v>
      </c>
      <c r="C4073" s="2" t="s">
        <v>3564</v>
      </c>
      <c r="D4073" s="2" t="s">
        <v>28</v>
      </c>
      <c r="E4073" s="2" t="s">
        <v>29</v>
      </c>
      <c r="F4073" s="2">
        <v>60</v>
      </c>
      <c r="G4073" s="2" t="s">
        <v>9006</v>
      </c>
      <c r="H4073" s="2" t="s">
        <v>2199</v>
      </c>
      <c r="I4073" s="2" t="s">
        <v>32</v>
      </c>
      <c r="J4073" s="3">
        <v>44131</v>
      </c>
      <c r="K4073" s="2">
        <v>4</v>
      </c>
      <c r="L4073" s="2" t="s">
        <v>64</v>
      </c>
      <c r="M4073" s="3"/>
    </row>
    <row r="4074" spans="1:13" x14ac:dyDescent="0.3">
      <c r="A4074" s="2">
        <v>4073</v>
      </c>
      <c r="B4074" s="2" t="s">
        <v>3574</v>
      </c>
      <c r="C4074" s="2" t="s">
        <v>1273</v>
      </c>
      <c r="D4074" s="2" t="s">
        <v>15</v>
      </c>
      <c r="E4074" s="2" t="s">
        <v>16</v>
      </c>
      <c r="F4074" s="2">
        <v>90</v>
      </c>
      <c r="G4074" s="2" t="s">
        <v>9007</v>
      </c>
      <c r="H4074" s="2" t="s">
        <v>9008</v>
      </c>
      <c r="I4074" s="2" t="s">
        <v>32</v>
      </c>
      <c r="J4074" s="3">
        <v>44669</v>
      </c>
      <c r="K4074" s="2">
        <v>75</v>
      </c>
      <c r="L4074" s="2" t="s">
        <v>80</v>
      </c>
      <c r="M4074" s="3"/>
    </row>
    <row r="4075" spans="1:13" x14ac:dyDescent="0.3">
      <c r="A4075" s="2">
        <v>4074</v>
      </c>
      <c r="B4075" s="2" t="s">
        <v>9009</v>
      </c>
      <c r="C4075" s="2" t="s">
        <v>296</v>
      </c>
      <c r="D4075" s="2" t="s">
        <v>51</v>
      </c>
      <c r="E4075" s="2" t="s">
        <v>16</v>
      </c>
      <c r="F4075" s="2">
        <v>90</v>
      </c>
      <c r="G4075" s="2" t="s">
        <v>9010</v>
      </c>
      <c r="H4075" s="2" t="s">
        <v>1430</v>
      </c>
      <c r="I4075" s="2" t="s">
        <v>32</v>
      </c>
      <c r="J4075" s="3">
        <v>44300</v>
      </c>
      <c r="K4075" s="2">
        <v>40</v>
      </c>
      <c r="L4075" s="2" t="s">
        <v>54</v>
      </c>
      <c r="M4075" s="3"/>
    </row>
    <row r="4076" spans="1:13" x14ac:dyDescent="0.3">
      <c r="A4076" s="2">
        <v>4075</v>
      </c>
      <c r="B4076" s="2" t="s">
        <v>1262</v>
      </c>
      <c r="C4076" s="2" t="s">
        <v>3251</v>
      </c>
      <c r="D4076" s="2" t="s">
        <v>15</v>
      </c>
      <c r="E4076" s="2" t="s">
        <v>16</v>
      </c>
      <c r="F4076" s="2">
        <v>60</v>
      </c>
      <c r="G4076" s="2" t="s">
        <v>9011</v>
      </c>
      <c r="H4076" s="2" t="s">
        <v>4901</v>
      </c>
      <c r="I4076" s="2" t="s">
        <v>32</v>
      </c>
      <c r="J4076" s="3">
        <v>44016</v>
      </c>
      <c r="K4076" s="2">
        <v>81</v>
      </c>
      <c r="L4076" s="2" t="s">
        <v>20</v>
      </c>
      <c r="M4076" s="3"/>
    </row>
    <row r="4077" spans="1:13" x14ac:dyDescent="0.3">
      <c r="A4077" s="2">
        <v>4076</v>
      </c>
      <c r="B4077" s="2" t="s">
        <v>1838</v>
      </c>
      <c r="C4077" s="2" t="s">
        <v>9012</v>
      </c>
      <c r="D4077" s="2" t="s">
        <v>28</v>
      </c>
      <c r="E4077" s="2" t="s">
        <v>29</v>
      </c>
      <c r="F4077" s="2">
        <v>30</v>
      </c>
      <c r="G4077" s="2" t="s">
        <v>9013</v>
      </c>
      <c r="H4077" s="2" t="s">
        <v>957</v>
      </c>
      <c r="I4077" s="2" t="s">
        <v>95</v>
      </c>
      <c r="J4077" s="3">
        <v>44164</v>
      </c>
      <c r="K4077" s="2">
        <v>41</v>
      </c>
      <c r="L4077" s="2" t="s">
        <v>64</v>
      </c>
      <c r="M4077" s="3"/>
    </row>
    <row r="4078" spans="1:13" x14ac:dyDescent="0.3">
      <c r="A4078" s="2">
        <v>4077</v>
      </c>
      <c r="B4078" s="2" t="s">
        <v>9014</v>
      </c>
      <c r="C4078" s="2" t="s">
        <v>4782</v>
      </c>
      <c r="D4078" s="2" t="s">
        <v>51</v>
      </c>
      <c r="E4078" s="2" t="s">
        <v>16</v>
      </c>
      <c r="F4078" s="2">
        <v>90</v>
      </c>
      <c r="G4078" s="2" t="s">
        <v>9015</v>
      </c>
      <c r="H4078" s="2" t="s">
        <v>1168</v>
      </c>
      <c r="I4078" s="2" t="s">
        <v>32</v>
      </c>
      <c r="J4078" s="3">
        <v>44330</v>
      </c>
      <c r="K4078" s="2">
        <v>40</v>
      </c>
      <c r="L4078" s="2" t="s">
        <v>39</v>
      </c>
      <c r="M4078" s="3"/>
    </row>
    <row r="4079" spans="1:13" x14ac:dyDescent="0.3">
      <c r="A4079" s="2">
        <v>4078</v>
      </c>
      <c r="B4079" s="2" t="s">
        <v>9016</v>
      </c>
      <c r="C4079" s="2" t="s">
        <v>1635</v>
      </c>
      <c r="D4079" s="2" t="s">
        <v>15</v>
      </c>
      <c r="E4079" s="2" t="s">
        <v>16</v>
      </c>
      <c r="F4079" s="2">
        <v>90</v>
      </c>
      <c r="G4079" s="2" t="s">
        <v>9017</v>
      </c>
      <c r="H4079" s="2" t="s">
        <v>4825</v>
      </c>
      <c r="I4079" s="2" t="s">
        <v>32</v>
      </c>
      <c r="J4079" s="3">
        <v>44656</v>
      </c>
      <c r="K4079" s="2">
        <v>81</v>
      </c>
      <c r="L4079" s="2" t="s">
        <v>20</v>
      </c>
      <c r="M4079" s="3"/>
    </row>
    <row r="4080" spans="1:13" x14ac:dyDescent="0.3">
      <c r="A4080" s="2">
        <v>4079</v>
      </c>
      <c r="B4080" s="2" t="s">
        <v>9018</v>
      </c>
      <c r="C4080" s="2" t="s">
        <v>321</v>
      </c>
      <c r="D4080" s="2" t="s">
        <v>51</v>
      </c>
      <c r="E4080" s="2" t="s">
        <v>16</v>
      </c>
      <c r="F4080" s="2">
        <v>90</v>
      </c>
      <c r="G4080" s="2" t="s">
        <v>9019</v>
      </c>
      <c r="H4080" s="2" t="s">
        <v>724</v>
      </c>
      <c r="I4080" s="2" t="s">
        <v>240</v>
      </c>
      <c r="J4080" s="3">
        <v>44585</v>
      </c>
      <c r="K4080" s="2">
        <v>46</v>
      </c>
      <c r="L4080" s="2" t="s">
        <v>70</v>
      </c>
      <c r="M4080" s="3"/>
    </row>
    <row r="4081" spans="1:13" x14ac:dyDescent="0.3">
      <c r="A4081" s="2">
        <v>4080</v>
      </c>
      <c r="B4081" s="2" t="s">
        <v>9020</v>
      </c>
      <c r="C4081" s="2" t="s">
        <v>6203</v>
      </c>
      <c r="D4081" s="2" t="s">
        <v>15</v>
      </c>
      <c r="E4081" s="2" t="s">
        <v>16</v>
      </c>
      <c r="F4081" s="2">
        <v>90</v>
      </c>
      <c r="G4081" s="2" t="s">
        <v>9021</v>
      </c>
      <c r="H4081" s="2" t="s">
        <v>9022</v>
      </c>
      <c r="I4081" s="2" t="s">
        <v>187</v>
      </c>
      <c r="J4081" s="3">
        <v>44277</v>
      </c>
      <c r="K4081" s="2">
        <v>26</v>
      </c>
      <c r="L4081" s="2" t="s">
        <v>80</v>
      </c>
      <c r="M4081" s="3"/>
    </row>
    <row r="4082" spans="1:13" x14ac:dyDescent="0.3">
      <c r="A4082" s="2">
        <v>4081</v>
      </c>
      <c r="B4082" s="2" t="s">
        <v>5257</v>
      </c>
      <c r="C4082" s="2" t="s">
        <v>3345</v>
      </c>
      <c r="D4082" s="2" t="s">
        <v>51</v>
      </c>
      <c r="E4082" s="2" t="s">
        <v>16</v>
      </c>
      <c r="F4082" s="2">
        <v>90</v>
      </c>
      <c r="G4082" s="2" t="s">
        <v>9023</v>
      </c>
      <c r="H4082" s="2" t="s">
        <v>8110</v>
      </c>
      <c r="I4082" s="2" t="s">
        <v>173</v>
      </c>
      <c r="J4082" s="3">
        <v>44606</v>
      </c>
      <c r="K4082" s="2">
        <v>5</v>
      </c>
      <c r="L4082" s="2" t="s">
        <v>101</v>
      </c>
      <c r="M4082" s="3"/>
    </row>
    <row r="4083" spans="1:13" x14ac:dyDescent="0.3">
      <c r="A4083" s="2">
        <v>4082</v>
      </c>
      <c r="B4083" s="2" t="s">
        <v>9024</v>
      </c>
      <c r="C4083" s="2" t="s">
        <v>135</v>
      </c>
      <c r="D4083" s="2" t="s">
        <v>28</v>
      </c>
      <c r="E4083" s="2" t="s">
        <v>29</v>
      </c>
      <c r="F4083" s="2">
        <v>90</v>
      </c>
      <c r="G4083" s="2" t="s">
        <v>9025</v>
      </c>
      <c r="H4083" s="2" t="s">
        <v>641</v>
      </c>
      <c r="I4083" s="2" t="s">
        <v>294</v>
      </c>
      <c r="J4083" s="3">
        <v>44372</v>
      </c>
      <c r="K4083" s="2">
        <v>42</v>
      </c>
      <c r="L4083" s="2" t="s">
        <v>159</v>
      </c>
      <c r="M4083" s="3"/>
    </row>
    <row r="4084" spans="1:13" x14ac:dyDescent="0.3">
      <c r="A4084" s="2">
        <v>4083</v>
      </c>
      <c r="B4084" s="2" t="s">
        <v>1699</v>
      </c>
      <c r="C4084" s="2" t="s">
        <v>4324</v>
      </c>
      <c r="D4084" s="2" t="s">
        <v>28</v>
      </c>
      <c r="E4084" s="2" t="s">
        <v>29</v>
      </c>
      <c r="F4084" s="2">
        <v>90</v>
      </c>
      <c r="G4084" s="2" t="s">
        <v>9026</v>
      </c>
      <c r="H4084" s="2" t="s">
        <v>1601</v>
      </c>
      <c r="I4084" s="2" t="s">
        <v>32</v>
      </c>
      <c r="J4084" s="3">
        <v>44631</v>
      </c>
      <c r="K4084" s="2">
        <v>67</v>
      </c>
      <c r="L4084" s="2" t="s">
        <v>45</v>
      </c>
      <c r="M4084" s="3"/>
    </row>
    <row r="4085" spans="1:13" x14ac:dyDescent="0.3">
      <c r="A4085" s="2">
        <v>4084</v>
      </c>
      <c r="B4085" s="2" t="s">
        <v>96</v>
      </c>
      <c r="C4085" s="2" t="s">
        <v>5164</v>
      </c>
      <c r="D4085" s="2" t="s">
        <v>28</v>
      </c>
      <c r="E4085" s="2" t="s">
        <v>29</v>
      </c>
      <c r="F4085" s="2">
        <v>30</v>
      </c>
      <c r="G4085" s="2" t="s">
        <v>9027</v>
      </c>
      <c r="H4085" s="2" t="s">
        <v>326</v>
      </c>
      <c r="I4085" s="2" t="s">
        <v>25</v>
      </c>
      <c r="J4085" s="3">
        <v>43895</v>
      </c>
      <c r="K4085" s="2">
        <v>41</v>
      </c>
      <c r="L4085" s="2" t="s">
        <v>33</v>
      </c>
      <c r="M4085" s="3"/>
    </row>
    <row r="4086" spans="1:13" x14ac:dyDescent="0.3">
      <c r="A4086" s="2">
        <v>4085</v>
      </c>
      <c r="B4086" s="2" t="s">
        <v>588</v>
      </c>
      <c r="C4086" s="2" t="s">
        <v>9028</v>
      </c>
      <c r="D4086" s="2" t="s">
        <v>51</v>
      </c>
      <c r="E4086" s="2" t="s">
        <v>16</v>
      </c>
      <c r="F4086" s="2">
        <v>90</v>
      </c>
      <c r="G4086" s="2" t="s">
        <v>9029</v>
      </c>
      <c r="H4086" s="2" t="s">
        <v>4607</v>
      </c>
      <c r="I4086" s="2" t="s">
        <v>25</v>
      </c>
      <c r="J4086" s="3">
        <v>43982</v>
      </c>
      <c r="K4086" s="2">
        <v>85</v>
      </c>
      <c r="L4086" s="2" t="s">
        <v>159</v>
      </c>
      <c r="M4086" s="3"/>
    </row>
    <row r="4087" spans="1:13" x14ac:dyDescent="0.3">
      <c r="A4087" s="2">
        <v>4086</v>
      </c>
      <c r="B4087" s="2" t="s">
        <v>9030</v>
      </c>
      <c r="C4087" s="2" t="s">
        <v>2561</v>
      </c>
      <c r="D4087" s="2" t="s">
        <v>51</v>
      </c>
      <c r="E4087" s="2" t="s">
        <v>16</v>
      </c>
      <c r="F4087" s="2">
        <v>90</v>
      </c>
      <c r="G4087" s="2" t="s">
        <v>9031</v>
      </c>
      <c r="H4087" s="2" t="s">
        <v>806</v>
      </c>
      <c r="I4087" s="2" t="s">
        <v>178</v>
      </c>
      <c r="J4087" s="3">
        <v>44016</v>
      </c>
      <c r="K4087" s="2">
        <v>42</v>
      </c>
      <c r="L4087" s="2" t="s">
        <v>70</v>
      </c>
      <c r="M4087" s="3"/>
    </row>
    <row r="4088" spans="1:13" x14ac:dyDescent="0.3">
      <c r="A4088" s="2">
        <v>4087</v>
      </c>
      <c r="B4088" s="2" t="s">
        <v>4452</v>
      </c>
      <c r="C4088" s="2" t="s">
        <v>2650</v>
      </c>
      <c r="D4088" s="2" t="s">
        <v>92</v>
      </c>
      <c r="E4088" s="2" t="s">
        <v>29</v>
      </c>
      <c r="F4088" s="2">
        <v>60</v>
      </c>
      <c r="G4088" s="2" t="s">
        <v>9032</v>
      </c>
      <c r="H4088" s="2" t="s">
        <v>1039</v>
      </c>
      <c r="I4088" s="2" t="s">
        <v>25</v>
      </c>
      <c r="J4088" s="3">
        <v>44587</v>
      </c>
      <c r="K4088" s="2">
        <v>100</v>
      </c>
      <c r="L4088" s="2" t="s">
        <v>54</v>
      </c>
      <c r="M4088" s="3"/>
    </row>
    <row r="4089" spans="1:13" x14ac:dyDescent="0.3">
      <c r="A4089" s="2">
        <v>4088</v>
      </c>
      <c r="B4089" s="2" t="s">
        <v>6559</v>
      </c>
      <c r="C4089" s="2" t="s">
        <v>3803</v>
      </c>
      <c r="D4089" s="2" t="s">
        <v>15</v>
      </c>
      <c r="E4089" s="2" t="s">
        <v>16</v>
      </c>
      <c r="F4089" s="2">
        <v>90</v>
      </c>
      <c r="G4089" s="2" t="s">
        <v>9033</v>
      </c>
      <c r="H4089" s="2" t="s">
        <v>957</v>
      </c>
      <c r="I4089" s="2" t="s">
        <v>95</v>
      </c>
      <c r="J4089" s="3">
        <v>44824</v>
      </c>
      <c r="K4089" s="2">
        <v>103</v>
      </c>
      <c r="L4089" s="2" t="s">
        <v>101</v>
      </c>
      <c r="M4089" s="3"/>
    </row>
    <row r="4090" spans="1:13" x14ac:dyDescent="0.3">
      <c r="A4090" s="2">
        <v>4089</v>
      </c>
      <c r="B4090" s="2" t="s">
        <v>1108</v>
      </c>
      <c r="C4090" s="2" t="s">
        <v>3941</v>
      </c>
      <c r="D4090" s="2" t="s">
        <v>28</v>
      </c>
      <c r="E4090" s="2" t="s">
        <v>29</v>
      </c>
      <c r="F4090" s="2">
        <v>30</v>
      </c>
      <c r="G4090" s="2" t="s">
        <v>9034</v>
      </c>
      <c r="H4090" s="2" t="s">
        <v>455</v>
      </c>
      <c r="I4090" s="2" t="s">
        <v>187</v>
      </c>
      <c r="J4090" s="3">
        <v>44382</v>
      </c>
      <c r="K4090" s="2">
        <v>5</v>
      </c>
      <c r="L4090" s="2" t="s">
        <v>159</v>
      </c>
      <c r="M4090" s="3"/>
    </row>
    <row r="4091" spans="1:13" x14ac:dyDescent="0.3">
      <c r="A4091" s="2">
        <v>4090</v>
      </c>
      <c r="B4091" s="2" t="s">
        <v>2009</v>
      </c>
      <c r="C4091" s="2" t="s">
        <v>3009</v>
      </c>
      <c r="D4091" s="2" t="s">
        <v>28</v>
      </c>
      <c r="E4091" s="2" t="s">
        <v>29</v>
      </c>
      <c r="F4091" s="2">
        <v>60</v>
      </c>
      <c r="G4091" s="2" t="s">
        <v>9035</v>
      </c>
      <c r="H4091" s="2" t="s">
        <v>2737</v>
      </c>
      <c r="I4091" s="2" t="s">
        <v>32</v>
      </c>
      <c r="J4091" s="3">
        <v>43872</v>
      </c>
      <c r="K4091" s="2">
        <v>39</v>
      </c>
      <c r="L4091" s="2" t="s">
        <v>64</v>
      </c>
      <c r="M4091" s="3"/>
    </row>
    <row r="4092" spans="1:13" x14ac:dyDescent="0.3">
      <c r="A4092" s="2">
        <v>4091</v>
      </c>
      <c r="B4092" s="2" t="s">
        <v>9036</v>
      </c>
      <c r="C4092" s="2" t="s">
        <v>1109</v>
      </c>
      <c r="D4092" s="2" t="s">
        <v>15</v>
      </c>
      <c r="E4092" s="2" t="s">
        <v>16</v>
      </c>
      <c r="F4092" s="2">
        <v>30</v>
      </c>
      <c r="G4092" s="2" t="s">
        <v>9037</v>
      </c>
      <c r="H4092" s="2" t="s">
        <v>3682</v>
      </c>
      <c r="I4092" s="2" t="s">
        <v>178</v>
      </c>
      <c r="J4092" s="3">
        <v>44572</v>
      </c>
      <c r="K4092" s="2">
        <v>10</v>
      </c>
      <c r="L4092" s="2" t="s">
        <v>33</v>
      </c>
      <c r="M4092" s="3"/>
    </row>
    <row r="4093" spans="1:13" x14ac:dyDescent="0.3">
      <c r="A4093" s="2">
        <v>4092</v>
      </c>
      <c r="B4093" s="2" t="s">
        <v>9038</v>
      </c>
      <c r="C4093" s="2" t="s">
        <v>8794</v>
      </c>
      <c r="D4093" s="2" t="s">
        <v>15</v>
      </c>
      <c r="E4093" s="2" t="s">
        <v>16</v>
      </c>
      <c r="F4093" s="2">
        <v>30</v>
      </c>
      <c r="G4093" s="2" t="s">
        <v>9039</v>
      </c>
      <c r="H4093" s="2" t="s">
        <v>2418</v>
      </c>
      <c r="I4093" s="2" t="s">
        <v>32</v>
      </c>
      <c r="J4093" s="3">
        <v>44459</v>
      </c>
      <c r="K4093" s="2">
        <v>59</v>
      </c>
      <c r="L4093" s="2" t="s">
        <v>45</v>
      </c>
      <c r="M4093" s="3"/>
    </row>
    <row r="4094" spans="1:13" x14ac:dyDescent="0.3">
      <c r="A4094" s="2">
        <v>4093</v>
      </c>
      <c r="B4094" s="2" t="s">
        <v>46</v>
      </c>
      <c r="C4094" s="2" t="s">
        <v>375</v>
      </c>
      <c r="D4094" s="2" t="s">
        <v>28</v>
      </c>
      <c r="E4094" s="2" t="s">
        <v>29</v>
      </c>
      <c r="F4094" s="2">
        <v>60</v>
      </c>
      <c r="G4094" s="2" t="s">
        <v>9040</v>
      </c>
      <c r="H4094" s="2" t="s">
        <v>3157</v>
      </c>
      <c r="I4094" s="2" t="s">
        <v>32</v>
      </c>
      <c r="J4094" s="3">
        <v>44794</v>
      </c>
      <c r="K4094" s="2">
        <v>38</v>
      </c>
      <c r="L4094" s="2" t="s">
        <v>20</v>
      </c>
      <c r="M4094" s="3"/>
    </row>
    <row r="4095" spans="1:13" x14ac:dyDescent="0.3">
      <c r="A4095" s="2">
        <v>4094</v>
      </c>
      <c r="B4095" s="2" t="s">
        <v>9041</v>
      </c>
      <c r="C4095" s="2" t="s">
        <v>3422</v>
      </c>
      <c r="D4095" s="2" t="s">
        <v>117</v>
      </c>
      <c r="E4095" s="2" t="s">
        <v>16</v>
      </c>
      <c r="F4095" s="2">
        <v>90</v>
      </c>
      <c r="G4095" s="2" t="s">
        <v>9042</v>
      </c>
      <c r="H4095" s="2" t="s">
        <v>898</v>
      </c>
      <c r="I4095" s="2" t="s">
        <v>32</v>
      </c>
      <c r="J4095" s="3">
        <v>44425</v>
      </c>
      <c r="K4095" s="2">
        <v>78</v>
      </c>
      <c r="L4095" s="2" t="s">
        <v>45</v>
      </c>
      <c r="M4095" s="3"/>
    </row>
    <row r="4096" spans="1:13" x14ac:dyDescent="0.3">
      <c r="A4096" s="2">
        <v>4095</v>
      </c>
      <c r="B4096" s="2" t="s">
        <v>5950</v>
      </c>
      <c r="C4096" s="2" t="s">
        <v>5113</v>
      </c>
      <c r="D4096" s="2" t="s">
        <v>51</v>
      </c>
      <c r="E4096" s="2" t="s">
        <v>16</v>
      </c>
      <c r="F4096" s="2">
        <v>60</v>
      </c>
      <c r="G4096" s="2" t="s">
        <v>9043</v>
      </c>
      <c r="H4096" s="2" t="s">
        <v>84</v>
      </c>
      <c r="I4096" s="2" t="s">
        <v>32</v>
      </c>
      <c r="J4096" s="3">
        <v>43859</v>
      </c>
      <c r="K4096" s="2">
        <v>60</v>
      </c>
      <c r="L4096" s="2" t="s">
        <v>54</v>
      </c>
      <c r="M4096" s="3"/>
    </row>
    <row r="4097" spans="1:13" x14ac:dyDescent="0.3">
      <c r="A4097" s="2">
        <v>4096</v>
      </c>
      <c r="B4097" s="2" t="s">
        <v>986</v>
      </c>
      <c r="C4097" s="2" t="s">
        <v>1101</v>
      </c>
      <c r="D4097" s="2" t="s">
        <v>28</v>
      </c>
      <c r="E4097" s="2" t="s">
        <v>29</v>
      </c>
      <c r="F4097" s="2">
        <v>60</v>
      </c>
      <c r="G4097" s="2" t="s">
        <v>9044</v>
      </c>
      <c r="H4097" s="2" t="s">
        <v>7343</v>
      </c>
      <c r="I4097" s="2" t="s">
        <v>1126</v>
      </c>
      <c r="J4097" s="3">
        <v>44609</v>
      </c>
      <c r="K4097" s="2">
        <v>105</v>
      </c>
      <c r="L4097" s="2" t="s">
        <v>20</v>
      </c>
      <c r="M4097" s="3"/>
    </row>
    <row r="4098" spans="1:13" x14ac:dyDescent="0.3">
      <c r="A4098" s="2">
        <v>4097</v>
      </c>
      <c r="B4098" s="2" t="s">
        <v>7034</v>
      </c>
      <c r="C4098" s="2" t="s">
        <v>3917</v>
      </c>
      <c r="D4098" s="2" t="s">
        <v>28</v>
      </c>
      <c r="E4098" s="2" t="s">
        <v>29</v>
      </c>
      <c r="F4098" s="2">
        <v>60</v>
      </c>
      <c r="G4098" s="2" t="s">
        <v>9045</v>
      </c>
      <c r="H4098" s="2" t="s">
        <v>462</v>
      </c>
      <c r="I4098" s="2" t="s">
        <v>32</v>
      </c>
      <c r="J4098" s="3">
        <v>44629</v>
      </c>
      <c r="K4098" s="2">
        <v>32</v>
      </c>
      <c r="L4098" s="2" t="s">
        <v>159</v>
      </c>
      <c r="M4098" s="3"/>
    </row>
    <row r="4099" spans="1:13" x14ac:dyDescent="0.3">
      <c r="A4099" s="2">
        <v>4098</v>
      </c>
      <c r="B4099" s="2" t="s">
        <v>9046</v>
      </c>
      <c r="C4099" s="2" t="s">
        <v>1475</v>
      </c>
      <c r="D4099" s="2" t="s">
        <v>28</v>
      </c>
      <c r="E4099" s="2" t="s">
        <v>29</v>
      </c>
      <c r="F4099" s="2">
        <v>60</v>
      </c>
      <c r="G4099" s="2" t="s">
        <v>9047</v>
      </c>
      <c r="H4099" s="2" t="s">
        <v>5751</v>
      </c>
      <c r="I4099" s="2" t="s">
        <v>178</v>
      </c>
      <c r="J4099" s="3">
        <v>44802</v>
      </c>
      <c r="K4099" s="2">
        <v>56</v>
      </c>
      <c r="L4099" s="2" t="s">
        <v>101</v>
      </c>
      <c r="M4099" s="3"/>
    </row>
    <row r="4100" spans="1:13" x14ac:dyDescent="0.3">
      <c r="A4100" s="2">
        <v>4099</v>
      </c>
      <c r="B4100" s="2" t="s">
        <v>7561</v>
      </c>
      <c r="C4100" s="2" t="s">
        <v>3095</v>
      </c>
      <c r="D4100" s="2" t="s">
        <v>28</v>
      </c>
      <c r="E4100" s="2" t="s">
        <v>29</v>
      </c>
      <c r="F4100" s="2">
        <v>30</v>
      </c>
      <c r="G4100" s="2" t="s">
        <v>9048</v>
      </c>
      <c r="H4100" s="2" t="s">
        <v>8121</v>
      </c>
      <c r="I4100" s="2" t="s">
        <v>44</v>
      </c>
      <c r="J4100" s="3">
        <v>44035</v>
      </c>
      <c r="K4100" s="2">
        <v>42</v>
      </c>
      <c r="L4100" s="2" t="s">
        <v>45</v>
      </c>
      <c r="M4100" s="3"/>
    </row>
    <row r="4101" spans="1:13" x14ac:dyDescent="0.3">
      <c r="A4101" s="2">
        <v>4100</v>
      </c>
      <c r="B4101" s="2" t="s">
        <v>811</v>
      </c>
      <c r="C4101" s="2" t="s">
        <v>1928</v>
      </c>
      <c r="D4101" s="2" t="s">
        <v>28</v>
      </c>
      <c r="E4101" s="2" t="s">
        <v>29</v>
      </c>
      <c r="F4101" s="2">
        <v>30</v>
      </c>
      <c r="G4101" s="2" t="s">
        <v>9049</v>
      </c>
      <c r="H4101" s="2" t="s">
        <v>9050</v>
      </c>
      <c r="I4101" s="2" t="s">
        <v>32</v>
      </c>
      <c r="J4101" s="3">
        <v>44587</v>
      </c>
      <c r="K4101" s="2">
        <v>64</v>
      </c>
      <c r="L4101" s="2" t="s">
        <v>45</v>
      </c>
      <c r="M4101" s="3"/>
    </row>
    <row r="4102" spans="1:13" x14ac:dyDescent="0.3">
      <c r="A4102" s="2">
        <v>4101</v>
      </c>
      <c r="B4102" s="2" t="s">
        <v>9051</v>
      </c>
      <c r="C4102" s="2" t="s">
        <v>7556</v>
      </c>
      <c r="D4102" s="2" t="s">
        <v>15</v>
      </c>
      <c r="E4102" s="2" t="s">
        <v>16</v>
      </c>
      <c r="F4102" s="2">
        <v>60</v>
      </c>
      <c r="G4102" s="2" t="s">
        <v>9052</v>
      </c>
      <c r="H4102" s="2" t="s">
        <v>3194</v>
      </c>
      <c r="I4102" s="2" t="s">
        <v>819</v>
      </c>
      <c r="J4102" s="3">
        <v>44491</v>
      </c>
      <c r="K4102" s="2">
        <v>54</v>
      </c>
      <c r="L4102" s="2" t="s">
        <v>45</v>
      </c>
      <c r="M4102" s="3"/>
    </row>
    <row r="4103" spans="1:13" x14ac:dyDescent="0.3">
      <c r="A4103" s="2">
        <v>4102</v>
      </c>
      <c r="B4103" s="2" t="s">
        <v>6942</v>
      </c>
      <c r="C4103" s="2" t="s">
        <v>1010</v>
      </c>
      <c r="D4103" s="2" t="s">
        <v>28</v>
      </c>
      <c r="E4103" s="2" t="s">
        <v>29</v>
      </c>
      <c r="F4103" s="2">
        <v>30</v>
      </c>
      <c r="G4103" s="2" t="s">
        <v>9053</v>
      </c>
      <c r="H4103" s="2" t="s">
        <v>2834</v>
      </c>
      <c r="I4103" s="2" t="s">
        <v>19</v>
      </c>
      <c r="J4103" s="3">
        <v>43849</v>
      </c>
      <c r="K4103" s="2">
        <v>28</v>
      </c>
      <c r="L4103" s="2" t="s">
        <v>33</v>
      </c>
      <c r="M4103" s="3"/>
    </row>
    <row r="4104" spans="1:13" x14ac:dyDescent="0.3">
      <c r="A4104" s="2">
        <v>4103</v>
      </c>
      <c r="B4104" s="2" t="s">
        <v>9054</v>
      </c>
      <c r="C4104" s="2" t="s">
        <v>9055</v>
      </c>
      <c r="D4104" s="2" t="s">
        <v>15</v>
      </c>
      <c r="E4104" s="2" t="s">
        <v>16</v>
      </c>
      <c r="F4104" s="2">
        <v>60</v>
      </c>
      <c r="G4104" s="2" t="s">
        <v>9056</v>
      </c>
      <c r="H4104" s="2" t="s">
        <v>2506</v>
      </c>
      <c r="I4104" s="2" t="s">
        <v>32</v>
      </c>
      <c r="J4104" s="3">
        <v>43881</v>
      </c>
      <c r="K4104" s="2">
        <v>55</v>
      </c>
      <c r="L4104" s="2" t="s">
        <v>33</v>
      </c>
      <c r="M4104" s="3"/>
    </row>
    <row r="4105" spans="1:13" x14ac:dyDescent="0.3">
      <c r="A4105" s="2">
        <v>4104</v>
      </c>
      <c r="B4105" s="2" t="s">
        <v>5088</v>
      </c>
      <c r="C4105" s="2" t="s">
        <v>5174</v>
      </c>
      <c r="D4105" s="2" t="s">
        <v>28</v>
      </c>
      <c r="E4105" s="2" t="s">
        <v>29</v>
      </c>
      <c r="F4105" s="2">
        <v>60</v>
      </c>
      <c r="G4105" s="2" t="s">
        <v>9057</v>
      </c>
      <c r="H4105" s="2" t="s">
        <v>5962</v>
      </c>
      <c r="I4105" s="2" t="s">
        <v>32</v>
      </c>
      <c r="J4105" s="3">
        <v>44778</v>
      </c>
      <c r="K4105" s="2">
        <v>94</v>
      </c>
      <c r="L4105" s="2" t="s">
        <v>39</v>
      </c>
      <c r="M4105" s="3"/>
    </row>
    <row r="4106" spans="1:13" x14ac:dyDescent="0.3">
      <c r="A4106" s="2">
        <v>4105</v>
      </c>
      <c r="B4106" s="2" t="s">
        <v>9058</v>
      </c>
      <c r="C4106" s="2" t="s">
        <v>4173</v>
      </c>
      <c r="D4106" s="2" t="s">
        <v>15</v>
      </c>
      <c r="E4106" s="2" t="s">
        <v>16</v>
      </c>
      <c r="F4106" s="2">
        <v>60</v>
      </c>
      <c r="G4106" s="2" t="s">
        <v>9059</v>
      </c>
      <c r="H4106" s="2" t="s">
        <v>6036</v>
      </c>
      <c r="I4106" s="2" t="s">
        <v>32</v>
      </c>
      <c r="J4106" s="3">
        <v>44101</v>
      </c>
      <c r="K4106" s="2">
        <v>68</v>
      </c>
      <c r="L4106" s="2" t="s">
        <v>20</v>
      </c>
      <c r="M4106" s="3"/>
    </row>
    <row r="4107" spans="1:13" x14ac:dyDescent="0.3">
      <c r="A4107" s="2">
        <v>4106</v>
      </c>
      <c r="B4107" s="2" t="s">
        <v>9060</v>
      </c>
      <c r="C4107" s="2" t="s">
        <v>3237</v>
      </c>
      <c r="D4107" s="2" t="s">
        <v>51</v>
      </c>
      <c r="E4107" s="2" t="s">
        <v>16</v>
      </c>
      <c r="F4107" s="2">
        <v>30</v>
      </c>
      <c r="G4107" s="2" t="s">
        <v>9061</v>
      </c>
      <c r="H4107" s="2" t="s">
        <v>105</v>
      </c>
      <c r="I4107" s="2" t="s">
        <v>32</v>
      </c>
      <c r="J4107" s="3">
        <v>44327</v>
      </c>
      <c r="K4107" s="2">
        <v>53</v>
      </c>
      <c r="L4107" s="2" t="s">
        <v>80</v>
      </c>
      <c r="M4107" s="3"/>
    </row>
    <row r="4108" spans="1:13" x14ac:dyDescent="0.3">
      <c r="A4108" s="2">
        <v>4107</v>
      </c>
      <c r="B4108" s="2" t="s">
        <v>9062</v>
      </c>
      <c r="C4108" s="2" t="s">
        <v>3588</v>
      </c>
      <c r="D4108" s="2" t="s">
        <v>51</v>
      </c>
      <c r="E4108" s="2" t="s">
        <v>16</v>
      </c>
      <c r="F4108" s="2">
        <v>30</v>
      </c>
      <c r="G4108" s="2" t="s">
        <v>9063</v>
      </c>
      <c r="H4108" s="2" t="s">
        <v>6772</v>
      </c>
      <c r="I4108" s="2" t="s">
        <v>32</v>
      </c>
      <c r="J4108" s="3">
        <v>44155</v>
      </c>
      <c r="K4108" s="2">
        <v>55</v>
      </c>
      <c r="L4108" s="2" t="s">
        <v>64</v>
      </c>
      <c r="M4108" s="3"/>
    </row>
    <row r="4109" spans="1:13" x14ac:dyDescent="0.3">
      <c r="A4109" s="2">
        <v>4108</v>
      </c>
      <c r="B4109" s="2" t="s">
        <v>9064</v>
      </c>
      <c r="C4109" s="2" t="s">
        <v>2286</v>
      </c>
      <c r="D4109" s="2" t="s">
        <v>28</v>
      </c>
      <c r="E4109" s="2" t="s">
        <v>29</v>
      </c>
      <c r="F4109" s="2">
        <v>60</v>
      </c>
      <c r="G4109" s="2" t="s">
        <v>9065</v>
      </c>
      <c r="H4109" s="2" t="s">
        <v>4675</v>
      </c>
      <c r="I4109" s="2" t="s">
        <v>178</v>
      </c>
      <c r="J4109" s="3">
        <v>44886</v>
      </c>
      <c r="K4109" s="2">
        <v>68</v>
      </c>
      <c r="L4109" s="2" t="s">
        <v>64</v>
      </c>
      <c r="M4109" s="3"/>
    </row>
    <row r="4110" spans="1:13" x14ac:dyDescent="0.3">
      <c r="A4110" s="2">
        <v>4109</v>
      </c>
      <c r="B4110" s="2" t="s">
        <v>184</v>
      </c>
      <c r="C4110" s="2" t="s">
        <v>9066</v>
      </c>
      <c r="D4110" s="2" t="s">
        <v>28</v>
      </c>
      <c r="E4110" s="2" t="s">
        <v>29</v>
      </c>
      <c r="F4110" s="2">
        <v>30</v>
      </c>
      <c r="G4110" s="2" t="s">
        <v>9067</v>
      </c>
      <c r="H4110" s="2" t="s">
        <v>574</v>
      </c>
      <c r="I4110" s="2" t="s">
        <v>575</v>
      </c>
      <c r="J4110" s="3">
        <v>44759</v>
      </c>
      <c r="K4110" s="2">
        <v>103</v>
      </c>
      <c r="L4110" s="2" t="s">
        <v>70</v>
      </c>
      <c r="M4110" s="3"/>
    </row>
    <row r="4111" spans="1:13" x14ac:dyDescent="0.3">
      <c r="A4111" s="2">
        <v>4110</v>
      </c>
      <c r="B4111" s="2" t="s">
        <v>2426</v>
      </c>
      <c r="C4111" s="2" t="s">
        <v>237</v>
      </c>
      <c r="D4111" s="2" t="s">
        <v>28</v>
      </c>
      <c r="E4111" s="2" t="s">
        <v>29</v>
      </c>
      <c r="F4111" s="2">
        <v>60</v>
      </c>
      <c r="G4111" s="2" t="s">
        <v>9068</v>
      </c>
      <c r="H4111" s="2" t="s">
        <v>5316</v>
      </c>
      <c r="I4111" s="2" t="s">
        <v>25</v>
      </c>
      <c r="J4111" s="3">
        <v>44716</v>
      </c>
      <c r="K4111" s="2">
        <v>4</v>
      </c>
      <c r="L4111" s="2" t="s">
        <v>20</v>
      </c>
      <c r="M4111" s="3"/>
    </row>
    <row r="4112" spans="1:13" x14ac:dyDescent="0.3">
      <c r="A4112" s="2">
        <v>4111</v>
      </c>
      <c r="B4112" s="2" t="s">
        <v>3073</v>
      </c>
      <c r="C4112" s="2" t="s">
        <v>7774</v>
      </c>
      <c r="D4112" s="2" t="s">
        <v>28</v>
      </c>
      <c r="E4112" s="2" t="s">
        <v>29</v>
      </c>
      <c r="F4112" s="2">
        <v>60</v>
      </c>
      <c r="G4112" s="2" t="s">
        <v>9069</v>
      </c>
      <c r="H4112" s="2" t="s">
        <v>1629</v>
      </c>
      <c r="I4112" s="2" t="s">
        <v>32</v>
      </c>
      <c r="J4112" s="3">
        <v>44434</v>
      </c>
      <c r="K4112" s="2">
        <v>66</v>
      </c>
      <c r="L4112" s="2" t="s">
        <v>64</v>
      </c>
      <c r="M4112" s="3"/>
    </row>
    <row r="4113" spans="1:13" x14ac:dyDescent="0.3">
      <c r="A4113" s="2">
        <v>4112</v>
      </c>
      <c r="B4113" s="2" t="s">
        <v>5128</v>
      </c>
      <c r="C4113" s="2" t="s">
        <v>2945</v>
      </c>
      <c r="D4113" s="2" t="s">
        <v>28</v>
      </c>
      <c r="E4113" s="2" t="s">
        <v>29</v>
      </c>
      <c r="F4113" s="2">
        <v>30</v>
      </c>
      <c r="G4113" s="2" t="s">
        <v>9070</v>
      </c>
      <c r="H4113" s="2" t="s">
        <v>6249</v>
      </c>
      <c r="I4113" s="2" t="s">
        <v>38</v>
      </c>
      <c r="J4113" s="3">
        <v>44290</v>
      </c>
      <c r="K4113" s="2">
        <v>16</v>
      </c>
      <c r="L4113" s="2" t="s">
        <v>20</v>
      </c>
      <c r="M4113" s="3"/>
    </row>
    <row r="4114" spans="1:13" x14ac:dyDescent="0.3">
      <c r="A4114" s="2">
        <v>4113</v>
      </c>
      <c r="B4114" s="2" t="s">
        <v>504</v>
      </c>
      <c r="C4114" s="2" t="s">
        <v>6454</v>
      </c>
      <c r="D4114" s="2" t="s">
        <v>28</v>
      </c>
      <c r="E4114" s="2" t="s">
        <v>29</v>
      </c>
      <c r="F4114" s="2">
        <v>30</v>
      </c>
      <c r="G4114" s="2" t="s">
        <v>9071</v>
      </c>
      <c r="H4114" s="2" t="s">
        <v>2172</v>
      </c>
      <c r="I4114" s="2" t="s">
        <v>32</v>
      </c>
      <c r="J4114" s="3">
        <v>44861</v>
      </c>
      <c r="K4114" s="2">
        <v>54</v>
      </c>
      <c r="L4114" s="2" t="s">
        <v>33</v>
      </c>
      <c r="M4114" s="3"/>
    </row>
    <row r="4115" spans="1:13" x14ac:dyDescent="0.3">
      <c r="A4115" s="2">
        <v>4114</v>
      </c>
      <c r="B4115" s="2" t="s">
        <v>9072</v>
      </c>
      <c r="C4115" s="2" t="s">
        <v>2566</v>
      </c>
      <c r="D4115" s="2" t="s">
        <v>28</v>
      </c>
      <c r="E4115" s="2" t="s">
        <v>29</v>
      </c>
      <c r="F4115" s="2">
        <v>60</v>
      </c>
      <c r="G4115" s="2" t="s">
        <v>9073</v>
      </c>
      <c r="H4115" s="2" t="s">
        <v>3991</v>
      </c>
      <c r="I4115" s="2" t="s">
        <v>32</v>
      </c>
      <c r="J4115" s="3">
        <v>44389</v>
      </c>
      <c r="K4115" s="2">
        <v>25</v>
      </c>
      <c r="L4115" s="2" t="s">
        <v>101</v>
      </c>
      <c r="M4115" s="3"/>
    </row>
    <row r="4116" spans="1:13" x14ac:dyDescent="0.3">
      <c r="A4116" s="2">
        <v>4115</v>
      </c>
      <c r="B4116" s="2" t="s">
        <v>9074</v>
      </c>
      <c r="C4116" s="2" t="s">
        <v>1798</v>
      </c>
      <c r="D4116" s="2" t="s">
        <v>15</v>
      </c>
      <c r="E4116" s="2" t="s">
        <v>16</v>
      </c>
      <c r="F4116" s="2">
        <v>30</v>
      </c>
      <c r="G4116" s="2" t="s">
        <v>9075</v>
      </c>
      <c r="H4116" s="2" t="s">
        <v>4451</v>
      </c>
      <c r="I4116" s="2" t="s">
        <v>32</v>
      </c>
      <c r="J4116" s="3">
        <v>44822</v>
      </c>
      <c r="K4116" s="2">
        <v>84</v>
      </c>
      <c r="L4116" s="2" t="s">
        <v>80</v>
      </c>
      <c r="M4116" s="3"/>
    </row>
    <row r="4117" spans="1:13" x14ac:dyDescent="0.3">
      <c r="A4117" s="2">
        <v>4116</v>
      </c>
      <c r="B4117" s="2" t="s">
        <v>2562</v>
      </c>
      <c r="C4117" s="2" t="s">
        <v>2505</v>
      </c>
      <c r="D4117" s="2" t="s">
        <v>28</v>
      </c>
      <c r="E4117" s="2" t="s">
        <v>29</v>
      </c>
      <c r="F4117" s="2">
        <v>60</v>
      </c>
      <c r="G4117" s="2" t="s">
        <v>9076</v>
      </c>
      <c r="H4117" s="2" t="s">
        <v>2026</v>
      </c>
      <c r="I4117" s="2" t="s">
        <v>1078</v>
      </c>
      <c r="J4117" s="3">
        <v>44274</v>
      </c>
      <c r="K4117" s="2">
        <v>64</v>
      </c>
      <c r="L4117" s="2" t="s">
        <v>80</v>
      </c>
      <c r="M4117" s="3"/>
    </row>
    <row r="4118" spans="1:13" x14ac:dyDescent="0.3">
      <c r="A4118" s="2">
        <v>4117</v>
      </c>
      <c r="B4118" s="2" t="s">
        <v>9077</v>
      </c>
      <c r="C4118" s="2" t="s">
        <v>5910</v>
      </c>
      <c r="D4118" s="2" t="s">
        <v>15</v>
      </c>
      <c r="E4118" s="2" t="s">
        <v>16</v>
      </c>
      <c r="F4118" s="2">
        <v>30</v>
      </c>
      <c r="G4118" s="2" t="s">
        <v>9078</v>
      </c>
      <c r="H4118" s="2" t="s">
        <v>4567</v>
      </c>
      <c r="I4118" s="2" t="s">
        <v>38</v>
      </c>
      <c r="J4118" s="3">
        <v>43935</v>
      </c>
      <c r="K4118" s="2">
        <v>33</v>
      </c>
      <c r="L4118" s="2" t="s">
        <v>39</v>
      </c>
      <c r="M4118" s="3"/>
    </row>
    <row r="4119" spans="1:13" x14ac:dyDescent="0.3">
      <c r="A4119" s="2">
        <v>4118</v>
      </c>
      <c r="B4119" s="2" t="s">
        <v>705</v>
      </c>
      <c r="C4119" s="2" t="s">
        <v>6425</v>
      </c>
      <c r="D4119" s="2" t="s">
        <v>28</v>
      </c>
      <c r="E4119" s="2" t="s">
        <v>29</v>
      </c>
      <c r="F4119" s="2">
        <v>60</v>
      </c>
      <c r="G4119" s="2" t="s">
        <v>9079</v>
      </c>
      <c r="H4119" s="2" t="s">
        <v>1173</v>
      </c>
      <c r="I4119" s="2" t="s">
        <v>32</v>
      </c>
      <c r="J4119" s="3">
        <v>44059</v>
      </c>
      <c r="K4119" s="2">
        <v>12</v>
      </c>
      <c r="L4119" s="2" t="s">
        <v>39</v>
      </c>
      <c r="M4119" s="3"/>
    </row>
    <row r="4120" spans="1:13" x14ac:dyDescent="0.3">
      <c r="A4120" s="2">
        <v>4119</v>
      </c>
      <c r="B4120" s="2" t="s">
        <v>2868</v>
      </c>
      <c r="C4120" s="2" t="s">
        <v>7379</v>
      </c>
      <c r="D4120" s="2" t="s">
        <v>51</v>
      </c>
      <c r="E4120" s="2" t="s">
        <v>16</v>
      </c>
      <c r="F4120" s="2">
        <v>60</v>
      </c>
      <c r="G4120" s="2" t="s">
        <v>9080</v>
      </c>
      <c r="H4120" s="2" t="s">
        <v>6442</v>
      </c>
      <c r="I4120" s="2" t="s">
        <v>294</v>
      </c>
      <c r="J4120" s="3">
        <v>44708</v>
      </c>
      <c r="K4120" s="2">
        <v>83</v>
      </c>
      <c r="L4120" s="2" t="s">
        <v>80</v>
      </c>
      <c r="M4120" s="3"/>
    </row>
    <row r="4121" spans="1:13" x14ac:dyDescent="0.3">
      <c r="A4121" s="2">
        <v>4120</v>
      </c>
      <c r="B4121" s="2" t="s">
        <v>9081</v>
      </c>
      <c r="C4121" s="2" t="s">
        <v>2773</v>
      </c>
      <c r="D4121" s="2" t="s">
        <v>28</v>
      </c>
      <c r="E4121" s="2" t="s">
        <v>29</v>
      </c>
      <c r="F4121" s="2">
        <v>60</v>
      </c>
      <c r="G4121" s="2" t="s">
        <v>9082</v>
      </c>
      <c r="H4121" s="2" t="s">
        <v>2645</v>
      </c>
      <c r="I4121" s="2" t="s">
        <v>32</v>
      </c>
      <c r="J4121" s="3">
        <v>44892</v>
      </c>
      <c r="K4121" s="2">
        <v>76</v>
      </c>
      <c r="L4121" s="2" t="s">
        <v>54</v>
      </c>
      <c r="M4121" s="3"/>
    </row>
    <row r="4122" spans="1:13" x14ac:dyDescent="0.3">
      <c r="A4122" s="2">
        <v>4121</v>
      </c>
      <c r="B4122" s="2" t="s">
        <v>4750</v>
      </c>
      <c r="C4122" s="2" t="s">
        <v>106</v>
      </c>
      <c r="D4122" s="2" t="s">
        <v>28</v>
      </c>
      <c r="E4122" s="2" t="s">
        <v>29</v>
      </c>
      <c r="F4122" s="2">
        <v>30</v>
      </c>
      <c r="G4122" s="2" t="s">
        <v>9083</v>
      </c>
      <c r="H4122" s="2" t="s">
        <v>3724</v>
      </c>
      <c r="I4122" s="2" t="s">
        <v>1078</v>
      </c>
      <c r="J4122" s="3">
        <v>43866</v>
      </c>
      <c r="K4122" s="2">
        <v>59</v>
      </c>
      <c r="L4122" s="2" t="s">
        <v>70</v>
      </c>
      <c r="M4122" s="3"/>
    </row>
    <row r="4123" spans="1:13" x14ac:dyDescent="0.3">
      <c r="A4123" s="2">
        <v>4122</v>
      </c>
      <c r="B4123" s="2" t="s">
        <v>6790</v>
      </c>
      <c r="C4123" s="2" t="s">
        <v>6741</v>
      </c>
      <c r="D4123" s="2" t="s">
        <v>28</v>
      </c>
      <c r="E4123" s="2" t="s">
        <v>29</v>
      </c>
      <c r="F4123" s="2">
        <v>90</v>
      </c>
      <c r="G4123" s="2" t="s">
        <v>9084</v>
      </c>
      <c r="H4123" s="2" t="s">
        <v>2965</v>
      </c>
      <c r="I4123" s="2" t="s">
        <v>25</v>
      </c>
      <c r="J4123" s="3">
        <v>43933</v>
      </c>
      <c r="K4123" s="2">
        <v>62</v>
      </c>
      <c r="L4123" s="2" t="s">
        <v>64</v>
      </c>
      <c r="M4123" s="3"/>
    </row>
    <row r="4124" spans="1:13" x14ac:dyDescent="0.3">
      <c r="A4124" s="2">
        <v>4123</v>
      </c>
      <c r="B4124" s="2" t="s">
        <v>6790</v>
      </c>
      <c r="C4124" s="2" t="s">
        <v>6741</v>
      </c>
      <c r="D4124" s="2" t="s">
        <v>28</v>
      </c>
      <c r="E4124" s="2" t="s">
        <v>29</v>
      </c>
      <c r="F4124" s="2">
        <v>90</v>
      </c>
      <c r="G4124" s="2" t="s">
        <v>9084</v>
      </c>
      <c r="H4124" s="2" t="s">
        <v>2965</v>
      </c>
      <c r="I4124" s="2" t="s">
        <v>25</v>
      </c>
      <c r="J4124" s="3">
        <v>43933</v>
      </c>
      <c r="K4124" s="2">
        <v>62</v>
      </c>
      <c r="L4124" s="2" t="s">
        <v>64</v>
      </c>
      <c r="M4124" s="3"/>
    </row>
    <row r="4125" spans="1:13" x14ac:dyDescent="0.3">
      <c r="A4125" s="2">
        <v>4124</v>
      </c>
      <c r="B4125" s="2" t="s">
        <v>9085</v>
      </c>
      <c r="C4125" s="2" t="s">
        <v>3848</v>
      </c>
      <c r="D4125" s="2" t="s">
        <v>15</v>
      </c>
      <c r="E4125" s="2" t="s">
        <v>16</v>
      </c>
      <c r="F4125" s="2">
        <v>30</v>
      </c>
      <c r="G4125" s="2" t="s">
        <v>9086</v>
      </c>
      <c r="H4125" s="2" t="s">
        <v>3399</v>
      </c>
      <c r="I4125" s="2" t="s">
        <v>124</v>
      </c>
      <c r="J4125" s="3">
        <v>43937</v>
      </c>
      <c r="K4125" s="2">
        <v>61</v>
      </c>
      <c r="L4125" s="2" t="s">
        <v>45</v>
      </c>
      <c r="M4125" s="3"/>
    </row>
    <row r="4126" spans="1:13" x14ac:dyDescent="0.3">
      <c r="A4126" s="2">
        <v>4125</v>
      </c>
      <c r="B4126" s="2" t="s">
        <v>9087</v>
      </c>
      <c r="C4126" s="2" t="s">
        <v>2349</v>
      </c>
      <c r="D4126" s="2" t="s">
        <v>15</v>
      </c>
      <c r="E4126" s="2" t="s">
        <v>16</v>
      </c>
      <c r="F4126" s="2">
        <v>30</v>
      </c>
      <c r="G4126" s="2" t="s">
        <v>9088</v>
      </c>
      <c r="H4126" s="2" t="s">
        <v>710</v>
      </c>
      <c r="I4126" s="2" t="s">
        <v>187</v>
      </c>
      <c r="J4126" s="3">
        <v>44413</v>
      </c>
      <c r="K4126" s="2">
        <v>55</v>
      </c>
      <c r="L4126" s="2" t="s">
        <v>54</v>
      </c>
      <c r="M4126" s="3"/>
    </row>
    <row r="4127" spans="1:13" x14ac:dyDescent="0.3">
      <c r="A4127" s="2">
        <v>4126</v>
      </c>
      <c r="B4127" s="2" t="s">
        <v>1424</v>
      </c>
      <c r="C4127" s="2" t="s">
        <v>1259</v>
      </c>
      <c r="D4127" s="2" t="s">
        <v>28</v>
      </c>
      <c r="E4127" s="2" t="s">
        <v>29</v>
      </c>
      <c r="F4127" s="2">
        <v>30</v>
      </c>
      <c r="G4127" s="2" t="s">
        <v>9089</v>
      </c>
      <c r="H4127" s="2" t="s">
        <v>3783</v>
      </c>
      <c r="I4127" s="2" t="s">
        <v>124</v>
      </c>
      <c r="J4127" s="3">
        <v>44289</v>
      </c>
      <c r="K4127" s="2">
        <v>39</v>
      </c>
      <c r="L4127" s="2" t="s">
        <v>80</v>
      </c>
      <c r="M4127" s="3"/>
    </row>
    <row r="4128" spans="1:13" x14ac:dyDescent="0.3">
      <c r="A4128" s="2">
        <v>4127</v>
      </c>
      <c r="B4128" s="2" t="s">
        <v>1755</v>
      </c>
      <c r="C4128" s="2" t="s">
        <v>7443</v>
      </c>
      <c r="D4128" s="2" t="s">
        <v>28</v>
      </c>
      <c r="E4128" s="2" t="s">
        <v>29</v>
      </c>
      <c r="F4128" s="2">
        <v>30</v>
      </c>
      <c r="G4128" s="2" t="s">
        <v>9090</v>
      </c>
      <c r="H4128" s="2" t="s">
        <v>3814</v>
      </c>
      <c r="I4128" s="2" t="s">
        <v>32</v>
      </c>
      <c r="J4128" s="3">
        <v>44599</v>
      </c>
      <c r="K4128" s="2">
        <v>92</v>
      </c>
      <c r="L4128" s="2" t="s">
        <v>159</v>
      </c>
      <c r="M4128" s="3"/>
    </row>
    <row r="4129" spans="1:13" x14ac:dyDescent="0.3">
      <c r="A4129" s="2">
        <v>4128</v>
      </c>
      <c r="B4129" s="2" t="s">
        <v>1379</v>
      </c>
      <c r="C4129" s="2" t="s">
        <v>3542</v>
      </c>
      <c r="D4129" s="2" t="s">
        <v>117</v>
      </c>
      <c r="E4129" s="2" t="s">
        <v>29</v>
      </c>
      <c r="F4129" s="2">
        <v>60</v>
      </c>
      <c r="G4129" s="2" t="s">
        <v>9091</v>
      </c>
      <c r="H4129" s="2" t="s">
        <v>781</v>
      </c>
      <c r="I4129" s="2" t="s">
        <v>294</v>
      </c>
      <c r="J4129" s="3">
        <v>44806</v>
      </c>
      <c r="K4129" s="2">
        <v>63</v>
      </c>
      <c r="L4129" s="2" t="s">
        <v>80</v>
      </c>
      <c r="M4129" s="3"/>
    </row>
    <row r="4130" spans="1:13" x14ac:dyDescent="0.3">
      <c r="A4130" s="2">
        <v>4129</v>
      </c>
      <c r="B4130" s="2" t="s">
        <v>828</v>
      </c>
      <c r="C4130" s="2" t="s">
        <v>1424</v>
      </c>
      <c r="D4130" s="2" t="s">
        <v>28</v>
      </c>
      <c r="E4130" s="2" t="s">
        <v>29</v>
      </c>
      <c r="F4130" s="2">
        <v>30</v>
      </c>
      <c r="G4130" s="2" t="s">
        <v>9092</v>
      </c>
      <c r="H4130" s="2" t="s">
        <v>5803</v>
      </c>
      <c r="I4130" s="2" t="s">
        <v>294</v>
      </c>
      <c r="J4130" s="3">
        <v>44635</v>
      </c>
      <c r="K4130" s="2">
        <v>78</v>
      </c>
      <c r="L4130" s="2" t="s">
        <v>70</v>
      </c>
      <c r="M4130" s="3"/>
    </row>
    <row r="4131" spans="1:13" x14ac:dyDescent="0.3">
      <c r="A4131" s="2">
        <v>4130</v>
      </c>
      <c r="B4131" s="2" t="s">
        <v>9093</v>
      </c>
      <c r="C4131" s="2" t="s">
        <v>2557</v>
      </c>
      <c r="D4131" s="2" t="s">
        <v>15</v>
      </c>
      <c r="E4131" s="2" t="s">
        <v>7639</v>
      </c>
      <c r="F4131" s="2">
        <v>90</v>
      </c>
      <c r="G4131" s="2" t="s">
        <v>9094</v>
      </c>
      <c r="H4131" s="2" t="s">
        <v>9095</v>
      </c>
      <c r="I4131" s="2" t="s">
        <v>32</v>
      </c>
      <c r="J4131" s="3">
        <v>44740</v>
      </c>
      <c r="K4131" s="2">
        <v>33</v>
      </c>
      <c r="L4131" s="2" t="s">
        <v>45</v>
      </c>
      <c r="M4131" s="3"/>
    </row>
    <row r="4132" spans="1:13" x14ac:dyDescent="0.3">
      <c r="A4132" s="2">
        <v>4131</v>
      </c>
      <c r="B4132" s="2" t="s">
        <v>9096</v>
      </c>
      <c r="C4132" s="2" t="s">
        <v>1243</v>
      </c>
      <c r="D4132" s="2" t="s">
        <v>15</v>
      </c>
      <c r="E4132" s="2" t="s">
        <v>16</v>
      </c>
      <c r="F4132" s="2">
        <v>30</v>
      </c>
      <c r="G4132" s="2" t="s">
        <v>9097</v>
      </c>
      <c r="H4132" s="2" t="s">
        <v>9098</v>
      </c>
      <c r="I4132" s="2" t="s">
        <v>38</v>
      </c>
      <c r="J4132" s="3">
        <v>44675</v>
      </c>
      <c r="K4132" s="2">
        <v>29</v>
      </c>
      <c r="L4132" s="2" t="s">
        <v>33</v>
      </c>
      <c r="M4132" s="3"/>
    </row>
    <row r="4133" spans="1:13" x14ac:dyDescent="0.3">
      <c r="A4133" s="2">
        <v>4132</v>
      </c>
      <c r="B4133" s="2" t="s">
        <v>6603</v>
      </c>
      <c r="C4133" s="2" t="s">
        <v>9099</v>
      </c>
      <c r="D4133" s="2" t="s">
        <v>51</v>
      </c>
      <c r="E4133" s="2" t="s">
        <v>16</v>
      </c>
      <c r="F4133" s="2">
        <v>90</v>
      </c>
      <c r="G4133" s="2" t="s">
        <v>9100</v>
      </c>
      <c r="H4133" s="2" t="s">
        <v>1667</v>
      </c>
      <c r="I4133" s="2" t="s">
        <v>32</v>
      </c>
      <c r="J4133" s="3">
        <v>44090</v>
      </c>
      <c r="K4133" s="2">
        <v>32</v>
      </c>
      <c r="L4133" s="2" t="s">
        <v>70</v>
      </c>
      <c r="M4133" s="3"/>
    </row>
    <row r="4134" spans="1:13" x14ac:dyDescent="0.3">
      <c r="A4134" s="2">
        <v>4133</v>
      </c>
      <c r="B4134" s="2" t="s">
        <v>1792</v>
      </c>
      <c r="C4134" s="2" t="s">
        <v>4858</v>
      </c>
      <c r="D4134" s="2" t="s">
        <v>28</v>
      </c>
      <c r="E4134" s="2" t="s">
        <v>29</v>
      </c>
      <c r="F4134" s="2">
        <v>90</v>
      </c>
      <c r="G4134" s="2" t="s">
        <v>9101</v>
      </c>
      <c r="H4134" s="2" t="s">
        <v>3506</v>
      </c>
      <c r="I4134" s="2" t="s">
        <v>124</v>
      </c>
      <c r="J4134" s="3">
        <v>43938</v>
      </c>
      <c r="K4134" s="2">
        <v>48</v>
      </c>
      <c r="L4134" s="2" t="s">
        <v>70</v>
      </c>
      <c r="M4134" s="3"/>
    </row>
    <row r="4135" spans="1:13" x14ac:dyDescent="0.3">
      <c r="A4135" s="2">
        <v>4134</v>
      </c>
      <c r="B4135" s="2" t="s">
        <v>9102</v>
      </c>
      <c r="C4135" s="2" t="s">
        <v>6708</v>
      </c>
      <c r="D4135" s="2" t="s">
        <v>28</v>
      </c>
      <c r="E4135" s="2" t="s">
        <v>29</v>
      </c>
      <c r="F4135" s="2">
        <v>30</v>
      </c>
      <c r="G4135" s="2" t="s">
        <v>9103</v>
      </c>
      <c r="H4135" s="2" t="s">
        <v>2199</v>
      </c>
      <c r="I4135" s="2" t="s">
        <v>32</v>
      </c>
      <c r="J4135" s="3">
        <v>43876</v>
      </c>
      <c r="K4135" s="2">
        <v>69</v>
      </c>
      <c r="L4135" s="2" t="s">
        <v>70</v>
      </c>
      <c r="M4135" s="3"/>
    </row>
    <row r="4136" spans="1:13" x14ac:dyDescent="0.3">
      <c r="A4136" s="2">
        <v>4135</v>
      </c>
      <c r="B4136" s="2" t="s">
        <v>9104</v>
      </c>
      <c r="C4136" s="2" t="s">
        <v>7433</v>
      </c>
      <c r="D4136" s="2" t="s">
        <v>15</v>
      </c>
      <c r="E4136" s="2" t="s">
        <v>16</v>
      </c>
      <c r="F4136" s="2">
        <v>30</v>
      </c>
      <c r="G4136" s="2" t="s">
        <v>9105</v>
      </c>
      <c r="H4136" s="2" t="s">
        <v>2066</v>
      </c>
      <c r="I4136" s="2" t="s">
        <v>294</v>
      </c>
      <c r="J4136" s="3">
        <v>44867</v>
      </c>
      <c r="K4136" s="2">
        <v>98</v>
      </c>
      <c r="L4136" s="2" t="s">
        <v>45</v>
      </c>
      <c r="M4136" s="3"/>
    </row>
    <row r="4137" spans="1:13" x14ac:dyDescent="0.3">
      <c r="A4137" s="2">
        <v>4136</v>
      </c>
      <c r="B4137" s="2" t="s">
        <v>5125</v>
      </c>
      <c r="C4137" s="2" t="s">
        <v>460</v>
      </c>
      <c r="D4137" s="2" t="s">
        <v>28</v>
      </c>
      <c r="E4137" s="2" t="s">
        <v>29</v>
      </c>
      <c r="F4137" s="2">
        <v>30</v>
      </c>
      <c r="G4137" s="2" t="s">
        <v>9105</v>
      </c>
      <c r="H4137" s="2" t="s">
        <v>2230</v>
      </c>
      <c r="I4137" s="2" t="s">
        <v>32</v>
      </c>
      <c r="J4137" s="3">
        <v>43993</v>
      </c>
      <c r="K4137" s="2">
        <v>39</v>
      </c>
      <c r="L4137" s="2" t="s">
        <v>54</v>
      </c>
      <c r="M4137" s="3"/>
    </row>
    <row r="4138" spans="1:13" x14ac:dyDescent="0.3">
      <c r="A4138" s="2">
        <v>4137</v>
      </c>
      <c r="B4138" s="2" t="s">
        <v>5567</v>
      </c>
      <c r="C4138" s="2" t="s">
        <v>121</v>
      </c>
      <c r="D4138" s="2" t="s">
        <v>28</v>
      </c>
      <c r="E4138" s="2" t="s">
        <v>29</v>
      </c>
      <c r="F4138" s="2">
        <v>90</v>
      </c>
      <c r="G4138" s="2" t="s">
        <v>9106</v>
      </c>
      <c r="H4138" s="2" t="s">
        <v>5122</v>
      </c>
      <c r="I4138" s="2" t="s">
        <v>25</v>
      </c>
      <c r="J4138" s="3">
        <v>44082</v>
      </c>
      <c r="K4138" s="2">
        <v>82</v>
      </c>
      <c r="L4138" s="2" t="s">
        <v>39</v>
      </c>
      <c r="M4138" s="3"/>
    </row>
    <row r="4139" spans="1:13" x14ac:dyDescent="0.3">
      <c r="A4139" s="2">
        <v>4138</v>
      </c>
      <c r="B4139" s="2" t="s">
        <v>9107</v>
      </c>
      <c r="C4139" s="2" t="s">
        <v>2402</v>
      </c>
      <c r="D4139" s="2" t="s">
        <v>15</v>
      </c>
      <c r="E4139" s="2" t="s">
        <v>16</v>
      </c>
      <c r="F4139" s="2">
        <v>90</v>
      </c>
      <c r="G4139" s="2" t="s">
        <v>9106</v>
      </c>
      <c r="H4139" s="2" t="s">
        <v>2724</v>
      </c>
      <c r="I4139" s="2" t="s">
        <v>32</v>
      </c>
      <c r="J4139" s="3">
        <v>44304</v>
      </c>
      <c r="K4139" s="2">
        <v>48</v>
      </c>
      <c r="L4139" s="2" t="s">
        <v>159</v>
      </c>
      <c r="M4139" s="3"/>
    </row>
    <row r="4140" spans="1:13" x14ac:dyDescent="0.3">
      <c r="A4140" s="2">
        <v>4139</v>
      </c>
      <c r="B4140" s="2" t="s">
        <v>6522</v>
      </c>
      <c r="C4140" s="2" t="s">
        <v>2995</v>
      </c>
      <c r="D4140" s="2" t="s">
        <v>28</v>
      </c>
      <c r="E4140" s="2" t="s">
        <v>29</v>
      </c>
      <c r="F4140" s="2">
        <v>60</v>
      </c>
      <c r="G4140" s="2" t="s">
        <v>9108</v>
      </c>
      <c r="H4140" s="2" t="s">
        <v>2329</v>
      </c>
      <c r="I4140" s="2" t="s">
        <v>2330</v>
      </c>
      <c r="J4140" s="3">
        <v>44003</v>
      </c>
      <c r="K4140" s="2">
        <v>52</v>
      </c>
      <c r="L4140" s="2" t="s">
        <v>159</v>
      </c>
      <c r="M4140" s="3"/>
    </row>
    <row r="4141" spans="1:13" x14ac:dyDescent="0.3">
      <c r="A4141" s="2">
        <v>4140</v>
      </c>
      <c r="B4141" s="2" t="s">
        <v>9109</v>
      </c>
      <c r="C4141" s="2" t="s">
        <v>9110</v>
      </c>
      <c r="D4141" s="2" t="s">
        <v>51</v>
      </c>
      <c r="E4141" s="2" t="s">
        <v>16</v>
      </c>
      <c r="F4141" s="2">
        <v>60</v>
      </c>
      <c r="G4141" s="2" t="s">
        <v>9111</v>
      </c>
      <c r="H4141" s="2" t="s">
        <v>302</v>
      </c>
      <c r="I4141" s="2" t="s">
        <v>303</v>
      </c>
      <c r="J4141" s="3">
        <v>43881</v>
      </c>
      <c r="K4141" s="2">
        <v>68</v>
      </c>
      <c r="L4141" s="2" t="s">
        <v>70</v>
      </c>
      <c r="M4141" s="3"/>
    </row>
    <row r="4142" spans="1:13" x14ac:dyDescent="0.3">
      <c r="A4142" s="2">
        <v>4141</v>
      </c>
      <c r="B4142" s="2" t="s">
        <v>6773</v>
      </c>
      <c r="C4142" s="2" t="s">
        <v>6363</v>
      </c>
      <c r="D4142" s="2" t="s">
        <v>51</v>
      </c>
      <c r="E4142" s="2" t="s">
        <v>16</v>
      </c>
      <c r="F4142" s="2">
        <v>90</v>
      </c>
      <c r="G4142" s="2" t="s">
        <v>9112</v>
      </c>
      <c r="H4142" s="2" t="s">
        <v>4770</v>
      </c>
      <c r="I4142" s="2" t="s">
        <v>294</v>
      </c>
      <c r="J4142" s="3">
        <v>44383</v>
      </c>
      <c r="K4142" s="2">
        <v>24</v>
      </c>
      <c r="L4142" s="2" t="s">
        <v>20</v>
      </c>
      <c r="M4142" s="3"/>
    </row>
    <row r="4143" spans="1:13" x14ac:dyDescent="0.3">
      <c r="A4143" s="2">
        <v>4142</v>
      </c>
      <c r="B4143" s="2" t="s">
        <v>6773</v>
      </c>
      <c r="C4143" s="2" t="s">
        <v>6363</v>
      </c>
      <c r="D4143" s="2" t="s">
        <v>51</v>
      </c>
      <c r="E4143" s="2" t="s">
        <v>16</v>
      </c>
      <c r="F4143" s="2">
        <v>90</v>
      </c>
      <c r="G4143" s="2" t="s">
        <v>9112</v>
      </c>
      <c r="H4143" s="2" t="s">
        <v>4770</v>
      </c>
      <c r="I4143" s="2" t="s">
        <v>294</v>
      </c>
      <c r="J4143" s="3">
        <v>44383</v>
      </c>
      <c r="K4143" s="2">
        <v>24</v>
      </c>
      <c r="L4143" s="2" t="s">
        <v>20</v>
      </c>
      <c r="M4143" s="3"/>
    </row>
    <row r="4144" spans="1:13" x14ac:dyDescent="0.3">
      <c r="A4144" s="2">
        <v>4143</v>
      </c>
      <c r="B4144" s="2" t="s">
        <v>9113</v>
      </c>
      <c r="C4144" s="2" t="s">
        <v>5174</v>
      </c>
      <c r="D4144" s="2" t="s">
        <v>51</v>
      </c>
      <c r="E4144" s="2" t="s">
        <v>16</v>
      </c>
      <c r="F4144" s="2">
        <v>60</v>
      </c>
      <c r="G4144" s="2" t="s">
        <v>9112</v>
      </c>
      <c r="H4144" s="2" t="s">
        <v>9114</v>
      </c>
      <c r="I4144" s="2" t="s">
        <v>294</v>
      </c>
      <c r="J4144" s="3">
        <v>44520</v>
      </c>
      <c r="K4144" s="2">
        <v>47</v>
      </c>
      <c r="L4144" s="2" t="s">
        <v>70</v>
      </c>
      <c r="M4144" s="3"/>
    </row>
    <row r="4145" spans="1:13" x14ac:dyDescent="0.3">
      <c r="A4145" s="2">
        <v>4144</v>
      </c>
      <c r="B4145" s="2" t="s">
        <v>2656</v>
      </c>
      <c r="C4145" s="2" t="s">
        <v>7728</v>
      </c>
      <c r="D4145" s="2" t="s">
        <v>51</v>
      </c>
      <c r="E4145" s="2" t="s">
        <v>5821</v>
      </c>
      <c r="F4145" s="2">
        <v>90</v>
      </c>
      <c r="G4145" s="2" t="s">
        <v>9115</v>
      </c>
      <c r="H4145" s="2" t="s">
        <v>1265</v>
      </c>
      <c r="I4145" s="2" t="s">
        <v>32</v>
      </c>
      <c r="J4145" s="3">
        <v>44437</v>
      </c>
      <c r="K4145" s="2">
        <v>80</v>
      </c>
      <c r="L4145" s="2" t="s">
        <v>64</v>
      </c>
      <c r="M4145" s="3"/>
    </row>
    <row r="4146" spans="1:13" x14ac:dyDescent="0.3">
      <c r="A4146" s="2">
        <v>4145</v>
      </c>
      <c r="B4146" s="2" t="s">
        <v>9116</v>
      </c>
      <c r="C4146" s="2" t="s">
        <v>7721</v>
      </c>
      <c r="D4146" s="2" t="s">
        <v>51</v>
      </c>
      <c r="E4146" s="2" t="s">
        <v>16</v>
      </c>
      <c r="F4146" s="2">
        <v>60</v>
      </c>
      <c r="G4146" s="2" t="s">
        <v>9117</v>
      </c>
      <c r="H4146" s="2" t="s">
        <v>5647</v>
      </c>
      <c r="I4146" s="2" t="s">
        <v>38</v>
      </c>
      <c r="J4146" s="3">
        <v>44753</v>
      </c>
      <c r="K4146" s="2">
        <v>45</v>
      </c>
      <c r="L4146" s="2" t="s">
        <v>45</v>
      </c>
      <c r="M4146" s="3"/>
    </row>
    <row r="4147" spans="1:13" x14ac:dyDescent="0.3">
      <c r="A4147" s="2">
        <v>4146</v>
      </c>
      <c r="B4147" s="2" t="s">
        <v>6085</v>
      </c>
      <c r="C4147" s="2" t="s">
        <v>1117</v>
      </c>
      <c r="D4147" s="2" t="s">
        <v>28</v>
      </c>
      <c r="E4147" s="2" t="s">
        <v>29</v>
      </c>
      <c r="F4147" s="2">
        <v>30</v>
      </c>
      <c r="G4147" s="2" t="s">
        <v>9118</v>
      </c>
      <c r="H4147" s="2" t="s">
        <v>2696</v>
      </c>
      <c r="I4147" s="2" t="s">
        <v>95</v>
      </c>
      <c r="J4147" s="3">
        <v>44628</v>
      </c>
      <c r="K4147" s="2">
        <v>46</v>
      </c>
      <c r="L4147" s="2" t="s">
        <v>45</v>
      </c>
      <c r="M4147" s="3"/>
    </row>
    <row r="4148" spans="1:13" x14ac:dyDescent="0.3">
      <c r="A4148" s="2">
        <v>4147</v>
      </c>
      <c r="B4148" s="2" t="s">
        <v>9119</v>
      </c>
      <c r="C4148" s="2" t="s">
        <v>5452</v>
      </c>
      <c r="D4148" s="2" t="s">
        <v>15</v>
      </c>
      <c r="E4148" s="2" t="s">
        <v>16</v>
      </c>
      <c r="F4148" s="2">
        <v>60</v>
      </c>
      <c r="G4148" s="2" t="s">
        <v>9120</v>
      </c>
      <c r="H4148" s="2" t="s">
        <v>1482</v>
      </c>
      <c r="I4148" s="2" t="s">
        <v>1483</v>
      </c>
      <c r="J4148" s="3">
        <v>44539</v>
      </c>
      <c r="K4148" s="2">
        <v>12</v>
      </c>
      <c r="L4148" s="2" t="s">
        <v>45</v>
      </c>
      <c r="M4148" s="3"/>
    </row>
    <row r="4149" spans="1:13" x14ac:dyDescent="0.3">
      <c r="A4149" s="2">
        <v>4148</v>
      </c>
      <c r="B4149" s="2" t="s">
        <v>9121</v>
      </c>
      <c r="C4149" s="2" t="s">
        <v>3493</v>
      </c>
      <c r="D4149" s="2" t="s">
        <v>51</v>
      </c>
      <c r="E4149" s="2" t="s">
        <v>16</v>
      </c>
      <c r="F4149" s="2">
        <v>30</v>
      </c>
      <c r="G4149" s="2" t="s">
        <v>9122</v>
      </c>
      <c r="H4149" s="2" t="s">
        <v>4870</v>
      </c>
      <c r="I4149" s="2" t="s">
        <v>146</v>
      </c>
      <c r="J4149" s="3">
        <v>43834</v>
      </c>
      <c r="K4149" s="2">
        <v>49</v>
      </c>
      <c r="L4149" s="2" t="s">
        <v>64</v>
      </c>
      <c r="M4149" s="3"/>
    </row>
    <row r="4150" spans="1:13" x14ac:dyDescent="0.3">
      <c r="A4150" s="2">
        <v>4149</v>
      </c>
      <c r="B4150" s="2" t="s">
        <v>735</v>
      </c>
      <c r="C4150" s="2" t="s">
        <v>3222</v>
      </c>
      <c r="D4150" s="2" t="s">
        <v>28</v>
      </c>
      <c r="E4150" s="2" t="s">
        <v>29</v>
      </c>
      <c r="F4150" s="2">
        <v>60</v>
      </c>
      <c r="G4150" s="2" t="s">
        <v>9123</v>
      </c>
      <c r="H4150" s="2" t="s">
        <v>5974</v>
      </c>
      <c r="I4150" s="2" t="s">
        <v>19</v>
      </c>
      <c r="J4150" s="3">
        <v>44350</v>
      </c>
      <c r="K4150" s="2">
        <v>26</v>
      </c>
      <c r="L4150" s="2" t="s">
        <v>64</v>
      </c>
      <c r="M4150" s="3"/>
    </row>
    <row r="4151" spans="1:13" x14ac:dyDescent="0.3">
      <c r="A4151" s="2">
        <v>4150</v>
      </c>
      <c r="B4151" s="2" t="s">
        <v>6858</v>
      </c>
      <c r="C4151" s="2" t="s">
        <v>5214</v>
      </c>
      <c r="D4151" s="2" t="s">
        <v>28</v>
      </c>
      <c r="E4151" s="2" t="s">
        <v>29</v>
      </c>
      <c r="F4151" s="2">
        <v>90</v>
      </c>
      <c r="G4151" s="2" t="s">
        <v>9124</v>
      </c>
      <c r="H4151" s="2" t="s">
        <v>3894</v>
      </c>
      <c r="I4151" s="2" t="s">
        <v>110</v>
      </c>
      <c r="J4151" s="3">
        <v>44785</v>
      </c>
      <c r="K4151" s="2">
        <v>51</v>
      </c>
      <c r="L4151" s="2" t="s">
        <v>45</v>
      </c>
      <c r="M4151" s="3"/>
    </row>
    <row r="4152" spans="1:13" x14ac:dyDescent="0.3">
      <c r="A4152" s="2">
        <v>4151</v>
      </c>
      <c r="B4152" s="2" t="s">
        <v>4579</v>
      </c>
      <c r="C4152" s="2" t="s">
        <v>2747</v>
      </c>
      <c r="D4152" s="2" t="s">
        <v>15</v>
      </c>
      <c r="E4152" s="2" t="s">
        <v>16</v>
      </c>
      <c r="F4152" s="2">
        <v>30</v>
      </c>
      <c r="G4152" s="2" t="s">
        <v>9124</v>
      </c>
      <c r="H4152" s="2" t="s">
        <v>2509</v>
      </c>
      <c r="I4152" s="2" t="s">
        <v>32</v>
      </c>
      <c r="J4152" s="3">
        <v>44093</v>
      </c>
      <c r="K4152" s="2">
        <v>7</v>
      </c>
      <c r="L4152" s="2" t="s">
        <v>39</v>
      </c>
      <c r="M4152" s="3"/>
    </row>
    <row r="4153" spans="1:13" x14ac:dyDescent="0.3">
      <c r="A4153" s="2">
        <v>4152</v>
      </c>
      <c r="B4153" s="2" t="s">
        <v>9125</v>
      </c>
      <c r="C4153" s="2" t="s">
        <v>4014</v>
      </c>
      <c r="D4153" s="2" t="s">
        <v>51</v>
      </c>
      <c r="E4153" s="2" t="s">
        <v>16</v>
      </c>
      <c r="F4153" s="2">
        <v>60</v>
      </c>
      <c r="G4153" s="2" t="s">
        <v>9126</v>
      </c>
      <c r="H4153" s="2" t="s">
        <v>217</v>
      </c>
      <c r="I4153" s="2" t="s">
        <v>124</v>
      </c>
      <c r="J4153" s="3">
        <v>44206</v>
      </c>
      <c r="K4153" s="2">
        <v>47</v>
      </c>
      <c r="L4153" s="2" t="s">
        <v>20</v>
      </c>
      <c r="M4153" s="3"/>
    </row>
    <row r="4154" spans="1:13" x14ac:dyDescent="0.3">
      <c r="A4154" s="2">
        <v>4153</v>
      </c>
      <c r="B4154" s="2" t="s">
        <v>6310</v>
      </c>
      <c r="C4154" s="2" t="s">
        <v>7180</v>
      </c>
      <c r="D4154" s="2" t="s">
        <v>28</v>
      </c>
      <c r="E4154" s="2" t="s">
        <v>29</v>
      </c>
      <c r="F4154" s="2">
        <v>30</v>
      </c>
      <c r="G4154" s="2" t="s">
        <v>9127</v>
      </c>
      <c r="H4154" s="2" t="s">
        <v>1224</v>
      </c>
      <c r="I4154" s="2" t="s">
        <v>25</v>
      </c>
      <c r="J4154" s="3">
        <v>43950</v>
      </c>
      <c r="K4154" s="2">
        <v>73</v>
      </c>
      <c r="L4154" s="2" t="s">
        <v>159</v>
      </c>
      <c r="M4154" s="3"/>
    </row>
    <row r="4155" spans="1:13" x14ac:dyDescent="0.3">
      <c r="A4155" s="2">
        <v>4154</v>
      </c>
      <c r="B4155" s="2" t="s">
        <v>9128</v>
      </c>
      <c r="C4155" s="2" t="s">
        <v>8913</v>
      </c>
      <c r="D4155" s="2" t="s">
        <v>15</v>
      </c>
      <c r="E4155" s="2" t="s">
        <v>16</v>
      </c>
      <c r="F4155" s="2">
        <v>30</v>
      </c>
      <c r="G4155" s="2" t="s">
        <v>9129</v>
      </c>
      <c r="H4155" s="2" t="s">
        <v>462</v>
      </c>
      <c r="I4155" s="2" t="s">
        <v>32</v>
      </c>
      <c r="J4155" s="3">
        <v>44522</v>
      </c>
      <c r="K4155" s="2">
        <v>84</v>
      </c>
      <c r="L4155" s="2" t="s">
        <v>54</v>
      </c>
      <c r="M4155" s="3"/>
    </row>
    <row r="4156" spans="1:13" x14ac:dyDescent="0.3">
      <c r="A4156" s="2">
        <v>4155</v>
      </c>
      <c r="B4156" s="2" t="s">
        <v>2994</v>
      </c>
      <c r="C4156" s="2" t="s">
        <v>1746</v>
      </c>
      <c r="D4156" s="2" t="s">
        <v>28</v>
      </c>
      <c r="E4156" s="2" t="s">
        <v>29</v>
      </c>
      <c r="F4156" s="2">
        <v>30</v>
      </c>
      <c r="G4156" s="2" t="s">
        <v>9130</v>
      </c>
      <c r="H4156" s="2" t="s">
        <v>2105</v>
      </c>
      <c r="I4156" s="2" t="s">
        <v>110</v>
      </c>
      <c r="J4156" s="3">
        <v>44478</v>
      </c>
      <c r="K4156" s="2">
        <v>31</v>
      </c>
      <c r="L4156" s="2" t="s">
        <v>33</v>
      </c>
      <c r="M4156" s="3"/>
    </row>
    <row r="4157" spans="1:13" x14ac:dyDescent="0.3">
      <c r="A4157" s="2">
        <v>4156</v>
      </c>
      <c r="B4157" s="2" t="s">
        <v>9131</v>
      </c>
      <c r="C4157" s="2" t="s">
        <v>9132</v>
      </c>
      <c r="D4157" s="2" t="s">
        <v>51</v>
      </c>
      <c r="E4157" s="2" t="s">
        <v>16</v>
      </c>
      <c r="F4157" s="2">
        <v>90</v>
      </c>
      <c r="G4157" s="2" t="s">
        <v>9133</v>
      </c>
      <c r="H4157" s="2" t="s">
        <v>2194</v>
      </c>
      <c r="I4157" s="2" t="s">
        <v>32</v>
      </c>
      <c r="J4157" s="3">
        <v>44369</v>
      </c>
      <c r="K4157" s="2">
        <v>43</v>
      </c>
      <c r="L4157" s="2" t="s">
        <v>101</v>
      </c>
      <c r="M4157" s="3"/>
    </row>
    <row r="4158" spans="1:13" x14ac:dyDescent="0.3">
      <c r="A4158" s="2">
        <v>4157</v>
      </c>
      <c r="B4158" s="2" t="s">
        <v>3611</v>
      </c>
      <c r="C4158" s="2" t="s">
        <v>9134</v>
      </c>
      <c r="D4158" s="2" t="s">
        <v>28</v>
      </c>
      <c r="E4158" s="2" t="s">
        <v>29</v>
      </c>
      <c r="F4158" s="2">
        <v>30</v>
      </c>
      <c r="G4158" s="2" t="s">
        <v>9135</v>
      </c>
      <c r="H4158" s="2" t="s">
        <v>258</v>
      </c>
      <c r="I4158" s="2" t="s">
        <v>32</v>
      </c>
      <c r="J4158" s="3">
        <v>44226</v>
      </c>
      <c r="K4158" s="2">
        <v>40</v>
      </c>
      <c r="L4158" s="2" t="s">
        <v>80</v>
      </c>
      <c r="M4158" s="3"/>
    </row>
    <row r="4159" spans="1:13" x14ac:dyDescent="0.3">
      <c r="A4159" s="2">
        <v>4158</v>
      </c>
      <c r="B4159" s="2" t="s">
        <v>9136</v>
      </c>
      <c r="C4159" s="2" t="s">
        <v>9137</v>
      </c>
      <c r="D4159" s="2" t="s">
        <v>15</v>
      </c>
      <c r="E4159" s="2" t="s">
        <v>16</v>
      </c>
      <c r="F4159" s="2">
        <v>60</v>
      </c>
      <c r="G4159" s="2" t="s">
        <v>9138</v>
      </c>
      <c r="H4159" s="2" t="s">
        <v>4543</v>
      </c>
      <c r="I4159" s="2" t="s">
        <v>173</v>
      </c>
      <c r="J4159" s="3">
        <v>44244</v>
      </c>
      <c r="K4159" s="2">
        <v>75</v>
      </c>
      <c r="L4159" s="2" t="s">
        <v>20</v>
      </c>
      <c r="M4159" s="3"/>
    </row>
    <row r="4160" spans="1:13" x14ac:dyDescent="0.3">
      <c r="A4160" s="2">
        <v>4159</v>
      </c>
      <c r="B4160" s="2" t="s">
        <v>7660</v>
      </c>
      <c r="C4160" s="2" t="s">
        <v>2980</v>
      </c>
      <c r="D4160" s="2" t="s">
        <v>117</v>
      </c>
      <c r="E4160" s="2" t="s">
        <v>16</v>
      </c>
      <c r="F4160" s="2">
        <v>60</v>
      </c>
      <c r="G4160" s="2" t="s">
        <v>9139</v>
      </c>
      <c r="H4160" s="2" t="s">
        <v>5232</v>
      </c>
      <c r="I4160" s="2" t="s">
        <v>146</v>
      </c>
      <c r="J4160" s="3">
        <v>44211</v>
      </c>
      <c r="K4160" s="2">
        <v>76</v>
      </c>
      <c r="L4160" s="2" t="s">
        <v>45</v>
      </c>
      <c r="M4160" s="3"/>
    </row>
    <row r="4161" spans="1:13" x14ac:dyDescent="0.3">
      <c r="A4161" s="2">
        <v>4160</v>
      </c>
      <c r="B4161" s="2" t="s">
        <v>4599</v>
      </c>
      <c r="C4161" s="2" t="s">
        <v>1766</v>
      </c>
      <c r="D4161" s="2" t="s">
        <v>28</v>
      </c>
      <c r="E4161" s="2" t="s">
        <v>29</v>
      </c>
      <c r="F4161" s="2">
        <v>60</v>
      </c>
      <c r="G4161" s="2" t="s">
        <v>9140</v>
      </c>
      <c r="H4161" s="2" t="s">
        <v>8979</v>
      </c>
      <c r="I4161" s="2" t="s">
        <v>32</v>
      </c>
      <c r="J4161" s="3">
        <v>44469</v>
      </c>
      <c r="K4161" s="2">
        <v>47</v>
      </c>
      <c r="L4161" s="2" t="s">
        <v>54</v>
      </c>
      <c r="M4161" s="3"/>
    </row>
    <row r="4162" spans="1:13" x14ac:dyDescent="0.3">
      <c r="A4162" s="2">
        <v>4161</v>
      </c>
      <c r="B4162" s="2" t="s">
        <v>9141</v>
      </c>
      <c r="C4162" s="2" t="s">
        <v>3243</v>
      </c>
      <c r="D4162" s="2" t="s">
        <v>51</v>
      </c>
      <c r="E4162" s="2" t="s">
        <v>16</v>
      </c>
      <c r="F4162" s="2">
        <v>30</v>
      </c>
      <c r="G4162" s="2" t="s">
        <v>9142</v>
      </c>
      <c r="H4162" s="2" t="s">
        <v>659</v>
      </c>
      <c r="I4162" s="2" t="s">
        <v>32</v>
      </c>
      <c r="J4162" s="3">
        <v>44920</v>
      </c>
      <c r="K4162" s="2">
        <v>81</v>
      </c>
      <c r="L4162" s="2" t="s">
        <v>39</v>
      </c>
      <c r="M4162" s="3"/>
    </row>
    <row r="4163" spans="1:13" x14ac:dyDescent="0.3">
      <c r="A4163" s="2">
        <v>4162</v>
      </c>
      <c r="B4163" s="2" t="s">
        <v>9143</v>
      </c>
      <c r="C4163" s="2" t="s">
        <v>2398</v>
      </c>
      <c r="D4163" s="2" t="s">
        <v>51</v>
      </c>
      <c r="E4163" s="2" t="s">
        <v>7639</v>
      </c>
      <c r="F4163" s="2">
        <v>60</v>
      </c>
      <c r="G4163" s="2" t="s">
        <v>9144</v>
      </c>
      <c r="H4163" s="2" t="s">
        <v>3041</v>
      </c>
      <c r="I4163" s="2" t="s">
        <v>124</v>
      </c>
      <c r="J4163" s="3">
        <v>44472</v>
      </c>
      <c r="K4163" s="2">
        <v>64</v>
      </c>
      <c r="L4163" s="2" t="s">
        <v>80</v>
      </c>
      <c r="M4163" s="3"/>
    </row>
    <row r="4164" spans="1:13" x14ac:dyDescent="0.3">
      <c r="A4164" s="2">
        <v>4163</v>
      </c>
      <c r="B4164" s="2" t="s">
        <v>9145</v>
      </c>
      <c r="C4164" s="2" t="s">
        <v>4836</v>
      </c>
      <c r="D4164" s="2" t="s">
        <v>15</v>
      </c>
      <c r="E4164" s="2" t="s">
        <v>16</v>
      </c>
      <c r="F4164" s="2">
        <v>60</v>
      </c>
      <c r="G4164" s="2" t="s">
        <v>9146</v>
      </c>
      <c r="H4164" s="2" t="s">
        <v>2305</v>
      </c>
      <c r="I4164" s="2" t="s">
        <v>25</v>
      </c>
      <c r="J4164" s="3">
        <v>44480</v>
      </c>
      <c r="K4164" s="2">
        <v>67</v>
      </c>
      <c r="L4164" s="2" t="s">
        <v>70</v>
      </c>
      <c r="M4164" s="3"/>
    </row>
    <row r="4165" spans="1:13" x14ac:dyDescent="0.3">
      <c r="A4165" s="2">
        <v>4164</v>
      </c>
      <c r="B4165" s="2" t="s">
        <v>9147</v>
      </c>
      <c r="C4165" s="2" t="s">
        <v>2606</v>
      </c>
      <c r="D4165" s="2" t="s">
        <v>51</v>
      </c>
      <c r="E4165" s="2" t="s">
        <v>16</v>
      </c>
      <c r="F4165" s="2">
        <v>90</v>
      </c>
      <c r="G4165" s="2" t="s">
        <v>9148</v>
      </c>
      <c r="H4165" s="2" t="s">
        <v>1206</v>
      </c>
      <c r="I4165" s="2" t="s">
        <v>294</v>
      </c>
      <c r="J4165" s="3">
        <v>44818</v>
      </c>
      <c r="K4165" s="2">
        <v>34</v>
      </c>
      <c r="L4165" s="2" t="s">
        <v>64</v>
      </c>
      <c r="M4165" s="3"/>
    </row>
    <row r="4166" spans="1:13" x14ac:dyDescent="0.3">
      <c r="A4166" s="2">
        <v>4165</v>
      </c>
      <c r="B4166" s="2" t="s">
        <v>9149</v>
      </c>
      <c r="C4166" s="2" t="s">
        <v>5575</v>
      </c>
      <c r="D4166" s="2" t="s">
        <v>51</v>
      </c>
      <c r="E4166" s="2" t="s">
        <v>16</v>
      </c>
      <c r="F4166" s="2">
        <v>30</v>
      </c>
      <c r="G4166" s="2" t="s">
        <v>9150</v>
      </c>
      <c r="H4166" s="2" t="s">
        <v>4760</v>
      </c>
      <c r="I4166" s="2" t="s">
        <v>32</v>
      </c>
      <c r="J4166" s="3">
        <v>44818</v>
      </c>
      <c r="K4166" s="2">
        <v>74</v>
      </c>
      <c r="L4166" s="2" t="s">
        <v>159</v>
      </c>
      <c r="M4166" s="3"/>
    </row>
    <row r="4167" spans="1:13" x14ac:dyDescent="0.3">
      <c r="A4167" s="2">
        <v>4166</v>
      </c>
      <c r="B4167" s="2" t="s">
        <v>6158</v>
      </c>
      <c r="C4167" s="2" t="s">
        <v>2395</v>
      </c>
      <c r="D4167" s="2" t="s">
        <v>51</v>
      </c>
      <c r="E4167" s="2" t="s">
        <v>16</v>
      </c>
      <c r="F4167" s="2">
        <v>30</v>
      </c>
      <c r="G4167" s="2" t="s">
        <v>9151</v>
      </c>
      <c r="H4167" s="2" t="s">
        <v>3215</v>
      </c>
      <c r="I4167" s="2" t="s">
        <v>32</v>
      </c>
      <c r="J4167" s="3">
        <v>44138</v>
      </c>
      <c r="K4167" s="2">
        <v>11</v>
      </c>
      <c r="L4167" s="2" t="s">
        <v>80</v>
      </c>
      <c r="M4167" s="3"/>
    </row>
    <row r="4168" spans="1:13" x14ac:dyDescent="0.3">
      <c r="A4168" s="2">
        <v>4167</v>
      </c>
      <c r="B4168" s="2" t="s">
        <v>6764</v>
      </c>
      <c r="C4168" s="2" t="s">
        <v>9152</v>
      </c>
      <c r="D4168" s="2" t="s">
        <v>28</v>
      </c>
      <c r="E4168" s="2" t="s">
        <v>29</v>
      </c>
      <c r="F4168" s="2">
        <v>90</v>
      </c>
      <c r="G4168" s="2" t="s">
        <v>9153</v>
      </c>
      <c r="H4168" s="2" t="s">
        <v>917</v>
      </c>
      <c r="I4168" s="2" t="s">
        <v>32</v>
      </c>
      <c r="J4168" s="3">
        <v>43919</v>
      </c>
      <c r="K4168" s="2">
        <v>82</v>
      </c>
      <c r="L4168" s="2" t="s">
        <v>20</v>
      </c>
      <c r="M4168" s="3"/>
    </row>
    <row r="4169" spans="1:13" x14ac:dyDescent="0.3">
      <c r="A4169" s="2">
        <v>4168</v>
      </c>
      <c r="B4169" s="2" t="s">
        <v>9154</v>
      </c>
      <c r="C4169" s="2" t="s">
        <v>6237</v>
      </c>
      <c r="D4169" s="2" t="s">
        <v>51</v>
      </c>
      <c r="E4169" s="2" t="s">
        <v>16</v>
      </c>
      <c r="F4169" s="2">
        <v>60</v>
      </c>
      <c r="G4169" s="2" t="s">
        <v>9155</v>
      </c>
      <c r="H4169" s="2" t="s">
        <v>4669</v>
      </c>
      <c r="I4169" s="2" t="s">
        <v>187</v>
      </c>
      <c r="J4169" s="3">
        <v>44038</v>
      </c>
      <c r="K4169" s="2">
        <v>41</v>
      </c>
      <c r="L4169" s="2" t="s">
        <v>33</v>
      </c>
      <c r="M4169" s="3"/>
    </row>
    <row r="4170" spans="1:13" x14ac:dyDescent="0.3">
      <c r="A4170" s="2">
        <v>4169</v>
      </c>
      <c r="B4170" s="2" t="s">
        <v>125</v>
      </c>
      <c r="C4170" s="2" t="s">
        <v>3824</v>
      </c>
      <c r="D4170" s="2" t="s">
        <v>51</v>
      </c>
      <c r="E4170" s="2" t="s">
        <v>16</v>
      </c>
      <c r="F4170" s="2">
        <v>60</v>
      </c>
      <c r="G4170" s="2" t="s">
        <v>9156</v>
      </c>
      <c r="H4170" s="2" t="s">
        <v>583</v>
      </c>
      <c r="I4170" s="2" t="s">
        <v>32</v>
      </c>
      <c r="J4170" s="3">
        <v>44706</v>
      </c>
      <c r="K4170" s="2">
        <v>77</v>
      </c>
      <c r="L4170" s="2" t="s">
        <v>33</v>
      </c>
      <c r="M4170" s="3"/>
    </row>
    <row r="4171" spans="1:13" x14ac:dyDescent="0.3">
      <c r="A4171" s="2">
        <v>4170</v>
      </c>
      <c r="B4171" s="2" t="s">
        <v>4977</v>
      </c>
      <c r="C4171" s="2" t="s">
        <v>1727</v>
      </c>
      <c r="D4171" s="2" t="s">
        <v>41</v>
      </c>
      <c r="E4171" s="2" t="s">
        <v>16</v>
      </c>
      <c r="F4171" s="2">
        <v>60</v>
      </c>
      <c r="G4171" s="2" t="s">
        <v>9157</v>
      </c>
      <c r="H4171" s="2" t="s">
        <v>4386</v>
      </c>
      <c r="I4171" s="2" t="s">
        <v>32</v>
      </c>
      <c r="J4171" s="3">
        <v>43968</v>
      </c>
      <c r="K4171" s="2">
        <v>55</v>
      </c>
      <c r="L4171" s="2" t="s">
        <v>70</v>
      </c>
      <c r="M4171" s="3"/>
    </row>
    <row r="4172" spans="1:13" x14ac:dyDescent="0.3">
      <c r="A4172" s="2">
        <v>4171</v>
      </c>
      <c r="B4172" s="2" t="s">
        <v>2115</v>
      </c>
      <c r="C4172" s="2" t="s">
        <v>2041</v>
      </c>
      <c r="D4172" s="2" t="s">
        <v>28</v>
      </c>
      <c r="E4172" s="2" t="s">
        <v>29</v>
      </c>
      <c r="F4172" s="2">
        <v>30</v>
      </c>
      <c r="G4172" s="2" t="s">
        <v>9158</v>
      </c>
      <c r="H4172" s="2" t="s">
        <v>389</v>
      </c>
      <c r="I4172" s="2" t="s">
        <v>32</v>
      </c>
      <c r="J4172" s="3">
        <v>44267</v>
      </c>
      <c r="K4172" s="2">
        <v>11</v>
      </c>
      <c r="L4172" s="2" t="s">
        <v>39</v>
      </c>
      <c r="M4172" s="3"/>
    </row>
    <row r="4173" spans="1:13" x14ac:dyDescent="0.3">
      <c r="A4173" s="2">
        <v>4172</v>
      </c>
      <c r="B4173" s="2" t="s">
        <v>1120</v>
      </c>
      <c r="C4173" s="2" t="s">
        <v>8852</v>
      </c>
      <c r="D4173" s="2" t="s">
        <v>28</v>
      </c>
      <c r="E4173" s="2" t="s">
        <v>29</v>
      </c>
      <c r="F4173" s="2">
        <v>30</v>
      </c>
      <c r="G4173" s="2" t="s">
        <v>9159</v>
      </c>
      <c r="H4173" s="2" t="s">
        <v>2834</v>
      </c>
      <c r="I4173" s="2" t="s">
        <v>19</v>
      </c>
      <c r="J4173" s="3">
        <v>44803</v>
      </c>
      <c r="K4173" s="2">
        <v>11</v>
      </c>
      <c r="L4173" s="2" t="s">
        <v>64</v>
      </c>
      <c r="M4173" s="3"/>
    </row>
    <row r="4174" spans="1:13" x14ac:dyDescent="0.3">
      <c r="A4174" s="2">
        <v>4173</v>
      </c>
      <c r="B4174" s="2" t="s">
        <v>1016</v>
      </c>
      <c r="C4174" s="2" t="s">
        <v>5081</v>
      </c>
      <c r="D4174" s="2" t="s">
        <v>51</v>
      </c>
      <c r="E4174" s="2" t="s">
        <v>16</v>
      </c>
      <c r="F4174" s="2">
        <v>90</v>
      </c>
      <c r="G4174" s="2" t="s">
        <v>9160</v>
      </c>
      <c r="H4174" s="2" t="s">
        <v>346</v>
      </c>
      <c r="I4174" s="2" t="s">
        <v>32</v>
      </c>
      <c r="J4174" s="3">
        <v>44067</v>
      </c>
      <c r="K4174" s="2">
        <v>7</v>
      </c>
      <c r="L4174" s="2" t="s">
        <v>70</v>
      </c>
      <c r="M4174" s="3"/>
    </row>
    <row r="4175" spans="1:13" x14ac:dyDescent="0.3">
      <c r="A4175" s="2">
        <v>4174</v>
      </c>
      <c r="B4175" s="2" t="s">
        <v>7795</v>
      </c>
      <c r="C4175" s="2" t="s">
        <v>9161</v>
      </c>
      <c r="D4175" s="2" t="s">
        <v>28</v>
      </c>
      <c r="E4175" s="2" t="s">
        <v>29</v>
      </c>
      <c r="F4175" s="2">
        <v>30</v>
      </c>
      <c r="G4175" s="2" t="s">
        <v>9162</v>
      </c>
      <c r="H4175" s="2" t="s">
        <v>4293</v>
      </c>
      <c r="I4175" s="2" t="s">
        <v>38</v>
      </c>
      <c r="J4175" s="3">
        <v>44466</v>
      </c>
      <c r="K4175" s="2">
        <v>59</v>
      </c>
      <c r="L4175" s="2" t="s">
        <v>70</v>
      </c>
      <c r="M4175" s="3"/>
    </row>
    <row r="4176" spans="1:13" x14ac:dyDescent="0.3">
      <c r="A4176" s="2">
        <v>4175</v>
      </c>
      <c r="B4176" s="2" t="s">
        <v>8492</v>
      </c>
      <c r="C4176" s="2" t="s">
        <v>2991</v>
      </c>
      <c r="D4176" s="2" t="s">
        <v>51</v>
      </c>
      <c r="E4176" s="2" t="s">
        <v>16</v>
      </c>
      <c r="F4176" s="2">
        <v>90</v>
      </c>
      <c r="G4176" s="2" t="s">
        <v>9163</v>
      </c>
      <c r="H4176" s="2" t="s">
        <v>4145</v>
      </c>
      <c r="I4176" s="2" t="s">
        <v>32</v>
      </c>
      <c r="J4176" s="3">
        <v>44825</v>
      </c>
      <c r="K4176" s="2">
        <v>94</v>
      </c>
      <c r="L4176" s="2" t="s">
        <v>54</v>
      </c>
      <c r="M4176" s="3"/>
    </row>
    <row r="4177" spans="1:13" x14ac:dyDescent="0.3">
      <c r="A4177" s="2">
        <v>4176</v>
      </c>
      <c r="B4177" s="2" t="s">
        <v>8998</v>
      </c>
      <c r="C4177" s="2" t="s">
        <v>3137</v>
      </c>
      <c r="D4177" s="2" t="s">
        <v>51</v>
      </c>
      <c r="E4177" s="2" t="s">
        <v>16</v>
      </c>
      <c r="F4177" s="2">
        <v>60</v>
      </c>
      <c r="G4177" s="2" t="s">
        <v>9164</v>
      </c>
      <c r="H4177" s="2" t="s">
        <v>3303</v>
      </c>
      <c r="I4177" s="2" t="s">
        <v>294</v>
      </c>
      <c r="J4177" s="3">
        <v>44285</v>
      </c>
      <c r="K4177" s="2">
        <v>89</v>
      </c>
      <c r="L4177" s="2" t="s">
        <v>159</v>
      </c>
      <c r="M4177" s="3"/>
    </row>
    <row r="4178" spans="1:13" x14ac:dyDescent="0.3">
      <c r="A4178" s="2">
        <v>4177</v>
      </c>
      <c r="B4178" s="2" t="s">
        <v>7351</v>
      </c>
      <c r="C4178" s="2" t="s">
        <v>3016</v>
      </c>
      <c r="D4178" s="2" t="s">
        <v>51</v>
      </c>
      <c r="E4178" s="2" t="s">
        <v>16</v>
      </c>
      <c r="F4178" s="2">
        <v>60</v>
      </c>
      <c r="G4178" s="2" t="s">
        <v>9165</v>
      </c>
      <c r="H4178" s="2" t="s">
        <v>9166</v>
      </c>
      <c r="I4178" s="2" t="s">
        <v>32</v>
      </c>
      <c r="J4178" s="3">
        <v>44397</v>
      </c>
      <c r="K4178" s="2">
        <v>5</v>
      </c>
      <c r="L4178" s="2" t="s">
        <v>101</v>
      </c>
      <c r="M4178" s="3"/>
    </row>
    <row r="4179" spans="1:13" x14ac:dyDescent="0.3">
      <c r="A4179" s="2">
        <v>4178</v>
      </c>
      <c r="B4179" s="2" t="s">
        <v>4278</v>
      </c>
      <c r="C4179" s="2" t="s">
        <v>1554</v>
      </c>
      <c r="D4179" s="2" t="s">
        <v>28</v>
      </c>
      <c r="E4179" s="2" t="s">
        <v>29</v>
      </c>
      <c r="F4179" s="2">
        <v>90</v>
      </c>
      <c r="G4179" s="2" t="s">
        <v>9167</v>
      </c>
      <c r="H4179" s="2" t="s">
        <v>2321</v>
      </c>
      <c r="I4179" s="2" t="s">
        <v>129</v>
      </c>
      <c r="J4179" s="3">
        <v>44790</v>
      </c>
      <c r="K4179" s="2">
        <v>91</v>
      </c>
      <c r="L4179" s="2" t="s">
        <v>101</v>
      </c>
      <c r="M4179" s="3"/>
    </row>
    <row r="4180" spans="1:13" x14ac:dyDescent="0.3">
      <c r="A4180" s="2">
        <v>4179</v>
      </c>
      <c r="B4180" s="2" t="s">
        <v>1675</v>
      </c>
      <c r="C4180" s="2" t="s">
        <v>3111</v>
      </c>
      <c r="D4180" s="2" t="s">
        <v>51</v>
      </c>
      <c r="E4180" s="2" t="s">
        <v>16</v>
      </c>
      <c r="F4180" s="2">
        <v>90</v>
      </c>
      <c r="G4180" s="2" t="s">
        <v>9168</v>
      </c>
      <c r="H4180" s="2" t="s">
        <v>6224</v>
      </c>
      <c r="I4180" s="2" t="s">
        <v>294</v>
      </c>
      <c r="J4180" s="3">
        <v>44443</v>
      </c>
      <c r="K4180" s="2">
        <v>34</v>
      </c>
      <c r="L4180" s="2" t="s">
        <v>64</v>
      </c>
      <c r="M4180" s="3"/>
    </row>
    <row r="4181" spans="1:13" x14ac:dyDescent="0.3">
      <c r="A4181" s="2">
        <v>4180</v>
      </c>
      <c r="B4181" s="2" t="s">
        <v>3946</v>
      </c>
      <c r="C4181" s="2" t="s">
        <v>2368</v>
      </c>
      <c r="D4181" s="2" t="s">
        <v>28</v>
      </c>
      <c r="E4181" s="2" t="s">
        <v>29</v>
      </c>
      <c r="F4181" s="2">
        <v>90</v>
      </c>
      <c r="G4181" s="2" t="s">
        <v>9169</v>
      </c>
      <c r="H4181" s="2" t="s">
        <v>2624</v>
      </c>
      <c r="I4181" s="2" t="s">
        <v>32</v>
      </c>
      <c r="J4181" s="3">
        <v>44753</v>
      </c>
      <c r="K4181" s="2">
        <v>87</v>
      </c>
      <c r="L4181" s="2" t="s">
        <v>64</v>
      </c>
      <c r="M4181" s="3"/>
    </row>
    <row r="4182" spans="1:13" x14ac:dyDescent="0.3">
      <c r="A4182" s="2">
        <v>4181</v>
      </c>
      <c r="B4182" s="2" t="s">
        <v>3938</v>
      </c>
      <c r="C4182" s="2" t="s">
        <v>9170</v>
      </c>
      <c r="D4182" s="2" t="s">
        <v>51</v>
      </c>
      <c r="E4182" s="2" t="s">
        <v>16</v>
      </c>
      <c r="F4182" s="2">
        <v>60</v>
      </c>
      <c r="G4182" s="2" t="s">
        <v>9171</v>
      </c>
      <c r="H4182" s="2" t="s">
        <v>244</v>
      </c>
      <c r="I4182" s="2" t="s">
        <v>240</v>
      </c>
      <c r="J4182" s="3">
        <v>44183</v>
      </c>
      <c r="K4182" s="2">
        <v>58</v>
      </c>
      <c r="L4182" s="2" t="s">
        <v>39</v>
      </c>
      <c r="M4182" s="3"/>
    </row>
    <row r="4183" spans="1:13" x14ac:dyDescent="0.3">
      <c r="A4183" s="2">
        <v>4182</v>
      </c>
      <c r="B4183" s="2" t="s">
        <v>964</v>
      </c>
      <c r="C4183" s="2" t="s">
        <v>9172</v>
      </c>
      <c r="D4183" s="2" t="s">
        <v>28</v>
      </c>
      <c r="E4183" s="2" t="s">
        <v>29</v>
      </c>
      <c r="F4183" s="2">
        <v>90</v>
      </c>
      <c r="G4183" s="2" t="s">
        <v>9173</v>
      </c>
      <c r="H4183" s="2" t="s">
        <v>2341</v>
      </c>
      <c r="I4183" s="2" t="s">
        <v>2342</v>
      </c>
      <c r="J4183" s="3">
        <v>44368</v>
      </c>
      <c r="K4183" s="2">
        <v>93</v>
      </c>
      <c r="L4183" s="2" t="s">
        <v>101</v>
      </c>
      <c r="M4183" s="3"/>
    </row>
    <row r="4184" spans="1:13" x14ac:dyDescent="0.3">
      <c r="A4184" s="2">
        <v>4183</v>
      </c>
      <c r="B4184" s="2" t="s">
        <v>9174</v>
      </c>
      <c r="C4184" s="2" t="s">
        <v>4495</v>
      </c>
      <c r="D4184" s="2" t="s">
        <v>51</v>
      </c>
      <c r="E4184" s="2" t="s">
        <v>16</v>
      </c>
      <c r="F4184" s="2">
        <v>60</v>
      </c>
      <c r="G4184" s="2" t="s">
        <v>9175</v>
      </c>
      <c r="H4184" s="2" t="s">
        <v>7383</v>
      </c>
      <c r="I4184" s="2" t="s">
        <v>110</v>
      </c>
      <c r="J4184" s="3">
        <v>44315</v>
      </c>
      <c r="K4184" s="2">
        <v>84</v>
      </c>
      <c r="L4184" s="2" t="s">
        <v>80</v>
      </c>
      <c r="M4184" s="3"/>
    </row>
    <row r="4185" spans="1:13" x14ac:dyDescent="0.3">
      <c r="A4185" s="2">
        <v>4184</v>
      </c>
      <c r="B4185" s="2" t="s">
        <v>9176</v>
      </c>
      <c r="C4185" s="2" t="s">
        <v>5067</v>
      </c>
      <c r="D4185" s="2" t="s">
        <v>15</v>
      </c>
      <c r="E4185" s="2" t="s">
        <v>16</v>
      </c>
      <c r="F4185" s="2">
        <v>90</v>
      </c>
      <c r="G4185" s="2" t="s">
        <v>9177</v>
      </c>
      <c r="H4185" s="2" t="s">
        <v>8777</v>
      </c>
      <c r="I4185" s="2" t="s">
        <v>294</v>
      </c>
      <c r="J4185" s="3">
        <v>44208</v>
      </c>
      <c r="K4185" s="2">
        <v>8</v>
      </c>
      <c r="L4185" s="2" t="s">
        <v>64</v>
      </c>
      <c r="M4185" s="3"/>
    </row>
    <row r="4186" spans="1:13" x14ac:dyDescent="0.3">
      <c r="A4186" s="2">
        <v>4185</v>
      </c>
      <c r="B4186" s="2" t="s">
        <v>3471</v>
      </c>
      <c r="C4186" s="2" t="s">
        <v>7423</v>
      </c>
      <c r="D4186" s="2" t="s">
        <v>15</v>
      </c>
      <c r="E4186" s="2" t="s">
        <v>16</v>
      </c>
      <c r="F4186" s="2">
        <v>60</v>
      </c>
      <c r="G4186" s="2" t="s">
        <v>9178</v>
      </c>
      <c r="H4186" s="2" t="s">
        <v>4955</v>
      </c>
      <c r="I4186" s="2" t="s">
        <v>645</v>
      </c>
      <c r="J4186" s="3">
        <v>44434</v>
      </c>
      <c r="K4186" s="2">
        <v>80</v>
      </c>
      <c r="L4186" s="2" t="s">
        <v>101</v>
      </c>
      <c r="M4186" s="3"/>
    </row>
    <row r="4187" spans="1:13" x14ac:dyDescent="0.3">
      <c r="A4187" s="2">
        <v>4186</v>
      </c>
      <c r="B4187" s="2" t="s">
        <v>4905</v>
      </c>
      <c r="C4187" s="2" t="s">
        <v>4173</v>
      </c>
      <c r="D4187" s="2" t="s">
        <v>28</v>
      </c>
      <c r="E4187" s="2" t="s">
        <v>29</v>
      </c>
      <c r="F4187" s="2">
        <v>60</v>
      </c>
      <c r="G4187" s="2" t="s">
        <v>9179</v>
      </c>
      <c r="H4187" s="2" t="s">
        <v>875</v>
      </c>
      <c r="I4187" s="2" t="s">
        <v>187</v>
      </c>
      <c r="J4187" s="3">
        <v>43863</v>
      </c>
      <c r="K4187" s="2">
        <v>11</v>
      </c>
      <c r="L4187" s="2" t="s">
        <v>70</v>
      </c>
      <c r="M4187" s="3"/>
    </row>
    <row r="4188" spans="1:13" x14ac:dyDescent="0.3">
      <c r="A4188" s="2">
        <v>4187</v>
      </c>
      <c r="B4188" s="2" t="s">
        <v>4828</v>
      </c>
      <c r="C4188" s="2" t="s">
        <v>3357</v>
      </c>
      <c r="D4188" s="2" t="s">
        <v>41</v>
      </c>
      <c r="E4188" s="2" t="s">
        <v>16</v>
      </c>
      <c r="F4188" s="2">
        <v>30</v>
      </c>
      <c r="G4188" s="2" t="s">
        <v>9180</v>
      </c>
      <c r="H4188" s="2" t="s">
        <v>730</v>
      </c>
      <c r="I4188" s="2" t="s">
        <v>187</v>
      </c>
      <c r="J4188" s="3">
        <v>44005</v>
      </c>
      <c r="K4188" s="2">
        <v>25</v>
      </c>
      <c r="L4188" s="2" t="s">
        <v>39</v>
      </c>
      <c r="M4188" s="3"/>
    </row>
    <row r="4189" spans="1:13" x14ac:dyDescent="0.3">
      <c r="A4189" s="2">
        <v>4188</v>
      </c>
      <c r="B4189" s="2" t="s">
        <v>335</v>
      </c>
      <c r="C4189" s="2" t="s">
        <v>3989</v>
      </c>
      <c r="D4189" s="2" t="s">
        <v>28</v>
      </c>
      <c r="E4189" s="2" t="s">
        <v>29</v>
      </c>
      <c r="F4189" s="2">
        <v>30</v>
      </c>
      <c r="G4189" s="2" t="s">
        <v>9181</v>
      </c>
      <c r="H4189" s="2" t="s">
        <v>591</v>
      </c>
      <c r="I4189" s="2" t="s">
        <v>32</v>
      </c>
      <c r="J4189" s="3">
        <v>44767</v>
      </c>
      <c r="K4189" s="2">
        <v>51</v>
      </c>
      <c r="L4189" s="2" t="s">
        <v>20</v>
      </c>
      <c r="M4189" s="3"/>
    </row>
    <row r="4190" spans="1:13" x14ac:dyDescent="0.3">
      <c r="A4190" s="2">
        <v>4189</v>
      </c>
      <c r="B4190" s="2" t="s">
        <v>1120</v>
      </c>
      <c r="C4190" s="2" t="s">
        <v>6169</v>
      </c>
      <c r="D4190" s="2" t="s">
        <v>28</v>
      </c>
      <c r="E4190" s="2" t="s">
        <v>29</v>
      </c>
      <c r="F4190" s="2">
        <v>60</v>
      </c>
      <c r="G4190" s="2" t="s">
        <v>9182</v>
      </c>
      <c r="H4190" s="2" t="s">
        <v>7768</v>
      </c>
      <c r="I4190" s="2" t="s">
        <v>19</v>
      </c>
      <c r="J4190" s="3">
        <v>44367</v>
      </c>
      <c r="K4190" s="2">
        <v>31</v>
      </c>
      <c r="L4190" s="2" t="s">
        <v>33</v>
      </c>
      <c r="M4190" s="3"/>
    </row>
    <row r="4191" spans="1:13" x14ac:dyDescent="0.3">
      <c r="A4191" s="2">
        <v>4190</v>
      </c>
      <c r="B4191" s="2" t="s">
        <v>9183</v>
      </c>
      <c r="C4191" s="2" t="s">
        <v>5043</v>
      </c>
      <c r="D4191" s="2" t="s">
        <v>51</v>
      </c>
      <c r="E4191" s="2" t="s">
        <v>16</v>
      </c>
      <c r="F4191" s="2">
        <v>90</v>
      </c>
      <c r="G4191" s="2" t="s">
        <v>9184</v>
      </c>
      <c r="H4191" s="2" t="s">
        <v>754</v>
      </c>
      <c r="I4191" s="2" t="s">
        <v>25</v>
      </c>
      <c r="J4191" s="3">
        <v>43988</v>
      </c>
      <c r="K4191" s="2">
        <v>33</v>
      </c>
      <c r="L4191" s="2" t="s">
        <v>54</v>
      </c>
      <c r="M4191" s="3"/>
    </row>
    <row r="4192" spans="1:13" x14ac:dyDescent="0.3">
      <c r="A4192" s="2">
        <v>4191</v>
      </c>
      <c r="B4192" s="2" t="s">
        <v>2731</v>
      </c>
      <c r="C4192" s="2" t="s">
        <v>406</v>
      </c>
      <c r="D4192" s="2" t="s">
        <v>51</v>
      </c>
      <c r="E4192" s="2" t="s">
        <v>16</v>
      </c>
      <c r="F4192" s="2">
        <v>30</v>
      </c>
      <c r="G4192" s="2" t="s">
        <v>9185</v>
      </c>
      <c r="H4192" s="2" t="s">
        <v>1690</v>
      </c>
      <c r="I4192" s="2" t="s">
        <v>208</v>
      </c>
      <c r="J4192" s="3">
        <v>44374</v>
      </c>
      <c r="K4192" s="2">
        <v>35</v>
      </c>
      <c r="L4192" s="2" t="s">
        <v>45</v>
      </c>
      <c r="M4192" s="3"/>
    </row>
    <row r="4193" spans="1:13" x14ac:dyDescent="0.3">
      <c r="A4193" s="2">
        <v>4192</v>
      </c>
      <c r="B4193" s="2" t="s">
        <v>259</v>
      </c>
      <c r="C4193" s="2" t="s">
        <v>3767</v>
      </c>
      <c r="D4193" s="2" t="s">
        <v>92</v>
      </c>
      <c r="E4193" s="2" t="s">
        <v>29</v>
      </c>
      <c r="F4193" s="2">
        <v>30</v>
      </c>
      <c r="G4193" s="2" t="s">
        <v>9186</v>
      </c>
      <c r="H4193" s="2" t="s">
        <v>838</v>
      </c>
      <c r="I4193" s="2" t="s">
        <v>839</v>
      </c>
      <c r="J4193" s="3">
        <v>44310</v>
      </c>
      <c r="K4193" s="2">
        <v>48</v>
      </c>
      <c r="L4193" s="2" t="s">
        <v>64</v>
      </c>
      <c r="M4193" s="3"/>
    </row>
    <row r="4194" spans="1:13" x14ac:dyDescent="0.3">
      <c r="A4194" s="2">
        <v>4193</v>
      </c>
      <c r="B4194" s="2" t="s">
        <v>9187</v>
      </c>
      <c r="C4194" s="2" t="s">
        <v>4842</v>
      </c>
      <c r="D4194" s="2" t="s">
        <v>51</v>
      </c>
      <c r="E4194" s="2" t="s">
        <v>16</v>
      </c>
      <c r="F4194" s="2">
        <v>60</v>
      </c>
      <c r="G4194" s="2" t="s">
        <v>9188</v>
      </c>
      <c r="H4194" s="2" t="s">
        <v>6516</v>
      </c>
      <c r="I4194" s="2" t="s">
        <v>32</v>
      </c>
      <c r="J4194" s="3">
        <v>44569</v>
      </c>
      <c r="K4194" s="2">
        <v>74</v>
      </c>
      <c r="L4194" s="2" t="s">
        <v>101</v>
      </c>
      <c r="M4194" s="3"/>
    </row>
    <row r="4195" spans="1:13" x14ac:dyDescent="0.3">
      <c r="A4195" s="2">
        <v>4194</v>
      </c>
      <c r="B4195" s="2" t="s">
        <v>9189</v>
      </c>
      <c r="C4195" s="2" t="s">
        <v>6541</v>
      </c>
      <c r="D4195" s="2" t="s">
        <v>92</v>
      </c>
      <c r="E4195" s="2" t="s">
        <v>29</v>
      </c>
      <c r="F4195" s="2">
        <v>90</v>
      </c>
      <c r="G4195" s="2" t="s">
        <v>9188</v>
      </c>
      <c r="H4195" s="2" t="s">
        <v>3554</v>
      </c>
      <c r="I4195" s="2" t="s">
        <v>32</v>
      </c>
      <c r="J4195" s="3">
        <v>44556</v>
      </c>
      <c r="K4195" s="2">
        <v>7</v>
      </c>
      <c r="L4195" s="2" t="s">
        <v>33</v>
      </c>
      <c r="M4195" s="3"/>
    </row>
    <row r="4196" spans="1:13" x14ac:dyDescent="0.3">
      <c r="A4196" s="2">
        <v>4195</v>
      </c>
      <c r="B4196" s="2" t="s">
        <v>5454</v>
      </c>
      <c r="C4196" s="2" t="s">
        <v>9190</v>
      </c>
      <c r="D4196" s="2" t="s">
        <v>51</v>
      </c>
      <c r="E4196" s="2" t="s">
        <v>16</v>
      </c>
      <c r="F4196" s="2">
        <v>30</v>
      </c>
      <c r="G4196" s="2" t="s">
        <v>9191</v>
      </c>
      <c r="H4196" s="2" t="s">
        <v>2997</v>
      </c>
      <c r="I4196" s="2" t="s">
        <v>32</v>
      </c>
      <c r="J4196" s="3">
        <v>44226</v>
      </c>
      <c r="K4196" s="2">
        <v>23</v>
      </c>
      <c r="L4196" s="2" t="s">
        <v>20</v>
      </c>
      <c r="M4196" s="3"/>
    </row>
    <row r="4197" spans="1:13" x14ac:dyDescent="0.3">
      <c r="A4197" s="2">
        <v>4196</v>
      </c>
      <c r="B4197" s="2" t="s">
        <v>4016</v>
      </c>
      <c r="C4197" s="2" t="s">
        <v>7070</v>
      </c>
      <c r="D4197" s="2" t="s">
        <v>28</v>
      </c>
      <c r="E4197" s="2" t="s">
        <v>29</v>
      </c>
      <c r="F4197" s="2">
        <v>30</v>
      </c>
      <c r="G4197" s="2" t="s">
        <v>9192</v>
      </c>
      <c r="H4197" s="2" t="s">
        <v>172</v>
      </c>
      <c r="I4197" s="2" t="s">
        <v>173</v>
      </c>
      <c r="J4197" s="3">
        <v>44866</v>
      </c>
      <c r="K4197" s="2">
        <v>31</v>
      </c>
      <c r="L4197" s="2" t="s">
        <v>20</v>
      </c>
      <c r="M4197" s="3"/>
    </row>
    <row r="4198" spans="1:13" x14ac:dyDescent="0.3">
      <c r="A4198" s="2">
        <v>4197</v>
      </c>
      <c r="B4198" s="2" t="s">
        <v>9193</v>
      </c>
      <c r="C4198" s="2" t="s">
        <v>3226</v>
      </c>
      <c r="D4198" s="2" t="s">
        <v>28</v>
      </c>
      <c r="E4198" s="2" t="s">
        <v>29</v>
      </c>
      <c r="F4198" s="2">
        <v>60</v>
      </c>
      <c r="G4198" s="2" t="s">
        <v>9194</v>
      </c>
      <c r="H4198" s="2" t="s">
        <v>3951</v>
      </c>
      <c r="I4198" s="2" t="s">
        <v>1576</v>
      </c>
      <c r="J4198" s="3">
        <v>44316</v>
      </c>
      <c r="K4198" s="2">
        <v>47</v>
      </c>
      <c r="L4198" s="2" t="s">
        <v>64</v>
      </c>
      <c r="M4198" s="3"/>
    </row>
    <row r="4199" spans="1:13" x14ac:dyDescent="0.3">
      <c r="A4199" s="2">
        <v>4198</v>
      </c>
      <c r="B4199" s="2" t="s">
        <v>9195</v>
      </c>
      <c r="C4199" s="2" t="s">
        <v>3839</v>
      </c>
      <c r="D4199" s="2" t="s">
        <v>51</v>
      </c>
      <c r="E4199" s="2" t="s">
        <v>16</v>
      </c>
      <c r="F4199" s="2">
        <v>60</v>
      </c>
      <c r="G4199" s="2" t="s">
        <v>9196</v>
      </c>
      <c r="H4199" s="2" t="s">
        <v>2498</v>
      </c>
      <c r="I4199" s="2" t="s">
        <v>913</v>
      </c>
      <c r="J4199" s="3">
        <v>44068</v>
      </c>
      <c r="K4199" s="2">
        <v>29</v>
      </c>
      <c r="L4199" s="2" t="s">
        <v>70</v>
      </c>
      <c r="M4199" s="3"/>
    </row>
    <row r="4200" spans="1:13" x14ac:dyDescent="0.3">
      <c r="A4200" s="2">
        <v>4199</v>
      </c>
      <c r="B4200" s="2" t="s">
        <v>7587</v>
      </c>
      <c r="C4200" s="2" t="s">
        <v>3591</v>
      </c>
      <c r="D4200" s="2" t="s">
        <v>51</v>
      </c>
      <c r="E4200" s="2" t="s">
        <v>16</v>
      </c>
      <c r="F4200" s="2">
        <v>60</v>
      </c>
      <c r="G4200" s="2" t="s">
        <v>9197</v>
      </c>
      <c r="H4200" s="2" t="s">
        <v>2069</v>
      </c>
      <c r="I4200" s="2" t="s">
        <v>1035</v>
      </c>
      <c r="J4200" s="3">
        <v>43917</v>
      </c>
      <c r="K4200" s="2">
        <v>29</v>
      </c>
      <c r="L4200" s="2" t="s">
        <v>159</v>
      </c>
      <c r="M4200" s="3"/>
    </row>
    <row r="4201" spans="1:13" x14ac:dyDescent="0.3">
      <c r="A4201" s="2">
        <v>4200</v>
      </c>
      <c r="B4201" s="2" t="s">
        <v>9198</v>
      </c>
      <c r="C4201" s="2" t="s">
        <v>152</v>
      </c>
      <c r="D4201" s="2" t="s">
        <v>51</v>
      </c>
      <c r="E4201" s="2" t="s">
        <v>16</v>
      </c>
      <c r="F4201" s="2">
        <v>90</v>
      </c>
      <c r="G4201" s="2" t="s">
        <v>9199</v>
      </c>
      <c r="H4201" s="2" t="s">
        <v>4409</v>
      </c>
      <c r="I4201" s="2" t="s">
        <v>294</v>
      </c>
      <c r="J4201" s="3">
        <v>44725</v>
      </c>
      <c r="K4201" s="2">
        <v>28</v>
      </c>
      <c r="L4201" s="2" t="s">
        <v>101</v>
      </c>
      <c r="M4201" s="3"/>
    </row>
    <row r="4202" spans="1:13" x14ac:dyDescent="0.3">
      <c r="A4202" s="2">
        <v>4201</v>
      </c>
      <c r="B4202" s="2" t="s">
        <v>3583</v>
      </c>
      <c r="C4202" s="2" t="s">
        <v>6003</v>
      </c>
      <c r="D4202" s="2" t="s">
        <v>28</v>
      </c>
      <c r="E4202" s="2" t="s">
        <v>29</v>
      </c>
      <c r="F4202" s="2">
        <v>60</v>
      </c>
      <c r="G4202" s="2" t="s">
        <v>9200</v>
      </c>
      <c r="H4202" s="2" t="s">
        <v>1242</v>
      </c>
      <c r="I4202" s="2" t="s">
        <v>38</v>
      </c>
      <c r="J4202" s="3">
        <v>44579</v>
      </c>
      <c r="K4202" s="2">
        <v>39</v>
      </c>
      <c r="L4202" s="2" t="s">
        <v>80</v>
      </c>
      <c r="M4202" s="3"/>
    </row>
    <row r="4203" spans="1:13" x14ac:dyDescent="0.3">
      <c r="A4203" s="2">
        <v>4202</v>
      </c>
      <c r="B4203" s="2" t="s">
        <v>5457</v>
      </c>
      <c r="C4203" s="2" t="s">
        <v>175</v>
      </c>
      <c r="D4203" s="2" t="s">
        <v>51</v>
      </c>
      <c r="E4203" s="2" t="s">
        <v>16</v>
      </c>
      <c r="F4203" s="2">
        <v>30</v>
      </c>
      <c r="G4203" s="2" t="s">
        <v>9201</v>
      </c>
      <c r="H4203" s="2" t="s">
        <v>655</v>
      </c>
      <c r="I4203" s="2" t="s">
        <v>32</v>
      </c>
      <c r="J4203" s="3">
        <v>43917</v>
      </c>
      <c r="K4203" s="2">
        <v>19</v>
      </c>
      <c r="L4203" s="2" t="s">
        <v>159</v>
      </c>
      <c r="M4203" s="3"/>
    </row>
    <row r="4204" spans="1:13" x14ac:dyDescent="0.3">
      <c r="A4204" s="2">
        <v>4203</v>
      </c>
      <c r="B4204" s="2" t="s">
        <v>785</v>
      </c>
      <c r="C4204" s="2" t="s">
        <v>1546</v>
      </c>
      <c r="D4204" s="2" t="s">
        <v>28</v>
      </c>
      <c r="E4204" s="2" t="s">
        <v>29</v>
      </c>
      <c r="F4204" s="2">
        <v>90</v>
      </c>
      <c r="G4204" s="2" t="s">
        <v>9202</v>
      </c>
      <c r="H4204" s="2" t="s">
        <v>6430</v>
      </c>
      <c r="I4204" s="2" t="s">
        <v>32</v>
      </c>
      <c r="J4204" s="3">
        <v>43908</v>
      </c>
      <c r="K4204" s="2">
        <v>32</v>
      </c>
      <c r="L4204" s="2" t="s">
        <v>39</v>
      </c>
      <c r="M4204" s="3"/>
    </row>
    <row r="4205" spans="1:13" x14ac:dyDescent="0.3">
      <c r="A4205" s="2">
        <v>4204</v>
      </c>
      <c r="B4205" s="2" t="s">
        <v>4780</v>
      </c>
      <c r="C4205" s="2" t="s">
        <v>4989</v>
      </c>
      <c r="D4205" s="2" t="s">
        <v>117</v>
      </c>
      <c r="E4205" s="2" t="s">
        <v>29</v>
      </c>
      <c r="F4205" s="2">
        <v>30</v>
      </c>
      <c r="G4205" s="2" t="s">
        <v>9203</v>
      </c>
      <c r="H4205" s="2" t="s">
        <v>4675</v>
      </c>
      <c r="I4205" s="2" t="s">
        <v>178</v>
      </c>
      <c r="J4205" s="3">
        <v>44410</v>
      </c>
      <c r="K4205" s="2">
        <v>2</v>
      </c>
      <c r="L4205" s="2" t="s">
        <v>70</v>
      </c>
      <c r="M4205" s="3"/>
    </row>
    <row r="4206" spans="1:13" x14ac:dyDescent="0.3">
      <c r="A4206" s="2">
        <v>4205</v>
      </c>
      <c r="B4206" s="2" t="s">
        <v>4004</v>
      </c>
      <c r="C4206" s="2" t="s">
        <v>2398</v>
      </c>
      <c r="D4206" s="2" t="s">
        <v>28</v>
      </c>
      <c r="E4206" s="2" t="s">
        <v>29</v>
      </c>
      <c r="F4206" s="2">
        <v>60</v>
      </c>
      <c r="G4206" s="2" t="s">
        <v>9204</v>
      </c>
      <c r="H4206" s="2" t="s">
        <v>1739</v>
      </c>
      <c r="I4206" s="2" t="s">
        <v>32</v>
      </c>
      <c r="J4206" s="3">
        <v>44180</v>
      </c>
      <c r="K4206" s="2">
        <v>34</v>
      </c>
      <c r="L4206" s="2" t="s">
        <v>45</v>
      </c>
      <c r="M4206" s="3"/>
    </row>
    <row r="4207" spans="1:13" x14ac:dyDescent="0.3">
      <c r="A4207" s="2">
        <v>4206</v>
      </c>
      <c r="B4207" s="2" t="s">
        <v>9205</v>
      </c>
      <c r="C4207" s="2" t="s">
        <v>2686</v>
      </c>
      <c r="D4207" s="2" t="s">
        <v>15</v>
      </c>
      <c r="E4207" s="2" t="s">
        <v>16</v>
      </c>
      <c r="F4207" s="2">
        <v>60</v>
      </c>
      <c r="G4207" s="2" t="s">
        <v>9206</v>
      </c>
      <c r="H4207" s="2" t="s">
        <v>3915</v>
      </c>
      <c r="I4207" s="2" t="s">
        <v>173</v>
      </c>
      <c r="J4207" s="3">
        <v>43889</v>
      </c>
      <c r="K4207" s="2">
        <v>3</v>
      </c>
      <c r="L4207" s="2" t="s">
        <v>159</v>
      </c>
      <c r="M4207" s="3"/>
    </row>
    <row r="4208" spans="1:13" x14ac:dyDescent="0.3">
      <c r="A4208" s="2">
        <v>4207</v>
      </c>
      <c r="B4208" s="2" t="s">
        <v>4318</v>
      </c>
      <c r="C4208" s="2" t="s">
        <v>8126</v>
      </c>
      <c r="D4208" s="2" t="s">
        <v>28</v>
      </c>
      <c r="E4208" s="2" t="s">
        <v>29</v>
      </c>
      <c r="F4208" s="2">
        <v>60</v>
      </c>
      <c r="G4208" s="2" t="s">
        <v>9207</v>
      </c>
      <c r="H4208" s="2" t="s">
        <v>3228</v>
      </c>
      <c r="I4208" s="2" t="s">
        <v>294</v>
      </c>
      <c r="J4208" s="3">
        <v>43869</v>
      </c>
      <c r="K4208" s="2">
        <v>21</v>
      </c>
      <c r="L4208" s="2" t="s">
        <v>33</v>
      </c>
      <c r="M4208" s="3"/>
    </row>
    <row r="4209" spans="1:13" x14ac:dyDescent="0.3">
      <c r="A4209" s="2">
        <v>4208</v>
      </c>
      <c r="B4209" s="2" t="s">
        <v>909</v>
      </c>
      <c r="C4209" s="2" t="s">
        <v>6730</v>
      </c>
      <c r="D4209" s="2" t="s">
        <v>15</v>
      </c>
      <c r="E4209" s="2" t="s">
        <v>282</v>
      </c>
      <c r="F4209" s="2">
        <v>30</v>
      </c>
      <c r="G4209" s="2" t="s">
        <v>9208</v>
      </c>
      <c r="H4209" s="2" t="s">
        <v>3175</v>
      </c>
      <c r="I4209" s="2" t="s">
        <v>1233</v>
      </c>
      <c r="J4209" s="3">
        <v>44303</v>
      </c>
      <c r="K4209" s="2">
        <v>85</v>
      </c>
      <c r="L4209" s="2" t="s">
        <v>45</v>
      </c>
      <c r="M4209" s="3"/>
    </row>
    <row r="4210" spans="1:13" x14ac:dyDescent="0.3">
      <c r="A4210" s="2">
        <v>4209</v>
      </c>
      <c r="B4210" s="2" t="s">
        <v>375</v>
      </c>
      <c r="C4210" s="2" t="s">
        <v>4561</v>
      </c>
      <c r="D4210" s="2" t="s">
        <v>28</v>
      </c>
      <c r="E4210" s="2" t="s">
        <v>29</v>
      </c>
      <c r="F4210" s="2">
        <v>60</v>
      </c>
      <c r="G4210" s="2" t="s">
        <v>9208</v>
      </c>
      <c r="H4210" s="2" t="s">
        <v>9209</v>
      </c>
      <c r="I4210" s="2" t="s">
        <v>32</v>
      </c>
      <c r="J4210" s="3">
        <v>44761</v>
      </c>
      <c r="K4210" s="2">
        <v>15</v>
      </c>
      <c r="L4210" s="2" t="s">
        <v>20</v>
      </c>
      <c r="M4210" s="3"/>
    </row>
    <row r="4211" spans="1:13" x14ac:dyDescent="0.3">
      <c r="A4211" s="2">
        <v>4210</v>
      </c>
      <c r="B4211" s="2" t="s">
        <v>3159</v>
      </c>
      <c r="C4211" s="2" t="s">
        <v>1979</v>
      </c>
      <c r="D4211" s="2" t="s">
        <v>28</v>
      </c>
      <c r="E4211" s="2" t="s">
        <v>29</v>
      </c>
      <c r="F4211" s="2">
        <v>60</v>
      </c>
      <c r="G4211" s="2" t="s">
        <v>9210</v>
      </c>
      <c r="H4211" s="2" t="s">
        <v>2408</v>
      </c>
      <c r="I4211" s="2" t="s">
        <v>187</v>
      </c>
      <c r="J4211" s="3">
        <v>44294</v>
      </c>
      <c r="K4211" s="2">
        <v>89</v>
      </c>
      <c r="L4211" s="2" t="s">
        <v>159</v>
      </c>
      <c r="M4211" s="3"/>
    </row>
    <row r="4212" spans="1:13" x14ac:dyDescent="0.3">
      <c r="A4212" s="2">
        <v>4211</v>
      </c>
      <c r="B4212" s="2" t="s">
        <v>3340</v>
      </c>
      <c r="C4212" s="2" t="s">
        <v>2279</v>
      </c>
      <c r="D4212" s="2" t="s">
        <v>28</v>
      </c>
      <c r="E4212" s="2" t="s">
        <v>29</v>
      </c>
      <c r="F4212" s="2">
        <v>90</v>
      </c>
      <c r="G4212" s="2" t="s">
        <v>9210</v>
      </c>
      <c r="H4212" s="2" t="s">
        <v>1800</v>
      </c>
      <c r="I4212" s="2" t="s">
        <v>32</v>
      </c>
      <c r="J4212" s="3">
        <v>44462</v>
      </c>
      <c r="K4212" s="2">
        <v>77</v>
      </c>
      <c r="L4212" s="2" t="s">
        <v>101</v>
      </c>
      <c r="M4212" s="3"/>
    </row>
    <row r="4213" spans="1:13" x14ac:dyDescent="0.3">
      <c r="A4213" s="2">
        <v>4212</v>
      </c>
      <c r="B4213" s="2" t="s">
        <v>3532</v>
      </c>
      <c r="C4213" s="2" t="s">
        <v>1840</v>
      </c>
      <c r="D4213" s="2" t="s">
        <v>28</v>
      </c>
      <c r="E4213" s="2" t="s">
        <v>29</v>
      </c>
      <c r="F4213" s="2">
        <v>30</v>
      </c>
      <c r="G4213" s="2" t="s">
        <v>9211</v>
      </c>
      <c r="H4213" s="2" t="s">
        <v>1160</v>
      </c>
      <c r="I4213" s="2" t="s">
        <v>25</v>
      </c>
      <c r="J4213" s="3">
        <v>44442</v>
      </c>
      <c r="K4213" s="2">
        <v>44</v>
      </c>
      <c r="L4213" s="2" t="s">
        <v>54</v>
      </c>
      <c r="M4213" s="3"/>
    </row>
    <row r="4214" spans="1:13" x14ac:dyDescent="0.3">
      <c r="A4214" s="2">
        <v>4213</v>
      </c>
      <c r="B4214" s="2" t="s">
        <v>8790</v>
      </c>
      <c r="C4214" s="2" t="s">
        <v>3630</v>
      </c>
      <c r="D4214" s="2" t="s">
        <v>41</v>
      </c>
      <c r="E4214" s="2" t="s">
        <v>16</v>
      </c>
      <c r="F4214" s="2">
        <v>30</v>
      </c>
      <c r="G4214" s="2" t="s">
        <v>9212</v>
      </c>
      <c r="H4214" s="2" t="s">
        <v>754</v>
      </c>
      <c r="I4214" s="2" t="s">
        <v>25</v>
      </c>
      <c r="J4214" s="3">
        <v>44754</v>
      </c>
      <c r="K4214" s="2">
        <v>98</v>
      </c>
      <c r="L4214" s="2" t="s">
        <v>70</v>
      </c>
      <c r="M4214" s="3"/>
    </row>
    <row r="4215" spans="1:13" x14ac:dyDescent="0.3">
      <c r="A4215" s="2">
        <v>4214</v>
      </c>
      <c r="B4215" s="2" t="s">
        <v>9213</v>
      </c>
      <c r="C4215" s="2" t="s">
        <v>2977</v>
      </c>
      <c r="D4215" s="2" t="s">
        <v>51</v>
      </c>
      <c r="E4215" s="2" t="s">
        <v>16</v>
      </c>
      <c r="F4215" s="2">
        <v>30</v>
      </c>
      <c r="G4215" s="2" t="s">
        <v>9212</v>
      </c>
      <c r="H4215" s="2" t="s">
        <v>1202</v>
      </c>
      <c r="I4215" s="2" t="s">
        <v>32</v>
      </c>
      <c r="J4215" s="3">
        <v>44016</v>
      </c>
      <c r="K4215" s="2">
        <v>61</v>
      </c>
      <c r="L4215" s="2" t="s">
        <v>54</v>
      </c>
      <c r="M4215" s="3"/>
    </row>
    <row r="4216" spans="1:13" x14ac:dyDescent="0.3">
      <c r="A4216" s="2">
        <v>4215</v>
      </c>
      <c r="B4216" s="2" t="s">
        <v>9214</v>
      </c>
      <c r="C4216" s="2" t="s">
        <v>1561</v>
      </c>
      <c r="D4216" s="2" t="s">
        <v>28</v>
      </c>
      <c r="E4216" s="2" t="s">
        <v>29</v>
      </c>
      <c r="F4216" s="2">
        <v>30</v>
      </c>
      <c r="G4216" s="2" t="s">
        <v>9215</v>
      </c>
      <c r="H4216" s="2" t="s">
        <v>483</v>
      </c>
      <c r="I4216" s="2" t="s">
        <v>32</v>
      </c>
      <c r="J4216" s="3">
        <v>44269</v>
      </c>
      <c r="K4216" s="2">
        <v>82</v>
      </c>
      <c r="L4216" s="2" t="s">
        <v>64</v>
      </c>
      <c r="M4216" s="3"/>
    </row>
    <row r="4217" spans="1:13" x14ac:dyDescent="0.3">
      <c r="A4217" s="2">
        <v>4216</v>
      </c>
      <c r="B4217" s="2" t="s">
        <v>7529</v>
      </c>
      <c r="C4217" s="2" t="s">
        <v>7369</v>
      </c>
      <c r="D4217" s="2" t="s">
        <v>51</v>
      </c>
      <c r="E4217" s="2" t="s">
        <v>16</v>
      </c>
      <c r="F4217" s="2">
        <v>30</v>
      </c>
      <c r="G4217" s="2" t="s">
        <v>9216</v>
      </c>
      <c r="H4217" s="2" t="s">
        <v>526</v>
      </c>
      <c r="I4217" s="2" t="s">
        <v>32</v>
      </c>
      <c r="J4217" s="3">
        <v>43851</v>
      </c>
      <c r="K4217" s="2">
        <v>40</v>
      </c>
      <c r="L4217" s="2" t="s">
        <v>45</v>
      </c>
      <c r="M4217" s="3"/>
    </row>
    <row r="4218" spans="1:13" x14ac:dyDescent="0.3">
      <c r="A4218" s="2">
        <v>4217</v>
      </c>
      <c r="B4218" s="2" t="s">
        <v>5497</v>
      </c>
      <c r="C4218" s="2" t="s">
        <v>1539</v>
      </c>
      <c r="D4218" s="2" t="s">
        <v>28</v>
      </c>
      <c r="E4218" s="2" t="s">
        <v>29</v>
      </c>
      <c r="F4218" s="2">
        <v>90</v>
      </c>
      <c r="G4218" s="2" t="s">
        <v>9217</v>
      </c>
      <c r="H4218" s="2" t="s">
        <v>3511</v>
      </c>
      <c r="I4218" s="2" t="s">
        <v>32</v>
      </c>
      <c r="J4218" s="3">
        <v>44535</v>
      </c>
      <c r="K4218" s="2">
        <v>80</v>
      </c>
      <c r="L4218" s="2" t="s">
        <v>80</v>
      </c>
      <c r="M4218" s="3"/>
    </row>
    <row r="4219" spans="1:13" x14ac:dyDescent="0.3">
      <c r="A4219" s="2">
        <v>4218</v>
      </c>
      <c r="B4219" s="2" t="s">
        <v>1752</v>
      </c>
      <c r="C4219" s="2" t="s">
        <v>9218</v>
      </c>
      <c r="D4219" s="2" t="s">
        <v>28</v>
      </c>
      <c r="E4219" s="2" t="s">
        <v>29</v>
      </c>
      <c r="F4219" s="2">
        <v>30</v>
      </c>
      <c r="G4219" s="2" t="s">
        <v>9219</v>
      </c>
      <c r="H4219" s="2" t="s">
        <v>2579</v>
      </c>
      <c r="I4219" s="2" t="s">
        <v>425</v>
      </c>
      <c r="J4219" s="3">
        <v>44396</v>
      </c>
      <c r="K4219" s="2">
        <v>52</v>
      </c>
      <c r="L4219" s="2" t="s">
        <v>33</v>
      </c>
      <c r="M4219" s="3"/>
    </row>
    <row r="4220" spans="1:13" x14ac:dyDescent="0.3">
      <c r="A4220" s="2">
        <v>4219</v>
      </c>
      <c r="B4220" s="2" t="s">
        <v>8400</v>
      </c>
      <c r="C4220" s="2" t="s">
        <v>8496</v>
      </c>
      <c r="D4220" s="2" t="s">
        <v>28</v>
      </c>
      <c r="E4220" s="2" t="s">
        <v>29</v>
      </c>
      <c r="F4220" s="2">
        <v>60</v>
      </c>
      <c r="G4220" s="2" t="s">
        <v>9220</v>
      </c>
      <c r="H4220" s="2" t="s">
        <v>2072</v>
      </c>
      <c r="I4220" s="2" t="s">
        <v>32</v>
      </c>
      <c r="J4220" s="3">
        <v>44610</v>
      </c>
      <c r="K4220" s="2">
        <v>65</v>
      </c>
      <c r="L4220" s="2" t="s">
        <v>70</v>
      </c>
      <c r="M4220" s="3"/>
    </row>
    <row r="4221" spans="1:13" x14ac:dyDescent="0.3">
      <c r="A4221" s="2">
        <v>4220</v>
      </c>
      <c r="B4221" s="2" t="s">
        <v>5028</v>
      </c>
      <c r="C4221" s="2" t="s">
        <v>2985</v>
      </c>
      <c r="D4221" s="2" t="s">
        <v>28</v>
      </c>
      <c r="E4221" s="2" t="s">
        <v>29</v>
      </c>
      <c r="F4221" s="2">
        <v>30</v>
      </c>
      <c r="G4221" s="2" t="s">
        <v>9221</v>
      </c>
      <c r="H4221" s="2" t="s">
        <v>5207</v>
      </c>
      <c r="I4221" s="2" t="s">
        <v>38</v>
      </c>
      <c r="J4221" s="3">
        <v>44120</v>
      </c>
      <c r="K4221" s="2">
        <v>33</v>
      </c>
      <c r="L4221" s="2" t="s">
        <v>54</v>
      </c>
      <c r="M4221" s="3"/>
    </row>
    <row r="4222" spans="1:13" x14ac:dyDescent="0.3">
      <c r="A4222" s="2">
        <v>4221</v>
      </c>
      <c r="B4222" s="2" t="s">
        <v>5433</v>
      </c>
      <c r="C4222" s="2" t="s">
        <v>9222</v>
      </c>
      <c r="D4222" s="2" t="s">
        <v>92</v>
      </c>
      <c r="E4222" s="2" t="s">
        <v>29</v>
      </c>
      <c r="F4222" s="2">
        <v>30</v>
      </c>
      <c r="G4222" s="2" t="s">
        <v>9223</v>
      </c>
      <c r="H4222" s="2" t="s">
        <v>3756</v>
      </c>
      <c r="I4222" s="2" t="s">
        <v>178</v>
      </c>
      <c r="J4222" s="3">
        <v>44078</v>
      </c>
      <c r="K4222" s="2">
        <v>84</v>
      </c>
      <c r="L4222" s="2" t="s">
        <v>45</v>
      </c>
      <c r="M4222" s="3"/>
    </row>
    <row r="4223" spans="1:13" x14ac:dyDescent="0.3">
      <c r="A4223" s="2">
        <v>4222</v>
      </c>
      <c r="B4223" s="2" t="s">
        <v>8003</v>
      </c>
      <c r="C4223" s="2" t="s">
        <v>3965</v>
      </c>
      <c r="D4223" s="2" t="s">
        <v>28</v>
      </c>
      <c r="E4223" s="2" t="s">
        <v>29</v>
      </c>
      <c r="F4223" s="2">
        <v>90</v>
      </c>
      <c r="G4223" s="2" t="s">
        <v>9224</v>
      </c>
      <c r="H4223" s="2" t="s">
        <v>3245</v>
      </c>
      <c r="I4223" s="2" t="s">
        <v>32</v>
      </c>
      <c r="J4223" s="3">
        <v>44211</v>
      </c>
      <c r="K4223" s="2">
        <v>67</v>
      </c>
      <c r="L4223" s="2" t="s">
        <v>54</v>
      </c>
      <c r="M4223" s="3"/>
    </row>
    <row r="4224" spans="1:13" x14ac:dyDescent="0.3">
      <c r="A4224" s="2">
        <v>4223</v>
      </c>
      <c r="B4224" s="2" t="s">
        <v>9225</v>
      </c>
      <c r="C4224" s="2" t="s">
        <v>2563</v>
      </c>
      <c r="D4224" s="2" t="s">
        <v>51</v>
      </c>
      <c r="E4224" s="2" t="s">
        <v>16</v>
      </c>
      <c r="F4224" s="2">
        <v>60</v>
      </c>
      <c r="G4224" s="2" t="s">
        <v>9226</v>
      </c>
      <c r="H4224" s="2" t="s">
        <v>3511</v>
      </c>
      <c r="I4224" s="2" t="s">
        <v>32</v>
      </c>
      <c r="J4224" s="3">
        <v>44099</v>
      </c>
      <c r="K4224" s="2">
        <v>30</v>
      </c>
      <c r="L4224" s="2" t="s">
        <v>159</v>
      </c>
      <c r="M4224" s="3"/>
    </row>
    <row r="4225" spans="1:13" x14ac:dyDescent="0.3">
      <c r="A4225" s="2">
        <v>4224</v>
      </c>
      <c r="B4225" s="2" t="s">
        <v>9227</v>
      </c>
      <c r="C4225" s="2" t="s">
        <v>2365</v>
      </c>
      <c r="D4225" s="2" t="s">
        <v>117</v>
      </c>
      <c r="E4225" s="2" t="s">
        <v>16</v>
      </c>
      <c r="F4225" s="2">
        <v>60</v>
      </c>
      <c r="G4225" s="2" t="s">
        <v>9228</v>
      </c>
      <c r="H4225" s="2" t="s">
        <v>2530</v>
      </c>
      <c r="I4225" s="2" t="s">
        <v>32</v>
      </c>
      <c r="J4225" s="3">
        <v>44721</v>
      </c>
      <c r="K4225" s="2">
        <v>19</v>
      </c>
      <c r="L4225" s="2" t="s">
        <v>45</v>
      </c>
      <c r="M4225" s="3"/>
    </row>
    <row r="4226" spans="1:13" x14ac:dyDescent="0.3">
      <c r="A4226" s="2">
        <v>4225</v>
      </c>
      <c r="B4226" s="2" t="s">
        <v>2531</v>
      </c>
      <c r="C4226" s="2" t="s">
        <v>3467</v>
      </c>
      <c r="D4226" s="2" t="s">
        <v>15</v>
      </c>
      <c r="E4226" s="2" t="s">
        <v>16</v>
      </c>
      <c r="F4226" s="2">
        <v>90</v>
      </c>
      <c r="G4226" s="2" t="s">
        <v>9229</v>
      </c>
      <c r="H4226" s="2" t="s">
        <v>2877</v>
      </c>
      <c r="I4226" s="2" t="s">
        <v>2878</v>
      </c>
      <c r="J4226" s="3">
        <v>43832</v>
      </c>
      <c r="K4226" s="2">
        <v>71</v>
      </c>
      <c r="L4226" s="2" t="s">
        <v>33</v>
      </c>
      <c r="M4226" s="3"/>
    </row>
    <row r="4227" spans="1:13" x14ac:dyDescent="0.3">
      <c r="A4227" s="2">
        <v>4226</v>
      </c>
      <c r="B4227" s="2" t="s">
        <v>1049</v>
      </c>
      <c r="C4227" s="2" t="s">
        <v>931</v>
      </c>
      <c r="D4227" s="2" t="s">
        <v>28</v>
      </c>
      <c r="E4227" s="2" t="s">
        <v>29</v>
      </c>
      <c r="F4227" s="2">
        <v>60</v>
      </c>
      <c r="G4227" s="2" t="s">
        <v>9229</v>
      </c>
      <c r="H4227" s="2" t="s">
        <v>1629</v>
      </c>
      <c r="I4227" s="2" t="s">
        <v>32</v>
      </c>
      <c r="J4227" s="3">
        <v>44179</v>
      </c>
      <c r="K4227" s="2">
        <v>9</v>
      </c>
      <c r="L4227" s="2" t="s">
        <v>39</v>
      </c>
      <c r="M4227" s="3"/>
    </row>
    <row r="4228" spans="1:13" x14ac:dyDescent="0.3">
      <c r="A4228" s="2">
        <v>4227</v>
      </c>
      <c r="B4228" s="2" t="s">
        <v>5746</v>
      </c>
      <c r="C4228" s="2" t="s">
        <v>4927</v>
      </c>
      <c r="D4228" s="2" t="s">
        <v>51</v>
      </c>
      <c r="E4228" s="2" t="s">
        <v>16</v>
      </c>
      <c r="F4228" s="2">
        <v>90</v>
      </c>
      <c r="G4228" s="2" t="s">
        <v>9230</v>
      </c>
      <c r="H4228" s="2" t="s">
        <v>5895</v>
      </c>
      <c r="I4228" s="2" t="s">
        <v>32</v>
      </c>
      <c r="J4228" s="3">
        <v>44822</v>
      </c>
      <c r="K4228" s="2">
        <v>68</v>
      </c>
      <c r="L4228" s="2" t="s">
        <v>39</v>
      </c>
      <c r="M4228" s="3"/>
    </row>
    <row r="4229" spans="1:13" x14ac:dyDescent="0.3">
      <c r="A4229" s="2">
        <v>4228</v>
      </c>
      <c r="B4229" s="2" t="s">
        <v>6194</v>
      </c>
      <c r="C4229" s="2" t="s">
        <v>1364</v>
      </c>
      <c r="D4229" s="2" t="s">
        <v>51</v>
      </c>
      <c r="E4229" s="2" t="s">
        <v>16</v>
      </c>
      <c r="F4229" s="2">
        <v>30</v>
      </c>
      <c r="G4229" s="2" t="s">
        <v>9231</v>
      </c>
      <c r="H4229" s="2" t="s">
        <v>6772</v>
      </c>
      <c r="I4229" s="2" t="s">
        <v>32</v>
      </c>
      <c r="J4229" s="3">
        <v>44161</v>
      </c>
      <c r="K4229" s="2">
        <v>73</v>
      </c>
      <c r="L4229" s="2" t="s">
        <v>159</v>
      </c>
      <c r="M4229" s="3"/>
    </row>
    <row r="4230" spans="1:13" x14ac:dyDescent="0.3">
      <c r="A4230" s="2">
        <v>4229</v>
      </c>
      <c r="B4230" s="2" t="s">
        <v>1229</v>
      </c>
      <c r="C4230" s="2" t="s">
        <v>7582</v>
      </c>
      <c r="D4230" s="2" t="s">
        <v>28</v>
      </c>
      <c r="E4230" s="2" t="s">
        <v>29</v>
      </c>
      <c r="F4230" s="2">
        <v>90</v>
      </c>
      <c r="G4230" s="2" t="s">
        <v>9232</v>
      </c>
      <c r="H4230" s="2" t="s">
        <v>9233</v>
      </c>
      <c r="I4230" s="2" t="s">
        <v>32</v>
      </c>
      <c r="J4230" s="3">
        <v>44126</v>
      </c>
      <c r="K4230" s="2">
        <v>64</v>
      </c>
      <c r="L4230" s="2" t="s">
        <v>54</v>
      </c>
      <c r="M4230" s="3"/>
    </row>
    <row r="4231" spans="1:13" x14ac:dyDescent="0.3">
      <c r="A4231" s="2">
        <v>4230</v>
      </c>
      <c r="B4231" s="2" t="s">
        <v>6242</v>
      </c>
      <c r="C4231" s="2" t="s">
        <v>258</v>
      </c>
      <c r="D4231" s="2" t="s">
        <v>51</v>
      </c>
      <c r="E4231" s="2" t="s">
        <v>16</v>
      </c>
      <c r="F4231" s="2">
        <v>30</v>
      </c>
      <c r="G4231" s="2" t="s">
        <v>9234</v>
      </c>
      <c r="H4231" s="2" t="s">
        <v>5823</v>
      </c>
      <c r="I4231" s="2" t="s">
        <v>110</v>
      </c>
      <c r="J4231" s="3">
        <v>44641</v>
      </c>
      <c r="K4231" s="2">
        <v>9</v>
      </c>
      <c r="L4231" s="2" t="s">
        <v>101</v>
      </c>
      <c r="M4231" s="3"/>
    </row>
    <row r="4232" spans="1:13" x14ac:dyDescent="0.3">
      <c r="A4232" s="2">
        <v>4231</v>
      </c>
      <c r="B4232" s="2" t="s">
        <v>3469</v>
      </c>
      <c r="C4232" s="2" t="s">
        <v>2191</v>
      </c>
      <c r="D4232" s="2" t="s">
        <v>28</v>
      </c>
      <c r="E4232" s="2" t="s">
        <v>29</v>
      </c>
      <c r="F4232" s="2">
        <v>30</v>
      </c>
      <c r="G4232" s="2" t="s">
        <v>9234</v>
      </c>
      <c r="H4232" s="2" t="s">
        <v>3790</v>
      </c>
      <c r="I4232" s="2" t="s">
        <v>32</v>
      </c>
      <c r="J4232" s="3">
        <v>44682</v>
      </c>
      <c r="K4232" s="2">
        <v>69</v>
      </c>
      <c r="L4232" s="2" t="s">
        <v>159</v>
      </c>
      <c r="M4232" s="3"/>
    </row>
    <row r="4233" spans="1:13" x14ac:dyDescent="0.3">
      <c r="A4233" s="2">
        <v>4232</v>
      </c>
      <c r="B4233" s="2" t="s">
        <v>2947</v>
      </c>
      <c r="C4233" s="2" t="s">
        <v>1700</v>
      </c>
      <c r="D4233" s="2" t="s">
        <v>28</v>
      </c>
      <c r="E4233" s="2" t="s">
        <v>29</v>
      </c>
      <c r="F4233" s="2">
        <v>60</v>
      </c>
      <c r="G4233" s="2" t="s">
        <v>9235</v>
      </c>
      <c r="H4233" s="2" t="s">
        <v>1168</v>
      </c>
      <c r="I4233" s="2" t="s">
        <v>32</v>
      </c>
      <c r="J4233" s="3">
        <v>44020</v>
      </c>
      <c r="K4233" s="2">
        <v>64</v>
      </c>
      <c r="L4233" s="2" t="s">
        <v>64</v>
      </c>
      <c r="M4233" s="3"/>
    </row>
    <row r="4234" spans="1:13" x14ac:dyDescent="0.3">
      <c r="A4234" s="2">
        <v>4233</v>
      </c>
      <c r="B4234" s="2" t="s">
        <v>267</v>
      </c>
      <c r="C4234" s="2" t="s">
        <v>2030</v>
      </c>
      <c r="D4234" s="2" t="s">
        <v>28</v>
      </c>
      <c r="E4234" s="2" t="s">
        <v>29</v>
      </c>
      <c r="F4234" s="2">
        <v>90</v>
      </c>
      <c r="G4234" s="2" t="s">
        <v>9236</v>
      </c>
      <c r="H4234" s="2" t="s">
        <v>8547</v>
      </c>
      <c r="I4234" s="2" t="s">
        <v>32</v>
      </c>
      <c r="J4234" s="3">
        <v>44722</v>
      </c>
      <c r="K4234" s="2">
        <v>27</v>
      </c>
      <c r="L4234" s="2" t="s">
        <v>33</v>
      </c>
      <c r="M4234" s="3"/>
    </row>
    <row r="4235" spans="1:13" x14ac:dyDescent="0.3">
      <c r="A4235" s="2">
        <v>4234</v>
      </c>
      <c r="B4235" s="2" t="s">
        <v>9237</v>
      </c>
      <c r="C4235" s="2" t="s">
        <v>5413</v>
      </c>
      <c r="D4235" s="2" t="s">
        <v>51</v>
      </c>
      <c r="E4235" s="2" t="s">
        <v>16</v>
      </c>
      <c r="F4235" s="2">
        <v>30</v>
      </c>
      <c r="G4235" s="2" t="s">
        <v>9238</v>
      </c>
      <c r="H4235" s="2" t="s">
        <v>3670</v>
      </c>
      <c r="I4235" s="2" t="s">
        <v>3671</v>
      </c>
      <c r="J4235" s="3">
        <v>44562</v>
      </c>
      <c r="K4235" s="2">
        <v>17</v>
      </c>
      <c r="L4235" s="2" t="s">
        <v>159</v>
      </c>
      <c r="M4235" s="3"/>
    </row>
    <row r="4236" spans="1:13" x14ac:dyDescent="0.3">
      <c r="A4236" s="2">
        <v>4235</v>
      </c>
      <c r="B4236" s="2" t="s">
        <v>6912</v>
      </c>
      <c r="C4236" s="2" t="s">
        <v>6055</v>
      </c>
      <c r="D4236" s="2" t="s">
        <v>15</v>
      </c>
      <c r="E4236" s="2" t="s">
        <v>16</v>
      </c>
      <c r="F4236" s="2">
        <v>30</v>
      </c>
      <c r="G4236" s="2" t="s">
        <v>9239</v>
      </c>
      <c r="H4236" s="2" t="s">
        <v>2713</v>
      </c>
      <c r="I4236" s="2" t="s">
        <v>38</v>
      </c>
      <c r="J4236" s="3">
        <v>44605</v>
      </c>
      <c r="K4236" s="2">
        <v>5</v>
      </c>
      <c r="L4236" s="2" t="s">
        <v>45</v>
      </c>
      <c r="M4236" s="3"/>
    </row>
    <row r="4237" spans="1:13" x14ac:dyDescent="0.3">
      <c r="A4237" s="2">
        <v>4236</v>
      </c>
      <c r="B4237" s="2" t="s">
        <v>9240</v>
      </c>
      <c r="C4237" s="2" t="s">
        <v>7774</v>
      </c>
      <c r="D4237" s="2" t="s">
        <v>41</v>
      </c>
      <c r="E4237" s="2" t="s">
        <v>16</v>
      </c>
      <c r="F4237" s="2">
        <v>30</v>
      </c>
      <c r="G4237" s="2" t="s">
        <v>9241</v>
      </c>
      <c r="H4237" s="2" t="s">
        <v>4874</v>
      </c>
      <c r="I4237" s="2" t="s">
        <v>32</v>
      </c>
      <c r="J4237" s="3">
        <v>44215</v>
      </c>
      <c r="K4237" s="2">
        <v>92</v>
      </c>
      <c r="L4237" s="2" t="s">
        <v>45</v>
      </c>
      <c r="M4237" s="3"/>
    </row>
    <row r="4238" spans="1:13" x14ac:dyDescent="0.3">
      <c r="A4238" s="2">
        <v>4237</v>
      </c>
      <c r="B4238" s="2" t="s">
        <v>5444</v>
      </c>
      <c r="C4238" s="2" t="s">
        <v>1861</v>
      </c>
      <c r="D4238" s="2" t="s">
        <v>51</v>
      </c>
      <c r="E4238" s="2" t="s">
        <v>16</v>
      </c>
      <c r="F4238" s="2">
        <v>30</v>
      </c>
      <c r="G4238" s="2" t="s">
        <v>9242</v>
      </c>
      <c r="H4238" s="2" t="s">
        <v>6283</v>
      </c>
      <c r="I4238" s="2" t="s">
        <v>32</v>
      </c>
      <c r="J4238" s="3">
        <v>44186</v>
      </c>
      <c r="K4238" s="2">
        <v>82</v>
      </c>
      <c r="L4238" s="2" t="s">
        <v>20</v>
      </c>
      <c r="M4238" s="3"/>
    </row>
    <row r="4239" spans="1:13" x14ac:dyDescent="0.3">
      <c r="A4239" s="2">
        <v>4238</v>
      </c>
      <c r="B4239" s="2" t="s">
        <v>2040</v>
      </c>
      <c r="C4239" s="2" t="s">
        <v>9243</v>
      </c>
      <c r="D4239" s="2" t="s">
        <v>15</v>
      </c>
      <c r="E4239" s="2" t="s">
        <v>16</v>
      </c>
      <c r="F4239" s="2">
        <v>90</v>
      </c>
      <c r="G4239" s="2" t="s">
        <v>9244</v>
      </c>
      <c r="H4239" s="2" t="s">
        <v>5025</v>
      </c>
      <c r="I4239" s="2" t="s">
        <v>32</v>
      </c>
      <c r="J4239" s="3">
        <v>44325</v>
      </c>
      <c r="K4239" s="2">
        <v>9</v>
      </c>
      <c r="L4239" s="2" t="s">
        <v>70</v>
      </c>
      <c r="M4239" s="3"/>
    </row>
    <row r="4240" spans="1:13" x14ac:dyDescent="0.3">
      <c r="A4240" s="2">
        <v>4239</v>
      </c>
      <c r="B4240" s="2" t="s">
        <v>2398</v>
      </c>
      <c r="C4240" s="2" t="s">
        <v>1950</v>
      </c>
      <c r="D4240" s="2" t="s">
        <v>28</v>
      </c>
      <c r="E4240" s="2" t="s">
        <v>29</v>
      </c>
      <c r="F4240" s="2">
        <v>30</v>
      </c>
      <c r="G4240" s="2" t="s">
        <v>9245</v>
      </c>
      <c r="H4240" s="2" t="s">
        <v>4794</v>
      </c>
      <c r="I4240" s="2" t="s">
        <v>32</v>
      </c>
      <c r="J4240" s="3">
        <v>44456</v>
      </c>
      <c r="K4240" s="2">
        <v>70</v>
      </c>
      <c r="L4240" s="2" t="s">
        <v>45</v>
      </c>
      <c r="M4240" s="3"/>
    </row>
    <row r="4241" spans="1:13" x14ac:dyDescent="0.3">
      <c r="A4241" s="2">
        <v>4240</v>
      </c>
      <c r="B4241" s="2" t="s">
        <v>2731</v>
      </c>
      <c r="C4241" s="2" t="s">
        <v>2431</v>
      </c>
      <c r="D4241" s="2" t="s">
        <v>28</v>
      </c>
      <c r="E4241" s="2" t="s">
        <v>29</v>
      </c>
      <c r="F4241" s="2">
        <v>60</v>
      </c>
      <c r="G4241" s="2" t="s">
        <v>9246</v>
      </c>
      <c r="H4241" s="2" t="s">
        <v>8205</v>
      </c>
      <c r="I4241" s="2" t="s">
        <v>25</v>
      </c>
      <c r="J4241" s="3">
        <v>44299</v>
      </c>
      <c r="K4241" s="2">
        <v>31</v>
      </c>
      <c r="L4241" s="2" t="s">
        <v>64</v>
      </c>
      <c r="M4241" s="3"/>
    </row>
    <row r="4242" spans="1:13" x14ac:dyDescent="0.3">
      <c r="A4242" s="2">
        <v>4241</v>
      </c>
      <c r="B4242" s="2" t="s">
        <v>4139</v>
      </c>
      <c r="C4242" s="2" t="s">
        <v>2448</v>
      </c>
      <c r="D4242" s="2" t="s">
        <v>51</v>
      </c>
      <c r="E4242" s="2" t="s">
        <v>16</v>
      </c>
      <c r="F4242" s="2">
        <v>60</v>
      </c>
      <c r="G4242" s="2" t="s">
        <v>9247</v>
      </c>
      <c r="H4242" s="2" t="s">
        <v>1973</v>
      </c>
      <c r="I4242" s="2" t="s">
        <v>110</v>
      </c>
      <c r="J4242" s="3">
        <v>44023</v>
      </c>
      <c r="K4242" s="2">
        <v>45</v>
      </c>
      <c r="L4242" s="2" t="s">
        <v>159</v>
      </c>
      <c r="M4242" s="3"/>
    </row>
    <row r="4243" spans="1:13" x14ac:dyDescent="0.3">
      <c r="A4243" s="2">
        <v>4242</v>
      </c>
      <c r="B4243" s="2" t="s">
        <v>616</v>
      </c>
      <c r="C4243" s="2" t="s">
        <v>4933</v>
      </c>
      <c r="D4243" s="2" t="s">
        <v>28</v>
      </c>
      <c r="E4243" s="2" t="s">
        <v>29</v>
      </c>
      <c r="F4243" s="2">
        <v>60</v>
      </c>
      <c r="G4243" s="2" t="s">
        <v>9248</v>
      </c>
      <c r="H4243" s="2" t="s">
        <v>1218</v>
      </c>
      <c r="I4243" s="2" t="s">
        <v>294</v>
      </c>
      <c r="J4243" s="3">
        <v>44051</v>
      </c>
      <c r="K4243" s="2">
        <v>56</v>
      </c>
      <c r="L4243" s="2" t="s">
        <v>70</v>
      </c>
      <c r="M4243" s="3"/>
    </row>
    <row r="4244" spans="1:13" x14ac:dyDescent="0.3">
      <c r="A4244" s="2">
        <v>4243</v>
      </c>
      <c r="B4244" s="2" t="s">
        <v>4419</v>
      </c>
      <c r="C4244" s="2" t="s">
        <v>516</v>
      </c>
      <c r="D4244" s="2" t="s">
        <v>28</v>
      </c>
      <c r="E4244" s="2" t="s">
        <v>29</v>
      </c>
      <c r="F4244" s="2">
        <v>30</v>
      </c>
      <c r="G4244" s="2" t="s">
        <v>9249</v>
      </c>
      <c r="H4244" s="2" t="s">
        <v>3033</v>
      </c>
      <c r="I4244" s="2" t="s">
        <v>32</v>
      </c>
      <c r="J4244" s="3">
        <v>44438</v>
      </c>
      <c r="K4244" s="2">
        <v>26</v>
      </c>
      <c r="L4244" s="2" t="s">
        <v>101</v>
      </c>
      <c r="M4244" s="3"/>
    </row>
    <row r="4245" spans="1:13" x14ac:dyDescent="0.3">
      <c r="A4245" s="2">
        <v>4244</v>
      </c>
      <c r="B4245" s="2" t="s">
        <v>4419</v>
      </c>
      <c r="C4245" s="2" t="s">
        <v>516</v>
      </c>
      <c r="D4245" s="2" t="s">
        <v>28</v>
      </c>
      <c r="E4245" s="2" t="s">
        <v>29</v>
      </c>
      <c r="F4245" s="2">
        <v>30</v>
      </c>
      <c r="G4245" s="2" t="s">
        <v>9249</v>
      </c>
      <c r="H4245" s="2" t="s">
        <v>3033</v>
      </c>
      <c r="I4245" s="2" t="s">
        <v>32</v>
      </c>
      <c r="J4245" s="3">
        <v>44438</v>
      </c>
      <c r="K4245" s="2">
        <v>26</v>
      </c>
      <c r="L4245" s="2" t="s">
        <v>101</v>
      </c>
      <c r="M4245" s="3"/>
    </row>
    <row r="4246" spans="1:13" x14ac:dyDescent="0.3">
      <c r="A4246" s="2">
        <v>4245</v>
      </c>
      <c r="B4246" s="2" t="s">
        <v>4099</v>
      </c>
      <c r="C4246" s="2" t="s">
        <v>1341</v>
      </c>
      <c r="D4246" s="2" t="s">
        <v>28</v>
      </c>
      <c r="E4246" s="2" t="s">
        <v>29</v>
      </c>
      <c r="F4246" s="2">
        <v>90</v>
      </c>
      <c r="G4246" s="2" t="s">
        <v>9250</v>
      </c>
      <c r="H4246" s="2" t="s">
        <v>1190</v>
      </c>
      <c r="I4246" s="2" t="s">
        <v>173</v>
      </c>
      <c r="J4246" s="3">
        <v>44495</v>
      </c>
      <c r="K4246" s="2">
        <v>15</v>
      </c>
      <c r="L4246" s="2" t="s">
        <v>45</v>
      </c>
      <c r="M4246" s="3"/>
    </row>
    <row r="4247" spans="1:13" x14ac:dyDescent="0.3">
      <c r="A4247" s="2">
        <v>4246</v>
      </c>
      <c r="B4247" s="2" t="s">
        <v>1225</v>
      </c>
      <c r="C4247" s="2" t="s">
        <v>1843</v>
      </c>
      <c r="D4247" s="2" t="s">
        <v>28</v>
      </c>
      <c r="E4247" s="2" t="s">
        <v>29</v>
      </c>
      <c r="F4247" s="2">
        <v>60</v>
      </c>
      <c r="G4247" s="2" t="s">
        <v>9251</v>
      </c>
      <c r="H4247" s="2" t="s">
        <v>5637</v>
      </c>
      <c r="I4247" s="2" t="s">
        <v>32</v>
      </c>
      <c r="J4247" s="3">
        <v>44042</v>
      </c>
      <c r="K4247" s="2">
        <v>50</v>
      </c>
      <c r="L4247" s="2" t="s">
        <v>45</v>
      </c>
      <c r="M4247" s="3"/>
    </row>
    <row r="4248" spans="1:13" x14ac:dyDescent="0.3">
      <c r="A4248" s="2">
        <v>4247</v>
      </c>
      <c r="B4248" s="2" t="s">
        <v>9252</v>
      </c>
      <c r="C4248" s="2" t="s">
        <v>9253</v>
      </c>
      <c r="D4248" s="2" t="s">
        <v>41</v>
      </c>
      <c r="E4248" s="2" t="s">
        <v>16</v>
      </c>
      <c r="F4248" s="2">
        <v>90</v>
      </c>
      <c r="G4248" s="2" t="s">
        <v>9254</v>
      </c>
      <c r="H4248" s="2" t="s">
        <v>2706</v>
      </c>
      <c r="I4248" s="2" t="s">
        <v>294</v>
      </c>
      <c r="J4248" s="3">
        <v>43987</v>
      </c>
      <c r="K4248" s="2">
        <v>48</v>
      </c>
      <c r="L4248" s="2" t="s">
        <v>101</v>
      </c>
      <c r="M4248" s="3"/>
    </row>
    <row r="4249" spans="1:13" x14ac:dyDescent="0.3">
      <c r="A4249" s="2">
        <v>4248</v>
      </c>
      <c r="B4249" s="2" t="s">
        <v>9255</v>
      </c>
      <c r="C4249" s="2" t="s">
        <v>1573</v>
      </c>
      <c r="D4249" s="2" t="s">
        <v>15</v>
      </c>
      <c r="E4249" s="2" t="s">
        <v>16</v>
      </c>
      <c r="F4249" s="2">
        <v>90</v>
      </c>
      <c r="G4249" s="2" t="s">
        <v>9256</v>
      </c>
      <c r="H4249" s="2" t="s">
        <v>4882</v>
      </c>
      <c r="I4249" s="2" t="s">
        <v>146</v>
      </c>
      <c r="J4249" s="3">
        <v>44340</v>
      </c>
      <c r="K4249" s="2">
        <v>43</v>
      </c>
      <c r="L4249" s="2" t="s">
        <v>70</v>
      </c>
      <c r="M4249" s="3"/>
    </row>
    <row r="4250" spans="1:13" x14ac:dyDescent="0.3">
      <c r="A4250" s="2">
        <v>4249</v>
      </c>
      <c r="B4250" s="2" t="s">
        <v>2743</v>
      </c>
      <c r="C4250" s="2" t="s">
        <v>2413</v>
      </c>
      <c r="D4250" s="2" t="s">
        <v>28</v>
      </c>
      <c r="E4250" s="2" t="s">
        <v>29</v>
      </c>
      <c r="F4250" s="2">
        <v>60</v>
      </c>
      <c r="G4250" s="2" t="s">
        <v>9257</v>
      </c>
      <c r="H4250" s="2" t="s">
        <v>1519</v>
      </c>
      <c r="I4250" s="2" t="s">
        <v>32</v>
      </c>
      <c r="J4250" s="3">
        <v>44039</v>
      </c>
      <c r="K4250" s="2">
        <v>48</v>
      </c>
      <c r="L4250" s="2" t="s">
        <v>70</v>
      </c>
      <c r="M4250" s="3"/>
    </row>
    <row r="4251" spans="1:13" x14ac:dyDescent="0.3">
      <c r="A4251" s="2">
        <v>4250</v>
      </c>
      <c r="B4251" s="2" t="s">
        <v>9258</v>
      </c>
      <c r="C4251" s="2" t="s">
        <v>1762</v>
      </c>
      <c r="D4251" s="2" t="s">
        <v>15</v>
      </c>
      <c r="E4251" s="2" t="s">
        <v>16</v>
      </c>
      <c r="F4251" s="2">
        <v>30</v>
      </c>
      <c r="G4251" s="2" t="s">
        <v>9259</v>
      </c>
      <c r="H4251" s="2" t="s">
        <v>7936</v>
      </c>
      <c r="I4251" s="2" t="s">
        <v>32</v>
      </c>
      <c r="J4251" s="3">
        <v>43971</v>
      </c>
      <c r="K4251" s="2">
        <v>77</v>
      </c>
      <c r="L4251" s="2" t="s">
        <v>80</v>
      </c>
      <c r="M4251" s="3"/>
    </row>
    <row r="4252" spans="1:13" x14ac:dyDescent="0.3">
      <c r="A4252" s="2">
        <v>4251</v>
      </c>
      <c r="B4252" s="2" t="s">
        <v>9260</v>
      </c>
      <c r="C4252" s="2" t="s">
        <v>4237</v>
      </c>
      <c r="D4252" s="2" t="s">
        <v>15</v>
      </c>
      <c r="E4252" s="2" t="s">
        <v>16</v>
      </c>
      <c r="F4252" s="2">
        <v>30</v>
      </c>
      <c r="G4252" s="2" t="s">
        <v>9261</v>
      </c>
      <c r="H4252" s="2" t="s">
        <v>2896</v>
      </c>
      <c r="I4252" s="2" t="s">
        <v>110</v>
      </c>
      <c r="J4252" s="3">
        <v>44793</v>
      </c>
      <c r="K4252" s="2">
        <v>62</v>
      </c>
      <c r="L4252" s="2" t="s">
        <v>80</v>
      </c>
      <c r="M4252" s="3"/>
    </row>
    <row r="4253" spans="1:13" x14ac:dyDescent="0.3">
      <c r="A4253" s="2">
        <v>4252</v>
      </c>
      <c r="B4253" s="2" t="s">
        <v>504</v>
      </c>
      <c r="C4253" s="2" t="s">
        <v>9137</v>
      </c>
      <c r="D4253" s="2" t="s">
        <v>28</v>
      </c>
      <c r="E4253" s="2" t="s">
        <v>29</v>
      </c>
      <c r="F4253" s="2">
        <v>30</v>
      </c>
      <c r="G4253" s="2" t="s">
        <v>9262</v>
      </c>
      <c r="H4253" s="2" t="s">
        <v>1723</v>
      </c>
      <c r="I4253" s="2" t="s">
        <v>173</v>
      </c>
      <c r="J4253" s="3">
        <v>44639</v>
      </c>
      <c r="K4253" s="2">
        <v>11</v>
      </c>
      <c r="L4253" s="2" t="s">
        <v>101</v>
      </c>
      <c r="M4253" s="3"/>
    </row>
    <row r="4254" spans="1:13" x14ac:dyDescent="0.3">
      <c r="A4254" s="2">
        <v>4253</v>
      </c>
      <c r="B4254" s="2" t="s">
        <v>9263</v>
      </c>
      <c r="C4254" s="2" t="s">
        <v>6890</v>
      </c>
      <c r="D4254" s="2" t="s">
        <v>15</v>
      </c>
      <c r="E4254" s="2" t="s">
        <v>16</v>
      </c>
      <c r="F4254" s="2">
        <v>90</v>
      </c>
      <c r="G4254" s="2" t="s">
        <v>9264</v>
      </c>
      <c r="H4254" s="2" t="s">
        <v>901</v>
      </c>
      <c r="I4254" s="2" t="s">
        <v>146</v>
      </c>
      <c r="J4254" s="3">
        <v>44435</v>
      </c>
      <c r="K4254" s="2">
        <v>54</v>
      </c>
      <c r="L4254" s="2" t="s">
        <v>159</v>
      </c>
      <c r="M4254" s="3"/>
    </row>
    <row r="4255" spans="1:13" x14ac:dyDescent="0.3">
      <c r="A4255" s="2">
        <v>4254</v>
      </c>
      <c r="B4255" s="2" t="s">
        <v>2131</v>
      </c>
      <c r="C4255" s="2" t="s">
        <v>2905</v>
      </c>
      <c r="D4255" s="2" t="s">
        <v>51</v>
      </c>
      <c r="E4255" s="2" t="s">
        <v>16</v>
      </c>
      <c r="F4255" s="2">
        <v>30</v>
      </c>
      <c r="G4255" s="2" t="s">
        <v>9265</v>
      </c>
      <c r="H4255" s="2" t="s">
        <v>6059</v>
      </c>
      <c r="I4255" s="2" t="s">
        <v>32</v>
      </c>
      <c r="J4255" s="3">
        <v>44262</v>
      </c>
      <c r="K4255" s="2">
        <v>9</v>
      </c>
      <c r="L4255" s="2" t="s">
        <v>33</v>
      </c>
      <c r="M4255" s="3"/>
    </row>
    <row r="4256" spans="1:13" x14ac:dyDescent="0.3">
      <c r="A4256" s="2">
        <v>4255</v>
      </c>
      <c r="B4256" s="2" t="s">
        <v>9266</v>
      </c>
      <c r="C4256" s="2" t="s">
        <v>2154</v>
      </c>
      <c r="D4256" s="2" t="s">
        <v>51</v>
      </c>
      <c r="E4256" s="2" t="s">
        <v>16</v>
      </c>
      <c r="F4256" s="2">
        <v>60</v>
      </c>
      <c r="G4256" s="2" t="s">
        <v>9267</v>
      </c>
      <c r="H4256" s="2" t="s">
        <v>1164</v>
      </c>
      <c r="I4256" s="2" t="s">
        <v>89</v>
      </c>
      <c r="J4256" s="3">
        <v>44881</v>
      </c>
      <c r="K4256" s="2">
        <v>71</v>
      </c>
      <c r="L4256" s="2" t="s">
        <v>39</v>
      </c>
      <c r="M4256" s="3"/>
    </row>
    <row r="4257" spans="1:13" x14ac:dyDescent="0.3">
      <c r="A4257" s="2">
        <v>4256</v>
      </c>
      <c r="B4257" s="2" t="s">
        <v>9268</v>
      </c>
      <c r="C4257" s="2" t="s">
        <v>879</v>
      </c>
      <c r="D4257" s="2" t="s">
        <v>15</v>
      </c>
      <c r="E4257" s="2" t="s">
        <v>16</v>
      </c>
      <c r="F4257" s="2">
        <v>30</v>
      </c>
      <c r="G4257" s="2" t="s">
        <v>9269</v>
      </c>
      <c r="H4257" s="2" t="s">
        <v>9209</v>
      </c>
      <c r="I4257" s="2" t="s">
        <v>32</v>
      </c>
      <c r="J4257" s="3">
        <v>44100</v>
      </c>
      <c r="K4257" s="2">
        <v>23</v>
      </c>
      <c r="L4257" s="2" t="s">
        <v>80</v>
      </c>
      <c r="M4257" s="3"/>
    </row>
    <row r="4258" spans="1:13" x14ac:dyDescent="0.3">
      <c r="A4258" s="2">
        <v>4257</v>
      </c>
      <c r="B4258" s="2" t="s">
        <v>9270</v>
      </c>
      <c r="C4258" s="2" t="s">
        <v>4018</v>
      </c>
      <c r="D4258" s="2" t="s">
        <v>15</v>
      </c>
      <c r="E4258" s="2" t="s">
        <v>16</v>
      </c>
      <c r="F4258" s="2">
        <v>30</v>
      </c>
      <c r="G4258" s="2" t="s">
        <v>9271</v>
      </c>
      <c r="H4258" s="2" t="s">
        <v>1723</v>
      </c>
      <c r="I4258" s="2" t="s">
        <v>173</v>
      </c>
      <c r="J4258" s="3">
        <v>43946</v>
      </c>
      <c r="K4258" s="2">
        <v>66</v>
      </c>
      <c r="L4258" s="2" t="s">
        <v>54</v>
      </c>
      <c r="M4258" s="3"/>
    </row>
    <row r="4259" spans="1:13" x14ac:dyDescent="0.3">
      <c r="A4259" s="2">
        <v>4258</v>
      </c>
      <c r="B4259" s="2" t="s">
        <v>8669</v>
      </c>
      <c r="C4259" s="2" t="s">
        <v>4615</v>
      </c>
      <c r="D4259" s="2" t="s">
        <v>15</v>
      </c>
      <c r="E4259" s="2" t="s">
        <v>16</v>
      </c>
      <c r="F4259" s="2">
        <v>30</v>
      </c>
      <c r="G4259" s="2" t="s">
        <v>9272</v>
      </c>
      <c r="H4259" s="2" t="s">
        <v>1864</v>
      </c>
      <c r="I4259" s="2" t="s">
        <v>294</v>
      </c>
      <c r="J4259" s="3">
        <v>44851</v>
      </c>
      <c r="K4259" s="2">
        <v>7</v>
      </c>
      <c r="L4259" s="2" t="s">
        <v>45</v>
      </c>
      <c r="M4259" s="3"/>
    </row>
    <row r="4260" spans="1:13" x14ac:dyDescent="0.3">
      <c r="A4260" s="2">
        <v>4259</v>
      </c>
      <c r="B4260" s="2" t="s">
        <v>9273</v>
      </c>
      <c r="C4260" s="2" t="s">
        <v>7099</v>
      </c>
      <c r="D4260" s="2" t="s">
        <v>51</v>
      </c>
      <c r="E4260" s="2" t="s">
        <v>16</v>
      </c>
      <c r="F4260" s="2">
        <v>30</v>
      </c>
      <c r="G4260" s="2" t="s">
        <v>9274</v>
      </c>
      <c r="H4260" s="2" t="s">
        <v>235</v>
      </c>
      <c r="I4260" s="2" t="s">
        <v>146</v>
      </c>
      <c r="J4260" s="3">
        <v>44088</v>
      </c>
      <c r="K4260" s="2">
        <v>28</v>
      </c>
      <c r="L4260" s="2" t="s">
        <v>20</v>
      </c>
      <c r="M4260" s="3"/>
    </row>
    <row r="4261" spans="1:13" x14ac:dyDescent="0.3">
      <c r="A4261" s="2">
        <v>4260</v>
      </c>
      <c r="B4261" s="2" t="s">
        <v>6915</v>
      </c>
      <c r="C4261" s="2" t="s">
        <v>1585</v>
      </c>
      <c r="D4261" s="2" t="s">
        <v>621</v>
      </c>
      <c r="E4261" s="2" t="s">
        <v>29</v>
      </c>
      <c r="F4261" s="2">
        <v>90</v>
      </c>
      <c r="G4261" s="2" t="s">
        <v>9274</v>
      </c>
      <c r="H4261" s="2" t="s">
        <v>2536</v>
      </c>
      <c r="I4261" s="2" t="s">
        <v>124</v>
      </c>
      <c r="J4261" s="3">
        <v>44922</v>
      </c>
      <c r="K4261" s="2">
        <v>35</v>
      </c>
      <c r="L4261" s="2" t="s">
        <v>80</v>
      </c>
      <c r="M4261" s="3"/>
    </row>
    <row r="4262" spans="1:13" x14ac:dyDescent="0.3">
      <c r="A4262" s="2">
        <v>4261</v>
      </c>
      <c r="B4262" s="2" t="s">
        <v>9275</v>
      </c>
      <c r="C4262" s="2" t="s">
        <v>5727</v>
      </c>
      <c r="D4262" s="2" t="s">
        <v>41</v>
      </c>
      <c r="E4262" s="2" t="s">
        <v>16</v>
      </c>
      <c r="F4262" s="2">
        <v>60</v>
      </c>
      <c r="G4262" s="2" t="s">
        <v>9276</v>
      </c>
      <c r="H4262" s="2" t="s">
        <v>985</v>
      </c>
      <c r="I4262" s="2" t="s">
        <v>38</v>
      </c>
      <c r="J4262" s="3">
        <v>44015</v>
      </c>
      <c r="K4262" s="2">
        <v>74</v>
      </c>
      <c r="L4262" s="2" t="s">
        <v>70</v>
      </c>
      <c r="M4262" s="3"/>
    </row>
    <row r="4263" spans="1:13" x14ac:dyDescent="0.3">
      <c r="A4263" s="2">
        <v>4262</v>
      </c>
      <c r="B4263" s="2" t="s">
        <v>9277</v>
      </c>
      <c r="C4263" s="2" t="s">
        <v>9278</v>
      </c>
      <c r="D4263" s="2" t="s">
        <v>15</v>
      </c>
      <c r="E4263" s="2" t="s">
        <v>16</v>
      </c>
      <c r="F4263" s="2">
        <v>30</v>
      </c>
      <c r="G4263" s="2" t="s">
        <v>9276</v>
      </c>
      <c r="H4263" s="2" t="s">
        <v>9279</v>
      </c>
      <c r="I4263" s="2" t="s">
        <v>32</v>
      </c>
      <c r="J4263" s="3">
        <v>44332</v>
      </c>
      <c r="K4263" s="2">
        <v>60</v>
      </c>
      <c r="L4263" s="2" t="s">
        <v>45</v>
      </c>
      <c r="M4263" s="3"/>
    </row>
    <row r="4264" spans="1:13" x14ac:dyDescent="0.3">
      <c r="A4264" s="2">
        <v>4263</v>
      </c>
      <c r="B4264" s="2" t="s">
        <v>3714</v>
      </c>
      <c r="C4264" s="2" t="s">
        <v>9280</v>
      </c>
      <c r="D4264" s="2" t="s">
        <v>28</v>
      </c>
      <c r="E4264" s="2" t="s">
        <v>29</v>
      </c>
      <c r="F4264" s="2">
        <v>60</v>
      </c>
      <c r="G4264" s="2" t="s">
        <v>9281</v>
      </c>
      <c r="H4264" s="2" t="s">
        <v>4334</v>
      </c>
      <c r="I4264" s="2" t="s">
        <v>1199</v>
      </c>
      <c r="J4264" s="3">
        <v>44260</v>
      </c>
      <c r="K4264" s="2">
        <v>65</v>
      </c>
      <c r="L4264" s="2" t="s">
        <v>159</v>
      </c>
      <c r="M4264" s="3"/>
    </row>
    <row r="4265" spans="1:13" x14ac:dyDescent="0.3">
      <c r="A4265" s="2">
        <v>4264</v>
      </c>
      <c r="C4265" s="2" t="s">
        <v>9282</v>
      </c>
      <c r="D4265" s="2" t="s">
        <v>28</v>
      </c>
      <c r="E4265" s="2" t="s">
        <v>29</v>
      </c>
      <c r="F4265" s="2">
        <v>30</v>
      </c>
      <c r="G4265" s="2" t="s">
        <v>9283</v>
      </c>
      <c r="H4265" s="2" t="s">
        <v>9284</v>
      </c>
      <c r="I4265" s="2" t="s">
        <v>110</v>
      </c>
      <c r="J4265" s="3">
        <v>43892</v>
      </c>
      <c r="K4265" s="2">
        <v>80</v>
      </c>
      <c r="L4265" s="2" t="s">
        <v>80</v>
      </c>
      <c r="M4265" s="3"/>
    </row>
    <row r="4266" spans="1:13" x14ac:dyDescent="0.3">
      <c r="A4266" s="2">
        <v>4265</v>
      </c>
      <c r="B4266" s="2" t="s">
        <v>3532</v>
      </c>
      <c r="C4266" s="2" t="s">
        <v>2985</v>
      </c>
      <c r="D4266" s="2" t="s">
        <v>28</v>
      </c>
      <c r="E4266" s="2" t="s">
        <v>29</v>
      </c>
      <c r="F4266" s="2">
        <v>30</v>
      </c>
      <c r="G4266" s="2" t="s">
        <v>9285</v>
      </c>
      <c r="H4266" s="2" t="s">
        <v>9286</v>
      </c>
      <c r="I4266" s="2" t="s">
        <v>178</v>
      </c>
      <c r="J4266" s="3">
        <v>44390</v>
      </c>
      <c r="K4266" s="2">
        <v>38</v>
      </c>
      <c r="L4266" s="2" t="s">
        <v>64</v>
      </c>
      <c r="M4266" s="3"/>
    </row>
    <row r="4267" spans="1:13" x14ac:dyDescent="0.3">
      <c r="A4267" s="2">
        <v>4266</v>
      </c>
      <c r="B4267" s="2" t="s">
        <v>2358</v>
      </c>
      <c r="C4267" s="2" t="s">
        <v>5534</v>
      </c>
      <c r="D4267" s="2" t="s">
        <v>28</v>
      </c>
      <c r="E4267" s="2" t="s">
        <v>29</v>
      </c>
      <c r="F4267" s="2">
        <v>90</v>
      </c>
      <c r="G4267" s="2" t="s">
        <v>9287</v>
      </c>
      <c r="H4267" s="2" t="s">
        <v>659</v>
      </c>
      <c r="I4267" s="2" t="s">
        <v>32</v>
      </c>
      <c r="J4267" s="3">
        <v>43861</v>
      </c>
      <c r="K4267" s="2">
        <v>70</v>
      </c>
      <c r="L4267" s="2" t="s">
        <v>54</v>
      </c>
      <c r="M4267" s="3"/>
    </row>
    <row r="4268" spans="1:13" x14ac:dyDescent="0.3">
      <c r="A4268" s="2">
        <v>4267</v>
      </c>
      <c r="B4268" s="2" t="s">
        <v>237</v>
      </c>
      <c r="C4268" s="2" t="s">
        <v>642</v>
      </c>
      <c r="D4268" s="2" t="s">
        <v>15</v>
      </c>
      <c r="E4268" s="2" t="s">
        <v>16</v>
      </c>
      <c r="F4268" s="2">
        <v>60</v>
      </c>
      <c r="G4268" s="2" t="s">
        <v>9288</v>
      </c>
      <c r="H4268" s="2" t="s">
        <v>1276</v>
      </c>
      <c r="I4268" s="2" t="s">
        <v>32</v>
      </c>
      <c r="J4268" s="3">
        <v>44532</v>
      </c>
      <c r="K4268" s="2">
        <v>72</v>
      </c>
      <c r="L4268" s="2" t="s">
        <v>80</v>
      </c>
      <c r="M4268" s="3"/>
    </row>
    <row r="4269" spans="1:13" x14ac:dyDescent="0.3">
      <c r="A4269" s="2">
        <v>4268</v>
      </c>
      <c r="B4269" s="2" t="s">
        <v>620</v>
      </c>
      <c r="C4269" s="2" t="s">
        <v>3098</v>
      </c>
      <c r="D4269" s="2" t="s">
        <v>28</v>
      </c>
      <c r="E4269" s="2" t="s">
        <v>29</v>
      </c>
      <c r="F4269" s="2">
        <v>30</v>
      </c>
      <c r="G4269" s="2" t="s">
        <v>9289</v>
      </c>
      <c r="H4269" s="2" t="s">
        <v>3284</v>
      </c>
      <c r="I4269" s="2" t="s">
        <v>32</v>
      </c>
      <c r="J4269" s="3">
        <v>44648</v>
      </c>
      <c r="K4269" s="2">
        <v>63</v>
      </c>
      <c r="L4269" s="2" t="s">
        <v>101</v>
      </c>
      <c r="M4269" s="3"/>
    </row>
    <row r="4270" spans="1:13" x14ac:dyDescent="0.3">
      <c r="A4270" s="2">
        <v>4269</v>
      </c>
      <c r="B4270" s="2" t="s">
        <v>7422</v>
      </c>
      <c r="C4270" s="2" t="s">
        <v>1121</v>
      </c>
      <c r="D4270" s="2" t="s">
        <v>28</v>
      </c>
      <c r="E4270" s="2" t="s">
        <v>29</v>
      </c>
      <c r="F4270" s="2">
        <v>30</v>
      </c>
      <c r="G4270" s="2" t="s">
        <v>9290</v>
      </c>
      <c r="H4270" s="2" t="s">
        <v>2530</v>
      </c>
      <c r="I4270" s="2" t="s">
        <v>32</v>
      </c>
      <c r="J4270" s="3">
        <v>44902</v>
      </c>
      <c r="K4270" s="2">
        <v>46</v>
      </c>
      <c r="L4270" s="2" t="s">
        <v>54</v>
      </c>
      <c r="M4270" s="3"/>
    </row>
    <row r="4271" spans="1:13" x14ac:dyDescent="0.3">
      <c r="A4271" s="2">
        <v>4270</v>
      </c>
      <c r="B4271" s="2" t="s">
        <v>2887</v>
      </c>
      <c r="C4271" s="2" t="s">
        <v>808</v>
      </c>
      <c r="D4271" s="2" t="s">
        <v>28</v>
      </c>
      <c r="E4271" s="2" t="s">
        <v>29</v>
      </c>
      <c r="F4271" s="2">
        <v>60</v>
      </c>
      <c r="G4271" s="2" t="s">
        <v>9291</v>
      </c>
      <c r="H4271" s="2" t="s">
        <v>5047</v>
      </c>
      <c r="I4271" s="2" t="s">
        <v>178</v>
      </c>
      <c r="J4271" s="3">
        <v>44310</v>
      </c>
      <c r="K4271" s="2">
        <v>6</v>
      </c>
      <c r="L4271" s="2" t="s">
        <v>45</v>
      </c>
      <c r="M4271" s="3"/>
    </row>
    <row r="4272" spans="1:13" x14ac:dyDescent="0.3">
      <c r="A4272" s="2">
        <v>4271</v>
      </c>
      <c r="B4272" s="2" t="s">
        <v>563</v>
      </c>
      <c r="C4272" s="2" t="s">
        <v>3712</v>
      </c>
      <c r="D4272" s="2" t="s">
        <v>28</v>
      </c>
      <c r="E4272" s="2" t="s">
        <v>29</v>
      </c>
      <c r="F4272" s="2">
        <v>60</v>
      </c>
      <c r="G4272" s="2" t="s">
        <v>9292</v>
      </c>
      <c r="H4272" s="2" t="s">
        <v>591</v>
      </c>
      <c r="I4272" s="2" t="s">
        <v>32</v>
      </c>
      <c r="J4272" s="3">
        <v>44583</v>
      </c>
      <c r="K4272" s="2">
        <v>53</v>
      </c>
      <c r="L4272" s="2" t="s">
        <v>45</v>
      </c>
      <c r="M4272" s="3"/>
    </row>
    <row r="4273" spans="1:13" x14ac:dyDescent="0.3">
      <c r="A4273" s="2">
        <v>4272</v>
      </c>
      <c r="B4273" s="2" t="s">
        <v>9293</v>
      </c>
      <c r="C4273" s="2" t="s">
        <v>2955</v>
      </c>
      <c r="D4273" s="2" t="s">
        <v>15</v>
      </c>
      <c r="E4273" s="2" t="s">
        <v>16</v>
      </c>
      <c r="F4273" s="2">
        <v>30</v>
      </c>
      <c r="G4273" s="2" t="s">
        <v>9294</v>
      </c>
      <c r="H4273" s="2" t="s">
        <v>2583</v>
      </c>
      <c r="I4273" s="2" t="s">
        <v>32</v>
      </c>
      <c r="J4273" s="3">
        <v>44179</v>
      </c>
      <c r="K4273" s="2">
        <v>9</v>
      </c>
      <c r="L4273" s="2" t="s">
        <v>159</v>
      </c>
      <c r="M4273" s="3"/>
    </row>
    <row r="4274" spans="1:13" x14ac:dyDescent="0.3">
      <c r="A4274" s="2">
        <v>4273</v>
      </c>
      <c r="B4274" s="2" t="s">
        <v>774</v>
      </c>
      <c r="C4274" s="2" t="s">
        <v>4420</v>
      </c>
      <c r="D4274" s="2" t="s">
        <v>15</v>
      </c>
      <c r="E4274" s="2" t="s">
        <v>16</v>
      </c>
      <c r="F4274" s="2">
        <v>30</v>
      </c>
      <c r="G4274" s="2" t="s">
        <v>9295</v>
      </c>
      <c r="H4274" s="2" t="s">
        <v>2720</v>
      </c>
      <c r="I4274" s="2" t="s">
        <v>32</v>
      </c>
      <c r="J4274" s="3">
        <v>44281</v>
      </c>
      <c r="K4274" s="2">
        <v>94</v>
      </c>
      <c r="L4274" s="2" t="s">
        <v>45</v>
      </c>
      <c r="M4274" s="3"/>
    </row>
    <row r="4275" spans="1:13" x14ac:dyDescent="0.3">
      <c r="A4275" s="2">
        <v>4274</v>
      </c>
      <c r="B4275" s="2" t="s">
        <v>5797</v>
      </c>
      <c r="C4275" s="2" t="s">
        <v>6247</v>
      </c>
      <c r="D4275" s="2" t="s">
        <v>28</v>
      </c>
      <c r="E4275" s="2" t="s">
        <v>29</v>
      </c>
      <c r="F4275" s="2">
        <v>60</v>
      </c>
      <c r="G4275" s="2" t="s">
        <v>9296</v>
      </c>
      <c r="H4275" s="2" t="s">
        <v>3551</v>
      </c>
      <c r="I4275" s="2" t="s">
        <v>32</v>
      </c>
      <c r="J4275" s="3">
        <v>44589</v>
      </c>
      <c r="K4275" s="2">
        <v>6</v>
      </c>
      <c r="L4275" s="2" t="s">
        <v>20</v>
      </c>
      <c r="M4275" s="3"/>
    </row>
    <row r="4276" spans="1:13" x14ac:dyDescent="0.3">
      <c r="A4276" s="2">
        <v>4275</v>
      </c>
      <c r="B4276" s="2" t="s">
        <v>9297</v>
      </c>
      <c r="C4276" s="2" t="s">
        <v>5702</v>
      </c>
      <c r="D4276" s="2" t="s">
        <v>28</v>
      </c>
      <c r="E4276" s="2" t="s">
        <v>29</v>
      </c>
      <c r="F4276" s="2">
        <v>60</v>
      </c>
      <c r="G4276" s="2" t="s">
        <v>9298</v>
      </c>
      <c r="H4276" s="2" t="s">
        <v>7378</v>
      </c>
      <c r="I4276" s="2" t="s">
        <v>178</v>
      </c>
      <c r="J4276" s="3">
        <v>44089</v>
      </c>
      <c r="K4276" s="2">
        <v>73</v>
      </c>
      <c r="L4276" s="2" t="s">
        <v>70</v>
      </c>
      <c r="M4276" s="3"/>
    </row>
    <row r="4277" spans="1:13" x14ac:dyDescent="0.3">
      <c r="A4277" s="2">
        <v>4276</v>
      </c>
      <c r="B4277" s="2" t="s">
        <v>2835</v>
      </c>
      <c r="C4277" s="2" t="s">
        <v>9299</v>
      </c>
      <c r="D4277" s="2" t="s">
        <v>28</v>
      </c>
      <c r="E4277" s="2" t="s">
        <v>29</v>
      </c>
      <c r="F4277" s="2">
        <v>60</v>
      </c>
      <c r="G4277" s="2" t="s">
        <v>9300</v>
      </c>
      <c r="H4277" s="2" t="s">
        <v>363</v>
      </c>
      <c r="I4277" s="2" t="s">
        <v>110</v>
      </c>
      <c r="J4277" s="3">
        <v>44374</v>
      </c>
      <c r="K4277" s="2">
        <v>23</v>
      </c>
      <c r="L4277" s="2" t="s">
        <v>20</v>
      </c>
      <c r="M4277" s="3"/>
    </row>
    <row r="4278" spans="1:13" x14ac:dyDescent="0.3">
      <c r="A4278" s="2">
        <v>4277</v>
      </c>
      <c r="B4278" s="2" t="s">
        <v>3940</v>
      </c>
      <c r="C4278" s="2" t="s">
        <v>6814</v>
      </c>
      <c r="D4278" s="2" t="s">
        <v>28</v>
      </c>
      <c r="E4278" s="2" t="s">
        <v>29</v>
      </c>
      <c r="F4278" s="2">
        <v>30</v>
      </c>
      <c r="G4278" s="2" t="s">
        <v>9301</v>
      </c>
      <c r="H4278" s="2" t="s">
        <v>2608</v>
      </c>
      <c r="I4278" s="2" t="s">
        <v>38</v>
      </c>
      <c r="J4278" s="3">
        <v>44097</v>
      </c>
      <c r="K4278" s="2">
        <v>65</v>
      </c>
      <c r="L4278" s="2" t="s">
        <v>159</v>
      </c>
      <c r="M4278" s="3"/>
    </row>
    <row r="4279" spans="1:13" x14ac:dyDescent="0.3">
      <c r="A4279" s="2">
        <v>4278</v>
      </c>
      <c r="B4279" s="2" t="s">
        <v>5918</v>
      </c>
      <c r="C4279" s="2" t="s">
        <v>6025</v>
      </c>
      <c r="D4279" s="2" t="s">
        <v>117</v>
      </c>
      <c r="E4279" s="2" t="s">
        <v>29</v>
      </c>
      <c r="F4279" s="2">
        <v>60</v>
      </c>
      <c r="G4279" s="2" t="s">
        <v>9302</v>
      </c>
      <c r="H4279" s="2" t="s">
        <v>4631</v>
      </c>
      <c r="I4279" s="2" t="s">
        <v>187</v>
      </c>
      <c r="J4279" s="3">
        <v>44263</v>
      </c>
      <c r="K4279" s="2">
        <v>26</v>
      </c>
      <c r="L4279" s="2" t="s">
        <v>101</v>
      </c>
      <c r="M4279" s="3"/>
    </row>
    <row r="4280" spans="1:13" x14ac:dyDescent="0.3">
      <c r="A4280" s="2">
        <v>4279</v>
      </c>
      <c r="B4280" s="2" t="s">
        <v>1682</v>
      </c>
      <c r="C4280" s="2" t="s">
        <v>4632</v>
      </c>
      <c r="D4280" s="2" t="s">
        <v>28</v>
      </c>
      <c r="E4280" s="2" t="s">
        <v>29</v>
      </c>
      <c r="F4280" s="2">
        <v>30</v>
      </c>
      <c r="G4280" s="2" t="s">
        <v>9303</v>
      </c>
      <c r="H4280" s="2" t="s">
        <v>1590</v>
      </c>
      <c r="I4280" s="2" t="s">
        <v>32</v>
      </c>
      <c r="J4280" s="3">
        <v>44224</v>
      </c>
      <c r="K4280" s="2">
        <v>12</v>
      </c>
      <c r="L4280" s="2" t="s">
        <v>64</v>
      </c>
      <c r="M4280" s="3"/>
    </row>
    <row r="4281" spans="1:13" x14ac:dyDescent="0.3">
      <c r="A4281" s="2">
        <v>4280</v>
      </c>
      <c r="B4281" s="2" t="s">
        <v>9304</v>
      </c>
      <c r="C4281" s="2" t="s">
        <v>4322</v>
      </c>
      <c r="D4281" s="2" t="s">
        <v>15</v>
      </c>
      <c r="E4281" s="2" t="s">
        <v>16</v>
      </c>
      <c r="F4281" s="2">
        <v>30</v>
      </c>
      <c r="G4281" s="2" t="s">
        <v>9305</v>
      </c>
      <c r="H4281" s="2" t="s">
        <v>412</v>
      </c>
      <c r="I4281" s="2" t="s">
        <v>187</v>
      </c>
      <c r="J4281" s="3">
        <v>44729</v>
      </c>
      <c r="K4281" s="2">
        <v>32</v>
      </c>
      <c r="L4281" s="2" t="s">
        <v>54</v>
      </c>
      <c r="M4281" s="3"/>
    </row>
    <row r="4282" spans="1:13" x14ac:dyDescent="0.3">
      <c r="A4282" s="2">
        <v>4281</v>
      </c>
      <c r="B4282" s="2" t="s">
        <v>9306</v>
      </c>
      <c r="C4282" s="2" t="s">
        <v>2402</v>
      </c>
      <c r="D4282" s="2" t="s">
        <v>51</v>
      </c>
      <c r="E4282" s="2" t="s">
        <v>16</v>
      </c>
      <c r="F4282" s="2">
        <v>90</v>
      </c>
      <c r="G4282" s="2" t="s">
        <v>9307</v>
      </c>
      <c r="H4282" s="2" t="s">
        <v>7330</v>
      </c>
      <c r="I4282" s="2" t="s">
        <v>5820</v>
      </c>
      <c r="J4282" s="3">
        <v>44487</v>
      </c>
      <c r="K4282" s="2">
        <v>40</v>
      </c>
      <c r="L4282" s="2" t="s">
        <v>54</v>
      </c>
      <c r="M4282" s="3"/>
    </row>
    <row r="4283" spans="1:13" x14ac:dyDescent="0.3">
      <c r="A4283" s="2">
        <v>4282</v>
      </c>
      <c r="B4283" s="2" t="s">
        <v>8732</v>
      </c>
      <c r="C4283" s="2" t="s">
        <v>2263</v>
      </c>
      <c r="D4283" s="2" t="s">
        <v>28</v>
      </c>
      <c r="E4283" s="2" t="s">
        <v>29</v>
      </c>
      <c r="F4283" s="2">
        <v>60</v>
      </c>
      <c r="G4283" s="2" t="s">
        <v>9308</v>
      </c>
      <c r="H4283" s="2" t="s">
        <v>814</v>
      </c>
      <c r="I4283" s="2" t="s">
        <v>124</v>
      </c>
      <c r="J4283" s="3">
        <v>44529</v>
      </c>
      <c r="K4283" s="2">
        <v>19</v>
      </c>
      <c r="L4283" s="2" t="s">
        <v>33</v>
      </c>
      <c r="M4283" s="3"/>
    </row>
    <row r="4284" spans="1:13" x14ac:dyDescent="0.3">
      <c r="A4284" s="2">
        <v>4283</v>
      </c>
      <c r="B4284" s="2" t="s">
        <v>1793</v>
      </c>
      <c r="C4284" s="2" t="s">
        <v>3808</v>
      </c>
      <c r="D4284" s="2" t="s">
        <v>28</v>
      </c>
      <c r="E4284" s="2" t="s">
        <v>29</v>
      </c>
      <c r="F4284" s="2">
        <v>90</v>
      </c>
      <c r="G4284" s="2" t="s">
        <v>9309</v>
      </c>
      <c r="H4284" s="2" t="s">
        <v>1218</v>
      </c>
      <c r="I4284" s="2" t="s">
        <v>294</v>
      </c>
      <c r="J4284" s="3">
        <v>44925</v>
      </c>
      <c r="K4284" s="2">
        <v>27</v>
      </c>
      <c r="L4284" s="2" t="s">
        <v>33</v>
      </c>
      <c r="M4284" s="3"/>
    </row>
    <row r="4285" spans="1:13" x14ac:dyDescent="0.3">
      <c r="A4285" s="2">
        <v>4284</v>
      </c>
      <c r="B4285" s="2" t="s">
        <v>3805</v>
      </c>
      <c r="C4285" s="2" t="s">
        <v>1044</v>
      </c>
      <c r="D4285" s="2" t="s">
        <v>28</v>
      </c>
      <c r="E4285" s="2" t="s">
        <v>29</v>
      </c>
      <c r="F4285" s="2">
        <v>90</v>
      </c>
      <c r="G4285" s="2" t="s">
        <v>9310</v>
      </c>
      <c r="H4285" s="2" t="s">
        <v>1350</v>
      </c>
      <c r="I4285" s="2" t="s">
        <v>32</v>
      </c>
      <c r="J4285" s="3">
        <v>44180</v>
      </c>
      <c r="K4285" s="2">
        <v>64</v>
      </c>
      <c r="L4285" s="2" t="s">
        <v>39</v>
      </c>
      <c r="M4285" s="3"/>
    </row>
    <row r="4286" spans="1:13" x14ac:dyDescent="0.3">
      <c r="A4286" s="2">
        <v>4285</v>
      </c>
      <c r="B4286" s="2" t="s">
        <v>6009</v>
      </c>
      <c r="C4286" s="2" t="s">
        <v>9170</v>
      </c>
      <c r="D4286" s="2" t="s">
        <v>92</v>
      </c>
      <c r="E4286" s="2" t="s">
        <v>16</v>
      </c>
      <c r="F4286" s="2">
        <v>90</v>
      </c>
      <c r="G4286" s="2" t="s">
        <v>9311</v>
      </c>
      <c r="H4286" s="2" t="s">
        <v>1747</v>
      </c>
      <c r="I4286" s="2" t="s">
        <v>294</v>
      </c>
      <c r="J4286" s="3">
        <v>44914</v>
      </c>
      <c r="K4286" s="2">
        <v>51</v>
      </c>
      <c r="L4286" s="2" t="s">
        <v>80</v>
      </c>
      <c r="M4286" s="3"/>
    </row>
    <row r="4287" spans="1:13" x14ac:dyDescent="0.3">
      <c r="A4287" s="2">
        <v>4286</v>
      </c>
      <c r="B4287" s="2" t="s">
        <v>751</v>
      </c>
      <c r="C4287" s="2" t="s">
        <v>5391</v>
      </c>
      <c r="D4287" s="2" t="s">
        <v>28</v>
      </c>
      <c r="E4287" s="2" t="s">
        <v>29</v>
      </c>
      <c r="F4287" s="2">
        <v>90</v>
      </c>
      <c r="G4287" s="2" t="s">
        <v>9311</v>
      </c>
      <c r="H4287" s="2" t="s">
        <v>7752</v>
      </c>
      <c r="I4287" s="2" t="s">
        <v>32</v>
      </c>
      <c r="J4287" s="3">
        <v>44304</v>
      </c>
      <c r="K4287" s="2">
        <v>12</v>
      </c>
      <c r="L4287" s="2" t="s">
        <v>80</v>
      </c>
      <c r="M4287" s="3"/>
    </row>
    <row r="4288" spans="1:13" x14ac:dyDescent="0.3">
      <c r="A4288" s="2">
        <v>4287</v>
      </c>
      <c r="B4288" s="2" t="s">
        <v>2433</v>
      </c>
      <c r="C4288" s="2" t="s">
        <v>9312</v>
      </c>
      <c r="D4288" s="2" t="s">
        <v>51</v>
      </c>
      <c r="E4288" s="2" t="s">
        <v>16</v>
      </c>
      <c r="F4288" s="2">
        <v>60</v>
      </c>
      <c r="G4288" s="2" t="s">
        <v>9313</v>
      </c>
      <c r="H4288" s="2" t="s">
        <v>3007</v>
      </c>
      <c r="I4288" s="2" t="s">
        <v>554</v>
      </c>
      <c r="J4288" s="3">
        <v>44653</v>
      </c>
      <c r="K4288" s="2">
        <v>53</v>
      </c>
      <c r="L4288" s="2" t="s">
        <v>64</v>
      </c>
      <c r="M4288" s="3"/>
    </row>
    <row r="4289" spans="1:13" x14ac:dyDescent="0.3">
      <c r="A4289" s="2">
        <v>4288</v>
      </c>
      <c r="B4289" s="2" t="s">
        <v>2278</v>
      </c>
      <c r="C4289" s="2" t="s">
        <v>5408</v>
      </c>
      <c r="D4289" s="2" t="s">
        <v>28</v>
      </c>
      <c r="E4289" s="2" t="s">
        <v>29</v>
      </c>
      <c r="F4289" s="2">
        <v>60</v>
      </c>
      <c r="G4289" s="2" t="s">
        <v>9314</v>
      </c>
      <c r="H4289" s="2" t="s">
        <v>266</v>
      </c>
      <c r="I4289" s="2" t="s">
        <v>32</v>
      </c>
      <c r="J4289" s="3">
        <v>43947</v>
      </c>
      <c r="K4289" s="2">
        <v>34</v>
      </c>
      <c r="L4289" s="2" t="s">
        <v>70</v>
      </c>
      <c r="M4289" s="3"/>
    </row>
    <row r="4290" spans="1:13" x14ac:dyDescent="0.3">
      <c r="A4290" s="2">
        <v>4289</v>
      </c>
      <c r="B4290" s="2" t="s">
        <v>9315</v>
      </c>
      <c r="C4290" s="2" t="s">
        <v>1671</v>
      </c>
      <c r="D4290" s="2" t="s">
        <v>15</v>
      </c>
      <c r="E4290" s="2" t="s">
        <v>16</v>
      </c>
      <c r="F4290" s="2">
        <v>90</v>
      </c>
      <c r="G4290" s="2" t="s">
        <v>9316</v>
      </c>
      <c r="H4290" s="2" t="s">
        <v>3228</v>
      </c>
      <c r="I4290" s="2" t="s">
        <v>294</v>
      </c>
      <c r="J4290" s="3">
        <v>44790</v>
      </c>
      <c r="K4290" s="2">
        <v>21</v>
      </c>
      <c r="L4290" s="2" t="s">
        <v>101</v>
      </c>
      <c r="M4290" s="3"/>
    </row>
    <row r="4291" spans="1:13" x14ac:dyDescent="0.3">
      <c r="A4291" s="2">
        <v>4290</v>
      </c>
      <c r="B4291" s="2" t="s">
        <v>364</v>
      </c>
      <c r="C4291" s="2" t="s">
        <v>2054</v>
      </c>
      <c r="D4291" s="2" t="s">
        <v>15</v>
      </c>
      <c r="E4291" s="2" t="s">
        <v>16</v>
      </c>
      <c r="F4291" s="2">
        <v>30</v>
      </c>
      <c r="G4291" s="2" t="s">
        <v>9317</v>
      </c>
      <c r="H4291" s="2" t="s">
        <v>9286</v>
      </c>
      <c r="I4291" s="2" t="s">
        <v>178</v>
      </c>
      <c r="J4291" s="3">
        <v>44066</v>
      </c>
      <c r="K4291" s="2">
        <v>78</v>
      </c>
      <c r="L4291" s="2" t="s">
        <v>54</v>
      </c>
      <c r="M4291" s="3"/>
    </row>
    <row r="4292" spans="1:13" x14ac:dyDescent="0.3">
      <c r="A4292" s="2">
        <v>4291</v>
      </c>
      <c r="B4292" s="2" t="s">
        <v>7470</v>
      </c>
      <c r="C4292" s="2" t="s">
        <v>7801</v>
      </c>
      <c r="D4292" s="2" t="s">
        <v>51</v>
      </c>
      <c r="E4292" s="2" t="s">
        <v>16</v>
      </c>
      <c r="F4292" s="2">
        <v>60</v>
      </c>
      <c r="G4292" s="2" t="s">
        <v>9318</v>
      </c>
      <c r="H4292" s="2" t="s">
        <v>1261</v>
      </c>
      <c r="I4292" s="2" t="s">
        <v>32</v>
      </c>
      <c r="J4292" s="3">
        <v>43903</v>
      </c>
      <c r="K4292" s="2">
        <v>71</v>
      </c>
      <c r="L4292" s="2" t="s">
        <v>20</v>
      </c>
      <c r="M4292" s="3"/>
    </row>
    <row r="4293" spans="1:13" x14ac:dyDescent="0.3">
      <c r="A4293" s="2">
        <v>4292</v>
      </c>
      <c r="B4293" s="2" t="s">
        <v>8539</v>
      </c>
      <c r="C4293" s="2" t="s">
        <v>2757</v>
      </c>
      <c r="D4293" s="2" t="s">
        <v>51</v>
      </c>
      <c r="E4293" s="2" t="s">
        <v>16</v>
      </c>
      <c r="F4293" s="2">
        <v>90</v>
      </c>
      <c r="G4293" s="2" t="s">
        <v>9319</v>
      </c>
      <c r="H4293" s="2" t="s">
        <v>4915</v>
      </c>
      <c r="I4293" s="2" t="s">
        <v>32</v>
      </c>
      <c r="J4293" s="3">
        <v>44427</v>
      </c>
      <c r="K4293" s="2">
        <v>54</v>
      </c>
      <c r="L4293" s="2" t="s">
        <v>101</v>
      </c>
      <c r="M4293" s="3"/>
    </row>
    <row r="4294" spans="1:13" x14ac:dyDescent="0.3">
      <c r="A4294" s="2">
        <v>4293</v>
      </c>
      <c r="B4294" s="2" t="s">
        <v>8759</v>
      </c>
      <c r="C4294" s="2" t="s">
        <v>9320</v>
      </c>
      <c r="D4294" s="2" t="s">
        <v>28</v>
      </c>
      <c r="E4294" s="2" t="s">
        <v>29</v>
      </c>
      <c r="F4294" s="2">
        <v>90</v>
      </c>
      <c r="G4294" s="2" t="s">
        <v>9321</v>
      </c>
      <c r="H4294" s="2" t="s">
        <v>2655</v>
      </c>
      <c r="I4294" s="2" t="s">
        <v>1083</v>
      </c>
      <c r="J4294" s="3">
        <v>44754</v>
      </c>
      <c r="K4294" s="2">
        <v>49</v>
      </c>
      <c r="L4294" s="2" t="s">
        <v>20</v>
      </c>
      <c r="M4294" s="3"/>
    </row>
    <row r="4295" spans="1:13" x14ac:dyDescent="0.3">
      <c r="A4295" s="2">
        <v>4294</v>
      </c>
      <c r="B4295" s="2" t="s">
        <v>9322</v>
      </c>
      <c r="C4295" s="2" t="s">
        <v>7206</v>
      </c>
      <c r="D4295" s="2" t="s">
        <v>15</v>
      </c>
      <c r="E4295" s="2" t="s">
        <v>16</v>
      </c>
      <c r="F4295" s="2">
        <v>90</v>
      </c>
      <c r="G4295" s="2" t="s">
        <v>9323</v>
      </c>
      <c r="H4295" s="2" t="s">
        <v>1754</v>
      </c>
      <c r="I4295" s="2" t="s">
        <v>25</v>
      </c>
      <c r="J4295" s="3">
        <v>43996</v>
      </c>
      <c r="K4295" s="2">
        <v>8</v>
      </c>
      <c r="L4295" s="2" t="s">
        <v>45</v>
      </c>
      <c r="M4295" s="3"/>
    </row>
    <row r="4296" spans="1:13" x14ac:dyDescent="0.3">
      <c r="A4296" s="2">
        <v>4295</v>
      </c>
      <c r="B4296" s="2" t="s">
        <v>6764</v>
      </c>
      <c r="C4296" s="2" t="s">
        <v>6828</v>
      </c>
      <c r="D4296" s="2" t="s">
        <v>621</v>
      </c>
      <c r="E4296" s="2" t="s">
        <v>29</v>
      </c>
      <c r="F4296" s="2">
        <v>30</v>
      </c>
      <c r="G4296" s="2" t="s">
        <v>9324</v>
      </c>
      <c r="H4296" s="2" t="s">
        <v>938</v>
      </c>
      <c r="I4296" s="2" t="s">
        <v>25</v>
      </c>
      <c r="J4296" s="3">
        <v>44175</v>
      </c>
      <c r="K4296" s="2">
        <v>26</v>
      </c>
      <c r="L4296" s="2" t="s">
        <v>33</v>
      </c>
      <c r="M4296" s="3"/>
    </row>
    <row r="4297" spans="1:13" x14ac:dyDescent="0.3">
      <c r="A4297" s="2">
        <v>4296</v>
      </c>
      <c r="B4297" s="2" t="s">
        <v>8689</v>
      </c>
      <c r="C4297" s="2" t="s">
        <v>5998</v>
      </c>
      <c r="D4297" s="2" t="s">
        <v>51</v>
      </c>
      <c r="E4297" s="2" t="s">
        <v>16</v>
      </c>
      <c r="F4297" s="2">
        <v>30</v>
      </c>
      <c r="G4297" s="2" t="s">
        <v>9325</v>
      </c>
      <c r="H4297" s="2" t="s">
        <v>7378</v>
      </c>
      <c r="I4297" s="2" t="s">
        <v>178</v>
      </c>
      <c r="J4297" s="3">
        <v>44600</v>
      </c>
      <c r="K4297" s="2">
        <v>58</v>
      </c>
      <c r="L4297" s="2" t="s">
        <v>33</v>
      </c>
      <c r="M4297" s="3"/>
    </row>
    <row r="4298" spans="1:13" x14ac:dyDescent="0.3">
      <c r="A4298" s="2">
        <v>4297</v>
      </c>
      <c r="B4298" s="2" t="s">
        <v>527</v>
      </c>
      <c r="C4298" s="2" t="s">
        <v>2385</v>
      </c>
      <c r="D4298" s="2" t="s">
        <v>28</v>
      </c>
      <c r="E4298" s="2" t="s">
        <v>29</v>
      </c>
      <c r="F4298" s="2">
        <v>90</v>
      </c>
      <c r="G4298" s="2" t="s">
        <v>9325</v>
      </c>
      <c r="H4298" s="2" t="s">
        <v>2772</v>
      </c>
      <c r="I4298" s="2" t="s">
        <v>32</v>
      </c>
      <c r="J4298" s="3">
        <v>44696</v>
      </c>
      <c r="K4298" s="2">
        <v>83</v>
      </c>
      <c r="L4298" s="2" t="s">
        <v>64</v>
      </c>
      <c r="M4298" s="3"/>
    </row>
    <row r="4299" spans="1:13" x14ac:dyDescent="0.3">
      <c r="A4299" s="2">
        <v>4298</v>
      </c>
      <c r="B4299" s="2" t="s">
        <v>7114</v>
      </c>
      <c r="C4299" s="2" t="s">
        <v>9326</v>
      </c>
      <c r="D4299" s="2" t="s">
        <v>28</v>
      </c>
      <c r="E4299" s="2" t="s">
        <v>29</v>
      </c>
      <c r="F4299" s="2">
        <v>30</v>
      </c>
      <c r="G4299" s="2" t="s">
        <v>9327</v>
      </c>
      <c r="H4299" s="2" t="s">
        <v>5596</v>
      </c>
      <c r="I4299" s="2" t="s">
        <v>32</v>
      </c>
      <c r="J4299" s="3">
        <v>44571</v>
      </c>
      <c r="K4299" s="2">
        <v>58</v>
      </c>
      <c r="L4299" s="2" t="s">
        <v>64</v>
      </c>
      <c r="M4299" s="3"/>
    </row>
    <row r="4300" spans="1:13" x14ac:dyDescent="0.3">
      <c r="A4300" s="2">
        <v>4299</v>
      </c>
      <c r="B4300" s="2" t="s">
        <v>9328</v>
      </c>
      <c r="C4300" s="2" t="s">
        <v>2866</v>
      </c>
      <c r="D4300" s="2" t="s">
        <v>15</v>
      </c>
      <c r="E4300" s="2" t="s">
        <v>16</v>
      </c>
      <c r="F4300" s="2">
        <v>30</v>
      </c>
      <c r="G4300" s="2" t="s">
        <v>9329</v>
      </c>
      <c r="H4300" s="2" t="s">
        <v>3756</v>
      </c>
      <c r="I4300" s="2" t="s">
        <v>178</v>
      </c>
      <c r="J4300" s="3">
        <v>44334</v>
      </c>
      <c r="K4300" s="2">
        <v>44</v>
      </c>
      <c r="L4300" s="2" t="s">
        <v>20</v>
      </c>
      <c r="M4300" s="3"/>
    </row>
    <row r="4301" spans="1:13" x14ac:dyDescent="0.3">
      <c r="A4301" s="2">
        <v>4300</v>
      </c>
      <c r="B4301" s="2" t="s">
        <v>4564</v>
      </c>
      <c r="C4301" s="2" t="s">
        <v>3738</v>
      </c>
      <c r="D4301" s="2" t="s">
        <v>51</v>
      </c>
      <c r="E4301" s="2" t="s">
        <v>16</v>
      </c>
      <c r="F4301" s="2">
        <v>30</v>
      </c>
      <c r="G4301" s="2" t="s">
        <v>9330</v>
      </c>
      <c r="H4301" s="2" t="s">
        <v>6690</v>
      </c>
      <c r="I4301" s="2" t="s">
        <v>294</v>
      </c>
      <c r="J4301" s="3">
        <v>44676</v>
      </c>
      <c r="K4301" s="2">
        <v>34</v>
      </c>
      <c r="L4301" s="2" t="s">
        <v>101</v>
      </c>
      <c r="M4301" s="3"/>
    </row>
    <row r="4302" spans="1:13" x14ac:dyDescent="0.3">
      <c r="A4302" s="2">
        <v>4301</v>
      </c>
      <c r="B4302" s="2" t="s">
        <v>7187</v>
      </c>
      <c r="C4302" s="2" t="s">
        <v>210</v>
      </c>
      <c r="D4302" s="2" t="s">
        <v>28</v>
      </c>
      <c r="E4302" s="2" t="s">
        <v>29</v>
      </c>
      <c r="F4302" s="2">
        <v>30</v>
      </c>
      <c r="G4302" s="2" t="s">
        <v>9331</v>
      </c>
      <c r="H4302" s="2" t="s">
        <v>88</v>
      </c>
      <c r="I4302" s="2" t="s">
        <v>89</v>
      </c>
      <c r="J4302" s="3">
        <v>44848</v>
      </c>
      <c r="K4302" s="2">
        <v>19</v>
      </c>
      <c r="L4302" s="2" t="s">
        <v>33</v>
      </c>
      <c r="M4302" s="3"/>
    </row>
    <row r="4303" spans="1:13" x14ac:dyDescent="0.3">
      <c r="A4303" s="2">
        <v>4302</v>
      </c>
      <c r="B4303" s="2" t="s">
        <v>9332</v>
      </c>
      <c r="C4303" s="2" t="s">
        <v>5138</v>
      </c>
      <c r="D4303" s="2" t="s">
        <v>28</v>
      </c>
      <c r="E4303" s="2" t="s">
        <v>29</v>
      </c>
      <c r="F4303" s="2">
        <v>90</v>
      </c>
      <c r="G4303" s="2" t="s">
        <v>2376</v>
      </c>
      <c r="H4303" s="2" t="s">
        <v>927</v>
      </c>
      <c r="I4303" s="2" t="s">
        <v>129</v>
      </c>
      <c r="J4303" s="3">
        <v>44082</v>
      </c>
      <c r="K4303" s="2">
        <v>44</v>
      </c>
      <c r="L4303" s="2" t="s">
        <v>70</v>
      </c>
      <c r="M4303" s="3"/>
    </row>
    <row r="4304" spans="1:13" x14ac:dyDescent="0.3">
      <c r="A4304" s="2">
        <v>4303</v>
      </c>
      <c r="B4304" s="2" t="s">
        <v>6882</v>
      </c>
      <c r="C4304" s="2" t="s">
        <v>1737</v>
      </c>
      <c r="D4304" s="2" t="s">
        <v>28</v>
      </c>
      <c r="E4304" s="2" t="s">
        <v>29</v>
      </c>
      <c r="F4304" s="2">
        <v>90</v>
      </c>
      <c r="G4304" s="2" t="s">
        <v>9333</v>
      </c>
      <c r="H4304" s="2" t="s">
        <v>114</v>
      </c>
      <c r="I4304" s="2" t="s">
        <v>38</v>
      </c>
      <c r="J4304" s="3">
        <v>44532</v>
      </c>
      <c r="K4304" s="2">
        <v>22</v>
      </c>
      <c r="L4304" s="2" t="s">
        <v>101</v>
      </c>
      <c r="M4304" s="3"/>
    </row>
    <row r="4305" spans="1:13" x14ac:dyDescent="0.3">
      <c r="A4305" s="2">
        <v>4304</v>
      </c>
      <c r="B4305" s="2" t="s">
        <v>8211</v>
      </c>
      <c r="C4305" s="2" t="s">
        <v>840</v>
      </c>
      <c r="D4305" s="2" t="s">
        <v>28</v>
      </c>
      <c r="E4305" s="2" t="s">
        <v>29</v>
      </c>
      <c r="F4305" s="2">
        <v>30</v>
      </c>
      <c r="G4305" s="2" t="s">
        <v>9334</v>
      </c>
      <c r="H4305" s="2" t="s">
        <v>1625</v>
      </c>
      <c r="I4305" s="2" t="s">
        <v>32</v>
      </c>
      <c r="J4305" s="3">
        <v>44319</v>
      </c>
      <c r="K4305" s="2">
        <v>69</v>
      </c>
      <c r="L4305" s="2" t="s">
        <v>39</v>
      </c>
      <c r="M4305" s="3"/>
    </row>
    <row r="4306" spans="1:13" x14ac:dyDescent="0.3">
      <c r="A4306" s="2">
        <v>4305</v>
      </c>
      <c r="B4306" s="2" t="s">
        <v>9335</v>
      </c>
      <c r="C4306" s="2" t="s">
        <v>2113</v>
      </c>
      <c r="D4306" s="2" t="s">
        <v>15</v>
      </c>
      <c r="E4306" s="2" t="s">
        <v>16</v>
      </c>
      <c r="F4306" s="2">
        <v>60</v>
      </c>
      <c r="G4306" s="2" t="s">
        <v>9336</v>
      </c>
      <c r="H4306" s="2" t="s">
        <v>920</v>
      </c>
      <c r="I4306" s="2" t="s">
        <v>178</v>
      </c>
      <c r="J4306" s="3">
        <v>44322</v>
      </c>
      <c r="K4306" s="2">
        <v>16</v>
      </c>
      <c r="L4306" s="2" t="s">
        <v>54</v>
      </c>
      <c r="M4306" s="3"/>
    </row>
    <row r="4307" spans="1:13" x14ac:dyDescent="0.3">
      <c r="A4307" s="2">
        <v>4306</v>
      </c>
      <c r="B4307" s="2" t="s">
        <v>5086</v>
      </c>
      <c r="C4307" s="2" t="s">
        <v>9055</v>
      </c>
      <c r="D4307" s="2" t="s">
        <v>28</v>
      </c>
      <c r="E4307" s="2" t="s">
        <v>29</v>
      </c>
      <c r="F4307" s="2">
        <v>30</v>
      </c>
      <c r="G4307" s="2" t="s">
        <v>9336</v>
      </c>
      <c r="H4307" s="2" t="s">
        <v>4901</v>
      </c>
      <c r="I4307" s="2" t="s">
        <v>32</v>
      </c>
      <c r="J4307" s="3">
        <v>44503</v>
      </c>
      <c r="K4307" s="2">
        <v>63</v>
      </c>
      <c r="L4307" s="2" t="s">
        <v>101</v>
      </c>
      <c r="M4307" s="3"/>
    </row>
    <row r="4308" spans="1:13" x14ac:dyDescent="0.3">
      <c r="A4308" s="2">
        <v>4307</v>
      </c>
      <c r="B4308" s="2" t="s">
        <v>2138</v>
      </c>
      <c r="C4308" s="2" t="s">
        <v>406</v>
      </c>
      <c r="D4308" s="2" t="s">
        <v>28</v>
      </c>
      <c r="E4308" s="2" t="s">
        <v>29</v>
      </c>
      <c r="F4308" s="2">
        <v>60</v>
      </c>
      <c r="G4308" s="2" t="s">
        <v>9337</v>
      </c>
      <c r="H4308" s="2" t="s">
        <v>7297</v>
      </c>
      <c r="I4308" s="2" t="s">
        <v>178</v>
      </c>
      <c r="J4308" s="3">
        <v>44132</v>
      </c>
      <c r="K4308" s="2">
        <v>69</v>
      </c>
      <c r="L4308" s="2" t="s">
        <v>45</v>
      </c>
      <c r="M4308" s="3"/>
    </row>
    <row r="4309" spans="1:13" x14ac:dyDescent="0.3">
      <c r="A4309" s="2">
        <v>4308</v>
      </c>
      <c r="B4309" s="2" t="s">
        <v>9338</v>
      </c>
      <c r="C4309" s="2" t="s">
        <v>1756</v>
      </c>
      <c r="D4309" s="2" t="s">
        <v>41</v>
      </c>
      <c r="E4309" s="2" t="s">
        <v>16</v>
      </c>
      <c r="F4309" s="2">
        <v>90</v>
      </c>
      <c r="G4309" s="2" t="s">
        <v>9339</v>
      </c>
      <c r="H4309" s="2" t="s">
        <v>1039</v>
      </c>
      <c r="I4309" s="2" t="s">
        <v>25</v>
      </c>
      <c r="J4309" s="3">
        <v>44270</v>
      </c>
      <c r="K4309" s="2">
        <v>30</v>
      </c>
      <c r="L4309" s="2" t="s">
        <v>159</v>
      </c>
      <c r="M4309" s="3"/>
    </row>
    <row r="4310" spans="1:13" x14ac:dyDescent="0.3">
      <c r="A4310" s="2">
        <v>4309</v>
      </c>
      <c r="B4310" s="2" t="s">
        <v>8407</v>
      </c>
      <c r="C4310" s="2" t="s">
        <v>9028</v>
      </c>
      <c r="D4310" s="2" t="s">
        <v>28</v>
      </c>
      <c r="E4310" s="2" t="s">
        <v>29</v>
      </c>
      <c r="F4310" s="2">
        <v>60</v>
      </c>
      <c r="G4310" s="2" t="s">
        <v>9340</v>
      </c>
      <c r="H4310" s="2" t="s">
        <v>356</v>
      </c>
      <c r="I4310" s="2" t="s">
        <v>178</v>
      </c>
      <c r="J4310" s="3">
        <v>44480</v>
      </c>
      <c r="K4310" s="2">
        <v>31</v>
      </c>
      <c r="L4310" s="2" t="s">
        <v>54</v>
      </c>
      <c r="M4310" s="3"/>
    </row>
    <row r="4311" spans="1:13" x14ac:dyDescent="0.3">
      <c r="A4311" s="2">
        <v>4310</v>
      </c>
      <c r="B4311" s="2" t="s">
        <v>2150</v>
      </c>
      <c r="C4311" s="2" t="s">
        <v>6004</v>
      </c>
      <c r="D4311" s="2" t="s">
        <v>51</v>
      </c>
      <c r="E4311" s="2" t="s">
        <v>16</v>
      </c>
      <c r="F4311" s="2">
        <v>30</v>
      </c>
      <c r="G4311" s="2" t="s">
        <v>9341</v>
      </c>
      <c r="H4311" s="2" t="s">
        <v>6101</v>
      </c>
      <c r="I4311" s="2" t="s">
        <v>32</v>
      </c>
      <c r="J4311" s="3">
        <v>44592</v>
      </c>
      <c r="K4311" s="2">
        <v>85</v>
      </c>
      <c r="L4311" s="2" t="s">
        <v>20</v>
      </c>
      <c r="M4311" s="3"/>
    </row>
    <row r="4312" spans="1:13" x14ac:dyDescent="0.3">
      <c r="A4312" s="2">
        <v>4311</v>
      </c>
      <c r="B4312" s="2" t="s">
        <v>9342</v>
      </c>
      <c r="C4312" s="2" t="s">
        <v>4946</v>
      </c>
      <c r="D4312" s="2" t="s">
        <v>51</v>
      </c>
      <c r="E4312" s="2" t="s">
        <v>16</v>
      </c>
      <c r="F4312" s="2">
        <v>90</v>
      </c>
      <c r="G4312" s="2" t="s">
        <v>9343</v>
      </c>
      <c r="H4312" s="2" t="s">
        <v>2436</v>
      </c>
      <c r="I4312" s="2" t="s">
        <v>294</v>
      </c>
      <c r="J4312" s="3">
        <v>44234</v>
      </c>
      <c r="K4312" s="2">
        <v>74</v>
      </c>
      <c r="L4312" s="2" t="s">
        <v>39</v>
      </c>
      <c r="M4312" s="3"/>
    </row>
    <row r="4313" spans="1:13" x14ac:dyDescent="0.3">
      <c r="A4313" s="2">
        <v>4312</v>
      </c>
      <c r="B4313" s="2" t="s">
        <v>8317</v>
      </c>
      <c r="C4313" s="2" t="s">
        <v>6420</v>
      </c>
      <c r="D4313" s="2" t="s">
        <v>28</v>
      </c>
      <c r="E4313" s="2" t="s">
        <v>29</v>
      </c>
      <c r="F4313" s="2">
        <v>90</v>
      </c>
      <c r="G4313" s="2" t="s">
        <v>9344</v>
      </c>
      <c r="H4313" s="2" t="s">
        <v>1261</v>
      </c>
      <c r="I4313" s="2" t="s">
        <v>32</v>
      </c>
      <c r="J4313" s="3">
        <v>44412</v>
      </c>
      <c r="K4313" s="2">
        <v>53</v>
      </c>
      <c r="L4313" s="2" t="s">
        <v>20</v>
      </c>
      <c r="M4313" s="3"/>
    </row>
    <row r="4314" spans="1:13" x14ac:dyDescent="0.3">
      <c r="A4314" s="2">
        <v>4313</v>
      </c>
      <c r="B4314" s="2" t="s">
        <v>2409</v>
      </c>
      <c r="C4314" s="2" t="s">
        <v>2692</v>
      </c>
      <c r="D4314" s="2" t="s">
        <v>28</v>
      </c>
      <c r="E4314" s="2" t="s">
        <v>29</v>
      </c>
      <c r="F4314" s="2">
        <v>30</v>
      </c>
      <c r="G4314" s="2" t="s">
        <v>9345</v>
      </c>
      <c r="H4314" s="2" t="s">
        <v>4713</v>
      </c>
      <c r="I4314" s="2" t="s">
        <v>294</v>
      </c>
      <c r="J4314" s="3">
        <v>44282</v>
      </c>
      <c r="K4314" s="2">
        <v>15</v>
      </c>
      <c r="L4314" s="2" t="s">
        <v>64</v>
      </c>
      <c r="M4314" s="3"/>
    </row>
    <row r="4315" spans="1:13" x14ac:dyDescent="0.3">
      <c r="A4315" s="2">
        <v>4314</v>
      </c>
      <c r="B4315" s="2" t="s">
        <v>5171</v>
      </c>
      <c r="C4315" s="2" t="s">
        <v>3605</v>
      </c>
      <c r="D4315" s="2" t="s">
        <v>15</v>
      </c>
      <c r="E4315" s="2" t="s">
        <v>16</v>
      </c>
      <c r="F4315" s="2">
        <v>90</v>
      </c>
      <c r="G4315" s="2" t="s">
        <v>9346</v>
      </c>
      <c r="H4315" s="2" t="s">
        <v>924</v>
      </c>
      <c r="I4315" s="2" t="s">
        <v>32</v>
      </c>
      <c r="J4315" s="3">
        <v>44852</v>
      </c>
      <c r="K4315" s="2">
        <v>7</v>
      </c>
      <c r="L4315" s="2" t="s">
        <v>54</v>
      </c>
      <c r="M4315" s="3"/>
    </row>
    <row r="4316" spans="1:13" x14ac:dyDescent="0.3">
      <c r="A4316" s="2">
        <v>4315</v>
      </c>
      <c r="B4316" s="2" t="s">
        <v>714</v>
      </c>
      <c r="C4316" s="2" t="s">
        <v>2158</v>
      </c>
      <c r="D4316" s="2" t="s">
        <v>28</v>
      </c>
      <c r="E4316" s="2" t="s">
        <v>3085</v>
      </c>
      <c r="F4316" s="2">
        <v>90</v>
      </c>
      <c r="G4316" s="2" t="s">
        <v>9347</v>
      </c>
      <c r="H4316" s="2" t="s">
        <v>5667</v>
      </c>
      <c r="I4316" s="2" t="s">
        <v>32</v>
      </c>
      <c r="J4316" s="3">
        <v>44470</v>
      </c>
      <c r="K4316" s="2">
        <v>2</v>
      </c>
      <c r="L4316" s="2" t="s">
        <v>64</v>
      </c>
      <c r="M4316" s="3"/>
    </row>
    <row r="4317" spans="1:13" x14ac:dyDescent="0.3">
      <c r="A4317" s="2">
        <v>4316</v>
      </c>
      <c r="B4317" s="2" t="s">
        <v>134</v>
      </c>
      <c r="C4317" s="2" t="s">
        <v>1361</v>
      </c>
      <c r="D4317" s="2" t="s">
        <v>28</v>
      </c>
      <c r="E4317" s="2" t="s">
        <v>29</v>
      </c>
      <c r="F4317" s="2">
        <v>30</v>
      </c>
      <c r="G4317" s="2" t="s">
        <v>9348</v>
      </c>
      <c r="H4317" s="2" t="s">
        <v>6168</v>
      </c>
      <c r="I4317" s="2" t="s">
        <v>294</v>
      </c>
      <c r="J4317" s="3">
        <v>44326</v>
      </c>
      <c r="K4317" s="2">
        <v>5</v>
      </c>
      <c r="L4317" s="2" t="s">
        <v>45</v>
      </c>
      <c r="M4317" s="3"/>
    </row>
    <row r="4318" spans="1:13" x14ac:dyDescent="0.3">
      <c r="A4318" s="2">
        <v>4317</v>
      </c>
      <c r="B4318" s="2" t="s">
        <v>9349</v>
      </c>
      <c r="C4318" s="2" t="s">
        <v>9326</v>
      </c>
      <c r="D4318" s="2" t="s">
        <v>28</v>
      </c>
      <c r="E4318" s="2" t="s">
        <v>29</v>
      </c>
      <c r="F4318" s="2">
        <v>90</v>
      </c>
      <c r="G4318" s="2" t="s">
        <v>9350</v>
      </c>
      <c r="H4318" s="2" t="s">
        <v>5379</v>
      </c>
      <c r="I4318" s="2" t="s">
        <v>1199</v>
      </c>
      <c r="J4318" s="3">
        <v>44827</v>
      </c>
      <c r="K4318" s="2">
        <v>45</v>
      </c>
      <c r="L4318" s="2" t="s">
        <v>159</v>
      </c>
      <c r="M4318" s="3"/>
    </row>
    <row r="4319" spans="1:13" x14ac:dyDescent="0.3">
      <c r="A4319" s="2">
        <v>4318</v>
      </c>
      <c r="B4319" s="2" t="s">
        <v>3537</v>
      </c>
      <c r="C4319" s="2" t="s">
        <v>9351</v>
      </c>
      <c r="D4319" s="2" t="s">
        <v>28</v>
      </c>
      <c r="E4319" s="2" t="s">
        <v>29</v>
      </c>
      <c r="F4319" s="2">
        <v>90</v>
      </c>
      <c r="G4319" s="2" t="s">
        <v>9352</v>
      </c>
      <c r="H4319" s="2" t="s">
        <v>1039</v>
      </c>
      <c r="I4319" s="2" t="s">
        <v>25</v>
      </c>
      <c r="J4319" s="3">
        <v>44381</v>
      </c>
      <c r="K4319" s="2">
        <v>32</v>
      </c>
      <c r="L4319" s="2" t="s">
        <v>64</v>
      </c>
      <c r="M4319" s="3"/>
    </row>
    <row r="4320" spans="1:13" x14ac:dyDescent="0.3">
      <c r="A4320" s="2">
        <v>4319</v>
      </c>
      <c r="B4320" s="2" t="s">
        <v>9353</v>
      </c>
      <c r="C4320" s="2" t="s">
        <v>1532</v>
      </c>
      <c r="D4320" s="2" t="s">
        <v>51</v>
      </c>
      <c r="E4320" s="2" t="s">
        <v>16</v>
      </c>
      <c r="F4320" s="2">
        <v>30</v>
      </c>
      <c r="G4320" s="2" t="s">
        <v>9354</v>
      </c>
      <c r="H4320" s="2" t="s">
        <v>1198</v>
      </c>
      <c r="I4320" s="2" t="s">
        <v>1199</v>
      </c>
      <c r="J4320" s="3">
        <v>44108</v>
      </c>
      <c r="K4320" s="2">
        <v>70</v>
      </c>
      <c r="L4320" s="2" t="s">
        <v>33</v>
      </c>
      <c r="M4320" s="3"/>
    </row>
    <row r="4321" spans="1:13" x14ac:dyDescent="0.3">
      <c r="A4321" s="2">
        <v>4320</v>
      </c>
      <c r="B4321" s="2" t="s">
        <v>2231</v>
      </c>
      <c r="C4321" s="2" t="s">
        <v>4318</v>
      </c>
      <c r="D4321" s="2" t="s">
        <v>28</v>
      </c>
      <c r="E4321" s="2" t="s">
        <v>29</v>
      </c>
      <c r="F4321" s="2">
        <v>90</v>
      </c>
      <c r="G4321" s="2" t="s">
        <v>9355</v>
      </c>
      <c r="H4321" s="2" t="s">
        <v>3316</v>
      </c>
      <c r="I4321" s="2" t="s">
        <v>32</v>
      </c>
      <c r="J4321" s="3">
        <v>44429</v>
      </c>
      <c r="K4321" s="2">
        <v>26</v>
      </c>
      <c r="L4321" s="2" t="s">
        <v>39</v>
      </c>
      <c r="M4321" s="3"/>
    </row>
    <row r="4322" spans="1:13" x14ac:dyDescent="0.3">
      <c r="A4322" s="2">
        <v>4321</v>
      </c>
      <c r="B4322" s="2" t="s">
        <v>9356</v>
      </c>
      <c r="C4322" s="2" t="s">
        <v>3913</v>
      </c>
      <c r="D4322" s="2" t="s">
        <v>15</v>
      </c>
      <c r="E4322" s="2" t="s">
        <v>16</v>
      </c>
      <c r="F4322" s="2">
        <v>60</v>
      </c>
      <c r="G4322" s="2" t="s">
        <v>9357</v>
      </c>
      <c r="H4322" s="2" t="s">
        <v>7763</v>
      </c>
      <c r="I4322" s="2" t="s">
        <v>129</v>
      </c>
      <c r="J4322" s="3">
        <v>44391</v>
      </c>
      <c r="K4322" s="2">
        <v>88</v>
      </c>
      <c r="L4322" s="2" t="s">
        <v>45</v>
      </c>
      <c r="M4322" s="3"/>
    </row>
    <row r="4323" spans="1:13" x14ac:dyDescent="0.3">
      <c r="A4323" s="2">
        <v>4322</v>
      </c>
      <c r="B4323" s="2" t="s">
        <v>7371</v>
      </c>
      <c r="C4323" s="2" t="s">
        <v>4376</v>
      </c>
      <c r="D4323" s="2" t="s">
        <v>15</v>
      </c>
      <c r="E4323" s="2" t="s">
        <v>16</v>
      </c>
      <c r="F4323" s="2">
        <v>30</v>
      </c>
      <c r="G4323" s="2" t="s">
        <v>9358</v>
      </c>
      <c r="H4323" s="2" t="s">
        <v>3169</v>
      </c>
      <c r="I4323" s="2" t="s">
        <v>110</v>
      </c>
      <c r="J4323" s="3">
        <v>44717</v>
      </c>
      <c r="K4323" s="2">
        <v>75</v>
      </c>
      <c r="L4323" s="2" t="s">
        <v>70</v>
      </c>
      <c r="M4323" s="3"/>
    </row>
    <row r="4324" spans="1:13" x14ac:dyDescent="0.3">
      <c r="A4324" s="2">
        <v>4323</v>
      </c>
      <c r="B4324" s="2" t="s">
        <v>3345</v>
      </c>
      <c r="C4324" s="2" t="s">
        <v>2228</v>
      </c>
      <c r="D4324" s="2" t="s">
        <v>28</v>
      </c>
      <c r="E4324" s="2" t="s">
        <v>29</v>
      </c>
      <c r="F4324" s="2">
        <v>60</v>
      </c>
      <c r="G4324" s="2" t="s">
        <v>9359</v>
      </c>
      <c r="H4324" s="2" t="s">
        <v>4337</v>
      </c>
      <c r="I4324" s="2" t="s">
        <v>25</v>
      </c>
      <c r="J4324" s="3">
        <v>44254</v>
      </c>
      <c r="K4324" s="2">
        <v>82</v>
      </c>
      <c r="L4324" s="2" t="s">
        <v>80</v>
      </c>
      <c r="M4324" s="3"/>
    </row>
    <row r="4325" spans="1:13" x14ac:dyDescent="0.3">
      <c r="A4325" s="2">
        <v>4324</v>
      </c>
      <c r="B4325" s="2" t="s">
        <v>7683</v>
      </c>
      <c r="C4325" s="2" t="s">
        <v>82</v>
      </c>
      <c r="D4325" s="2" t="s">
        <v>28</v>
      </c>
      <c r="E4325" s="2" t="s">
        <v>29</v>
      </c>
      <c r="F4325" s="2">
        <v>30</v>
      </c>
      <c r="G4325" s="2" t="s">
        <v>9360</v>
      </c>
      <c r="H4325" s="2" t="s">
        <v>838</v>
      </c>
      <c r="I4325" s="2" t="s">
        <v>839</v>
      </c>
      <c r="J4325" s="3">
        <v>44717</v>
      </c>
      <c r="K4325" s="2">
        <v>43</v>
      </c>
      <c r="L4325" s="2" t="s">
        <v>159</v>
      </c>
      <c r="M4325" s="3"/>
    </row>
    <row r="4326" spans="1:13" x14ac:dyDescent="0.3">
      <c r="A4326" s="2">
        <v>4325</v>
      </c>
      <c r="B4326" s="2" t="s">
        <v>4614</v>
      </c>
      <c r="C4326" s="2" t="s">
        <v>5598</v>
      </c>
      <c r="D4326" s="2" t="s">
        <v>51</v>
      </c>
      <c r="E4326" s="2" t="s">
        <v>16</v>
      </c>
      <c r="F4326" s="2">
        <v>60</v>
      </c>
      <c r="G4326" s="2" t="s">
        <v>9361</v>
      </c>
      <c r="H4326" s="2" t="s">
        <v>641</v>
      </c>
      <c r="I4326" s="2" t="s">
        <v>294</v>
      </c>
      <c r="J4326" s="3">
        <v>44334</v>
      </c>
      <c r="K4326" s="2">
        <v>45</v>
      </c>
      <c r="L4326" s="2" t="s">
        <v>20</v>
      </c>
      <c r="M4326" s="3"/>
    </row>
    <row r="4327" spans="1:13" x14ac:dyDescent="0.3">
      <c r="A4327" s="2">
        <v>4326</v>
      </c>
      <c r="B4327" s="2" t="s">
        <v>6003</v>
      </c>
      <c r="C4327" s="2" t="s">
        <v>3362</v>
      </c>
      <c r="D4327" s="2" t="s">
        <v>28</v>
      </c>
      <c r="E4327" s="2" t="s">
        <v>29</v>
      </c>
      <c r="F4327" s="2">
        <v>60</v>
      </c>
      <c r="G4327" s="2" t="s">
        <v>9362</v>
      </c>
      <c r="H4327" s="2" t="s">
        <v>8110</v>
      </c>
      <c r="I4327" s="2" t="s">
        <v>173</v>
      </c>
      <c r="J4327" s="3">
        <v>43959</v>
      </c>
      <c r="K4327" s="2">
        <v>82</v>
      </c>
      <c r="L4327" s="2" t="s">
        <v>159</v>
      </c>
      <c r="M4327" s="3"/>
    </row>
    <row r="4328" spans="1:13" x14ac:dyDescent="0.3">
      <c r="A4328" s="2">
        <v>4327</v>
      </c>
      <c r="B4328" s="2" t="s">
        <v>245</v>
      </c>
      <c r="C4328" s="2" t="s">
        <v>4205</v>
      </c>
      <c r="D4328" s="2" t="s">
        <v>28</v>
      </c>
      <c r="E4328" s="2" t="s">
        <v>29</v>
      </c>
      <c r="F4328" s="2">
        <v>90</v>
      </c>
      <c r="G4328" s="2" t="s">
        <v>9363</v>
      </c>
      <c r="H4328" s="2" t="s">
        <v>1265</v>
      </c>
      <c r="I4328" s="2" t="s">
        <v>32</v>
      </c>
      <c r="J4328" s="3">
        <v>44448</v>
      </c>
      <c r="K4328" s="2">
        <v>62</v>
      </c>
      <c r="L4328" s="2" t="s">
        <v>70</v>
      </c>
      <c r="M4328" s="3"/>
    </row>
    <row r="4329" spans="1:13" x14ac:dyDescent="0.3">
      <c r="A4329" s="2">
        <v>4328</v>
      </c>
      <c r="B4329" s="2" t="s">
        <v>183</v>
      </c>
      <c r="C4329" s="2" t="s">
        <v>352</v>
      </c>
      <c r="D4329" s="2" t="s">
        <v>28</v>
      </c>
      <c r="E4329" s="2" t="s">
        <v>29</v>
      </c>
      <c r="F4329" s="2">
        <v>90</v>
      </c>
      <c r="G4329" s="2" t="s">
        <v>9364</v>
      </c>
      <c r="H4329" s="2" t="s">
        <v>1261</v>
      </c>
      <c r="I4329" s="2" t="s">
        <v>32</v>
      </c>
      <c r="J4329" s="3">
        <v>44089</v>
      </c>
      <c r="K4329" s="2">
        <v>6</v>
      </c>
      <c r="L4329" s="2" t="s">
        <v>64</v>
      </c>
      <c r="M4329" s="3"/>
    </row>
    <row r="4330" spans="1:13" x14ac:dyDescent="0.3">
      <c r="A4330" s="2">
        <v>4329</v>
      </c>
      <c r="B4330" s="2" t="s">
        <v>692</v>
      </c>
      <c r="C4330" s="2" t="s">
        <v>3845</v>
      </c>
      <c r="D4330" s="2" t="s">
        <v>28</v>
      </c>
      <c r="E4330" s="2" t="s">
        <v>29</v>
      </c>
      <c r="F4330" s="2">
        <v>90</v>
      </c>
      <c r="G4330" s="2" t="s">
        <v>9365</v>
      </c>
      <c r="H4330" s="2" t="s">
        <v>3619</v>
      </c>
      <c r="I4330" s="2" t="s">
        <v>575</v>
      </c>
      <c r="J4330" s="3">
        <v>44112</v>
      </c>
      <c r="K4330" s="2">
        <v>72</v>
      </c>
      <c r="L4330" s="2" t="s">
        <v>54</v>
      </c>
      <c r="M4330" s="3"/>
    </row>
    <row r="4331" spans="1:13" x14ac:dyDescent="0.3">
      <c r="A4331" s="2">
        <v>4330</v>
      </c>
      <c r="B4331" s="2" t="s">
        <v>9366</v>
      </c>
      <c r="C4331" s="2" t="s">
        <v>6062</v>
      </c>
      <c r="D4331" s="2" t="s">
        <v>15</v>
      </c>
      <c r="E4331" s="2" t="s">
        <v>16</v>
      </c>
      <c r="F4331" s="2">
        <v>90</v>
      </c>
      <c r="G4331" s="2" t="s">
        <v>9367</v>
      </c>
      <c r="H4331" s="2" t="s">
        <v>7752</v>
      </c>
      <c r="I4331" s="2" t="s">
        <v>32</v>
      </c>
      <c r="J4331" s="3">
        <v>43936</v>
      </c>
      <c r="K4331" s="2">
        <v>75</v>
      </c>
      <c r="L4331" s="2" t="s">
        <v>159</v>
      </c>
      <c r="M4331" s="3"/>
    </row>
    <row r="4332" spans="1:13" x14ac:dyDescent="0.3">
      <c r="A4332" s="2">
        <v>4331</v>
      </c>
      <c r="B4332" s="2" t="s">
        <v>6003</v>
      </c>
      <c r="C4332" s="2" t="s">
        <v>335</v>
      </c>
      <c r="D4332" s="2" t="s">
        <v>41</v>
      </c>
      <c r="E4332" s="2" t="s">
        <v>16</v>
      </c>
      <c r="F4332" s="2">
        <v>90</v>
      </c>
      <c r="G4332" s="2" t="s">
        <v>9368</v>
      </c>
      <c r="H4332" s="2" t="s">
        <v>6319</v>
      </c>
      <c r="I4332" s="2" t="s">
        <v>32</v>
      </c>
      <c r="J4332" s="3">
        <v>44127</v>
      </c>
      <c r="K4332" s="2">
        <v>9</v>
      </c>
      <c r="L4332" s="2" t="s">
        <v>45</v>
      </c>
      <c r="M4332" s="3"/>
    </row>
    <row r="4333" spans="1:13" x14ac:dyDescent="0.3">
      <c r="A4333" s="2">
        <v>4332</v>
      </c>
      <c r="B4333" s="2" t="s">
        <v>2231</v>
      </c>
      <c r="C4333" s="2" t="s">
        <v>5383</v>
      </c>
      <c r="D4333" s="2" t="s">
        <v>28</v>
      </c>
      <c r="E4333" s="2" t="s">
        <v>29</v>
      </c>
      <c r="F4333" s="2">
        <v>60</v>
      </c>
      <c r="G4333" s="2" t="s">
        <v>9369</v>
      </c>
      <c r="H4333" s="2" t="s">
        <v>1590</v>
      </c>
      <c r="I4333" s="2" t="s">
        <v>32</v>
      </c>
      <c r="J4333" s="3">
        <v>44655</v>
      </c>
      <c r="K4333" s="2">
        <v>99</v>
      </c>
      <c r="L4333" s="2" t="s">
        <v>39</v>
      </c>
      <c r="M4333" s="3"/>
    </row>
    <row r="4334" spans="1:13" x14ac:dyDescent="0.3">
      <c r="A4334" s="2">
        <v>4333</v>
      </c>
      <c r="B4334" s="2" t="s">
        <v>9370</v>
      </c>
      <c r="C4334" s="2" t="s">
        <v>4528</v>
      </c>
      <c r="D4334" s="2" t="s">
        <v>15</v>
      </c>
      <c r="E4334" s="2" t="s">
        <v>16</v>
      </c>
      <c r="F4334" s="2">
        <v>60</v>
      </c>
      <c r="G4334" s="2" t="s">
        <v>9371</v>
      </c>
      <c r="H4334" s="2" t="s">
        <v>3500</v>
      </c>
      <c r="I4334" s="2" t="s">
        <v>25</v>
      </c>
      <c r="J4334" s="3">
        <v>44103</v>
      </c>
      <c r="K4334" s="2">
        <v>3</v>
      </c>
      <c r="L4334" s="2" t="s">
        <v>45</v>
      </c>
      <c r="M4334" s="3"/>
    </row>
    <row r="4335" spans="1:13" x14ac:dyDescent="0.3">
      <c r="A4335" s="2">
        <v>4334</v>
      </c>
      <c r="B4335" s="2" t="s">
        <v>2060</v>
      </c>
      <c r="C4335" s="2" t="s">
        <v>8836</v>
      </c>
      <c r="D4335" s="2" t="s">
        <v>15</v>
      </c>
      <c r="E4335" s="2" t="s">
        <v>16</v>
      </c>
      <c r="F4335" s="2">
        <v>60</v>
      </c>
      <c r="G4335" s="2" t="s">
        <v>9372</v>
      </c>
      <c r="I4335" s="2" t="s">
        <v>366</v>
      </c>
      <c r="J4335" s="3">
        <v>44468</v>
      </c>
      <c r="K4335" s="2">
        <v>27</v>
      </c>
      <c r="L4335" s="2" t="s">
        <v>45</v>
      </c>
      <c r="M4335" s="3"/>
    </row>
    <row r="4336" spans="1:13" x14ac:dyDescent="0.3">
      <c r="A4336" s="2">
        <v>4335</v>
      </c>
      <c r="B4336" s="2" t="s">
        <v>5001</v>
      </c>
      <c r="C4336" s="2" t="s">
        <v>8514</v>
      </c>
      <c r="D4336" s="2" t="s">
        <v>51</v>
      </c>
      <c r="E4336" s="2" t="s">
        <v>16</v>
      </c>
      <c r="F4336" s="2">
        <v>90</v>
      </c>
      <c r="G4336" s="2" t="s">
        <v>9373</v>
      </c>
      <c r="H4336" s="2" t="s">
        <v>1384</v>
      </c>
      <c r="I4336" s="2" t="s">
        <v>32</v>
      </c>
      <c r="J4336" s="3">
        <v>44206</v>
      </c>
      <c r="K4336" s="2">
        <v>17</v>
      </c>
      <c r="L4336" s="2" t="s">
        <v>101</v>
      </c>
      <c r="M4336" s="3"/>
    </row>
    <row r="4337" spans="1:13" x14ac:dyDescent="0.3">
      <c r="A4337" s="2">
        <v>4336</v>
      </c>
      <c r="B4337" s="2" t="s">
        <v>9374</v>
      </c>
      <c r="C4337" s="2" t="s">
        <v>8563</v>
      </c>
      <c r="D4337" s="2" t="s">
        <v>15</v>
      </c>
      <c r="E4337" s="2" t="s">
        <v>16</v>
      </c>
      <c r="F4337" s="2">
        <v>30</v>
      </c>
      <c r="G4337" s="2" t="s">
        <v>9375</v>
      </c>
      <c r="H4337" s="2" t="s">
        <v>4567</v>
      </c>
      <c r="I4337" s="2" t="s">
        <v>38</v>
      </c>
      <c r="J4337" s="3">
        <v>43870</v>
      </c>
      <c r="K4337" s="2">
        <v>53</v>
      </c>
      <c r="L4337" s="2" t="s">
        <v>101</v>
      </c>
      <c r="M4337" s="3"/>
    </row>
    <row r="4338" spans="1:13" x14ac:dyDescent="0.3">
      <c r="A4338" s="2">
        <v>4337</v>
      </c>
      <c r="B4338" s="2" t="s">
        <v>9376</v>
      </c>
      <c r="C4338" s="2" t="s">
        <v>9377</v>
      </c>
      <c r="D4338" s="2" t="s">
        <v>51</v>
      </c>
      <c r="E4338" s="2" t="s">
        <v>16</v>
      </c>
      <c r="F4338" s="2">
        <v>60</v>
      </c>
      <c r="G4338" s="2" t="s">
        <v>9378</v>
      </c>
      <c r="H4338" s="2" t="s">
        <v>4541</v>
      </c>
      <c r="I4338" s="2" t="s">
        <v>89</v>
      </c>
      <c r="J4338" s="3">
        <v>44383</v>
      </c>
      <c r="K4338" s="2">
        <v>32</v>
      </c>
      <c r="L4338" s="2" t="s">
        <v>45</v>
      </c>
      <c r="M4338" s="3"/>
    </row>
    <row r="4339" spans="1:13" x14ac:dyDescent="0.3">
      <c r="A4339" s="2">
        <v>4338</v>
      </c>
      <c r="B4339" s="2" t="s">
        <v>9379</v>
      </c>
      <c r="C4339" s="2" t="s">
        <v>5258</v>
      </c>
      <c r="D4339" s="2" t="s">
        <v>92</v>
      </c>
      <c r="E4339" s="2" t="s">
        <v>16</v>
      </c>
      <c r="F4339" s="2">
        <v>90</v>
      </c>
      <c r="G4339" s="2" t="s">
        <v>9380</v>
      </c>
      <c r="H4339" s="2" t="s">
        <v>1896</v>
      </c>
      <c r="I4339" s="2" t="s">
        <v>294</v>
      </c>
      <c r="J4339" s="3">
        <v>44180</v>
      </c>
      <c r="K4339" s="2">
        <v>41</v>
      </c>
      <c r="L4339" s="2" t="s">
        <v>101</v>
      </c>
      <c r="M4339" s="3"/>
    </row>
    <row r="4340" spans="1:13" x14ac:dyDescent="0.3">
      <c r="A4340" s="2">
        <v>4339</v>
      </c>
      <c r="B4340" s="2" t="s">
        <v>2556</v>
      </c>
      <c r="C4340" s="2" t="s">
        <v>1727</v>
      </c>
      <c r="D4340" s="2" t="s">
        <v>28</v>
      </c>
      <c r="E4340" s="2" t="s">
        <v>29</v>
      </c>
      <c r="F4340" s="2">
        <v>90</v>
      </c>
      <c r="G4340" s="2" t="s">
        <v>9381</v>
      </c>
      <c r="H4340" s="2" t="s">
        <v>1751</v>
      </c>
      <c r="I4340" s="2" t="s">
        <v>32</v>
      </c>
      <c r="J4340" s="3">
        <v>44655</v>
      </c>
      <c r="K4340" s="2">
        <v>37</v>
      </c>
      <c r="L4340" s="2" t="s">
        <v>33</v>
      </c>
      <c r="M4340" s="3"/>
    </row>
    <row r="4341" spans="1:13" x14ac:dyDescent="0.3">
      <c r="A4341" s="2">
        <v>4340</v>
      </c>
      <c r="B4341" s="2" t="s">
        <v>9382</v>
      </c>
      <c r="C4341" s="2" t="s">
        <v>2422</v>
      </c>
      <c r="D4341" s="2" t="s">
        <v>51</v>
      </c>
      <c r="E4341" s="2" t="s">
        <v>16</v>
      </c>
      <c r="F4341" s="2">
        <v>90</v>
      </c>
      <c r="G4341" s="2" t="s">
        <v>9383</v>
      </c>
      <c r="H4341" s="2" t="s">
        <v>3466</v>
      </c>
      <c r="I4341" s="2" t="s">
        <v>32</v>
      </c>
      <c r="J4341" s="3">
        <v>44297</v>
      </c>
      <c r="K4341" s="2">
        <v>13</v>
      </c>
      <c r="L4341" s="2" t="s">
        <v>45</v>
      </c>
      <c r="M4341" s="3"/>
    </row>
    <row r="4342" spans="1:13" x14ac:dyDescent="0.3">
      <c r="A4342" s="2">
        <v>4341</v>
      </c>
      <c r="B4342" s="2" t="s">
        <v>8598</v>
      </c>
      <c r="C4342" s="2" t="s">
        <v>3829</v>
      </c>
      <c r="D4342" s="2" t="s">
        <v>92</v>
      </c>
      <c r="E4342" s="2" t="s">
        <v>29</v>
      </c>
      <c r="F4342" s="2">
        <v>60</v>
      </c>
      <c r="G4342" s="2" t="s">
        <v>9384</v>
      </c>
      <c r="H4342" s="2" t="s">
        <v>3409</v>
      </c>
      <c r="I4342" s="2" t="s">
        <v>95</v>
      </c>
      <c r="J4342" s="3">
        <v>43889</v>
      </c>
      <c r="K4342" s="2">
        <v>42</v>
      </c>
      <c r="L4342" s="2" t="s">
        <v>159</v>
      </c>
      <c r="M4342" s="3"/>
    </row>
    <row r="4343" spans="1:13" x14ac:dyDescent="0.3">
      <c r="A4343" s="2">
        <v>4342</v>
      </c>
      <c r="B4343" s="2" t="s">
        <v>4430</v>
      </c>
      <c r="C4343" s="2" t="s">
        <v>1596</v>
      </c>
      <c r="D4343" s="2" t="s">
        <v>28</v>
      </c>
      <c r="E4343" s="2" t="s">
        <v>29</v>
      </c>
      <c r="F4343" s="2">
        <v>90</v>
      </c>
      <c r="G4343" s="2" t="s">
        <v>9385</v>
      </c>
      <c r="H4343" s="2" t="s">
        <v>772</v>
      </c>
      <c r="I4343" s="2" t="s">
        <v>32</v>
      </c>
      <c r="J4343" s="3">
        <v>44234</v>
      </c>
      <c r="K4343" s="2">
        <v>73</v>
      </c>
      <c r="L4343" s="2" t="s">
        <v>45</v>
      </c>
      <c r="M4343" s="3"/>
    </row>
    <row r="4344" spans="1:13" x14ac:dyDescent="0.3">
      <c r="A4344" s="2">
        <v>4343</v>
      </c>
      <c r="B4344" s="2" t="s">
        <v>4647</v>
      </c>
      <c r="C4344" s="2" t="s">
        <v>5659</v>
      </c>
      <c r="D4344" s="2" t="s">
        <v>28</v>
      </c>
      <c r="E4344" s="2" t="s">
        <v>29</v>
      </c>
      <c r="F4344" s="2">
        <v>30</v>
      </c>
      <c r="G4344" s="2" t="s">
        <v>9386</v>
      </c>
      <c r="H4344" s="2" t="s">
        <v>570</v>
      </c>
      <c r="I4344" s="2" t="s">
        <v>187</v>
      </c>
      <c r="J4344" s="3">
        <v>44389</v>
      </c>
      <c r="K4344" s="2">
        <v>19</v>
      </c>
      <c r="L4344" s="2" t="s">
        <v>45</v>
      </c>
      <c r="M4344" s="3"/>
    </row>
    <row r="4345" spans="1:13" x14ac:dyDescent="0.3">
      <c r="A4345" s="2">
        <v>4344</v>
      </c>
      <c r="B4345" s="2" t="s">
        <v>2919</v>
      </c>
      <c r="C4345" s="2" t="s">
        <v>7177</v>
      </c>
      <c r="D4345" s="2" t="s">
        <v>28</v>
      </c>
      <c r="E4345" s="2" t="s">
        <v>29</v>
      </c>
      <c r="F4345" s="2">
        <v>90</v>
      </c>
      <c r="G4345" s="2" t="s">
        <v>9387</v>
      </c>
      <c r="H4345" s="2" t="s">
        <v>172</v>
      </c>
      <c r="I4345" s="2" t="s">
        <v>173</v>
      </c>
      <c r="J4345" s="3">
        <v>44542</v>
      </c>
      <c r="K4345" s="2">
        <v>7</v>
      </c>
      <c r="L4345" s="2" t="s">
        <v>20</v>
      </c>
      <c r="M4345" s="3"/>
    </row>
    <row r="4346" spans="1:13" x14ac:dyDescent="0.3">
      <c r="A4346" s="2">
        <v>4345</v>
      </c>
      <c r="B4346" s="2" t="s">
        <v>5350</v>
      </c>
      <c r="C4346" s="2" t="s">
        <v>7144</v>
      </c>
      <c r="D4346" s="2" t="s">
        <v>15</v>
      </c>
      <c r="E4346" s="2" t="s">
        <v>16</v>
      </c>
      <c r="F4346" s="2">
        <v>30</v>
      </c>
      <c r="G4346" s="2" t="s">
        <v>9388</v>
      </c>
      <c r="H4346" s="2" t="s">
        <v>9389</v>
      </c>
      <c r="I4346" s="2" t="s">
        <v>32</v>
      </c>
      <c r="J4346" s="3">
        <v>44427</v>
      </c>
      <c r="K4346" s="2">
        <v>6</v>
      </c>
      <c r="L4346" s="2" t="s">
        <v>20</v>
      </c>
      <c r="M4346" s="3"/>
    </row>
    <row r="4347" spans="1:13" x14ac:dyDescent="0.3">
      <c r="A4347" s="2">
        <v>4346</v>
      </c>
      <c r="B4347" s="2" t="s">
        <v>9390</v>
      </c>
      <c r="C4347" s="2" t="s">
        <v>1821</v>
      </c>
      <c r="D4347" s="2" t="s">
        <v>51</v>
      </c>
      <c r="E4347" s="2" t="s">
        <v>16</v>
      </c>
      <c r="F4347" s="2">
        <v>90</v>
      </c>
      <c r="G4347" s="2" t="s">
        <v>9391</v>
      </c>
      <c r="H4347" s="2" t="s">
        <v>3754</v>
      </c>
      <c r="I4347" s="2" t="s">
        <v>124</v>
      </c>
      <c r="J4347" s="3">
        <v>44489</v>
      </c>
      <c r="K4347" s="2">
        <v>71</v>
      </c>
      <c r="L4347" s="2" t="s">
        <v>45</v>
      </c>
      <c r="M4347" s="3"/>
    </row>
    <row r="4348" spans="1:13" x14ac:dyDescent="0.3">
      <c r="A4348" s="2">
        <v>4347</v>
      </c>
      <c r="B4348" s="2" t="s">
        <v>1312</v>
      </c>
      <c r="C4348" s="2" t="s">
        <v>8128</v>
      </c>
      <c r="D4348" s="2" t="s">
        <v>28</v>
      </c>
      <c r="E4348" s="2" t="s">
        <v>29</v>
      </c>
      <c r="F4348" s="2">
        <v>90</v>
      </c>
      <c r="G4348" s="2" t="s">
        <v>9392</v>
      </c>
      <c r="H4348" s="2" t="s">
        <v>5611</v>
      </c>
      <c r="I4348" s="2" t="s">
        <v>32</v>
      </c>
      <c r="J4348" s="3">
        <v>44521</v>
      </c>
      <c r="K4348" s="2">
        <v>88</v>
      </c>
      <c r="L4348" s="2" t="s">
        <v>101</v>
      </c>
      <c r="M4348" s="3"/>
    </row>
    <row r="4349" spans="1:13" x14ac:dyDescent="0.3">
      <c r="A4349" s="2">
        <v>4348</v>
      </c>
      <c r="B4349" s="2" t="s">
        <v>1065</v>
      </c>
      <c r="C4349" s="2" t="s">
        <v>2113</v>
      </c>
      <c r="D4349" s="2" t="s">
        <v>28</v>
      </c>
      <c r="E4349" s="2" t="s">
        <v>29</v>
      </c>
      <c r="F4349" s="2">
        <v>30</v>
      </c>
      <c r="G4349" s="2" t="s">
        <v>9393</v>
      </c>
      <c r="H4349" s="2" t="s">
        <v>5189</v>
      </c>
      <c r="I4349" s="2" t="s">
        <v>32</v>
      </c>
      <c r="J4349" s="3">
        <v>44174</v>
      </c>
      <c r="K4349" s="2">
        <v>72</v>
      </c>
      <c r="L4349" s="2" t="s">
        <v>70</v>
      </c>
      <c r="M4349" s="3"/>
    </row>
    <row r="4350" spans="1:13" x14ac:dyDescent="0.3">
      <c r="A4350" s="2">
        <v>4349</v>
      </c>
      <c r="B4350" s="2" t="s">
        <v>9394</v>
      </c>
      <c r="C4350" s="2" t="s">
        <v>928</v>
      </c>
      <c r="D4350" s="2" t="s">
        <v>28</v>
      </c>
      <c r="E4350" s="2" t="s">
        <v>29</v>
      </c>
      <c r="F4350" s="2">
        <v>90</v>
      </c>
      <c r="G4350" s="2" t="s">
        <v>9395</v>
      </c>
      <c r="H4350" s="2" t="s">
        <v>5647</v>
      </c>
      <c r="I4350" s="2" t="s">
        <v>38</v>
      </c>
      <c r="J4350" s="3">
        <v>44436</v>
      </c>
      <c r="K4350" s="2">
        <v>74</v>
      </c>
      <c r="L4350" s="2" t="s">
        <v>39</v>
      </c>
      <c r="M4350" s="3"/>
    </row>
    <row r="4351" spans="1:13" x14ac:dyDescent="0.3">
      <c r="A4351" s="2">
        <v>4350</v>
      </c>
      <c r="B4351" s="2" t="s">
        <v>1602</v>
      </c>
      <c r="C4351" s="2" t="s">
        <v>9396</v>
      </c>
      <c r="D4351" s="2" t="s">
        <v>28</v>
      </c>
      <c r="E4351" s="2" t="s">
        <v>29</v>
      </c>
      <c r="F4351" s="2">
        <v>30</v>
      </c>
      <c r="G4351" s="2" t="s">
        <v>9395</v>
      </c>
      <c r="H4351" s="2" t="s">
        <v>7752</v>
      </c>
      <c r="I4351" s="2" t="s">
        <v>32</v>
      </c>
      <c r="J4351" s="3">
        <v>44157</v>
      </c>
      <c r="K4351" s="2">
        <v>78</v>
      </c>
      <c r="L4351" s="2" t="s">
        <v>45</v>
      </c>
      <c r="M4351" s="3"/>
    </row>
    <row r="4352" spans="1:13" x14ac:dyDescent="0.3">
      <c r="A4352" s="2">
        <v>4351</v>
      </c>
      <c r="B4352" s="2" t="s">
        <v>5662</v>
      </c>
      <c r="C4352" s="2" t="s">
        <v>1230</v>
      </c>
      <c r="D4352" s="2" t="s">
        <v>28</v>
      </c>
      <c r="E4352" s="2" t="s">
        <v>29</v>
      </c>
      <c r="F4352" s="2">
        <v>30</v>
      </c>
      <c r="G4352" s="2" t="s">
        <v>9397</v>
      </c>
      <c r="H4352" s="2" t="s">
        <v>754</v>
      </c>
      <c r="I4352" s="2" t="s">
        <v>25</v>
      </c>
      <c r="J4352" s="3">
        <v>44175</v>
      </c>
      <c r="K4352" s="2">
        <v>73</v>
      </c>
      <c r="L4352" s="2" t="s">
        <v>70</v>
      </c>
      <c r="M4352" s="3"/>
    </row>
    <row r="4353" spans="1:13" x14ac:dyDescent="0.3">
      <c r="A4353" s="2">
        <v>4352</v>
      </c>
      <c r="B4353" s="2" t="s">
        <v>9398</v>
      </c>
      <c r="C4353" s="2" t="s">
        <v>7398</v>
      </c>
      <c r="D4353" s="2" t="s">
        <v>28</v>
      </c>
      <c r="E4353" s="2" t="s">
        <v>29</v>
      </c>
      <c r="F4353" s="2">
        <v>90</v>
      </c>
      <c r="G4353" s="2" t="s">
        <v>9399</v>
      </c>
      <c r="H4353" s="2" t="s">
        <v>2950</v>
      </c>
      <c r="I4353" s="2" t="s">
        <v>38</v>
      </c>
      <c r="J4353" s="3">
        <v>44823</v>
      </c>
      <c r="K4353" s="2">
        <v>21</v>
      </c>
      <c r="L4353" s="2" t="s">
        <v>64</v>
      </c>
      <c r="M4353" s="3"/>
    </row>
    <row r="4354" spans="1:13" x14ac:dyDescent="0.3">
      <c r="A4354" s="2">
        <v>4353</v>
      </c>
      <c r="B4354" s="2" t="s">
        <v>4740</v>
      </c>
      <c r="C4354" s="2" t="s">
        <v>3712</v>
      </c>
      <c r="D4354" s="2" t="s">
        <v>15</v>
      </c>
      <c r="E4354" s="2" t="s">
        <v>16</v>
      </c>
      <c r="F4354" s="2">
        <v>30</v>
      </c>
      <c r="G4354" s="2" t="s">
        <v>9400</v>
      </c>
      <c r="H4354" s="2" t="s">
        <v>217</v>
      </c>
      <c r="I4354" s="2" t="s">
        <v>124</v>
      </c>
      <c r="J4354" s="3">
        <v>44436</v>
      </c>
      <c r="K4354" s="2">
        <v>34</v>
      </c>
      <c r="L4354" s="2" t="s">
        <v>45</v>
      </c>
      <c r="M4354" s="3"/>
    </row>
    <row r="4355" spans="1:13" x14ac:dyDescent="0.3">
      <c r="A4355" s="2">
        <v>4354</v>
      </c>
      <c r="B4355" s="2" t="s">
        <v>2263</v>
      </c>
      <c r="C4355" s="2" t="s">
        <v>1386</v>
      </c>
      <c r="D4355" s="2" t="s">
        <v>621</v>
      </c>
      <c r="E4355" s="2" t="s">
        <v>29</v>
      </c>
      <c r="F4355" s="2">
        <v>90</v>
      </c>
      <c r="G4355" s="2" t="s">
        <v>9401</v>
      </c>
      <c r="H4355" s="2" t="s">
        <v>408</v>
      </c>
      <c r="I4355" s="2" t="s">
        <v>25</v>
      </c>
      <c r="J4355" s="3">
        <v>43982</v>
      </c>
      <c r="K4355" s="2">
        <v>30</v>
      </c>
      <c r="L4355" s="2" t="s">
        <v>39</v>
      </c>
      <c r="M4355" s="3"/>
    </row>
    <row r="4356" spans="1:13" x14ac:dyDescent="0.3">
      <c r="A4356" s="2">
        <v>4355</v>
      </c>
      <c r="B4356" s="2" t="s">
        <v>2263</v>
      </c>
      <c r="C4356" s="2" t="s">
        <v>1386</v>
      </c>
      <c r="D4356" s="2" t="s">
        <v>621</v>
      </c>
      <c r="E4356" s="2" t="s">
        <v>29</v>
      </c>
      <c r="F4356" s="2">
        <v>90</v>
      </c>
      <c r="G4356" s="2" t="s">
        <v>9401</v>
      </c>
      <c r="H4356" s="2" t="s">
        <v>408</v>
      </c>
      <c r="I4356" s="2" t="s">
        <v>25</v>
      </c>
      <c r="J4356" s="3">
        <v>43982</v>
      </c>
      <c r="K4356" s="2">
        <v>30</v>
      </c>
      <c r="L4356" s="2" t="s">
        <v>39</v>
      </c>
      <c r="M4356" s="3"/>
    </row>
    <row r="4357" spans="1:13" x14ac:dyDescent="0.3">
      <c r="A4357" s="2">
        <v>4356</v>
      </c>
      <c r="B4357" s="2" t="s">
        <v>3623</v>
      </c>
      <c r="C4357" s="2" t="s">
        <v>4531</v>
      </c>
      <c r="D4357" s="2" t="s">
        <v>28</v>
      </c>
      <c r="E4357" s="2" t="s">
        <v>29</v>
      </c>
      <c r="F4357" s="2">
        <v>30</v>
      </c>
      <c r="G4357" s="2" t="s">
        <v>9402</v>
      </c>
      <c r="H4357" s="2" t="s">
        <v>978</v>
      </c>
      <c r="I4357" s="2" t="s">
        <v>294</v>
      </c>
      <c r="J4357" s="3">
        <v>44729</v>
      </c>
      <c r="K4357" s="2">
        <v>95</v>
      </c>
      <c r="L4357" s="2" t="s">
        <v>159</v>
      </c>
      <c r="M4357" s="3"/>
    </row>
    <row r="4358" spans="1:13" x14ac:dyDescent="0.3">
      <c r="A4358" s="2">
        <v>4357</v>
      </c>
      <c r="B4358" s="2" t="s">
        <v>9403</v>
      </c>
      <c r="C4358" s="2" t="s">
        <v>5215</v>
      </c>
      <c r="D4358" s="2" t="s">
        <v>15</v>
      </c>
      <c r="E4358" s="2" t="s">
        <v>16</v>
      </c>
      <c r="F4358" s="2">
        <v>60</v>
      </c>
      <c r="G4358" s="2" t="s">
        <v>9404</v>
      </c>
      <c r="H4358" s="2" t="s">
        <v>4133</v>
      </c>
      <c r="I4358" s="2" t="s">
        <v>32</v>
      </c>
      <c r="J4358" s="3">
        <v>43856</v>
      </c>
      <c r="K4358" s="2">
        <v>47</v>
      </c>
      <c r="L4358" s="2" t="s">
        <v>45</v>
      </c>
      <c r="M4358" s="3"/>
    </row>
    <row r="4359" spans="1:13" x14ac:dyDescent="0.3">
      <c r="A4359" s="2">
        <v>4358</v>
      </c>
      <c r="B4359" s="2" t="s">
        <v>5479</v>
      </c>
      <c r="C4359" s="2" t="s">
        <v>1706</v>
      </c>
      <c r="D4359" s="2" t="s">
        <v>28</v>
      </c>
      <c r="E4359" s="2" t="s">
        <v>29</v>
      </c>
      <c r="F4359" s="2">
        <v>30</v>
      </c>
      <c r="G4359" s="2" t="s">
        <v>9405</v>
      </c>
      <c r="H4359" s="2" t="s">
        <v>4587</v>
      </c>
      <c r="I4359" s="2" t="s">
        <v>32</v>
      </c>
      <c r="J4359" s="3">
        <v>44642</v>
      </c>
      <c r="K4359" s="2">
        <v>100</v>
      </c>
      <c r="L4359" s="2" t="s">
        <v>64</v>
      </c>
      <c r="M4359" s="3"/>
    </row>
    <row r="4360" spans="1:13" x14ac:dyDescent="0.3">
      <c r="A4360" s="2">
        <v>4359</v>
      </c>
      <c r="B4360" s="2" t="s">
        <v>3429</v>
      </c>
      <c r="C4360" s="2" t="s">
        <v>344</v>
      </c>
      <c r="D4360" s="2" t="s">
        <v>28</v>
      </c>
      <c r="E4360" s="2" t="s">
        <v>29</v>
      </c>
      <c r="F4360" s="2">
        <v>30</v>
      </c>
      <c r="G4360" s="2" t="s">
        <v>9406</v>
      </c>
      <c r="H4360" s="2" t="s">
        <v>641</v>
      </c>
      <c r="I4360" s="2" t="s">
        <v>294</v>
      </c>
      <c r="J4360" s="3">
        <v>43897</v>
      </c>
      <c r="K4360" s="2">
        <v>55</v>
      </c>
      <c r="L4360" s="2" t="s">
        <v>39</v>
      </c>
      <c r="M4360" s="3"/>
    </row>
    <row r="4361" spans="1:13" x14ac:dyDescent="0.3">
      <c r="A4361" s="2">
        <v>4360</v>
      </c>
      <c r="B4361" s="2" t="s">
        <v>9407</v>
      </c>
      <c r="C4361" s="2" t="s">
        <v>6547</v>
      </c>
      <c r="D4361" s="2" t="s">
        <v>51</v>
      </c>
      <c r="E4361" s="2" t="s">
        <v>16</v>
      </c>
      <c r="F4361" s="2">
        <v>30</v>
      </c>
      <c r="G4361" s="2" t="s">
        <v>9408</v>
      </c>
      <c r="H4361" s="2" t="s">
        <v>1052</v>
      </c>
      <c r="I4361" s="2" t="s">
        <v>32</v>
      </c>
      <c r="J4361" s="3">
        <v>44718</v>
      </c>
      <c r="K4361" s="2">
        <v>3</v>
      </c>
      <c r="L4361" s="2" t="s">
        <v>101</v>
      </c>
      <c r="M4361" s="3"/>
    </row>
    <row r="4362" spans="1:13" x14ac:dyDescent="0.3">
      <c r="A4362" s="2">
        <v>4361</v>
      </c>
      <c r="B4362" s="2" t="s">
        <v>9409</v>
      </c>
      <c r="C4362" s="2" t="s">
        <v>2167</v>
      </c>
      <c r="D4362" s="2" t="s">
        <v>51</v>
      </c>
      <c r="E4362" s="2" t="s">
        <v>16</v>
      </c>
      <c r="F4362" s="2">
        <v>90</v>
      </c>
      <c r="G4362" s="2" t="s">
        <v>9410</v>
      </c>
      <c r="H4362" s="2" t="s">
        <v>1741</v>
      </c>
      <c r="I4362" s="2" t="s">
        <v>173</v>
      </c>
      <c r="J4362" s="3">
        <v>44008</v>
      </c>
      <c r="K4362" s="2">
        <v>80</v>
      </c>
      <c r="L4362" s="2" t="s">
        <v>33</v>
      </c>
      <c r="M4362" s="3"/>
    </row>
    <row r="4363" spans="1:13" x14ac:dyDescent="0.3">
      <c r="A4363" s="2">
        <v>4362</v>
      </c>
      <c r="B4363" s="2" t="s">
        <v>5161</v>
      </c>
      <c r="C4363" s="2" t="s">
        <v>6420</v>
      </c>
      <c r="D4363" s="2" t="s">
        <v>117</v>
      </c>
      <c r="E4363" s="2" t="s">
        <v>29</v>
      </c>
      <c r="F4363" s="2">
        <v>60</v>
      </c>
      <c r="G4363" s="2" t="s">
        <v>9411</v>
      </c>
      <c r="H4363" s="2" t="s">
        <v>3399</v>
      </c>
      <c r="I4363" s="2" t="s">
        <v>124</v>
      </c>
      <c r="J4363" s="3">
        <v>44786</v>
      </c>
      <c r="K4363" s="2">
        <v>33</v>
      </c>
      <c r="L4363" s="2" t="s">
        <v>80</v>
      </c>
      <c r="M4363" s="3"/>
    </row>
    <row r="4364" spans="1:13" x14ac:dyDescent="0.3">
      <c r="A4364" s="2">
        <v>4363</v>
      </c>
      <c r="B4364" s="2" t="s">
        <v>5062</v>
      </c>
      <c r="C4364" s="2" t="s">
        <v>332</v>
      </c>
      <c r="D4364" s="2" t="s">
        <v>28</v>
      </c>
      <c r="E4364" s="2" t="s">
        <v>29</v>
      </c>
      <c r="F4364" s="2">
        <v>90</v>
      </c>
      <c r="G4364" s="2" t="s">
        <v>9412</v>
      </c>
      <c r="H4364" s="2" t="s">
        <v>3122</v>
      </c>
      <c r="I4364" s="2" t="s">
        <v>1035</v>
      </c>
      <c r="J4364" s="3">
        <v>44367</v>
      </c>
      <c r="K4364" s="2">
        <v>34</v>
      </c>
      <c r="L4364" s="2" t="s">
        <v>54</v>
      </c>
      <c r="M4364" s="3"/>
    </row>
    <row r="4365" spans="1:13" x14ac:dyDescent="0.3">
      <c r="A4365" s="2">
        <v>4364</v>
      </c>
      <c r="B4365" s="2" t="s">
        <v>9413</v>
      </c>
      <c r="C4365" s="2" t="s">
        <v>5295</v>
      </c>
      <c r="D4365" s="2" t="s">
        <v>51</v>
      </c>
      <c r="E4365" s="2" t="s">
        <v>16</v>
      </c>
      <c r="F4365" s="2">
        <v>30</v>
      </c>
      <c r="G4365" s="2" t="s">
        <v>9414</v>
      </c>
      <c r="H4365" s="2" t="s">
        <v>9415</v>
      </c>
      <c r="I4365" s="2" t="s">
        <v>32</v>
      </c>
      <c r="J4365" s="3">
        <v>44529</v>
      </c>
      <c r="K4365" s="2">
        <v>77</v>
      </c>
      <c r="L4365" s="2" t="s">
        <v>64</v>
      </c>
      <c r="M4365" s="3"/>
    </row>
    <row r="4366" spans="1:13" x14ac:dyDescent="0.3">
      <c r="A4366" s="2">
        <v>4365</v>
      </c>
      <c r="B4366" s="2" t="s">
        <v>6912</v>
      </c>
      <c r="C4366" s="2" t="s">
        <v>268</v>
      </c>
      <c r="D4366" s="2" t="s">
        <v>15</v>
      </c>
      <c r="E4366" s="2" t="s">
        <v>16</v>
      </c>
      <c r="F4366" s="2">
        <v>60</v>
      </c>
      <c r="G4366" s="2" t="s">
        <v>9414</v>
      </c>
      <c r="H4366" s="2" t="s">
        <v>5686</v>
      </c>
      <c r="I4366" s="2" t="s">
        <v>32</v>
      </c>
      <c r="J4366" s="3">
        <v>44821</v>
      </c>
      <c r="K4366" s="2">
        <v>32</v>
      </c>
      <c r="L4366" s="2" t="s">
        <v>54</v>
      </c>
      <c r="M4366" s="3"/>
    </row>
    <row r="4367" spans="1:13" x14ac:dyDescent="0.3">
      <c r="A4367" s="2">
        <v>4366</v>
      </c>
      <c r="B4367" s="2" t="s">
        <v>6711</v>
      </c>
      <c r="C4367" s="2" t="s">
        <v>139</v>
      </c>
      <c r="D4367" s="2" t="s">
        <v>51</v>
      </c>
      <c r="E4367" s="2" t="s">
        <v>16</v>
      </c>
      <c r="F4367" s="2">
        <v>60</v>
      </c>
      <c r="G4367" s="2" t="s">
        <v>9416</v>
      </c>
      <c r="H4367" s="2" t="s">
        <v>3746</v>
      </c>
      <c r="I4367" s="2" t="s">
        <v>32</v>
      </c>
      <c r="J4367" s="3">
        <v>44062</v>
      </c>
      <c r="K4367" s="2">
        <v>52</v>
      </c>
      <c r="L4367" s="2" t="s">
        <v>54</v>
      </c>
      <c r="M4367" s="3"/>
    </row>
    <row r="4368" spans="1:13" x14ac:dyDescent="0.3">
      <c r="A4368" s="2">
        <v>4367</v>
      </c>
      <c r="B4368" s="2" t="s">
        <v>6665</v>
      </c>
      <c r="C4368" s="2" t="s">
        <v>2448</v>
      </c>
      <c r="D4368" s="2" t="s">
        <v>51</v>
      </c>
      <c r="E4368" s="2" t="s">
        <v>16</v>
      </c>
      <c r="F4368" s="2">
        <v>30</v>
      </c>
      <c r="G4368" s="2" t="s">
        <v>9417</v>
      </c>
      <c r="H4368" s="2" t="s">
        <v>9418</v>
      </c>
      <c r="I4368" s="2" t="s">
        <v>1889</v>
      </c>
      <c r="J4368" s="3">
        <v>44296</v>
      </c>
      <c r="K4368" s="2">
        <v>86</v>
      </c>
      <c r="L4368" s="2" t="s">
        <v>45</v>
      </c>
      <c r="M4368" s="3"/>
    </row>
    <row r="4369" spans="1:13" x14ac:dyDescent="0.3">
      <c r="A4369" s="2">
        <v>4368</v>
      </c>
      <c r="B4369" s="2" t="s">
        <v>209</v>
      </c>
      <c r="C4369" s="2" t="s">
        <v>953</v>
      </c>
      <c r="D4369" s="2" t="s">
        <v>28</v>
      </c>
      <c r="E4369" s="2" t="s">
        <v>29</v>
      </c>
      <c r="F4369" s="2">
        <v>90</v>
      </c>
      <c r="G4369" s="2" t="s">
        <v>9419</v>
      </c>
      <c r="H4369" s="2" t="s">
        <v>1969</v>
      </c>
      <c r="I4369" s="2" t="s">
        <v>32</v>
      </c>
      <c r="J4369" s="3">
        <v>44806</v>
      </c>
      <c r="K4369" s="2">
        <v>34</v>
      </c>
      <c r="L4369" s="2" t="s">
        <v>70</v>
      </c>
      <c r="M4369" s="3"/>
    </row>
    <row r="4370" spans="1:13" x14ac:dyDescent="0.3">
      <c r="A4370" s="2">
        <v>4369</v>
      </c>
      <c r="B4370" s="2" t="s">
        <v>9420</v>
      </c>
      <c r="C4370" s="2" t="s">
        <v>6055</v>
      </c>
      <c r="D4370" s="2" t="s">
        <v>15</v>
      </c>
      <c r="E4370" s="2" t="s">
        <v>16</v>
      </c>
      <c r="F4370" s="2">
        <v>90</v>
      </c>
      <c r="G4370" s="2" t="s">
        <v>9421</v>
      </c>
      <c r="H4370" s="2" t="s">
        <v>7118</v>
      </c>
      <c r="I4370" s="2" t="s">
        <v>2022</v>
      </c>
      <c r="J4370" s="3">
        <v>44552</v>
      </c>
      <c r="K4370" s="2">
        <v>11</v>
      </c>
      <c r="L4370" s="2" t="s">
        <v>54</v>
      </c>
      <c r="M4370" s="3"/>
    </row>
    <row r="4371" spans="1:13" x14ac:dyDescent="0.3">
      <c r="A4371" s="2">
        <v>4370</v>
      </c>
      <c r="B4371" s="2" t="s">
        <v>9422</v>
      </c>
      <c r="C4371" s="2" t="s">
        <v>8064</v>
      </c>
      <c r="D4371" s="2" t="s">
        <v>15</v>
      </c>
      <c r="E4371" s="2" t="s">
        <v>16</v>
      </c>
      <c r="F4371" s="2">
        <v>90</v>
      </c>
      <c r="G4371" s="2" t="s">
        <v>9423</v>
      </c>
      <c r="H4371" s="2" t="s">
        <v>4662</v>
      </c>
      <c r="I4371" s="2" t="s">
        <v>32</v>
      </c>
      <c r="J4371" s="3">
        <v>44266</v>
      </c>
      <c r="K4371" s="2">
        <v>40</v>
      </c>
      <c r="L4371" s="2" t="s">
        <v>33</v>
      </c>
      <c r="M4371" s="3"/>
    </row>
    <row r="4372" spans="1:13" x14ac:dyDescent="0.3">
      <c r="A4372" s="2">
        <v>4371</v>
      </c>
      <c r="B4372" s="2" t="s">
        <v>40</v>
      </c>
      <c r="C4372" s="2" t="s">
        <v>9424</v>
      </c>
      <c r="D4372" s="2" t="s">
        <v>51</v>
      </c>
      <c r="E4372" s="2" t="s">
        <v>16</v>
      </c>
      <c r="F4372" s="2">
        <v>90</v>
      </c>
      <c r="G4372" s="2" t="s">
        <v>9425</v>
      </c>
      <c r="H4372" s="2" t="s">
        <v>7269</v>
      </c>
      <c r="I4372" s="2" t="s">
        <v>187</v>
      </c>
      <c r="J4372" s="3">
        <v>44744</v>
      </c>
      <c r="K4372" s="2">
        <v>35</v>
      </c>
      <c r="L4372" s="2" t="s">
        <v>70</v>
      </c>
      <c r="M4372" s="3"/>
    </row>
    <row r="4373" spans="1:13" x14ac:dyDescent="0.3">
      <c r="A4373" s="2">
        <v>4372</v>
      </c>
      <c r="B4373" s="2" t="s">
        <v>2430</v>
      </c>
      <c r="C4373" s="2" t="s">
        <v>9170</v>
      </c>
      <c r="D4373" s="2" t="s">
        <v>28</v>
      </c>
      <c r="E4373" s="2" t="s">
        <v>29</v>
      </c>
      <c r="F4373" s="2">
        <v>30</v>
      </c>
      <c r="G4373" s="2" t="s">
        <v>9426</v>
      </c>
      <c r="H4373" s="2" t="s">
        <v>2084</v>
      </c>
      <c r="I4373" s="2" t="s">
        <v>294</v>
      </c>
      <c r="J4373" s="3">
        <v>43988</v>
      </c>
      <c r="K4373" s="2">
        <v>59</v>
      </c>
      <c r="L4373" s="2" t="s">
        <v>159</v>
      </c>
      <c r="M4373" s="3"/>
    </row>
    <row r="4374" spans="1:13" x14ac:dyDescent="0.3">
      <c r="A4374" s="2">
        <v>4373</v>
      </c>
      <c r="B4374" s="2" t="s">
        <v>2289</v>
      </c>
      <c r="C4374" s="2" t="s">
        <v>4113</v>
      </c>
      <c r="D4374" s="2" t="s">
        <v>15</v>
      </c>
      <c r="E4374" s="2" t="s">
        <v>16</v>
      </c>
      <c r="F4374" s="2">
        <v>90</v>
      </c>
      <c r="G4374" s="2" t="s">
        <v>9427</v>
      </c>
      <c r="H4374" s="2" t="s">
        <v>203</v>
      </c>
      <c r="I4374" s="2" t="s">
        <v>32</v>
      </c>
      <c r="J4374" s="3">
        <v>44480</v>
      </c>
      <c r="K4374" s="2">
        <v>23</v>
      </c>
      <c r="L4374" s="2" t="s">
        <v>33</v>
      </c>
      <c r="M4374" s="3"/>
    </row>
    <row r="4375" spans="1:13" x14ac:dyDescent="0.3">
      <c r="A4375" s="2">
        <v>4374</v>
      </c>
      <c r="B4375" s="2" t="s">
        <v>9428</v>
      </c>
      <c r="C4375" s="2" t="s">
        <v>9429</v>
      </c>
      <c r="D4375" s="2" t="s">
        <v>15</v>
      </c>
      <c r="E4375" s="2" t="s">
        <v>16</v>
      </c>
      <c r="F4375" s="2">
        <v>60</v>
      </c>
      <c r="G4375" s="2" t="s">
        <v>9430</v>
      </c>
      <c r="H4375" s="2" t="s">
        <v>7175</v>
      </c>
      <c r="I4375" s="2" t="s">
        <v>32</v>
      </c>
      <c r="J4375" s="3">
        <v>44244</v>
      </c>
      <c r="K4375" s="2">
        <v>68</v>
      </c>
      <c r="L4375" s="2" t="s">
        <v>20</v>
      </c>
      <c r="M4375" s="3"/>
    </row>
    <row r="4376" spans="1:13" x14ac:dyDescent="0.3">
      <c r="A4376" s="2">
        <v>4375</v>
      </c>
      <c r="B4376" s="2" t="s">
        <v>480</v>
      </c>
      <c r="C4376" s="2" t="s">
        <v>9170</v>
      </c>
      <c r="D4376" s="2" t="s">
        <v>51</v>
      </c>
      <c r="E4376" s="2" t="s">
        <v>16</v>
      </c>
      <c r="F4376" s="2">
        <v>90</v>
      </c>
      <c r="G4376" s="2" t="s">
        <v>9431</v>
      </c>
      <c r="H4376" s="2" t="s">
        <v>655</v>
      </c>
      <c r="I4376" s="2" t="s">
        <v>32</v>
      </c>
      <c r="J4376" s="3">
        <v>44341</v>
      </c>
      <c r="K4376" s="2">
        <v>89</v>
      </c>
      <c r="L4376" s="2" t="s">
        <v>45</v>
      </c>
      <c r="M4376" s="3"/>
    </row>
    <row r="4377" spans="1:13" x14ac:dyDescent="0.3">
      <c r="A4377" s="2">
        <v>4376</v>
      </c>
      <c r="B4377" s="2" t="s">
        <v>480</v>
      </c>
      <c r="C4377" s="2" t="s">
        <v>9170</v>
      </c>
      <c r="D4377" s="2" t="s">
        <v>51</v>
      </c>
      <c r="E4377" s="2" t="s">
        <v>16</v>
      </c>
      <c r="F4377" s="2">
        <v>90</v>
      </c>
      <c r="G4377" s="2" t="s">
        <v>9431</v>
      </c>
      <c r="H4377" s="2" t="s">
        <v>655</v>
      </c>
      <c r="I4377" s="2" t="s">
        <v>32</v>
      </c>
      <c r="J4377" s="3">
        <v>44341</v>
      </c>
      <c r="K4377" s="2">
        <v>89</v>
      </c>
      <c r="L4377" s="2" t="s">
        <v>45</v>
      </c>
      <c r="M4377" s="3"/>
    </row>
    <row r="4378" spans="1:13" x14ac:dyDescent="0.3">
      <c r="A4378" s="2">
        <v>4377</v>
      </c>
      <c r="B4378" s="2" t="s">
        <v>9432</v>
      </c>
      <c r="C4378" s="2" t="s">
        <v>6204</v>
      </c>
      <c r="D4378" s="2" t="s">
        <v>51</v>
      </c>
      <c r="E4378" s="2" t="s">
        <v>16</v>
      </c>
      <c r="F4378" s="2">
        <v>30</v>
      </c>
      <c r="G4378" s="2" t="s">
        <v>9433</v>
      </c>
      <c r="H4378" s="2" t="s">
        <v>1945</v>
      </c>
      <c r="I4378" s="2" t="s">
        <v>32</v>
      </c>
      <c r="J4378" s="3">
        <v>44393</v>
      </c>
      <c r="K4378" s="2">
        <v>64</v>
      </c>
      <c r="L4378" s="2" t="s">
        <v>33</v>
      </c>
      <c r="M4378" s="3"/>
    </row>
    <row r="4379" spans="1:13" x14ac:dyDescent="0.3">
      <c r="A4379" s="2">
        <v>4378</v>
      </c>
      <c r="B4379" s="2" t="s">
        <v>8647</v>
      </c>
      <c r="C4379" s="2" t="s">
        <v>5306</v>
      </c>
      <c r="D4379" s="2" t="s">
        <v>51</v>
      </c>
      <c r="E4379" s="2" t="s">
        <v>16</v>
      </c>
      <c r="F4379" s="2">
        <v>30</v>
      </c>
      <c r="G4379" s="2" t="s">
        <v>9434</v>
      </c>
      <c r="H4379" s="2" t="s">
        <v>3695</v>
      </c>
      <c r="I4379" s="2" t="s">
        <v>173</v>
      </c>
      <c r="J4379" s="3">
        <v>44410</v>
      </c>
      <c r="K4379" s="2">
        <v>75</v>
      </c>
      <c r="L4379" s="2" t="s">
        <v>101</v>
      </c>
      <c r="M4379" s="3"/>
    </row>
    <row r="4380" spans="1:13" x14ac:dyDescent="0.3">
      <c r="A4380" s="2">
        <v>4379</v>
      </c>
      <c r="B4380" s="2" t="s">
        <v>9435</v>
      </c>
      <c r="C4380" s="2" t="s">
        <v>2941</v>
      </c>
      <c r="D4380" s="2" t="s">
        <v>15</v>
      </c>
      <c r="E4380" s="2" t="s">
        <v>16</v>
      </c>
      <c r="F4380" s="2">
        <v>60</v>
      </c>
      <c r="G4380" s="2" t="s">
        <v>9436</v>
      </c>
      <c r="H4380" s="2" t="s">
        <v>1605</v>
      </c>
      <c r="I4380" s="2" t="s">
        <v>32</v>
      </c>
      <c r="J4380" s="3">
        <v>44235</v>
      </c>
      <c r="K4380" s="2">
        <v>61</v>
      </c>
      <c r="L4380" s="2" t="s">
        <v>54</v>
      </c>
      <c r="M4380" s="3"/>
    </row>
    <row r="4381" spans="1:13" x14ac:dyDescent="0.3">
      <c r="A4381" s="2">
        <v>4380</v>
      </c>
      <c r="B4381" s="2" t="s">
        <v>9437</v>
      </c>
      <c r="C4381" s="2" t="s">
        <v>6798</v>
      </c>
      <c r="D4381" s="2" t="s">
        <v>28</v>
      </c>
      <c r="E4381" s="2" t="s">
        <v>29</v>
      </c>
      <c r="F4381" s="2">
        <v>30</v>
      </c>
      <c r="G4381" s="2" t="s">
        <v>9438</v>
      </c>
      <c r="H4381" s="2" t="s">
        <v>1052</v>
      </c>
      <c r="I4381" s="2" t="s">
        <v>32</v>
      </c>
      <c r="J4381" s="3">
        <v>44014</v>
      </c>
      <c r="K4381" s="2">
        <v>57</v>
      </c>
      <c r="L4381" s="2" t="s">
        <v>39</v>
      </c>
      <c r="M4381" s="3"/>
    </row>
    <row r="4382" spans="1:13" x14ac:dyDescent="0.3">
      <c r="A4382" s="2">
        <v>4381</v>
      </c>
      <c r="B4382" s="2" t="s">
        <v>4251</v>
      </c>
      <c r="C4382" s="2" t="s">
        <v>1721</v>
      </c>
      <c r="D4382" s="2" t="s">
        <v>28</v>
      </c>
      <c r="E4382" s="2" t="s">
        <v>29</v>
      </c>
      <c r="F4382" s="2">
        <v>30</v>
      </c>
      <c r="G4382" s="2" t="s">
        <v>9439</v>
      </c>
      <c r="H4382" s="2" t="s">
        <v>1804</v>
      </c>
      <c r="I4382" s="2" t="s">
        <v>32</v>
      </c>
      <c r="J4382" s="3">
        <v>44468</v>
      </c>
      <c r="K4382" s="2">
        <v>41</v>
      </c>
      <c r="L4382" s="2" t="s">
        <v>101</v>
      </c>
      <c r="M4382" s="3"/>
    </row>
    <row r="4383" spans="1:13" x14ac:dyDescent="0.3">
      <c r="A4383" s="2">
        <v>4382</v>
      </c>
      <c r="B4383" s="2" t="s">
        <v>1187</v>
      </c>
      <c r="C4383" s="2" t="s">
        <v>5142</v>
      </c>
      <c r="D4383" s="2" t="s">
        <v>28</v>
      </c>
      <c r="E4383" s="2" t="s">
        <v>29</v>
      </c>
      <c r="F4383" s="2">
        <v>60</v>
      </c>
      <c r="G4383" s="2" t="s">
        <v>9440</v>
      </c>
      <c r="H4383" s="2" t="s">
        <v>5473</v>
      </c>
      <c r="I4383" s="2" t="s">
        <v>240</v>
      </c>
      <c r="J4383" s="3">
        <v>44750</v>
      </c>
      <c r="K4383" s="2">
        <v>55</v>
      </c>
      <c r="L4383" s="2" t="s">
        <v>80</v>
      </c>
      <c r="M4383" s="3"/>
    </row>
    <row r="4384" spans="1:13" x14ac:dyDescent="0.3">
      <c r="A4384" s="2">
        <v>4383</v>
      </c>
      <c r="B4384" s="2" t="s">
        <v>9441</v>
      </c>
      <c r="C4384" s="2" t="s">
        <v>7016</v>
      </c>
      <c r="D4384" s="2" t="s">
        <v>15</v>
      </c>
      <c r="E4384" s="2" t="s">
        <v>16</v>
      </c>
      <c r="F4384" s="2">
        <v>90</v>
      </c>
      <c r="G4384" s="2" t="s">
        <v>9442</v>
      </c>
      <c r="H4384" s="2" t="s">
        <v>6249</v>
      </c>
      <c r="I4384" s="2" t="s">
        <v>38</v>
      </c>
      <c r="J4384" s="3">
        <v>44375</v>
      </c>
      <c r="K4384" s="2">
        <v>78</v>
      </c>
      <c r="L4384" s="2" t="s">
        <v>20</v>
      </c>
      <c r="M4384" s="3"/>
    </row>
    <row r="4385" spans="1:13" x14ac:dyDescent="0.3">
      <c r="A4385" s="2">
        <v>4384</v>
      </c>
      <c r="B4385" s="2" t="s">
        <v>2852</v>
      </c>
      <c r="C4385" s="2" t="s">
        <v>672</v>
      </c>
      <c r="D4385" s="2" t="s">
        <v>15</v>
      </c>
      <c r="E4385" s="2" t="s">
        <v>16</v>
      </c>
      <c r="F4385" s="2">
        <v>90</v>
      </c>
      <c r="G4385" s="2" t="s">
        <v>9443</v>
      </c>
      <c r="H4385" s="2" t="s">
        <v>9444</v>
      </c>
      <c r="I4385" s="2" t="s">
        <v>1454</v>
      </c>
      <c r="J4385" s="3">
        <v>43832</v>
      </c>
      <c r="K4385" s="2">
        <v>21</v>
      </c>
      <c r="L4385" s="2" t="s">
        <v>101</v>
      </c>
      <c r="M4385" s="3"/>
    </row>
    <row r="4386" spans="1:13" x14ac:dyDescent="0.3">
      <c r="A4386" s="2">
        <v>4385</v>
      </c>
      <c r="B4386" s="2" t="s">
        <v>9445</v>
      </c>
      <c r="C4386" s="2" t="s">
        <v>295</v>
      </c>
      <c r="D4386" s="2" t="s">
        <v>15</v>
      </c>
      <c r="E4386" s="2" t="s">
        <v>16</v>
      </c>
      <c r="F4386" s="2">
        <v>30</v>
      </c>
      <c r="G4386" s="2" t="s">
        <v>9446</v>
      </c>
      <c r="H4386" s="2" t="s">
        <v>2401</v>
      </c>
      <c r="I4386" s="2" t="s">
        <v>178</v>
      </c>
      <c r="J4386" s="3">
        <v>44343</v>
      </c>
      <c r="K4386" s="2">
        <v>55</v>
      </c>
      <c r="L4386" s="2" t="s">
        <v>45</v>
      </c>
      <c r="M4386" s="3"/>
    </row>
    <row r="4387" spans="1:13" x14ac:dyDescent="0.3">
      <c r="A4387" s="2">
        <v>4386</v>
      </c>
      <c r="B4387" s="2" t="s">
        <v>9447</v>
      </c>
      <c r="C4387" s="2" t="s">
        <v>7016</v>
      </c>
      <c r="D4387" s="2" t="s">
        <v>51</v>
      </c>
      <c r="E4387" s="2" t="s">
        <v>16</v>
      </c>
      <c r="F4387" s="2">
        <v>30</v>
      </c>
      <c r="G4387" s="2" t="s">
        <v>9448</v>
      </c>
      <c r="H4387" s="2" t="s">
        <v>1463</v>
      </c>
      <c r="I4387" s="2" t="s">
        <v>19</v>
      </c>
      <c r="J4387" s="3">
        <v>44262</v>
      </c>
      <c r="K4387" s="2">
        <v>28</v>
      </c>
      <c r="L4387" s="2" t="s">
        <v>39</v>
      </c>
      <c r="M4387" s="3"/>
    </row>
    <row r="4388" spans="1:13" x14ac:dyDescent="0.3">
      <c r="A4388" s="2">
        <v>4387</v>
      </c>
      <c r="B4388" s="2" t="s">
        <v>9449</v>
      </c>
      <c r="C4388" s="2" t="s">
        <v>1573</v>
      </c>
      <c r="D4388" s="2" t="s">
        <v>51</v>
      </c>
      <c r="E4388" s="2" t="s">
        <v>16</v>
      </c>
      <c r="F4388" s="2">
        <v>60</v>
      </c>
      <c r="G4388" s="2" t="s">
        <v>9450</v>
      </c>
      <c r="H4388" s="2" t="s">
        <v>1276</v>
      </c>
      <c r="I4388" s="2" t="s">
        <v>32</v>
      </c>
      <c r="J4388" s="3">
        <v>43991</v>
      </c>
      <c r="K4388" s="2">
        <v>40</v>
      </c>
      <c r="L4388" s="2" t="s">
        <v>80</v>
      </c>
      <c r="M4388" s="3"/>
    </row>
    <row r="4389" spans="1:13" x14ac:dyDescent="0.3">
      <c r="A4389" s="2">
        <v>4388</v>
      </c>
      <c r="B4389" s="2" t="s">
        <v>4588</v>
      </c>
      <c r="C4389" s="2" t="s">
        <v>1274</v>
      </c>
      <c r="D4389" s="2" t="s">
        <v>51</v>
      </c>
      <c r="E4389" s="2" t="s">
        <v>16</v>
      </c>
      <c r="F4389" s="2">
        <v>60</v>
      </c>
      <c r="G4389" s="2" t="s">
        <v>9451</v>
      </c>
      <c r="H4389" s="2" t="s">
        <v>8076</v>
      </c>
      <c r="I4389" s="2" t="s">
        <v>178</v>
      </c>
      <c r="J4389" s="3">
        <v>44714</v>
      </c>
      <c r="K4389" s="2">
        <v>14</v>
      </c>
      <c r="L4389" s="2" t="s">
        <v>20</v>
      </c>
      <c r="M4389" s="3"/>
    </row>
    <row r="4390" spans="1:13" x14ac:dyDescent="0.3">
      <c r="A4390" s="2">
        <v>4389</v>
      </c>
      <c r="B4390" s="2" t="s">
        <v>5479</v>
      </c>
      <c r="C4390" s="2" t="s">
        <v>6469</v>
      </c>
      <c r="D4390" s="2" t="s">
        <v>28</v>
      </c>
      <c r="E4390" s="2" t="s">
        <v>29</v>
      </c>
      <c r="F4390" s="2">
        <v>60</v>
      </c>
      <c r="G4390" s="2" t="s">
        <v>9452</v>
      </c>
      <c r="H4390" s="2" t="s">
        <v>6820</v>
      </c>
      <c r="I4390" s="2" t="s">
        <v>294</v>
      </c>
      <c r="J4390" s="3">
        <v>44586</v>
      </c>
      <c r="K4390" s="2">
        <v>49</v>
      </c>
      <c r="L4390" s="2" t="s">
        <v>64</v>
      </c>
      <c r="M4390" s="3"/>
    </row>
    <row r="4391" spans="1:13" x14ac:dyDescent="0.3">
      <c r="A4391" s="2">
        <v>4390</v>
      </c>
      <c r="B4391" s="2" t="s">
        <v>252</v>
      </c>
      <c r="C4391" s="2" t="s">
        <v>9453</v>
      </c>
      <c r="D4391" s="2" t="s">
        <v>15</v>
      </c>
      <c r="E4391" s="2" t="s">
        <v>16</v>
      </c>
      <c r="F4391" s="2">
        <v>30</v>
      </c>
      <c r="G4391" s="2" t="s">
        <v>9454</v>
      </c>
      <c r="H4391" s="2" t="s">
        <v>4552</v>
      </c>
      <c r="I4391" s="2" t="s">
        <v>38</v>
      </c>
      <c r="J4391" s="3">
        <v>44921</v>
      </c>
      <c r="K4391" s="2">
        <v>68</v>
      </c>
      <c r="L4391" s="2" t="s">
        <v>64</v>
      </c>
      <c r="M4391" s="3"/>
    </row>
    <row r="4392" spans="1:13" x14ac:dyDescent="0.3">
      <c r="A4392" s="2">
        <v>4391</v>
      </c>
      <c r="B4392" s="2" t="s">
        <v>5205</v>
      </c>
      <c r="C4392" s="2" t="s">
        <v>1308</v>
      </c>
      <c r="D4392" s="2" t="s">
        <v>51</v>
      </c>
      <c r="E4392" s="2" t="s">
        <v>16</v>
      </c>
      <c r="F4392" s="2">
        <v>60</v>
      </c>
      <c r="G4392" s="2" t="s">
        <v>9454</v>
      </c>
      <c r="H4392" s="2" t="s">
        <v>3482</v>
      </c>
      <c r="I4392" s="2" t="s">
        <v>25</v>
      </c>
      <c r="J4392" s="3">
        <v>44893</v>
      </c>
      <c r="K4392" s="2">
        <v>28</v>
      </c>
      <c r="L4392" s="2" t="s">
        <v>20</v>
      </c>
      <c r="M4392" s="3"/>
    </row>
    <row r="4393" spans="1:13" x14ac:dyDescent="0.3">
      <c r="A4393" s="2">
        <v>4392</v>
      </c>
      <c r="B4393" s="2" t="s">
        <v>9455</v>
      </c>
      <c r="C4393" s="2" t="s">
        <v>568</v>
      </c>
      <c r="D4393" s="2" t="s">
        <v>51</v>
      </c>
      <c r="E4393" s="2" t="s">
        <v>16</v>
      </c>
      <c r="F4393" s="2">
        <v>90</v>
      </c>
      <c r="G4393" s="2" t="s">
        <v>9456</v>
      </c>
      <c r="H4393" s="2" t="s">
        <v>2357</v>
      </c>
      <c r="I4393" s="2" t="s">
        <v>32</v>
      </c>
      <c r="J4393" s="3">
        <v>44477</v>
      </c>
      <c r="K4393" s="2">
        <v>75</v>
      </c>
      <c r="L4393" s="2" t="s">
        <v>101</v>
      </c>
      <c r="M4393" s="3"/>
    </row>
    <row r="4394" spans="1:13" x14ac:dyDescent="0.3">
      <c r="A4394" s="2">
        <v>4393</v>
      </c>
      <c r="B4394" s="2" t="s">
        <v>660</v>
      </c>
      <c r="D4394" s="2" t="s">
        <v>28</v>
      </c>
      <c r="E4394" s="2" t="s">
        <v>29</v>
      </c>
      <c r="F4394" s="2">
        <v>60</v>
      </c>
      <c r="G4394" s="2" t="s">
        <v>9457</v>
      </c>
      <c r="H4394" s="2" t="s">
        <v>4935</v>
      </c>
      <c r="I4394" s="2" t="s">
        <v>124</v>
      </c>
      <c r="J4394" s="3">
        <v>44023</v>
      </c>
      <c r="K4394" s="2">
        <v>66</v>
      </c>
      <c r="L4394" s="2" t="s">
        <v>39</v>
      </c>
      <c r="M4394" s="3"/>
    </row>
    <row r="4395" spans="1:13" x14ac:dyDescent="0.3">
      <c r="A4395" s="2">
        <v>4394</v>
      </c>
      <c r="B4395" s="2" t="s">
        <v>9458</v>
      </c>
      <c r="C4395" s="2" t="s">
        <v>3173</v>
      </c>
      <c r="D4395" s="2" t="s">
        <v>15</v>
      </c>
      <c r="E4395" s="2" t="s">
        <v>16</v>
      </c>
      <c r="F4395" s="2">
        <v>90</v>
      </c>
      <c r="G4395" s="2" t="s">
        <v>9459</v>
      </c>
      <c r="H4395" s="2" t="s">
        <v>4886</v>
      </c>
      <c r="I4395" s="2" t="s">
        <v>32</v>
      </c>
      <c r="J4395" s="3">
        <v>44234</v>
      </c>
      <c r="K4395" s="2">
        <v>33</v>
      </c>
      <c r="L4395" s="2" t="s">
        <v>39</v>
      </c>
      <c r="M4395" s="3"/>
    </row>
    <row r="4396" spans="1:13" x14ac:dyDescent="0.3">
      <c r="A4396" s="2">
        <v>4395</v>
      </c>
      <c r="B4396" s="2" t="s">
        <v>8591</v>
      </c>
      <c r="C4396" s="2" t="s">
        <v>9460</v>
      </c>
      <c r="D4396" s="2" t="s">
        <v>41</v>
      </c>
      <c r="E4396" s="2" t="s">
        <v>16</v>
      </c>
      <c r="F4396" s="2">
        <v>90</v>
      </c>
      <c r="G4396" s="2" t="s">
        <v>9461</v>
      </c>
      <c r="H4396" s="2" t="s">
        <v>868</v>
      </c>
      <c r="I4396" s="2" t="s">
        <v>32</v>
      </c>
      <c r="J4396" s="3">
        <v>44140</v>
      </c>
      <c r="K4396" s="2">
        <v>57</v>
      </c>
      <c r="L4396" s="2" t="s">
        <v>39</v>
      </c>
      <c r="M4396" s="3"/>
    </row>
    <row r="4397" spans="1:13" x14ac:dyDescent="0.3">
      <c r="A4397" s="2">
        <v>4396</v>
      </c>
      <c r="B4397" s="2" t="s">
        <v>2394</v>
      </c>
      <c r="C4397" s="2" t="s">
        <v>9462</v>
      </c>
      <c r="D4397" s="2" t="s">
        <v>41</v>
      </c>
      <c r="E4397" s="2" t="s">
        <v>16</v>
      </c>
      <c r="F4397" s="2">
        <v>90</v>
      </c>
      <c r="G4397" s="2" t="s">
        <v>9463</v>
      </c>
      <c r="H4397" s="2" t="s">
        <v>7806</v>
      </c>
      <c r="I4397" s="2" t="s">
        <v>294</v>
      </c>
      <c r="J4397" s="3">
        <v>44854</v>
      </c>
      <c r="K4397" s="2">
        <v>32</v>
      </c>
      <c r="L4397" s="2" t="s">
        <v>159</v>
      </c>
      <c r="M4397" s="3"/>
    </row>
    <row r="4398" spans="1:13" x14ac:dyDescent="0.3">
      <c r="A4398" s="2">
        <v>4397</v>
      </c>
      <c r="B4398" s="2" t="s">
        <v>138</v>
      </c>
      <c r="C4398" s="2" t="s">
        <v>72</v>
      </c>
      <c r="D4398" s="2" t="s">
        <v>28</v>
      </c>
      <c r="E4398" s="2" t="s">
        <v>29</v>
      </c>
      <c r="F4398" s="2">
        <v>30</v>
      </c>
      <c r="G4398" s="2" t="s">
        <v>9463</v>
      </c>
      <c r="H4398" s="2" t="s">
        <v>5686</v>
      </c>
      <c r="I4398" s="2" t="s">
        <v>32</v>
      </c>
      <c r="J4398" s="3">
        <v>44493</v>
      </c>
      <c r="K4398" s="2">
        <v>81</v>
      </c>
      <c r="L4398" s="2" t="s">
        <v>33</v>
      </c>
      <c r="M4398" s="3"/>
    </row>
    <row r="4399" spans="1:13" x14ac:dyDescent="0.3">
      <c r="A4399" s="2">
        <v>4398</v>
      </c>
      <c r="B4399" s="2" t="s">
        <v>9464</v>
      </c>
      <c r="C4399" s="2" t="s">
        <v>1172</v>
      </c>
      <c r="D4399" s="2" t="s">
        <v>15</v>
      </c>
      <c r="E4399" s="2" t="s">
        <v>16</v>
      </c>
      <c r="F4399" s="2">
        <v>60</v>
      </c>
      <c r="G4399" s="2" t="s">
        <v>9465</v>
      </c>
      <c r="H4399" s="2" t="s">
        <v>3200</v>
      </c>
      <c r="I4399" s="2" t="s">
        <v>32</v>
      </c>
      <c r="J4399" s="3">
        <v>44250</v>
      </c>
      <c r="K4399" s="2">
        <v>81</v>
      </c>
      <c r="L4399" s="2" t="s">
        <v>33</v>
      </c>
      <c r="M4399" s="3"/>
    </row>
    <row r="4400" spans="1:13" x14ac:dyDescent="0.3">
      <c r="A4400" s="2">
        <v>4399</v>
      </c>
      <c r="B4400" s="2" t="s">
        <v>9466</v>
      </c>
      <c r="C4400" s="2" t="s">
        <v>2154</v>
      </c>
      <c r="D4400" s="2" t="s">
        <v>15</v>
      </c>
      <c r="E4400" s="2" t="s">
        <v>16</v>
      </c>
      <c r="F4400" s="2">
        <v>30</v>
      </c>
      <c r="G4400" s="2" t="s">
        <v>9465</v>
      </c>
      <c r="H4400" s="2" t="s">
        <v>4874</v>
      </c>
      <c r="I4400" s="2" t="s">
        <v>32</v>
      </c>
      <c r="J4400" s="3">
        <v>44291</v>
      </c>
      <c r="K4400" s="2">
        <v>41</v>
      </c>
      <c r="L4400" s="2" t="s">
        <v>45</v>
      </c>
      <c r="M4400" s="3"/>
    </row>
    <row r="4401" spans="1:13" x14ac:dyDescent="0.3">
      <c r="A4401" s="2">
        <v>4400</v>
      </c>
      <c r="B4401" s="2" t="s">
        <v>9467</v>
      </c>
      <c r="C4401" s="2" t="s">
        <v>5939</v>
      </c>
      <c r="D4401" s="2" t="s">
        <v>15</v>
      </c>
      <c r="E4401" s="2" t="s">
        <v>16</v>
      </c>
      <c r="F4401" s="2">
        <v>60</v>
      </c>
      <c r="G4401" s="2" t="s">
        <v>9468</v>
      </c>
      <c r="H4401" s="2" t="s">
        <v>6659</v>
      </c>
      <c r="I4401" s="2" t="s">
        <v>208</v>
      </c>
      <c r="J4401" s="3">
        <v>44853</v>
      </c>
      <c r="K4401" s="2">
        <v>40</v>
      </c>
      <c r="L4401" s="2" t="s">
        <v>54</v>
      </c>
      <c r="M4401" s="3"/>
    </row>
    <row r="4402" spans="1:13" x14ac:dyDescent="0.3">
      <c r="A4402" s="2">
        <v>4401</v>
      </c>
      <c r="B4402" s="2" t="s">
        <v>9469</v>
      </c>
      <c r="C4402" s="2" t="s">
        <v>9470</v>
      </c>
      <c r="D4402" s="2" t="s">
        <v>51</v>
      </c>
      <c r="E4402" s="2" t="s">
        <v>16</v>
      </c>
      <c r="F4402" s="2">
        <v>90</v>
      </c>
      <c r="G4402" s="2" t="s">
        <v>9471</v>
      </c>
      <c r="H4402" s="2" t="s">
        <v>3399</v>
      </c>
      <c r="I4402" s="2" t="s">
        <v>124</v>
      </c>
      <c r="J4402" s="3">
        <v>44310</v>
      </c>
      <c r="K4402" s="2">
        <v>5</v>
      </c>
      <c r="L4402" s="2" t="s">
        <v>159</v>
      </c>
      <c r="M4402" s="3"/>
    </row>
    <row r="4403" spans="1:13" x14ac:dyDescent="0.3">
      <c r="A4403" s="2">
        <v>4402</v>
      </c>
      <c r="B4403" s="2" t="s">
        <v>2887</v>
      </c>
      <c r="C4403" s="2" t="s">
        <v>4626</v>
      </c>
      <c r="D4403" s="2" t="s">
        <v>28</v>
      </c>
      <c r="E4403" s="2" t="s">
        <v>29</v>
      </c>
      <c r="F4403" s="2">
        <v>90</v>
      </c>
      <c r="G4403" s="2" t="s">
        <v>9472</v>
      </c>
      <c r="H4403" s="2" t="s">
        <v>1526</v>
      </c>
      <c r="I4403" s="2" t="s">
        <v>173</v>
      </c>
      <c r="J4403" s="3">
        <v>44128</v>
      </c>
      <c r="K4403" s="2">
        <v>79</v>
      </c>
      <c r="L4403" s="2" t="s">
        <v>159</v>
      </c>
      <c r="M4403" s="3"/>
    </row>
    <row r="4404" spans="1:13" x14ac:dyDescent="0.3">
      <c r="A4404" s="2">
        <v>4403</v>
      </c>
      <c r="B4404" s="2" t="s">
        <v>5163</v>
      </c>
      <c r="C4404" s="2" t="s">
        <v>9473</v>
      </c>
      <c r="D4404" s="2" t="s">
        <v>28</v>
      </c>
      <c r="E4404" s="2" t="s">
        <v>29</v>
      </c>
      <c r="F4404" s="2">
        <v>60</v>
      </c>
      <c r="G4404" s="2" t="s">
        <v>9474</v>
      </c>
      <c r="H4404" s="2" t="s">
        <v>3033</v>
      </c>
      <c r="I4404" s="2" t="s">
        <v>32</v>
      </c>
      <c r="J4404" s="3">
        <v>44517</v>
      </c>
      <c r="K4404" s="2">
        <v>67</v>
      </c>
      <c r="L4404" s="2" t="s">
        <v>101</v>
      </c>
      <c r="M4404" s="3"/>
    </row>
    <row r="4405" spans="1:13" x14ac:dyDescent="0.3">
      <c r="A4405" s="2">
        <v>4404</v>
      </c>
      <c r="B4405" s="2" t="s">
        <v>8418</v>
      </c>
      <c r="C4405" s="2" t="s">
        <v>9475</v>
      </c>
      <c r="D4405" s="2" t="s">
        <v>28</v>
      </c>
      <c r="E4405" s="2" t="s">
        <v>29</v>
      </c>
      <c r="F4405" s="2">
        <v>90</v>
      </c>
      <c r="G4405" s="2" t="s">
        <v>9476</v>
      </c>
      <c r="H4405" s="2" t="s">
        <v>2284</v>
      </c>
      <c r="I4405" s="2" t="s">
        <v>32</v>
      </c>
      <c r="J4405" s="3">
        <v>43899</v>
      </c>
      <c r="K4405" s="2">
        <v>43</v>
      </c>
      <c r="L4405" s="2" t="s">
        <v>64</v>
      </c>
      <c r="M4405" s="3"/>
    </row>
    <row r="4406" spans="1:13" x14ac:dyDescent="0.3">
      <c r="A4406" s="2">
        <v>4405</v>
      </c>
      <c r="B4406" s="2" t="s">
        <v>8418</v>
      </c>
      <c r="C4406" s="2" t="s">
        <v>9475</v>
      </c>
      <c r="D4406" s="2" t="s">
        <v>28</v>
      </c>
      <c r="E4406" s="2" t="s">
        <v>29</v>
      </c>
      <c r="F4406" s="2">
        <v>90</v>
      </c>
      <c r="G4406" s="2" t="s">
        <v>9476</v>
      </c>
      <c r="H4406" s="2" t="s">
        <v>2284</v>
      </c>
      <c r="I4406" s="2" t="s">
        <v>32</v>
      </c>
      <c r="J4406" s="3">
        <v>43899</v>
      </c>
      <c r="K4406" s="2">
        <v>43</v>
      </c>
      <c r="L4406" s="2" t="s">
        <v>64</v>
      </c>
      <c r="M4406" s="3"/>
    </row>
    <row r="4407" spans="1:13" x14ac:dyDescent="0.3">
      <c r="A4407" s="2">
        <v>4406</v>
      </c>
      <c r="B4407" s="2" t="s">
        <v>7418</v>
      </c>
      <c r="C4407" s="2" t="s">
        <v>3357</v>
      </c>
      <c r="D4407" s="2" t="s">
        <v>28</v>
      </c>
      <c r="E4407" s="2" t="s">
        <v>29</v>
      </c>
      <c r="F4407" s="2">
        <v>60</v>
      </c>
      <c r="G4407" s="2" t="s">
        <v>9477</v>
      </c>
      <c r="H4407" s="2" t="s">
        <v>2220</v>
      </c>
      <c r="I4407" s="2" t="s">
        <v>1889</v>
      </c>
      <c r="J4407" s="3">
        <v>44721</v>
      </c>
      <c r="K4407" s="2">
        <v>66</v>
      </c>
      <c r="L4407" s="2" t="s">
        <v>33</v>
      </c>
      <c r="M4407" s="3"/>
    </row>
    <row r="4408" spans="1:13" x14ac:dyDescent="0.3">
      <c r="A4408" s="2">
        <v>4407</v>
      </c>
      <c r="B4408" s="2" t="s">
        <v>4167</v>
      </c>
      <c r="C4408" s="2" t="s">
        <v>3892</v>
      </c>
      <c r="D4408" s="2" t="s">
        <v>28</v>
      </c>
      <c r="E4408" s="2" t="s">
        <v>29</v>
      </c>
      <c r="F4408" s="2">
        <v>30</v>
      </c>
      <c r="G4408" s="2" t="s">
        <v>9478</v>
      </c>
      <c r="H4408" s="2" t="s">
        <v>9233</v>
      </c>
      <c r="I4408" s="2" t="s">
        <v>32</v>
      </c>
      <c r="J4408" s="3">
        <v>44573</v>
      </c>
      <c r="K4408" s="2">
        <v>6</v>
      </c>
      <c r="L4408" s="2" t="s">
        <v>20</v>
      </c>
      <c r="M4408" s="3"/>
    </row>
    <row r="4409" spans="1:13" x14ac:dyDescent="0.3">
      <c r="A4409" s="2">
        <v>4408</v>
      </c>
      <c r="B4409" s="2" t="s">
        <v>5764</v>
      </c>
      <c r="C4409" s="2" t="s">
        <v>5037</v>
      </c>
      <c r="D4409" s="2" t="s">
        <v>28</v>
      </c>
      <c r="E4409" s="2" t="s">
        <v>29</v>
      </c>
      <c r="F4409" s="2">
        <v>90</v>
      </c>
      <c r="G4409" s="2" t="s">
        <v>9479</v>
      </c>
      <c r="H4409" s="2" t="s">
        <v>7654</v>
      </c>
      <c r="I4409" s="2" t="s">
        <v>32</v>
      </c>
      <c r="J4409" s="3">
        <v>44412</v>
      </c>
      <c r="K4409" s="2">
        <v>39</v>
      </c>
      <c r="L4409" s="2" t="s">
        <v>70</v>
      </c>
      <c r="M4409" s="3"/>
    </row>
    <row r="4410" spans="1:13" x14ac:dyDescent="0.3">
      <c r="A4410" s="2">
        <v>4409</v>
      </c>
      <c r="B4410" s="2" t="s">
        <v>641</v>
      </c>
      <c r="C4410" s="2" t="s">
        <v>4439</v>
      </c>
      <c r="D4410" s="2" t="s">
        <v>28</v>
      </c>
      <c r="E4410" s="2" t="s">
        <v>29</v>
      </c>
      <c r="F4410" s="2">
        <v>60</v>
      </c>
      <c r="G4410" s="2" t="s">
        <v>9480</v>
      </c>
      <c r="H4410" s="2" t="s">
        <v>326</v>
      </c>
      <c r="I4410" s="2" t="s">
        <v>25</v>
      </c>
      <c r="J4410" s="3">
        <v>44860</v>
      </c>
      <c r="K4410" s="2">
        <v>73</v>
      </c>
      <c r="L4410" s="2" t="s">
        <v>80</v>
      </c>
      <c r="M4410" s="3"/>
    </row>
    <row r="4411" spans="1:13" x14ac:dyDescent="0.3">
      <c r="A4411" s="2">
        <v>4410</v>
      </c>
      <c r="B4411" s="2" t="s">
        <v>8584</v>
      </c>
      <c r="C4411" s="2" t="s">
        <v>6982</v>
      </c>
      <c r="D4411" s="2" t="s">
        <v>15</v>
      </c>
      <c r="E4411" s="2" t="s">
        <v>5821</v>
      </c>
      <c r="F4411" s="2">
        <v>90</v>
      </c>
      <c r="G4411" s="2" t="s">
        <v>9481</v>
      </c>
      <c r="H4411" s="2" t="s">
        <v>2753</v>
      </c>
      <c r="I4411" s="2" t="s">
        <v>124</v>
      </c>
      <c r="J4411" s="3">
        <v>44628</v>
      </c>
      <c r="K4411" s="2">
        <v>22</v>
      </c>
      <c r="L4411" s="2" t="s">
        <v>70</v>
      </c>
      <c r="M4411" s="3"/>
    </row>
    <row r="4412" spans="1:13" x14ac:dyDescent="0.3">
      <c r="A4412" s="2">
        <v>4411</v>
      </c>
      <c r="B4412" s="2" t="s">
        <v>4363</v>
      </c>
      <c r="C4412" s="2" t="s">
        <v>9482</v>
      </c>
      <c r="D4412" s="2" t="s">
        <v>28</v>
      </c>
      <c r="E4412" s="2" t="s">
        <v>29</v>
      </c>
      <c r="F4412" s="2">
        <v>90</v>
      </c>
      <c r="G4412" s="2" t="s">
        <v>9481</v>
      </c>
      <c r="H4412" s="2" t="s">
        <v>5167</v>
      </c>
      <c r="I4412" s="2" t="s">
        <v>32</v>
      </c>
      <c r="J4412" s="3">
        <v>44640</v>
      </c>
      <c r="K4412" s="2">
        <v>30</v>
      </c>
      <c r="L4412" s="2" t="s">
        <v>20</v>
      </c>
      <c r="M4412" s="3"/>
    </row>
    <row r="4413" spans="1:13" x14ac:dyDescent="0.3">
      <c r="A4413" s="2">
        <v>4412</v>
      </c>
      <c r="B4413" s="2" t="s">
        <v>705</v>
      </c>
      <c r="C4413" s="2" t="s">
        <v>6447</v>
      </c>
      <c r="D4413" s="2" t="s">
        <v>28</v>
      </c>
      <c r="E4413" s="2" t="s">
        <v>29</v>
      </c>
      <c r="F4413" s="2">
        <v>90</v>
      </c>
      <c r="G4413" s="2" t="s">
        <v>9483</v>
      </c>
      <c r="H4413" s="2" t="s">
        <v>2325</v>
      </c>
      <c r="I4413" s="2" t="s">
        <v>173</v>
      </c>
      <c r="J4413" s="3">
        <v>44261</v>
      </c>
      <c r="K4413" s="2">
        <v>56</v>
      </c>
      <c r="L4413" s="2" t="s">
        <v>70</v>
      </c>
      <c r="M4413" s="3"/>
    </row>
    <row r="4414" spans="1:13" x14ac:dyDescent="0.3">
      <c r="A4414" s="2">
        <v>4413</v>
      </c>
      <c r="B4414" s="2" t="s">
        <v>496</v>
      </c>
      <c r="C4414" s="2" t="s">
        <v>2991</v>
      </c>
      <c r="D4414" s="2" t="s">
        <v>28</v>
      </c>
      <c r="E4414" s="2" t="s">
        <v>29</v>
      </c>
      <c r="F4414" s="2">
        <v>30</v>
      </c>
      <c r="G4414" s="2" t="s">
        <v>9484</v>
      </c>
      <c r="H4414" s="2" t="s">
        <v>5718</v>
      </c>
      <c r="I4414" s="2" t="s">
        <v>294</v>
      </c>
      <c r="J4414" s="3">
        <v>44115</v>
      </c>
      <c r="K4414" s="2">
        <v>80</v>
      </c>
      <c r="L4414" s="2" t="s">
        <v>64</v>
      </c>
      <c r="M4414" s="3"/>
    </row>
    <row r="4415" spans="1:13" x14ac:dyDescent="0.3">
      <c r="A4415" s="2">
        <v>4414</v>
      </c>
      <c r="B4415" s="2" t="s">
        <v>4064</v>
      </c>
      <c r="C4415" s="2" t="s">
        <v>4998</v>
      </c>
      <c r="D4415" s="2" t="s">
        <v>51</v>
      </c>
      <c r="E4415" s="2" t="s">
        <v>16</v>
      </c>
      <c r="F4415" s="2">
        <v>30</v>
      </c>
      <c r="G4415" s="2" t="s">
        <v>9485</v>
      </c>
      <c r="H4415" s="2" t="s">
        <v>1945</v>
      </c>
      <c r="I4415" s="2" t="s">
        <v>32</v>
      </c>
      <c r="J4415" s="3">
        <v>44067</v>
      </c>
      <c r="K4415" s="2">
        <v>18</v>
      </c>
      <c r="L4415" s="2" t="s">
        <v>39</v>
      </c>
      <c r="M4415" s="3"/>
    </row>
    <row r="4416" spans="1:13" x14ac:dyDescent="0.3">
      <c r="A4416" s="2">
        <v>4415</v>
      </c>
      <c r="B4416" s="2" t="s">
        <v>4064</v>
      </c>
      <c r="C4416" s="2" t="s">
        <v>4998</v>
      </c>
      <c r="D4416" s="2" t="s">
        <v>51</v>
      </c>
      <c r="E4416" s="2" t="s">
        <v>16</v>
      </c>
      <c r="F4416" s="2">
        <v>30</v>
      </c>
      <c r="G4416" s="2" t="s">
        <v>9485</v>
      </c>
      <c r="H4416" s="2" t="s">
        <v>1945</v>
      </c>
      <c r="I4416" s="2" t="s">
        <v>32</v>
      </c>
      <c r="J4416" s="3">
        <v>44067</v>
      </c>
      <c r="K4416" s="2">
        <v>18</v>
      </c>
      <c r="L4416" s="2" t="s">
        <v>39</v>
      </c>
      <c r="M4416" s="3"/>
    </row>
    <row r="4417" spans="1:13" x14ac:dyDescent="0.3">
      <c r="A4417" s="2">
        <v>4416</v>
      </c>
      <c r="B4417" s="2" t="s">
        <v>9486</v>
      </c>
      <c r="C4417" s="2" t="s">
        <v>2367</v>
      </c>
      <c r="D4417" s="2" t="s">
        <v>51</v>
      </c>
      <c r="E4417" s="2" t="s">
        <v>16</v>
      </c>
      <c r="F4417" s="2">
        <v>60</v>
      </c>
      <c r="G4417" s="2" t="s">
        <v>9487</v>
      </c>
      <c r="H4417" s="2" t="s">
        <v>1977</v>
      </c>
      <c r="I4417" s="2" t="s">
        <v>124</v>
      </c>
      <c r="J4417" s="3">
        <v>44682</v>
      </c>
      <c r="K4417" s="2">
        <v>58</v>
      </c>
      <c r="L4417" s="2" t="s">
        <v>80</v>
      </c>
      <c r="M4417" s="3"/>
    </row>
    <row r="4418" spans="1:13" x14ac:dyDescent="0.3">
      <c r="A4418" s="2">
        <v>4417</v>
      </c>
      <c r="B4418" s="2" t="s">
        <v>854</v>
      </c>
      <c r="C4418" s="2" t="s">
        <v>9488</v>
      </c>
      <c r="D4418" s="2" t="s">
        <v>15</v>
      </c>
      <c r="E4418" s="2" t="s">
        <v>16</v>
      </c>
      <c r="F4418" s="2">
        <v>60</v>
      </c>
      <c r="G4418" s="2" t="s">
        <v>9489</v>
      </c>
      <c r="H4418" s="2" t="s">
        <v>5449</v>
      </c>
      <c r="I4418" s="2" t="s">
        <v>32</v>
      </c>
      <c r="J4418" s="3">
        <v>44072</v>
      </c>
      <c r="K4418" s="2">
        <v>54</v>
      </c>
      <c r="L4418" s="2" t="s">
        <v>101</v>
      </c>
      <c r="M4418" s="3"/>
    </row>
    <row r="4419" spans="1:13" x14ac:dyDescent="0.3">
      <c r="A4419" s="2">
        <v>4418</v>
      </c>
      <c r="B4419" s="2" t="s">
        <v>7195</v>
      </c>
      <c r="C4419" s="2" t="s">
        <v>1204</v>
      </c>
      <c r="D4419" s="2" t="s">
        <v>28</v>
      </c>
      <c r="E4419" s="2" t="s">
        <v>29</v>
      </c>
      <c r="F4419" s="2">
        <v>60</v>
      </c>
      <c r="G4419" s="2" t="s">
        <v>9490</v>
      </c>
      <c r="H4419" s="2" t="s">
        <v>9491</v>
      </c>
      <c r="I4419" s="2" t="s">
        <v>32</v>
      </c>
      <c r="J4419" s="3">
        <v>44423</v>
      </c>
      <c r="K4419" s="2">
        <v>78</v>
      </c>
      <c r="L4419" s="2" t="s">
        <v>64</v>
      </c>
      <c r="M4419" s="3"/>
    </row>
    <row r="4420" spans="1:13" x14ac:dyDescent="0.3">
      <c r="A4420" s="2">
        <v>4419</v>
      </c>
      <c r="B4420" s="2" t="s">
        <v>3742</v>
      </c>
      <c r="C4420" s="2" t="s">
        <v>1566</v>
      </c>
      <c r="D4420" s="2" t="s">
        <v>28</v>
      </c>
      <c r="E4420" s="2" t="s">
        <v>29</v>
      </c>
      <c r="F4420" s="2">
        <v>90</v>
      </c>
      <c r="G4420" s="2" t="s">
        <v>9492</v>
      </c>
      <c r="H4420" s="2" t="s">
        <v>1575</v>
      </c>
      <c r="I4420" s="2" t="s">
        <v>1576</v>
      </c>
      <c r="J4420" s="3">
        <v>44821</v>
      </c>
      <c r="K4420" s="2">
        <v>21</v>
      </c>
      <c r="L4420" s="2" t="s">
        <v>33</v>
      </c>
      <c r="M4420" s="3"/>
    </row>
    <row r="4421" spans="1:13" x14ac:dyDescent="0.3">
      <c r="A4421" s="2">
        <v>4420</v>
      </c>
      <c r="B4421" s="2" t="s">
        <v>55</v>
      </c>
      <c r="C4421" s="2" t="s">
        <v>6355</v>
      </c>
      <c r="D4421" s="2" t="s">
        <v>28</v>
      </c>
      <c r="E4421" s="2" t="s">
        <v>29</v>
      </c>
      <c r="F4421" s="2">
        <v>90</v>
      </c>
      <c r="G4421" s="2" t="s">
        <v>9493</v>
      </c>
      <c r="H4421" s="2" t="s">
        <v>6546</v>
      </c>
      <c r="I4421" s="2" t="s">
        <v>2543</v>
      </c>
      <c r="J4421" s="3">
        <v>44396</v>
      </c>
      <c r="K4421" s="2">
        <v>60</v>
      </c>
      <c r="L4421" s="2" t="s">
        <v>64</v>
      </c>
      <c r="M4421" s="3"/>
    </row>
    <row r="4422" spans="1:13" x14ac:dyDescent="0.3">
      <c r="A4422" s="2">
        <v>4421</v>
      </c>
      <c r="B4422" s="2" t="s">
        <v>9422</v>
      </c>
      <c r="C4422" s="2" t="s">
        <v>8575</v>
      </c>
      <c r="D4422" s="2" t="s">
        <v>51</v>
      </c>
      <c r="E4422" s="2" t="s">
        <v>16</v>
      </c>
      <c r="F4422" s="2">
        <v>30</v>
      </c>
      <c r="G4422" s="2" t="s">
        <v>9493</v>
      </c>
      <c r="H4422" s="2" t="s">
        <v>4409</v>
      </c>
      <c r="I4422" s="2" t="s">
        <v>294</v>
      </c>
      <c r="J4422" s="3">
        <v>44259</v>
      </c>
      <c r="K4422" s="2">
        <v>77</v>
      </c>
      <c r="L4422" s="2" t="s">
        <v>39</v>
      </c>
      <c r="M4422" s="3"/>
    </row>
    <row r="4423" spans="1:13" x14ac:dyDescent="0.3">
      <c r="A4423" s="2">
        <v>4422</v>
      </c>
      <c r="B4423" s="2" t="s">
        <v>9494</v>
      </c>
      <c r="C4423" s="2" t="s">
        <v>7398</v>
      </c>
      <c r="D4423" s="2" t="s">
        <v>51</v>
      </c>
      <c r="E4423" s="2" t="s">
        <v>16</v>
      </c>
      <c r="F4423" s="2">
        <v>90</v>
      </c>
      <c r="G4423" s="2" t="s">
        <v>9495</v>
      </c>
      <c r="H4423" s="2" t="s">
        <v>3449</v>
      </c>
      <c r="I4423" s="2" t="s">
        <v>187</v>
      </c>
      <c r="J4423" s="3">
        <v>44550</v>
      </c>
      <c r="K4423" s="2">
        <v>24</v>
      </c>
      <c r="L4423" s="2" t="s">
        <v>33</v>
      </c>
      <c r="M4423" s="3"/>
    </row>
    <row r="4424" spans="1:13" x14ac:dyDescent="0.3">
      <c r="A4424" s="2">
        <v>4423</v>
      </c>
      <c r="B4424" s="2" t="s">
        <v>9496</v>
      </c>
      <c r="C4424" s="2" t="s">
        <v>6562</v>
      </c>
      <c r="D4424" s="2" t="s">
        <v>28</v>
      </c>
      <c r="E4424" s="2" t="s">
        <v>29</v>
      </c>
      <c r="F4424" s="2">
        <v>60</v>
      </c>
      <c r="G4424" s="2" t="s">
        <v>9497</v>
      </c>
      <c r="H4424" s="2" t="s">
        <v>4404</v>
      </c>
      <c r="I4424" s="2" t="s">
        <v>32</v>
      </c>
      <c r="J4424" s="3">
        <v>44672</v>
      </c>
      <c r="K4424" s="2">
        <v>46</v>
      </c>
      <c r="L4424" s="2" t="s">
        <v>159</v>
      </c>
      <c r="M4424" s="3"/>
    </row>
    <row r="4425" spans="1:13" x14ac:dyDescent="0.3">
      <c r="A4425" s="2">
        <v>4424</v>
      </c>
      <c r="B4425" s="2" t="s">
        <v>9498</v>
      </c>
      <c r="D4425" s="2" t="s">
        <v>51</v>
      </c>
      <c r="E4425" s="2" t="s">
        <v>291</v>
      </c>
      <c r="F4425" s="2">
        <v>60</v>
      </c>
      <c r="G4425" s="2" t="s">
        <v>9499</v>
      </c>
      <c r="H4425" s="2" t="s">
        <v>4386</v>
      </c>
      <c r="I4425" s="2" t="s">
        <v>32</v>
      </c>
      <c r="J4425" s="3">
        <v>44926</v>
      </c>
      <c r="K4425" s="2">
        <v>30</v>
      </c>
      <c r="L4425" s="2" t="s">
        <v>45</v>
      </c>
      <c r="M4425" s="3"/>
    </row>
    <row r="4426" spans="1:13" x14ac:dyDescent="0.3">
      <c r="A4426" s="2">
        <v>4425</v>
      </c>
      <c r="B4426" s="2" t="s">
        <v>9500</v>
      </c>
      <c r="C4426" s="2" t="s">
        <v>1585</v>
      </c>
      <c r="D4426" s="2" t="s">
        <v>41</v>
      </c>
      <c r="E4426" s="2" t="s">
        <v>16</v>
      </c>
      <c r="F4426" s="2">
        <v>60</v>
      </c>
      <c r="G4426" s="2" t="s">
        <v>9501</v>
      </c>
      <c r="H4426" s="2" t="s">
        <v>412</v>
      </c>
      <c r="I4426" s="2" t="s">
        <v>187</v>
      </c>
      <c r="J4426" s="3">
        <v>44572</v>
      </c>
      <c r="K4426" s="2">
        <v>6</v>
      </c>
      <c r="L4426" s="2" t="s">
        <v>39</v>
      </c>
      <c r="M4426" s="3"/>
    </row>
    <row r="4427" spans="1:13" x14ac:dyDescent="0.3">
      <c r="A4427" s="2">
        <v>4426</v>
      </c>
      <c r="B4427" s="2" t="s">
        <v>9502</v>
      </c>
      <c r="C4427" s="2" t="s">
        <v>1145</v>
      </c>
      <c r="D4427" s="2" t="s">
        <v>15</v>
      </c>
      <c r="E4427" s="2" t="s">
        <v>16</v>
      </c>
      <c r="F4427" s="2">
        <v>30</v>
      </c>
      <c r="G4427" s="2" t="s">
        <v>9503</v>
      </c>
      <c r="H4427" s="2" t="s">
        <v>694</v>
      </c>
      <c r="I4427" s="2" t="s">
        <v>32</v>
      </c>
      <c r="J4427" s="3">
        <v>44790</v>
      </c>
      <c r="K4427" s="2">
        <v>30</v>
      </c>
      <c r="L4427" s="2" t="s">
        <v>54</v>
      </c>
      <c r="M4427" s="3"/>
    </row>
    <row r="4428" spans="1:13" x14ac:dyDescent="0.3">
      <c r="A4428" s="2">
        <v>4427</v>
      </c>
      <c r="B4428" s="2" t="s">
        <v>9504</v>
      </c>
      <c r="C4428" s="2" t="s">
        <v>406</v>
      </c>
      <c r="D4428" s="2" t="s">
        <v>15</v>
      </c>
      <c r="E4428" s="2" t="s">
        <v>16</v>
      </c>
      <c r="F4428" s="2">
        <v>30</v>
      </c>
      <c r="G4428" s="2" t="s">
        <v>9505</v>
      </c>
      <c r="H4428" s="2" t="s">
        <v>898</v>
      </c>
      <c r="I4428" s="2" t="s">
        <v>32</v>
      </c>
      <c r="J4428" s="3">
        <v>44404</v>
      </c>
      <c r="K4428" s="2">
        <v>6</v>
      </c>
      <c r="L4428" s="2" t="s">
        <v>70</v>
      </c>
      <c r="M4428" s="3"/>
    </row>
    <row r="4429" spans="1:13" x14ac:dyDescent="0.3">
      <c r="A4429" s="2">
        <v>4428</v>
      </c>
      <c r="B4429" s="2" t="s">
        <v>9506</v>
      </c>
      <c r="C4429" s="2" t="s">
        <v>3071</v>
      </c>
      <c r="D4429" s="2" t="s">
        <v>51</v>
      </c>
      <c r="E4429" s="2" t="s">
        <v>16</v>
      </c>
      <c r="F4429" s="2">
        <v>90</v>
      </c>
      <c r="G4429" s="2" t="s">
        <v>9507</v>
      </c>
      <c r="H4429" s="2" t="s">
        <v>7642</v>
      </c>
      <c r="I4429" s="2" t="s">
        <v>32</v>
      </c>
      <c r="J4429" s="3">
        <v>44558</v>
      </c>
      <c r="K4429" s="2">
        <v>88</v>
      </c>
      <c r="L4429" s="2" t="s">
        <v>159</v>
      </c>
      <c r="M4429" s="3"/>
    </row>
    <row r="4430" spans="1:13" x14ac:dyDescent="0.3">
      <c r="A4430" s="2">
        <v>4429</v>
      </c>
      <c r="B4430" s="2" t="s">
        <v>9508</v>
      </c>
      <c r="C4430" s="2" t="s">
        <v>5032</v>
      </c>
      <c r="D4430" s="2" t="s">
        <v>15</v>
      </c>
      <c r="E4430" s="2" t="s">
        <v>16</v>
      </c>
      <c r="F4430" s="2">
        <v>60</v>
      </c>
      <c r="G4430" s="2" t="s">
        <v>9509</v>
      </c>
      <c r="H4430" s="2" t="s">
        <v>1764</v>
      </c>
      <c r="I4430" s="2" t="s">
        <v>124</v>
      </c>
      <c r="J4430" s="3">
        <v>44907</v>
      </c>
      <c r="K4430" s="2">
        <v>33</v>
      </c>
      <c r="L4430" s="2" t="s">
        <v>101</v>
      </c>
      <c r="M4430" s="3"/>
    </row>
    <row r="4431" spans="1:13" x14ac:dyDescent="0.3">
      <c r="A4431" s="2">
        <v>4430</v>
      </c>
      <c r="B4431" s="2" t="s">
        <v>2994</v>
      </c>
      <c r="C4431" s="2" t="s">
        <v>653</v>
      </c>
      <c r="D4431" s="2" t="s">
        <v>28</v>
      </c>
      <c r="E4431" s="2" t="s">
        <v>29</v>
      </c>
      <c r="F4431" s="2">
        <v>30</v>
      </c>
      <c r="G4431" s="2" t="s">
        <v>9510</v>
      </c>
      <c r="H4431" s="2" t="s">
        <v>772</v>
      </c>
      <c r="I4431" s="2" t="s">
        <v>32</v>
      </c>
      <c r="J4431" s="3">
        <v>44604</v>
      </c>
      <c r="K4431" s="2">
        <v>26</v>
      </c>
      <c r="L4431" s="2" t="s">
        <v>39</v>
      </c>
      <c r="M4431" s="3"/>
    </row>
    <row r="4432" spans="1:13" x14ac:dyDescent="0.3">
      <c r="A4432" s="2">
        <v>4431</v>
      </c>
      <c r="B4432" s="2" t="s">
        <v>9511</v>
      </c>
      <c r="C4432" s="2" t="s">
        <v>4803</v>
      </c>
      <c r="D4432" s="2" t="s">
        <v>15</v>
      </c>
      <c r="E4432" s="2" t="s">
        <v>16</v>
      </c>
      <c r="F4432" s="2">
        <v>90</v>
      </c>
      <c r="G4432" s="2" t="s">
        <v>9512</v>
      </c>
      <c r="H4432" s="2" t="s">
        <v>7546</v>
      </c>
      <c r="I4432" s="2" t="s">
        <v>187</v>
      </c>
      <c r="J4432" s="3">
        <v>44448</v>
      </c>
      <c r="K4432" s="2">
        <v>61</v>
      </c>
      <c r="L4432" s="2" t="s">
        <v>45</v>
      </c>
      <c r="M4432" s="3"/>
    </row>
    <row r="4433" spans="1:13" x14ac:dyDescent="0.3">
      <c r="A4433" s="2">
        <v>4432</v>
      </c>
      <c r="B4433" s="2" t="s">
        <v>4815</v>
      </c>
      <c r="C4433" s="2" t="s">
        <v>6730</v>
      </c>
      <c r="D4433" s="2" t="s">
        <v>28</v>
      </c>
      <c r="E4433" s="2" t="s">
        <v>29</v>
      </c>
      <c r="F4433" s="2">
        <v>90</v>
      </c>
      <c r="G4433" s="2" t="s">
        <v>9512</v>
      </c>
      <c r="H4433" s="2" t="s">
        <v>1168</v>
      </c>
      <c r="I4433" s="2" t="s">
        <v>32</v>
      </c>
      <c r="J4433" s="3">
        <v>44282</v>
      </c>
      <c r="K4433" s="2">
        <v>42</v>
      </c>
      <c r="L4433" s="2" t="s">
        <v>70</v>
      </c>
      <c r="M4433" s="3"/>
    </row>
    <row r="4434" spans="1:13" x14ac:dyDescent="0.3">
      <c r="A4434" s="2">
        <v>4433</v>
      </c>
      <c r="B4434" s="2" t="s">
        <v>5730</v>
      </c>
      <c r="C4434" s="2" t="s">
        <v>8490</v>
      </c>
      <c r="D4434" s="2" t="s">
        <v>51</v>
      </c>
      <c r="E4434" s="2" t="s">
        <v>16</v>
      </c>
      <c r="F4434" s="2">
        <v>30</v>
      </c>
      <c r="G4434" s="2" t="s">
        <v>9513</v>
      </c>
      <c r="H4434" s="2" t="s">
        <v>2536</v>
      </c>
      <c r="I4434" s="2" t="s">
        <v>124</v>
      </c>
      <c r="J4434" s="3">
        <v>44706</v>
      </c>
      <c r="K4434" s="2">
        <v>15</v>
      </c>
      <c r="L4434" s="2" t="s">
        <v>80</v>
      </c>
      <c r="M4434" s="3"/>
    </row>
    <row r="4435" spans="1:13" x14ac:dyDescent="0.3">
      <c r="A4435" s="2">
        <v>4434</v>
      </c>
      <c r="B4435" s="2" t="s">
        <v>9514</v>
      </c>
      <c r="C4435" s="2" t="s">
        <v>7889</v>
      </c>
      <c r="D4435" s="2" t="s">
        <v>51</v>
      </c>
      <c r="E4435" s="2" t="s">
        <v>16</v>
      </c>
      <c r="F4435" s="2">
        <v>30</v>
      </c>
      <c r="G4435" s="2" t="s">
        <v>9515</v>
      </c>
      <c r="H4435" s="2" t="s">
        <v>5521</v>
      </c>
      <c r="I4435" s="2" t="s">
        <v>25</v>
      </c>
      <c r="J4435" s="3">
        <v>44481</v>
      </c>
      <c r="K4435" s="2">
        <v>13</v>
      </c>
      <c r="L4435" s="2" t="s">
        <v>20</v>
      </c>
      <c r="M4435" s="3"/>
    </row>
    <row r="4436" spans="1:13" x14ac:dyDescent="0.3">
      <c r="A4436" s="2">
        <v>4435</v>
      </c>
      <c r="B4436" s="2" t="s">
        <v>9516</v>
      </c>
      <c r="C4436" s="2" t="s">
        <v>2920</v>
      </c>
      <c r="D4436" s="2" t="s">
        <v>28</v>
      </c>
      <c r="E4436" s="2" t="s">
        <v>29</v>
      </c>
      <c r="F4436" s="2">
        <v>30</v>
      </c>
      <c r="G4436" s="2" t="s">
        <v>9517</v>
      </c>
      <c r="H4436" s="2" t="s">
        <v>5271</v>
      </c>
      <c r="I4436" s="2" t="s">
        <v>187</v>
      </c>
      <c r="J4436" s="3">
        <v>44783</v>
      </c>
      <c r="K4436" s="2">
        <v>54</v>
      </c>
      <c r="L4436" s="2" t="s">
        <v>20</v>
      </c>
      <c r="M4436" s="3"/>
    </row>
    <row r="4437" spans="1:13" x14ac:dyDescent="0.3">
      <c r="A4437" s="2">
        <v>4436</v>
      </c>
      <c r="B4437" s="2" t="s">
        <v>9518</v>
      </c>
      <c r="C4437" s="2" t="s">
        <v>4366</v>
      </c>
      <c r="D4437" s="2" t="s">
        <v>51</v>
      </c>
      <c r="E4437" s="2" t="s">
        <v>16</v>
      </c>
      <c r="F4437" s="2">
        <v>60</v>
      </c>
      <c r="G4437" s="2" t="s">
        <v>9519</v>
      </c>
      <c r="H4437" s="2" t="s">
        <v>4283</v>
      </c>
      <c r="I4437" s="2" t="s">
        <v>178</v>
      </c>
      <c r="J4437" s="3">
        <v>44452</v>
      </c>
      <c r="K4437" s="2">
        <v>7</v>
      </c>
      <c r="L4437" s="2" t="s">
        <v>20</v>
      </c>
      <c r="M4437" s="3"/>
    </row>
    <row r="4438" spans="1:13" x14ac:dyDescent="0.3">
      <c r="A4438" s="2">
        <v>4437</v>
      </c>
      <c r="B4438" s="2" t="s">
        <v>6198</v>
      </c>
      <c r="C4438" s="2" t="s">
        <v>3732</v>
      </c>
      <c r="D4438" s="2" t="s">
        <v>28</v>
      </c>
      <c r="E4438" s="2" t="s">
        <v>29</v>
      </c>
      <c r="F4438" s="2">
        <v>30</v>
      </c>
      <c r="G4438" s="2" t="s">
        <v>9520</v>
      </c>
      <c r="H4438" s="2" t="s">
        <v>99</v>
      </c>
      <c r="I4438" s="2" t="s">
        <v>100</v>
      </c>
      <c r="J4438" s="3">
        <v>44432</v>
      </c>
      <c r="K4438" s="2">
        <v>15</v>
      </c>
      <c r="L4438" s="2" t="s">
        <v>54</v>
      </c>
      <c r="M4438" s="3"/>
    </row>
    <row r="4439" spans="1:13" x14ac:dyDescent="0.3">
      <c r="A4439" s="2">
        <v>4438</v>
      </c>
      <c r="B4439" s="2" t="s">
        <v>7686</v>
      </c>
      <c r="C4439" s="2" t="s">
        <v>256</v>
      </c>
      <c r="D4439" s="2" t="s">
        <v>15</v>
      </c>
      <c r="E4439" s="2" t="s">
        <v>16</v>
      </c>
      <c r="F4439" s="2">
        <v>60</v>
      </c>
      <c r="G4439" s="2" t="s">
        <v>9521</v>
      </c>
      <c r="H4439" s="2" t="s">
        <v>455</v>
      </c>
      <c r="I4439" s="2" t="s">
        <v>187</v>
      </c>
      <c r="J4439" s="3">
        <v>44067</v>
      </c>
      <c r="K4439" s="2">
        <v>56</v>
      </c>
      <c r="L4439" s="2" t="s">
        <v>54</v>
      </c>
      <c r="M4439" s="3"/>
    </row>
    <row r="4440" spans="1:13" x14ac:dyDescent="0.3">
      <c r="A4440" s="2">
        <v>4439</v>
      </c>
      <c r="B4440" s="2" t="s">
        <v>9522</v>
      </c>
      <c r="C4440" s="2" t="s">
        <v>4032</v>
      </c>
      <c r="D4440" s="2" t="s">
        <v>51</v>
      </c>
      <c r="E4440" s="2" t="s">
        <v>16</v>
      </c>
      <c r="F4440" s="2">
        <v>60</v>
      </c>
      <c r="G4440" s="2" t="s">
        <v>9523</v>
      </c>
      <c r="H4440" s="2" t="s">
        <v>5631</v>
      </c>
      <c r="I4440" s="2" t="s">
        <v>129</v>
      </c>
      <c r="J4440" s="3">
        <v>44884</v>
      </c>
      <c r="K4440" s="2">
        <v>103</v>
      </c>
      <c r="L4440" s="2" t="s">
        <v>101</v>
      </c>
      <c r="M4440" s="3"/>
    </row>
    <row r="4441" spans="1:13" x14ac:dyDescent="0.3">
      <c r="A4441" s="2">
        <v>4440</v>
      </c>
      <c r="B4441" s="2" t="s">
        <v>2510</v>
      </c>
      <c r="C4441" s="2" t="s">
        <v>3314</v>
      </c>
      <c r="D4441" s="2" t="s">
        <v>51</v>
      </c>
      <c r="E4441" s="2" t="s">
        <v>16</v>
      </c>
      <c r="F4441" s="2">
        <v>30</v>
      </c>
      <c r="G4441" s="2" t="s">
        <v>9524</v>
      </c>
      <c r="H4441" s="2" t="s">
        <v>5915</v>
      </c>
      <c r="I4441" s="2" t="s">
        <v>32</v>
      </c>
      <c r="J4441" s="3">
        <v>44746</v>
      </c>
      <c r="K4441" s="2">
        <v>19</v>
      </c>
      <c r="L4441" s="2" t="s">
        <v>159</v>
      </c>
      <c r="M4441" s="3"/>
    </row>
    <row r="4442" spans="1:13" x14ac:dyDescent="0.3">
      <c r="A4442" s="2">
        <v>4441</v>
      </c>
      <c r="B4442" s="2" t="s">
        <v>9525</v>
      </c>
      <c r="C4442" s="2" t="s">
        <v>268</v>
      </c>
      <c r="D4442" s="2" t="s">
        <v>15</v>
      </c>
      <c r="E4442" s="2" t="s">
        <v>16</v>
      </c>
      <c r="F4442" s="2">
        <v>60</v>
      </c>
      <c r="G4442" s="2" t="s">
        <v>9526</v>
      </c>
      <c r="H4442" s="2" t="s">
        <v>4085</v>
      </c>
      <c r="I4442" s="2" t="s">
        <v>240</v>
      </c>
      <c r="J4442" s="3">
        <v>43958</v>
      </c>
      <c r="K4442" s="2">
        <v>62</v>
      </c>
      <c r="L4442" s="2" t="s">
        <v>33</v>
      </c>
      <c r="M4442" s="3"/>
    </row>
    <row r="4443" spans="1:13" x14ac:dyDescent="0.3">
      <c r="A4443" s="2">
        <v>4442</v>
      </c>
      <c r="B4443" s="2" t="s">
        <v>4817</v>
      </c>
      <c r="C4443" s="2" t="s">
        <v>2995</v>
      </c>
      <c r="D4443" s="2" t="s">
        <v>41</v>
      </c>
      <c r="E4443" s="2" t="s">
        <v>16</v>
      </c>
      <c r="F4443" s="2">
        <v>30</v>
      </c>
      <c r="G4443" s="2" t="s">
        <v>9527</v>
      </c>
      <c r="H4443" s="2" t="s">
        <v>400</v>
      </c>
      <c r="I4443" s="2" t="s">
        <v>401</v>
      </c>
      <c r="J4443" s="3">
        <v>44013</v>
      </c>
      <c r="K4443" s="2">
        <v>38</v>
      </c>
      <c r="L4443" s="2" t="s">
        <v>80</v>
      </c>
      <c r="M4443" s="3"/>
    </row>
    <row r="4444" spans="1:13" x14ac:dyDescent="0.3">
      <c r="A4444" s="2">
        <v>4443</v>
      </c>
      <c r="B4444" s="2" t="s">
        <v>9528</v>
      </c>
      <c r="C4444" s="2" t="s">
        <v>832</v>
      </c>
      <c r="D4444" s="2" t="s">
        <v>51</v>
      </c>
      <c r="E4444" s="2" t="s">
        <v>16</v>
      </c>
      <c r="F4444" s="2">
        <v>60</v>
      </c>
      <c r="G4444" s="2" t="s">
        <v>9529</v>
      </c>
      <c r="H4444" s="2" t="s">
        <v>1347</v>
      </c>
      <c r="I4444" s="2" t="s">
        <v>32</v>
      </c>
      <c r="J4444" s="3">
        <v>44468</v>
      </c>
      <c r="K4444" s="2">
        <v>90</v>
      </c>
      <c r="L4444" s="2" t="s">
        <v>54</v>
      </c>
      <c r="M4444" s="3"/>
    </row>
    <row r="4445" spans="1:13" x14ac:dyDescent="0.3">
      <c r="A4445" s="2">
        <v>4444</v>
      </c>
      <c r="B4445" s="2" t="s">
        <v>8407</v>
      </c>
      <c r="C4445" s="2" t="s">
        <v>3812</v>
      </c>
      <c r="D4445" s="2" t="s">
        <v>28</v>
      </c>
      <c r="E4445" s="2" t="s">
        <v>29</v>
      </c>
      <c r="F4445" s="2">
        <v>60</v>
      </c>
      <c r="G4445" s="2" t="s">
        <v>9530</v>
      </c>
      <c r="H4445" s="2" t="s">
        <v>18</v>
      </c>
      <c r="I4445" s="2" t="s">
        <v>19</v>
      </c>
      <c r="J4445" s="3">
        <v>44693</v>
      </c>
      <c r="K4445" s="2">
        <v>17</v>
      </c>
      <c r="L4445" s="2" t="s">
        <v>64</v>
      </c>
      <c r="M4445" s="3"/>
    </row>
    <row r="4446" spans="1:13" x14ac:dyDescent="0.3">
      <c r="A4446" s="2">
        <v>4445</v>
      </c>
      <c r="B4446" s="2" t="s">
        <v>9531</v>
      </c>
      <c r="C4446" s="2" t="s">
        <v>2785</v>
      </c>
      <c r="D4446" s="2" t="s">
        <v>15</v>
      </c>
      <c r="E4446" s="2" t="s">
        <v>16</v>
      </c>
      <c r="F4446" s="2">
        <v>90</v>
      </c>
      <c r="G4446" s="2" t="s">
        <v>9532</v>
      </c>
      <c r="H4446" s="2" t="s">
        <v>1249</v>
      </c>
      <c r="I4446" s="2" t="s">
        <v>146</v>
      </c>
      <c r="J4446" s="3">
        <v>44408</v>
      </c>
      <c r="K4446" s="2">
        <v>8</v>
      </c>
      <c r="L4446" s="2" t="s">
        <v>54</v>
      </c>
      <c r="M4446" s="3"/>
    </row>
    <row r="4447" spans="1:13" x14ac:dyDescent="0.3">
      <c r="A4447" s="2">
        <v>4446</v>
      </c>
      <c r="B4447" s="2" t="s">
        <v>2259</v>
      </c>
      <c r="C4447" s="2" t="s">
        <v>492</v>
      </c>
      <c r="D4447" s="2" t="s">
        <v>28</v>
      </c>
      <c r="E4447" s="2" t="s">
        <v>29</v>
      </c>
      <c r="F4447" s="2">
        <v>30</v>
      </c>
      <c r="G4447" s="2" t="s">
        <v>9533</v>
      </c>
      <c r="H4447" s="2" t="s">
        <v>1590</v>
      </c>
      <c r="I4447" s="2" t="s">
        <v>32</v>
      </c>
      <c r="J4447" s="3">
        <v>44707</v>
      </c>
      <c r="K4447" s="2">
        <v>25</v>
      </c>
      <c r="L4447" s="2" t="s">
        <v>101</v>
      </c>
      <c r="M4447" s="3"/>
    </row>
    <row r="4448" spans="1:13" x14ac:dyDescent="0.3">
      <c r="A4448" s="2">
        <v>4447</v>
      </c>
      <c r="B4448" s="2" t="s">
        <v>3191</v>
      </c>
      <c r="C4448" s="2" t="s">
        <v>9534</v>
      </c>
      <c r="D4448" s="2" t="s">
        <v>15</v>
      </c>
      <c r="E4448" s="2" t="s">
        <v>16</v>
      </c>
      <c r="F4448" s="2">
        <v>60</v>
      </c>
      <c r="G4448" s="2" t="s">
        <v>9535</v>
      </c>
      <c r="H4448" s="2" t="s">
        <v>9536</v>
      </c>
      <c r="I4448" s="2" t="s">
        <v>32</v>
      </c>
      <c r="J4448" s="3">
        <v>43905</v>
      </c>
      <c r="K4448" s="2">
        <v>34</v>
      </c>
      <c r="L4448" s="2" t="s">
        <v>64</v>
      </c>
      <c r="M4448" s="3"/>
    </row>
    <row r="4449" spans="1:13" x14ac:dyDescent="0.3">
      <c r="A4449" s="2">
        <v>4448</v>
      </c>
      <c r="B4449" s="2" t="s">
        <v>9537</v>
      </c>
      <c r="C4449" s="2" t="s">
        <v>3226</v>
      </c>
      <c r="D4449" s="2" t="s">
        <v>51</v>
      </c>
      <c r="E4449" s="2" t="s">
        <v>16</v>
      </c>
      <c r="F4449" s="2">
        <v>60</v>
      </c>
      <c r="G4449" s="2" t="s">
        <v>9538</v>
      </c>
      <c r="H4449" s="2" t="s">
        <v>1018</v>
      </c>
      <c r="I4449" s="2" t="s">
        <v>294</v>
      </c>
      <c r="J4449" s="3">
        <v>44588</v>
      </c>
      <c r="K4449" s="2">
        <v>43</v>
      </c>
      <c r="L4449" s="2" t="s">
        <v>39</v>
      </c>
      <c r="M4449" s="3"/>
    </row>
    <row r="4450" spans="1:13" x14ac:dyDescent="0.3">
      <c r="A4450" s="2">
        <v>4449</v>
      </c>
      <c r="B4450" s="2" t="s">
        <v>4805</v>
      </c>
      <c r="C4450" s="2" t="s">
        <v>1196</v>
      </c>
      <c r="D4450" s="2" t="s">
        <v>15</v>
      </c>
      <c r="E4450" s="2" t="s">
        <v>16</v>
      </c>
      <c r="F4450" s="2">
        <v>30</v>
      </c>
      <c r="G4450" s="2" t="s">
        <v>9538</v>
      </c>
      <c r="H4450" s="2" t="s">
        <v>382</v>
      </c>
      <c r="I4450" s="2" t="s">
        <v>32</v>
      </c>
      <c r="J4450" s="3">
        <v>43992</v>
      </c>
      <c r="K4450" s="2">
        <v>67</v>
      </c>
      <c r="L4450" s="2" t="s">
        <v>70</v>
      </c>
      <c r="M4450" s="3"/>
    </row>
    <row r="4451" spans="1:13" x14ac:dyDescent="0.3">
      <c r="A4451" s="2">
        <v>4450</v>
      </c>
      <c r="B4451" s="2" t="s">
        <v>2388</v>
      </c>
      <c r="C4451" s="2" t="s">
        <v>1783</v>
      </c>
      <c r="D4451" s="2" t="s">
        <v>28</v>
      </c>
      <c r="E4451" s="2" t="s">
        <v>29</v>
      </c>
      <c r="F4451" s="2">
        <v>60</v>
      </c>
      <c r="G4451" s="2" t="s">
        <v>9539</v>
      </c>
      <c r="H4451" s="2" t="s">
        <v>2476</v>
      </c>
      <c r="I4451" s="2" t="s">
        <v>38</v>
      </c>
      <c r="J4451" s="3">
        <v>44733</v>
      </c>
      <c r="K4451" s="2">
        <v>105</v>
      </c>
      <c r="L4451" s="2" t="s">
        <v>20</v>
      </c>
      <c r="M4451" s="3"/>
    </row>
    <row r="4452" spans="1:13" x14ac:dyDescent="0.3">
      <c r="A4452" s="2">
        <v>4451</v>
      </c>
      <c r="B4452" s="2" t="s">
        <v>9540</v>
      </c>
      <c r="C4452" s="2" t="s">
        <v>1861</v>
      </c>
      <c r="D4452" s="2" t="s">
        <v>51</v>
      </c>
      <c r="E4452" s="2" t="s">
        <v>16</v>
      </c>
      <c r="F4452" s="2">
        <v>90</v>
      </c>
      <c r="G4452" s="2" t="s">
        <v>9541</v>
      </c>
      <c r="H4452" s="2" t="s">
        <v>1444</v>
      </c>
      <c r="I4452" s="2" t="s">
        <v>1199</v>
      </c>
      <c r="J4452" s="3">
        <v>44010</v>
      </c>
      <c r="K4452" s="2">
        <v>78</v>
      </c>
      <c r="L4452" s="2" t="s">
        <v>101</v>
      </c>
      <c r="M4452" s="3"/>
    </row>
    <row r="4453" spans="1:13" x14ac:dyDescent="0.3">
      <c r="A4453" s="2">
        <v>4452</v>
      </c>
      <c r="B4453" s="2" t="s">
        <v>9542</v>
      </c>
      <c r="C4453" s="2" t="s">
        <v>2409</v>
      </c>
      <c r="D4453" s="2" t="s">
        <v>15</v>
      </c>
      <c r="E4453" s="2" t="s">
        <v>16</v>
      </c>
      <c r="F4453" s="2">
        <v>90</v>
      </c>
      <c r="G4453" s="2" t="s">
        <v>9543</v>
      </c>
      <c r="H4453" s="2" t="s">
        <v>6319</v>
      </c>
      <c r="I4453" s="2" t="s">
        <v>32</v>
      </c>
      <c r="J4453" s="3">
        <v>44711</v>
      </c>
      <c r="K4453" s="2">
        <v>69</v>
      </c>
      <c r="L4453" s="2" t="s">
        <v>39</v>
      </c>
      <c r="M4453" s="3"/>
    </row>
    <row r="4454" spans="1:13" x14ac:dyDescent="0.3">
      <c r="A4454" s="2">
        <v>4453</v>
      </c>
      <c r="B4454" s="2" t="s">
        <v>4392</v>
      </c>
      <c r="C4454" s="2" t="s">
        <v>1172</v>
      </c>
      <c r="D4454" s="2" t="s">
        <v>28</v>
      </c>
      <c r="E4454" s="2" t="s">
        <v>29</v>
      </c>
      <c r="F4454" s="2">
        <v>30</v>
      </c>
      <c r="G4454" s="2" t="s">
        <v>9544</v>
      </c>
      <c r="H4454" s="2" t="s">
        <v>315</v>
      </c>
      <c r="I4454" s="2" t="s">
        <v>32</v>
      </c>
      <c r="J4454" s="3">
        <v>44434</v>
      </c>
      <c r="K4454" s="2">
        <v>11</v>
      </c>
      <c r="L4454" s="2" t="s">
        <v>20</v>
      </c>
      <c r="M4454" s="3"/>
    </row>
    <row r="4455" spans="1:13" x14ac:dyDescent="0.3">
      <c r="A4455" s="2">
        <v>4454</v>
      </c>
      <c r="B4455" s="2" t="s">
        <v>6637</v>
      </c>
      <c r="C4455" s="2" t="s">
        <v>653</v>
      </c>
      <c r="D4455" s="2" t="s">
        <v>51</v>
      </c>
      <c r="E4455" s="2" t="s">
        <v>16</v>
      </c>
      <c r="F4455" s="2">
        <v>60</v>
      </c>
      <c r="G4455" s="2" t="s">
        <v>9545</v>
      </c>
      <c r="H4455" s="2" t="s">
        <v>3324</v>
      </c>
      <c r="I4455" s="2" t="s">
        <v>32</v>
      </c>
      <c r="J4455" s="3">
        <v>43942</v>
      </c>
      <c r="K4455" s="2">
        <v>65</v>
      </c>
      <c r="L4455" s="2" t="s">
        <v>33</v>
      </c>
      <c r="M4455" s="3"/>
    </row>
    <row r="4456" spans="1:13" x14ac:dyDescent="0.3">
      <c r="A4456" s="2">
        <v>4455</v>
      </c>
      <c r="B4456" s="2" t="s">
        <v>9511</v>
      </c>
      <c r="C4456" s="2" t="s">
        <v>2282</v>
      </c>
      <c r="D4456" s="2" t="s">
        <v>51</v>
      </c>
      <c r="E4456" s="2" t="s">
        <v>16</v>
      </c>
      <c r="F4456" s="2">
        <v>60</v>
      </c>
      <c r="G4456" s="2" t="s">
        <v>9546</v>
      </c>
      <c r="H4456" s="2" t="s">
        <v>6343</v>
      </c>
      <c r="I4456" s="2" t="s">
        <v>32</v>
      </c>
      <c r="J4456" s="3">
        <v>44115</v>
      </c>
      <c r="K4456" s="2">
        <v>16</v>
      </c>
      <c r="L4456" s="2" t="s">
        <v>54</v>
      </c>
      <c r="M4456" s="3"/>
    </row>
    <row r="4457" spans="1:13" x14ac:dyDescent="0.3">
      <c r="A4457" s="2">
        <v>4456</v>
      </c>
      <c r="B4457" s="2" t="s">
        <v>8187</v>
      </c>
      <c r="C4457" s="2" t="s">
        <v>3956</v>
      </c>
      <c r="D4457" s="2" t="s">
        <v>28</v>
      </c>
      <c r="E4457" s="2" t="s">
        <v>29</v>
      </c>
      <c r="F4457" s="2">
        <v>60</v>
      </c>
      <c r="G4457" s="2" t="s">
        <v>9547</v>
      </c>
      <c r="H4457" s="2" t="s">
        <v>1754</v>
      </c>
      <c r="I4457" s="2" t="s">
        <v>25</v>
      </c>
      <c r="J4457" s="3">
        <v>44622</v>
      </c>
      <c r="K4457" s="2">
        <v>4</v>
      </c>
      <c r="L4457" s="2" t="s">
        <v>101</v>
      </c>
      <c r="M4457" s="3"/>
    </row>
    <row r="4458" spans="1:13" x14ac:dyDescent="0.3">
      <c r="A4458" s="2">
        <v>4457</v>
      </c>
      <c r="B4458" s="2" t="s">
        <v>1748</v>
      </c>
      <c r="C4458" s="2" t="s">
        <v>928</v>
      </c>
      <c r="D4458" s="2" t="s">
        <v>28</v>
      </c>
      <c r="E4458" s="2" t="s">
        <v>29</v>
      </c>
      <c r="F4458" s="2">
        <v>30</v>
      </c>
      <c r="G4458" s="2" t="s">
        <v>9548</v>
      </c>
      <c r="H4458" s="2" t="s">
        <v>1408</v>
      </c>
      <c r="I4458" s="2" t="s">
        <v>1083</v>
      </c>
      <c r="J4458" s="3">
        <v>43975</v>
      </c>
      <c r="K4458" s="2">
        <v>54</v>
      </c>
      <c r="L4458" s="2" t="s">
        <v>64</v>
      </c>
      <c r="M4458" s="3"/>
    </row>
    <row r="4459" spans="1:13" x14ac:dyDescent="0.3">
      <c r="A4459" s="2">
        <v>4458</v>
      </c>
      <c r="B4459" s="2" t="s">
        <v>3410</v>
      </c>
      <c r="C4459" s="2" t="s">
        <v>5346</v>
      </c>
      <c r="D4459" s="2" t="s">
        <v>28</v>
      </c>
      <c r="E4459" s="2" t="s">
        <v>29</v>
      </c>
      <c r="F4459" s="2">
        <v>60</v>
      </c>
      <c r="G4459" s="2" t="s">
        <v>9549</v>
      </c>
      <c r="H4459" s="2" t="s">
        <v>2183</v>
      </c>
      <c r="I4459" s="2" t="s">
        <v>124</v>
      </c>
      <c r="J4459" s="3">
        <v>44626</v>
      </c>
      <c r="K4459" s="2">
        <v>23</v>
      </c>
      <c r="L4459" s="2" t="s">
        <v>39</v>
      </c>
      <c r="M4459" s="3"/>
    </row>
    <row r="4460" spans="1:13" x14ac:dyDescent="0.3">
      <c r="A4460" s="2">
        <v>4459</v>
      </c>
      <c r="B4460" s="2" t="s">
        <v>2527</v>
      </c>
      <c r="C4460" s="2" t="s">
        <v>7266</v>
      </c>
      <c r="D4460" s="2" t="s">
        <v>28</v>
      </c>
      <c r="E4460" s="2" t="s">
        <v>29</v>
      </c>
      <c r="F4460" s="2">
        <v>60</v>
      </c>
      <c r="G4460" s="2" t="s">
        <v>2512</v>
      </c>
      <c r="H4460" s="2" t="s">
        <v>338</v>
      </c>
      <c r="I4460" s="2" t="s">
        <v>173</v>
      </c>
      <c r="J4460" s="3">
        <v>44356</v>
      </c>
      <c r="K4460" s="2">
        <v>89</v>
      </c>
      <c r="L4460" s="2" t="s">
        <v>54</v>
      </c>
      <c r="M4460" s="3"/>
    </row>
    <row r="4461" spans="1:13" x14ac:dyDescent="0.3">
      <c r="A4461" s="2">
        <v>4460</v>
      </c>
      <c r="B4461" s="2" t="s">
        <v>9550</v>
      </c>
      <c r="C4461" s="2" t="s">
        <v>1517</v>
      </c>
      <c r="D4461" s="2" t="s">
        <v>15</v>
      </c>
      <c r="E4461" s="2" t="s">
        <v>16</v>
      </c>
      <c r="F4461" s="2">
        <v>60</v>
      </c>
      <c r="G4461" s="2" t="s">
        <v>9551</v>
      </c>
      <c r="H4461" s="2" t="s">
        <v>1937</v>
      </c>
      <c r="I4461" s="2" t="s">
        <v>25</v>
      </c>
      <c r="J4461" s="3">
        <v>44873</v>
      </c>
      <c r="K4461" s="2">
        <v>41</v>
      </c>
      <c r="L4461" s="2" t="s">
        <v>101</v>
      </c>
      <c r="M4461" s="3"/>
    </row>
    <row r="4462" spans="1:13" x14ac:dyDescent="0.3">
      <c r="A4462" s="2">
        <v>4461</v>
      </c>
      <c r="B4462" s="2" t="s">
        <v>9552</v>
      </c>
      <c r="C4462" s="2" t="s">
        <v>82</v>
      </c>
      <c r="D4462" s="2" t="s">
        <v>28</v>
      </c>
      <c r="E4462" s="2" t="s">
        <v>29</v>
      </c>
      <c r="F4462" s="2">
        <v>90</v>
      </c>
      <c r="G4462" s="2" t="s">
        <v>9553</v>
      </c>
      <c r="H4462" s="2" t="s">
        <v>1823</v>
      </c>
      <c r="I4462" s="2" t="s">
        <v>1824</v>
      </c>
      <c r="J4462" s="3">
        <v>44893</v>
      </c>
      <c r="K4462" s="2">
        <v>26</v>
      </c>
      <c r="L4462" s="2" t="s">
        <v>64</v>
      </c>
      <c r="M4462" s="3"/>
    </row>
    <row r="4463" spans="1:13" x14ac:dyDescent="0.3">
      <c r="A4463" s="2">
        <v>4462</v>
      </c>
      <c r="B4463" s="2" t="s">
        <v>9554</v>
      </c>
      <c r="C4463" s="2" t="s">
        <v>1866</v>
      </c>
      <c r="D4463" s="2" t="s">
        <v>15</v>
      </c>
      <c r="E4463" s="2" t="s">
        <v>16</v>
      </c>
      <c r="F4463" s="2">
        <v>30</v>
      </c>
      <c r="G4463" s="2" t="s">
        <v>9555</v>
      </c>
      <c r="H4463" s="2" t="s">
        <v>1186</v>
      </c>
      <c r="I4463" s="2" t="s">
        <v>32</v>
      </c>
      <c r="J4463" s="3">
        <v>43968</v>
      </c>
      <c r="K4463" s="2">
        <v>68</v>
      </c>
      <c r="L4463" s="2" t="s">
        <v>80</v>
      </c>
      <c r="M4463" s="3"/>
    </row>
    <row r="4464" spans="1:13" x14ac:dyDescent="0.3">
      <c r="A4464" s="2">
        <v>4463</v>
      </c>
      <c r="B4464" s="2" t="s">
        <v>7349</v>
      </c>
      <c r="C4464" s="2" t="s">
        <v>3352</v>
      </c>
      <c r="D4464" s="2" t="s">
        <v>28</v>
      </c>
      <c r="E4464" s="2" t="s">
        <v>29</v>
      </c>
      <c r="F4464" s="2">
        <v>30</v>
      </c>
      <c r="G4464" s="2" t="s">
        <v>9556</v>
      </c>
      <c r="H4464" s="2" t="s">
        <v>6154</v>
      </c>
      <c r="I4464" s="2" t="s">
        <v>38</v>
      </c>
      <c r="J4464" s="3">
        <v>43889</v>
      </c>
      <c r="K4464" s="2">
        <v>16</v>
      </c>
      <c r="L4464" s="2" t="s">
        <v>64</v>
      </c>
      <c r="M4464" s="3"/>
    </row>
    <row r="4465" spans="1:13" x14ac:dyDescent="0.3">
      <c r="A4465" s="2">
        <v>4464</v>
      </c>
      <c r="B4465" s="2" t="s">
        <v>2300</v>
      </c>
      <c r="C4465" s="2" t="s">
        <v>7448</v>
      </c>
      <c r="D4465" s="2" t="s">
        <v>28</v>
      </c>
      <c r="E4465" s="2" t="s">
        <v>29</v>
      </c>
      <c r="F4465" s="2">
        <v>90</v>
      </c>
      <c r="G4465" s="2" t="s">
        <v>9557</v>
      </c>
      <c r="H4465" s="2" t="s">
        <v>8865</v>
      </c>
      <c r="I4465" s="2" t="s">
        <v>32</v>
      </c>
      <c r="J4465" s="3">
        <v>44652</v>
      </c>
      <c r="K4465" s="2">
        <v>84</v>
      </c>
      <c r="L4465" s="2" t="s">
        <v>33</v>
      </c>
      <c r="M4465" s="3"/>
    </row>
    <row r="4466" spans="1:13" x14ac:dyDescent="0.3">
      <c r="A4466" s="2">
        <v>4465</v>
      </c>
      <c r="B4466" s="2" t="s">
        <v>7802</v>
      </c>
      <c r="C4466" s="2" t="s">
        <v>1789</v>
      </c>
      <c r="D4466" s="2" t="s">
        <v>15</v>
      </c>
      <c r="E4466" s="2" t="s">
        <v>16</v>
      </c>
      <c r="F4466" s="2">
        <v>30</v>
      </c>
      <c r="G4466" s="2" t="s">
        <v>9558</v>
      </c>
      <c r="H4466" s="2" t="s">
        <v>933</v>
      </c>
      <c r="I4466" s="2" t="s">
        <v>934</v>
      </c>
      <c r="J4466" s="3">
        <v>44910</v>
      </c>
      <c r="K4466" s="2">
        <v>78</v>
      </c>
      <c r="L4466" s="2" t="s">
        <v>80</v>
      </c>
      <c r="M4466" s="3"/>
    </row>
    <row r="4467" spans="1:13" x14ac:dyDescent="0.3">
      <c r="A4467" s="2">
        <v>4466</v>
      </c>
      <c r="B4467" s="2" t="s">
        <v>7802</v>
      </c>
      <c r="C4467" s="2" t="s">
        <v>1789</v>
      </c>
      <c r="D4467" s="2" t="s">
        <v>15</v>
      </c>
      <c r="E4467" s="2" t="s">
        <v>16</v>
      </c>
      <c r="F4467" s="2">
        <v>30</v>
      </c>
      <c r="G4467" s="2" t="s">
        <v>9558</v>
      </c>
      <c r="H4467" s="2" t="s">
        <v>933</v>
      </c>
      <c r="I4467" s="2" t="s">
        <v>934</v>
      </c>
      <c r="J4467" s="3">
        <v>44910</v>
      </c>
      <c r="K4467" s="2">
        <v>78</v>
      </c>
      <c r="L4467" s="2" t="s">
        <v>80</v>
      </c>
      <c r="M4467" s="3"/>
    </row>
    <row r="4468" spans="1:13" x14ac:dyDescent="0.3">
      <c r="A4468" s="2">
        <v>4467</v>
      </c>
      <c r="B4468" s="2" t="s">
        <v>7595</v>
      </c>
      <c r="C4468" s="2" t="s">
        <v>9110</v>
      </c>
      <c r="D4468" s="2" t="s">
        <v>28</v>
      </c>
      <c r="E4468" s="2" t="s">
        <v>29</v>
      </c>
      <c r="F4468" s="2">
        <v>90</v>
      </c>
      <c r="G4468" s="2" t="s">
        <v>9559</v>
      </c>
      <c r="H4468" s="2" t="s">
        <v>655</v>
      </c>
      <c r="I4468" s="2" t="s">
        <v>32</v>
      </c>
      <c r="J4468" s="3">
        <v>44557</v>
      </c>
      <c r="K4468" s="2">
        <v>26</v>
      </c>
      <c r="L4468" s="2" t="s">
        <v>70</v>
      </c>
      <c r="M4468" s="3"/>
    </row>
    <row r="4469" spans="1:13" x14ac:dyDescent="0.3">
      <c r="A4469" s="2">
        <v>4468</v>
      </c>
      <c r="B4469" s="2" t="s">
        <v>4430</v>
      </c>
      <c r="C4469" s="2" t="s">
        <v>5541</v>
      </c>
      <c r="D4469" s="2" t="s">
        <v>28</v>
      </c>
      <c r="E4469" s="2" t="s">
        <v>29</v>
      </c>
      <c r="F4469" s="2">
        <v>90</v>
      </c>
      <c r="G4469" s="2" t="s">
        <v>9560</v>
      </c>
      <c r="H4469" s="2" t="s">
        <v>9561</v>
      </c>
      <c r="I4469" s="2" t="s">
        <v>913</v>
      </c>
      <c r="J4469" s="3">
        <v>44892</v>
      </c>
      <c r="K4469" s="2">
        <v>42</v>
      </c>
      <c r="L4469" s="2" t="s">
        <v>159</v>
      </c>
      <c r="M4469" s="3"/>
    </row>
    <row r="4470" spans="1:13" x14ac:dyDescent="0.3">
      <c r="A4470" s="2">
        <v>4469</v>
      </c>
      <c r="B4470" s="2" t="s">
        <v>1027</v>
      </c>
      <c r="C4470" s="2" t="s">
        <v>2349</v>
      </c>
      <c r="D4470" s="2" t="s">
        <v>28</v>
      </c>
      <c r="E4470" s="2" t="s">
        <v>29</v>
      </c>
      <c r="F4470" s="2">
        <v>90</v>
      </c>
      <c r="G4470" s="2" t="s">
        <v>9562</v>
      </c>
      <c r="H4470" s="2" t="s">
        <v>3387</v>
      </c>
      <c r="I4470" s="2" t="s">
        <v>2878</v>
      </c>
      <c r="J4470" s="3">
        <v>44247</v>
      </c>
      <c r="K4470" s="2">
        <v>87</v>
      </c>
      <c r="L4470" s="2" t="s">
        <v>54</v>
      </c>
      <c r="M4470" s="3"/>
    </row>
    <row r="4471" spans="1:13" x14ac:dyDescent="0.3">
      <c r="A4471" s="2">
        <v>4470</v>
      </c>
      <c r="B4471" s="2" t="s">
        <v>9563</v>
      </c>
      <c r="C4471" s="2" t="s">
        <v>5199</v>
      </c>
      <c r="D4471" s="2" t="s">
        <v>15</v>
      </c>
      <c r="E4471" s="2" t="s">
        <v>16</v>
      </c>
      <c r="F4471" s="2">
        <v>90</v>
      </c>
      <c r="G4471" s="2" t="s">
        <v>9564</v>
      </c>
      <c r="H4471" s="2" t="s">
        <v>4853</v>
      </c>
      <c r="I4471" s="2" t="s">
        <v>178</v>
      </c>
      <c r="J4471" s="3">
        <v>43989</v>
      </c>
      <c r="K4471" s="2">
        <v>62</v>
      </c>
      <c r="L4471" s="2" t="s">
        <v>45</v>
      </c>
      <c r="M4471" s="3"/>
    </row>
    <row r="4472" spans="1:13" x14ac:dyDescent="0.3">
      <c r="A4472" s="2">
        <v>4471</v>
      </c>
      <c r="B4472" s="2" t="s">
        <v>9565</v>
      </c>
      <c r="C4472" s="2" t="s">
        <v>1101</v>
      </c>
      <c r="D4472" s="2" t="s">
        <v>28</v>
      </c>
      <c r="E4472" s="2" t="s">
        <v>29</v>
      </c>
      <c r="F4472" s="2">
        <v>30</v>
      </c>
      <c r="G4472" s="2" t="s">
        <v>9566</v>
      </c>
      <c r="H4472" s="2" t="s">
        <v>1299</v>
      </c>
      <c r="I4472" s="2" t="s">
        <v>1199</v>
      </c>
      <c r="J4472" s="3">
        <v>44424</v>
      </c>
      <c r="K4472" s="2">
        <v>13</v>
      </c>
      <c r="L4472" s="2" t="s">
        <v>39</v>
      </c>
      <c r="M4472" s="3"/>
    </row>
    <row r="4473" spans="1:13" x14ac:dyDescent="0.3">
      <c r="A4473" s="2">
        <v>4472</v>
      </c>
      <c r="B4473" s="2" t="s">
        <v>6190</v>
      </c>
      <c r="C4473" s="2" t="s">
        <v>1286</v>
      </c>
      <c r="D4473" s="2" t="s">
        <v>28</v>
      </c>
      <c r="E4473" s="2" t="s">
        <v>29</v>
      </c>
      <c r="F4473" s="2">
        <v>90</v>
      </c>
      <c r="G4473" s="2" t="s">
        <v>9567</v>
      </c>
      <c r="H4473" s="2" t="s">
        <v>3822</v>
      </c>
      <c r="I4473" s="2" t="s">
        <v>1454</v>
      </c>
      <c r="J4473" s="3">
        <v>44041</v>
      </c>
      <c r="K4473" s="2">
        <v>18</v>
      </c>
      <c r="L4473" s="2" t="s">
        <v>70</v>
      </c>
      <c r="M4473" s="3"/>
    </row>
    <row r="4474" spans="1:13" x14ac:dyDescent="0.3">
      <c r="A4474" s="2">
        <v>4473</v>
      </c>
      <c r="B4474" s="2" t="s">
        <v>1748</v>
      </c>
      <c r="C4474" s="2" t="s">
        <v>1762</v>
      </c>
      <c r="D4474" s="2" t="s">
        <v>28</v>
      </c>
      <c r="E4474" s="2" t="s">
        <v>29</v>
      </c>
      <c r="F4474" s="2">
        <v>60</v>
      </c>
      <c r="G4474" s="2" t="s">
        <v>9568</v>
      </c>
      <c r="H4474" s="2" t="s">
        <v>1417</v>
      </c>
      <c r="I4474" s="2" t="s">
        <v>32</v>
      </c>
      <c r="J4474" s="3">
        <v>44842</v>
      </c>
      <c r="K4474" s="2">
        <v>70</v>
      </c>
      <c r="L4474" s="2" t="s">
        <v>20</v>
      </c>
      <c r="M4474" s="3"/>
    </row>
    <row r="4475" spans="1:13" x14ac:dyDescent="0.3">
      <c r="A4475" s="2">
        <v>4474</v>
      </c>
      <c r="B4475" s="2" t="s">
        <v>9569</v>
      </c>
      <c r="C4475" s="2" t="s">
        <v>8136</v>
      </c>
      <c r="D4475" s="2" t="s">
        <v>51</v>
      </c>
      <c r="E4475" s="2" t="s">
        <v>16</v>
      </c>
      <c r="F4475" s="2">
        <v>30</v>
      </c>
      <c r="G4475" s="2" t="s">
        <v>9570</v>
      </c>
      <c r="H4475" s="2" t="s">
        <v>3876</v>
      </c>
      <c r="I4475" s="2" t="s">
        <v>32</v>
      </c>
      <c r="J4475" s="3">
        <v>44893</v>
      </c>
      <c r="K4475" s="2">
        <v>88</v>
      </c>
      <c r="L4475" s="2" t="s">
        <v>70</v>
      </c>
      <c r="M4475" s="3"/>
    </row>
    <row r="4476" spans="1:13" x14ac:dyDescent="0.3">
      <c r="A4476" s="2">
        <v>4475</v>
      </c>
      <c r="B4476" s="2" t="s">
        <v>6547</v>
      </c>
      <c r="C4476" s="2" t="s">
        <v>9571</v>
      </c>
      <c r="D4476" s="2" t="s">
        <v>28</v>
      </c>
      <c r="E4476" s="2" t="s">
        <v>29</v>
      </c>
      <c r="F4476" s="2">
        <v>60</v>
      </c>
      <c r="G4476" s="2" t="s">
        <v>9572</v>
      </c>
      <c r="H4476" s="2" t="s">
        <v>128</v>
      </c>
      <c r="I4476" s="2" t="s">
        <v>129</v>
      </c>
      <c r="J4476" s="3">
        <v>44347</v>
      </c>
      <c r="K4476" s="2">
        <v>79</v>
      </c>
      <c r="L4476" s="2" t="s">
        <v>70</v>
      </c>
      <c r="M4476" s="3"/>
    </row>
    <row r="4477" spans="1:13" x14ac:dyDescent="0.3">
      <c r="A4477" s="2">
        <v>4476</v>
      </c>
      <c r="B4477" s="2" t="s">
        <v>9573</v>
      </c>
      <c r="C4477" s="2" t="s">
        <v>9170</v>
      </c>
      <c r="D4477" s="2" t="s">
        <v>51</v>
      </c>
      <c r="E4477" s="2" t="s">
        <v>16</v>
      </c>
      <c r="F4477" s="2">
        <v>90</v>
      </c>
      <c r="G4477" s="2" t="s">
        <v>9574</v>
      </c>
      <c r="H4477" s="2" t="s">
        <v>1761</v>
      </c>
      <c r="I4477" s="2" t="s">
        <v>38</v>
      </c>
      <c r="J4477" s="3">
        <v>44703</v>
      </c>
      <c r="K4477" s="2">
        <v>72</v>
      </c>
      <c r="L4477" s="2" t="s">
        <v>39</v>
      </c>
      <c r="M4477" s="3"/>
    </row>
    <row r="4478" spans="1:13" x14ac:dyDescent="0.3">
      <c r="A4478" s="2">
        <v>4477</v>
      </c>
      <c r="B4478" s="2" t="s">
        <v>237</v>
      </c>
      <c r="C4478" s="2" t="s">
        <v>708</v>
      </c>
      <c r="D4478" s="2" t="s">
        <v>28</v>
      </c>
      <c r="E4478" s="2" t="s">
        <v>29</v>
      </c>
      <c r="F4478" s="2">
        <v>60</v>
      </c>
      <c r="G4478" s="2" t="s">
        <v>9575</v>
      </c>
      <c r="H4478" s="2" t="s">
        <v>1785</v>
      </c>
      <c r="I4478" s="2" t="s">
        <v>32</v>
      </c>
      <c r="J4478" s="3">
        <v>44264</v>
      </c>
      <c r="K4478" s="2">
        <v>40</v>
      </c>
      <c r="L4478" s="2" t="s">
        <v>64</v>
      </c>
      <c r="M4478" s="3"/>
    </row>
    <row r="4479" spans="1:13" x14ac:dyDescent="0.3">
      <c r="A4479" s="2">
        <v>4478</v>
      </c>
      <c r="B4479" s="2" t="s">
        <v>6338</v>
      </c>
      <c r="C4479" s="2" t="s">
        <v>1047</v>
      </c>
      <c r="D4479" s="2" t="s">
        <v>51</v>
      </c>
      <c r="E4479" s="2" t="s">
        <v>16</v>
      </c>
      <c r="F4479" s="2">
        <v>30</v>
      </c>
      <c r="G4479" s="2" t="s">
        <v>9575</v>
      </c>
      <c r="H4479" s="2" t="s">
        <v>389</v>
      </c>
      <c r="I4479" s="2" t="s">
        <v>32</v>
      </c>
      <c r="J4479" s="3">
        <v>44873</v>
      </c>
      <c r="K4479" s="2">
        <v>25</v>
      </c>
      <c r="L4479" s="2" t="s">
        <v>33</v>
      </c>
      <c r="M4479" s="3"/>
    </row>
    <row r="4480" spans="1:13" x14ac:dyDescent="0.3">
      <c r="A4480" s="2">
        <v>4479</v>
      </c>
      <c r="B4480" s="2" t="s">
        <v>6338</v>
      </c>
      <c r="C4480" s="2" t="s">
        <v>1047</v>
      </c>
      <c r="D4480" s="2" t="s">
        <v>51</v>
      </c>
      <c r="E4480" s="2" t="s">
        <v>16</v>
      </c>
      <c r="F4480" s="2">
        <v>30</v>
      </c>
      <c r="G4480" s="2" t="s">
        <v>9575</v>
      </c>
      <c r="H4480" s="2" t="s">
        <v>389</v>
      </c>
      <c r="I4480" s="2" t="s">
        <v>32</v>
      </c>
      <c r="J4480" s="3">
        <v>44873</v>
      </c>
      <c r="K4480" s="2">
        <v>25</v>
      </c>
      <c r="L4480" s="2" t="s">
        <v>33</v>
      </c>
      <c r="M4480" s="3"/>
    </row>
    <row r="4481" spans="1:13" x14ac:dyDescent="0.3">
      <c r="A4481" s="2">
        <v>4480</v>
      </c>
      <c r="B4481" s="2" t="s">
        <v>9576</v>
      </c>
      <c r="C4481" s="2" t="s">
        <v>6562</v>
      </c>
      <c r="D4481" s="2" t="s">
        <v>41</v>
      </c>
      <c r="E4481" s="2" t="s">
        <v>16</v>
      </c>
      <c r="F4481" s="2">
        <v>90</v>
      </c>
      <c r="G4481" s="2" t="s">
        <v>9577</v>
      </c>
      <c r="H4481" s="2" t="s">
        <v>3915</v>
      </c>
      <c r="I4481" s="2" t="s">
        <v>173</v>
      </c>
      <c r="J4481" s="3">
        <v>44850</v>
      </c>
      <c r="K4481" s="2">
        <v>67</v>
      </c>
      <c r="L4481" s="2" t="s">
        <v>39</v>
      </c>
      <c r="M4481" s="3"/>
    </row>
    <row r="4482" spans="1:13" x14ac:dyDescent="0.3">
      <c r="A4482" s="2">
        <v>4481</v>
      </c>
      <c r="B4482" s="2" t="s">
        <v>433</v>
      </c>
      <c r="C4482" s="2" t="s">
        <v>568</v>
      </c>
      <c r="D4482" s="2" t="s">
        <v>28</v>
      </c>
      <c r="E4482" s="2" t="s">
        <v>29</v>
      </c>
      <c r="F4482" s="2">
        <v>90</v>
      </c>
      <c r="G4482" s="2" t="s">
        <v>9578</v>
      </c>
      <c r="H4482" s="2" t="s">
        <v>3148</v>
      </c>
      <c r="I4482" s="2" t="s">
        <v>146</v>
      </c>
      <c r="J4482" s="3">
        <v>44510</v>
      </c>
      <c r="K4482" s="2">
        <v>81</v>
      </c>
      <c r="L4482" s="2" t="s">
        <v>20</v>
      </c>
      <c r="M4482" s="3"/>
    </row>
    <row r="4483" spans="1:13" x14ac:dyDescent="0.3">
      <c r="A4483" s="2">
        <v>4482</v>
      </c>
      <c r="B4483" s="2" t="s">
        <v>9579</v>
      </c>
      <c r="C4483" s="2" t="s">
        <v>4924</v>
      </c>
      <c r="D4483" s="2" t="s">
        <v>28</v>
      </c>
      <c r="E4483" s="2" t="s">
        <v>29</v>
      </c>
      <c r="F4483" s="2">
        <v>90</v>
      </c>
      <c r="G4483" s="2" t="s">
        <v>9580</v>
      </c>
      <c r="H4483" s="2" t="s">
        <v>7004</v>
      </c>
      <c r="I4483" s="2" t="s">
        <v>208</v>
      </c>
      <c r="J4483" s="3">
        <v>44287</v>
      </c>
      <c r="K4483" s="2">
        <v>91</v>
      </c>
      <c r="L4483" s="2" t="s">
        <v>70</v>
      </c>
      <c r="M4483" s="3"/>
    </row>
    <row r="4484" spans="1:13" x14ac:dyDescent="0.3">
      <c r="A4484" s="2">
        <v>4483</v>
      </c>
      <c r="B4484" s="2" t="s">
        <v>5887</v>
      </c>
      <c r="C4484" s="2" t="s">
        <v>9055</v>
      </c>
      <c r="D4484" s="2" t="s">
        <v>28</v>
      </c>
      <c r="E4484" s="2" t="s">
        <v>29</v>
      </c>
      <c r="F4484" s="2">
        <v>30</v>
      </c>
      <c r="G4484" s="2" t="s">
        <v>9581</v>
      </c>
      <c r="H4484" s="2" t="s">
        <v>1541</v>
      </c>
      <c r="I4484" s="2" t="s">
        <v>32</v>
      </c>
      <c r="J4484" s="3">
        <v>44409</v>
      </c>
      <c r="K4484" s="2">
        <v>38</v>
      </c>
      <c r="L4484" s="2" t="s">
        <v>159</v>
      </c>
      <c r="M4484" s="3"/>
    </row>
    <row r="4485" spans="1:13" x14ac:dyDescent="0.3">
      <c r="A4485" s="2">
        <v>4484</v>
      </c>
      <c r="B4485" s="2" t="s">
        <v>7218</v>
      </c>
      <c r="C4485" s="2" t="s">
        <v>4287</v>
      </c>
      <c r="D4485" s="2" t="s">
        <v>28</v>
      </c>
      <c r="E4485" s="2" t="s">
        <v>29</v>
      </c>
      <c r="F4485" s="2">
        <v>90</v>
      </c>
      <c r="G4485" s="2" t="s">
        <v>9582</v>
      </c>
      <c r="H4485" s="2" t="s">
        <v>4594</v>
      </c>
      <c r="I4485" s="2" t="s">
        <v>38</v>
      </c>
      <c r="J4485" s="3">
        <v>44175</v>
      </c>
      <c r="K4485" s="2">
        <v>47</v>
      </c>
      <c r="L4485" s="2" t="s">
        <v>33</v>
      </c>
      <c r="M4485" s="3"/>
    </row>
    <row r="4486" spans="1:13" x14ac:dyDescent="0.3">
      <c r="A4486" s="2">
        <v>4485</v>
      </c>
      <c r="B4486" s="2" t="s">
        <v>2256</v>
      </c>
      <c r="C4486" s="2" t="s">
        <v>3413</v>
      </c>
      <c r="D4486" s="2" t="s">
        <v>28</v>
      </c>
      <c r="E4486" s="2" t="s">
        <v>29</v>
      </c>
      <c r="F4486" s="2">
        <v>30</v>
      </c>
      <c r="G4486" s="2" t="s">
        <v>9583</v>
      </c>
      <c r="H4486" s="2" t="s">
        <v>2049</v>
      </c>
      <c r="I4486" s="2" t="s">
        <v>32</v>
      </c>
      <c r="J4486" s="3">
        <v>44068</v>
      </c>
      <c r="K4486" s="2">
        <v>63</v>
      </c>
      <c r="L4486" s="2" t="s">
        <v>39</v>
      </c>
      <c r="M4486" s="3"/>
    </row>
    <row r="4487" spans="1:13" x14ac:dyDescent="0.3">
      <c r="A4487" s="2">
        <v>4486</v>
      </c>
      <c r="B4487" s="2" t="s">
        <v>6272</v>
      </c>
      <c r="C4487" s="2" t="s">
        <v>3527</v>
      </c>
      <c r="D4487" s="2" t="s">
        <v>15</v>
      </c>
      <c r="E4487" s="2" t="s">
        <v>16</v>
      </c>
      <c r="F4487" s="2">
        <v>90</v>
      </c>
      <c r="G4487" s="2" t="s">
        <v>9584</v>
      </c>
      <c r="H4487" s="2" t="s">
        <v>3866</v>
      </c>
      <c r="I4487" s="2" t="s">
        <v>32</v>
      </c>
      <c r="J4487" s="3">
        <v>44230</v>
      </c>
      <c r="K4487" s="2">
        <v>61</v>
      </c>
      <c r="L4487" s="2" t="s">
        <v>159</v>
      </c>
      <c r="M4487" s="3"/>
    </row>
    <row r="4488" spans="1:13" x14ac:dyDescent="0.3">
      <c r="A4488" s="2">
        <v>4487</v>
      </c>
      <c r="B4488" s="2" t="s">
        <v>9227</v>
      </c>
      <c r="C4488" s="2" t="s">
        <v>3210</v>
      </c>
      <c r="D4488" s="2" t="s">
        <v>15</v>
      </c>
      <c r="E4488" s="2" t="s">
        <v>16</v>
      </c>
      <c r="F4488" s="2">
        <v>30</v>
      </c>
      <c r="G4488" s="2" t="s">
        <v>9585</v>
      </c>
      <c r="H4488" s="2" t="s">
        <v>1761</v>
      </c>
      <c r="I4488" s="2" t="s">
        <v>38</v>
      </c>
      <c r="J4488" s="3">
        <v>43866</v>
      </c>
      <c r="K4488" s="2">
        <v>44</v>
      </c>
      <c r="L4488" s="2" t="s">
        <v>159</v>
      </c>
      <c r="M4488" s="3"/>
    </row>
    <row r="4489" spans="1:13" x14ac:dyDescent="0.3">
      <c r="A4489" s="2">
        <v>4488</v>
      </c>
      <c r="B4489" s="2" t="s">
        <v>9586</v>
      </c>
      <c r="C4489" s="2" t="s">
        <v>7482</v>
      </c>
      <c r="D4489" s="2" t="s">
        <v>15</v>
      </c>
      <c r="E4489" s="2" t="s">
        <v>16</v>
      </c>
      <c r="F4489" s="2">
        <v>30</v>
      </c>
      <c r="G4489" s="2" t="s">
        <v>9587</v>
      </c>
      <c r="H4489" s="2" t="s">
        <v>4484</v>
      </c>
      <c r="I4489" s="2" t="s">
        <v>32</v>
      </c>
      <c r="J4489" s="3">
        <v>44878</v>
      </c>
      <c r="K4489" s="2">
        <v>57</v>
      </c>
      <c r="L4489" s="2" t="s">
        <v>64</v>
      </c>
      <c r="M4489" s="3"/>
    </row>
    <row r="4490" spans="1:13" x14ac:dyDescent="0.3">
      <c r="A4490" s="2">
        <v>4489</v>
      </c>
      <c r="B4490" s="2" t="s">
        <v>2527</v>
      </c>
      <c r="C4490" s="2" t="s">
        <v>808</v>
      </c>
      <c r="D4490" s="2" t="s">
        <v>28</v>
      </c>
      <c r="E4490" s="2" t="s">
        <v>29</v>
      </c>
      <c r="F4490" s="2">
        <v>30</v>
      </c>
      <c r="G4490" s="2" t="s">
        <v>9588</v>
      </c>
      <c r="H4490" s="2" t="s">
        <v>1135</v>
      </c>
      <c r="I4490" s="2" t="s">
        <v>38</v>
      </c>
      <c r="J4490" s="3">
        <v>44514</v>
      </c>
      <c r="K4490" s="2">
        <v>57</v>
      </c>
      <c r="L4490" s="2" t="s">
        <v>33</v>
      </c>
      <c r="M4490" s="3"/>
    </row>
    <row r="4491" spans="1:13" x14ac:dyDescent="0.3">
      <c r="A4491" s="2">
        <v>4490</v>
      </c>
      <c r="B4491" s="2" t="s">
        <v>2707</v>
      </c>
      <c r="C4491" s="2" t="s">
        <v>1528</v>
      </c>
      <c r="D4491" s="2" t="s">
        <v>41</v>
      </c>
      <c r="E4491" s="2" t="s">
        <v>16</v>
      </c>
      <c r="F4491" s="2">
        <v>90</v>
      </c>
      <c r="G4491" s="2" t="s">
        <v>9589</v>
      </c>
      <c r="H4491" s="2" t="s">
        <v>768</v>
      </c>
      <c r="I4491" s="2" t="s">
        <v>124</v>
      </c>
      <c r="J4491" s="3">
        <v>43949</v>
      </c>
      <c r="K4491" s="2">
        <v>68</v>
      </c>
      <c r="L4491" s="2" t="s">
        <v>101</v>
      </c>
      <c r="M4491" s="3"/>
    </row>
    <row r="4492" spans="1:13" x14ac:dyDescent="0.3">
      <c r="A4492" s="2">
        <v>4491</v>
      </c>
      <c r="B4492" s="2" t="s">
        <v>9590</v>
      </c>
      <c r="C4492" s="2" t="s">
        <v>2485</v>
      </c>
      <c r="D4492" s="2" t="s">
        <v>51</v>
      </c>
      <c r="E4492" s="2" t="s">
        <v>16</v>
      </c>
      <c r="F4492" s="2">
        <v>90</v>
      </c>
      <c r="G4492" s="2" t="s">
        <v>9591</v>
      </c>
      <c r="H4492" s="2" t="s">
        <v>5466</v>
      </c>
      <c r="I4492" s="2" t="s">
        <v>95</v>
      </c>
      <c r="J4492" s="3">
        <v>44603</v>
      </c>
      <c r="K4492" s="2">
        <v>12</v>
      </c>
      <c r="L4492" s="2" t="s">
        <v>64</v>
      </c>
      <c r="M4492" s="3"/>
    </row>
    <row r="4493" spans="1:13" x14ac:dyDescent="0.3">
      <c r="A4493" s="2">
        <v>4492</v>
      </c>
      <c r="B4493" s="2" t="s">
        <v>4218</v>
      </c>
      <c r="C4493" s="2" t="s">
        <v>1075</v>
      </c>
      <c r="D4493" s="2" t="s">
        <v>28</v>
      </c>
      <c r="E4493" s="2" t="s">
        <v>29</v>
      </c>
      <c r="F4493" s="2">
        <v>90</v>
      </c>
      <c r="G4493" s="2" t="s">
        <v>9592</v>
      </c>
      <c r="H4493" s="2" t="s">
        <v>1757</v>
      </c>
      <c r="I4493" s="2" t="s">
        <v>294</v>
      </c>
      <c r="J4493" s="3">
        <v>44411</v>
      </c>
      <c r="K4493" s="2">
        <v>56</v>
      </c>
      <c r="L4493" s="2" t="s">
        <v>54</v>
      </c>
      <c r="M4493" s="3"/>
    </row>
    <row r="4494" spans="1:13" x14ac:dyDescent="0.3">
      <c r="A4494" s="2">
        <v>4493</v>
      </c>
      <c r="B4494" s="2" t="s">
        <v>964</v>
      </c>
      <c r="C4494" s="2" t="s">
        <v>2824</v>
      </c>
      <c r="D4494" s="2" t="s">
        <v>28</v>
      </c>
      <c r="E4494" s="2" t="s">
        <v>29</v>
      </c>
      <c r="F4494" s="2">
        <v>60</v>
      </c>
      <c r="G4494" s="2" t="s">
        <v>9593</v>
      </c>
      <c r="H4494" s="2" t="s">
        <v>534</v>
      </c>
      <c r="I4494" s="2" t="s">
        <v>32</v>
      </c>
      <c r="J4494" s="3">
        <v>44640</v>
      </c>
      <c r="K4494" s="2">
        <v>56</v>
      </c>
      <c r="L4494" s="2" t="s">
        <v>64</v>
      </c>
      <c r="M4494" s="3"/>
    </row>
    <row r="4495" spans="1:13" x14ac:dyDescent="0.3">
      <c r="A4495" s="2">
        <v>4494</v>
      </c>
      <c r="B4495" s="2" t="s">
        <v>9594</v>
      </c>
      <c r="C4495" s="2" t="s">
        <v>4307</v>
      </c>
      <c r="D4495" s="2" t="s">
        <v>28</v>
      </c>
      <c r="E4495" s="2" t="s">
        <v>29</v>
      </c>
      <c r="F4495" s="2">
        <v>90</v>
      </c>
      <c r="G4495" s="2" t="s">
        <v>9595</v>
      </c>
      <c r="H4495" s="2" t="s">
        <v>714</v>
      </c>
      <c r="I4495" s="2" t="s">
        <v>38</v>
      </c>
      <c r="J4495" s="3">
        <v>44879</v>
      </c>
      <c r="K4495" s="2">
        <v>97</v>
      </c>
      <c r="L4495" s="2" t="s">
        <v>159</v>
      </c>
      <c r="M4495" s="3"/>
    </row>
    <row r="4496" spans="1:13" x14ac:dyDescent="0.3">
      <c r="A4496" s="2">
        <v>4495</v>
      </c>
      <c r="B4496" s="2" t="s">
        <v>8044</v>
      </c>
      <c r="C4496" s="2" t="s">
        <v>5381</v>
      </c>
      <c r="D4496" s="2" t="s">
        <v>41</v>
      </c>
      <c r="E4496" s="2" t="s">
        <v>16</v>
      </c>
      <c r="F4496" s="2">
        <v>60</v>
      </c>
      <c r="G4496" s="2" t="s">
        <v>9596</v>
      </c>
      <c r="H4496" s="2" t="s">
        <v>644</v>
      </c>
      <c r="I4496" s="2" t="s">
        <v>645</v>
      </c>
      <c r="J4496" s="3">
        <v>44245</v>
      </c>
      <c r="K4496" s="2">
        <v>86</v>
      </c>
      <c r="L4496" s="2" t="s">
        <v>33</v>
      </c>
      <c r="M4496" s="3"/>
    </row>
    <row r="4497" spans="1:13" x14ac:dyDescent="0.3">
      <c r="A4497" s="2">
        <v>4496</v>
      </c>
      <c r="B4497" s="2" t="s">
        <v>9597</v>
      </c>
      <c r="C4497" s="2" t="s">
        <v>7556</v>
      </c>
      <c r="D4497" s="2" t="s">
        <v>51</v>
      </c>
      <c r="E4497" s="2" t="s">
        <v>16</v>
      </c>
      <c r="F4497" s="2">
        <v>90</v>
      </c>
      <c r="G4497" s="2" t="s">
        <v>9598</v>
      </c>
      <c r="H4497" s="2" t="s">
        <v>4503</v>
      </c>
      <c r="I4497" s="2" t="s">
        <v>425</v>
      </c>
      <c r="J4497" s="3"/>
      <c r="K4497" s="2">
        <v>83</v>
      </c>
      <c r="L4497" s="2" t="s">
        <v>20</v>
      </c>
      <c r="M4497" s="3"/>
    </row>
    <row r="4498" spans="1:13" x14ac:dyDescent="0.3">
      <c r="A4498" s="2">
        <v>4497</v>
      </c>
      <c r="B4498" s="2" t="s">
        <v>1229</v>
      </c>
      <c r="C4498" s="2" t="s">
        <v>983</v>
      </c>
      <c r="D4498" s="2" t="s">
        <v>28</v>
      </c>
      <c r="E4498" s="2" t="s">
        <v>29</v>
      </c>
      <c r="F4498" s="2">
        <v>90</v>
      </c>
      <c r="G4498" s="2" t="s">
        <v>9599</v>
      </c>
      <c r="H4498" s="2" t="s">
        <v>6551</v>
      </c>
      <c r="I4498" s="2" t="s">
        <v>178</v>
      </c>
      <c r="J4498" s="3">
        <v>44006</v>
      </c>
      <c r="K4498" s="2">
        <v>50</v>
      </c>
      <c r="L4498" s="2" t="s">
        <v>64</v>
      </c>
      <c r="M4498" s="3"/>
    </row>
    <row r="4499" spans="1:13" x14ac:dyDescent="0.3">
      <c r="A4499" s="2">
        <v>4498</v>
      </c>
      <c r="B4499" s="2" t="s">
        <v>1229</v>
      </c>
      <c r="C4499" s="2" t="s">
        <v>983</v>
      </c>
      <c r="D4499" s="2" t="s">
        <v>28</v>
      </c>
      <c r="E4499" s="2" t="s">
        <v>29</v>
      </c>
      <c r="F4499" s="2">
        <v>90</v>
      </c>
      <c r="G4499" s="2" t="s">
        <v>9599</v>
      </c>
      <c r="H4499" s="2" t="s">
        <v>6551</v>
      </c>
      <c r="I4499" s="2" t="s">
        <v>178</v>
      </c>
      <c r="J4499" s="3">
        <v>44006</v>
      </c>
      <c r="K4499" s="2">
        <v>50</v>
      </c>
      <c r="L4499" s="2" t="s">
        <v>64</v>
      </c>
      <c r="M4499" s="3"/>
    </row>
    <row r="4500" spans="1:13" x14ac:dyDescent="0.3">
      <c r="A4500" s="2">
        <v>4499</v>
      </c>
      <c r="B4500" s="2" t="s">
        <v>5179</v>
      </c>
      <c r="C4500" s="2" t="s">
        <v>9600</v>
      </c>
      <c r="D4500" s="2" t="s">
        <v>15</v>
      </c>
      <c r="E4500" s="2" t="s">
        <v>16</v>
      </c>
      <c r="F4500" s="2">
        <v>30</v>
      </c>
      <c r="G4500" s="2" t="s">
        <v>9601</v>
      </c>
      <c r="H4500" s="2" t="s">
        <v>3870</v>
      </c>
      <c r="I4500" s="2" t="s">
        <v>124</v>
      </c>
      <c r="J4500" s="3">
        <v>43857</v>
      </c>
      <c r="K4500" s="2">
        <v>18</v>
      </c>
      <c r="L4500" s="2" t="s">
        <v>20</v>
      </c>
      <c r="M4500" s="3"/>
    </row>
    <row r="4501" spans="1:13" x14ac:dyDescent="0.3">
      <c r="A4501" s="2">
        <v>4500</v>
      </c>
      <c r="B4501" s="2" t="s">
        <v>3953</v>
      </c>
      <c r="C4501" s="2" t="s">
        <v>4037</v>
      </c>
      <c r="D4501" s="2" t="s">
        <v>28</v>
      </c>
      <c r="E4501" s="2" t="s">
        <v>29</v>
      </c>
      <c r="F4501" s="2">
        <v>60</v>
      </c>
      <c r="G4501" s="2" t="s">
        <v>9602</v>
      </c>
      <c r="H4501" s="2" t="s">
        <v>9603</v>
      </c>
      <c r="I4501" s="2" t="s">
        <v>32</v>
      </c>
      <c r="J4501" s="3">
        <v>44690</v>
      </c>
      <c r="K4501" s="2">
        <v>63</v>
      </c>
      <c r="L4501" s="2" t="s">
        <v>39</v>
      </c>
      <c r="M4501" s="3"/>
    </row>
    <row r="4502" spans="1:13" x14ac:dyDescent="0.3">
      <c r="A4502" s="2">
        <v>4501</v>
      </c>
      <c r="B4502" s="2" t="s">
        <v>9604</v>
      </c>
      <c r="C4502" s="2" t="s">
        <v>617</v>
      </c>
      <c r="D4502" s="2" t="s">
        <v>15</v>
      </c>
      <c r="E4502" s="2" t="s">
        <v>16</v>
      </c>
      <c r="F4502" s="2">
        <v>90</v>
      </c>
      <c r="G4502" s="2" t="s">
        <v>9605</v>
      </c>
      <c r="H4502" s="2" t="s">
        <v>1884</v>
      </c>
      <c r="I4502" s="2" t="s">
        <v>1885</v>
      </c>
      <c r="J4502" s="3">
        <v>44073</v>
      </c>
      <c r="K4502" s="2">
        <v>23</v>
      </c>
      <c r="L4502" s="2" t="s">
        <v>20</v>
      </c>
      <c r="M4502" s="3"/>
    </row>
    <row r="4503" spans="1:13" x14ac:dyDescent="0.3">
      <c r="A4503" s="2">
        <v>4502</v>
      </c>
      <c r="B4503" s="2" t="s">
        <v>280</v>
      </c>
      <c r="C4503" s="2" t="s">
        <v>4102</v>
      </c>
      <c r="D4503" s="2" t="s">
        <v>41</v>
      </c>
      <c r="E4503" s="2" t="s">
        <v>16</v>
      </c>
      <c r="F4503" s="2">
        <v>90</v>
      </c>
      <c r="G4503" s="2" t="s">
        <v>9606</v>
      </c>
      <c r="H4503" s="2" t="s">
        <v>356</v>
      </c>
      <c r="I4503" s="2" t="s">
        <v>178</v>
      </c>
      <c r="J4503" s="3">
        <v>44236</v>
      </c>
      <c r="K4503" s="2">
        <v>27</v>
      </c>
      <c r="L4503" s="2" t="s">
        <v>39</v>
      </c>
      <c r="M4503" s="3"/>
    </row>
    <row r="4504" spans="1:13" x14ac:dyDescent="0.3">
      <c r="A4504" s="2">
        <v>4503</v>
      </c>
      <c r="B4504" s="2" t="s">
        <v>375</v>
      </c>
      <c r="C4504" s="2" t="s">
        <v>540</v>
      </c>
      <c r="D4504" s="2" t="s">
        <v>28</v>
      </c>
      <c r="E4504" s="2" t="s">
        <v>29</v>
      </c>
      <c r="F4504" s="2">
        <v>30</v>
      </c>
      <c r="G4504" s="2" t="s">
        <v>9607</v>
      </c>
      <c r="H4504" s="2" t="s">
        <v>2667</v>
      </c>
      <c r="I4504" s="2" t="s">
        <v>187</v>
      </c>
      <c r="J4504" s="3">
        <v>44238</v>
      </c>
      <c r="K4504" s="2">
        <v>38</v>
      </c>
      <c r="L4504" s="2" t="s">
        <v>80</v>
      </c>
      <c r="M4504" s="3"/>
    </row>
    <row r="4505" spans="1:13" x14ac:dyDescent="0.3">
      <c r="A4505" s="2">
        <v>4504</v>
      </c>
      <c r="B4505" s="2" t="s">
        <v>4004</v>
      </c>
      <c r="C4505" s="2" t="s">
        <v>1159</v>
      </c>
      <c r="D4505" s="2" t="s">
        <v>28</v>
      </c>
      <c r="E4505" s="2" t="s">
        <v>29</v>
      </c>
      <c r="F4505" s="2">
        <v>90</v>
      </c>
      <c r="G4505" s="2" t="s">
        <v>9608</v>
      </c>
      <c r="H4505" s="2" t="s">
        <v>9609</v>
      </c>
      <c r="I4505" s="2" t="s">
        <v>19</v>
      </c>
      <c r="J4505" s="3">
        <v>44140</v>
      </c>
      <c r="K4505" s="2">
        <v>21</v>
      </c>
      <c r="L4505" s="2" t="s">
        <v>20</v>
      </c>
      <c r="M4505" s="3"/>
    </row>
    <row r="4506" spans="1:13" x14ac:dyDescent="0.3">
      <c r="A4506" s="2">
        <v>4505</v>
      </c>
      <c r="B4506" s="2" t="s">
        <v>6915</v>
      </c>
      <c r="C4506" s="2" t="s">
        <v>1786</v>
      </c>
      <c r="D4506" s="2" t="s">
        <v>28</v>
      </c>
      <c r="E4506" s="2" t="s">
        <v>29</v>
      </c>
      <c r="F4506" s="2">
        <v>60</v>
      </c>
      <c r="G4506" s="2" t="s">
        <v>9610</v>
      </c>
      <c r="H4506" s="2" t="s">
        <v>8824</v>
      </c>
      <c r="I4506" s="2" t="s">
        <v>3898</v>
      </c>
      <c r="J4506" s="3">
        <v>44241</v>
      </c>
      <c r="K4506" s="2">
        <v>2</v>
      </c>
      <c r="L4506" s="2" t="s">
        <v>80</v>
      </c>
      <c r="M4506" s="3"/>
    </row>
    <row r="4507" spans="1:13" x14ac:dyDescent="0.3">
      <c r="A4507" s="2">
        <v>4506</v>
      </c>
      <c r="B4507" s="2" t="s">
        <v>9611</v>
      </c>
      <c r="C4507" s="2" t="s">
        <v>896</v>
      </c>
      <c r="D4507" s="2" t="s">
        <v>15</v>
      </c>
      <c r="E4507" s="2" t="s">
        <v>16</v>
      </c>
      <c r="F4507" s="2">
        <v>90</v>
      </c>
      <c r="G4507" s="2" t="s">
        <v>9612</v>
      </c>
      <c r="H4507" s="2" t="s">
        <v>3208</v>
      </c>
      <c r="I4507" s="2" t="s">
        <v>32</v>
      </c>
      <c r="J4507" s="3">
        <v>44448</v>
      </c>
      <c r="K4507" s="2">
        <v>52</v>
      </c>
      <c r="L4507" s="2" t="s">
        <v>101</v>
      </c>
      <c r="M4507" s="3"/>
    </row>
    <row r="4508" spans="1:13" x14ac:dyDescent="0.3">
      <c r="A4508" s="2">
        <v>4507</v>
      </c>
      <c r="B4508" s="2" t="s">
        <v>2951</v>
      </c>
      <c r="C4508" s="2" t="s">
        <v>8565</v>
      </c>
      <c r="D4508" s="2" t="s">
        <v>28</v>
      </c>
      <c r="E4508" s="2" t="s">
        <v>29</v>
      </c>
      <c r="F4508" s="2">
        <v>60</v>
      </c>
      <c r="G4508" s="2" t="s">
        <v>9613</v>
      </c>
      <c r="H4508" s="2" t="s">
        <v>9614</v>
      </c>
      <c r="I4508" s="2" t="s">
        <v>294</v>
      </c>
      <c r="J4508" s="3">
        <v>44733</v>
      </c>
      <c r="K4508" s="2">
        <v>33</v>
      </c>
      <c r="L4508" s="2" t="s">
        <v>54</v>
      </c>
      <c r="M4508" s="3"/>
    </row>
    <row r="4509" spans="1:13" x14ac:dyDescent="0.3">
      <c r="A4509" s="2">
        <v>4508</v>
      </c>
      <c r="B4509" s="2" t="s">
        <v>3515</v>
      </c>
      <c r="C4509" s="2" t="s">
        <v>6465</v>
      </c>
      <c r="D4509" s="2" t="s">
        <v>15</v>
      </c>
      <c r="E4509" s="2" t="s">
        <v>16</v>
      </c>
      <c r="F4509" s="2">
        <v>30</v>
      </c>
      <c r="G4509" s="2" t="s">
        <v>9615</v>
      </c>
      <c r="H4509" s="2" t="s">
        <v>2688</v>
      </c>
      <c r="I4509" s="2" t="s">
        <v>1199</v>
      </c>
      <c r="J4509" s="3">
        <v>44907</v>
      </c>
      <c r="K4509" s="2">
        <v>11</v>
      </c>
      <c r="L4509" s="2" t="s">
        <v>101</v>
      </c>
      <c r="M4509" s="3"/>
    </row>
    <row r="4510" spans="1:13" x14ac:dyDescent="0.3">
      <c r="A4510" s="2">
        <v>4509</v>
      </c>
      <c r="B4510" s="2" t="s">
        <v>7218</v>
      </c>
      <c r="C4510" s="2" t="s">
        <v>3496</v>
      </c>
      <c r="D4510" s="2" t="s">
        <v>28</v>
      </c>
      <c r="E4510" s="2" t="s">
        <v>29</v>
      </c>
      <c r="F4510" s="2">
        <v>30</v>
      </c>
      <c r="G4510" s="2" t="s">
        <v>9616</v>
      </c>
      <c r="H4510" s="2" t="s">
        <v>1430</v>
      </c>
      <c r="I4510" s="2" t="s">
        <v>32</v>
      </c>
      <c r="J4510" s="3">
        <v>44535</v>
      </c>
      <c r="K4510" s="2">
        <v>13</v>
      </c>
      <c r="L4510" s="2" t="s">
        <v>45</v>
      </c>
      <c r="M4510" s="3"/>
    </row>
    <row r="4511" spans="1:13" x14ac:dyDescent="0.3">
      <c r="A4511" s="2">
        <v>4510</v>
      </c>
      <c r="B4511" s="2" t="s">
        <v>2246</v>
      </c>
      <c r="C4511" s="2" t="s">
        <v>722</v>
      </c>
      <c r="D4511" s="2" t="s">
        <v>28</v>
      </c>
      <c r="E4511" s="2" t="s">
        <v>29</v>
      </c>
      <c r="F4511" s="2">
        <v>60</v>
      </c>
      <c r="G4511" s="2" t="s">
        <v>9617</v>
      </c>
      <c r="H4511" s="2" t="s">
        <v>4541</v>
      </c>
      <c r="I4511" s="2" t="s">
        <v>89</v>
      </c>
      <c r="J4511" s="3">
        <v>44757</v>
      </c>
      <c r="K4511" s="2">
        <v>43</v>
      </c>
      <c r="L4511" s="2" t="s">
        <v>101</v>
      </c>
      <c r="M4511" s="3"/>
    </row>
    <row r="4512" spans="1:13" x14ac:dyDescent="0.3">
      <c r="A4512" s="2">
        <v>4511</v>
      </c>
      <c r="B4512" s="2" t="s">
        <v>1765</v>
      </c>
      <c r="C4512" s="2" t="s">
        <v>340</v>
      </c>
      <c r="D4512" s="2" t="s">
        <v>28</v>
      </c>
      <c r="E4512" s="2" t="s">
        <v>29</v>
      </c>
      <c r="F4512" s="2">
        <v>90</v>
      </c>
      <c r="G4512" s="2" t="s">
        <v>9618</v>
      </c>
      <c r="H4512" s="2" t="s">
        <v>207</v>
      </c>
      <c r="I4512" s="2" t="s">
        <v>208</v>
      </c>
      <c r="J4512" s="3">
        <v>44070</v>
      </c>
      <c r="K4512" s="2">
        <v>46</v>
      </c>
      <c r="L4512" s="2" t="s">
        <v>70</v>
      </c>
      <c r="M4512" s="3"/>
    </row>
    <row r="4513" spans="1:13" x14ac:dyDescent="0.3">
      <c r="A4513" s="2">
        <v>4512</v>
      </c>
      <c r="B4513" s="2" t="s">
        <v>4052</v>
      </c>
      <c r="C4513" s="2" t="s">
        <v>9619</v>
      </c>
      <c r="D4513" s="2" t="s">
        <v>28</v>
      </c>
      <c r="E4513" s="2" t="s">
        <v>29</v>
      </c>
      <c r="F4513" s="2">
        <v>30</v>
      </c>
      <c r="G4513" s="2" t="s">
        <v>9620</v>
      </c>
      <c r="H4513" s="2" t="s">
        <v>3799</v>
      </c>
      <c r="I4513" s="2" t="s">
        <v>32</v>
      </c>
      <c r="J4513" s="3">
        <v>44779</v>
      </c>
      <c r="K4513" s="2">
        <v>80</v>
      </c>
      <c r="L4513" s="2" t="s">
        <v>64</v>
      </c>
      <c r="M4513" s="3"/>
    </row>
    <row r="4514" spans="1:13" x14ac:dyDescent="0.3">
      <c r="A4514" s="2">
        <v>4513</v>
      </c>
      <c r="B4514" s="2" t="s">
        <v>9621</v>
      </c>
      <c r="C4514" s="2" t="s">
        <v>8632</v>
      </c>
      <c r="D4514" s="2" t="s">
        <v>15</v>
      </c>
      <c r="E4514" s="2" t="s">
        <v>16</v>
      </c>
      <c r="F4514" s="2">
        <v>60</v>
      </c>
      <c r="G4514" s="2" t="s">
        <v>9622</v>
      </c>
      <c r="H4514" s="2" t="s">
        <v>2141</v>
      </c>
      <c r="I4514" s="2" t="s">
        <v>1078</v>
      </c>
      <c r="J4514" s="3">
        <v>44268</v>
      </c>
      <c r="K4514" s="2">
        <v>58</v>
      </c>
      <c r="L4514" s="2" t="s">
        <v>20</v>
      </c>
      <c r="M4514" s="3"/>
    </row>
    <row r="4515" spans="1:13" x14ac:dyDescent="0.3">
      <c r="A4515" s="2">
        <v>4514</v>
      </c>
      <c r="B4515" s="2" t="s">
        <v>9623</v>
      </c>
      <c r="C4515" s="2" t="s">
        <v>9624</v>
      </c>
      <c r="D4515" s="2" t="s">
        <v>15</v>
      </c>
      <c r="E4515" s="2" t="s">
        <v>16</v>
      </c>
      <c r="F4515" s="2">
        <v>90</v>
      </c>
      <c r="G4515" s="2" t="s">
        <v>9622</v>
      </c>
      <c r="H4515" s="2" t="s">
        <v>109</v>
      </c>
      <c r="I4515" s="2" t="s">
        <v>110</v>
      </c>
      <c r="J4515" s="3">
        <v>44476</v>
      </c>
      <c r="K4515" s="2">
        <v>48</v>
      </c>
      <c r="L4515" s="2" t="s">
        <v>64</v>
      </c>
      <c r="M4515" s="3"/>
    </row>
    <row r="4516" spans="1:13" x14ac:dyDescent="0.3">
      <c r="A4516" s="2">
        <v>4515</v>
      </c>
      <c r="B4516" s="2" t="s">
        <v>2206</v>
      </c>
      <c r="C4516" s="2" t="s">
        <v>4732</v>
      </c>
      <c r="D4516" s="2" t="s">
        <v>28</v>
      </c>
      <c r="E4516" s="2" t="s">
        <v>29</v>
      </c>
      <c r="F4516" s="2">
        <v>90</v>
      </c>
      <c r="G4516" s="2" t="s">
        <v>9625</v>
      </c>
      <c r="H4516" s="2" t="s">
        <v>2401</v>
      </c>
      <c r="I4516" s="2" t="s">
        <v>178</v>
      </c>
      <c r="J4516" s="3">
        <v>44272</v>
      </c>
      <c r="K4516" s="2">
        <v>57</v>
      </c>
      <c r="L4516" s="2" t="s">
        <v>39</v>
      </c>
      <c r="M4516" s="3"/>
    </row>
    <row r="4517" spans="1:13" x14ac:dyDescent="0.3">
      <c r="A4517" s="2">
        <v>4516</v>
      </c>
      <c r="B4517" s="2" t="s">
        <v>9626</v>
      </c>
      <c r="C4517" s="2" t="s">
        <v>7973</v>
      </c>
      <c r="D4517" s="2" t="s">
        <v>51</v>
      </c>
      <c r="E4517" s="2" t="s">
        <v>16</v>
      </c>
      <c r="F4517" s="2">
        <v>30</v>
      </c>
      <c r="G4517" s="2" t="s">
        <v>9627</v>
      </c>
      <c r="H4517" s="2" t="s">
        <v>726</v>
      </c>
      <c r="I4517" s="2" t="s">
        <v>32</v>
      </c>
      <c r="J4517" s="3">
        <v>44187</v>
      </c>
      <c r="K4517" s="2">
        <v>7</v>
      </c>
      <c r="L4517" s="2" t="s">
        <v>54</v>
      </c>
      <c r="M4517" s="3"/>
    </row>
    <row r="4518" spans="1:13" x14ac:dyDescent="0.3">
      <c r="A4518" s="2">
        <v>4517</v>
      </c>
      <c r="B4518" s="2" t="s">
        <v>8149</v>
      </c>
      <c r="C4518" s="2" t="s">
        <v>6704</v>
      </c>
      <c r="D4518" s="2" t="s">
        <v>92</v>
      </c>
      <c r="E4518" s="2" t="s">
        <v>29</v>
      </c>
      <c r="F4518" s="2">
        <v>90</v>
      </c>
      <c r="G4518" s="2" t="s">
        <v>9628</v>
      </c>
      <c r="H4518" s="2" t="s">
        <v>768</v>
      </c>
      <c r="I4518" s="2" t="s">
        <v>124</v>
      </c>
      <c r="J4518" s="3">
        <v>44859</v>
      </c>
      <c r="K4518" s="2">
        <v>21</v>
      </c>
      <c r="L4518" s="2" t="s">
        <v>101</v>
      </c>
      <c r="M4518" s="3"/>
    </row>
    <row r="4519" spans="1:13" x14ac:dyDescent="0.3">
      <c r="A4519" s="2">
        <v>4518</v>
      </c>
      <c r="B4519" s="2" t="s">
        <v>6358</v>
      </c>
      <c r="C4519" s="2" t="s">
        <v>949</v>
      </c>
      <c r="D4519" s="2" t="s">
        <v>28</v>
      </c>
      <c r="E4519" s="2" t="s">
        <v>29</v>
      </c>
      <c r="F4519" s="2">
        <v>60</v>
      </c>
      <c r="G4519" s="2" t="s">
        <v>9629</v>
      </c>
      <c r="H4519" s="2" t="s">
        <v>412</v>
      </c>
      <c r="I4519" s="2" t="s">
        <v>187</v>
      </c>
      <c r="J4519" s="3">
        <v>44284</v>
      </c>
      <c r="K4519" s="2">
        <v>95</v>
      </c>
      <c r="L4519" s="2" t="s">
        <v>54</v>
      </c>
      <c r="M4519" s="3"/>
    </row>
    <row r="4520" spans="1:13" x14ac:dyDescent="0.3">
      <c r="A4520" s="2">
        <v>4519</v>
      </c>
      <c r="B4520" s="2" t="s">
        <v>8664</v>
      </c>
      <c r="C4520" s="2" t="s">
        <v>6255</v>
      </c>
      <c r="D4520" s="2" t="s">
        <v>51</v>
      </c>
      <c r="E4520" s="2" t="s">
        <v>16</v>
      </c>
      <c r="F4520" s="2">
        <v>30</v>
      </c>
      <c r="G4520" s="2" t="s">
        <v>9630</v>
      </c>
      <c r="H4520" s="2" t="s">
        <v>1099</v>
      </c>
      <c r="I4520" s="2" t="s">
        <v>25</v>
      </c>
      <c r="J4520" s="3">
        <v>44691</v>
      </c>
      <c r="K4520" s="2">
        <v>74</v>
      </c>
      <c r="L4520" s="2" t="s">
        <v>159</v>
      </c>
      <c r="M4520" s="3"/>
    </row>
    <row r="4521" spans="1:13" x14ac:dyDescent="0.3">
      <c r="A4521" s="2">
        <v>4520</v>
      </c>
      <c r="B4521" s="2" t="s">
        <v>5421</v>
      </c>
      <c r="C4521" s="2" t="s">
        <v>3529</v>
      </c>
      <c r="D4521" s="2" t="s">
        <v>28</v>
      </c>
      <c r="E4521" s="2" t="s">
        <v>29</v>
      </c>
      <c r="F4521" s="2">
        <v>60</v>
      </c>
      <c r="G4521" s="2" t="s">
        <v>9631</v>
      </c>
      <c r="H4521" s="2" t="s">
        <v>1601</v>
      </c>
      <c r="I4521" s="2" t="s">
        <v>32</v>
      </c>
      <c r="J4521" s="3">
        <v>44169</v>
      </c>
      <c r="K4521" s="2">
        <v>5</v>
      </c>
      <c r="L4521" s="2" t="s">
        <v>80</v>
      </c>
      <c r="M4521" s="3"/>
    </row>
    <row r="4522" spans="1:13" x14ac:dyDescent="0.3">
      <c r="A4522" s="2">
        <v>4521</v>
      </c>
      <c r="B4522" s="2" t="s">
        <v>2829</v>
      </c>
      <c r="C4522" s="2" t="s">
        <v>1188</v>
      </c>
      <c r="D4522" s="2" t="s">
        <v>28</v>
      </c>
      <c r="E4522" s="2" t="s">
        <v>29</v>
      </c>
      <c r="F4522" s="2">
        <v>60</v>
      </c>
      <c r="G4522" s="2" t="s">
        <v>9632</v>
      </c>
      <c r="H4522" s="2" t="s">
        <v>1005</v>
      </c>
      <c r="I4522" s="2" t="s">
        <v>178</v>
      </c>
      <c r="J4522" s="3">
        <v>44913</v>
      </c>
      <c r="K4522" s="2">
        <v>33</v>
      </c>
      <c r="L4522" s="2" t="s">
        <v>33</v>
      </c>
      <c r="M4522" s="3"/>
    </row>
    <row r="4523" spans="1:13" x14ac:dyDescent="0.3">
      <c r="A4523" s="2">
        <v>4522</v>
      </c>
      <c r="B4523" s="2" t="s">
        <v>504</v>
      </c>
      <c r="C4523" s="2" t="s">
        <v>609</v>
      </c>
      <c r="D4523" s="2" t="s">
        <v>51</v>
      </c>
      <c r="E4523" s="2" t="s">
        <v>16</v>
      </c>
      <c r="F4523" s="2">
        <v>90</v>
      </c>
      <c r="G4523" s="2" t="s">
        <v>9633</v>
      </c>
      <c r="H4523" s="2" t="s">
        <v>2720</v>
      </c>
      <c r="I4523" s="2" t="s">
        <v>32</v>
      </c>
      <c r="J4523" s="3">
        <v>43931</v>
      </c>
      <c r="K4523" s="2">
        <v>45</v>
      </c>
      <c r="L4523" s="2" t="s">
        <v>159</v>
      </c>
      <c r="M4523" s="3"/>
    </row>
    <row r="4524" spans="1:13" x14ac:dyDescent="0.3">
      <c r="A4524" s="2">
        <v>4523</v>
      </c>
      <c r="B4524" s="2" t="s">
        <v>8151</v>
      </c>
      <c r="C4524" s="2" t="s">
        <v>2853</v>
      </c>
      <c r="D4524" s="2" t="s">
        <v>28</v>
      </c>
      <c r="E4524" s="2" t="s">
        <v>29</v>
      </c>
      <c r="F4524" s="2">
        <v>60</v>
      </c>
      <c r="G4524" s="2" t="s">
        <v>9634</v>
      </c>
      <c r="H4524" s="2" t="s">
        <v>1306</v>
      </c>
      <c r="I4524" s="2" t="s">
        <v>32</v>
      </c>
      <c r="J4524" s="3">
        <v>44560</v>
      </c>
      <c r="K4524" s="2">
        <v>61</v>
      </c>
      <c r="L4524" s="2" t="s">
        <v>39</v>
      </c>
      <c r="M4524" s="3"/>
    </row>
    <row r="4525" spans="1:13" x14ac:dyDescent="0.3">
      <c r="A4525" s="2">
        <v>4524</v>
      </c>
      <c r="B4525" s="2" t="s">
        <v>3496</v>
      </c>
      <c r="C4525" s="2" t="s">
        <v>9635</v>
      </c>
      <c r="D4525" s="2" t="s">
        <v>28</v>
      </c>
      <c r="E4525" s="2" t="s">
        <v>29</v>
      </c>
      <c r="F4525" s="2">
        <v>90</v>
      </c>
      <c r="G4525" s="2" t="s">
        <v>9636</v>
      </c>
      <c r="H4525" s="2" t="s">
        <v>1253</v>
      </c>
      <c r="I4525" s="2" t="s">
        <v>32</v>
      </c>
      <c r="J4525" s="3">
        <v>44430</v>
      </c>
      <c r="K4525" s="2">
        <v>5</v>
      </c>
      <c r="L4525" s="2" t="s">
        <v>33</v>
      </c>
      <c r="M4525" s="3"/>
    </row>
    <row r="4526" spans="1:13" x14ac:dyDescent="0.3">
      <c r="A4526" s="2">
        <v>4525</v>
      </c>
      <c r="B4526" s="2" t="s">
        <v>9637</v>
      </c>
      <c r="C4526" s="2" t="s">
        <v>3913</v>
      </c>
      <c r="D4526" s="2" t="s">
        <v>15</v>
      </c>
      <c r="E4526" s="2" t="s">
        <v>16</v>
      </c>
      <c r="F4526" s="2">
        <v>90</v>
      </c>
      <c r="G4526" s="2" t="s">
        <v>9638</v>
      </c>
      <c r="H4526" s="2" t="s">
        <v>1138</v>
      </c>
      <c r="I4526" s="2" t="s">
        <v>124</v>
      </c>
      <c r="J4526" s="3">
        <v>44040</v>
      </c>
      <c r="K4526" s="2">
        <v>50</v>
      </c>
      <c r="L4526" s="2" t="s">
        <v>20</v>
      </c>
      <c r="M4526" s="3"/>
    </row>
    <row r="4527" spans="1:13" x14ac:dyDescent="0.3">
      <c r="A4527" s="2">
        <v>4526</v>
      </c>
      <c r="B4527" s="2" t="s">
        <v>2962</v>
      </c>
      <c r="C4527" s="2" t="s">
        <v>3454</v>
      </c>
      <c r="D4527" s="2" t="s">
        <v>28</v>
      </c>
      <c r="E4527" s="2" t="s">
        <v>29</v>
      </c>
      <c r="F4527" s="2">
        <v>60</v>
      </c>
      <c r="G4527" s="2" t="s">
        <v>9639</v>
      </c>
      <c r="H4527" s="2" t="s">
        <v>827</v>
      </c>
      <c r="I4527" s="2" t="s">
        <v>124</v>
      </c>
      <c r="J4527" s="3">
        <v>44324</v>
      </c>
      <c r="K4527" s="2">
        <v>47</v>
      </c>
      <c r="L4527" s="2" t="s">
        <v>39</v>
      </c>
      <c r="M4527" s="3"/>
    </row>
    <row r="4528" spans="1:13" x14ac:dyDescent="0.3">
      <c r="A4528" s="2">
        <v>4527</v>
      </c>
      <c r="B4528" s="2" t="s">
        <v>1464</v>
      </c>
      <c r="C4528" s="2" t="s">
        <v>5853</v>
      </c>
      <c r="D4528" s="2" t="s">
        <v>28</v>
      </c>
      <c r="E4528" s="2" t="s">
        <v>29</v>
      </c>
      <c r="F4528" s="2">
        <v>30</v>
      </c>
      <c r="G4528" s="2" t="s">
        <v>9640</v>
      </c>
      <c r="H4528" s="2" t="s">
        <v>3596</v>
      </c>
      <c r="I4528" s="2" t="s">
        <v>32</v>
      </c>
      <c r="J4528" s="3">
        <v>43985</v>
      </c>
      <c r="K4528" s="2">
        <v>34</v>
      </c>
      <c r="L4528" s="2" t="s">
        <v>45</v>
      </c>
      <c r="M4528" s="3"/>
    </row>
    <row r="4529" spans="1:13" x14ac:dyDescent="0.3">
      <c r="A4529" s="2">
        <v>4528</v>
      </c>
      <c r="B4529" s="2" t="s">
        <v>7782</v>
      </c>
      <c r="C4529" s="2" t="s">
        <v>3341</v>
      </c>
      <c r="D4529" s="2" t="s">
        <v>51</v>
      </c>
      <c r="E4529" s="2" t="s">
        <v>16</v>
      </c>
      <c r="F4529" s="2">
        <v>30</v>
      </c>
      <c r="G4529" s="2" t="s">
        <v>9641</v>
      </c>
      <c r="H4529" s="2" t="s">
        <v>1343</v>
      </c>
      <c r="I4529" s="2" t="s">
        <v>294</v>
      </c>
      <c r="J4529" s="3">
        <v>44636</v>
      </c>
      <c r="K4529" s="2">
        <v>76</v>
      </c>
      <c r="L4529" s="2" t="s">
        <v>80</v>
      </c>
      <c r="M4529" s="3"/>
    </row>
    <row r="4530" spans="1:13" x14ac:dyDescent="0.3">
      <c r="A4530" s="2">
        <v>4529</v>
      </c>
      <c r="B4530" s="2" t="s">
        <v>2915</v>
      </c>
      <c r="C4530" s="2" t="s">
        <v>5113</v>
      </c>
      <c r="D4530" s="2" t="s">
        <v>28</v>
      </c>
      <c r="E4530" s="2" t="s">
        <v>29</v>
      </c>
      <c r="F4530" s="2">
        <v>90</v>
      </c>
      <c r="G4530" s="2" t="s">
        <v>9642</v>
      </c>
      <c r="H4530" s="2" t="s">
        <v>6754</v>
      </c>
      <c r="I4530" s="2" t="s">
        <v>32</v>
      </c>
      <c r="J4530" s="3">
        <v>44850</v>
      </c>
      <c r="K4530" s="2">
        <v>43</v>
      </c>
      <c r="L4530" s="2" t="s">
        <v>80</v>
      </c>
      <c r="M4530" s="3"/>
    </row>
    <row r="4531" spans="1:13" x14ac:dyDescent="0.3">
      <c r="A4531" s="2">
        <v>4530</v>
      </c>
      <c r="B4531" s="2" t="s">
        <v>9643</v>
      </c>
      <c r="C4531" s="2" t="s">
        <v>3118</v>
      </c>
      <c r="D4531" s="2" t="s">
        <v>117</v>
      </c>
      <c r="E4531" s="2" t="s">
        <v>16</v>
      </c>
      <c r="F4531" s="2">
        <v>60</v>
      </c>
      <c r="G4531" s="2" t="s">
        <v>9644</v>
      </c>
      <c r="H4531" s="2" t="s">
        <v>877</v>
      </c>
      <c r="I4531" s="2" t="s">
        <v>32</v>
      </c>
      <c r="J4531" s="3">
        <v>44223</v>
      </c>
      <c r="K4531" s="2">
        <v>88</v>
      </c>
      <c r="L4531" s="2" t="s">
        <v>64</v>
      </c>
      <c r="M4531" s="3"/>
    </row>
    <row r="4532" spans="1:13" x14ac:dyDescent="0.3">
      <c r="A4532" s="2">
        <v>4531</v>
      </c>
      <c r="B4532" s="2" t="s">
        <v>7239</v>
      </c>
      <c r="C4532" s="2" t="s">
        <v>9645</v>
      </c>
      <c r="D4532" s="2" t="s">
        <v>28</v>
      </c>
      <c r="E4532" s="2" t="s">
        <v>29</v>
      </c>
      <c r="F4532" s="2">
        <v>30</v>
      </c>
      <c r="G4532" s="2" t="s">
        <v>9646</v>
      </c>
      <c r="H4532" s="2" t="s">
        <v>3713</v>
      </c>
      <c r="I4532" s="2" t="s">
        <v>32</v>
      </c>
      <c r="J4532" s="3">
        <v>44907</v>
      </c>
      <c r="K4532" s="2">
        <v>52</v>
      </c>
      <c r="L4532" s="2" t="s">
        <v>101</v>
      </c>
      <c r="M4532" s="3"/>
    </row>
    <row r="4533" spans="1:13" x14ac:dyDescent="0.3">
      <c r="A4533" s="2">
        <v>4532</v>
      </c>
      <c r="B4533" s="2" t="s">
        <v>9647</v>
      </c>
      <c r="C4533" s="2" t="s">
        <v>3750</v>
      </c>
      <c r="D4533" s="2" t="s">
        <v>15</v>
      </c>
      <c r="E4533" s="2" t="s">
        <v>16</v>
      </c>
      <c r="F4533" s="2">
        <v>90</v>
      </c>
      <c r="G4533" s="2" t="s">
        <v>9648</v>
      </c>
      <c r="H4533" s="2" t="s">
        <v>894</v>
      </c>
      <c r="I4533" s="2" t="s">
        <v>38</v>
      </c>
      <c r="J4533" s="3">
        <v>44399</v>
      </c>
      <c r="K4533" s="2">
        <v>79</v>
      </c>
      <c r="L4533" s="2" t="s">
        <v>159</v>
      </c>
      <c r="M4533" s="3"/>
    </row>
    <row r="4534" spans="1:13" x14ac:dyDescent="0.3">
      <c r="A4534" s="2">
        <v>4533</v>
      </c>
      <c r="B4534" s="2" t="s">
        <v>9649</v>
      </c>
      <c r="C4534" s="2" t="s">
        <v>580</v>
      </c>
      <c r="D4534" s="2" t="s">
        <v>28</v>
      </c>
      <c r="E4534" s="2" t="s">
        <v>29</v>
      </c>
      <c r="F4534" s="2">
        <v>90</v>
      </c>
      <c r="G4534" s="2" t="s">
        <v>9650</v>
      </c>
      <c r="H4534" s="2" t="s">
        <v>4631</v>
      </c>
      <c r="I4534" s="2" t="s">
        <v>187</v>
      </c>
      <c r="J4534" s="3">
        <v>43906</v>
      </c>
      <c r="K4534" s="2">
        <v>73</v>
      </c>
      <c r="L4534" s="2" t="s">
        <v>39</v>
      </c>
      <c r="M4534" s="3"/>
    </row>
    <row r="4535" spans="1:13" x14ac:dyDescent="0.3">
      <c r="A4535" s="2">
        <v>4534</v>
      </c>
      <c r="B4535" s="2" t="s">
        <v>9649</v>
      </c>
      <c r="C4535" s="2" t="s">
        <v>580</v>
      </c>
      <c r="D4535" s="2" t="s">
        <v>28</v>
      </c>
      <c r="E4535" s="2" t="s">
        <v>29</v>
      </c>
      <c r="F4535" s="2">
        <v>90</v>
      </c>
      <c r="G4535" s="2" t="s">
        <v>9650</v>
      </c>
      <c r="H4535" s="2" t="s">
        <v>4631</v>
      </c>
      <c r="I4535" s="2" t="s">
        <v>187</v>
      </c>
      <c r="J4535" s="3">
        <v>43906</v>
      </c>
      <c r="K4535" s="2">
        <v>73</v>
      </c>
      <c r="L4535" s="2" t="s">
        <v>39</v>
      </c>
      <c r="M4535" s="3"/>
    </row>
    <row r="4536" spans="1:13" x14ac:dyDescent="0.3">
      <c r="A4536" s="2">
        <v>4535</v>
      </c>
      <c r="B4536" s="2" t="s">
        <v>6322</v>
      </c>
      <c r="C4536" s="2" t="s">
        <v>3286</v>
      </c>
      <c r="D4536" s="2" t="s">
        <v>28</v>
      </c>
      <c r="E4536" s="2" t="s">
        <v>29</v>
      </c>
      <c r="F4536" s="2">
        <v>90</v>
      </c>
      <c r="G4536" s="2" t="s">
        <v>9651</v>
      </c>
      <c r="H4536" s="2" t="s">
        <v>3399</v>
      </c>
      <c r="I4536" s="2" t="s">
        <v>124</v>
      </c>
      <c r="J4536" s="3">
        <v>44609</v>
      </c>
      <c r="K4536" s="2">
        <v>96</v>
      </c>
      <c r="L4536" s="2" t="s">
        <v>39</v>
      </c>
      <c r="M4536" s="3"/>
    </row>
    <row r="4537" spans="1:13" x14ac:dyDescent="0.3">
      <c r="A4537" s="2">
        <v>4536</v>
      </c>
      <c r="B4537" s="2" t="s">
        <v>2823</v>
      </c>
      <c r="C4537" s="2" t="s">
        <v>6355</v>
      </c>
      <c r="D4537" s="2" t="s">
        <v>28</v>
      </c>
      <c r="E4537" s="2" t="s">
        <v>29</v>
      </c>
      <c r="F4537" s="2">
        <v>90</v>
      </c>
      <c r="G4537" s="2" t="s">
        <v>9652</v>
      </c>
      <c r="H4537" s="2" t="s">
        <v>4699</v>
      </c>
      <c r="I4537" s="2" t="s">
        <v>32</v>
      </c>
      <c r="J4537" s="3">
        <v>44855</v>
      </c>
      <c r="K4537" s="2">
        <v>56</v>
      </c>
      <c r="L4537" s="2" t="s">
        <v>80</v>
      </c>
      <c r="M4537" s="3"/>
    </row>
    <row r="4538" spans="1:13" x14ac:dyDescent="0.3">
      <c r="A4538" s="2">
        <v>4537</v>
      </c>
      <c r="B4538" s="2" t="s">
        <v>2805</v>
      </c>
      <c r="C4538" s="2" t="s">
        <v>1517</v>
      </c>
      <c r="D4538" s="2" t="s">
        <v>28</v>
      </c>
      <c r="E4538" s="2" t="s">
        <v>29</v>
      </c>
      <c r="F4538" s="2">
        <v>30</v>
      </c>
      <c r="G4538" s="2" t="s">
        <v>9653</v>
      </c>
      <c r="H4538" s="2" t="s">
        <v>1505</v>
      </c>
      <c r="I4538" s="2" t="s">
        <v>32</v>
      </c>
      <c r="J4538" s="3">
        <v>44289</v>
      </c>
      <c r="K4538" s="2">
        <v>93</v>
      </c>
      <c r="L4538" s="2" t="s">
        <v>33</v>
      </c>
      <c r="M4538" s="3"/>
    </row>
    <row r="4539" spans="1:13" x14ac:dyDescent="0.3">
      <c r="A4539" s="2">
        <v>4538</v>
      </c>
      <c r="B4539" s="2" t="s">
        <v>9654</v>
      </c>
      <c r="C4539" s="2" t="s">
        <v>5824</v>
      </c>
      <c r="D4539" s="2" t="s">
        <v>51</v>
      </c>
      <c r="E4539" s="2" t="s">
        <v>16</v>
      </c>
      <c r="F4539" s="2">
        <v>90</v>
      </c>
      <c r="G4539" s="2" t="s">
        <v>9655</v>
      </c>
      <c r="H4539" s="2" t="s">
        <v>1333</v>
      </c>
      <c r="I4539" s="2" t="s">
        <v>294</v>
      </c>
      <c r="J4539" s="3">
        <v>43971</v>
      </c>
      <c r="K4539" s="2">
        <v>72</v>
      </c>
      <c r="L4539" s="2" t="s">
        <v>39</v>
      </c>
      <c r="M4539" s="3"/>
    </row>
    <row r="4540" spans="1:13" x14ac:dyDescent="0.3">
      <c r="A4540" s="2">
        <v>4539</v>
      </c>
      <c r="B4540" s="2" t="s">
        <v>9656</v>
      </c>
      <c r="C4540" s="2" t="s">
        <v>6131</v>
      </c>
      <c r="D4540" s="2" t="s">
        <v>41</v>
      </c>
      <c r="E4540" s="2" t="s">
        <v>16</v>
      </c>
      <c r="F4540" s="2">
        <v>60</v>
      </c>
      <c r="G4540" s="2" t="s">
        <v>9657</v>
      </c>
      <c r="H4540" s="2" t="s">
        <v>420</v>
      </c>
      <c r="I4540" s="2" t="s">
        <v>32</v>
      </c>
      <c r="J4540" s="3">
        <v>44033</v>
      </c>
      <c r="K4540" s="2">
        <v>9</v>
      </c>
      <c r="L4540" s="2" t="s">
        <v>80</v>
      </c>
      <c r="M4540" s="3"/>
    </row>
    <row r="4541" spans="1:13" x14ac:dyDescent="0.3">
      <c r="A4541" s="2">
        <v>4540</v>
      </c>
      <c r="B4541" s="2" t="s">
        <v>7846</v>
      </c>
      <c r="C4541" s="2" t="s">
        <v>1148</v>
      </c>
      <c r="D4541" s="2" t="s">
        <v>51</v>
      </c>
      <c r="E4541" s="2" t="s">
        <v>16</v>
      </c>
      <c r="F4541" s="2">
        <v>90</v>
      </c>
      <c r="G4541" s="2" t="s">
        <v>9658</v>
      </c>
      <c r="H4541" s="2" t="s">
        <v>4517</v>
      </c>
      <c r="I4541" s="2" t="s">
        <v>173</v>
      </c>
      <c r="J4541" s="3">
        <v>43912</v>
      </c>
      <c r="K4541" s="2">
        <v>46</v>
      </c>
      <c r="L4541" s="2" t="s">
        <v>101</v>
      </c>
      <c r="M4541" s="3"/>
    </row>
    <row r="4542" spans="1:13" x14ac:dyDescent="0.3">
      <c r="A4542" s="2">
        <v>4541</v>
      </c>
      <c r="B4542" s="2" t="s">
        <v>3065</v>
      </c>
      <c r="C4542" s="2" t="s">
        <v>1192</v>
      </c>
      <c r="D4542" s="2" t="s">
        <v>28</v>
      </c>
      <c r="E4542" s="2" t="s">
        <v>29</v>
      </c>
      <c r="F4542" s="2">
        <v>90</v>
      </c>
      <c r="G4542" s="2" t="s">
        <v>9659</v>
      </c>
      <c r="H4542" s="2" t="s">
        <v>2795</v>
      </c>
      <c r="I4542" s="2" t="s">
        <v>38</v>
      </c>
      <c r="J4542" s="3">
        <v>44881</v>
      </c>
      <c r="K4542" s="2">
        <v>72</v>
      </c>
      <c r="L4542" s="2" t="s">
        <v>45</v>
      </c>
      <c r="M4542" s="3"/>
    </row>
    <row r="4543" spans="1:13" x14ac:dyDescent="0.3">
      <c r="A4543" s="2">
        <v>4542</v>
      </c>
      <c r="B4543" s="2" t="s">
        <v>3065</v>
      </c>
      <c r="C4543" s="2" t="s">
        <v>1192</v>
      </c>
      <c r="D4543" s="2" t="s">
        <v>28</v>
      </c>
      <c r="E4543" s="2" t="s">
        <v>29</v>
      </c>
      <c r="F4543" s="2">
        <v>90</v>
      </c>
      <c r="G4543" s="2" t="s">
        <v>9659</v>
      </c>
      <c r="H4543" s="2" t="s">
        <v>2795</v>
      </c>
      <c r="I4543" s="2" t="s">
        <v>38</v>
      </c>
      <c r="J4543" s="3">
        <v>44881</v>
      </c>
      <c r="K4543" s="2">
        <v>72</v>
      </c>
      <c r="L4543" s="2" t="s">
        <v>45</v>
      </c>
      <c r="M4543" s="3"/>
    </row>
    <row r="4544" spans="1:13" x14ac:dyDescent="0.3">
      <c r="A4544" s="2">
        <v>4543</v>
      </c>
      <c r="B4544" s="2" t="s">
        <v>9660</v>
      </c>
      <c r="C4544" s="2" t="s">
        <v>260</v>
      </c>
      <c r="D4544" s="2" t="s">
        <v>15</v>
      </c>
      <c r="E4544" s="2" t="s">
        <v>16</v>
      </c>
      <c r="F4544" s="2">
        <v>60</v>
      </c>
      <c r="G4544" s="2" t="s">
        <v>9661</v>
      </c>
      <c r="H4544" s="2" t="s">
        <v>3870</v>
      </c>
      <c r="I4544" s="2" t="s">
        <v>124</v>
      </c>
      <c r="J4544" s="3">
        <v>44731</v>
      </c>
      <c r="K4544" s="2">
        <v>84</v>
      </c>
      <c r="L4544" s="2" t="s">
        <v>39</v>
      </c>
      <c r="M4544" s="3"/>
    </row>
    <row r="4545" spans="1:13" x14ac:dyDescent="0.3">
      <c r="A4545" s="2">
        <v>4544</v>
      </c>
      <c r="B4545" s="2" t="s">
        <v>9662</v>
      </c>
      <c r="C4545" s="2" t="s">
        <v>7251</v>
      </c>
      <c r="D4545" s="2" t="s">
        <v>15</v>
      </c>
      <c r="E4545" s="2" t="s">
        <v>16</v>
      </c>
      <c r="F4545" s="2">
        <v>60</v>
      </c>
      <c r="G4545" s="2" t="s">
        <v>9663</v>
      </c>
      <c r="H4545" s="2" t="s">
        <v>595</v>
      </c>
      <c r="I4545" s="2" t="s">
        <v>124</v>
      </c>
      <c r="J4545" s="3">
        <v>44904</v>
      </c>
      <c r="K4545" s="2">
        <v>3</v>
      </c>
      <c r="L4545" s="2" t="s">
        <v>64</v>
      </c>
      <c r="M4545" s="3"/>
    </row>
    <row r="4546" spans="1:13" x14ac:dyDescent="0.3">
      <c r="A4546" s="2">
        <v>4545</v>
      </c>
      <c r="B4546" s="2" t="s">
        <v>3065</v>
      </c>
      <c r="C4546" s="2" t="s">
        <v>9664</v>
      </c>
      <c r="D4546" s="2" t="s">
        <v>28</v>
      </c>
      <c r="E4546" s="2" t="s">
        <v>29</v>
      </c>
      <c r="F4546" s="2">
        <v>60</v>
      </c>
      <c r="G4546" s="2" t="s">
        <v>9665</v>
      </c>
      <c r="H4546" s="2" t="s">
        <v>3790</v>
      </c>
      <c r="I4546" s="2" t="s">
        <v>32</v>
      </c>
      <c r="J4546" s="3">
        <v>43929</v>
      </c>
      <c r="K4546" s="2">
        <v>14</v>
      </c>
      <c r="L4546" s="2" t="s">
        <v>64</v>
      </c>
      <c r="M4546" s="3"/>
    </row>
    <row r="4547" spans="1:13" x14ac:dyDescent="0.3">
      <c r="A4547" s="2">
        <v>4546</v>
      </c>
      <c r="B4547" s="2" t="s">
        <v>1637</v>
      </c>
      <c r="C4547" s="2" t="s">
        <v>1671</v>
      </c>
      <c r="D4547" s="2" t="s">
        <v>28</v>
      </c>
      <c r="E4547" s="2" t="s">
        <v>29</v>
      </c>
      <c r="F4547" s="2">
        <v>60</v>
      </c>
      <c r="G4547" s="2" t="s">
        <v>9666</v>
      </c>
      <c r="H4547" s="2" t="s">
        <v>3169</v>
      </c>
      <c r="I4547" s="2" t="s">
        <v>110</v>
      </c>
      <c r="J4547" s="3">
        <v>43881</v>
      </c>
      <c r="K4547" s="2">
        <v>36</v>
      </c>
      <c r="L4547" s="2" t="s">
        <v>39</v>
      </c>
      <c r="M4547" s="3"/>
    </row>
    <row r="4548" spans="1:13" x14ac:dyDescent="0.3">
      <c r="A4548" s="2">
        <v>4547</v>
      </c>
      <c r="B4548" s="2" t="s">
        <v>3644</v>
      </c>
      <c r="C4548" s="2" t="s">
        <v>340</v>
      </c>
      <c r="D4548" s="2" t="s">
        <v>28</v>
      </c>
      <c r="E4548" s="2" t="s">
        <v>29</v>
      </c>
      <c r="F4548" s="2">
        <v>90</v>
      </c>
      <c r="G4548" s="2" t="s">
        <v>9667</v>
      </c>
      <c r="H4548" s="2" t="s">
        <v>9668</v>
      </c>
      <c r="I4548" s="2" t="s">
        <v>178</v>
      </c>
      <c r="J4548" s="3">
        <v>44048</v>
      </c>
      <c r="K4548" s="2">
        <v>78</v>
      </c>
      <c r="L4548" s="2" t="s">
        <v>159</v>
      </c>
      <c r="M4548" s="3"/>
    </row>
    <row r="4549" spans="1:13" x14ac:dyDescent="0.3">
      <c r="A4549" s="2">
        <v>4548</v>
      </c>
      <c r="B4549" s="2" t="s">
        <v>3949</v>
      </c>
      <c r="C4549" s="2" t="s">
        <v>5727</v>
      </c>
      <c r="D4549" s="2" t="s">
        <v>51</v>
      </c>
      <c r="E4549" s="2" t="s">
        <v>16</v>
      </c>
      <c r="F4549" s="2">
        <v>90</v>
      </c>
      <c r="G4549" s="2" t="s">
        <v>9669</v>
      </c>
      <c r="H4549" s="2" t="s">
        <v>2190</v>
      </c>
      <c r="I4549" s="2" t="s">
        <v>32</v>
      </c>
      <c r="J4549" s="3">
        <v>44834</v>
      </c>
      <c r="K4549" s="2">
        <v>9</v>
      </c>
      <c r="L4549" s="2" t="s">
        <v>80</v>
      </c>
      <c r="M4549" s="3"/>
    </row>
    <row r="4550" spans="1:13" x14ac:dyDescent="0.3">
      <c r="A4550" s="2">
        <v>4549</v>
      </c>
      <c r="B4550" s="2" t="s">
        <v>9670</v>
      </c>
      <c r="C4550" s="2" t="s">
        <v>5970</v>
      </c>
      <c r="D4550" s="2" t="s">
        <v>51</v>
      </c>
      <c r="E4550" s="2" t="s">
        <v>16</v>
      </c>
      <c r="F4550" s="2">
        <v>30</v>
      </c>
      <c r="G4550" s="2" t="s">
        <v>9671</v>
      </c>
      <c r="H4550" s="2" t="s">
        <v>4203</v>
      </c>
      <c r="I4550" s="2" t="s">
        <v>208</v>
      </c>
      <c r="J4550" s="3">
        <v>44269</v>
      </c>
      <c r="K4550" s="2">
        <v>50</v>
      </c>
      <c r="L4550" s="2" t="s">
        <v>33</v>
      </c>
      <c r="M4550" s="3"/>
    </row>
    <row r="4551" spans="1:13" x14ac:dyDescent="0.3">
      <c r="A4551" s="2">
        <v>4550</v>
      </c>
      <c r="B4551" s="2" t="s">
        <v>9672</v>
      </c>
      <c r="C4551" s="2" t="s">
        <v>2862</v>
      </c>
      <c r="D4551" s="2" t="s">
        <v>28</v>
      </c>
      <c r="E4551" s="2" t="s">
        <v>29</v>
      </c>
      <c r="F4551" s="2">
        <v>30</v>
      </c>
      <c r="G4551" s="2" t="s">
        <v>9673</v>
      </c>
      <c r="H4551" s="2" t="s">
        <v>2753</v>
      </c>
      <c r="I4551" s="2" t="s">
        <v>124</v>
      </c>
      <c r="J4551" s="3">
        <v>44377</v>
      </c>
      <c r="K4551" s="2">
        <v>55</v>
      </c>
      <c r="L4551" s="2" t="s">
        <v>54</v>
      </c>
      <c r="M4551" s="3"/>
    </row>
    <row r="4552" spans="1:13" x14ac:dyDescent="0.3">
      <c r="A4552" s="2">
        <v>4551</v>
      </c>
      <c r="B4552" s="2" t="s">
        <v>2947</v>
      </c>
      <c r="C4552" s="2" t="s">
        <v>2101</v>
      </c>
      <c r="D4552" s="2" t="s">
        <v>28</v>
      </c>
      <c r="E4552" s="2" t="s">
        <v>29</v>
      </c>
      <c r="F4552" s="2">
        <v>30</v>
      </c>
      <c r="G4552" s="2" t="s">
        <v>9674</v>
      </c>
      <c r="H4552" s="2" t="s">
        <v>6</v>
      </c>
      <c r="I4552" s="2" t="s">
        <v>32</v>
      </c>
      <c r="J4552" s="3">
        <v>44060</v>
      </c>
      <c r="K4552" s="2">
        <v>33</v>
      </c>
      <c r="L4552" s="2" t="s">
        <v>45</v>
      </c>
      <c r="M4552" s="3"/>
    </row>
    <row r="4553" spans="1:13" x14ac:dyDescent="0.3">
      <c r="A4553" s="2">
        <v>4552</v>
      </c>
      <c r="B4553" s="2" t="s">
        <v>9675</v>
      </c>
      <c r="C4553" s="2" t="s">
        <v>6345</v>
      </c>
      <c r="D4553" s="2" t="s">
        <v>51</v>
      </c>
      <c r="E4553" s="2" t="s">
        <v>16</v>
      </c>
      <c r="F4553" s="2">
        <v>30</v>
      </c>
      <c r="G4553" s="2" t="s">
        <v>9676</v>
      </c>
      <c r="H4553" s="2" t="s">
        <v>4979</v>
      </c>
      <c r="I4553" s="2" t="s">
        <v>294</v>
      </c>
      <c r="J4553" s="3">
        <v>44058</v>
      </c>
      <c r="K4553" s="2">
        <v>18</v>
      </c>
      <c r="L4553" s="2" t="s">
        <v>33</v>
      </c>
      <c r="M4553" s="3"/>
    </row>
    <row r="4554" spans="1:13" x14ac:dyDescent="0.3">
      <c r="A4554" s="2">
        <v>4553</v>
      </c>
      <c r="B4554" s="2" t="s">
        <v>9677</v>
      </c>
      <c r="C4554" s="2" t="s">
        <v>324</v>
      </c>
      <c r="D4554" s="2" t="s">
        <v>51</v>
      </c>
      <c r="E4554" s="2" t="s">
        <v>16</v>
      </c>
      <c r="F4554" s="2">
        <v>60</v>
      </c>
      <c r="G4554" s="2" t="s">
        <v>9678</v>
      </c>
      <c r="H4554" s="2" t="s">
        <v>1173</v>
      </c>
      <c r="I4554" s="2" t="s">
        <v>32</v>
      </c>
      <c r="J4554" s="3">
        <v>44290</v>
      </c>
      <c r="K4554" s="2">
        <v>83</v>
      </c>
      <c r="L4554" s="2" t="s">
        <v>54</v>
      </c>
      <c r="M4554" s="3"/>
    </row>
    <row r="4555" spans="1:13" x14ac:dyDescent="0.3">
      <c r="A4555" s="2">
        <v>4554</v>
      </c>
      <c r="B4555" s="2" t="s">
        <v>9679</v>
      </c>
      <c r="C4555" s="2" t="s">
        <v>1348</v>
      </c>
      <c r="D4555" s="2" t="s">
        <v>15</v>
      </c>
      <c r="E4555" s="2" t="s">
        <v>16</v>
      </c>
      <c r="F4555" s="2">
        <v>60</v>
      </c>
      <c r="G4555" s="2" t="s">
        <v>9680</v>
      </c>
      <c r="H4555" s="2" t="s">
        <v>4074</v>
      </c>
      <c r="I4555" s="2" t="s">
        <v>19</v>
      </c>
      <c r="J4555" s="3">
        <v>43891</v>
      </c>
      <c r="K4555" s="2">
        <v>66</v>
      </c>
      <c r="L4555" s="2" t="s">
        <v>39</v>
      </c>
      <c r="M4555" s="3"/>
    </row>
    <row r="4556" spans="1:13" x14ac:dyDescent="0.3">
      <c r="A4556" s="2">
        <v>4555</v>
      </c>
      <c r="B4556" s="2" t="s">
        <v>9681</v>
      </c>
      <c r="C4556" s="2" t="s">
        <v>5325</v>
      </c>
      <c r="D4556" s="2" t="s">
        <v>41</v>
      </c>
      <c r="E4556" s="2" t="s">
        <v>16</v>
      </c>
      <c r="F4556" s="2">
        <v>30</v>
      </c>
      <c r="G4556" s="2" t="s">
        <v>9682</v>
      </c>
      <c r="H4556" s="2" t="s">
        <v>3987</v>
      </c>
      <c r="I4556" s="2" t="s">
        <v>554</v>
      </c>
      <c r="J4556" s="3">
        <v>44379</v>
      </c>
      <c r="K4556" s="2">
        <v>8</v>
      </c>
      <c r="L4556" s="2" t="s">
        <v>101</v>
      </c>
      <c r="M4556" s="3"/>
    </row>
    <row r="4557" spans="1:13" x14ac:dyDescent="0.3">
      <c r="A4557" s="2">
        <v>4556</v>
      </c>
      <c r="B4557" s="2" t="s">
        <v>9683</v>
      </c>
      <c r="C4557" s="2" t="s">
        <v>6594</v>
      </c>
      <c r="D4557" s="2" t="s">
        <v>51</v>
      </c>
      <c r="E4557" s="2" t="s">
        <v>16</v>
      </c>
      <c r="F4557" s="2">
        <v>90</v>
      </c>
      <c r="G4557" s="2" t="s">
        <v>9684</v>
      </c>
      <c r="H4557" s="2" t="s">
        <v>5399</v>
      </c>
      <c r="I4557" s="2" t="s">
        <v>32</v>
      </c>
      <c r="J4557" s="3">
        <v>44354</v>
      </c>
      <c r="K4557" s="2">
        <v>30</v>
      </c>
      <c r="L4557" s="2" t="s">
        <v>80</v>
      </c>
      <c r="M4557" s="3"/>
    </row>
    <row r="4558" spans="1:13" x14ac:dyDescent="0.3">
      <c r="A4558" s="2">
        <v>4557</v>
      </c>
      <c r="B4558" s="2" t="s">
        <v>9685</v>
      </c>
      <c r="C4558" s="2" t="s">
        <v>1866</v>
      </c>
      <c r="D4558" s="2" t="s">
        <v>15</v>
      </c>
      <c r="E4558" s="2" t="s">
        <v>16</v>
      </c>
      <c r="F4558" s="2">
        <v>60</v>
      </c>
      <c r="G4558" s="2" t="s">
        <v>9686</v>
      </c>
      <c r="H4558" s="2" t="s">
        <v>119</v>
      </c>
      <c r="I4558" s="2" t="s">
        <v>32</v>
      </c>
      <c r="J4558" s="3">
        <v>43900</v>
      </c>
      <c r="K4558" s="2">
        <v>38</v>
      </c>
      <c r="L4558" s="2" t="s">
        <v>54</v>
      </c>
      <c r="M4558" s="3"/>
    </row>
    <row r="4559" spans="1:13" x14ac:dyDescent="0.3">
      <c r="A4559" s="2">
        <v>4558</v>
      </c>
      <c r="B4559" s="2" t="s">
        <v>8322</v>
      </c>
      <c r="C4559" s="2" t="s">
        <v>9687</v>
      </c>
      <c r="D4559" s="2" t="s">
        <v>15</v>
      </c>
      <c r="E4559" s="2" t="s">
        <v>16</v>
      </c>
      <c r="F4559" s="2">
        <v>30</v>
      </c>
      <c r="G4559" s="2" t="s">
        <v>9688</v>
      </c>
      <c r="H4559" s="2" t="s">
        <v>8886</v>
      </c>
      <c r="I4559" s="2" t="s">
        <v>1311</v>
      </c>
      <c r="J4559" s="3">
        <v>44552</v>
      </c>
      <c r="K4559" s="2">
        <v>13</v>
      </c>
      <c r="L4559" s="2" t="s">
        <v>64</v>
      </c>
      <c r="M4559" s="3"/>
    </row>
    <row r="4560" spans="1:13" x14ac:dyDescent="0.3">
      <c r="A4560" s="2">
        <v>4559</v>
      </c>
      <c r="B4560" s="2" t="s">
        <v>9689</v>
      </c>
      <c r="C4560" s="2" t="s">
        <v>858</v>
      </c>
      <c r="D4560" s="2" t="s">
        <v>51</v>
      </c>
      <c r="E4560" s="2" t="s">
        <v>16</v>
      </c>
      <c r="F4560" s="2">
        <v>90</v>
      </c>
      <c r="G4560" s="2" t="s">
        <v>9690</v>
      </c>
      <c r="H4560" s="2" t="s">
        <v>9691</v>
      </c>
      <c r="I4560" s="2" t="s">
        <v>32</v>
      </c>
      <c r="J4560" s="3">
        <v>44459</v>
      </c>
      <c r="K4560" s="2">
        <v>50</v>
      </c>
      <c r="L4560" s="2" t="s">
        <v>33</v>
      </c>
      <c r="M4560" s="3"/>
    </row>
    <row r="4561" spans="1:13" x14ac:dyDescent="0.3">
      <c r="A4561" s="2">
        <v>4560</v>
      </c>
      <c r="B4561" s="2" t="s">
        <v>4652</v>
      </c>
      <c r="C4561" s="2" t="s">
        <v>2051</v>
      </c>
      <c r="D4561" s="2" t="s">
        <v>28</v>
      </c>
      <c r="E4561" s="2" t="s">
        <v>29</v>
      </c>
      <c r="F4561" s="2">
        <v>60</v>
      </c>
      <c r="G4561" s="2" t="s">
        <v>9692</v>
      </c>
      <c r="H4561" s="2" t="s">
        <v>1457</v>
      </c>
      <c r="I4561" s="2" t="s">
        <v>187</v>
      </c>
      <c r="J4561" s="3">
        <v>44516</v>
      </c>
      <c r="K4561" s="2">
        <v>5</v>
      </c>
      <c r="L4561" s="2" t="s">
        <v>70</v>
      </c>
      <c r="M4561" s="3"/>
    </row>
    <row r="4562" spans="1:13" x14ac:dyDescent="0.3">
      <c r="A4562" s="2">
        <v>4561</v>
      </c>
      <c r="B4562" s="2" t="s">
        <v>9693</v>
      </c>
      <c r="C4562" s="2" t="s">
        <v>6146</v>
      </c>
      <c r="D4562" s="2" t="s">
        <v>15</v>
      </c>
      <c r="E4562" s="2" t="s">
        <v>16</v>
      </c>
      <c r="F4562" s="2">
        <v>30</v>
      </c>
      <c r="G4562" s="2" t="s">
        <v>9694</v>
      </c>
      <c r="H4562" s="2" t="s">
        <v>901</v>
      </c>
      <c r="I4562" s="2" t="s">
        <v>146</v>
      </c>
      <c r="J4562" s="3">
        <v>44259</v>
      </c>
      <c r="K4562" s="2">
        <v>39</v>
      </c>
      <c r="L4562" s="2" t="s">
        <v>20</v>
      </c>
      <c r="M4562" s="3"/>
    </row>
    <row r="4563" spans="1:13" x14ac:dyDescent="0.3">
      <c r="A4563" s="2">
        <v>4562</v>
      </c>
      <c r="B4563" s="2" t="s">
        <v>691</v>
      </c>
      <c r="C4563" s="2" t="s">
        <v>9695</v>
      </c>
      <c r="D4563" s="2" t="s">
        <v>28</v>
      </c>
      <c r="E4563" s="2" t="s">
        <v>29</v>
      </c>
      <c r="F4563" s="2">
        <v>90</v>
      </c>
      <c r="G4563" s="2" t="s">
        <v>9696</v>
      </c>
      <c r="H4563" s="2" t="s">
        <v>1893</v>
      </c>
      <c r="I4563" s="2" t="s">
        <v>294</v>
      </c>
      <c r="J4563" s="3">
        <v>44454</v>
      </c>
      <c r="K4563" s="2">
        <v>76</v>
      </c>
      <c r="L4563" s="2" t="s">
        <v>54</v>
      </c>
      <c r="M4563" s="3"/>
    </row>
    <row r="4564" spans="1:13" x14ac:dyDescent="0.3">
      <c r="A4564" s="2">
        <v>4563</v>
      </c>
      <c r="B4564" s="2" t="s">
        <v>691</v>
      </c>
      <c r="C4564" s="2" t="s">
        <v>9695</v>
      </c>
      <c r="D4564" s="2" t="s">
        <v>28</v>
      </c>
      <c r="E4564" s="2" t="s">
        <v>29</v>
      </c>
      <c r="F4564" s="2">
        <v>90</v>
      </c>
      <c r="G4564" s="2" t="s">
        <v>9696</v>
      </c>
      <c r="H4564" s="2" t="s">
        <v>1893</v>
      </c>
      <c r="I4564" s="2" t="s">
        <v>294</v>
      </c>
      <c r="J4564" s="3">
        <v>44454</v>
      </c>
      <c r="K4564" s="2">
        <v>76</v>
      </c>
      <c r="L4564" s="2" t="s">
        <v>54</v>
      </c>
      <c r="M4564" s="3"/>
    </row>
    <row r="4565" spans="1:13" x14ac:dyDescent="0.3">
      <c r="A4565" s="2">
        <v>4564</v>
      </c>
      <c r="B4565" s="2" t="s">
        <v>869</v>
      </c>
      <c r="C4565" s="2" t="s">
        <v>2509</v>
      </c>
      <c r="D4565" s="2" t="s">
        <v>28</v>
      </c>
      <c r="E4565" s="2" t="s">
        <v>29</v>
      </c>
      <c r="F4565" s="2">
        <v>90</v>
      </c>
      <c r="G4565" s="2" t="s">
        <v>9697</v>
      </c>
      <c r="H4565" s="2" t="s">
        <v>3365</v>
      </c>
      <c r="I4565" s="2" t="s">
        <v>146</v>
      </c>
      <c r="J4565" s="3">
        <v>44567</v>
      </c>
      <c r="K4565" s="2">
        <v>95</v>
      </c>
      <c r="L4565" s="2" t="s">
        <v>39</v>
      </c>
      <c r="M4565" s="3"/>
    </row>
    <row r="4566" spans="1:13" x14ac:dyDescent="0.3">
      <c r="A4566" s="2">
        <v>4565</v>
      </c>
      <c r="B4566" s="2" t="s">
        <v>869</v>
      </c>
      <c r="C4566" s="2" t="s">
        <v>2509</v>
      </c>
      <c r="D4566" s="2" t="s">
        <v>28</v>
      </c>
      <c r="E4566" s="2" t="s">
        <v>29</v>
      </c>
      <c r="F4566" s="2">
        <v>90</v>
      </c>
      <c r="G4566" s="2" t="s">
        <v>9697</v>
      </c>
      <c r="H4566" s="2" t="s">
        <v>3365</v>
      </c>
      <c r="I4566" s="2" t="s">
        <v>146</v>
      </c>
      <c r="J4566" s="3">
        <v>44567</v>
      </c>
      <c r="K4566" s="2">
        <v>95</v>
      </c>
      <c r="L4566" s="2" t="s">
        <v>39</v>
      </c>
      <c r="M4566" s="3"/>
    </row>
    <row r="4567" spans="1:13" x14ac:dyDescent="0.3">
      <c r="A4567" s="2">
        <v>4566</v>
      </c>
      <c r="B4567" s="2" t="s">
        <v>9565</v>
      </c>
      <c r="C4567" s="2" t="s">
        <v>6547</v>
      </c>
      <c r="D4567" s="2" t="s">
        <v>28</v>
      </c>
      <c r="E4567" s="2" t="s">
        <v>29</v>
      </c>
      <c r="F4567" s="2">
        <v>60</v>
      </c>
      <c r="G4567" s="2" t="s">
        <v>9698</v>
      </c>
      <c r="H4567" s="2" t="s">
        <v>3343</v>
      </c>
      <c r="I4567" s="2" t="s">
        <v>1199</v>
      </c>
      <c r="J4567" s="3">
        <v>44695</v>
      </c>
      <c r="K4567" s="2">
        <v>33</v>
      </c>
      <c r="L4567" s="2" t="s">
        <v>54</v>
      </c>
      <c r="M4567" s="3"/>
    </row>
    <row r="4568" spans="1:13" x14ac:dyDescent="0.3">
      <c r="A4568" s="2">
        <v>4567</v>
      </c>
      <c r="B4568" s="2" t="s">
        <v>259</v>
      </c>
      <c r="C4568" s="2" t="s">
        <v>5217</v>
      </c>
      <c r="D4568" s="2" t="s">
        <v>28</v>
      </c>
      <c r="E4568" s="2" t="s">
        <v>29</v>
      </c>
      <c r="F4568" s="2">
        <v>90</v>
      </c>
      <c r="G4568" s="2" t="s">
        <v>9699</v>
      </c>
      <c r="H4568" s="2" t="s">
        <v>1001</v>
      </c>
      <c r="I4568" s="2" t="s">
        <v>32</v>
      </c>
      <c r="J4568" s="3">
        <v>44205</v>
      </c>
      <c r="K4568" s="2">
        <v>61</v>
      </c>
      <c r="L4568" s="2" t="s">
        <v>39</v>
      </c>
      <c r="M4568" s="3"/>
    </row>
    <row r="4569" spans="1:13" x14ac:dyDescent="0.3">
      <c r="A4569" s="2">
        <v>4568</v>
      </c>
      <c r="B4569" s="2" t="s">
        <v>9700</v>
      </c>
      <c r="C4569" s="2" t="s">
        <v>1492</v>
      </c>
      <c r="D4569" s="2" t="s">
        <v>51</v>
      </c>
      <c r="E4569" s="2" t="s">
        <v>16</v>
      </c>
      <c r="F4569" s="2">
        <v>90</v>
      </c>
      <c r="G4569" s="2" t="s">
        <v>9701</v>
      </c>
      <c r="H4569" s="2" t="s">
        <v>1660</v>
      </c>
      <c r="I4569" s="2" t="s">
        <v>32</v>
      </c>
      <c r="J4569" s="3">
        <v>44648</v>
      </c>
      <c r="K4569" s="2">
        <v>87</v>
      </c>
      <c r="L4569" s="2" t="s">
        <v>159</v>
      </c>
      <c r="M4569" s="3"/>
    </row>
    <row r="4570" spans="1:13" x14ac:dyDescent="0.3">
      <c r="A4570" s="2">
        <v>4569</v>
      </c>
      <c r="B4570" s="2" t="s">
        <v>5485</v>
      </c>
      <c r="C4570" s="2" t="s">
        <v>4324</v>
      </c>
      <c r="D4570" s="2" t="s">
        <v>28</v>
      </c>
      <c r="E4570" s="2" t="s">
        <v>29</v>
      </c>
      <c r="F4570" s="2">
        <v>30</v>
      </c>
      <c r="G4570" s="2" t="s">
        <v>9702</v>
      </c>
      <c r="H4570" s="2" t="s">
        <v>1556</v>
      </c>
      <c r="I4570" s="2" t="s">
        <v>1311</v>
      </c>
      <c r="J4570" s="3">
        <v>43899</v>
      </c>
      <c r="K4570" s="2">
        <v>24</v>
      </c>
      <c r="L4570" s="2" t="s">
        <v>20</v>
      </c>
      <c r="M4570" s="3"/>
    </row>
    <row r="4571" spans="1:13" x14ac:dyDescent="0.3">
      <c r="A4571" s="2">
        <v>4570</v>
      </c>
      <c r="B4571" s="2" t="s">
        <v>496</v>
      </c>
      <c r="C4571" s="2" t="s">
        <v>1967</v>
      </c>
      <c r="D4571" s="2" t="s">
        <v>28</v>
      </c>
      <c r="E4571" s="2" t="s">
        <v>29</v>
      </c>
      <c r="F4571" s="2">
        <v>60</v>
      </c>
      <c r="G4571" s="2" t="s">
        <v>9703</v>
      </c>
      <c r="H4571" s="2" t="s">
        <v>1022</v>
      </c>
      <c r="I4571" s="2" t="s">
        <v>164</v>
      </c>
      <c r="J4571" s="3">
        <v>43831</v>
      </c>
      <c r="K4571" s="2">
        <v>16</v>
      </c>
      <c r="L4571" s="2" t="s">
        <v>33</v>
      </c>
      <c r="M4571" s="3"/>
    </row>
    <row r="4572" spans="1:13" x14ac:dyDescent="0.3">
      <c r="A4572" s="2">
        <v>4571</v>
      </c>
      <c r="B4572" s="2" t="s">
        <v>5772</v>
      </c>
      <c r="C4572" s="2" t="s">
        <v>536</v>
      </c>
      <c r="D4572" s="2" t="s">
        <v>28</v>
      </c>
      <c r="E4572" s="2" t="s">
        <v>29</v>
      </c>
      <c r="F4572" s="2">
        <v>30</v>
      </c>
      <c r="G4572" s="2" t="s">
        <v>9704</v>
      </c>
      <c r="H4572" s="2" t="s">
        <v>920</v>
      </c>
      <c r="I4572" s="2" t="s">
        <v>178</v>
      </c>
      <c r="J4572" s="3">
        <v>44924</v>
      </c>
      <c r="K4572" s="2">
        <v>93</v>
      </c>
      <c r="L4572" s="2" t="s">
        <v>159</v>
      </c>
      <c r="M4572" s="3"/>
    </row>
    <row r="4573" spans="1:13" x14ac:dyDescent="0.3">
      <c r="A4573" s="2">
        <v>4572</v>
      </c>
      <c r="B4573" s="2" t="s">
        <v>2263</v>
      </c>
      <c r="C4573" s="2" t="s">
        <v>9705</v>
      </c>
      <c r="D4573" s="2" t="s">
        <v>15</v>
      </c>
      <c r="E4573" s="2" t="s">
        <v>16</v>
      </c>
      <c r="F4573" s="2">
        <v>90</v>
      </c>
      <c r="G4573" s="2" t="s">
        <v>9706</v>
      </c>
      <c r="H4573" s="2" t="s">
        <v>2447</v>
      </c>
      <c r="I4573" s="2" t="s">
        <v>1869</v>
      </c>
      <c r="J4573" s="3">
        <v>44821</v>
      </c>
      <c r="K4573" s="2">
        <v>98</v>
      </c>
      <c r="L4573" s="2" t="s">
        <v>101</v>
      </c>
      <c r="M4573" s="3"/>
    </row>
    <row r="4574" spans="1:13" x14ac:dyDescent="0.3">
      <c r="A4574" s="2">
        <v>4573</v>
      </c>
      <c r="B4574" s="2" t="s">
        <v>7245</v>
      </c>
      <c r="C4574" s="2" t="s">
        <v>609</v>
      </c>
      <c r="D4574" s="2" t="s">
        <v>15</v>
      </c>
      <c r="E4574" s="2" t="s">
        <v>16</v>
      </c>
      <c r="F4574" s="2">
        <v>30</v>
      </c>
      <c r="G4574" s="2" t="s">
        <v>9707</v>
      </c>
      <c r="H4574" s="2" t="s">
        <v>2069</v>
      </c>
      <c r="I4574" s="2" t="s">
        <v>1035</v>
      </c>
      <c r="J4574" s="3">
        <v>44551</v>
      </c>
      <c r="K4574" s="2">
        <v>11</v>
      </c>
      <c r="L4574" s="2" t="s">
        <v>54</v>
      </c>
      <c r="M4574" s="3"/>
    </row>
    <row r="4575" spans="1:13" x14ac:dyDescent="0.3">
      <c r="A4575" s="2">
        <v>4574</v>
      </c>
      <c r="B4575" s="2" t="s">
        <v>5695</v>
      </c>
      <c r="C4575" s="2" t="s">
        <v>6635</v>
      </c>
      <c r="D4575" s="2" t="s">
        <v>28</v>
      </c>
      <c r="E4575" s="2" t="s">
        <v>3276</v>
      </c>
      <c r="F4575" s="2">
        <v>90</v>
      </c>
      <c r="G4575" s="2" t="s">
        <v>9708</v>
      </c>
      <c r="H4575" s="2" t="s">
        <v>7175</v>
      </c>
      <c r="I4575" s="2" t="s">
        <v>32</v>
      </c>
      <c r="J4575" s="3">
        <v>44030</v>
      </c>
      <c r="K4575" s="2">
        <v>43</v>
      </c>
      <c r="L4575" s="2" t="s">
        <v>39</v>
      </c>
      <c r="M4575" s="3"/>
    </row>
    <row r="4576" spans="1:13" x14ac:dyDescent="0.3">
      <c r="A4576" s="2">
        <v>4575</v>
      </c>
      <c r="B4576" s="2" t="s">
        <v>2050</v>
      </c>
      <c r="C4576" s="2" t="s">
        <v>7629</v>
      </c>
      <c r="D4576" s="2" t="s">
        <v>28</v>
      </c>
      <c r="E4576" s="2" t="s">
        <v>29</v>
      </c>
      <c r="F4576" s="2">
        <v>30</v>
      </c>
      <c r="G4576" s="2" t="s">
        <v>9708</v>
      </c>
      <c r="H4576" s="2" t="s">
        <v>255</v>
      </c>
      <c r="I4576" s="2" t="s">
        <v>32</v>
      </c>
      <c r="J4576" s="3">
        <v>44056</v>
      </c>
      <c r="K4576" s="2">
        <v>66</v>
      </c>
      <c r="L4576" s="2" t="s">
        <v>45</v>
      </c>
      <c r="M4576" s="3"/>
    </row>
    <row r="4577" spans="1:13" x14ac:dyDescent="0.3">
      <c r="A4577" s="2">
        <v>4576</v>
      </c>
      <c r="B4577" s="2" t="s">
        <v>1225</v>
      </c>
      <c r="C4577" s="2" t="s">
        <v>380</v>
      </c>
      <c r="D4577" s="2" t="s">
        <v>28</v>
      </c>
      <c r="E4577" s="2" t="s">
        <v>29</v>
      </c>
      <c r="F4577" s="2">
        <v>30</v>
      </c>
      <c r="G4577" s="2" t="s">
        <v>9709</v>
      </c>
      <c r="H4577" s="2" t="s">
        <v>6507</v>
      </c>
      <c r="I4577" s="2" t="s">
        <v>187</v>
      </c>
      <c r="J4577" s="3">
        <v>44727</v>
      </c>
      <c r="K4577" s="2">
        <v>74</v>
      </c>
      <c r="L4577" s="2" t="s">
        <v>20</v>
      </c>
      <c r="M4577" s="3"/>
    </row>
    <row r="4578" spans="1:13" x14ac:dyDescent="0.3">
      <c r="A4578" s="2">
        <v>4577</v>
      </c>
      <c r="B4578" s="2" t="s">
        <v>9710</v>
      </c>
      <c r="C4578" s="2" t="s">
        <v>5575</v>
      </c>
      <c r="D4578" s="2" t="s">
        <v>51</v>
      </c>
      <c r="E4578" s="2" t="s">
        <v>16</v>
      </c>
      <c r="F4578" s="2">
        <v>30</v>
      </c>
      <c r="G4578" s="2" t="s">
        <v>9711</v>
      </c>
      <c r="H4578" s="2" t="s">
        <v>2183</v>
      </c>
      <c r="I4578" s="2" t="s">
        <v>124</v>
      </c>
      <c r="J4578" s="3">
        <v>44554</v>
      </c>
      <c r="K4578" s="2">
        <v>22</v>
      </c>
      <c r="L4578" s="2" t="s">
        <v>54</v>
      </c>
      <c r="M4578" s="3"/>
    </row>
    <row r="4579" spans="1:13" x14ac:dyDescent="0.3">
      <c r="A4579" s="2">
        <v>4578</v>
      </c>
      <c r="B4579" s="2" t="s">
        <v>9712</v>
      </c>
      <c r="C4579" s="2" t="s">
        <v>3210</v>
      </c>
      <c r="D4579" s="2" t="s">
        <v>15</v>
      </c>
      <c r="E4579" s="2" t="s">
        <v>16</v>
      </c>
      <c r="F4579" s="2">
        <v>30</v>
      </c>
      <c r="G4579" s="2" t="s">
        <v>9713</v>
      </c>
      <c r="H4579" s="2" t="s">
        <v>764</v>
      </c>
      <c r="I4579" s="2" t="s">
        <v>32</v>
      </c>
      <c r="J4579" s="3">
        <v>44614</v>
      </c>
      <c r="K4579" s="2">
        <v>25</v>
      </c>
      <c r="L4579" s="2" t="s">
        <v>54</v>
      </c>
      <c r="M4579" s="3"/>
    </row>
    <row r="4580" spans="1:13" x14ac:dyDescent="0.3">
      <c r="A4580" s="2">
        <v>4579</v>
      </c>
      <c r="B4580" s="2" t="s">
        <v>8003</v>
      </c>
      <c r="C4580" s="2" t="s">
        <v>3253</v>
      </c>
      <c r="D4580" s="2" t="s">
        <v>28</v>
      </c>
      <c r="E4580" s="2" t="s">
        <v>29</v>
      </c>
      <c r="F4580" s="2">
        <v>30</v>
      </c>
      <c r="G4580" s="2" t="s">
        <v>9714</v>
      </c>
      <c r="H4580" s="2" t="s">
        <v>7844</v>
      </c>
      <c r="I4580" s="2" t="s">
        <v>124</v>
      </c>
      <c r="J4580" s="3">
        <v>44398</v>
      </c>
      <c r="K4580" s="2">
        <v>72</v>
      </c>
      <c r="L4580" s="2" t="s">
        <v>39</v>
      </c>
      <c r="M4580" s="3"/>
    </row>
    <row r="4581" spans="1:13" x14ac:dyDescent="0.3">
      <c r="A4581" s="2">
        <v>4580</v>
      </c>
      <c r="B4581" s="2" t="s">
        <v>4368</v>
      </c>
      <c r="C4581" s="2" t="s">
        <v>3552</v>
      </c>
      <c r="D4581" s="2" t="s">
        <v>28</v>
      </c>
      <c r="E4581" s="2" t="s">
        <v>29</v>
      </c>
      <c r="F4581" s="2">
        <v>60</v>
      </c>
      <c r="G4581" s="2" t="s">
        <v>9714</v>
      </c>
      <c r="H4581" s="2" t="s">
        <v>1214</v>
      </c>
      <c r="I4581" s="2" t="s">
        <v>32</v>
      </c>
      <c r="J4581" s="3">
        <v>43956</v>
      </c>
      <c r="K4581" s="2">
        <v>70</v>
      </c>
      <c r="L4581" s="2" t="s">
        <v>70</v>
      </c>
      <c r="M4581" s="3"/>
    </row>
    <row r="4582" spans="1:13" x14ac:dyDescent="0.3">
      <c r="A4582" s="2">
        <v>4581</v>
      </c>
      <c r="B4582" s="2" t="s">
        <v>2101</v>
      </c>
      <c r="C4582" s="2" t="s">
        <v>9715</v>
      </c>
      <c r="D4582" s="2" t="s">
        <v>28</v>
      </c>
      <c r="E4582" s="2" t="s">
        <v>29</v>
      </c>
      <c r="F4582" s="2">
        <v>30</v>
      </c>
      <c r="G4582" s="2" t="s">
        <v>9716</v>
      </c>
      <c r="H4582" s="2" t="s">
        <v>186</v>
      </c>
      <c r="I4582" s="2" t="s">
        <v>187</v>
      </c>
      <c r="J4582" s="3">
        <v>44160</v>
      </c>
      <c r="K4582" s="2">
        <v>57</v>
      </c>
      <c r="L4582" s="2" t="s">
        <v>54</v>
      </c>
      <c r="M4582" s="3"/>
    </row>
    <row r="4583" spans="1:13" x14ac:dyDescent="0.3">
      <c r="A4583" s="2">
        <v>4582</v>
      </c>
      <c r="B4583" s="2" t="s">
        <v>3532</v>
      </c>
      <c r="C4583" s="2" t="s">
        <v>1214</v>
      </c>
      <c r="D4583" s="2" t="s">
        <v>28</v>
      </c>
      <c r="E4583" s="2" t="s">
        <v>29</v>
      </c>
      <c r="F4583" s="2">
        <v>30</v>
      </c>
      <c r="G4583" s="2" t="s">
        <v>9717</v>
      </c>
      <c r="H4583" s="2" t="s">
        <v>3834</v>
      </c>
      <c r="I4583" s="2" t="s">
        <v>32</v>
      </c>
      <c r="J4583" s="3">
        <v>44583</v>
      </c>
      <c r="K4583" s="2">
        <v>26</v>
      </c>
      <c r="L4583" s="2" t="s">
        <v>39</v>
      </c>
      <c r="M4583" s="3"/>
    </row>
    <row r="4584" spans="1:13" x14ac:dyDescent="0.3">
      <c r="A4584" s="2">
        <v>4583</v>
      </c>
      <c r="B4584" s="2" t="s">
        <v>2883</v>
      </c>
      <c r="C4584" s="2" t="s">
        <v>9718</v>
      </c>
      <c r="D4584" s="2" t="s">
        <v>51</v>
      </c>
      <c r="E4584" s="2" t="s">
        <v>16</v>
      </c>
      <c r="F4584" s="2">
        <v>90</v>
      </c>
      <c r="G4584" s="2" t="s">
        <v>9719</v>
      </c>
      <c r="H4584" s="2" t="s">
        <v>1039</v>
      </c>
      <c r="I4584" s="2" t="s">
        <v>25</v>
      </c>
      <c r="J4584" s="3">
        <v>44021</v>
      </c>
      <c r="K4584" s="2">
        <v>79</v>
      </c>
      <c r="L4584" s="2" t="s">
        <v>33</v>
      </c>
      <c r="M4584" s="3"/>
    </row>
    <row r="4585" spans="1:13" x14ac:dyDescent="0.3">
      <c r="A4585" s="2">
        <v>4584</v>
      </c>
      <c r="B4585" s="2" t="s">
        <v>9720</v>
      </c>
      <c r="C4585" s="2" t="s">
        <v>4766</v>
      </c>
      <c r="D4585" s="2" t="s">
        <v>51</v>
      </c>
      <c r="E4585" s="2" t="s">
        <v>16</v>
      </c>
      <c r="F4585" s="2">
        <v>30</v>
      </c>
      <c r="G4585" s="2" t="s">
        <v>9721</v>
      </c>
      <c r="H4585" s="2" t="s">
        <v>363</v>
      </c>
      <c r="I4585" s="2" t="s">
        <v>110</v>
      </c>
      <c r="J4585" s="3">
        <v>44608</v>
      </c>
      <c r="K4585" s="2">
        <v>74</v>
      </c>
      <c r="L4585" s="2" t="s">
        <v>20</v>
      </c>
      <c r="M4585" s="3"/>
    </row>
    <row r="4586" spans="1:13" x14ac:dyDescent="0.3">
      <c r="A4586" s="2">
        <v>4585</v>
      </c>
      <c r="B4586" s="2" t="s">
        <v>9722</v>
      </c>
      <c r="C4586" s="2" t="s">
        <v>9723</v>
      </c>
      <c r="D4586" s="2" t="s">
        <v>15</v>
      </c>
      <c r="E4586" s="2" t="s">
        <v>16</v>
      </c>
      <c r="F4586" s="2">
        <v>60</v>
      </c>
      <c r="G4586" s="2" t="s">
        <v>9724</v>
      </c>
      <c r="H4586" s="2" t="s">
        <v>6000</v>
      </c>
      <c r="I4586" s="2" t="s">
        <v>178</v>
      </c>
      <c r="J4586" s="3">
        <v>43864</v>
      </c>
      <c r="K4586" s="2">
        <v>44</v>
      </c>
      <c r="L4586" s="2" t="s">
        <v>70</v>
      </c>
      <c r="M4586" s="3"/>
    </row>
    <row r="4587" spans="1:13" x14ac:dyDescent="0.3">
      <c r="A4587" s="2">
        <v>4586</v>
      </c>
      <c r="B4587" s="2" t="s">
        <v>9722</v>
      </c>
      <c r="C4587" s="2" t="s">
        <v>9723</v>
      </c>
      <c r="D4587" s="2" t="s">
        <v>15</v>
      </c>
      <c r="E4587" s="2" t="s">
        <v>16</v>
      </c>
      <c r="F4587" s="2">
        <v>60</v>
      </c>
      <c r="G4587" s="2" t="s">
        <v>9724</v>
      </c>
      <c r="H4587" s="2" t="s">
        <v>6000</v>
      </c>
      <c r="I4587" s="2" t="s">
        <v>178</v>
      </c>
      <c r="J4587" s="3">
        <v>43864</v>
      </c>
      <c r="K4587" s="2">
        <v>44</v>
      </c>
      <c r="L4587" s="2" t="s">
        <v>70</v>
      </c>
      <c r="M4587" s="3"/>
    </row>
    <row r="4588" spans="1:13" x14ac:dyDescent="0.3">
      <c r="A4588" s="2">
        <v>4587</v>
      </c>
      <c r="B4588" s="2" t="s">
        <v>6203</v>
      </c>
      <c r="C4588" s="2" t="s">
        <v>1749</v>
      </c>
      <c r="D4588" s="2" t="s">
        <v>28</v>
      </c>
      <c r="E4588" s="2" t="s">
        <v>29</v>
      </c>
      <c r="F4588" s="2">
        <v>30</v>
      </c>
      <c r="G4588" s="2" t="s">
        <v>9724</v>
      </c>
      <c r="H4588" s="2" t="s">
        <v>4662</v>
      </c>
      <c r="I4588" s="2" t="s">
        <v>32</v>
      </c>
      <c r="J4588" s="3">
        <v>44712</v>
      </c>
      <c r="K4588" s="2">
        <v>76</v>
      </c>
      <c r="L4588" s="2" t="s">
        <v>80</v>
      </c>
      <c r="M4588" s="3"/>
    </row>
    <row r="4589" spans="1:13" x14ac:dyDescent="0.3">
      <c r="A4589" s="2">
        <v>4588</v>
      </c>
      <c r="B4589" s="2" t="s">
        <v>5960</v>
      </c>
      <c r="C4589" s="2" t="s">
        <v>135</v>
      </c>
      <c r="D4589" s="2" t="s">
        <v>28</v>
      </c>
      <c r="E4589" s="2" t="s">
        <v>29</v>
      </c>
      <c r="F4589" s="2">
        <v>60</v>
      </c>
      <c r="G4589" s="2" t="s">
        <v>9725</v>
      </c>
      <c r="H4589" s="2" t="s">
        <v>6820</v>
      </c>
      <c r="I4589" s="2" t="s">
        <v>294</v>
      </c>
      <c r="J4589" s="3">
        <v>43972</v>
      </c>
      <c r="K4589" s="2">
        <v>49</v>
      </c>
      <c r="L4589" s="2" t="s">
        <v>45</v>
      </c>
      <c r="M4589" s="3"/>
    </row>
    <row r="4590" spans="1:13" x14ac:dyDescent="0.3">
      <c r="A4590" s="2">
        <v>4589</v>
      </c>
      <c r="B4590" s="2" t="s">
        <v>7886</v>
      </c>
      <c r="C4590" s="2" t="s">
        <v>556</v>
      </c>
      <c r="D4590" s="2" t="s">
        <v>28</v>
      </c>
      <c r="E4590" s="2" t="s">
        <v>29</v>
      </c>
      <c r="F4590" s="2">
        <v>30</v>
      </c>
      <c r="G4590" s="2" t="s">
        <v>9726</v>
      </c>
      <c r="H4590" s="2" t="s">
        <v>9727</v>
      </c>
      <c r="I4590" s="2" t="s">
        <v>32</v>
      </c>
      <c r="J4590" s="3">
        <v>44268</v>
      </c>
      <c r="K4590" s="2">
        <v>81</v>
      </c>
      <c r="L4590" s="2" t="s">
        <v>64</v>
      </c>
      <c r="M4590" s="3"/>
    </row>
    <row r="4591" spans="1:13" x14ac:dyDescent="0.3">
      <c r="A4591" s="2">
        <v>4590</v>
      </c>
      <c r="B4591" s="2" t="s">
        <v>5171</v>
      </c>
      <c r="C4591" s="2" t="s">
        <v>5832</v>
      </c>
      <c r="D4591" s="2" t="s">
        <v>51</v>
      </c>
      <c r="E4591" s="2" t="s">
        <v>16</v>
      </c>
      <c r="F4591" s="2">
        <v>30</v>
      </c>
      <c r="G4591" s="2" t="s">
        <v>9728</v>
      </c>
      <c r="H4591" s="2" t="s">
        <v>5132</v>
      </c>
      <c r="I4591" s="2" t="s">
        <v>32</v>
      </c>
      <c r="J4591" s="3">
        <v>44575</v>
      </c>
      <c r="K4591" s="2">
        <v>69</v>
      </c>
      <c r="L4591" s="2" t="s">
        <v>33</v>
      </c>
      <c r="M4591" s="3"/>
    </row>
    <row r="4592" spans="1:13" x14ac:dyDescent="0.3">
      <c r="A4592" s="2">
        <v>4591</v>
      </c>
      <c r="B4592" s="2" t="s">
        <v>2010</v>
      </c>
      <c r="C4592" s="2" t="s">
        <v>873</v>
      </c>
      <c r="D4592" s="2" t="s">
        <v>28</v>
      </c>
      <c r="E4592" s="2" t="s">
        <v>29</v>
      </c>
      <c r="F4592" s="2">
        <v>30</v>
      </c>
      <c r="G4592" s="2" t="s">
        <v>9729</v>
      </c>
      <c r="H4592" s="2" t="s">
        <v>1315</v>
      </c>
      <c r="I4592" s="2" t="s">
        <v>32</v>
      </c>
      <c r="J4592" s="3">
        <v>44086</v>
      </c>
      <c r="K4592" s="2">
        <v>74</v>
      </c>
      <c r="L4592" s="2" t="s">
        <v>159</v>
      </c>
      <c r="M4592" s="3"/>
    </row>
    <row r="4593" spans="1:13" x14ac:dyDescent="0.3">
      <c r="A4593" s="2">
        <v>4592</v>
      </c>
      <c r="B4593" s="2" t="s">
        <v>7920</v>
      </c>
      <c r="C4593" s="2" t="s">
        <v>76</v>
      </c>
      <c r="D4593" s="2" t="s">
        <v>15</v>
      </c>
      <c r="E4593" s="2" t="s">
        <v>16</v>
      </c>
      <c r="F4593" s="2">
        <v>60</v>
      </c>
      <c r="G4593" s="2" t="s">
        <v>9730</v>
      </c>
      <c r="H4593" s="2" t="s">
        <v>904</v>
      </c>
      <c r="I4593" s="2" t="s">
        <v>32</v>
      </c>
      <c r="J4593" s="3">
        <v>44013</v>
      </c>
      <c r="K4593" s="2">
        <v>36</v>
      </c>
      <c r="L4593" s="2" t="s">
        <v>39</v>
      </c>
      <c r="M4593" s="3"/>
    </row>
    <row r="4594" spans="1:13" x14ac:dyDescent="0.3">
      <c r="A4594" s="2">
        <v>4593</v>
      </c>
      <c r="B4594" s="2" t="s">
        <v>9398</v>
      </c>
      <c r="C4594" s="2" t="s">
        <v>2266</v>
      </c>
      <c r="D4594" s="2" t="s">
        <v>28</v>
      </c>
      <c r="E4594" s="2" t="s">
        <v>29</v>
      </c>
      <c r="F4594" s="2">
        <v>60</v>
      </c>
      <c r="G4594" s="2" t="s">
        <v>9731</v>
      </c>
      <c r="H4594" s="2" t="s">
        <v>3482</v>
      </c>
      <c r="I4594" s="2" t="s">
        <v>25</v>
      </c>
      <c r="J4594" s="3">
        <v>44133</v>
      </c>
      <c r="K4594" s="2">
        <v>47</v>
      </c>
      <c r="L4594" s="2" t="s">
        <v>39</v>
      </c>
      <c r="M4594" s="3"/>
    </row>
    <row r="4595" spans="1:13" x14ac:dyDescent="0.3">
      <c r="A4595" s="2">
        <v>4594</v>
      </c>
      <c r="B4595" s="2" t="s">
        <v>9732</v>
      </c>
      <c r="C4595" s="2" t="s">
        <v>3542</v>
      </c>
      <c r="D4595" s="2" t="s">
        <v>51</v>
      </c>
      <c r="E4595" s="2" t="s">
        <v>16</v>
      </c>
      <c r="F4595" s="2">
        <v>60</v>
      </c>
      <c r="G4595" s="2" t="s">
        <v>9733</v>
      </c>
      <c r="H4595" s="2" t="s">
        <v>1401</v>
      </c>
      <c r="I4595" s="2" t="s">
        <v>1402</v>
      </c>
      <c r="J4595" s="3">
        <v>44553</v>
      </c>
      <c r="K4595" s="2">
        <v>43</v>
      </c>
      <c r="L4595" s="2" t="s">
        <v>20</v>
      </c>
      <c r="M4595" s="3"/>
    </row>
    <row r="4596" spans="1:13" x14ac:dyDescent="0.3">
      <c r="A4596" s="2">
        <v>4595</v>
      </c>
      <c r="B4596" s="2" t="s">
        <v>4475</v>
      </c>
      <c r="C4596" s="2" t="s">
        <v>9734</v>
      </c>
      <c r="D4596" s="2" t="s">
        <v>51</v>
      </c>
      <c r="E4596" s="2" t="s">
        <v>16</v>
      </c>
      <c r="F4596" s="2">
        <v>60</v>
      </c>
      <c r="G4596" s="2" t="s">
        <v>9735</v>
      </c>
      <c r="H4596" s="2" t="s">
        <v>849</v>
      </c>
      <c r="I4596" s="2" t="s">
        <v>124</v>
      </c>
      <c r="J4596" s="3">
        <v>43853</v>
      </c>
      <c r="K4596" s="2">
        <v>23</v>
      </c>
      <c r="L4596" s="2" t="s">
        <v>20</v>
      </c>
      <c r="M4596" s="3"/>
    </row>
    <row r="4597" spans="1:13" x14ac:dyDescent="0.3">
      <c r="A4597" s="2">
        <v>4596</v>
      </c>
      <c r="B4597" s="2" t="s">
        <v>7412</v>
      </c>
      <c r="C4597" s="2" t="s">
        <v>5604</v>
      </c>
      <c r="D4597" s="2" t="s">
        <v>51</v>
      </c>
      <c r="E4597" s="2" t="s">
        <v>16</v>
      </c>
      <c r="F4597" s="2">
        <v>30</v>
      </c>
      <c r="G4597" s="2" t="s">
        <v>9736</v>
      </c>
      <c r="H4597" s="2" t="s">
        <v>1548</v>
      </c>
      <c r="I4597" s="2" t="s">
        <v>1549</v>
      </c>
      <c r="J4597" s="3">
        <v>43846</v>
      </c>
      <c r="K4597" s="2">
        <v>63</v>
      </c>
      <c r="L4597" s="2" t="s">
        <v>159</v>
      </c>
      <c r="M4597" s="3"/>
    </row>
    <row r="4598" spans="1:13" x14ac:dyDescent="0.3">
      <c r="A4598" s="2">
        <v>4597</v>
      </c>
      <c r="B4598" s="2" t="s">
        <v>8369</v>
      </c>
      <c r="C4598" s="2" t="s">
        <v>9737</v>
      </c>
      <c r="D4598" s="2" t="s">
        <v>51</v>
      </c>
      <c r="E4598" s="2" t="s">
        <v>16</v>
      </c>
      <c r="F4598" s="2">
        <v>60</v>
      </c>
      <c r="G4598" s="2" t="s">
        <v>9738</v>
      </c>
      <c r="H4598" s="2" t="s">
        <v>48</v>
      </c>
      <c r="I4598" s="2" t="s">
        <v>25</v>
      </c>
      <c r="J4598" s="3">
        <v>44339</v>
      </c>
      <c r="K4598" s="2">
        <v>33</v>
      </c>
      <c r="L4598" s="2" t="s">
        <v>64</v>
      </c>
      <c r="M4598" s="3"/>
    </row>
    <row r="4599" spans="1:13" x14ac:dyDescent="0.3">
      <c r="A4599" s="2">
        <v>4598</v>
      </c>
      <c r="B4599" s="2" t="s">
        <v>1234</v>
      </c>
      <c r="C4599" s="2" t="s">
        <v>1340</v>
      </c>
      <c r="D4599" s="2" t="s">
        <v>15</v>
      </c>
      <c r="E4599" s="2" t="s">
        <v>16</v>
      </c>
      <c r="F4599" s="2">
        <v>60</v>
      </c>
      <c r="G4599" s="2" t="s">
        <v>9739</v>
      </c>
      <c r="H4599" s="2" t="s">
        <v>2950</v>
      </c>
      <c r="I4599" s="2" t="s">
        <v>38</v>
      </c>
      <c r="J4599" s="3">
        <v>44796</v>
      </c>
      <c r="K4599" s="2">
        <v>24</v>
      </c>
      <c r="L4599" s="2" t="s">
        <v>33</v>
      </c>
      <c r="M4599" s="3"/>
    </row>
    <row r="4600" spans="1:13" x14ac:dyDescent="0.3">
      <c r="A4600" s="2">
        <v>4599</v>
      </c>
      <c r="B4600" s="2" t="s">
        <v>1403</v>
      </c>
      <c r="C4600" s="2" t="s">
        <v>3907</v>
      </c>
      <c r="D4600" s="2" t="s">
        <v>28</v>
      </c>
      <c r="E4600" s="2" t="s">
        <v>29</v>
      </c>
      <c r="F4600" s="2">
        <v>90</v>
      </c>
      <c r="G4600" s="2" t="s">
        <v>9740</v>
      </c>
      <c r="H4600" s="2" t="s">
        <v>2536</v>
      </c>
      <c r="I4600" s="2" t="s">
        <v>124</v>
      </c>
      <c r="J4600" s="3">
        <v>44420</v>
      </c>
      <c r="K4600" s="2">
        <v>67</v>
      </c>
      <c r="L4600" s="2" t="s">
        <v>80</v>
      </c>
      <c r="M4600" s="3"/>
    </row>
    <row r="4601" spans="1:13" x14ac:dyDescent="0.3">
      <c r="A4601" s="2">
        <v>4600</v>
      </c>
      <c r="B4601" s="2" t="s">
        <v>9741</v>
      </c>
      <c r="C4601" s="2" t="s">
        <v>4777</v>
      </c>
      <c r="D4601" s="2" t="s">
        <v>51</v>
      </c>
      <c r="E4601" s="2" t="s">
        <v>7639</v>
      </c>
      <c r="F4601" s="2">
        <v>30</v>
      </c>
      <c r="G4601" s="2" t="s">
        <v>9742</v>
      </c>
      <c r="H4601" s="2" t="s">
        <v>3922</v>
      </c>
      <c r="I4601" s="2" t="s">
        <v>32</v>
      </c>
      <c r="J4601" s="3">
        <v>44130</v>
      </c>
      <c r="K4601" s="2">
        <v>61</v>
      </c>
      <c r="L4601" s="2" t="s">
        <v>33</v>
      </c>
      <c r="M4601" s="3"/>
    </row>
    <row r="4602" spans="1:13" x14ac:dyDescent="0.3">
      <c r="A4602" s="2">
        <v>4601</v>
      </c>
      <c r="B4602" s="2" t="s">
        <v>516</v>
      </c>
      <c r="C4602" s="2" t="s">
        <v>2606</v>
      </c>
      <c r="D4602" s="2" t="s">
        <v>28</v>
      </c>
      <c r="E4602" s="2" t="s">
        <v>29</v>
      </c>
      <c r="F4602" s="2">
        <v>30</v>
      </c>
      <c r="G4602" s="2" t="s">
        <v>9743</v>
      </c>
      <c r="H4602" s="2" t="s">
        <v>9744</v>
      </c>
      <c r="I4602" s="2" t="s">
        <v>187</v>
      </c>
      <c r="J4602" s="3">
        <v>44209</v>
      </c>
      <c r="K4602" s="2">
        <v>78</v>
      </c>
      <c r="L4602" s="2" t="s">
        <v>54</v>
      </c>
      <c r="M4602" s="3"/>
    </row>
    <row r="4603" spans="1:13" x14ac:dyDescent="0.3">
      <c r="A4603" s="2">
        <v>4602</v>
      </c>
      <c r="B4603" s="2" t="s">
        <v>9745</v>
      </c>
      <c r="C4603" s="2" t="s">
        <v>344</v>
      </c>
      <c r="D4603" s="2" t="s">
        <v>28</v>
      </c>
      <c r="E4603" s="2" t="s">
        <v>29</v>
      </c>
      <c r="F4603" s="2">
        <v>30</v>
      </c>
      <c r="G4603" s="2" t="s">
        <v>9746</v>
      </c>
      <c r="H4603" s="2" t="s">
        <v>1099</v>
      </c>
      <c r="I4603" s="2" t="s">
        <v>25</v>
      </c>
      <c r="J4603" s="3">
        <v>43998</v>
      </c>
      <c r="K4603" s="2">
        <v>85</v>
      </c>
      <c r="L4603" s="2" t="s">
        <v>54</v>
      </c>
      <c r="M4603" s="3"/>
    </row>
    <row r="4604" spans="1:13" x14ac:dyDescent="0.3">
      <c r="A4604" s="2">
        <v>4603</v>
      </c>
      <c r="B4604" s="2" t="s">
        <v>6752</v>
      </c>
      <c r="C4604" s="2" t="s">
        <v>3171</v>
      </c>
      <c r="D4604" s="2" t="s">
        <v>28</v>
      </c>
      <c r="E4604" s="2" t="s">
        <v>29</v>
      </c>
      <c r="F4604" s="2">
        <v>90</v>
      </c>
      <c r="G4604" s="2" t="s">
        <v>9747</v>
      </c>
      <c r="H4604" s="2" t="s">
        <v>6687</v>
      </c>
      <c r="I4604" s="2" t="s">
        <v>32</v>
      </c>
      <c r="J4604" s="3">
        <v>44594</v>
      </c>
      <c r="K4604" s="2">
        <v>59</v>
      </c>
      <c r="L4604" s="2" t="s">
        <v>45</v>
      </c>
      <c r="M4604" s="3"/>
    </row>
    <row r="4605" spans="1:13" x14ac:dyDescent="0.3">
      <c r="A4605" s="2">
        <v>4604</v>
      </c>
      <c r="B4605" s="2" t="s">
        <v>2335</v>
      </c>
      <c r="C4605" s="2" t="s">
        <v>2014</v>
      </c>
      <c r="D4605" s="2" t="s">
        <v>28</v>
      </c>
      <c r="E4605" s="2" t="s">
        <v>29</v>
      </c>
      <c r="F4605" s="2">
        <v>60</v>
      </c>
      <c r="G4605" s="2" t="s">
        <v>9748</v>
      </c>
      <c r="H4605" s="2" t="s">
        <v>9749</v>
      </c>
      <c r="I4605" s="2" t="s">
        <v>38</v>
      </c>
      <c r="J4605" s="3">
        <v>43897</v>
      </c>
      <c r="K4605" s="2">
        <v>10</v>
      </c>
      <c r="L4605" s="2" t="s">
        <v>45</v>
      </c>
      <c r="M4605" s="3"/>
    </row>
    <row r="4606" spans="1:13" x14ac:dyDescent="0.3">
      <c r="A4606" s="2">
        <v>4605</v>
      </c>
      <c r="B4606" s="2" t="s">
        <v>555</v>
      </c>
      <c r="C4606" s="2" t="s">
        <v>9488</v>
      </c>
      <c r="D4606" s="2" t="s">
        <v>28</v>
      </c>
      <c r="E4606" s="2" t="s">
        <v>29</v>
      </c>
      <c r="F4606" s="2">
        <v>30</v>
      </c>
      <c r="G4606" s="2" t="s">
        <v>9750</v>
      </c>
      <c r="H4606" s="2" t="s">
        <v>1261</v>
      </c>
      <c r="I4606" s="2" t="s">
        <v>32</v>
      </c>
      <c r="J4606" s="3">
        <v>43988</v>
      </c>
      <c r="K4606" s="2">
        <v>42</v>
      </c>
      <c r="L4606" s="2" t="s">
        <v>20</v>
      </c>
      <c r="M4606" s="3"/>
    </row>
    <row r="4607" spans="1:13" x14ac:dyDescent="0.3">
      <c r="A4607" s="2">
        <v>4606</v>
      </c>
      <c r="B4607" s="2" t="s">
        <v>7772</v>
      </c>
      <c r="C4607" s="2" t="s">
        <v>625</v>
      </c>
      <c r="D4607" s="2" t="s">
        <v>92</v>
      </c>
      <c r="E4607" s="2" t="s">
        <v>16</v>
      </c>
      <c r="F4607" s="2">
        <v>60</v>
      </c>
      <c r="G4607" s="2" t="s">
        <v>9751</v>
      </c>
      <c r="H4607" s="2" t="s">
        <v>1948</v>
      </c>
      <c r="I4607" s="2" t="s">
        <v>25</v>
      </c>
      <c r="J4607" s="3">
        <v>44657</v>
      </c>
      <c r="K4607" s="2">
        <v>33</v>
      </c>
      <c r="L4607" s="2" t="s">
        <v>45</v>
      </c>
      <c r="M4607" s="3"/>
    </row>
    <row r="4608" spans="1:13" x14ac:dyDescent="0.3">
      <c r="A4608" s="2">
        <v>4607</v>
      </c>
      <c r="B4608" s="2" t="s">
        <v>8124</v>
      </c>
      <c r="C4608" s="2" t="s">
        <v>1617</v>
      </c>
      <c r="D4608" s="2" t="s">
        <v>28</v>
      </c>
      <c r="E4608" s="2" t="s">
        <v>29</v>
      </c>
      <c r="F4608" s="2">
        <v>90</v>
      </c>
      <c r="G4608" s="2" t="s">
        <v>9751</v>
      </c>
      <c r="H4608" s="2" t="s">
        <v>2745</v>
      </c>
      <c r="I4608" s="2" t="s">
        <v>32</v>
      </c>
      <c r="J4608" s="3">
        <v>44574</v>
      </c>
      <c r="K4608" s="2">
        <v>16</v>
      </c>
      <c r="L4608" s="2" t="s">
        <v>39</v>
      </c>
      <c r="M4608" s="3"/>
    </row>
    <row r="4609" spans="1:13" x14ac:dyDescent="0.3">
      <c r="A4609" s="2">
        <v>4608</v>
      </c>
      <c r="B4609" s="2" t="s">
        <v>5060</v>
      </c>
      <c r="C4609" s="2" t="s">
        <v>9752</v>
      </c>
      <c r="D4609" s="2" t="s">
        <v>28</v>
      </c>
      <c r="E4609" s="2" t="s">
        <v>29</v>
      </c>
      <c r="F4609" s="2">
        <v>90</v>
      </c>
      <c r="G4609" s="2" t="s">
        <v>9753</v>
      </c>
      <c r="H4609" s="2" t="s">
        <v>6293</v>
      </c>
      <c r="I4609" s="2" t="s">
        <v>32</v>
      </c>
      <c r="J4609" s="3">
        <v>43908</v>
      </c>
      <c r="K4609" s="2">
        <v>65</v>
      </c>
      <c r="L4609" s="2" t="s">
        <v>80</v>
      </c>
      <c r="M4609" s="3"/>
    </row>
    <row r="4610" spans="1:13" x14ac:dyDescent="0.3">
      <c r="A4610" s="2">
        <v>4609</v>
      </c>
      <c r="B4610" s="2" t="s">
        <v>5262</v>
      </c>
      <c r="C4610" s="2" t="s">
        <v>1641</v>
      </c>
      <c r="D4610" s="2" t="s">
        <v>28</v>
      </c>
      <c r="E4610" s="2" t="s">
        <v>29</v>
      </c>
      <c r="F4610" s="2">
        <v>60</v>
      </c>
      <c r="G4610" s="2" t="s">
        <v>9754</v>
      </c>
      <c r="H4610" s="2" t="s">
        <v>3635</v>
      </c>
      <c r="I4610" s="2" t="s">
        <v>1157</v>
      </c>
      <c r="J4610" s="3">
        <v>43999</v>
      </c>
      <c r="K4610" s="2">
        <v>13</v>
      </c>
      <c r="L4610" s="2" t="s">
        <v>54</v>
      </c>
      <c r="M4610" s="3"/>
    </row>
    <row r="4611" spans="1:13" x14ac:dyDescent="0.3">
      <c r="A4611" s="2">
        <v>4610</v>
      </c>
      <c r="B4611" s="2" t="s">
        <v>2088</v>
      </c>
      <c r="C4611" s="2" t="s">
        <v>4464</v>
      </c>
      <c r="D4611" s="2" t="s">
        <v>28</v>
      </c>
      <c r="E4611" s="2" t="s">
        <v>29</v>
      </c>
      <c r="F4611" s="2">
        <v>60</v>
      </c>
      <c r="G4611" s="2" t="s">
        <v>9755</v>
      </c>
      <c r="H4611" s="2" t="s">
        <v>3826</v>
      </c>
      <c r="I4611" s="2" t="s">
        <v>20</v>
      </c>
      <c r="J4611" s="3">
        <v>44300</v>
      </c>
      <c r="K4611" s="2">
        <v>69</v>
      </c>
      <c r="L4611" s="2" t="s">
        <v>39</v>
      </c>
      <c r="M4611" s="3"/>
    </row>
    <row r="4612" spans="1:13" x14ac:dyDescent="0.3">
      <c r="A4612" s="2">
        <v>4611</v>
      </c>
      <c r="B4612" s="2" t="s">
        <v>9756</v>
      </c>
      <c r="C4612" s="2" t="s">
        <v>5541</v>
      </c>
      <c r="D4612" s="2" t="s">
        <v>15</v>
      </c>
      <c r="E4612" s="2" t="s">
        <v>16</v>
      </c>
      <c r="F4612" s="2">
        <v>60</v>
      </c>
      <c r="G4612" s="2" t="s">
        <v>9755</v>
      </c>
      <c r="H4612" s="2" t="s">
        <v>3446</v>
      </c>
      <c r="I4612" s="2" t="s">
        <v>32</v>
      </c>
      <c r="J4612" s="3">
        <v>44315</v>
      </c>
      <c r="K4612" s="2">
        <v>45</v>
      </c>
      <c r="L4612" s="2" t="s">
        <v>70</v>
      </c>
      <c r="M4612" s="3"/>
    </row>
    <row r="4613" spans="1:13" x14ac:dyDescent="0.3">
      <c r="A4613" s="2">
        <v>4612</v>
      </c>
      <c r="B4613" s="2" t="s">
        <v>9757</v>
      </c>
      <c r="C4613" s="2" t="s">
        <v>3074</v>
      </c>
      <c r="D4613" s="2" t="s">
        <v>15</v>
      </c>
      <c r="E4613" s="2" t="s">
        <v>16</v>
      </c>
      <c r="F4613" s="2">
        <v>90</v>
      </c>
      <c r="G4613" s="2" t="s">
        <v>9758</v>
      </c>
      <c r="H4613" s="2" t="s">
        <v>603</v>
      </c>
      <c r="I4613" s="2" t="s">
        <v>187</v>
      </c>
      <c r="J4613" s="3">
        <v>44764</v>
      </c>
      <c r="K4613" s="2">
        <v>66</v>
      </c>
      <c r="L4613" s="2" t="s">
        <v>80</v>
      </c>
      <c r="M4613" s="3"/>
    </row>
    <row r="4614" spans="1:13" x14ac:dyDescent="0.3">
      <c r="A4614" s="2">
        <v>4613</v>
      </c>
      <c r="B4614" s="2" t="s">
        <v>2584</v>
      </c>
      <c r="C4614" s="2" t="s">
        <v>6783</v>
      </c>
      <c r="D4614" s="2" t="s">
        <v>28</v>
      </c>
      <c r="E4614" s="2" t="s">
        <v>29</v>
      </c>
      <c r="F4614" s="2">
        <v>60</v>
      </c>
      <c r="G4614" s="2" t="s">
        <v>9759</v>
      </c>
      <c r="H4614" s="2" t="s">
        <v>4739</v>
      </c>
      <c r="I4614" s="2" t="s">
        <v>59</v>
      </c>
      <c r="J4614" s="3">
        <v>44579</v>
      </c>
      <c r="K4614" s="2">
        <v>55</v>
      </c>
      <c r="L4614" s="2" t="s">
        <v>39</v>
      </c>
      <c r="M4614" s="3"/>
    </row>
    <row r="4615" spans="1:13" x14ac:dyDescent="0.3">
      <c r="A4615" s="2">
        <v>4614</v>
      </c>
      <c r="B4615" s="2" t="s">
        <v>9760</v>
      </c>
      <c r="C4615" s="2" t="s">
        <v>7801</v>
      </c>
      <c r="D4615" s="2" t="s">
        <v>51</v>
      </c>
      <c r="E4615" s="2" t="s">
        <v>16</v>
      </c>
      <c r="F4615" s="2">
        <v>60</v>
      </c>
      <c r="G4615" s="2" t="s">
        <v>9761</v>
      </c>
      <c r="H4615" s="2" t="s">
        <v>2418</v>
      </c>
      <c r="I4615" s="2" t="s">
        <v>32</v>
      </c>
      <c r="J4615" s="3">
        <v>44257</v>
      </c>
      <c r="K4615" s="2">
        <v>45</v>
      </c>
      <c r="L4615" s="2" t="s">
        <v>70</v>
      </c>
      <c r="M4615" s="3"/>
    </row>
    <row r="4616" spans="1:13" x14ac:dyDescent="0.3">
      <c r="A4616" s="2">
        <v>4615</v>
      </c>
      <c r="B4616" s="2" t="s">
        <v>3835</v>
      </c>
      <c r="C4616" s="2" t="s">
        <v>4828</v>
      </c>
      <c r="D4616" s="2" t="s">
        <v>28</v>
      </c>
      <c r="E4616" s="2" t="s">
        <v>29</v>
      </c>
      <c r="F4616" s="2">
        <v>90</v>
      </c>
      <c r="G4616" s="2" t="s">
        <v>9762</v>
      </c>
      <c r="H4616" s="2" t="s">
        <v>3433</v>
      </c>
      <c r="I4616" s="2" t="s">
        <v>1199</v>
      </c>
      <c r="J4616" s="3">
        <v>44843</v>
      </c>
      <c r="K4616" s="2">
        <v>92</v>
      </c>
      <c r="L4616" s="2" t="s">
        <v>33</v>
      </c>
      <c r="M4616" s="3"/>
    </row>
    <row r="4617" spans="1:13" x14ac:dyDescent="0.3">
      <c r="A4617" s="2">
        <v>4616</v>
      </c>
      <c r="B4617" s="2" t="s">
        <v>1281</v>
      </c>
      <c r="C4617" s="2" t="s">
        <v>4681</v>
      </c>
      <c r="D4617" s="2" t="s">
        <v>28</v>
      </c>
      <c r="E4617" s="2" t="s">
        <v>29</v>
      </c>
      <c r="F4617" s="2">
        <v>60</v>
      </c>
      <c r="G4617" s="2" t="s">
        <v>9763</v>
      </c>
      <c r="H4617" s="2" t="s">
        <v>1292</v>
      </c>
      <c r="I4617" s="2" t="s">
        <v>32</v>
      </c>
      <c r="J4617" s="3">
        <v>44195</v>
      </c>
      <c r="K4617" s="2">
        <v>68</v>
      </c>
      <c r="L4617" s="2" t="s">
        <v>80</v>
      </c>
      <c r="M4617" s="3"/>
    </row>
    <row r="4618" spans="1:13" x14ac:dyDescent="0.3">
      <c r="A4618" s="2">
        <v>4617</v>
      </c>
      <c r="B4618" s="2" t="s">
        <v>8142</v>
      </c>
      <c r="C4618" s="2" t="s">
        <v>6865</v>
      </c>
      <c r="D4618" s="2" t="s">
        <v>15</v>
      </c>
      <c r="E4618" s="2" t="s">
        <v>16</v>
      </c>
      <c r="F4618" s="2">
        <v>30</v>
      </c>
      <c r="G4618" s="2" t="s">
        <v>9764</v>
      </c>
      <c r="H4618" s="2" t="s">
        <v>1537</v>
      </c>
      <c r="I4618" s="2" t="s">
        <v>294</v>
      </c>
      <c r="J4618" s="3">
        <v>44243</v>
      </c>
      <c r="K4618" s="2">
        <v>28</v>
      </c>
      <c r="L4618" s="2" t="s">
        <v>45</v>
      </c>
      <c r="M4618" s="3"/>
    </row>
    <row r="4619" spans="1:13" x14ac:dyDescent="0.3">
      <c r="A4619" s="2">
        <v>4618</v>
      </c>
      <c r="B4619" s="2" t="s">
        <v>4591</v>
      </c>
      <c r="C4619" s="2" t="s">
        <v>3700</v>
      </c>
      <c r="D4619" s="2" t="s">
        <v>621</v>
      </c>
      <c r="E4619" s="2" t="s">
        <v>29</v>
      </c>
      <c r="F4619" s="2">
        <v>60</v>
      </c>
      <c r="G4619" s="2" t="s">
        <v>9765</v>
      </c>
      <c r="H4619" s="2" t="s">
        <v>4517</v>
      </c>
      <c r="I4619" s="2" t="s">
        <v>173</v>
      </c>
      <c r="J4619" s="3">
        <v>43916</v>
      </c>
      <c r="K4619" s="2">
        <v>12</v>
      </c>
      <c r="L4619" s="2" t="s">
        <v>39</v>
      </c>
      <c r="M4619" s="3"/>
    </row>
    <row r="4620" spans="1:13" x14ac:dyDescent="0.3">
      <c r="A4620" s="2">
        <v>4619</v>
      </c>
      <c r="B4620" s="2" t="s">
        <v>6151</v>
      </c>
      <c r="C4620" s="2" t="s">
        <v>968</v>
      </c>
      <c r="D4620" s="2" t="s">
        <v>92</v>
      </c>
      <c r="E4620" s="2" t="s">
        <v>29</v>
      </c>
      <c r="F4620" s="2">
        <v>90</v>
      </c>
      <c r="G4620" s="2" t="s">
        <v>9766</v>
      </c>
      <c r="H4620" s="2" t="s">
        <v>4090</v>
      </c>
      <c r="I4620" s="2" t="s">
        <v>32</v>
      </c>
      <c r="J4620" s="3">
        <v>43880</v>
      </c>
      <c r="K4620" s="2">
        <v>47</v>
      </c>
      <c r="L4620" s="2" t="s">
        <v>45</v>
      </c>
      <c r="M4620" s="3"/>
    </row>
    <row r="4621" spans="1:13" x14ac:dyDescent="0.3">
      <c r="A4621" s="2">
        <v>4620</v>
      </c>
      <c r="B4621" s="2" t="s">
        <v>5755</v>
      </c>
      <c r="C4621" s="2" t="s">
        <v>135</v>
      </c>
      <c r="D4621" s="2" t="s">
        <v>28</v>
      </c>
      <c r="E4621" s="2" t="s">
        <v>29</v>
      </c>
      <c r="F4621" s="2">
        <v>30</v>
      </c>
      <c r="G4621" s="2" t="s">
        <v>9767</v>
      </c>
      <c r="H4621" s="2" t="s">
        <v>4947</v>
      </c>
      <c r="I4621" s="2" t="s">
        <v>32</v>
      </c>
      <c r="J4621" s="3">
        <v>44079</v>
      </c>
      <c r="K4621" s="2">
        <v>4</v>
      </c>
      <c r="L4621" s="2" t="s">
        <v>80</v>
      </c>
      <c r="M4621" s="3"/>
    </row>
    <row r="4622" spans="1:13" x14ac:dyDescent="0.3">
      <c r="A4622" s="2">
        <v>4621</v>
      </c>
      <c r="B4622" s="2" t="s">
        <v>9768</v>
      </c>
      <c r="C4622" s="2" t="s">
        <v>9769</v>
      </c>
      <c r="D4622" s="2" t="s">
        <v>15</v>
      </c>
      <c r="E4622" s="2" t="s">
        <v>16</v>
      </c>
      <c r="F4622" s="2">
        <v>30</v>
      </c>
      <c r="G4622" s="2" t="s">
        <v>9770</v>
      </c>
      <c r="H4622" s="2" t="s">
        <v>266</v>
      </c>
      <c r="I4622" s="2" t="s">
        <v>32</v>
      </c>
      <c r="J4622" s="3">
        <v>43995</v>
      </c>
      <c r="K4622" s="2">
        <v>23</v>
      </c>
      <c r="L4622" s="2" t="s">
        <v>70</v>
      </c>
      <c r="M4622" s="3"/>
    </row>
    <row r="4623" spans="1:13" x14ac:dyDescent="0.3">
      <c r="A4623" s="2">
        <v>4622</v>
      </c>
      <c r="B4623" s="2" t="s">
        <v>1243</v>
      </c>
      <c r="C4623" s="2" t="s">
        <v>9771</v>
      </c>
      <c r="D4623" s="2" t="s">
        <v>28</v>
      </c>
      <c r="E4623" s="2" t="s">
        <v>29</v>
      </c>
      <c r="F4623" s="2">
        <v>90</v>
      </c>
      <c r="G4623" s="2" t="s">
        <v>9772</v>
      </c>
      <c r="H4623" s="2" t="s">
        <v>1973</v>
      </c>
      <c r="I4623" s="2" t="s">
        <v>110</v>
      </c>
      <c r="J4623" s="3">
        <v>44657</v>
      </c>
      <c r="K4623" s="2">
        <v>32</v>
      </c>
      <c r="L4623" s="2" t="s">
        <v>54</v>
      </c>
      <c r="M4623" s="3"/>
    </row>
    <row r="4624" spans="1:13" x14ac:dyDescent="0.3">
      <c r="A4624" s="2">
        <v>4623</v>
      </c>
      <c r="B4624" s="2" t="s">
        <v>9773</v>
      </c>
      <c r="C4624" s="2" t="s">
        <v>1428</v>
      </c>
      <c r="D4624" s="2" t="s">
        <v>41</v>
      </c>
      <c r="E4624" s="2" t="s">
        <v>16</v>
      </c>
      <c r="F4624" s="2">
        <v>60</v>
      </c>
      <c r="G4624" s="2" t="s">
        <v>9774</v>
      </c>
      <c r="H4624" s="2" t="s">
        <v>1490</v>
      </c>
      <c r="I4624" s="2" t="s">
        <v>294</v>
      </c>
      <c r="J4624" s="3">
        <v>44667</v>
      </c>
      <c r="K4624" s="2">
        <v>48</v>
      </c>
      <c r="L4624" s="2" t="s">
        <v>159</v>
      </c>
      <c r="M4624" s="3"/>
    </row>
    <row r="4625" spans="1:13" x14ac:dyDescent="0.3">
      <c r="A4625" s="2">
        <v>4624</v>
      </c>
      <c r="B4625" s="2" t="s">
        <v>9775</v>
      </c>
      <c r="C4625" s="2" t="s">
        <v>855</v>
      </c>
      <c r="D4625" s="2" t="s">
        <v>28</v>
      </c>
      <c r="E4625" s="2" t="s">
        <v>29</v>
      </c>
      <c r="F4625" s="2">
        <v>90</v>
      </c>
      <c r="G4625" s="2" t="s">
        <v>9776</v>
      </c>
      <c r="H4625" s="2" t="s">
        <v>2516</v>
      </c>
      <c r="I4625" s="2" t="s">
        <v>32</v>
      </c>
      <c r="J4625" s="3">
        <v>44107</v>
      </c>
      <c r="K4625" s="2">
        <v>22</v>
      </c>
      <c r="L4625" s="2" t="s">
        <v>39</v>
      </c>
      <c r="M4625" s="3"/>
    </row>
    <row r="4626" spans="1:13" x14ac:dyDescent="0.3">
      <c r="A4626" s="2">
        <v>4625</v>
      </c>
      <c r="B4626" s="2" t="s">
        <v>7239</v>
      </c>
      <c r="C4626" s="2" t="s">
        <v>3884</v>
      </c>
      <c r="D4626" s="2" t="s">
        <v>28</v>
      </c>
      <c r="E4626" s="2" t="s">
        <v>29</v>
      </c>
      <c r="F4626" s="2">
        <v>90</v>
      </c>
      <c r="G4626" s="2" t="s">
        <v>9776</v>
      </c>
      <c r="H4626" s="2" t="s">
        <v>1880</v>
      </c>
      <c r="I4626" s="2" t="s">
        <v>32</v>
      </c>
      <c r="J4626" s="3">
        <v>44092</v>
      </c>
      <c r="K4626" s="2">
        <v>43</v>
      </c>
      <c r="L4626" s="2" t="s">
        <v>64</v>
      </c>
      <c r="M4626" s="3"/>
    </row>
    <row r="4627" spans="1:13" x14ac:dyDescent="0.3">
      <c r="A4627" s="2">
        <v>4626</v>
      </c>
      <c r="B4627" s="2" t="s">
        <v>9777</v>
      </c>
      <c r="C4627" s="2" t="s">
        <v>5807</v>
      </c>
      <c r="D4627" s="2" t="s">
        <v>28</v>
      </c>
      <c r="E4627" s="2" t="s">
        <v>29</v>
      </c>
      <c r="F4627" s="2">
        <v>30</v>
      </c>
      <c r="G4627" s="2" t="s">
        <v>9778</v>
      </c>
      <c r="H4627" s="2" t="s">
        <v>5751</v>
      </c>
      <c r="I4627" s="2" t="s">
        <v>178</v>
      </c>
      <c r="J4627" s="3">
        <v>44306</v>
      </c>
      <c r="K4627" s="2">
        <v>71</v>
      </c>
      <c r="L4627" s="2" t="s">
        <v>33</v>
      </c>
      <c r="M4627" s="3"/>
    </row>
    <row r="4628" spans="1:13" x14ac:dyDescent="0.3">
      <c r="A4628" s="2">
        <v>4627</v>
      </c>
      <c r="B4628" s="2" t="s">
        <v>1049</v>
      </c>
      <c r="C4628" s="2" t="s">
        <v>9779</v>
      </c>
      <c r="D4628" s="2" t="s">
        <v>28</v>
      </c>
      <c r="E4628" s="2" t="s">
        <v>29</v>
      </c>
      <c r="F4628" s="2">
        <v>90</v>
      </c>
      <c r="G4628" s="2" t="s">
        <v>9780</v>
      </c>
      <c r="H4628" s="2" t="s">
        <v>1388</v>
      </c>
      <c r="I4628" s="2" t="s">
        <v>32</v>
      </c>
      <c r="J4628" s="3">
        <v>44170</v>
      </c>
      <c r="K4628" s="2">
        <v>21</v>
      </c>
      <c r="L4628" s="2" t="s">
        <v>39</v>
      </c>
      <c r="M4628" s="3"/>
    </row>
    <row r="4629" spans="1:13" x14ac:dyDescent="0.3">
      <c r="A4629" s="2">
        <v>4628</v>
      </c>
      <c r="B4629" s="2" t="s">
        <v>9781</v>
      </c>
      <c r="C4629" s="2" t="s">
        <v>1954</v>
      </c>
      <c r="D4629" s="2" t="s">
        <v>15</v>
      </c>
      <c r="E4629" s="2" t="s">
        <v>16</v>
      </c>
      <c r="F4629" s="2">
        <v>60</v>
      </c>
      <c r="G4629" s="2" t="s">
        <v>9782</v>
      </c>
      <c r="H4629" s="2" t="s">
        <v>6710</v>
      </c>
      <c r="I4629" s="2" t="s">
        <v>32</v>
      </c>
      <c r="J4629" s="3">
        <v>44038</v>
      </c>
      <c r="K4629" s="2">
        <v>62</v>
      </c>
      <c r="L4629" s="2" t="s">
        <v>64</v>
      </c>
      <c r="M4629" s="3"/>
    </row>
    <row r="4630" spans="1:13" x14ac:dyDescent="0.3">
      <c r="A4630" s="2">
        <v>4629</v>
      </c>
      <c r="B4630" s="2" t="s">
        <v>3503</v>
      </c>
      <c r="C4630" s="2" t="s">
        <v>1340</v>
      </c>
      <c r="D4630" s="2" t="s">
        <v>15</v>
      </c>
      <c r="E4630" s="2" t="s">
        <v>16</v>
      </c>
      <c r="F4630" s="2">
        <v>60</v>
      </c>
      <c r="G4630" s="2" t="s">
        <v>9783</v>
      </c>
      <c r="H4630" s="2" t="s">
        <v>7555</v>
      </c>
      <c r="I4630" s="2" t="s">
        <v>129</v>
      </c>
      <c r="J4630" s="3">
        <v>44307</v>
      </c>
      <c r="K4630" s="2">
        <v>18</v>
      </c>
      <c r="L4630" s="2" t="s">
        <v>64</v>
      </c>
      <c r="M4630" s="3"/>
    </row>
    <row r="4631" spans="1:13" x14ac:dyDescent="0.3">
      <c r="A4631" s="2">
        <v>4630</v>
      </c>
      <c r="B4631" s="2" t="s">
        <v>4418</v>
      </c>
      <c r="C4631" s="2" t="s">
        <v>632</v>
      </c>
      <c r="D4631" s="2" t="s">
        <v>51</v>
      </c>
      <c r="E4631" s="2" t="s">
        <v>16</v>
      </c>
      <c r="F4631" s="2">
        <v>90</v>
      </c>
      <c r="G4631" s="2" t="s">
        <v>9784</v>
      </c>
      <c r="H4631" s="2" t="s">
        <v>7140</v>
      </c>
      <c r="I4631" s="2" t="s">
        <v>294</v>
      </c>
      <c r="J4631" s="3">
        <v>44334</v>
      </c>
      <c r="K4631" s="2">
        <v>73</v>
      </c>
      <c r="L4631" s="2" t="s">
        <v>159</v>
      </c>
      <c r="M4631" s="3"/>
    </row>
    <row r="4632" spans="1:13" x14ac:dyDescent="0.3">
      <c r="A4632" s="2">
        <v>4631</v>
      </c>
      <c r="B4632" s="2" t="s">
        <v>9785</v>
      </c>
      <c r="C4632" s="2" t="s">
        <v>2024</v>
      </c>
      <c r="D4632" s="2" t="s">
        <v>92</v>
      </c>
      <c r="E4632" s="2" t="s">
        <v>16</v>
      </c>
      <c r="F4632" s="2">
        <v>30</v>
      </c>
      <c r="G4632" s="2" t="s">
        <v>9786</v>
      </c>
      <c r="H4632" s="2" t="s">
        <v>8060</v>
      </c>
      <c r="I4632" s="2" t="s">
        <v>32</v>
      </c>
      <c r="J4632" s="3">
        <v>44351</v>
      </c>
      <c r="K4632" s="2">
        <v>60</v>
      </c>
      <c r="L4632" s="2" t="s">
        <v>39</v>
      </c>
      <c r="M4632" s="3"/>
    </row>
    <row r="4633" spans="1:13" x14ac:dyDescent="0.3">
      <c r="A4633" s="2">
        <v>4632</v>
      </c>
      <c r="B4633" s="2" t="s">
        <v>9787</v>
      </c>
      <c r="C4633" s="2" t="s">
        <v>1891</v>
      </c>
      <c r="D4633" s="2" t="s">
        <v>15</v>
      </c>
      <c r="E4633" s="2" t="s">
        <v>16</v>
      </c>
      <c r="F4633" s="2">
        <v>90</v>
      </c>
      <c r="G4633" s="2" t="s">
        <v>9788</v>
      </c>
      <c r="H4633" s="2" t="s">
        <v>4046</v>
      </c>
      <c r="I4633" s="2" t="s">
        <v>173</v>
      </c>
      <c r="J4633" s="3">
        <v>44285</v>
      </c>
      <c r="K4633" s="2">
        <v>62</v>
      </c>
      <c r="L4633" s="2" t="s">
        <v>20</v>
      </c>
      <c r="M4633" s="3"/>
    </row>
    <row r="4634" spans="1:13" x14ac:dyDescent="0.3">
      <c r="A4634" s="2">
        <v>4633</v>
      </c>
      <c r="B4634" s="2" t="s">
        <v>4564</v>
      </c>
      <c r="C4634" s="2" t="s">
        <v>449</v>
      </c>
      <c r="D4634" s="2" t="s">
        <v>15</v>
      </c>
      <c r="E4634" s="2" t="s">
        <v>16</v>
      </c>
      <c r="F4634" s="2">
        <v>60</v>
      </c>
      <c r="G4634" s="2" t="s">
        <v>9789</v>
      </c>
      <c r="H4634" s="2" t="s">
        <v>5134</v>
      </c>
      <c r="I4634" s="2" t="s">
        <v>32</v>
      </c>
      <c r="J4634" s="3">
        <v>44038</v>
      </c>
      <c r="K4634" s="2">
        <v>47</v>
      </c>
      <c r="L4634" s="2" t="s">
        <v>33</v>
      </c>
      <c r="M4634" s="3"/>
    </row>
    <row r="4635" spans="1:13" x14ac:dyDescent="0.3">
      <c r="A4635" s="2">
        <v>4634</v>
      </c>
      <c r="B4635" s="2" t="s">
        <v>9790</v>
      </c>
      <c r="C4635" s="2" t="s">
        <v>1746</v>
      </c>
      <c r="D4635" s="2" t="s">
        <v>15</v>
      </c>
      <c r="E4635" s="2" t="s">
        <v>16</v>
      </c>
      <c r="F4635" s="2">
        <v>30</v>
      </c>
      <c r="G4635" s="2" t="s">
        <v>9791</v>
      </c>
      <c r="H4635" s="2" t="s">
        <v>1754</v>
      </c>
      <c r="I4635" s="2" t="s">
        <v>25</v>
      </c>
      <c r="J4635" s="3">
        <v>43893</v>
      </c>
      <c r="K4635" s="2">
        <v>14</v>
      </c>
      <c r="L4635" s="2" t="s">
        <v>64</v>
      </c>
      <c r="M4635" s="3"/>
    </row>
    <row r="4636" spans="1:13" x14ac:dyDescent="0.3">
      <c r="A4636" s="2">
        <v>4635</v>
      </c>
      <c r="B4636" s="2" t="s">
        <v>9790</v>
      </c>
      <c r="C4636" s="2" t="s">
        <v>1746</v>
      </c>
      <c r="D4636" s="2" t="s">
        <v>15</v>
      </c>
      <c r="E4636" s="2" t="s">
        <v>16</v>
      </c>
      <c r="F4636" s="2">
        <v>30</v>
      </c>
      <c r="G4636" s="2" t="s">
        <v>9791</v>
      </c>
      <c r="H4636" s="2" t="s">
        <v>1754</v>
      </c>
      <c r="I4636" s="2" t="s">
        <v>25</v>
      </c>
      <c r="J4636" s="3">
        <v>43893</v>
      </c>
      <c r="K4636" s="2">
        <v>14</v>
      </c>
      <c r="L4636" s="2" t="s">
        <v>64</v>
      </c>
      <c r="M4636" s="3"/>
    </row>
    <row r="4637" spans="1:13" x14ac:dyDescent="0.3">
      <c r="A4637" s="2">
        <v>4636</v>
      </c>
      <c r="B4637" s="2" t="s">
        <v>9792</v>
      </c>
      <c r="C4637" s="2" t="s">
        <v>9793</v>
      </c>
      <c r="D4637" s="2" t="s">
        <v>51</v>
      </c>
      <c r="E4637" s="2" t="s">
        <v>16</v>
      </c>
      <c r="F4637" s="2">
        <v>90</v>
      </c>
      <c r="G4637" s="2" t="s">
        <v>9794</v>
      </c>
      <c r="H4637" s="2" t="s">
        <v>3303</v>
      </c>
      <c r="I4637" s="2" t="s">
        <v>294</v>
      </c>
      <c r="J4637" s="3">
        <v>44483</v>
      </c>
      <c r="K4637" s="2">
        <v>81</v>
      </c>
      <c r="L4637" s="2" t="s">
        <v>39</v>
      </c>
      <c r="M4637" s="3"/>
    </row>
    <row r="4638" spans="1:13" x14ac:dyDescent="0.3">
      <c r="A4638" s="2">
        <v>4637</v>
      </c>
      <c r="B4638" s="2" t="s">
        <v>214</v>
      </c>
      <c r="C4638" s="2" t="s">
        <v>1714</v>
      </c>
      <c r="D4638" s="2" t="s">
        <v>28</v>
      </c>
      <c r="E4638" s="2" t="s">
        <v>29</v>
      </c>
      <c r="F4638" s="2">
        <v>90</v>
      </c>
      <c r="G4638" s="2" t="s">
        <v>9795</v>
      </c>
      <c r="H4638" s="2" t="s">
        <v>1764</v>
      </c>
      <c r="I4638" s="2" t="s">
        <v>124</v>
      </c>
      <c r="J4638" s="3">
        <v>44403</v>
      </c>
      <c r="K4638" s="2">
        <v>42</v>
      </c>
      <c r="L4638" s="2" t="s">
        <v>70</v>
      </c>
      <c r="M4638" s="3"/>
    </row>
    <row r="4639" spans="1:13" x14ac:dyDescent="0.3">
      <c r="A4639" s="2">
        <v>4638</v>
      </c>
      <c r="B4639" s="2" t="s">
        <v>4864</v>
      </c>
      <c r="C4639" s="2" t="s">
        <v>7144</v>
      </c>
      <c r="D4639" s="2" t="s">
        <v>51</v>
      </c>
      <c r="E4639" s="2" t="s">
        <v>16</v>
      </c>
      <c r="F4639" s="2">
        <v>60</v>
      </c>
      <c r="G4639" s="2" t="s">
        <v>9796</v>
      </c>
      <c r="H4639" s="2" t="s">
        <v>1224</v>
      </c>
      <c r="I4639" s="2" t="s">
        <v>25</v>
      </c>
      <c r="J4639" s="3">
        <v>44626</v>
      </c>
      <c r="K4639" s="2">
        <v>69</v>
      </c>
      <c r="L4639" s="2" t="s">
        <v>64</v>
      </c>
      <c r="M4639" s="3"/>
    </row>
    <row r="4640" spans="1:13" x14ac:dyDescent="0.3">
      <c r="A4640" s="2">
        <v>4639</v>
      </c>
      <c r="B4640" s="2" t="s">
        <v>4390</v>
      </c>
      <c r="C4640" s="2" t="s">
        <v>2909</v>
      </c>
      <c r="D4640" s="2" t="s">
        <v>28</v>
      </c>
      <c r="E4640" s="2" t="s">
        <v>29</v>
      </c>
      <c r="F4640" s="2">
        <v>90</v>
      </c>
      <c r="G4640" s="2" t="s">
        <v>9797</v>
      </c>
      <c r="H4640" s="2" t="s">
        <v>7689</v>
      </c>
      <c r="I4640" s="2" t="s">
        <v>38</v>
      </c>
      <c r="J4640" s="3">
        <v>44338</v>
      </c>
      <c r="K4640" s="2">
        <v>38</v>
      </c>
      <c r="L4640" s="2" t="s">
        <v>80</v>
      </c>
      <c r="M4640" s="3"/>
    </row>
    <row r="4641" spans="1:13" x14ac:dyDescent="0.3">
      <c r="A4641" s="2">
        <v>4640</v>
      </c>
      <c r="B4641" s="2" t="s">
        <v>6484</v>
      </c>
      <c r="C4641" s="2" t="s">
        <v>3301</v>
      </c>
      <c r="D4641" s="2" t="s">
        <v>28</v>
      </c>
      <c r="E4641" s="2" t="s">
        <v>29</v>
      </c>
      <c r="F4641" s="2">
        <v>90</v>
      </c>
      <c r="G4641" s="2" t="s">
        <v>9798</v>
      </c>
      <c r="H4641" s="2" t="s">
        <v>1249</v>
      </c>
      <c r="I4641" s="2" t="s">
        <v>146</v>
      </c>
      <c r="J4641" s="3">
        <v>44744</v>
      </c>
      <c r="K4641" s="2">
        <v>38</v>
      </c>
      <c r="L4641" s="2" t="s">
        <v>70</v>
      </c>
      <c r="M4641" s="3"/>
    </row>
    <row r="4642" spans="1:13" x14ac:dyDescent="0.3">
      <c r="A4642" s="2">
        <v>4641</v>
      </c>
      <c r="B4642" s="2" t="s">
        <v>7325</v>
      </c>
      <c r="C4642" s="2" t="s">
        <v>1870</v>
      </c>
      <c r="D4642" s="2" t="s">
        <v>51</v>
      </c>
      <c r="E4642" s="2" t="s">
        <v>16</v>
      </c>
      <c r="F4642" s="2">
        <v>30</v>
      </c>
      <c r="G4642" s="2" t="s">
        <v>9799</v>
      </c>
      <c r="H4642" s="2" t="s">
        <v>2218</v>
      </c>
      <c r="I4642" s="2" t="s">
        <v>173</v>
      </c>
      <c r="J4642" s="3">
        <v>44007</v>
      </c>
      <c r="K4642" s="2">
        <v>76</v>
      </c>
      <c r="L4642" s="2" t="s">
        <v>54</v>
      </c>
      <c r="M4642" s="3"/>
    </row>
    <row r="4643" spans="1:13" x14ac:dyDescent="0.3">
      <c r="A4643" s="2">
        <v>4642</v>
      </c>
      <c r="B4643" s="2" t="s">
        <v>2634</v>
      </c>
      <c r="C4643" s="2" t="s">
        <v>2856</v>
      </c>
      <c r="D4643" s="2" t="s">
        <v>51</v>
      </c>
      <c r="E4643" s="2" t="s">
        <v>16</v>
      </c>
      <c r="F4643" s="2">
        <v>30</v>
      </c>
      <c r="G4643" s="2" t="s">
        <v>9800</v>
      </c>
      <c r="H4643" s="2" t="s">
        <v>2633</v>
      </c>
      <c r="I4643" s="2" t="s">
        <v>32</v>
      </c>
      <c r="J4643" s="3">
        <v>44069</v>
      </c>
      <c r="K4643" s="2">
        <v>60</v>
      </c>
      <c r="L4643" s="2" t="s">
        <v>80</v>
      </c>
      <c r="M4643" s="3"/>
    </row>
    <row r="4644" spans="1:13" x14ac:dyDescent="0.3">
      <c r="A4644" s="2">
        <v>4643</v>
      </c>
      <c r="B4644" s="2" t="s">
        <v>9801</v>
      </c>
      <c r="C4644" s="2" t="s">
        <v>547</v>
      </c>
      <c r="D4644" s="2" t="s">
        <v>51</v>
      </c>
      <c r="E4644" s="2" t="s">
        <v>16</v>
      </c>
      <c r="F4644" s="2">
        <v>30</v>
      </c>
      <c r="G4644" s="2" t="s">
        <v>9802</v>
      </c>
      <c r="H4644" s="2" t="s">
        <v>6023</v>
      </c>
      <c r="I4644" s="2" t="s">
        <v>32</v>
      </c>
      <c r="J4644" s="3">
        <v>44639</v>
      </c>
      <c r="K4644" s="2">
        <v>79</v>
      </c>
      <c r="L4644" s="2" t="s">
        <v>45</v>
      </c>
      <c r="M4644" s="3"/>
    </row>
    <row r="4645" spans="1:13" x14ac:dyDescent="0.3">
      <c r="A4645" s="2">
        <v>4644</v>
      </c>
      <c r="B4645" s="2" t="s">
        <v>9803</v>
      </c>
      <c r="C4645" s="2" t="s">
        <v>3488</v>
      </c>
      <c r="D4645" s="2" t="s">
        <v>51</v>
      </c>
      <c r="E4645" s="2" t="s">
        <v>16</v>
      </c>
      <c r="F4645" s="2">
        <v>30</v>
      </c>
      <c r="G4645" s="2" t="s">
        <v>9804</v>
      </c>
      <c r="H4645" s="2" t="s">
        <v>7154</v>
      </c>
      <c r="I4645" s="2" t="s">
        <v>32</v>
      </c>
      <c r="J4645" s="3">
        <v>44452</v>
      </c>
      <c r="K4645" s="2">
        <v>8</v>
      </c>
      <c r="L4645" s="2" t="s">
        <v>33</v>
      </c>
      <c r="M4645" s="3"/>
    </row>
    <row r="4646" spans="1:13" x14ac:dyDescent="0.3">
      <c r="A4646" s="2">
        <v>4645</v>
      </c>
      <c r="B4646" s="2" t="s">
        <v>7537</v>
      </c>
      <c r="C4646" s="2" t="s">
        <v>4237</v>
      </c>
      <c r="D4646" s="2" t="s">
        <v>28</v>
      </c>
      <c r="E4646" s="2" t="s">
        <v>29</v>
      </c>
      <c r="F4646" s="2">
        <v>90</v>
      </c>
      <c r="G4646" s="2" t="s">
        <v>9805</v>
      </c>
      <c r="H4646" s="2" t="s">
        <v>8022</v>
      </c>
      <c r="I4646" s="2" t="s">
        <v>294</v>
      </c>
      <c r="J4646" s="3">
        <v>44221</v>
      </c>
      <c r="K4646" s="2">
        <v>68</v>
      </c>
      <c r="L4646" s="2" t="s">
        <v>101</v>
      </c>
      <c r="M4646" s="3"/>
    </row>
    <row r="4647" spans="1:13" x14ac:dyDescent="0.3">
      <c r="A4647" s="2">
        <v>4646</v>
      </c>
      <c r="B4647" s="2" t="s">
        <v>4649</v>
      </c>
      <c r="C4647" s="2" t="s">
        <v>6420</v>
      </c>
      <c r="D4647" s="2" t="s">
        <v>28</v>
      </c>
      <c r="E4647" s="2" t="s">
        <v>29</v>
      </c>
      <c r="F4647" s="2">
        <v>90</v>
      </c>
      <c r="G4647" s="2" t="s">
        <v>9806</v>
      </c>
      <c r="H4647" s="2" t="s">
        <v>2045</v>
      </c>
      <c r="I4647" s="2" t="s">
        <v>38</v>
      </c>
      <c r="J4647" s="3">
        <v>44379</v>
      </c>
      <c r="K4647" s="2">
        <v>37</v>
      </c>
      <c r="L4647" s="2" t="s">
        <v>54</v>
      </c>
      <c r="M4647" s="3"/>
    </row>
    <row r="4648" spans="1:13" x14ac:dyDescent="0.3">
      <c r="A4648" s="2">
        <v>4647</v>
      </c>
      <c r="B4648" s="2" t="s">
        <v>9807</v>
      </c>
      <c r="C4648" s="2" t="s">
        <v>4619</v>
      </c>
      <c r="D4648" s="2" t="s">
        <v>51</v>
      </c>
      <c r="E4648" s="2" t="s">
        <v>16</v>
      </c>
      <c r="F4648" s="2">
        <v>90</v>
      </c>
      <c r="G4648" s="2" t="s">
        <v>9808</v>
      </c>
      <c r="H4648" s="2" t="s">
        <v>4587</v>
      </c>
      <c r="I4648" s="2" t="s">
        <v>32</v>
      </c>
      <c r="J4648" s="3">
        <v>44252</v>
      </c>
      <c r="K4648" s="2">
        <v>68</v>
      </c>
      <c r="L4648" s="2" t="s">
        <v>39</v>
      </c>
      <c r="M4648" s="3"/>
    </row>
    <row r="4649" spans="1:13" x14ac:dyDescent="0.3">
      <c r="A4649" s="2">
        <v>4648</v>
      </c>
      <c r="B4649" s="2" t="s">
        <v>5797</v>
      </c>
      <c r="C4649" s="2" t="s">
        <v>7779</v>
      </c>
      <c r="D4649" s="2" t="s">
        <v>28</v>
      </c>
      <c r="E4649" s="2" t="s">
        <v>29</v>
      </c>
      <c r="F4649" s="2">
        <v>30</v>
      </c>
      <c r="G4649" s="2" t="s">
        <v>9809</v>
      </c>
      <c r="H4649" s="2" t="s">
        <v>5748</v>
      </c>
      <c r="I4649" s="2" t="s">
        <v>124</v>
      </c>
      <c r="J4649" s="3">
        <v>44818</v>
      </c>
      <c r="K4649" s="2">
        <v>55</v>
      </c>
      <c r="L4649" s="2" t="s">
        <v>64</v>
      </c>
      <c r="M4649" s="3"/>
    </row>
    <row r="4650" spans="1:13" x14ac:dyDescent="0.3">
      <c r="A4650" s="2">
        <v>4649</v>
      </c>
      <c r="B4650" s="2" t="s">
        <v>2966</v>
      </c>
      <c r="C4650" s="2" t="s">
        <v>1044</v>
      </c>
      <c r="D4650" s="2" t="s">
        <v>15</v>
      </c>
      <c r="E4650" s="2" t="s">
        <v>16</v>
      </c>
      <c r="F4650" s="2">
        <v>30</v>
      </c>
      <c r="G4650" s="2" t="s">
        <v>9809</v>
      </c>
      <c r="H4650" s="2" t="s">
        <v>2633</v>
      </c>
      <c r="I4650" s="2" t="s">
        <v>32</v>
      </c>
      <c r="J4650" s="3">
        <v>44750</v>
      </c>
      <c r="K4650" s="2">
        <v>13</v>
      </c>
      <c r="L4650" s="2" t="s">
        <v>70</v>
      </c>
      <c r="M4650" s="3"/>
    </row>
    <row r="4651" spans="1:13" x14ac:dyDescent="0.3">
      <c r="A4651" s="2">
        <v>4650</v>
      </c>
      <c r="B4651" s="2" t="s">
        <v>9810</v>
      </c>
      <c r="C4651" s="2" t="s">
        <v>940</v>
      </c>
      <c r="D4651" s="2" t="s">
        <v>51</v>
      </c>
      <c r="E4651" s="2" t="s">
        <v>16</v>
      </c>
      <c r="F4651" s="2">
        <v>60</v>
      </c>
      <c r="G4651" s="2" t="s">
        <v>9811</v>
      </c>
      <c r="H4651" s="2" t="s">
        <v>2599</v>
      </c>
      <c r="I4651" s="2" t="s">
        <v>25</v>
      </c>
      <c r="J4651" s="3">
        <v>44669</v>
      </c>
      <c r="K4651" s="2">
        <v>67</v>
      </c>
      <c r="L4651" s="2" t="s">
        <v>33</v>
      </c>
      <c r="M4651" s="3"/>
    </row>
    <row r="4652" spans="1:13" x14ac:dyDescent="0.3">
      <c r="A4652" s="2">
        <v>4651</v>
      </c>
      <c r="B4652" s="2" t="s">
        <v>9812</v>
      </c>
      <c r="C4652" s="2" t="s">
        <v>3066</v>
      </c>
      <c r="D4652" s="2" t="s">
        <v>15</v>
      </c>
      <c r="E4652" s="2" t="s">
        <v>16</v>
      </c>
      <c r="F4652" s="2">
        <v>90</v>
      </c>
      <c r="G4652" s="2" t="s">
        <v>9813</v>
      </c>
      <c r="H4652" s="2" t="s">
        <v>2227</v>
      </c>
      <c r="I4652" s="2" t="s">
        <v>38</v>
      </c>
      <c r="J4652" s="3">
        <v>43857</v>
      </c>
      <c r="K4652" s="2">
        <v>51</v>
      </c>
      <c r="L4652" s="2" t="s">
        <v>101</v>
      </c>
      <c r="M4652" s="3"/>
    </row>
    <row r="4653" spans="1:13" x14ac:dyDescent="0.3">
      <c r="A4653" s="2">
        <v>4652</v>
      </c>
      <c r="B4653" s="2" t="s">
        <v>8151</v>
      </c>
      <c r="C4653" s="2" t="s">
        <v>2942</v>
      </c>
      <c r="D4653" s="2" t="s">
        <v>15</v>
      </c>
      <c r="E4653" s="2" t="s">
        <v>16</v>
      </c>
      <c r="F4653" s="2">
        <v>90</v>
      </c>
      <c r="G4653" s="2" t="s">
        <v>9814</v>
      </c>
      <c r="H4653" s="2" t="s">
        <v>3673</v>
      </c>
      <c r="I4653" s="2" t="s">
        <v>777</v>
      </c>
      <c r="J4653" s="3">
        <v>44879</v>
      </c>
      <c r="K4653" s="2">
        <v>4</v>
      </c>
      <c r="L4653" s="2" t="s">
        <v>159</v>
      </c>
      <c r="M4653" s="3"/>
    </row>
    <row r="4654" spans="1:13" x14ac:dyDescent="0.3">
      <c r="A4654" s="2">
        <v>4653</v>
      </c>
      <c r="B4654" s="2" t="s">
        <v>9815</v>
      </c>
      <c r="C4654" s="2" t="s">
        <v>7177</v>
      </c>
      <c r="D4654" s="2" t="s">
        <v>51</v>
      </c>
      <c r="E4654" s="2" t="s">
        <v>16</v>
      </c>
      <c r="F4654" s="2">
        <v>60</v>
      </c>
      <c r="G4654" s="2" t="s">
        <v>9816</v>
      </c>
      <c r="H4654" s="2" t="s">
        <v>2351</v>
      </c>
      <c r="I4654" s="2" t="s">
        <v>32</v>
      </c>
      <c r="J4654" s="3">
        <v>44089</v>
      </c>
      <c r="K4654" s="2">
        <v>19</v>
      </c>
      <c r="L4654" s="2" t="s">
        <v>33</v>
      </c>
      <c r="M4654" s="3"/>
    </row>
    <row r="4655" spans="1:13" x14ac:dyDescent="0.3">
      <c r="A4655" s="2">
        <v>4654</v>
      </c>
      <c r="B4655" s="2" t="s">
        <v>9817</v>
      </c>
      <c r="C4655" s="2" t="s">
        <v>1851</v>
      </c>
      <c r="D4655" s="2" t="s">
        <v>51</v>
      </c>
      <c r="E4655" s="2" t="s">
        <v>16</v>
      </c>
      <c r="F4655" s="2">
        <v>30</v>
      </c>
      <c r="G4655" s="2" t="s">
        <v>9816</v>
      </c>
      <c r="H4655" s="2" t="s">
        <v>2893</v>
      </c>
      <c r="I4655" s="2" t="s">
        <v>32</v>
      </c>
      <c r="J4655" s="3">
        <v>44477</v>
      </c>
      <c r="K4655" s="2">
        <v>48</v>
      </c>
      <c r="L4655" s="2" t="s">
        <v>80</v>
      </c>
      <c r="M4655" s="3"/>
    </row>
    <row r="4656" spans="1:13" x14ac:dyDescent="0.3">
      <c r="A4656" s="2">
        <v>4655</v>
      </c>
      <c r="B4656" s="2" t="s">
        <v>9818</v>
      </c>
      <c r="C4656" s="2" t="s">
        <v>1468</v>
      </c>
      <c r="D4656" s="2" t="s">
        <v>15</v>
      </c>
      <c r="E4656" s="2" t="s">
        <v>16</v>
      </c>
      <c r="F4656" s="2">
        <v>60</v>
      </c>
      <c r="G4656" s="2" t="s">
        <v>9819</v>
      </c>
      <c r="H4656" s="2" t="s">
        <v>3446</v>
      </c>
      <c r="I4656" s="2" t="s">
        <v>32</v>
      </c>
      <c r="J4656" s="3">
        <v>44499</v>
      </c>
      <c r="K4656" s="2">
        <v>69</v>
      </c>
      <c r="L4656" s="2" t="s">
        <v>39</v>
      </c>
      <c r="M4656" s="3"/>
    </row>
    <row r="4657" spans="1:13" x14ac:dyDescent="0.3">
      <c r="A4657" s="2">
        <v>4656</v>
      </c>
      <c r="B4657" s="2" t="s">
        <v>8479</v>
      </c>
      <c r="C4657" s="2" t="s">
        <v>233</v>
      </c>
      <c r="D4657" s="2" t="s">
        <v>92</v>
      </c>
      <c r="E4657" s="2" t="s">
        <v>16</v>
      </c>
      <c r="F4657" s="2">
        <v>90</v>
      </c>
      <c r="G4657" s="2" t="s">
        <v>9820</v>
      </c>
      <c r="H4657" s="2" t="s">
        <v>655</v>
      </c>
      <c r="I4657" s="2" t="s">
        <v>32</v>
      </c>
      <c r="J4657" s="3">
        <v>43842</v>
      </c>
      <c r="K4657" s="2">
        <v>57</v>
      </c>
      <c r="L4657" s="2" t="s">
        <v>159</v>
      </c>
      <c r="M4657" s="3"/>
    </row>
    <row r="4658" spans="1:13" x14ac:dyDescent="0.3">
      <c r="A4658" s="2">
        <v>4657</v>
      </c>
      <c r="B4658" s="2" t="s">
        <v>4768</v>
      </c>
      <c r="C4658" s="2" t="s">
        <v>2188</v>
      </c>
      <c r="D4658" s="2" t="s">
        <v>28</v>
      </c>
      <c r="E4658" s="2" t="s">
        <v>8065</v>
      </c>
      <c r="F4658" s="2">
        <v>90</v>
      </c>
      <c r="G4658" s="2" t="s">
        <v>9821</v>
      </c>
      <c r="H4658" s="2" t="s">
        <v>1796</v>
      </c>
      <c r="I4658" s="2" t="s">
        <v>178</v>
      </c>
      <c r="J4658" s="3">
        <v>44808</v>
      </c>
      <c r="K4658" s="2">
        <v>35</v>
      </c>
      <c r="L4658" s="2" t="s">
        <v>39</v>
      </c>
      <c r="M4658" s="3"/>
    </row>
    <row r="4659" spans="1:13" x14ac:dyDescent="0.3">
      <c r="A4659" s="2">
        <v>4658</v>
      </c>
      <c r="B4659" s="2" t="s">
        <v>8187</v>
      </c>
      <c r="C4659" s="2" t="s">
        <v>9715</v>
      </c>
      <c r="D4659" s="2" t="s">
        <v>28</v>
      </c>
      <c r="E4659" s="2" t="s">
        <v>29</v>
      </c>
      <c r="F4659" s="2">
        <v>30</v>
      </c>
      <c r="G4659" s="2" t="s">
        <v>9822</v>
      </c>
      <c r="H4659" s="2" t="s">
        <v>3402</v>
      </c>
      <c r="I4659" s="2" t="s">
        <v>32</v>
      </c>
      <c r="J4659" s="3">
        <v>44539</v>
      </c>
      <c r="K4659" s="2">
        <v>77</v>
      </c>
      <c r="L4659" s="2" t="s">
        <v>54</v>
      </c>
      <c r="M4659" s="3"/>
    </row>
    <row r="4660" spans="1:13" x14ac:dyDescent="0.3">
      <c r="A4660" s="2">
        <v>4659</v>
      </c>
      <c r="B4660" s="2" t="s">
        <v>3089</v>
      </c>
      <c r="C4660" s="2" t="s">
        <v>6322</v>
      </c>
      <c r="D4660" s="2" t="s">
        <v>28</v>
      </c>
      <c r="E4660" s="2" t="s">
        <v>29</v>
      </c>
      <c r="F4660" s="2">
        <v>90</v>
      </c>
      <c r="G4660" s="2" t="s">
        <v>9823</v>
      </c>
      <c r="H4660" s="2" t="s">
        <v>5643</v>
      </c>
      <c r="I4660" s="2" t="s">
        <v>886</v>
      </c>
      <c r="J4660" s="3">
        <v>44068</v>
      </c>
      <c r="K4660" s="2">
        <v>74</v>
      </c>
      <c r="L4660" s="2" t="s">
        <v>33</v>
      </c>
      <c r="M4660" s="3"/>
    </row>
    <row r="4661" spans="1:13" x14ac:dyDescent="0.3">
      <c r="A4661" s="2">
        <v>4660</v>
      </c>
      <c r="B4661" s="2" t="s">
        <v>8187</v>
      </c>
      <c r="C4661" s="2" t="s">
        <v>1813</v>
      </c>
      <c r="D4661" s="2" t="s">
        <v>28</v>
      </c>
      <c r="E4661" s="2" t="s">
        <v>29</v>
      </c>
      <c r="F4661" s="2">
        <v>60</v>
      </c>
      <c r="G4661" s="2" t="s">
        <v>9823</v>
      </c>
      <c r="H4661" s="2" t="s">
        <v>1382</v>
      </c>
      <c r="I4661" s="2" t="s">
        <v>32</v>
      </c>
      <c r="J4661" s="3">
        <v>43930</v>
      </c>
      <c r="K4661" s="2">
        <v>43</v>
      </c>
      <c r="L4661" s="2" t="s">
        <v>80</v>
      </c>
      <c r="M4661" s="3"/>
    </row>
    <row r="4662" spans="1:13" x14ac:dyDescent="0.3">
      <c r="A4662" s="2">
        <v>4661</v>
      </c>
      <c r="B4662" s="2" t="s">
        <v>7121</v>
      </c>
      <c r="C4662" s="2" t="s">
        <v>3369</v>
      </c>
      <c r="D4662" s="2" t="s">
        <v>28</v>
      </c>
      <c r="E4662" s="2" t="s">
        <v>29</v>
      </c>
      <c r="F4662" s="2">
        <v>60</v>
      </c>
      <c r="G4662" s="2" t="s">
        <v>9824</v>
      </c>
      <c r="H4662" s="2" t="s">
        <v>3862</v>
      </c>
      <c r="I4662" s="2" t="s">
        <v>2543</v>
      </c>
      <c r="J4662" s="3">
        <v>43873</v>
      </c>
      <c r="K4662" s="2">
        <v>32</v>
      </c>
      <c r="L4662" s="2" t="s">
        <v>80</v>
      </c>
      <c r="M4662" s="3"/>
    </row>
    <row r="4663" spans="1:13" x14ac:dyDescent="0.3">
      <c r="A4663" s="2">
        <v>4662</v>
      </c>
      <c r="B4663" s="2" t="s">
        <v>922</v>
      </c>
      <c r="C4663" s="2" t="s">
        <v>6307</v>
      </c>
      <c r="D4663" s="2" t="s">
        <v>28</v>
      </c>
      <c r="E4663" s="2" t="s">
        <v>29</v>
      </c>
      <c r="F4663" s="2">
        <v>60</v>
      </c>
      <c r="G4663" s="2" t="s">
        <v>9825</v>
      </c>
      <c r="H4663" s="2" t="s">
        <v>2671</v>
      </c>
      <c r="I4663" s="2" t="s">
        <v>1157</v>
      </c>
      <c r="J4663" s="3">
        <v>43836</v>
      </c>
      <c r="K4663" s="2">
        <v>29</v>
      </c>
      <c r="L4663" s="2" t="s">
        <v>39</v>
      </c>
      <c r="M4663" s="3"/>
    </row>
    <row r="4664" spans="1:13" x14ac:dyDescent="0.3">
      <c r="A4664" s="2">
        <v>4663</v>
      </c>
      <c r="B4664" s="2" t="s">
        <v>1031</v>
      </c>
      <c r="C4664" s="2" t="s">
        <v>6890</v>
      </c>
      <c r="D4664" s="2" t="s">
        <v>28</v>
      </c>
      <c r="E4664" s="2" t="s">
        <v>29</v>
      </c>
      <c r="F4664" s="2">
        <v>30</v>
      </c>
      <c r="G4664" s="2" t="s">
        <v>9826</v>
      </c>
      <c r="H4664" s="2" t="s">
        <v>4066</v>
      </c>
      <c r="I4664" s="2" t="s">
        <v>4067</v>
      </c>
      <c r="J4664" s="3">
        <v>44708</v>
      </c>
      <c r="K4664" s="2">
        <v>92</v>
      </c>
      <c r="L4664" s="2" t="s">
        <v>64</v>
      </c>
      <c r="M4664" s="3"/>
    </row>
    <row r="4665" spans="1:13" x14ac:dyDescent="0.3">
      <c r="A4665" s="2">
        <v>4664</v>
      </c>
      <c r="B4665" s="2" t="s">
        <v>6699</v>
      </c>
      <c r="C4665" s="2" t="s">
        <v>3549</v>
      </c>
      <c r="D4665" s="2" t="s">
        <v>28</v>
      </c>
      <c r="E4665" s="2" t="s">
        <v>29</v>
      </c>
      <c r="F4665" s="2">
        <v>60</v>
      </c>
      <c r="G4665" s="2" t="s">
        <v>9827</v>
      </c>
      <c r="H4665" s="2" t="s">
        <v>3793</v>
      </c>
      <c r="I4665" s="2" t="s">
        <v>173</v>
      </c>
      <c r="J4665" s="3">
        <v>44548</v>
      </c>
      <c r="K4665" s="2">
        <v>93</v>
      </c>
      <c r="L4665" s="2" t="s">
        <v>80</v>
      </c>
      <c r="M4665" s="3"/>
    </row>
    <row r="4666" spans="1:13" x14ac:dyDescent="0.3">
      <c r="A4666" s="2">
        <v>4665</v>
      </c>
      <c r="B4666" s="2" t="s">
        <v>990</v>
      </c>
      <c r="C4666" s="2" t="s">
        <v>8563</v>
      </c>
      <c r="D4666" s="2" t="s">
        <v>28</v>
      </c>
      <c r="E4666" s="2" t="s">
        <v>29</v>
      </c>
      <c r="F4666" s="2">
        <v>60</v>
      </c>
      <c r="G4666" s="2" t="s">
        <v>9828</v>
      </c>
      <c r="H4666" s="2" t="s">
        <v>7330</v>
      </c>
      <c r="I4666" s="2" t="s">
        <v>5820</v>
      </c>
      <c r="J4666" s="3">
        <v>44719</v>
      </c>
      <c r="K4666" s="2">
        <v>56</v>
      </c>
      <c r="L4666" s="2" t="s">
        <v>20</v>
      </c>
      <c r="M4666" s="3"/>
    </row>
    <row r="4667" spans="1:13" x14ac:dyDescent="0.3">
      <c r="A4667" s="2">
        <v>4666</v>
      </c>
      <c r="B4667" s="2" t="s">
        <v>9193</v>
      </c>
      <c r="C4667" s="2" t="s">
        <v>987</v>
      </c>
      <c r="D4667" s="2" t="s">
        <v>621</v>
      </c>
      <c r="E4667" s="2" t="s">
        <v>29</v>
      </c>
      <c r="F4667" s="2">
        <v>30</v>
      </c>
      <c r="G4667" s="2" t="s">
        <v>9829</v>
      </c>
      <c r="H4667" s="2" t="s">
        <v>3409</v>
      </c>
      <c r="I4667" s="2" t="s">
        <v>95</v>
      </c>
      <c r="J4667" s="3">
        <v>43975</v>
      </c>
      <c r="K4667" s="2">
        <v>13</v>
      </c>
      <c r="L4667" s="2" t="s">
        <v>159</v>
      </c>
      <c r="M4667" s="3"/>
    </row>
    <row r="4668" spans="1:13" x14ac:dyDescent="0.3">
      <c r="A4668" s="2">
        <v>4667</v>
      </c>
      <c r="B4668" s="2" t="s">
        <v>2381</v>
      </c>
      <c r="C4668" s="2" t="s">
        <v>1307</v>
      </c>
      <c r="D4668" s="2" t="s">
        <v>28</v>
      </c>
      <c r="E4668" s="2" t="s">
        <v>29</v>
      </c>
      <c r="F4668" s="2">
        <v>30</v>
      </c>
      <c r="G4668" s="2" t="s">
        <v>9830</v>
      </c>
      <c r="H4668" s="2" t="s">
        <v>3100</v>
      </c>
      <c r="I4668" s="2" t="s">
        <v>32</v>
      </c>
      <c r="J4668" s="3">
        <v>44320</v>
      </c>
      <c r="K4668" s="2">
        <v>46</v>
      </c>
      <c r="L4668" s="2" t="s">
        <v>20</v>
      </c>
      <c r="M4668" s="3"/>
    </row>
    <row r="4669" spans="1:13" x14ac:dyDescent="0.3">
      <c r="A4669" s="2">
        <v>4668</v>
      </c>
      <c r="B4669" s="2" t="s">
        <v>9831</v>
      </c>
      <c r="C4669" s="2" t="s">
        <v>3382</v>
      </c>
      <c r="D4669" s="2" t="s">
        <v>15</v>
      </c>
      <c r="E4669" s="2" t="s">
        <v>16</v>
      </c>
      <c r="F4669" s="2">
        <v>30</v>
      </c>
      <c r="G4669" s="2" t="s">
        <v>9832</v>
      </c>
      <c r="H4669" s="2" t="s">
        <v>2753</v>
      </c>
      <c r="I4669" s="2" t="s">
        <v>124</v>
      </c>
      <c r="J4669" s="3">
        <v>44850</v>
      </c>
      <c r="K4669" s="2">
        <v>13</v>
      </c>
      <c r="L4669" s="2" t="s">
        <v>80</v>
      </c>
      <c r="M4669" s="3"/>
    </row>
    <row r="4670" spans="1:13" x14ac:dyDescent="0.3">
      <c r="A4670" s="2">
        <v>4669</v>
      </c>
      <c r="B4670" s="2" t="s">
        <v>6316</v>
      </c>
      <c r="C4670" s="2" t="s">
        <v>9833</v>
      </c>
      <c r="D4670" s="2" t="s">
        <v>15</v>
      </c>
      <c r="E4670" s="2" t="s">
        <v>16</v>
      </c>
      <c r="F4670" s="2">
        <v>30</v>
      </c>
      <c r="G4670" s="2" t="s">
        <v>9834</v>
      </c>
      <c r="H4670" s="2" t="s">
        <v>1791</v>
      </c>
      <c r="I4670" s="2" t="s">
        <v>32</v>
      </c>
      <c r="J4670" s="3">
        <v>43937</v>
      </c>
      <c r="K4670" s="2">
        <v>63</v>
      </c>
      <c r="L4670" s="2" t="s">
        <v>80</v>
      </c>
      <c r="M4670" s="3"/>
    </row>
    <row r="4671" spans="1:13" x14ac:dyDescent="0.3">
      <c r="A4671" s="2">
        <v>4670</v>
      </c>
      <c r="B4671" s="2" t="s">
        <v>6894</v>
      </c>
      <c r="C4671" s="2" t="s">
        <v>2344</v>
      </c>
      <c r="D4671" s="2" t="s">
        <v>15</v>
      </c>
      <c r="E4671" s="2" t="s">
        <v>16</v>
      </c>
      <c r="F4671" s="2">
        <v>90</v>
      </c>
      <c r="G4671" s="2" t="s">
        <v>9835</v>
      </c>
      <c r="H4671" s="2" t="s">
        <v>5047</v>
      </c>
      <c r="I4671" s="2" t="s">
        <v>178</v>
      </c>
      <c r="J4671" s="3">
        <v>44510</v>
      </c>
      <c r="K4671" s="2">
        <v>32</v>
      </c>
      <c r="L4671" s="2" t="s">
        <v>39</v>
      </c>
      <c r="M4671" s="3"/>
    </row>
    <row r="4672" spans="1:13" x14ac:dyDescent="0.3">
      <c r="A4672" s="2">
        <v>4671</v>
      </c>
      <c r="B4672" s="2" t="s">
        <v>507</v>
      </c>
      <c r="C4672" s="2" t="s">
        <v>8811</v>
      </c>
      <c r="D4672" s="2" t="s">
        <v>28</v>
      </c>
      <c r="E4672" s="2" t="s">
        <v>29</v>
      </c>
      <c r="F4672" s="2">
        <v>60</v>
      </c>
      <c r="G4672" s="2" t="s">
        <v>9836</v>
      </c>
      <c r="H4672" s="2" t="s">
        <v>360</v>
      </c>
      <c r="I4672" s="2" t="s">
        <v>25</v>
      </c>
      <c r="J4672" s="3">
        <v>44573</v>
      </c>
      <c r="K4672" s="2">
        <v>60</v>
      </c>
      <c r="L4672" s="2" t="s">
        <v>39</v>
      </c>
      <c r="M4672" s="3"/>
    </row>
    <row r="4673" spans="1:13" x14ac:dyDescent="0.3">
      <c r="A4673" s="2">
        <v>4672</v>
      </c>
      <c r="B4673" s="2" t="s">
        <v>6668</v>
      </c>
      <c r="C4673" s="2" t="s">
        <v>3141</v>
      </c>
      <c r="D4673" s="2" t="s">
        <v>28</v>
      </c>
      <c r="E4673" s="2" t="s">
        <v>29</v>
      </c>
      <c r="F4673" s="2">
        <v>30</v>
      </c>
      <c r="G4673" s="2" t="s">
        <v>9837</v>
      </c>
      <c r="H4673" s="2" t="s">
        <v>7151</v>
      </c>
      <c r="I4673" s="2" t="s">
        <v>38</v>
      </c>
      <c r="J4673" s="3">
        <v>44234</v>
      </c>
      <c r="K4673" s="2">
        <v>33</v>
      </c>
      <c r="L4673" s="2" t="s">
        <v>45</v>
      </c>
      <c r="M4673" s="3"/>
    </row>
    <row r="4674" spans="1:13" x14ac:dyDescent="0.3">
      <c r="A4674" s="2">
        <v>4673</v>
      </c>
      <c r="B4674" s="2" t="s">
        <v>807</v>
      </c>
      <c r="C4674" s="2" t="s">
        <v>829</v>
      </c>
      <c r="D4674" s="2" t="s">
        <v>28</v>
      </c>
      <c r="E4674" s="2" t="s">
        <v>29</v>
      </c>
      <c r="F4674" s="2">
        <v>90</v>
      </c>
      <c r="G4674" s="2" t="s">
        <v>9838</v>
      </c>
      <c r="H4674" s="2" t="s">
        <v>2629</v>
      </c>
      <c r="I4674" s="2" t="s">
        <v>95</v>
      </c>
      <c r="J4674" s="3">
        <v>44316</v>
      </c>
      <c r="K4674" s="2">
        <v>31</v>
      </c>
      <c r="L4674" s="2" t="s">
        <v>64</v>
      </c>
      <c r="M4674" s="3"/>
    </row>
    <row r="4675" spans="1:13" x14ac:dyDescent="0.3">
      <c r="A4675" s="2">
        <v>4674</v>
      </c>
      <c r="B4675" s="2" t="s">
        <v>9839</v>
      </c>
      <c r="C4675" s="2" t="s">
        <v>2113</v>
      </c>
      <c r="D4675" s="2" t="s">
        <v>15</v>
      </c>
      <c r="E4675" s="2" t="s">
        <v>16</v>
      </c>
      <c r="F4675" s="2">
        <v>60</v>
      </c>
      <c r="G4675" s="2" t="s">
        <v>9840</v>
      </c>
      <c r="H4675" s="2" t="s">
        <v>3092</v>
      </c>
      <c r="I4675" s="2" t="s">
        <v>886</v>
      </c>
      <c r="J4675" s="3">
        <v>44906</v>
      </c>
      <c r="K4675" s="2">
        <v>35</v>
      </c>
      <c r="L4675" s="2" t="s">
        <v>45</v>
      </c>
      <c r="M4675" s="3"/>
    </row>
    <row r="4676" spans="1:13" x14ac:dyDescent="0.3">
      <c r="A4676" s="2">
        <v>4675</v>
      </c>
      <c r="B4676" s="2" t="s">
        <v>9841</v>
      </c>
      <c r="C4676" s="2" t="s">
        <v>1439</v>
      </c>
      <c r="D4676" s="2" t="s">
        <v>15</v>
      </c>
      <c r="E4676" s="2" t="s">
        <v>16</v>
      </c>
      <c r="F4676" s="2">
        <v>60</v>
      </c>
      <c r="G4676" s="2" t="s">
        <v>9842</v>
      </c>
      <c r="H4676" s="2" t="s">
        <v>2479</v>
      </c>
      <c r="I4676" s="2" t="s">
        <v>1233</v>
      </c>
      <c r="J4676" s="3">
        <v>44324</v>
      </c>
      <c r="K4676" s="2">
        <v>89</v>
      </c>
      <c r="L4676" s="2" t="s">
        <v>33</v>
      </c>
      <c r="M4676" s="3"/>
    </row>
    <row r="4677" spans="1:13" x14ac:dyDescent="0.3">
      <c r="A4677" s="2">
        <v>4676</v>
      </c>
      <c r="B4677" s="2" t="s">
        <v>9843</v>
      </c>
      <c r="C4677" s="2" t="s">
        <v>9844</v>
      </c>
      <c r="D4677" s="2" t="s">
        <v>15</v>
      </c>
      <c r="E4677" s="2" t="s">
        <v>16</v>
      </c>
      <c r="F4677" s="2">
        <v>90</v>
      </c>
      <c r="G4677" s="2" t="s">
        <v>9845</v>
      </c>
      <c r="H4677" s="2" t="s">
        <v>5682</v>
      </c>
      <c r="I4677" s="2" t="s">
        <v>173</v>
      </c>
      <c r="J4677" s="3">
        <v>44638</v>
      </c>
      <c r="K4677" s="2">
        <v>22</v>
      </c>
      <c r="L4677" s="2" t="s">
        <v>45</v>
      </c>
      <c r="M4677" s="3"/>
    </row>
    <row r="4678" spans="1:13" x14ac:dyDescent="0.3">
      <c r="A4678" s="2">
        <v>4677</v>
      </c>
      <c r="B4678" s="2" t="s">
        <v>6039</v>
      </c>
      <c r="C4678" s="2" t="s">
        <v>6004</v>
      </c>
      <c r="D4678" s="2" t="s">
        <v>51</v>
      </c>
      <c r="E4678" s="2" t="s">
        <v>16</v>
      </c>
      <c r="F4678" s="2">
        <v>60</v>
      </c>
      <c r="G4678" s="2" t="s">
        <v>9846</v>
      </c>
      <c r="H4678" s="2" t="s">
        <v>1138</v>
      </c>
      <c r="I4678" s="2" t="s">
        <v>124</v>
      </c>
      <c r="J4678" s="3">
        <v>44671</v>
      </c>
      <c r="K4678" s="2">
        <v>15</v>
      </c>
      <c r="L4678" s="2" t="s">
        <v>45</v>
      </c>
      <c r="M4678" s="3"/>
    </row>
    <row r="4679" spans="1:13" x14ac:dyDescent="0.3">
      <c r="A4679" s="2">
        <v>4678</v>
      </c>
      <c r="B4679" s="2" t="s">
        <v>2523</v>
      </c>
      <c r="C4679" s="2" t="s">
        <v>6363</v>
      </c>
      <c r="D4679" s="2" t="s">
        <v>28</v>
      </c>
      <c r="E4679" s="2" t="s">
        <v>29</v>
      </c>
      <c r="F4679" s="2">
        <v>90</v>
      </c>
      <c r="G4679" s="2" t="s">
        <v>9847</v>
      </c>
      <c r="H4679" s="2" t="s">
        <v>1680</v>
      </c>
      <c r="I4679" s="2" t="s">
        <v>19</v>
      </c>
      <c r="J4679" s="3">
        <v>44908</v>
      </c>
      <c r="K4679" s="2">
        <v>102</v>
      </c>
      <c r="L4679" s="2" t="s">
        <v>33</v>
      </c>
      <c r="M4679" s="3"/>
    </row>
    <row r="4680" spans="1:13" x14ac:dyDescent="0.3">
      <c r="A4680" s="2">
        <v>4679</v>
      </c>
      <c r="B4680" s="2" t="s">
        <v>9848</v>
      </c>
      <c r="C4680" s="2" t="s">
        <v>6454</v>
      </c>
      <c r="D4680" s="2" t="s">
        <v>15</v>
      </c>
      <c r="E4680" s="2" t="s">
        <v>16</v>
      </c>
      <c r="F4680" s="2">
        <v>90</v>
      </c>
      <c r="G4680" s="2" t="s">
        <v>9849</v>
      </c>
      <c r="H4680" s="2" t="s">
        <v>1781</v>
      </c>
      <c r="I4680" s="2" t="s">
        <v>32</v>
      </c>
      <c r="J4680" s="3">
        <v>43886</v>
      </c>
      <c r="K4680" s="2">
        <v>63</v>
      </c>
      <c r="L4680" s="2" t="s">
        <v>101</v>
      </c>
      <c r="M4680" s="3"/>
    </row>
    <row r="4681" spans="1:13" x14ac:dyDescent="0.3">
      <c r="A4681" s="2">
        <v>4680</v>
      </c>
      <c r="B4681" s="2" t="s">
        <v>9850</v>
      </c>
      <c r="C4681" s="2" t="s">
        <v>2143</v>
      </c>
      <c r="D4681" s="2" t="s">
        <v>51</v>
      </c>
      <c r="E4681" s="2" t="s">
        <v>16</v>
      </c>
      <c r="F4681" s="2">
        <v>60</v>
      </c>
      <c r="G4681" s="2" t="s">
        <v>9851</v>
      </c>
      <c r="H4681" s="2" t="s">
        <v>378</v>
      </c>
      <c r="I4681" s="2" t="s">
        <v>146</v>
      </c>
      <c r="J4681" s="3">
        <v>44321</v>
      </c>
      <c r="K4681" s="2">
        <v>90</v>
      </c>
      <c r="L4681" s="2" t="s">
        <v>70</v>
      </c>
      <c r="M4681" s="3"/>
    </row>
    <row r="4682" spans="1:13" x14ac:dyDescent="0.3">
      <c r="A4682" s="2">
        <v>4681</v>
      </c>
      <c r="B4682" s="2" t="s">
        <v>5309</v>
      </c>
      <c r="C4682" s="2" t="s">
        <v>184</v>
      </c>
      <c r="D4682" s="2" t="s">
        <v>51</v>
      </c>
      <c r="E4682" s="2" t="s">
        <v>16</v>
      </c>
      <c r="F4682" s="2">
        <v>90</v>
      </c>
      <c r="G4682" s="2" t="s">
        <v>9852</v>
      </c>
      <c r="H4682" s="2" t="s">
        <v>3122</v>
      </c>
      <c r="I4682" s="2" t="s">
        <v>1035</v>
      </c>
      <c r="J4682" s="3">
        <v>44157</v>
      </c>
      <c r="K4682" s="2">
        <v>85</v>
      </c>
      <c r="L4682" s="2" t="s">
        <v>39</v>
      </c>
      <c r="M4682" s="3"/>
    </row>
    <row r="4683" spans="1:13" x14ac:dyDescent="0.3">
      <c r="A4683" s="2">
        <v>4682</v>
      </c>
      <c r="B4683" s="2" t="s">
        <v>3604</v>
      </c>
      <c r="C4683" s="2" t="s">
        <v>9853</v>
      </c>
      <c r="D4683" s="2" t="s">
        <v>28</v>
      </c>
      <c r="E4683" s="2" t="s">
        <v>29</v>
      </c>
      <c r="F4683" s="2">
        <v>60</v>
      </c>
      <c r="G4683" s="2" t="s">
        <v>9854</v>
      </c>
      <c r="H4683" s="2" t="s">
        <v>483</v>
      </c>
      <c r="I4683" s="2" t="s">
        <v>32</v>
      </c>
      <c r="J4683" s="3">
        <v>44546</v>
      </c>
      <c r="K4683" s="2">
        <v>57</v>
      </c>
      <c r="L4683" s="2" t="s">
        <v>33</v>
      </c>
      <c r="M4683" s="3"/>
    </row>
    <row r="4684" spans="1:13" x14ac:dyDescent="0.3">
      <c r="A4684" s="2">
        <v>4683</v>
      </c>
      <c r="B4684" s="2" t="s">
        <v>5537</v>
      </c>
      <c r="C4684" s="2" t="s">
        <v>2257</v>
      </c>
      <c r="D4684" s="2" t="s">
        <v>41</v>
      </c>
      <c r="E4684" s="2" t="s">
        <v>16</v>
      </c>
      <c r="F4684" s="2">
        <v>30</v>
      </c>
      <c r="G4684" s="2" t="s">
        <v>9855</v>
      </c>
      <c r="H4684" s="2" t="s">
        <v>6693</v>
      </c>
      <c r="I4684" s="2" t="s">
        <v>25</v>
      </c>
      <c r="J4684" s="3">
        <v>44009</v>
      </c>
      <c r="K4684" s="2">
        <v>53</v>
      </c>
      <c r="L4684" s="2" t="s">
        <v>101</v>
      </c>
      <c r="M4684" s="3"/>
    </row>
    <row r="4685" spans="1:13" x14ac:dyDescent="0.3">
      <c r="A4685" s="2">
        <v>4684</v>
      </c>
      <c r="B4685" s="2" t="s">
        <v>3079</v>
      </c>
      <c r="C4685" s="2" t="s">
        <v>1721</v>
      </c>
      <c r="D4685" s="2" t="s">
        <v>28</v>
      </c>
      <c r="E4685" s="2" t="s">
        <v>29</v>
      </c>
      <c r="F4685" s="2">
        <v>60</v>
      </c>
      <c r="G4685" s="2" t="s">
        <v>9856</v>
      </c>
      <c r="H4685" s="2" t="s">
        <v>4133</v>
      </c>
      <c r="I4685" s="2" t="s">
        <v>32</v>
      </c>
      <c r="J4685" s="3">
        <v>44309</v>
      </c>
      <c r="K4685" s="2">
        <v>67</v>
      </c>
      <c r="L4685" s="2" t="s">
        <v>20</v>
      </c>
      <c r="M4685" s="3"/>
    </row>
    <row r="4686" spans="1:13" x14ac:dyDescent="0.3">
      <c r="A4686" s="2">
        <v>4685</v>
      </c>
      <c r="B4686" s="2" t="s">
        <v>9857</v>
      </c>
      <c r="C4686" s="2" t="s">
        <v>7403</v>
      </c>
      <c r="D4686" s="2" t="s">
        <v>51</v>
      </c>
      <c r="E4686" s="2" t="s">
        <v>16</v>
      </c>
      <c r="F4686" s="2">
        <v>90</v>
      </c>
      <c r="G4686" s="2" t="s">
        <v>9858</v>
      </c>
      <c r="H4686" s="2" t="s">
        <v>806</v>
      </c>
      <c r="I4686" s="2" t="s">
        <v>178</v>
      </c>
      <c r="J4686" s="3">
        <v>44440</v>
      </c>
      <c r="K4686" s="2">
        <v>28</v>
      </c>
      <c r="L4686" s="2" t="s">
        <v>39</v>
      </c>
      <c r="M4686" s="3"/>
    </row>
    <row r="4687" spans="1:13" x14ac:dyDescent="0.3">
      <c r="A4687" s="2">
        <v>4686</v>
      </c>
      <c r="B4687" s="2" t="s">
        <v>1758</v>
      </c>
      <c r="C4687" s="2" t="s">
        <v>4242</v>
      </c>
      <c r="D4687" s="2" t="s">
        <v>28</v>
      </c>
      <c r="E4687" s="2" t="s">
        <v>29</v>
      </c>
      <c r="F4687" s="2">
        <v>60</v>
      </c>
      <c r="G4687" s="2" t="s">
        <v>9859</v>
      </c>
      <c r="H4687" s="2" t="s">
        <v>9860</v>
      </c>
      <c r="I4687" s="2" t="s">
        <v>38</v>
      </c>
      <c r="J4687" s="3">
        <v>44123</v>
      </c>
      <c r="K4687" s="2">
        <v>45</v>
      </c>
      <c r="L4687" s="2" t="s">
        <v>64</v>
      </c>
      <c r="M4687" s="3"/>
    </row>
    <row r="4688" spans="1:13" x14ac:dyDescent="0.3">
      <c r="A4688" s="2">
        <v>4687</v>
      </c>
      <c r="B4688" s="2" t="s">
        <v>9861</v>
      </c>
      <c r="C4688" s="2" t="s">
        <v>6237</v>
      </c>
      <c r="D4688" s="2" t="s">
        <v>15</v>
      </c>
      <c r="E4688" s="2" t="s">
        <v>16</v>
      </c>
      <c r="F4688" s="2">
        <v>60</v>
      </c>
      <c r="G4688" s="2" t="s">
        <v>9862</v>
      </c>
      <c r="H4688" s="2" t="s">
        <v>1601</v>
      </c>
      <c r="I4688" s="2" t="s">
        <v>32</v>
      </c>
      <c r="J4688" s="3">
        <v>44361</v>
      </c>
      <c r="K4688" s="2">
        <v>12</v>
      </c>
      <c r="L4688" s="2" t="s">
        <v>70</v>
      </c>
      <c r="M4688" s="3"/>
    </row>
    <row r="4689" spans="1:13" x14ac:dyDescent="0.3">
      <c r="A4689" s="2">
        <v>4688</v>
      </c>
      <c r="B4689" s="2" t="s">
        <v>975</v>
      </c>
      <c r="C4689" s="2" t="s">
        <v>4522</v>
      </c>
      <c r="D4689" s="2" t="s">
        <v>28</v>
      </c>
      <c r="E4689" s="2" t="s">
        <v>29</v>
      </c>
      <c r="F4689" s="2">
        <v>90</v>
      </c>
      <c r="G4689" s="2" t="s">
        <v>9863</v>
      </c>
      <c r="H4689" s="2" t="s">
        <v>3303</v>
      </c>
      <c r="I4689" s="2" t="s">
        <v>294</v>
      </c>
      <c r="J4689" s="3">
        <v>44055</v>
      </c>
      <c r="K4689" s="2">
        <v>49</v>
      </c>
      <c r="L4689" s="2" t="s">
        <v>159</v>
      </c>
      <c r="M4689" s="3"/>
    </row>
    <row r="4690" spans="1:13" x14ac:dyDescent="0.3">
      <c r="A4690" s="2">
        <v>4689</v>
      </c>
      <c r="B4690" s="2" t="s">
        <v>9843</v>
      </c>
      <c r="C4690" s="2" t="s">
        <v>4994</v>
      </c>
      <c r="D4690" s="2" t="s">
        <v>15</v>
      </c>
      <c r="E4690" s="2" t="s">
        <v>16</v>
      </c>
      <c r="F4690" s="2">
        <v>90</v>
      </c>
      <c r="G4690" s="2" t="s">
        <v>9864</v>
      </c>
      <c r="H4690" s="2" t="s">
        <v>619</v>
      </c>
      <c r="I4690" s="2" t="s">
        <v>187</v>
      </c>
      <c r="J4690" s="3">
        <v>43832</v>
      </c>
      <c r="K4690" s="2">
        <v>32</v>
      </c>
      <c r="L4690" s="2" t="s">
        <v>101</v>
      </c>
      <c r="M4690" s="3"/>
    </row>
    <row r="4691" spans="1:13" x14ac:dyDescent="0.3">
      <c r="A4691" s="2">
        <v>4690</v>
      </c>
      <c r="B4691" s="2" t="s">
        <v>9865</v>
      </c>
      <c r="C4691" s="2" t="s">
        <v>4205</v>
      </c>
      <c r="D4691" s="2" t="s">
        <v>51</v>
      </c>
      <c r="E4691" s="2" t="s">
        <v>16</v>
      </c>
      <c r="F4691" s="2">
        <v>30</v>
      </c>
      <c r="G4691" s="2" t="s">
        <v>9866</v>
      </c>
      <c r="H4691" s="2" t="s">
        <v>3991</v>
      </c>
      <c r="I4691" s="2" t="s">
        <v>32</v>
      </c>
      <c r="J4691" s="3">
        <v>44847</v>
      </c>
      <c r="K4691" s="2">
        <v>93</v>
      </c>
      <c r="L4691" s="2" t="s">
        <v>54</v>
      </c>
      <c r="M4691" s="3"/>
    </row>
    <row r="4692" spans="1:13" x14ac:dyDescent="0.3">
      <c r="A4692" s="2">
        <v>4691</v>
      </c>
      <c r="B4692" s="2" t="s">
        <v>9867</v>
      </c>
      <c r="C4692" s="2" t="s">
        <v>7443</v>
      </c>
      <c r="D4692" s="2" t="s">
        <v>51</v>
      </c>
      <c r="E4692" s="2" t="s">
        <v>16</v>
      </c>
      <c r="F4692" s="2">
        <v>90</v>
      </c>
      <c r="G4692" s="2" t="s">
        <v>9868</v>
      </c>
      <c r="H4692" s="2" t="s">
        <v>4678</v>
      </c>
      <c r="I4692" s="2" t="s">
        <v>886</v>
      </c>
      <c r="J4692" s="3">
        <v>44423</v>
      </c>
      <c r="K4692" s="2">
        <v>36</v>
      </c>
      <c r="L4692" s="2" t="s">
        <v>70</v>
      </c>
      <c r="M4692" s="3"/>
    </row>
    <row r="4693" spans="1:13" x14ac:dyDescent="0.3">
      <c r="A4693" s="2">
        <v>4692</v>
      </c>
      <c r="B4693" s="2" t="s">
        <v>9869</v>
      </c>
      <c r="C4693" s="2" t="s">
        <v>7509</v>
      </c>
      <c r="D4693" s="2" t="s">
        <v>15</v>
      </c>
      <c r="E4693" s="2" t="s">
        <v>16</v>
      </c>
      <c r="F4693" s="2">
        <v>90</v>
      </c>
      <c r="G4693" s="2" t="s">
        <v>9870</v>
      </c>
      <c r="H4693" s="2" t="s">
        <v>1757</v>
      </c>
      <c r="I4693" s="2" t="s">
        <v>294</v>
      </c>
      <c r="J4693" s="3">
        <v>43839</v>
      </c>
      <c r="K4693" s="2">
        <v>61</v>
      </c>
      <c r="M4693" s="3"/>
    </row>
    <row r="4694" spans="1:13" x14ac:dyDescent="0.3">
      <c r="A4694" s="2">
        <v>4693</v>
      </c>
      <c r="B4694" s="2" t="s">
        <v>5141</v>
      </c>
      <c r="C4694" s="2" t="s">
        <v>9871</v>
      </c>
      <c r="D4694" s="2" t="s">
        <v>28</v>
      </c>
      <c r="E4694" s="2" t="s">
        <v>29</v>
      </c>
      <c r="F4694" s="2">
        <v>30</v>
      </c>
      <c r="G4694" s="2" t="s">
        <v>9872</v>
      </c>
      <c r="H4694" s="2" t="s">
        <v>3695</v>
      </c>
      <c r="I4694" s="2" t="s">
        <v>173</v>
      </c>
      <c r="J4694" s="3">
        <v>44349</v>
      </c>
      <c r="K4694" s="2">
        <v>25</v>
      </c>
      <c r="L4694" s="2" t="s">
        <v>20</v>
      </c>
      <c r="M4694" s="3"/>
    </row>
    <row r="4695" spans="1:13" x14ac:dyDescent="0.3">
      <c r="A4695" s="2">
        <v>4694</v>
      </c>
      <c r="B4695" s="2" t="s">
        <v>9873</v>
      </c>
      <c r="C4695" s="2" t="s">
        <v>2113</v>
      </c>
      <c r="D4695" s="2" t="s">
        <v>51</v>
      </c>
      <c r="E4695" s="2" t="s">
        <v>16</v>
      </c>
      <c r="F4695" s="2">
        <v>30</v>
      </c>
      <c r="G4695" s="2" t="s">
        <v>9872</v>
      </c>
      <c r="H4695" s="2" t="s">
        <v>3161</v>
      </c>
      <c r="I4695" s="2" t="s">
        <v>32</v>
      </c>
      <c r="J4695" s="3">
        <v>44073</v>
      </c>
      <c r="K4695" s="2">
        <v>7</v>
      </c>
      <c r="L4695" s="2" t="s">
        <v>20</v>
      </c>
      <c r="M4695" s="3"/>
    </row>
    <row r="4696" spans="1:13" x14ac:dyDescent="0.3">
      <c r="A4696" s="2">
        <v>4695</v>
      </c>
      <c r="B4696" s="2" t="s">
        <v>7034</v>
      </c>
      <c r="C4696" s="2" t="s">
        <v>4234</v>
      </c>
      <c r="D4696" s="2" t="s">
        <v>28</v>
      </c>
      <c r="E4696" s="2" t="s">
        <v>29</v>
      </c>
      <c r="F4696" s="2">
        <v>90</v>
      </c>
      <c r="G4696" s="2" t="s">
        <v>9874</v>
      </c>
      <c r="H4696" s="2" t="s">
        <v>7151</v>
      </c>
      <c r="I4696" s="2" t="s">
        <v>38</v>
      </c>
      <c r="J4696" s="3">
        <v>44679</v>
      </c>
      <c r="K4696" s="2">
        <v>4</v>
      </c>
      <c r="L4696" s="2" t="s">
        <v>64</v>
      </c>
      <c r="M4696" s="3"/>
    </row>
    <row r="4697" spans="1:13" x14ac:dyDescent="0.3">
      <c r="A4697" s="2">
        <v>4696</v>
      </c>
      <c r="B4697" s="2" t="s">
        <v>2828</v>
      </c>
      <c r="C4697" s="2" t="s">
        <v>5180</v>
      </c>
      <c r="D4697" s="2" t="s">
        <v>28</v>
      </c>
      <c r="E4697" s="2" t="s">
        <v>29</v>
      </c>
      <c r="F4697" s="2">
        <v>90</v>
      </c>
      <c r="G4697" s="2" t="s">
        <v>9875</v>
      </c>
      <c r="H4697" s="2" t="s">
        <v>6607</v>
      </c>
      <c r="I4697" s="2" t="s">
        <v>32</v>
      </c>
      <c r="J4697" s="3">
        <v>44834</v>
      </c>
      <c r="K4697" s="2">
        <v>3</v>
      </c>
      <c r="L4697" s="2" t="s">
        <v>33</v>
      </c>
      <c r="M4697" s="3"/>
    </row>
    <row r="4698" spans="1:13" x14ac:dyDescent="0.3">
      <c r="A4698" s="2">
        <v>4697</v>
      </c>
      <c r="B4698" s="2" t="s">
        <v>6476</v>
      </c>
      <c r="C4698" s="2" t="s">
        <v>1208</v>
      </c>
      <c r="D4698" s="2" t="s">
        <v>28</v>
      </c>
      <c r="E4698" s="2" t="s">
        <v>29</v>
      </c>
      <c r="F4698" s="2">
        <v>60</v>
      </c>
      <c r="G4698" s="2" t="s">
        <v>9876</v>
      </c>
      <c r="H4698" s="2" t="s">
        <v>6951</v>
      </c>
      <c r="I4698" s="2" t="s">
        <v>38</v>
      </c>
      <c r="J4698" s="3">
        <v>43995</v>
      </c>
      <c r="K4698" s="2">
        <v>9</v>
      </c>
      <c r="L4698" s="2" t="s">
        <v>39</v>
      </c>
      <c r="M4698" s="3"/>
    </row>
    <row r="4699" spans="1:13" x14ac:dyDescent="0.3">
      <c r="A4699" s="2">
        <v>4698</v>
      </c>
      <c r="B4699" s="2" t="s">
        <v>8273</v>
      </c>
      <c r="C4699" s="2" t="s">
        <v>7627</v>
      </c>
      <c r="D4699" s="2" t="s">
        <v>51</v>
      </c>
      <c r="E4699" s="2" t="s">
        <v>16</v>
      </c>
      <c r="F4699" s="2">
        <v>60</v>
      </c>
      <c r="G4699" s="2" t="s">
        <v>9876</v>
      </c>
      <c r="H4699" s="2" t="s">
        <v>9877</v>
      </c>
      <c r="I4699" s="2" t="s">
        <v>32</v>
      </c>
      <c r="J4699" s="3">
        <v>44412</v>
      </c>
      <c r="K4699" s="2">
        <v>31</v>
      </c>
      <c r="L4699" s="2" t="s">
        <v>64</v>
      </c>
      <c r="M4699" s="3"/>
    </row>
    <row r="4700" spans="1:13" x14ac:dyDescent="0.3">
      <c r="A4700" s="2">
        <v>4699</v>
      </c>
      <c r="B4700" s="2" t="s">
        <v>9878</v>
      </c>
      <c r="C4700" s="2" t="s">
        <v>5939</v>
      </c>
      <c r="D4700" s="2" t="s">
        <v>51</v>
      </c>
      <c r="E4700" s="2" t="s">
        <v>16</v>
      </c>
      <c r="F4700" s="2">
        <v>30</v>
      </c>
      <c r="G4700" s="2" t="s">
        <v>9879</v>
      </c>
      <c r="H4700" s="2" t="s">
        <v>875</v>
      </c>
      <c r="I4700" s="2" t="s">
        <v>187</v>
      </c>
      <c r="J4700" s="3">
        <v>44580</v>
      </c>
      <c r="K4700" s="2">
        <v>99</v>
      </c>
      <c r="L4700" s="2" t="s">
        <v>54</v>
      </c>
      <c r="M4700" s="3"/>
    </row>
    <row r="4701" spans="1:13" x14ac:dyDescent="0.3">
      <c r="A4701" s="2">
        <v>4700</v>
      </c>
      <c r="B4701" s="2" t="s">
        <v>9880</v>
      </c>
      <c r="C4701" s="2" t="s">
        <v>9881</v>
      </c>
      <c r="D4701" s="2" t="s">
        <v>41</v>
      </c>
      <c r="E4701" s="2" t="s">
        <v>16</v>
      </c>
      <c r="F4701" s="2">
        <v>60</v>
      </c>
      <c r="G4701" s="2" t="s">
        <v>9882</v>
      </c>
      <c r="H4701" s="2" t="s">
        <v>1764</v>
      </c>
      <c r="I4701" s="2" t="s">
        <v>124</v>
      </c>
      <c r="J4701" s="3">
        <v>44919</v>
      </c>
      <c r="K4701" s="2">
        <v>39</v>
      </c>
      <c r="L4701" s="2" t="s">
        <v>54</v>
      </c>
      <c r="M4701" s="3"/>
    </row>
    <row r="4702" spans="1:13" x14ac:dyDescent="0.3">
      <c r="A4702" s="2">
        <v>4701</v>
      </c>
      <c r="B4702" s="2" t="s">
        <v>8796</v>
      </c>
      <c r="C4702" s="2" t="s">
        <v>7588</v>
      </c>
      <c r="D4702" s="2" t="s">
        <v>15</v>
      </c>
      <c r="E4702" s="2" t="s">
        <v>16</v>
      </c>
      <c r="F4702" s="2">
        <v>90</v>
      </c>
      <c r="G4702" s="2" t="s">
        <v>9883</v>
      </c>
      <c r="H4702" s="2" t="s">
        <v>8758</v>
      </c>
      <c r="I4702" s="2" t="s">
        <v>178</v>
      </c>
      <c r="J4702" s="3">
        <v>44285</v>
      </c>
      <c r="K4702" s="2">
        <v>39</v>
      </c>
      <c r="L4702" s="2" t="s">
        <v>70</v>
      </c>
      <c r="M4702" s="3"/>
    </row>
    <row r="4703" spans="1:13" x14ac:dyDescent="0.3">
      <c r="A4703" s="2">
        <v>4702</v>
      </c>
      <c r="B4703" s="2" t="s">
        <v>9884</v>
      </c>
      <c r="C4703" s="2" t="s">
        <v>1273</v>
      </c>
      <c r="D4703" s="2" t="s">
        <v>41</v>
      </c>
      <c r="E4703" s="2" t="s">
        <v>16</v>
      </c>
      <c r="F4703" s="2">
        <v>60</v>
      </c>
      <c r="G4703" s="2" t="s">
        <v>9885</v>
      </c>
      <c r="H4703" s="2" t="s">
        <v>2681</v>
      </c>
      <c r="I4703" s="2" t="s">
        <v>686</v>
      </c>
      <c r="J4703" s="3">
        <v>44890</v>
      </c>
      <c r="K4703" s="2">
        <v>19</v>
      </c>
      <c r="L4703" s="2" t="s">
        <v>70</v>
      </c>
      <c r="M4703" s="3"/>
    </row>
    <row r="4704" spans="1:13" x14ac:dyDescent="0.3">
      <c r="A4704" s="2">
        <v>4703</v>
      </c>
      <c r="B4704" s="2" t="s">
        <v>6328</v>
      </c>
      <c r="C4704" s="2" t="s">
        <v>7527</v>
      </c>
      <c r="D4704" s="2" t="s">
        <v>28</v>
      </c>
      <c r="E4704" s="2" t="s">
        <v>29</v>
      </c>
      <c r="F4704" s="2">
        <v>30</v>
      </c>
      <c r="G4704" s="2" t="s">
        <v>9886</v>
      </c>
      <c r="H4704" s="2" t="s">
        <v>2633</v>
      </c>
      <c r="I4704" s="2" t="s">
        <v>32</v>
      </c>
      <c r="J4704" s="3">
        <v>43914</v>
      </c>
      <c r="K4704" s="2">
        <v>17</v>
      </c>
      <c r="L4704" s="2" t="s">
        <v>54</v>
      </c>
      <c r="M4704" s="3"/>
    </row>
    <row r="4705" spans="1:13" x14ac:dyDescent="0.3">
      <c r="A4705" s="2">
        <v>4704</v>
      </c>
      <c r="B4705" s="2" t="s">
        <v>3345</v>
      </c>
      <c r="C4705" s="2" t="s">
        <v>2920</v>
      </c>
      <c r="D4705" s="2" t="s">
        <v>28</v>
      </c>
      <c r="E4705" s="2" t="s">
        <v>29</v>
      </c>
      <c r="F4705" s="2">
        <v>60</v>
      </c>
      <c r="G4705" s="2" t="s">
        <v>9887</v>
      </c>
      <c r="H4705" s="2" t="s">
        <v>3774</v>
      </c>
      <c r="I4705" s="2" t="s">
        <v>187</v>
      </c>
      <c r="J4705" s="3">
        <v>43898</v>
      </c>
      <c r="K4705" s="2">
        <v>7</v>
      </c>
      <c r="L4705" s="2" t="s">
        <v>33</v>
      </c>
      <c r="M4705" s="3"/>
    </row>
    <row r="4706" spans="1:13" x14ac:dyDescent="0.3">
      <c r="A4706" s="2">
        <v>4705</v>
      </c>
      <c r="C4706" s="2" t="s">
        <v>9888</v>
      </c>
      <c r="D4706" s="2" t="s">
        <v>51</v>
      </c>
      <c r="E4706" s="2" t="s">
        <v>16</v>
      </c>
      <c r="F4706" s="2">
        <v>90</v>
      </c>
      <c r="G4706" s="2" t="s">
        <v>9889</v>
      </c>
      <c r="H4706" s="2" t="s">
        <v>7001</v>
      </c>
      <c r="I4706" s="2" t="s">
        <v>32</v>
      </c>
      <c r="J4706" s="3">
        <v>44490</v>
      </c>
      <c r="K4706" s="2">
        <v>61</v>
      </c>
      <c r="L4706" s="2" t="s">
        <v>101</v>
      </c>
      <c r="M4706" s="3"/>
    </row>
    <row r="4707" spans="1:13" x14ac:dyDescent="0.3">
      <c r="A4707" s="2">
        <v>4706</v>
      </c>
      <c r="B4707" s="2" t="s">
        <v>1293</v>
      </c>
      <c r="C4707" s="2" t="s">
        <v>4258</v>
      </c>
      <c r="D4707" s="2" t="s">
        <v>51</v>
      </c>
      <c r="E4707" s="2" t="s">
        <v>16</v>
      </c>
      <c r="F4707" s="2">
        <v>30</v>
      </c>
      <c r="G4707" s="2" t="s">
        <v>9890</v>
      </c>
      <c r="H4707" s="2" t="s">
        <v>9891</v>
      </c>
      <c r="I4707" s="2" t="s">
        <v>32</v>
      </c>
      <c r="J4707" s="3">
        <v>44227</v>
      </c>
      <c r="K4707" s="2">
        <v>4</v>
      </c>
      <c r="L4707" s="2" t="s">
        <v>70</v>
      </c>
      <c r="M4707" s="3"/>
    </row>
    <row r="4708" spans="1:13" x14ac:dyDescent="0.3">
      <c r="A4708" s="2">
        <v>4707</v>
      </c>
      <c r="B4708" s="2" t="s">
        <v>1379</v>
      </c>
      <c r="C4708" s="2" t="s">
        <v>5862</v>
      </c>
      <c r="D4708" s="2" t="s">
        <v>28</v>
      </c>
      <c r="E4708" s="2" t="s">
        <v>29</v>
      </c>
      <c r="F4708" s="2">
        <v>90</v>
      </c>
      <c r="G4708" s="2" t="s">
        <v>9892</v>
      </c>
      <c r="H4708" s="2" t="s">
        <v>2218</v>
      </c>
      <c r="I4708" s="2" t="s">
        <v>173</v>
      </c>
      <c r="J4708" s="3">
        <v>43832</v>
      </c>
      <c r="K4708" s="2">
        <v>41</v>
      </c>
      <c r="L4708" s="2" t="s">
        <v>70</v>
      </c>
      <c r="M4708" s="3"/>
    </row>
    <row r="4709" spans="1:13" x14ac:dyDescent="0.3">
      <c r="A4709" s="2">
        <v>4708</v>
      </c>
      <c r="B4709" s="2" t="s">
        <v>1207</v>
      </c>
      <c r="C4709" s="2" t="s">
        <v>5359</v>
      </c>
      <c r="D4709" s="2" t="s">
        <v>28</v>
      </c>
      <c r="E4709" s="2" t="s">
        <v>29</v>
      </c>
      <c r="F4709" s="2">
        <v>30</v>
      </c>
      <c r="G4709" s="2" t="s">
        <v>9893</v>
      </c>
      <c r="H4709" s="2" t="s">
        <v>7829</v>
      </c>
      <c r="I4709" s="2" t="s">
        <v>934</v>
      </c>
      <c r="J4709" s="3">
        <v>43844</v>
      </c>
      <c r="K4709" s="2">
        <v>26</v>
      </c>
      <c r="L4709" s="2" t="s">
        <v>20</v>
      </c>
      <c r="M4709" s="3"/>
    </row>
    <row r="4710" spans="1:13" x14ac:dyDescent="0.3">
      <c r="A4710" s="2">
        <v>4709</v>
      </c>
      <c r="B4710" s="2" t="s">
        <v>4647</v>
      </c>
      <c r="C4710" s="2" t="s">
        <v>5483</v>
      </c>
      <c r="D4710" s="2" t="s">
        <v>28</v>
      </c>
      <c r="E4710" s="2" t="s">
        <v>29</v>
      </c>
      <c r="F4710" s="2">
        <v>90</v>
      </c>
      <c r="G4710" s="2" t="s">
        <v>9894</v>
      </c>
      <c r="H4710" s="2" t="s">
        <v>4049</v>
      </c>
      <c r="I4710" s="2" t="s">
        <v>32</v>
      </c>
      <c r="J4710" s="3">
        <v>44305</v>
      </c>
      <c r="K4710" s="2">
        <v>92</v>
      </c>
      <c r="L4710" s="2" t="s">
        <v>20</v>
      </c>
      <c r="M4710" s="3"/>
    </row>
    <row r="4711" spans="1:13" x14ac:dyDescent="0.3">
      <c r="A4711" s="2">
        <v>4710</v>
      </c>
      <c r="B4711" s="2" t="s">
        <v>8407</v>
      </c>
      <c r="C4711" s="2" t="s">
        <v>9895</v>
      </c>
      <c r="D4711" s="2" t="s">
        <v>28</v>
      </c>
      <c r="E4711" s="2" t="s">
        <v>29</v>
      </c>
      <c r="F4711" s="2">
        <v>60</v>
      </c>
      <c r="G4711" s="2" t="s">
        <v>9896</v>
      </c>
      <c r="H4711" s="2" t="s">
        <v>1764</v>
      </c>
      <c r="I4711" s="2" t="s">
        <v>124</v>
      </c>
      <c r="J4711" s="3">
        <v>44626</v>
      </c>
      <c r="K4711" s="2">
        <v>76</v>
      </c>
      <c r="L4711" s="2" t="s">
        <v>70</v>
      </c>
      <c r="M4711" s="3"/>
    </row>
    <row r="4712" spans="1:13" x14ac:dyDescent="0.3">
      <c r="A4712" s="2">
        <v>4711</v>
      </c>
      <c r="B4712" s="2" t="s">
        <v>2891</v>
      </c>
      <c r="C4712" s="2" t="s">
        <v>8046</v>
      </c>
      <c r="D4712" s="2" t="s">
        <v>28</v>
      </c>
      <c r="E4712" s="2" t="s">
        <v>29</v>
      </c>
      <c r="F4712" s="2">
        <v>90</v>
      </c>
      <c r="G4712" s="2" t="s">
        <v>9897</v>
      </c>
      <c r="H4712" s="2" t="s">
        <v>2183</v>
      </c>
      <c r="I4712" s="2" t="s">
        <v>124</v>
      </c>
      <c r="J4712" s="3">
        <v>43978</v>
      </c>
      <c r="K4712" s="2">
        <v>65</v>
      </c>
      <c r="L4712" s="2" t="s">
        <v>39</v>
      </c>
      <c r="M4712" s="3"/>
    </row>
    <row r="4713" spans="1:13" x14ac:dyDescent="0.3">
      <c r="A4713" s="2">
        <v>4712</v>
      </c>
      <c r="B4713" s="2" t="s">
        <v>7143</v>
      </c>
      <c r="C4713" s="2" t="s">
        <v>277</v>
      </c>
      <c r="D4713" s="2" t="s">
        <v>15</v>
      </c>
      <c r="E4713" s="2" t="s">
        <v>16</v>
      </c>
      <c r="F4713" s="2">
        <v>30</v>
      </c>
      <c r="G4713" s="2" t="s">
        <v>9898</v>
      </c>
      <c r="H4713" s="2" t="s">
        <v>4180</v>
      </c>
      <c r="I4713" s="2" t="s">
        <v>187</v>
      </c>
      <c r="J4713" s="3">
        <v>44177</v>
      </c>
      <c r="K4713" s="2">
        <v>22</v>
      </c>
      <c r="L4713" s="2" t="s">
        <v>33</v>
      </c>
      <c r="M4713" s="3"/>
    </row>
    <row r="4714" spans="1:13" x14ac:dyDescent="0.3">
      <c r="A4714" s="2">
        <v>4713</v>
      </c>
      <c r="B4714" s="2" t="s">
        <v>1467</v>
      </c>
      <c r="C4714" s="2" t="s">
        <v>1317</v>
      </c>
      <c r="D4714" s="2" t="s">
        <v>28</v>
      </c>
      <c r="E4714" s="2" t="s">
        <v>29</v>
      </c>
      <c r="F4714" s="2">
        <v>60</v>
      </c>
      <c r="G4714" s="2" t="s">
        <v>9899</v>
      </c>
      <c r="H4714" s="2" t="s">
        <v>2975</v>
      </c>
      <c r="I4714" s="2" t="s">
        <v>146</v>
      </c>
      <c r="J4714" s="3">
        <v>44164</v>
      </c>
      <c r="K4714" s="2">
        <v>53</v>
      </c>
      <c r="L4714" s="2" t="s">
        <v>80</v>
      </c>
      <c r="M4714" s="3"/>
    </row>
    <row r="4715" spans="1:13" x14ac:dyDescent="0.3">
      <c r="A4715" s="2">
        <v>4714</v>
      </c>
      <c r="B4715" s="2" t="s">
        <v>2740</v>
      </c>
      <c r="C4715" s="2" t="s">
        <v>34</v>
      </c>
      <c r="D4715" s="2" t="s">
        <v>28</v>
      </c>
      <c r="E4715" s="2" t="s">
        <v>29</v>
      </c>
      <c r="F4715" s="2">
        <v>30</v>
      </c>
      <c r="G4715" s="2" t="s">
        <v>9900</v>
      </c>
      <c r="H4715" s="2" t="s">
        <v>7584</v>
      </c>
      <c r="I4715" s="2" t="s">
        <v>32</v>
      </c>
      <c r="J4715" s="3">
        <v>44505</v>
      </c>
      <c r="K4715" s="2">
        <v>16</v>
      </c>
      <c r="L4715" s="2" t="s">
        <v>159</v>
      </c>
      <c r="M4715" s="3"/>
    </row>
    <row r="4716" spans="1:13" x14ac:dyDescent="0.3">
      <c r="A4716" s="2">
        <v>4715</v>
      </c>
      <c r="B4716" s="2" t="s">
        <v>6549</v>
      </c>
      <c r="C4716" s="2" t="s">
        <v>3664</v>
      </c>
      <c r="D4716" s="2" t="s">
        <v>15</v>
      </c>
      <c r="E4716" s="2" t="s">
        <v>16</v>
      </c>
      <c r="F4716" s="2">
        <v>30</v>
      </c>
      <c r="G4716" s="2" t="s">
        <v>9901</v>
      </c>
      <c r="H4716" s="2" t="s">
        <v>455</v>
      </c>
      <c r="I4716" s="2" t="s">
        <v>187</v>
      </c>
      <c r="J4716" s="3">
        <v>44887</v>
      </c>
      <c r="K4716" s="2">
        <v>4</v>
      </c>
      <c r="L4716" s="2" t="s">
        <v>20</v>
      </c>
      <c r="M4716" s="3"/>
    </row>
    <row r="4717" spans="1:13" x14ac:dyDescent="0.3">
      <c r="A4717" s="2">
        <v>4716</v>
      </c>
      <c r="B4717" s="2" t="s">
        <v>9902</v>
      </c>
      <c r="C4717" s="2" t="s">
        <v>6997</v>
      </c>
      <c r="D4717" s="2" t="s">
        <v>51</v>
      </c>
      <c r="E4717" s="2" t="s">
        <v>16</v>
      </c>
      <c r="F4717" s="2">
        <v>30</v>
      </c>
      <c r="G4717" s="2" t="s">
        <v>9903</v>
      </c>
      <c r="H4717" s="2" t="s">
        <v>9904</v>
      </c>
      <c r="I4717" s="2" t="s">
        <v>25</v>
      </c>
      <c r="J4717" s="3">
        <v>43950</v>
      </c>
      <c r="K4717" s="2">
        <v>43</v>
      </c>
      <c r="L4717" s="2" t="s">
        <v>101</v>
      </c>
      <c r="M4717" s="3"/>
    </row>
    <row r="4718" spans="1:13" x14ac:dyDescent="0.3">
      <c r="A4718" s="2">
        <v>4717</v>
      </c>
      <c r="B4718" s="2" t="s">
        <v>9398</v>
      </c>
      <c r="C4718" s="2" t="s">
        <v>3111</v>
      </c>
      <c r="D4718" s="2" t="s">
        <v>28</v>
      </c>
      <c r="E4718" s="2" t="s">
        <v>29</v>
      </c>
      <c r="F4718" s="2">
        <v>30</v>
      </c>
      <c r="G4718" s="2" t="s">
        <v>9905</v>
      </c>
      <c r="H4718" s="2" t="s">
        <v>224</v>
      </c>
      <c r="I4718" s="2" t="s">
        <v>124</v>
      </c>
      <c r="J4718" s="3">
        <v>44370</v>
      </c>
      <c r="K4718" s="2">
        <v>86</v>
      </c>
      <c r="L4718" s="2" t="s">
        <v>45</v>
      </c>
      <c r="M4718" s="3"/>
    </row>
    <row r="4719" spans="1:13" x14ac:dyDescent="0.3">
      <c r="A4719" s="2">
        <v>4718</v>
      </c>
      <c r="B4719" s="2" t="s">
        <v>986</v>
      </c>
      <c r="C4719" s="2" t="s">
        <v>7869</v>
      </c>
      <c r="D4719" s="2" t="s">
        <v>28</v>
      </c>
      <c r="E4719" s="2" t="s">
        <v>29</v>
      </c>
      <c r="F4719" s="2">
        <v>60</v>
      </c>
      <c r="G4719" s="2" t="s">
        <v>9906</v>
      </c>
      <c r="H4719" s="2" t="s">
        <v>4266</v>
      </c>
      <c r="I4719" s="2" t="s">
        <v>25</v>
      </c>
      <c r="J4719" s="3">
        <v>44810</v>
      </c>
      <c r="K4719" s="2">
        <v>70</v>
      </c>
      <c r="L4719" s="2" t="s">
        <v>80</v>
      </c>
      <c r="M4719" s="3"/>
    </row>
    <row r="4720" spans="1:13" x14ac:dyDescent="0.3">
      <c r="A4720" s="2">
        <v>4719</v>
      </c>
      <c r="B4720" s="2" t="s">
        <v>7211</v>
      </c>
      <c r="C4720" s="2" t="s">
        <v>641</v>
      </c>
      <c r="D4720" s="2" t="s">
        <v>28</v>
      </c>
      <c r="E4720" s="2" t="s">
        <v>29</v>
      </c>
      <c r="F4720" s="2">
        <v>90</v>
      </c>
      <c r="G4720" s="2" t="s">
        <v>9907</v>
      </c>
      <c r="H4720" s="2" t="s">
        <v>802</v>
      </c>
      <c r="I4720" s="2" t="s">
        <v>294</v>
      </c>
      <c r="J4720" s="3">
        <v>44883</v>
      </c>
      <c r="K4720" s="2">
        <v>91</v>
      </c>
      <c r="L4720" s="2" t="s">
        <v>64</v>
      </c>
      <c r="M4720" s="3"/>
    </row>
    <row r="4721" spans="1:13" x14ac:dyDescent="0.3">
      <c r="A4721" s="2">
        <v>4720</v>
      </c>
      <c r="B4721" s="2" t="s">
        <v>7187</v>
      </c>
      <c r="C4721" s="2" t="s">
        <v>121</v>
      </c>
      <c r="D4721" s="2" t="s">
        <v>117</v>
      </c>
      <c r="E4721" s="2" t="s">
        <v>29</v>
      </c>
      <c r="F4721" s="2">
        <v>60</v>
      </c>
      <c r="G4721" s="2" t="s">
        <v>9908</v>
      </c>
      <c r="H4721" s="2" t="s">
        <v>8547</v>
      </c>
      <c r="I4721" s="2" t="s">
        <v>32</v>
      </c>
      <c r="J4721" s="3">
        <v>44560</v>
      </c>
      <c r="K4721" s="2">
        <v>49</v>
      </c>
      <c r="L4721" s="2" t="s">
        <v>101</v>
      </c>
      <c r="M4721" s="3"/>
    </row>
    <row r="4722" spans="1:13" x14ac:dyDescent="0.3">
      <c r="A4722" s="2">
        <v>4721</v>
      </c>
      <c r="B4722" s="2" t="s">
        <v>9516</v>
      </c>
      <c r="C4722" s="2" t="s">
        <v>242</v>
      </c>
      <c r="D4722" s="2" t="s">
        <v>92</v>
      </c>
      <c r="E4722" s="2" t="s">
        <v>29</v>
      </c>
      <c r="F4722" s="2">
        <v>60</v>
      </c>
      <c r="G4722" s="2" t="s">
        <v>9909</v>
      </c>
      <c r="H4722" s="2" t="s">
        <v>1366</v>
      </c>
      <c r="I4722" s="2" t="s">
        <v>1367</v>
      </c>
      <c r="J4722" s="3">
        <v>44805</v>
      </c>
      <c r="K4722" s="2">
        <v>2</v>
      </c>
      <c r="L4722" s="2" t="s">
        <v>101</v>
      </c>
      <c r="M4722" s="3"/>
    </row>
    <row r="4723" spans="1:13" x14ac:dyDescent="0.3">
      <c r="A4723" s="2">
        <v>4722</v>
      </c>
      <c r="B4723" s="2" t="s">
        <v>9910</v>
      </c>
      <c r="C4723" s="2" t="s">
        <v>6261</v>
      </c>
      <c r="D4723" s="2" t="s">
        <v>28</v>
      </c>
      <c r="E4723" s="2" t="s">
        <v>29</v>
      </c>
      <c r="F4723" s="2">
        <v>90</v>
      </c>
      <c r="G4723" s="2" t="s">
        <v>9909</v>
      </c>
      <c r="H4723" s="2" t="s">
        <v>1394</v>
      </c>
      <c r="I4723" s="2" t="s">
        <v>1199</v>
      </c>
      <c r="J4723" s="3">
        <v>44806</v>
      </c>
      <c r="K4723" s="2">
        <v>14</v>
      </c>
      <c r="L4723" s="2" t="s">
        <v>101</v>
      </c>
      <c r="M4723" s="3"/>
    </row>
    <row r="4724" spans="1:13" x14ac:dyDescent="0.3">
      <c r="A4724" s="2">
        <v>4723</v>
      </c>
      <c r="B4724" s="2" t="s">
        <v>371</v>
      </c>
      <c r="C4724" s="2" t="s">
        <v>6425</v>
      </c>
      <c r="D4724" s="2" t="s">
        <v>28</v>
      </c>
      <c r="E4724" s="2" t="s">
        <v>29</v>
      </c>
      <c r="F4724" s="2">
        <v>60</v>
      </c>
      <c r="G4724" s="2" t="s">
        <v>9911</v>
      </c>
      <c r="H4724" s="2" t="s">
        <v>2717</v>
      </c>
      <c r="I4724" s="2" t="s">
        <v>1889</v>
      </c>
      <c r="J4724" s="3">
        <v>44504</v>
      </c>
      <c r="K4724" s="2">
        <v>83</v>
      </c>
      <c r="L4724" s="2" t="s">
        <v>101</v>
      </c>
      <c r="M4724" s="3"/>
    </row>
    <row r="4725" spans="1:13" x14ac:dyDescent="0.3">
      <c r="A4725" s="2">
        <v>4724</v>
      </c>
      <c r="B4725" s="2" t="s">
        <v>9912</v>
      </c>
      <c r="C4725" s="2" t="s">
        <v>6261</v>
      </c>
      <c r="D4725" s="2" t="s">
        <v>15</v>
      </c>
      <c r="E4725" s="2" t="s">
        <v>16</v>
      </c>
      <c r="F4725" s="2">
        <v>30</v>
      </c>
      <c r="G4725" s="2" t="s">
        <v>9913</v>
      </c>
      <c r="H4725" s="2" t="s">
        <v>2236</v>
      </c>
      <c r="I4725" s="2" t="s">
        <v>2237</v>
      </c>
      <c r="J4725" s="3">
        <v>44510</v>
      </c>
      <c r="K4725" s="2">
        <v>92</v>
      </c>
      <c r="L4725" s="2" t="s">
        <v>54</v>
      </c>
      <c r="M4725" s="3"/>
    </row>
    <row r="4726" spans="1:13" x14ac:dyDescent="0.3">
      <c r="A4726" s="2">
        <v>4725</v>
      </c>
      <c r="B4726" s="2" t="s">
        <v>9914</v>
      </c>
      <c r="C4726" s="2" t="s">
        <v>5862</v>
      </c>
      <c r="D4726" s="2" t="s">
        <v>41</v>
      </c>
      <c r="E4726" s="2" t="s">
        <v>16</v>
      </c>
      <c r="F4726" s="2">
        <v>90</v>
      </c>
      <c r="G4726" s="2" t="s">
        <v>9915</v>
      </c>
      <c r="H4726" s="2" t="s">
        <v>374</v>
      </c>
      <c r="I4726" s="2" t="s">
        <v>25</v>
      </c>
      <c r="J4726" s="3">
        <v>44654</v>
      </c>
      <c r="K4726" s="2">
        <v>9</v>
      </c>
      <c r="L4726" s="2" t="s">
        <v>45</v>
      </c>
      <c r="M4726" s="3"/>
    </row>
    <row r="4727" spans="1:13" x14ac:dyDescent="0.3">
      <c r="A4727" s="2">
        <v>4726</v>
      </c>
      <c r="B4727" s="2" t="s">
        <v>9916</v>
      </c>
      <c r="C4727" s="2" t="s">
        <v>9917</v>
      </c>
      <c r="D4727" s="2" t="s">
        <v>41</v>
      </c>
      <c r="E4727" s="2" t="s">
        <v>16</v>
      </c>
      <c r="F4727" s="2">
        <v>60</v>
      </c>
      <c r="G4727" s="2" t="s">
        <v>9918</v>
      </c>
      <c r="H4727" s="2" t="s">
        <v>6778</v>
      </c>
      <c r="I4727" s="2" t="s">
        <v>38</v>
      </c>
      <c r="J4727" s="3">
        <v>44299</v>
      </c>
      <c r="K4727" s="2">
        <v>87</v>
      </c>
      <c r="L4727" s="2" t="s">
        <v>101</v>
      </c>
      <c r="M4727" s="3"/>
    </row>
    <row r="4728" spans="1:13" x14ac:dyDescent="0.3">
      <c r="A4728" s="2">
        <v>4727</v>
      </c>
      <c r="B4728" s="2" t="s">
        <v>9919</v>
      </c>
      <c r="C4728" s="2" t="s">
        <v>798</v>
      </c>
      <c r="D4728" s="2" t="s">
        <v>51</v>
      </c>
      <c r="E4728" s="2" t="s">
        <v>16</v>
      </c>
      <c r="F4728" s="2">
        <v>90</v>
      </c>
      <c r="G4728" s="2" t="s">
        <v>9920</v>
      </c>
      <c r="H4728" s="2" t="s">
        <v>182</v>
      </c>
      <c r="I4728" s="2" t="s">
        <v>32</v>
      </c>
      <c r="J4728" s="3">
        <v>44235</v>
      </c>
      <c r="K4728" s="2">
        <v>83</v>
      </c>
      <c r="L4728" s="2" t="s">
        <v>39</v>
      </c>
      <c r="M4728" s="3"/>
    </row>
    <row r="4729" spans="1:13" x14ac:dyDescent="0.3">
      <c r="A4729" s="2">
        <v>4728</v>
      </c>
      <c r="B4729" s="2" t="s">
        <v>6190</v>
      </c>
      <c r="C4729" s="2" t="s">
        <v>3014</v>
      </c>
      <c r="D4729" s="2" t="s">
        <v>92</v>
      </c>
      <c r="E4729" s="2" t="s">
        <v>16</v>
      </c>
      <c r="F4729" s="2">
        <v>60</v>
      </c>
      <c r="G4729" s="2" t="s">
        <v>9920</v>
      </c>
      <c r="H4729" s="2" t="s">
        <v>141</v>
      </c>
      <c r="I4729" s="2" t="s">
        <v>32</v>
      </c>
      <c r="J4729" s="3">
        <v>44263</v>
      </c>
      <c r="K4729" s="2">
        <v>25</v>
      </c>
      <c r="L4729" s="2" t="s">
        <v>101</v>
      </c>
      <c r="M4729" s="3"/>
    </row>
    <row r="4730" spans="1:13" x14ac:dyDescent="0.3">
      <c r="A4730" s="2">
        <v>4729</v>
      </c>
      <c r="B4730" s="2" t="s">
        <v>4094</v>
      </c>
      <c r="C4730" s="2" t="s">
        <v>9134</v>
      </c>
      <c r="D4730" s="2" t="s">
        <v>28</v>
      </c>
      <c r="E4730" s="2" t="s">
        <v>29</v>
      </c>
      <c r="F4730" s="2">
        <v>30</v>
      </c>
      <c r="G4730" s="2" t="s">
        <v>9921</v>
      </c>
      <c r="H4730" s="2" t="s">
        <v>2130</v>
      </c>
      <c r="I4730" s="2" t="s">
        <v>32</v>
      </c>
      <c r="J4730" s="3">
        <v>43835</v>
      </c>
      <c r="K4730" s="2">
        <v>29</v>
      </c>
      <c r="L4730" s="2" t="s">
        <v>33</v>
      </c>
      <c r="M4730" s="3"/>
    </row>
    <row r="4731" spans="1:13" x14ac:dyDescent="0.3">
      <c r="A4731" s="2">
        <v>4730</v>
      </c>
      <c r="B4731" s="2" t="s">
        <v>4029</v>
      </c>
      <c r="C4731" s="2" t="s">
        <v>4018</v>
      </c>
      <c r="D4731" s="2" t="s">
        <v>28</v>
      </c>
      <c r="E4731" s="2" t="s">
        <v>29</v>
      </c>
      <c r="F4731" s="2">
        <v>30</v>
      </c>
      <c r="G4731" s="2" t="s">
        <v>9922</v>
      </c>
      <c r="H4731" s="2" t="s">
        <v>3942</v>
      </c>
      <c r="I4731" s="2" t="s">
        <v>294</v>
      </c>
      <c r="J4731" s="3">
        <v>44780</v>
      </c>
      <c r="K4731" s="2">
        <v>17</v>
      </c>
      <c r="L4731" s="2" t="s">
        <v>33</v>
      </c>
      <c r="M4731" s="3"/>
    </row>
    <row r="4732" spans="1:13" x14ac:dyDescent="0.3">
      <c r="A4732" s="2">
        <v>4731</v>
      </c>
      <c r="B4732" s="2" t="s">
        <v>9923</v>
      </c>
      <c r="C4732" s="2" t="s">
        <v>7248</v>
      </c>
      <c r="D4732" s="2" t="s">
        <v>15</v>
      </c>
      <c r="E4732" s="2" t="s">
        <v>16</v>
      </c>
      <c r="F4732" s="2">
        <v>30</v>
      </c>
      <c r="G4732" s="2" t="s">
        <v>9924</v>
      </c>
      <c r="H4732" s="2" t="s">
        <v>6080</v>
      </c>
      <c r="I4732" s="2" t="s">
        <v>32</v>
      </c>
      <c r="J4732" s="3">
        <v>44288</v>
      </c>
      <c r="K4732" s="2">
        <v>35</v>
      </c>
      <c r="L4732" s="2" t="s">
        <v>159</v>
      </c>
      <c r="M4732" s="3"/>
    </row>
    <row r="4733" spans="1:13" x14ac:dyDescent="0.3">
      <c r="A4733" s="2">
        <v>4732</v>
      </c>
      <c r="B4733" s="2" t="s">
        <v>9925</v>
      </c>
      <c r="C4733" s="2" t="s">
        <v>7674</v>
      </c>
      <c r="D4733" s="2" t="s">
        <v>51</v>
      </c>
      <c r="E4733" s="2" t="s">
        <v>16</v>
      </c>
      <c r="F4733" s="2">
        <v>90</v>
      </c>
      <c r="G4733" s="2" t="s">
        <v>9926</v>
      </c>
      <c r="H4733" s="2" t="s">
        <v>6782</v>
      </c>
      <c r="I4733" s="2" t="s">
        <v>32</v>
      </c>
      <c r="J4733" s="3">
        <v>43991</v>
      </c>
      <c r="K4733" s="2">
        <v>61</v>
      </c>
      <c r="L4733" s="2" t="s">
        <v>64</v>
      </c>
      <c r="M4733" s="3"/>
    </row>
    <row r="4734" spans="1:13" x14ac:dyDescent="0.3">
      <c r="A4734" s="2">
        <v>4733</v>
      </c>
      <c r="B4734" s="2" t="s">
        <v>9925</v>
      </c>
      <c r="C4734" s="2" t="s">
        <v>7674</v>
      </c>
      <c r="D4734" s="2" t="s">
        <v>51</v>
      </c>
      <c r="E4734" s="2" t="s">
        <v>16</v>
      </c>
      <c r="F4734" s="2">
        <v>90</v>
      </c>
      <c r="G4734" s="2" t="s">
        <v>9926</v>
      </c>
      <c r="H4734" s="2" t="s">
        <v>6782</v>
      </c>
      <c r="I4734" s="2" t="s">
        <v>32</v>
      </c>
      <c r="J4734" s="3">
        <v>43991</v>
      </c>
      <c r="K4734" s="2">
        <v>61</v>
      </c>
      <c r="L4734" s="2" t="s">
        <v>64</v>
      </c>
      <c r="M4734" s="3"/>
    </row>
    <row r="4735" spans="1:13" x14ac:dyDescent="0.3">
      <c r="A4735" s="2">
        <v>4734</v>
      </c>
      <c r="B4735" s="2" t="s">
        <v>85</v>
      </c>
      <c r="C4735" s="2" t="s">
        <v>9927</v>
      </c>
      <c r="D4735" s="2" t="s">
        <v>117</v>
      </c>
      <c r="E4735" s="2" t="s">
        <v>29</v>
      </c>
      <c r="F4735" s="2">
        <v>60</v>
      </c>
      <c r="G4735" s="2" t="s">
        <v>9928</v>
      </c>
      <c r="H4735" s="2" t="s">
        <v>746</v>
      </c>
      <c r="I4735" s="2" t="s">
        <v>32</v>
      </c>
      <c r="J4735" s="3">
        <v>43900</v>
      </c>
      <c r="K4735" s="2">
        <v>24</v>
      </c>
      <c r="L4735" s="2" t="s">
        <v>64</v>
      </c>
      <c r="M4735" s="3"/>
    </row>
    <row r="4736" spans="1:13" x14ac:dyDescent="0.3">
      <c r="A4736" s="2">
        <v>4735</v>
      </c>
      <c r="B4736" s="2" t="s">
        <v>1554</v>
      </c>
      <c r="C4736" s="2" t="s">
        <v>1117</v>
      </c>
      <c r="D4736" s="2" t="s">
        <v>28</v>
      </c>
      <c r="E4736" s="2" t="s">
        <v>29</v>
      </c>
      <c r="F4736" s="2">
        <v>30</v>
      </c>
      <c r="G4736" s="2" t="s">
        <v>9929</v>
      </c>
      <c r="H4736" s="2" t="s">
        <v>6675</v>
      </c>
      <c r="I4736" s="2" t="s">
        <v>32</v>
      </c>
      <c r="J4736" s="3">
        <v>44512</v>
      </c>
      <c r="K4736" s="2">
        <v>72</v>
      </c>
      <c r="L4736" s="2" t="s">
        <v>45</v>
      </c>
      <c r="M4736" s="3"/>
    </row>
    <row r="4737" spans="1:13" x14ac:dyDescent="0.3">
      <c r="A4737" s="2">
        <v>4736</v>
      </c>
      <c r="B4737" s="2" t="s">
        <v>4115</v>
      </c>
      <c r="C4737" s="2" t="s">
        <v>1635</v>
      </c>
      <c r="D4737" s="2" t="s">
        <v>28</v>
      </c>
      <c r="E4737" s="2" t="s">
        <v>29</v>
      </c>
      <c r="F4737" s="2">
        <v>30</v>
      </c>
      <c r="G4737" s="2" t="s">
        <v>9930</v>
      </c>
      <c r="H4737" s="2" t="s">
        <v>1119</v>
      </c>
      <c r="I4737" s="2" t="s">
        <v>240</v>
      </c>
      <c r="J4737" s="3">
        <v>44571</v>
      </c>
      <c r="K4737" s="2">
        <v>22</v>
      </c>
      <c r="L4737" s="2" t="s">
        <v>33</v>
      </c>
      <c r="M4737" s="3"/>
    </row>
    <row r="4738" spans="1:13" x14ac:dyDescent="0.3">
      <c r="A4738" s="2">
        <v>4737</v>
      </c>
      <c r="B4738" s="2" t="s">
        <v>504</v>
      </c>
      <c r="C4738" s="2" t="s">
        <v>6065</v>
      </c>
      <c r="D4738" s="2" t="s">
        <v>28</v>
      </c>
      <c r="E4738" s="2" t="s">
        <v>29</v>
      </c>
      <c r="F4738" s="2">
        <v>60</v>
      </c>
      <c r="G4738" s="2" t="s">
        <v>9931</v>
      </c>
      <c r="H4738" s="2" t="s">
        <v>5643</v>
      </c>
      <c r="I4738" s="2" t="s">
        <v>886</v>
      </c>
      <c r="J4738" s="3">
        <v>44003</v>
      </c>
      <c r="K4738" s="2">
        <v>41</v>
      </c>
      <c r="L4738" s="2" t="s">
        <v>39</v>
      </c>
      <c r="M4738" s="3"/>
    </row>
    <row r="4739" spans="1:13" x14ac:dyDescent="0.3">
      <c r="A4739" s="2">
        <v>4738</v>
      </c>
      <c r="B4739" s="2" t="s">
        <v>9932</v>
      </c>
      <c r="C4739" s="2" t="s">
        <v>4706</v>
      </c>
      <c r="D4739" s="2" t="s">
        <v>41</v>
      </c>
      <c r="E4739" s="2" t="s">
        <v>16</v>
      </c>
      <c r="F4739" s="2">
        <v>90</v>
      </c>
      <c r="G4739" s="2" t="s">
        <v>9933</v>
      </c>
      <c r="H4739" s="2" t="s">
        <v>2141</v>
      </c>
      <c r="I4739" s="2" t="s">
        <v>1078</v>
      </c>
      <c r="J4739" s="3">
        <v>44607</v>
      </c>
      <c r="K4739" s="2">
        <v>14</v>
      </c>
      <c r="L4739" s="2" t="s">
        <v>20</v>
      </c>
      <c r="M4739" s="3"/>
    </row>
    <row r="4740" spans="1:13" x14ac:dyDescent="0.3">
      <c r="A4740" s="2">
        <v>4739</v>
      </c>
      <c r="B4740" s="2" t="s">
        <v>9934</v>
      </c>
      <c r="C4740" s="2" t="s">
        <v>1442</v>
      </c>
      <c r="D4740" s="2" t="s">
        <v>51</v>
      </c>
      <c r="E4740" s="2" t="s">
        <v>16</v>
      </c>
      <c r="F4740" s="2">
        <v>90</v>
      </c>
      <c r="G4740" s="2" t="s">
        <v>9935</v>
      </c>
      <c r="H4740" s="2" t="s">
        <v>1761</v>
      </c>
      <c r="I4740" s="2" t="s">
        <v>38</v>
      </c>
      <c r="J4740" s="3">
        <v>44571</v>
      </c>
      <c r="K4740" s="2">
        <v>94</v>
      </c>
      <c r="L4740" s="2" t="s">
        <v>64</v>
      </c>
      <c r="M4740" s="3"/>
    </row>
    <row r="4741" spans="1:13" x14ac:dyDescent="0.3">
      <c r="A4741" s="2">
        <v>4740</v>
      </c>
      <c r="B4741" s="2" t="s">
        <v>433</v>
      </c>
      <c r="C4741" s="2" t="s">
        <v>5756</v>
      </c>
      <c r="D4741" s="2" t="s">
        <v>15</v>
      </c>
      <c r="E4741" s="2" t="s">
        <v>16</v>
      </c>
      <c r="F4741" s="2">
        <v>30</v>
      </c>
      <c r="G4741" s="2" t="s">
        <v>9936</v>
      </c>
      <c r="H4741" s="2" t="s">
        <v>4409</v>
      </c>
      <c r="I4741" s="2" t="s">
        <v>294</v>
      </c>
      <c r="J4741" s="3">
        <v>44023</v>
      </c>
      <c r="K4741" s="2">
        <v>51</v>
      </c>
      <c r="L4741" s="2" t="s">
        <v>70</v>
      </c>
      <c r="M4741" s="3"/>
    </row>
    <row r="4742" spans="1:13" x14ac:dyDescent="0.3">
      <c r="A4742" s="2">
        <v>4741</v>
      </c>
      <c r="B4742" s="2" t="s">
        <v>9937</v>
      </c>
      <c r="C4742" s="2" t="s">
        <v>3588</v>
      </c>
      <c r="D4742" s="2" t="s">
        <v>15</v>
      </c>
      <c r="E4742" s="2" t="s">
        <v>16</v>
      </c>
      <c r="F4742" s="2">
        <v>60</v>
      </c>
      <c r="G4742" s="2" t="s">
        <v>9938</v>
      </c>
      <c r="H4742" s="2" t="s">
        <v>8534</v>
      </c>
      <c r="I4742" s="2" t="s">
        <v>294</v>
      </c>
      <c r="J4742" s="3">
        <v>43876</v>
      </c>
      <c r="K4742" s="2">
        <v>24</v>
      </c>
      <c r="L4742" s="2" t="s">
        <v>33</v>
      </c>
      <c r="M4742" s="3"/>
    </row>
    <row r="4743" spans="1:13" x14ac:dyDescent="0.3">
      <c r="A4743" s="2">
        <v>4742</v>
      </c>
      <c r="B4743" s="2" t="s">
        <v>9939</v>
      </c>
      <c r="C4743" s="2" t="s">
        <v>4181</v>
      </c>
      <c r="D4743" s="2" t="s">
        <v>28</v>
      </c>
      <c r="E4743" s="2" t="s">
        <v>3565</v>
      </c>
      <c r="F4743" s="2">
        <v>90</v>
      </c>
      <c r="G4743" s="2" t="s">
        <v>9940</v>
      </c>
      <c r="H4743" s="2" t="s">
        <v>3498</v>
      </c>
      <c r="I4743" s="2" t="s">
        <v>32</v>
      </c>
      <c r="J4743" s="3">
        <v>44108</v>
      </c>
      <c r="K4743" s="2">
        <v>76</v>
      </c>
      <c r="L4743" s="2" t="s">
        <v>39</v>
      </c>
      <c r="M4743" s="3"/>
    </row>
    <row r="4744" spans="1:13" x14ac:dyDescent="0.3">
      <c r="A4744" s="2">
        <v>4743</v>
      </c>
      <c r="B4744" s="2" t="s">
        <v>9941</v>
      </c>
      <c r="C4744" s="2" t="s">
        <v>8723</v>
      </c>
      <c r="D4744" s="2" t="s">
        <v>41</v>
      </c>
      <c r="E4744" s="2" t="s">
        <v>16</v>
      </c>
      <c r="F4744" s="2">
        <v>90</v>
      </c>
      <c r="G4744" s="2" t="s">
        <v>9942</v>
      </c>
      <c r="H4744" s="2" t="s">
        <v>386</v>
      </c>
      <c r="I4744" s="2" t="s">
        <v>294</v>
      </c>
      <c r="J4744" s="3">
        <v>44131</v>
      </c>
      <c r="K4744" s="2">
        <v>20</v>
      </c>
      <c r="L4744" s="2" t="s">
        <v>20</v>
      </c>
      <c r="M4744" s="3"/>
    </row>
    <row r="4745" spans="1:13" x14ac:dyDescent="0.3">
      <c r="A4745" s="2">
        <v>4744</v>
      </c>
      <c r="B4745" s="2" t="s">
        <v>9943</v>
      </c>
      <c r="C4745" s="2" t="s">
        <v>5928</v>
      </c>
      <c r="D4745" s="2" t="s">
        <v>15</v>
      </c>
      <c r="E4745" s="2" t="s">
        <v>16</v>
      </c>
      <c r="F4745" s="2">
        <v>90</v>
      </c>
      <c r="G4745" s="2" t="s">
        <v>9944</v>
      </c>
      <c r="H4745" s="2" t="s">
        <v>4889</v>
      </c>
      <c r="I4745" s="2" t="s">
        <v>110</v>
      </c>
      <c r="J4745" s="3">
        <v>44642</v>
      </c>
      <c r="K4745" s="2">
        <v>28</v>
      </c>
      <c r="L4745" s="2" t="s">
        <v>64</v>
      </c>
      <c r="M4745" s="3"/>
    </row>
    <row r="4746" spans="1:13" x14ac:dyDescent="0.3">
      <c r="A4746" s="2">
        <v>4745</v>
      </c>
      <c r="B4746" s="2" t="s">
        <v>2750</v>
      </c>
      <c r="C4746" s="2" t="s">
        <v>5626</v>
      </c>
      <c r="D4746" s="2" t="s">
        <v>28</v>
      </c>
      <c r="E4746" s="2" t="s">
        <v>29</v>
      </c>
      <c r="F4746" s="2">
        <v>60</v>
      </c>
      <c r="G4746" s="2" t="s">
        <v>9945</v>
      </c>
      <c r="H4746" s="2" t="s">
        <v>6343</v>
      </c>
      <c r="I4746" s="2" t="s">
        <v>32</v>
      </c>
      <c r="J4746" s="3">
        <v>44200</v>
      </c>
      <c r="K4746" s="2">
        <v>44</v>
      </c>
      <c r="L4746" s="2" t="s">
        <v>39</v>
      </c>
      <c r="M4746" s="3"/>
    </row>
    <row r="4747" spans="1:13" x14ac:dyDescent="0.3">
      <c r="A4747" s="2">
        <v>4746</v>
      </c>
      <c r="B4747" s="2" t="s">
        <v>5942</v>
      </c>
      <c r="C4747" s="2" t="s">
        <v>9946</v>
      </c>
      <c r="D4747" s="2" t="s">
        <v>28</v>
      </c>
      <c r="E4747" s="2" t="s">
        <v>29</v>
      </c>
      <c r="F4747" s="2">
        <v>60</v>
      </c>
      <c r="G4747" s="2" t="s">
        <v>9947</v>
      </c>
      <c r="H4747" s="2" t="s">
        <v>1001</v>
      </c>
      <c r="I4747" s="2" t="s">
        <v>32</v>
      </c>
      <c r="J4747" s="3">
        <v>44762</v>
      </c>
      <c r="K4747" s="2">
        <v>62</v>
      </c>
      <c r="L4747" s="2" t="s">
        <v>70</v>
      </c>
      <c r="M4747" s="3"/>
    </row>
    <row r="4748" spans="1:13" x14ac:dyDescent="0.3">
      <c r="A4748" s="2">
        <v>4747</v>
      </c>
      <c r="B4748" s="2" t="s">
        <v>7811</v>
      </c>
      <c r="C4748" s="2" t="s">
        <v>991</v>
      </c>
      <c r="D4748" s="2" t="s">
        <v>15</v>
      </c>
      <c r="E4748" s="2" t="s">
        <v>16</v>
      </c>
      <c r="F4748" s="2">
        <v>90</v>
      </c>
      <c r="G4748" s="2" t="s">
        <v>9948</v>
      </c>
      <c r="H4748" s="2" t="s">
        <v>3495</v>
      </c>
      <c r="I4748" s="2" t="s">
        <v>1083</v>
      </c>
      <c r="J4748" s="3">
        <v>44640</v>
      </c>
      <c r="K4748" s="2">
        <v>10</v>
      </c>
      <c r="L4748" s="2" t="s">
        <v>70</v>
      </c>
      <c r="M4748" s="3"/>
    </row>
    <row r="4749" spans="1:13" x14ac:dyDescent="0.3">
      <c r="A4749" s="2">
        <v>4748</v>
      </c>
      <c r="B4749" s="2" t="s">
        <v>4318</v>
      </c>
      <c r="C4749" s="2" t="s">
        <v>9949</v>
      </c>
      <c r="D4749" s="2" t="s">
        <v>28</v>
      </c>
      <c r="E4749" s="2" t="s">
        <v>29</v>
      </c>
      <c r="F4749" s="2">
        <v>90</v>
      </c>
      <c r="G4749" s="2" t="s">
        <v>9950</v>
      </c>
      <c r="H4749" s="2" t="s">
        <v>938</v>
      </c>
      <c r="I4749" s="2" t="s">
        <v>25</v>
      </c>
      <c r="J4749" s="3">
        <v>44344</v>
      </c>
      <c r="K4749" s="2">
        <v>94</v>
      </c>
      <c r="L4749" s="2" t="s">
        <v>64</v>
      </c>
      <c r="M4749" s="3"/>
    </row>
    <row r="4750" spans="1:13" x14ac:dyDescent="0.3">
      <c r="A4750" s="2">
        <v>4749</v>
      </c>
      <c r="B4750" s="2" t="s">
        <v>9951</v>
      </c>
      <c r="C4750" s="2" t="s">
        <v>6513</v>
      </c>
      <c r="D4750" s="2" t="s">
        <v>15</v>
      </c>
      <c r="E4750" s="2" t="s">
        <v>16</v>
      </c>
      <c r="F4750" s="2">
        <v>90</v>
      </c>
      <c r="G4750" s="2" t="s">
        <v>9952</v>
      </c>
      <c r="H4750" s="2" t="s">
        <v>3175</v>
      </c>
      <c r="I4750" s="2" t="s">
        <v>1233</v>
      </c>
      <c r="J4750" s="3">
        <v>44837</v>
      </c>
      <c r="K4750" s="2">
        <v>11</v>
      </c>
      <c r="L4750" s="2" t="s">
        <v>45</v>
      </c>
      <c r="M4750" s="3"/>
    </row>
    <row r="4751" spans="1:13" x14ac:dyDescent="0.3">
      <c r="A4751" s="2">
        <v>4750</v>
      </c>
      <c r="B4751" s="2" t="s">
        <v>4771</v>
      </c>
      <c r="C4751" s="2" t="s">
        <v>9953</v>
      </c>
      <c r="D4751" s="2" t="s">
        <v>28</v>
      </c>
      <c r="E4751" s="2" t="s">
        <v>29</v>
      </c>
      <c r="F4751" s="2">
        <v>90</v>
      </c>
      <c r="G4751" s="2" t="s">
        <v>9954</v>
      </c>
      <c r="H4751" s="2" t="s">
        <v>4543</v>
      </c>
      <c r="I4751" s="2" t="s">
        <v>173</v>
      </c>
      <c r="J4751" s="3">
        <v>44522</v>
      </c>
      <c r="K4751" s="2">
        <v>73</v>
      </c>
      <c r="L4751" s="2" t="s">
        <v>159</v>
      </c>
      <c r="M4751" s="3"/>
    </row>
    <row r="4752" spans="1:13" x14ac:dyDescent="0.3">
      <c r="A4752" s="2">
        <v>4751</v>
      </c>
      <c r="B4752" s="2" t="s">
        <v>9955</v>
      </c>
      <c r="C4752" s="2" t="s">
        <v>1465</v>
      </c>
      <c r="D4752" s="2" t="s">
        <v>15</v>
      </c>
      <c r="E4752" s="2" t="s">
        <v>16</v>
      </c>
      <c r="F4752" s="2">
        <v>90</v>
      </c>
      <c r="G4752" s="2" t="s">
        <v>9956</v>
      </c>
      <c r="I4752" s="2" t="s">
        <v>366</v>
      </c>
      <c r="J4752" s="3">
        <v>44153</v>
      </c>
      <c r="K4752" s="2">
        <v>41</v>
      </c>
      <c r="L4752" s="2" t="s">
        <v>70</v>
      </c>
      <c r="M4752" s="3"/>
    </row>
    <row r="4753" spans="1:13" x14ac:dyDescent="0.3">
      <c r="A4753" s="2">
        <v>4752</v>
      </c>
      <c r="B4753" s="2" t="s">
        <v>9957</v>
      </c>
      <c r="C4753" s="2" t="s">
        <v>5671</v>
      </c>
      <c r="D4753" s="2" t="s">
        <v>15</v>
      </c>
      <c r="E4753" s="2" t="s">
        <v>16</v>
      </c>
      <c r="F4753" s="2">
        <v>90</v>
      </c>
      <c r="G4753" s="2" t="s">
        <v>9958</v>
      </c>
      <c r="H4753" s="2" t="s">
        <v>5207</v>
      </c>
      <c r="I4753" s="2" t="s">
        <v>38</v>
      </c>
      <c r="J4753" s="3">
        <v>43994</v>
      </c>
      <c r="K4753" s="2">
        <v>7</v>
      </c>
      <c r="L4753" s="2" t="s">
        <v>101</v>
      </c>
      <c r="M4753" s="3"/>
    </row>
    <row r="4754" spans="1:13" x14ac:dyDescent="0.3">
      <c r="A4754" s="2">
        <v>4753</v>
      </c>
      <c r="B4754" s="2" t="s">
        <v>3599</v>
      </c>
      <c r="C4754" s="2" t="s">
        <v>2113</v>
      </c>
      <c r="D4754" s="2" t="s">
        <v>28</v>
      </c>
      <c r="E4754" s="2" t="s">
        <v>29</v>
      </c>
      <c r="F4754" s="2">
        <v>30</v>
      </c>
      <c r="G4754" s="2" t="s">
        <v>9959</v>
      </c>
      <c r="H4754" s="2" t="s">
        <v>5069</v>
      </c>
      <c r="I4754" s="2" t="s">
        <v>32</v>
      </c>
      <c r="J4754" s="3">
        <v>44926</v>
      </c>
      <c r="K4754" s="2">
        <v>104</v>
      </c>
      <c r="L4754" s="2" t="s">
        <v>33</v>
      </c>
      <c r="M4754" s="3"/>
    </row>
    <row r="4755" spans="1:13" x14ac:dyDescent="0.3">
      <c r="A4755" s="2">
        <v>4754</v>
      </c>
      <c r="B4755" s="2" t="s">
        <v>9009</v>
      </c>
      <c r="C4755" s="2" t="s">
        <v>2174</v>
      </c>
      <c r="D4755" s="2" t="s">
        <v>51</v>
      </c>
      <c r="E4755" s="2" t="s">
        <v>16</v>
      </c>
      <c r="F4755" s="2">
        <v>90</v>
      </c>
      <c r="G4755" s="2" t="s">
        <v>9960</v>
      </c>
      <c r="H4755" s="2" t="s">
        <v>2661</v>
      </c>
      <c r="I4755" s="2" t="s">
        <v>187</v>
      </c>
      <c r="J4755" s="3">
        <v>44205</v>
      </c>
      <c r="K4755" s="2">
        <v>38</v>
      </c>
      <c r="L4755" s="2" t="s">
        <v>101</v>
      </c>
      <c r="M4755" s="3"/>
    </row>
    <row r="4756" spans="1:13" x14ac:dyDescent="0.3">
      <c r="A4756" s="2">
        <v>4755</v>
      </c>
      <c r="B4756" s="2" t="s">
        <v>9961</v>
      </c>
      <c r="C4756" s="2" t="s">
        <v>1963</v>
      </c>
      <c r="D4756" s="2" t="s">
        <v>15</v>
      </c>
      <c r="E4756" s="2" t="s">
        <v>16</v>
      </c>
      <c r="F4756" s="2">
        <v>90</v>
      </c>
      <c r="G4756" s="2" t="s">
        <v>9962</v>
      </c>
      <c r="H4756" s="2" t="s">
        <v>5781</v>
      </c>
      <c r="I4756" s="2" t="s">
        <v>32</v>
      </c>
      <c r="J4756" s="3">
        <v>44890</v>
      </c>
      <c r="K4756" s="2">
        <v>55</v>
      </c>
      <c r="L4756" s="2" t="s">
        <v>159</v>
      </c>
      <c r="M4756" s="3"/>
    </row>
    <row r="4757" spans="1:13" x14ac:dyDescent="0.3">
      <c r="A4757" s="2">
        <v>4756</v>
      </c>
      <c r="B4757" s="2" t="s">
        <v>4296</v>
      </c>
      <c r="C4757" s="2" t="s">
        <v>7251</v>
      </c>
      <c r="D4757" s="2" t="s">
        <v>92</v>
      </c>
      <c r="E4757" s="2" t="s">
        <v>29</v>
      </c>
      <c r="F4757" s="2">
        <v>30</v>
      </c>
      <c r="G4757" s="2" t="s">
        <v>9963</v>
      </c>
      <c r="H4757" s="2" t="s">
        <v>3316</v>
      </c>
      <c r="I4757" s="2" t="s">
        <v>32</v>
      </c>
      <c r="J4757" s="3">
        <v>44634</v>
      </c>
      <c r="K4757" s="2">
        <v>81</v>
      </c>
      <c r="L4757" s="2" t="s">
        <v>45</v>
      </c>
      <c r="M4757" s="3"/>
    </row>
    <row r="4758" spans="1:13" x14ac:dyDescent="0.3">
      <c r="A4758" s="2">
        <v>4757</v>
      </c>
      <c r="B4758" s="2" t="s">
        <v>9964</v>
      </c>
      <c r="C4758" s="2" t="s">
        <v>936</v>
      </c>
      <c r="D4758" s="2" t="s">
        <v>41</v>
      </c>
      <c r="E4758" s="2" t="s">
        <v>16</v>
      </c>
      <c r="F4758" s="2">
        <v>30</v>
      </c>
      <c r="G4758" s="2" t="s">
        <v>9965</v>
      </c>
      <c r="H4758" s="2" t="s">
        <v>1605</v>
      </c>
      <c r="I4758" s="2" t="s">
        <v>32</v>
      </c>
      <c r="J4758" s="3">
        <v>44583</v>
      </c>
      <c r="K4758" s="2">
        <v>37</v>
      </c>
      <c r="L4758" s="2" t="s">
        <v>54</v>
      </c>
      <c r="M4758" s="3"/>
    </row>
    <row r="4759" spans="1:13" x14ac:dyDescent="0.3">
      <c r="A4759" s="2">
        <v>4758</v>
      </c>
      <c r="B4759" s="2" t="s">
        <v>7643</v>
      </c>
      <c r="C4759" s="2" t="s">
        <v>3416</v>
      </c>
      <c r="D4759" s="2" t="s">
        <v>28</v>
      </c>
      <c r="E4759" s="2" t="s">
        <v>29</v>
      </c>
      <c r="F4759" s="2">
        <v>30</v>
      </c>
      <c r="G4759" s="2" t="s">
        <v>9966</v>
      </c>
      <c r="H4759" s="2" t="s">
        <v>7818</v>
      </c>
      <c r="I4759" s="2" t="s">
        <v>1311</v>
      </c>
      <c r="J4759" s="3">
        <v>44915</v>
      </c>
      <c r="K4759" s="2">
        <v>26</v>
      </c>
      <c r="L4759" s="2" t="s">
        <v>39</v>
      </c>
      <c r="M4759" s="3"/>
    </row>
    <row r="4760" spans="1:13" x14ac:dyDescent="0.3">
      <c r="A4760" s="2">
        <v>4759</v>
      </c>
      <c r="B4760" s="2" t="s">
        <v>1831</v>
      </c>
      <c r="C4760" s="2" t="s">
        <v>9967</v>
      </c>
      <c r="D4760" s="2" t="s">
        <v>28</v>
      </c>
      <c r="E4760" s="2" t="s">
        <v>29</v>
      </c>
      <c r="F4760" s="2">
        <v>90</v>
      </c>
      <c r="G4760" s="2" t="s">
        <v>9968</v>
      </c>
      <c r="H4760" s="2" t="s">
        <v>5406</v>
      </c>
      <c r="I4760" s="2" t="s">
        <v>32</v>
      </c>
      <c r="J4760" s="3">
        <v>44425</v>
      </c>
      <c r="K4760" s="2">
        <v>49</v>
      </c>
      <c r="L4760" s="2" t="s">
        <v>39</v>
      </c>
      <c r="M4760" s="3"/>
    </row>
    <row r="4761" spans="1:13" x14ac:dyDescent="0.3">
      <c r="A4761" s="2">
        <v>4760</v>
      </c>
      <c r="B4761" s="2" t="s">
        <v>471</v>
      </c>
      <c r="C4761" s="2" t="s">
        <v>8687</v>
      </c>
      <c r="D4761" s="2" t="s">
        <v>28</v>
      </c>
      <c r="E4761" s="2" t="s">
        <v>29</v>
      </c>
      <c r="F4761" s="2">
        <v>90</v>
      </c>
      <c r="G4761" s="2" t="s">
        <v>9969</v>
      </c>
      <c r="H4761" s="2" t="s">
        <v>3459</v>
      </c>
      <c r="I4761" s="2" t="s">
        <v>178</v>
      </c>
      <c r="J4761" s="3">
        <v>44262</v>
      </c>
      <c r="K4761" s="2">
        <v>18</v>
      </c>
      <c r="L4761" s="2" t="s">
        <v>64</v>
      </c>
      <c r="M4761" s="3"/>
    </row>
    <row r="4762" spans="1:13" x14ac:dyDescent="0.3">
      <c r="A4762" s="2">
        <v>4761</v>
      </c>
      <c r="B4762" s="2" t="s">
        <v>8875</v>
      </c>
      <c r="C4762" s="2" t="s">
        <v>2398</v>
      </c>
      <c r="D4762" s="2" t="s">
        <v>28</v>
      </c>
      <c r="E4762" s="2" t="s">
        <v>29</v>
      </c>
      <c r="F4762" s="2">
        <v>90</v>
      </c>
      <c r="G4762" s="2" t="s">
        <v>9970</v>
      </c>
      <c r="H4762" s="2" t="s">
        <v>5406</v>
      </c>
      <c r="I4762" s="2" t="s">
        <v>32</v>
      </c>
      <c r="J4762" s="3">
        <v>44423</v>
      </c>
      <c r="K4762" s="2">
        <v>50</v>
      </c>
      <c r="L4762" s="2" t="s">
        <v>20</v>
      </c>
      <c r="M4762" s="3"/>
    </row>
    <row r="4763" spans="1:13" x14ac:dyDescent="0.3">
      <c r="A4763" s="2">
        <v>4762</v>
      </c>
      <c r="B4763" s="2" t="s">
        <v>9971</v>
      </c>
      <c r="C4763" s="2" t="s">
        <v>295</v>
      </c>
      <c r="D4763" s="2" t="s">
        <v>92</v>
      </c>
      <c r="E4763" s="2" t="s">
        <v>16</v>
      </c>
      <c r="F4763" s="2">
        <v>90</v>
      </c>
      <c r="G4763" s="2" t="s">
        <v>9972</v>
      </c>
      <c r="H4763" s="2" t="s">
        <v>1005</v>
      </c>
      <c r="I4763" s="2" t="s">
        <v>178</v>
      </c>
      <c r="J4763" s="3">
        <v>44670</v>
      </c>
      <c r="K4763" s="2">
        <v>54</v>
      </c>
      <c r="L4763" s="2" t="s">
        <v>20</v>
      </c>
      <c r="M4763" s="3"/>
    </row>
    <row r="4764" spans="1:13" x14ac:dyDescent="0.3">
      <c r="A4764" s="2">
        <v>4763</v>
      </c>
      <c r="B4764" s="2" t="s">
        <v>9973</v>
      </c>
      <c r="C4764" s="2" t="s">
        <v>1204</v>
      </c>
      <c r="D4764" s="2" t="s">
        <v>51</v>
      </c>
      <c r="E4764" s="2" t="s">
        <v>16</v>
      </c>
      <c r="F4764" s="2">
        <v>90</v>
      </c>
      <c r="G4764" s="2" t="s">
        <v>9974</v>
      </c>
      <c r="H4764" s="2" t="s">
        <v>2194</v>
      </c>
      <c r="I4764" s="2" t="s">
        <v>32</v>
      </c>
      <c r="J4764" s="3">
        <v>44471</v>
      </c>
      <c r="K4764" s="2">
        <v>73</v>
      </c>
      <c r="L4764" s="2" t="s">
        <v>159</v>
      </c>
      <c r="M4764" s="3"/>
    </row>
    <row r="4765" spans="1:13" x14ac:dyDescent="0.3">
      <c r="A4765" s="2">
        <v>4764</v>
      </c>
      <c r="B4765" s="2" t="s">
        <v>4370</v>
      </c>
      <c r="C4765" s="2" t="s">
        <v>8869</v>
      </c>
      <c r="D4765" s="2" t="s">
        <v>51</v>
      </c>
      <c r="E4765" s="2" t="s">
        <v>16</v>
      </c>
      <c r="F4765" s="2">
        <v>60</v>
      </c>
      <c r="G4765" s="2" t="s">
        <v>9975</v>
      </c>
      <c r="H4765" s="2" t="s">
        <v>4098</v>
      </c>
      <c r="I4765" s="2" t="s">
        <v>1889</v>
      </c>
      <c r="J4765" s="3">
        <v>44404</v>
      </c>
      <c r="K4765" s="2">
        <v>46</v>
      </c>
      <c r="L4765" s="2" t="s">
        <v>54</v>
      </c>
      <c r="M4765" s="3"/>
    </row>
    <row r="4766" spans="1:13" x14ac:dyDescent="0.3">
      <c r="A4766" s="2">
        <v>4765</v>
      </c>
      <c r="B4766" s="2" t="s">
        <v>357</v>
      </c>
      <c r="C4766" s="2" t="s">
        <v>2496</v>
      </c>
      <c r="D4766" s="2" t="s">
        <v>28</v>
      </c>
      <c r="E4766" s="2" t="s">
        <v>29</v>
      </c>
      <c r="F4766" s="2">
        <v>30</v>
      </c>
      <c r="G4766" s="2" t="s">
        <v>9976</v>
      </c>
      <c r="H4766" s="2" t="s">
        <v>1194</v>
      </c>
      <c r="I4766" s="2" t="s">
        <v>38</v>
      </c>
      <c r="J4766" s="3">
        <v>44133</v>
      </c>
      <c r="K4766" s="2">
        <v>4</v>
      </c>
      <c r="L4766" s="2" t="s">
        <v>54</v>
      </c>
      <c r="M4766" s="3"/>
    </row>
    <row r="4767" spans="1:13" x14ac:dyDescent="0.3">
      <c r="A4767" s="2">
        <v>4766</v>
      </c>
      <c r="B4767" s="2" t="s">
        <v>4061</v>
      </c>
      <c r="C4767" s="2" t="s">
        <v>9977</v>
      </c>
      <c r="D4767" s="2" t="s">
        <v>15</v>
      </c>
      <c r="E4767" s="2" t="s">
        <v>16</v>
      </c>
      <c r="F4767" s="2">
        <v>60</v>
      </c>
      <c r="G4767" s="2" t="s">
        <v>9978</v>
      </c>
      <c r="H4767" s="2" t="s">
        <v>1060</v>
      </c>
      <c r="I4767" s="2" t="s">
        <v>38</v>
      </c>
      <c r="J4767" s="3">
        <v>43877</v>
      </c>
      <c r="K4767" s="2">
        <v>82</v>
      </c>
      <c r="L4767" s="2" t="s">
        <v>45</v>
      </c>
      <c r="M4767" s="3"/>
    </row>
    <row r="4768" spans="1:13" x14ac:dyDescent="0.3">
      <c r="A4768" s="2">
        <v>4767</v>
      </c>
      <c r="B4768" s="2" t="s">
        <v>699</v>
      </c>
      <c r="C4768" s="2" t="s">
        <v>5792</v>
      </c>
      <c r="D4768" s="2" t="s">
        <v>92</v>
      </c>
      <c r="E4768" s="2" t="s">
        <v>29</v>
      </c>
      <c r="F4768" s="2">
        <v>90</v>
      </c>
      <c r="G4768" s="2" t="s">
        <v>9979</v>
      </c>
      <c r="H4768" s="2" t="s">
        <v>4424</v>
      </c>
      <c r="I4768" s="2" t="s">
        <v>25</v>
      </c>
      <c r="J4768" s="3">
        <v>44565</v>
      </c>
      <c r="K4768" s="2">
        <v>80</v>
      </c>
      <c r="L4768" s="2" t="s">
        <v>70</v>
      </c>
      <c r="M4768" s="3"/>
    </row>
    <row r="4769" spans="1:13" x14ac:dyDescent="0.3">
      <c r="A4769" s="2">
        <v>4768</v>
      </c>
      <c r="B4769" s="2" t="s">
        <v>1027</v>
      </c>
      <c r="C4769" s="2" t="s">
        <v>2561</v>
      </c>
      <c r="D4769" s="2" t="s">
        <v>28</v>
      </c>
      <c r="E4769" s="2" t="s">
        <v>29</v>
      </c>
      <c r="F4769" s="2">
        <v>90</v>
      </c>
      <c r="G4769" s="2" t="s">
        <v>9980</v>
      </c>
      <c r="H4769" s="2" t="s">
        <v>5611</v>
      </c>
      <c r="I4769" s="2" t="s">
        <v>32</v>
      </c>
      <c r="J4769" s="3">
        <v>44096</v>
      </c>
      <c r="K4769" s="2">
        <v>64</v>
      </c>
      <c r="L4769" s="2" t="s">
        <v>101</v>
      </c>
      <c r="M4769" s="3"/>
    </row>
    <row r="4770" spans="1:13" x14ac:dyDescent="0.3">
      <c r="A4770" s="2">
        <v>4769</v>
      </c>
      <c r="B4770" s="2" t="s">
        <v>4023</v>
      </c>
      <c r="C4770" s="2" t="s">
        <v>3806</v>
      </c>
      <c r="D4770" s="2" t="s">
        <v>92</v>
      </c>
      <c r="E4770" s="2" t="s">
        <v>29</v>
      </c>
      <c r="F4770" s="2">
        <v>90</v>
      </c>
      <c r="G4770" s="2" t="s">
        <v>9981</v>
      </c>
      <c r="H4770" s="2" t="s">
        <v>6319</v>
      </c>
      <c r="I4770" s="2" t="s">
        <v>32</v>
      </c>
      <c r="J4770" s="3">
        <v>43924</v>
      </c>
      <c r="K4770" s="2">
        <v>82</v>
      </c>
      <c r="L4770" s="2" t="s">
        <v>54</v>
      </c>
      <c r="M4770" s="3"/>
    </row>
    <row r="4771" spans="1:13" x14ac:dyDescent="0.3">
      <c r="A4771" s="2">
        <v>4770</v>
      </c>
      <c r="B4771" s="2" t="s">
        <v>6792</v>
      </c>
      <c r="C4771" s="2" t="s">
        <v>4600</v>
      </c>
      <c r="D4771" s="2" t="s">
        <v>15</v>
      </c>
      <c r="E4771" s="2" t="s">
        <v>16</v>
      </c>
      <c r="F4771" s="2">
        <v>30</v>
      </c>
      <c r="G4771" s="2" t="s">
        <v>9982</v>
      </c>
      <c r="H4771" s="2" t="s">
        <v>2834</v>
      </c>
      <c r="I4771" s="2" t="s">
        <v>19</v>
      </c>
      <c r="J4771" s="3">
        <v>44794</v>
      </c>
      <c r="K4771" s="2">
        <v>42</v>
      </c>
      <c r="L4771" s="2" t="s">
        <v>20</v>
      </c>
      <c r="M4771" s="3"/>
    </row>
    <row r="4772" spans="1:13" x14ac:dyDescent="0.3">
      <c r="A4772" s="2">
        <v>4771</v>
      </c>
      <c r="B4772" s="2" t="s">
        <v>7804</v>
      </c>
      <c r="C4772" s="2" t="s">
        <v>6401</v>
      </c>
      <c r="D4772" s="2" t="s">
        <v>28</v>
      </c>
      <c r="E4772" s="2" t="s">
        <v>29</v>
      </c>
      <c r="F4772" s="2">
        <v>90</v>
      </c>
      <c r="G4772" s="2" t="s">
        <v>9983</v>
      </c>
      <c r="H4772" s="2" t="s">
        <v>4870</v>
      </c>
      <c r="I4772" s="2" t="s">
        <v>146</v>
      </c>
      <c r="J4772" s="3">
        <v>44735</v>
      </c>
      <c r="K4772" s="2">
        <v>29</v>
      </c>
      <c r="L4772" s="2" t="s">
        <v>33</v>
      </c>
      <c r="M4772" s="3"/>
    </row>
    <row r="4773" spans="1:13" x14ac:dyDescent="0.3">
      <c r="A4773" s="2">
        <v>4772</v>
      </c>
      <c r="B4773" s="2" t="s">
        <v>4008</v>
      </c>
      <c r="C4773" s="2" t="s">
        <v>4324</v>
      </c>
      <c r="D4773" s="2" t="s">
        <v>28</v>
      </c>
      <c r="E4773" s="2" t="s">
        <v>29</v>
      </c>
      <c r="F4773" s="2">
        <v>60</v>
      </c>
      <c r="G4773" s="2" t="s">
        <v>9984</v>
      </c>
      <c r="H4773" s="2" t="s">
        <v>1131</v>
      </c>
      <c r="I4773" s="2" t="s">
        <v>32</v>
      </c>
      <c r="J4773" s="3">
        <v>44446</v>
      </c>
      <c r="K4773" s="2">
        <v>15</v>
      </c>
      <c r="L4773" s="2" t="s">
        <v>54</v>
      </c>
      <c r="M4773" s="3"/>
    </row>
    <row r="4774" spans="1:13" x14ac:dyDescent="0.3">
      <c r="A4774" s="2">
        <v>4773</v>
      </c>
      <c r="B4774" s="2" t="s">
        <v>6401</v>
      </c>
      <c r="C4774" s="2" t="s">
        <v>7253</v>
      </c>
      <c r="D4774" s="2" t="s">
        <v>28</v>
      </c>
      <c r="E4774" s="2" t="s">
        <v>29</v>
      </c>
      <c r="F4774" s="2">
        <v>60</v>
      </c>
      <c r="G4774" s="2" t="s">
        <v>9985</v>
      </c>
      <c r="H4774" s="2" t="s">
        <v>138</v>
      </c>
      <c r="I4774" s="2" t="s">
        <v>294</v>
      </c>
      <c r="J4774" s="3">
        <v>44292</v>
      </c>
      <c r="K4774" s="2">
        <v>63</v>
      </c>
      <c r="L4774" s="2" t="s">
        <v>39</v>
      </c>
      <c r="M4774" s="3"/>
    </row>
    <row r="4775" spans="1:13" x14ac:dyDescent="0.3">
      <c r="A4775" s="2">
        <v>4774</v>
      </c>
      <c r="B4775" s="2" t="s">
        <v>3699</v>
      </c>
      <c r="C4775" s="2" t="s">
        <v>9488</v>
      </c>
      <c r="D4775" s="2" t="s">
        <v>28</v>
      </c>
      <c r="E4775" s="2" t="s">
        <v>29</v>
      </c>
      <c r="F4775" s="2">
        <v>60</v>
      </c>
      <c r="G4775" s="2" t="s">
        <v>9986</v>
      </c>
      <c r="H4775" s="2" t="s">
        <v>9987</v>
      </c>
      <c r="I4775" s="2" t="s">
        <v>294</v>
      </c>
      <c r="J4775" s="3">
        <v>44362</v>
      </c>
      <c r="K4775" s="2">
        <v>18</v>
      </c>
      <c r="L4775" s="2" t="s">
        <v>70</v>
      </c>
      <c r="M4775" s="3"/>
    </row>
    <row r="4776" spans="1:13" x14ac:dyDescent="0.3">
      <c r="A4776" s="2">
        <v>4775</v>
      </c>
      <c r="B4776" s="2" t="s">
        <v>5410</v>
      </c>
      <c r="C4776" s="2" t="s">
        <v>5546</v>
      </c>
      <c r="D4776" s="2" t="s">
        <v>51</v>
      </c>
      <c r="E4776" s="2" t="s">
        <v>16</v>
      </c>
      <c r="F4776" s="2">
        <v>60</v>
      </c>
      <c r="G4776" s="2" t="s">
        <v>9988</v>
      </c>
      <c r="H4776" s="2" t="s">
        <v>7318</v>
      </c>
      <c r="I4776" s="2" t="s">
        <v>32</v>
      </c>
      <c r="J4776" s="3">
        <v>43936</v>
      </c>
      <c r="K4776" s="2">
        <v>48</v>
      </c>
      <c r="L4776" s="2" t="s">
        <v>70</v>
      </c>
      <c r="M4776" s="3"/>
    </row>
    <row r="4777" spans="1:13" x14ac:dyDescent="0.3">
      <c r="A4777" s="2">
        <v>4776</v>
      </c>
      <c r="B4777" s="2" t="s">
        <v>5410</v>
      </c>
      <c r="C4777" s="2" t="s">
        <v>5546</v>
      </c>
      <c r="D4777" s="2" t="s">
        <v>51</v>
      </c>
      <c r="E4777" s="2" t="s">
        <v>16</v>
      </c>
      <c r="F4777" s="2">
        <v>60</v>
      </c>
      <c r="G4777" s="2" t="s">
        <v>9988</v>
      </c>
      <c r="H4777" s="2" t="s">
        <v>7318</v>
      </c>
      <c r="I4777" s="2" t="s">
        <v>32</v>
      </c>
      <c r="J4777" s="3">
        <v>43936</v>
      </c>
      <c r="K4777" s="2">
        <v>48</v>
      </c>
      <c r="L4777" s="2" t="s">
        <v>70</v>
      </c>
      <c r="M4777" s="3"/>
    </row>
    <row r="4778" spans="1:13" x14ac:dyDescent="0.3">
      <c r="A4778" s="2">
        <v>4777</v>
      </c>
      <c r="B4778" s="2" t="s">
        <v>5497</v>
      </c>
      <c r="C4778" s="2" t="s">
        <v>5037</v>
      </c>
      <c r="D4778" s="2" t="s">
        <v>28</v>
      </c>
      <c r="E4778" s="2" t="s">
        <v>29</v>
      </c>
      <c r="F4778" s="2">
        <v>60</v>
      </c>
      <c r="G4778" s="2" t="s">
        <v>9989</v>
      </c>
      <c r="H4778" s="2" t="s">
        <v>1931</v>
      </c>
      <c r="I4778" s="2" t="s">
        <v>32</v>
      </c>
      <c r="J4778" s="3">
        <v>44438</v>
      </c>
      <c r="K4778" s="2">
        <v>25</v>
      </c>
      <c r="L4778" s="2" t="s">
        <v>20</v>
      </c>
      <c r="M4778" s="3"/>
    </row>
    <row r="4779" spans="1:13" x14ac:dyDescent="0.3">
      <c r="A4779" s="2">
        <v>4778</v>
      </c>
      <c r="B4779" s="2" t="s">
        <v>9990</v>
      </c>
      <c r="C4779" s="2" t="s">
        <v>9991</v>
      </c>
      <c r="D4779" s="2" t="s">
        <v>51</v>
      </c>
      <c r="E4779" s="2" t="s">
        <v>16</v>
      </c>
      <c r="F4779" s="2">
        <v>90</v>
      </c>
      <c r="G4779" s="2" t="s">
        <v>6607</v>
      </c>
      <c r="H4779" s="2" t="s">
        <v>133</v>
      </c>
      <c r="I4779" s="2" t="s">
        <v>124</v>
      </c>
      <c r="J4779" s="3">
        <v>44840</v>
      </c>
      <c r="K4779" s="2">
        <v>51</v>
      </c>
      <c r="L4779" s="2" t="s">
        <v>101</v>
      </c>
      <c r="M4779" s="3"/>
    </row>
    <row r="4780" spans="1:13" x14ac:dyDescent="0.3">
      <c r="A4780" s="2">
        <v>4779</v>
      </c>
      <c r="B4780" s="2" t="s">
        <v>9992</v>
      </c>
      <c r="C4780" s="2" t="s">
        <v>7687</v>
      </c>
      <c r="D4780" s="2" t="s">
        <v>28</v>
      </c>
      <c r="E4780" s="2" t="s">
        <v>29</v>
      </c>
      <c r="F4780" s="2">
        <v>60</v>
      </c>
      <c r="G4780" s="2" t="s">
        <v>9993</v>
      </c>
      <c r="H4780" s="2" t="s">
        <v>207</v>
      </c>
      <c r="I4780" s="2" t="s">
        <v>208</v>
      </c>
      <c r="J4780" s="3">
        <v>44449</v>
      </c>
      <c r="K4780" s="2">
        <v>44</v>
      </c>
      <c r="L4780" s="2" t="s">
        <v>80</v>
      </c>
      <c r="M4780" s="3"/>
    </row>
    <row r="4781" spans="1:13" x14ac:dyDescent="0.3">
      <c r="A4781" s="2">
        <v>4780</v>
      </c>
      <c r="B4781" s="2" t="s">
        <v>3463</v>
      </c>
      <c r="C4781" s="2" t="s">
        <v>7520</v>
      </c>
      <c r="D4781" s="2" t="s">
        <v>28</v>
      </c>
      <c r="E4781" s="2" t="s">
        <v>29</v>
      </c>
      <c r="F4781" s="2">
        <v>30</v>
      </c>
      <c r="G4781" s="2" t="s">
        <v>9994</v>
      </c>
      <c r="H4781" s="2" t="s">
        <v>4870</v>
      </c>
      <c r="I4781" s="2" t="s">
        <v>146</v>
      </c>
      <c r="J4781" s="3">
        <v>43898</v>
      </c>
      <c r="K4781" s="2">
        <v>9</v>
      </c>
      <c r="L4781" s="2" t="s">
        <v>39</v>
      </c>
      <c r="M4781" s="3"/>
    </row>
    <row r="4782" spans="1:13" x14ac:dyDescent="0.3">
      <c r="A4782" s="2">
        <v>4781</v>
      </c>
      <c r="B4782" s="2" t="s">
        <v>4185</v>
      </c>
      <c r="C4782" s="2" t="s">
        <v>9995</v>
      </c>
      <c r="D4782" s="2" t="s">
        <v>28</v>
      </c>
      <c r="E4782" s="2" t="s">
        <v>29</v>
      </c>
      <c r="F4782" s="2">
        <v>60</v>
      </c>
      <c r="G4782" s="2" t="s">
        <v>9996</v>
      </c>
      <c r="H4782" s="2" t="s">
        <v>6293</v>
      </c>
      <c r="I4782" s="2" t="s">
        <v>32</v>
      </c>
      <c r="J4782" s="3">
        <v>44465</v>
      </c>
      <c r="K4782" s="2">
        <v>68</v>
      </c>
      <c r="L4782" s="2" t="s">
        <v>33</v>
      </c>
      <c r="M4782" s="3"/>
    </row>
    <row r="4783" spans="1:13" x14ac:dyDescent="0.3">
      <c r="A4783" s="2">
        <v>4782</v>
      </c>
      <c r="B4783" s="2" t="s">
        <v>9997</v>
      </c>
      <c r="C4783" s="2" t="s">
        <v>4858</v>
      </c>
      <c r="D4783" s="2" t="s">
        <v>51</v>
      </c>
      <c r="E4783" s="2" t="s">
        <v>16</v>
      </c>
      <c r="F4783" s="2">
        <v>60</v>
      </c>
      <c r="G4783" s="2" t="s">
        <v>9998</v>
      </c>
      <c r="H4783" s="2" t="s">
        <v>7140</v>
      </c>
      <c r="I4783" s="2" t="s">
        <v>294</v>
      </c>
      <c r="J4783" s="3">
        <v>44526</v>
      </c>
      <c r="K4783" s="2">
        <v>80</v>
      </c>
      <c r="L4783" s="2" t="s">
        <v>33</v>
      </c>
      <c r="M4783" s="3"/>
    </row>
    <row r="4784" spans="1:13" x14ac:dyDescent="0.3">
      <c r="A4784" s="2">
        <v>4783</v>
      </c>
      <c r="B4784" s="2" t="s">
        <v>9999</v>
      </c>
      <c r="C4784" s="2" t="s">
        <v>6798</v>
      </c>
      <c r="D4784" s="2" t="s">
        <v>28</v>
      </c>
      <c r="E4784" s="2" t="s">
        <v>29</v>
      </c>
      <c r="F4784" s="2">
        <v>60</v>
      </c>
      <c r="G4784" s="2" t="s">
        <v>10000</v>
      </c>
      <c r="H4784" s="2" t="s">
        <v>1077</v>
      </c>
      <c r="I4784" s="2" t="s">
        <v>1078</v>
      </c>
      <c r="J4784" s="3">
        <v>44064</v>
      </c>
      <c r="K4784" s="2">
        <v>47</v>
      </c>
      <c r="L4784" s="2" t="s">
        <v>70</v>
      </c>
      <c r="M4784" s="3"/>
    </row>
    <row r="4785" spans="1:13" x14ac:dyDescent="0.3">
      <c r="A4785" s="2">
        <v>4784</v>
      </c>
      <c r="B4785" s="2" t="s">
        <v>10001</v>
      </c>
      <c r="C4785" s="2" t="s">
        <v>9225</v>
      </c>
      <c r="D4785" s="2" t="s">
        <v>41</v>
      </c>
      <c r="E4785" s="2" t="s">
        <v>16</v>
      </c>
      <c r="F4785" s="2">
        <v>30</v>
      </c>
      <c r="G4785" s="2" t="s">
        <v>10002</v>
      </c>
      <c r="H4785" s="2" t="s">
        <v>3284</v>
      </c>
      <c r="I4785" s="2" t="s">
        <v>32</v>
      </c>
      <c r="J4785" s="3">
        <v>44560</v>
      </c>
      <c r="K4785" s="2">
        <v>8</v>
      </c>
      <c r="L4785" s="2" t="s">
        <v>64</v>
      </c>
      <c r="M4785" s="3"/>
    </row>
    <row r="4786" spans="1:13" x14ac:dyDescent="0.3">
      <c r="A4786" s="2">
        <v>4785</v>
      </c>
      <c r="B4786" s="2" t="s">
        <v>3021</v>
      </c>
      <c r="C4786" s="2" t="s">
        <v>7231</v>
      </c>
      <c r="D4786" s="2" t="s">
        <v>28</v>
      </c>
      <c r="E4786" s="2" t="s">
        <v>29</v>
      </c>
      <c r="F4786" s="2">
        <v>30</v>
      </c>
      <c r="G4786" s="2" t="s">
        <v>10003</v>
      </c>
      <c r="H4786" s="2" t="s">
        <v>5399</v>
      </c>
      <c r="I4786" s="2" t="s">
        <v>32</v>
      </c>
      <c r="J4786" s="3">
        <v>44548</v>
      </c>
      <c r="K4786" s="2">
        <v>95</v>
      </c>
      <c r="L4786" s="2" t="s">
        <v>80</v>
      </c>
      <c r="M4786" s="3"/>
    </row>
    <row r="4787" spans="1:13" x14ac:dyDescent="0.3">
      <c r="A4787" s="2">
        <v>4786</v>
      </c>
      <c r="B4787" s="2" t="s">
        <v>3021</v>
      </c>
      <c r="C4787" s="2" t="s">
        <v>7231</v>
      </c>
      <c r="D4787" s="2" t="s">
        <v>28</v>
      </c>
      <c r="E4787" s="2" t="s">
        <v>29</v>
      </c>
      <c r="F4787" s="2">
        <v>30</v>
      </c>
      <c r="G4787" s="2" t="s">
        <v>10003</v>
      </c>
      <c r="H4787" s="2" t="s">
        <v>5399</v>
      </c>
      <c r="I4787" s="2" t="s">
        <v>32</v>
      </c>
      <c r="J4787" s="3">
        <v>44548</v>
      </c>
      <c r="K4787" s="2">
        <v>95</v>
      </c>
      <c r="L4787" s="2" t="s">
        <v>80</v>
      </c>
      <c r="M4787" s="3"/>
    </row>
    <row r="4788" spans="1:13" x14ac:dyDescent="0.3">
      <c r="A4788" s="2">
        <v>4787</v>
      </c>
      <c r="B4788" s="2" t="s">
        <v>380</v>
      </c>
      <c r="C4788" s="2" t="s">
        <v>1075</v>
      </c>
      <c r="D4788" s="2" t="s">
        <v>28</v>
      </c>
      <c r="E4788" s="2" t="s">
        <v>29</v>
      </c>
      <c r="F4788" s="2">
        <v>60</v>
      </c>
      <c r="G4788" s="2" t="s">
        <v>10004</v>
      </c>
      <c r="H4788" s="2" t="s">
        <v>1526</v>
      </c>
      <c r="I4788" s="2" t="s">
        <v>173</v>
      </c>
      <c r="J4788" s="3">
        <v>44180</v>
      </c>
      <c r="K4788" s="2">
        <v>3</v>
      </c>
      <c r="L4788" s="2" t="s">
        <v>80</v>
      </c>
      <c r="M4788" s="3"/>
    </row>
    <row r="4789" spans="1:13" x14ac:dyDescent="0.3">
      <c r="A4789" s="2">
        <v>4788</v>
      </c>
      <c r="B4789" s="2" t="s">
        <v>10005</v>
      </c>
      <c r="C4789" s="2" t="s">
        <v>3600</v>
      </c>
      <c r="D4789" s="2" t="s">
        <v>51</v>
      </c>
      <c r="E4789" s="2" t="s">
        <v>16</v>
      </c>
      <c r="F4789" s="2">
        <v>30</v>
      </c>
      <c r="G4789" s="2" t="s">
        <v>10006</v>
      </c>
      <c r="H4789" s="2" t="s">
        <v>412</v>
      </c>
      <c r="I4789" s="2" t="s">
        <v>187</v>
      </c>
      <c r="J4789" s="3">
        <v>44558</v>
      </c>
      <c r="K4789" s="2">
        <v>86</v>
      </c>
      <c r="L4789" s="2" t="s">
        <v>33</v>
      </c>
      <c r="M4789" s="3"/>
    </row>
    <row r="4790" spans="1:13" x14ac:dyDescent="0.3">
      <c r="A4790" s="2">
        <v>4789</v>
      </c>
      <c r="B4790" s="2" t="s">
        <v>10007</v>
      </c>
      <c r="C4790" s="2" t="s">
        <v>1749</v>
      </c>
      <c r="D4790" s="2" t="s">
        <v>51</v>
      </c>
      <c r="E4790" s="2" t="s">
        <v>16</v>
      </c>
      <c r="F4790" s="2">
        <v>90</v>
      </c>
      <c r="G4790" s="2" t="s">
        <v>10008</v>
      </c>
      <c r="H4790" s="2" t="s">
        <v>6377</v>
      </c>
      <c r="I4790" s="2" t="s">
        <v>164</v>
      </c>
      <c r="J4790" s="3">
        <v>44342</v>
      </c>
      <c r="K4790" s="2">
        <v>46</v>
      </c>
      <c r="L4790" s="2" t="s">
        <v>70</v>
      </c>
      <c r="M4790" s="3"/>
    </row>
    <row r="4791" spans="1:13" x14ac:dyDescent="0.3">
      <c r="A4791" s="2">
        <v>4790</v>
      </c>
      <c r="B4791" s="2" t="s">
        <v>10009</v>
      </c>
      <c r="C4791" s="2" t="s">
        <v>3173</v>
      </c>
      <c r="D4791" s="2" t="s">
        <v>15</v>
      </c>
      <c r="E4791" s="2" t="s">
        <v>16</v>
      </c>
      <c r="F4791" s="2">
        <v>30</v>
      </c>
      <c r="G4791" s="2" t="s">
        <v>10010</v>
      </c>
      <c r="H4791" s="2" t="s">
        <v>4299</v>
      </c>
      <c r="I4791" s="2" t="s">
        <v>32</v>
      </c>
      <c r="J4791" s="3">
        <v>44324</v>
      </c>
      <c r="K4791" s="2">
        <v>94</v>
      </c>
      <c r="L4791" s="2" t="s">
        <v>20</v>
      </c>
      <c r="M4791" s="3"/>
    </row>
    <row r="4792" spans="1:13" x14ac:dyDescent="0.3">
      <c r="A4792" s="2">
        <v>4791</v>
      </c>
      <c r="B4792" s="2" t="s">
        <v>1687</v>
      </c>
      <c r="C4792" s="2" t="s">
        <v>3588</v>
      </c>
      <c r="D4792" s="2" t="s">
        <v>28</v>
      </c>
      <c r="E4792" s="2" t="s">
        <v>29</v>
      </c>
      <c r="G4792" s="2" t="s">
        <v>10011</v>
      </c>
      <c r="H4792" s="2" t="s">
        <v>3291</v>
      </c>
      <c r="I4792" s="2" t="s">
        <v>124</v>
      </c>
      <c r="J4792" s="3">
        <v>44766</v>
      </c>
      <c r="K4792" s="2">
        <v>13</v>
      </c>
      <c r="L4792" s="2" t="s">
        <v>54</v>
      </c>
      <c r="M4792" s="3"/>
    </row>
    <row r="4793" spans="1:13" x14ac:dyDescent="0.3">
      <c r="A4793" s="2">
        <v>4792</v>
      </c>
      <c r="B4793" s="2" t="s">
        <v>222</v>
      </c>
      <c r="C4793" s="2" t="s">
        <v>3824</v>
      </c>
      <c r="D4793" s="2" t="s">
        <v>28</v>
      </c>
      <c r="E4793" s="2" t="s">
        <v>29</v>
      </c>
      <c r="F4793" s="2">
        <v>30</v>
      </c>
      <c r="G4793" s="2" t="s">
        <v>10012</v>
      </c>
      <c r="H4793" s="2" t="s">
        <v>48</v>
      </c>
      <c r="I4793" s="2" t="s">
        <v>25</v>
      </c>
      <c r="J4793" s="3">
        <v>44861</v>
      </c>
      <c r="K4793" s="2">
        <v>51</v>
      </c>
      <c r="L4793" s="2" t="s">
        <v>159</v>
      </c>
      <c r="M4793" s="3"/>
    </row>
    <row r="4794" spans="1:13" x14ac:dyDescent="0.3">
      <c r="A4794" s="2">
        <v>4793</v>
      </c>
      <c r="B4794" s="2" t="s">
        <v>2782</v>
      </c>
      <c r="C4794" s="2" t="s">
        <v>2195</v>
      </c>
      <c r="D4794" s="2" t="s">
        <v>51</v>
      </c>
      <c r="E4794" s="2" t="s">
        <v>16</v>
      </c>
      <c r="F4794" s="2">
        <v>60</v>
      </c>
      <c r="G4794" s="2" t="s">
        <v>10013</v>
      </c>
      <c r="H4794" s="2" t="s">
        <v>4085</v>
      </c>
      <c r="I4794" s="2" t="s">
        <v>240</v>
      </c>
      <c r="J4794" s="3">
        <v>44889</v>
      </c>
      <c r="K4794" s="2">
        <v>79</v>
      </c>
      <c r="L4794" s="2" t="s">
        <v>54</v>
      </c>
      <c r="M4794" s="3"/>
    </row>
    <row r="4795" spans="1:13" x14ac:dyDescent="0.3">
      <c r="A4795" s="2">
        <v>4794</v>
      </c>
      <c r="B4795" s="2" t="s">
        <v>9445</v>
      </c>
      <c r="C4795" s="2" t="s">
        <v>72</v>
      </c>
      <c r="D4795" s="2" t="s">
        <v>15</v>
      </c>
      <c r="E4795" s="2" t="s">
        <v>16</v>
      </c>
      <c r="F4795" s="2">
        <v>30</v>
      </c>
      <c r="G4795" s="2" t="s">
        <v>10014</v>
      </c>
      <c r="H4795" s="2" t="s">
        <v>5581</v>
      </c>
      <c r="I4795" s="2" t="s">
        <v>187</v>
      </c>
      <c r="J4795" s="3">
        <v>44152</v>
      </c>
      <c r="K4795" s="2">
        <v>4</v>
      </c>
      <c r="L4795" s="2" t="s">
        <v>45</v>
      </c>
      <c r="M4795" s="3"/>
    </row>
    <row r="4796" spans="1:13" x14ac:dyDescent="0.3">
      <c r="A4796" s="2">
        <v>4795</v>
      </c>
      <c r="B4796" s="2" t="s">
        <v>2699</v>
      </c>
      <c r="C4796" s="2" t="s">
        <v>4495</v>
      </c>
      <c r="D4796" s="2" t="s">
        <v>28</v>
      </c>
      <c r="E4796" s="2" t="s">
        <v>29</v>
      </c>
      <c r="F4796" s="2">
        <v>60</v>
      </c>
      <c r="G4796" s="2" t="s">
        <v>10015</v>
      </c>
      <c r="H4796" s="2" t="s">
        <v>1927</v>
      </c>
      <c r="I4796" s="2" t="s">
        <v>100</v>
      </c>
      <c r="J4796" s="3">
        <v>44801</v>
      </c>
      <c r="K4796" s="2">
        <v>26</v>
      </c>
      <c r="L4796" s="2" t="s">
        <v>80</v>
      </c>
      <c r="M4796" s="3"/>
    </row>
    <row r="4797" spans="1:13" x14ac:dyDescent="0.3">
      <c r="A4797" s="2">
        <v>4796</v>
      </c>
      <c r="B4797" s="2" t="s">
        <v>1644</v>
      </c>
      <c r="C4797" s="2" t="s">
        <v>418</v>
      </c>
      <c r="D4797" s="2" t="s">
        <v>15</v>
      </c>
      <c r="E4797" s="2" t="s">
        <v>16</v>
      </c>
      <c r="F4797" s="2">
        <v>90</v>
      </c>
      <c r="G4797" s="2" t="s">
        <v>10016</v>
      </c>
      <c r="H4797" s="2" t="s">
        <v>4028</v>
      </c>
      <c r="I4797" s="2" t="s">
        <v>32</v>
      </c>
      <c r="J4797" s="3">
        <v>44097</v>
      </c>
      <c r="K4797" s="2">
        <v>65</v>
      </c>
      <c r="L4797" s="2" t="s">
        <v>101</v>
      </c>
      <c r="M4797" s="3"/>
    </row>
    <row r="4798" spans="1:13" x14ac:dyDescent="0.3">
      <c r="A4798" s="2">
        <v>4797</v>
      </c>
      <c r="B4798" s="2" t="s">
        <v>10017</v>
      </c>
      <c r="C4798" s="2" t="s">
        <v>3612</v>
      </c>
      <c r="D4798" s="2" t="s">
        <v>41</v>
      </c>
      <c r="E4798" s="2" t="s">
        <v>291</v>
      </c>
      <c r="F4798" s="2">
        <v>90</v>
      </c>
      <c r="G4798" s="2" t="s">
        <v>10018</v>
      </c>
      <c r="H4798" s="2" t="s">
        <v>4678</v>
      </c>
      <c r="I4798" s="2" t="s">
        <v>886</v>
      </c>
      <c r="J4798" s="3">
        <v>44613</v>
      </c>
      <c r="K4798" s="2">
        <v>22</v>
      </c>
      <c r="L4798" s="2" t="s">
        <v>101</v>
      </c>
      <c r="M4798" s="3"/>
    </row>
    <row r="4799" spans="1:13" x14ac:dyDescent="0.3">
      <c r="A4799" s="2">
        <v>4798</v>
      </c>
      <c r="B4799" s="2" t="s">
        <v>2295</v>
      </c>
      <c r="C4799" s="2" t="s">
        <v>4722</v>
      </c>
      <c r="D4799" s="2" t="s">
        <v>15</v>
      </c>
      <c r="E4799" s="2" t="s">
        <v>16</v>
      </c>
      <c r="F4799" s="2">
        <v>90</v>
      </c>
      <c r="G4799" s="2" t="s">
        <v>10019</v>
      </c>
      <c r="H4799" s="2" t="s">
        <v>7777</v>
      </c>
      <c r="I4799" s="2" t="s">
        <v>32</v>
      </c>
      <c r="J4799" s="3">
        <v>44199</v>
      </c>
      <c r="K4799" s="2">
        <v>63</v>
      </c>
      <c r="L4799" s="2" t="s">
        <v>70</v>
      </c>
      <c r="M4799" s="3"/>
    </row>
    <row r="4800" spans="1:13" x14ac:dyDescent="0.3">
      <c r="A4800" s="2">
        <v>4799</v>
      </c>
      <c r="B4800" s="2" t="s">
        <v>4802</v>
      </c>
      <c r="C4800" s="2" t="s">
        <v>2389</v>
      </c>
      <c r="D4800" s="2" t="s">
        <v>15</v>
      </c>
      <c r="E4800" s="2" t="s">
        <v>16</v>
      </c>
      <c r="F4800" s="2">
        <v>30</v>
      </c>
      <c r="G4800" s="2" t="s">
        <v>10020</v>
      </c>
      <c r="H4800" s="2" t="s">
        <v>5167</v>
      </c>
      <c r="I4800" s="2" t="s">
        <v>32</v>
      </c>
      <c r="J4800" s="3">
        <v>44403</v>
      </c>
      <c r="K4800" s="2">
        <v>66</v>
      </c>
      <c r="L4800" s="2" t="s">
        <v>39</v>
      </c>
      <c r="M4800" s="3"/>
    </row>
    <row r="4801" spans="1:13" x14ac:dyDescent="0.3">
      <c r="A4801" s="2">
        <v>4800</v>
      </c>
      <c r="B4801" s="2" t="s">
        <v>10021</v>
      </c>
      <c r="C4801" s="2" t="s">
        <v>2941</v>
      </c>
      <c r="D4801" s="2" t="s">
        <v>51</v>
      </c>
      <c r="E4801" s="2" t="s">
        <v>16</v>
      </c>
      <c r="F4801" s="2">
        <v>90</v>
      </c>
      <c r="G4801" s="2" t="s">
        <v>10022</v>
      </c>
      <c r="H4801" s="2" t="s">
        <v>655</v>
      </c>
      <c r="I4801" s="2" t="s">
        <v>32</v>
      </c>
      <c r="J4801" s="3">
        <v>43878</v>
      </c>
      <c r="K4801" s="2">
        <v>52</v>
      </c>
      <c r="L4801" s="2" t="s">
        <v>45</v>
      </c>
      <c r="M4801" s="3"/>
    </row>
    <row r="4802" spans="1:13" x14ac:dyDescent="0.3">
      <c r="A4802" s="2">
        <v>4801</v>
      </c>
      <c r="B4802" s="2" t="s">
        <v>10023</v>
      </c>
      <c r="C4802" s="2" t="s">
        <v>705</v>
      </c>
      <c r="D4802" s="2" t="s">
        <v>15</v>
      </c>
      <c r="E4802" s="2" t="s">
        <v>16</v>
      </c>
      <c r="F4802" s="2">
        <v>90</v>
      </c>
      <c r="G4802" s="2" t="s">
        <v>10024</v>
      </c>
      <c r="H4802" s="2" t="s">
        <v>3996</v>
      </c>
      <c r="I4802" s="2" t="s">
        <v>294</v>
      </c>
      <c r="J4802" s="3">
        <v>44150</v>
      </c>
      <c r="K4802" s="2">
        <v>63</v>
      </c>
      <c r="L4802" s="2" t="s">
        <v>33</v>
      </c>
      <c r="M4802" s="3"/>
    </row>
    <row r="4803" spans="1:13" x14ac:dyDescent="0.3">
      <c r="A4803" s="2">
        <v>4802</v>
      </c>
      <c r="B4803" s="2" t="s">
        <v>10025</v>
      </c>
      <c r="C4803" s="2" t="s">
        <v>354</v>
      </c>
      <c r="D4803" s="2" t="s">
        <v>41</v>
      </c>
      <c r="E4803" s="2" t="s">
        <v>16</v>
      </c>
      <c r="F4803" s="2">
        <v>90</v>
      </c>
      <c r="G4803" s="2" t="s">
        <v>10026</v>
      </c>
      <c r="H4803" s="2" t="s">
        <v>3242</v>
      </c>
      <c r="I4803" s="2" t="s">
        <v>32</v>
      </c>
      <c r="J4803" s="3">
        <v>44282</v>
      </c>
      <c r="K4803" s="2">
        <v>90</v>
      </c>
      <c r="L4803" s="2" t="s">
        <v>39</v>
      </c>
      <c r="M4803" s="3"/>
    </row>
    <row r="4804" spans="1:13" x14ac:dyDescent="0.3">
      <c r="A4804" s="2">
        <v>4803</v>
      </c>
      <c r="B4804" s="2" t="s">
        <v>2743</v>
      </c>
      <c r="C4804" s="2" t="s">
        <v>5258</v>
      </c>
      <c r="D4804" s="2" t="s">
        <v>28</v>
      </c>
      <c r="E4804" s="2" t="s">
        <v>29</v>
      </c>
      <c r="F4804" s="2">
        <v>90</v>
      </c>
      <c r="G4804" s="2" t="s">
        <v>10027</v>
      </c>
      <c r="H4804" s="2" t="s">
        <v>5316</v>
      </c>
      <c r="I4804" s="2" t="s">
        <v>25</v>
      </c>
      <c r="J4804" s="3">
        <v>44522</v>
      </c>
      <c r="K4804" s="2">
        <v>33</v>
      </c>
      <c r="L4804" s="2" t="s">
        <v>20</v>
      </c>
      <c r="M4804" s="3"/>
    </row>
    <row r="4805" spans="1:13" x14ac:dyDescent="0.3">
      <c r="A4805" s="2">
        <v>4804</v>
      </c>
      <c r="B4805" s="2" t="s">
        <v>6316</v>
      </c>
      <c r="C4805" s="2" t="s">
        <v>5674</v>
      </c>
      <c r="D4805" s="2" t="s">
        <v>51</v>
      </c>
      <c r="E4805" s="2" t="s">
        <v>16</v>
      </c>
      <c r="F4805" s="2">
        <v>60</v>
      </c>
      <c r="G4805" s="2" t="s">
        <v>10028</v>
      </c>
      <c r="H4805" s="2" t="s">
        <v>1905</v>
      </c>
      <c r="I4805" s="2" t="s">
        <v>187</v>
      </c>
      <c r="J4805" s="3">
        <v>44115</v>
      </c>
      <c r="K4805" s="2">
        <v>23</v>
      </c>
      <c r="L4805" s="2" t="s">
        <v>159</v>
      </c>
      <c r="M4805" s="3"/>
    </row>
    <row r="4806" spans="1:13" x14ac:dyDescent="0.3">
      <c r="A4806" s="2">
        <v>4805</v>
      </c>
      <c r="B4806" s="2" t="s">
        <v>8548</v>
      </c>
      <c r="C4806" s="2" t="s">
        <v>2014</v>
      </c>
      <c r="D4806" s="2" t="s">
        <v>28</v>
      </c>
      <c r="E4806" s="2" t="s">
        <v>29</v>
      </c>
      <c r="F4806" s="2">
        <v>60</v>
      </c>
      <c r="G4806" s="2" t="s">
        <v>10029</v>
      </c>
      <c r="H4806" s="2" t="s">
        <v>9389</v>
      </c>
      <c r="I4806" s="2" t="s">
        <v>32</v>
      </c>
      <c r="J4806" s="3">
        <v>44337</v>
      </c>
      <c r="K4806" s="2">
        <v>88</v>
      </c>
      <c r="L4806" s="2" t="s">
        <v>64</v>
      </c>
      <c r="M4806" s="3"/>
    </row>
    <row r="4807" spans="1:13" x14ac:dyDescent="0.3">
      <c r="A4807" s="2">
        <v>4806</v>
      </c>
      <c r="B4807" s="2" t="s">
        <v>10030</v>
      </c>
      <c r="C4807" s="2" t="s">
        <v>5225</v>
      </c>
      <c r="D4807" s="2" t="s">
        <v>15</v>
      </c>
      <c r="E4807" s="2" t="s">
        <v>16</v>
      </c>
      <c r="F4807" s="2">
        <v>90</v>
      </c>
      <c r="G4807" s="2" t="s">
        <v>10031</v>
      </c>
      <c r="H4807" s="2" t="s">
        <v>4432</v>
      </c>
      <c r="I4807" s="2" t="s">
        <v>32</v>
      </c>
      <c r="J4807" s="3">
        <v>44021</v>
      </c>
      <c r="K4807" s="2">
        <v>4</v>
      </c>
      <c r="L4807" s="2" t="s">
        <v>54</v>
      </c>
      <c r="M4807" s="3"/>
    </row>
    <row r="4808" spans="1:13" x14ac:dyDescent="0.3">
      <c r="A4808" s="2">
        <v>4807</v>
      </c>
      <c r="B4808" s="2" t="s">
        <v>869</v>
      </c>
      <c r="C4808" s="2" t="s">
        <v>696</v>
      </c>
      <c r="D4808" s="2" t="s">
        <v>28</v>
      </c>
      <c r="E4808" s="2" t="s">
        <v>29</v>
      </c>
      <c r="F4808" s="2">
        <v>90</v>
      </c>
      <c r="G4808" s="2" t="s">
        <v>10032</v>
      </c>
      <c r="H4808" s="2" t="s">
        <v>1523</v>
      </c>
      <c r="I4808" s="2" t="s">
        <v>32</v>
      </c>
      <c r="J4808" s="3">
        <v>44254</v>
      </c>
      <c r="K4808" s="2">
        <v>21</v>
      </c>
      <c r="L4808" s="2" t="s">
        <v>45</v>
      </c>
      <c r="M4808" s="3"/>
    </row>
    <row r="4809" spans="1:13" x14ac:dyDescent="0.3">
      <c r="A4809" s="2">
        <v>4808</v>
      </c>
      <c r="B4809" s="2" t="s">
        <v>9085</v>
      </c>
      <c r="C4809" s="2" t="s">
        <v>4018</v>
      </c>
      <c r="D4809" s="2" t="s">
        <v>51</v>
      </c>
      <c r="E4809" s="2" t="s">
        <v>16</v>
      </c>
      <c r="F4809" s="2">
        <v>60</v>
      </c>
      <c r="G4809" s="2" t="s">
        <v>10033</v>
      </c>
      <c r="H4809" s="2" t="s">
        <v>5301</v>
      </c>
      <c r="I4809" s="2" t="s">
        <v>173</v>
      </c>
      <c r="J4809" s="3">
        <v>43852</v>
      </c>
      <c r="K4809" s="2">
        <v>42</v>
      </c>
      <c r="L4809" s="2" t="s">
        <v>33</v>
      </c>
      <c r="M4809" s="3"/>
    </row>
    <row r="4810" spans="1:13" x14ac:dyDescent="0.3">
      <c r="A4810" s="2">
        <v>4809</v>
      </c>
      <c r="B4810" s="2" t="s">
        <v>1788</v>
      </c>
      <c r="C4810" s="2" t="s">
        <v>9225</v>
      </c>
      <c r="D4810" s="2" t="s">
        <v>28</v>
      </c>
      <c r="E4810" s="2" t="s">
        <v>29</v>
      </c>
      <c r="F4810" s="2">
        <v>90</v>
      </c>
      <c r="G4810" s="2" t="s">
        <v>10034</v>
      </c>
      <c r="H4810" s="2" t="s">
        <v>2354</v>
      </c>
      <c r="I4810" s="2" t="s">
        <v>178</v>
      </c>
      <c r="J4810" s="3">
        <v>44203</v>
      </c>
      <c r="K4810" s="2">
        <v>12</v>
      </c>
      <c r="L4810" s="2" t="s">
        <v>39</v>
      </c>
      <c r="M4810" s="3"/>
    </row>
    <row r="4811" spans="1:13" x14ac:dyDescent="0.3">
      <c r="A4811" s="2">
        <v>4810</v>
      </c>
      <c r="B4811" s="2" t="s">
        <v>765</v>
      </c>
      <c r="C4811" s="2" t="s">
        <v>2434</v>
      </c>
      <c r="D4811" s="2" t="s">
        <v>28</v>
      </c>
      <c r="E4811" s="2" t="s">
        <v>29</v>
      </c>
      <c r="F4811" s="2">
        <v>60</v>
      </c>
      <c r="G4811" s="2" t="s">
        <v>10035</v>
      </c>
      <c r="H4811" s="2" t="s">
        <v>315</v>
      </c>
      <c r="I4811" s="2" t="s">
        <v>32</v>
      </c>
      <c r="J4811" s="3">
        <v>44667</v>
      </c>
      <c r="K4811" s="2">
        <v>88</v>
      </c>
      <c r="L4811" s="2" t="s">
        <v>54</v>
      </c>
      <c r="M4811" s="3"/>
    </row>
    <row r="4812" spans="1:13" x14ac:dyDescent="0.3">
      <c r="A4812" s="2">
        <v>4811</v>
      </c>
      <c r="B4812" s="2" t="s">
        <v>10036</v>
      </c>
      <c r="C4812" s="2" t="s">
        <v>774</v>
      </c>
      <c r="D4812" s="2" t="s">
        <v>28</v>
      </c>
      <c r="E4812" s="2" t="s">
        <v>29</v>
      </c>
      <c r="F4812" s="2">
        <v>60</v>
      </c>
      <c r="G4812" s="2" t="s">
        <v>10037</v>
      </c>
      <c r="H4812" s="2" t="s">
        <v>1712</v>
      </c>
      <c r="I4812" s="2" t="s">
        <v>187</v>
      </c>
      <c r="J4812" s="3">
        <v>44486</v>
      </c>
      <c r="K4812" s="2">
        <v>50</v>
      </c>
      <c r="L4812" s="2" t="s">
        <v>80</v>
      </c>
      <c r="M4812" s="3"/>
    </row>
    <row r="4813" spans="1:13" x14ac:dyDescent="0.3">
      <c r="A4813" s="2">
        <v>4812</v>
      </c>
      <c r="B4813" s="2" t="s">
        <v>10038</v>
      </c>
      <c r="C4813" s="2" t="s">
        <v>10039</v>
      </c>
      <c r="D4813" s="2" t="s">
        <v>15</v>
      </c>
      <c r="E4813" s="2" t="s">
        <v>273</v>
      </c>
      <c r="F4813" s="2">
        <v>60</v>
      </c>
      <c r="G4813" s="2" t="s">
        <v>10040</v>
      </c>
      <c r="H4813" s="2" t="s">
        <v>139</v>
      </c>
      <c r="I4813" s="2" t="s">
        <v>2593</v>
      </c>
      <c r="J4813" s="3">
        <v>44905</v>
      </c>
      <c r="K4813" s="2">
        <v>45</v>
      </c>
      <c r="L4813" s="2" t="s">
        <v>39</v>
      </c>
      <c r="M4813" s="3"/>
    </row>
    <row r="4814" spans="1:13" x14ac:dyDescent="0.3">
      <c r="A4814" s="2">
        <v>4813</v>
      </c>
      <c r="B4814" s="2" t="s">
        <v>5644</v>
      </c>
      <c r="C4814" s="2" t="s">
        <v>5807</v>
      </c>
      <c r="D4814" s="2" t="s">
        <v>28</v>
      </c>
      <c r="E4814" s="2" t="s">
        <v>29</v>
      </c>
      <c r="F4814" s="2">
        <v>60</v>
      </c>
      <c r="G4814" s="2" t="s">
        <v>10041</v>
      </c>
      <c r="H4814" s="2" t="s">
        <v>3702</v>
      </c>
      <c r="I4814" s="2" t="s">
        <v>25</v>
      </c>
      <c r="J4814" s="3">
        <v>44857</v>
      </c>
      <c r="K4814" s="2">
        <v>14</v>
      </c>
      <c r="L4814" s="2" t="s">
        <v>159</v>
      </c>
      <c r="M4814" s="3"/>
    </row>
    <row r="4815" spans="1:13" x14ac:dyDescent="0.3">
      <c r="A4815" s="2">
        <v>4814</v>
      </c>
      <c r="B4815" s="2" t="s">
        <v>4130</v>
      </c>
      <c r="C4815" s="2" t="s">
        <v>9134</v>
      </c>
      <c r="D4815" s="2" t="s">
        <v>15</v>
      </c>
      <c r="E4815" s="2" t="s">
        <v>16</v>
      </c>
      <c r="F4815" s="2">
        <v>60</v>
      </c>
      <c r="G4815" s="2" t="s">
        <v>10042</v>
      </c>
      <c r="H4815" s="2" t="s">
        <v>1834</v>
      </c>
      <c r="I4815" s="2" t="s">
        <v>32</v>
      </c>
      <c r="J4815" s="3">
        <v>44300</v>
      </c>
      <c r="K4815" s="2">
        <v>16</v>
      </c>
      <c r="L4815" s="2" t="s">
        <v>80</v>
      </c>
      <c r="M4815" s="3"/>
    </row>
    <row r="4816" spans="1:13" x14ac:dyDescent="0.3">
      <c r="A4816" s="2">
        <v>4815</v>
      </c>
      <c r="B4816" s="2" t="s">
        <v>3425</v>
      </c>
      <c r="C4816" s="2" t="s">
        <v>1645</v>
      </c>
      <c r="D4816" s="2" t="s">
        <v>15</v>
      </c>
      <c r="E4816" s="2" t="s">
        <v>16</v>
      </c>
      <c r="F4816" s="2">
        <v>30</v>
      </c>
      <c r="G4816" s="2" t="s">
        <v>10043</v>
      </c>
      <c r="H4816" s="2" t="s">
        <v>5758</v>
      </c>
      <c r="I4816" s="2" t="s">
        <v>32</v>
      </c>
      <c r="J4816" s="3">
        <v>44353</v>
      </c>
      <c r="K4816" s="2">
        <v>20</v>
      </c>
      <c r="L4816" s="2" t="s">
        <v>20</v>
      </c>
      <c r="M4816" s="3"/>
    </row>
    <row r="4817" spans="1:13" x14ac:dyDescent="0.3">
      <c r="A4817" s="2">
        <v>4816</v>
      </c>
      <c r="B4817" s="2" t="s">
        <v>6699</v>
      </c>
      <c r="C4817" s="2" t="s">
        <v>5645</v>
      </c>
      <c r="D4817" s="2" t="s">
        <v>28</v>
      </c>
      <c r="E4817" s="2" t="s">
        <v>29</v>
      </c>
      <c r="F4817" s="2">
        <v>90</v>
      </c>
      <c r="G4817" s="2" t="s">
        <v>10044</v>
      </c>
      <c r="H4817" s="2" t="s">
        <v>4409</v>
      </c>
      <c r="I4817" s="2" t="s">
        <v>294</v>
      </c>
      <c r="J4817" s="3">
        <v>44829</v>
      </c>
      <c r="K4817" s="2">
        <v>60</v>
      </c>
      <c r="L4817" s="2" t="s">
        <v>159</v>
      </c>
      <c r="M4817" s="3"/>
    </row>
    <row r="4818" spans="1:13" x14ac:dyDescent="0.3">
      <c r="A4818" s="2">
        <v>4817</v>
      </c>
      <c r="B4818" s="2" t="s">
        <v>390</v>
      </c>
      <c r="C4818" s="2" t="s">
        <v>3019</v>
      </c>
      <c r="D4818" s="2" t="s">
        <v>28</v>
      </c>
      <c r="E4818" s="2" t="s">
        <v>29</v>
      </c>
      <c r="F4818" s="2">
        <v>30</v>
      </c>
      <c r="G4818" s="2" t="s">
        <v>10045</v>
      </c>
      <c r="H4818" s="2" t="s">
        <v>1099</v>
      </c>
      <c r="I4818" s="2" t="s">
        <v>25</v>
      </c>
      <c r="J4818" s="3">
        <v>44887</v>
      </c>
      <c r="K4818" s="2">
        <v>2</v>
      </c>
      <c r="L4818" s="2" t="s">
        <v>70</v>
      </c>
      <c r="M4818" s="3"/>
    </row>
    <row r="4819" spans="1:13" x14ac:dyDescent="0.3">
      <c r="A4819" s="2">
        <v>4818</v>
      </c>
      <c r="B4819" s="2" t="s">
        <v>5772</v>
      </c>
      <c r="C4819" s="2" t="s">
        <v>4994</v>
      </c>
      <c r="D4819" s="2" t="s">
        <v>28</v>
      </c>
      <c r="E4819" s="2" t="s">
        <v>29</v>
      </c>
      <c r="F4819" s="2">
        <v>60</v>
      </c>
      <c r="G4819" s="2" t="s">
        <v>10046</v>
      </c>
      <c r="H4819" s="2" t="s">
        <v>3793</v>
      </c>
      <c r="I4819" s="2" t="s">
        <v>173</v>
      </c>
      <c r="J4819" s="3">
        <v>44596</v>
      </c>
      <c r="K4819" s="2">
        <v>23</v>
      </c>
      <c r="L4819" s="2" t="s">
        <v>33</v>
      </c>
      <c r="M4819" s="3"/>
    </row>
    <row r="4820" spans="1:13" x14ac:dyDescent="0.3">
      <c r="A4820" s="2">
        <v>4819</v>
      </c>
      <c r="B4820" s="2" t="s">
        <v>196</v>
      </c>
      <c r="C4820" s="2" t="s">
        <v>7073</v>
      </c>
      <c r="D4820" s="2" t="s">
        <v>28</v>
      </c>
      <c r="E4820" s="2" t="s">
        <v>29</v>
      </c>
      <c r="F4820" s="2">
        <v>90</v>
      </c>
      <c r="G4820" s="2" t="s">
        <v>10046</v>
      </c>
      <c r="H4820" s="2" t="s">
        <v>4479</v>
      </c>
      <c r="I4820" s="2" t="s">
        <v>32</v>
      </c>
      <c r="J4820" s="3">
        <v>44793</v>
      </c>
      <c r="K4820" s="2">
        <v>4</v>
      </c>
      <c r="L4820" s="2" t="s">
        <v>80</v>
      </c>
      <c r="M4820" s="3"/>
    </row>
    <row r="4821" spans="1:13" x14ac:dyDescent="0.3">
      <c r="A4821" s="2">
        <v>4820</v>
      </c>
      <c r="B4821" s="2" t="s">
        <v>10047</v>
      </c>
      <c r="C4821" s="2" t="s">
        <v>4439</v>
      </c>
      <c r="D4821" s="2" t="s">
        <v>51</v>
      </c>
      <c r="E4821" s="2" t="s">
        <v>16</v>
      </c>
      <c r="F4821" s="2">
        <v>90</v>
      </c>
      <c r="G4821" s="2" t="s">
        <v>10048</v>
      </c>
      <c r="H4821" s="2" t="s">
        <v>1660</v>
      </c>
      <c r="I4821" s="2" t="s">
        <v>32</v>
      </c>
      <c r="J4821" s="3">
        <v>44612</v>
      </c>
      <c r="K4821" s="2">
        <v>5</v>
      </c>
      <c r="L4821" s="2" t="s">
        <v>39</v>
      </c>
      <c r="M4821" s="3"/>
    </row>
    <row r="4822" spans="1:13" x14ac:dyDescent="0.3">
      <c r="A4822" s="2">
        <v>4821</v>
      </c>
      <c r="B4822" s="2" t="s">
        <v>6378</v>
      </c>
      <c r="C4822" s="2" t="s">
        <v>3564</v>
      </c>
      <c r="D4822" s="2" t="s">
        <v>28</v>
      </c>
      <c r="E4822" s="2" t="s">
        <v>29</v>
      </c>
      <c r="F4822" s="2">
        <v>60</v>
      </c>
      <c r="G4822" s="2" t="s">
        <v>10049</v>
      </c>
      <c r="H4822" s="2" t="s">
        <v>1064</v>
      </c>
      <c r="I4822" s="2" t="s">
        <v>886</v>
      </c>
      <c r="J4822" s="3">
        <v>44335</v>
      </c>
      <c r="K4822" s="2">
        <v>29</v>
      </c>
      <c r="L4822" s="2" t="s">
        <v>45</v>
      </c>
      <c r="M4822" s="3"/>
    </row>
    <row r="4823" spans="1:13" x14ac:dyDescent="0.3">
      <c r="A4823" s="2">
        <v>4822</v>
      </c>
      <c r="B4823" s="2" t="s">
        <v>7960</v>
      </c>
      <c r="C4823" s="2" t="s">
        <v>1923</v>
      </c>
      <c r="D4823" s="2" t="s">
        <v>51</v>
      </c>
      <c r="E4823" s="2" t="s">
        <v>16</v>
      </c>
      <c r="F4823" s="2">
        <v>30</v>
      </c>
      <c r="G4823" s="2" t="s">
        <v>10050</v>
      </c>
      <c r="H4823" s="2" t="s">
        <v>7008</v>
      </c>
      <c r="I4823" s="2" t="s">
        <v>25</v>
      </c>
      <c r="J4823" s="3">
        <v>44694</v>
      </c>
      <c r="K4823" s="2">
        <v>61</v>
      </c>
      <c r="L4823" s="2" t="s">
        <v>64</v>
      </c>
      <c r="M4823" s="3"/>
    </row>
    <row r="4824" spans="1:13" x14ac:dyDescent="0.3">
      <c r="A4824" s="2">
        <v>4823</v>
      </c>
      <c r="B4824" s="2" t="s">
        <v>4897</v>
      </c>
      <c r="C4824" s="2" t="s">
        <v>10051</v>
      </c>
      <c r="D4824" s="2" t="s">
        <v>28</v>
      </c>
      <c r="E4824" s="2" t="s">
        <v>29</v>
      </c>
      <c r="F4824" s="2">
        <v>90</v>
      </c>
      <c r="G4824" s="2" t="s">
        <v>10052</v>
      </c>
      <c r="H4824" s="2" t="s">
        <v>487</v>
      </c>
      <c r="I4824" s="2" t="s">
        <v>32</v>
      </c>
      <c r="J4824" s="3">
        <v>44174</v>
      </c>
      <c r="K4824" s="2">
        <v>4</v>
      </c>
      <c r="L4824" s="2" t="s">
        <v>64</v>
      </c>
      <c r="M4824" s="3"/>
    </row>
    <row r="4825" spans="1:13" x14ac:dyDescent="0.3">
      <c r="A4825" s="2">
        <v>4824</v>
      </c>
      <c r="B4825" s="2" t="s">
        <v>10053</v>
      </c>
      <c r="C4825" s="2" t="s">
        <v>410</v>
      </c>
      <c r="D4825" s="2" t="s">
        <v>15</v>
      </c>
      <c r="E4825" s="2" t="s">
        <v>16</v>
      </c>
      <c r="F4825" s="2">
        <v>60</v>
      </c>
      <c r="G4825" s="2" t="s">
        <v>10054</v>
      </c>
      <c r="H4825" s="2" t="s">
        <v>1011</v>
      </c>
      <c r="I4825" s="2" t="s">
        <v>32</v>
      </c>
      <c r="J4825" s="3">
        <v>44182</v>
      </c>
      <c r="K4825" s="2">
        <v>69</v>
      </c>
      <c r="L4825" s="2" t="s">
        <v>20</v>
      </c>
      <c r="M4825" s="3"/>
    </row>
    <row r="4826" spans="1:13" x14ac:dyDescent="0.3">
      <c r="A4826" s="2">
        <v>4825</v>
      </c>
      <c r="B4826" s="2" t="s">
        <v>3310</v>
      </c>
      <c r="C4826" s="2" t="s">
        <v>1380</v>
      </c>
      <c r="D4826" s="2" t="s">
        <v>28</v>
      </c>
      <c r="E4826" s="2" t="s">
        <v>3276</v>
      </c>
      <c r="F4826" s="2">
        <v>60</v>
      </c>
      <c r="G4826" s="2" t="s">
        <v>10055</v>
      </c>
      <c r="H4826" s="2" t="s">
        <v>738</v>
      </c>
      <c r="I4826" s="2" t="s">
        <v>38</v>
      </c>
      <c r="J4826" s="3">
        <v>44755</v>
      </c>
      <c r="K4826" s="2">
        <v>88</v>
      </c>
      <c r="L4826" s="2" t="s">
        <v>64</v>
      </c>
      <c r="M4826" s="3"/>
    </row>
    <row r="4827" spans="1:13" x14ac:dyDescent="0.3">
      <c r="A4827" s="2">
        <v>4826</v>
      </c>
      <c r="B4827" s="2" t="s">
        <v>10056</v>
      </c>
      <c r="C4827" s="2" t="s">
        <v>126</v>
      </c>
      <c r="D4827" s="2" t="s">
        <v>28</v>
      </c>
      <c r="E4827" s="2" t="s">
        <v>29</v>
      </c>
      <c r="F4827" s="2">
        <v>60</v>
      </c>
      <c r="G4827" s="2" t="s">
        <v>10057</v>
      </c>
      <c r="H4827" s="2" t="s">
        <v>408</v>
      </c>
      <c r="I4827" s="2" t="s">
        <v>25</v>
      </c>
      <c r="J4827" s="3">
        <v>43856</v>
      </c>
      <c r="K4827" s="2">
        <v>35</v>
      </c>
      <c r="L4827" s="2" t="s">
        <v>101</v>
      </c>
      <c r="M4827" s="3"/>
    </row>
    <row r="4828" spans="1:13" x14ac:dyDescent="0.3">
      <c r="A4828" s="2">
        <v>4827</v>
      </c>
      <c r="B4828" s="2" t="s">
        <v>2358</v>
      </c>
      <c r="C4828" s="2" t="s">
        <v>972</v>
      </c>
      <c r="D4828" s="2" t="s">
        <v>51</v>
      </c>
      <c r="E4828" s="2" t="s">
        <v>10058</v>
      </c>
      <c r="F4828" s="2">
        <v>30</v>
      </c>
      <c r="G4828" s="2" t="s">
        <v>10059</v>
      </c>
      <c r="H4828" s="2" t="s">
        <v>2509</v>
      </c>
      <c r="I4828" s="2" t="s">
        <v>32</v>
      </c>
      <c r="J4828" s="3">
        <v>44052</v>
      </c>
      <c r="K4828" s="2">
        <v>15</v>
      </c>
      <c r="L4828" s="2" t="s">
        <v>159</v>
      </c>
      <c r="M4828" s="3"/>
    </row>
    <row r="4829" spans="1:13" x14ac:dyDescent="0.3">
      <c r="A4829" s="2">
        <v>4828</v>
      </c>
      <c r="B4829" s="2" t="s">
        <v>4953</v>
      </c>
      <c r="C4829" s="2" t="s">
        <v>7489</v>
      </c>
      <c r="D4829" s="2" t="s">
        <v>51</v>
      </c>
      <c r="E4829" s="2" t="s">
        <v>16</v>
      </c>
      <c r="F4829" s="2">
        <v>90</v>
      </c>
      <c r="G4829" s="2" t="s">
        <v>10060</v>
      </c>
      <c r="H4829" s="2" t="s">
        <v>4739</v>
      </c>
      <c r="I4829" s="2" t="s">
        <v>59</v>
      </c>
      <c r="J4829" s="3">
        <v>44487</v>
      </c>
      <c r="K4829" s="2">
        <v>49</v>
      </c>
      <c r="L4829" s="2" t="s">
        <v>64</v>
      </c>
      <c r="M4829" s="3"/>
    </row>
    <row r="4830" spans="1:13" x14ac:dyDescent="0.3">
      <c r="A4830" s="2">
        <v>4829</v>
      </c>
      <c r="B4830" s="2" t="s">
        <v>6176</v>
      </c>
      <c r="C4830" s="2" t="s">
        <v>3447</v>
      </c>
      <c r="D4830" s="2" t="s">
        <v>28</v>
      </c>
      <c r="E4830" s="2" t="s">
        <v>29</v>
      </c>
      <c r="F4830" s="2">
        <v>60</v>
      </c>
      <c r="G4830" s="2" t="s">
        <v>10061</v>
      </c>
      <c r="H4830" s="2" t="s">
        <v>1482</v>
      </c>
      <c r="I4830" s="2" t="s">
        <v>1483</v>
      </c>
      <c r="J4830" s="3">
        <v>44352</v>
      </c>
      <c r="K4830" s="2">
        <v>37</v>
      </c>
      <c r="L4830" s="2" t="s">
        <v>54</v>
      </c>
      <c r="M4830" s="3"/>
    </row>
    <row r="4831" spans="1:13" x14ac:dyDescent="0.3">
      <c r="A4831" s="2">
        <v>4830</v>
      </c>
      <c r="B4831" s="2" t="s">
        <v>10062</v>
      </c>
      <c r="C4831" s="2" t="s">
        <v>639</v>
      </c>
      <c r="D4831" s="2" t="s">
        <v>15</v>
      </c>
      <c r="E4831" s="2" t="s">
        <v>16</v>
      </c>
      <c r="F4831" s="2">
        <v>30</v>
      </c>
      <c r="G4831" s="2" t="s">
        <v>10063</v>
      </c>
      <c r="H4831" s="2" t="s">
        <v>3303</v>
      </c>
      <c r="I4831" s="2" t="s">
        <v>294</v>
      </c>
      <c r="J4831" s="3">
        <v>44714</v>
      </c>
      <c r="K4831" s="2">
        <v>36</v>
      </c>
      <c r="L4831" s="2" t="s">
        <v>39</v>
      </c>
      <c r="M4831" s="3"/>
    </row>
    <row r="4832" spans="1:13" x14ac:dyDescent="0.3">
      <c r="A4832" s="2">
        <v>4831</v>
      </c>
      <c r="B4832" s="2" t="s">
        <v>2073</v>
      </c>
      <c r="C4832" s="2" t="s">
        <v>3927</v>
      </c>
      <c r="D4832" s="2" t="s">
        <v>28</v>
      </c>
      <c r="E4832" s="2" t="s">
        <v>29</v>
      </c>
      <c r="F4832" s="2">
        <v>30</v>
      </c>
      <c r="G4832" s="2" t="s">
        <v>10064</v>
      </c>
      <c r="H4832" s="2" t="s">
        <v>2441</v>
      </c>
      <c r="I4832" s="2" t="s">
        <v>1199</v>
      </c>
      <c r="J4832" s="3">
        <v>44231</v>
      </c>
      <c r="K4832" s="2">
        <v>55</v>
      </c>
      <c r="L4832" s="2" t="s">
        <v>39</v>
      </c>
      <c r="M4832" s="3"/>
    </row>
    <row r="4833" spans="1:13" x14ac:dyDescent="0.3">
      <c r="A4833" s="2">
        <v>4832</v>
      </c>
      <c r="B4833" s="2" t="s">
        <v>10065</v>
      </c>
      <c r="C4833" s="2" t="s">
        <v>4422</v>
      </c>
      <c r="D4833" s="2" t="s">
        <v>28</v>
      </c>
      <c r="E4833" s="2" t="s">
        <v>29</v>
      </c>
      <c r="F4833" s="2">
        <v>90</v>
      </c>
      <c r="G4833" s="2" t="s">
        <v>10066</v>
      </c>
      <c r="H4833" s="2" t="s">
        <v>3351</v>
      </c>
      <c r="I4833" s="2" t="s">
        <v>32</v>
      </c>
      <c r="J4833" s="3">
        <v>44783</v>
      </c>
      <c r="K4833" s="2">
        <v>46</v>
      </c>
      <c r="L4833" s="2" t="s">
        <v>80</v>
      </c>
      <c r="M4833" s="3"/>
    </row>
    <row r="4834" spans="1:13" x14ac:dyDescent="0.3">
      <c r="A4834" s="2">
        <v>4833</v>
      </c>
      <c r="B4834" s="2" t="s">
        <v>2625</v>
      </c>
      <c r="C4834" s="2" t="s">
        <v>7825</v>
      </c>
      <c r="D4834" s="2" t="s">
        <v>28</v>
      </c>
      <c r="E4834" s="2" t="s">
        <v>29</v>
      </c>
      <c r="F4834" s="2">
        <v>90</v>
      </c>
      <c r="G4834" s="2" t="s">
        <v>10067</v>
      </c>
      <c r="H4834" s="2" t="s">
        <v>4541</v>
      </c>
      <c r="I4834" s="2" t="s">
        <v>89</v>
      </c>
      <c r="J4834" s="3">
        <v>44882</v>
      </c>
      <c r="K4834" s="2">
        <v>11</v>
      </c>
      <c r="L4834" s="2" t="s">
        <v>159</v>
      </c>
      <c r="M4834" s="3"/>
    </row>
    <row r="4835" spans="1:13" x14ac:dyDescent="0.3">
      <c r="A4835" s="2">
        <v>4834</v>
      </c>
      <c r="B4835" s="2" t="s">
        <v>3910</v>
      </c>
      <c r="C4835" s="2" t="s">
        <v>2365</v>
      </c>
      <c r="D4835" s="2" t="s">
        <v>28</v>
      </c>
      <c r="E4835" s="2" t="s">
        <v>3565</v>
      </c>
      <c r="F4835" s="2">
        <v>90</v>
      </c>
      <c r="G4835" s="2" t="s">
        <v>10068</v>
      </c>
      <c r="H4835" s="2" t="s">
        <v>10069</v>
      </c>
      <c r="I4835" s="2" t="s">
        <v>32</v>
      </c>
      <c r="J4835" s="3">
        <v>44752</v>
      </c>
      <c r="K4835" s="2">
        <v>79</v>
      </c>
      <c r="L4835" s="2" t="s">
        <v>80</v>
      </c>
      <c r="M4835" s="3"/>
    </row>
    <row r="4836" spans="1:13" x14ac:dyDescent="0.3">
      <c r="A4836" s="2">
        <v>4835</v>
      </c>
      <c r="B4836" s="2" t="s">
        <v>7838</v>
      </c>
      <c r="C4836" s="2" t="s">
        <v>2095</v>
      </c>
      <c r="D4836" s="2" t="s">
        <v>28</v>
      </c>
      <c r="E4836" s="2" t="s">
        <v>29</v>
      </c>
      <c r="F4836" s="2">
        <v>90</v>
      </c>
      <c r="G4836" s="2" t="s">
        <v>10070</v>
      </c>
      <c r="H4836" s="2" t="s">
        <v>9561</v>
      </c>
      <c r="I4836" s="2" t="s">
        <v>913</v>
      </c>
      <c r="J4836" s="3">
        <v>44543</v>
      </c>
      <c r="K4836" s="2">
        <v>77</v>
      </c>
      <c r="L4836" s="2" t="s">
        <v>80</v>
      </c>
      <c r="M4836" s="3"/>
    </row>
    <row r="4837" spans="1:13" x14ac:dyDescent="0.3">
      <c r="A4837" s="2">
        <v>4836</v>
      </c>
      <c r="B4837" s="2" t="s">
        <v>10071</v>
      </c>
      <c r="C4837" s="2" t="s">
        <v>6447</v>
      </c>
      <c r="D4837" s="2" t="s">
        <v>51</v>
      </c>
      <c r="E4837" s="2" t="s">
        <v>16</v>
      </c>
      <c r="F4837" s="2">
        <v>90</v>
      </c>
      <c r="G4837" s="2" t="s">
        <v>10072</v>
      </c>
      <c r="H4837" s="2" t="s">
        <v>510</v>
      </c>
      <c r="I4837" s="2" t="s">
        <v>32</v>
      </c>
      <c r="J4837" s="3">
        <v>44808</v>
      </c>
      <c r="K4837" s="2">
        <v>24</v>
      </c>
      <c r="L4837" s="2" t="s">
        <v>45</v>
      </c>
      <c r="M4837" s="3"/>
    </row>
    <row r="4838" spans="1:13" x14ac:dyDescent="0.3">
      <c r="A4838" s="2">
        <v>4837</v>
      </c>
      <c r="B4838" s="2" t="s">
        <v>6975</v>
      </c>
      <c r="C4838" s="2" t="s">
        <v>210</v>
      </c>
      <c r="D4838" s="2" t="s">
        <v>15</v>
      </c>
      <c r="E4838" s="2" t="s">
        <v>16</v>
      </c>
      <c r="F4838" s="2">
        <v>90</v>
      </c>
      <c r="G4838" s="2" t="s">
        <v>10073</v>
      </c>
      <c r="H4838" s="2" t="s">
        <v>1258</v>
      </c>
      <c r="I4838" s="2" t="s">
        <v>32</v>
      </c>
      <c r="J4838" s="3">
        <v>44832</v>
      </c>
      <c r="K4838" s="2">
        <v>33</v>
      </c>
      <c r="L4838" s="2" t="s">
        <v>64</v>
      </c>
      <c r="M4838" s="3"/>
    </row>
    <row r="4839" spans="1:13" x14ac:dyDescent="0.3">
      <c r="A4839" s="2">
        <v>4838</v>
      </c>
      <c r="B4839" s="2" t="s">
        <v>6975</v>
      </c>
      <c r="C4839" s="2" t="s">
        <v>210</v>
      </c>
      <c r="D4839" s="2" t="s">
        <v>15</v>
      </c>
      <c r="E4839" s="2" t="s">
        <v>16</v>
      </c>
      <c r="F4839" s="2">
        <v>90</v>
      </c>
      <c r="G4839" s="2" t="s">
        <v>10073</v>
      </c>
      <c r="H4839" s="2" t="s">
        <v>1258</v>
      </c>
      <c r="I4839" s="2" t="s">
        <v>32</v>
      </c>
      <c r="J4839" s="3">
        <v>44832</v>
      </c>
      <c r="K4839" s="2">
        <v>33</v>
      </c>
      <c r="L4839" s="2" t="s">
        <v>64</v>
      </c>
      <c r="M4839" s="3"/>
    </row>
    <row r="4840" spans="1:13" x14ac:dyDescent="0.3">
      <c r="A4840" s="2">
        <v>4839</v>
      </c>
      <c r="B4840" s="2" t="s">
        <v>1363</v>
      </c>
      <c r="C4840" s="2" t="s">
        <v>3439</v>
      </c>
      <c r="D4840" s="2" t="s">
        <v>621</v>
      </c>
      <c r="E4840" s="2" t="s">
        <v>29</v>
      </c>
      <c r="F4840" s="2">
        <v>90</v>
      </c>
      <c r="G4840" s="2" t="s">
        <v>10074</v>
      </c>
      <c r="H4840" s="2" t="s">
        <v>708</v>
      </c>
      <c r="I4840" s="2" t="s">
        <v>294</v>
      </c>
      <c r="J4840" s="3">
        <v>44056</v>
      </c>
      <c r="K4840" s="2">
        <v>59</v>
      </c>
      <c r="L4840" s="2" t="s">
        <v>39</v>
      </c>
      <c r="M4840" s="3"/>
    </row>
    <row r="4841" spans="1:13" x14ac:dyDescent="0.3">
      <c r="A4841" s="2">
        <v>4840</v>
      </c>
      <c r="B4841" s="2" t="s">
        <v>10075</v>
      </c>
      <c r="C4841" s="2" t="s">
        <v>2438</v>
      </c>
      <c r="D4841" s="2" t="s">
        <v>41</v>
      </c>
      <c r="E4841" s="2" t="s">
        <v>16</v>
      </c>
      <c r="F4841" s="2">
        <v>30</v>
      </c>
      <c r="G4841" s="2" t="s">
        <v>10076</v>
      </c>
      <c r="H4841" s="2" t="s">
        <v>641</v>
      </c>
      <c r="I4841" s="2" t="s">
        <v>294</v>
      </c>
      <c r="J4841" s="3">
        <v>44574</v>
      </c>
      <c r="K4841" s="2">
        <v>7</v>
      </c>
      <c r="L4841" s="2" t="s">
        <v>54</v>
      </c>
      <c r="M4841" s="3"/>
    </row>
    <row r="4842" spans="1:13" x14ac:dyDescent="0.3">
      <c r="A4842" s="2">
        <v>4841</v>
      </c>
      <c r="B4842" s="2" t="s">
        <v>10077</v>
      </c>
      <c r="C4842" s="2" t="s">
        <v>1072</v>
      </c>
      <c r="D4842" s="2" t="s">
        <v>51</v>
      </c>
      <c r="E4842" s="2" t="s">
        <v>16</v>
      </c>
      <c r="F4842" s="2">
        <v>60</v>
      </c>
      <c r="G4842" s="2" t="s">
        <v>10078</v>
      </c>
      <c r="H4842" s="2" t="s">
        <v>5399</v>
      </c>
      <c r="I4842" s="2" t="s">
        <v>32</v>
      </c>
      <c r="J4842" s="3">
        <v>44291</v>
      </c>
      <c r="K4842" s="2">
        <v>75</v>
      </c>
      <c r="L4842" s="2" t="s">
        <v>45</v>
      </c>
      <c r="M4842" s="3"/>
    </row>
    <row r="4843" spans="1:13" x14ac:dyDescent="0.3">
      <c r="A4843" s="2">
        <v>4842</v>
      </c>
      <c r="B4843" s="2" t="s">
        <v>10079</v>
      </c>
      <c r="C4843" s="2" t="s">
        <v>5590</v>
      </c>
      <c r="D4843" s="2" t="s">
        <v>51</v>
      </c>
      <c r="E4843" s="2" t="s">
        <v>16</v>
      </c>
      <c r="F4843" s="2">
        <v>90</v>
      </c>
      <c r="G4843" s="2" t="s">
        <v>10080</v>
      </c>
      <c r="H4843" s="2" t="s">
        <v>2877</v>
      </c>
      <c r="I4843" s="2" t="s">
        <v>2878</v>
      </c>
      <c r="J4843" s="3">
        <v>44622</v>
      </c>
      <c r="K4843" s="2">
        <v>54</v>
      </c>
      <c r="L4843" s="2" t="s">
        <v>159</v>
      </c>
      <c r="M4843" s="3"/>
    </row>
    <row r="4844" spans="1:13" x14ac:dyDescent="0.3">
      <c r="A4844" s="2">
        <v>4843</v>
      </c>
      <c r="B4844" s="2" t="s">
        <v>5702</v>
      </c>
      <c r="C4844" s="2" t="s">
        <v>1783</v>
      </c>
      <c r="D4844" s="2" t="s">
        <v>28</v>
      </c>
      <c r="E4844" s="2" t="s">
        <v>29</v>
      </c>
      <c r="F4844" s="2">
        <v>90</v>
      </c>
      <c r="G4844" s="2" t="s">
        <v>10081</v>
      </c>
      <c r="H4844" s="2" t="s">
        <v>710</v>
      </c>
      <c r="I4844" s="2" t="s">
        <v>187</v>
      </c>
      <c r="J4844" s="3">
        <v>44703</v>
      </c>
      <c r="K4844" s="2">
        <v>78</v>
      </c>
      <c r="L4844" s="2" t="s">
        <v>80</v>
      </c>
      <c r="M4844" s="3"/>
    </row>
    <row r="4845" spans="1:13" x14ac:dyDescent="0.3">
      <c r="A4845" s="2">
        <v>4844</v>
      </c>
      <c r="B4845" s="2" t="s">
        <v>6598</v>
      </c>
      <c r="C4845" s="2" t="s">
        <v>1835</v>
      </c>
      <c r="D4845" s="2" t="s">
        <v>15</v>
      </c>
      <c r="E4845" s="2" t="s">
        <v>16</v>
      </c>
      <c r="F4845" s="2">
        <v>90</v>
      </c>
      <c r="G4845" s="2" t="s">
        <v>10082</v>
      </c>
      <c r="H4845" s="2" t="s">
        <v>7946</v>
      </c>
      <c r="I4845" s="2" t="s">
        <v>32</v>
      </c>
      <c r="J4845" s="3">
        <v>44581</v>
      </c>
      <c r="K4845" s="2">
        <v>46</v>
      </c>
      <c r="L4845" s="2" t="s">
        <v>101</v>
      </c>
      <c r="M4845" s="3"/>
    </row>
    <row r="4846" spans="1:13" x14ac:dyDescent="0.3">
      <c r="A4846" s="2">
        <v>4845</v>
      </c>
      <c r="B4846" s="2" t="s">
        <v>5972</v>
      </c>
      <c r="C4846" s="2" t="s">
        <v>3496</v>
      </c>
      <c r="D4846" s="2" t="s">
        <v>92</v>
      </c>
      <c r="E4846" s="2" t="s">
        <v>29</v>
      </c>
      <c r="F4846" s="2">
        <v>90</v>
      </c>
      <c r="G4846" s="2" t="s">
        <v>10083</v>
      </c>
      <c r="H4846" s="2" t="s">
        <v>3215</v>
      </c>
      <c r="I4846" s="2" t="s">
        <v>32</v>
      </c>
      <c r="J4846" s="3">
        <v>44354</v>
      </c>
      <c r="K4846" s="2">
        <v>6</v>
      </c>
      <c r="L4846" s="2" t="s">
        <v>64</v>
      </c>
      <c r="M4846" s="3"/>
    </row>
    <row r="4847" spans="1:13" x14ac:dyDescent="0.3">
      <c r="A4847" s="2">
        <v>4846</v>
      </c>
      <c r="B4847" s="2" t="s">
        <v>3910</v>
      </c>
      <c r="C4847" s="2" t="s">
        <v>840</v>
      </c>
      <c r="D4847" s="2" t="s">
        <v>28</v>
      </c>
      <c r="E4847" s="2" t="s">
        <v>29</v>
      </c>
      <c r="F4847" s="2">
        <v>90</v>
      </c>
      <c r="G4847" s="2" t="s">
        <v>10084</v>
      </c>
      <c r="H4847" s="2" t="s">
        <v>1095</v>
      </c>
      <c r="I4847" s="2" t="s">
        <v>178</v>
      </c>
      <c r="J4847" s="3">
        <v>44384</v>
      </c>
      <c r="K4847" s="2">
        <v>53</v>
      </c>
      <c r="L4847" s="2" t="s">
        <v>33</v>
      </c>
      <c r="M4847" s="3"/>
    </row>
    <row r="4848" spans="1:13" x14ac:dyDescent="0.3">
      <c r="A4848" s="2">
        <v>4847</v>
      </c>
      <c r="B4848" s="2" t="s">
        <v>1030</v>
      </c>
      <c r="C4848" s="2" t="s">
        <v>8721</v>
      </c>
      <c r="D4848" s="2" t="s">
        <v>28</v>
      </c>
      <c r="E4848" s="2" t="s">
        <v>29</v>
      </c>
      <c r="F4848" s="2">
        <v>60</v>
      </c>
      <c r="G4848" s="2" t="s">
        <v>10085</v>
      </c>
      <c r="H4848" s="2" t="s">
        <v>9418</v>
      </c>
      <c r="I4848" s="2" t="s">
        <v>1889</v>
      </c>
      <c r="J4848" s="3">
        <v>44830</v>
      </c>
      <c r="K4848" s="2">
        <v>50</v>
      </c>
      <c r="L4848" s="2" t="s">
        <v>80</v>
      </c>
      <c r="M4848" s="3"/>
    </row>
    <row r="4849" spans="1:13" x14ac:dyDescent="0.3">
      <c r="A4849" s="2">
        <v>4848</v>
      </c>
      <c r="B4849" s="2" t="s">
        <v>1375</v>
      </c>
      <c r="C4849" s="2" t="s">
        <v>3026</v>
      </c>
      <c r="D4849" s="2" t="s">
        <v>28</v>
      </c>
      <c r="E4849" s="2" t="s">
        <v>29</v>
      </c>
      <c r="F4849" s="2">
        <v>90</v>
      </c>
      <c r="G4849" s="2" t="s">
        <v>10086</v>
      </c>
      <c r="H4849" s="2" t="s">
        <v>1206</v>
      </c>
      <c r="I4849" s="2" t="s">
        <v>294</v>
      </c>
      <c r="J4849" s="3">
        <v>43918</v>
      </c>
      <c r="K4849" s="2">
        <v>19</v>
      </c>
      <c r="L4849" s="2" t="s">
        <v>80</v>
      </c>
      <c r="M4849" s="3"/>
    </row>
    <row r="4850" spans="1:13" x14ac:dyDescent="0.3">
      <c r="A4850" s="2">
        <v>4849</v>
      </c>
      <c r="B4850" s="2" t="s">
        <v>5960</v>
      </c>
      <c r="C4850" s="2" t="s">
        <v>560</v>
      </c>
      <c r="D4850" s="2" t="s">
        <v>28</v>
      </c>
      <c r="E4850" s="2" t="s">
        <v>29</v>
      </c>
      <c r="F4850" s="2">
        <v>90</v>
      </c>
      <c r="G4850" s="2" t="s">
        <v>10087</v>
      </c>
      <c r="H4850" s="2" t="s">
        <v>1660</v>
      </c>
      <c r="I4850" s="2" t="s">
        <v>32</v>
      </c>
      <c r="J4850" s="3">
        <v>44123</v>
      </c>
      <c r="K4850" s="2">
        <v>70</v>
      </c>
      <c r="L4850" s="2" t="s">
        <v>39</v>
      </c>
      <c r="M4850" s="3"/>
    </row>
    <row r="4851" spans="1:13" x14ac:dyDescent="0.3">
      <c r="A4851" s="2">
        <v>4850</v>
      </c>
      <c r="B4851" s="2" t="s">
        <v>10088</v>
      </c>
      <c r="C4851" s="2" t="s">
        <v>8026</v>
      </c>
      <c r="D4851" s="2" t="s">
        <v>92</v>
      </c>
      <c r="E4851" s="2" t="s">
        <v>7639</v>
      </c>
      <c r="F4851" s="2">
        <v>60</v>
      </c>
      <c r="G4851" s="2" t="s">
        <v>10089</v>
      </c>
      <c r="H4851" s="2" t="s">
        <v>5781</v>
      </c>
      <c r="I4851" s="2" t="s">
        <v>32</v>
      </c>
      <c r="J4851" s="3">
        <v>44274</v>
      </c>
      <c r="K4851" s="2">
        <v>2</v>
      </c>
      <c r="L4851" s="2" t="s">
        <v>20</v>
      </c>
      <c r="M4851" s="3"/>
    </row>
    <row r="4852" spans="1:13" x14ac:dyDescent="0.3">
      <c r="A4852" s="2">
        <v>4851</v>
      </c>
      <c r="B4852" s="2" t="s">
        <v>10090</v>
      </c>
      <c r="C4852" s="2" t="s">
        <v>10091</v>
      </c>
      <c r="D4852" s="2" t="s">
        <v>15</v>
      </c>
      <c r="E4852" s="2" t="s">
        <v>16</v>
      </c>
      <c r="F4852" s="2">
        <v>90</v>
      </c>
      <c r="G4852" s="2" t="s">
        <v>10092</v>
      </c>
      <c r="H4852" s="2" t="s">
        <v>4441</v>
      </c>
      <c r="I4852" s="2" t="s">
        <v>146</v>
      </c>
      <c r="J4852" s="3">
        <v>44231</v>
      </c>
      <c r="K4852" s="2">
        <v>7</v>
      </c>
      <c r="L4852" s="2" t="s">
        <v>159</v>
      </c>
      <c r="M4852" s="3"/>
    </row>
    <row r="4853" spans="1:13" x14ac:dyDescent="0.3">
      <c r="A4853" s="2">
        <v>4852</v>
      </c>
      <c r="B4853" s="2" t="s">
        <v>6858</v>
      </c>
      <c r="C4853" s="2" t="s">
        <v>2033</v>
      </c>
      <c r="D4853" s="2" t="s">
        <v>28</v>
      </c>
      <c r="E4853" s="2" t="s">
        <v>29</v>
      </c>
      <c r="F4853" s="2">
        <v>90</v>
      </c>
      <c r="G4853" s="2" t="s">
        <v>10093</v>
      </c>
      <c r="H4853" s="2" t="s">
        <v>2436</v>
      </c>
      <c r="I4853" s="2" t="s">
        <v>294</v>
      </c>
      <c r="J4853" s="3">
        <v>44072</v>
      </c>
      <c r="K4853" s="2">
        <v>57</v>
      </c>
      <c r="L4853" s="2" t="s">
        <v>39</v>
      </c>
      <c r="M4853" s="3"/>
    </row>
    <row r="4854" spans="1:13" x14ac:dyDescent="0.3">
      <c r="A4854" s="2">
        <v>4853</v>
      </c>
      <c r="B4854" s="2" t="s">
        <v>127</v>
      </c>
      <c r="C4854" s="2" t="s">
        <v>361</v>
      </c>
      <c r="D4854" s="2" t="s">
        <v>28</v>
      </c>
      <c r="E4854" s="2" t="s">
        <v>29</v>
      </c>
      <c r="F4854" s="2">
        <v>90</v>
      </c>
      <c r="G4854" s="2" t="s">
        <v>10094</v>
      </c>
      <c r="H4854" s="2" t="s">
        <v>4158</v>
      </c>
      <c r="I4854" s="2" t="s">
        <v>32</v>
      </c>
      <c r="J4854" s="3">
        <v>44787</v>
      </c>
      <c r="K4854" s="2">
        <v>90</v>
      </c>
      <c r="L4854" s="2" t="s">
        <v>33</v>
      </c>
      <c r="M4854" s="3"/>
    </row>
    <row r="4855" spans="1:13" x14ac:dyDescent="0.3">
      <c r="A4855" s="2">
        <v>4854</v>
      </c>
      <c r="B4855" s="2" t="s">
        <v>10095</v>
      </c>
      <c r="C4855" s="2" t="s">
        <v>5699</v>
      </c>
      <c r="D4855" s="2" t="s">
        <v>15</v>
      </c>
      <c r="E4855" s="2" t="s">
        <v>16</v>
      </c>
      <c r="F4855" s="2">
        <v>90</v>
      </c>
      <c r="G4855" s="2" t="s">
        <v>10096</v>
      </c>
      <c r="H4855" s="2" t="s">
        <v>4655</v>
      </c>
      <c r="I4855" s="2" t="s">
        <v>32</v>
      </c>
      <c r="J4855" s="3">
        <v>44254</v>
      </c>
      <c r="K4855" s="2">
        <v>46</v>
      </c>
      <c r="L4855" s="2" t="s">
        <v>101</v>
      </c>
      <c r="M4855" s="3"/>
    </row>
    <row r="4856" spans="1:13" x14ac:dyDescent="0.3">
      <c r="A4856" s="2">
        <v>4855</v>
      </c>
      <c r="B4856" s="2" t="s">
        <v>10097</v>
      </c>
      <c r="C4856" s="2" t="s">
        <v>5837</v>
      </c>
      <c r="D4856" s="2" t="s">
        <v>15</v>
      </c>
      <c r="E4856" s="2" t="s">
        <v>16</v>
      </c>
      <c r="F4856" s="2">
        <v>90</v>
      </c>
      <c r="G4856" s="2" t="s">
        <v>10096</v>
      </c>
      <c r="H4856" s="2" t="s">
        <v>2555</v>
      </c>
      <c r="I4856" s="2" t="s">
        <v>32</v>
      </c>
      <c r="J4856" s="3">
        <v>43840</v>
      </c>
      <c r="K4856" s="2">
        <v>79</v>
      </c>
      <c r="L4856" s="2" t="s">
        <v>70</v>
      </c>
      <c r="M4856" s="3"/>
    </row>
    <row r="4857" spans="1:13" x14ac:dyDescent="0.3">
      <c r="A4857" s="2">
        <v>4856</v>
      </c>
      <c r="B4857" s="2" t="s">
        <v>10098</v>
      </c>
      <c r="C4857" s="2" t="s">
        <v>836</v>
      </c>
      <c r="D4857" s="2" t="s">
        <v>15</v>
      </c>
      <c r="E4857" s="2" t="s">
        <v>16</v>
      </c>
      <c r="F4857" s="2">
        <v>60</v>
      </c>
      <c r="G4857" s="2" t="s">
        <v>10099</v>
      </c>
      <c r="H4857" s="2" t="s">
        <v>1605</v>
      </c>
      <c r="I4857" s="2" t="s">
        <v>32</v>
      </c>
      <c r="J4857" s="3">
        <v>43965</v>
      </c>
      <c r="K4857" s="2">
        <v>73</v>
      </c>
      <c r="L4857" s="2" t="s">
        <v>64</v>
      </c>
      <c r="M4857" s="3"/>
    </row>
    <row r="4858" spans="1:13" x14ac:dyDescent="0.3">
      <c r="A4858" s="2">
        <v>4857</v>
      </c>
      <c r="B4858" s="2" t="s">
        <v>1104</v>
      </c>
      <c r="C4858" s="2" t="s">
        <v>3439</v>
      </c>
      <c r="D4858" s="2" t="s">
        <v>28</v>
      </c>
      <c r="E4858" s="2" t="s">
        <v>29</v>
      </c>
      <c r="F4858" s="2">
        <v>60</v>
      </c>
      <c r="G4858" s="2" t="s">
        <v>10100</v>
      </c>
      <c r="H4858" s="2" t="s">
        <v>2169</v>
      </c>
      <c r="I4858" s="2" t="s">
        <v>32</v>
      </c>
      <c r="J4858" s="3">
        <v>44081</v>
      </c>
      <c r="K4858" s="2">
        <v>81</v>
      </c>
      <c r="L4858" s="2" t="s">
        <v>70</v>
      </c>
      <c r="M4858" s="3"/>
    </row>
    <row r="4859" spans="1:13" x14ac:dyDescent="0.3">
      <c r="A4859" s="2">
        <v>4858</v>
      </c>
      <c r="B4859" s="2" t="s">
        <v>1399</v>
      </c>
      <c r="C4859" s="2" t="s">
        <v>8113</v>
      </c>
      <c r="D4859" s="2" t="s">
        <v>28</v>
      </c>
      <c r="E4859" s="2" t="s">
        <v>29</v>
      </c>
      <c r="F4859" s="2">
        <v>60</v>
      </c>
      <c r="G4859" s="2" t="s">
        <v>10101</v>
      </c>
      <c r="H4859" s="2" t="s">
        <v>207</v>
      </c>
      <c r="I4859" s="2" t="s">
        <v>208</v>
      </c>
      <c r="J4859" s="3">
        <v>44270</v>
      </c>
      <c r="K4859" s="2">
        <v>43</v>
      </c>
      <c r="L4859" s="2" t="s">
        <v>54</v>
      </c>
      <c r="M4859" s="3"/>
    </row>
    <row r="4860" spans="1:13" x14ac:dyDescent="0.3">
      <c r="A4860" s="2">
        <v>4859</v>
      </c>
      <c r="B4860" s="2" t="s">
        <v>4642</v>
      </c>
      <c r="C4860" s="2" t="s">
        <v>1243</v>
      </c>
      <c r="D4860" s="2" t="s">
        <v>41</v>
      </c>
      <c r="E4860" s="2" t="s">
        <v>16</v>
      </c>
      <c r="F4860" s="2">
        <v>30</v>
      </c>
      <c r="G4860" s="2" t="s">
        <v>10102</v>
      </c>
      <c r="H4860" s="2" t="s">
        <v>1333</v>
      </c>
      <c r="I4860" s="2" t="s">
        <v>294</v>
      </c>
      <c r="J4860" s="3">
        <v>44786</v>
      </c>
      <c r="K4860" s="2">
        <v>93</v>
      </c>
      <c r="L4860" s="2" t="s">
        <v>54</v>
      </c>
      <c r="M4860" s="3"/>
    </row>
    <row r="4861" spans="1:13" x14ac:dyDescent="0.3">
      <c r="A4861" s="2">
        <v>4860</v>
      </c>
      <c r="B4861" s="2" t="s">
        <v>1985</v>
      </c>
      <c r="C4861" s="2" t="s">
        <v>7035</v>
      </c>
      <c r="D4861" s="2" t="s">
        <v>28</v>
      </c>
      <c r="E4861" s="2" t="s">
        <v>29</v>
      </c>
      <c r="F4861" s="2">
        <v>30</v>
      </c>
      <c r="G4861" s="2" t="s">
        <v>10103</v>
      </c>
      <c r="H4861" s="2" t="s">
        <v>3387</v>
      </c>
      <c r="I4861" s="2" t="s">
        <v>2878</v>
      </c>
      <c r="J4861" s="3">
        <v>43973</v>
      </c>
      <c r="K4861" s="2">
        <v>46</v>
      </c>
      <c r="L4861" s="2" t="s">
        <v>70</v>
      </c>
      <c r="M4861" s="3"/>
    </row>
    <row r="4862" spans="1:13" x14ac:dyDescent="0.3">
      <c r="A4862" s="2">
        <v>4861</v>
      </c>
      <c r="B4862" s="2" t="s">
        <v>10104</v>
      </c>
      <c r="C4862" s="2" t="s">
        <v>7962</v>
      </c>
      <c r="D4862" s="2" t="s">
        <v>51</v>
      </c>
      <c r="E4862" s="2" t="s">
        <v>16</v>
      </c>
      <c r="F4862" s="2">
        <v>90</v>
      </c>
      <c r="G4862" s="2" t="s">
        <v>10105</v>
      </c>
      <c r="H4862" s="2" t="s">
        <v>3356</v>
      </c>
      <c r="I4862" s="2" t="s">
        <v>32</v>
      </c>
      <c r="J4862" s="3">
        <v>44745</v>
      </c>
      <c r="K4862" s="2">
        <v>7</v>
      </c>
      <c r="L4862" s="2" t="s">
        <v>20</v>
      </c>
      <c r="M4862" s="3"/>
    </row>
    <row r="4863" spans="1:13" x14ac:dyDescent="0.3">
      <c r="A4863" s="2">
        <v>4862</v>
      </c>
      <c r="B4863" s="2" t="s">
        <v>10106</v>
      </c>
      <c r="C4863" s="2" t="s">
        <v>680</v>
      </c>
      <c r="D4863" s="2" t="s">
        <v>15</v>
      </c>
      <c r="E4863" s="2" t="s">
        <v>16</v>
      </c>
      <c r="F4863" s="2">
        <v>30</v>
      </c>
      <c r="G4863" s="2" t="s">
        <v>10107</v>
      </c>
      <c r="H4863" s="2" t="s">
        <v>1332</v>
      </c>
      <c r="I4863" s="2" t="s">
        <v>32</v>
      </c>
      <c r="J4863" s="3">
        <v>44360</v>
      </c>
      <c r="K4863" s="2">
        <v>91</v>
      </c>
      <c r="L4863" s="2" t="s">
        <v>80</v>
      </c>
      <c r="M4863" s="3"/>
    </row>
    <row r="4864" spans="1:13" x14ac:dyDescent="0.3">
      <c r="A4864" s="2">
        <v>4863</v>
      </c>
      <c r="B4864" s="2" t="s">
        <v>10108</v>
      </c>
      <c r="C4864" s="2" t="s">
        <v>5653</v>
      </c>
      <c r="D4864" s="2" t="s">
        <v>15</v>
      </c>
      <c r="E4864" s="2" t="s">
        <v>16</v>
      </c>
      <c r="F4864" s="2">
        <v>90</v>
      </c>
      <c r="G4864" s="2" t="s">
        <v>136</v>
      </c>
      <c r="H4864" s="2" t="s">
        <v>3462</v>
      </c>
      <c r="I4864" s="2" t="s">
        <v>32</v>
      </c>
      <c r="J4864" s="3">
        <v>43861</v>
      </c>
      <c r="K4864" s="2">
        <v>2</v>
      </c>
      <c r="L4864" s="2" t="s">
        <v>33</v>
      </c>
      <c r="M4864" s="3"/>
    </row>
    <row r="4865" spans="1:13" x14ac:dyDescent="0.3">
      <c r="A4865" s="2">
        <v>4864</v>
      </c>
      <c r="B4865" s="2" t="s">
        <v>2268</v>
      </c>
      <c r="C4865" s="2" t="s">
        <v>5972</v>
      </c>
      <c r="D4865" s="2" t="s">
        <v>15</v>
      </c>
      <c r="E4865" s="2" t="s">
        <v>16</v>
      </c>
      <c r="F4865" s="2">
        <v>90</v>
      </c>
      <c r="G4865" s="2" t="s">
        <v>10109</v>
      </c>
      <c r="H4865" s="2" t="s">
        <v>3161</v>
      </c>
      <c r="I4865" s="2" t="s">
        <v>32</v>
      </c>
      <c r="J4865" s="3">
        <v>44662</v>
      </c>
      <c r="K4865" s="2">
        <v>25</v>
      </c>
      <c r="L4865" s="2" t="s">
        <v>20</v>
      </c>
      <c r="M4865" s="3"/>
    </row>
    <row r="4866" spans="1:13" x14ac:dyDescent="0.3">
      <c r="A4866" s="2">
        <v>4865</v>
      </c>
      <c r="B4866" s="2" t="s">
        <v>1116</v>
      </c>
      <c r="C4866" s="2" t="s">
        <v>2618</v>
      </c>
      <c r="D4866" s="2" t="s">
        <v>28</v>
      </c>
      <c r="E4866" s="2" t="s">
        <v>29</v>
      </c>
      <c r="F4866" s="2">
        <v>30</v>
      </c>
      <c r="G4866" s="2" t="s">
        <v>10110</v>
      </c>
      <c r="H4866" s="2" t="s">
        <v>655</v>
      </c>
      <c r="I4866" s="2" t="s">
        <v>32</v>
      </c>
      <c r="J4866" s="3">
        <v>44524</v>
      </c>
      <c r="K4866" s="2">
        <v>58</v>
      </c>
      <c r="L4866" s="2" t="s">
        <v>159</v>
      </c>
      <c r="M4866" s="3"/>
    </row>
    <row r="4867" spans="1:13" x14ac:dyDescent="0.3">
      <c r="A4867" s="2">
        <v>4866</v>
      </c>
      <c r="B4867" s="2" t="s">
        <v>10111</v>
      </c>
      <c r="C4867" s="2" t="s">
        <v>10112</v>
      </c>
      <c r="D4867" s="2" t="s">
        <v>51</v>
      </c>
      <c r="E4867" s="2" t="s">
        <v>16</v>
      </c>
      <c r="F4867" s="2">
        <v>30</v>
      </c>
      <c r="G4867" s="2" t="s">
        <v>10113</v>
      </c>
      <c r="H4867" s="2" t="s">
        <v>3271</v>
      </c>
      <c r="I4867" s="2" t="s">
        <v>173</v>
      </c>
      <c r="J4867" s="3">
        <v>44180</v>
      </c>
      <c r="K4867" s="2">
        <v>66</v>
      </c>
      <c r="L4867" s="2" t="s">
        <v>101</v>
      </c>
      <c r="M4867" s="3"/>
    </row>
    <row r="4868" spans="1:13" x14ac:dyDescent="0.3">
      <c r="A4868" s="2">
        <v>4867</v>
      </c>
      <c r="B4868" s="2" t="s">
        <v>5662</v>
      </c>
      <c r="C4868" s="2" t="s">
        <v>5423</v>
      </c>
      <c r="D4868" s="2" t="s">
        <v>28</v>
      </c>
      <c r="E4868" s="2" t="s">
        <v>29</v>
      </c>
      <c r="F4868" s="2">
        <v>30</v>
      </c>
      <c r="G4868" s="2" t="s">
        <v>10114</v>
      </c>
      <c r="H4868" s="2" t="s">
        <v>3754</v>
      </c>
      <c r="I4868" s="2" t="s">
        <v>124</v>
      </c>
      <c r="J4868" s="3">
        <v>44799</v>
      </c>
      <c r="K4868" s="2">
        <v>97</v>
      </c>
      <c r="L4868" s="2" t="s">
        <v>159</v>
      </c>
      <c r="M4868" s="3"/>
    </row>
    <row r="4869" spans="1:13" x14ac:dyDescent="0.3">
      <c r="A4869" s="2">
        <v>4868</v>
      </c>
      <c r="B4869" s="2" t="s">
        <v>10115</v>
      </c>
      <c r="C4869" s="2" t="s">
        <v>189</v>
      </c>
      <c r="D4869" s="2" t="s">
        <v>51</v>
      </c>
      <c r="E4869" s="2" t="s">
        <v>16</v>
      </c>
      <c r="F4869" s="2">
        <v>60</v>
      </c>
      <c r="G4869" s="2" t="s">
        <v>10116</v>
      </c>
      <c r="H4869" s="2" t="s">
        <v>3466</v>
      </c>
      <c r="I4869" s="2" t="s">
        <v>32</v>
      </c>
      <c r="J4869" s="3">
        <v>44032</v>
      </c>
      <c r="K4869" s="2">
        <v>81</v>
      </c>
      <c r="L4869" s="2" t="s">
        <v>54</v>
      </c>
      <c r="M4869" s="3"/>
    </row>
    <row r="4870" spans="1:13" x14ac:dyDescent="0.3">
      <c r="A4870" s="2">
        <v>4869</v>
      </c>
      <c r="B4870" s="2" t="s">
        <v>10117</v>
      </c>
      <c r="C4870" s="2" t="s">
        <v>3535</v>
      </c>
      <c r="D4870" s="2" t="s">
        <v>15</v>
      </c>
      <c r="E4870" s="2" t="s">
        <v>16</v>
      </c>
      <c r="F4870" s="2">
        <v>90</v>
      </c>
      <c r="G4870" s="2" t="s">
        <v>10118</v>
      </c>
      <c r="H4870" s="2" t="s">
        <v>764</v>
      </c>
      <c r="I4870" s="2" t="s">
        <v>32</v>
      </c>
      <c r="J4870" s="3">
        <v>44373</v>
      </c>
      <c r="K4870" s="2">
        <v>6</v>
      </c>
      <c r="L4870" s="2" t="s">
        <v>80</v>
      </c>
      <c r="M4870" s="3"/>
    </row>
    <row r="4871" spans="1:13" x14ac:dyDescent="0.3">
      <c r="A4871" s="2">
        <v>4870</v>
      </c>
      <c r="B4871" s="2" t="s">
        <v>5088</v>
      </c>
      <c r="C4871" s="2" t="s">
        <v>3265</v>
      </c>
      <c r="D4871" s="2" t="s">
        <v>28</v>
      </c>
      <c r="E4871" s="2" t="s">
        <v>29</v>
      </c>
      <c r="F4871" s="2">
        <v>90</v>
      </c>
      <c r="G4871" s="2" t="s">
        <v>10119</v>
      </c>
      <c r="H4871" s="2" t="s">
        <v>2913</v>
      </c>
      <c r="I4871" s="2" t="s">
        <v>1035</v>
      </c>
      <c r="J4871" s="3">
        <v>44170</v>
      </c>
      <c r="K4871" s="2">
        <v>23</v>
      </c>
      <c r="L4871" s="2" t="s">
        <v>33</v>
      </c>
      <c r="M4871" s="3"/>
    </row>
    <row r="4872" spans="1:13" x14ac:dyDescent="0.3">
      <c r="A4872" s="2">
        <v>4871</v>
      </c>
      <c r="B4872" s="2" t="s">
        <v>10120</v>
      </c>
      <c r="C4872" s="2" t="s">
        <v>2663</v>
      </c>
      <c r="D4872" s="2" t="s">
        <v>51</v>
      </c>
      <c r="E4872" s="2" t="s">
        <v>16</v>
      </c>
      <c r="F4872" s="2">
        <v>60</v>
      </c>
      <c r="G4872" s="2" t="s">
        <v>10121</v>
      </c>
      <c r="H4872" s="2" t="s">
        <v>6305</v>
      </c>
      <c r="I4872" s="2" t="s">
        <v>32</v>
      </c>
      <c r="J4872" s="3">
        <v>44392</v>
      </c>
      <c r="K4872" s="2">
        <v>52</v>
      </c>
      <c r="L4872" s="2" t="s">
        <v>20</v>
      </c>
      <c r="M4872" s="3"/>
    </row>
    <row r="4873" spans="1:13" x14ac:dyDescent="0.3">
      <c r="A4873" s="2">
        <v>4872</v>
      </c>
      <c r="B4873" s="2" t="s">
        <v>6190</v>
      </c>
      <c r="C4873" s="2" t="s">
        <v>3515</v>
      </c>
      <c r="D4873" s="2" t="s">
        <v>15</v>
      </c>
      <c r="E4873" s="2" t="s">
        <v>16</v>
      </c>
      <c r="F4873" s="2">
        <v>60</v>
      </c>
      <c r="G4873" s="2" t="s">
        <v>10122</v>
      </c>
      <c r="H4873" s="2" t="s">
        <v>8483</v>
      </c>
      <c r="I4873" s="2" t="s">
        <v>32</v>
      </c>
      <c r="J4873" s="3">
        <v>44303</v>
      </c>
      <c r="K4873" s="2">
        <v>21</v>
      </c>
      <c r="L4873" s="2" t="s">
        <v>39</v>
      </c>
      <c r="M4873" s="3"/>
    </row>
    <row r="4874" spans="1:13" x14ac:dyDescent="0.3">
      <c r="A4874" s="2">
        <v>4873</v>
      </c>
      <c r="B4874" s="2" t="s">
        <v>10123</v>
      </c>
      <c r="C4874" s="2" t="s">
        <v>7345</v>
      </c>
      <c r="D4874" s="2" t="s">
        <v>28</v>
      </c>
      <c r="E4874" s="2" t="s">
        <v>29</v>
      </c>
      <c r="F4874" s="2">
        <v>90</v>
      </c>
      <c r="G4874" s="2" t="s">
        <v>10124</v>
      </c>
      <c r="H4874" s="2" t="s">
        <v>2194</v>
      </c>
      <c r="I4874" s="2" t="s">
        <v>32</v>
      </c>
      <c r="J4874" s="3">
        <v>43961</v>
      </c>
      <c r="K4874" s="2">
        <v>27</v>
      </c>
      <c r="L4874" s="2" t="s">
        <v>33</v>
      </c>
      <c r="M4874" s="3"/>
    </row>
    <row r="4875" spans="1:13" x14ac:dyDescent="0.3">
      <c r="A4875" s="2">
        <v>4874</v>
      </c>
      <c r="B4875" s="2" t="s">
        <v>6729</v>
      </c>
      <c r="C4875" s="2" t="s">
        <v>3621</v>
      </c>
      <c r="D4875" s="2" t="s">
        <v>51</v>
      </c>
      <c r="E4875" s="2" t="s">
        <v>16</v>
      </c>
      <c r="F4875" s="2">
        <v>60</v>
      </c>
      <c r="G4875" s="2" t="s">
        <v>10125</v>
      </c>
      <c r="H4875" s="2" t="s">
        <v>396</v>
      </c>
      <c r="I4875" s="2" t="s">
        <v>32</v>
      </c>
      <c r="J4875" s="3">
        <v>44461</v>
      </c>
      <c r="K4875" s="2">
        <v>84</v>
      </c>
      <c r="L4875" s="2" t="s">
        <v>39</v>
      </c>
      <c r="M4875" s="3"/>
    </row>
    <row r="4876" spans="1:13" x14ac:dyDescent="0.3">
      <c r="A4876" s="2">
        <v>4875</v>
      </c>
      <c r="B4876" s="2" t="s">
        <v>6428</v>
      </c>
      <c r="C4876" s="2" t="s">
        <v>5423</v>
      </c>
      <c r="D4876" s="2" t="s">
        <v>51</v>
      </c>
      <c r="E4876" s="2" t="s">
        <v>16</v>
      </c>
      <c r="F4876" s="2">
        <v>90</v>
      </c>
      <c r="G4876" s="2" t="s">
        <v>10126</v>
      </c>
      <c r="H4876" s="2" t="s">
        <v>946</v>
      </c>
      <c r="I4876" s="2" t="s">
        <v>947</v>
      </c>
      <c r="J4876" s="3">
        <v>44853</v>
      </c>
      <c r="K4876" s="2">
        <v>95</v>
      </c>
      <c r="L4876" s="2" t="s">
        <v>101</v>
      </c>
      <c r="M4876" s="3"/>
    </row>
    <row r="4877" spans="1:13" x14ac:dyDescent="0.3">
      <c r="A4877" s="2">
        <v>4876</v>
      </c>
      <c r="B4877" s="2" t="s">
        <v>1019</v>
      </c>
      <c r="C4877" s="2" t="s">
        <v>9953</v>
      </c>
      <c r="D4877" s="2" t="s">
        <v>117</v>
      </c>
      <c r="E4877" s="2" t="s">
        <v>29</v>
      </c>
      <c r="F4877" s="2">
        <v>30</v>
      </c>
      <c r="G4877" s="2" t="s">
        <v>1247</v>
      </c>
      <c r="H4877" s="2" t="s">
        <v>4996</v>
      </c>
      <c r="I4877" s="2" t="s">
        <v>32</v>
      </c>
      <c r="J4877" s="3">
        <v>44859</v>
      </c>
      <c r="K4877" s="2">
        <v>22</v>
      </c>
      <c r="L4877" s="2" t="s">
        <v>39</v>
      </c>
      <c r="M4877" s="3"/>
    </row>
    <row r="4878" spans="1:13" x14ac:dyDescent="0.3">
      <c r="A4878" s="2">
        <v>4877</v>
      </c>
      <c r="B4878" s="2" t="s">
        <v>1726</v>
      </c>
      <c r="C4878" s="2" t="s">
        <v>6134</v>
      </c>
      <c r="D4878" s="2" t="s">
        <v>51</v>
      </c>
      <c r="E4878" s="2" t="s">
        <v>16</v>
      </c>
      <c r="F4878" s="2">
        <v>30</v>
      </c>
      <c r="G4878" s="2" t="s">
        <v>10127</v>
      </c>
      <c r="H4878" s="2" t="s">
        <v>4404</v>
      </c>
      <c r="I4878" s="2" t="s">
        <v>32</v>
      </c>
      <c r="J4878" s="3">
        <v>44695</v>
      </c>
      <c r="K4878" s="2">
        <v>33</v>
      </c>
      <c r="L4878" s="2" t="s">
        <v>33</v>
      </c>
      <c r="M4878" s="3"/>
    </row>
    <row r="4879" spans="1:13" x14ac:dyDescent="0.3">
      <c r="A4879" s="2">
        <v>4878</v>
      </c>
      <c r="B4879" s="2" t="s">
        <v>10128</v>
      </c>
      <c r="C4879" s="2" t="s">
        <v>4903</v>
      </c>
      <c r="D4879" s="2" t="s">
        <v>15</v>
      </c>
      <c r="E4879" s="2" t="s">
        <v>16</v>
      </c>
      <c r="F4879" s="2">
        <v>60</v>
      </c>
      <c r="G4879" s="2" t="s">
        <v>10129</v>
      </c>
      <c r="H4879" s="2" t="s">
        <v>7353</v>
      </c>
      <c r="I4879" s="2" t="s">
        <v>19</v>
      </c>
      <c r="J4879" s="3">
        <v>43980</v>
      </c>
      <c r="K4879" s="2">
        <v>53</v>
      </c>
      <c r="L4879" s="2" t="s">
        <v>80</v>
      </c>
      <c r="M4879" s="3"/>
    </row>
    <row r="4880" spans="1:13" x14ac:dyDescent="0.3">
      <c r="A4880" s="2">
        <v>4879</v>
      </c>
      <c r="B4880" s="2" t="s">
        <v>10128</v>
      </c>
      <c r="C4880" s="2" t="s">
        <v>4903</v>
      </c>
      <c r="D4880" s="2" t="s">
        <v>15</v>
      </c>
      <c r="E4880" s="2" t="s">
        <v>16</v>
      </c>
      <c r="F4880" s="2">
        <v>60</v>
      </c>
      <c r="G4880" s="2" t="s">
        <v>10129</v>
      </c>
      <c r="H4880" s="2" t="s">
        <v>7353</v>
      </c>
      <c r="I4880" s="2" t="s">
        <v>19</v>
      </c>
      <c r="J4880" s="3">
        <v>43980</v>
      </c>
      <c r="K4880" s="2">
        <v>53</v>
      </c>
      <c r="L4880" s="2" t="s">
        <v>80</v>
      </c>
      <c r="M4880" s="3"/>
    </row>
    <row r="4881" spans="1:13" x14ac:dyDescent="0.3">
      <c r="A4881" s="2">
        <v>4880</v>
      </c>
      <c r="B4881" s="2" t="s">
        <v>9145</v>
      </c>
      <c r="C4881" s="2" t="s">
        <v>5225</v>
      </c>
      <c r="D4881" s="2" t="s">
        <v>15</v>
      </c>
      <c r="E4881" s="2" t="s">
        <v>16</v>
      </c>
      <c r="F4881" s="2">
        <v>30</v>
      </c>
      <c r="G4881" s="2" t="s">
        <v>10130</v>
      </c>
      <c r="H4881" s="2" t="s">
        <v>1855</v>
      </c>
      <c r="I4881" s="2" t="s">
        <v>25</v>
      </c>
      <c r="J4881" s="3">
        <v>44374</v>
      </c>
      <c r="K4881" s="2">
        <v>72</v>
      </c>
      <c r="L4881" s="2" t="s">
        <v>101</v>
      </c>
      <c r="M4881" s="3"/>
    </row>
    <row r="4882" spans="1:13" x14ac:dyDescent="0.3">
      <c r="A4882" s="2">
        <v>4881</v>
      </c>
      <c r="B4882" s="2" t="s">
        <v>4052</v>
      </c>
      <c r="C4882" s="2" t="s">
        <v>3330</v>
      </c>
      <c r="D4882" s="2" t="s">
        <v>28</v>
      </c>
      <c r="E4882" s="2" t="s">
        <v>29</v>
      </c>
      <c r="F4882" s="2">
        <v>60</v>
      </c>
      <c r="G4882" s="2" t="s">
        <v>10131</v>
      </c>
      <c r="H4882" s="2" t="s">
        <v>10132</v>
      </c>
      <c r="I4882" s="2" t="s">
        <v>294</v>
      </c>
      <c r="J4882" s="3">
        <v>44239</v>
      </c>
      <c r="K4882" s="2">
        <v>78</v>
      </c>
      <c r="L4882" s="2" t="s">
        <v>64</v>
      </c>
      <c r="M4882" s="3"/>
    </row>
    <row r="4883" spans="1:13" x14ac:dyDescent="0.3">
      <c r="A4883" s="2">
        <v>4882</v>
      </c>
      <c r="B4883" s="2" t="s">
        <v>8911</v>
      </c>
      <c r="C4883" s="2" t="s">
        <v>7716</v>
      </c>
      <c r="D4883" s="2" t="s">
        <v>28</v>
      </c>
      <c r="E4883" s="2" t="s">
        <v>29</v>
      </c>
      <c r="F4883" s="2">
        <v>90</v>
      </c>
      <c r="G4883" s="2" t="s">
        <v>10133</v>
      </c>
      <c r="H4883" s="2" t="s">
        <v>1590</v>
      </c>
      <c r="I4883" s="2" t="s">
        <v>32</v>
      </c>
      <c r="J4883" s="3">
        <v>44347</v>
      </c>
      <c r="K4883" s="2">
        <v>2</v>
      </c>
      <c r="L4883" s="2" t="s">
        <v>39</v>
      </c>
      <c r="M4883" s="3"/>
    </row>
    <row r="4884" spans="1:13" x14ac:dyDescent="0.3">
      <c r="A4884" s="2">
        <v>4883</v>
      </c>
      <c r="B4884" s="2" t="s">
        <v>1229</v>
      </c>
      <c r="C4884" s="2" t="s">
        <v>4476</v>
      </c>
      <c r="D4884" s="2" t="s">
        <v>28</v>
      </c>
      <c r="E4884" s="2" t="s">
        <v>29</v>
      </c>
      <c r="F4884" s="2">
        <v>30</v>
      </c>
      <c r="G4884" s="2" t="s">
        <v>10134</v>
      </c>
      <c r="H4884" s="2" t="s">
        <v>6038</v>
      </c>
      <c r="I4884" s="2" t="s">
        <v>19</v>
      </c>
      <c r="J4884" s="3">
        <v>44442</v>
      </c>
      <c r="K4884" s="2">
        <v>25</v>
      </c>
      <c r="L4884" s="2" t="s">
        <v>101</v>
      </c>
      <c r="M4884" s="3"/>
    </row>
    <row r="4885" spans="1:13" x14ac:dyDescent="0.3">
      <c r="A4885" s="2">
        <v>4884</v>
      </c>
      <c r="B4885" s="2" t="s">
        <v>7303</v>
      </c>
      <c r="C4885" s="2" t="s">
        <v>4461</v>
      </c>
      <c r="D4885" s="2" t="s">
        <v>28</v>
      </c>
      <c r="E4885" s="2" t="s">
        <v>29</v>
      </c>
      <c r="F4885" s="2">
        <v>60</v>
      </c>
      <c r="G4885" s="2" t="s">
        <v>10135</v>
      </c>
      <c r="H4885" s="2" t="s">
        <v>8205</v>
      </c>
      <c r="I4885" s="2" t="s">
        <v>25</v>
      </c>
      <c r="J4885" s="3">
        <v>44325</v>
      </c>
      <c r="K4885" s="2">
        <v>6</v>
      </c>
      <c r="L4885" s="2" t="s">
        <v>39</v>
      </c>
      <c r="M4885" s="3"/>
    </row>
    <row r="4886" spans="1:13" x14ac:dyDescent="0.3">
      <c r="A4886" s="2">
        <v>4885</v>
      </c>
      <c r="B4886" s="2" t="s">
        <v>10136</v>
      </c>
      <c r="C4886" s="2" t="s">
        <v>4242</v>
      </c>
      <c r="D4886" s="2" t="s">
        <v>15</v>
      </c>
      <c r="E4886" s="2" t="s">
        <v>16</v>
      </c>
      <c r="F4886" s="2">
        <v>30</v>
      </c>
      <c r="G4886" s="2" t="s">
        <v>10137</v>
      </c>
      <c r="H4886" s="2" t="s">
        <v>1690</v>
      </c>
      <c r="I4886" s="2" t="s">
        <v>208</v>
      </c>
      <c r="J4886" s="3">
        <v>44150</v>
      </c>
      <c r="K4886" s="2">
        <v>72</v>
      </c>
      <c r="L4886" s="2" t="s">
        <v>54</v>
      </c>
      <c r="M4886" s="3"/>
    </row>
    <row r="4887" spans="1:13" x14ac:dyDescent="0.3">
      <c r="A4887" s="2">
        <v>4886</v>
      </c>
      <c r="B4887" s="2" t="s">
        <v>10138</v>
      </c>
      <c r="C4887" s="2" t="s">
        <v>5106</v>
      </c>
      <c r="D4887" s="2" t="s">
        <v>28</v>
      </c>
      <c r="E4887" s="2" t="s">
        <v>29</v>
      </c>
      <c r="F4887" s="2">
        <v>60</v>
      </c>
      <c r="G4887" s="2" t="s">
        <v>10139</v>
      </c>
      <c r="H4887" s="2" t="s">
        <v>912</v>
      </c>
      <c r="I4887" s="2" t="s">
        <v>913</v>
      </c>
      <c r="J4887" s="3">
        <v>43844</v>
      </c>
      <c r="K4887" s="2">
        <v>30</v>
      </c>
      <c r="L4887" s="2" t="s">
        <v>54</v>
      </c>
      <c r="M4887" s="3"/>
    </row>
    <row r="4888" spans="1:13" x14ac:dyDescent="0.3">
      <c r="A4888" s="2">
        <v>4887</v>
      </c>
      <c r="B4888" s="2" t="s">
        <v>8492</v>
      </c>
      <c r="C4888" s="2" t="s">
        <v>10140</v>
      </c>
      <c r="D4888" s="2" t="s">
        <v>41</v>
      </c>
      <c r="E4888" s="2" t="s">
        <v>16</v>
      </c>
      <c r="F4888" s="2">
        <v>30</v>
      </c>
      <c r="G4888" s="2" t="s">
        <v>10141</v>
      </c>
      <c r="H4888" s="2" t="s">
        <v>4899</v>
      </c>
      <c r="I4888" s="2" t="s">
        <v>100</v>
      </c>
      <c r="J4888" s="3">
        <v>44101</v>
      </c>
      <c r="K4888" s="2">
        <v>62</v>
      </c>
      <c r="L4888" s="2" t="s">
        <v>64</v>
      </c>
      <c r="M4888" s="3"/>
    </row>
    <row r="4889" spans="1:13" x14ac:dyDescent="0.3">
      <c r="A4889" s="2">
        <v>4888</v>
      </c>
      <c r="B4889" s="2" t="s">
        <v>10142</v>
      </c>
      <c r="C4889" s="2" t="s">
        <v>7482</v>
      </c>
      <c r="D4889" s="2" t="s">
        <v>51</v>
      </c>
      <c r="E4889" s="2" t="s">
        <v>16</v>
      </c>
      <c r="F4889" s="2">
        <v>90</v>
      </c>
      <c r="G4889" s="2" t="s">
        <v>10141</v>
      </c>
      <c r="H4889" s="2" t="s">
        <v>5036</v>
      </c>
      <c r="I4889" s="2" t="s">
        <v>32</v>
      </c>
      <c r="J4889" s="3">
        <v>44196</v>
      </c>
      <c r="K4889" s="2">
        <v>82</v>
      </c>
      <c r="L4889" s="2" t="s">
        <v>20</v>
      </c>
      <c r="M4889" s="3"/>
    </row>
    <row r="4890" spans="1:13" x14ac:dyDescent="0.3">
      <c r="A4890" s="2">
        <v>4889</v>
      </c>
      <c r="B4890" s="2" t="s">
        <v>4858</v>
      </c>
      <c r="C4890" s="2" t="s">
        <v>1985</v>
      </c>
      <c r="D4890" s="2" t="s">
        <v>28</v>
      </c>
      <c r="E4890" s="2" t="s">
        <v>29</v>
      </c>
      <c r="F4890" s="2">
        <v>30</v>
      </c>
      <c r="G4890" s="2" t="s">
        <v>10143</v>
      </c>
      <c r="H4890" s="2" t="s">
        <v>109</v>
      </c>
      <c r="I4890" s="2" t="s">
        <v>110</v>
      </c>
      <c r="J4890" s="3">
        <v>44608</v>
      </c>
      <c r="K4890" s="2">
        <v>82</v>
      </c>
      <c r="L4890" s="2" t="s">
        <v>54</v>
      </c>
      <c r="M4890" s="3"/>
    </row>
    <row r="4891" spans="1:13" x14ac:dyDescent="0.3">
      <c r="A4891" s="2">
        <v>4890</v>
      </c>
      <c r="B4891" s="2" t="s">
        <v>10144</v>
      </c>
      <c r="C4891" s="2" t="s">
        <v>9222</v>
      </c>
      <c r="D4891" s="2" t="s">
        <v>51</v>
      </c>
      <c r="E4891" s="2" t="s">
        <v>16</v>
      </c>
      <c r="F4891" s="2">
        <v>30</v>
      </c>
      <c r="G4891" s="2" t="s">
        <v>10145</v>
      </c>
      <c r="H4891" s="2" t="s">
        <v>2179</v>
      </c>
      <c r="I4891" s="2" t="s">
        <v>294</v>
      </c>
      <c r="J4891" s="3">
        <v>44889</v>
      </c>
      <c r="K4891" s="2">
        <v>99</v>
      </c>
      <c r="L4891" s="2" t="s">
        <v>70</v>
      </c>
      <c r="M4891" s="3"/>
    </row>
    <row r="4892" spans="1:13" x14ac:dyDescent="0.3">
      <c r="A4892" s="2">
        <v>4891</v>
      </c>
      <c r="B4892" s="2" t="s">
        <v>2402</v>
      </c>
      <c r="C4892" s="2" t="s">
        <v>1219</v>
      </c>
      <c r="D4892" s="2" t="s">
        <v>28</v>
      </c>
      <c r="E4892" s="2" t="s">
        <v>29</v>
      </c>
      <c r="F4892" s="2">
        <v>30</v>
      </c>
      <c r="G4892" s="2" t="s">
        <v>10146</v>
      </c>
      <c r="H4892" s="2" t="s">
        <v>5647</v>
      </c>
      <c r="I4892" s="2" t="s">
        <v>38</v>
      </c>
      <c r="J4892" s="3">
        <v>43868</v>
      </c>
      <c r="K4892" s="2">
        <v>2</v>
      </c>
      <c r="L4892" s="2" t="s">
        <v>20</v>
      </c>
      <c r="M4892" s="3"/>
    </row>
    <row r="4893" spans="1:13" x14ac:dyDescent="0.3">
      <c r="A4893" s="2">
        <v>4892</v>
      </c>
      <c r="B4893" s="2" t="s">
        <v>4329</v>
      </c>
      <c r="C4893" s="2" t="s">
        <v>3556</v>
      </c>
      <c r="D4893" s="2" t="s">
        <v>28</v>
      </c>
      <c r="E4893" s="2" t="s">
        <v>29</v>
      </c>
      <c r="F4893" s="2">
        <v>90</v>
      </c>
      <c r="G4893" s="2" t="s">
        <v>10147</v>
      </c>
      <c r="H4893" s="2" t="s">
        <v>2533</v>
      </c>
      <c r="I4893" s="2" t="s">
        <v>2534</v>
      </c>
      <c r="J4893" s="3">
        <v>43928</v>
      </c>
      <c r="K4893" s="2">
        <v>45</v>
      </c>
      <c r="L4893" s="2" t="s">
        <v>33</v>
      </c>
      <c r="M4893" s="3"/>
    </row>
    <row r="4894" spans="1:13" x14ac:dyDescent="0.3">
      <c r="A4894" s="2">
        <v>4893</v>
      </c>
      <c r="B4894" s="2" t="s">
        <v>8481</v>
      </c>
      <c r="C4894" s="2" t="s">
        <v>1891</v>
      </c>
      <c r="D4894" s="2" t="s">
        <v>51</v>
      </c>
      <c r="E4894" s="2" t="s">
        <v>16</v>
      </c>
      <c r="F4894" s="2">
        <v>30</v>
      </c>
      <c r="G4894" s="2" t="s">
        <v>10148</v>
      </c>
      <c r="H4894" s="2" t="s">
        <v>5957</v>
      </c>
      <c r="I4894" s="2" t="s">
        <v>187</v>
      </c>
      <c r="J4894" s="3">
        <v>44432</v>
      </c>
      <c r="K4894" s="2">
        <v>14</v>
      </c>
      <c r="L4894" s="2" t="s">
        <v>54</v>
      </c>
      <c r="M4894" s="3"/>
    </row>
    <row r="4895" spans="1:13" x14ac:dyDescent="0.3">
      <c r="A4895" s="2">
        <v>4894</v>
      </c>
      <c r="B4895" s="2" t="s">
        <v>4875</v>
      </c>
      <c r="C4895" s="2" t="s">
        <v>1700</v>
      </c>
      <c r="D4895" s="2" t="s">
        <v>28</v>
      </c>
      <c r="E4895" s="2" t="s">
        <v>29</v>
      </c>
      <c r="F4895" s="2">
        <v>60</v>
      </c>
      <c r="G4895" s="2" t="s">
        <v>10148</v>
      </c>
      <c r="H4895" s="2" t="s">
        <v>570</v>
      </c>
      <c r="I4895" s="2" t="s">
        <v>187</v>
      </c>
      <c r="J4895" s="3">
        <v>43935</v>
      </c>
      <c r="K4895" s="2">
        <v>38</v>
      </c>
      <c r="L4895" s="2" t="s">
        <v>45</v>
      </c>
      <c r="M4895" s="3"/>
    </row>
    <row r="4896" spans="1:13" x14ac:dyDescent="0.3">
      <c r="A4896" s="2">
        <v>4895</v>
      </c>
      <c r="B4896" s="2" t="s">
        <v>4091</v>
      </c>
      <c r="C4896" s="2" t="s">
        <v>3066</v>
      </c>
      <c r="D4896" s="2" t="s">
        <v>28</v>
      </c>
      <c r="E4896" s="2" t="s">
        <v>29</v>
      </c>
      <c r="F4896" s="2">
        <v>30</v>
      </c>
      <c r="G4896" s="2" t="s">
        <v>10149</v>
      </c>
      <c r="H4896" s="2" t="s">
        <v>764</v>
      </c>
      <c r="I4896" s="2" t="s">
        <v>32</v>
      </c>
      <c r="J4896" s="3">
        <v>43897</v>
      </c>
      <c r="K4896" s="2">
        <v>67</v>
      </c>
      <c r="L4896" s="2" t="s">
        <v>64</v>
      </c>
      <c r="M4896" s="3"/>
    </row>
    <row r="4897" spans="1:13" x14ac:dyDescent="0.3">
      <c r="A4897" s="2">
        <v>4896</v>
      </c>
      <c r="B4897" s="2" t="s">
        <v>10150</v>
      </c>
      <c r="C4897" s="2" t="s">
        <v>10039</v>
      </c>
      <c r="D4897" s="2" t="s">
        <v>15</v>
      </c>
      <c r="E4897" s="2" t="s">
        <v>16</v>
      </c>
      <c r="F4897" s="2">
        <v>90</v>
      </c>
      <c r="G4897" s="2" t="s">
        <v>10151</v>
      </c>
      <c r="H4897" s="2" t="s">
        <v>2351</v>
      </c>
      <c r="I4897" s="2" t="s">
        <v>32</v>
      </c>
      <c r="J4897" s="3">
        <v>44612</v>
      </c>
      <c r="K4897" s="2">
        <v>102</v>
      </c>
      <c r="L4897" s="2" t="s">
        <v>39</v>
      </c>
      <c r="M4897" s="3"/>
    </row>
    <row r="4898" spans="1:13" x14ac:dyDescent="0.3">
      <c r="A4898" s="2">
        <v>4897</v>
      </c>
      <c r="B4898" s="2" t="s">
        <v>1445</v>
      </c>
      <c r="C4898" s="2" t="s">
        <v>999</v>
      </c>
      <c r="D4898" s="2" t="s">
        <v>28</v>
      </c>
      <c r="E4898" s="2" t="s">
        <v>29</v>
      </c>
      <c r="F4898" s="2">
        <v>90</v>
      </c>
      <c r="G4898" s="2" t="s">
        <v>10152</v>
      </c>
      <c r="H4898" s="2" t="s">
        <v>2093</v>
      </c>
      <c r="I4898" s="2" t="s">
        <v>32</v>
      </c>
      <c r="J4898" s="3">
        <v>44640</v>
      </c>
      <c r="K4898" s="2">
        <v>32</v>
      </c>
      <c r="L4898" s="2" t="s">
        <v>20</v>
      </c>
      <c r="M4898" s="3"/>
    </row>
    <row r="4899" spans="1:13" x14ac:dyDescent="0.3">
      <c r="A4899" s="2">
        <v>4898</v>
      </c>
      <c r="B4899" s="2" t="s">
        <v>1240</v>
      </c>
      <c r="C4899" s="2" t="s">
        <v>6922</v>
      </c>
      <c r="D4899" s="2" t="s">
        <v>28</v>
      </c>
      <c r="E4899" s="2" t="s">
        <v>29</v>
      </c>
      <c r="F4899" s="2">
        <v>30</v>
      </c>
      <c r="G4899" s="2" t="s">
        <v>10153</v>
      </c>
      <c r="H4899" s="2" t="s">
        <v>6249</v>
      </c>
      <c r="I4899" s="2" t="s">
        <v>38</v>
      </c>
      <c r="J4899" s="3">
        <v>44687</v>
      </c>
      <c r="K4899" s="2">
        <v>103</v>
      </c>
      <c r="L4899" s="2" t="s">
        <v>70</v>
      </c>
      <c r="M4899" s="3"/>
    </row>
    <row r="4900" spans="1:13" x14ac:dyDescent="0.3">
      <c r="A4900" s="2">
        <v>4899</v>
      </c>
      <c r="B4900" s="2" t="s">
        <v>921</v>
      </c>
      <c r="C4900" s="2" t="s">
        <v>2410</v>
      </c>
      <c r="D4900" s="2" t="s">
        <v>28</v>
      </c>
      <c r="E4900" s="2" t="s">
        <v>29</v>
      </c>
      <c r="F4900" s="2">
        <v>90</v>
      </c>
      <c r="G4900" s="2" t="s">
        <v>10154</v>
      </c>
      <c r="H4900" s="2" t="s">
        <v>1651</v>
      </c>
      <c r="I4900" s="2" t="s">
        <v>1652</v>
      </c>
      <c r="J4900" s="3">
        <v>44806</v>
      </c>
      <c r="K4900" s="2">
        <v>105</v>
      </c>
      <c r="L4900" s="2" t="s">
        <v>70</v>
      </c>
      <c r="M4900" s="3"/>
    </row>
    <row r="4901" spans="1:13" x14ac:dyDescent="0.3">
      <c r="A4901" s="2">
        <v>4900</v>
      </c>
      <c r="B4901" s="2" t="s">
        <v>10155</v>
      </c>
      <c r="C4901" s="2" t="s">
        <v>4037</v>
      </c>
      <c r="D4901" s="2" t="s">
        <v>51</v>
      </c>
      <c r="E4901" s="2" t="s">
        <v>16</v>
      </c>
      <c r="F4901" s="2">
        <v>90</v>
      </c>
      <c r="G4901" s="2" t="s">
        <v>10156</v>
      </c>
      <c r="H4901" s="2" t="s">
        <v>315</v>
      </c>
      <c r="I4901" s="2" t="s">
        <v>32</v>
      </c>
      <c r="J4901" s="3">
        <v>44308</v>
      </c>
      <c r="K4901" s="2">
        <v>17</v>
      </c>
      <c r="L4901" s="2" t="s">
        <v>45</v>
      </c>
      <c r="M4901" s="3"/>
    </row>
    <row r="4902" spans="1:13" x14ac:dyDescent="0.3">
      <c r="A4902" s="2">
        <v>4901</v>
      </c>
      <c r="B4902" s="2" t="s">
        <v>10157</v>
      </c>
      <c r="C4902" s="2" t="s">
        <v>9475</v>
      </c>
      <c r="D4902" s="2" t="s">
        <v>15</v>
      </c>
      <c r="E4902" s="2" t="s">
        <v>16</v>
      </c>
      <c r="F4902" s="2">
        <v>90</v>
      </c>
      <c r="G4902" s="2" t="s">
        <v>10158</v>
      </c>
      <c r="H4902" s="2" t="s">
        <v>4214</v>
      </c>
      <c r="I4902" s="2" t="s">
        <v>187</v>
      </c>
      <c r="J4902" s="3">
        <v>43837</v>
      </c>
      <c r="K4902" s="2">
        <v>58</v>
      </c>
      <c r="L4902" s="2" t="s">
        <v>159</v>
      </c>
      <c r="M4902" s="3"/>
    </row>
    <row r="4903" spans="1:13" x14ac:dyDescent="0.3">
      <c r="A4903" s="2">
        <v>4902</v>
      </c>
      <c r="B4903" s="2" t="s">
        <v>10157</v>
      </c>
      <c r="C4903" s="2" t="s">
        <v>9475</v>
      </c>
      <c r="D4903" s="2" t="s">
        <v>15</v>
      </c>
      <c r="E4903" s="2" t="s">
        <v>16</v>
      </c>
      <c r="F4903" s="2">
        <v>90</v>
      </c>
      <c r="G4903" s="2" t="s">
        <v>10158</v>
      </c>
      <c r="H4903" s="2" t="s">
        <v>4214</v>
      </c>
      <c r="I4903" s="2" t="s">
        <v>187</v>
      </c>
      <c r="J4903" s="3">
        <v>43837</v>
      </c>
      <c r="K4903" s="2">
        <v>58</v>
      </c>
      <c r="L4903" s="2" t="s">
        <v>159</v>
      </c>
      <c r="M4903" s="3"/>
    </row>
    <row r="4904" spans="1:13" x14ac:dyDescent="0.3">
      <c r="A4904" s="2">
        <v>4903</v>
      </c>
      <c r="B4904" s="2" t="s">
        <v>10159</v>
      </c>
      <c r="C4904" s="2" t="s">
        <v>10160</v>
      </c>
      <c r="D4904" s="2" t="s">
        <v>51</v>
      </c>
      <c r="E4904" s="2" t="s">
        <v>16</v>
      </c>
      <c r="F4904" s="2">
        <v>90</v>
      </c>
      <c r="G4904" s="2" t="s">
        <v>10161</v>
      </c>
      <c r="H4904" s="2" t="s">
        <v>2325</v>
      </c>
      <c r="I4904" s="2" t="s">
        <v>173</v>
      </c>
      <c r="J4904" s="3">
        <v>43915</v>
      </c>
      <c r="K4904" s="2">
        <v>20</v>
      </c>
      <c r="L4904" s="2" t="s">
        <v>45</v>
      </c>
      <c r="M4904" s="3"/>
    </row>
    <row r="4905" spans="1:13" x14ac:dyDescent="0.3">
      <c r="A4905" s="2">
        <v>4904</v>
      </c>
      <c r="B4905" s="2" t="s">
        <v>4740</v>
      </c>
      <c r="C4905" s="2" t="s">
        <v>116</v>
      </c>
      <c r="D4905" s="2" t="s">
        <v>15</v>
      </c>
      <c r="E4905" s="2" t="s">
        <v>16</v>
      </c>
      <c r="F4905" s="2">
        <v>30</v>
      </c>
      <c r="G4905" s="2" t="s">
        <v>10162</v>
      </c>
      <c r="H4905" s="2" t="s">
        <v>5619</v>
      </c>
      <c r="I4905" s="2" t="s">
        <v>32</v>
      </c>
      <c r="J4905" s="3">
        <v>44204</v>
      </c>
      <c r="K4905" s="2">
        <v>23</v>
      </c>
      <c r="L4905" s="2" t="s">
        <v>70</v>
      </c>
      <c r="M4905" s="3"/>
    </row>
    <row r="4906" spans="1:13" x14ac:dyDescent="0.3">
      <c r="A4906" s="2">
        <v>4905</v>
      </c>
      <c r="B4906" s="2" t="s">
        <v>7121</v>
      </c>
      <c r="C4906" s="2" t="s">
        <v>804</v>
      </c>
      <c r="D4906" s="2" t="s">
        <v>28</v>
      </c>
      <c r="E4906" s="2" t="s">
        <v>29</v>
      </c>
      <c r="F4906" s="2">
        <v>90</v>
      </c>
      <c r="G4906" s="2" t="s">
        <v>10163</v>
      </c>
      <c r="H4906" s="2" t="s">
        <v>275</v>
      </c>
      <c r="I4906" s="2" t="s">
        <v>32</v>
      </c>
      <c r="J4906" s="3">
        <v>44770</v>
      </c>
      <c r="K4906" s="2">
        <v>11</v>
      </c>
      <c r="L4906" s="2" t="s">
        <v>101</v>
      </c>
      <c r="M4906" s="3"/>
    </row>
    <row r="4907" spans="1:13" x14ac:dyDescent="0.3">
      <c r="A4907" s="2">
        <v>4906</v>
      </c>
      <c r="B4907" s="2" t="s">
        <v>10164</v>
      </c>
      <c r="C4907" s="2" t="s">
        <v>5084</v>
      </c>
      <c r="D4907" s="2" t="s">
        <v>15</v>
      </c>
      <c r="E4907" s="2" t="s">
        <v>16</v>
      </c>
      <c r="F4907" s="2">
        <v>30</v>
      </c>
      <c r="G4907" s="2" t="s">
        <v>10165</v>
      </c>
      <c r="H4907" s="2" t="s">
        <v>8028</v>
      </c>
      <c r="I4907" s="2" t="s">
        <v>294</v>
      </c>
      <c r="J4907" s="3">
        <v>44370</v>
      </c>
      <c r="K4907" s="2">
        <v>89</v>
      </c>
      <c r="L4907" s="2" t="s">
        <v>45</v>
      </c>
      <c r="M4907" s="3"/>
    </row>
    <row r="4908" spans="1:13" x14ac:dyDescent="0.3">
      <c r="A4908" s="2">
        <v>4907</v>
      </c>
      <c r="B4908" s="2" t="s">
        <v>5421</v>
      </c>
      <c r="C4908" s="2" t="s">
        <v>2735</v>
      </c>
      <c r="D4908" s="2" t="s">
        <v>28</v>
      </c>
      <c r="E4908" s="2" t="s">
        <v>29</v>
      </c>
      <c r="F4908" s="2">
        <v>90</v>
      </c>
      <c r="G4908" s="2" t="s">
        <v>10166</v>
      </c>
      <c r="H4908" s="2" t="s">
        <v>1884</v>
      </c>
      <c r="I4908" s="2" t="s">
        <v>1885</v>
      </c>
      <c r="J4908" s="3">
        <v>44421</v>
      </c>
      <c r="K4908" s="2">
        <v>58</v>
      </c>
      <c r="L4908" s="2" t="s">
        <v>159</v>
      </c>
      <c r="M4908" s="3"/>
    </row>
    <row r="4909" spans="1:13" x14ac:dyDescent="0.3">
      <c r="A4909" s="2">
        <v>4908</v>
      </c>
      <c r="B4909" s="2" t="s">
        <v>3158</v>
      </c>
      <c r="C4909" s="2" t="s">
        <v>10167</v>
      </c>
      <c r="D4909" s="2" t="s">
        <v>28</v>
      </c>
      <c r="E4909" s="2" t="s">
        <v>29</v>
      </c>
      <c r="F4909" s="2">
        <v>90</v>
      </c>
      <c r="G4909" s="2" t="s">
        <v>10166</v>
      </c>
      <c r="H4909" s="2" t="s">
        <v>2053</v>
      </c>
      <c r="I4909" s="2" t="s">
        <v>187</v>
      </c>
      <c r="J4909" s="3">
        <v>44589</v>
      </c>
      <c r="K4909" s="2">
        <v>50</v>
      </c>
      <c r="L4909" s="2" t="s">
        <v>45</v>
      </c>
      <c r="M4909" s="3"/>
    </row>
    <row r="4910" spans="1:13" x14ac:dyDescent="0.3">
      <c r="A4910" s="2">
        <v>4909</v>
      </c>
      <c r="B4910" s="2" t="s">
        <v>774</v>
      </c>
      <c r="C4910" s="2" t="s">
        <v>8046</v>
      </c>
      <c r="D4910" s="2" t="s">
        <v>51</v>
      </c>
      <c r="E4910" s="2" t="s">
        <v>16</v>
      </c>
      <c r="F4910" s="2">
        <v>60</v>
      </c>
      <c r="G4910" s="2" t="s">
        <v>10168</v>
      </c>
      <c r="H4910" s="2" t="s">
        <v>3987</v>
      </c>
      <c r="I4910" s="2" t="s">
        <v>554</v>
      </c>
      <c r="J4910" s="3">
        <v>44143</v>
      </c>
      <c r="K4910" s="2">
        <v>43</v>
      </c>
      <c r="L4910" s="2" t="s">
        <v>54</v>
      </c>
      <c r="M4910" s="3"/>
    </row>
    <row r="4911" spans="1:13" x14ac:dyDescent="0.3">
      <c r="A4911" s="2">
        <v>4910</v>
      </c>
      <c r="B4911" s="2" t="s">
        <v>960</v>
      </c>
      <c r="C4911" s="2" t="s">
        <v>1564</v>
      </c>
      <c r="D4911" s="2" t="s">
        <v>28</v>
      </c>
      <c r="E4911" s="2" t="s">
        <v>29</v>
      </c>
      <c r="F4911" s="2">
        <v>60</v>
      </c>
      <c r="G4911" s="2" t="s">
        <v>10169</v>
      </c>
      <c r="H4911" s="2" t="s">
        <v>4203</v>
      </c>
      <c r="I4911" s="2" t="s">
        <v>208</v>
      </c>
      <c r="J4911" s="3">
        <v>44575</v>
      </c>
      <c r="K4911" s="2">
        <v>50</v>
      </c>
      <c r="L4911" s="2" t="s">
        <v>70</v>
      </c>
      <c r="M4911" s="3"/>
    </row>
    <row r="4912" spans="1:13" x14ac:dyDescent="0.3">
      <c r="A4912" s="2">
        <v>4911</v>
      </c>
      <c r="B4912" s="2" t="s">
        <v>10170</v>
      </c>
      <c r="C4912" s="2" t="s">
        <v>4828</v>
      </c>
      <c r="D4912" s="2" t="s">
        <v>117</v>
      </c>
      <c r="E4912" s="2" t="s">
        <v>16</v>
      </c>
      <c r="F4912" s="2">
        <v>30</v>
      </c>
      <c r="G4912" s="2" t="s">
        <v>10171</v>
      </c>
      <c r="H4912" s="2" t="s">
        <v>284</v>
      </c>
      <c r="I4912" s="2" t="s">
        <v>146</v>
      </c>
      <c r="J4912" s="3">
        <v>44346</v>
      </c>
      <c r="K4912" s="2">
        <v>93</v>
      </c>
      <c r="L4912" s="2" t="s">
        <v>45</v>
      </c>
      <c r="M4912" s="3"/>
    </row>
    <row r="4913" spans="1:13" x14ac:dyDescent="0.3">
      <c r="A4913" s="2">
        <v>4912</v>
      </c>
      <c r="B4913" s="2" t="s">
        <v>82</v>
      </c>
      <c r="C4913" s="2" t="s">
        <v>305</v>
      </c>
      <c r="D4913" s="2" t="s">
        <v>28</v>
      </c>
      <c r="E4913" s="2" t="s">
        <v>29</v>
      </c>
      <c r="F4913" s="2">
        <v>30</v>
      </c>
      <c r="G4913" s="2" t="s">
        <v>10172</v>
      </c>
      <c r="H4913" s="2" t="s">
        <v>4424</v>
      </c>
      <c r="I4913" s="2" t="s">
        <v>25</v>
      </c>
      <c r="J4913" s="3">
        <v>44241</v>
      </c>
      <c r="K4913" s="2">
        <v>52</v>
      </c>
      <c r="L4913" s="2" t="s">
        <v>70</v>
      </c>
      <c r="M4913" s="3"/>
    </row>
    <row r="4914" spans="1:13" x14ac:dyDescent="0.3">
      <c r="A4914" s="2">
        <v>4913</v>
      </c>
      <c r="B4914" s="2" t="s">
        <v>10173</v>
      </c>
      <c r="C4914" s="2" t="s">
        <v>7270</v>
      </c>
      <c r="D4914" s="2" t="s">
        <v>51</v>
      </c>
      <c r="E4914" s="2" t="s">
        <v>16</v>
      </c>
      <c r="F4914" s="2">
        <v>60</v>
      </c>
      <c r="G4914" s="2" t="s">
        <v>10174</v>
      </c>
      <c r="H4914" s="2" t="s">
        <v>4678</v>
      </c>
      <c r="I4914" s="2" t="s">
        <v>886</v>
      </c>
      <c r="J4914" s="3">
        <v>44070</v>
      </c>
      <c r="K4914" s="2">
        <v>79</v>
      </c>
      <c r="L4914" s="2" t="s">
        <v>45</v>
      </c>
      <c r="M4914" s="3"/>
    </row>
    <row r="4915" spans="1:13" x14ac:dyDescent="0.3">
      <c r="A4915" s="2">
        <v>4914</v>
      </c>
      <c r="B4915" s="2" t="s">
        <v>7134</v>
      </c>
      <c r="C4915" s="2" t="s">
        <v>5928</v>
      </c>
      <c r="D4915" s="2" t="s">
        <v>41</v>
      </c>
      <c r="E4915" s="2" t="s">
        <v>16</v>
      </c>
      <c r="F4915" s="2">
        <v>30</v>
      </c>
      <c r="G4915" s="2" t="s">
        <v>10175</v>
      </c>
      <c r="H4915" s="2" t="s">
        <v>2329</v>
      </c>
      <c r="I4915" s="2" t="s">
        <v>2330</v>
      </c>
      <c r="J4915" s="3">
        <v>44841</v>
      </c>
      <c r="K4915" s="2">
        <v>94</v>
      </c>
      <c r="L4915" s="2" t="s">
        <v>39</v>
      </c>
      <c r="M4915" s="3"/>
    </row>
    <row r="4916" spans="1:13" x14ac:dyDescent="0.3">
      <c r="A4916" s="2">
        <v>4915</v>
      </c>
      <c r="B4916" s="2" t="s">
        <v>1036</v>
      </c>
      <c r="C4916" s="2" t="s">
        <v>1710</v>
      </c>
      <c r="D4916" s="2" t="s">
        <v>28</v>
      </c>
      <c r="E4916" s="2" t="s">
        <v>29</v>
      </c>
      <c r="F4916" s="2">
        <v>30</v>
      </c>
      <c r="G4916" s="2" t="s">
        <v>10176</v>
      </c>
      <c r="H4916" s="2" t="s">
        <v>1519</v>
      </c>
      <c r="I4916" s="2" t="s">
        <v>32</v>
      </c>
      <c r="J4916" s="3">
        <v>44442</v>
      </c>
      <c r="K4916" s="2">
        <v>10</v>
      </c>
      <c r="L4916" s="2" t="s">
        <v>39</v>
      </c>
      <c r="M4916" s="3"/>
    </row>
    <row r="4917" spans="1:13" x14ac:dyDescent="0.3">
      <c r="A4917" s="2">
        <v>4916</v>
      </c>
      <c r="B4917" s="2" t="s">
        <v>10177</v>
      </c>
      <c r="C4917" s="2" t="s">
        <v>5546</v>
      </c>
      <c r="D4917" s="2" t="s">
        <v>28</v>
      </c>
      <c r="E4917" s="2" t="s">
        <v>29</v>
      </c>
      <c r="F4917" s="2">
        <v>30</v>
      </c>
      <c r="G4917" s="2" t="s">
        <v>10178</v>
      </c>
      <c r="H4917" s="2" t="s">
        <v>109</v>
      </c>
      <c r="I4917" s="2" t="s">
        <v>110</v>
      </c>
      <c r="J4917" s="3">
        <v>44421</v>
      </c>
      <c r="K4917" s="2">
        <v>18</v>
      </c>
      <c r="L4917" s="2" t="s">
        <v>54</v>
      </c>
      <c r="M4917" s="3"/>
    </row>
    <row r="4918" spans="1:13" x14ac:dyDescent="0.3">
      <c r="A4918" s="2">
        <v>4917</v>
      </c>
      <c r="B4918" s="2" t="s">
        <v>10179</v>
      </c>
      <c r="C4918" s="2" t="s">
        <v>215</v>
      </c>
      <c r="D4918" s="2" t="s">
        <v>92</v>
      </c>
      <c r="E4918" s="2" t="s">
        <v>16</v>
      </c>
      <c r="F4918" s="2">
        <v>60</v>
      </c>
      <c r="G4918" s="2" t="s">
        <v>10180</v>
      </c>
      <c r="H4918" s="2" t="s">
        <v>4860</v>
      </c>
      <c r="I4918" s="2" t="s">
        <v>32</v>
      </c>
      <c r="J4918" s="3">
        <v>44786</v>
      </c>
      <c r="K4918" s="2">
        <v>91</v>
      </c>
      <c r="L4918" s="2" t="s">
        <v>80</v>
      </c>
      <c r="M4918" s="3"/>
    </row>
    <row r="4919" spans="1:13" x14ac:dyDescent="0.3">
      <c r="A4919" s="2">
        <v>4918</v>
      </c>
      <c r="B4919" s="2" t="s">
        <v>5083</v>
      </c>
      <c r="C4919" s="2" t="s">
        <v>4913</v>
      </c>
      <c r="D4919" s="2" t="s">
        <v>92</v>
      </c>
      <c r="E4919" s="2" t="s">
        <v>29</v>
      </c>
      <c r="F4919" s="2">
        <v>90</v>
      </c>
      <c r="G4919" s="2" t="s">
        <v>10181</v>
      </c>
      <c r="H4919" s="2" t="s">
        <v>6343</v>
      </c>
      <c r="I4919" s="2" t="s">
        <v>32</v>
      </c>
      <c r="J4919" s="3">
        <v>43984</v>
      </c>
      <c r="K4919" s="2">
        <v>24</v>
      </c>
      <c r="L4919" s="2" t="s">
        <v>39</v>
      </c>
      <c r="M4919" s="3"/>
    </row>
    <row r="4920" spans="1:13" x14ac:dyDescent="0.3">
      <c r="A4920" s="2">
        <v>4919</v>
      </c>
      <c r="B4920" s="2" t="s">
        <v>9466</v>
      </c>
      <c r="C4920" s="2" t="s">
        <v>1211</v>
      </c>
      <c r="D4920" s="2" t="s">
        <v>15</v>
      </c>
      <c r="E4920" s="2" t="s">
        <v>16</v>
      </c>
      <c r="F4920" s="2">
        <v>90</v>
      </c>
      <c r="G4920" s="2" t="s">
        <v>10182</v>
      </c>
      <c r="H4920" s="2" t="s">
        <v>68</v>
      </c>
      <c r="I4920" s="2" t="s">
        <v>69</v>
      </c>
      <c r="J4920" s="3">
        <v>44281</v>
      </c>
      <c r="K4920" s="2">
        <v>78</v>
      </c>
      <c r="L4920" s="2" t="s">
        <v>33</v>
      </c>
      <c r="M4920" s="3"/>
    </row>
    <row r="4921" spans="1:13" x14ac:dyDescent="0.3">
      <c r="A4921" s="2">
        <v>4920</v>
      </c>
      <c r="B4921" s="2" t="s">
        <v>3709</v>
      </c>
      <c r="C4921" s="2" t="s">
        <v>309</v>
      </c>
      <c r="D4921" s="2" t="s">
        <v>51</v>
      </c>
      <c r="E4921" s="2" t="s">
        <v>16</v>
      </c>
      <c r="F4921" s="2">
        <v>60</v>
      </c>
      <c r="G4921" s="2" t="s">
        <v>10183</v>
      </c>
      <c r="H4921" s="2" t="s">
        <v>1893</v>
      </c>
      <c r="I4921" s="2" t="s">
        <v>294</v>
      </c>
      <c r="J4921" s="3">
        <v>44220</v>
      </c>
      <c r="K4921" s="2">
        <v>20</v>
      </c>
      <c r="L4921" s="2" t="s">
        <v>33</v>
      </c>
      <c r="M4921" s="3"/>
    </row>
    <row r="4922" spans="1:13" x14ac:dyDescent="0.3">
      <c r="A4922" s="2">
        <v>4921</v>
      </c>
      <c r="B4922" s="2" t="s">
        <v>8365</v>
      </c>
      <c r="C4922" s="2" t="s">
        <v>1994</v>
      </c>
      <c r="D4922" s="2" t="s">
        <v>51</v>
      </c>
      <c r="E4922" s="2" t="s">
        <v>16</v>
      </c>
      <c r="F4922" s="2">
        <v>90</v>
      </c>
      <c r="G4922" s="2" t="s">
        <v>10184</v>
      </c>
      <c r="H4922" s="2" t="s">
        <v>6122</v>
      </c>
      <c r="I4922" s="2" t="s">
        <v>25</v>
      </c>
      <c r="J4922" s="3">
        <v>44689</v>
      </c>
      <c r="K4922" s="2">
        <v>11</v>
      </c>
      <c r="L4922" s="2" t="s">
        <v>20</v>
      </c>
      <c r="M4922" s="3"/>
    </row>
    <row r="4923" spans="1:13" x14ac:dyDescent="0.3">
      <c r="A4923" s="2">
        <v>4922</v>
      </c>
      <c r="B4923" s="2" t="s">
        <v>1778</v>
      </c>
      <c r="C4923" s="2" t="s">
        <v>3546</v>
      </c>
      <c r="D4923" s="2" t="s">
        <v>51</v>
      </c>
      <c r="E4923" s="2" t="s">
        <v>16</v>
      </c>
      <c r="F4923" s="2">
        <v>60</v>
      </c>
      <c r="G4923" s="2" t="s">
        <v>10184</v>
      </c>
      <c r="H4923" s="2" t="s">
        <v>4404</v>
      </c>
      <c r="I4923" s="2" t="s">
        <v>32</v>
      </c>
      <c r="J4923" s="3">
        <v>44327</v>
      </c>
      <c r="K4923" s="2">
        <v>9</v>
      </c>
      <c r="L4923" s="2" t="s">
        <v>39</v>
      </c>
      <c r="M4923" s="3"/>
    </row>
    <row r="4924" spans="1:13" x14ac:dyDescent="0.3">
      <c r="A4924" s="2">
        <v>4923</v>
      </c>
      <c r="B4924" s="2" t="s">
        <v>6715</v>
      </c>
      <c r="C4924" s="2" t="s">
        <v>5323</v>
      </c>
      <c r="D4924" s="2" t="s">
        <v>28</v>
      </c>
      <c r="E4924" s="2" t="s">
        <v>29</v>
      </c>
      <c r="F4924" s="2">
        <v>60</v>
      </c>
      <c r="G4924" s="2" t="s">
        <v>10185</v>
      </c>
      <c r="H4924" s="2" t="s">
        <v>802</v>
      </c>
      <c r="I4924" s="2" t="s">
        <v>294</v>
      </c>
      <c r="J4924" s="3">
        <v>44016</v>
      </c>
      <c r="K4924" s="2">
        <v>63</v>
      </c>
      <c r="L4924" s="2" t="s">
        <v>33</v>
      </c>
      <c r="M4924" s="3"/>
    </row>
    <row r="4925" spans="1:13" x14ac:dyDescent="0.3">
      <c r="A4925" s="2">
        <v>4924</v>
      </c>
      <c r="B4925" s="2" t="s">
        <v>1900</v>
      </c>
      <c r="C4925" s="2" t="s">
        <v>481</v>
      </c>
      <c r="D4925" s="2" t="s">
        <v>51</v>
      </c>
      <c r="E4925" s="2" t="s">
        <v>16</v>
      </c>
      <c r="F4925" s="2">
        <v>30</v>
      </c>
      <c r="G4925" s="2" t="s">
        <v>10186</v>
      </c>
      <c r="H4925" s="2" t="s">
        <v>4133</v>
      </c>
      <c r="I4925" s="2" t="s">
        <v>32</v>
      </c>
      <c r="J4925" s="3">
        <v>44609</v>
      </c>
      <c r="K4925" s="2">
        <v>85</v>
      </c>
      <c r="L4925" s="2" t="s">
        <v>101</v>
      </c>
      <c r="M4925" s="3"/>
    </row>
    <row r="4926" spans="1:13" x14ac:dyDescent="0.3">
      <c r="A4926" s="2">
        <v>4925</v>
      </c>
      <c r="B4926" s="2" t="s">
        <v>10187</v>
      </c>
      <c r="C4926" s="2" t="s">
        <v>1821</v>
      </c>
      <c r="D4926" s="2" t="s">
        <v>41</v>
      </c>
      <c r="E4926" s="2" t="s">
        <v>16</v>
      </c>
      <c r="F4926" s="2">
        <v>60</v>
      </c>
      <c r="G4926" s="2" t="s">
        <v>10188</v>
      </c>
      <c r="H4926" s="2" t="s">
        <v>195</v>
      </c>
      <c r="I4926" s="2" t="s">
        <v>187</v>
      </c>
      <c r="J4926" s="3">
        <v>44778</v>
      </c>
      <c r="K4926" s="2">
        <v>104</v>
      </c>
      <c r="L4926" s="2" t="s">
        <v>64</v>
      </c>
      <c r="M4926" s="3"/>
    </row>
    <row r="4927" spans="1:13" x14ac:dyDescent="0.3">
      <c r="A4927" s="2">
        <v>4926</v>
      </c>
      <c r="B4927" s="2" t="s">
        <v>10189</v>
      </c>
      <c r="C4927" s="2" t="s">
        <v>696</v>
      </c>
      <c r="D4927" s="2" t="s">
        <v>15</v>
      </c>
      <c r="E4927" s="2" t="s">
        <v>16</v>
      </c>
      <c r="F4927" s="2">
        <v>90</v>
      </c>
      <c r="G4927" s="2" t="s">
        <v>10190</v>
      </c>
      <c r="H4927" s="2" t="s">
        <v>641</v>
      </c>
      <c r="I4927" s="2" t="s">
        <v>294</v>
      </c>
      <c r="J4927" s="3">
        <v>44197</v>
      </c>
      <c r="K4927" s="2">
        <v>13</v>
      </c>
      <c r="L4927" s="2" t="s">
        <v>33</v>
      </c>
      <c r="M4927" s="3"/>
    </row>
    <row r="4928" spans="1:13" x14ac:dyDescent="0.3">
      <c r="A4928" s="2">
        <v>4927</v>
      </c>
      <c r="B4928" s="2" t="s">
        <v>10191</v>
      </c>
      <c r="C4928" s="2" t="s">
        <v>10192</v>
      </c>
      <c r="D4928" s="2" t="s">
        <v>51</v>
      </c>
      <c r="E4928" s="2" t="s">
        <v>16</v>
      </c>
      <c r="F4928" s="2">
        <v>60</v>
      </c>
      <c r="G4928" s="2" t="s">
        <v>10193</v>
      </c>
      <c r="H4928" s="2" t="s">
        <v>659</v>
      </c>
      <c r="I4928" s="2" t="s">
        <v>32</v>
      </c>
      <c r="J4928" s="3">
        <v>44547</v>
      </c>
      <c r="K4928" s="2">
        <v>7</v>
      </c>
      <c r="L4928" s="2" t="s">
        <v>101</v>
      </c>
      <c r="M4928" s="3"/>
    </row>
    <row r="4929" spans="1:13" x14ac:dyDescent="0.3">
      <c r="A4929" s="2">
        <v>4928</v>
      </c>
      <c r="B4929" s="2" t="s">
        <v>10194</v>
      </c>
      <c r="C4929" s="2" t="s">
        <v>4679</v>
      </c>
      <c r="D4929" s="2" t="s">
        <v>51</v>
      </c>
      <c r="E4929" s="2" t="s">
        <v>16</v>
      </c>
      <c r="F4929" s="2">
        <v>60</v>
      </c>
      <c r="G4929" s="2" t="s">
        <v>10195</v>
      </c>
      <c r="H4929" s="2" t="s">
        <v>6430</v>
      </c>
      <c r="I4929" s="2" t="s">
        <v>32</v>
      </c>
      <c r="J4929" s="3">
        <v>44452</v>
      </c>
      <c r="K4929" s="2">
        <v>38</v>
      </c>
      <c r="L4929" s="2" t="s">
        <v>45</v>
      </c>
      <c r="M4929" s="3"/>
    </row>
    <row r="4930" spans="1:13" x14ac:dyDescent="0.3">
      <c r="A4930" s="2">
        <v>4929</v>
      </c>
      <c r="B4930" s="2" t="s">
        <v>9550</v>
      </c>
      <c r="C4930" s="2" t="s">
        <v>5677</v>
      </c>
      <c r="D4930" s="2" t="s">
        <v>15</v>
      </c>
      <c r="E4930" s="2" t="s">
        <v>16</v>
      </c>
      <c r="F4930" s="2">
        <v>90</v>
      </c>
      <c r="G4930" s="2" t="s">
        <v>10196</v>
      </c>
      <c r="H4930" s="2" t="s">
        <v>455</v>
      </c>
      <c r="I4930" s="2" t="s">
        <v>187</v>
      </c>
      <c r="J4930" s="3">
        <v>43872</v>
      </c>
      <c r="K4930" s="2">
        <v>8</v>
      </c>
      <c r="L4930" s="2" t="s">
        <v>45</v>
      </c>
      <c r="M4930" s="3"/>
    </row>
    <row r="4931" spans="1:13" x14ac:dyDescent="0.3">
      <c r="A4931" s="2">
        <v>4930</v>
      </c>
      <c r="B4931" s="2" t="s">
        <v>882</v>
      </c>
      <c r="C4931" s="2" t="s">
        <v>4635</v>
      </c>
      <c r="D4931" s="2" t="s">
        <v>28</v>
      </c>
      <c r="E4931" s="2" t="s">
        <v>29</v>
      </c>
      <c r="F4931" s="2">
        <v>90</v>
      </c>
      <c r="G4931" s="2" t="s">
        <v>10196</v>
      </c>
      <c r="H4931" s="2" t="s">
        <v>970</v>
      </c>
      <c r="I4931" s="2" t="s">
        <v>187</v>
      </c>
      <c r="J4931" s="3">
        <v>44832</v>
      </c>
      <c r="K4931" s="2">
        <v>88</v>
      </c>
      <c r="L4931" s="2" t="s">
        <v>70</v>
      </c>
      <c r="M4931" s="3"/>
    </row>
    <row r="4932" spans="1:13" x14ac:dyDescent="0.3">
      <c r="A4932" s="2">
        <v>4931</v>
      </c>
      <c r="B4932" s="2" t="s">
        <v>10197</v>
      </c>
      <c r="C4932" s="2" t="s">
        <v>4790</v>
      </c>
      <c r="D4932" s="2" t="s">
        <v>15</v>
      </c>
      <c r="E4932" s="2" t="s">
        <v>16</v>
      </c>
      <c r="F4932" s="2">
        <v>60</v>
      </c>
      <c r="G4932" s="2" t="s">
        <v>10198</v>
      </c>
      <c r="H4932" s="2" t="s">
        <v>1568</v>
      </c>
      <c r="I4932" s="2" t="s">
        <v>32</v>
      </c>
      <c r="J4932" s="3">
        <v>44015</v>
      </c>
      <c r="K4932" s="2">
        <v>22</v>
      </c>
      <c r="L4932" s="2" t="s">
        <v>33</v>
      </c>
      <c r="M4932" s="3"/>
    </row>
    <row r="4933" spans="1:13" x14ac:dyDescent="0.3">
      <c r="A4933" s="2">
        <v>4932</v>
      </c>
      <c r="B4933" s="2" t="s">
        <v>4936</v>
      </c>
      <c r="C4933" s="2" t="s">
        <v>1528</v>
      </c>
      <c r="D4933" s="2" t="s">
        <v>28</v>
      </c>
      <c r="E4933" s="2" t="s">
        <v>29</v>
      </c>
      <c r="F4933" s="2">
        <v>60</v>
      </c>
      <c r="G4933" s="2" t="s">
        <v>10199</v>
      </c>
      <c r="H4933" s="2" t="s">
        <v>9098</v>
      </c>
      <c r="I4933" s="2" t="s">
        <v>38</v>
      </c>
      <c r="J4933" s="3">
        <v>44118</v>
      </c>
      <c r="K4933" s="2">
        <v>81</v>
      </c>
      <c r="L4933" s="2" t="s">
        <v>45</v>
      </c>
      <c r="M4933" s="3"/>
    </row>
    <row r="4934" spans="1:13" x14ac:dyDescent="0.3">
      <c r="A4934" s="2">
        <v>4933</v>
      </c>
      <c r="B4934" s="2" t="s">
        <v>2840</v>
      </c>
      <c r="C4934" s="2" t="s">
        <v>4218</v>
      </c>
      <c r="D4934" s="2" t="s">
        <v>28</v>
      </c>
      <c r="E4934" s="2" t="s">
        <v>29</v>
      </c>
      <c r="F4934" s="2">
        <v>60</v>
      </c>
      <c r="G4934" s="2" t="s">
        <v>10200</v>
      </c>
      <c r="H4934" s="2" t="s">
        <v>128</v>
      </c>
      <c r="I4934" s="2" t="s">
        <v>129</v>
      </c>
      <c r="J4934" s="3">
        <v>44480</v>
      </c>
      <c r="K4934" s="2">
        <v>69</v>
      </c>
      <c r="L4934" s="2" t="s">
        <v>45</v>
      </c>
      <c r="M4934" s="3"/>
    </row>
    <row r="4935" spans="1:13" x14ac:dyDescent="0.3">
      <c r="A4935" s="2">
        <v>4934</v>
      </c>
      <c r="B4935" s="2" t="s">
        <v>1079</v>
      </c>
      <c r="C4935" s="2" t="s">
        <v>4366</v>
      </c>
      <c r="D4935" s="2" t="s">
        <v>51</v>
      </c>
      <c r="E4935" s="2" t="s">
        <v>16</v>
      </c>
      <c r="F4935" s="2">
        <v>30</v>
      </c>
      <c r="G4935" s="2" t="s">
        <v>10201</v>
      </c>
      <c r="H4935" s="2" t="s">
        <v>7261</v>
      </c>
      <c r="I4935" s="2" t="s">
        <v>32</v>
      </c>
      <c r="J4935" s="3">
        <v>44711</v>
      </c>
      <c r="K4935" s="2">
        <v>88</v>
      </c>
      <c r="L4935" s="2" t="s">
        <v>70</v>
      </c>
      <c r="M4935" s="3"/>
    </row>
    <row r="4936" spans="1:13" x14ac:dyDescent="0.3">
      <c r="A4936" s="2">
        <v>4935</v>
      </c>
      <c r="B4936" s="2" t="s">
        <v>10202</v>
      </c>
      <c r="C4936" s="2" t="s">
        <v>7187</v>
      </c>
      <c r="D4936" s="2" t="s">
        <v>15</v>
      </c>
      <c r="E4936" s="2" t="s">
        <v>16</v>
      </c>
      <c r="F4936" s="2">
        <v>90</v>
      </c>
      <c r="G4936" s="2" t="s">
        <v>10203</v>
      </c>
      <c r="H4936" s="2" t="s">
        <v>8331</v>
      </c>
      <c r="I4936" s="2" t="s">
        <v>32</v>
      </c>
      <c r="J4936" s="3">
        <v>44717</v>
      </c>
      <c r="K4936" s="2">
        <v>79</v>
      </c>
      <c r="L4936" s="2" t="s">
        <v>64</v>
      </c>
      <c r="M4936" s="3"/>
    </row>
    <row r="4937" spans="1:13" x14ac:dyDescent="0.3">
      <c r="A4937" s="2">
        <v>4936</v>
      </c>
      <c r="B4937" s="2" t="s">
        <v>10204</v>
      </c>
      <c r="C4937" s="2" t="s">
        <v>4671</v>
      </c>
      <c r="D4937" s="2" t="s">
        <v>15</v>
      </c>
      <c r="E4937" s="2" t="s">
        <v>16</v>
      </c>
      <c r="F4937" s="2">
        <v>30</v>
      </c>
      <c r="G4937" s="2" t="s">
        <v>10205</v>
      </c>
      <c r="H4937" s="2" t="s">
        <v>4915</v>
      </c>
      <c r="I4937" s="2" t="s">
        <v>32</v>
      </c>
      <c r="J4937" s="3">
        <v>44743</v>
      </c>
      <c r="K4937" s="2">
        <v>100</v>
      </c>
      <c r="L4937" s="2" t="s">
        <v>159</v>
      </c>
      <c r="M4937" s="3"/>
    </row>
    <row r="4938" spans="1:13" x14ac:dyDescent="0.3">
      <c r="A4938" s="2">
        <v>4937</v>
      </c>
      <c r="B4938" s="2" t="s">
        <v>9096</v>
      </c>
      <c r="C4938" s="2" t="s">
        <v>6971</v>
      </c>
      <c r="D4938" s="2" t="s">
        <v>41</v>
      </c>
      <c r="E4938" s="2" t="s">
        <v>16</v>
      </c>
      <c r="F4938" s="2">
        <v>60</v>
      </c>
      <c r="G4938" s="2" t="s">
        <v>10206</v>
      </c>
      <c r="H4938" s="2" t="s">
        <v>2799</v>
      </c>
      <c r="I4938" s="2" t="s">
        <v>32</v>
      </c>
      <c r="J4938" s="3">
        <v>44835</v>
      </c>
      <c r="K4938" s="2">
        <v>94</v>
      </c>
      <c r="L4938" s="2" t="s">
        <v>159</v>
      </c>
      <c r="M4938" s="3"/>
    </row>
    <row r="4939" spans="1:13" x14ac:dyDescent="0.3">
      <c r="A4939" s="2">
        <v>4938</v>
      </c>
      <c r="B4939" s="2" t="s">
        <v>8091</v>
      </c>
      <c r="C4939" s="2" t="s">
        <v>5323</v>
      </c>
      <c r="D4939" s="2" t="s">
        <v>15</v>
      </c>
      <c r="E4939" s="2" t="s">
        <v>16</v>
      </c>
      <c r="F4939" s="2">
        <v>30</v>
      </c>
      <c r="G4939" s="2" t="s">
        <v>10207</v>
      </c>
      <c r="H4939" s="2" t="s">
        <v>5108</v>
      </c>
      <c r="I4939" s="2" t="s">
        <v>38</v>
      </c>
      <c r="J4939" s="3">
        <v>43832</v>
      </c>
      <c r="K4939" s="2">
        <v>13</v>
      </c>
      <c r="L4939" s="2" t="s">
        <v>70</v>
      </c>
      <c r="M4939" s="3"/>
    </row>
    <row r="4940" spans="1:13" x14ac:dyDescent="0.3">
      <c r="A4940" s="2">
        <v>4939</v>
      </c>
      <c r="B4940" s="2" t="s">
        <v>10208</v>
      </c>
      <c r="C4940" s="2" t="s">
        <v>61</v>
      </c>
      <c r="D4940" s="2" t="s">
        <v>15</v>
      </c>
      <c r="E4940" s="2" t="s">
        <v>16</v>
      </c>
      <c r="F4940" s="2">
        <v>90</v>
      </c>
      <c r="G4940" s="2" t="s">
        <v>10209</v>
      </c>
      <c r="H4940" s="2" t="s">
        <v>5714</v>
      </c>
      <c r="I4940" s="2" t="s">
        <v>187</v>
      </c>
      <c r="J4940" s="3">
        <v>44629</v>
      </c>
      <c r="K4940" s="2">
        <v>59</v>
      </c>
      <c r="L4940" s="2" t="s">
        <v>159</v>
      </c>
      <c r="M4940" s="3"/>
    </row>
    <row r="4941" spans="1:13" x14ac:dyDescent="0.3">
      <c r="A4941" s="2">
        <v>4940</v>
      </c>
      <c r="B4941" s="2" t="s">
        <v>6251</v>
      </c>
      <c r="C4941" s="2" t="s">
        <v>2611</v>
      </c>
      <c r="D4941" s="2" t="s">
        <v>15</v>
      </c>
      <c r="E4941" s="2" t="s">
        <v>16</v>
      </c>
      <c r="F4941" s="2">
        <v>30</v>
      </c>
      <c r="G4941" s="2" t="s">
        <v>10210</v>
      </c>
      <c r="H4941" s="2" t="s">
        <v>498</v>
      </c>
      <c r="I4941" s="2" t="s">
        <v>32</v>
      </c>
      <c r="J4941" s="3">
        <v>43859</v>
      </c>
      <c r="K4941" s="2">
        <v>78</v>
      </c>
      <c r="L4941" s="2" t="s">
        <v>80</v>
      </c>
      <c r="M4941" s="3"/>
    </row>
    <row r="4942" spans="1:13" x14ac:dyDescent="0.3">
      <c r="A4942" s="2">
        <v>4941</v>
      </c>
      <c r="B4942" s="2" t="s">
        <v>2580</v>
      </c>
      <c r="C4942" s="2" t="s">
        <v>3454</v>
      </c>
      <c r="D4942" s="2" t="s">
        <v>15</v>
      </c>
      <c r="E4942" s="2" t="s">
        <v>16</v>
      </c>
      <c r="F4942" s="2">
        <v>60</v>
      </c>
      <c r="G4942" s="2" t="s">
        <v>10211</v>
      </c>
      <c r="H4942" s="2" t="s">
        <v>6621</v>
      </c>
      <c r="I4942" s="2" t="s">
        <v>38</v>
      </c>
      <c r="J4942" s="3">
        <v>44572</v>
      </c>
      <c r="K4942" s="2">
        <v>19</v>
      </c>
      <c r="L4942" s="2" t="s">
        <v>64</v>
      </c>
      <c r="M4942" s="3"/>
    </row>
    <row r="4943" spans="1:13" x14ac:dyDescent="0.3">
      <c r="A4943" s="2">
        <v>4942</v>
      </c>
      <c r="B4943" s="2" t="s">
        <v>4159</v>
      </c>
      <c r="C4943" s="2" t="s">
        <v>3301</v>
      </c>
      <c r="D4943" s="2" t="s">
        <v>15</v>
      </c>
      <c r="E4943" s="2" t="s">
        <v>16</v>
      </c>
      <c r="F4943" s="2">
        <v>30</v>
      </c>
      <c r="G4943" s="2" t="s">
        <v>10212</v>
      </c>
      <c r="H4943" s="2" t="s">
        <v>1119</v>
      </c>
      <c r="I4943" s="2" t="s">
        <v>240</v>
      </c>
      <c r="J4943" s="3">
        <v>43853</v>
      </c>
      <c r="K4943" s="2">
        <v>75</v>
      </c>
      <c r="L4943" s="2" t="s">
        <v>45</v>
      </c>
      <c r="M4943" s="3"/>
    </row>
    <row r="4944" spans="1:13" x14ac:dyDescent="0.3">
      <c r="A4944" s="2">
        <v>4943</v>
      </c>
      <c r="B4944" s="2" t="s">
        <v>10213</v>
      </c>
      <c r="C4944" s="2" t="s">
        <v>107</v>
      </c>
      <c r="D4944" s="2" t="s">
        <v>51</v>
      </c>
      <c r="E4944" s="2" t="s">
        <v>16</v>
      </c>
      <c r="F4944" s="2">
        <v>60</v>
      </c>
      <c r="G4944" s="2" t="s">
        <v>10214</v>
      </c>
      <c r="H4944" s="2" t="s">
        <v>730</v>
      </c>
      <c r="I4944" s="2" t="s">
        <v>187</v>
      </c>
      <c r="J4944" s="3">
        <v>44620</v>
      </c>
      <c r="K4944" s="2">
        <v>58</v>
      </c>
      <c r="L4944" s="2" t="s">
        <v>101</v>
      </c>
      <c r="M4944" s="3"/>
    </row>
    <row r="4945" spans="1:13" x14ac:dyDescent="0.3">
      <c r="A4945" s="2">
        <v>4944</v>
      </c>
      <c r="B4945" s="2" t="s">
        <v>2300</v>
      </c>
      <c r="C4945" s="2" t="s">
        <v>10215</v>
      </c>
      <c r="D4945" s="2" t="s">
        <v>51</v>
      </c>
      <c r="E4945" s="2" t="s">
        <v>16</v>
      </c>
      <c r="F4945" s="2">
        <v>60</v>
      </c>
      <c r="G4945" s="2" t="s">
        <v>10216</v>
      </c>
      <c r="H4945" s="2" t="s">
        <v>2587</v>
      </c>
      <c r="I4945" s="2" t="s">
        <v>124</v>
      </c>
      <c r="J4945" s="3">
        <v>44828</v>
      </c>
      <c r="K4945" s="2">
        <v>87</v>
      </c>
      <c r="L4945" s="2" t="s">
        <v>20</v>
      </c>
      <c r="M4945" s="3"/>
    </row>
    <row r="4946" spans="1:13" x14ac:dyDescent="0.3">
      <c r="A4946" s="2">
        <v>4945</v>
      </c>
      <c r="B4946" s="2" t="s">
        <v>3117</v>
      </c>
      <c r="C4946" s="2" t="s">
        <v>5084</v>
      </c>
      <c r="D4946" s="2" t="s">
        <v>28</v>
      </c>
      <c r="E4946" s="2" t="s">
        <v>29</v>
      </c>
      <c r="F4946" s="2">
        <v>90</v>
      </c>
      <c r="G4946" s="2" t="s">
        <v>10217</v>
      </c>
      <c r="H4946" s="2" t="s">
        <v>750</v>
      </c>
      <c r="I4946" s="2" t="s">
        <v>25</v>
      </c>
      <c r="J4946" s="3">
        <v>44623</v>
      </c>
      <c r="K4946" s="2">
        <v>18</v>
      </c>
      <c r="L4946" s="2" t="s">
        <v>101</v>
      </c>
      <c r="M4946" s="3"/>
    </row>
    <row r="4947" spans="1:13" x14ac:dyDescent="0.3">
      <c r="A4947" s="2">
        <v>4946</v>
      </c>
      <c r="B4947" s="2" t="s">
        <v>1849</v>
      </c>
      <c r="C4947" s="2" t="s">
        <v>3965</v>
      </c>
      <c r="D4947" s="2" t="s">
        <v>51</v>
      </c>
      <c r="E4947" s="2" t="s">
        <v>16</v>
      </c>
      <c r="F4947" s="2">
        <v>90</v>
      </c>
      <c r="G4947" s="2" t="s">
        <v>10218</v>
      </c>
      <c r="H4947" s="2" t="s">
        <v>2123</v>
      </c>
      <c r="I4947" s="2" t="s">
        <v>187</v>
      </c>
      <c r="J4947" s="3">
        <v>44621</v>
      </c>
      <c r="K4947" s="2">
        <v>104</v>
      </c>
      <c r="L4947" s="2" t="s">
        <v>39</v>
      </c>
      <c r="M4947" s="3"/>
    </row>
    <row r="4948" spans="1:13" x14ac:dyDescent="0.3">
      <c r="A4948" s="2">
        <v>4947</v>
      </c>
      <c r="B4948" s="2" t="s">
        <v>2197</v>
      </c>
      <c r="C4948" s="2" t="s">
        <v>2449</v>
      </c>
      <c r="D4948" s="2" t="s">
        <v>28</v>
      </c>
      <c r="E4948" s="2" t="s">
        <v>29</v>
      </c>
      <c r="F4948" s="2">
        <v>60</v>
      </c>
      <c r="G4948" s="2" t="s">
        <v>10219</v>
      </c>
      <c r="H4948" s="2" t="s">
        <v>6687</v>
      </c>
      <c r="I4948" s="2" t="s">
        <v>32</v>
      </c>
      <c r="J4948" s="3">
        <v>44386</v>
      </c>
      <c r="K4948" s="2">
        <v>79</v>
      </c>
      <c r="L4948" s="2" t="s">
        <v>80</v>
      </c>
      <c r="M4948" s="3"/>
    </row>
    <row r="4949" spans="1:13" x14ac:dyDescent="0.3">
      <c r="A4949" s="2">
        <v>4948</v>
      </c>
      <c r="B4949" s="2" t="s">
        <v>10220</v>
      </c>
      <c r="C4949" s="2" t="s">
        <v>348</v>
      </c>
      <c r="D4949" s="2" t="s">
        <v>15</v>
      </c>
      <c r="E4949" s="2" t="s">
        <v>16</v>
      </c>
      <c r="F4949" s="2">
        <v>30</v>
      </c>
      <c r="G4949" s="2" t="s">
        <v>10221</v>
      </c>
      <c r="H4949" s="2" t="s">
        <v>3157</v>
      </c>
      <c r="I4949" s="2" t="s">
        <v>32</v>
      </c>
      <c r="J4949" s="3">
        <v>44395</v>
      </c>
      <c r="K4949" s="2">
        <v>40</v>
      </c>
      <c r="L4949" s="2" t="s">
        <v>159</v>
      </c>
      <c r="M4949" s="3"/>
    </row>
    <row r="4950" spans="1:13" x14ac:dyDescent="0.3">
      <c r="A4950" s="2">
        <v>4949</v>
      </c>
      <c r="B4950" s="2" t="s">
        <v>9030</v>
      </c>
      <c r="C4950" s="2" t="s">
        <v>672</v>
      </c>
      <c r="D4950" s="2" t="s">
        <v>51</v>
      </c>
      <c r="E4950" s="2" t="s">
        <v>16</v>
      </c>
      <c r="F4950" s="2">
        <v>90</v>
      </c>
      <c r="G4950" s="2" t="s">
        <v>10222</v>
      </c>
      <c r="H4950" s="2" t="s">
        <v>3365</v>
      </c>
      <c r="I4950" s="2" t="s">
        <v>146</v>
      </c>
      <c r="J4950" s="3">
        <v>44290</v>
      </c>
      <c r="K4950" s="2">
        <v>52</v>
      </c>
      <c r="L4950" s="2" t="s">
        <v>39</v>
      </c>
      <c r="M4950" s="3"/>
    </row>
    <row r="4951" spans="1:13" x14ac:dyDescent="0.3">
      <c r="A4951" s="2">
        <v>4950</v>
      </c>
      <c r="B4951" s="2" t="s">
        <v>10223</v>
      </c>
      <c r="C4951" s="2" t="s">
        <v>10224</v>
      </c>
      <c r="D4951" s="2" t="s">
        <v>51</v>
      </c>
      <c r="E4951" s="2" t="s">
        <v>16</v>
      </c>
      <c r="F4951" s="2">
        <v>30</v>
      </c>
      <c r="G4951" s="2" t="s">
        <v>10225</v>
      </c>
      <c r="H4951" s="2" t="s">
        <v>2084</v>
      </c>
      <c r="I4951" s="2" t="s">
        <v>294</v>
      </c>
      <c r="J4951" s="3">
        <v>44743</v>
      </c>
      <c r="K4951" s="2">
        <v>98</v>
      </c>
      <c r="L4951" s="2" t="s">
        <v>45</v>
      </c>
      <c r="M4951" s="3"/>
    </row>
    <row r="4952" spans="1:13" x14ac:dyDescent="0.3">
      <c r="A4952" s="2">
        <v>4951</v>
      </c>
      <c r="B4952" s="2" t="s">
        <v>463</v>
      </c>
      <c r="C4952" s="2" t="s">
        <v>7684</v>
      </c>
      <c r="D4952" s="2" t="s">
        <v>41</v>
      </c>
      <c r="E4952" s="2" t="s">
        <v>16</v>
      </c>
      <c r="F4952" s="2">
        <v>90</v>
      </c>
      <c r="G4952" s="2" t="s">
        <v>10226</v>
      </c>
      <c r="H4952" s="2" t="s">
        <v>2066</v>
      </c>
      <c r="I4952" s="2" t="s">
        <v>294</v>
      </c>
      <c r="J4952" s="3">
        <v>44277</v>
      </c>
      <c r="K4952" s="2">
        <v>75</v>
      </c>
      <c r="L4952" s="2" t="s">
        <v>159</v>
      </c>
      <c r="M4952" s="3"/>
    </row>
    <row r="4953" spans="1:13" x14ac:dyDescent="0.3">
      <c r="A4953" s="2">
        <v>4952</v>
      </c>
      <c r="B4953" s="2" t="s">
        <v>10227</v>
      </c>
      <c r="C4953" s="2" t="s">
        <v>2813</v>
      </c>
      <c r="D4953" s="2" t="s">
        <v>51</v>
      </c>
      <c r="E4953" s="2" t="s">
        <v>16</v>
      </c>
      <c r="F4953" s="2">
        <v>30</v>
      </c>
      <c r="G4953" s="2" t="s">
        <v>10228</v>
      </c>
      <c r="H4953" s="2" t="s">
        <v>3579</v>
      </c>
      <c r="I4953" s="2" t="s">
        <v>1576</v>
      </c>
      <c r="J4953" s="3">
        <v>43868</v>
      </c>
      <c r="K4953" s="2">
        <v>51</v>
      </c>
      <c r="L4953" s="2" t="s">
        <v>101</v>
      </c>
      <c r="M4953" s="3"/>
    </row>
    <row r="4954" spans="1:13" x14ac:dyDescent="0.3">
      <c r="A4954" s="2">
        <v>4953</v>
      </c>
      <c r="B4954" s="2" t="s">
        <v>7821</v>
      </c>
      <c r="C4954" s="2" t="s">
        <v>4635</v>
      </c>
      <c r="D4954" s="2" t="s">
        <v>15</v>
      </c>
      <c r="E4954" s="2" t="s">
        <v>16</v>
      </c>
      <c r="F4954" s="2">
        <v>60</v>
      </c>
      <c r="G4954" s="2" t="s">
        <v>10229</v>
      </c>
      <c r="H4954" s="2" t="s">
        <v>3724</v>
      </c>
      <c r="I4954" s="2" t="s">
        <v>1078</v>
      </c>
      <c r="J4954" s="3">
        <v>44744</v>
      </c>
      <c r="K4954" s="2">
        <v>40</v>
      </c>
      <c r="L4954" s="2" t="s">
        <v>20</v>
      </c>
      <c r="M4954" s="3"/>
    </row>
    <row r="4955" spans="1:13" x14ac:dyDescent="0.3">
      <c r="A4955" s="2">
        <v>4954</v>
      </c>
      <c r="B4955" s="2" t="s">
        <v>1877</v>
      </c>
      <c r="C4955" s="2" t="s">
        <v>9715</v>
      </c>
      <c r="D4955" s="2" t="s">
        <v>28</v>
      </c>
      <c r="E4955" s="2" t="s">
        <v>29</v>
      </c>
      <c r="F4955" s="2">
        <v>30</v>
      </c>
      <c r="G4955" s="2" t="s">
        <v>10230</v>
      </c>
      <c r="H4955" s="2" t="s">
        <v>9286</v>
      </c>
      <c r="I4955" s="2" t="s">
        <v>178</v>
      </c>
      <c r="J4955" s="3">
        <v>44203</v>
      </c>
      <c r="K4955" s="2">
        <v>63</v>
      </c>
      <c r="L4955" s="2" t="s">
        <v>101</v>
      </c>
      <c r="M4955" s="3"/>
    </row>
    <row r="4956" spans="1:13" x14ac:dyDescent="0.3">
      <c r="A4956" s="2">
        <v>4955</v>
      </c>
      <c r="B4956" s="2" t="s">
        <v>10231</v>
      </c>
      <c r="C4956" s="2" t="s">
        <v>1410</v>
      </c>
      <c r="D4956" s="2" t="s">
        <v>41</v>
      </c>
      <c r="E4956" s="2" t="s">
        <v>16</v>
      </c>
      <c r="F4956" s="2">
        <v>90</v>
      </c>
      <c r="G4956" s="2" t="s">
        <v>10232</v>
      </c>
      <c r="H4956" s="2" t="s">
        <v>350</v>
      </c>
      <c r="I4956" s="2" t="s">
        <v>25</v>
      </c>
      <c r="J4956" s="3">
        <v>43947</v>
      </c>
      <c r="K4956" s="2">
        <v>4</v>
      </c>
      <c r="L4956" s="2" t="s">
        <v>33</v>
      </c>
      <c r="M4956" s="3"/>
    </row>
    <row r="4957" spans="1:13" x14ac:dyDescent="0.3">
      <c r="A4957" s="2">
        <v>4956</v>
      </c>
      <c r="B4957" s="2" t="s">
        <v>10233</v>
      </c>
      <c r="C4957" s="2" t="s">
        <v>816</v>
      </c>
      <c r="D4957" s="2" t="s">
        <v>28</v>
      </c>
      <c r="E4957" s="2" t="s">
        <v>29</v>
      </c>
      <c r="F4957" s="2">
        <v>60</v>
      </c>
      <c r="G4957" s="2" t="s">
        <v>10234</v>
      </c>
      <c r="H4957" s="2" t="s">
        <v>6312</v>
      </c>
      <c r="I4957" s="2" t="s">
        <v>173</v>
      </c>
      <c r="J4957" s="3">
        <v>43946</v>
      </c>
      <c r="K4957" s="2">
        <v>36</v>
      </c>
      <c r="L4957" s="2" t="s">
        <v>70</v>
      </c>
      <c r="M4957" s="3"/>
    </row>
    <row r="4958" spans="1:13" x14ac:dyDescent="0.3">
      <c r="A4958" s="2">
        <v>4957</v>
      </c>
      <c r="B4958" s="2" t="s">
        <v>8785</v>
      </c>
      <c r="C4958" s="2" t="s">
        <v>795</v>
      </c>
      <c r="D4958" s="2" t="s">
        <v>51</v>
      </c>
      <c r="E4958" s="2" t="s">
        <v>16</v>
      </c>
      <c r="F4958" s="2">
        <v>90</v>
      </c>
      <c r="G4958" s="2" t="s">
        <v>10235</v>
      </c>
      <c r="H4958" s="2" t="s">
        <v>2311</v>
      </c>
      <c r="I4958" s="2" t="s">
        <v>32</v>
      </c>
      <c r="J4958" s="3">
        <v>43924</v>
      </c>
      <c r="K4958" s="2">
        <v>80</v>
      </c>
      <c r="L4958" s="2" t="s">
        <v>20</v>
      </c>
      <c r="M4958" s="3"/>
    </row>
    <row r="4959" spans="1:13" x14ac:dyDescent="0.3">
      <c r="A4959" s="2">
        <v>4958</v>
      </c>
      <c r="B4959" s="2" t="s">
        <v>10236</v>
      </c>
      <c r="C4959" s="2" t="s">
        <v>1654</v>
      </c>
      <c r="D4959" s="2" t="s">
        <v>51</v>
      </c>
      <c r="E4959" s="2" t="s">
        <v>16</v>
      </c>
      <c r="F4959" s="2">
        <v>90</v>
      </c>
      <c r="G4959" s="2" t="s">
        <v>10237</v>
      </c>
      <c r="H4959" s="2" t="s">
        <v>1168</v>
      </c>
      <c r="I4959" s="2" t="s">
        <v>32</v>
      </c>
      <c r="J4959" s="3">
        <v>43888</v>
      </c>
      <c r="K4959" s="2">
        <v>61</v>
      </c>
      <c r="L4959" s="2" t="s">
        <v>64</v>
      </c>
      <c r="M4959" s="3"/>
    </row>
    <row r="4960" spans="1:13" x14ac:dyDescent="0.3">
      <c r="A4960" s="2">
        <v>4959</v>
      </c>
      <c r="B4960" s="2" t="s">
        <v>10238</v>
      </c>
      <c r="C4960" s="2" t="s">
        <v>3251</v>
      </c>
      <c r="D4960" s="2" t="s">
        <v>28</v>
      </c>
      <c r="E4960" s="2" t="s">
        <v>29</v>
      </c>
      <c r="F4960" s="2">
        <v>60</v>
      </c>
      <c r="G4960" s="2" t="s">
        <v>10239</v>
      </c>
      <c r="H4960" s="2" t="s">
        <v>5170</v>
      </c>
      <c r="I4960" s="2" t="s">
        <v>294</v>
      </c>
      <c r="J4960" s="3">
        <v>44004</v>
      </c>
      <c r="K4960" s="2">
        <v>6</v>
      </c>
      <c r="L4960" s="2" t="s">
        <v>70</v>
      </c>
      <c r="M4960" s="3"/>
    </row>
    <row r="4961" spans="1:13" x14ac:dyDescent="0.3">
      <c r="A4961" s="2">
        <v>4960</v>
      </c>
      <c r="B4961" s="2" t="s">
        <v>10240</v>
      </c>
      <c r="D4961" s="2" t="s">
        <v>92</v>
      </c>
      <c r="E4961" s="2" t="s">
        <v>16</v>
      </c>
      <c r="F4961" s="2">
        <v>90</v>
      </c>
      <c r="G4961" s="2" t="s">
        <v>10241</v>
      </c>
      <c r="H4961" s="2" t="s">
        <v>1548</v>
      </c>
      <c r="I4961" s="2" t="s">
        <v>1549</v>
      </c>
      <c r="J4961" s="3">
        <v>44008</v>
      </c>
      <c r="K4961" s="2">
        <v>72</v>
      </c>
      <c r="L4961" s="2" t="s">
        <v>159</v>
      </c>
      <c r="M4961" s="3"/>
    </row>
    <row r="4962" spans="1:13" x14ac:dyDescent="0.3">
      <c r="A4962" s="2">
        <v>4961</v>
      </c>
      <c r="B4962" s="2" t="s">
        <v>5695</v>
      </c>
      <c r="C4962" s="2" t="s">
        <v>7398</v>
      </c>
      <c r="D4962" s="2" t="s">
        <v>28</v>
      </c>
      <c r="E4962" s="2" t="s">
        <v>29</v>
      </c>
      <c r="F4962" s="2">
        <v>90</v>
      </c>
      <c r="G4962" s="2" t="s">
        <v>10242</v>
      </c>
      <c r="H4962" s="2" t="s">
        <v>5867</v>
      </c>
      <c r="I4962" s="2" t="s">
        <v>32</v>
      </c>
      <c r="J4962" s="3">
        <v>44508</v>
      </c>
      <c r="K4962" s="2">
        <v>17</v>
      </c>
      <c r="L4962" s="2" t="s">
        <v>45</v>
      </c>
      <c r="M4962" s="3"/>
    </row>
    <row r="4963" spans="1:13" x14ac:dyDescent="0.3">
      <c r="A4963" s="2">
        <v>4962</v>
      </c>
      <c r="B4963" s="2" t="s">
        <v>5571</v>
      </c>
      <c r="C4963" s="2" t="s">
        <v>6776</v>
      </c>
      <c r="D4963" s="2" t="s">
        <v>15</v>
      </c>
      <c r="E4963" s="2" t="s">
        <v>16</v>
      </c>
      <c r="F4963" s="2">
        <v>90</v>
      </c>
      <c r="G4963" s="2" t="s">
        <v>10243</v>
      </c>
      <c r="H4963" s="2" t="s">
        <v>1601</v>
      </c>
      <c r="I4963" s="2" t="s">
        <v>32</v>
      </c>
      <c r="J4963" s="3">
        <v>44741</v>
      </c>
      <c r="K4963" s="2">
        <v>43</v>
      </c>
      <c r="L4963" s="2" t="s">
        <v>70</v>
      </c>
      <c r="M4963" s="3"/>
    </row>
    <row r="4964" spans="1:13" x14ac:dyDescent="0.3">
      <c r="A4964" s="2">
        <v>4963</v>
      </c>
      <c r="B4964" s="2" t="s">
        <v>10244</v>
      </c>
      <c r="C4964" s="2" t="s">
        <v>348</v>
      </c>
      <c r="D4964" s="2" t="s">
        <v>92</v>
      </c>
      <c r="E4964" s="2" t="s">
        <v>16</v>
      </c>
      <c r="F4964" s="2">
        <v>60</v>
      </c>
      <c r="G4964" s="2" t="s">
        <v>10245</v>
      </c>
      <c r="H4964" s="2" t="s">
        <v>5711</v>
      </c>
      <c r="I4964" s="2" t="s">
        <v>25</v>
      </c>
      <c r="J4964" s="3">
        <v>44133</v>
      </c>
      <c r="K4964" s="2">
        <v>61</v>
      </c>
      <c r="L4964" s="2" t="s">
        <v>159</v>
      </c>
      <c r="M4964" s="3"/>
    </row>
    <row r="4965" spans="1:13" x14ac:dyDescent="0.3">
      <c r="A4965" s="2">
        <v>4964</v>
      </c>
      <c r="B4965" s="2" t="s">
        <v>4509</v>
      </c>
      <c r="C4965" s="2" t="s">
        <v>86</v>
      </c>
      <c r="D4965" s="2" t="s">
        <v>28</v>
      </c>
      <c r="E4965" s="2" t="s">
        <v>29</v>
      </c>
      <c r="F4965" s="2">
        <v>90</v>
      </c>
      <c r="G4965" s="2" t="s">
        <v>10246</v>
      </c>
      <c r="H4965" s="2" t="s">
        <v>5007</v>
      </c>
      <c r="I4965" s="2" t="s">
        <v>89</v>
      </c>
      <c r="J4965" s="3">
        <v>44662</v>
      </c>
      <c r="K4965" s="2">
        <v>104</v>
      </c>
      <c r="L4965" s="2" t="s">
        <v>45</v>
      </c>
      <c r="M4965" s="3"/>
    </row>
    <row r="4966" spans="1:13" x14ac:dyDescent="0.3">
      <c r="A4966" s="2">
        <v>4965</v>
      </c>
      <c r="B4966" s="2" t="s">
        <v>7340</v>
      </c>
      <c r="C4966" s="2" t="s">
        <v>6845</v>
      </c>
      <c r="D4966" s="2" t="s">
        <v>28</v>
      </c>
      <c r="E4966" s="2" t="s">
        <v>29</v>
      </c>
      <c r="F4966" s="2">
        <v>30</v>
      </c>
      <c r="G4966" s="2" t="s">
        <v>10247</v>
      </c>
      <c r="H4966" s="2" t="s">
        <v>9022</v>
      </c>
      <c r="I4966" s="2" t="s">
        <v>187</v>
      </c>
      <c r="J4966" s="3">
        <v>44646</v>
      </c>
      <c r="K4966" s="2">
        <v>91</v>
      </c>
      <c r="L4966" s="2" t="s">
        <v>54</v>
      </c>
      <c r="M4966" s="3"/>
    </row>
    <row r="4967" spans="1:13" x14ac:dyDescent="0.3">
      <c r="A4967" s="2">
        <v>4966</v>
      </c>
      <c r="B4967" s="2" t="s">
        <v>1058</v>
      </c>
      <c r="C4967" s="2" t="s">
        <v>1307</v>
      </c>
      <c r="D4967" s="2" t="s">
        <v>28</v>
      </c>
      <c r="E4967" s="2" t="s">
        <v>29</v>
      </c>
      <c r="F4967" s="2">
        <v>90</v>
      </c>
      <c r="G4967" s="2" t="s">
        <v>10248</v>
      </c>
      <c r="H4967" s="2" t="s">
        <v>1103</v>
      </c>
      <c r="I4967" s="2" t="s">
        <v>25</v>
      </c>
      <c r="J4967" s="3">
        <v>44912</v>
      </c>
      <c r="K4967" s="2">
        <v>69</v>
      </c>
      <c r="L4967" s="2" t="s">
        <v>39</v>
      </c>
      <c r="M4967" s="3"/>
    </row>
    <row r="4968" spans="1:13" x14ac:dyDescent="0.3">
      <c r="A4968" s="2">
        <v>4967</v>
      </c>
      <c r="B4968" s="2" t="s">
        <v>10249</v>
      </c>
      <c r="C4968" s="2" t="s">
        <v>2505</v>
      </c>
      <c r="D4968" s="2" t="s">
        <v>51</v>
      </c>
      <c r="E4968" s="2" t="s">
        <v>16</v>
      </c>
      <c r="F4968" s="2">
        <v>60</v>
      </c>
      <c r="G4968" s="2" t="s">
        <v>10248</v>
      </c>
      <c r="H4968" s="2" t="s">
        <v>924</v>
      </c>
      <c r="I4968" s="2" t="s">
        <v>32</v>
      </c>
      <c r="J4968" s="3">
        <v>43926</v>
      </c>
      <c r="K4968" s="2">
        <v>54</v>
      </c>
      <c r="L4968" s="2" t="s">
        <v>64</v>
      </c>
      <c r="M4968" s="3"/>
    </row>
    <row r="4969" spans="1:13" x14ac:dyDescent="0.3">
      <c r="A4969" s="2">
        <v>4968</v>
      </c>
      <c r="B4969" s="2" t="s">
        <v>10250</v>
      </c>
      <c r="C4969" s="2" t="s">
        <v>2980</v>
      </c>
      <c r="D4969" s="2" t="s">
        <v>51</v>
      </c>
      <c r="E4969" s="2" t="s">
        <v>16</v>
      </c>
      <c r="F4969" s="2">
        <v>60</v>
      </c>
      <c r="G4969" s="2" t="s">
        <v>10251</v>
      </c>
      <c r="H4969" s="2" t="s">
        <v>1477</v>
      </c>
      <c r="I4969" s="2" t="s">
        <v>1478</v>
      </c>
      <c r="J4969" s="3">
        <v>44067</v>
      </c>
      <c r="K4969" s="2">
        <v>58</v>
      </c>
      <c r="L4969" s="2" t="s">
        <v>54</v>
      </c>
      <c r="M4969" s="3"/>
    </row>
    <row r="4970" spans="1:13" x14ac:dyDescent="0.3">
      <c r="A4970" s="2">
        <v>4969</v>
      </c>
      <c r="B4970" s="2" t="s">
        <v>7418</v>
      </c>
      <c r="C4970" s="2" t="s">
        <v>3265</v>
      </c>
      <c r="D4970" s="2" t="s">
        <v>28</v>
      </c>
      <c r="E4970" s="2" t="s">
        <v>29</v>
      </c>
      <c r="F4970" s="2">
        <v>30</v>
      </c>
      <c r="G4970" s="2" t="s">
        <v>10252</v>
      </c>
      <c r="H4970" s="2" t="s">
        <v>4330</v>
      </c>
      <c r="I4970" s="2" t="s">
        <v>187</v>
      </c>
      <c r="J4970" s="3">
        <v>43958</v>
      </c>
      <c r="K4970" s="2">
        <v>2</v>
      </c>
      <c r="L4970" s="2" t="s">
        <v>33</v>
      </c>
      <c r="M4970" s="3"/>
    </row>
    <row r="4971" spans="1:13" x14ac:dyDescent="0.3">
      <c r="A4971" s="2">
        <v>4970</v>
      </c>
      <c r="B4971" s="2" t="s">
        <v>2866</v>
      </c>
      <c r="C4971" s="2" t="s">
        <v>1581</v>
      </c>
      <c r="D4971" s="2" t="s">
        <v>28</v>
      </c>
      <c r="E4971" s="2" t="s">
        <v>3565</v>
      </c>
      <c r="F4971" s="2">
        <v>90</v>
      </c>
      <c r="G4971" s="2" t="s">
        <v>10253</v>
      </c>
      <c r="H4971" s="2" t="s">
        <v>74</v>
      </c>
      <c r="I4971" s="2" t="s">
        <v>32</v>
      </c>
      <c r="J4971" s="3">
        <v>44340</v>
      </c>
      <c r="K4971" s="2">
        <v>13</v>
      </c>
      <c r="L4971" s="2" t="s">
        <v>54</v>
      </c>
      <c r="M4971" s="3"/>
    </row>
    <row r="4972" spans="1:13" x14ac:dyDescent="0.3">
      <c r="A4972" s="2">
        <v>4971</v>
      </c>
      <c r="B4972" s="2" t="s">
        <v>10254</v>
      </c>
      <c r="C4972" s="2" t="s">
        <v>1853</v>
      </c>
      <c r="D4972" s="2" t="s">
        <v>15</v>
      </c>
      <c r="E4972" s="2" t="s">
        <v>16</v>
      </c>
      <c r="F4972" s="2">
        <v>60</v>
      </c>
      <c r="G4972" s="2" t="s">
        <v>10255</v>
      </c>
      <c r="H4972" s="2" t="s">
        <v>8155</v>
      </c>
      <c r="I4972" s="2" t="s">
        <v>32</v>
      </c>
      <c r="J4972" s="3">
        <v>44610</v>
      </c>
      <c r="K4972" s="2">
        <v>10</v>
      </c>
      <c r="L4972" s="2" t="s">
        <v>101</v>
      </c>
      <c r="M4972" s="3"/>
    </row>
    <row r="4973" spans="1:13" x14ac:dyDescent="0.3">
      <c r="A4973" s="2">
        <v>4972</v>
      </c>
      <c r="B4973" s="2" t="s">
        <v>5380</v>
      </c>
      <c r="C4973" s="2" t="s">
        <v>9600</v>
      </c>
      <c r="D4973" s="2" t="s">
        <v>51</v>
      </c>
      <c r="E4973" s="2" t="s">
        <v>16</v>
      </c>
      <c r="F4973" s="2">
        <v>90</v>
      </c>
      <c r="G4973" s="2" t="s">
        <v>10256</v>
      </c>
      <c r="H4973" s="2" t="s">
        <v>1977</v>
      </c>
      <c r="I4973" s="2" t="s">
        <v>124</v>
      </c>
      <c r="J4973" s="3">
        <v>44779</v>
      </c>
      <c r="K4973" s="2">
        <v>29</v>
      </c>
      <c r="L4973" s="2" t="s">
        <v>64</v>
      </c>
      <c r="M4973" s="3"/>
    </row>
    <row r="4974" spans="1:13" x14ac:dyDescent="0.3">
      <c r="A4974" s="2">
        <v>4973</v>
      </c>
      <c r="B4974" s="2" t="s">
        <v>683</v>
      </c>
      <c r="C4974" s="2" t="s">
        <v>5037</v>
      </c>
      <c r="D4974" s="2" t="s">
        <v>28</v>
      </c>
      <c r="E4974" s="2" t="s">
        <v>29</v>
      </c>
      <c r="F4974" s="2">
        <v>90</v>
      </c>
      <c r="G4974" s="2" t="s">
        <v>10257</v>
      </c>
      <c r="H4974" s="2" t="s">
        <v>1896</v>
      </c>
      <c r="I4974" s="2" t="s">
        <v>294</v>
      </c>
      <c r="J4974" s="3">
        <v>44539</v>
      </c>
      <c r="K4974" s="2">
        <v>61</v>
      </c>
      <c r="L4974" s="2" t="s">
        <v>64</v>
      </c>
      <c r="M4974" s="3"/>
    </row>
    <row r="4975" spans="1:13" x14ac:dyDescent="0.3">
      <c r="A4975" s="2">
        <v>4974</v>
      </c>
      <c r="B4975" s="2" t="s">
        <v>10258</v>
      </c>
      <c r="C4975" s="2" t="s">
        <v>2095</v>
      </c>
      <c r="D4975" s="2" t="s">
        <v>51</v>
      </c>
      <c r="E4975" s="2" t="s">
        <v>16</v>
      </c>
      <c r="F4975" s="2">
        <v>30</v>
      </c>
      <c r="G4975" s="2" t="s">
        <v>10259</v>
      </c>
      <c r="H4975" s="2" t="s">
        <v>1332</v>
      </c>
      <c r="I4975" s="2" t="s">
        <v>32</v>
      </c>
      <c r="J4975" s="3">
        <v>44836</v>
      </c>
      <c r="K4975" s="2">
        <v>51</v>
      </c>
      <c r="L4975" s="2" t="s">
        <v>54</v>
      </c>
      <c r="M4975" s="3"/>
    </row>
    <row r="4976" spans="1:13" x14ac:dyDescent="0.3">
      <c r="A4976" s="2">
        <v>4975</v>
      </c>
      <c r="B4976" s="2" t="s">
        <v>10260</v>
      </c>
      <c r="C4976" s="2" t="s">
        <v>1468</v>
      </c>
      <c r="D4976" s="2" t="s">
        <v>28</v>
      </c>
      <c r="E4976" s="2" t="s">
        <v>29</v>
      </c>
      <c r="F4976" s="2">
        <v>30</v>
      </c>
      <c r="G4976" s="2" t="s">
        <v>10261</v>
      </c>
      <c r="H4976" s="2" t="s">
        <v>2766</v>
      </c>
      <c r="I4976" s="2" t="s">
        <v>294</v>
      </c>
      <c r="J4976" s="3">
        <v>44001</v>
      </c>
      <c r="K4976" s="2">
        <v>47</v>
      </c>
      <c r="L4976" s="2" t="s">
        <v>20</v>
      </c>
      <c r="M4976" s="3"/>
    </row>
    <row r="4977" spans="1:13" x14ac:dyDescent="0.3">
      <c r="A4977" s="2">
        <v>4976</v>
      </c>
      <c r="B4977" s="2" t="s">
        <v>8288</v>
      </c>
      <c r="C4977" s="2" t="s">
        <v>6040</v>
      </c>
      <c r="D4977" s="2" t="s">
        <v>28</v>
      </c>
      <c r="E4977" s="2" t="s">
        <v>29</v>
      </c>
      <c r="F4977" s="2">
        <v>30</v>
      </c>
      <c r="G4977" s="2" t="s">
        <v>10262</v>
      </c>
      <c r="H4977" s="2" t="s">
        <v>7383</v>
      </c>
      <c r="I4977" s="2" t="s">
        <v>110</v>
      </c>
      <c r="J4977" s="3">
        <v>44314</v>
      </c>
      <c r="K4977" s="2">
        <v>2</v>
      </c>
      <c r="L4977" s="2" t="s">
        <v>39</v>
      </c>
      <c r="M4977" s="3"/>
    </row>
    <row r="4978" spans="1:13" x14ac:dyDescent="0.3">
      <c r="A4978" s="2">
        <v>4977</v>
      </c>
      <c r="B4978" s="2" t="s">
        <v>3483</v>
      </c>
      <c r="C4978" s="2" t="s">
        <v>6291</v>
      </c>
      <c r="D4978" s="2" t="s">
        <v>28</v>
      </c>
      <c r="E4978" s="2" t="s">
        <v>29</v>
      </c>
      <c r="F4978" s="2">
        <v>60</v>
      </c>
      <c r="G4978" s="2" t="s">
        <v>10262</v>
      </c>
      <c r="H4978" s="2" t="s">
        <v>2931</v>
      </c>
      <c r="I4978" s="2" t="s">
        <v>32</v>
      </c>
      <c r="J4978" s="3">
        <v>44816</v>
      </c>
      <c r="K4978" s="2">
        <v>100</v>
      </c>
      <c r="L4978" s="2" t="s">
        <v>159</v>
      </c>
      <c r="M4978" s="3"/>
    </row>
    <row r="4979" spans="1:13" x14ac:dyDescent="0.3">
      <c r="A4979" s="2">
        <v>4978</v>
      </c>
      <c r="B4979" s="2" t="s">
        <v>3073</v>
      </c>
      <c r="C4979" s="2" t="s">
        <v>6062</v>
      </c>
      <c r="D4979" s="2" t="s">
        <v>28</v>
      </c>
      <c r="E4979" s="2" t="s">
        <v>29</v>
      </c>
      <c r="F4979" s="2">
        <v>30</v>
      </c>
      <c r="G4979" s="2" t="s">
        <v>10263</v>
      </c>
      <c r="H4979" s="2" t="s">
        <v>1077</v>
      </c>
      <c r="I4979" s="2" t="s">
        <v>1078</v>
      </c>
      <c r="J4979" s="3">
        <v>44070</v>
      </c>
      <c r="K4979" s="2">
        <v>34</v>
      </c>
      <c r="L4979" s="2" t="s">
        <v>39</v>
      </c>
      <c r="M4979" s="3"/>
    </row>
    <row r="4980" spans="1:13" x14ac:dyDescent="0.3">
      <c r="A4980" s="2">
        <v>4979</v>
      </c>
      <c r="B4980" s="2" t="s">
        <v>6804</v>
      </c>
      <c r="C4980" s="2" t="s">
        <v>6044</v>
      </c>
      <c r="D4980" s="2" t="s">
        <v>28</v>
      </c>
      <c r="E4980" s="2" t="s">
        <v>29</v>
      </c>
      <c r="F4980" s="2">
        <v>60</v>
      </c>
      <c r="G4980" s="2" t="s">
        <v>10264</v>
      </c>
      <c r="H4980" s="2" t="s">
        <v>558</v>
      </c>
      <c r="I4980" s="2" t="s">
        <v>32</v>
      </c>
      <c r="J4980" s="3">
        <v>44678</v>
      </c>
      <c r="K4980" s="2">
        <v>23</v>
      </c>
      <c r="L4980" s="2" t="s">
        <v>45</v>
      </c>
      <c r="M4980" s="3"/>
    </row>
    <row r="4981" spans="1:13" x14ac:dyDescent="0.3">
      <c r="A4981" s="2">
        <v>4980</v>
      </c>
      <c r="B4981" s="2" t="s">
        <v>10265</v>
      </c>
      <c r="C4981" s="2" t="s">
        <v>906</v>
      </c>
      <c r="D4981" s="2" t="s">
        <v>15</v>
      </c>
      <c r="E4981" s="2" t="s">
        <v>16</v>
      </c>
      <c r="F4981" s="2">
        <v>30</v>
      </c>
      <c r="G4981" s="2" t="s">
        <v>10266</v>
      </c>
      <c r="H4981" s="2" t="s">
        <v>7056</v>
      </c>
      <c r="I4981" s="2" t="s">
        <v>95</v>
      </c>
      <c r="J4981" s="3">
        <v>43957</v>
      </c>
      <c r="K4981" s="2">
        <v>37</v>
      </c>
      <c r="L4981" s="2" t="s">
        <v>54</v>
      </c>
      <c r="M4981" s="3"/>
    </row>
    <row r="4982" spans="1:13" x14ac:dyDescent="0.3">
      <c r="A4982" s="2">
        <v>4981</v>
      </c>
      <c r="B4982" s="2" t="s">
        <v>3397</v>
      </c>
      <c r="C4982" s="2" t="s">
        <v>1783</v>
      </c>
      <c r="D4982" s="2" t="s">
        <v>28</v>
      </c>
      <c r="E4982" s="2" t="s">
        <v>29</v>
      </c>
      <c r="F4982" s="2">
        <v>60</v>
      </c>
      <c r="G4982" s="2" t="s">
        <v>10267</v>
      </c>
      <c r="H4982" s="2" t="s">
        <v>2583</v>
      </c>
      <c r="I4982" s="2" t="s">
        <v>32</v>
      </c>
      <c r="J4982" s="3">
        <v>44647</v>
      </c>
      <c r="K4982" s="2">
        <v>95</v>
      </c>
      <c r="L4982" s="2" t="s">
        <v>45</v>
      </c>
      <c r="M4982" s="3"/>
    </row>
    <row r="4983" spans="1:13" x14ac:dyDescent="0.3">
      <c r="A4983" s="2">
        <v>4982</v>
      </c>
      <c r="B4983" s="2" t="s">
        <v>10268</v>
      </c>
      <c r="C4983" s="2" t="s">
        <v>3262</v>
      </c>
      <c r="D4983" s="2" t="s">
        <v>51</v>
      </c>
      <c r="E4983" s="2" t="s">
        <v>16</v>
      </c>
      <c r="F4983" s="2">
        <v>60</v>
      </c>
      <c r="G4983" s="2" t="s">
        <v>10269</v>
      </c>
      <c r="H4983" s="2" t="s">
        <v>1519</v>
      </c>
      <c r="I4983" s="2" t="s">
        <v>32</v>
      </c>
      <c r="J4983" s="3">
        <v>44166</v>
      </c>
      <c r="K4983" s="2">
        <v>44</v>
      </c>
      <c r="L4983" s="2" t="s">
        <v>101</v>
      </c>
      <c r="M4983" s="3"/>
    </row>
    <row r="4984" spans="1:13" x14ac:dyDescent="0.3">
      <c r="A4984" s="2">
        <v>4983</v>
      </c>
      <c r="B4984" s="2" t="s">
        <v>10270</v>
      </c>
      <c r="C4984" s="2" t="s">
        <v>1044</v>
      </c>
      <c r="D4984" s="2" t="s">
        <v>51</v>
      </c>
      <c r="E4984" s="2" t="s">
        <v>16</v>
      </c>
      <c r="F4984" s="2">
        <v>30</v>
      </c>
      <c r="G4984" s="2" t="s">
        <v>10271</v>
      </c>
      <c r="H4984" s="2" t="s">
        <v>7777</v>
      </c>
      <c r="I4984" s="2" t="s">
        <v>32</v>
      </c>
      <c r="J4984" s="3">
        <v>44092</v>
      </c>
      <c r="K4984" s="2">
        <v>43</v>
      </c>
      <c r="L4984" s="2" t="s">
        <v>33</v>
      </c>
      <c r="M4984" s="3"/>
    </row>
    <row r="4985" spans="1:13" x14ac:dyDescent="0.3">
      <c r="A4985" s="2">
        <v>4984</v>
      </c>
      <c r="B4985" s="2" t="s">
        <v>10272</v>
      </c>
      <c r="C4985" s="2" t="s">
        <v>1774</v>
      </c>
      <c r="D4985" s="2" t="s">
        <v>621</v>
      </c>
      <c r="E4985" s="2" t="s">
        <v>29</v>
      </c>
      <c r="F4985" s="2">
        <v>90</v>
      </c>
      <c r="G4985" s="2" t="s">
        <v>10273</v>
      </c>
      <c r="H4985" s="2" t="s">
        <v>63</v>
      </c>
      <c r="I4985" s="2" t="s">
        <v>32</v>
      </c>
      <c r="J4985" s="3">
        <v>44042</v>
      </c>
      <c r="K4985" s="2">
        <v>8</v>
      </c>
      <c r="L4985" s="2" t="s">
        <v>20</v>
      </c>
      <c r="M4985" s="3"/>
    </row>
    <row r="4986" spans="1:13" x14ac:dyDescent="0.3">
      <c r="A4986" s="2">
        <v>4985</v>
      </c>
      <c r="B4986" s="2" t="s">
        <v>10274</v>
      </c>
      <c r="C4986" s="2" t="s">
        <v>453</v>
      </c>
      <c r="D4986" s="2" t="s">
        <v>15</v>
      </c>
      <c r="E4986" s="2" t="s">
        <v>16</v>
      </c>
      <c r="F4986" s="2">
        <v>90</v>
      </c>
      <c r="G4986" s="2" t="s">
        <v>10275</v>
      </c>
      <c r="H4986" s="2" t="s">
        <v>2105</v>
      </c>
      <c r="I4986" s="2" t="s">
        <v>110</v>
      </c>
      <c r="J4986" s="3">
        <v>44404</v>
      </c>
      <c r="K4986" s="2">
        <v>80</v>
      </c>
      <c r="L4986" s="2" t="s">
        <v>20</v>
      </c>
      <c r="M4986" s="3"/>
    </row>
    <row r="4987" spans="1:13" x14ac:dyDescent="0.3">
      <c r="A4987" s="2">
        <v>4986</v>
      </c>
      <c r="B4987" s="2" t="s">
        <v>1158</v>
      </c>
      <c r="C4987" s="2" t="s">
        <v>6812</v>
      </c>
      <c r="D4987" s="2" t="s">
        <v>28</v>
      </c>
      <c r="E4987" s="2" t="s">
        <v>29</v>
      </c>
      <c r="F4987" s="2">
        <v>30</v>
      </c>
      <c r="G4987" s="2" t="s">
        <v>10276</v>
      </c>
      <c r="H4987" s="2" t="s">
        <v>989</v>
      </c>
      <c r="I4987" s="2" t="s">
        <v>124</v>
      </c>
      <c r="J4987" s="3">
        <v>43940</v>
      </c>
      <c r="K4987" s="2">
        <v>70</v>
      </c>
      <c r="L4987" s="2" t="s">
        <v>70</v>
      </c>
      <c r="M4987" s="3"/>
    </row>
    <row r="4988" spans="1:13" x14ac:dyDescent="0.3">
      <c r="A4988" s="2">
        <v>4987</v>
      </c>
      <c r="B4988" s="2" t="s">
        <v>9683</v>
      </c>
      <c r="C4988" s="2" t="s">
        <v>10277</v>
      </c>
      <c r="D4988" s="2" t="s">
        <v>51</v>
      </c>
      <c r="E4988" s="2" t="s">
        <v>16</v>
      </c>
      <c r="F4988" s="2">
        <v>30</v>
      </c>
      <c r="G4988" s="2" t="s">
        <v>10278</v>
      </c>
      <c r="H4988" s="2" t="s">
        <v>818</v>
      </c>
      <c r="I4988" s="2" t="s">
        <v>819</v>
      </c>
      <c r="J4988" s="3">
        <v>44087</v>
      </c>
      <c r="K4988" s="2">
        <v>66</v>
      </c>
      <c r="L4988" s="2" t="s">
        <v>54</v>
      </c>
      <c r="M4988" s="3"/>
    </row>
    <row r="4989" spans="1:13" x14ac:dyDescent="0.3">
      <c r="A4989" s="2">
        <v>4988</v>
      </c>
      <c r="B4989" s="2" t="s">
        <v>10279</v>
      </c>
      <c r="C4989" s="2" t="s">
        <v>5583</v>
      </c>
      <c r="D4989" s="2" t="s">
        <v>51</v>
      </c>
      <c r="E4989" s="2" t="s">
        <v>5821</v>
      </c>
      <c r="F4989" s="2">
        <v>60</v>
      </c>
      <c r="G4989" s="2" t="s">
        <v>10278</v>
      </c>
      <c r="H4989" s="2" t="s">
        <v>8534</v>
      </c>
      <c r="I4989" s="2" t="s">
        <v>294</v>
      </c>
      <c r="J4989" s="3">
        <v>44612</v>
      </c>
      <c r="K4989" s="2">
        <v>92</v>
      </c>
      <c r="L4989" s="2" t="s">
        <v>64</v>
      </c>
      <c r="M4989" s="3"/>
    </row>
    <row r="4990" spans="1:13" x14ac:dyDescent="0.3">
      <c r="A4990" s="2">
        <v>4989</v>
      </c>
      <c r="B4990" s="2" t="s">
        <v>10280</v>
      </c>
      <c r="C4990" s="2" t="s">
        <v>161</v>
      </c>
      <c r="D4990" s="2" t="s">
        <v>51</v>
      </c>
      <c r="E4990" s="2" t="s">
        <v>16</v>
      </c>
      <c r="F4990" s="2">
        <v>30</v>
      </c>
      <c r="G4990" s="2" t="s">
        <v>10281</v>
      </c>
      <c r="H4990" s="2" t="s">
        <v>724</v>
      </c>
      <c r="I4990" s="2" t="s">
        <v>240</v>
      </c>
      <c r="J4990" s="3">
        <v>44365</v>
      </c>
      <c r="K4990" s="2">
        <v>73</v>
      </c>
      <c r="L4990" s="2" t="s">
        <v>80</v>
      </c>
      <c r="M4990" s="3"/>
    </row>
    <row r="4991" spans="1:13" x14ac:dyDescent="0.3">
      <c r="A4991" s="2">
        <v>4990</v>
      </c>
      <c r="B4991" s="2" t="s">
        <v>831</v>
      </c>
      <c r="C4991" s="2" t="s">
        <v>4732</v>
      </c>
      <c r="D4991" s="2" t="s">
        <v>92</v>
      </c>
      <c r="E4991" s="2" t="s">
        <v>29</v>
      </c>
      <c r="F4991" s="2">
        <v>60</v>
      </c>
      <c r="G4991" s="2" t="s">
        <v>10282</v>
      </c>
      <c r="H4991" s="2" t="s">
        <v>1018</v>
      </c>
      <c r="I4991" s="2" t="s">
        <v>294</v>
      </c>
      <c r="J4991" s="3">
        <v>44574</v>
      </c>
      <c r="K4991" s="2">
        <v>12</v>
      </c>
      <c r="L4991" s="2" t="s">
        <v>39</v>
      </c>
      <c r="M4991" s="3"/>
    </row>
    <row r="4992" spans="1:13" x14ac:dyDescent="0.3">
      <c r="A4992" s="2">
        <v>4991</v>
      </c>
      <c r="B4992" s="2" t="s">
        <v>1752</v>
      </c>
      <c r="C4992" s="2" t="s">
        <v>481</v>
      </c>
      <c r="D4992" s="2" t="s">
        <v>28</v>
      </c>
      <c r="E4992" s="2" t="s">
        <v>29</v>
      </c>
      <c r="F4992" s="2">
        <v>90</v>
      </c>
      <c r="G4992" s="2" t="s">
        <v>10283</v>
      </c>
      <c r="H4992" s="2" t="s">
        <v>1228</v>
      </c>
      <c r="I4992" s="2" t="s">
        <v>25</v>
      </c>
      <c r="J4992" s="3">
        <v>44306</v>
      </c>
      <c r="K4992" s="2">
        <v>27</v>
      </c>
      <c r="L4992" s="2" t="s">
        <v>80</v>
      </c>
      <c r="M4992" s="3"/>
    </row>
    <row r="4993" spans="1:13" x14ac:dyDescent="0.3">
      <c r="A4993" s="2">
        <v>4992</v>
      </c>
      <c r="B4993" s="2" t="s">
        <v>1752</v>
      </c>
      <c r="C4993" s="2" t="s">
        <v>481</v>
      </c>
      <c r="D4993" s="2" t="s">
        <v>28</v>
      </c>
      <c r="E4993" s="2" t="s">
        <v>29</v>
      </c>
      <c r="F4993" s="2">
        <v>90</v>
      </c>
      <c r="G4993" s="2" t="s">
        <v>10283</v>
      </c>
      <c r="H4993" s="2" t="s">
        <v>1228</v>
      </c>
      <c r="I4993" s="2" t="s">
        <v>25</v>
      </c>
      <c r="J4993" s="3">
        <v>44306</v>
      </c>
      <c r="K4993" s="2">
        <v>27</v>
      </c>
      <c r="L4993" s="2" t="s">
        <v>80</v>
      </c>
      <c r="M4993" s="3"/>
    </row>
    <row r="4994" spans="1:13" x14ac:dyDescent="0.3">
      <c r="A4994" s="2">
        <v>4993</v>
      </c>
      <c r="B4994" s="2" t="s">
        <v>9128</v>
      </c>
      <c r="C4994" s="2" t="s">
        <v>10284</v>
      </c>
      <c r="D4994" s="2" t="s">
        <v>51</v>
      </c>
      <c r="E4994" s="2" t="s">
        <v>16</v>
      </c>
      <c r="F4994" s="2">
        <v>90</v>
      </c>
      <c r="G4994" s="2" t="s">
        <v>10285</v>
      </c>
      <c r="H4994" s="2" t="s">
        <v>1269</v>
      </c>
      <c r="I4994" s="2" t="s">
        <v>187</v>
      </c>
      <c r="J4994" s="3">
        <v>43911</v>
      </c>
      <c r="K4994" s="2">
        <v>14</v>
      </c>
      <c r="L4994" s="2" t="s">
        <v>101</v>
      </c>
      <c r="M4994" s="3"/>
    </row>
    <row r="4995" spans="1:13" x14ac:dyDescent="0.3">
      <c r="A4995" s="2">
        <v>4994</v>
      </c>
      <c r="B4995" s="2" t="s">
        <v>10286</v>
      </c>
      <c r="C4995" s="2" t="s">
        <v>1765</v>
      </c>
      <c r="D4995" s="2" t="s">
        <v>51</v>
      </c>
      <c r="E4995" s="2" t="s">
        <v>16</v>
      </c>
      <c r="F4995" s="2">
        <v>60</v>
      </c>
      <c r="G4995" s="2" t="s">
        <v>10287</v>
      </c>
      <c r="H4995" s="2" t="s">
        <v>4849</v>
      </c>
      <c r="I4995" s="2" t="s">
        <v>294</v>
      </c>
      <c r="J4995" s="3">
        <v>43904</v>
      </c>
      <c r="K4995" s="2">
        <v>17</v>
      </c>
      <c r="L4995" s="2" t="s">
        <v>45</v>
      </c>
      <c r="M4995" s="3"/>
    </row>
    <row r="4996" spans="1:13" x14ac:dyDescent="0.3">
      <c r="A4996" s="2">
        <v>4995</v>
      </c>
      <c r="B4996" s="2" t="s">
        <v>10286</v>
      </c>
      <c r="C4996" s="2" t="s">
        <v>1765</v>
      </c>
      <c r="D4996" s="2" t="s">
        <v>51</v>
      </c>
      <c r="E4996" s="2" t="s">
        <v>16</v>
      </c>
      <c r="F4996" s="2">
        <v>60</v>
      </c>
      <c r="G4996" s="2" t="s">
        <v>10287</v>
      </c>
      <c r="H4996" s="2" t="s">
        <v>4849</v>
      </c>
      <c r="I4996" s="2" t="s">
        <v>294</v>
      </c>
      <c r="J4996" s="3">
        <v>43904</v>
      </c>
      <c r="K4996" s="2">
        <v>17</v>
      </c>
      <c r="L4996" s="2" t="s">
        <v>45</v>
      </c>
      <c r="M4996" s="3"/>
    </row>
    <row r="4997" spans="1:13" x14ac:dyDescent="0.3">
      <c r="A4997" s="2">
        <v>4996</v>
      </c>
      <c r="B4997" s="2" t="s">
        <v>10288</v>
      </c>
      <c r="C4997" s="2" t="s">
        <v>7078</v>
      </c>
      <c r="D4997" s="2" t="s">
        <v>51</v>
      </c>
      <c r="E4997" s="2" t="s">
        <v>16</v>
      </c>
      <c r="F4997" s="2">
        <v>90</v>
      </c>
      <c r="G4997" s="2" t="s">
        <v>10289</v>
      </c>
      <c r="H4997" s="2" t="s">
        <v>6105</v>
      </c>
      <c r="I4997" s="2" t="s">
        <v>32</v>
      </c>
      <c r="J4997" s="3">
        <v>44742</v>
      </c>
      <c r="K4997" s="2">
        <v>46</v>
      </c>
      <c r="L4997" s="2" t="s">
        <v>70</v>
      </c>
      <c r="M4997" s="3"/>
    </row>
    <row r="4998" spans="1:13" x14ac:dyDescent="0.3">
      <c r="A4998" s="2">
        <v>4997</v>
      </c>
      <c r="B4998" s="2" t="s">
        <v>10290</v>
      </c>
      <c r="C4998" s="2" t="s">
        <v>2195</v>
      </c>
      <c r="D4998" s="2" t="s">
        <v>28</v>
      </c>
      <c r="E4998" s="2" t="s">
        <v>29</v>
      </c>
      <c r="F4998" s="2">
        <v>60</v>
      </c>
      <c r="G4998" s="2" t="s">
        <v>10291</v>
      </c>
      <c r="H4998" s="2" t="s">
        <v>1568</v>
      </c>
      <c r="I4998" s="2" t="s">
        <v>32</v>
      </c>
      <c r="J4998" s="3">
        <v>44161</v>
      </c>
      <c r="K4998" s="2">
        <v>60</v>
      </c>
      <c r="L4998" s="2" t="s">
        <v>80</v>
      </c>
      <c r="M4998" s="3"/>
    </row>
    <row r="4999" spans="1:13" x14ac:dyDescent="0.3">
      <c r="A4999" s="2">
        <v>4998</v>
      </c>
      <c r="B4999" s="2" t="s">
        <v>492</v>
      </c>
      <c r="C4999" s="2" t="s">
        <v>4254</v>
      </c>
      <c r="D4999" s="2" t="s">
        <v>28</v>
      </c>
      <c r="E4999" s="2" t="s">
        <v>29</v>
      </c>
      <c r="F4999" s="2">
        <v>60</v>
      </c>
      <c r="G4999" s="2" t="s">
        <v>10292</v>
      </c>
      <c r="H4999" s="2" t="s">
        <v>5643</v>
      </c>
      <c r="I4999" s="2" t="s">
        <v>886</v>
      </c>
      <c r="J4999" s="3">
        <v>44417</v>
      </c>
      <c r="K4999" s="2">
        <v>56</v>
      </c>
      <c r="L4999" s="2" t="s">
        <v>33</v>
      </c>
      <c r="M4999" s="3"/>
    </row>
    <row r="5000" spans="1:13" x14ac:dyDescent="0.3">
      <c r="A5000" s="2">
        <v>4999</v>
      </c>
      <c r="B5000" s="2" t="s">
        <v>6359</v>
      </c>
      <c r="C5000" s="2" t="s">
        <v>2977</v>
      </c>
      <c r="D5000" s="2" t="s">
        <v>41</v>
      </c>
      <c r="E5000" s="2" t="s">
        <v>16</v>
      </c>
      <c r="F5000" s="2">
        <v>60</v>
      </c>
      <c r="G5000" s="2" t="s">
        <v>10293</v>
      </c>
      <c r="H5000" s="2" t="s">
        <v>3551</v>
      </c>
      <c r="I5000" s="2" t="s">
        <v>32</v>
      </c>
      <c r="J5000" s="3">
        <v>44473</v>
      </c>
      <c r="K5000" s="2">
        <v>53</v>
      </c>
      <c r="L5000" s="2" t="s">
        <v>159</v>
      </c>
      <c r="M5000" s="3"/>
    </row>
    <row r="5001" spans="1:13" x14ac:dyDescent="0.3">
      <c r="A5001" s="2">
        <v>5000</v>
      </c>
      <c r="B5001" s="2" t="s">
        <v>6540</v>
      </c>
      <c r="C5001" s="2" t="s">
        <v>5072</v>
      </c>
      <c r="D5001" s="2" t="s">
        <v>28</v>
      </c>
      <c r="E5001" s="2" t="s">
        <v>29</v>
      </c>
      <c r="F5001" s="2">
        <v>90</v>
      </c>
      <c r="G5001" s="2" t="s">
        <v>10294</v>
      </c>
      <c r="H5001" s="2" t="s">
        <v>5714</v>
      </c>
      <c r="I5001" s="2" t="s">
        <v>187</v>
      </c>
      <c r="J5001" s="3">
        <v>44230</v>
      </c>
      <c r="K5001" s="2">
        <v>47</v>
      </c>
      <c r="L5001" s="2" t="s">
        <v>70</v>
      </c>
      <c r="M5001" s="3"/>
    </row>
    <row r="5002" spans="1:13" x14ac:dyDescent="0.3">
      <c r="A5002" s="2">
        <v>5001</v>
      </c>
      <c r="B5002" s="2" t="s">
        <v>10295</v>
      </c>
      <c r="C5002" s="2" t="s">
        <v>4845</v>
      </c>
      <c r="D5002" s="2" t="s">
        <v>51</v>
      </c>
      <c r="E5002" s="2" t="s">
        <v>16</v>
      </c>
      <c r="F5002" s="2">
        <v>90</v>
      </c>
      <c r="G5002" s="2" t="s">
        <v>10294</v>
      </c>
      <c r="H5002" s="2" t="s">
        <v>2156</v>
      </c>
      <c r="I5002" s="2" t="s">
        <v>32</v>
      </c>
      <c r="J5002" s="3">
        <v>44118</v>
      </c>
      <c r="K5002" s="2">
        <v>34</v>
      </c>
      <c r="L5002" s="2" t="s">
        <v>64</v>
      </c>
      <c r="M5002" s="3"/>
    </row>
    <row r="5003" spans="1:13" x14ac:dyDescent="0.3">
      <c r="A5003" s="2">
        <v>5002</v>
      </c>
      <c r="B5003" s="2" t="s">
        <v>6413</v>
      </c>
      <c r="C5003" s="2" t="s">
        <v>3330</v>
      </c>
      <c r="D5003" s="2" t="s">
        <v>28</v>
      </c>
      <c r="E5003" s="2" t="s">
        <v>29</v>
      </c>
      <c r="F5003" s="2">
        <v>90</v>
      </c>
      <c r="G5003" s="2" t="s">
        <v>10296</v>
      </c>
      <c r="H5003" s="2" t="s">
        <v>1168</v>
      </c>
      <c r="I5003" s="2" t="s">
        <v>32</v>
      </c>
      <c r="J5003" s="3">
        <v>44488</v>
      </c>
      <c r="K5003" s="2">
        <v>19</v>
      </c>
      <c r="L5003" s="2" t="s">
        <v>20</v>
      </c>
      <c r="M5003" s="3"/>
    </row>
    <row r="5004" spans="1:13" x14ac:dyDescent="0.3">
      <c r="A5004" s="2">
        <v>5003</v>
      </c>
      <c r="B5004" s="2" t="s">
        <v>8660</v>
      </c>
      <c r="C5004" s="2" t="s">
        <v>3379</v>
      </c>
      <c r="D5004" s="2" t="s">
        <v>51</v>
      </c>
      <c r="E5004" s="2" t="s">
        <v>16</v>
      </c>
      <c r="F5004" s="2">
        <v>30</v>
      </c>
      <c r="G5004" s="2" t="s">
        <v>10296</v>
      </c>
      <c r="H5004" s="2" t="s">
        <v>2703</v>
      </c>
      <c r="I5004" s="2" t="s">
        <v>32</v>
      </c>
      <c r="J5004" s="3">
        <v>44472</v>
      </c>
      <c r="K5004" s="2">
        <v>83</v>
      </c>
      <c r="L5004" s="2" t="s">
        <v>54</v>
      </c>
      <c r="M5004" s="3"/>
    </row>
    <row r="5005" spans="1:13" x14ac:dyDescent="0.3">
      <c r="A5005" s="2">
        <v>5004</v>
      </c>
      <c r="B5005" s="2" t="s">
        <v>312</v>
      </c>
      <c r="C5005" s="2" t="s">
        <v>10297</v>
      </c>
      <c r="D5005" s="2" t="s">
        <v>41</v>
      </c>
      <c r="E5005" s="2" t="s">
        <v>16</v>
      </c>
      <c r="F5005" s="2">
        <v>30</v>
      </c>
      <c r="G5005" s="2" t="s">
        <v>10298</v>
      </c>
      <c r="H5005" s="2" t="s">
        <v>2671</v>
      </c>
      <c r="I5005" s="2" t="s">
        <v>1157</v>
      </c>
      <c r="J5005" s="3">
        <v>44727</v>
      </c>
      <c r="K5005" s="2">
        <v>62</v>
      </c>
      <c r="L5005" s="2" t="s">
        <v>33</v>
      </c>
      <c r="M5005" s="3"/>
    </row>
    <row r="5006" spans="1:13" x14ac:dyDescent="0.3">
      <c r="A5006" s="2">
        <v>5005</v>
      </c>
      <c r="B5006" s="2" t="s">
        <v>4327</v>
      </c>
      <c r="C5006" s="2" t="s">
        <v>3322</v>
      </c>
      <c r="D5006" s="2" t="s">
        <v>51</v>
      </c>
      <c r="E5006" s="2" t="s">
        <v>16</v>
      </c>
      <c r="F5006" s="2">
        <v>30</v>
      </c>
      <c r="G5006" s="2" t="s">
        <v>10299</v>
      </c>
      <c r="H5006" s="2" t="s">
        <v>5631</v>
      </c>
      <c r="I5006" s="2" t="s">
        <v>129</v>
      </c>
      <c r="J5006" s="3">
        <v>43998</v>
      </c>
      <c r="K5006" s="2">
        <v>60</v>
      </c>
      <c r="L5006" s="2" t="s">
        <v>33</v>
      </c>
      <c r="M5006" s="3"/>
    </row>
    <row r="5007" spans="1:13" x14ac:dyDescent="0.3">
      <c r="A5007" s="2">
        <v>5006</v>
      </c>
      <c r="B5007" s="2" t="s">
        <v>4327</v>
      </c>
      <c r="C5007" s="2" t="s">
        <v>3322</v>
      </c>
      <c r="D5007" s="2" t="s">
        <v>51</v>
      </c>
      <c r="E5007" s="2" t="s">
        <v>16</v>
      </c>
      <c r="F5007" s="2">
        <v>30</v>
      </c>
      <c r="G5007" s="2" t="s">
        <v>10299</v>
      </c>
      <c r="H5007" s="2" t="s">
        <v>5631</v>
      </c>
      <c r="I5007" s="2" t="s">
        <v>129</v>
      </c>
      <c r="J5007" s="3">
        <v>43998</v>
      </c>
      <c r="K5007" s="2">
        <v>60</v>
      </c>
      <c r="L5007" s="2" t="s">
        <v>33</v>
      </c>
      <c r="M5007" s="3"/>
    </row>
    <row r="5008" spans="1:13" x14ac:dyDescent="0.3">
      <c r="A5008" s="2">
        <v>5007</v>
      </c>
      <c r="B5008" s="2" t="s">
        <v>3216</v>
      </c>
      <c r="C5008" s="2" t="s">
        <v>9473</v>
      </c>
      <c r="D5008" s="2" t="s">
        <v>92</v>
      </c>
      <c r="E5008" s="2" t="s">
        <v>29</v>
      </c>
      <c r="F5008" s="2">
        <v>90</v>
      </c>
      <c r="G5008" s="2" t="s">
        <v>10300</v>
      </c>
      <c r="H5008" s="2" t="s">
        <v>3175</v>
      </c>
      <c r="I5008" s="2" t="s">
        <v>1233</v>
      </c>
      <c r="J5008" s="3">
        <v>43894</v>
      </c>
      <c r="K5008" s="2">
        <v>33</v>
      </c>
      <c r="L5008" s="2" t="s">
        <v>80</v>
      </c>
      <c r="M5008" s="3"/>
    </row>
    <row r="5009" spans="1:13" x14ac:dyDescent="0.3">
      <c r="A5009" s="2">
        <v>5008</v>
      </c>
      <c r="B5009" s="2" t="s">
        <v>1207</v>
      </c>
      <c r="C5009" s="2" t="s">
        <v>5797</v>
      </c>
      <c r="D5009" s="2" t="s">
        <v>28</v>
      </c>
      <c r="E5009" s="2" t="s">
        <v>29</v>
      </c>
      <c r="F5009" s="2">
        <v>60</v>
      </c>
      <c r="G5009" s="2" t="s">
        <v>10301</v>
      </c>
      <c r="H5009" s="2" t="s">
        <v>2875</v>
      </c>
      <c r="I5009" s="2" t="s">
        <v>32</v>
      </c>
      <c r="J5009" s="3">
        <v>44805</v>
      </c>
      <c r="K5009" s="2">
        <v>81</v>
      </c>
      <c r="L5009" s="2" t="s">
        <v>39</v>
      </c>
      <c r="M5009" s="3"/>
    </row>
    <row r="5010" spans="1:13" x14ac:dyDescent="0.3">
      <c r="A5010" s="2">
        <v>5009</v>
      </c>
      <c r="B5010" s="2" t="s">
        <v>3985</v>
      </c>
      <c r="C5010" s="2" t="s">
        <v>8377</v>
      </c>
      <c r="D5010" s="2" t="s">
        <v>51</v>
      </c>
      <c r="E5010" s="2" t="s">
        <v>16</v>
      </c>
      <c r="F5010" s="2">
        <v>30</v>
      </c>
      <c r="G5010" s="2" t="s">
        <v>10302</v>
      </c>
      <c r="H5010" s="2" t="s">
        <v>558</v>
      </c>
      <c r="I5010" s="2" t="s">
        <v>32</v>
      </c>
      <c r="J5010" s="3">
        <v>44894</v>
      </c>
      <c r="K5010" s="2">
        <v>30</v>
      </c>
      <c r="L5010" s="2" t="s">
        <v>101</v>
      </c>
      <c r="M5010" s="3"/>
    </row>
    <row r="5011" spans="1:13" x14ac:dyDescent="0.3">
      <c r="A5011" s="2">
        <v>5010</v>
      </c>
      <c r="B5011" s="2" t="s">
        <v>1644</v>
      </c>
      <c r="C5011" s="2" t="s">
        <v>1002</v>
      </c>
      <c r="D5011" s="2" t="s">
        <v>51</v>
      </c>
      <c r="E5011" s="2" t="s">
        <v>16</v>
      </c>
      <c r="F5011" s="2">
        <v>60</v>
      </c>
      <c r="G5011" s="2" t="s">
        <v>10303</v>
      </c>
      <c r="H5011" s="2" t="s">
        <v>7154</v>
      </c>
      <c r="I5011" s="2" t="s">
        <v>32</v>
      </c>
      <c r="J5011" s="3">
        <v>44758</v>
      </c>
      <c r="K5011" s="2">
        <v>4</v>
      </c>
      <c r="L5011" s="2" t="s">
        <v>70</v>
      </c>
      <c r="M5011" s="3"/>
    </row>
    <row r="5012" spans="1:13" x14ac:dyDescent="0.3">
      <c r="A5012" s="2">
        <v>5011</v>
      </c>
      <c r="B5012" s="2" t="s">
        <v>5772</v>
      </c>
      <c r="C5012" s="2" t="s">
        <v>2815</v>
      </c>
      <c r="D5012" s="2" t="s">
        <v>28</v>
      </c>
      <c r="E5012" s="2" t="s">
        <v>29</v>
      </c>
      <c r="F5012" s="2">
        <v>60</v>
      </c>
      <c r="G5012" s="2" t="s">
        <v>10304</v>
      </c>
      <c r="H5012" s="2" t="s">
        <v>5957</v>
      </c>
      <c r="I5012" s="2" t="s">
        <v>187</v>
      </c>
      <c r="J5012" s="3">
        <v>44219</v>
      </c>
      <c r="K5012" s="2">
        <v>30</v>
      </c>
      <c r="L5012" s="2" t="s">
        <v>45</v>
      </c>
      <c r="M5012" s="3"/>
    </row>
    <row r="5013" spans="1:13" x14ac:dyDescent="0.3">
      <c r="A5013" s="2">
        <v>5012</v>
      </c>
      <c r="B5013" s="2" t="s">
        <v>10305</v>
      </c>
      <c r="C5013" s="2" t="s">
        <v>10091</v>
      </c>
      <c r="D5013" s="2" t="s">
        <v>41</v>
      </c>
      <c r="E5013" s="2" t="s">
        <v>16</v>
      </c>
      <c r="F5013" s="2">
        <v>90</v>
      </c>
      <c r="G5013" s="2" t="s">
        <v>10306</v>
      </c>
      <c r="H5013" s="2" t="s">
        <v>466</v>
      </c>
      <c r="I5013" s="2" t="s">
        <v>187</v>
      </c>
      <c r="J5013" s="3">
        <v>44585</v>
      </c>
      <c r="K5013" s="2">
        <v>21</v>
      </c>
      <c r="L5013" s="2" t="s">
        <v>64</v>
      </c>
      <c r="M5013" s="3"/>
    </row>
    <row r="5014" spans="1:13" x14ac:dyDescent="0.3">
      <c r="A5014" s="2">
        <v>5013</v>
      </c>
      <c r="B5014" s="2" t="s">
        <v>7463</v>
      </c>
      <c r="C5014" s="2" t="s">
        <v>5764</v>
      </c>
      <c r="D5014" s="2" t="s">
        <v>28</v>
      </c>
      <c r="E5014" s="2" t="s">
        <v>29</v>
      </c>
      <c r="F5014" s="2">
        <v>90</v>
      </c>
      <c r="G5014" s="2" t="s">
        <v>10307</v>
      </c>
      <c r="H5014" s="2" t="s">
        <v>4979</v>
      </c>
      <c r="I5014" s="2" t="s">
        <v>294</v>
      </c>
      <c r="J5014" s="3">
        <v>44041</v>
      </c>
      <c r="K5014" s="2">
        <v>26</v>
      </c>
      <c r="L5014" s="2" t="s">
        <v>45</v>
      </c>
      <c r="M5014" s="3"/>
    </row>
    <row r="5015" spans="1:13" x14ac:dyDescent="0.3">
      <c r="A5015" s="2">
        <v>5014</v>
      </c>
      <c r="B5015" s="2" t="s">
        <v>592</v>
      </c>
      <c r="C5015" s="2" t="s">
        <v>2832</v>
      </c>
      <c r="D5015" s="2" t="s">
        <v>28</v>
      </c>
      <c r="E5015" s="2" t="s">
        <v>29</v>
      </c>
      <c r="F5015" s="2">
        <v>30</v>
      </c>
      <c r="G5015" s="2" t="s">
        <v>10308</v>
      </c>
      <c r="H5015" s="2" t="s">
        <v>1325</v>
      </c>
      <c r="I5015" s="2" t="s">
        <v>187</v>
      </c>
      <c r="J5015" s="3">
        <v>44627</v>
      </c>
      <c r="K5015" s="2">
        <v>55</v>
      </c>
      <c r="L5015" s="2" t="s">
        <v>39</v>
      </c>
      <c r="M5015" s="3"/>
    </row>
    <row r="5016" spans="1:13" x14ac:dyDescent="0.3">
      <c r="A5016" s="2">
        <v>5015</v>
      </c>
      <c r="B5016" s="2" t="s">
        <v>1805</v>
      </c>
      <c r="C5016" s="2" t="s">
        <v>9351</v>
      </c>
      <c r="D5016" s="2" t="s">
        <v>28</v>
      </c>
      <c r="E5016" s="2" t="s">
        <v>29</v>
      </c>
      <c r="F5016" s="2">
        <v>90</v>
      </c>
      <c r="G5016" s="2" t="s">
        <v>10309</v>
      </c>
      <c r="H5016" s="2" t="s">
        <v>738</v>
      </c>
      <c r="I5016" s="2" t="s">
        <v>38</v>
      </c>
      <c r="J5016" s="3">
        <v>43957</v>
      </c>
      <c r="K5016" s="2">
        <v>29</v>
      </c>
      <c r="L5016" s="2" t="s">
        <v>101</v>
      </c>
      <c r="M5016" s="3"/>
    </row>
    <row r="5017" spans="1:13" x14ac:dyDescent="0.3">
      <c r="A5017" s="2">
        <v>5016</v>
      </c>
      <c r="B5017" s="2" t="s">
        <v>10310</v>
      </c>
      <c r="C5017" s="2" t="s">
        <v>10311</v>
      </c>
      <c r="D5017" s="2" t="s">
        <v>15</v>
      </c>
      <c r="E5017" s="2" t="s">
        <v>16</v>
      </c>
      <c r="F5017" s="2">
        <v>30</v>
      </c>
      <c r="G5017" s="2" t="s">
        <v>10312</v>
      </c>
      <c r="H5017" s="2" t="s">
        <v>10313</v>
      </c>
      <c r="I5017" s="2" t="s">
        <v>124</v>
      </c>
      <c r="J5017" s="3">
        <v>44828</v>
      </c>
      <c r="K5017" s="2">
        <v>28</v>
      </c>
      <c r="L5017" s="2" t="s">
        <v>33</v>
      </c>
      <c r="M5017" s="3"/>
    </row>
    <row r="5018" spans="1:13" x14ac:dyDescent="0.3">
      <c r="A5018" s="2">
        <v>5017</v>
      </c>
      <c r="B5018" s="2" t="s">
        <v>3616</v>
      </c>
      <c r="C5018" s="2" t="s">
        <v>5370</v>
      </c>
      <c r="D5018" s="2" t="s">
        <v>51</v>
      </c>
      <c r="E5018" s="2" t="s">
        <v>16</v>
      </c>
      <c r="F5018" s="2">
        <v>60</v>
      </c>
      <c r="G5018" s="2" t="s">
        <v>10314</v>
      </c>
      <c r="H5018" s="2" t="s">
        <v>163</v>
      </c>
      <c r="I5018" s="2" t="s">
        <v>164</v>
      </c>
      <c r="J5018" s="3">
        <v>44256</v>
      </c>
      <c r="K5018" s="2">
        <v>94</v>
      </c>
      <c r="L5018" s="2" t="s">
        <v>45</v>
      </c>
      <c r="M5018" s="3"/>
    </row>
    <row r="5019" spans="1:13" x14ac:dyDescent="0.3">
      <c r="A5019" s="2">
        <v>5018</v>
      </c>
      <c r="B5019" s="2" t="s">
        <v>1139</v>
      </c>
      <c r="C5019" s="2" t="s">
        <v>4664</v>
      </c>
      <c r="D5019" s="2" t="s">
        <v>51</v>
      </c>
      <c r="E5019" s="2" t="s">
        <v>16</v>
      </c>
      <c r="F5019" s="2">
        <v>60</v>
      </c>
      <c r="G5019" s="2" t="s">
        <v>10315</v>
      </c>
      <c r="H5019" s="2" t="s">
        <v>522</v>
      </c>
      <c r="I5019" s="2" t="s">
        <v>32</v>
      </c>
      <c r="J5019" s="3">
        <v>43850</v>
      </c>
      <c r="K5019" s="2">
        <v>40</v>
      </c>
      <c r="L5019" s="2" t="s">
        <v>159</v>
      </c>
      <c r="M5019" s="3"/>
    </row>
    <row r="5020" spans="1:13" x14ac:dyDescent="0.3">
      <c r="A5020" s="2">
        <v>5019</v>
      </c>
      <c r="B5020" s="2" t="s">
        <v>3946</v>
      </c>
      <c r="C5020" s="2" t="s">
        <v>309</v>
      </c>
      <c r="D5020" s="2" t="s">
        <v>28</v>
      </c>
      <c r="E5020" s="2" t="s">
        <v>29</v>
      </c>
      <c r="F5020" s="2">
        <v>90</v>
      </c>
      <c r="G5020" s="2" t="s">
        <v>10316</v>
      </c>
      <c r="H5020" s="2" t="s">
        <v>6101</v>
      </c>
      <c r="I5020" s="2" t="s">
        <v>32</v>
      </c>
      <c r="J5020" s="3">
        <v>43960</v>
      </c>
      <c r="K5020" s="2">
        <v>55</v>
      </c>
      <c r="L5020" s="2" t="s">
        <v>39</v>
      </c>
      <c r="M5020" s="3"/>
    </row>
    <row r="5021" spans="1:13" x14ac:dyDescent="0.3">
      <c r="A5021" s="2">
        <v>5020</v>
      </c>
      <c r="B5021" s="2" t="s">
        <v>10317</v>
      </c>
      <c r="C5021" s="2" t="s">
        <v>2089</v>
      </c>
      <c r="D5021" s="2" t="s">
        <v>51</v>
      </c>
      <c r="E5021" s="2" t="s">
        <v>16</v>
      </c>
      <c r="F5021" s="2">
        <v>30</v>
      </c>
      <c r="G5021" s="2" t="s">
        <v>10318</v>
      </c>
      <c r="H5021" s="2" t="s">
        <v>10319</v>
      </c>
      <c r="I5021" s="2" t="s">
        <v>2022</v>
      </c>
      <c r="J5021" s="3">
        <v>44036</v>
      </c>
      <c r="K5021" s="2">
        <v>45</v>
      </c>
      <c r="L5021" s="2" t="s">
        <v>70</v>
      </c>
      <c r="M5021" s="3"/>
    </row>
    <row r="5022" spans="1:13" x14ac:dyDescent="0.3">
      <c r="A5022" s="2">
        <v>5021</v>
      </c>
      <c r="B5022" s="2" t="s">
        <v>9700</v>
      </c>
      <c r="C5022" s="2" t="s">
        <v>4795</v>
      </c>
      <c r="D5022" s="2" t="s">
        <v>15</v>
      </c>
      <c r="E5022" s="2" t="s">
        <v>16</v>
      </c>
      <c r="F5022" s="2">
        <v>30</v>
      </c>
      <c r="G5022" s="2" t="s">
        <v>10318</v>
      </c>
      <c r="H5022" s="2" t="s">
        <v>2066</v>
      </c>
      <c r="I5022" s="2" t="s">
        <v>294</v>
      </c>
      <c r="J5022" s="3">
        <v>44423</v>
      </c>
      <c r="K5022" s="2">
        <v>24</v>
      </c>
      <c r="L5022" s="2" t="s">
        <v>54</v>
      </c>
      <c r="M5022" s="3"/>
    </row>
    <row r="5023" spans="1:13" x14ac:dyDescent="0.3">
      <c r="A5023" s="2">
        <v>5022</v>
      </c>
      <c r="B5023" s="2" t="s">
        <v>2191</v>
      </c>
      <c r="C5023" s="2" t="s">
        <v>6452</v>
      </c>
      <c r="D5023" s="2" t="s">
        <v>28</v>
      </c>
      <c r="E5023" s="2" t="s">
        <v>29</v>
      </c>
      <c r="F5023" s="2">
        <v>30</v>
      </c>
      <c r="G5023" s="2" t="s">
        <v>10320</v>
      </c>
      <c r="H5023" s="2" t="s">
        <v>993</v>
      </c>
      <c r="I5023" s="2" t="s">
        <v>32</v>
      </c>
      <c r="J5023" s="3">
        <v>44554</v>
      </c>
      <c r="K5023" s="2">
        <v>40</v>
      </c>
      <c r="L5023" s="2" t="s">
        <v>80</v>
      </c>
      <c r="M5023" s="3"/>
    </row>
    <row r="5024" spans="1:13" x14ac:dyDescent="0.3">
      <c r="A5024" s="2">
        <v>5023</v>
      </c>
      <c r="B5024" s="2" t="s">
        <v>10321</v>
      </c>
      <c r="C5024" s="2" t="s">
        <v>1923</v>
      </c>
      <c r="D5024" s="2" t="s">
        <v>15</v>
      </c>
      <c r="E5024" s="2" t="s">
        <v>16</v>
      </c>
      <c r="F5024" s="2">
        <v>30</v>
      </c>
      <c r="G5024" s="2" t="s">
        <v>10322</v>
      </c>
      <c r="H5024" s="2" t="s">
        <v>4729</v>
      </c>
      <c r="I5024" s="2" t="s">
        <v>32</v>
      </c>
      <c r="J5024" s="3">
        <v>44906</v>
      </c>
      <c r="K5024" s="2">
        <v>30</v>
      </c>
      <c r="L5024" s="2" t="s">
        <v>45</v>
      </c>
      <c r="M5024" s="3"/>
    </row>
    <row r="5025" spans="1:13" x14ac:dyDescent="0.3">
      <c r="A5025" s="2">
        <v>5024</v>
      </c>
      <c r="B5025" s="2" t="s">
        <v>4218</v>
      </c>
      <c r="C5025" s="2" t="s">
        <v>1133</v>
      </c>
      <c r="D5025" s="2" t="s">
        <v>28</v>
      </c>
      <c r="E5025" s="2" t="s">
        <v>29</v>
      </c>
      <c r="F5025" s="2">
        <v>90</v>
      </c>
      <c r="G5025" s="2" t="s">
        <v>10323</v>
      </c>
      <c r="H5025" s="2" t="s">
        <v>4028</v>
      </c>
      <c r="I5025" s="2" t="s">
        <v>32</v>
      </c>
      <c r="J5025" s="3">
        <v>44029</v>
      </c>
      <c r="K5025" s="2">
        <v>2</v>
      </c>
      <c r="L5025" s="2" t="s">
        <v>39</v>
      </c>
      <c r="M5025" s="3"/>
    </row>
    <row r="5026" spans="1:13" x14ac:dyDescent="0.3">
      <c r="A5026" s="2">
        <v>5025</v>
      </c>
      <c r="B5026" s="2" t="s">
        <v>8238</v>
      </c>
      <c r="C5026" s="2" t="s">
        <v>3141</v>
      </c>
      <c r="D5026" s="2" t="s">
        <v>28</v>
      </c>
      <c r="E5026" s="2" t="s">
        <v>29</v>
      </c>
      <c r="F5026" s="2">
        <v>90</v>
      </c>
      <c r="G5026" s="2" t="s">
        <v>10323</v>
      </c>
      <c r="H5026" s="2" t="s">
        <v>1629</v>
      </c>
      <c r="I5026" s="2" t="s">
        <v>32</v>
      </c>
      <c r="J5026" s="3">
        <v>44322</v>
      </c>
      <c r="K5026" s="2">
        <v>7</v>
      </c>
      <c r="L5026" s="2" t="s">
        <v>33</v>
      </c>
      <c r="M5026" s="3"/>
    </row>
    <row r="5027" spans="1:13" x14ac:dyDescent="0.3">
      <c r="A5027" s="2">
        <v>5026</v>
      </c>
      <c r="B5027" s="2" t="s">
        <v>2322</v>
      </c>
      <c r="C5027" s="2" t="s">
        <v>2451</v>
      </c>
      <c r="D5027" s="2" t="s">
        <v>51</v>
      </c>
      <c r="E5027" s="2" t="s">
        <v>16</v>
      </c>
      <c r="F5027" s="2">
        <v>90</v>
      </c>
      <c r="G5027" s="2" t="s">
        <v>10324</v>
      </c>
      <c r="H5027" s="2" t="s">
        <v>10069</v>
      </c>
      <c r="I5027" s="2" t="s">
        <v>32</v>
      </c>
      <c r="J5027" s="3">
        <v>44762</v>
      </c>
      <c r="K5027" s="2">
        <v>60</v>
      </c>
      <c r="L5027" s="2" t="s">
        <v>101</v>
      </c>
      <c r="M5027" s="3"/>
    </row>
    <row r="5028" spans="1:13" x14ac:dyDescent="0.3">
      <c r="A5028" s="2">
        <v>5027</v>
      </c>
      <c r="B5028" s="2" t="s">
        <v>4029</v>
      </c>
      <c r="C5028" s="2" t="s">
        <v>4113</v>
      </c>
      <c r="D5028" s="2" t="s">
        <v>28</v>
      </c>
      <c r="E5028" s="2" t="s">
        <v>29</v>
      </c>
      <c r="F5028" s="2">
        <v>60</v>
      </c>
      <c r="G5028" s="2" t="s">
        <v>10324</v>
      </c>
      <c r="H5028" s="2" t="s">
        <v>2902</v>
      </c>
      <c r="I5028" s="2" t="s">
        <v>32</v>
      </c>
      <c r="J5028" s="3">
        <v>44166</v>
      </c>
      <c r="K5028" s="2">
        <v>81</v>
      </c>
      <c r="L5028" s="2" t="s">
        <v>159</v>
      </c>
      <c r="M5028" s="3"/>
    </row>
    <row r="5029" spans="1:13" x14ac:dyDescent="0.3">
      <c r="A5029" s="2">
        <v>5028</v>
      </c>
      <c r="B5029" s="2" t="s">
        <v>9720</v>
      </c>
      <c r="C5029" s="2" t="s">
        <v>10325</v>
      </c>
      <c r="D5029" s="2" t="s">
        <v>15</v>
      </c>
      <c r="E5029" s="2" t="s">
        <v>16</v>
      </c>
      <c r="F5029" s="2">
        <v>30</v>
      </c>
      <c r="G5029" s="2" t="s">
        <v>10326</v>
      </c>
      <c r="H5029" s="2" t="s">
        <v>5376</v>
      </c>
      <c r="I5029" s="2" t="s">
        <v>32</v>
      </c>
      <c r="J5029" s="3">
        <v>43963</v>
      </c>
      <c r="K5029" s="2">
        <v>36</v>
      </c>
      <c r="L5029" s="2" t="s">
        <v>33</v>
      </c>
      <c r="M5029" s="3"/>
    </row>
    <row r="5030" spans="1:13" x14ac:dyDescent="0.3">
      <c r="A5030" s="2">
        <v>5029</v>
      </c>
      <c r="B5030" s="2" t="s">
        <v>1572</v>
      </c>
      <c r="C5030" s="2" t="s">
        <v>2101</v>
      </c>
      <c r="D5030" s="2" t="s">
        <v>28</v>
      </c>
      <c r="E5030" s="2" t="s">
        <v>29</v>
      </c>
      <c r="F5030" s="2">
        <v>60</v>
      </c>
      <c r="G5030" s="2" t="s">
        <v>10327</v>
      </c>
      <c r="H5030" s="2" t="s">
        <v>2622</v>
      </c>
      <c r="I5030" s="2" t="s">
        <v>294</v>
      </c>
      <c r="J5030" s="3">
        <v>44342</v>
      </c>
      <c r="K5030" s="2">
        <v>65</v>
      </c>
      <c r="L5030" s="2" t="s">
        <v>101</v>
      </c>
      <c r="M5030" s="3"/>
    </row>
    <row r="5031" spans="1:13" x14ac:dyDescent="0.3">
      <c r="A5031" s="2">
        <v>5030</v>
      </c>
      <c r="B5031" s="2" t="s">
        <v>10328</v>
      </c>
      <c r="C5031" s="2" t="s">
        <v>2690</v>
      </c>
      <c r="D5031" s="2" t="s">
        <v>15</v>
      </c>
      <c r="E5031" s="2" t="s">
        <v>16</v>
      </c>
      <c r="F5031" s="2">
        <v>90</v>
      </c>
      <c r="G5031" s="2" t="s">
        <v>10329</v>
      </c>
      <c r="H5031" s="2" t="s">
        <v>68</v>
      </c>
      <c r="I5031" s="2" t="s">
        <v>69</v>
      </c>
      <c r="J5031" s="3">
        <v>44471</v>
      </c>
      <c r="K5031" s="2">
        <v>62</v>
      </c>
      <c r="L5031" s="2" t="s">
        <v>54</v>
      </c>
      <c r="M5031" s="3"/>
    </row>
    <row r="5032" spans="1:13" x14ac:dyDescent="0.3">
      <c r="A5032" s="2">
        <v>5031</v>
      </c>
      <c r="B5032" s="2" t="s">
        <v>55</v>
      </c>
      <c r="C5032" s="2" t="s">
        <v>9110</v>
      </c>
      <c r="D5032" s="2" t="s">
        <v>28</v>
      </c>
      <c r="E5032" s="2" t="s">
        <v>29</v>
      </c>
      <c r="F5032" s="2">
        <v>60</v>
      </c>
      <c r="G5032" s="2" t="s">
        <v>10330</v>
      </c>
      <c r="H5032" s="2" t="s">
        <v>5718</v>
      </c>
      <c r="I5032" s="2" t="s">
        <v>294</v>
      </c>
      <c r="J5032" s="3">
        <v>44073</v>
      </c>
      <c r="K5032" s="2">
        <v>36</v>
      </c>
      <c r="L5032" s="2" t="s">
        <v>80</v>
      </c>
      <c r="M5032" s="3"/>
    </row>
    <row r="5033" spans="1:13" x14ac:dyDescent="0.3">
      <c r="A5033" s="2">
        <v>5032</v>
      </c>
      <c r="B5033" s="2" t="s">
        <v>7195</v>
      </c>
      <c r="C5033" s="2" t="s">
        <v>2293</v>
      </c>
      <c r="D5033" s="2" t="s">
        <v>117</v>
      </c>
      <c r="E5033" s="2" t="s">
        <v>16</v>
      </c>
      <c r="F5033" s="2">
        <v>90</v>
      </c>
      <c r="G5033" s="2" t="s">
        <v>10331</v>
      </c>
      <c r="H5033" s="2" t="s">
        <v>912</v>
      </c>
      <c r="I5033" s="2" t="s">
        <v>913</v>
      </c>
      <c r="J5033" s="3">
        <v>44109</v>
      </c>
      <c r="K5033" s="2">
        <v>34</v>
      </c>
      <c r="L5033" s="2" t="s">
        <v>54</v>
      </c>
      <c r="M5033" s="3"/>
    </row>
    <row r="5034" spans="1:13" x14ac:dyDescent="0.3">
      <c r="A5034" s="2">
        <v>5033</v>
      </c>
      <c r="B5034" s="2" t="s">
        <v>7200</v>
      </c>
      <c r="C5034" s="2" t="s">
        <v>6272</v>
      </c>
      <c r="D5034" s="2" t="s">
        <v>28</v>
      </c>
      <c r="E5034" s="2" t="s">
        <v>29</v>
      </c>
      <c r="F5034" s="2">
        <v>60</v>
      </c>
      <c r="G5034" s="2" t="s">
        <v>10332</v>
      </c>
      <c r="H5034" s="2" t="s">
        <v>3996</v>
      </c>
      <c r="I5034" s="2" t="s">
        <v>294</v>
      </c>
      <c r="J5034" s="3">
        <v>44341</v>
      </c>
      <c r="K5034" s="2">
        <v>78</v>
      </c>
      <c r="L5034" s="2" t="s">
        <v>45</v>
      </c>
      <c r="M5034" s="3"/>
    </row>
    <row r="5035" spans="1:13" x14ac:dyDescent="0.3">
      <c r="A5035" s="2">
        <v>5034</v>
      </c>
      <c r="B5035" s="2" t="s">
        <v>339</v>
      </c>
      <c r="C5035" s="2" t="s">
        <v>629</v>
      </c>
      <c r="D5035" s="2" t="s">
        <v>51</v>
      </c>
      <c r="E5035" s="2" t="s">
        <v>16</v>
      </c>
      <c r="F5035" s="2">
        <v>30</v>
      </c>
      <c r="G5035" s="2" t="s">
        <v>10333</v>
      </c>
      <c r="H5035" s="2" t="s">
        <v>2341</v>
      </c>
      <c r="I5035" s="2" t="s">
        <v>2342</v>
      </c>
      <c r="J5035" s="3">
        <v>44657</v>
      </c>
      <c r="K5035" s="2">
        <v>42</v>
      </c>
      <c r="L5035" s="2" t="s">
        <v>54</v>
      </c>
      <c r="M5035" s="3"/>
    </row>
    <row r="5036" spans="1:13" x14ac:dyDescent="0.3">
      <c r="A5036" s="2">
        <v>5035</v>
      </c>
      <c r="B5036" s="2" t="s">
        <v>2906</v>
      </c>
      <c r="C5036" s="2" t="s">
        <v>2647</v>
      </c>
      <c r="D5036" s="2" t="s">
        <v>28</v>
      </c>
      <c r="E5036" s="2" t="s">
        <v>29</v>
      </c>
      <c r="F5036" s="2">
        <v>30</v>
      </c>
      <c r="G5036" s="2" t="s">
        <v>10334</v>
      </c>
      <c r="H5036" s="2" t="s">
        <v>270</v>
      </c>
      <c r="I5036" s="2" t="s">
        <v>187</v>
      </c>
      <c r="J5036" s="3">
        <v>44328</v>
      </c>
      <c r="K5036" s="2">
        <v>13</v>
      </c>
      <c r="L5036" s="2" t="s">
        <v>159</v>
      </c>
      <c r="M5036" s="3"/>
    </row>
    <row r="5037" spans="1:13" x14ac:dyDescent="0.3">
      <c r="A5037" s="2">
        <v>5036</v>
      </c>
      <c r="B5037" s="2" t="s">
        <v>10335</v>
      </c>
      <c r="C5037" s="2" t="s">
        <v>3589</v>
      </c>
      <c r="D5037" s="2" t="s">
        <v>15</v>
      </c>
      <c r="E5037" s="2" t="s">
        <v>16</v>
      </c>
      <c r="F5037" s="2">
        <v>90</v>
      </c>
      <c r="G5037" s="2" t="s">
        <v>10336</v>
      </c>
      <c r="H5037" s="2" t="s">
        <v>583</v>
      </c>
      <c r="I5037" s="2" t="s">
        <v>32</v>
      </c>
      <c r="J5037" s="3">
        <v>44413</v>
      </c>
      <c r="K5037" s="2">
        <v>80</v>
      </c>
      <c r="L5037" s="2" t="s">
        <v>80</v>
      </c>
      <c r="M5037" s="3"/>
    </row>
    <row r="5038" spans="1:13" x14ac:dyDescent="0.3">
      <c r="A5038" s="2">
        <v>5037</v>
      </c>
      <c r="B5038" s="2" t="s">
        <v>259</v>
      </c>
      <c r="C5038" s="2" t="s">
        <v>5354</v>
      </c>
      <c r="D5038" s="2" t="s">
        <v>15</v>
      </c>
      <c r="E5038" s="2" t="s">
        <v>16</v>
      </c>
      <c r="F5038" s="2">
        <v>30</v>
      </c>
      <c r="G5038" s="2" t="s">
        <v>10337</v>
      </c>
      <c r="H5038" s="2" t="s">
        <v>1864</v>
      </c>
      <c r="I5038" s="2" t="s">
        <v>294</v>
      </c>
      <c r="J5038" s="3">
        <v>44770</v>
      </c>
      <c r="K5038" s="2">
        <v>105</v>
      </c>
      <c r="L5038" s="2" t="s">
        <v>20</v>
      </c>
      <c r="M5038" s="3"/>
    </row>
    <row r="5039" spans="1:13" x14ac:dyDescent="0.3">
      <c r="A5039" s="2">
        <v>5038</v>
      </c>
      <c r="B5039" s="2" t="s">
        <v>657</v>
      </c>
      <c r="C5039" s="2" t="s">
        <v>4379</v>
      </c>
      <c r="D5039" s="2" t="s">
        <v>28</v>
      </c>
      <c r="E5039" s="2" t="s">
        <v>29</v>
      </c>
      <c r="F5039" s="2">
        <v>30</v>
      </c>
      <c r="G5039" s="2" t="s">
        <v>10338</v>
      </c>
      <c r="H5039" s="2" t="s">
        <v>5823</v>
      </c>
      <c r="I5039" s="2" t="s">
        <v>110</v>
      </c>
      <c r="J5039" s="3">
        <v>44348</v>
      </c>
      <c r="K5039" s="2">
        <v>53</v>
      </c>
      <c r="L5039" s="2" t="s">
        <v>101</v>
      </c>
      <c r="M5039" s="3"/>
    </row>
    <row r="5040" spans="1:13" x14ac:dyDescent="0.3">
      <c r="A5040" s="2">
        <v>5039</v>
      </c>
      <c r="B5040" s="2" t="s">
        <v>5785</v>
      </c>
      <c r="C5040" s="2" t="s">
        <v>9172</v>
      </c>
      <c r="D5040" s="2" t="s">
        <v>15</v>
      </c>
      <c r="E5040" s="2" t="s">
        <v>16</v>
      </c>
      <c r="F5040" s="2">
        <v>90</v>
      </c>
      <c r="G5040" s="2" t="s">
        <v>10339</v>
      </c>
      <c r="H5040" s="2" t="s">
        <v>6544</v>
      </c>
      <c r="I5040" s="2" t="s">
        <v>32</v>
      </c>
      <c r="J5040" s="3">
        <v>44539</v>
      </c>
      <c r="K5040" s="2">
        <v>91</v>
      </c>
      <c r="L5040" s="2" t="s">
        <v>80</v>
      </c>
      <c r="M5040" s="3"/>
    </row>
    <row r="5041" spans="1:13" x14ac:dyDescent="0.3">
      <c r="A5041" s="2">
        <v>5040</v>
      </c>
      <c r="B5041" s="2" t="s">
        <v>305</v>
      </c>
      <c r="C5041" s="2" t="s">
        <v>5891</v>
      </c>
      <c r="D5041" s="2" t="s">
        <v>28</v>
      </c>
      <c r="E5041" s="2" t="s">
        <v>29</v>
      </c>
      <c r="F5041" s="2">
        <v>60</v>
      </c>
      <c r="G5041" s="2" t="s">
        <v>10340</v>
      </c>
      <c r="H5041" s="2" t="s">
        <v>4683</v>
      </c>
      <c r="I5041" s="2" t="s">
        <v>178</v>
      </c>
      <c r="J5041" s="3">
        <v>44545</v>
      </c>
      <c r="K5041" s="2">
        <v>83</v>
      </c>
      <c r="L5041" s="2" t="s">
        <v>70</v>
      </c>
      <c r="M5041" s="3"/>
    </row>
    <row r="5042" spans="1:13" x14ac:dyDescent="0.3">
      <c r="A5042" s="2">
        <v>5041</v>
      </c>
      <c r="B5042" s="2" t="s">
        <v>6267</v>
      </c>
      <c r="C5042" s="2" t="s">
        <v>1471</v>
      </c>
      <c r="D5042" s="2" t="s">
        <v>28</v>
      </c>
      <c r="E5042" s="2" t="s">
        <v>29</v>
      </c>
      <c r="F5042" s="2">
        <v>90</v>
      </c>
      <c r="G5042" s="2" t="s">
        <v>10341</v>
      </c>
      <c r="H5042" s="2" t="s">
        <v>396</v>
      </c>
      <c r="I5042" s="2" t="s">
        <v>32</v>
      </c>
      <c r="J5042" s="3">
        <v>43849</v>
      </c>
      <c r="K5042" s="2">
        <v>83</v>
      </c>
      <c r="L5042" s="2" t="s">
        <v>159</v>
      </c>
      <c r="M5042" s="3"/>
    </row>
    <row r="5043" spans="1:13" x14ac:dyDescent="0.3">
      <c r="A5043" s="2">
        <v>5042</v>
      </c>
      <c r="B5043" s="2" t="s">
        <v>10065</v>
      </c>
      <c r="C5043" s="2" t="s">
        <v>1554</v>
      </c>
      <c r="D5043" s="2" t="s">
        <v>15</v>
      </c>
      <c r="E5043" s="2" t="s">
        <v>16</v>
      </c>
      <c r="F5043" s="2">
        <v>60</v>
      </c>
      <c r="G5043" s="2" t="s">
        <v>10342</v>
      </c>
      <c r="H5043" s="2" t="s">
        <v>8946</v>
      </c>
      <c r="I5043" s="2" t="s">
        <v>95</v>
      </c>
      <c r="J5043" s="3">
        <v>43944</v>
      </c>
      <c r="K5043" s="2">
        <v>72</v>
      </c>
      <c r="L5043" s="2" t="s">
        <v>33</v>
      </c>
      <c r="M5043" s="3"/>
    </row>
    <row r="5044" spans="1:13" x14ac:dyDescent="0.3">
      <c r="A5044" s="2">
        <v>5043</v>
      </c>
      <c r="B5044" s="2" t="s">
        <v>10343</v>
      </c>
      <c r="C5044" s="2" t="s">
        <v>2427</v>
      </c>
      <c r="D5044" s="2" t="s">
        <v>28</v>
      </c>
      <c r="E5044" s="2" t="s">
        <v>29</v>
      </c>
      <c r="F5044" s="2">
        <v>30</v>
      </c>
      <c r="G5044" s="2" t="s">
        <v>10344</v>
      </c>
      <c r="H5044" s="2" t="s">
        <v>574</v>
      </c>
      <c r="I5044" s="2" t="s">
        <v>575</v>
      </c>
      <c r="J5044" s="3">
        <v>44469</v>
      </c>
      <c r="K5044" s="2">
        <v>66</v>
      </c>
      <c r="L5044" s="2" t="s">
        <v>45</v>
      </c>
      <c r="M5044" s="3"/>
    </row>
    <row r="5045" spans="1:13" x14ac:dyDescent="0.3">
      <c r="A5045" s="2">
        <v>5044</v>
      </c>
      <c r="B5045" s="2" t="s">
        <v>2819</v>
      </c>
      <c r="C5045" s="2" t="s">
        <v>111</v>
      </c>
      <c r="D5045" s="2" t="s">
        <v>28</v>
      </c>
      <c r="E5045" s="2" t="s">
        <v>29</v>
      </c>
      <c r="F5045" s="2">
        <v>90</v>
      </c>
      <c r="G5045" s="2" t="s">
        <v>10345</v>
      </c>
      <c r="H5045" s="2" t="s">
        <v>374</v>
      </c>
      <c r="I5045" s="2" t="s">
        <v>25</v>
      </c>
      <c r="J5045" s="3">
        <v>44261</v>
      </c>
      <c r="K5045" s="2">
        <v>47</v>
      </c>
      <c r="L5045" s="2" t="s">
        <v>45</v>
      </c>
      <c r="M5045" s="3"/>
    </row>
    <row r="5046" spans="1:13" x14ac:dyDescent="0.3">
      <c r="A5046" s="2">
        <v>5045</v>
      </c>
      <c r="B5046" s="2" t="s">
        <v>9508</v>
      </c>
      <c r="C5046" s="2" t="s">
        <v>8144</v>
      </c>
      <c r="D5046" s="2" t="s">
        <v>51</v>
      </c>
      <c r="E5046" s="2" t="s">
        <v>16</v>
      </c>
      <c r="F5046" s="2">
        <v>30</v>
      </c>
      <c r="G5046" s="2" t="s">
        <v>10346</v>
      </c>
      <c r="H5046" s="2" t="s">
        <v>3271</v>
      </c>
      <c r="I5046" s="2" t="s">
        <v>173</v>
      </c>
      <c r="J5046" s="3">
        <v>44513</v>
      </c>
      <c r="K5046" s="2">
        <v>8</v>
      </c>
      <c r="L5046" s="2" t="s">
        <v>54</v>
      </c>
      <c r="M5046" s="3"/>
    </row>
    <row r="5047" spans="1:13" x14ac:dyDescent="0.3">
      <c r="A5047" s="2">
        <v>5046</v>
      </c>
      <c r="B5047" s="2" t="s">
        <v>7104</v>
      </c>
      <c r="C5047" s="2" t="s">
        <v>4222</v>
      </c>
      <c r="D5047" s="2" t="s">
        <v>28</v>
      </c>
      <c r="E5047" s="2" t="s">
        <v>29</v>
      </c>
      <c r="F5047" s="2">
        <v>60</v>
      </c>
      <c r="G5047" s="2" t="s">
        <v>10347</v>
      </c>
      <c r="H5047" s="2" t="s">
        <v>1880</v>
      </c>
      <c r="I5047" s="2" t="s">
        <v>32</v>
      </c>
      <c r="J5047" s="3">
        <v>44143</v>
      </c>
      <c r="K5047" s="2">
        <v>20</v>
      </c>
      <c r="L5047" s="2" t="s">
        <v>101</v>
      </c>
      <c r="M5047" s="3"/>
    </row>
    <row r="5048" spans="1:13" x14ac:dyDescent="0.3">
      <c r="A5048" s="2">
        <v>5047</v>
      </c>
      <c r="B5048" s="2" t="s">
        <v>7104</v>
      </c>
      <c r="C5048" s="2" t="s">
        <v>4222</v>
      </c>
      <c r="D5048" s="2" t="s">
        <v>28</v>
      </c>
      <c r="E5048" s="2" t="s">
        <v>29</v>
      </c>
      <c r="F5048" s="2">
        <v>60</v>
      </c>
      <c r="G5048" s="2" t="s">
        <v>10347</v>
      </c>
      <c r="H5048" s="2" t="s">
        <v>1880</v>
      </c>
      <c r="I5048" s="2" t="s">
        <v>32</v>
      </c>
      <c r="J5048" s="3">
        <v>44143</v>
      </c>
      <c r="K5048" s="2">
        <v>20</v>
      </c>
      <c r="L5048" s="2" t="s">
        <v>101</v>
      </c>
      <c r="M5048" s="3"/>
    </row>
    <row r="5049" spans="1:13" x14ac:dyDescent="0.3">
      <c r="A5049" s="2">
        <v>5048</v>
      </c>
      <c r="B5049" s="2" t="s">
        <v>10348</v>
      </c>
      <c r="C5049" s="2" t="s">
        <v>1741</v>
      </c>
      <c r="D5049" s="2" t="s">
        <v>15</v>
      </c>
      <c r="E5049" s="2" t="s">
        <v>16</v>
      </c>
      <c r="F5049" s="2">
        <v>30</v>
      </c>
      <c r="G5049" s="2" t="s">
        <v>10349</v>
      </c>
      <c r="H5049" s="2" t="s">
        <v>1310</v>
      </c>
      <c r="I5049" s="2" t="s">
        <v>1311</v>
      </c>
      <c r="J5049" s="3">
        <v>43885</v>
      </c>
      <c r="K5049" s="2">
        <v>36</v>
      </c>
      <c r="L5049" s="2" t="s">
        <v>159</v>
      </c>
      <c r="M5049" s="3"/>
    </row>
    <row r="5050" spans="1:13" x14ac:dyDescent="0.3">
      <c r="A5050" s="2">
        <v>5049</v>
      </c>
      <c r="B5050" s="2" t="s">
        <v>4946</v>
      </c>
      <c r="C5050" s="2" t="s">
        <v>9475</v>
      </c>
      <c r="D5050" s="2" t="s">
        <v>28</v>
      </c>
      <c r="E5050" s="2" t="s">
        <v>29</v>
      </c>
      <c r="F5050" s="2">
        <v>90</v>
      </c>
      <c r="G5050" s="2" t="s">
        <v>10350</v>
      </c>
      <c r="H5050" s="2" t="s">
        <v>6778</v>
      </c>
      <c r="I5050" s="2" t="s">
        <v>38</v>
      </c>
      <c r="J5050" s="3">
        <v>44860</v>
      </c>
      <c r="K5050" s="2">
        <v>50</v>
      </c>
      <c r="L5050" s="2" t="s">
        <v>70</v>
      </c>
      <c r="M5050" s="3"/>
    </row>
    <row r="5051" spans="1:13" x14ac:dyDescent="0.3">
      <c r="A5051" s="2">
        <v>5050</v>
      </c>
      <c r="B5051" s="2" t="s">
        <v>10351</v>
      </c>
      <c r="C5051" s="2" t="s">
        <v>1832</v>
      </c>
      <c r="D5051" s="2" t="s">
        <v>92</v>
      </c>
      <c r="E5051" s="2" t="s">
        <v>16</v>
      </c>
      <c r="F5051" s="2">
        <v>60</v>
      </c>
      <c r="G5051" s="2" t="s">
        <v>10352</v>
      </c>
      <c r="H5051" s="2" t="s">
        <v>974</v>
      </c>
      <c r="I5051" s="2" t="s">
        <v>32</v>
      </c>
      <c r="J5051" s="3">
        <v>44562</v>
      </c>
      <c r="K5051" s="2">
        <v>28</v>
      </c>
      <c r="L5051" s="2" t="s">
        <v>64</v>
      </c>
      <c r="M5051" s="3"/>
    </row>
    <row r="5052" spans="1:13" x14ac:dyDescent="0.3">
      <c r="A5052" s="2">
        <v>5051</v>
      </c>
      <c r="B5052" s="2" t="s">
        <v>10353</v>
      </c>
      <c r="C5052" s="2" t="s">
        <v>5926</v>
      </c>
      <c r="D5052" s="2" t="s">
        <v>51</v>
      </c>
      <c r="E5052" s="2" t="s">
        <v>16</v>
      </c>
      <c r="F5052" s="2">
        <v>60</v>
      </c>
      <c r="G5052" s="2" t="s">
        <v>10354</v>
      </c>
      <c r="H5052" s="2" t="s">
        <v>7151</v>
      </c>
      <c r="I5052" s="2" t="s">
        <v>38</v>
      </c>
      <c r="J5052" s="3">
        <v>44219</v>
      </c>
      <c r="K5052" s="2">
        <v>75</v>
      </c>
      <c r="L5052" s="2" t="s">
        <v>70</v>
      </c>
      <c r="M5052" s="3"/>
    </row>
    <row r="5053" spans="1:13" x14ac:dyDescent="0.3">
      <c r="A5053" s="2">
        <v>5052</v>
      </c>
      <c r="B5053" s="2" t="s">
        <v>824</v>
      </c>
      <c r="C5053" s="2" t="s">
        <v>3301</v>
      </c>
      <c r="D5053" s="2" t="s">
        <v>28</v>
      </c>
      <c r="E5053" s="2" t="s">
        <v>29</v>
      </c>
      <c r="F5053" s="2">
        <v>30</v>
      </c>
      <c r="G5053" s="2" t="s">
        <v>10355</v>
      </c>
      <c r="H5053" s="2" t="s">
        <v>2799</v>
      </c>
      <c r="I5053" s="2" t="s">
        <v>32</v>
      </c>
      <c r="J5053" s="3">
        <v>44615</v>
      </c>
      <c r="K5053" s="2">
        <v>12</v>
      </c>
      <c r="L5053" s="2" t="s">
        <v>70</v>
      </c>
      <c r="M5053" s="3"/>
    </row>
    <row r="5054" spans="1:13" x14ac:dyDescent="0.3">
      <c r="A5054" s="2">
        <v>5053</v>
      </c>
      <c r="B5054" s="2" t="s">
        <v>2027</v>
      </c>
      <c r="C5054" s="2" t="s">
        <v>10356</v>
      </c>
      <c r="D5054" s="2" t="s">
        <v>51</v>
      </c>
      <c r="E5054" s="2" t="s">
        <v>16</v>
      </c>
      <c r="F5054" s="2">
        <v>90</v>
      </c>
      <c r="G5054" s="2" t="s">
        <v>10357</v>
      </c>
      <c r="H5054" s="2" t="s">
        <v>2021</v>
      </c>
      <c r="I5054" s="2" t="s">
        <v>2022</v>
      </c>
      <c r="J5054" s="3">
        <v>44223</v>
      </c>
      <c r="K5054" s="2">
        <v>74</v>
      </c>
      <c r="L5054" s="2" t="s">
        <v>33</v>
      </c>
      <c r="M5054" s="3"/>
    </row>
    <row r="5055" spans="1:13" x14ac:dyDescent="0.3">
      <c r="A5055" s="2">
        <v>5054</v>
      </c>
      <c r="B5055" s="2" t="s">
        <v>196</v>
      </c>
      <c r="C5055" s="2" t="s">
        <v>4504</v>
      </c>
      <c r="D5055" s="2" t="s">
        <v>28</v>
      </c>
      <c r="E5055" s="2" t="s">
        <v>29</v>
      </c>
      <c r="F5055" s="2">
        <v>60</v>
      </c>
      <c r="G5055" s="2" t="s">
        <v>10358</v>
      </c>
      <c r="H5055" s="2" t="s">
        <v>2376</v>
      </c>
      <c r="I5055" s="2" t="s">
        <v>32</v>
      </c>
      <c r="J5055" s="3">
        <v>44166</v>
      </c>
      <c r="K5055" s="2">
        <v>55</v>
      </c>
      <c r="L5055" s="2" t="s">
        <v>33</v>
      </c>
      <c r="M5055" s="3"/>
    </row>
    <row r="5056" spans="1:13" x14ac:dyDescent="0.3">
      <c r="A5056" s="2">
        <v>5055</v>
      </c>
      <c r="B5056" s="2" t="s">
        <v>10359</v>
      </c>
      <c r="C5056" s="2" t="s">
        <v>2841</v>
      </c>
      <c r="D5056" s="2" t="s">
        <v>15</v>
      </c>
      <c r="E5056" s="2" t="s">
        <v>16</v>
      </c>
      <c r="F5056" s="2">
        <v>90</v>
      </c>
      <c r="G5056" s="2" t="s">
        <v>10360</v>
      </c>
      <c r="H5056" s="2" t="s">
        <v>3764</v>
      </c>
      <c r="I5056" s="2" t="s">
        <v>32</v>
      </c>
      <c r="J5056" s="3">
        <v>44656</v>
      </c>
      <c r="K5056" s="2">
        <v>8</v>
      </c>
      <c r="L5056" s="2" t="s">
        <v>45</v>
      </c>
      <c r="M5056" s="3"/>
    </row>
    <row r="5057" spans="1:13" x14ac:dyDescent="0.3">
      <c r="A5057" s="2">
        <v>5056</v>
      </c>
      <c r="B5057" s="2" t="s">
        <v>10361</v>
      </c>
      <c r="C5057" s="2" t="s">
        <v>9953</v>
      </c>
      <c r="D5057" s="2" t="s">
        <v>41</v>
      </c>
      <c r="E5057" s="2" t="s">
        <v>16</v>
      </c>
      <c r="F5057" s="2">
        <v>60</v>
      </c>
      <c r="G5057" s="2" t="s">
        <v>10362</v>
      </c>
      <c r="H5057" s="2" t="s">
        <v>7768</v>
      </c>
      <c r="I5057" s="2" t="s">
        <v>19</v>
      </c>
      <c r="J5057" s="3">
        <v>43960</v>
      </c>
      <c r="K5057" s="2">
        <v>36</v>
      </c>
      <c r="L5057" s="2" t="s">
        <v>20</v>
      </c>
      <c r="M5057" s="3"/>
    </row>
    <row r="5058" spans="1:13" x14ac:dyDescent="0.3">
      <c r="A5058" s="2">
        <v>5057</v>
      </c>
      <c r="B5058" s="2" t="s">
        <v>10363</v>
      </c>
      <c r="C5058" s="2" t="s">
        <v>1439</v>
      </c>
      <c r="D5058" s="2" t="s">
        <v>15</v>
      </c>
      <c r="E5058" s="2" t="s">
        <v>16</v>
      </c>
      <c r="F5058" s="2">
        <v>30</v>
      </c>
      <c r="G5058" s="2" t="s">
        <v>10364</v>
      </c>
      <c r="H5058" s="2" t="s">
        <v>6479</v>
      </c>
      <c r="I5058" s="2" t="s">
        <v>187</v>
      </c>
      <c r="J5058" s="3">
        <v>44606</v>
      </c>
      <c r="K5058" s="2">
        <v>22</v>
      </c>
      <c r="L5058" s="2" t="s">
        <v>39</v>
      </c>
      <c r="M5058" s="3"/>
    </row>
    <row r="5059" spans="1:13" x14ac:dyDescent="0.3">
      <c r="A5059" s="2">
        <v>5058</v>
      </c>
      <c r="B5059" s="2" t="s">
        <v>4372</v>
      </c>
      <c r="C5059" s="2" t="s">
        <v>2402</v>
      </c>
      <c r="D5059" s="2" t="s">
        <v>28</v>
      </c>
      <c r="E5059" s="2" t="s">
        <v>29</v>
      </c>
      <c r="F5059" s="2">
        <v>90</v>
      </c>
      <c r="G5059" s="2" t="s">
        <v>10365</v>
      </c>
      <c r="H5059" s="2" t="s">
        <v>4285</v>
      </c>
      <c r="I5059" s="2" t="s">
        <v>124</v>
      </c>
      <c r="J5059" s="3">
        <v>43898</v>
      </c>
      <c r="K5059" s="2">
        <v>58</v>
      </c>
      <c r="L5059" s="2" t="s">
        <v>20</v>
      </c>
      <c r="M5059" s="3"/>
    </row>
    <row r="5060" spans="1:13" x14ac:dyDescent="0.3">
      <c r="A5060" s="2">
        <v>5059</v>
      </c>
      <c r="B5060" s="2" t="s">
        <v>1229</v>
      </c>
      <c r="C5060" s="2" t="s">
        <v>589</v>
      </c>
      <c r="D5060" s="2" t="s">
        <v>28</v>
      </c>
      <c r="E5060" s="2" t="s">
        <v>29</v>
      </c>
      <c r="F5060" s="2">
        <v>30</v>
      </c>
      <c r="G5060" s="2" t="s">
        <v>10365</v>
      </c>
      <c r="H5060" s="2" t="s">
        <v>3678</v>
      </c>
      <c r="I5060" s="2" t="s">
        <v>32</v>
      </c>
      <c r="J5060" s="3">
        <v>44618</v>
      </c>
      <c r="K5060" s="2">
        <v>50</v>
      </c>
      <c r="L5060" s="2" t="s">
        <v>70</v>
      </c>
      <c r="M5060" s="3"/>
    </row>
    <row r="5061" spans="1:13" x14ac:dyDescent="0.3">
      <c r="A5061" s="2">
        <v>5060</v>
      </c>
      <c r="B5061" s="2" t="s">
        <v>2398</v>
      </c>
      <c r="C5061" s="2" t="s">
        <v>2653</v>
      </c>
      <c r="D5061" s="2" t="s">
        <v>15</v>
      </c>
      <c r="E5061" s="2" t="s">
        <v>16</v>
      </c>
      <c r="F5061" s="2">
        <v>60</v>
      </c>
      <c r="G5061" s="2" t="s">
        <v>10366</v>
      </c>
      <c r="H5061" s="2" t="s">
        <v>137</v>
      </c>
      <c r="I5061" s="2" t="s">
        <v>32</v>
      </c>
      <c r="J5061" s="3">
        <v>44452</v>
      </c>
      <c r="K5061" s="2">
        <v>63</v>
      </c>
      <c r="L5061" s="2" t="s">
        <v>39</v>
      </c>
      <c r="M5061" s="3"/>
    </row>
    <row r="5062" spans="1:13" x14ac:dyDescent="0.3">
      <c r="A5062" s="2">
        <v>5061</v>
      </c>
      <c r="B5062" s="2" t="s">
        <v>10367</v>
      </c>
      <c r="C5062" s="2" t="s">
        <v>143</v>
      </c>
      <c r="D5062" s="2" t="s">
        <v>15</v>
      </c>
      <c r="E5062" s="2" t="s">
        <v>16</v>
      </c>
      <c r="F5062" s="2">
        <v>30</v>
      </c>
      <c r="G5062" s="2" t="s">
        <v>10368</v>
      </c>
      <c r="H5062" s="2" t="s">
        <v>5634</v>
      </c>
      <c r="I5062" s="2" t="s">
        <v>32</v>
      </c>
      <c r="J5062" s="3">
        <v>44228</v>
      </c>
      <c r="K5062" s="2">
        <v>20</v>
      </c>
      <c r="L5062" s="2" t="s">
        <v>64</v>
      </c>
      <c r="M5062" s="3"/>
    </row>
    <row r="5063" spans="1:13" x14ac:dyDescent="0.3">
      <c r="A5063" s="2">
        <v>5062</v>
      </c>
      <c r="B5063" s="2" t="s">
        <v>7678</v>
      </c>
      <c r="C5063" s="2" t="s">
        <v>1851</v>
      </c>
      <c r="D5063" s="2" t="s">
        <v>28</v>
      </c>
      <c r="E5063" s="2" t="s">
        <v>29</v>
      </c>
      <c r="F5063" s="2">
        <v>60</v>
      </c>
      <c r="G5063" s="2" t="s">
        <v>10369</v>
      </c>
      <c r="H5063" s="2" t="s">
        <v>2673</v>
      </c>
      <c r="I5063" s="2" t="s">
        <v>19</v>
      </c>
      <c r="J5063" s="3">
        <v>44456</v>
      </c>
      <c r="K5063" s="2">
        <v>51</v>
      </c>
      <c r="L5063" s="2" t="s">
        <v>39</v>
      </c>
      <c r="M5063" s="3"/>
    </row>
    <row r="5064" spans="1:13" x14ac:dyDescent="0.3">
      <c r="A5064" s="2">
        <v>5063</v>
      </c>
      <c r="B5064" s="2" t="s">
        <v>10370</v>
      </c>
      <c r="C5064" s="2" t="s">
        <v>1638</v>
      </c>
      <c r="D5064" s="2" t="s">
        <v>28</v>
      </c>
      <c r="E5064" s="2" t="s">
        <v>29</v>
      </c>
      <c r="F5064" s="2">
        <v>60</v>
      </c>
      <c r="G5064" s="2" t="s">
        <v>10371</v>
      </c>
      <c r="H5064" s="2" t="s">
        <v>1674</v>
      </c>
      <c r="I5064" s="2" t="s">
        <v>25</v>
      </c>
      <c r="J5064" s="3">
        <v>44532</v>
      </c>
      <c r="K5064" s="2">
        <v>86</v>
      </c>
      <c r="L5064" s="2" t="s">
        <v>70</v>
      </c>
      <c r="M5064" s="3"/>
    </row>
    <row r="5065" spans="1:13" x14ac:dyDescent="0.3">
      <c r="A5065" s="2">
        <v>5064</v>
      </c>
      <c r="B5065" s="2" t="s">
        <v>2690</v>
      </c>
      <c r="C5065" s="2" t="s">
        <v>7062</v>
      </c>
      <c r="D5065" s="2" t="s">
        <v>28</v>
      </c>
      <c r="E5065" s="2" t="s">
        <v>29</v>
      </c>
      <c r="F5065" s="2">
        <v>90</v>
      </c>
      <c r="G5065" s="2" t="s">
        <v>10372</v>
      </c>
      <c r="H5065" s="2" t="s">
        <v>4451</v>
      </c>
      <c r="I5065" s="2" t="s">
        <v>32</v>
      </c>
      <c r="J5065" s="3">
        <v>44787</v>
      </c>
      <c r="K5065" s="2">
        <v>39</v>
      </c>
      <c r="L5065" s="2" t="s">
        <v>20</v>
      </c>
      <c r="M5065" s="3"/>
    </row>
    <row r="5066" spans="1:13" x14ac:dyDescent="0.3">
      <c r="A5066" s="2">
        <v>5065</v>
      </c>
      <c r="B5066" s="2" t="s">
        <v>6874</v>
      </c>
      <c r="C5066" s="2" t="s">
        <v>4121</v>
      </c>
      <c r="D5066" s="2" t="s">
        <v>51</v>
      </c>
      <c r="E5066" s="2" t="s">
        <v>16</v>
      </c>
      <c r="F5066" s="2">
        <v>90</v>
      </c>
      <c r="G5066" s="2" t="s">
        <v>10373</v>
      </c>
      <c r="H5066" s="2" t="s">
        <v>1334</v>
      </c>
      <c r="I5066" s="2" t="s">
        <v>38</v>
      </c>
      <c r="J5066" s="3">
        <v>44352</v>
      </c>
      <c r="K5066" s="2">
        <v>86</v>
      </c>
      <c r="L5066" s="2" t="s">
        <v>70</v>
      </c>
      <c r="M5066" s="3"/>
    </row>
    <row r="5067" spans="1:13" x14ac:dyDescent="0.3">
      <c r="A5067" s="2">
        <v>5066</v>
      </c>
      <c r="B5067" s="2" t="s">
        <v>10374</v>
      </c>
      <c r="C5067" s="2" t="s">
        <v>4596</v>
      </c>
      <c r="D5067" s="2" t="s">
        <v>51</v>
      </c>
      <c r="E5067" s="2" t="s">
        <v>16</v>
      </c>
      <c r="F5067" s="2">
        <v>30</v>
      </c>
      <c r="G5067" s="2" t="s">
        <v>10373</v>
      </c>
      <c r="H5067" s="2" t="s">
        <v>389</v>
      </c>
      <c r="I5067" s="2" t="s">
        <v>32</v>
      </c>
      <c r="J5067" s="3">
        <v>44756</v>
      </c>
      <c r="K5067" s="2">
        <v>52</v>
      </c>
      <c r="L5067" s="2" t="s">
        <v>64</v>
      </c>
      <c r="M5067" s="3"/>
    </row>
    <row r="5068" spans="1:13" x14ac:dyDescent="0.3">
      <c r="A5068" s="2">
        <v>5067</v>
      </c>
      <c r="B5068" s="2" t="s">
        <v>1602</v>
      </c>
      <c r="C5068" s="2" t="s">
        <v>4681</v>
      </c>
      <c r="D5068" s="2" t="s">
        <v>28</v>
      </c>
      <c r="E5068" s="2" t="s">
        <v>29</v>
      </c>
      <c r="F5068" s="2">
        <v>90</v>
      </c>
      <c r="G5068" s="2" t="s">
        <v>10375</v>
      </c>
      <c r="H5068" s="2" t="s">
        <v>694</v>
      </c>
      <c r="I5068" s="2" t="s">
        <v>32</v>
      </c>
      <c r="J5068" s="3">
        <v>44051</v>
      </c>
      <c r="K5068" s="2">
        <v>39</v>
      </c>
      <c r="L5068" s="2" t="s">
        <v>64</v>
      </c>
      <c r="M5068" s="3"/>
    </row>
    <row r="5069" spans="1:13" x14ac:dyDescent="0.3">
      <c r="A5069" s="2">
        <v>5068</v>
      </c>
      <c r="B5069" s="2" t="s">
        <v>4977</v>
      </c>
      <c r="C5069" s="2" t="s">
        <v>6226</v>
      </c>
      <c r="D5069" s="2" t="s">
        <v>51</v>
      </c>
      <c r="E5069" s="2" t="s">
        <v>16</v>
      </c>
      <c r="F5069" s="2">
        <v>90</v>
      </c>
      <c r="G5069" s="2" t="s">
        <v>10376</v>
      </c>
      <c r="H5069" s="2" t="s">
        <v>9609</v>
      </c>
      <c r="I5069" s="2" t="s">
        <v>19</v>
      </c>
      <c r="J5069" s="3">
        <v>44344</v>
      </c>
      <c r="K5069" s="2">
        <v>95</v>
      </c>
      <c r="L5069" s="2" t="s">
        <v>39</v>
      </c>
      <c r="M5069" s="3"/>
    </row>
    <row r="5070" spans="1:13" x14ac:dyDescent="0.3">
      <c r="A5070" s="2">
        <v>5069</v>
      </c>
      <c r="B5070" s="2" t="s">
        <v>3225</v>
      </c>
      <c r="C5070" s="2" t="s">
        <v>10377</v>
      </c>
      <c r="D5070" s="2" t="s">
        <v>51</v>
      </c>
      <c r="E5070" s="2" t="s">
        <v>16</v>
      </c>
      <c r="F5070" s="2">
        <v>30</v>
      </c>
      <c r="G5070" s="2" t="s">
        <v>10378</v>
      </c>
      <c r="H5070" s="2" t="s">
        <v>8019</v>
      </c>
      <c r="I5070" s="2" t="s">
        <v>32</v>
      </c>
      <c r="J5070" s="3">
        <v>44628</v>
      </c>
      <c r="K5070" s="2">
        <v>81</v>
      </c>
      <c r="L5070" s="2" t="s">
        <v>159</v>
      </c>
      <c r="M5070" s="3"/>
    </row>
    <row r="5071" spans="1:13" x14ac:dyDescent="0.3">
      <c r="A5071" s="2">
        <v>5070</v>
      </c>
      <c r="B5071" s="2" t="s">
        <v>1509</v>
      </c>
      <c r="C5071" s="2" t="s">
        <v>6922</v>
      </c>
      <c r="D5071" s="2" t="s">
        <v>28</v>
      </c>
      <c r="E5071" s="2" t="s">
        <v>29</v>
      </c>
      <c r="F5071" s="2">
        <v>60</v>
      </c>
      <c r="G5071" s="2" t="s">
        <v>10379</v>
      </c>
      <c r="H5071" s="2" t="s">
        <v>5974</v>
      </c>
      <c r="I5071" s="2" t="s">
        <v>19</v>
      </c>
      <c r="J5071" s="3">
        <v>44101</v>
      </c>
      <c r="K5071" s="2">
        <v>64</v>
      </c>
      <c r="L5071" s="2" t="s">
        <v>39</v>
      </c>
      <c r="M5071" s="3"/>
    </row>
    <row r="5072" spans="1:13" x14ac:dyDescent="0.3">
      <c r="A5072" s="2">
        <v>5071</v>
      </c>
      <c r="B5072" s="2" t="s">
        <v>2206</v>
      </c>
      <c r="C5072" s="2" t="s">
        <v>1672</v>
      </c>
      <c r="D5072" s="2" t="s">
        <v>28</v>
      </c>
      <c r="E5072" s="2" t="s">
        <v>29</v>
      </c>
      <c r="F5072" s="2">
        <v>90</v>
      </c>
      <c r="G5072" s="2" t="s">
        <v>10380</v>
      </c>
      <c r="H5072" s="2" t="s">
        <v>7598</v>
      </c>
      <c r="I5072" s="2" t="s">
        <v>187</v>
      </c>
      <c r="J5072" s="3">
        <v>44705</v>
      </c>
      <c r="K5072" s="2">
        <v>42</v>
      </c>
      <c r="L5072" s="2" t="s">
        <v>39</v>
      </c>
      <c r="M5072" s="3"/>
    </row>
    <row r="5073" spans="1:13" x14ac:dyDescent="0.3">
      <c r="A5073" s="2">
        <v>5072</v>
      </c>
      <c r="B5073" s="2" t="s">
        <v>10381</v>
      </c>
      <c r="C5073" s="2" t="s">
        <v>7253</v>
      </c>
      <c r="D5073" s="2" t="s">
        <v>15</v>
      </c>
      <c r="E5073" s="2" t="s">
        <v>5821</v>
      </c>
      <c r="F5073" s="2">
        <v>30</v>
      </c>
      <c r="G5073" s="2" t="s">
        <v>10382</v>
      </c>
      <c r="H5073" s="2" t="s">
        <v>5248</v>
      </c>
      <c r="I5073" s="2" t="s">
        <v>32</v>
      </c>
      <c r="J5073" s="3">
        <v>44153</v>
      </c>
      <c r="K5073" s="2">
        <v>20</v>
      </c>
      <c r="L5073" s="2" t="s">
        <v>45</v>
      </c>
      <c r="M5073" s="3"/>
    </row>
    <row r="5074" spans="1:13" x14ac:dyDescent="0.3">
      <c r="A5074" s="2">
        <v>5073</v>
      </c>
      <c r="B5074" s="2" t="s">
        <v>9496</v>
      </c>
      <c r="C5074" s="2" t="s">
        <v>10051</v>
      </c>
      <c r="D5074" s="2" t="s">
        <v>28</v>
      </c>
      <c r="F5074" s="2">
        <v>60</v>
      </c>
      <c r="G5074" s="2" t="s">
        <v>10383</v>
      </c>
      <c r="H5074" s="2" t="s">
        <v>1253</v>
      </c>
      <c r="I5074" s="2" t="s">
        <v>32</v>
      </c>
      <c r="J5074" s="3">
        <v>44671</v>
      </c>
      <c r="K5074" s="2">
        <v>64</v>
      </c>
      <c r="L5074" s="2" t="s">
        <v>20</v>
      </c>
      <c r="M5074" s="3"/>
    </row>
    <row r="5075" spans="1:13" x14ac:dyDescent="0.3">
      <c r="A5075" s="2">
        <v>5074</v>
      </c>
      <c r="B5075" s="2" t="s">
        <v>1703</v>
      </c>
      <c r="C5075" s="2" t="s">
        <v>3439</v>
      </c>
      <c r="D5075" s="2" t="s">
        <v>28</v>
      </c>
      <c r="E5075" s="2" t="s">
        <v>29</v>
      </c>
      <c r="F5075" s="2">
        <v>30</v>
      </c>
      <c r="G5075" s="2" t="s">
        <v>10384</v>
      </c>
      <c r="H5075" s="2" t="s">
        <v>6312</v>
      </c>
      <c r="I5075" s="2" t="s">
        <v>173</v>
      </c>
      <c r="J5075" s="3">
        <v>43872</v>
      </c>
      <c r="K5075" s="2">
        <v>39</v>
      </c>
      <c r="L5075" s="2" t="s">
        <v>64</v>
      </c>
      <c r="M5075" s="3"/>
    </row>
    <row r="5076" spans="1:13" x14ac:dyDescent="0.3">
      <c r="A5076" s="2">
        <v>5075</v>
      </c>
      <c r="B5076" s="2" t="s">
        <v>9394</v>
      </c>
      <c r="C5076" s="2" t="s">
        <v>5084</v>
      </c>
      <c r="D5076" s="2" t="s">
        <v>117</v>
      </c>
      <c r="E5076" s="2" t="s">
        <v>29</v>
      </c>
      <c r="F5076" s="2">
        <v>90</v>
      </c>
      <c r="G5076" s="2" t="s">
        <v>10384</v>
      </c>
      <c r="H5076" s="2" t="s">
        <v>2152</v>
      </c>
      <c r="I5076" s="2" t="s">
        <v>32</v>
      </c>
      <c r="J5076" s="3">
        <v>44425</v>
      </c>
      <c r="K5076" s="2">
        <v>88</v>
      </c>
      <c r="L5076" s="2" t="s">
        <v>64</v>
      </c>
      <c r="M5076" s="3"/>
    </row>
    <row r="5077" spans="1:13" x14ac:dyDescent="0.3">
      <c r="A5077" s="2">
        <v>5076</v>
      </c>
      <c r="B5077" s="2" t="s">
        <v>10385</v>
      </c>
      <c r="C5077" s="2" t="s">
        <v>4026</v>
      </c>
      <c r="D5077" s="2" t="s">
        <v>41</v>
      </c>
      <c r="E5077" s="2" t="s">
        <v>16</v>
      </c>
      <c r="F5077" s="2">
        <v>30</v>
      </c>
      <c r="G5077" s="2" t="s">
        <v>10386</v>
      </c>
      <c r="H5077" s="2" t="s">
        <v>137</v>
      </c>
      <c r="I5077" s="2" t="s">
        <v>32</v>
      </c>
      <c r="J5077" s="3">
        <v>44016</v>
      </c>
      <c r="K5077" s="2">
        <v>15</v>
      </c>
      <c r="L5077" s="2" t="s">
        <v>80</v>
      </c>
      <c r="M5077" s="3"/>
    </row>
    <row r="5078" spans="1:13" x14ac:dyDescent="0.3">
      <c r="A5078" s="2">
        <v>5077</v>
      </c>
      <c r="B5078" s="2" t="s">
        <v>10385</v>
      </c>
      <c r="C5078" s="2" t="s">
        <v>4026</v>
      </c>
      <c r="D5078" s="2" t="s">
        <v>41</v>
      </c>
      <c r="E5078" s="2" t="s">
        <v>16</v>
      </c>
      <c r="F5078" s="2">
        <v>30</v>
      </c>
      <c r="G5078" s="2" t="s">
        <v>10386</v>
      </c>
      <c r="H5078" s="2" t="s">
        <v>137</v>
      </c>
      <c r="I5078" s="2" t="s">
        <v>32</v>
      </c>
      <c r="J5078" s="3">
        <v>44016</v>
      </c>
      <c r="K5078" s="2">
        <v>15</v>
      </c>
      <c r="L5078" s="2" t="s">
        <v>80</v>
      </c>
      <c r="M5078" s="3"/>
    </row>
    <row r="5079" spans="1:13" x14ac:dyDescent="0.3">
      <c r="A5079" s="2">
        <v>5078</v>
      </c>
      <c r="B5079" s="2" t="s">
        <v>10387</v>
      </c>
      <c r="C5079" s="2" t="s">
        <v>3352</v>
      </c>
      <c r="D5079" s="2" t="s">
        <v>15</v>
      </c>
      <c r="E5079" s="2" t="s">
        <v>16</v>
      </c>
      <c r="F5079" s="2">
        <v>90</v>
      </c>
      <c r="G5079" s="2" t="s">
        <v>10388</v>
      </c>
      <c r="H5079" s="2" t="s">
        <v>4056</v>
      </c>
      <c r="I5079" s="2" t="s">
        <v>124</v>
      </c>
      <c r="J5079" s="3">
        <v>44714</v>
      </c>
      <c r="K5079" s="2">
        <v>98</v>
      </c>
      <c r="L5079" s="2" t="s">
        <v>54</v>
      </c>
      <c r="M5079" s="3"/>
    </row>
    <row r="5080" spans="1:13" x14ac:dyDescent="0.3">
      <c r="A5080" s="2">
        <v>5079</v>
      </c>
      <c r="B5080" s="2" t="s">
        <v>2731</v>
      </c>
      <c r="C5080" s="2" t="s">
        <v>3922</v>
      </c>
      <c r="D5080" s="2" t="s">
        <v>28</v>
      </c>
      <c r="E5080" s="2" t="s">
        <v>29</v>
      </c>
      <c r="F5080" s="2">
        <v>90</v>
      </c>
      <c r="G5080" s="2" t="s">
        <v>10389</v>
      </c>
      <c r="H5080" s="2" t="s">
        <v>2436</v>
      </c>
      <c r="I5080" s="2" t="s">
        <v>294</v>
      </c>
      <c r="J5080" s="3">
        <v>44191</v>
      </c>
      <c r="K5080" s="2">
        <v>44</v>
      </c>
      <c r="L5080" s="2" t="s">
        <v>101</v>
      </c>
      <c r="M5080" s="3"/>
    </row>
    <row r="5081" spans="1:13" x14ac:dyDescent="0.3">
      <c r="A5081" s="2">
        <v>5080</v>
      </c>
      <c r="B5081" s="2" t="s">
        <v>10390</v>
      </c>
      <c r="C5081" s="2" t="s">
        <v>4173</v>
      </c>
      <c r="D5081" s="2" t="s">
        <v>51</v>
      </c>
      <c r="E5081" s="2" t="s">
        <v>16</v>
      </c>
      <c r="F5081" s="2">
        <v>60</v>
      </c>
      <c r="G5081" s="2" t="s">
        <v>10391</v>
      </c>
      <c r="H5081" s="2" t="s">
        <v>298</v>
      </c>
      <c r="I5081" s="2" t="s">
        <v>25</v>
      </c>
      <c r="J5081" s="3">
        <v>44679</v>
      </c>
      <c r="K5081" s="2">
        <v>87</v>
      </c>
      <c r="L5081" s="2" t="s">
        <v>39</v>
      </c>
      <c r="M5081" s="3"/>
    </row>
    <row r="5082" spans="1:13" x14ac:dyDescent="0.3">
      <c r="A5082" s="2">
        <v>5081</v>
      </c>
      <c r="B5082" s="2" t="s">
        <v>10392</v>
      </c>
      <c r="C5082" s="2" t="s">
        <v>3911</v>
      </c>
      <c r="D5082" s="2" t="s">
        <v>51</v>
      </c>
      <c r="E5082" s="2" t="s">
        <v>16</v>
      </c>
      <c r="F5082" s="2">
        <v>90</v>
      </c>
      <c r="G5082" s="2" t="s">
        <v>10393</v>
      </c>
      <c r="H5082" s="2" t="s">
        <v>522</v>
      </c>
      <c r="I5082" s="2" t="s">
        <v>32</v>
      </c>
      <c r="J5082" s="3">
        <v>43887</v>
      </c>
      <c r="K5082" s="2">
        <v>76</v>
      </c>
      <c r="L5082" s="2" t="s">
        <v>101</v>
      </c>
      <c r="M5082" s="3"/>
    </row>
    <row r="5083" spans="1:13" x14ac:dyDescent="0.3">
      <c r="A5083" s="2">
        <v>5082</v>
      </c>
      <c r="B5083" s="2" t="s">
        <v>4307</v>
      </c>
      <c r="C5083" s="2" t="s">
        <v>6638</v>
      </c>
      <c r="D5083" s="2" t="s">
        <v>51</v>
      </c>
      <c r="E5083" s="2" t="s">
        <v>16</v>
      </c>
      <c r="F5083" s="2">
        <v>60</v>
      </c>
      <c r="G5083" s="2" t="s">
        <v>10394</v>
      </c>
      <c r="H5083" s="2" t="s">
        <v>150</v>
      </c>
      <c r="I5083" s="2" t="s">
        <v>110</v>
      </c>
      <c r="J5083" s="3">
        <v>44403</v>
      </c>
      <c r="K5083" s="2">
        <v>50</v>
      </c>
      <c r="L5083" s="2" t="s">
        <v>20</v>
      </c>
      <c r="M5083" s="3"/>
    </row>
    <row r="5084" spans="1:13" x14ac:dyDescent="0.3">
      <c r="A5084" s="2">
        <v>5083</v>
      </c>
      <c r="B5084" s="2" t="s">
        <v>5088</v>
      </c>
      <c r="C5084" s="2" t="s">
        <v>7953</v>
      </c>
      <c r="D5084" s="2" t="s">
        <v>28</v>
      </c>
      <c r="E5084" s="2" t="s">
        <v>29</v>
      </c>
      <c r="F5084" s="2">
        <v>90</v>
      </c>
      <c r="G5084" s="2" t="s">
        <v>10394</v>
      </c>
      <c r="H5084" s="2" t="s">
        <v>1791</v>
      </c>
      <c r="I5084" s="2" t="s">
        <v>32</v>
      </c>
      <c r="J5084" s="3">
        <v>44431</v>
      </c>
      <c r="K5084" s="2">
        <v>87</v>
      </c>
      <c r="L5084" s="2" t="s">
        <v>45</v>
      </c>
      <c r="M5084" s="3"/>
    </row>
    <row r="5085" spans="1:13" x14ac:dyDescent="0.3">
      <c r="A5085" s="2">
        <v>5084</v>
      </c>
      <c r="B5085" s="2" t="s">
        <v>3588</v>
      </c>
      <c r="C5085" s="2" t="s">
        <v>10395</v>
      </c>
      <c r="D5085" s="2" t="s">
        <v>28</v>
      </c>
      <c r="E5085" s="2" t="s">
        <v>29</v>
      </c>
      <c r="F5085" s="2">
        <v>30</v>
      </c>
      <c r="G5085" s="2" t="s">
        <v>10396</v>
      </c>
      <c r="H5085" s="2" t="s">
        <v>3882</v>
      </c>
      <c r="I5085" s="2" t="s">
        <v>38</v>
      </c>
      <c r="J5085" s="3">
        <v>43953</v>
      </c>
      <c r="K5085" s="2">
        <v>43</v>
      </c>
      <c r="L5085" s="2" t="s">
        <v>101</v>
      </c>
      <c r="M5085" s="3"/>
    </row>
    <row r="5086" spans="1:13" x14ac:dyDescent="0.3">
      <c r="A5086" s="2">
        <v>5085</v>
      </c>
      <c r="B5086" s="2" t="s">
        <v>10397</v>
      </c>
      <c r="C5086" s="2" t="s">
        <v>5649</v>
      </c>
      <c r="D5086" s="2" t="s">
        <v>28</v>
      </c>
      <c r="E5086" s="2" t="s">
        <v>29</v>
      </c>
      <c r="F5086" s="2">
        <v>60</v>
      </c>
      <c r="G5086" s="2" t="s">
        <v>10398</v>
      </c>
      <c r="H5086" s="2" t="s">
        <v>4779</v>
      </c>
      <c r="I5086" s="2" t="s">
        <v>686</v>
      </c>
      <c r="J5086" s="3">
        <v>44338</v>
      </c>
      <c r="K5086" s="2">
        <v>29</v>
      </c>
      <c r="L5086" s="2" t="s">
        <v>33</v>
      </c>
      <c r="M5086" s="3"/>
    </row>
    <row r="5087" spans="1:13" x14ac:dyDescent="0.3">
      <c r="A5087" s="2">
        <v>5086</v>
      </c>
      <c r="B5087" s="2" t="s">
        <v>2399</v>
      </c>
      <c r="C5087" s="2" t="s">
        <v>5164</v>
      </c>
      <c r="D5087" s="2" t="s">
        <v>28</v>
      </c>
      <c r="E5087" s="2" t="s">
        <v>29</v>
      </c>
      <c r="F5087" s="2">
        <v>90</v>
      </c>
      <c r="G5087" s="2" t="s">
        <v>10399</v>
      </c>
      <c r="H5087" s="2" t="s">
        <v>3194</v>
      </c>
      <c r="I5087" s="2" t="s">
        <v>819</v>
      </c>
      <c r="J5087" s="3">
        <v>44130</v>
      </c>
      <c r="K5087" s="2">
        <v>56</v>
      </c>
      <c r="L5087" s="2" t="s">
        <v>45</v>
      </c>
      <c r="M5087" s="3"/>
    </row>
    <row r="5088" spans="1:13" x14ac:dyDescent="0.3">
      <c r="A5088" s="2">
        <v>5087</v>
      </c>
      <c r="B5088" s="2" t="s">
        <v>2027</v>
      </c>
      <c r="C5088" s="2" t="s">
        <v>8347</v>
      </c>
      <c r="D5088" s="2" t="s">
        <v>28</v>
      </c>
      <c r="E5088" s="2" t="s">
        <v>29</v>
      </c>
      <c r="F5088" s="2">
        <v>30</v>
      </c>
      <c r="G5088" s="2" t="s">
        <v>10399</v>
      </c>
      <c r="H5088" s="2" t="s">
        <v>603</v>
      </c>
      <c r="I5088" s="2" t="s">
        <v>187</v>
      </c>
      <c r="J5088" s="3">
        <v>43908</v>
      </c>
      <c r="K5088" s="2">
        <v>49</v>
      </c>
      <c r="L5088" s="2" t="s">
        <v>70</v>
      </c>
      <c r="M5088" s="3"/>
    </row>
    <row r="5089" spans="1:13" x14ac:dyDescent="0.3">
      <c r="A5089" s="2">
        <v>5088</v>
      </c>
      <c r="B5089" s="2" t="s">
        <v>717</v>
      </c>
      <c r="C5089" s="2" t="s">
        <v>1829</v>
      </c>
      <c r="D5089" s="2" t="s">
        <v>51</v>
      </c>
      <c r="E5089" s="2" t="s">
        <v>16</v>
      </c>
      <c r="F5089" s="2">
        <v>60</v>
      </c>
      <c r="G5089" s="2" t="s">
        <v>10399</v>
      </c>
      <c r="H5089" s="2" t="s">
        <v>168</v>
      </c>
      <c r="I5089" s="2" t="s">
        <v>32</v>
      </c>
      <c r="J5089" s="3">
        <v>44156</v>
      </c>
      <c r="K5089" s="2">
        <v>32</v>
      </c>
      <c r="L5089" s="2" t="s">
        <v>64</v>
      </c>
      <c r="M5089" s="3"/>
    </row>
    <row r="5090" spans="1:13" x14ac:dyDescent="0.3">
      <c r="A5090" s="2">
        <v>5089</v>
      </c>
      <c r="B5090" s="2" t="s">
        <v>10400</v>
      </c>
      <c r="C5090" s="2" t="s">
        <v>5413</v>
      </c>
      <c r="D5090" s="2" t="s">
        <v>41</v>
      </c>
      <c r="E5090" s="2" t="s">
        <v>16</v>
      </c>
      <c r="F5090" s="2">
        <v>60</v>
      </c>
      <c r="G5090" s="2" t="s">
        <v>10401</v>
      </c>
      <c r="H5090" s="2" t="s">
        <v>1845</v>
      </c>
      <c r="I5090" s="2" t="s">
        <v>294</v>
      </c>
      <c r="J5090" s="3">
        <v>44786</v>
      </c>
      <c r="K5090" s="2">
        <v>88</v>
      </c>
      <c r="L5090" s="2" t="s">
        <v>80</v>
      </c>
      <c r="M5090" s="3"/>
    </row>
    <row r="5091" spans="1:13" x14ac:dyDescent="0.3">
      <c r="A5091" s="2">
        <v>5090</v>
      </c>
      <c r="B5091" s="2" t="s">
        <v>8355</v>
      </c>
      <c r="C5091" s="2" t="s">
        <v>10402</v>
      </c>
      <c r="D5091" s="2" t="s">
        <v>51</v>
      </c>
      <c r="E5091" s="2" t="s">
        <v>16</v>
      </c>
      <c r="F5091" s="2">
        <v>90</v>
      </c>
      <c r="G5091" s="2" t="s">
        <v>10403</v>
      </c>
      <c r="H5091" s="2" t="s">
        <v>2179</v>
      </c>
      <c r="I5091" s="2" t="s">
        <v>294</v>
      </c>
      <c r="J5091" s="3">
        <v>44678</v>
      </c>
      <c r="K5091" s="2">
        <v>76</v>
      </c>
      <c r="L5091" s="2" t="s">
        <v>33</v>
      </c>
      <c r="M5091" s="3"/>
    </row>
    <row r="5092" spans="1:13" x14ac:dyDescent="0.3">
      <c r="A5092" s="2">
        <v>5091</v>
      </c>
      <c r="B5092" s="2" t="s">
        <v>3113</v>
      </c>
      <c r="C5092" s="2" t="s">
        <v>336</v>
      </c>
      <c r="D5092" s="2" t="s">
        <v>15</v>
      </c>
      <c r="E5092" s="2" t="s">
        <v>16</v>
      </c>
      <c r="F5092" s="2">
        <v>30</v>
      </c>
      <c r="G5092" s="2" t="s">
        <v>10404</v>
      </c>
      <c r="H5092" s="2" t="s">
        <v>8906</v>
      </c>
      <c r="I5092" s="2" t="s">
        <v>240</v>
      </c>
      <c r="J5092" s="3">
        <v>44257</v>
      </c>
      <c r="K5092" s="2">
        <v>44</v>
      </c>
      <c r="L5092" s="2" t="s">
        <v>20</v>
      </c>
      <c r="M5092" s="3"/>
    </row>
    <row r="5093" spans="1:13" x14ac:dyDescent="0.3">
      <c r="A5093" s="2">
        <v>5092</v>
      </c>
      <c r="B5093" s="2" t="s">
        <v>1623</v>
      </c>
      <c r="C5093" s="2" t="s">
        <v>222</v>
      </c>
      <c r="D5093" s="2" t="s">
        <v>28</v>
      </c>
      <c r="E5093" s="2" t="s">
        <v>29</v>
      </c>
      <c r="F5093" s="2">
        <v>30</v>
      </c>
      <c r="G5093" s="2" t="s">
        <v>10405</v>
      </c>
      <c r="H5093" s="2" t="s">
        <v>3713</v>
      </c>
      <c r="I5093" s="2" t="s">
        <v>32</v>
      </c>
      <c r="J5093" s="3">
        <v>44599</v>
      </c>
      <c r="K5093" s="2">
        <v>58</v>
      </c>
      <c r="L5093" s="2" t="s">
        <v>101</v>
      </c>
      <c r="M5093" s="3"/>
    </row>
    <row r="5094" spans="1:13" x14ac:dyDescent="0.3">
      <c r="A5094" s="2">
        <v>5093</v>
      </c>
      <c r="B5094" s="2" t="s">
        <v>5607</v>
      </c>
      <c r="C5094" s="2" t="s">
        <v>1237</v>
      </c>
      <c r="D5094" s="2" t="s">
        <v>51</v>
      </c>
      <c r="E5094" s="2" t="s">
        <v>16</v>
      </c>
      <c r="F5094" s="2">
        <v>60</v>
      </c>
      <c r="G5094" s="2" t="s">
        <v>10406</v>
      </c>
      <c r="H5094" s="2" t="s">
        <v>2685</v>
      </c>
      <c r="I5094" s="2" t="s">
        <v>32</v>
      </c>
      <c r="J5094" s="3">
        <v>43924</v>
      </c>
      <c r="K5094" s="2">
        <v>49</v>
      </c>
      <c r="L5094" s="2" t="s">
        <v>45</v>
      </c>
      <c r="M5094" s="3"/>
    </row>
    <row r="5095" spans="1:13" x14ac:dyDescent="0.3">
      <c r="A5095" s="2">
        <v>5094</v>
      </c>
      <c r="B5095" s="2" t="s">
        <v>4233</v>
      </c>
      <c r="C5095" s="2" t="s">
        <v>6351</v>
      </c>
      <c r="D5095" s="2" t="s">
        <v>28</v>
      </c>
      <c r="E5095" s="2" t="s">
        <v>29</v>
      </c>
      <c r="F5095" s="2">
        <v>60</v>
      </c>
      <c r="G5095" s="2" t="s">
        <v>10407</v>
      </c>
      <c r="H5095" s="2" t="s">
        <v>5427</v>
      </c>
      <c r="I5095" s="2" t="s">
        <v>32</v>
      </c>
      <c r="J5095" s="3">
        <v>44718</v>
      </c>
      <c r="K5095" s="2">
        <v>34</v>
      </c>
      <c r="L5095" s="2" t="s">
        <v>101</v>
      </c>
      <c r="M5095" s="3"/>
    </row>
    <row r="5096" spans="1:13" x14ac:dyDescent="0.3">
      <c r="A5096" s="2">
        <v>5095</v>
      </c>
      <c r="B5096" s="2" t="s">
        <v>9081</v>
      </c>
      <c r="C5096" s="2" t="s">
        <v>189</v>
      </c>
      <c r="D5096" s="2" t="s">
        <v>28</v>
      </c>
      <c r="E5096" s="2" t="s">
        <v>29</v>
      </c>
      <c r="F5096" s="2">
        <v>60</v>
      </c>
      <c r="G5096" s="2" t="s">
        <v>10408</v>
      </c>
      <c r="H5096" s="2" t="s">
        <v>7965</v>
      </c>
      <c r="I5096" s="2" t="s">
        <v>38</v>
      </c>
      <c r="J5096" s="3">
        <v>44396</v>
      </c>
      <c r="K5096" s="2">
        <v>26</v>
      </c>
      <c r="L5096" s="2" t="s">
        <v>159</v>
      </c>
      <c r="M5096" s="3"/>
    </row>
    <row r="5097" spans="1:13" x14ac:dyDescent="0.3">
      <c r="A5097" s="2">
        <v>5096</v>
      </c>
      <c r="B5097" s="2" t="s">
        <v>7791</v>
      </c>
      <c r="C5097" s="2" t="s">
        <v>2127</v>
      </c>
      <c r="D5097" s="2" t="s">
        <v>28</v>
      </c>
      <c r="E5097" s="2" t="s">
        <v>29</v>
      </c>
      <c r="F5097" s="2">
        <v>90</v>
      </c>
      <c r="G5097" s="2" t="s">
        <v>10409</v>
      </c>
      <c r="H5097" s="2" t="s">
        <v>5459</v>
      </c>
      <c r="I5097" s="2" t="s">
        <v>1478</v>
      </c>
      <c r="J5097" s="3">
        <v>43887</v>
      </c>
      <c r="K5097" s="2">
        <v>42</v>
      </c>
      <c r="L5097" s="2" t="s">
        <v>33</v>
      </c>
      <c r="M5097" s="3"/>
    </row>
    <row r="5098" spans="1:13" x14ac:dyDescent="0.3">
      <c r="A5098" s="2">
        <v>5097</v>
      </c>
      <c r="B5098" s="2" t="s">
        <v>6126</v>
      </c>
      <c r="C5098" s="2" t="s">
        <v>5797</v>
      </c>
      <c r="D5098" s="2" t="s">
        <v>28</v>
      </c>
      <c r="E5098" s="2" t="s">
        <v>29</v>
      </c>
      <c r="F5098" s="2">
        <v>90</v>
      </c>
      <c r="G5098" s="2" t="s">
        <v>10410</v>
      </c>
      <c r="H5098" s="2" t="s">
        <v>562</v>
      </c>
      <c r="I5098" s="2" t="s">
        <v>187</v>
      </c>
      <c r="J5098" s="3">
        <v>43919</v>
      </c>
      <c r="K5098" s="2">
        <v>57</v>
      </c>
      <c r="L5098" s="2" t="s">
        <v>33</v>
      </c>
      <c r="M5098" s="3"/>
    </row>
    <row r="5099" spans="1:13" x14ac:dyDescent="0.3">
      <c r="A5099" s="2">
        <v>5098</v>
      </c>
      <c r="B5099" s="2" t="s">
        <v>6434</v>
      </c>
      <c r="C5099" s="2" t="s">
        <v>4880</v>
      </c>
      <c r="D5099" s="2" t="s">
        <v>15</v>
      </c>
      <c r="E5099" s="2" t="s">
        <v>16</v>
      </c>
      <c r="F5099" s="2">
        <v>90</v>
      </c>
      <c r="G5099" s="2" t="s">
        <v>10410</v>
      </c>
      <c r="H5099" s="2" t="s">
        <v>6675</v>
      </c>
      <c r="I5099" s="2" t="s">
        <v>32</v>
      </c>
      <c r="J5099" s="3">
        <v>44489</v>
      </c>
      <c r="K5099" s="2">
        <v>2</v>
      </c>
      <c r="L5099" s="2" t="s">
        <v>70</v>
      </c>
      <c r="M5099" s="3"/>
    </row>
    <row r="5100" spans="1:13" x14ac:dyDescent="0.3">
      <c r="A5100" s="2">
        <v>5099</v>
      </c>
      <c r="B5100" s="2" t="s">
        <v>4278</v>
      </c>
      <c r="C5100" s="2" t="s">
        <v>5267</v>
      </c>
      <c r="D5100" s="2" t="s">
        <v>28</v>
      </c>
      <c r="E5100" s="2" t="s">
        <v>29</v>
      </c>
      <c r="F5100" s="2">
        <v>60</v>
      </c>
      <c r="G5100" s="2" t="s">
        <v>10411</v>
      </c>
      <c r="H5100" s="2" t="s">
        <v>1992</v>
      </c>
      <c r="I5100" s="2" t="s">
        <v>32</v>
      </c>
      <c r="J5100" s="3">
        <v>44600</v>
      </c>
      <c r="K5100" s="2">
        <v>72</v>
      </c>
      <c r="L5100" s="2" t="s">
        <v>101</v>
      </c>
      <c r="M5100" s="3"/>
    </row>
    <row r="5101" spans="1:13" x14ac:dyDescent="0.3">
      <c r="A5101" s="2">
        <v>5100</v>
      </c>
      <c r="B5101" s="2" t="s">
        <v>10412</v>
      </c>
      <c r="C5101" s="2" t="s">
        <v>6279</v>
      </c>
      <c r="D5101" s="2" t="s">
        <v>15</v>
      </c>
      <c r="E5101" s="2" t="s">
        <v>16</v>
      </c>
      <c r="F5101" s="2">
        <v>60</v>
      </c>
      <c r="H5101" s="2" t="s">
        <v>3070</v>
      </c>
      <c r="I5101" s="2" t="s">
        <v>575</v>
      </c>
      <c r="J5101" s="3">
        <v>43863</v>
      </c>
      <c r="K5101" s="2">
        <v>35</v>
      </c>
      <c r="L5101" s="2" t="s">
        <v>159</v>
      </c>
      <c r="M5101" s="3"/>
    </row>
    <row r="5102" spans="1:13" x14ac:dyDescent="0.3">
      <c r="A5102" s="2">
        <v>5101</v>
      </c>
      <c r="B5102" s="2" t="s">
        <v>2343</v>
      </c>
      <c r="C5102" s="2" t="s">
        <v>6927</v>
      </c>
      <c r="D5102" s="2" t="s">
        <v>15</v>
      </c>
      <c r="E5102" s="2" t="s">
        <v>16</v>
      </c>
      <c r="F5102" s="2">
        <v>60</v>
      </c>
      <c r="H5102" s="2" t="s">
        <v>3261</v>
      </c>
      <c r="I5102" s="2" t="s">
        <v>124</v>
      </c>
      <c r="J5102" s="3">
        <v>44013</v>
      </c>
      <c r="K5102" s="2">
        <v>9</v>
      </c>
      <c r="L5102" s="2" t="s">
        <v>159</v>
      </c>
      <c r="M5102" s="3"/>
    </row>
    <row r="5103" spans="1:13" x14ac:dyDescent="0.3">
      <c r="A5103" s="2">
        <v>5102</v>
      </c>
      <c r="B5103" s="2" t="s">
        <v>10413</v>
      </c>
      <c r="C5103" s="2" t="s">
        <v>7043</v>
      </c>
      <c r="D5103" s="2" t="s">
        <v>15</v>
      </c>
      <c r="E5103" s="2" t="s">
        <v>16</v>
      </c>
      <c r="F5103" s="2">
        <v>30</v>
      </c>
      <c r="H5103" s="2" t="s">
        <v>558</v>
      </c>
      <c r="I5103" s="2" t="s">
        <v>32</v>
      </c>
      <c r="J5103" s="3">
        <v>44338</v>
      </c>
      <c r="K5103" s="2">
        <v>67</v>
      </c>
      <c r="L5103" s="2" t="s">
        <v>45</v>
      </c>
      <c r="M5103" s="3"/>
    </row>
    <row r="5104" spans="1:13" x14ac:dyDescent="0.3">
      <c r="A5104" s="2">
        <v>5103</v>
      </c>
      <c r="B5104" s="2" t="s">
        <v>3097</v>
      </c>
      <c r="C5104" s="2" t="s">
        <v>493</v>
      </c>
      <c r="D5104" s="2" t="s">
        <v>28</v>
      </c>
      <c r="E5104" s="2" t="s">
        <v>29</v>
      </c>
      <c r="F5104" s="2">
        <v>90</v>
      </c>
      <c r="H5104" s="2" t="s">
        <v>4493</v>
      </c>
      <c r="I5104" s="2" t="s">
        <v>32</v>
      </c>
      <c r="J5104" s="3">
        <v>43904</v>
      </c>
      <c r="K5104" s="2">
        <v>54</v>
      </c>
      <c r="L5104" s="2" t="s">
        <v>159</v>
      </c>
      <c r="M5104" s="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E91-F22F-4511-9C7D-505D5CD8C8C7}">
  <sheetPr codeName="Sheet4">
    <tabColor theme="3" tint="0.89999084444715716"/>
  </sheetPr>
  <dimension ref="A1:K47"/>
  <sheetViews>
    <sheetView workbookViewId="0"/>
  </sheetViews>
  <sheetFormatPr defaultRowHeight="14.4" x14ac:dyDescent="0.3"/>
  <cols>
    <col min="1" max="1" width="22.77734375" style="50" bestFit="1" customWidth="1"/>
    <col min="2" max="2" width="14.33203125" style="50" bestFit="1" customWidth="1"/>
    <col min="3" max="3" width="9.109375" style="50" bestFit="1" customWidth="1"/>
    <col min="4" max="4" width="17.33203125" style="50" bestFit="1" customWidth="1"/>
    <col min="5" max="5" width="12.44140625" style="50" bestFit="1" customWidth="1"/>
    <col min="6" max="6" width="11.44140625" style="50" bestFit="1" customWidth="1"/>
    <col min="7" max="7" width="7.88671875" style="50" bestFit="1" customWidth="1"/>
    <col min="8" max="16384" width="8.88671875" style="50"/>
  </cols>
  <sheetData>
    <row r="1" spans="1:11" x14ac:dyDescent="0.3">
      <c r="A1" s="49" t="s">
        <v>10597</v>
      </c>
    </row>
    <row r="3" spans="1:11" x14ac:dyDescent="0.3">
      <c r="A3" s="51" t="s">
        <v>10598</v>
      </c>
      <c r="B3" s="52" t="s">
        <v>10599</v>
      </c>
      <c r="C3" s="52" t="s">
        <v>10600</v>
      </c>
      <c r="D3" s="52" t="s">
        <v>10601</v>
      </c>
      <c r="E3" s="52" t="s">
        <v>10676</v>
      </c>
      <c r="F3" s="53" t="s">
        <v>10677</v>
      </c>
      <c r="G3" s="52" t="s">
        <v>10679</v>
      </c>
    </row>
    <row r="4" spans="1:11" x14ac:dyDescent="0.3">
      <c r="A4" s="54" t="s">
        <v>54</v>
      </c>
      <c r="B4" s="55" t="s">
        <v>10602</v>
      </c>
      <c r="C4" s="56">
        <v>0.69</v>
      </c>
      <c r="D4" s="55">
        <v>24</v>
      </c>
      <c r="E4" s="56">
        <f>ProductData[[#This Row],[Cost]]*ProductData[[#This Row],[Case Size]]</f>
        <v>16.559999999999999</v>
      </c>
      <c r="F4" s="56">
        <f>ProductData[[#This Row],[Retail Price]]-ProductData[[#This Row],[Profit]]</f>
        <v>12.419999999999998</v>
      </c>
      <c r="G4" s="56">
        <f>ProductData[[#This Row],[Retail Price]]*$B$18</f>
        <v>4.1399999999999997</v>
      </c>
    </row>
    <row r="5" spans="1:11" x14ac:dyDescent="0.3">
      <c r="A5" s="54" t="s">
        <v>70</v>
      </c>
      <c r="B5" s="55" t="s">
        <v>10603</v>
      </c>
      <c r="C5" s="56">
        <v>1.29</v>
      </c>
      <c r="D5" s="55">
        <v>24</v>
      </c>
      <c r="E5" s="56">
        <f>ProductData[[#This Row],[Cost]]*ProductData[[#This Row],[Case Size]]</f>
        <v>30.96</v>
      </c>
      <c r="F5" s="56">
        <f>ProductData[[#This Row],[Retail Price]]-ProductData[[#This Row],[Profit]]</f>
        <v>23.22</v>
      </c>
      <c r="G5" s="56">
        <f>ProductData[[#This Row],[Retail Price]]*$B$18</f>
        <v>7.74</v>
      </c>
    </row>
    <row r="6" spans="1:11" x14ac:dyDescent="0.3">
      <c r="A6" s="54" t="s">
        <v>33</v>
      </c>
      <c r="B6" s="55" t="s">
        <v>10604</v>
      </c>
      <c r="C6" s="56">
        <v>1.79</v>
      </c>
      <c r="D6" s="55">
        <v>24</v>
      </c>
      <c r="E6" s="56">
        <f>ProductData[[#This Row],[Cost]]*ProductData[[#This Row],[Case Size]]</f>
        <v>42.96</v>
      </c>
      <c r="F6" s="56">
        <f>ProductData[[#This Row],[Retail Price]]-ProductData[[#This Row],[Profit]]</f>
        <v>32.22</v>
      </c>
      <c r="G6" s="56">
        <f>ProductData[[#This Row],[Retail Price]]*$B$18</f>
        <v>10.74</v>
      </c>
    </row>
    <row r="7" spans="1:11" x14ac:dyDescent="0.3">
      <c r="A7" s="54" t="s">
        <v>20</v>
      </c>
      <c r="B7" s="55" t="s">
        <v>10605</v>
      </c>
      <c r="C7" s="56">
        <v>2.0099999999999998</v>
      </c>
      <c r="D7" s="55">
        <v>20</v>
      </c>
      <c r="E7" s="56">
        <f>ProductData[[#This Row],[Cost]]*ProductData[[#This Row],[Case Size]]</f>
        <v>40.199999999999996</v>
      </c>
      <c r="F7" s="56">
        <f>ProductData[[#This Row],[Retail Price]]-ProductData[[#This Row],[Profit]]</f>
        <v>30.15</v>
      </c>
      <c r="G7" s="56">
        <f>ProductData[[#This Row],[Retail Price]]*$B$18</f>
        <v>10.049999999999999</v>
      </c>
    </row>
    <row r="8" spans="1:11" x14ac:dyDescent="0.3">
      <c r="A8" s="54" t="s">
        <v>39</v>
      </c>
      <c r="B8" s="55" t="s">
        <v>10606</v>
      </c>
      <c r="C8" s="56">
        <v>1.79</v>
      </c>
      <c r="D8" s="55">
        <v>17</v>
      </c>
      <c r="E8" s="56">
        <f>ProductData[[#This Row],[Cost]]*ProductData[[#This Row],[Case Size]]</f>
        <v>30.43</v>
      </c>
      <c r="F8" s="56">
        <f>ProductData[[#This Row],[Retail Price]]-ProductData[[#This Row],[Profit]]</f>
        <v>22.822499999999998</v>
      </c>
      <c r="G8" s="56">
        <f>ProductData[[#This Row],[Retail Price]]*$B$18</f>
        <v>7.6074999999999999</v>
      </c>
    </row>
    <row r="9" spans="1:11" x14ac:dyDescent="0.3">
      <c r="A9" s="54" t="s">
        <v>80</v>
      </c>
      <c r="B9" s="55" t="s">
        <v>10607</v>
      </c>
      <c r="C9" s="56">
        <v>2.95</v>
      </c>
      <c r="D9" s="55">
        <v>20</v>
      </c>
      <c r="E9" s="56">
        <f>ProductData[[#This Row],[Cost]]*ProductData[[#This Row],[Case Size]]</f>
        <v>59</v>
      </c>
      <c r="F9" s="56">
        <f>ProductData[[#This Row],[Retail Price]]-ProductData[[#This Row],[Profit]]</f>
        <v>44.25</v>
      </c>
      <c r="G9" s="56">
        <f>ProductData[[#This Row],[Retail Price]]*$B$18</f>
        <v>14.75</v>
      </c>
    </row>
    <row r="10" spans="1:11" x14ac:dyDescent="0.3">
      <c r="A10" s="54" t="s">
        <v>159</v>
      </c>
      <c r="B10" s="55" t="s">
        <v>10608</v>
      </c>
      <c r="C10" s="56">
        <v>3.39</v>
      </c>
      <c r="D10" s="55">
        <v>24</v>
      </c>
      <c r="E10" s="56">
        <f>ProductData[[#This Row],[Cost]]*ProductData[[#This Row],[Case Size]]</f>
        <v>81.36</v>
      </c>
      <c r="F10" s="56">
        <f>ProductData[[#This Row],[Retail Price]]-ProductData[[#This Row],[Profit]]</f>
        <v>61.019999999999996</v>
      </c>
      <c r="G10" s="56">
        <f>ProductData[[#This Row],[Retail Price]]*$B$18</f>
        <v>20.34</v>
      </c>
    </row>
    <row r="11" spans="1:11" x14ac:dyDescent="0.3">
      <c r="A11" s="54" t="s">
        <v>64</v>
      </c>
      <c r="B11" s="55" t="s">
        <v>10609</v>
      </c>
      <c r="C11" s="56">
        <v>3.99</v>
      </c>
      <c r="D11" s="55">
        <v>24</v>
      </c>
      <c r="E11" s="56">
        <f>ProductData[[#This Row],[Cost]]*ProductData[[#This Row],[Case Size]]</f>
        <v>95.76</v>
      </c>
      <c r="F11" s="56">
        <f>ProductData[[#This Row],[Retail Price]]-ProductData[[#This Row],[Profit]]</f>
        <v>71.820000000000007</v>
      </c>
      <c r="G11" s="56">
        <f>ProductData[[#This Row],[Retail Price]]*$B$18</f>
        <v>23.94</v>
      </c>
    </row>
    <row r="12" spans="1:11" x14ac:dyDescent="0.3">
      <c r="A12" s="54" t="s">
        <v>45</v>
      </c>
      <c r="B12" s="55" t="s">
        <v>10610</v>
      </c>
      <c r="C12" s="56">
        <v>1.89</v>
      </c>
      <c r="D12" s="55">
        <v>18</v>
      </c>
      <c r="E12" s="56">
        <f>ProductData[[#This Row],[Cost]]*ProductData[[#This Row],[Case Size]]</f>
        <v>34.019999999999996</v>
      </c>
      <c r="F12" s="56">
        <f>ProductData[[#This Row],[Retail Price]]-ProductData[[#This Row],[Profit]]</f>
        <v>25.514999999999997</v>
      </c>
      <c r="G12" s="56">
        <f>ProductData[[#This Row],[Retail Price]]*$B$18</f>
        <v>8.504999999999999</v>
      </c>
      <c r="I12" s="57"/>
      <c r="J12" s="57"/>
      <c r="K12" s="57"/>
    </row>
    <row r="13" spans="1:11" x14ac:dyDescent="0.3">
      <c r="A13" s="58" t="s">
        <v>101</v>
      </c>
      <c r="B13" s="59" t="s">
        <v>10611</v>
      </c>
      <c r="C13" s="60">
        <v>3.49</v>
      </c>
      <c r="D13" s="59">
        <v>20</v>
      </c>
      <c r="E13" s="60">
        <f>ProductData[[#This Row],[Cost]]*ProductData[[#This Row],[Case Size]]</f>
        <v>69.800000000000011</v>
      </c>
      <c r="F13" s="60">
        <f>ProductData[[#This Row],[Retail Price]]-ProductData[[#This Row],[Profit]]</f>
        <v>52.350000000000009</v>
      </c>
      <c r="G13" s="60">
        <f>ProductData[[#This Row],[Retail Price]]*$B$18</f>
        <v>17.450000000000003</v>
      </c>
    </row>
    <row r="15" spans="1:11" x14ac:dyDescent="0.3">
      <c r="B15" s="120" t="s">
        <v>10781</v>
      </c>
      <c r="C15" s="120" t="s">
        <v>10685</v>
      </c>
    </row>
    <row r="16" spans="1:11" x14ac:dyDescent="0.3">
      <c r="A16" s="119" t="s">
        <v>10665</v>
      </c>
      <c r="B16" s="11">
        <v>120</v>
      </c>
      <c r="C16" s="61">
        <f>25*12</f>
        <v>300</v>
      </c>
    </row>
    <row r="17" spans="1:3" x14ac:dyDescent="0.3">
      <c r="A17" s="119" t="s">
        <v>10666</v>
      </c>
      <c r="B17" s="68">
        <v>4.2999999999999997E-2</v>
      </c>
      <c r="C17" s="62"/>
    </row>
    <row r="18" spans="1:3" x14ac:dyDescent="0.3">
      <c r="A18" s="119" t="s">
        <v>10678</v>
      </c>
      <c r="B18" s="68">
        <v>0.25</v>
      </c>
      <c r="C18" s="62"/>
    </row>
    <row r="19" spans="1:3" x14ac:dyDescent="0.3">
      <c r="A19" s="119" t="s">
        <v>10663</v>
      </c>
      <c r="B19" s="9">
        <v>0.5</v>
      </c>
      <c r="C19" s="63"/>
    </row>
    <row r="20" spans="1:3" x14ac:dyDescent="0.3">
      <c r="A20" s="119" t="s">
        <v>10691</v>
      </c>
      <c r="B20" s="62"/>
      <c r="C20" s="64">
        <v>1.1000000000000001</v>
      </c>
    </row>
    <row r="21" spans="1:3" x14ac:dyDescent="0.3">
      <c r="A21" s="119" t="s">
        <v>10692</v>
      </c>
      <c r="B21" s="61"/>
      <c r="C21" s="63">
        <v>14.95</v>
      </c>
    </row>
    <row r="22" spans="1:3" x14ac:dyDescent="0.3">
      <c r="A22" s="119" t="s">
        <v>10706</v>
      </c>
      <c r="B22" s="61"/>
      <c r="C22" s="64">
        <v>1.05</v>
      </c>
    </row>
    <row r="24" spans="1:3" x14ac:dyDescent="0.3">
      <c r="A24" s="49" t="s">
        <v>10698</v>
      </c>
    </row>
    <row r="26" spans="1:3" x14ac:dyDescent="0.3">
      <c r="A26" s="194" t="s">
        <v>10780</v>
      </c>
      <c r="B26" s="194"/>
      <c r="C26" s="119" t="s">
        <v>10699</v>
      </c>
    </row>
    <row r="27" spans="1:3" x14ac:dyDescent="0.3">
      <c r="A27" s="61">
        <v>20</v>
      </c>
      <c r="B27" s="61">
        <v>49</v>
      </c>
      <c r="C27" s="64">
        <v>0.97</v>
      </c>
    </row>
    <row r="28" spans="1:3" x14ac:dyDescent="0.3">
      <c r="A28" s="61">
        <v>50</v>
      </c>
      <c r="B28" s="61">
        <v>99</v>
      </c>
      <c r="C28" s="64">
        <v>0.95</v>
      </c>
    </row>
    <row r="29" spans="1:3" x14ac:dyDescent="0.3">
      <c r="A29" s="61">
        <v>100</v>
      </c>
      <c r="B29" s="61"/>
      <c r="C29" s="64">
        <v>0.93</v>
      </c>
    </row>
    <row r="31" spans="1:3" x14ac:dyDescent="0.3">
      <c r="A31" s="49" t="s">
        <v>10735</v>
      </c>
    </row>
    <row r="33" spans="1:5" x14ac:dyDescent="0.3">
      <c r="A33" s="119" t="s">
        <v>10734</v>
      </c>
      <c r="B33" s="119" t="s">
        <v>10710</v>
      </c>
      <c r="C33" s="119" t="s">
        <v>10711</v>
      </c>
      <c r="D33" s="119" t="s">
        <v>10721</v>
      </c>
      <c r="E33" s="119" t="s">
        <v>10722</v>
      </c>
    </row>
    <row r="34" spans="1:5" x14ac:dyDescent="0.3">
      <c r="A34" s="65" t="s">
        <v>10712</v>
      </c>
      <c r="B34" s="64">
        <f>E34</f>
        <v>0.1</v>
      </c>
      <c r="C34" s="64">
        <v>0</v>
      </c>
      <c r="D34" s="64">
        <v>-3</v>
      </c>
      <c r="E34" s="64">
        <v>0.1</v>
      </c>
    </row>
    <row r="35" spans="1:5" x14ac:dyDescent="0.3">
      <c r="A35" s="66">
        <v>-0.9</v>
      </c>
      <c r="B35" s="64">
        <f>B34+E35</f>
        <v>0.6</v>
      </c>
      <c r="C35" s="64">
        <v>0.1</v>
      </c>
      <c r="D35" s="64">
        <v>-2.5</v>
      </c>
      <c r="E35" s="64">
        <v>0.5</v>
      </c>
    </row>
    <row r="36" spans="1:5" x14ac:dyDescent="0.3">
      <c r="A36" s="66">
        <v>-0.75</v>
      </c>
      <c r="B36" s="64">
        <f t="shared" ref="B36:B47" si="0">B35+E36</f>
        <v>2.2999999999999998</v>
      </c>
      <c r="C36" s="64">
        <v>0.25</v>
      </c>
      <c r="D36" s="64">
        <v>-2</v>
      </c>
      <c r="E36" s="64">
        <v>1.7</v>
      </c>
    </row>
    <row r="37" spans="1:5" x14ac:dyDescent="0.3">
      <c r="A37" s="66">
        <v>-0.5</v>
      </c>
      <c r="B37" s="64">
        <f t="shared" si="0"/>
        <v>6.7</v>
      </c>
      <c r="C37" s="64">
        <v>0.5</v>
      </c>
      <c r="D37" s="64">
        <v>-1.5</v>
      </c>
      <c r="E37" s="64">
        <v>4.4000000000000004</v>
      </c>
    </row>
    <row r="38" spans="1:5" x14ac:dyDescent="0.3">
      <c r="A38" s="66">
        <v>-0.25</v>
      </c>
      <c r="B38" s="64">
        <f t="shared" si="0"/>
        <v>15.899999999999999</v>
      </c>
      <c r="C38" s="64">
        <v>0.75</v>
      </c>
      <c r="D38" s="64">
        <v>-1</v>
      </c>
      <c r="E38" s="64">
        <v>9.1999999999999993</v>
      </c>
    </row>
    <row r="39" spans="1:5" x14ac:dyDescent="0.3">
      <c r="A39" s="66">
        <v>-0.1</v>
      </c>
      <c r="B39" s="64">
        <f t="shared" si="0"/>
        <v>30.9</v>
      </c>
      <c r="C39" s="64">
        <v>0.9</v>
      </c>
      <c r="D39" s="64">
        <v>-0.5</v>
      </c>
      <c r="E39" s="64">
        <v>15</v>
      </c>
    </row>
    <row r="40" spans="1:5" x14ac:dyDescent="0.3">
      <c r="A40" s="65" t="s">
        <v>10713</v>
      </c>
      <c r="B40" s="64">
        <f t="shared" si="0"/>
        <v>50</v>
      </c>
      <c r="C40" s="64">
        <v>1</v>
      </c>
      <c r="D40" s="64">
        <v>0</v>
      </c>
      <c r="E40" s="64">
        <v>19.100000000000001</v>
      </c>
    </row>
    <row r="41" spans="1:5" x14ac:dyDescent="0.3">
      <c r="A41" s="65" t="s">
        <v>10713</v>
      </c>
      <c r="B41" s="64">
        <f t="shared" si="0"/>
        <v>69.099999999999994</v>
      </c>
      <c r="C41" s="64">
        <v>1</v>
      </c>
      <c r="D41" s="64">
        <v>0</v>
      </c>
      <c r="E41" s="64">
        <v>19.100000000000001</v>
      </c>
    </row>
    <row r="42" spans="1:5" x14ac:dyDescent="0.3">
      <c r="A42" s="67" t="s">
        <v>10714</v>
      </c>
      <c r="B42" s="64">
        <f t="shared" si="0"/>
        <v>84.1</v>
      </c>
      <c r="C42" s="64">
        <v>1.1000000000000001</v>
      </c>
      <c r="D42" s="64">
        <v>0.5</v>
      </c>
      <c r="E42" s="64">
        <v>15</v>
      </c>
    </row>
    <row r="43" spans="1:5" x14ac:dyDescent="0.3">
      <c r="A43" s="67" t="s">
        <v>10715</v>
      </c>
      <c r="B43" s="64">
        <f t="shared" si="0"/>
        <v>93.3</v>
      </c>
      <c r="C43" s="64">
        <v>1.25</v>
      </c>
      <c r="D43" s="64">
        <v>1</v>
      </c>
      <c r="E43" s="64">
        <v>9.1999999999999993</v>
      </c>
    </row>
    <row r="44" spans="1:5" x14ac:dyDescent="0.3">
      <c r="A44" s="67" t="s">
        <v>10716</v>
      </c>
      <c r="B44" s="64">
        <f t="shared" si="0"/>
        <v>97.7</v>
      </c>
      <c r="C44" s="64">
        <v>1.5</v>
      </c>
      <c r="D44" s="64">
        <v>1.5</v>
      </c>
      <c r="E44" s="64">
        <v>4.4000000000000004</v>
      </c>
    </row>
    <row r="45" spans="1:5" x14ac:dyDescent="0.3">
      <c r="A45" s="67" t="s">
        <v>10717</v>
      </c>
      <c r="B45" s="64">
        <f t="shared" si="0"/>
        <v>99.4</v>
      </c>
      <c r="C45" s="64">
        <v>1.75</v>
      </c>
      <c r="D45" s="64">
        <v>2</v>
      </c>
      <c r="E45" s="64">
        <v>1.7</v>
      </c>
    </row>
    <row r="46" spans="1:5" x14ac:dyDescent="0.3">
      <c r="A46" s="67" t="s">
        <v>10718</v>
      </c>
      <c r="B46" s="64">
        <f t="shared" si="0"/>
        <v>99.9</v>
      </c>
      <c r="C46" s="64">
        <v>1.9</v>
      </c>
      <c r="D46" s="64">
        <v>2.5</v>
      </c>
      <c r="E46" s="64">
        <v>0.5</v>
      </c>
    </row>
    <row r="47" spans="1:5" x14ac:dyDescent="0.3">
      <c r="A47" s="65" t="s">
        <v>10719</v>
      </c>
      <c r="B47" s="64">
        <f t="shared" si="0"/>
        <v>100</v>
      </c>
      <c r="C47" s="64">
        <v>2</v>
      </c>
      <c r="D47" s="64">
        <v>3</v>
      </c>
      <c r="E47" s="64">
        <v>0.1</v>
      </c>
    </row>
  </sheetData>
  <protectedRanges>
    <protectedRange algorithmName="SHA-512" hashValue="DBArNlyEBDWcZR9wUcO/CFw10wtewKQ/WlFL0F0sVhoa2b2kqT80Y0SWgrmX+i/mAVPwp69PK2+dqxgRW1dW4w==" saltValue="NRmGlD5uGZdGvwAJ1bna4A==" spinCount="100000" sqref="B16:C22" name="Range1"/>
  </protectedRanges>
  <mergeCells count="1">
    <mergeCell ref="A26:B26"/>
  </mergeCells>
  <pageMargins left="0.7" right="0.7" top="0.75" bottom="0.75" header="0.3" footer="0.3"/>
  <ignoredErrors>
    <ignoredError sqref="A42:A46" numberStoredAsText="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418E8B9-1F70-4DF5-9670-AE99B45009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Title and Navigation</vt:lpstr>
      <vt:lpstr>Dashboard</vt:lpstr>
      <vt:lpstr>Sales by Month and Year</vt:lpstr>
      <vt:lpstr>Sales by Region</vt:lpstr>
      <vt:lpstr>Cash Flow Forecast</vt:lpstr>
      <vt:lpstr>Proposed Options</vt:lpstr>
      <vt:lpstr>Cash Flow Flat Rate Delivery  </vt:lpstr>
      <vt:lpstr>Cash Flow Discount Scheme</vt:lpstr>
      <vt:lpstr>Cash Flow Sales Increase</vt:lpstr>
      <vt:lpstr>Monte Carlo Simulation</vt:lpstr>
      <vt:lpstr>Test Plan</vt:lpstr>
      <vt:lpstr>Organized Data</vt:lpstr>
      <vt:lpstr>Cleaned Data</vt:lpstr>
      <vt:lpstr>Original Data</vt:lpstr>
      <vt:lpstr>Reference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Sana Arif Raza</dc:creator>
  <cp:lastModifiedBy>Sana Arif Raza</cp:lastModifiedBy>
  <cp:lastPrinted>2024-03-19T02:29:38Z</cp:lastPrinted>
  <dcterms:created xsi:type="dcterms:W3CDTF">2024-03-14T16:18:55Z</dcterms:created>
  <dcterms:modified xsi:type="dcterms:W3CDTF">2025-03-04T17:16:47Z</dcterms:modified>
</cp:coreProperties>
</file>